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tables/table4.xml" ContentType="application/vnd.openxmlformats-officedocument.spreadsheetml.table+xml"/>
  <Override PartName="/xl/comments3.xml" ContentType="application/vnd.openxmlformats-officedocument.spreadsheetml.comments+xml"/>
  <Override PartName="/xl/tables/table5.xml" ContentType="application/vnd.openxmlformats-officedocument.spreadsheetml.table+xml"/>
  <Override PartName="/xl/comments4.xml" ContentType="application/vnd.openxmlformats-officedocument.spreadsheetml.comments+xml"/>
  <Override PartName="/xl/tables/table6.xml" ContentType="application/vnd.openxmlformats-officedocument.spreadsheetml.table+xml"/>
  <Override PartName="/xl/comments5.xml" ContentType="application/vnd.openxmlformats-officedocument.spreadsheetml.comments+xml"/>
  <Override PartName="/xl/tables/table7.xml" ContentType="application/vnd.openxmlformats-officedocument.spreadsheetml.table+xml"/>
  <Override PartName="/xl/comments6.xml" ContentType="application/vnd.openxmlformats-officedocument.spreadsheetml.comments+xml"/>
  <Override PartName="/xl/tables/table8.xml" ContentType="application/vnd.openxmlformats-officedocument.spreadsheetml.table+xml"/>
  <Override PartName="/xl/comments7.xml" ContentType="application/vnd.openxmlformats-officedocument.spreadsheetml.comments+xml"/>
  <Override PartName="/xl/tables/table9.xml" ContentType="application/vnd.openxmlformats-officedocument.spreadsheetml.table+xml"/>
  <Override PartName="/xl/comments8.xml" ContentType="application/vnd.openxmlformats-officedocument.spreadsheetml.comments+xml"/>
  <Override PartName="/xl/tables/table10.xml" ContentType="application/vnd.openxmlformats-officedocument.spreadsheetml.table+xml"/>
  <Override PartName="/xl/comments9.xml" ContentType="application/vnd.openxmlformats-officedocument.spreadsheetml.comments+xml"/>
  <Override PartName="/xl/tables/table11.xml" ContentType="application/vnd.openxmlformats-officedocument.spreadsheetml.table+xml"/>
  <Override PartName="/xl/comments10.xml" ContentType="application/vnd.openxmlformats-officedocument.spreadsheetml.comments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CNPY_Teaching\2565_Sem1_DLitercy_STD33\ข้อสอบ\"/>
    </mc:Choice>
  </mc:AlternateContent>
  <bookViews>
    <workbookView xWindow="0" yWindow="0" windowWidth="23040" windowHeight="9072" firstSheet="1" activeTab="13"/>
  </bookViews>
  <sheets>
    <sheet name="Start" sheetId="38" r:id="rId1"/>
    <sheet name="สรุป" sheetId="41" r:id="rId2"/>
    <sheet name="Task1" sheetId="39" r:id="rId3"/>
    <sheet name="Task2" sheetId="62" r:id="rId4"/>
    <sheet name="Task3" sheetId="63" r:id="rId5"/>
    <sheet name="Task4" sheetId="64" r:id="rId6"/>
    <sheet name="Task5" sheetId="65" r:id="rId7"/>
    <sheet name="Task6" sheetId="66" r:id="rId8"/>
    <sheet name="Task7" sheetId="67" r:id="rId9"/>
    <sheet name="Task8" sheetId="68" r:id="rId10"/>
    <sheet name="Task9" sheetId="69" r:id="rId11"/>
    <sheet name="Task10" sheetId="70" r:id="rId12"/>
    <sheet name="Subject" sheetId="17" r:id="rId13"/>
    <sheet name="PLOs" sheetId="15" r:id="rId14"/>
  </sheets>
  <definedNames>
    <definedName name="_xlnm.Print_Area" localSheetId="0">Start!$A$1:$E$16</definedName>
    <definedName name="_xlnm.Print_Area" localSheetId="2">Task1!$A$3:$AC$44</definedName>
    <definedName name="_xlnm.Print_Area" localSheetId="11">Task10!$A$3:$AC$44</definedName>
    <definedName name="_xlnm.Print_Area" localSheetId="3">Task2!$A$3:$AC$44</definedName>
    <definedName name="_xlnm.Print_Area" localSheetId="4">Task3!$A$3:$AC$44</definedName>
    <definedName name="_xlnm.Print_Area" localSheetId="5">Task4!$A$3:$AC$44</definedName>
    <definedName name="_xlnm.Print_Area" localSheetId="6">Task5!$A$3:$AC$44</definedName>
    <definedName name="_xlnm.Print_Area" localSheetId="7">Task6!$A$3:$AC$44</definedName>
    <definedName name="_xlnm.Print_Area" localSheetId="8">Task7!$A$3:$AC$44</definedName>
    <definedName name="_xlnm.Print_Area" localSheetId="9">Task8!$A$3:$AC$44</definedName>
    <definedName name="_xlnm.Print_Area" localSheetId="10">Task9!$A$3:$AC$44</definedName>
    <definedName name="_xlnm.Print_Titles" localSheetId="13">PLOs!$1:$1</definedName>
    <definedName name="_xlnm.Print_Titles" localSheetId="12">Subject!$1:$1</definedName>
    <definedName name="Score_task1">Task1!$F$33:$FN$44</definedName>
    <definedName name="Score_task10">Task10!$F$33:$FN$44</definedName>
    <definedName name="Score_task10S">Task10!$FO$3:$LW$29</definedName>
    <definedName name="Score_task1S">Task1!$FO$3:$LW$29</definedName>
    <definedName name="Score_task2">Task2!$F$33:$FN$44</definedName>
    <definedName name="Score_task2S">Task2!$FO$3:$LW$29</definedName>
    <definedName name="Score_task3">Task3!$F$33:$FN$44</definedName>
    <definedName name="Score_task3S">Task3!$FO$3:$LW$29</definedName>
    <definedName name="Score_task4">Task4!$F$33:$FN$44</definedName>
    <definedName name="Score_task4S">Task4!$FO$3:$LW$29</definedName>
    <definedName name="Score_task5">Task5!$F$33:$FN$44</definedName>
    <definedName name="Score_task5S">Task5!$FO$3:$LW$29</definedName>
    <definedName name="Score_task6">Task6!$F$33:$FN$44</definedName>
    <definedName name="Score_task6S">Task6!$FO$3:$LW$29</definedName>
    <definedName name="Score_task7">Task7!$F$33:$FN$44</definedName>
    <definedName name="Score_task7S">Task7!$FO$3:$LW$29</definedName>
    <definedName name="Score_task8">Task8!$F$33:$FN$44</definedName>
    <definedName name="Score_task8S">Task8!$FO$3:$LW$29</definedName>
    <definedName name="Score_task9">Task9!$F$33:$FN$44</definedName>
    <definedName name="Score_task9S">Task9!$FO$3:$LW$29</definedName>
  </definedNames>
  <calcPr calcId="162913"/>
</workbook>
</file>

<file path=xl/calcChain.xml><?xml version="1.0" encoding="utf-8"?>
<calcChain xmlns="http://schemas.openxmlformats.org/spreadsheetml/2006/main">
  <c r="C4" i="65" l="1"/>
  <c r="LW28" i="64"/>
  <c r="LV28" i="64"/>
  <c r="LU28" i="64"/>
  <c r="LT28" i="64"/>
  <c r="LS28" i="64"/>
  <c r="LR28" i="64"/>
  <c r="LQ28" i="64"/>
  <c r="LP28" i="64"/>
  <c r="LO28" i="64"/>
  <c r="LN28" i="64"/>
  <c r="LM28" i="64"/>
  <c r="LL28" i="64"/>
  <c r="LK28" i="64"/>
  <c r="LJ28" i="64"/>
  <c r="LI28" i="64"/>
  <c r="LH28" i="64"/>
  <c r="LG28" i="64"/>
  <c r="LF28" i="64"/>
  <c r="LE28" i="64"/>
  <c r="LD28" i="64"/>
  <c r="LC28" i="64"/>
  <c r="LB28" i="64"/>
  <c r="LA28" i="64"/>
  <c r="KZ28" i="64"/>
  <c r="KY28" i="64"/>
  <c r="KX28" i="64"/>
  <c r="KW28" i="64"/>
  <c r="KV28" i="64"/>
  <c r="KU28" i="64"/>
  <c r="KT28" i="64"/>
  <c r="KS28" i="64"/>
  <c r="KR28" i="64"/>
  <c r="KQ28" i="64"/>
  <c r="KP28" i="64"/>
  <c r="KO28" i="64"/>
  <c r="KN28" i="64"/>
  <c r="KM28" i="64"/>
  <c r="KL28" i="64"/>
  <c r="KK28" i="64"/>
  <c r="KJ28" i="64"/>
  <c r="KI28" i="64"/>
  <c r="KH28" i="64"/>
  <c r="KG28" i="64"/>
  <c r="KF28" i="64"/>
  <c r="KE28" i="64"/>
  <c r="KD28" i="64"/>
  <c r="KC28" i="64"/>
  <c r="KB28" i="64"/>
  <c r="KA28" i="64"/>
  <c r="JZ28" i="64"/>
  <c r="JY28" i="64"/>
  <c r="JX28" i="64"/>
  <c r="JW28" i="64"/>
  <c r="JV28" i="64"/>
  <c r="JU28" i="64"/>
  <c r="JT28" i="64"/>
  <c r="JS28" i="64"/>
  <c r="JR28" i="64"/>
  <c r="JQ28" i="64"/>
  <c r="JP28" i="64"/>
  <c r="JO28" i="64"/>
  <c r="JN28" i="64"/>
  <c r="JM28" i="64"/>
  <c r="JL28" i="64"/>
  <c r="JK28" i="64"/>
  <c r="JJ28" i="64"/>
  <c r="JI28" i="64"/>
  <c r="JH28" i="64"/>
  <c r="JG28" i="64"/>
  <c r="JF28" i="64"/>
  <c r="JE28" i="64"/>
  <c r="JD28" i="64"/>
  <c r="JC28" i="64"/>
  <c r="JB28" i="64"/>
  <c r="JA28" i="64"/>
  <c r="IZ28" i="64"/>
  <c r="IY28" i="64"/>
  <c r="IX28" i="64"/>
  <c r="IW28" i="64"/>
  <c r="IV28" i="64"/>
  <c r="IU28" i="64"/>
  <c r="IT28" i="64"/>
  <c r="IS28" i="64"/>
  <c r="IR28" i="64"/>
  <c r="IQ28" i="64"/>
  <c r="IP28" i="64"/>
  <c r="IO28" i="64"/>
  <c r="IN28" i="64"/>
  <c r="IM28" i="64"/>
  <c r="IL28" i="64"/>
  <c r="IK28" i="64"/>
  <c r="IJ28" i="64"/>
  <c r="II28" i="64"/>
  <c r="IH28" i="64"/>
  <c r="IG28" i="64"/>
  <c r="IF28" i="64"/>
  <c r="IE28" i="64"/>
  <c r="ID28" i="64"/>
  <c r="IC28" i="64"/>
  <c r="IB28" i="64"/>
  <c r="IA28" i="64"/>
  <c r="HZ28" i="64"/>
  <c r="HY28" i="64"/>
  <c r="HX28" i="64"/>
  <c r="HW28" i="64"/>
  <c r="HV28" i="64"/>
  <c r="HU28" i="64"/>
  <c r="HT28" i="64"/>
  <c r="HS28" i="64"/>
  <c r="HR28" i="64"/>
  <c r="HQ28" i="64"/>
  <c r="HP28" i="64"/>
  <c r="HO28" i="64"/>
  <c r="HN28" i="64"/>
  <c r="HM28" i="64"/>
  <c r="HL28" i="64"/>
  <c r="HK28" i="64"/>
  <c r="HJ28" i="64"/>
  <c r="HI28" i="64"/>
  <c r="HH28" i="64"/>
  <c r="HG28" i="64"/>
  <c r="HF28" i="64"/>
  <c r="HE28" i="64"/>
  <c r="HD28" i="64"/>
  <c r="HC28" i="64"/>
  <c r="HB28" i="64"/>
  <c r="HA28" i="64"/>
  <c r="GZ28" i="64"/>
  <c r="GY28" i="64"/>
  <c r="GX28" i="64"/>
  <c r="GW28" i="64"/>
  <c r="GV28" i="64"/>
  <c r="GU28" i="64"/>
  <c r="GT28" i="64"/>
  <c r="GS28" i="64"/>
  <c r="GR28" i="64"/>
  <c r="GQ28" i="64"/>
  <c r="GP28" i="64"/>
  <c r="GO28" i="64"/>
  <c r="GN28" i="64"/>
  <c r="GM28" i="64"/>
  <c r="GL28" i="64"/>
  <c r="GK28" i="64"/>
  <c r="GJ28" i="64"/>
  <c r="GI28" i="64"/>
  <c r="GH28" i="64"/>
  <c r="GG28" i="64"/>
  <c r="GF28" i="64"/>
  <c r="GE28" i="64"/>
  <c r="GD28" i="64"/>
  <c r="GC28" i="64"/>
  <c r="GB28" i="64"/>
  <c r="GA28" i="64"/>
  <c r="FZ28" i="64"/>
  <c r="FY28" i="64"/>
  <c r="FX28" i="64"/>
  <c r="FW28" i="64"/>
  <c r="FV28" i="64"/>
  <c r="FU28" i="64"/>
  <c r="FT28" i="64"/>
  <c r="FS28" i="64"/>
  <c r="FR28" i="64"/>
  <c r="FQ28" i="64"/>
  <c r="FP28" i="64"/>
  <c r="FO28" i="64"/>
  <c r="C28" i="64"/>
  <c r="C4" i="64"/>
  <c r="C4" i="63"/>
  <c r="C5" i="63"/>
  <c r="C6" i="63"/>
  <c r="C5" i="62"/>
  <c r="FO5" i="62"/>
  <c r="FP5" i="62"/>
  <c r="FQ5" i="62"/>
  <c r="FR5" i="62"/>
  <c r="FS5" i="62"/>
  <c r="FT5" i="62"/>
  <c r="FU5" i="62"/>
  <c r="FV5" i="62"/>
  <c r="FW5" i="62"/>
  <c r="FX5" i="62"/>
  <c r="FY5" i="62"/>
  <c r="FZ5" i="62"/>
  <c r="GA5" i="62"/>
  <c r="GB5" i="62"/>
  <c r="GC5" i="62"/>
  <c r="GD5" i="62"/>
  <c r="GE5" i="62"/>
  <c r="GF5" i="62"/>
  <c r="GG5" i="62"/>
  <c r="GH5" i="62"/>
  <c r="GI5" i="62"/>
  <c r="GJ5" i="62"/>
  <c r="GK5" i="62"/>
  <c r="GL5" i="62"/>
  <c r="GM5" i="62"/>
  <c r="GN5" i="62"/>
  <c r="GO5" i="62"/>
  <c r="GP5" i="62"/>
  <c r="GQ5" i="62"/>
  <c r="GR5" i="62"/>
  <c r="GS5" i="62"/>
  <c r="GT5" i="62"/>
  <c r="GU5" i="62"/>
  <c r="GV5" i="62"/>
  <c r="GW5" i="62"/>
  <c r="GX5" i="62"/>
  <c r="GY5" i="62"/>
  <c r="GZ5" i="62"/>
  <c r="HA5" i="62"/>
  <c r="HB5" i="62"/>
  <c r="HC5" i="62"/>
  <c r="HD5" i="62"/>
  <c r="HE5" i="62"/>
  <c r="HF5" i="62"/>
  <c r="HG5" i="62"/>
  <c r="HH5" i="62"/>
  <c r="HI5" i="62"/>
  <c r="HJ5" i="62"/>
  <c r="HK5" i="62"/>
  <c r="HL5" i="62"/>
  <c r="HM5" i="62"/>
  <c r="HN5" i="62"/>
  <c r="HO5" i="62"/>
  <c r="HP5" i="62"/>
  <c r="HQ5" i="62"/>
  <c r="HR5" i="62"/>
  <c r="HS5" i="62"/>
  <c r="HT5" i="62"/>
  <c r="HU5" i="62"/>
  <c r="HV5" i="62"/>
  <c r="HW5" i="62"/>
  <c r="HX5" i="62"/>
  <c r="HY5" i="62"/>
  <c r="HZ5" i="62"/>
  <c r="IA5" i="62"/>
  <c r="IB5" i="62"/>
  <c r="IC5" i="62"/>
  <c r="ID5" i="62"/>
  <c r="IE5" i="62"/>
  <c r="IF5" i="62"/>
  <c r="IG5" i="62"/>
  <c r="IH5" i="62"/>
  <c r="II5" i="62"/>
  <c r="IJ5" i="62"/>
  <c r="IK5" i="62"/>
  <c r="IL5" i="62"/>
  <c r="IM5" i="62"/>
  <c r="IN5" i="62"/>
  <c r="IO5" i="62"/>
  <c r="IP5" i="62"/>
  <c r="IQ5" i="62"/>
  <c r="IR5" i="62"/>
  <c r="IS5" i="62"/>
  <c r="IT5" i="62"/>
  <c r="IU5" i="62"/>
  <c r="IV5" i="62"/>
  <c r="IW5" i="62"/>
  <c r="IX5" i="62"/>
  <c r="IY5" i="62"/>
  <c r="IZ5" i="62"/>
  <c r="JA5" i="62"/>
  <c r="JB5" i="62"/>
  <c r="JC5" i="62"/>
  <c r="JD5" i="62"/>
  <c r="JE5" i="62"/>
  <c r="JF5" i="62"/>
  <c r="JG5" i="62"/>
  <c r="JH5" i="62"/>
  <c r="JI5" i="62"/>
  <c r="JJ5" i="62"/>
  <c r="JK5" i="62"/>
  <c r="JL5" i="62"/>
  <c r="JM5" i="62"/>
  <c r="JN5" i="62"/>
  <c r="JO5" i="62"/>
  <c r="JP5" i="62"/>
  <c r="JQ5" i="62"/>
  <c r="JR5" i="62"/>
  <c r="JS5" i="62"/>
  <c r="JT5" i="62"/>
  <c r="JU5" i="62"/>
  <c r="JV5" i="62"/>
  <c r="JW5" i="62"/>
  <c r="JX5" i="62"/>
  <c r="JY5" i="62"/>
  <c r="JZ5" i="62"/>
  <c r="KA5" i="62"/>
  <c r="KB5" i="62"/>
  <c r="KC5" i="62"/>
  <c r="KD5" i="62"/>
  <c r="KE5" i="62"/>
  <c r="KF5" i="62"/>
  <c r="KG5" i="62"/>
  <c r="KH5" i="62"/>
  <c r="KI5" i="62"/>
  <c r="KJ5" i="62"/>
  <c r="KK5" i="62"/>
  <c r="KL5" i="62"/>
  <c r="KM5" i="62"/>
  <c r="KN5" i="62"/>
  <c r="KO5" i="62"/>
  <c r="KP5" i="62"/>
  <c r="KQ5" i="62"/>
  <c r="KR5" i="62"/>
  <c r="KS5" i="62"/>
  <c r="KT5" i="62"/>
  <c r="KU5" i="62"/>
  <c r="KV5" i="62"/>
  <c r="KW5" i="62"/>
  <c r="KX5" i="62"/>
  <c r="KY5" i="62"/>
  <c r="KZ5" i="62"/>
  <c r="LA5" i="62"/>
  <c r="LB5" i="62"/>
  <c r="LC5" i="62"/>
  <c r="LD5" i="62"/>
  <c r="LE5" i="62"/>
  <c r="LF5" i="62"/>
  <c r="LG5" i="62"/>
  <c r="LH5" i="62"/>
  <c r="LI5" i="62"/>
  <c r="LJ5" i="62"/>
  <c r="LK5" i="62"/>
  <c r="LL5" i="62"/>
  <c r="LM5" i="62"/>
  <c r="LN5" i="62"/>
  <c r="LO5" i="62"/>
  <c r="LP5" i="62"/>
  <c r="LQ5" i="62"/>
  <c r="LR5" i="62"/>
  <c r="LS5" i="62"/>
  <c r="LT5" i="62"/>
  <c r="LU5" i="62"/>
  <c r="LV5" i="62"/>
  <c r="LW5" i="62"/>
  <c r="C6" i="62"/>
  <c r="FO6" i="62"/>
  <c r="FP6" i="62"/>
  <c r="FQ6" i="62"/>
  <c r="FR6" i="62"/>
  <c r="FS6" i="62"/>
  <c r="FT6" i="62"/>
  <c r="FU6" i="62"/>
  <c r="FV6" i="62"/>
  <c r="FW6" i="62"/>
  <c r="FX6" i="62"/>
  <c r="FY6" i="62"/>
  <c r="FZ6" i="62"/>
  <c r="GA6" i="62"/>
  <c r="GB6" i="62"/>
  <c r="GC6" i="62"/>
  <c r="GD6" i="62"/>
  <c r="GE6" i="62"/>
  <c r="GF6" i="62"/>
  <c r="GG6" i="62"/>
  <c r="GH6" i="62"/>
  <c r="GI6" i="62"/>
  <c r="GJ6" i="62"/>
  <c r="GK6" i="62"/>
  <c r="GL6" i="62"/>
  <c r="GM6" i="62"/>
  <c r="GN6" i="62"/>
  <c r="GO6" i="62"/>
  <c r="GP6" i="62"/>
  <c r="GQ6" i="62"/>
  <c r="GR6" i="62"/>
  <c r="GS6" i="62"/>
  <c r="GT6" i="62"/>
  <c r="GU6" i="62"/>
  <c r="GV6" i="62"/>
  <c r="GW6" i="62"/>
  <c r="GX6" i="62"/>
  <c r="GY6" i="62"/>
  <c r="GZ6" i="62"/>
  <c r="HA6" i="62"/>
  <c r="HB6" i="62"/>
  <c r="HC6" i="62"/>
  <c r="HD6" i="62"/>
  <c r="HE6" i="62"/>
  <c r="HF6" i="62"/>
  <c r="HG6" i="62"/>
  <c r="HH6" i="62"/>
  <c r="HI6" i="62"/>
  <c r="HJ6" i="62"/>
  <c r="HK6" i="62"/>
  <c r="HL6" i="62"/>
  <c r="HM6" i="62"/>
  <c r="HN6" i="62"/>
  <c r="HO6" i="62"/>
  <c r="HP6" i="62"/>
  <c r="HQ6" i="62"/>
  <c r="HR6" i="62"/>
  <c r="HS6" i="62"/>
  <c r="HT6" i="62"/>
  <c r="HU6" i="62"/>
  <c r="HV6" i="62"/>
  <c r="HW6" i="62"/>
  <c r="HX6" i="62"/>
  <c r="HY6" i="62"/>
  <c r="HZ6" i="62"/>
  <c r="IA6" i="62"/>
  <c r="IB6" i="62"/>
  <c r="IC6" i="62"/>
  <c r="ID6" i="62"/>
  <c r="IE6" i="62"/>
  <c r="IF6" i="62"/>
  <c r="IG6" i="62"/>
  <c r="IH6" i="62"/>
  <c r="II6" i="62"/>
  <c r="IJ6" i="62"/>
  <c r="IK6" i="62"/>
  <c r="IL6" i="62"/>
  <c r="IM6" i="62"/>
  <c r="IN6" i="62"/>
  <c r="IO6" i="62"/>
  <c r="IP6" i="62"/>
  <c r="IQ6" i="62"/>
  <c r="IR6" i="62"/>
  <c r="IS6" i="62"/>
  <c r="IT6" i="62"/>
  <c r="IU6" i="62"/>
  <c r="IV6" i="62"/>
  <c r="IW6" i="62"/>
  <c r="IX6" i="62"/>
  <c r="IY6" i="62"/>
  <c r="IZ6" i="62"/>
  <c r="JA6" i="62"/>
  <c r="JB6" i="62"/>
  <c r="JC6" i="62"/>
  <c r="JD6" i="62"/>
  <c r="JE6" i="62"/>
  <c r="JF6" i="62"/>
  <c r="JG6" i="62"/>
  <c r="JH6" i="62"/>
  <c r="JI6" i="62"/>
  <c r="JJ6" i="62"/>
  <c r="JK6" i="62"/>
  <c r="JL6" i="62"/>
  <c r="JM6" i="62"/>
  <c r="JN6" i="62"/>
  <c r="JO6" i="62"/>
  <c r="JP6" i="62"/>
  <c r="JQ6" i="62"/>
  <c r="JR6" i="62"/>
  <c r="JS6" i="62"/>
  <c r="JT6" i="62"/>
  <c r="JU6" i="62"/>
  <c r="JV6" i="62"/>
  <c r="JW6" i="62"/>
  <c r="JX6" i="62"/>
  <c r="JY6" i="62"/>
  <c r="JZ6" i="62"/>
  <c r="KA6" i="62"/>
  <c r="KB6" i="62"/>
  <c r="KC6" i="62"/>
  <c r="KD6" i="62"/>
  <c r="KE6" i="62"/>
  <c r="KF6" i="62"/>
  <c r="KG6" i="62"/>
  <c r="KH6" i="62"/>
  <c r="KI6" i="62"/>
  <c r="KJ6" i="62"/>
  <c r="KK6" i="62"/>
  <c r="KL6" i="62"/>
  <c r="KM6" i="62"/>
  <c r="KN6" i="62"/>
  <c r="KO6" i="62"/>
  <c r="KP6" i="62"/>
  <c r="KQ6" i="62"/>
  <c r="KR6" i="62"/>
  <c r="KS6" i="62"/>
  <c r="KT6" i="62"/>
  <c r="KU6" i="62"/>
  <c r="KV6" i="62"/>
  <c r="KW6" i="62"/>
  <c r="KX6" i="62"/>
  <c r="KY6" i="62"/>
  <c r="KZ6" i="62"/>
  <c r="LA6" i="62"/>
  <c r="LB6" i="62"/>
  <c r="LC6" i="62"/>
  <c r="LD6" i="62"/>
  <c r="LE6" i="62"/>
  <c r="LF6" i="62"/>
  <c r="LG6" i="62"/>
  <c r="LH6" i="62"/>
  <c r="LI6" i="62"/>
  <c r="LJ6" i="62"/>
  <c r="LK6" i="62"/>
  <c r="LL6" i="62"/>
  <c r="LM6" i="62"/>
  <c r="LN6" i="62"/>
  <c r="LO6" i="62"/>
  <c r="LP6" i="62"/>
  <c r="LQ6" i="62"/>
  <c r="LR6" i="62"/>
  <c r="LS6" i="62"/>
  <c r="LT6" i="62"/>
  <c r="LU6" i="62"/>
  <c r="LV6" i="62"/>
  <c r="LW6" i="62"/>
  <c r="C7" i="62"/>
  <c r="FO7" i="62"/>
  <c r="FP7" i="62"/>
  <c r="FQ7" i="62"/>
  <c r="FR7" i="62"/>
  <c r="FS7" i="62"/>
  <c r="FT7" i="62"/>
  <c r="FU7" i="62"/>
  <c r="FV7" i="62"/>
  <c r="FW7" i="62"/>
  <c r="FX7" i="62"/>
  <c r="FY7" i="62"/>
  <c r="FZ7" i="62"/>
  <c r="GA7" i="62"/>
  <c r="GB7" i="62"/>
  <c r="GC7" i="62"/>
  <c r="GD7" i="62"/>
  <c r="GE7" i="62"/>
  <c r="GF7" i="62"/>
  <c r="GG7" i="62"/>
  <c r="GH7" i="62"/>
  <c r="GI7" i="62"/>
  <c r="GJ7" i="62"/>
  <c r="GK7" i="62"/>
  <c r="GL7" i="62"/>
  <c r="GM7" i="62"/>
  <c r="GN7" i="62"/>
  <c r="GO7" i="62"/>
  <c r="GP7" i="62"/>
  <c r="GQ7" i="62"/>
  <c r="GR7" i="62"/>
  <c r="GS7" i="62"/>
  <c r="GT7" i="62"/>
  <c r="GU7" i="62"/>
  <c r="GV7" i="62"/>
  <c r="GW7" i="62"/>
  <c r="GX7" i="62"/>
  <c r="GY7" i="62"/>
  <c r="GZ7" i="62"/>
  <c r="HA7" i="62"/>
  <c r="HB7" i="62"/>
  <c r="HC7" i="62"/>
  <c r="HD7" i="62"/>
  <c r="HE7" i="62"/>
  <c r="HF7" i="62"/>
  <c r="HG7" i="62"/>
  <c r="HH7" i="62"/>
  <c r="HI7" i="62"/>
  <c r="HJ7" i="62"/>
  <c r="HK7" i="62"/>
  <c r="HL7" i="62"/>
  <c r="HM7" i="62"/>
  <c r="HN7" i="62"/>
  <c r="HO7" i="62"/>
  <c r="HP7" i="62"/>
  <c r="HQ7" i="62"/>
  <c r="HR7" i="62"/>
  <c r="HS7" i="62"/>
  <c r="HT7" i="62"/>
  <c r="HU7" i="62"/>
  <c r="HV7" i="62"/>
  <c r="HW7" i="62"/>
  <c r="HX7" i="62"/>
  <c r="HY7" i="62"/>
  <c r="HZ7" i="62"/>
  <c r="IA7" i="62"/>
  <c r="IB7" i="62"/>
  <c r="IC7" i="62"/>
  <c r="ID7" i="62"/>
  <c r="IE7" i="62"/>
  <c r="IF7" i="62"/>
  <c r="IG7" i="62"/>
  <c r="IH7" i="62"/>
  <c r="II7" i="62"/>
  <c r="IJ7" i="62"/>
  <c r="IK7" i="62"/>
  <c r="IL7" i="62"/>
  <c r="IM7" i="62"/>
  <c r="IN7" i="62"/>
  <c r="IO7" i="62"/>
  <c r="IP7" i="62"/>
  <c r="IQ7" i="62"/>
  <c r="IR7" i="62"/>
  <c r="IS7" i="62"/>
  <c r="IT7" i="62"/>
  <c r="IU7" i="62"/>
  <c r="IV7" i="62"/>
  <c r="IW7" i="62"/>
  <c r="IX7" i="62"/>
  <c r="IY7" i="62"/>
  <c r="IZ7" i="62"/>
  <c r="JA7" i="62"/>
  <c r="JB7" i="62"/>
  <c r="JC7" i="62"/>
  <c r="JD7" i="62"/>
  <c r="JE7" i="62"/>
  <c r="JF7" i="62"/>
  <c r="JG7" i="62"/>
  <c r="JH7" i="62"/>
  <c r="JI7" i="62"/>
  <c r="JJ7" i="62"/>
  <c r="JK7" i="62"/>
  <c r="JL7" i="62"/>
  <c r="JM7" i="62"/>
  <c r="JN7" i="62"/>
  <c r="JO7" i="62"/>
  <c r="JP7" i="62"/>
  <c r="JQ7" i="62"/>
  <c r="JR7" i="62"/>
  <c r="JS7" i="62"/>
  <c r="JT7" i="62"/>
  <c r="JU7" i="62"/>
  <c r="JV7" i="62"/>
  <c r="JW7" i="62"/>
  <c r="JX7" i="62"/>
  <c r="JY7" i="62"/>
  <c r="JZ7" i="62"/>
  <c r="KA7" i="62"/>
  <c r="KB7" i="62"/>
  <c r="KC7" i="62"/>
  <c r="KD7" i="62"/>
  <c r="KE7" i="62"/>
  <c r="KF7" i="62"/>
  <c r="KG7" i="62"/>
  <c r="KH7" i="62"/>
  <c r="KI7" i="62"/>
  <c r="KJ7" i="62"/>
  <c r="KK7" i="62"/>
  <c r="KL7" i="62"/>
  <c r="KM7" i="62"/>
  <c r="KN7" i="62"/>
  <c r="KO7" i="62"/>
  <c r="KP7" i="62"/>
  <c r="KQ7" i="62"/>
  <c r="KR7" i="62"/>
  <c r="KS7" i="62"/>
  <c r="KT7" i="62"/>
  <c r="KU7" i="62"/>
  <c r="KV7" i="62"/>
  <c r="KW7" i="62"/>
  <c r="KX7" i="62"/>
  <c r="KY7" i="62"/>
  <c r="KZ7" i="62"/>
  <c r="LA7" i="62"/>
  <c r="LB7" i="62"/>
  <c r="LC7" i="62"/>
  <c r="LD7" i="62"/>
  <c r="LE7" i="62"/>
  <c r="LF7" i="62"/>
  <c r="LG7" i="62"/>
  <c r="LH7" i="62"/>
  <c r="LI7" i="62"/>
  <c r="LJ7" i="62"/>
  <c r="LK7" i="62"/>
  <c r="LL7" i="62"/>
  <c r="LM7" i="62"/>
  <c r="LN7" i="62"/>
  <c r="LO7" i="62"/>
  <c r="LP7" i="62"/>
  <c r="LQ7" i="62"/>
  <c r="LR7" i="62"/>
  <c r="LS7" i="62"/>
  <c r="LT7" i="62"/>
  <c r="LU7" i="62"/>
  <c r="LV7" i="62"/>
  <c r="LW7" i="62"/>
  <c r="C8" i="62"/>
  <c r="FO8" i="62"/>
  <c r="FP8" i="62"/>
  <c r="FQ8" i="62"/>
  <c r="FR8" i="62"/>
  <c r="FS8" i="62"/>
  <c r="FT8" i="62"/>
  <c r="FU8" i="62"/>
  <c r="FV8" i="62"/>
  <c r="FW8" i="62"/>
  <c r="FX8" i="62"/>
  <c r="FY8" i="62"/>
  <c r="FZ8" i="62"/>
  <c r="GA8" i="62"/>
  <c r="GB8" i="62"/>
  <c r="GC8" i="62"/>
  <c r="GD8" i="62"/>
  <c r="GE8" i="62"/>
  <c r="GF8" i="62"/>
  <c r="GG8" i="62"/>
  <c r="GH8" i="62"/>
  <c r="GI8" i="62"/>
  <c r="GJ8" i="62"/>
  <c r="GK8" i="62"/>
  <c r="GL8" i="62"/>
  <c r="GM8" i="62"/>
  <c r="GN8" i="62"/>
  <c r="GO8" i="62"/>
  <c r="GP8" i="62"/>
  <c r="GQ8" i="62"/>
  <c r="GR8" i="62"/>
  <c r="GS8" i="62"/>
  <c r="GT8" i="62"/>
  <c r="GU8" i="62"/>
  <c r="GV8" i="62"/>
  <c r="GW8" i="62"/>
  <c r="GX8" i="62"/>
  <c r="GY8" i="62"/>
  <c r="GZ8" i="62"/>
  <c r="HA8" i="62"/>
  <c r="HB8" i="62"/>
  <c r="HC8" i="62"/>
  <c r="HD8" i="62"/>
  <c r="HE8" i="62"/>
  <c r="HF8" i="62"/>
  <c r="HG8" i="62"/>
  <c r="HH8" i="62"/>
  <c r="HI8" i="62"/>
  <c r="HJ8" i="62"/>
  <c r="HK8" i="62"/>
  <c r="HL8" i="62"/>
  <c r="HM8" i="62"/>
  <c r="HN8" i="62"/>
  <c r="HO8" i="62"/>
  <c r="HP8" i="62"/>
  <c r="HQ8" i="62"/>
  <c r="HR8" i="62"/>
  <c r="HS8" i="62"/>
  <c r="HT8" i="62"/>
  <c r="HU8" i="62"/>
  <c r="HV8" i="62"/>
  <c r="HW8" i="62"/>
  <c r="HX8" i="62"/>
  <c r="HY8" i="62"/>
  <c r="HZ8" i="62"/>
  <c r="IA8" i="62"/>
  <c r="IB8" i="62"/>
  <c r="IC8" i="62"/>
  <c r="ID8" i="62"/>
  <c r="IE8" i="62"/>
  <c r="IF8" i="62"/>
  <c r="IG8" i="62"/>
  <c r="IH8" i="62"/>
  <c r="II8" i="62"/>
  <c r="IJ8" i="62"/>
  <c r="IK8" i="62"/>
  <c r="IL8" i="62"/>
  <c r="IM8" i="62"/>
  <c r="IN8" i="62"/>
  <c r="IO8" i="62"/>
  <c r="IP8" i="62"/>
  <c r="IQ8" i="62"/>
  <c r="IR8" i="62"/>
  <c r="IS8" i="62"/>
  <c r="IT8" i="62"/>
  <c r="IU8" i="62"/>
  <c r="IV8" i="62"/>
  <c r="IW8" i="62"/>
  <c r="IX8" i="62"/>
  <c r="IY8" i="62"/>
  <c r="IZ8" i="62"/>
  <c r="JA8" i="62"/>
  <c r="JB8" i="62"/>
  <c r="JC8" i="62"/>
  <c r="JD8" i="62"/>
  <c r="JE8" i="62"/>
  <c r="JF8" i="62"/>
  <c r="JG8" i="62"/>
  <c r="JH8" i="62"/>
  <c r="JI8" i="62"/>
  <c r="JJ8" i="62"/>
  <c r="JK8" i="62"/>
  <c r="JL8" i="62"/>
  <c r="JM8" i="62"/>
  <c r="JN8" i="62"/>
  <c r="JO8" i="62"/>
  <c r="JP8" i="62"/>
  <c r="JQ8" i="62"/>
  <c r="JR8" i="62"/>
  <c r="JS8" i="62"/>
  <c r="JT8" i="62"/>
  <c r="JU8" i="62"/>
  <c r="JV8" i="62"/>
  <c r="JW8" i="62"/>
  <c r="JX8" i="62"/>
  <c r="JY8" i="62"/>
  <c r="JZ8" i="62"/>
  <c r="KA8" i="62"/>
  <c r="KB8" i="62"/>
  <c r="KC8" i="62"/>
  <c r="KD8" i="62"/>
  <c r="KE8" i="62"/>
  <c r="KF8" i="62"/>
  <c r="KG8" i="62"/>
  <c r="KH8" i="62"/>
  <c r="KI8" i="62"/>
  <c r="KJ8" i="62"/>
  <c r="KK8" i="62"/>
  <c r="KL8" i="62"/>
  <c r="KM8" i="62"/>
  <c r="KN8" i="62"/>
  <c r="KO8" i="62"/>
  <c r="KP8" i="62"/>
  <c r="KQ8" i="62"/>
  <c r="KR8" i="62"/>
  <c r="KS8" i="62"/>
  <c r="KT8" i="62"/>
  <c r="KU8" i="62"/>
  <c r="KV8" i="62"/>
  <c r="KW8" i="62"/>
  <c r="KX8" i="62"/>
  <c r="KY8" i="62"/>
  <c r="KZ8" i="62"/>
  <c r="LA8" i="62"/>
  <c r="LB8" i="62"/>
  <c r="LC8" i="62"/>
  <c r="LD8" i="62"/>
  <c r="LE8" i="62"/>
  <c r="LF8" i="62"/>
  <c r="LG8" i="62"/>
  <c r="LH8" i="62"/>
  <c r="LI8" i="62"/>
  <c r="LJ8" i="62"/>
  <c r="LK8" i="62"/>
  <c r="LL8" i="62"/>
  <c r="LM8" i="62"/>
  <c r="LN8" i="62"/>
  <c r="LO8" i="62"/>
  <c r="LP8" i="62"/>
  <c r="LQ8" i="62"/>
  <c r="LR8" i="62"/>
  <c r="LS8" i="62"/>
  <c r="LT8" i="62"/>
  <c r="LU8" i="62"/>
  <c r="LV8" i="62"/>
  <c r="LW8" i="62"/>
  <c r="C9" i="62"/>
  <c r="FO9" i="62"/>
  <c r="FP9" i="62"/>
  <c r="FQ9" i="62"/>
  <c r="FR9" i="62"/>
  <c r="FS9" i="62"/>
  <c r="FT9" i="62"/>
  <c r="FU9" i="62"/>
  <c r="FV9" i="62"/>
  <c r="FW9" i="62"/>
  <c r="FX9" i="62"/>
  <c r="FY9" i="62"/>
  <c r="FZ9" i="62"/>
  <c r="GA9" i="62"/>
  <c r="GB9" i="62"/>
  <c r="GC9" i="62"/>
  <c r="GD9" i="62"/>
  <c r="GE9" i="62"/>
  <c r="GF9" i="62"/>
  <c r="GG9" i="62"/>
  <c r="GH9" i="62"/>
  <c r="GI9" i="62"/>
  <c r="GJ9" i="62"/>
  <c r="GK9" i="62"/>
  <c r="GL9" i="62"/>
  <c r="GM9" i="62"/>
  <c r="GN9" i="62"/>
  <c r="GO9" i="62"/>
  <c r="GP9" i="62"/>
  <c r="GQ9" i="62"/>
  <c r="GR9" i="62"/>
  <c r="GS9" i="62"/>
  <c r="GT9" i="62"/>
  <c r="GU9" i="62"/>
  <c r="GV9" i="62"/>
  <c r="GW9" i="62"/>
  <c r="GX9" i="62"/>
  <c r="GY9" i="62"/>
  <c r="GZ9" i="62"/>
  <c r="HA9" i="62"/>
  <c r="HB9" i="62"/>
  <c r="HC9" i="62"/>
  <c r="HD9" i="62"/>
  <c r="HE9" i="62"/>
  <c r="HF9" i="62"/>
  <c r="HG9" i="62"/>
  <c r="HH9" i="62"/>
  <c r="HI9" i="62"/>
  <c r="HJ9" i="62"/>
  <c r="HK9" i="62"/>
  <c r="HL9" i="62"/>
  <c r="HM9" i="62"/>
  <c r="HN9" i="62"/>
  <c r="HO9" i="62"/>
  <c r="HP9" i="62"/>
  <c r="HQ9" i="62"/>
  <c r="HR9" i="62"/>
  <c r="HS9" i="62"/>
  <c r="HT9" i="62"/>
  <c r="HU9" i="62"/>
  <c r="HV9" i="62"/>
  <c r="HW9" i="62"/>
  <c r="HX9" i="62"/>
  <c r="HY9" i="62"/>
  <c r="HZ9" i="62"/>
  <c r="IA9" i="62"/>
  <c r="IB9" i="62"/>
  <c r="IC9" i="62"/>
  <c r="ID9" i="62"/>
  <c r="IE9" i="62"/>
  <c r="IF9" i="62"/>
  <c r="IG9" i="62"/>
  <c r="IH9" i="62"/>
  <c r="II9" i="62"/>
  <c r="IJ9" i="62"/>
  <c r="IK9" i="62"/>
  <c r="IL9" i="62"/>
  <c r="IM9" i="62"/>
  <c r="IN9" i="62"/>
  <c r="IO9" i="62"/>
  <c r="IP9" i="62"/>
  <c r="IQ9" i="62"/>
  <c r="IR9" i="62"/>
  <c r="IS9" i="62"/>
  <c r="IT9" i="62"/>
  <c r="IU9" i="62"/>
  <c r="IV9" i="62"/>
  <c r="IW9" i="62"/>
  <c r="IX9" i="62"/>
  <c r="IY9" i="62"/>
  <c r="IZ9" i="62"/>
  <c r="JA9" i="62"/>
  <c r="JB9" i="62"/>
  <c r="JC9" i="62"/>
  <c r="JD9" i="62"/>
  <c r="JE9" i="62"/>
  <c r="JF9" i="62"/>
  <c r="JG9" i="62"/>
  <c r="JH9" i="62"/>
  <c r="JI9" i="62"/>
  <c r="JJ9" i="62"/>
  <c r="JK9" i="62"/>
  <c r="JL9" i="62"/>
  <c r="JM9" i="62"/>
  <c r="JN9" i="62"/>
  <c r="JO9" i="62"/>
  <c r="JP9" i="62"/>
  <c r="JQ9" i="62"/>
  <c r="JR9" i="62"/>
  <c r="JS9" i="62"/>
  <c r="JT9" i="62"/>
  <c r="JU9" i="62"/>
  <c r="JV9" i="62"/>
  <c r="JW9" i="62"/>
  <c r="JX9" i="62"/>
  <c r="JY9" i="62"/>
  <c r="JZ9" i="62"/>
  <c r="KA9" i="62"/>
  <c r="KB9" i="62"/>
  <c r="KC9" i="62"/>
  <c r="KD9" i="62"/>
  <c r="KE9" i="62"/>
  <c r="KF9" i="62"/>
  <c r="KG9" i="62"/>
  <c r="KH9" i="62"/>
  <c r="KI9" i="62"/>
  <c r="KJ9" i="62"/>
  <c r="KK9" i="62"/>
  <c r="KL9" i="62"/>
  <c r="KM9" i="62"/>
  <c r="KN9" i="62"/>
  <c r="KO9" i="62"/>
  <c r="KP9" i="62"/>
  <c r="KQ9" i="62"/>
  <c r="KR9" i="62"/>
  <c r="KS9" i="62"/>
  <c r="KT9" i="62"/>
  <c r="KU9" i="62"/>
  <c r="KV9" i="62"/>
  <c r="KW9" i="62"/>
  <c r="KX9" i="62"/>
  <c r="KY9" i="62"/>
  <c r="KZ9" i="62"/>
  <c r="LA9" i="62"/>
  <c r="LB9" i="62"/>
  <c r="LC9" i="62"/>
  <c r="LD9" i="62"/>
  <c r="LE9" i="62"/>
  <c r="LF9" i="62"/>
  <c r="LG9" i="62"/>
  <c r="LH9" i="62"/>
  <c r="LI9" i="62"/>
  <c r="LJ9" i="62"/>
  <c r="LK9" i="62"/>
  <c r="LL9" i="62"/>
  <c r="LM9" i="62"/>
  <c r="LN9" i="62"/>
  <c r="LO9" i="62"/>
  <c r="LP9" i="62"/>
  <c r="LQ9" i="62"/>
  <c r="LR9" i="62"/>
  <c r="LS9" i="62"/>
  <c r="LT9" i="62"/>
  <c r="LU9" i="62"/>
  <c r="LV9" i="62"/>
  <c r="LW9" i="62"/>
  <c r="C10" i="62"/>
  <c r="FO10" i="62"/>
  <c r="FP10" i="62"/>
  <c r="FQ10" i="62"/>
  <c r="FR10" i="62"/>
  <c r="FS10" i="62"/>
  <c r="FT10" i="62"/>
  <c r="FU10" i="62"/>
  <c r="FV10" i="62"/>
  <c r="FW10" i="62"/>
  <c r="FX10" i="62"/>
  <c r="FY10" i="62"/>
  <c r="FZ10" i="62"/>
  <c r="GA10" i="62"/>
  <c r="GB10" i="62"/>
  <c r="GC10" i="62"/>
  <c r="GD10" i="62"/>
  <c r="GE10" i="62"/>
  <c r="GF10" i="62"/>
  <c r="GG10" i="62"/>
  <c r="GH10" i="62"/>
  <c r="GI10" i="62"/>
  <c r="GJ10" i="62"/>
  <c r="GK10" i="62"/>
  <c r="GL10" i="62"/>
  <c r="GM10" i="62"/>
  <c r="GN10" i="62"/>
  <c r="GO10" i="62"/>
  <c r="GP10" i="62"/>
  <c r="GQ10" i="62"/>
  <c r="GR10" i="62"/>
  <c r="GS10" i="62"/>
  <c r="GT10" i="62"/>
  <c r="GU10" i="62"/>
  <c r="GV10" i="62"/>
  <c r="GW10" i="62"/>
  <c r="GX10" i="62"/>
  <c r="GY10" i="62"/>
  <c r="GZ10" i="62"/>
  <c r="HA10" i="62"/>
  <c r="HB10" i="62"/>
  <c r="HC10" i="62"/>
  <c r="HD10" i="62"/>
  <c r="HE10" i="62"/>
  <c r="HF10" i="62"/>
  <c r="HG10" i="62"/>
  <c r="HH10" i="62"/>
  <c r="HI10" i="62"/>
  <c r="HJ10" i="62"/>
  <c r="HK10" i="62"/>
  <c r="HL10" i="62"/>
  <c r="HM10" i="62"/>
  <c r="HN10" i="62"/>
  <c r="HO10" i="62"/>
  <c r="HP10" i="62"/>
  <c r="HQ10" i="62"/>
  <c r="HR10" i="62"/>
  <c r="HS10" i="62"/>
  <c r="HT10" i="62"/>
  <c r="HU10" i="62"/>
  <c r="HV10" i="62"/>
  <c r="HW10" i="62"/>
  <c r="HX10" i="62"/>
  <c r="HY10" i="62"/>
  <c r="HZ10" i="62"/>
  <c r="IA10" i="62"/>
  <c r="IB10" i="62"/>
  <c r="IC10" i="62"/>
  <c r="ID10" i="62"/>
  <c r="IE10" i="62"/>
  <c r="IF10" i="62"/>
  <c r="IG10" i="62"/>
  <c r="IH10" i="62"/>
  <c r="II10" i="62"/>
  <c r="IJ10" i="62"/>
  <c r="IK10" i="62"/>
  <c r="IL10" i="62"/>
  <c r="IM10" i="62"/>
  <c r="IN10" i="62"/>
  <c r="IO10" i="62"/>
  <c r="IP10" i="62"/>
  <c r="IQ10" i="62"/>
  <c r="IR10" i="62"/>
  <c r="IS10" i="62"/>
  <c r="IT10" i="62"/>
  <c r="IU10" i="62"/>
  <c r="IV10" i="62"/>
  <c r="IW10" i="62"/>
  <c r="IX10" i="62"/>
  <c r="IY10" i="62"/>
  <c r="IZ10" i="62"/>
  <c r="JA10" i="62"/>
  <c r="JB10" i="62"/>
  <c r="JC10" i="62"/>
  <c r="JD10" i="62"/>
  <c r="JE10" i="62"/>
  <c r="JF10" i="62"/>
  <c r="JG10" i="62"/>
  <c r="JH10" i="62"/>
  <c r="JI10" i="62"/>
  <c r="JJ10" i="62"/>
  <c r="JK10" i="62"/>
  <c r="JL10" i="62"/>
  <c r="JM10" i="62"/>
  <c r="JN10" i="62"/>
  <c r="JO10" i="62"/>
  <c r="JP10" i="62"/>
  <c r="JQ10" i="62"/>
  <c r="JR10" i="62"/>
  <c r="JS10" i="62"/>
  <c r="JT10" i="62"/>
  <c r="JU10" i="62"/>
  <c r="JV10" i="62"/>
  <c r="JW10" i="62"/>
  <c r="JX10" i="62"/>
  <c r="JY10" i="62"/>
  <c r="JZ10" i="62"/>
  <c r="KA10" i="62"/>
  <c r="KB10" i="62"/>
  <c r="KC10" i="62"/>
  <c r="KD10" i="62"/>
  <c r="KE10" i="62"/>
  <c r="KF10" i="62"/>
  <c r="KG10" i="62"/>
  <c r="KH10" i="62"/>
  <c r="KI10" i="62"/>
  <c r="KJ10" i="62"/>
  <c r="KK10" i="62"/>
  <c r="KL10" i="62"/>
  <c r="KM10" i="62"/>
  <c r="KN10" i="62"/>
  <c r="KO10" i="62"/>
  <c r="KP10" i="62"/>
  <c r="KQ10" i="62"/>
  <c r="KR10" i="62"/>
  <c r="KS10" i="62"/>
  <c r="KT10" i="62"/>
  <c r="KU10" i="62"/>
  <c r="KV10" i="62"/>
  <c r="KW10" i="62"/>
  <c r="KX10" i="62"/>
  <c r="KY10" i="62"/>
  <c r="KZ10" i="62"/>
  <c r="LA10" i="62"/>
  <c r="LB10" i="62"/>
  <c r="LC10" i="62"/>
  <c r="LD10" i="62"/>
  <c r="LE10" i="62"/>
  <c r="LF10" i="62"/>
  <c r="LG10" i="62"/>
  <c r="LH10" i="62"/>
  <c r="LI10" i="62"/>
  <c r="LJ10" i="62"/>
  <c r="LK10" i="62"/>
  <c r="LL10" i="62"/>
  <c r="LM10" i="62"/>
  <c r="LN10" i="62"/>
  <c r="LO10" i="62"/>
  <c r="LP10" i="62"/>
  <c r="LQ10" i="62"/>
  <c r="LR10" i="62"/>
  <c r="LS10" i="62"/>
  <c r="LT10" i="62"/>
  <c r="LU10" i="62"/>
  <c r="LV10" i="62"/>
  <c r="LW10" i="62"/>
  <c r="C11" i="62"/>
  <c r="FO11" i="62"/>
  <c r="FP11" i="62"/>
  <c r="FQ11" i="62"/>
  <c r="FR11" i="62"/>
  <c r="FS11" i="62"/>
  <c r="FT11" i="62"/>
  <c r="FU11" i="62"/>
  <c r="FV11" i="62"/>
  <c r="FW11" i="62"/>
  <c r="FX11" i="62"/>
  <c r="FY11" i="62"/>
  <c r="FZ11" i="62"/>
  <c r="GA11" i="62"/>
  <c r="GB11" i="62"/>
  <c r="GC11" i="62"/>
  <c r="GD11" i="62"/>
  <c r="GE11" i="62"/>
  <c r="GF11" i="62"/>
  <c r="GG11" i="62"/>
  <c r="GH11" i="62"/>
  <c r="GI11" i="62"/>
  <c r="GJ11" i="62"/>
  <c r="GK11" i="62"/>
  <c r="GL11" i="62"/>
  <c r="GM11" i="62"/>
  <c r="GN11" i="62"/>
  <c r="GO11" i="62"/>
  <c r="GP11" i="62"/>
  <c r="GQ11" i="62"/>
  <c r="GR11" i="62"/>
  <c r="GS11" i="62"/>
  <c r="GT11" i="62"/>
  <c r="GU11" i="62"/>
  <c r="GV11" i="62"/>
  <c r="GW11" i="62"/>
  <c r="GX11" i="62"/>
  <c r="GY11" i="62"/>
  <c r="GZ11" i="62"/>
  <c r="HA11" i="62"/>
  <c r="HB11" i="62"/>
  <c r="HC11" i="62"/>
  <c r="HD11" i="62"/>
  <c r="HE11" i="62"/>
  <c r="HF11" i="62"/>
  <c r="HG11" i="62"/>
  <c r="HH11" i="62"/>
  <c r="HI11" i="62"/>
  <c r="HJ11" i="62"/>
  <c r="HK11" i="62"/>
  <c r="HL11" i="62"/>
  <c r="HM11" i="62"/>
  <c r="HN11" i="62"/>
  <c r="HO11" i="62"/>
  <c r="HP11" i="62"/>
  <c r="HQ11" i="62"/>
  <c r="HR11" i="62"/>
  <c r="HS11" i="62"/>
  <c r="HT11" i="62"/>
  <c r="HU11" i="62"/>
  <c r="HV11" i="62"/>
  <c r="HW11" i="62"/>
  <c r="HX11" i="62"/>
  <c r="HY11" i="62"/>
  <c r="HZ11" i="62"/>
  <c r="IA11" i="62"/>
  <c r="IB11" i="62"/>
  <c r="IC11" i="62"/>
  <c r="ID11" i="62"/>
  <c r="IE11" i="62"/>
  <c r="IF11" i="62"/>
  <c r="IG11" i="62"/>
  <c r="IH11" i="62"/>
  <c r="II11" i="62"/>
  <c r="IJ11" i="62"/>
  <c r="IK11" i="62"/>
  <c r="IL11" i="62"/>
  <c r="IM11" i="62"/>
  <c r="IN11" i="62"/>
  <c r="IO11" i="62"/>
  <c r="IP11" i="62"/>
  <c r="IQ11" i="62"/>
  <c r="IR11" i="62"/>
  <c r="IS11" i="62"/>
  <c r="IT11" i="62"/>
  <c r="IU11" i="62"/>
  <c r="IV11" i="62"/>
  <c r="IW11" i="62"/>
  <c r="IX11" i="62"/>
  <c r="IY11" i="62"/>
  <c r="IZ11" i="62"/>
  <c r="JA11" i="62"/>
  <c r="JB11" i="62"/>
  <c r="JC11" i="62"/>
  <c r="JD11" i="62"/>
  <c r="JE11" i="62"/>
  <c r="JF11" i="62"/>
  <c r="JG11" i="62"/>
  <c r="JH11" i="62"/>
  <c r="JI11" i="62"/>
  <c r="JJ11" i="62"/>
  <c r="JK11" i="62"/>
  <c r="JL11" i="62"/>
  <c r="JM11" i="62"/>
  <c r="JN11" i="62"/>
  <c r="JO11" i="62"/>
  <c r="JP11" i="62"/>
  <c r="JQ11" i="62"/>
  <c r="JR11" i="62"/>
  <c r="JS11" i="62"/>
  <c r="JT11" i="62"/>
  <c r="JU11" i="62"/>
  <c r="JV11" i="62"/>
  <c r="JW11" i="62"/>
  <c r="JX11" i="62"/>
  <c r="JY11" i="62"/>
  <c r="JZ11" i="62"/>
  <c r="KA11" i="62"/>
  <c r="KB11" i="62"/>
  <c r="KC11" i="62"/>
  <c r="KD11" i="62"/>
  <c r="KE11" i="62"/>
  <c r="KF11" i="62"/>
  <c r="KG11" i="62"/>
  <c r="KH11" i="62"/>
  <c r="KI11" i="62"/>
  <c r="KJ11" i="62"/>
  <c r="KK11" i="62"/>
  <c r="KL11" i="62"/>
  <c r="KM11" i="62"/>
  <c r="KN11" i="62"/>
  <c r="KO11" i="62"/>
  <c r="KP11" i="62"/>
  <c r="KQ11" i="62"/>
  <c r="KR11" i="62"/>
  <c r="KS11" i="62"/>
  <c r="KT11" i="62"/>
  <c r="KU11" i="62"/>
  <c r="KV11" i="62"/>
  <c r="KW11" i="62"/>
  <c r="KX11" i="62"/>
  <c r="KY11" i="62"/>
  <c r="KZ11" i="62"/>
  <c r="LA11" i="62"/>
  <c r="LB11" i="62"/>
  <c r="LC11" i="62"/>
  <c r="LD11" i="62"/>
  <c r="LE11" i="62"/>
  <c r="LF11" i="62"/>
  <c r="LG11" i="62"/>
  <c r="LH11" i="62"/>
  <c r="LI11" i="62"/>
  <c r="LJ11" i="62"/>
  <c r="LK11" i="62"/>
  <c r="LL11" i="62"/>
  <c r="LM11" i="62"/>
  <c r="LN11" i="62"/>
  <c r="LO11" i="62"/>
  <c r="LP11" i="62"/>
  <c r="LQ11" i="62"/>
  <c r="LR11" i="62"/>
  <c r="LS11" i="62"/>
  <c r="LT11" i="62"/>
  <c r="LU11" i="62"/>
  <c r="LV11" i="62"/>
  <c r="LW11" i="62"/>
  <c r="C12" i="62"/>
  <c r="FO12" i="62"/>
  <c r="FP12" i="62"/>
  <c r="FQ12" i="62"/>
  <c r="FR12" i="62"/>
  <c r="FS12" i="62"/>
  <c r="FT12" i="62"/>
  <c r="FU12" i="62"/>
  <c r="FV12" i="62"/>
  <c r="FW12" i="62"/>
  <c r="FX12" i="62"/>
  <c r="FY12" i="62"/>
  <c r="FZ12" i="62"/>
  <c r="GA12" i="62"/>
  <c r="GB12" i="62"/>
  <c r="GC12" i="62"/>
  <c r="GD12" i="62"/>
  <c r="GE12" i="62"/>
  <c r="GF12" i="62"/>
  <c r="GG12" i="62"/>
  <c r="GH12" i="62"/>
  <c r="GI12" i="62"/>
  <c r="GJ12" i="62"/>
  <c r="GK12" i="62"/>
  <c r="GL12" i="62"/>
  <c r="GM12" i="62"/>
  <c r="GN12" i="62"/>
  <c r="GO12" i="62"/>
  <c r="GP12" i="62"/>
  <c r="GQ12" i="62"/>
  <c r="GR12" i="62"/>
  <c r="GS12" i="62"/>
  <c r="GT12" i="62"/>
  <c r="GU12" i="62"/>
  <c r="GV12" i="62"/>
  <c r="GW12" i="62"/>
  <c r="GX12" i="62"/>
  <c r="GY12" i="62"/>
  <c r="GZ12" i="62"/>
  <c r="HA12" i="62"/>
  <c r="HB12" i="62"/>
  <c r="HC12" i="62"/>
  <c r="HD12" i="62"/>
  <c r="HE12" i="62"/>
  <c r="HF12" i="62"/>
  <c r="HG12" i="62"/>
  <c r="HH12" i="62"/>
  <c r="HI12" i="62"/>
  <c r="HJ12" i="62"/>
  <c r="HK12" i="62"/>
  <c r="HL12" i="62"/>
  <c r="HM12" i="62"/>
  <c r="HN12" i="62"/>
  <c r="HO12" i="62"/>
  <c r="HP12" i="62"/>
  <c r="HQ12" i="62"/>
  <c r="HR12" i="62"/>
  <c r="HS12" i="62"/>
  <c r="HT12" i="62"/>
  <c r="HU12" i="62"/>
  <c r="HV12" i="62"/>
  <c r="HW12" i="62"/>
  <c r="HX12" i="62"/>
  <c r="HY12" i="62"/>
  <c r="HZ12" i="62"/>
  <c r="IA12" i="62"/>
  <c r="IB12" i="62"/>
  <c r="IC12" i="62"/>
  <c r="ID12" i="62"/>
  <c r="IE12" i="62"/>
  <c r="IF12" i="62"/>
  <c r="IG12" i="62"/>
  <c r="IH12" i="62"/>
  <c r="II12" i="62"/>
  <c r="IJ12" i="62"/>
  <c r="IK12" i="62"/>
  <c r="IL12" i="62"/>
  <c r="IM12" i="62"/>
  <c r="IN12" i="62"/>
  <c r="IO12" i="62"/>
  <c r="IP12" i="62"/>
  <c r="IQ12" i="62"/>
  <c r="IR12" i="62"/>
  <c r="IS12" i="62"/>
  <c r="IT12" i="62"/>
  <c r="IU12" i="62"/>
  <c r="IV12" i="62"/>
  <c r="IW12" i="62"/>
  <c r="IX12" i="62"/>
  <c r="IY12" i="62"/>
  <c r="IZ12" i="62"/>
  <c r="JA12" i="62"/>
  <c r="JB12" i="62"/>
  <c r="JC12" i="62"/>
  <c r="JD12" i="62"/>
  <c r="JE12" i="62"/>
  <c r="JF12" i="62"/>
  <c r="JG12" i="62"/>
  <c r="JH12" i="62"/>
  <c r="JI12" i="62"/>
  <c r="JJ12" i="62"/>
  <c r="JK12" i="62"/>
  <c r="JL12" i="62"/>
  <c r="JM12" i="62"/>
  <c r="JN12" i="62"/>
  <c r="JO12" i="62"/>
  <c r="JP12" i="62"/>
  <c r="JQ12" i="62"/>
  <c r="JR12" i="62"/>
  <c r="JS12" i="62"/>
  <c r="JT12" i="62"/>
  <c r="JU12" i="62"/>
  <c r="JV12" i="62"/>
  <c r="JW12" i="62"/>
  <c r="JX12" i="62"/>
  <c r="JY12" i="62"/>
  <c r="JZ12" i="62"/>
  <c r="KA12" i="62"/>
  <c r="KB12" i="62"/>
  <c r="KC12" i="62"/>
  <c r="KD12" i="62"/>
  <c r="KE12" i="62"/>
  <c r="KF12" i="62"/>
  <c r="KG12" i="62"/>
  <c r="KH12" i="62"/>
  <c r="KI12" i="62"/>
  <c r="KJ12" i="62"/>
  <c r="KK12" i="62"/>
  <c r="KL12" i="62"/>
  <c r="KM12" i="62"/>
  <c r="KN12" i="62"/>
  <c r="KO12" i="62"/>
  <c r="KP12" i="62"/>
  <c r="KQ12" i="62"/>
  <c r="KR12" i="62"/>
  <c r="KS12" i="62"/>
  <c r="KT12" i="62"/>
  <c r="KU12" i="62"/>
  <c r="KV12" i="62"/>
  <c r="KW12" i="62"/>
  <c r="KX12" i="62"/>
  <c r="KY12" i="62"/>
  <c r="KZ12" i="62"/>
  <c r="LA12" i="62"/>
  <c r="LB12" i="62"/>
  <c r="LC12" i="62"/>
  <c r="LD12" i="62"/>
  <c r="LE12" i="62"/>
  <c r="LF12" i="62"/>
  <c r="LG12" i="62"/>
  <c r="LH12" i="62"/>
  <c r="LI12" i="62"/>
  <c r="LJ12" i="62"/>
  <c r="LK12" i="62"/>
  <c r="LL12" i="62"/>
  <c r="LM12" i="62"/>
  <c r="LN12" i="62"/>
  <c r="LO12" i="62"/>
  <c r="LP12" i="62"/>
  <c r="LQ12" i="62"/>
  <c r="LR12" i="62"/>
  <c r="LS12" i="62"/>
  <c r="LT12" i="62"/>
  <c r="LU12" i="62"/>
  <c r="LV12" i="62"/>
  <c r="LW12" i="62"/>
  <c r="C13" i="62"/>
  <c r="FO13" i="62"/>
  <c r="FP13" i="62"/>
  <c r="FQ13" i="62"/>
  <c r="FR13" i="62"/>
  <c r="FS13" i="62"/>
  <c r="FT13" i="62"/>
  <c r="FU13" i="62"/>
  <c r="FV13" i="62"/>
  <c r="FW13" i="62"/>
  <c r="FX13" i="62"/>
  <c r="FY13" i="62"/>
  <c r="FZ13" i="62"/>
  <c r="GA13" i="62"/>
  <c r="GB13" i="62"/>
  <c r="GC13" i="62"/>
  <c r="GD13" i="62"/>
  <c r="GE13" i="62"/>
  <c r="GF13" i="62"/>
  <c r="GG13" i="62"/>
  <c r="GH13" i="62"/>
  <c r="GI13" i="62"/>
  <c r="GJ13" i="62"/>
  <c r="GK13" i="62"/>
  <c r="GL13" i="62"/>
  <c r="GM13" i="62"/>
  <c r="GN13" i="62"/>
  <c r="GO13" i="62"/>
  <c r="GP13" i="62"/>
  <c r="GQ13" i="62"/>
  <c r="GR13" i="62"/>
  <c r="GS13" i="62"/>
  <c r="GT13" i="62"/>
  <c r="GU13" i="62"/>
  <c r="GV13" i="62"/>
  <c r="GW13" i="62"/>
  <c r="GX13" i="62"/>
  <c r="GY13" i="62"/>
  <c r="GZ13" i="62"/>
  <c r="HA13" i="62"/>
  <c r="HB13" i="62"/>
  <c r="HC13" i="62"/>
  <c r="HD13" i="62"/>
  <c r="HE13" i="62"/>
  <c r="HF13" i="62"/>
  <c r="HG13" i="62"/>
  <c r="HH13" i="62"/>
  <c r="HI13" i="62"/>
  <c r="HJ13" i="62"/>
  <c r="HK13" i="62"/>
  <c r="HL13" i="62"/>
  <c r="HM13" i="62"/>
  <c r="HN13" i="62"/>
  <c r="HO13" i="62"/>
  <c r="HP13" i="62"/>
  <c r="HQ13" i="62"/>
  <c r="HR13" i="62"/>
  <c r="HS13" i="62"/>
  <c r="HT13" i="62"/>
  <c r="HU13" i="62"/>
  <c r="HV13" i="62"/>
  <c r="HW13" i="62"/>
  <c r="HX13" i="62"/>
  <c r="HY13" i="62"/>
  <c r="HZ13" i="62"/>
  <c r="IA13" i="62"/>
  <c r="IB13" i="62"/>
  <c r="IC13" i="62"/>
  <c r="ID13" i="62"/>
  <c r="IE13" i="62"/>
  <c r="IF13" i="62"/>
  <c r="IG13" i="62"/>
  <c r="IH13" i="62"/>
  <c r="II13" i="62"/>
  <c r="IJ13" i="62"/>
  <c r="IK13" i="62"/>
  <c r="IL13" i="62"/>
  <c r="IM13" i="62"/>
  <c r="IN13" i="62"/>
  <c r="IO13" i="62"/>
  <c r="IP13" i="62"/>
  <c r="IQ13" i="62"/>
  <c r="IR13" i="62"/>
  <c r="IS13" i="62"/>
  <c r="IT13" i="62"/>
  <c r="IU13" i="62"/>
  <c r="IV13" i="62"/>
  <c r="IW13" i="62"/>
  <c r="IX13" i="62"/>
  <c r="IY13" i="62"/>
  <c r="IZ13" i="62"/>
  <c r="JA13" i="62"/>
  <c r="JB13" i="62"/>
  <c r="JC13" i="62"/>
  <c r="JD13" i="62"/>
  <c r="JE13" i="62"/>
  <c r="JF13" i="62"/>
  <c r="JG13" i="62"/>
  <c r="JH13" i="62"/>
  <c r="JI13" i="62"/>
  <c r="JJ13" i="62"/>
  <c r="JK13" i="62"/>
  <c r="JL13" i="62"/>
  <c r="JM13" i="62"/>
  <c r="JN13" i="62"/>
  <c r="JO13" i="62"/>
  <c r="JP13" i="62"/>
  <c r="JQ13" i="62"/>
  <c r="JR13" i="62"/>
  <c r="JS13" i="62"/>
  <c r="JT13" i="62"/>
  <c r="JU13" i="62"/>
  <c r="JV13" i="62"/>
  <c r="JW13" i="62"/>
  <c r="JX13" i="62"/>
  <c r="JY13" i="62"/>
  <c r="JZ13" i="62"/>
  <c r="KA13" i="62"/>
  <c r="KB13" i="62"/>
  <c r="KC13" i="62"/>
  <c r="KD13" i="62"/>
  <c r="KE13" i="62"/>
  <c r="KF13" i="62"/>
  <c r="KG13" i="62"/>
  <c r="KH13" i="62"/>
  <c r="KI13" i="62"/>
  <c r="KJ13" i="62"/>
  <c r="KK13" i="62"/>
  <c r="KL13" i="62"/>
  <c r="KM13" i="62"/>
  <c r="KN13" i="62"/>
  <c r="KO13" i="62"/>
  <c r="KP13" i="62"/>
  <c r="KQ13" i="62"/>
  <c r="KR13" i="62"/>
  <c r="KS13" i="62"/>
  <c r="KT13" i="62"/>
  <c r="KU13" i="62"/>
  <c r="KV13" i="62"/>
  <c r="KW13" i="62"/>
  <c r="KX13" i="62"/>
  <c r="KY13" i="62"/>
  <c r="KZ13" i="62"/>
  <c r="LA13" i="62"/>
  <c r="LB13" i="62"/>
  <c r="LC13" i="62"/>
  <c r="LD13" i="62"/>
  <c r="LE13" i="62"/>
  <c r="LF13" i="62"/>
  <c r="LG13" i="62"/>
  <c r="LH13" i="62"/>
  <c r="LI13" i="62"/>
  <c r="LJ13" i="62"/>
  <c r="LK13" i="62"/>
  <c r="LL13" i="62"/>
  <c r="LM13" i="62"/>
  <c r="LN13" i="62"/>
  <c r="LO13" i="62"/>
  <c r="LP13" i="62"/>
  <c r="LQ13" i="62"/>
  <c r="LR13" i="62"/>
  <c r="LS13" i="62"/>
  <c r="LT13" i="62"/>
  <c r="LU13" i="62"/>
  <c r="LV13" i="62"/>
  <c r="LW13" i="62"/>
  <c r="C14" i="62"/>
  <c r="FO14" i="62"/>
  <c r="FP14" i="62"/>
  <c r="FQ14" i="62"/>
  <c r="FR14" i="62"/>
  <c r="FS14" i="62"/>
  <c r="FT14" i="62"/>
  <c r="FU14" i="62"/>
  <c r="FV14" i="62"/>
  <c r="FW14" i="62"/>
  <c r="FX14" i="62"/>
  <c r="FY14" i="62"/>
  <c r="FZ14" i="62"/>
  <c r="GA14" i="62"/>
  <c r="GB14" i="62"/>
  <c r="GC14" i="62"/>
  <c r="GD14" i="62"/>
  <c r="GE14" i="62"/>
  <c r="GF14" i="62"/>
  <c r="GG14" i="62"/>
  <c r="GH14" i="62"/>
  <c r="GI14" i="62"/>
  <c r="GJ14" i="62"/>
  <c r="GK14" i="62"/>
  <c r="GL14" i="62"/>
  <c r="GM14" i="62"/>
  <c r="GN14" i="62"/>
  <c r="GO14" i="62"/>
  <c r="GP14" i="62"/>
  <c r="GQ14" i="62"/>
  <c r="GR14" i="62"/>
  <c r="GS14" i="62"/>
  <c r="GT14" i="62"/>
  <c r="GU14" i="62"/>
  <c r="GV14" i="62"/>
  <c r="GW14" i="62"/>
  <c r="GX14" i="62"/>
  <c r="GY14" i="62"/>
  <c r="GZ14" i="62"/>
  <c r="HA14" i="62"/>
  <c r="HB14" i="62"/>
  <c r="HC14" i="62"/>
  <c r="HD14" i="62"/>
  <c r="HE14" i="62"/>
  <c r="HF14" i="62"/>
  <c r="HG14" i="62"/>
  <c r="HH14" i="62"/>
  <c r="HI14" i="62"/>
  <c r="HJ14" i="62"/>
  <c r="HK14" i="62"/>
  <c r="HL14" i="62"/>
  <c r="HM14" i="62"/>
  <c r="HN14" i="62"/>
  <c r="HO14" i="62"/>
  <c r="HP14" i="62"/>
  <c r="HQ14" i="62"/>
  <c r="HR14" i="62"/>
  <c r="HS14" i="62"/>
  <c r="HT14" i="62"/>
  <c r="HU14" i="62"/>
  <c r="HV14" i="62"/>
  <c r="HW14" i="62"/>
  <c r="HX14" i="62"/>
  <c r="HY14" i="62"/>
  <c r="HZ14" i="62"/>
  <c r="IA14" i="62"/>
  <c r="IB14" i="62"/>
  <c r="IC14" i="62"/>
  <c r="ID14" i="62"/>
  <c r="IE14" i="62"/>
  <c r="IF14" i="62"/>
  <c r="IG14" i="62"/>
  <c r="IH14" i="62"/>
  <c r="II14" i="62"/>
  <c r="IJ14" i="62"/>
  <c r="IK14" i="62"/>
  <c r="IL14" i="62"/>
  <c r="IM14" i="62"/>
  <c r="IN14" i="62"/>
  <c r="IO14" i="62"/>
  <c r="IP14" i="62"/>
  <c r="IQ14" i="62"/>
  <c r="IR14" i="62"/>
  <c r="IS14" i="62"/>
  <c r="IT14" i="62"/>
  <c r="IU14" i="62"/>
  <c r="IV14" i="62"/>
  <c r="IW14" i="62"/>
  <c r="IX14" i="62"/>
  <c r="IY14" i="62"/>
  <c r="IZ14" i="62"/>
  <c r="JA14" i="62"/>
  <c r="JB14" i="62"/>
  <c r="JC14" i="62"/>
  <c r="JD14" i="62"/>
  <c r="JE14" i="62"/>
  <c r="JF14" i="62"/>
  <c r="JG14" i="62"/>
  <c r="JH14" i="62"/>
  <c r="JI14" i="62"/>
  <c r="JJ14" i="62"/>
  <c r="JK14" i="62"/>
  <c r="JL14" i="62"/>
  <c r="JM14" i="62"/>
  <c r="JN14" i="62"/>
  <c r="JO14" i="62"/>
  <c r="JP14" i="62"/>
  <c r="JQ14" i="62"/>
  <c r="JR14" i="62"/>
  <c r="JS14" i="62"/>
  <c r="JT14" i="62"/>
  <c r="JU14" i="62"/>
  <c r="JV14" i="62"/>
  <c r="JW14" i="62"/>
  <c r="JX14" i="62"/>
  <c r="JY14" i="62"/>
  <c r="JZ14" i="62"/>
  <c r="KA14" i="62"/>
  <c r="KB14" i="62"/>
  <c r="KC14" i="62"/>
  <c r="KD14" i="62"/>
  <c r="KE14" i="62"/>
  <c r="KF14" i="62"/>
  <c r="KG14" i="62"/>
  <c r="KH14" i="62"/>
  <c r="KI14" i="62"/>
  <c r="KJ14" i="62"/>
  <c r="KK14" i="62"/>
  <c r="KL14" i="62"/>
  <c r="KM14" i="62"/>
  <c r="KN14" i="62"/>
  <c r="KO14" i="62"/>
  <c r="KP14" i="62"/>
  <c r="KQ14" i="62"/>
  <c r="KR14" i="62"/>
  <c r="KS14" i="62"/>
  <c r="KT14" i="62"/>
  <c r="KU14" i="62"/>
  <c r="KV14" i="62"/>
  <c r="KW14" i="62"/>
  <c r="KX14" i="62"/>
  <c r="KY14" i="62"/>
  <c r="KZ14" i="62"/>
  <c r="LA14" i="62"/>
  <c r="LB14" i="62"/>
  <c r="LC14" i="62"/>
  <c r="LD14" i="62"/>
  <c r="LE14" i="62"/>
  <c r="LF14" i="62"/>
  <c r="LG14" i="62"/>
  <c r="LH14" i="62"/>
  <c r="LI14" i="62"/>
  <c r="LJ14" i="62"/>
  <c r="LK14" i="62"/>
  <c r="LL14" i="62"/>
  <c r="LM14" i="62"/>
  <c r="LN14" i="62"/>
  <c r="LO14" i="62"/>
  <c r="LP14" i="62"/>
  <c r="LQ14" i="62"/>
  <c r="LR14" i="62"/>
  <c r="LS14" i="62"/>
  <c r="LT14" i="62"/>
  <c r="LU14" i="62"/>
  <c r="LV14" i="62"/>
  <c r="LW14" i="62"/>
  <c r="C15" i="62"/>
  <c r="FO15" i="62"/>
  <c r="FP15" i="62"/>
  <c r="FQ15" i="62"/>
  <c r="FR15" i="62"/>
  <c r="FS15" i="62"/>
  <c r="FT15" i="62"/>
  <c r="FU15" i="62"/>
  <c r="FV15" i="62"/>
  <c r="FW15" i="62"/>
  <c r="FX15" i="62"/>
  <c r="FY15" i="62"/>
  <c r="FZ15" i="62"/>
  <c r="GA15" i="62"/>
  <c r="GB15" i="62"/>
  <c r="GC15" i="62"/>
  <c r="GD15" i="62"/>
  <c r="GE15" i="62"/>
  <c r="GF15" i="62"/>
  <c r="GG15" i="62"/>
  <c r="GH15" i="62"/>
  <c r="GI15" i="62"/>
  <c r="GJ15" i="62"/>
  <c r="GK15" i="62"/>
  <c r="GL15" i="62"/>
  <c r="GM15" i="62"/>
  <c r="GN15" i="62"/>
  <c r="GO15" i="62"/>
  <c r="GP15" i="62"/>
  <c r="GQ15" i="62"/>
  <c r="GR15" i="62"/>
  <c r="GS15" i="62"/>
  <c r="GT15" i="62"/>
  <c r="GU15" i="62"/>
  <c r="GV15" i="62"/>
  <c r="GW15" i="62"/>
  <c r="GX15" i="62"/>
  <c r="GY15" i="62"/>
  <c r="GZ15" i="62"/>
  <c r="HA15" i="62"/>
  <c r="HB15" i="62"/>
  <c r="HC15" i="62"/>
  <c r="HD15" i="62"/>
  <c r="HE15" i="62"/>
  <c r="HF15" i="62"/>
  <c r="HG15" i="62"/>
  <c r="HH15" i="62"/>
  <c r="HI15" i="62"/>
  <c r="HJ15" i="62"/>
  <c r="HK15" i="62"/>
  <c r="HL15" i="62"/>
  <c r="HM15" i="62"/>
  <c r="HN15" i="62"/>
  <c r="HO15" i="62"/>
  <c r="HP15" i="62"/>
  <c r="HQ15" i="62"/>
  <c r="HR15" i="62"/>
  <c r="HS15" i="62"/>
  <c r="HT15" i="62"/>
  <c r="HU15" i="62"/>
  <c r="HV15" i="62"/>
  <c r="HW15" i="62"/>
  <c r="HX15" i="62"/>
  <c r="HY15" i="62"/>
  <c r="HZ15" i="62"/>
  <c r="IA15" i="62"/>
  <c r="IB15" i="62"/>
  <c r="IC15" i="62"/>
  <c r="ID15" i="62"/>
  <c r="IE15" i="62"/>
  <c r="IF15" i="62"/>
  <c r="IG15" i="62"/>
  <c r="IH15" i="62"/>
  <c r="II15" i="62"/>
  <c r="IJ15" i="62"/>
  <c r="IK15" i="62"/>
  <c r="IL15" i="62"/>
  <c r="IM15" i="62"/>
  <c r="IN15" i="62"/>
  <c r="IO15" i="62"/>
  <c r="IP15" i="62"/>
  <c r="IQ15" i="62"/>
  <c r="IR15" i="62"/>
  <c r="IS15" i="62"/>
  <c r="IT15" i="62"/>
  <c r="IU15" i="62"/>
  <c r="IV15" i="62"/>
  <c r="IW15" i="62"/>
  <c r="IX15" i="62"/>
  <c r="IY15" i="62"/>
  <c r="IZ15" i="62"/>
  <c r="JA15" i="62"/>
  <c r="JB15" i="62"/>
  <c r="JC15" i="62"/>
  <c r="JD15" i="62"/>
  <c r="JE15" i="62"/>
  <c r="JF15" i="62"/>
  <c r="JG15" i="62"/>
  <c r="JH15" i="62"/>
  <c r="JI15" i="62"/>
  <c r="JJ15" i="62"/>
  <c r="JK15" i="62"/>
  <c r="JL15" i="62"/>
  <c r="JM15" i="62"/>
  <c r="JN15" i="62"/>
  <c r="JO15" i="62"/>
  <c r="JP15" i="62"/>
  <c r="JQ15" i="62"/>
  <c r="JR15" i="62"/>
  <c r="JS15" i="62"/>
  <c r="JT15" i="62"/>
  <c r="JU15" i="62"/>
  <c r="JV15" i="62"/>
  <c r="JW15" i="62"/>
  <c r="JX15" i="62"/>
  <c r="JY15" i="62"/>
  <c r="JZ15" i="62"/>
  <c r="KA15" i="62"/>
  <c r="KB15" i="62"/>
  <c r="KC15" i="62"/>
  <c r="KD15" i="62"/>
  <c r="KE15" i="62"/>
  <c r="KF15" i="62"/>
  <c r="KG15" i="62"/>
  <c r="KH15" i="62"/>
  <c r="KI15" i="62"/>
  <c r="KJ15" i="62"/>
  <c r="KK15" i="62"/>
  <c r="KL15" i="62"/>
  <c r="KM15" i="62"/>
  <c r="KN15" i="62"/>
  <c r="KO15" i="62"/>
  <c r="KP15" i="62"/>
  <c r="KQ15" i="62"/>
  <c r="KR15" i="62"/>
  <c r="KS15" i="62"/>
  <c r="KT15" i="62"/>
  <c r="KU15" i="62"/>
  <c r="KV15" i="62"/>
  <c r="KW15" i="62"/>
  <c r="KX15" i="62"/>
  <c r="KY15" i="62"/>
  <c r="KZ15" i="62"/>
  <c r="LA15" i="62"/>
  <c r="LB15" i="62"/>
  <c r="LC15" i="62"/>
  <c r="LD15" i="62"/>
  <c r="LE15" i="62"/>
  <c r="LF15" i="62"/>
  <c r="LG15" i="62"/>
  <c r="LH15" i="62"/>
  <c r="LI15" i="62"/>
  <c r="LJ15" i="62"/>
  <c r="LK15" i="62"/>
  <c r="LL15" i="62"/>
  <c r="LM15" i="62"/>
  <c r="LN15" i="62"/>
  <c r="LO15" i="62"/>
  <c r="LP15" i="62"/>
  <c r="LQ15" i="62"/>
  <c r="LR15" i="62"/>
  <c r="LS15" i="62"/>
  <c r="LT15" i="62"/>
  <c r="LU15" i="62"/>
  <c r="LV15" i="62"/>
  <c r="LW15" i="62"/>
  <c r="C16" i="62"/>
  <c r="FO16" i="62"/>
  <c r="FP16" i="62"/>
  <c r="FQ16" i="62"/>
  <c r="FR16" i="62"/>
  <c r="FS16" i="62"/>
  <c r="FT16" i="62"/>
  <c r="FU16" i="62"/>
  <c r="FV16" i="62"/>
  <c r="FW16" i="62"/>
  <c r="FX16" i="62"/>
  <c r="FY16" i="62"/>
  <c r="FZ16" i="62"/>
  <c r="GA16" i="62"/>
  <c r="GB16" i="62"/>
  <c r="GC16" i="62"/>
  <c r="GD16" i="62"/>
  <c r="GE16" i="62"/>
  <c r="GF16" i="62"/>
  <c r="GG16" i="62"/>
  <c r="GH16" i="62"/>
  <c r="GI16" i="62"/>
  <c r="GJ16" i="62"/>
  <c r="GK16" i="62"/>
  <c r="GL16" i="62"/>
  <c r="GM16" i="62"/>
  <c r="GN16" i="62"/>
  <c r="GO16" i="62"/>
  <c r="GP16" i="62"/>
  <c r="GQ16" i="62"/>
  <c r="GR16" i="62"/>
  <c r="GS16" i="62"/>
  <c r="GT16" i="62"/>
  <c r="GU16" i="62"/>
  <c r="GV16" i="62"/>
  <c r="GW16" i="62"/>
  <c r="GX16" i="62"/>
  <c r="GY16" i="62"/>
  <c r="GZ16" i="62"/>
  <c r="HA16" i="62"/>
  <c r="HB16" i="62"/>
  <c r="HC16" i="62"/>
  <c r="HD16" i="62"/>
  <c r="HE16" i="62"/>
  <c r="HF16" i="62"/>
  <c r="HG16" i="62"/>
  <c r="HH16" i="62"/>
  <c r="HI16" i="62"/>
  <c r="HJ16" i="62"/>
  <c r="HK16" i="62"/>
  <c r="HL16" i="62"/>
  <c r="HM16" i="62"/>
  <c r="HN16" i="62"/>
  <c r="HO16" i="62"/>
  <c r="HP16" i="62"/>
  <c r="HQ16" i="62"/>
  <c r="HR16" i="62"/>
  <c r="HS16" i="62"/>
  <c r="HT16" i="62"/>
  <c r="HU16" i="62"/>
  <c r="HV16" i="62"/>
  <c r="HW16" i="62"/>
  <c r="HX16" i="62"/>
  <c r="HY16" i="62"/>
  <c r="HZ16" i="62"/>
  <c r="IA16" i="62"/>
  <c r="IB16" i="62"/>
  <c r="IC16" i="62"/>
  <c r="ID16" i="62"/>
  <c r="IE16" i="62"/>
  <c r="IF16" i="62"/>
  <c r="IG16" i="62"/>
  <c r="IH16" i="62"/>
  <c r="II16" i="62"/>
  <c r="IJ16" i="62"/>
  <c r="IK16" i="62"/>
  <c r="IL16" i="62"/>
  <c r="IM16" i="62"/>
  <c r="IN16" i="62"/>
  <c r="IO16" i="62"/>
  <c r="IP16" i="62"/>
  <c r="IQ16" i="62"/>
  <c r="IR16" i="62"/>
  <c r="IS16" i="62"/>
  <c r="IT16" i="62"/>
  <c r="IU16" i="62"/>
  <c r="IV16" i="62"/>
  <c r="IW16" i="62"/>
  <c r="IX16" i="62"/>
  <c r="IY16" i="62"/>
  <c r="IZ16" i="62"/>
  <c r="JA16" i="62"/>
  <c r="JB16" i="62"/>
  <c r="JC16" i="62"/>
  <c r="JD16" i="62"/>
  <c r="JE16" i="62"/>
  <c r="JF16" i="62"/>
  <c r="JG16" i="62"/>
  <c r="JH16" i="62"/>
  <c r="JI16" i="62"/>
  <c r="JJ16" i="62"/>
  <c r="JK16" i="62"/>
  <c r="JL16" i="62"/>
  <c r="JM16" i="62"/>
  <c r="JN16" i="62"/>
  <c r="JO16" i="62"/>
  <c r="JP16" i="62"/>
  <c r="JQ16" i="62"/>
  <c r="JR16" i="62"/>
  <c r="JS16" i="62"/>
  <c r="JT16" i="62"/>
  <c r="JU16" i="62"/>
  <c r="JV16" i="62"/>
  <c r="JW16" i="62"/>
  <c r="JX16" i="62"/>
  <c r="JY16" i="62"/>
  <c r="JZ16" i="62"/>
  <c r="KA16" i="62"/>
  <c r="KB16" i="62"/>
  <c r="KC16" i="62"/>
  <c r="KD16" i="62"/>
  <c r="KE16" i="62"/>
  <c r="KF16" i="62"/>
  <c r="KG16" i="62"/>
  <c r="KH16" i="62"/>
  <c r="KI16" i="62"/>
  <c r="KJ16" i="62"/>
  <c r="KK16" i="62"/>
  <c r="KL16" i="62"/>
  <c r="KM16" i="62"/>
  <c r="KN16" i="62"/>
  <c r="KO16" i="62"/>
  <c r="KP16" i="62"/>
  <c r="KQ16" i="62"/>
  <c r="KR16" i="62"/>
  <c r="KS16" i="62"/>
  <c r="KT16" i="62"/>
  <c r="KU16" i="62"/>
  <c r="KV16" i="62"/>
  <c r="KW16" i="62"/>
  <c r="KX16" i="62"/>
  <c r="KY16" i="62"/>
  <c r="KZ16" i="62"/>
  <c r="LA16" i="62"/>
  <c r="LB16" i="62"/>
  <c r="LC16" i="62"/>
  <c r="LD16" i="62"/>
  <c r="LE16" i="62"/>
  <c r="LF16" i="62"/>
  <c r="LG16" i="62"/>
  <c r="LH16" i="62"/>
  <c r="LI16" i="62"/>
  <c r="LJ16" i="62"/>
  <c r="LK16" i="62"/>
  <c r="LL16" i="62"/>
  <c r="LM16" i="62"/>
  <c r="LN16" i="62"/>
  <c r="LO16" i="62"/>
  <c r="LP16" i="62"/>
  <c r="LQ16" i="62"/>
  <c r="LR16" i="62"/>
  <c r="LS16" i="62"/>
  <c r="LT16" i="62"/>
  <c r="LU16" i="62"/>
  <c r="LV16" i="62"/>
  <c r="LW16" i="62"/>
  <c r="C17" i="62"/>
  <c r="FO17" i="62"/>
  <c r="FP17" i="62"/>
  <c r="FQ17" i="62"/>
  <c r="FR17" i="62"/>
  <c r="FS17" i="62"/>
  <c r="FT17" i="62"/>
  <c r="FU17" i="62"/>
  <c r="FV17" i="62"/>
  <c r="FW17" i="62"/>
  <c r="FX17" i="62"/>
  <c r="FY17" i="62"/>
  <c r="FZ17" i="62"/>
  <c r="GA17" i="62"/>
  <c r="GB17" i="62"/>
  <c r="GC17" i="62"/>
  <c r="GD17" i="62"/>
  <c r="GE17" i="62"/>
  <c r="GF17" i="62"/>
  <c r="GG17" i="62"/>
  <c r="GH17" i="62"/>
  <c r="GI17" i="62"/>
  <c r="GJ17" i="62"/>
  <c r="GK17" i="62"/>
  <c r="GL17" i="62"/>
  <c r="GM17" i="62"/>
  <c r="GN17" i="62"/>
  <c r="GO17" i="62"/>
  <c r="GP17" i="62"/>
  <c r="GQ17" i="62"/>
  <c r="GR17" i="62"/>
  <c r="GS17" i="62"/>
  <c r="GT17" i="62"/>
  <c r="GU17" i="62"/>
  <c r="GV17" i="62"/>
  <c r="GW17" i="62"/>
  <c r="GX17" i="62"/>
  <c r="GY17" i="62"/>
  <c r="GZ17" i="62"/>
  <c r="HA17" i="62"/>
  <c r="HB17" i="62"/>
  <c r="HC17" i="62"/>
  <c r="HD17" i="62"/>
  <c r="HE17" i="62"/>
  <c r="HF17" i="62"/>
  <c r="HG17" i="62"/>
  <c r="HH17" i="62"/>
  <c r="HI17" i="62"/>
  <c r="HJ17" i="62"/>
  <c r="HK17" i="62"/>
  <c r="HL17" i="62"/>
  <c r="HM17" i="62"/>
  <c r="HN17" i="62"/>
  <c r="HO17" i="62"/>
  <c r="HP17" i="62"/>
  <c r="HQ17" i="62"/>
  <c r="HR17" i="62"/>
  <c r="HS17" i="62"/>
  <c r="HT17" i="62"/>
  <c r="HU17" i="62"/>
  <c r="HV17" i="62"/>
  <c r="HW17" i="62"/>
  <c r="HX17" i="62"/>
  <c r="HY17" i="62"/>
  <c r="HZ17" i="62"/>
  <c r="IA17" i="62"/>
  <c r="IB17" i="62"/>
  <c r="IC17" i="62"/>
  <c r="ID17" i="62"/>
  <c r="IE17" i="62"/>
  <c r="IF17" i="62"/>
  <c r="IG17" i="62"/>
  <c r="IH17" i="62"/>
  <c r="II17" i="62"/>
  <c r="IJ17" i="62"/>
  <c r="IK17" i="62"/>
  <c r="IL17" i="62"/>
  <c r="IM17" i="62"/>
  <c r="IN17" i="62"/>
  <c r="IO17" i="62"/>
  <c r="IP17" i="62"/>
  <c r="IQ17" i="62"/>
  <c r="IR17" i="62"/>
  <c r="IS17" i="62"/>
  <c r="IT17" i="62"/>
  <c r="IU17" i="62"/>
  <c r="IV17" i="62"/>
  <c r="IW17" i="62"/>
  <c r="IX17" i="62"/>
  <c r="IY17" i="62"/>
  <c r="IZ17" i="62"/>
  <c r="JA17" i="62"/>
  <c r="JB17" i="62"/>
  <c r="JC17" i="62"/>
  <c r="JD17" i="62"/>
  <c r="JE17" i="62"/>
  <c r="JF17" i="62"/>
  <c r="JG17" i="62"/>
  <c r="JH17" i="62"/>
  <c r="JI17" i="62"/>
  <c r="JJ17" i="62"/>
  <c r="JK17" i="62"/>
  <c r="JL17" i="62"/>
  <c r="JM17" i="62"/>
  <c r="JN17" i="62"/>
  <c r="JO17" i="62"/>
  <c r="JP17" i="62"/>
  <c r="JQ17" i="62"/>
  <c r="JR17" i="62"/>
  <c r="JS17" i="62"/>
  <c r="JT17" i="62"/>
  <c r="JU17" i="62"/>
  <c r="JV17" i="62"/>
  <c r="JW17" i="62"/>
  <c r="JX17" i="62"/>
  <c r="JY17" i="62"/>
  <c r="JZ17" i="62"/>
  <c r="KA17" i="62"/>
  <c r="KB17" i="62"/>
  <c r="KC17" i="62"/>
  <c r="KD17" i="62"/>
  <c r="KE17" i="62"/>
  <c r="KF17" i="62"/>
  <c r="KG17" i="62"/>
  <c r="KH17" i="62"/>
  <c r="KI17" i="62"/>
  <c r="KJ17" i="62"/>
  <c r="KK17" i="62"/>
  <c r="KL17" i="62"/>
  <c r="KM17" i="62"/>
  <c r="KN17" i="62"/>
  <c r="KO17" i="62"/>
  <c r="KP17" i="62"/>
  <c r="KQ17" i="62"/>
  <c r="KR17" i="62"/>
  <c r="KS17" i="62"/>
  <c r="KT17" i="62"/>
  <c r="KU17" i="62"/>
  <c r="KV17" i="62"/>
  <c r="KW17" i="62"/>
  <c r="KX17" i="62"/>
  <c r="KY17" i="62"/>
  <c r="KZ17" i="62"/>
  <c r="LA17" i="62"/>
  <c r="LB17" i="62"/>
  <c r="LC17" i="62"/>
  <c r="LD17" i="62"/>
  <c r="LE17" i="62"/>
  <c r="LF17" i="62"/>
  <c r="LG17" i="62"/>
  <c r="LH17" i="62"/>
  <c r="LI17" i="62"/>
  <c r="LJ17" i="62"/>
  <c r="LK17" i="62"/>
  <c r="LL17" i="62"/>
  <c r="LM17" i="62"/>
  <c r="LN17" i="62"/>
  <c r="LO17" i="62"/>
  <c r="LP17" i="62"/>
  <c r="LQ17" i="62"/>
  <c r="LR17" i="62"/>
  <c r="LS17" i="62"/>
  <c r="LT17" i="62"/>
  <c r="LU17" i="62"/>
  <c r="LV17" i="62"/>
  <c r="LW17" i="62"/>
  <c r="C18" i="62"/>
  <c r="FO18" i="62"/>
  <c r="FP18" i="62"/>
  <c r="FQ18" i="62"/>
  <c r="FR18" i="62"/>
  <c r="FS18" i="62"/>
  <c r="FT18" i="62"/>
  <c r="FU18" i="62"/>
  <c r="FV18" i="62"/>
  <c r="FW18" i="62"/>
  <c r="FX18" i="62"/>
  <c r="FY18" i="62"/>
  <c r="FZ18" i="62"/>
  <c r="GA18" i="62"/>
  <c r="GB18" i="62"/>
  <c r="GC18" i="62"/>
  <c r="GD18" i="62"/>
  <c r="GE18" i="62"/>
  <c r="GF18" i="62"/>
  <c r="GG18" i="62"/>
  <c r="GH18" i="62"/>
  <c r="GI18" i="62"/>
  <c r="GJ18" i="62"/>
  <c r="GK18" i="62"/>
  <c r="GL18" i="62"/>
  <c r="GM18" i="62"/>
  <c r="GN18" i="62"/>
  <c r="GO18" i="62"/>
  <c r="GP18" i="62"/>
  <c r="GQ18" i="62"/>
  <c r="GR18" i="62"/>
  <c r="GS18" i="62"/>
  <c r="GT18" i="62"/>
  <c r="GU18" i="62"/>
  <c r="GV18" i="62"/>
  <c r="GW18" i="62"/>
  <c r="GX18" i="62"/>
  <c r="GY18" i="62"/>
  <c r="GZ18" i="62"/>
  <c r="HA18" i="62"/>
  <c r="HB18" i="62"/>
  <c r="HC18" i="62"/>
  <c r="HD18" i="62"/>
  <c r="HE18" i="62"/>
  <c r="HF18" i="62"/>
  <c r="HG18" i="62"/>
  <c r="HH18" i="62"/>
  <c r="HI18" i="62"/>
  <c r="HJ18" i="62"/>
  <c r="HK18" i="62"/>
  <c r="HL18" i="62"/>
  <c r="HM18" i="62"/>
  <c r="HN18" i="62"/>
  <c r="HO18" i="62"/>
  <c r="HP18" i="62"/>
  <c r="HQ18" i="62"/>
  <c r="HR18" i="62"/>
  <c r="HS18" i="62"/>
  <c r="HT18" i="62"/>
  <c r="HU18" i="62"/>
  <c r="HV18" i="62"/>
  <c r="HW18" i="62"/>
  <c r="HX18" i="62"/>
  <c r="HY18" i="62"/>
  <c r="HZ18" i="62"/>
  <c r="IA18" i="62"/>
  <c r="IB18" i="62"/>
  <c r="IC18" i="62"/>
  <c r="ID18" i="62"/>
  <c r="IE18" i="62"/>
  <c r="IF18" i="62"/>
  <c r="IG18" i="62"/>
  <c r="IH18" i="62"/>
  <c r="II18" i="62"/>
  <c r="IJ18" i="62"/>
  <c r="IK18" i="62"/>
  <c r="IL18" i="62"/>
  <c r="IM18" i="62"/>
  <c r="IN18" i="62"/>
  <c r="IO18" i="62"/>
  <c r="IP18" i="62"/>
  <c r="IQ18" i="62"/>
  <c r="IR18" i="62"/>
  <c r="IS18" i="62"/>
  <c r="IT18" i="62"/>
  <c r="IU18" i="62"/>
  <c r="IV18" i="62"/>
  <c r="IW18" i="62"/>
  <c r="IX18" i="62"/>
  <c r="IY18" i="62"/>
  <c r="IZ18" i="62"/>
  <c r="JA18" i="62"/>
  <c r="JB18" i="62"/>
  <c r="JC18" i="62"/>
  <c r="JD18" i="62"/>
  <c r="JE18" i="62"/>
  <c r="JF18" i="62"/>
  <c r="JG18" i="62"/>
  <c r="JH18" i="62"/>
  <c r="JI18" i="62"/>
  <c r="JJ18" i="62"/>
  <c r="JK18" i="62"/>
  <c r="JL18" i="62"/>
  <c r="JM18" i="62"/>
  <c r="JN18" i="62"/>
  <c r="JO18" i="62"/>
  <c r="JP18" i="62"/>
  <c r="JQ18" i="62"/>
  <c r="JR18" i="62"/>
  <c r="JS18" i="62"/>
  <c r="JT18" i="62"/>
  <c r="JU18" i="62"/>
  <c r="JV18" i="62"/>
  <c r="JW18" i="62"/>
  <c r="JX18" i="62"/>
  <c r="JY18" i="62"/>
  <c r="JZ18" i="62"/>
  <c r="KA18" i="62"/>
  <c r="KB18" i="62"/>
  <c r="KC18" i="62"/>
  <c r="KD18" i="62"/>
  <c r="KE18" i="62"/>
  <c r="KF18" i="62"/>
  <c r="KG18" i="62"/>
  <c r="KH18" i="62"/>
  <c r="KI18" i="62"/>
  <c r="KJ18" i="62"/>
  <c r="KK18" i="62"/>
  <c r="KL18" i="62"/>
  <c r="KM18" i="62"/>
  <c r="KN18" i="62"/>
  <c r="KO18" i="62"/>
  <c r="KP18" i="62"/>
  <c r="KQ18" i="62"/>
  <c r="KR18" i="62"/>
  <c r="KS18" i="62"/>
  <c r="KT18" i="62"/>
  <c r="KU18" i="62"/>
  <c r="KV18" i="62"/>
  <c r="KW18" i="62"/>
  <c r="KX18" i="62"/>
  <c r="KY18" i="62"/>
  <c r="KZ18" i="62"/>
  <c r="LA18" i="62"/>
  <c r="LB18" i="62"/>
  <c r="LC18" i="62"/>
  <c r="LD18" i="62"/>
  <c r="LE18" i="62"/>
  <c r="LF18" i="62"/>
  <c r="LG18" i="62"/>
  <c r="LH18" i="62"/>
  <c r="LI18" i="62"/>
  <c r="LJ18" i="62"/>
  <c r="LK18" i="62"/>
  <c r="LL18" i="62"/>
  <c r="LM18" i="62"/>
  <c r="LN18" i="62"/>
  <c r="LO18" i="62"/>
  <c r="LP18" i="62"/>
  <c r="LQ18" i="62"/>
  <c r="LR18" i="62"/>
  <c r="LS18" i="62"/>
  <c r="LT18" i="62"/>
  <c r="LU18" i="62"/>
  <c r="LV18" i="62"/>
  <c r="LW18" i="62"/>
  <c r="C19" i="62"/>
  <c r="FO19" i="62"/>
  <c r="FP19" i="62"/>
  <c r="FQ19" i="62"/>
  <c r="FR19" i="62"/>
  <c r="FS19" i="62"/>
  <c r="FT19" i="62"/>
  <c r="FU19" i="62"/>
  <c r="FV19" i="62"/>
  <c r="FW19" i="62"/>
  <c r="FX19" i="62"/>
  <c r="FY19" i="62"/>
  <c r="FZ19" i="62"/>
  <c r="GA19" i="62"/>
  <c r="GB19" i="62"/>
  <c r="GC19" i="62"/>
  <c r="GD19" i="62"/>
  <c r="GE19" i="62"/>
  <c r="GF19" i="62"/>
  <c r="GG19" i="62"/>
  <c r="GH19" i="62"/>
  <c r="GI19" i="62"/>
  <c r="GJ19" i="62"/>
  <c r="GK19" i="62"/>
  <c r="GL19" i="62"/>
  <c r="GM19" i="62"/>
  <c r="GN19" i="62"/>
  <c r="GO19" i="62"/>
  <c r="GP19" i="62"/>
  <c r="GQ19" i="62"/>
  <c r="GR19" i="62"/>
  <c r="GS19" i="62"/>
  <c r="GT19" i="62"/>
  <c r="GU19" i="62"/>
  <c r="GV19" i="62"/>
  <c r="GW19" i="62"/>
  <c r="GX19" i="62"/>
  <c r="GY19" i="62"/>
  <c r="GZ19" i="62"/>
  <c r="HA19" i="62"/>
  <c r="HB19" i="62"/>
  <c r="HC19" i="62"/>
  <c r="HD19" i="62"/>
  <c r="HE19" i="62"/>
  <c r="HF19" i="62"/>
  <c r="HG19" i="62"/>
  <c r="HH19" i="62"/>
  <c r="HI19" i="62"/>
  <c r="HJ19" i="62"/>
  <c r="HK19" i="62"/>
  <c r="HL19" i="62"/>
  <c r="HM19" i="62"/>
  <c r="HN19" i="62"/>
  <c r="HO19" i="62"/>
  <c r="HP19" i="62"/>
  <c r="HQ19" i="62"/>
  <c r="HR19" i="62"/>
  <c r="HS19" i="62"/>
  <c r="HT19" i="62"/>
  <c r="HU19" i="62"/>
  <c r="HV19" i="62"/>
  <c r="HW19" i="62"/>
  <c r="HX19" i="62"/>
  <c r="HY19" i="62"/>
  <c r="HZ19" i="62"/>
  <c r="IA19" i="62"/>
  <c r="IB19" i="62"/>
  <c r="IC19" i="62"/>
  <c r="ID19" i="62"/>
  <c r="IE19" i="62"/>
  <c r="IF19" i="62"/>
  <c r="IG19" i="62"/>
  <c r="IH19" i="62"/>
  <c r="II19" i="62"/>
  <c r="IJ19" i="62"/>
  <c r="IK19" i="62"/>
  <c r="IL19" i="62"/>
  <c r="IM19" i="62"/>
  <c r="IN19" i="62"/>
  <c r="IO19" i="62"/>
  <c r="IP19" i="62"/>
  <c r="IQ19" i="62"/>
  <c r="IR19" i="62"/>
  <c r="IS19" i="62"/>
  <c r="IT19" i="62"/>
  <c r="IU19" i="62"/>
  <c r="IV19" i="62"/>
  <c r="IW19" i="62"/>
  <c r="IX19" i="62"/>
  <c r="IY19" i="62"/>
  <c r="IZ19" i="62"/>
  <c r="JA19" i="62"/>
  <c r="JB19" i="62"/>
  <c r="JC19" i="62"/>
  <c r="JD19" i="62"/>
  <c r="JE19" i="62"/>
  <c r="JF19" i="62"/>
  <c r="JG19" i="62"/>
  <c r="JH19" i="62"/>
  <c r="JI19" i="62"/>
  <c r="JJ19" i="62"/>
  <c r="JK19" i="62"/>
  <c r="JL19" i="62"/>
  <c r="JM19" i="62"/>
  <c r="JN19" i="62"/>
  <c r="JO19" i="62"/>
  <c r="JP19" i="62"/>
  <c r="JQ19" i="62"/>
  <c r="JR19" i="62"/>
  <c r="JS19" i="62"/>
  <c r="JT19" i="62"/>
  <c r="JU19" i="62"/>
  <c r="JV19" i="62"/>
  <c r="JW19" i="62"/>
  <c r="JX19" i="62"/>
  <c r="JY19" i="62"/>
  <c r="JZ19" i="62"/>
  <c r="KA19" i="62"/>
  <c r="KB19" i="62"/>
  <c r="KC19" i="62"/>
  <c r="KD19" i="62"/>
  <c r="KE19" i="62"/>
  <c r="KF19" i="62"/>
  <c r="KG19" i="62"/>
  <c r="KH19" i="62"/>
  <c r="KI19" i="62"/>
  <c r="KJ19" i="62"/>
  <c r="KK19" i="62"/>
  <c r="KL19" i="62"/>
  <c r="KM19" i="62"/>
  <c r="KN19" i="62"/>
  <c r="KO19" i="62"/>
  <c r="KP19" i="62"/>
  <c r="KQ19" i="62"/>
  <c r="KR19" i="62"/>
  <c r="KS19" i="62"/>
  <c r="KT19" i="62"/>
  <c r="KU19" i="62"/>
  <c r="KV19" i="62"/>
  <c r="KW19" i="62"/>
  <c r="KX19" i="62"/>
  <c r="KY19" i="62"/>
  <c r="KZ19" i="62"/>
  <c r="LA19" i="62"/>
  <c r="LB19" i="62"/>
  <c r="LC19" i="62"/>
  <c r="LD19" i="62"/>
  <c r="LE19" i="62"/>
  <c r="LF19" i="62"/>
  <c r="LG19" i="62"/>
  <c r="LH19" i="62"/>
  <c r="LI19" i="62"/>
  <c r="LJ19" i="62"/>
  <c r="LK19" i="62"/>
  <c r="LL19" i="62"/>
  <c r="LM19" i="62"/>
  <c r="LN19" i="62"/>
  <c r="LO19" i="62"/>
  <c r="LP19" i="62"/>
  <c r="LQ19" i="62"/>
  <c r="LR19" i="62"/>
  <c r="LS19" i="62"/>
  <c r="LT19" i="62"/>
  <c r="LU19" i="62"/>
  <c r="LV19" i="62"/>
  <c r="LW19" i="62"/>
  <c r="C20" i="62"/>
  <c r="FO20" i="62"/>
  <c r="FP20" i="62"/>
  <c r="FQ20" i="62"/>
  <c r="FR20" i="62"/>
  <c r="FS20" i="62"/>
  <c r="FT20" i="62"/>
  <c r="FU20" i="62"/>
  <c r="FV20" i="62"/>
  <c r="FW20" i="62"/>
  <c r="FX20" i="62"/>
  <c r="FY20" i="62"/>
  <c r="FZ20" i="62"/>
  <c r="GA20" i="62"/>
  <c r="GB20" i="62"/>
  <c r="GC20" i="62"/>
  <c r="GD20" i="62"/>
  <c r="GE20" i="62"/>
  <c r="GF20" i="62"/>
  <c r="GG20" i="62"/>
  <c r="GH20" i="62"/>
  <c r="GI20" i="62"/>
  <c r="GJ20" i="62"/>
  <c r="GK20" i="62"/>
  <c r="GL20" i="62"/>
  <c r="GM20" i="62"/>
  <c r="GN20" i="62"/>
  <c r="GO20" i="62"/>
  <c r="GP20" i="62"/>
  <c r="GQ20" i="62"/>
  <c r="GR20" i="62"/>
  <c r="GS20" i="62"/>
  <c r="GT20" i="62"/>
  <c r="GU20" i="62"/>
  <c r="GV20" i="62"/>
  <c r="GW20" i="62"/>
  <c r="GX20" i="62"/>
  <c r="GY20" i="62"/>
  <c r="GZ20" i="62"/>
  <c r="HA20" i="62"/>
  <c r="HB20" i="62"/>
  <c r="HC20" i="62"/>
  <c r="HD20" i="62"/>
  <c r="HE20" i="62"/>
  <c r="HF20" i="62"/>
  <c r="HG20" i="62"/>
  <c r="HH20" i="62"/>
  <c r="HI20" i="62"/>
  <c r="HJ20" i="62"/>
  <c r="HK20" i="62"/>
  <c r="HL20" i="62"/>
  <c r="HM20" i="62"/>
  <c r="HN20" i="62"/>
  <c r="HO20" i="62"/>
  <c r="HP20" i="62"/>
  <c r="HQ20" i="62"/>
  <c r="HR20" i="62"/>
  <c r="HS20" i="62"/>
  <c r="HT20" i="62"/>
  <c r="HU20" i="62"/>
  <c r="HV20" i="62"/>
  <c r="HW20" i="62"/>
  <c r="HX20" i="62"/>
  <c r="HY20" i="62"/>
  <c r="HZ20" i="62"/>
  <c r="IA20" i="62"/>
  <c r="IB20" i="62"/>
  <c r="IC20" i="62"/>
  <c r="ID20" i="62"/>
  <c r="IE20" i="62"/>
  <c r="IF20" i="62"/>
  <c r="IG20" i="62"/>
  <c r="IH20" i="62"/>
  <c r="II20" i="62"/>
  <c r="IJ20" i="62"/>
  <c r="IK20" i="62"/>
  <c r="IL20" i="62"/>
  <c r="IM20" i="62"/>
  <c r="IN20" i="62"/>
  <c r="IO20" i="62"/>
  <c r="IP20" i="62"/>
  <c r="IQ20" i="62"/>
  <c r="IR20" i="62"/>
  <c r="IS20" i="62"/>
  <c r="IT20" i="62"/>
  <c r="IU20" i="62"/>
  <c r="IV20" i="62"/>
  <c r="IW20" i="62"/>
  <c r="IX20" i="62"/>
  <c r="IY20" i="62"/>
  <c r="IZ20" i="62"/>
  <c r="JA20" i="62"/>
  <c r="JB20" i="62"/>
  <c r="JC20" i="62"/>
  <c r="JD20" i="62"/>
  <c r="JE20" i="62"/>
  <c r="JF20" i="62"/>
  <c r="JG20" i="62"/>
  <c r="JH20" i="62"/>
  <c r="JI20" i="62"/>
  <c r="JJ20" i="62"/>
  <c r="JK20" i="62"/>
  <c r="JL20" i="62"/>
  <c r="JM20" i="62"/>
  <c r="JN20" i="62"/>
  <c r="JO20" i="62"/>
  <c r="JP20" i="62"/>
  <c r="JQ20" i="62"/>
  <c r="JR20" i="62"/>
  <c r="JS20" i="62"/>
  <c r="JT20" i="62"/>
  <c r="JU20" i="62"/>
  <c r="JV20" i="62"/>
  <c r="JW20" i="62"/>
  <c r="JX20" i="62"/>
  <c r="JY20" i="62"/>
  <c r="JZ20" i="62"/>
  <c r="KA20" i="62"/>
  <c r="KB20" i="62"/>
  <c r="KC20" i="62"/>
  <c r="KD20" i="62"/>
  <c r="KE20" i="62"/>
  <c r="KF20" i="62"/>
  <c r="KG20" i="62"/>
  <c r="KH20" i="62"/>
  <c r="KI20" i="62"/>
  <c r="KJ20" i="62"/>
  <c r="KK20" i="62"/>
  <c r="KL20" i="62"/>
  <c r="KM20" i="62"/>
  <c r="KN20" i="62"/>
  <c r="KO20" i="62"/>
  <c r="KP20" i="62"/>
  <c r="KQ20" i="62"/>
  <c r="KR20" i="62"/>
  <c r="KS20" i="62"/>
  <c r="KT20" i="62"/>
  <c r="KU20" i="62"/>
  <c r="KV20" i="62"/>
  <c r="KW20" i="62"/>
  <c r="KX20" i="62"/>
  <c r="KY20" i="62"/>
  <c r="KZ20" i="62"/>
  <c r="LA20" i="62"/>
  <c r="LB20" i="62"/>
  <c r="LC20" i="62"/>
  <c r="LD20" i="62"/>
  <c r="LE20" i="62"/>
  <c r="LF20" i="62"/>
  <c r="LG20" i="62"/>
  <c r="LH20" i="62"/>
  <c r="LI20" i="62"/>
  <c r="LJ20" i="62"/>
  <c r="LK20" i="62"/>
  <c r="LL20" i="62"/>
  <c r="LM20" i="62"/>
  <c r="LN20" i="62"/>
  <c r="LO20" i="62"/>
  <c r="LP20" i="62"/>
  <c r="LQ20" i="62"/>
  <c r="LR20" i="62"/>
  <c r="LS20" i="62"/>
  <c r="LT20" i="62"/>
  <c r="LU20" i="62"/>
  <c r="LV20" i="62"/>
  <c r="LW20" i="62"/>
  <c r="C21" i="62"/>
  <c r="FO21" i="62"/>
  <c r="FP21" i="62"/>
  <c r="FQ21" i="62"/>
  <c r="FR21" i="62"/>
  <c r="FS21" i="62"/>
  <c r="FT21" i="62"/>
  <c r="FU21" i="62"/>
  <c r="FV21" i="62"/>
  <c r="FW21" i="62"/>
  <c r="FX21" i="62"/>
  <c r="FY21" i="62"/>
  <c r="FZ21" i="62"/>
  <c r="GA21" i="62"/>
  <c r="GB21" i="62"/>
  <c r="GC21" i="62"/>
  <c r="GD21" i="62"/>
  <c r="GE21" i="62"/>
  <c r="GF21" i="62"/>
  <c r="GG21" i="62"/>
  <c r="GH21" i="62"/>
  <c r="GI21" i="62"/>
  <c r="GJ21" i="62"/>
  <c r="GK21" i="62"/>
  <c r="GL21" i="62"/>
  <c r="GM21" i="62"/>
  <c r="GN21" i="62"/>
  <c r="GO21" i="62"/>
  <c r="GP21" i="62"/>
  <c r="GQ21" i="62"/>
  <c r="GR21" i="62"/>
  <c r="GS21" i="62"/>
  <c r="GT21" i="62"/>
  <c r="GU21" i="62"/>
  <c r="GV21" i="62"/>
  <c r="GW21" i="62"/>
  <c r="GX21" i="62"/>
  <c r="GY21" i="62"/>
  <c r="GZ21" i="62"/>
  <c r="HA21" i="62"/>
  <c r="HB21" i="62"/>
  <c r="HC21" i="62"/>
  <c r="HD21" i="62"/>
  <c r="HE21" i="62"/>
  <c r="HF21" i="62"/>
  <c r="HG21" i="62"/>
  <c r="HH21" i="62"/>
  <c r="HI21" i="62"/>
  <c r="HJ21" i="62"/>
  <c r="HK21" i="62"/>
  <c r="HL21" i="62"/>
  <c r="HM21" i="62"/>
  <c r="HN21" i="62"/>
  <c r="HO21" i="62"/>
  <c r="HP21" i="62"/>
  <c r="HQ21" i="62"/>
  <c r="HR21" i="62"/>
  <c r="HS21" i="62"/>
  <c r="HT21" i="62"/>
  <c r="HU21" i="62"/>
  <c r="HV21" i="62"/>
  <c r="HW21" i="62"/>
  <c r="HX21" i="62"/>
  <c r="HY21" i="62"/>
  <c r="HZ21" i="62"/>
  <c r="IA21" i="62"/>
  <c r="IB21" i="62"/>
  <c r="IC21" i="62"/>
  <c r="ID21" i="62"/>
  <c r="IE21" i="62"/>
  <c r="IF21" i="62"/>
  <c r="IG21" i="62"/>
  <c r="IH21" i="62"/>
  <c r="II21" i="62"/>
  <c r="IJ21" i="62"/>
  <c r="IK21" i="62"/>
  <c r="IL21" i="62"/>
  <c r="IM21" i="62"/>
  <c r="IN21" i="62"/>
  <c r="IO21" i="62"/>
  <c r="IP21" i="62"/>
  <c r="IQ21" i="62"/>
  <c r="IR21" i="62"/>
  <c r="IS21" i="62"/>
  <c r="IT21" i="62"/>
  <c r="IU21" i="62"/>
  <c r="IV21" i="62"/>
  <c r="IW21" i="62"/>
  <c r="IX21" i="62"/>
  <c r="IY21" i="62"/>
  <c r="IZ21" i="62"/>
  <c r="JA21" i="62"/>
  <c r="JB21" i="62"/>
  <c r="JC21" i="62"/>
  <c r="JD21" i="62"/>
  <c r="JE21" i="62"/>
  <c r="JF21" i="62"/>
  <c r="JG21" i="62"/>
  <c r="JH21" i="62"/>
  <c r="JI21" i="62"/>
  <c r="JJ21" i="62"/>
  <c r="JK21" i="62"/>
  <c r="JL21" i="62"/>
  <c r="JM21" i="62"/>
  <c r="JN21" i="62"/>
  <c r="JO21" i="62"/>
  <c r="JP21" i="62"/>
  <c r="JQ21" i="62"/>
  <c r="JR21" i="62"/>
  <c r="JS21" i="62"/>
  <c r="JT21" i="62"/>
  <c r="JU21" i="62"/>
  <c r="JV21" i="62"/>
  <c r="JW21" i="62"/>
  <c r="JX21" i="62"/>
  <c r="JY21" i="62"/>
  <c r="JZ21" i="62"/>
  <c r="KA21" i="62"/>
  <c r="KB21" i="62"/>
  <c r="KC21" i="62"/>
  <c r="KD21" i="62"/>
  <c r="KE21" i="62"/>
  <c r="KF21" i="62"/>
  <c r="KG21" i="62"/>
  <c r="KH21" i="62"/>
  <c r="KI21" i="62"/>
  <c r="KJ21" i="62"/>
  <c r="KK21" i="62"/>
  <c r="KL21" i="62"/>
  <c r="KM21" i="62"/>
  <c r="KN21" i="62"/>
  <c r="KO21" i="62"/>
  <c r="KP21" i="62"/>
  <c r="KQ21" i="62"/>
  <c r="KR21" i="62"/>
  <c r="KS21" i="62"/>
  <c r="KT21" i="62"/>
  <c r="KU21" i="62"/>
  <c r="KV21" i="62"/>
  <c r="KW21" i="62"/>
  <c r="KX21" i="62"/>
  <c r="KY21" i="62"/>
  <c r="KZ21" i="62"/>
  <c r="LA21" i="62"/>
  <c r="LB21" i="62"/>
  <c r="LC21" i="62"/>
  <c r="LD21" i="62"/>
  <c r="LE21" i="62"/>
  <c r="LF21" i="62"/>
  <c r="LG21" i="62"/>
  <c r="LH21" i="62"/>
  <c r="LI21" i="62"/>
  <c r="LJ21" i="62"/>
  <c r="LK21" i="62"/>
  <c r="LL21" i="62"/>
  <c r="LM21" i="62"/>
  <c r="LN21" i="62"/>
  <c r="LO21" i="62"/>
  <c r="LP21" i="62"/>
  <c r="LQ21" i="62"/>
  <c r="LR21" i="62"/>
  <c r="LS21" i="62"/>
  <c r="LT21" i="62"/>
  <c r="LU21" i="62"/>
  <c r="LV21" i="62"/>
  <c r="LW21" i="62"/>
  <c r="C22" i="62"/>
  <c r="FO22" i="62"/>
  <c r="FP22" i="62"/>
  <c r="FQ22" i="62"/>
  <c r="FR22" i="62"/>
  <c r="FS22" i="62"/>
  <c r="FT22" i="62"/>
  <c r="FU22" i="62"/>
  <c r="FV22" i="62"/>
  <c r="FW22" i="62"/>
  <c r="FX22" i="62"/>
  <c r="FY22" i="62"/>
  <c r="FZ22" i="62"/>
  <c r="GA22" i="62"/>
  <c r="GB22" i="62"/>
  <c r="GC22" i="62"/>
  <c r="GD22" i="62"/>
  <c r="GE22" i="62"/>
  <c r="GF22" i="62"/>
  <c r="GG22" i="62"/>
  <c r="GH22" i="62"/>
  <c r="GI22" i="62"/>
  <c r="GJ22" i="62"/>
  <c r="GK22" i="62"/>
  <c r="GL22" i="62"/>
  <c r="GM22" i="62"/>
  <c r="GN22" i="62"/>
  <c r="GO22" i="62"/>
  <c r="GP22" i="62"/>
  <c r="GQ22" i="62"/>
  <c r="GR22" i="62"/>
  <c r="GS22" i="62"/>
  <c r="GT22" i="62"/>
  <c r="GU22" i="62"/>
  <c r="GV22" i="62"/>
  <c r="GW22" i="62"/>
  <c r="GX22" i="62"/>
  <c r="GY22" i="62"/>
  <c r="GZ22" i="62"/>
  <c r="HA22" i="62"/>
  <c r="HB22" i="62"/>
  <c r="HC22" i="62"/>
  <c r="HD22" i="62"/>
  <c r="HE22" i="62"/>
  <c r="HF22" i="62"/>
  <c r="HG22" i="62"/>
  <c r="HH22" i="62"/>
  <c r="HI22" i="62"/>
  <c r="HJ22" i="62"/>
  <c r="HK22" i="62"/>
  <c r="HL22" i="62"/>
  <c r="HM22" i="62"/>
  <c r="HN22" i="62"/>
  <c r="HO22" i="62"/>
  <c r="HP22" i="62"/>
  <c r="HQ22" i="62"/>
  <c r="HR22" i="62"/>
  <c r="HS22" i="62"/>
  <c r="HT22" i="62"/>
  <c r="HU22" i="62"/>
  <c r="HV22" i="62"/>
  <c r="HW22" i="62"/>
  <c r="HX22" i="62"/>
  <c r="HY22" i="62"/>
  <c r="HZ22" i="62"/>
  <c r="IA22" i="62"/>
  <c r="IB22" i="62"/>
  <c r="IC22" i="62"/>
  <c r="ID22" i="62"/>
  <c r="IE22" i="62"/>
  <c r="IF22" i="62"/>
  <c r="IG22" i="62"/>
  <c r="IH22" i="62"/>
  <c r="II22" i="62"/>
  <c r="IJ22" i="62"/>
  <c r="IK22" i="62"/>
  <c r="IL22" i="62"/>
  <c r="IM22" i="62"/>
  <c r="IN22" i="62"/>
  <c r="IO22" i="62"/>
  <c r="IP22" i="62"/>
  <c r="IQ22" i="62"/>
  <c r="IR22" i="62"/>
  <c r="IS22" i="62"/>
  <c r="IT22" i="62"/>
  <c r="IU22" i="62"/>
  <c r="IV22" i="62"/>
  <c r="IW22" i="62"/>
  <c r="IX22" i="62"/>
  <c r="IY22" i="62"/>
  <c r="IZ22" i="62"/>
  <c r="JA22" i="62"/>
  <c r="JB22" i="62"/>
  <c r="JC22" i="62"/>
  <c r="JD22" i="62"/>
  <c r="JE22" i="62"/>
  <c r="JF22" i="62"/>
  <c r="JG22" i="62"/>
  <c r="JH22" i="62"/>
  <c r="JI22" i="62"/>
  <c r="JJ22" i="62"/>
  <c r="JK22" i="62"/>
  <c r="JL22" i="62"/>
  <c r="JM22" i="62"/>
  <c r="JN22" i="62"/>
  <c r="JO22" i="62"/>
  <c r="JP22" i="62"/>
  <c r="JQ22" i="62"/>
  <c r="JR22" i="62"/>
  <c r="JS22" i="62"/>
  <c r="JT22" i="62"/>
  <c r="JU22" i="62"/>
  <c r="JV22" i="62"/>
  <c r="JW22" i="62"/>
  <c r="JX22" i="62"/>
  <c r="JY22" i="62"/>
  <c r="JZ22" i="62"/>
  <c r="KA22" i="62"/>
  <c r="KB22" i="62"/>
  <c r="KC22" i="62"/>
  <c r="KD22" i="62"/>
  <c r="KE22" i="62"/>
  <c r="KF22" i="62"/>
  <c r="KG22" i="62"/>
  <c r="KH22" i="62"/>
  <c r="KI22" i="62"/>
  <c r="KJ22" i="62"/>
  <c r="KK22" i="62"/>
  <c r="KL22" i="62"/>
  <c r="KM22" i="62"/>
  <c r="KN22" i="62"/>
  <c r="KO22" i="62"/>
  <c r="KP22" i="62"/>
  <c r="KQ22" i="62"/>
  <c r="KR22" i="62"/>
  <c r="KS22" i="62"/>
  <c r="KT22" i="62"/>
  <c r="KU22" i="62"/>
  <c r="KV22" i="62"/>
  <c r="KW22" i="62"/>
  <c r="KX22" i="62"/>
  <c r="KY22" i="62"/>
  <c r="KZ22" i="62"/>
  <c r="LA22" i="62"/>
  <c r="LB22" i="62"/>
  <c r="LC22" i="62"/>
  <c r="LD22" i="62"/>
  <c r="LE22" i="62"/>
  <c r="LF22" i="62"/>
  <c r="LG22" i="62"/>
  <c r="LH22" i="62"/>
  <c r="LI22" i="62"/>
  <c r="LJ22" i="62"/>
  <c r="LK22" i="62"/>
  <c r="LL22" i="62"/>
  <c r="LM22" i="62"/>
  <c r="LN22" i="62"/>
  <c r="LO22" i="62"/>
  <c r="LP22" i="62"/>
  <c r="LQ22" i="62"/>
  <c r="LR22" i="62"/>
  <c r="LS22" i="62"/>
  <c r="LT22" i="62"/>
  <c r="LU22" i="62"/>
  <c r="LV22" i="62"/>
  <c r="LW22" i="62"/>
  <c r="C23" i="62"/>
  <c r="FO23" i="62"/>
  <c r="FP23" i="62"/>
  <c r="FQ23" i="62"/>
  <c r="FR23" i="62"/>
  <c r="FS23" i="62"/>
  <c r="FT23" i="62"/>
  <c r="FU23" i="62"/>
  <c r="FV23" i="62"/>
  <c r="FW23" i="62"/>
  <c r="FX23" i="62"/>
  <c r="FY23" i="62"/>
  <c r="FZ23" i="62"/>
  <c r="GA23" i="62"/>
  <c r="GB23" i="62"/>
  <c r="GC23" i="62"/>
  <c r="GD23" i="62"/>
  <c r="GE23" i="62"/>
  <c r="GF23" i="62"/>
  <c r="GG23" i="62"/>
  <c r="GH23" i="62"/>
  <c r="GI23" i="62"/>
  <c r="GJ23" i="62"/>
  <c r="GK23" i="62"/>
  <c r="GL23" i="62"/>
  <c r="GM23" i="62"/>
  <c r="GN23" i="62"/>
  <c r="GO23" i="62"/>
  <c r="GP23" i="62"/>
  <c r="GQ23" i="62"/>
  <c r="GR23" i="62"/>
  <c r="GS23" i="62"/>
  <c r="GT23" i="62"/>
  <c r="GU23" i="62"/>
  <c r="GV23" i="62"/>
  <c r="GW23" i="62"/>
  <c r="GX23" i="62"/>
  <c r="GY23" i="62"/>
  <c r="GZ23" i="62"/>
  <c r="HA23" i="62"/>
  <c r="HB23" i="62"/>
  <c r="HC23" i="62"/>
  <c r="HD23" i="62"/>
  <c r="HE23" i="62"/>
  <c r="HF23" i="62"/>
  <c r="HG23" i="62"/>
  <c r="HH23" i="62"/>
  <c r="HI23" i="62"/>
  <c r="HJ23" i="62"/>
  <c r="HK23" i="62"/>
  <c r="HL23" i="62"/>
  <c r="HM23" i="62"/>
  <c r="HN23" i="62"/>
  <c r="HO23" i="62"/>
  <c r="HP23" i="62"/>
  <c r="HQ23" i="62"/>
  <c r="HR23" i="62"/>
  <c r="HS23" i="62"/>
  <c r="HT23" i="62"/>
  <c r="HU23" i="62"/>
  <c r="HV23" i="62"/>
  <c r="HW23" i="62"/>
  <c r="HX23" i="62"/>
  <c r="HY23" i="62"/>
  <c r="HZ23" i="62"/>
  <c r="IA23" i="62"/>
  <c r="IB23" i="62"/>
  <c r="IC23" i="62"/>
  <c r="ID23" i="62"/>
  <c r="IE23" i="62"/>
  <c r="IF23" i="62"/>
  <c r="IG23" i="62"/>
  <c r="IH23" i="62"/>
  <c r="II23" i="62"/>
  <c r="IJ23" i="62"/>
  <c r="IK23" i="62"/>
  <c r="IL23" i="62"/>
  <c r="IM23" i="62"/>
  <c r="IN23" i="62"/>
  <c r="IO23" i="62"/>
  <c r="IP23" i="62"/>
  <c r="IQ23" i="62"/>
  <c r="IR23" i="62"/>
  <c r="IS23" i="62"/>
  <c r="IT23" i="62"/>
  <c r="IU23" i="62"/>
  <c r="IV23" i="62"/>
  <c r="IW23" i="62"/>
  <c r="IX23" i="62"/>
  <c r="IY23" i="62"/>
  <c r="IZ23" i="62"/>
  <c r="JA23" i="62"/>
  <c r="JB23" i="62"/>
  <c r="JC23" i="62"/>
  <c r="JD23" i="62"/>
  <c r="JE23" i="62"/>
  <c r="JF23" i="62"/>
  <c r="JG23" i="62"/>
  <c r="JH23" i="62"/>
  <c r="JI23" i="62"/>
  <c r="JJ23" i="62"/>
  <c r="JK23" i="62"/>
  <c r="JL23" i="62"/>
  <c r="JM23" i="62"/>
  <c r="JN23" i="62"/>
  <c r="JO23" i="62"/>
  <c r="JP23" i="62"/>
  <c r="JQ23" i="62"/>
  <c r="JR23" i="62"/>
  <c r="JS23" i="62"/>
  <c r="JT23" i="62"/>
  <c r="JU23" i="62"/>
  <c r="JV23" i="62"/>
  <c r="JW23" i="62"/>
  <c r="JX23" i="62"/>
  <c r="JY23" i="62"/>
  <c r="JZ23" i="62"/>
  <c r="KA23" i="62"/>
  <c r="KB23" i="62"/>
  <c r="KC23" i="62"/>
  <c r="KD23" i="62"/>
  <c r="KE23" i="62"/>
  <c r="KF23" i="62"/>
  <c r="KG23" i="62"/>
  <c r="KH23" i="62"/>
  <c r="KI23" i="62"/>
  <c r="KJ23" i="62"/>
  <c r="KK23" i="62"/>
  <c r="KL23" i="62"/>
  <c r="KM23" i="62"/>
  <c r="KN23" i="62"/>
  <c r="KO23" i="62"/>
  <c r="KP23" i="62"/>
  <c r="KQ23" i="62"/>
  <c r="KR23" i="62"/>
  <c r="KS23" i="62"/>
  <c r="KT23" i="62"/>
  <c r="KU23" i="62"/>
  <c r="KV23" i="62"/>
  <c r="KW23" i="62"/>
  <c r="KX23" i="62"/>
  <c r="KY23" i="62"/>
  <c r="KZ23" i="62"/>
  <c r="LA23" i="62"/>
  <c r="LB23" i="62"/>
  <c r="LC23" i="62"/>
  <c r="LD23" i="62"/>
  <c r="LE23" i="62"/>
  <c r="LF23" i="62"/>
  <c r="LG23" i="62"/>
  <c r="LH23" i="62"/>
  <c r="LI23" i="62"/>
  <c r="LJ23" i="62"/>
  <c r="LK23" i="62"/>
  <c r="LL23" i="62"/>
  <c r="LM23" i="62"/>
  <c r="LN23" i="62"/>
  <c r="LO23" i="62"/>
  <c r="LP23" i="62"/>
  <c r="LQ23" i="62"/>
  <c r="LR23" i="62"/>
  <c r="LS23" i="62"/>
  <c r="LT23" i="62"/>
  <c r="LU23" i="62"/>
  <c r="LV23" i="62"/>
  <c r="LW23" i="62"/>
  <c r="C24" i="62"/>
  <c r="FO24" i="62"/>
  <c r="FP24" i="62"/>
  <c r="FQ24" i="62"/>
  <c r="FR24" i="62"/>
  <c r="FS24" i="62"/>
  <c r="FT24" i="62"/>
  <c r="FU24" i="62"/>
  <c r="FV24" i="62"/>
  <c r="FW24" i="62"/>
  <c r="FX24" i="62"/>
  <c r="FY24" i="62"/>
  <c r="FZ24" i="62"/>
  <c r="GA24" i="62"/>
  <c r="GB24" i="62"/>
  <c r="GC24" i="62"/>
  <c r="GD24" i="62"/>
  <c r="GE24" i="62"/>
  <c r="GF24" i="62"/>
  <c r="GG24" i="62"/>
  <c r="GH24" i="62"/>
  <c r="GI24" i="62"/>
  <c r="GJ24" i="62"/>
  <c r="GK24" i="62"/>
  <c r="GL24" i="62"/>
  <c r="GM24" i="62"/>
  <c r="GN24" i="62"/>
  <c r="GO24" i="62"/>
  <c r="GP24" i="62"/>
  <c r="GQ24" i="62"/>
  <c r="GR24" i="62"/>
  <c r="GS24" i="62"/>
  <c r="GT24" i="62"/>
  <c r="GU24" i="62"/>
  <c r="GV24" i="62"/>
  <c r="GW24" i="62"/>
  <c r="GX24" i="62"/>
  <c r="GY24" i="62"/>
  <c r="GZ24" i="62"/>
  <c r="HA24" i="62"/>
  <c r="HB24" i="62"/>
  <c r="HC24" i="62"/>
  <c r="HD24" i="62"/>
  <c r="HE24" i="62"/>
  <c r="HF24" i="62"/>
  <c r="HG24" i="62"/>
  <c r="HH24" i="62"/>
  <c r="HI24" i="62"/>
  <c r="HJ24" i="62"/>
  <c r="HK24" i="62"/>
  <c r="HL24" i="62"/>
  <c r="HM24" i="62"/>
  <c r="HN24" i="62"/>
  <c r="HO24" i="62"/>
  <c r="HP24" i="62"/>
  <c r="HQ24" i="62"/>
  <c r="HR24" i="62"/>
  <c r="HS24" i="62"/>
  <c r="HT24" i="62"/>
  <c r="HU24" i="62"/>
  <c r="HV24" i="62"/>
  <c r="HW24" i="62"/>
  <c r="HX24" i="62"/>
  <c r="HY24" i="62"/>
  <c r="HZ24" i="62"/>
  <c r="IA24" i="62"/>
  <c r="IB24" i="62"/>
  <c r="IC24" i="62"/>
  <c r="ID24" i="62"/>
  <c r="IE24" i="62"/>
  <c r="IF24" i="62"/>
  <c r="IG24" i="62"/>
  <c r="IH24" i="62"/>
  <c r="II24" i="62"/>
  <c r="IJ24" i="62"/>
  <c r="IK24" i="62"/>
  <c r="IL24" i="62"/>
  <c r="IM24" i="62"/>
  <c r="IN24" i="62"/>
  <c r="IO24" i="62"/>
  <c r="IP24" i="62"/>
  <c r="IQ24" i="62"/>
  <c r="IR24" i="62"/>
  <c r="IS24" i="62"/>
  <c r="IT24" i="62"/>
  <c r="IU24" i="62"/>
  <c r="IV24" i="62"/>
  <c r="IW24" i="62"/>
  <c r="IX24" i="62"/>
  <c r="IY24" i="62"/>
  <c r="IZ24" i="62"/>
  <c r="JA24" i="62"/>
  <c r="JB24" i="62"/>
  <c r="JC24" i="62"/>
  <c r="JD24" i="62"/>
  <c r="JE24" i="62"/>
  <c r="JF24" i="62"/>
  <c r="JG24" i="62"/>
  <c r="JH24" i="62"/>
  <c r="JI24" i="62"/>
  <c r="JJ24" i="62"/>
  <c r="JK24" i="62"/>
  <c r="JL24" i="62"/>
  <c r="JM24" i="62"/>
  <c r="JN24" i="62"/>
  <c r="JO24" i="62"/>
  <c r="JP24" i="62"/>
  <c r="JQ24" i="62"/>
  <c r="JR24" i="62"/>
  <c r="JS24" i="62"/>
  <c r="JT24" i="62"/>
  <c r="JU24" i="62"/>
  <c r="JV24" i="62"/>
  <c r="JW24" i="62"/>
  <c r="JX24" i="62"/>
  <c r="JY24" i="62"/>
  <c r="JZ24" i="62"/>
  <c r="KA24" i="62"/>
  <c r="KB24" i="62"/>
  <c r="KC24" i="62"/>
  <c r="KD24" i="62"/>
  <c r="KE24" i="62"/>
  <c r="KF24" i="62"/>
  <c r="KG24" i="62"/>
  <c r="KH24" i="62"/>
  <c r="KI24" i="62"/>
  <c r="KJ24" i="62"/>
  <c r="KK24" i="62"/>
  <c r="KL24" i="62"/>
  <c r="KM24" i="62"/>
  <c r="KN24" i="62"/>
  <c r="KO24" i="62"/>
  <c r="KP24" i="62"/>
  <c r="KQ24" i="62"/>
  <c r="KR24" i="62"/>
  <c r="KS24" i="62"/>
  <c r="KT24" i="62"/>
  <c r="KU24" i="62"/>
  <c r="KV24" i="62"/>
  <c r="KW24" i="62"/>
  <c r="KX24" i="62"/>
  <c r="KY24" i="62"/>
  <c r="KZ24" i="62"/>
  <c r="LA24" i="62"/>
  <c r="LB24" i="62"/>
  <c r="LC24" i="62"/>
  <c r="LD24" i="62"/>
  <c r="LE24" i="62"/>
  <c r="LF24" i="62"/>
  <c r="LG24" i="62"/>
  <c r="LH24" i="62"/>
  <c r="LI24" i="62"/>
  <c r="LJ24" i="62"/>
  <c r="LK24" i="62"/>
  <c r="LL24" i="62"/>
  <c r="LM24" i="62"/>
  <c r="LN24" i="62"/>
  <c r="LO24" i="62"/>
  <c r="LP24" i="62"/>
  <c r="LQ24" i="62"/>
  <c r="LR24" i="62"/>
  <c r="LS24" i="62"/>
  <c r="LT24" i="62"/>
  <c r="LU24" i="62"/>
  <c r="LV24" i="62"/>
  <c r="LW24" i="62"/>
  <c r="C25" i="62"/>
  <c r="FO25" i="62"/>
  <c r="FP25" i="62"/>
  <c r="FQ25" i="62"/>
  <c r="FR25" i="62"/>
  <c r="FS25" i="62"/>
  <c r="FT25" i="62"/>
  <c r="FU25" i="62"/>
  <c r="FV25" i="62"/>
  <c r="FW25" i="62"/>
  <c r="FX25" i="62"/>
  <c r="FY25" i="62"/>
  <c r="FZ25" i="62"/>
  <c r="GA25" i="62"/>
  <c r="GB25" i="62"/>
  <c r="GC25" i="62"/>
  <c r="GD25" i="62"/>
  <c r="GE25" i="62"/>
  <c r="GF25" i="62"/>
  <c r="GG25" i="62"/>
  <c r="GH25" i="62"/>
  <c r="GI25" i="62"/>
  <c r="GJ25" i="62"/>
  <c r="GK25" i="62"/>
  <c r="GL25" i="62"/>
  <c r="GM25" i="62"/>
  <c r="GN25" i="62"/>
  <c r="GO25" i="62"/>
  <c r="GP25" i="62"/>
  <c r="GQ25" i="62"/>
  <c r="GR25" i="62"/>
  <c r="GS25" i="62"/>
  <c r="GT25" i="62"/>
  <c r="GU25" i="62"/>
  <c r="GV25" i="62"/>
  <c r="GW25" i="62"/>
  <c r="GX25" i="62"/>
  <c r="GY25" i="62"/>
  <c r="GZ25" i="62"/>
  <c r="HA25" i="62"/>
  <c r="HB25" i="62"/>
  <c r="HC25" i="62"/>
  <c r="HD25" i="62"/>
  <c r="HE25" i="62"/>
  <c r="HF25" i="62"/>
  <c r="HG25" i="62"/>
  <c r="HH25" i="62"/>
  <c r="HI25" i="62"/>
  <c r="HJ25" i="62"/>
  <c r="HK25" i="62"/>
  <c r="HL25" i="62"/>
  <c r="HM25" i="62"/>
  <c r="HN25" i="62"/>
  <c r="HO25" i="62"/>
  <c r="HP25" i="62"/>
  <c r="HQ25" i="62"/>
  <c r="HR25" i="62"/>
  <c r="HS25" i="62"/>
  <c r="HT25" i="62"/>
  <c r="HU25" i="62"/>
  <c r="HV25" i="62"/>
  <c r="HW25" i="62"/>
  <c r="HX25" i="62"/>
  <c r="HY25" i="62"/>
  <c r="HZ25" i="62"/>
  <c r="IA25" i="62"/>
  <c r="IB25" i="62"/>
  <c r="IC25" i="62"/>
  <c r="ID25" i="62"/>
  <c r="IE25" i="62"/>
  <c r="IF25" i="62"/>
  <c r="IG25" i="62"/>
  <c r="IH25" i="62"/>
  <c r="II25" i="62"/>
  <c r="IJ25" i="62"/>
  <c r="IK25" i="62"/>
  <c r="IL25" i="62"/>
  <c r="IM25" i="62"/>
  <c r="IN25" i="62"/>
  <c r="IO25" i="62"/>
  <c r="IP25" i="62"/>
  <c r="IQ25" i="62"/>
  <c r="IR25" i="62"/>
  <c r="IS25" i="62"/>
  <c r="IT25" i="62"/>
  <c r="IU25" i="62"/>
  <c r="IV25" i="62"/>
  <c r="IW25" i="62"/>
  <c r="IX25" i="62"/>
  <c r="IY25" i="62"/>
  <c r="IZ25" i="62"/>
  <c r="JA25" i="62"/>
  <c r="JB25" i="62"/>
  <c r="JC25" i="62"/>
  <c r="JD25" i="62"/>
  <c r="JE25" i="62"/>
  <c r="JF25" i="62"/>
  <c r="JG25" i="62"/>
  <c r="JH25" i="62"/>
  <c r="JI25" i="62"/>
  <c r="JJ25" i="62"/>
  <c r="JK25" i="62"/>
  <c r="JL25" i="62"/>
  <c r="JM25" i="62"/>
  <c r="JN25" i="62"/>
  <c r="JO25" i="62"/>
  <c r="JP25" i="62"/>
  <c r="JQ25" i="62"/>
  <c r="JR25" i="62"/>
  <c r="JS25" i="62"/>
  <c r="JT25" i="62"/>
  <c r="JU25" i="62"/>
  <c r="JV25" i="62"/>
  <c r="JW25" i="62"/>
  <c r="JX25" i="62"/>
  <c r="JY25" i="62"/>
  <c r="JZ25" i="62"/>
  <c r="KA25" i="62"/>
  <c r="KB25" i="62"/>
  <c r="KC25" i="62"/>
  <c r="KD25" i="62"/>
  <c r="KE25" i="62"/>
  <c r="KF25" i="62"/>
  <c r="KG25" i="62"/>
  <c r="KH25" i="62"/>
  <c r="KI25" i="62"/>
  <c r="KJ25" i="62"/>
  <c r="KK25" i="62"/>
  <c r="KL25" i="62"/>
  <c r="KM25" i="62"/>
  <c r="KN25" i="62"/>
  <c r="KO25" i="62"/>
  <c r="KP25" i="62"/>
  <c r="KQ25" i="62"/>
  <c r="KR25" i="62"/>
  <c r="KS25" i="62"/>
  <c r="KT25" i="62"/>
  <c r="KU25" i="62"/>
  <c r="KV25" i="62"/>
  <c r="KW25" i="62"/>
  <c r="KX25" i="62"/>
  <c r="KY25" i="62"/>
  <c r="KZ25" i="62"/>
  <c r="LA25" i="62"/>
  <c r="LB25" i="62"/>
  <c r="LC25" i="62"/>
  <c r="LD25" i="62"/>
  <c r="LE25" i="62"/>
  <c r="LF25" i="62"/>
  <c r="LG25" i="62"/>
  <c r="LH25" i="62"/>
  <c r="LI25" i="62"/>
  <c r="LJ25" i="62"/>
  <c r="LK25" i="62"/>
  <c r="LL25" i="62"/>
  <c r="LM25" i="62"/>
  <c r="LN25" i="62"/>
  <c r="LO25" i="62"/>
  <c r="LP25" i="62"/>
  <c r="LQ25" i="62"/>
  <c r="LR25" i="62"/>
  <c r="LS25" i="62"/>
  <c r="LT25" i="62"/>
  <c r="LU25" i="62"/>
  <c r="LV25" i="62"/>
  <c r="LW25" i="62"/>
  <c r="C26" i="62"/>
  <c r="FO26" i="62"/>
  <c r="FP26" i="62"/>
  <c r="FQ26" i="62"/>
  <c r="FR26" i="62"/>
  <c r="FS26" i="62"/>
  <c r="FT26" i="62"/>
  <c r="FU26" i="62"/>
  <c r="FV26" i="62"/>
  <c r="FW26" i="62"/>
  <c r="FX26" i="62"/>
  <c r="FY26" i="62"/>
  <c r="FZ26" i="62"/>
  <c r="GA26" i="62"/>
  <c r="GB26" i="62"/>
  <c r="GC26" i="62"/>
  <c r="GD26" i="62"/>
  <c r="GE26" i="62"/>
  <c r="GF26" i="62"/>
  <c r="GG26" i="62"/>
  <c r="GH26" i="62"/>
  <c r="GI26" i="62"/>
  <c r="GJ26" i="62"/>
  <c r="GK26" i="62"/>
  <c r="GL26" i="62"/>
  <c r="GM26" i="62"/>
  <c r="GN26" i="62"/>
  <c r="GO26" i="62"/>
  <c r="GP26" i="62"/>
  <c r="GQ26" i="62"/>
  <c r="GR26" i="62"/>
  <c r="GS26" i="62"/>
  <c r="GT26" i="62"/>
  <c r="GU26" i="62"/>
  <c r="GV26" i="62"/>
  <c r="GW26" i="62"/>
  <c r="GX26" i="62"/>
  <c r="GY26" i="62"/>
  <c r="GZ26" i="62"/>
  <c r="HA26" i="62"/>
  <c r="HB26" i="62"/>
  <c r="HC26" i="62"/>
  <c r="HD26" i="62"/>
  <c r="HE26" i="62"/>
  <c r="HF26" i="62"/>
  <c r="HG26" i="62"/>
  <c r="HH26" i="62"/>
  <c r="HI26" i="62"/>
  <c r="HJ26" i="62"/>
  <c r="HK26" i="62"/>
  <c r="HL26" i="62"/>
  <c r="HM26" i="62"/>
  <c r="HN26" i="62"/>
  <c r="HO26" i="62"/>
  <c r="HP26" i="62"/>
  <c r="HQ26" i="62"/>
  <c r="HR26" i="62"/>
  <c r="HS26" i="62"/>
  <c r="HT26" i="62"/>
  <c r="HU26" i="62"/>
  <c r="HV26" i="62"/>
  <c r="HW26" i="62"/>
  <c r="HX26" i="62"/>
  <c r="HY26" i="62"/>
  <c r="HZ26" i="62"/>
  <c r="IA26" i="62"/>
  <c r="IB26" i="62"/>
  <c r="IC26" i="62"/>
  <c r="ID26" i="62"/>
  <c r="IE26" i="62"/>
  <c r="IF26" i="62"/>
  <c r="IG26" i="62"/>
  <c r="IH26" i="62"/>
  <c r="II26" i="62"/>
  <c r="IJ26" i="62"/>
  <c r="IK26" i="62"/>
  <c r="IL26" i="62"/>
  <c r="IM26" i="62"/>
  <c r="IN26" i="62"/>
  <c r="IO26" i="62"/>
  <c r="IP26" i="62"/>
  <c r="IQ26" i="62"/>
  <c r="IR26" i="62"/>
  <c r="IS26" i="62"/>
  <c r="IT26" i="62"/>
  <c r="IU26" i="62"/>
  <c r="IV26" i="62"/>
  <c r="IW26" i="62"/>
  <c r="IX26" i="62"/>
  <c r="IY26" i="62"/>
  <c r="IZ26" i="62"/>
  <c r="JA26" i="62"/>
  <c r="JB26" i="62"/>
  <c r="JC26" i="62"/>
  <c r="JD26" i="62"/>
  <c r="JE26" i="62"/>
  <c r="JF26" i="62"/>
  <c r="JG26" i="62"/>
  <c r="JH26" i="62"/>
  <c r="JI26" i="62"/>
  <c r="JJ26" i="62"/>
  <c r="JK26" i="62"/>
  <c r="JL26" i="62"/>
  <c r="JM26" i="62"/>
  <c r="JN26" i="62"/>
  <c r="JO26" i="62"/>
  <c r="JP26" i="62"/>
  <c r="JQ26" i="62"/>
  <c r="JR26" i="62"/>
  <c r="JS26" i="62"/>
  <c r="JT26" i="62"/>
  <c r="JU26" i="62"/>
  <c r="JV26" i="62"/>
  <c r="JW26" i="62"/>
  <c r="JX26" i="62"/>
  <c r="JY26" i="62"/>
  <c r="JZ26" i="62"/>
  <c r="KA26" i="62"/>
  <c r="KB26" i="62"/>
  <c r="KC26" i="62"/>
  <c r="KD26" i="62"/>
  <c r="KE26" i="62"/>
  <c r="KF26" i="62"/>
  <c r="KG26" i="62"/>
  <c r="KH26" i="62"/>
  <c r="KI26" i="62"/>
  <c r="KJ26" i="62"/>
  <c r="KK26" i="62"/>
  <c r="KL26" i="62"/>
  <c r="KM26" i="62"/>
  <c r="KN26" i="62"/>
  <c r="KO26" i="62"/>
  <c r="KP26" i="62"/>
  <c r="KQ26" i="62"/>
  <c r="KR26" i="62"/>
  <c r="KS26" i="62"/>
  <c r="KT26" i="62"/>
  <c r="KU26" i="62"/>
  <c r="KV26" i="62"/>
  <c r="KW26" i="62"/>
  <c r="KX26" i="62"/>
  <c r="KY26" i="62"/>
  <c r="KZ26" i="62"/>
  <c r="LA26" i="62"/>
  <c r="LB26" i="62"/>
  <c r="LC26" i="62"/>
  <c r="LD26" i="62"/>
  <c r="LE26" i="62"/>
  <c r="LF26" i="62"/>
  <c r="LG26" i="62"/>
  <c r="LH26" i="62"/>
  <c r="LI26" i="62"/>
  <c r="LJ26" i="62"/>
  <c r="LK26" i="62"/>
  <c r="LL26" i="62"/>
  <c r="LM26" i="62"/>
  <c r="LN26" i="62"/>
  <c r="LO26" i="62"/>
  <c r="LP26" i="62"/>
  <c r="LQ26" i="62"/>
  <c r="LR26" i="62"/>
  <c r="LS26" i="62"/>
  <c r="LT26" i="62"/>
  <c r="LU26" i="62"/>
  <c r="LV26" i="62"/>
  <c r="LW26" i="62"/>
  <c r="C27" i="62"/>
  <c r="FO27" i="62"/>
  <c r="FP27" i="62"/>
  <c r="FQ27" i="62"/>
  <c r="FR27" i="62"/>
  <c r="FS27" i="62"/>
  <c r="FT27" i="62"/>
  <c r="FU27" i="62"/>
  <c r="FV27" i="62"/>
  <c r="FW27" i="62"/>
  <c r="FX27" i="62"/>
  <c r="FY27" i="62"/>
  <c r="FZ27" i="62"/>
  <c r="GA27" i="62"/>
  <c r="GB27" i="62"/>
  <c r="GC27" i="62"/>
  <c r="GD27" i="62"/>
  <c r="GE27" i="62"/>
  <c r="GF27" i="62"/>
  <c r="GG27" i="62"/>
  <c r="GH27" i="62"/>
  <c r="GI27" i="62"/>
  <c r="GJ27" i="62"/>
  <c r="GK27" i="62"/>
  <c r="GL27" i="62"/>
  <c r="GM27" i="62"/>
  <c r="GN27" i="62"/>
  <c r="GO27" i="62"/>
  <c r="GP27" i="62"/>
  <c r="GQ27" i="62"/>
  <c r="GR27" i="62"/>
  <c r="GS27" i="62"/>
  <c r="GT27" i="62"/>
  <c r="GU27" i="62"/>
  <c r="GV27" i="62"/>
  <c r="GW27" i="62"/>
  <c r="GX27" i="62"/>
  <c r="GY27" i="62"/>
  <c r="GZ27" i="62"/>
  <c r="HA27" i="62"/>
  <c r="HB27" i="62"/>
  <c r="HC27" i="62"/>
  <c r="HD27" i="62"/>
  <c r="HE27" i="62"/>
  <c r="HF27" i="62"/>
  <c r="HG27" i="62"/>
  <c r="HH27" i="62"/>
  <c r="HI27" i="62"/>
  <c r="HJ27" i="62"/>
  <c r="HK27" i="62"/>
  <c r="HL27" i="62"/>
  <c r="HM27" i="62"/>
  <c r="HN27" i="62"/>
  <c r="HO27" i="62"/>
  <c r="HP27" i="62"/>
  <c r="HQ27" i="62"/>
  <c r="HR27" i="62"/>
  <c r="HS27" i="62"/>
  <c r="HT27" i="62"/>
  <c r="HU27" i="62"/>
  <c r="HV27" i="62"/>
  <c r="HW27" i="62"/>
  <c r="HX27" i="62"/>
  <c r="HY27" i="62"/>
  <c r="HZ27" i="62"/>
  <c r="IA27" i="62"/>
  <c r="IB27" i="62"/>
  <c r="IC27" i="62"/>
  <c r="ID27" i="62"/>
  <c r="IE27" i="62"/>
  <c r="IF27" i="62"/>
  <c r="IG27" i="62"/>
  <c r="IH27" i="62"/>
  <c r="II27" i="62"/>
  <c r="IJ27" i="62"/>
  <c r="IK27" i="62"/>
  <c r="IL27" i="62"/>
  <c r="IM27" i="62"/>
  <c r="IN27" i="62"/>
  <c r="IO27" i="62"/>
  <c r="IP27" i="62"/>
  <c r="IQ27" i="62"/>
  <c r="IR27" i="62"/>
  <c r="IS27" i="62"/>
  <c r="IT27" i="62"/>
  <c r="IU27" i="62"/>
  <c r="IV27" i="62"/>
  <c r="IW27" i="62"/>
  <c r="IX27" i="62"/>
  <c r="IY27" i="62"/>
  <c r="IZ27" i="62"/>
  <c r="JA27" i="62"/>
  <c r="JB27" i="62"/>
  <c r="JC27" i="62"/>
  <c r="JD27" i="62"/>
  <c r="JE27" i="62"/>
  <c r="JF27" i="62"/>
  <c r="JG27" i="62"/>
  <c r="JH27" i="62"/>
  <c r="JI27" i="62"/>
  <c r="JJ27" i="62"/>
  <c r="JK27" i="62"/>
  <c r="JL27" i="62"/>
  <c r="JM27" i="62"/>
  <c r="JN27" i="62"/>
  <c r="JO27" i="62"/>
  <c r="JP27" i="62"/>
  <c r="JQ27" i="62"/>
  <c r="JR27" i="62"/>
  <c r="JS27" i="62"/>
  <c r="JT27" i="62"/>
  <c r="JU27" i="62"/>
  <c r="JV27" i="62"/>
  <c r="JW27" i="62"/>
  <c r="JX27" i="62"/>
  <c r="JY27" i="62"/>
  <c r="JZ27" i="62"/>
  <c r="KA27" i="62"/>
  <c r="KB27" i="62"/>
  <c r="KC27" i="62"/>
  <c r="KD27" i="62"/>
  <c r="KE27" i="62"/>
  <c r="KF27" i="62"/>
  <c r="KG27" i="62"/>
  <c r="KH27" i="62"/>
  <c r="KI27" i="62"/>
  <c r="KJ27" i="62"/>
  <c r="KK27" i="62"/>
  <c r="KL27" i="62"/>
  <c r="KM27" i="62"/>
  <c r="KN27" i="62"/>
  <c r="KO27" i="62"/>
  <c r="KP27" i="62"/>
  <c r="KQ27" i="62"/>
  <c r="KR27" i="62"/>
  <c r="KS27" i="62"/>
  <c r="KT27" i="62"/>
  <c r="KU27" i="62"/>
  <c r="KV27" i="62"/>
  <c r="KW27" i="62"/>
  <c r="KX27" i="62"/>
  <c r="KY27" i="62"/>
  <c r="KZ27" i="62"/>
  <c r="LA27" i="62"/>
  <c r="LB27" i="62"/>
  <c r="LC27" i="62"/>
  <c r="LD27" i="62"/>
  <c r="LE27" i="62"/>
  <c r="LF27" i="62"/>
  <c r="LG27" i="62"/>
  <c r="LH27" i="62"/>
  <c r="LI27" i="62"/>
  <c r="LJ27" i="62"/>
  <c r="LK27" i="62"/>
  <c r="LL27" i="62"/>
  <c r="LM27" i="62"/>
  <c r="LN27" i="62"/>
  <c r="LO27" i="62"/>
  <c r="LP27" i="62"/>
  <c r="LQ27" i="62"/>
  <c r="LR27" i="62"/>
  <c r="LS27" i="62"/>
  <c r="LT27" i="62"/>
  <c r="LU27" i="62"/>
  <c r="LV27" i="62"/>
  <c r="LW27" i="62"/>
  <c r="C28" i="62"/>
  <c r="FO28" i="62"/>
  <c r="FP28" i="62"/>
  <c r="FQ28" i="62"/>
  <c r="FR28" i="62"/>
  <c r="FS28" i="62"/>
  <c r="FT28" i="62"/>
  <c r="FU28" i="62"/>
  <c r="FV28" i="62"/>
  <c r="FW28" i="62"/>
  <c r="FX28" i="62"/>
  <c r="FY28" i="62"/>
  <c r="FZ28" i="62"/>
  <c r="GA28" i="62"/>
  <c r="GB28" i="62"/>
  <c r="GC28" i="62"/>
  <c r="GD28" i="62"/>
  <c r="GE28" i="62"/>
  <c r="GF28" i="62"/>
  <c r="GG28" i="62"/>
  <c r="GH28" i="62"/>
  <c r="GI28" i="62"/>
  <c r="GJ28" i="62"/>
  <c r="GK28" i="62"/>
  <c r="GL28" i="62"/>
  <c r="GM28" i="62"/>
  <c r="GN28" i="62"/>
  <c r="GO28" i="62"/>
  <c r="GP28" i="62"/>
  <c r="GQ28" i="62"/>
  <c r="GR28" i="62"/>
  <c r="GS28" i="62"/>
  <c r="GT28" i="62"/>
  <c r="GU28" i="62"/>
  <c r="GV28" i="62"/>
  <c r="GW28" i="62"/>
  <c r="GX28" i="62"/>
  <c r="GY28" i="62"/>
  <c r="GZ28" i="62"/>
  <c r="HA28" i="62"/>
  <c r="HB28" i="62"/>
  <c r="HC28" i="62"/>
  <c r="HD28" i="62"/>
  <c r="HE28" i="62"/>
  <c r="HF28" i="62"/>
  <c r="HG28" i="62"/>
  <c r="HH28" i="62"/>
  <c r="HI28" i="62"/>
  <c r="HJ28" i="62"/>
  <c r="HK28" i="62"/>
  <c r="HL28" i="62"/>
  <c r="HM28" i="62"/>
  <c r="HN28" i="62"/>
  <c r="HO28" i="62"/>
  <c r="HP28" i="62"/>
  <c r="HQ28" i="62"/>
  <c r="HR28" i="62"/>
  <c r="HS28" i="62"/>
  <c r="HT28" i="62"/>
  <c r="HU28" i="62"/>
  <c r="HV28" i="62"/>
  <c r="HW28" i="62"/>
  <c r="HX28" i="62"/>
  <c r="HY28" i="62"/>
  <c r="HZ28" i="62"/>
  <c r="IA28" i="62"/>
  <c r="IB28" i="62"/>
  <c r="IC28" i="62"/>
  <c r="ID28" i="62"/>
  <c r="IE28" i="62"/>
  <c r="IF28" i="62"/>
  <c r="IG28" i="62"/>
  <c r="IH28" i="62"/>
  <c r="II28" i="62"/>
  <c r="IJ28" i="62"/>
  <c r="IK28" i="62"/>
  <c r="IL28" i="62"/>
  <c r="IM28" i="62"/>
  <c r="IN28" i="62"/>
  <c r="IO28" i="62"/>
  <c r="IP28" i="62"/>
  <c r="IQ28" i="62"/>
  <c r="IR28" i="62"/>
  <c r="IS28" i="62"/>
  <c r="IT28" i="62"/>
  <c r="IU28" i="62"/>
  <c r="IV28" i="62"/>
  <c r="IW28" i="62"/>
  <c r="IX28" i="62"/>
  <c r="IY28" i="62"/>
  <c r="IZ28" i="62"/>
  <c r="JA28" i="62"/>
  <c r="JB28" i="62"/>
  <c r="JC28" i="62"/>
  <c r="JD28" i="62"/>
  <c r="JE28" i="62"/>
  <c r="JF28" i="62"/>
  <c r="JG28" i="62"/>
  <c r="JH28" i="62"/>
  <c r="JI28" i="62"/>
  <c r="JJ28" i="62"/>
  <c r="JK28" i="62"/>
  <c r="JL28" i="62"/>
  <c r="JM28" i="62"/>
  <c r="JN28" i="62"/>
  <c r="JO28" i="62"/>
  <c r="JP28" i="62"/>
  <c r="JQ28" i="62"/>
  <c r="JR28" i="62"/>
  <c r="JS28" i="62"/>
  <c r="JT28" i="62"/>
  <c r="JU28" i="62"/>
  <c r="JV28" i="62"/>
  <c r="JW28" i="62"/>
  <c r="JX28" i="62"/>
  <c r="JY28" i="62"/>
  <c r="JZ28" i="62"/>
  <c r="KA28" i="62"/>
  <c r="KB28" i="62"/>
  <c r="KC28" i="62"/>
  <c r="KD28" i="62"/>
  <c r="KE28" i="62"/>
  <c r="KF28" i="62"/>
  <c r="KG28" i="62"/>
  <c r="KH28" i="62"/>
  <c r="KI28" i="62"/>
  <c r="KJ28" i="62"/>
  <c r="KK28" i="62"/>
  <c r="KL28" i="62"/>
  <c r="KM28" i="62"/>
  <c r="KN28" i="62"/>
  <c r="KO28" i="62"/>
  <c r="KP28" i="62"/>
  <c r="KQ28" i="62"/>
  <c r="KR28" i="62"/>
  <c r="KS28" i="62"/>
  <c r="KT28" i="62"/>
  <c r="KU28" i="62"/>
  <c r="KV28" i="62"/>
  <c r="KW28" i="62"/>
  <c r="KX28" i="62"/>
  <c r="KY28" i="62"/>
  <c r="KZ28" i="62"/>
  <c r="LA28" i="62"/>
  <c r="LB28" i="62"/>
  <c r="LC28" i="62"/>
  <c r="LD28" i="62"/>
  <c r="LE28" i="62"/>
  <c r="LF28" i="62"/>
  <c r="LG28" i="62"/>
  <c r="LH28" i="62"/>
  <c r="LI28" i="62"/>
  <c r="LJ28" i="62"/>
  <c r="LK28" i="62"/>
  <c r="LL28" i="62"/>
  <c r="LM28" i="62"/>
  <c r="LN28" i="62"/>
  <c r="LO28" i="62"/>
  <c r="LP28" i="62"/>
  <c r="LQ28" i="62"/>
  <c r="LR28" i="62"/>
  <c r="LS28" i="62"/>
  <c r="LT28" i="62"/>
  <c r="LU28" i="62"/>
  <c r="LV28" i="62"/>
  <c r="LW28" i="62"/>
  <c r="C4" i="62"/>
  <c r="C4" i="39"/>
  <c r="D5" i="41" l="1" a="1"/>
  <c r="E5" i="41" s="1"/>
  <c r="D4" i="41" a="1"/>
  <c r="D4" i="41" s="1"/>
  <c r="D5" i="41" l="1"/>
  <c r="L5" i="41"/>
  <c r="K5" i="41"/>
  <c r="R5" i="41"/>
  <c r="J5" i="41"/>
  <c r="Q5" i="41"/>
  <c r="I5" i="41"/>
  <c r="P5" i="41"/>
  <c r="H5" i="41"/>
  <c r="O5" i="41"/>
  <c r="G5" i="41"/>
  <c r="N5" i="41"/>
  <c r="F5" i="41"/>
  <c r="M5" i="41"/>
  <c r="K4" i="41"/>
  <c r="J4" i="41"/>
  <c r="I4" i="41"/>
  <c r="G4" i="41"/>
  <c r="R4" i="41"/>
  <c r="Q4" i="41"/>
  <c r="P4" i="41"/>
  <c r="H4" i="41"/>
  <c r="O4" i="41"/>
  <c r="N4" i="41"/>
  <c r="F4" i="41"/>
  <c r="M4" i="41"/>
  <c r="E4" i="41"/>
  <c r="L4" i="41"/>
  <c r="C4" i="41"/>
  <c r="C28" i="70" l="1"/>
  <c r="C27" i="70"/>
  <c r="C26" i="70"/>
  <c r="C25" i="70"/>
  <c r="C24" i="70"/>
  <c r="C23" i="70"/>
  <c r="C22" i="70"/>
  <c r="C21" i="70"/>
  <c r="C20" i="70"/>
  <c r="C19" i="70"/>
  <c r="C18" i="70"/>
  <c r="C17" i="70"/>
  <c r="C16" i="70"/>
  <c r="C15" i="70"/>
  <c r="C14" i="70"/>
  <c r="C13" i="70"/>
  <c r="C12" i="70"/>
  <c r="C11" i="70"/>
  <c r="C10" i="70"/>
  <c r="C9" i="70"/>
  <c r="C8" i="70"/>
  <c r="C7" i="70"/>
  <c r="C6" i="70"/>
  <c r="C5" i="70"/>
  <c r="C4" i="70"/>
  <c r="FN181" i="41"/>
  <c r="FN182" i="41"/>
  <c r="FN183" i="41"/>
  <c r="FN184" i="41"/>
  <c r="FN185" i="41"/>
  <c r="FN186" i="41"/>
  <c r="FN188" i="41"/>
  <c r="FN189" i="41"/>
  <c r="FM181" i="41"/>
  <c r="FM182" i="41"/>
  <c r="FM183" i="41"/>
  <c r="FM184" i="41"/>
  <c r="FM185" i="41"/>
  <c r="FM186" i="41"/>
  <c r="FM188" i="41"/>
  <c r="FM189" i="41"/>
  <c r="FL181" i="41"/>
  <c r="FL182" i="41"/>
  <c r="FL183" i="41"/>
  <c r="FL184" i="41"/>
  <c r="FL185" i="41"/>
  <c r="FL186" i="41"/>
  <c r="FL188" i="41"/>
  <c r="FL189" i="41"/>
  <c r="FK181" i="41"/>
  <c r="FK182" i="41"/>
  <c r="FK183" i="41"/>
  <c r="FK184" i="41"/>
  <c r="FK185" i="41"/>
  <c r="FK186" i="41"/>
  <c r="FK188" i="41"/>
  <c r="FK189" i="41"/>
  <c r="FJ181" i="41"/>
  <c r="FJ182" i="41"/>
  <c r="FJ183" i="41"/>
  <c r="FJ184" i="41"/>
  <c r="FJ185" i="41"/>
  <c r="FJ186" i="41"/>
  <c r="FJ188" i="41"/>
  <c r="FJ189" i="41"/>
  <c r="FI181" i="41"/>
  <c r="FI182" i="41"/>
  <c r="FI183" i="41"/>
  <c r="FI184" i="41"/>
  <c r="FI185" i="41"/>
  <c r="FI186" i="41"/>
  <c r="FI188" i="41"/>
  <c r="FI189" i="41"/>
  <c r="FH181" i="41"/>
  <c r="FH182" i="41"/>
  <c r="FH183" i="41"/>
  <c r="FH184" i="41"/>
  <c r="FH185" i="41"/>
  <c r="FH186" i="41"/>
  <c r="FH188" i="41"/>
  <c r="FH189" i="41"/>
  <c r="FG181" i="41"/>
  <c r="FG182" i="41"/>
  <c r="FG183" i="41"/>
  <c r="FG184" i="41"/>
  <c r="FG185" i="41"/>
  <c r="FG186" i="41"/>
  <c r="FG188" i="41"/>
  <c r="FG189" i="41"/>
  <c r="FF181" i="41"/>
  <c r="FF182" i="41"/>
  <c r="FF183" i="41"/>
  <c r="FF184" i="41"/>
  <c r="FF185" i="41"/>
  <c r="FF186" i="41"/>
  <c r="FF188" i="41"/>
  <c r="FF189" i="41"/>
  <c r="FE181" i="41"/>
  <c r="FE182" i="41"/>
  <c r="FE183" i="41"/>
  <c r="FE184" i="41"/>
  <c r="FE185" i="41"/>
  <c r="FE186" i="41"/>
  <c r="FE188" i="41"/>
  <c r="FE189" i="41"/>
  <c r="FD181" i="41"/>
  <c r="FD182" i="41"/>
  <c r="FD183" i="41"/>
  <c r="FD184" i="41"/>
  <c r="FD185" i="41"/>
  <c r="FD186" i="41"/>
  <c r="FD188" i="41"/>
  <c r="FD189" i="41"/>
  <c r="FC181" i="41"/>
  <c r="FC182" i="41"/>
  <c r="FC183" i="41"/>
  <c r="FC184" i="41"/>
  <c r="FC185" i="41"/>
  <c r="FC186" i="41"/>
  <c r="FC188" i="41"/>
  <c r="FC189" i="41"/>
  <c r="FB181" i="41"/>
  <c r="FB182" i="41"/>
  <c r="FB183" i="41"/>
  <c r="FB184" i="41"/>
  <c r="FB185" i="41"/>
  <c r="FB186" i="41"/>
  <c r="FB188" i="41"/>
  <c r="FB189" i="41"/>
  <c r="FA181" i="41"/>
  <c r="FA182" i="41"/>
  <c r="FA183" i="41"/>
  <c r="FA184" i="41"/>
  <c r="FA185" i="41"/>
  <c r="FA186" i="41"/>
  <c r="FA188" i="41"/>
  <c r="FA189" i="41"/>
  <c r="EZ181" i="41"/>
  <c r="EZ182" i="41"/>
  <c r="EZ183" i="41"/>
  <c r="EZ184" i="41"/>
  <c r="EZ185" i="41"/>
  <c r="EZ186" i="41"/>
  <c r="EZ188" i="41"/>
  <c r="EZ189" i="41"/>
  <c r="EY181" i="41"/>
  <c r="EY182" i="41"/>
  <c r="EY183" i="41"/>
  <c r="EY184" i="41"/>
  <c r="EY185" i="41"/>
  <c r="EY186" i="41"/>
  <c r="EY188" i="41"/>
  <c r="EY189" i="41"/>
  <c r="EX181" i="41"/>
  <c r="EX182" i="41"/>
  <c r="EX183" i="41"/>
  <c r="EX184" i="41"/>
  <c r="EX185" i="41"/>
  <c r="EX186" i="41"/>
  <c r="EX188" i="41"/>
  <c r="EX189" i="41"/>
  <c r="EW181" i="41"/>
  <c r="EW182" i="41"/>
  <c r="EW183" i="41"/>
  <c r="EW184" i="41"/>
  <c r="EW185" i="41"/>
  <c r="EW186" i="41"/>
  <c r="EW188" i="41"/>
  <c r="EW189" i="41"/>
  <c r="EV181" i="41"/>
  <c r="EV182" i="41"/>
  <c r="EV183" i="41"/>
  <c r="EV184" i="41"/>
  <c r="EV185" i="41"/>
  <c r="EV186" i="41"/>
  <c r="EV188" i="41"/>
  <c r="EV189" i="41"/>
  <c r="EU181" i="41"/>
  <c r="EU182" i="41"/>
  <c r="EU183" i="41"/>
  <c r="EU184" i="41"/>
  <c r="EU185" i="41"/>
  <c r="EU186" i="41"/>
  <c r="EU188" i="41"/>
  <c r="EU189" i="41"/>
  <c r="ET181" i="41"/>
  <c r="ET182" i="41"/>
  <c r="ET183" i="41"/>
  <c r="ET184" i="41"/>
  <c r="ET185" i="41"/>
  <c r="ET186" i="41"/>
  <c r="ET188" i="41"/>
  <c r="ET189" i="41"/>
  <c r="ES181" i="41"/>
  <c r="ES182" i="41"/>
  <c r="ES183" i="41"/>
  <c r="ES184" i="41"/>
  <c r="ES185" i="41"/>
  <c r="ES186" i="41"/>
  <c r="ES188" i="41"/>
  <c r="ES189" i="41"/>
  <c r="ER181" i="41"/>
  <c r="ER182" i="41"/>
  <c r="ER183" i="41"/>
  <c r="ER184" i="41"/>
  <c r="ER185" i="41"/>
  <c r="ER186" i="41"/>
  <c r="ER188" i="41"/>
  <c r="ER189" i="41"/>
  <c r="EQ181" i="41"/>
  <c r="EQ182" i="41"/>
  <c r="EQ183" i="41"/>
  <c r="EQ184" i="41"/>
  <c r="EQ185" i="41"/>
  <c r="EQ186" i="41"/>
  <c r="EQ188" i="41"/>
  <c r="EQ189" i="41"/>
  <c r="EP181" i="41"/>
  <c r="EP182" i="41"/>
  <c r="EP183" i="41"/>
  <c r="EP184" i="41"/>
  <c r="EP185" i="41"/>
  <c r="EP186" i="41"/>
  <c r="EP188" i="41"/>
  <c r="EP189" i="41"/>
  <c r="EO181" i="41"/>
  <c r="EO182" i="41"/>
  <c r="EO183" i="41"/>
  <c r="EO184" i="41"/>
  <c r="EO185" i="41"/>
  <c r="EO186" i="41"/>
  <c r="EO188" i="41"/>
  <c r="EO189" i="41"/>
  <c r="EN181" i="41"/>
  <c r="EN182" i="41"/>
  <c r="EN183" i="41"/>
  <c r="EN184" i="41"/>
  <c r="EN185" i="41"/>
  <c r="EN186" i="41"/>
  <c r="EN188" i="41"/>
  <c r="EN189" i="41"/>
  <c r="EM181" i="41"/>
  <c r="EM182" i="41"/>
  <c r="EM183" i="41"/>
  <c r="EM184" i="41"/>
  <c r="EM185" i="41"/>
  <c r="EM186" i="41"/>
  <c r="EM188" i="41"/>
  <c r="EM189" i="41"/>
  <c r="EL181" i="41"/>
  <c r="EL182" i="41"/>
  <c r="EL183" i="41"/>
  <c r="EL184" i="41"/>
  <c r="EL185" i="41"/>
  <c r="EL186" i="41"/>
  <c r="EL188" i="41"/>
  <c r="EL189" i="41"/>
  <c r="EK181" i="41"/>
  <c r="EK182" i="41"/>
  <c r="EK183" i="41"/>
  <c r="EK184" i="41"/>
  <c r="EK185" i="41"/>
  <c r="EK186" i="41"/>
  <c r="EK188" i="41"/>
  <c r="EK189" i="41"/>
  <c r="EJ181" i="41"/>
  <c r="EJ182" i="41"/>
  <c r="EJ183" i="41"/>
  <c r="EJ184" i="41"/>
  <c r="EJ185" i="41"/>
  <c r="EJ186" i="41"/>
  <c r="EJ188" i="41"/>
  <c r="EJ189" i="41"/>
  <c r="EI181" i="41"/>
  <c r="EI182" i="41"/>
  <c r="EI183" i="41"/>
  <c r="EI184" i="41"/>
  <c r="EI185" i="41"/>
  <c r="EI186" i="41"/>
  <c r="EI188" i="41"/>
  <c r="EI189" i="41"/>
  <c r="EH181" i="41"/>
  <c r="EH182" i="41"/>
  <c r="EH183" i="41"/>
  <c r="EH184" i="41"/>
  <c r="EH185" i="41"/>
  <c r="EH186" i="41"/>
  <c r="EH188" i="41"/>
  <c r="EH189" i="41"/>
  <c r="EG181" i="41"/>
  <c r="EG182" i="41"/>
  <c r="EG183" i="41"/>
  <c r="EG184" i="41"/>
  <c r="EG185" i="41"/>
  <c r="EG186" i="41"/>
  <c r="EG188" i="41"/>
  <c r="EG189" i="41"/>
  <c r="EF181" i="41"/>
  <c r="EF182" i="41"/>
  <c r="EF183" i="41"/>
  <c r="EF184" i="41"/>
  <c r="EF185" i="41"/>
  <c r="EF186" i="41"/>
  <c r="EF188" i="41"/>
  <c r="EF189" i="41"/>
  <c r="EE181" i="41"/>
  <c r="EE182" i="41"/>
  <c r="EE183" i="41"/>
  <c r="EE184" i="41"/>
  <c r="EE185" i="41"/>
  <c r="EE186" i="41"/>
  <c r="EE188" i="41"/>
  <c r="EE189" i="41"/>
  <c r="ED181" i="41"/>
  <c r="ED182" i="41"/>
  <c r="ED183" i="41"/>
  <c r="ED184" i="41"/>
  <c r="ED185" i="41"/>
  <c r="ED186" i="41"/>
  <c r="ED188" i="41"/>
  <c r="ED189" i="41"/>
  <c r="EC181" i="41"/>
  <c r="EC182" i="41"/>
  <c r="EC183" i="41"/>
  <c r="EC184" i="41"/>
  <c r="EC185" i="41"/>
  <c r="EC186" i="41"/>
  <c r="EC188" i="41"/>
  <c r="EC189" i="41"/>
  <c r="EB181" i="41"/>
  <c r="EB182" i="41"/>
  <c r="EB183" i="41"/>
  <c r="EB184" i="41"/>
  <c r="EB185" i="41"/>
  <c r="EB186" i="41"/>
  <c r="EB188" i="41"/>
  <c r="EB189" i="41"/>
  <c r="EA181" i="41"/>
  <c r="EA182" i="41"/>
  <c r="EA183" i="41"/>
  <c r="EA184" i="41"/>
  <c r="EA185" i="41"/>
  <c r="EA186" i="41"/>
  <c r="EA188" i="41"/>
  <c r="EA189" i="41"/>
  <c r="DZ181" i="41"/>
  <c r="DZ182" i="41"/>
  <c r="DZ183" i="41"/>
  <c r="DZ184" i="41"/>
  <c r="DZ185" i="41"/>
  <c r="DZ186" i="41"/>
  <c r="DZ188" i="41"/>
  <c r="DZ189" i="41"/>
  <c r="DY181" i="41"/>
  <c r="DY182" i="41"/>
  <c r="DY183" i="41"/>
  <c r="DY184" i="41"/>
  <c r="DY185" i="41"/>
  <c r="DY186" i="41"/>
  <c r="DY188" i="41"/>
  <c r="DY189" i="41"/>
  <c r="DX181" i="41"/>
  <c r="DX182" i="41"/>
  <c r="DX183" i="41"/>
  <c r="DX184" i="41"/>
  <c r="DX185" i="41"/>
  <c r="DX186" i="41"/>
  <c r="DX188" i="41"/>
  <c r="DX189" i="41"/>
  <c r="DW181" i="41"/>
  <c r="DW182" i="41"/>
  <c r="DW183" i="41"/>
  <c r="DW184" i="41"/>
  <c r="DW185" i="41"/>
  <c r="DW186" i="41"/>
  <c r="DW188" i="41"/>
  <c r="DW189" i="41"/>
  <c r="DV181" i="41"/>
  <c r="DV182" i="41"/>
  <c r="DV183" i="41"/>
  <c r="DV184" i="41"/>
  <c r="DV185" i="41"/>
  <c r="DV186" i="41"/>
  <c r="DV188" i="41"/>
  <c r="DV189" i="41"/>
  <c r="DU181" i="41"/>
  <c r="DU182" i="41"/>
  <c r="DU183" i="41"/>
  <c r="DU184" i="41"/>
  <c r="DU185" i="41"/>
  <c r="DU186" i="41"/>
  <c r="DU188" i="41"/>
  <c r="DU189" i="41"/>
  <c r="DT181" i="41"/>
  <c r="DT182" i="41"/>
  <c r="DT183" i="41"/>
  <c r="DT184" i="41"/>
  <c r="DT185" i="41"/>
  <c r="DT186" i="41"/>
  <c r="DT188" i="41"/>
  <c r="DT189" i="41"/>
  <c r="DS181" i="41"/>
  <c r="DS182" i="41"/>
  <c r="DS183" i="41"/>
  <c r="DS184" i="41"/>
  <c r="DS185" i="41"/>
  <c r="DS186" i="41"/>
  <c r="DS188" i="41"/>
  <c r="DS189" i="41"/>
  <c r="DR181" i="41"/>
  <c r="DR182" i="41"/>
  <c r="DR183" i="41"/>
  <c r="DR184" i="41"/>
  <c r="DR185" i="41"/>
  <c r="DR186" i="41"/>
  <c r="DR188" i="41"/>
  <c r="DR189" i="41"/>
  <c r="DQ181" i="41"/>
  <c r="DQ182" i="41"/>
  <c r="DQ183" i="41"/>
  <c r="DQ184" i="41"/>
  <c r="DQ185" i="41"/>
  <c r="DQ186" i="41"/>
  <c r="DQ188" i="41"/>
  <c r="DQ189" i="41"/>
  <c r="DP181" i="41"/>
  <c r="DP182" i="41"/>
  <c r="DP183" i="41"/>
  <c r="DP184" i="41"/>
  <c r="DP185" i="41"/>
  <c r="DP186" i="41"/>
  <c r="DP188" i="41"/>
  <c r="DP189" i="41"/>
  <c r="DO181" i="41"/>
  <c r="DO182" i="41"/>
  <c r="DO183" i="41"/>
  <c r="DO184" i="41"/>
  <c r="DO185" i="41"/>
  <c r="DO186" i="41"/>
  <c r="DO188" i="41"/>
  <c r="DO189" i="41"/>
  <c r="DN181" i="41"/>
  <c r="DN182" i="41"/>
  <c r="DN183" i="41"/>
  <c r="DN184" i="41"/>
  <c r="DN185" i="41"/>
  <c r="DN186" i="41"/>
  <c r="DN188" i="41"/>
  <c r="DN189" i="41"/>
  <c r="DM181" i="41"/>
  <c r="DM182" i="41"/>
  <c r="DM183" i="41"/>
  <c r="DM184" i="41"/>
  <c r="DM185" i="41"/>
  <c r="DM186" i="41"/>
  <c r="DM188" i="41"/>
  <c r="DM189" i="41"/>
  <c r="DL181" i="41"/>
  <c r="DL182" i="41"/>
  <c r="DL183" i="41"/>
  <c r="DL184" i="41"/>
  <c r="DL185" i="41"/>
  <c r="DL186" i="41"/>
  <c r="DL188" i="41"/>
  <c r="DL189" i="41"/>
  <c r="DK181" i="41"/>
  <c r="DK182" i="41"/>
  <c r="DK183" i="41"/>
  <c r="DK184" i="41"/>
  <c r="DK185" i="41"/>
  <c r="DK186" i="41"/>
  <c r="DK188" i="41"/>
  <c r="DK189" i="41"/>
  <c r="DJ181" i="41"/>
  <c r="DJ182" i="41"/>
  <c r="DJ183" i="41"/>
  <c r="DJ184" i="41"/>
  <c r="DJ185" i="41"/>
  <c r="DJ186" i="41"/>
  <c r="DJ188" i="41"/>
  <c r="DJ189" i="41"/>
  <c r="DI181" i="41"/>
  <c r="DI182" i="41"/>
  <c r="DI183" i="41"/>
  <c r="DI184" i="41"/>
  <c r="DI185" i="41"/>
  <c r="DI186" i="41"/>
  <c r="DI188" i="41"/>
  <c r="DI189" i="41"/>
  <c r="DH181" i="41"/>
  <c r="DH182" i="41"/>
  <c r="DH183" i="41"/>
  <c r="DH184" i="41"/>
  <c r="DH185" i="41"/>
  <c r="DH186" i="41"/>
  <c r="DH188" i="41"/>
  <c r="DH189" i="41"/>
  <c r="DG181" i="41"/>
  <c r="DG182" i="41"/>
  <c r="DG183" i="41"/>
  <c r="DG184" i="41"/>
  <c r="DG185" i="41"/>
  <c r="DG186" i="41"/>
  <c r="DG188" i="41"/>
  <c r="DG189" i="41"/>
  <c r="DF181" i="41"/>
  <c r="DF182" i="41"/>
  <c r="DF183" i="41"/>
  <c r="DF184" i="41"/>
  <c r="DF185" i="41"/>
  <c r="DF186" i="41"/>
  <c r="DF188" i="41"/>
  <c r="DF189" i="41"/>
  <c r="DE181" i="41"/>
  <c r="DE182" i="41"/>
  <c r="DE183" i="41"/>
  <c r="DE184" i="41"/>
  <c r="DE185" i="41"/>
  <c r="DE186" i="41"/>
  <c r="DE188" i="41"/>
  <c r="DE189" i="41"/>
  <c r="DD181" i="41"/>
  <c r="DD182" i="41"/>
  <c r="DD183" i="41"/>
  <c r="DD184" i="41"/>
  <c r="DD185" i="41"/>
  <c r="DD186" i="41"/>
  <c r="DD188" i="41"/>
  <c r="DD189" i="41"/>
  <c r="DC181" i="41"/>
  <c r="DC182" i="41"/>
  <c r="DC183" i="41"/>
  <c r="DC184" i="41"/>
  <c r="DC185" i="41"/>
  <c r="DC186" i="41"/>
  <c r="DC188" i="41"/>
  <c r="DC189" i="41"/>
  <c r="DB181" i="41"/>
  <c r="DB182" i="41"/>
  <c r="DB183" i="41"/>
  <c r="DB184" i="41"/>
  <c r="DB185" i="41"/>
  <c r="DB186" i="41"/>
  <c r="DB188" i="41"/>
  <c r="DB189" i="41"/>
  <c r="DA181" i="41"/>
  <c r="DA182" i="41"/>
  <c r="DA183" i="41"/>
  <c r="DA184" i="41"/>
  <c r="DA185" i="41"/>
  <c r="DA186" i="41"/>
  <c r="DA188" i="41"/>
  <c r="DA189" i="41"/>
  <c r="CZ181" i="41"/>
  <c r="CZ182" i="41"/>
  <c r="CZ183" i="41"/>
  <c r="CZ184" i="41"/>
  <c r="CZ185" i="41"/>
  <c r="CZ186" i="41"/>
  <c r="CZ188" i="41"/>
  <c r="CZ189" i="41"/>
  <c r="CY181" i="41"/>
  <c r="CY182" i="41"/>
  <c r="CY183" i="41"/>
  <c r="CY184" i="41"/>
  <c r="CY185" i="41"/>
  <c r="CY186" i="41"/>
  <c r="CY188" i="41"/>
  <c r="CY189" i="41"/>
  <c r="CX181" i="41"/>
  <c r="CX182" i="41"/>
  <c r="CX183" i="41"/>
  <c r="CX184" i="41"/>
  <c r="CX185" i="41"/>
  <c r="CX186" i="41"/>
  <c r="CX188" i="41"/>
  <c r="CX189" i="41"/>
  <c r="CW181" i="41"/>
  <c r="CW182" i="41"/>
  <c r="CW183" i="41"/>
  <c r="CW184" i="41"/>
  <c r="CW185" i="41"/>
  <c r="CW186" i="41"/>
  <c r="CW188" i="41"/>
  <c r="CW189" i="41"/>
  <c r="CV181" i="41"/>
  <c r="CV182" i="41"/>
  <c r="CV183" i="41"/>
  <c r="CV184" i="41"/>
  <c r="CV185" i="41"/>
  <c r="CV186" i="41"/>
  <c r="CV188" i="41"/>
  <c r="CV189" i="41"/>
  <c r="CU181" i="41"/>
  <c r="CU182" i="41"/>
  <c r="CU183" i="41"/>
  <c r="CU184" i="41"/>
  <c r="CU185" i="41"/>
  <c r="CU186" i="41"/>
  <c r="CU188" i="41"/>
  <c r="CU189" i="41"/>
  <c r="CT181" i="41"/>
  <c r="CT182" i="41"/>
  <c r="CT183" i="41"/>
  <c r="CT184" i="41"/>
  <c r="CT185" i="41"/>
  <c r="CT186" i="41"/>
  <c r="CT188" i="41"/>
  <c r="CT189" i="41"/>
  <c r="CS181" i="41"/>
  <c r="CS182" i="41"/>
  <c r="CS183" i="41"/>
  <c r="CS184" i="41"/>
  <c r="CS185" i="41"/>
  <c r="CS186" i="41"/>
  <c r="CS188" i="41"/>
  <c r="CS189" i="41"/>
  <c r="CR181" i="41"/>
  <c r="CR182" i="41"/>
  <c r="CR183" i="41"/>
  <c r="CR184" i="41"/>
  <c r="CR185" i="41"/>
  <c r="CR186" i="41"/>
  <c r="CR188" i="41"/>
  <c r="CR189" i="41"/>
  <c r="CQ181" i="41"/>
  <c r="CQ182" i="41"/>
  <c r="CQ183" i="41"/>
  <c r="CQ184" i="41"/>
  <c r="CQ185" i="41"/>
  <c r="CQ186" i="41"/>
  <c r="CQ188" i="41"/>
  <c r="CQ189" i="41"/>
  <c r="CP181" i="41"/>
  <c r="CP182" i="41"/>
  <c r="CP183" i="41"/>
  <c r="CP184" i="41"/>
  <c r="CP185" i="41"/>
  <c r="CP186" i="41"/>
  <c r="CP188" i="41"/>
  <c r="CP189" i="41"/>
  <c r="CO181" i="41"/>
  <c r="CO182" i="41"/>
  <c r="CO183" i="41"/>
  <c r="CO184" i="41"/>
  <c r="CO185" i="41"/>
  <c r="CO186" i="41"/>
  <c r="CO188" i="41"/>
  <c r="CO189" i="41"/>
  <c r="CN181" i="41"/>
  <c r="CN182" i="41"/>
  <c r="CN183" i="41"/>
  <c r="CN184" i="41"/>
  <c r="CN185" i="41"/>
  <c r="CN186" i="41"/>
  <c r="CN188" i="41"/>
  <c r="CN189" i="41"/>
  <c r="CM181" i="41"/>
  <c r="CM182" i="41"/>
  <c r="CM183" i="41"/>
  <c r="CM184" i="41"/>
  <c r="CM185" i="41"/>
  <c r="CM186" i="41"/>
  <c r="CM188" i="41"/>
  <c r="CM189" i="41"/>
  <c r="CL181" i="41"/>
  <c r="CL182" i="41"/>
  <c r="CL183" i="41"/>
  <c r="CL184" i="41"/>
  <c r="CL185" i="41"/>
  <c r="CL186" i="41"/>
  <c r="CL188" i="41"/>
  <c r="CL189" i="41"/>
  <c r="CK181" i="41"/>
  <c r="CK182" i="41"/>
  <c r="CK183" i="41"/>
  <c r="CK184" i="41"/>
  <c r="CK185" i="41"/>
  <c r="CK186" i="41"/>
  <c r="CK188" i="41"/>
  <c r="CK189" i="41"/>
  <c r="CJ181" i="41"/>
  <c r="CJ182" i="41"/>
  <c r="CJ183" i="41"/>
  <c r="CJ184" i="41"/>
  <c r="CJ185" i="41"/>
  <c r="CJ186" i="41"/>
  <c r="CJ188" i="41"/>
  <c r="CJ189" i="41"/>
  <c r="CI181" i="41"/>
  <c r="CI182" i="41"/>
  <c r="CI183" i="41"/>
  <c r="CI184" i="41"/>
  <c r="CI185" i="41"/>
  <c r="CI186" i="41"/>
  <c r="CI188" i="41"/>
  <c r="CI189" i="41"/>
  <c r="CH181" i="41"/>
  <c r="CH182" i="41"/>
  <c r="CH183" i="41"/>
  <c r="CH184" i="41"/>
  <c r="CH185" i="41"/>
  <c r="CH186" i="41"/>
  <c r="CH188" i="41"/>
  <c r="CH189" i="41"/>
  <c r="CG181" i="41"/>
  <c r="CG182" i="41"/>
  <c r="CG183" i="41"/>
  <c r="CG184" i="41"/>
  <c r="CG185" i="41"/>
  <c r="CG186" i="41"/>
  <c r="CG188" i="41"/>
  <c r="CG189" i="41"/>
  <c r="CF181" i="41"/>
  <c r="CF182" i="41"/>
  <c r="CF183" i="41"/>
  <c r="CF184" i="41"/>
  <c r="CF185" i="41"/>
  <c r="CF186" i="41"/>
  <c r="CF188" i="41"/>
  <c r="CF189" i="41"/>
  <c r="CE181" i="41"/>
  <c r="CE182" i="41"/>
  <c r="CE183" i="41"/>
  <c r="CE184" i="41"/>
  <c r="CE185" i="41"/>
  <c r="CE186" i="41"/>
  <c r="CE188" i="41"/>
  <c r="CE189" i="41"/>
  <c r="CD181" i="41"/>
  <c r="CD182" i="41"/>
  <c r="CD183" i="41"/>
  <c r="CD184" i="41"/>
  <c r="CD185" i="41"/>
  <c r="CD186" i="41"/>
  <c r="CD188" i="41"/>
  <c r="CD189" i="41"/>
  <c r="CC181" i="41"/>
  <c r="CC182" i="41"/>
  <c r="CC183" i="41"/>
  <c r="CC184" i="41"/>
  <c r="CC185" i="41"/>
  <c r="CC186" i="41"/>
  <c r="CC188" i="41"/>
  <c r="CC189" i="41"/>
  <c r="CB181" i="41"/>
  <c r="CB182" i="41"/>
  <c r="CB183" i="41"/>
  <c r="CB184" i="41"/>
  <c r="CB185" i="41"/>
  <c r="CB186" i="41"/>
  <c r="CB188" i="41"/>
  <c r="CB189" i="41"/>
  <c r="CA181" i="41"/>
  <c r="CA182" i="41"/>
  <c r="CA183" i="41"/>
  <c r="CA184" i="41"/>
  <c r="CA185" i="41"/>
  <c r="CA186" i="41"/>
  <c r="CA188" i="41"/>
  <c r="CA189" i="41"/>
  <c r="BZ181" i="41"/>
  <c r="BZ182" i="41"/>
  <c r="BZ183" i="41"/>
  <c r="BZ184" i="41"/>
  <c r="BZ185" i="41"/>
  <c r="BZ186" i="41"/>
  <c r="BZ188" i="41"/>
  <c r="BZ189" i="41"/>
  <c r="BY181" i="41"/>
  <c r="BY182" i="41"/>
  <c r="BY183" i="41"/>
  <c r="BY184" i="41"/>
  <c r="BY185" i="41"/>
  <c r="BY186" i="41"/>
  <c r="BY188" i="41"/>
  <c r="BY189" i="41"/>
  <c r="BX181" i="41"/>
  <c r="BX182" i="41"/>
  <c r="BX183" i="41"/>
  <c r="BX184" i="41"/>
  <c r="BX185" i="41"/>
  <c r="BX186" i="41"/>
  <c r="BX188" i="41"/>
  <c r="BX189" i="41"/>
  <c r="BW181" i="41"/>
  <c r="BW182" i="41"/>
  <c r="BW183" i="41"/>
  <c r="BW184" i="41"/>
  <c r="BW185" i="41"/>
  <c r="BW186" i="41"/>
  <c r="BW188" i="41"/>
  <c r="BW189" i="41"/>
  <c r="BV181" i="41"/>
  <c r="BV182" i="41"/>
  <c r="BV183" i="41"/>
  <c r="BV184" i="41"/>
  <c r="BV185" i="41"/>
  <c r="BV186" i="41"/>
  <c r="BV188" i="41"/>
  <c r="BV189" i="41"/>
  <c r="BU181" i="41"/>
  <c r="BU182" i="41"/>
  <c r="BU183" i="41"/>
  <c r="BU184" i="41"/>
  <c r="BU185" i="41"/>
  <c r="BU186" i="41"/>
  <c r="BU188" i="41"/>
  <c r="BU189" i="41"/>
  <c r="BT181" i="41"/>
  <c r="BT182" i="41"/>
  <c r="BT183" i="41"/>
  <c r="BT184" i="41"/>
  <c r="BT185" i="41"/>
  <c r="BT186" i="41"/>
  <c r="BT188" i="41"/>
  <c r="BT189" i="41"/>
  <c r="BS181" i="41"/>
  <c r="BS182" i="41"/>
  <c r="BS183" i="41"/>
  <c r="BS184" i="41"/>
  <c r="BS185" i="41"/>
  <c r="BS186" i="41"/>
  <c r="BS188" i="41"/>
  <c r="BS189" i="41"/>
  <c r="BR181" i="41"/>
  <c r="BR182" i="41"/>
  <c r="BR183" i="41"/>
  <c r="BR184" i="41"/>
  <c r="BR185" i="41"/>
  <c r="BR186" i="41"/>
  <c r="BR188" i="41"/>
  <c r="BR189" i="41"/>
  <c r="BQ181" i="41"/>
  <c r="BQ182" i="41"/>
  <c r="BQ183" i="41"/>
  <c r="BQ184" i="41"/>
  <c r="BQ185" i="41"/>
  <c r="BQ186" i="41"/>
  <c r="BQ188" i="41"/>
  <c r="BQ189" i="41"/>
  <c r="BP181" i="41"/>
  <c r="BP182" i="41"/>
  <c r="BP183" i="41"/>
  <c r="BP184" i="41"/>
  <c r="BP185" i="41"/>
  <c r="BP186" i="41"/>
  <c r="BP188" i="41"/>
  <c r="BP189" i="41"/>
  <c r="BO181" i="41"/>
  <c r="BO182" i="41"/>
  <c r="BO183" i="41"/>
  <c r="BO184" i="41"/>
  <c r="BO185" i="41"/>
  <c r="BO186" i="41"/>
  <c r="BO188" i="41"/>
  <c r="BO189" i="41"/>
  <c r="BN181" i="41"/>
  <c r="BN182" i="41"/>
  <c r="BN183" i="41"/>
  <c r="BN184" i="41"/>
  <c r="BN185" i="41"/>
  <c r="BN186" i="41"/>
  <c r="BN188" i="41"/>
  <c r="BN189" i="41"/>
  <c r="BM181" i="41"/>
  <c r="BM182" i="41"/>
  <c r="BM183" i="41"/>
  <c r="BM184" i="41"/>
  <c r="BM185" i="41"/>
  <c r="BM186" i="41"/>
  <c r="BM188" i="41"/>
  <c r="BM189" i="41"/>
  <c r="BL181" i="41"/>
  <c r="BL182" i="41"/>
  <c r="BL183" i="41"/>
  <c r="BL184" i="41"/>
  <c r="BL185" i="41"/>
  <c r="BL186" i="41"/>
  <c r="BL188" i="41"/>
  <c r="BL189" i="41"/>
  <c r="BK181" i="41"/>
  <c r="BK182" i="41"/>
  <c r="BK183" i="41"/>
  <c r="BK184" i="41"/>
  <c r="BK185" i="41"/>
  <c r="BK186" i="41"/>
  <c r="BK188" i="41"/>
  <c r="BK189" i="41"/>
  <c r="BJ181" i="41"/>
  <c r="BJ182" i="41"/>
  <c r="BJ183" i="41"/>
  <c r="BJ184" i="41"/>
  <c r="BJ185" i="41"/>
  <c r="BJ186" i="41"/>
  <c r="BJ188" i="41"/>
  <c r="BJ189" i="41"/>
  <c r="BI181" i="41"/>
  <c r="BI182" i="41"/>
  <c r="BI183" i="41"/>
  <c r="BI184" i="41"/>
  <c r="BI185" i="41"/>
  <c r="BI186" i="41"/>
  <c r="BI188" i="41"/>
  <c r="BI189" i="41"/>
  <c r="BH181" i="41"/>
  <c r="BH182" i="41"/>
  <c r="BH183" i="41"/>
  <c r="BH184" i="41"/>
  <c r="BH185" i="41"/>
  <c r="BH186" i="41"/>
  <c r="BH188" i="41"/>
  <c r="BH189" i="41"/>
  <c r="BG181" i="41"/>
  <c r="BG182" i="41"/>
  <c r="BG183" i="41"/>
  <c r="BG184" i="41"/>
  <c r="BG185" i="41"/>
  <c r="BG186" i="41"/>
  <c r="BG188" i="41"/>
  <c r="BG189" i="41"/>
  <c r="BF181" i="41"/>
  <c r="BF182" i="41"/>
  <c r="BF183" i="41"/>
  <c r="BF184" i="41"/>
  <c r="BF185" i="41"/>
  <c r="BF186" i="41"/>
  <c r="BF188" i="41"/>
  <c r="BF189" i="41"/>
  <c r="BE181" i="41"/>
  <c r="BE182" i="41"/>
  <c r="BE183" i="41"/>
  <c r="BE184" i="41"/>
  <c r="BE185" i="41"/>
  <c r="BE186" i="41"/>
  <c r="BE188" i="41"/>
  <c r="BE189" i="41"/>
  <c r="BD181" i="41"/>
  <c r="BD182" i="41"/>
  <c r="BD183" i="41"/>
  <c r="BD184" i="41"/>
  <c r="BD185" i="41"/>
  <c r="BD186" i="41"/>
  <c r="BD188" i="41"/>
  <c r="BD189" i="41"/>
  <c r="BC181" i="41"/>
  <c r="BC182" i="41"/>
  <c r="BC183" i="41"/>
  <c r="BC184" i="41"/>
  <c r="BC185" i="41"/>
  <c r="BC186" i="41"/>
  <c r="BC188" i="41"/>
  <c r="BC189" i="41"/>
  <c r="BB181" i="41"/>
  <c r="BB182" i="41"/>
  <c r="BB183" i="41"/>
  <c r="BB184" i="41"/>
  <c r="BB185" i="41"/>
  <c r="BB186" i="41"/>
  <c r="BB188" i="41"/>
  <c r="BB189" i="41"/>
  <c r="BA181" i="41"/>
  <c r="BA182" i="41"/>
  <c r="BA183" i="41"/>
  <c r="BA184" i="41"/>
  <c r="BA185" i="41"/>
  <c r="BA186" i="41"/>
  <c r="BA188" i="41"/>
  <c r="BA189" i="41"/>
  <c r="AZ181" i="41"/>
  <c r="AZ182" i="41"/>
  <c r="AZ183" i="41"/>
  <c r="AZ184" i="41"/>
  <c r="AZ185" i="41"/>
  <c r="AZ186" i="41"/>
  <c r="AZ188" i="41"/>
  <c r="AZ189" i="41"/>
  <c r="AY181" i="41"/>
  <c r="AY182" i="41"/>
  <c r="AY183" i="41"/>
  <c r="AY184" i="41"/>
  <c r="AY185" i="41"/>
  <c r="AY186" i="41"/>
  <c r="AY188" i="41"/>
  <c r="AY189" i="41"/>
  <c r="AX181" i="41"/>
  <c r="AX182" i="41"/>
  <c r="AX183" i="41"/>
  <c r="AX184" i="41"/>
  <c r="AX185" i="41"/>
  <c r="AX186" i="41"/>
  <c r="AX188" i="41"/>
  <c r="AX189" i="41"/>
  <c r="AW181" i="41"/>
  <c r="AW182" i="41"/>
  <c r="AW183" i="41"/>
  <c r="AW184" i="41"/>
  <c r="AW185" i="41"/>
  <c r="AW186" i="41"/>
  <c r="AW188" i="41"/>
  <c r="AW189" i="41"/>
  <c r="AV181" i="41"/>
  <c r="AV182" i="41"/>
  <c r="AV183" i="41"/>
  <c r="AV184" i="41"/>
  <c r="AV185" i="41"/>
  <c r="AV186" i="41"/>
  <c r="AV188" i="41"/>
  <c r="AV189" i="41"/>
  <c r="AU181" i="41"/>
  <c r="AU182" i="41"/>
  <c r="AU183" i="41"/>
  <c r="AU184" i="41"/>
  <c r="AU185" i="41"/>
  <c r="AU186" i="41"/>
  <c r="AU188" i="41"/>
  <c r="AU189" i="41"/>
  <c r="AT181" i="41"/>
  <c r="AT182" i="41"/>
  <c r="AT183" i="41"/>
  <c r="AT184" i="41"/>
  <c r="AT185" i="41"/>
  <c r="AT186" i="41"/>
  <c r="AT188" i="41"/>
  <c r="AT189" i="41"/>
  <c r="AS181" i="41"/>
  <c r="AS182" i="41"/>
  <c r="AS183" i="41"/>
  <c r="AS184" i="41"/>
  <c r="AS185" i="41"/>
  <c r="AS186" i="41"/>
  <c r="AS188" i="41"/>
  <c r="AS189" i="41"/>
  <c r="AR181" i="41"/>
  <c r="AR182" i="41"/>
  <c r="AR183" i="41"/>
  <c r="AR184" i="41"/>
  <c r="AR185" i="41"/>
  <c r="AR186" i="41"/>
  <c r="AR188" i="41"/>
  <c r="AR189" i="41"/>
  <c r="AQ181" i="41"/>
  <c r="AQ182" i="41"/>
  <c r="AQ183" i="41"/>
  <c r="AQ184" i="41"/>
  <c r="AQ185" i="41"/>
  <c r="AQ186" i="41"/>
  <c r="AQ188" i="41"/>
  <c r="AQ189" i="41"/>
  <c r="AP181" i="41"/>
  <c r="AP182" i="41"/>
  <c r="AP183" i="41"/>
  <c r="AP184" i="41"/>
  <c r="AP185" i="41"/>
  <c r="AP186" i="41"/>
  <c r="AP188" i="41"/>
  <c r="AP189" i="41"/>
  <c r="AO181" i="41"/>
  <c r="AO182" i="41"/>
  <c r="AO183" i="41"/>
  <c r="AO184" i="41"/>
  <c r="AO185" i="41"/>
  <c r="AO186" i="41"/>
  <c r="AO188" i="41"/>
  <c r="AO189" i="41"/>
  <c r="AN181" i="41"/>
  <c r="AN182" i="41"/>
  <c r="AN183" i="41"/>
  <c r="AN184" i="41"/>
  <c r="AN185" i="41"/>
  <c r="AN186" i="41"/>
  <c r="AN188" i="41"/>
  <c r="AN189" i="41"/>
  <c r="AM181" i="41"/>
  <c r="AM182" i="41"/>
  <c r="AM183" i="41"/>
  <c r="AM184" i="41"/>
  <c r="AM185" i="41"/>
  <c r="AM186" i="41"/>
  <c r="AM188" i="41"/>
  <c r="AM189" i="41"/>
  <c r="AL181" i="41"/>
  <c r="AL182" i="41"/>
  <c r="AL183" i="41"/>
  <c r="AL184" i="41"/>
  <c r="AL185" i="41"/>
  <c r="AL186" i="41"/>
  <c r="AL188" i="41"/>
  <c r="AL189" i="41"/>
  <c r="AK181" i="41"/>
  <c r="AK182" i="41"/>
  <c r="AK183" i="41"/>
  <c r="AK184" i="41"/>
  <c r="AK185" i="41"/>
  <c r="AK186" i="41"/>
  <c r="AK188" i="41"/>
  <c r="AK189" i="41"/>
  <c r="AJ181" i="41"/>
  <c r="AJ182" i="41"/>
  <c r="AJ183" i="41"/>
  <c r="AJ184" i="41"/>
  <c r="AJ185" i="41"/>
  <c r="AJ186" i="41"/>
  <c r="AJ188" i="41"/>
  <c r="AJ189" i="41"/>
  <c r="AI181" i="41"/>
  <c r="AI182" i="41"/>
  <c r="AI183" i="41"/>
  <c r="AI184" i="41"/>
  <c r="AI185" i="41"/>
  <c r="AI186" i="41"/>
  <c r="AI188" i="41"/>
  <c r="AI189" i="41"/>
  <c r="AH181" i="41"/>
  <c r="AH182" i="41"/>
  <c r="AH183" i="41"/>
  <c r="AH184" i="41"/>
  <c r="AH185" i="41"/>
  <c r="AH186" i="41"/>
  <c r="AH188" i="41"/>
  <c r="AH189" i="41"/>
  <c r="AG181" i="41"/>
  <c r="AG182" i="41"/>
  <c r="AG183" i="41"/>
  <c r="AG184" i="41"/>
  <c r="AG185" i="41"/>
  <c r="AG186" i="41"/>
  <c r="AG188" i="41"/>
  <c r="AG189" i="41"/>
  <c r="AF181" i="41"/>
  <c r="AF182" i="41"/>
  <c r="AF183" i="41"/>
  <c r="AF184" i="41"/>
  <c r="AF185" i="41"/>
  <c r="AF186" i="41"/>
  <c r="AF188" i="41"/>
  <c r="AF189" i="41"/>
  <c r="AE181" i="41"/>
  <c r="AE182" i="41"/>
  <c r="AE183" i="41"/>
  <c r="AE184" i="41"/>
  <c r="AE185" i="41"/>
  <c r="AE186" i="41"/>
  <c r="AE188" i="41"/>
  <c r="AE189" i="41"/>
  <c r="AD181" i="41"/>
  <c r="AD182" i="41"/>
  <c r="AD183" i="41"/>
  <c r="AD184" i="41"/>
  <c r="AD185" i="41"/>
  <c r="AD186" i="41"/>
  <c r="AD188" i="41"/>
  <c r="AD189" i="41"/>
  <c r="AC181" i="41"/>
  <c r="AC182" i="41"/>
  <c r="AC183" i="41"/>
  <c r="AC184" i="41"/>
  <c r="AC185" i="41"/>
  <c r="AC186" i="41"/>
  <c r="AC188" i="41"/>
  <c r="AC189" i="41"/>
  <c r="AB181" i="41"/>
  <c r="AB182" i="41"/>
  <c r="AB183" i="41"/>
  <c r="AB184" i="41"/>
  <c r="AB185" i="41"/>
  <c r="AB186" i="41"/>
  <c r="AB188" i="41"/>
  <c r="AB189" i="41"/>
  <c r="AA181" i="41"/>
  <c r="AA182" i="41"/>
  <c r="AA183" i="41"/>
  <c r="AA184" i="41"/>
  <c r="AA185" i="41"/>
  <c r="AA186" i="41"/>
  <c r="AA188" i="41"/>
  <c r="AA189" i="41"/>
  <c r="Z181" i="41"/>
  <c r="Z182" i="41"/>
  <c r="Z183" i="41"/>
  <c r="Z184" i="41"/>
  <c r="Z185" i="41"/>
  <c r="Z186" i="41"/>
  <c r="Z188" i="41"/>
  <c r="Z189" i="41"/>
  <c r="Y181" i="41"/>
  <c r="Y182" i="41"/>
  <c r="Y183" i="41"/>
  <c r="Y184" i="41"/>
  <c r="Y185" i="41"/>
  <c r="Y186" i="41"/>
  <c r="Y188" i="41"/>
  <c r="Y189" i="41"/>
  <c r="X181" i="41"/>
  <c r="X182" i="41"/>
  <c r="X183" i="41"/>
  <c r="X184" i="41"/>
  <c r="X185" i="41"/>
  <c r="X186" i="41"/>
  <c r="X188" i="41"/>
  <c r="X189" i="41"/>
  <c r="W181" i="41"/>
  <c r="W182" i="41"/>
  <c r="W183" i="41"/>
  <c r="W184" i="41"/>
  <c r="W185" i="41"/>
  <c r="W186" i="41"/>
  <c r="W188" i="41"/>
  <c r="W189" i="41"/>
  <c r="V181" i="41"/>
  <c r="V182" i="41"/>
  <c r="V183" i="41"/>
  <c r="V184" i="41"/>
  <c r="V185" i="41"/>
  <c r="V186" i="41"/>
  <c r="V188" i="41"/>
  <c r="V189" i="41"/>
  <c r="U181" i="41"/>
  <c r="U182" i="41"/>
  <c r="U183" i="41"/>
  <c r="U184" i="41"/>
  <c r="U185" i="41"/>
  <c r="U186" i="41"/>
  <c r="U188" i="41"/>
  <c r="U189" i="41"/>
  <c r="T181" i="41"/>
  <c r="T182" i="41"/>
  <c r="T183" i="41"/>
  <c r="T184" i="41"/>
  <c r="T185" i="41"/>
  <c r="T186" i="41"/>
  <c r="T188" i="41"/>
  <c r="T189" i="41"/>
  <c r="S181" i="41"/>
  <c r="S182" i="41"/>
  <c r="S183" i="41"/>
  <c r="S184" i="41"/>
  <c r="S185" i="41"/>
  <c r="S186" i="41"/>
  <c r="S188" i="41"/>
  <c r="S189" i="41"/>
  <c r="R181" i="41"/>
  <c r="R182" i="41"/>
  <c r="R183" i="41"/>
  <c r="R184" i="41"/>
  <c r="R185" i="41"/>
  <c r="R186" i="41"/>
  <c r="R188" i="41"/>
  <c r="R189" i="41"/>
  <c r="Q181" i="41"/>
  <c r="Q182" i="41"/>
  <c r="Q183" i="41"/>
  <c r="Q184" i="41"/>
  <c r="Q185" i="41"/>
  <c r="Q186" i="41"/>
  <c r="Q188" i="41"/>
  <c r="Q189" i="41"/>
  <c r="P181" i="41"/>
  <c r="P182" i="41"/>
  <c r="P183" i="41"/>
  <c r="P184" i="41"/>
  <c r="P185" i="41"/>
  <c r="P186" i="41"/>
  <c r="P188" i="41"/>
  <c r="P189" i="41"/>
  <c r="O181" i="41"/>
  <c r="O182" i="41"/>
  <c r="O183" i="41"/>
  <c r="O184" i="41"/>
  <c r="O185" i="41"/>
  <c r="O186" i="41"/>
  <c r="O188" i="41"/>
  <c r="O189" i="41"/>
  <c r="N181" i="41"/>
  <c r="N182" i="41"/>
  <c r="N183" i="41"/>
  <c r="N184" i="41"/>
  <c r="N185" i="41"/>
  <c r="N186" i="41"/>
  <c r="N188" i="41"/>
  <c r="N189" i="41"/>
  <c r="M181" i="41"/>
  <c r="M182" i="41"/>
  <c r="M183" i="41"/>
  <c r="M184" i="41"/>
  <c r="M185" i="41"/>
  <c r="M186" i="41"/>
  <c r="M188" i="41"/>
  <c r="M189" i="41"/>
  <c r="L181" i="41"/>
  <c r="L182" i="41"/>
  <c r="L183" i="41"/>
  <c r="L184" i="41"/>
  <c r="L185" i="41"/>
  <c r="L186" i="41"/>
  <c r="L188" i="41"/>
  <c r="L189" i="41"/>
  <c r="K181" i="41"/>
  <c r="K182" i="41"/>
  <c r="K183" i="41"/>
  <c r="K184" i="41"/>
  <c r="K185" i="41"/>
  <c r="K186" i="41"/>
  <c r="K188" i="41"/>
  <c r="K189" i="41"/>
  <c r="J181" i="41"/>
  <c r="J182" i="41"/>
  <c r="J183" i="41"/>
  <c r="J184" i="41"/>
  <c r="J185" i="41"/>
  <c r="J186" i="41"/>
  <c r="J188" i="41"/>
  <c r="J189" i="41"/>
  <c r="I181" i="41"/>
  <c r="I182" i="41"/>
  <c r="I183" i="41"/>
  <c r="I184" i="41"/>
  <c r="I185" i="41"/>
  <c r="I186" i="41"/>
  <c r="I188" i="41"/>
  <c r="I189" i="41"/>
  <c r="H181" i="41"/>
  <c r="H182" i="41"/>
  <c r="H183" i="41"/>
  <c r="H184" i="41"/>
  <c r="H185" i="41"/>
  <c r="H186" i="41"/>
  <c r="H188" i="41"/>
  <c r="H189" i="41"/>
  <c r="G181" i="41"/>
  <c r="G182" i="41"/>
  <c r="G183" i="41"/>
  <c r="G184" i="41"/>
  <c r="G185" i="41"/>
  <c r="G186" i="41"/>
  <c r="G188" i="41"/>
  <c r="G189" i="41"/>
  <c r="F189" i="41"/>
  <c r="F188" i="41"/>
  <c r="F186" i="41"/>
  <c r="F185" i="41"/>
  <c r="E189" i="41"/>
  <c r="E188" i="41"/>
  <c r="E187" i="41"/>
  <c r="E186" i="41"/>
  <c r="E185" i="41"/>
  <c r="D189" i="41"/>
  <c r="D188" i="41"/>
  <c r="D187" i="41"/>
  <c r="D186" i="41"/>
  <c r="D185" i="41"/>
  <c r="C189" i="41"/>
  <c r="C188" i="41"/>
  <c r="C187" i="41"/>
  <c r="C186" i="41"/>
  <c r="C185" i="41"/>
  <c r="FN43" i="70"/>
  <c r="FM43" i="70"/>
  <c r="FL43" i="70"/>
  <c r="FK43" i="70"/>
  <c r="FJ43" i="70"/>
  <c r="FI43" i="70"/>
  <c r="FH43" i="70"/>
  <c r="FG43" i="70"/>
  <c r="FF43" i="70"/>
  <c r="FE43" i="70"/>
  <c r="FD43" i="70"/>
  <c r="FC43" i="70"/>
  <c r="FB43" i="70"/>
  <c r="FA43" i="70"/>
  <c r="EZ43" i="70"/>
  <c r="EY43" i="70"/>
  <c r="EX43" i="70"/>
  <c r="EW43" i="70"/>
  <c r="EV43" i="70"/>
  <c r="EU43" i="70"/>
  <c r="ET43" i="70"/>
  <c r="ES43" i="70"/>
  <c r="ER43" i="70"/>
  <c r="EQ43" i="70"/>
  <c r="EP43" i="70"/>
  <c r="EO43" i="70"/>
  <c r="EN43" i="70"/>
  <c r="EM43" i="70"/>
  <c r="EL43" i="70"/>
  <c r="EK43" i="70"/>
  <c r="EJ43" i="70"/>
  <c r="EI43" i="70"/>
  <c r="EH43" i="70"/>
  <c r="EG43" i="70"/>
  <c r="EF43" i="70"/>
  <c r="EE43" i="70"/>
  <c r="ED43" i="70"/>
  <c r="EC43" i="70"/>
  <c r="EB43" i="70"/>
  <c r="EA43" i="70"/>
  <c r="DZ43" i="70"/>
  <c r="DY43" i="70"/>
  <c r="DX43" i="70"/>
  <c r="DW43" i="70"/>
  <c r="DV43" i="70"/>
  <c r="DU43" i="70"/>
  <c r="DT43" i="70"/>
  <c r="DS43" i="70"/>
  <c r="DR43" i="70"/>
  <c r="DQ43" i="70"/>
  <c r="DP43" i="70"/>
  <c r="DO43" i="70"/>
  <c r="DN43" i="70"/>
  <c r="DM43" i="70"/>
  <c r="DL43" i="70"/>
  <c r="DK43" i="70"/>
  <c r="DJ43" i="70"/>
  <c r="DI43" i="70"/>
  <c r="DH43" i="70"/>
  <c r="DG43" i="70"/>
  <c r="DF43" i="70"/>
  <c r="DE43" i="70"/>
  <c r="DD43" i="70"/>
  <c r="DC43" i="70"/>
  <c r="DB43" i="70"/>
  <c r="DA43" i="70"/>
  <c r="CZ43" i="70"/>
  <c r="CY43" i="70"/>
  <c r="CX43" i="70"/>
  <c r="CW43" i="70"/>
  <c r="CV43" i="70"/>
  <c r="CU43" i="70"/>
  <c r="CT43" i="70"/>
  <c r="CS43" i="70"/>
  <c r="CR43" i="70"/>
  <c r="CQ43" i="70"/>
  <c r="CP43" i="70"/>
  <c r="CO43" i="70"/>
  <c r="CN43" i="70"/>
  <c r="CM43" i="70"/>
  <c r="CL43" i="70"/>
  <c r="CK43" i="70"/>
  <c r="CJ43" i="70"/>
  <c r="CI43" i="70"/>
  <c r="CH43" i="70"/>
  <c r="CG43" i="70"/>
  <c r="CF43" i="70"/>
  <c r="CE43" i="70"/>
  <c r="CD43" i="70"/>
  <c r="CC43" i="70"/>
  <c r="CB43" i="70"/>
  <c r="CA43" i="70"/>
  <c r="BZ43" i="70"/>
  <c r="BY43" i="70"/>
  <c r="BX43" i="70"/>
  <c r="BW43" i="70"/>
  <c r="BV43" i="70"/>
  <c r="BU43" i="70"/>
  <c r="BT43" i="70"/>
  <c r="BS43" i="70"/>
  <c r="BR43" i="70"/>
  <c r="BQ43" i="70"/>
  <c r="BP43" i="70"/>
  <c r="BO43" i="70"/>
  <c r="BN43" i="70"/>
  <c r="BM43" i="70"/>
  <c r="BL43" i="70"/>
  <c r="BK43" i="70"/>
  <c r="BJ43" i="70"/>
  <c r="BI43" i="70"/>
  <c r="BH43" i="70"/>
  <c r="BG43" i="70"/>
  <c r="BF43" i="70"/>
  <c r="BE43" i="70"/>
  <c r="BD43" i="70"/>
  <c r="BC43" i="70"/>
  <c r="BB43" i="70"/>
  <c r="BA43" i="70"/>
  <c r="AZ43" i="70"/>
  <c r="AY43" i="70"/>
  <c r="AX43" i="70"/>
  <c r="AW43" i="70"/>
  <c r="AV43" i="70"/>
  <c r="AU43" i="70"/>
  <c r="AT43" i="70"/>
  <c r="AS43" i="70"/>
  <c r="AR43" i="70"/>
  <c r="AQ43" i="70"/>
  <c r="AP43" i="70"/>
  <c r="AO43" i="70"/>
  <c r="AN43" i="70"/>
  <c r="AM43" i="70"/>
  <c r="AL43" i="70"/>
  <c r="AK43" i="70"/>
  <c r="AJ43" i="70"/>
  <c r="AI43" i="70"/>
  <c r="AH43" i="70"/>
  <c r="AG43" i="70"/>
  <c r="AF43" i="70"/>
  <c r="AE43" i="70"/>
  <c r="AD43" i="70"/>
  <c r="AC43" i="70"/>
  <c r="AB43" i="70"/>
  <c r="AA43" i="70"/>
  <c r="Z43" i="70"/>
  <c r="Y43" i="70"/>
  <c r="X43" i="70"/>
  <c r="W43" i="70"/>
  <c r="V43" i="70"/>
  <c r="U43" i="70"/>
  <c r="T43" i="70"/>
  <c r="S43" i="70"/>
  <c r="R43" i="70"/>
  <c r="Q43" i="70"/>
  <c r="P43" i="70"/>
  <c r="O43" i="70"/>
  <c r="N43" i="70"/>
  <c r="M43" i="70"/>
  <c r="L43" i="70"/>
  <c r="K43" i="70"/>
  <c r="J43" i="70"/>
  <c r="I43" i="70"/>
  <c r="H43" i="70"/>
  <c r="G43" i="70"/>
  <c r="F43" i="70"/>
  <c r="E43" i="70"/>
  <c r="D43" i="70"/>
  <c r="C43" i="70"/>
  <c r="FN42" i="70"/>
  <c r="FM42" i="70"/>
  <c r="FL42" i="70"/>
  <c r="FK42" i="70"/>
  <c r="FJ42" i="70"/>
  <c r="FI42" i="70"/>
  <c r="FH42" i="70"/>
  <c r="FG42" i="70"/>
  <c r="FF42" i="70"/>
  <c r="FE42" i="70"/>
  <c r="FD42" i="70"/>
  <c r="FC42" i="70"/>
  <c r="FB42" i="70"/>
  <c r="FA42" i="70"/>
  <c r="EZ42" i="70"/>
  <c r="EY42" i="70"/>
  <c r="EX42" i="70"/>
  <c r="EW42" i="70"/>
  <c r="EV42" i="70"/>
  <c r="EU42" i="70"/>
  <c r="ET42" i="70"/>
  <c r="ES42" i="70"/>
  <c r="ER42" i="70"/>
  <c r="EQ42" i="70"/>
  <c r="EP42" i="70"/>
  <c r="EO42" i="70"/>
  <c r="EN42" i="70"/>
  <c r="EM42" i="70"/>
  <c r="EL42" i="70"/>
  <c r="EK42" i="70"/>
  <c r="EJ42" i="70"/>
  <c r="EI42" i="70"/>
  <c r="EH42" i="70"/>
  <c r="EG42" i="70"/>
  <c r="EF42" i="70"/>
  <c r="EE42" i="70"/>
  <c r="ED42" i="70"/>
  <c r="EC42" i="70"/>
  <c r="EB42" i="70"/>
  <c r="EA42" i="70"/>
  <c r="DZ42" i="70"/>
  <c r="DY42" i="70"/>
  <c r="DX42" i="70"/>
  <c r="DW42" i="70"/>
  <c r="DV42" i="70"/>
  <c r="DU42" i="70"/>
  <c r="DT42" i="70"/>
  <c r="DS42" i="70"/>
  <c r="DR42" i="70"/>
  <c r="DQ42" i="70"/>
  <c r="DP42" i="70"/>
  <c r="DO42" i="70"/>
  <c r="DN42" i="70"/>
  <c r="DM42" i="70"/>
  <c r="DL42" i="70"/>
  <c r="DK42" i="70"/>
  <c r="DJ42" i="70"/>
  <c r="DI42" i="70"/>
  <c r="DH42" i="70"/>
  <c r="DG42" i="70"/>
  <c r="DF42" i="70"/>
  <c r="DE42" i="70"/>
  <c r="DD42" i="70"/>
  <c r="DC42" i="70"/>
  <c r="DB42" i="70"/>
  <c r="DA42" i="70"/>
  <c r="CZ42" i="70"/>
  <c r="CY42" i="70"/>
  <c r="CX42" i="70"/>
  <c r="CW42" i="70"/>
  <c r="CV42" i="70"/>
  <c r="CU42" i="70"/>
  <c r="CT42" i="70"/>
  <c r="CS42" i="70"/>
  <c r="CR42" i="70"/>
  <c r="CQ42" i="70"/>
  <c r="CP42" i="70"/>
  <c r="CO42" i="70"/>
  <c r="CN42" i="70"/>
  <c r="CM42" i="70"/>
  <c r="CL42" i="70"/>
  <c r="CK42" i="70"/>
  <c r="CJ42" i="70"/>
  <c r="CI42" i="70"/>
  <c r="CH42" i="70"/>
  <c r="CG42" i="70"/>
  <c r="CF42" i="70"/>
  <c r="CE42" i="70"/>
  <c r="CD42" i="70"/>
  <c r="CC42" i="70"/>
  <c r="CB42" i="70"/>
  <c r="CA42" i="70"/>
  <c r="BZ42" i="70"/>
  <c r="BY42" i="70"/>
  <c r="BX42" i="70"/>
  <c r="BW42" i="70"/>
  <c r="BV42" i="70"/>
  <c r="BU42" i="70"/>
  <c r="BT42" i="70"/>
  <c r="BS42" i="70"/>
  <c r="BR42" i="70"/>
  <c r="BQ42" i="70"/>
  <c r="BP42" i="70"/>
  <c r="BO42" i="70"/>
  <c r="BN42" i="70"/>
  <c r="BM42" i="70"/>
  <c r="BL42" i="70"/>
  <c r="BK42" i="70"/>
  <c r="BJ42" i="70"/>
  <c r="BI42" i="70"/>
  <c r="BH42" i="70"/>
  <c r="BG42" i="70"/>
  <c r="BF42" i="70"/>
  <c r="BE42" i="70"/>
  <c r="BD42" i="70"/>
  <c r="BC42" i="70"/>
  <c r="BB42" i="70"/>
  <c r="BA42" i="70"/>
  <c r="AZ42" i="70"/>
  <c r="AY42" i="70"/>
  <c r="AX42" i="70"/>
  <c r="AW42" i="70"/>
  <c r="AV42" i="70"/>
  <c r="AU42" i="70"/>
  <c r="AT42" i="70"/>
  <c r="AS42" i="70"/>
  <c r="AR42" i="70"/>
  <c r="AQ42" i="70"/>
  <c r="AP42" i="70"/>
  <c r="AO42" i="70"/>
  <c r="AN42" i="70"/>
  <c r="AM42" i="70"/>
  <c r="AL42" i="70"/>
  <c r="AK42" i="70"/>
  <c r="AJ42" i="70"/>
  <c r="AI42" i="70"/>
  <c r="AH42" i="70"/>
  <c r="AG42" i="70"/>
  <c r="AF42" i="70"/>
  <c r="AE42" i="70"/>
  <c r="AD42" i="70"/>
  <c r="AC42" i="70"/>
  <c r="AB42" i="70"/>
  <c r="AA42" i="70"/>
  <c r="Z42" i="70"/>
  <c r="Y42" i="70"/>
  <c r="X42" i="70"/>
  <c r="W42" i="70"/>
  <c r="V42" i="70"/>
  <c r="U42" i="70"/>
  <c r="T42" i="70"/>
  <c r="S42" i="70"/>
  <c r="R42" i="70"/>
  <c r="Q42" i="70"/>
  <c r="P42" i="70"/>
  <c r="O42" i="70"/>
  <c r="N42" i="70"/>
  <c r="M42" i="70"/>
  <c r="L42" i="70"/>
  <c r="K42" i="70"/>
  <c r="J42" i="70"/>
  <c r="I42" i="70"/>
  <c r="H42" i="70"/>
  <c r="G42" i="70"/>
  <c r="F42" i="70"/>
  <c r="E42" i="70"/>
  <c r="D42" i="70"/>
  <c r="C42" i="70"/>
  <c r="FN41" i="70"/>
  <c r="FM41" i="70"/>
  <c r="FL41" i="70"/>
  <c r="FK41" i="70"/>
  <c r="FJ41" i="70"/>
  <c r="FI41" i="70"/>
  <c r="FH41" i="70"/>
  <c r="FG41" i="70"/>
  <c r="FF41" i="70"/>
  <c r="FE41" i="70"/>
  <c r="FD41" i="70"/>
  <c r="FC41" i="70"/>
  <c r="FB41" i="70"/>
  <c r="FA41" i="70"/>
  <c r="EZ41" i="70"/>
  <c r="EY41" i="70"/>
  <c r="EX41" i="70"/>
  <c r="EW41" i="70"/>
  <c r="EV41" i="70"/>
  <c r="EU41" i="70"/>
  <c r="ET41" i="70"/>
  <c r="ES41" i="70"/>
  <c r="ER41" i="70"/>
  <c r="EQ41" i="70"/>
  <c r="EP41" i="70"/>
  <c r="EO41" i="70"/>
  <c r="EN41" i="70"/>
  <c r="EM41" i="70"/>
  <c r="EL41" i="70"/>
  <c r="EK41" i="70"/>
  <c r="EJ41" i="70"/>
  <c r="EI41" i="70"/>
  <c r="EH41" i="70"/>
  <c r="EG41" i="70"/>
  <c r="EF41" i="70"/>
  <c r="EE41" i="70"/>
  <c r="ED41" i="70"/>
  <c r="EC41" i="70"/>
  <c r="EB41" i="70"/>
  <c r="EA41" i="70"/>
  <c r="DZ41" i="70"/>
  <c r="DY41" i="70"/>
  <c r="DX41" i="70"/>
  <c r="DW41" i="70"/>
  <c r="DV41" i="70"/>
  <c r="DU41" i="70"/>
  <c r="DT41" i="70"/>
  <c r="DS41" i="70"/>
  <c r="DR41" i="70"/>
  <c r="DQ41" i="70"/>
  <c r="DP41" i="70"/>
  <c r="DO41" i="70"/>
  <c r="DN41" i="70"/>
  <c r="DM41" i="70"/>
  <c r="DL41" i="70"/>
  <c r="DK41" i="70"/>
  <c r="DJ41" i="70"/>
  <c r="DI41" i="70"/>
  <c r="DH41" i="70"/>
  <c r="DG41" i="70"/>
  <c r="DF41" i="70"/>
  <c r="DE41" i="70"/>
  <c r="DD41" i="70"/>
  <c r="DC41" i="70"/>
  <c r="DB41" i="70"/>
  <c r="DA41" i="70"/>
  <c r="CZ41" i="70"/>
  <c r="CY41" i="70"/>
  <c r="CX41" i="70"/>
  <c r="CW41" i="70"/>
  <c r="CV41" i="70"/>
  <c r="CU41" i="70"/>
  <c r="CT41" i="70"/>
  <c r="CS41" i="70"/>
  <c r="CR41" i="70"/>
  <c r="CQ41" i="70"/>
  <c r="CP41" i="70"/>
  <c r="CO41" i="70"/>
  <c r="CN41" i="70"/>
  <c r="CM41" i="70"/>
  <c r="CL41" i="70"/>
  <c r="CK41" i="70"/>
  <c r="CJ41" i="70"/>
  <c r="CI41" i="70"/>
  <c r="CH41" i="70"/>
  <c r="CG41" i="70"/>
  <c r="CF41" i="70"/>
  <c r="CE41" i="70"/>
  <c r="CD41" i="70"/>
  <c r="CC41" i="70"/>
  <c r="CB41" i="70"/>
  <c r="CA41" i="70"/>
  <c r="BZ41" i="70"/>
  <c r="BY41" i="70"/>
  <c r="BX41" i="70"/>
  <c r="BW41" i="70"/>
  <c r="BV41" i="70"/>
  <c r="BU41" i="70"/>
  <c r="BT41" i="70"/>
  <c r="BS41" i="70"/>
  <c r="BR41" i="70"/>
  <c r="BQ41" i="70"/>
  <c r="BP41" i="70"/>
  <c r="BO41" i="70"/>
  <c r="BN41" i="70"/>
  <c r="BM41" i="70"/>
  <c r="BL41" i="70"/>
  <c r="BK41" i="70"/>
  <c r="BJ41" i="70"/>
  <c r="BI41" i="70"/>
  <c r="BH41" i="70"/>
  <c r="BG41" i="70"/>
  <c r="BF41" i="70"/>
  <c r="BE41" i="70"/>
  <c r="BD41" i="70"/>
  <c r="BC41" i="70"/>
  <c r="BB41" i="70"/>
  <c r="BA41" i="70"/>
  <c r="AZ41" i="70"/>
  <c r="AY41" i="70"/>
  <c r="AX41" i="70"/>
  <c r="AW41" i="70"/>
  <c r="AV41" i="70"/>
  <c r="AU41" i="70"/>
  <c r="AT41" i="70"/>
  <c r="AS41" i="70"/>
  <c r="AR41" i="70"/>
  <c r="AQ41" i="70"/>
  <c r="AP41" i="70"/>
  <c r="AO41" i="70"/>
  <c r="AN41" i="70"/>
  <c r="AM41" i="70"/>
  <c r="AL41" i="70"/>
  <c r="AK41" i="70"/>
  <c r="AJ41" i="70"/>
  <c r="AI41" i="70"/>
  <c r="AH41" i="70"/>
  <c r="AG41" i="70"/>
  <c r="AF41" i="70"/>
  <c r="AE41" i="70"/>
  <c r="AD41" i="70"/>
  <c r="AC41" i="70"/>
  <c r="AB41" i="70"/>
  <c r="AA41" i="70"/>
  <c r="Z41" i="70"/>
  <c r="Y41" i="70"/>
  <c r="X41" i="70"/>
  <c r="W41" i="70"/>
  <c r="V41" i="70"/>
  <c r="U41" i="70"/>
  <c r="T41" i="70"/>
  <c r="S41" i="70"/>
  <c r="R41" i="70"/>
  <c r="Q41" i="70"/>
  <c r="P41" i="70"/>
  <c r="O41" i="70"/>
  <c r="N41" i="70"/>
  <c r="M41" i="70"/>
  <c r="L41" i="70"/>
  <c r="K41" i="70"/>
  <c r="J41" i="70"/>
  <c r="I41" i="70"/>
  <c r="H41" i="70"/>
  <c r="G41" i="70"/>
  <c r="F41" i="70"/>
  <c r="E41" i="70"/>
  <c r="D41" i="70"/>
  <c r="C41" i="70"/>
  <c r="FN40" i="70"/>
  <c r="FM40" i="70"/>
  <c r="FL40" i="70"/>
  <c r="FK40" i="70"/>
  <c r="FJ40" i="70"/>
  <c r="FI40" i="70"/>
  <c r="FH40" i="70"/>
  <c r="FG40" i="70"/>
  <c r="FF40" i="70"/>
  <c r="FE40" i="70"/>
  <c r="FD40" i="70"/>
  <c r="FC40" i="70"/>
  <c r="FB40" i="70"/>
  <c r="FA40" i="70"/>
  <c r="EZ40" i="70"/>
  <c r="EY40" i="70"/>
  <c r="EX40" i="70"/>
  <c r="EW40" i="70"/>
  <c r="EV40" i="70"/>
  <c r="EU40" i="70"/>
  <c r="ET40" i="70"/>
  <c r="ES40" i="70"/>
  <c r="ER40" i="70"/>
  <c r="EQ40" i="70"/>
  <c r="EP40" i="70"/>
  <c r="EO40" i="70"/>
  <c r="EN40" i="70"/>
  <c r="EM40" i="70"/>
  <c r="EL40" i="70"/>
  <c r="EK40" i="70"/>
  <c r="EJ40" i="70"/>
  <c r="EI40" i="70"/>
  <c r="EH40" i="70"/>
  <c r="EG40" i="70"/>
  <c r="EF40" i="70"/>
  <c r="EE40" i="70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N39" i="70"/>
  <c r="FM39" i="70"/>
  <c r="FL39" i="70"/>
  <c r="FK39" i="70"/>
  <c r="FJ39" i="70"/>
  <c r="FI39" i="70"/>
  <c r="FH39" i="70"/>
  <c r="FG39" i="70"/>
  <c r="FF39" i="70"/>
  <c r="FE39" i="70"/>
  <c r="FD39" i="70"/>
  <c r="FC39" i="70"/>
  <c r="FB39" i="70"/>
  <c r="FA39" i="70"/>
  <c r="EZ39" i="70"/>
  <c r="EY39" i="70"/>
  <c r="EX39" i="70"/>
  <c r="EW39" i="70"/>
  <c r="EV39" i="70"/>
  <c r="EU39" i="70"/>
  <c r="ET39" i="70"/>
  <c r="ES39" i="70"/>
  <c r="ER39" i="70"/>
  <c r="EQ39" i="70"/>
  <c r="EP39" i="70"/>
  <c r="EO39" i="70"/>
  <c r="EN39" i="70"/>
  <c r="EM39" i="70"/>
  <c r="EL39" i="70"/>
  <c r="EK39" i="70"/>
  <c r="EJ39" i="70"/>
  <c r="EI39" i="70"/>
  <c r="EH39" i="70"/>
  <c r="EG39" i="70"/>
  <c r="EF39" i="70"/>
  <c r="EE39" i="70"/>
  <c r="ED39" i="70"/>
  <c r="EC39" i="70"/>
  <c r="EB39" i="70"/>
  <c r="EA39" i="70"/>
  <c r="DZ39" i="70"/>
  <c r="DY39" i="70"/>
  <c r="DX39" i="70"/>
  <c r="DW39" i="70"/>
  <c r="DV39" i="70"/>
  <c r="DU39" i="70"/>
  <c r="DT39" i="70"/>
  <c r="DS39" i="70"/>
  <c r="DR39" i="70"/>
  <c r="DQ39" i="70"/>
  <c r="DP39" i="70"/>
  <c r="DO39" i="70"/>
  <c r="DN39" i="70"/>
  <c r="DM39" i="70"/>
  <c r="DL39" i="70"/>
  <c r="DK39" i="70"/>
  <c r="DJ39" i="70"/>
  <c r="DI39" i="70"/>
  <c r="DH39" i="70"/>
  <c r="DG39" i="70"/>
  <c r="DF39" i="70"/>
  <c r="DE39" i="70"/>
  <c r="DD39" i="70"/>
  <c r="DC39" i="70"/>
  <c r="DB39" i="70"/>
  <c r="DA39" i="70"/>
  <c r="CZ39" i="70"/>
  <c r="CY39" i="70"/>
  <c r="CX39" i="70"/>
  <c r="CW39" i="70"/>
  <c r="CV39" i="70"/>
  <c r="CU39" i="70"/>
  <c r="CT39" i="70"/>
  <c r="CS39" i="70"/>
  <c r="CR39" i="70"/>
  <c r="CQ39" i="70"/>
  <c r="CP39" i="70"/>
  <c r="CO39" i="70"/>
  <c r="CN39" i="70"/>
  <c r="CM39" i="70"/>
  <c r="CL39" i="70"/>
  <c r="CK39" i="70"/>
  <c r="CJ39" i="70"/>
  <c r="CI39" i="70"/>
  <c r="CH39" i="70"/>
  <c r="CG39" i="70"/>
  <c r="CF39" i="70"/>
  <c r="CE39" i="70"/>
  <c r="CD39" i="70"/>
  <c r="CC39" i="70"/>
  <c r="CB39" i="70"/>
  <c r="CA39" i="70"/>
  <c r="BZ39" i="70"/>
  <c r="BY39" i="70"/>
  <c r="BX39" i="70"/>
  <c r="BW39" i="70"/>
  <c r="BV39" i="70"/>
  <c r="BU39" i="70"/>
  <c r="BT39" i="70"/>
  <c r="BS39" i="70"/>
  <c r="BR39" i="70"/>
  <c r="BQ39" i="70"/>
  <c r="BP39" i="70"/>
  <c r="BO39" i="70"/>
  <c r="BN39" i="70"/>
  <c r="BM39" i="70"/>
  <c r="BL39" i="70"/>
  <c r="BK39" i="70"/>
  <c r="BJ39" i="70"/>
  <c r="BI39" i="70"/>
  <c r="BH39" i="70"/>
  <c r="BG39" i="70"/>
  <c r="BF39" i="70"/>
  <c r="BE39" i="70"/>
  <c r="BD39" i="70"/>
  <c r="BC39" i="70"/>
  <c r="BB39" i="70"/>
  <c r="BA39" i="70"/>
  <c r="AZ39" i="70"/>
  <c r="AY39" i="70"/>
  <c r="AX39" i="70"/>
  <c r="AW39" i="70"/>
  <c r="AV39" i="70"/>
  <c r="AU39" i="70"/>
  <c r="AT39" i="70"/>
  <c r="AS39" i="70"/>
  <c r="AR39" i="70"/>
  <c r="AQ39" i="70"/>
  <c r="AP39" i="70"/>
  <c r="AO39" i="70"/>
  <c r="AN39" i="70"/>
  <c r="AM39" i="70"/>
  <c r="AL39" i="70"/>
  <c r="AK39" i="70"/>
  <c r="AJ39" i="70"/>
  <c r="AI39" i="70"/>
  <c r="AH39" i="70"/>
  <c r="AG39" i="70"/>
  <c r="AF39" i="70"/>
  <c r="AE39" i="70"/>
  <c r="AD39" i="70"/>
  <c r="AC39" i="70"/>
  <c r="AB39" i="70"/>
  <c r="AA39" i="70"/>
  <c r="Z39" i="70"/>
  <c r="Y39" i="70"/>
  <c r="X39" i="70"/>
  <c r="W39" i="70"/>
  <c r="V39" i="70"/>
  <c r="U39" i="70"/>
  <c r="T39" i="70"/>
  <c r="S39" i="70"/>
  <c r="R39" i="70"/>
  <c r="Q39" i="70"/>
  <c r="P39" i="70"/>
  <c r="O39" i="70"/>
  <c r="N39" i="70"/>
  <c r="M39" i="70"/>
  <c r="L39" i="70"/>
  <c r="K39" i="70"/>
  <c r="J39" i="70"/>
  <c r="I39" i="70"/>
  <c r="H39" i="70"/>
  <c r="G39" i="70"/>
  <c r="F39" i="70"/>
  <c r="E39" i="70"/>
  <c r="D39" i="70"/>
  <c r="C39" i="70"/>
  <c r="FN38" i="70"/>
  <c r="FM38" i="70"/>
  <c r="FL38" i="70"/>
  <c r="FK38" i="70"/>
  <c r="FJ38" i="70"/>
  <c r="FI38" i="70"/>
  <c r="FH38" i="70"/>
  <c r="FG38" i="70"/>
  <c r="FF38" i="70"/>
  <c r="FE38" i="70"/>
  <c r="FD38" i="70"/>
  <c r="FC38" i="70"/>
  <c r="FB38" i="70"/>
  <c r="FA38" i="70"/>
  <c r="EZ38" i="70"/>
  <c r="EY38" i="70"/>
  <c r="EX38" i="70"/>
  <c r="EW38" i="70"/>
  <c r="EV38" i="70"/>
  <c r="EU38" i="70"/>
  <c r="ET38" i="70"/>
  <c r="ES38" i="70"/>
  <c r="ER38" i="70"/>
  <c r="EQ38" i="70"/>
  <c r="EP38" i="70"/>
  <c r="EO38" i="70"/>
  <c r="EN38" i="70"/>
  <c r="EM38" i="70"/>
  <c r="EL38" i="70"/>
  <c r="EK38" i="70"/>
  <c r="EJ38" i="70"/>
  <c r="EI38" i="70"/>
  <c r="EH38" i="70"/>
  <c r="EG38" i="70"/>
  <c r="EF38" i="70"/>
  <c r="EE38" i="70"/>
  <c r="ED38" i="70"/>
  <c r="EC38" i="70"/>
  <c r="EB38" i="70"/>
  <c r="EA38" i="70"/>
  <c r="DZ38" i="70"/>
  <c r="DY38" i="70"/>
  <c r="DX38" i="70"/>
  <c r="DW38" i="70"/>
  <c r="DV38" i="70"/>
  <c r="DU38" i="70"/>
  <c r="DT38" i="70"/>
  <c r="DS38" i="70"/>
  <c r="DR38" i="70"/>
  <c r="DQ38" i="70"/>
  <c r="DP38" i="70"/>
  <c r="DO38" i="70"/>
  <c r="DN38" i="70"/>
  <c r="DM38" i="70"/>
  <c r="DL38" i="70"/>
  <c r="DK38" i="70"/>
  <c r="DJ38" i="70"/>
  <c r="DI38" i="70"/>
  <c r="DH38" i="70"/>
  <c r="DG38" i="70"/>
  <c r="DF38" i="70"/>
  <c r="DE38" i="70"/>
  <c r="DD38" i="70"/>
  <c r="DC38" i="70"/>
  <c r="DB38" i="70"/>
  <c r="DA38" i="70"/>
  <c r="CZ38" i="70"/>
  <c r="CY38" i="70"/>
  <c r="CX38" i="70"/>
  <c r="CW38" i="70"/>
  <c r="CV38" i="70"/>
  <c r="CU38" i="70"/>
  <c r="CT38" i="70"/>
  <c r="CS38" i="70"/>
  <c r="CR38" i="70"/>
  <c r="CQ38" i="70"/>
  <c r="CP38" i="70"/>
  <c r="CO38" i="70"/>
  <c r="CN38" i="70"/>
  <c r="CM38" i="70"/>
  <c r="CL38" i="70"/>
  <c r="CK38" i="70"/>
  <c r="CJ38" i="70"/>
  <c r="CI38" i="70"/>
  <c r="CH38" i="70"/>
  <c r="CG38" i="70"/>
  <c r="CF38" i="70"/>
  <c r="CE38" i="70"/>
  <c r="CD38" i="70"/>
  <c r="CC38" i="70"/>
  <c r="CB38" i="70"/>
  <c r="CA38" i="70"/>
  <c r="BZ38" i="70"/>
  <c r="BY38" i="70"/>
  <c r="BX38" i="70"/>
  <c r="BW38" i="70"/>
  <c r="BV38" i="70"/>
  <c r="BU38" i="70"/>
  <c r="BT38" i="70"/>
  <c r="BS38" i="70"/>
  <c r="BR38" i="70"/>
  <c r="BQ38" i="70"/>
  <c r="BP38" i="70"/>
  <c r="BO38" i="70"/>
  <c r="BN38" i="70"/>
  <c r="BM38" i="70"/>
  <c r="BL38" i="70"/>
  <c r="BK38" i="70"/>
  <c r="BJ38" i="70"/>
  <c r="BI38" i="70"/>
  <c r="BH38" i="70"/>
  <c r="BG38" i="70"/>
  <c r="BF38" i="70"/>
  <c r="BE38" i="70"/>
  <c r="BD38" i="70"/>
  <c r="BC38" i="70"/>
  <c r="BB38" i="70"/>
  <c r="BA38" i="70"/>
  <c r="AZ38" i="70"/>
  <c r="AY38" i="70"/>
  <c r="AX38" i="70"/>
  <c r="AW38" i="70"/>
  <c r="AV38" i="70"/>
  <c r="AU38" i="70"/>
  <c r="AT38" i="70"/>
  <c r="AS38" i="70"/>
  <c r="AR38" i="70"/>
  <c r="AQ38" i="70"/>
  <c r="AP38" i="70"/>
  <c r="AO38" i="70"/>
  <c r="AN38" i="70"/>
  <c r="AM38" i="70"/>
  <c r="AL38" i="70"/>
  <c r="AK38" i="70"/>
  <c r="AJ38" i="70"/>
  <c r="AI38" i="70"/>
  <c r="AH38" i="70"/>
  <c r="AG38" i="70"/>
  <c r="AF38" i="70"/>
  <c r="AE38" i="70"/>
  <c r="AD38" i="70"/>
  <c r="AC38" i="70"/>
  <c r="AB38" i="70"/>
  <c r="AA38" i="70"/>
  <c r="Z38" i="70"/>
  <c r="Y38" i="70"/>
  <c r="X38" i="70"/>
  <c r="W38" i="70"/>
  <c r="V38" i="70"/>
  <c r="U38" i="70"/>
  <c r="T38" i="70"/>
  <c r="S38" i="70"/>
  <c r="R38" i="70"/>
  <c r="Q38" i="70"/>
  <c r="P38" i="70"/>
  <c r="O38" i="70"/>
  <c r="N38" i="70"/>
  <c r="M38" i="70"/>
  <c r="L38" i="70"/>
  <c r="K38" i="70"/>
  <c r="J38" i="70"/>
  <c r="I38" i="70"/>
  <c r="H38" i="70"/>
  <c r="G38" i="70"/>
  <c r="F38" i="70"/>
  <c r="E38" i="70"/>
  <c r="D38" i="70"/>
  <c r="C38" i="70"/>
  <c r="FN37" i="70"/>
  <c r="FM37" i="70"/>
  <c r="FL37" i="70"/>
  <c r="FK37" i="70"/>
  <c r="FJ37" i="70"/>
  <c r="FI37" i="70"/>
  <c r="FH37" i="70"/>
  <c r="FG37" i="70"/>
  <c r="FF37" i="70"/>
  <c r="FE37" i="70"/>
  <c r="FD37" i="70"/>
  <c r="FC37" i="70"/>
  <c r="FB37" i="70"/>
  <c r="FA37" i="70"/>
  <c r="EZ37" i="70"/>
  <c r="EY37" i="70"/>
  <c r="EX37" i="70"/>
  <c r="EW37" i="70"/>
  <c r="EV37" i="70"/>
  <c r="EU37" i="70"/>
  <c r="ET37" i="70"/>
  <c r="ES37" i="70"/>
  <c r="ER37" i="70"/>
  <c r="EQ37" i="70"/>
  <c r="EP37" i="70"/>
  <c r="EO37" i="70"/>
  <c r="EN37" i="70"/>
  <c r="EM37" i="70"/>
  <c r="EL37" i="70"/>
  <c r="EK37" i="70"/>
  <c r="EJ37" i="70"/>
  <c r="EI37" i="70"/>
  <c r="EH37" i="70"/>
  <c r="EG37" i="70"/>
  <c r="EF37" i="70"/>
  <c r="EE37" i="70"/>
  <c r="ED37" i="70"/>
  <c r="EC37" i="70"/>
  <c r="EB37" i="70"/>
  <c r="EA37" i="70"/>
  <c r="DZ37" i="70"/>
  <c r="DY37" i="70"/>
  <c r="DX37" i="70"/>
  <c r="DW37" i="70"/>
  <c r="DV37" i="70"/>
  <c r="DU37" i="70"/>
  <c r="DT37" i="70"/>
  <c r="DS37" i="70"/>
  <c r="DR37" i="70"/>
  <c r="DQ37" i="70"/>
  <c r="DP37" i="70"/>
  <c r="DO37" i="70"/>
  <c r="DN37" i="70"/>
  <c r="DM37" i="70"/>
  <c r="DL37" i="70"/>
  <c r="DK37" i="70"/>
  <c r="DJ37" i="70"/>
  <c r="DI37" i="70"/>
  <c r="DH37" i="70"/>
  <c r="DG37" i="70"/>
  <c r="DF37" i="70"/>
  <c r="DE37" i="70"/>
  <c r="DD37" i="70"/>
  <c r="DC37" i="70"/>
  <c r="DB37" i="70"/>
  <c r="DA37" i="70"/>
  <c r="CZ37" i="70"/>
  <c r="CY37" i="70"/>
  <c r="CX37" i="70"/>
  <c r="CW37" i="70"/>
  <c r="CV37" i="70"/>
  <c r="CU37" i="70"/>
  <c r="CT37" i="70"/>
  <c r="CS37" i="70"/>
  <c r="CR37" i="70"/>
  <c r="CQ37" i="70"/>
  <c r="CP37" i="70"/>
  <c r="CO37" i="70"/>
  <c r="CN37" i="70"/>
  <c r="CM37" i="70"/>
  <c r="CL37" i="70"/>
  <c r="CK37" i="70"/>
  <c r="CJ37" i="70"/>
  <c r="CI37" i="70"/>
  <c r="CH37" i="70"/>
  <c r="CG37" i="70"/>
  <c r="CF37" i="70"/>
  <c r="CE37" i="70"/>
  <c r="CD37" i="70"/>
  <c r="CC37" i="70"/>
  <c r="CB37" i="70"/>
  <c r="CA37" i="70"/>
  <c r="BZ37" i="70"/>
  <c r="BY37" i="70"/>
  <c r="BX37" i="70"/>
  <c r="BW37" i="70"/>
  <c r="BV37" i="70"/>
  <c r="BU37" i="70"/>
  <c r="BT37" i="70"/>
  <c r="BS37" i="70"/>
  <c r="BR37" i="70"/>
  <c r="BQ37" i="70"/>
  <c r="BP37" i="70"/>
  <c r="BO37" i="70"/>
  <c r="BN37" i="70"/>
  <c r="BM37" i="70"/>
  <c r="BL37" i="70"/>
  <c r="BK37" i="70"/>
  <c r="BJ37" i="70"/>
  <c r="BI37" i="70"/>
  <c r="BH37" i="70"/>
  <c r="BG37" i="70"/>
  <c r="BF37" i="70"/>
  <c r="BE37" i="70"/>
  <c r="BD37" i="70"/>
  <c r="BC37" i="70"/>
  <c r="BB37" i="70"/>
  <c r="BA37" i="70"/>
  <c r="AZ37" i="70"/>
  <c r="AY37" i="70"/>
  <c r="AX37" i="70"/>
  <c r="AW37" i="70"/>
  <c r="AV37" i="70"/>
  <c r="AU37" i="70"/>
  <c r="AT37" i="70"/>
  <c r="AS37" i="70"/>
  <c r="AR37" i="70"/>
  <c r="AQ37" i="70"/>
  <c r="AP37" i="70"/>
  <c r="AO37" i="70"/>
  <c r="AN37" i="70"/>
  <c r="AM37" i="70"/>
  <c r="AL37" i="70"/>
  <c r="AK37" i="70"/>
  <c r="AJ37" i="70"/>
  <c r="AI37" i="70"/>
  <c r="AH37" i="70"/>
  <c r="AG37" i="70"/>
  <c r="AF37" i="70"/>
  <c r="AE37" i="70"/>
  <c r="AD37" i="70"/>
  <c r="AC37" i="70"/>
  <c r="AB37" i="70"/>
  <c r="AA37" i="70"/>
  <c r="Z37" i="70"/>
  <c r="Y37" i="70"/>
  <c r="X37" i="70"/>
  <c r="W37" i="70"/>
  <c r="V37" i="70"/>
  <c r="U37" i="70"/>
  <c r="T37" i="70"/>
  <c r="S37" i="70"/>
  <c r="R37" i="70"/>
  <c r="Q37" i="70"/>
  <c r="P37" i="70"/>
  <c r="O37" i="70"/>
  <c r="N37" i="70"/>
  <c r="M37" i="70"/>
  <c r="L37" i="70"/>
  <c r="K37" i="70"/>
  <c r="J37" i="70"/>
  <c r="I37" i="70"/>
  <c r="H37" i="70"/>
  <c r="G37" i="70"/>
  <c r="F37" i="70"/>
  <c r="E37" i="70"/>
  <c r="D37" i="70"/>
  <c r="C37" i="70"/>
  <c r="FN36" i="70"/>
  <c r="FM36" i="70"/>
  <c r="FL36" i="70"/>
  <c r="FK36" i="70"/>
  <c r="FJ36" i="70"/>
  <c r="FI36" i="70"/>
  <c r="FH36" i="70"/>
  <c r="FG36" i="70"/>
  <c r="FF36" i="70"/>
  <c r="FE36" i="70"/>
  <c r="FD36" i="70"/>
  <c r="FC36" i="70"/>
  <c r="FB36" i="70"/>
  <c r="FA36" i="70"/>
  <c r="EZ36" i="70"/>
  <c r="EY36" i="70"/>
  <c r="EX36" i="70"/>
  <c r="EW36" i="70"/>
  <c r="EV36" i="70"/>
  <c r="EU36" i="70"/>
  <c r="ET36" i="70"/>
  <c r="ES36" i="70"/>
  <c r="ER36" i="70"/>
  <c r="EQ36" i="70"/>
  <c r="EP36" i="70"/>
  <c r="EO36" i="70"/>
  <c r="EN36" i="70"/>
  <c r="EM36" i="70"/>
  <c r="EL36" i="70"/>
  <c r="EK36" i="70"/>
  <c r="EJ36" i="70"/>
  <c r="EI36" i="70"/>
  <c r="EH36" i="70"/>
  <c r="EG36" i="70"/>
  <c r="EF36" i="70"/>
  <c r="EE36" i="70"/>
  <c r="ED36" i="70"/>
  <c r="EC36" i="70"/>
  <c r="EB36" i="70"/>
  <c r="EA36" i="70"/>
  <c r="DZ36" i="70"/>
  <c r="DY36" i="70"/>
  <c r="DX36" i="70"/>
  <c r="DW36" i="70"/>
  <c r="DV36" i="70"/>
  <c r="DU36" i="70"/>
  <c r="DT36" i="70"/>
  <c r="DS36" i="70"/>
  <c r="DR36" i="70"/>
  <c r="DQ36" i="70"/>
  <c r="DP36" i="70"/>
  <c r="DO36" i="70"/>
  <c r="DN36" i="70"/>
  <c r="DM36" i="70"/>
  <c r="DL36" i="70"/>
  <c r="DK36" i="70"/>
  <c r="DJ36" i="70"/>
  <c r="DI36" i="70"/>
  <c r="DH36" i="70"/>
  <c r="DG36" i="70"/>
  <c r="DF36" i="70"/>
  <c r="DE36" i="70"/>
  <c r="DD36" i="70"/>
  <c r="DC36" i="70"/>
  <c r="DB36" i="70"/>
  <c r="DA36" i="70"/>
  <c r="CZ36" i="70"/>
  <c r="CY36" i="70"/>
  <c r="CX36" i="70"/>
  <c r="CW36" i="70"/>
  <c r="CV36" i="70"/>
  <c r="CU36" i="70"/>
  <c r="CT36" i="70"/>
  <c r="CS36" i="70"/>
  <c r="CR36" i="70"/>
  <c r="CQ36" i="70"/>
  <c r="CP36" i="70"/>
  <c r="CO36" i="70"/>
  <c r="CN36" i="70"/>
  <c r="CM36" i="70"/>
  <c r="CL36" i="70"/>
  <c r="CK36" i="70"/>
  <c r="CJ36" i="70"/>
  <c r="CI36" i="70"/>
  <c r="CH36" i="70"/>
  <c r="CG36" i="70"/>
  <c r="CF36" i="70"/>
  <c r="CE36" i="70"/>
  <c r="CD36" i="70"/>
  <c r="CC36" i="70"/>
  <c r="CB36" i="70"/>
  <c r="CA36" i="70"/>
  <c r="BZ36" i="70"/>
  <c r="BY36" i="70"/>
  <c r="BX36" i="70"/>
  <c r="BW36" i="70"/>
  <c r="BV36" i="70"/>
  <c r="BU36" i="70"/>
  <c r="BT36" i="70"/>
  <c r="BS36" i="70"/>
  <c r="BR36" i="70"/>
  <c r="BQ36" i="70"/>
  <c r="BP36" i="70"/>
  <c r="BO36" i="70"/>
  <c r="BN36" i="70"/>
  <c r="BM36" i="70"/>
  <c r="BL36" i="70"/>
  <c r="BK36" i="70"/>
  <c r="BJ36" i="70"/>
  <c r="BI36" i="70"/>
  <c r="BH36" i="70"/>
  <c r="BG36" i="70"/>
  <c r="BF36" i="70"/>
  <c r="BE36" i="70"/>
  <c r="BD36" i="70"/>
  <c r="BC36" i="70"/>
  <c r="BB36" i="70"/>
  <c r="BA36" i="70"/>
  <c r="AZ36" i="70"/>
  <c r="AY36" i="70"/>
  <c r="AX36" i="70"/>
  <c r="AW36" i="70"/>
  <c r="AV36" i="70"/>
  <c r="AU36" i="70"/>
  <c r="AT36" i="70"/>
  <c r="AS36" i="70"/>
  <c r="AR36" i="70"/>
  <c r="AQ36" i="70"/>
  <c r="AP36" i="70"/>
  <c r="AO36" i="70"/>
  <c r="AN36" i="70"/>
  <c r="AM36" i="70"/>
  <c r="AL36" i="70"/>
  <c r="AK36" i="70"/>
  <c r="AJ36" i="70"/>
  <c r="AI36" i="70"/>
  <c r="AH36" i="70"/>
  <c r="AG36" i="70"/>
  <c r="AF36" i="70"/>
  <c r="AE36" i="70"/>
  <c r="AD36" i="70"/>
  <c r="AC36" i="70"/>
  <c r="AB36" i="70"/>
  <c r="AA36" i="70"/>
  <c r="Z36" i="70"/>
  <c r="Y36" i="70"/>
  <c r="X36" i="70"/>
  <c r="W36" i="70"/>
  <c r="V36" i="70"/>
  <c r="U36" i="70"/>
  <c r="T36" i="70"/>
  <c r="S36" i="70"/>
  <c r="R36" i="70"/>
  <c r="Q36" i="70"/>
  <c r="P36" i="70"/>
  <c r="O36" i="70"/>
  <c r="N36" i="70"/>
  <c r="M36" i="70"/>
  <c r="L36" i="70"/>
  <c r="K36" i="70"/>
  <c r="J36" i="70"/>
  <c r="I36" i="70"/>
  <c r="H36" i="70"/>
  <c r="G36" i="70"/>
  <c r="F36" i="70"/>
  <c r="E36" i="70"/>
  <c r="D36" i="70"/>
  <c r="C36" i="70"/>
  <c r="FN35" i="70"/>
  <c r="FM35" i="70"/>
  <c r="FL35" i="70"/>
  <c r="FK35" i="70"/>
  <c r="FJ35" i="70"/>
  <c r="FI35" i="70"/>
  <c r="FH35" i="70"/>
  <c r="FG35" i="70"/>
  <c r="FF35" i="70"/>
  <c r="FE35" i="70"/>
  <c r="FD35" i="70"/>
  <c r="FC35" i="70"/>
  <c r="FB35" i="70"/>
  <c r="FA35" i="70"/>
  <c r="EZ35" i="70"/>
  <c r="EY35" i="70"/>
  <c r="EX35" i="70"/>
  <c r="EW35" i="70"/>
  <c r="EV35" i="70"/>
  <c r="EU35" i="70"/>
  <c r="ET35" i="70"/>
  <c r="ES35" i="70"/>
  <c r="ER35" i="70"/>
  <c r="EQ35" i="70"/>
  <c r="EP35" i="70"/>
  <c r="EO35" i="70"/>
  <c r="EN35" i="70"/>
  <c r="EM35" i="70"/>
  <c r="EL35" i="70"/>
  <c r="EK35" i="70"/>
  <c r="EJ35" i="70"/>
  <c r="EI35" i="70"/>
  <c r="EH35" i="70"/>
  <c r="EG35" i="70"/>
  <c r="EF35" i="70"/>
  <c r="EE35" i="70"/>
  <c r="ED35" i="70"/>
  <c r="EC35" i="70"/>
  <c r="EB35" i="70"/>
  <c r="EA35" i="70"/>
  <c r="DZ35" i="70"/>
  <c r="DY35" i="70"/>
  <c r="DX35" i="70"/>
  <c r="DW35" i="70"/>
  <c r="DV35" i="70"/>
  <c r="DU35" i="70"/>
  <c r="DT35" i="70"/>
  <c r="DS35" i="70"/>
  <c r="DR35" i="70"/>
  <c r="DQ35" i="70"/>
  <c r="DP35" i="70"/>
  <c r="DO35" i="70"/>
  <c r="DN35" i="70"/>
  <c r="DM35" i="70"/>
  <c r="DL35" i="70"/>
  <c r="DK35" i="70"/>
  <c r="DJ35" i="70"/>
  <c r="DI35" i="70"/>
  <c r="DH35" i="70"/>
  <c r="DG35" i="70"/>
  <c r="DF35" i="70"/>
  <c r="DE35" i="70"/>
  <c r="DD35" i="70"/>
  <c r="DC35" i="70"/>
  <c r="DB35" i="70"/>
  <c r="DA35" i="70"/>
  <c r="CZ35" i="70"/>
  <c r="CY35" i="70"/>
  <c r="CX35" i="70"/>
  <c r="CW35" i="70"/>
  <c r="CV35" i="70"/>
  <c r="CU35" i="70"/>
  <c r="CT35" i="70"/>
  <c r="CS35" i="70"/>
  <c r="CR35" i="70"/>
  <c r="CQ35" i="70"/>
  <c r="CP35" i="70"/>
  <c r="CO35" i="70"/>
  <c r="CN35" i="70"/>
  <c r="CM35" i="70"/>
  <c r="CL35" i="70"/>
  <c r="CK35" i="70"/>
  <c r="CJ35" i="70"/>
  <c r="CI35" i="70"/>
  <c r="CH35" i="70"/>
  <c r="CG35" i="70"/>
  <c r="CF35" i="70"/>
  <c r="CE35" i="70"/>
  <c r="CD35" i="70"/>
  <c r="CC35" i="70"/>
  <c r="CB35" i="70"/>
  <c r="CA35" i="70"/>
  <c r="BZ35" i="70"/>
  <c r="BY35" i="70"/>
  <c r="BX35" i="70"/>
  <c r="BW35" i="70"/>
  <c r="BV35" i="70"/>
  <c r="BU35" i="70"/>
  <c r="BT35" i="70"/>
  <c r="BS35" i="70"/>
  <c r="BR35" i="70"/>
  <c r="BQ35" i="70"/>
  <c r="BP35" i="70"/>
  <c r="BO35" i="70"/>
  <c r="BN35" i="70"/>
  <c r="BM35" i="70"/>
  <c r="BL35" i="70"/>
  <c r="BK35" i="70"/>
  <c r="BJ35" i="70"/>
  <c r="BI35" i="70"/>
  <c r="BH35" i="70"/>
  <c r="BG35" i="70"/>
  <c r="BF35" i="70"/>
  <c r="BE35" i="70"/>
  <c r="BD35" i="70"/>
  <c r="BC35" i="70"/>
  <c r="BB35" i="70"/>
  <c r="BA35" i="70"/>
  <c r="AZ35" i="70"/>
  <c r="AY35" i="70"/>
  <c r="AX35" i="70"/>
  <c r="AW35" i="70"/>
  <c r="AV35" i="70"/>
  <c r="AU35" i="70"/>
  <c r="AT35" i="70"/>
  <c r="AS35" i="70"/>
  <c r="AR35" i="70"/>
  <c r="AQ35" i="70"/>
  <c r="AP35" i="70"/>
  <c r="AO35" i="70"/>
  <c r="AN35" i="70"/>
  <c r="AM35" i="70"/>
  <c r="AL35" i="70"/>
  <c r="AK35" i="70"/>
  <c r="AJ35" i="70"/>
  <c r="AI35" i="70"/>
  <c r="AH35" i="70"/>
  <c r="AG35" i="70"/>
  <c r="AF35" i="70"/>
  <c r="AE35" i="70"/>
  <c r="AD35" i="70"/>
  <c r="AC35" i="70"/>
  <c r="AB35" i="70"/>
  <c r="AA35" i="70"/>
  <c r="Z35" i="70"/>
  <c r="Y35" i="70"/>
  <c r="X35" i="70"/>
  <c r="W35" i="70"/>
  <c r="V35" i="70"/>
  <c r="U35" i="70"/>
  <c r="T35" i="70"/>
  <c r="S35" i="70"/>
  <c r="R35" i="70"/>
  <c r="Q35" i="70"/>
  <c r="P35" i="70"/>
  <c r="O35" i="70"/>
  <c r="N35" i="70"/>
  <c r="M35" i="70"/>
  <c r="L35" i="70"/>
  <c r="K35" i="70"/>
  <c r="J35" i="70"/>
  <c r="I35" i="70"/>
  <c r="H35" i="70"/>
  <c r="G35" i="70"/>
  <c r="F35" i="70"/>
  <c r="E35" i="70"/>
  <c r="D35" i="70"/>
  <c r="C35" i="70"/>
  <c r="FN34" i="70"/>
  <c r="FM34" i="70"/>
  <c r="FL34" i="70"/>
  <c r="FK34" i="70"/>
  <c r="FJ34" i="70"/>
  <c r="FI34" i="70"/>
  <c r="FH34" i="70"/>
  <c r="FG34" i="70"/>
  <c r="FF34" i="70"/>
  <c r="FE34" i="70"/>
  <c r="FD34" i="70"/>
  <c r="FC34" i="70"/>
  <c r="FB34" i="70"/>
  <c r="FA34" i="70"/>
  <c r="EZ34" i="70"/>
  <c r="EY34" i="70"/>
  <c r="EX34" i="70"/>
  <c r="EW34" i="70"/>
  <c r="EV34" i="70"/>
  <c r="EU34" i="70"/>
  <c r="ET34" i="70"/>
  <c r="ES34" i="70"/>
  <c r="ER34" i="70"/>
  <c r="EQ34" i="70"/>
  <c r="EP34" i="70"/>
  <c r="EO34" i="70"/>
  <c r="EN34" i="70"/>
  <c r="EM34" i="70"/>
  <c r="EL34" i="70"/>
  <c r="EK34" i="70"/>
  <c r="EJ34" i="70"/>
  <c r="EI34" i="70"/>
  <c r="EH34" i="70"/>
  <c r="EG34" i="70"/>
  <c r="EF34" i="70"/>
  <c r="EE34" i="70"/>
  <c r="ED34" i="70"/>
  <c r="EC34" i="70"/>
  <c r="EB34" i="70"/>
  <c r="EA34" i="70"/>
  <c r="DZ34" i="70"/>
  <c r="DY34" i="70"/>
  <c r="DX34" i="70"/>
  <c r="DW34" i="70"/>
  <c r="DV34" i="70"/>
  <c r="DU34" i="70"/>
  <c r="DT34" i="70"/>
  <c r="DS34" i="70"/>
  <c r="DR34" i="70"/>
  <c r="DQ34" i="70"/>
  <c r="DP34" i="70"/>
  <c r="DO34" i="70"/>
  <c r="DN34" i="70"/>
  <c r="DM34" i="70"/>
  <c r="DL34" i="70"/>
  <c r="DK34" i="70"/>
  <c r="DJ34" i="70"/>
  <c r="DI34" i="70"/>
  <c r="DH34" i="70"/>
  <c r="DG34" i="70"/>
  <c r="DF34" i="70"/>
  <c r="DE34" i="70"/>
  <c r="DD34" i="70"/>
  <c r="DC34" i="70"/>
  <c r="DB34" i="70"/>
  <c r="DA34" i="70"/>
  <c r="CZ34" i="70"/>
  <c r="CY34" i="70"/>
  <c r="CX34" i="70"/>
  <c r="CW34" i="70"/>
  <c r="CV34" i="70"/>
  <c r="CU34" i="70"/>
  <c r="CT34" i="70"/>
  <c r="CS34" i="70"/>
  <c r="CR34" i="70"/>
  <c r="CQ34" i="70"/>
  <c r="CP34" i="70"/>
  <c r="CO34" i="70"/>
  <c r="CN34" i="70"/>
  <c r="CM34" i="70"/>
  <c r="CL34" i="70"/>
  <c r="CK34" i="70"/>
  <c r="CJ34" i="70"/>
  <c r="CI34" i="70"/>
  <c r="CH34" i="70"/>
  <c r="CG34" i="70"/>
  <c r="CF34" i="70"/>
  <c r="CE34" i="70"/>
  <c r="CD34" i="70"/>
  <c r="CC34" i="70"/>
  <c r="CB34" i="70"/>
  <c r="CA34" i="70"/>
  <c r="BZ34" i="70"/>
  <c r="BY34" i="70"/>
  <c r="BX34" i="70"/>
  <c r="BW34" i="70"/>
  <c r="BV34" i="70"/>
  <c r="BU34" i="70"/>
  <c r="BT34" i="70"/>
  <c r="BS34" i="70"/>
  <c r="BR34" i="70"/>
  <c r="BQ34" i="70"/>
  <c r="BP34" i="70"/>
  <c r="BO34" i="70"/>
  <c r="BN34" i="70"/>
  <c r="BM34" i="70"/>
  <c r="BL34" i="70"/>
  <c r="BK34" i="70"/>
  <c r="BJ34" i="70"/>
  <c r="BI34" i="70"/>
  <c r="BH34" i="70"/>
  <c r="BG34" i="70"/>
  <c r="BF34" i="70"/>
  <c r="BE34" i="70"/>
  <c r="BD34" i="70"/>
  <c r="BC34" i="70"/>
  <c r="BB34" i="70"/>
  <c r="BA34" i="70"/>
  <c r="AZ34" i="70"/>
  <c r="AY34" i="70"/>
  <c r="AX34" i="70"/>
  <c r="AW34" i="70"/>
  <c r="AV34" i="70"/>
  <c r="AU34" i="70"/>
  <c r="AT34" i="70"/>
  <c r="AS34" i="70"/>
  <c r="AR34" i="70"/>
  <c r="AQ34" i="70"/>
  <c r="AP34" i="70"/>
  <c r="AO34" i="70"/>
  <c r="AN34" i="70"/>
  <c r="AM34" i="70"/>
  <c r="AL34" i="70"/>
  <c r="AK34" i="70"/>
  <c r="AJ34" i="70"/>
  <c r="AI34" i="70"/>
  <c r="AH34" i="70"/>
  <c r="AG34" i="70"/>
  <c r="AF34" i="70"/>
  <c r="AE34" i="70"/>
  <c r="AD34" i="70"/>
  <c r="AC34" i="70"/>
  <c r="AB34" i="70"/>
  <c r="AA34" i="70"/>
  <c r="Z34" i="70"/>
  <c r="Y34" i="70"/>
  <c r="X34" i="70"/>
  <c r="W34" i="70"/>
  <c r="V34" i="70"/>
  <c r="U34" i="70"/>
  <c r="T34" i="70"/>
  <c r="S34" i="70"/>
  <c r="R34" i="70"/>
  <c r="Q34" i="70"/>
  <c r="P34" i="70"/>
  <c r="O34" i="70"/>
  <c r="N34" i="70"/>
  <c r="M34" i="70"/>
  <c r="L34" i="70"/>
  <c r="K34" i="70"/>
  <c r="J34" i="70"/>
  <c r="I34" i="70"/>
  <c r="H34" i="70"/>
  <c r="G34" i="70"/>
  <c r="F34" i="70"/>
  <c r="E34" i="70"/>
  <c r="D34" i="70"/>
  <c r="C34" i="70"/>
  <c r="FN43" i="69"/>
  <c r="FM43" i="69"/>
  <c r="FL43" i="69"/>
  <c r="FK43" i="69"/>
  <c r="FJ43" i="69"/>
  <c r="FI43" i="69"/>
  <c r="FH43" i="69"/>
  <c r="FG43" i="69"/>
  <c r="FF43" i="69"/>
  <c r="FE43" i="69"/>
  <c r="FD43" i="69"/>
  <c r="FC43" i="69"/>
  <c r="FB43" i="69"/>
  <c r="FA43" i="69"/>
  <c r="EZ43" i="69"/>
  <c r="EY43" i="69"/>
  <c r="EX43" i="69"/>
  <c r="EW43" i="69"/>
  <c r="EV43" i="69"/>
  <c r="EU43" i="69"/>
  <c r="ET43" i="69"/>
  <c r="ES43" i="69"/>
  <c r="ER43" i="69"/>
  <c r="EQ43" i="69"/>
  <c r="EP43" i="69"/>
  <c r="EO43" i="69"/>
  <c r="EN43" i="69"/>
  <c r="EM43" i="69"/>
  <c r="EL43" i="69"/>
  <c r="EK43" i="69"/>
  <c r="EJ43" i="69"/>
  <c r="EI43" i="69"/>
  <c r="EH43" i="69"/>
  <c r="EG43" i="69"/>
  <c r="EF43" i="69"/>
  <c r="EE43" i="69"/>
  <c r="ED43" i="69"/>
  <c r="EC43" i="69"/>
  <c r="EB43" i="69"/>
  <c r="EA43" i="69"/>
  <c r="DZ43" i="69"/>
  <c r="DY43" i="69"/>
  <c r="DX43" i="69"/>
  <c r="DW43" i="69"/>
  <c r="DV43" i="69"/>
  <c r="DU43" i="69"/>
  <c r="DT43" i="69"/>
  <c r="DS43" i="69"/>
  <c r="DR43" i="69"/>
  <c r="DQ43" i="69"/>
  <c r="DP43" i="69"/>
  <c r="DO43" i="69"/>
  <c r="DN43" i="69"/>
  <c r="DM43" i="69"/>
  <c r="DL43" i="69"/>
  <c r="DK43" i="69"/>
  <c r="DJ43" i="69"/>
  <c r="DI43" i="69"/>
  <c r="DH43" i="69"/>
  <c r="DG43" i="69"/>
  <c r="DF43" i="69"/>
  <c r="DE43" i="69"/>
  <c r="DD43" i="69"/>
  <c r="DC43" i="69"/>
  <c r="DB43" i="69"/>
  <c r="DA43" i="69"/>
  <c r="CZ43" i="69"/>
  <c r="CY43" i="69"/>
  <c r="CX43" i="69"/>
  <c r="CW43" i="69"/>
  <c r="CV43" i="69"/>
  <c r="CU43" i="69"/>
  <c r="CT43" i="69"/>
  <c r="CS43" i="69"/>
  <c r="CR43" i="69"/>
  <c r="CQ43" i="69"/>
  <c r="CP43" i="69"/>
  <c r="CO43" i="69"/>
  <c r="CN43" i="69"/>
  <c r="CM43" i="69"/>
  <c r="CL43" i="69"/>
  <c r="CK43" i="69"/>
  <c r="CJ43" i="69"/>
  <c r="CI43" i="69"/>
  <c r="CH43" i="69"/>
  <c r="CG43" i="69"/>
  <c r="CF43" i="69"/>
  <c r="CE43" i="69"/>
  <c r="CD43" i="69"/>
  <c r="CC43" i="69"/>
  <c r="CB43" i="69"/>
  <c r="CA43" i="69"/>
  <c r="BZ43" i="69"/>
  <c r="BY43" i="69"/>
  <c r="BX43" i="69"/>
  <c r="BW43" i="69"/>
  <c r="BV43" i="69"/>
  <c r="BU43" i="69"/>
  <c r="BT43" i="69"/>
  <c r="BS43" i="69"/>
  <c r="BR43" i="69"/>
  <c r="BQ43" i="69"/>
  <c r="BP43" i="69"/>
  <c r="BO43" i="69"/>
  <c r="BN43" i="69"/>
  <c r="BM43" i="69"/>
  <c r="BL43" i="69"/>
  <c r="BK43" i="69"/>
  <c r="BJ43" i="69"/>
  <c r="BI43" i="69"/>
  <c r="BH43" i="69"/>
  <c r="BG43" i="69"/>
  <c r="BF43" i="69"/>
  <c r="BE43" i="69"/>
  <c r="BD43" i="69"/>
  <c r="BC43" i="69"/>
  <c r="BB43" i="69"/>
  <c r="BA43" i="69"/>
  <c r="AZ43" i="69"/>
  <c r="AY43" i="69"/>
  <c r="AX43" i="69"/>
  <c r="AW43" i="69"/>
  <c r="AV43" i="69"/>
  <c r="AU43" i="69"/>
  <c r="AT43" i="69"/>
  <c r="AS43" i="69"/>
  <c r="AR43" i="69"/>
  <c r="AQ43" i="69"/>
  <c r="AP43" i="69"/>
  <c r="AO43" i="69"/>
  <c r="AN43" i="69"/>
  <c r="AM43" i="69"/>
  <c r="AL43" i="69"/>
  <c r="AK43" i="69"/>
  <c r="AJ43" i="69"/>
  <c r="AI43" i="69"/>
  <c r="AH43" i="69"/>
  <c r="AG43" i="69"/>
  <c r="AF43" i="69"/>
  <c r="AE43" i="69"/>
  <c r="AD43" i="69"/>
  <c r="AC43" i="69"/>
  <c r="AB43" i="69"/>
  <c r="AA43" i="69"/>
  <c r="Z43" i="69"/>
  <c r="Y43" i="69"/>
  <c r="X43" i="69"/>
  <c r="W43" i="69"/>
  <c r="V43" i="69"/>
  <c r="U43" i="69"/>
  <c r="T43" i="69"/>
  <c r="S43" i="69"/>
  <c r="R43" i="69"/>
  <c r="Q43" i="69"/>
  <c r="P43" i="69"/>
  <c r="O43" i="69"/>
  <c r="N43" i="69"/>
  <c r="M43" i="69"/>
  <c r="L43" i="69"/>
  <c r="K43" i="69"/>
  <c r="J43" i="69"/>
  <c r="I43" i="69"/>
  <c r="H43" i="69"/>
  <c r="G43" i="69"/>
  <c r="F43" i="69"/>
  <c r="E43" i="69"/>
  <c r="D43" i="69"/>
  <c r="C43" i="69"/>
  <c r="FN42" i="69"/>
  <c r="FM42" i="69"/>
  <c r="FL42" i="69"/>
  <c r="FK42" i="69"/>
  <c r="FJ42" i="69"/>
  <c r="FI42" i="69"/>
  <c r="FH42" i="69"/>
  <c r="FG42" i="69"/>
  <c r="FF42" i="69"/>
  <c r="FE42" i="69"/>
  <c r="FD42" i="69"/>
  <c r="FC42" i="69"/>
  <c r="FB42" i="69"/>
  <c r="FA42" i="69"/>
  <c r="EZ42" i="69"/>
  <c r="EY42" i="69"/>
  <c r="EX42" i="69"/>
  <c r="EW42" i="69"/>
  <c r="EV42" i="69"/>
  <c r="EU42" i="69"/>
  <c r="ET42" i="69"/>
  <c r="ES42" i="69"/>
  <c r="ER42" i="69"/>
  <c r="EQ42" i="69"/>
  <c r="EP42" i="69"/>
  <c r="EO42" i="69"/>
  <c r="EN42" i="69"/>
  <c r="EM42" i="69"/>
  <c r="EL42" i="69"/>
  <c r="EK42" i="69"/>
  <c r="EJ42" i="69"/>
  <c r="EI42" i="69"/>
  <c r="EH42" i="69"/>
  <c r="EG42" i="69"/>
  <c r="EF42" i="69"/>
  <c r="EE42" i="69"/>
  <c r="ED42" i="69"/>
  <c r="EC42" i="69"/>
  <c r="EB42" i="69"/>
  <c r="EA42" i="69"/>
  <c r="DZ42" i="69"/>
  <c r="DY42" i="69"/>
  <c r="DX42" i="69"/>
  <c r="DW42" i="69"/>
  <c r="DV42" i="69"/>
  <c r="DU42" i="69"/>
  <c r="DT42" i="69"/>
  <c r="DS42" i="69"/>
  <c r="DR42" i="69"/>
  <c r="DQ42" i="69"/>
  <c r="DP42" i="69"/>
  <c r="DO42" i="69"/>
  <c r="DN42" i="69"/>
  <c r="DM42" i="69"/>
  <c r="DL42" i="69"/>
  <c r="DK42" i="69"/>
  <c r="DJ42" i="69"/>
  <c r="DI42" i="69"/>
  <c r="DH42" i="69"/>
  <c r="DG42" i="69"/>
  <c r="DF42" i="69"/>
  <c r="DE42" i="69"/>
  <c r="DD42" i="69"/>
  <c r="DC42" i="69"/>
  <c r="DB42" i="69"/>
  <c r="DA42" i="69"/>
  <c r="CZ42" i="69"/>
  <c r="CY42" i="69"/>
  <c r="CX42" i="69"/>
  <c r="CW42" i="69"/>
  <c r="CV42" i="69"/>
  <c r="CU42" i="69"/>
  <c r="CT42" i="69"/>
  <c r="CS42" i="69"/>
  <c r="CR42" i="69"/>
  <c r="CQ42" i="69"/>
  <c r="CP42" i="69"/>
  <c r="CO42" i="69"/>
  <c r="CN42" i="69"/>
  <c r="CM42" i="69"/>
  <c r="CL42" i="69"/>
  <c r="CK42" i="69"/>
  <c r="CJ42" i="69"/>
  <c r="CI42" i="69"/>
  <c r="CH42" i="69"/>
  <c r="CG42" i="69"/>
  <c r="CF42" i="69"/>
  <c r="CE42" i="69"/>
  <c r="CD42" i="69"/>
  <c r="CC42" i="69"/>
  <c r="CB42" i="69"/>
  <c r="CA42" i="69"/>
  <c r="BZ42" i="69"/>
  <c r="BY42" i="69"/>
  <c r="BX42" i="69"/>
  <c r="BW42" i="69"/>
  <c r="BV42" i="69"/>
  <c r="BU42" i="69"/>
  <c r="BT42" i="69"/>
  <c r="BS42" i="69"/>
  <c r="BR42" i="69"/>
  <c r="BQ42" i="69"/>
  <c r="BP42" i="69"/>
  <c r="BO42" i="69"/>
  <c r="BN42" i="69"/>
  <c r="BM42" i="69"/>
  <c r="BL42" i="69"/>
  <c r="BK42" i="69"/>
  <c r="BJ42" i="69"/>
  <c r="BI42" i="69"/>
  <c r="BH42" i="69"/>
  <c r="BG42" i="69"/>
  <c r="BF42" i="69"/>
  <c r="BE42" i="69"/>
  <c r="BD42" i="69"/>
  <c r="BC42" i="69"/>
  <c r="BB42" i="69"/>
  <c r="BA42" i="69"/>
  <c r="AZ42" i="69"/>
  <c r="AY42" i="69"/>
  <c r="AX42" i="69"/>
  <c r="AW42" i="69"/>
  <c r="AV42" i="69"/>
  <c r="AU42" i="69"/>
  <c r="AT42" i="69"/>
  <c r="AS42" i="69"/>
  <c r="AR42" i="69"/>
  <c r="AQ42" i="69"/>
  <c r="AP42" i="69"/>
  <c r="AO42" i="69"/>
  <c r="AN42" i="69"/>
  <c r="AM42" i="69"/>
  <c r="AL42" i="69"/>
  <c r="AK42" i="69"/>
  <c r="AJ42" i="69"/>
  <c r="AI42" i="69"/>
  <c r="AH42" i="69"/>
  <c r="AG42" i="69"/>
  <c r="AF42" i="69"/>
  <c r="AE42" i="69"/>
  <c r="AD42" i="69"/>
  <c r="AC42" i="69"/>
  <c r="AB42" i="69"/>
  <c r="AA42" i="69"/>
  <c r="Z42" i="69"/>
  <c r="Y42" i="69"/>
  <c r="X42" i="69"/>
  <c r="W42" i="69"/>
  <c r="V42" i="69"/>
  <c r="U42" i="69"/>
  <c r="T42" i="69"/>
  <c r="S42" i="69"/>
  <c r="R42" i="69"/>
  <c r="Q42" i="69"/>
  <c r="P42" i="69"/>
  <c r="O42" i="69"/>
  <c r="N42" i="69"/>
  <c r="M42" i="69"/>
  <c r="L42" i="69"/>
  <c r="K42" i="69"/>
  <c r="J42" i="69"/>
  <c r="I42" i="69"/>
  <c r="H42" i="69"/>
  <c r="G42" i="69"/>
  <c r="F42" i="69"/>
  <c r="E42" i="69"/>
  <c r="D42" i="69"/>
  <c r="C42" i="69"/>
  <c r="FN41" i="69"/>
  <c r="FM41" i="69"/>
  <c r="FL41" i="69"/>
  <c r="FK41" i="69"/>
  <c r="FJ41" i="69"/>
  <c r="FI41" i="69"/>
  <c r="FH41" i="69"/>
  <c r="FG41" i="69"/>
  <c r="FF41" i="69"/>
  <c r="FE41" i="69"/>
  <c r="FD41" i="69"/>
  <c r="FC41" i="69"/>
  <c r="FB41" i="69"/>
  <c r="FA41" i="69"/>
  <c r="EZ41" i="69"/>
  <c r="EY41" i="69"/>
  <c r="EX41" i="69"/>
  <c r="EW41" i="69"/>
  <c r="EV41" i="69"/>
  <c r="EU41" i="69"/>
  <c r="ET41" i="69"/>
  <c r="ES41" i="69"/>
  <c r="ER41" i="69"/>
  <c r="EQ41" i="69"/>
  <c r="EP41" i="69"/>
  <c r="EO41" i="69"/>
  <c r="EN41" i="69"/>
  <c r="EM41" i="69"/>
  <c r="EL41" i="69"/>
  <c r="EK41" i="69"/>
  <c r="EJ41" i="69"/>
  <c r="EI41" i="69"/>
  <c r="EH41" i="69"/>
  <c r="EG41" i="69"/>
  <c r="EF41" i="69"/>
  <c r="EE41" i="69"/>
  <c r="ED41" i="69"/>
  <c r="EC41" i="69"/>
  <c r="EB41" i="69"/>
  <c r="EA41" i="69"/>
  <c r="DZ41" i="69"/>
  <c r="DY41" i="69"/>
  <c r="DX41" i="69"/>
  <c r="DW41" i="69"/>
  <c r="DV41" i="69"/>
  <c r="DU41" i="69"/>
  <c r="DT41" i="69"/>
  <c r="DS41" i="69"/>
  <c r="DR41" i="69"/>
  <c r="DQ41" i="69"/>
  <c r="DP41" i="69"/>
  <c r="DO41" i="69"/>
  <c r="DN41" i="69"/>
  <c r="DM41" i="69"/>
  <c r="DL41" i="69"/>
  <c r="DK41" i="69"/>
  <c r="DJ41" i="69"/>
  <c r="DI41" i="69"/>
  <c r="DH41" i="69"/>
  <c r="DG41" i="69"/>
  <c r="DF41" i="69"/>
  <c r="DE41" i="69"/>
  <c r="DD41" i="69"/>
  <c r="DC41" i="69"/>
  <c r="DB41" i="69"/>
  <c r="DA41" i="69"/>
  <c r="CZ41" i="69"/>
  <c r="CY41" i="69"/>
  <c r="CX41" i="69"/>
  <c r="CW41" i="69"/>
  <c r="CV41" i="69"/>
  <c r="CU41" i="69"/>
  <c r="CT41" i="69"/>
  <c r="CS41" i="69"/>
  <c r="CR41" i="69"/>
  <c r="CQ41" i="69"/>
  <c r="CP41" i="69"/>
  <c r="CO41" i="69"/>
  <c r="CN41" i="69"/>
  <c r="CM41" i="69"/>
  <c r="CL41" i="69"/>
  <c r="CK41" i="69"/>
  <c r="CJ41" i="69"/>
  <c r="CI41" i="69"/>
  <c r="CH41" i="69"/>
  <c r="CG41" i="69"/>
  <c r="CF41" i="69"/>
  <c r="CE41" i="69"/>
  <c r="CD41" i="69"/>
  <c r="CC41" i="69"/>
  <c r="CB41" i="69"/>
  <c r="CA41" i="69"/>
  <c r="BZ41" i="69"/>
  <c r="BY41" i="69"/>
  <c r="BX41" i="69"/>
  <c r="BW41" i="69"/>
  <c r="BV41" i="69"/>
  <c r="BU41" i="69"/>
  <c r="BT41" i="69"/>
  <c r="BS41" i="69"/>
  <c r="BR41" i="69"/>
  <c r="BQ41" i="69"/>
  <c r="BP41" i="69"/>
  <c r="BO41" i="69"/>
  <c r="BN41" i="69"/>
  <c r="BM41" i="69"/>
  <c r="BL41" i="69"/>
  <c r="BK41" i="69"/>
  <c r="BJ41" i="69"/>
  <c r="BI41" i="69"/>
  <c r="BH41" i="69"/>
  <c r="BG41" i="69"/>
  <c r="BF41" i="69"/>
  <c r="BE41" i="69"/>
  <c r="BD41" i="69"/>
  <c r="BC41" i="69"/>
  <c r="BB41" i="69"/>
  <c r="BA41" i="69"/>
  <c r="AZ41" i="69"/>
  <c r="AY41" i="69"/>
  <c r="AX41" i="69"/>
  <c r="AW41" i="69"/>
  <c r="AV41" i="69"/>
  <c r="AU41" i="69"/>
  <c r="AT41" i="69"/>
  <c r="AS41" i="69"/>
  <c r="AR41" i="69"/>
  <c r="AQ41" i="69"/>
  <c r="AP41" i="69"/>
  <c r="AO41" i="69"/>
  <c r="AN41" i="69"/>
  <c r="AM41" i="69"/>
  <c r="AL41" i="69"/>
  <c r="AK41" i="69"/>
  <c r="AJ41" i="69"/>
  <c r="AI41" i="69"/>
  <c r="AH41" i="69"/>
  <c r="AG41" i="69"/>
  <c r="AF41" i="69"/>
  <c r="AE41" i="69"/>
  <c r="AD41" i="69"/>
  <c r="AC41" i="69"/>
  <c r="AB41" i="69"/>
  <c r="AA41" i="69"/>
  <c r="Z41" i="69"/>
  <c r="Y41" i="69"/>
  <c r="X41" i="69"/>
  <c r="W41" i="69"/>
  <c r="V41" i="69"/>
  <c r="U41" i="69"/>
  <c r="T41" i="69"/>
  <c r="S41" i="69"/>
  <c r="R41" i="69"/>
  <c r="Q41" i="69"/>
  <c r="P41" i="69"/>
  <c r="O41" i="69"/>
  <c r="N41" i="69"/>
  <c r="M41" i="69"/>
  <c r="L41" i="69"/>
  <c r="K41" i="69"/>
  <c r="J41" i="69"/>
  <c r="I41" i="69"/>
  <c r="H41" i="69"/>
  <c r="G41" i="69"/>
  <c r="F41" i="69"/>
  <c r="E41" i="69"/>
  <c r="D41" i="69"/>
  <c r="C41" i="69"/>
  <c r="FN40" i="69"/>
  <c r="FM40" i="69"/>
  <c r="FL40" i="69"/>
  <c r="FK40" i="69"/>
  <c r="FJ40" i="69"/>
  <c r="FI40" i="69"/>
  <c r="FH40" i="69"/>
  <c r="FG40" i="69"/>
  <c r="FF40" i="69"/>
  <c r="FE40" i="69"/>
  <c r="FD40" i="69"/>
  <c r="FC40" i="69"/>
  <c r="FB40" i="69"/>
  <c r="FA40" i="69"/>
  <c r="EZ40" i="69"/>
  <c r="EY40" i="69"/>
  <c r="EX40" i="69"/>
  <c r="EW40" i="69"/>
  <c r="EV40" i="69"/>
  <c r="EU40" i="69"/>
  <c r="ET40" i="69"/>
  <c r="ES40" i="69"/>
  <c r="ER40" i="69"/>
  <c r="EQ40" i="69"/>
  <c r="EP40" i="69"/>
  <c r="EO40" i="69"/>
  <c r="EN40" i="69"/>
  <c r="EM40" i="69"/>
  <c r="EL40" i="69"/>
  <c r="EK40" i="69"/>
  <c r="EJ40" i="69"/>
  <c r="EI40" i="69"/>
  <c r="EH40" i="69"/>
  <c r="EG40" i="69"/>
  <c r="EF40" i="69"/>
  <c r="EE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FN39" i="69"/>
  <c r="FM39" i="69"/>
  <c r="FL39" i="69"/>
  <c r="FK39" i="69"/>
  <c r="FJ39" i="69"/>
  <c r="FI39" i="69"/>
  <c r="FH39" i="69"/>
  <c r="FG39" i="69"/>
  <c r="FF39" i="69"/>
  <c r="FE39" i="69"/>
  <c r="FD39" i="69"/>
  <c r="FC39" i="69"/>
  <c r="FB39" i="69"/>
  <c r="FA39" i="69"/>
  <c r="EZ39" i="69"/>
  <c r="EY39" i="69"/>
  <c r="EX39" i="69"/>
  <c r="EW39" i="69"/>
  <c r="EV39" i="69"/>
  <c r="EU39" i="69"/>
  <c r="ET39" i="69"/>
  <c r="ES39" i="69"/>
  <c r="ER39" i="69"/>
  <c r="EQ39" i="69"/>
  <c r="EP39" i="69"/>
  <c r="EO39" i="69"/>
  <c r="EN39" i="69"/>
  <c r="EM39" i="69"/>
  <c r="EL39" i="69"/>
  <c r="EK39" i="69"/>
  <c r="EJ39" i="69"/>
  <c r="EI39" i="69"/>
  <c r="EH39" i="69"/>
  <c r="EG39" i="69"/>
  <c r="EF39" i="69"/>
  <c r="EE39" i="69"/>
  <c r="ED39" i="69"/>
  <c r="EC39" i="69"/>
  <c r="EB39" i="69"/>
  <c r="EA39" i="69"/>
  <c r="DZ39" i="69"/>
  <c r="DY39" i="69"/>
  <c r="DX39" i="69"/>
  <c r="DW39" i="69"/>
  <c r="DV39" i="69"/>
  <c r="DU39" i="69"/>
  <c r="DT39" i="69"/>
  <c r="DS39" i="69"/>
  <c r="DR39" i="69"/>
  <c r="DQ39" i="69"/>
  <c r="DP39" i="69"/>
  <c r="DO39" i="69"/>
  <c r="DN39" i="69"/>
  <c r="DM39" i="69"/>
  <c r="DL39" i="69"/>
  <c r="DK39" i="69"/>
  <c r="DJ39" i="69"/>
  <c r="DI39" i="69"/>
  <c r="DH39" i="69"/>
  <c r="DG39" i="69"/>
  <c r="DF39" i="69"/>
  <c r="DE39" i="69"/>
  <c r="DD39" i="69"/>
  <c r="DC39" i="69"/>
  <c r="DB39" i="69"/>
  <c r="DA39" i="69"/>
  <c r="CZ39" i="69"/>
  <c r="CY39" i="69"/>
  <c r="CX39" i="69"/>
  <c r="CW39" i="69"/>
  <c r="CV39" i="69"/>
  <c r="CU39" i="69"/>
  <c r="CT39" i="69"/>
  <c r="CS39" i="69"/>
  <c r="CR39" i="69"/>
  <c r="CQ39" i="69"/>
  <c r="CP39" i="69"/>
  <c r="CO39" i="69"/>
  <c r="CN39" i="69"/>
  <c r="CM39" i="69"/>
  <c r="CL39" i="69"/>
  <c r="CK39" i="69"/>
  <c r="CJ39" i="69"/>
  <c r="CI39" i="69"/>
  <c r="CH39" i="69"/>
  <c r="CG39" i="69"/>
  <c r="CF39" i="69"/>
  <c r="CE39" i="69"/>
  <c r="CD39" i="69"/>
  <c r="CC39" i="69"/>
  <c r="CB39" i="69"/>
  <c r="CA39" i="69"/>
  <c r="BZ39" i="69"/>
  <c r="BY39" i="69"/>
  <c r="BX39" i="69"/>
  <c r="BW39" i="69"/>
  <c r="BV39" i="69"/>
  <c r="BU39" i="69"/>
  <c r="BT39" i="69"/>
  <c r="BS39" i="69"/>
  <c r="BR39" i="69"/>
  <c r="BQ39" i="69"/>
  <c r="BP39" i="69"/>
  <c r="BO39" i="69"/>
  <c r="BN39" i="69"/>
  <c r="BM39" i="69"/>
  <c r="BL39" i="69"/>
  <c r="BK39" i="69"/>
  <c r="BJ39" i="69"/>
  <c r="BI39" i="69"/>
  <c r="BH39" i="69"/>
  <c r="BG39" i="69"/>
  <c r="BF39" i="69"/>
  <c r="BE39" i="69"/>
  <c r="BD39" i="69"/>
  <c r="BC39" i="69"/>
  <c r="BB39" i="69"/>
  <c r="BA39" i="69"/>
  <c r="AZ39" i="69"/>
  <c r="AY39" i="69"/>
  <c r="AX39" i="69"/>
  <c r="AW39" i="69"/>
  <c r="AV39" i="69"/>
  <c r="AU39" i="69"/>
  <c r="AT39" i="69"/>
  <c r="AS39" i="69"/>
  <c r="AR39" i="69"/>
  <c r="AQ39" i="69"/>
  <c r="AP39" i="69"/>
  <c r="AO39" i="69"/>
  <c r="AN39" i="69"/>
  <c r="AM39" i="69"/>
  <c r="AL39" i="69"/>
  <c r="AK39" i="69"/>
  <c r="AJ39" i="69"/>
  <c r="AI39" i="69"/>
  <c r="AH39" i="69"/>
  <c r="AG39" i="69"/>
  <c r="AF39" i="69"/>
  <c r="AE39" i="69"/>
  <c r="AD39" i="69"/>
  <c r="AC39" i="69"/>
  <c r="AB39" i="69"/>
  <c r="AA39" i="69"/>
  <c r="Z39" i="69"/>
  <c r="Y39" i="69"/>
  <c r="X39" i="69"/>
  <c r="W39" i="69"/>
  <c r="V39" i="69"/>
  <c r="U39" i="69"/>
  <c r="T39" i="69"/>
  <c r="S39" i="69"/>
  <c r="R39" i="69"/>
  <c r="Q39" i="69"/>
  <c r="P39" i="69"/>
  <c r="O39" i="69"/>
  <c r="N39" i="69"/>
  <c r="M39" i="69"/>
  <c r="L39" i="69"/>
  <c r="K39" i="69"/>
  <c r="J39" i="69"/>
  <c r="I39" i="69"/>
  <c r="H39" i="69"/>
  <c r="G39" i="69"/>
  <c r="F39" i="69"/>
  <c r="E39" i="69"/>
  <c r="D39" i="69"/>
  <c r="C39" i="69"/>
  <c r="FN38" i="69"/>
  <c r="FM38" i="69"/>
  <c r="FL38" i="69"/>
  <c r="FK38" i="69"/>
  <c r="FJ38" i="69"/>
  <c r="FI38" i="69"/>
  <c r="FH38" i="69"/>
  <c r="FG38" i="69"/>
  <c r="FF38" i="69"/>
  <c r="FE38" i="69"/>
  <c r="FD38" i="69"/>
  <c r="FC38" i="69"/>
  <c r="FB38" i="69"/>
  <c r="FA38" i="69"/>
  <c r="EZ38" i="69"/>
  <c r="EY38" i="69"/>
  <c r="EX38" i="69"/>
  <c r="EW38" i="69"/>
  <c r="EV38" i="69"/>
  <c r="EU38" i="69"/>
  <c r="ET38" i="69"/>
  <c r="ES38" i="69"/>
  <c r="ER38" i="69"/>
  <c r="EQ38" i="69"/>
  <c r="EP38" i="69"/>
  <c r="EO38" i="69"/>
  <c r="EN38" i="69"/>
  <c r="EM38" i="69"/>
  <c r="EL38" i="69"/>
  <c r="EK38" i="69"/>
  <c r="EJ38" i="69"/>
  <c r="EI38" i="69"/>
  <c r="EH38" i="69"/>
  <c r="EG38" i="69"/>
  <c r="EF38" i="69"/>
  <c r="EE38" i="69"/>
  <c r="ED38" i="69"/>
  <c r="EC38" i="69"/>
  <c r="EB38" i="69"/>
  <c r="EA38" i="69"/>
  <c r="DZ38" i="69"/>
  <c r="DY38" i="69"/>
  <c r="DX38" i="69"/>
  <c r="DW38" i="69"/>
  <c r="DV38" i="69"/>
  <c r="DU38" i="69"/>
  <c r="DT38" i="69"/>
  <c r="DS38" i="69"/>
  <c r="DR38" i="69"/>
  <c r="DQ38" i="69"/>
  <c r="DP38" i="69"/>
  <c r="DO38" i="69"/>
  <c r="DN38" i="69"/>
  <c r="DM38" i="69"/>
  <c r="DL38" i="69"/>
  <c r="DK38" i="69"/>
  <c r="DJ38" i="69"/>
  <c r="DI38" i="69"/>
  <c r="DH38" i="69"/>
  <c r="DG38" i="69"/>
  <c r="DF38" i="69"/>
  <c r="DE38" i="69"/>
  <c r="DD38" i="69"/>
  <c r="DC38" i="69"/>
  <c r="DB38" i="69"/>
  <c r="DA38" i="69"/>
  <c r="CZ38" i="69"/>
  <c r="CY38" i="69"/>
  <c r="CX38" i="69"/>
  <c r="CW38" i="69"/>
  <c r="CV38" i="69"/>
  <c r="CU38" i="69"/>
  <c r="CT38" i="69"/>
  <c r="CS38" i="69"/>
  <c r="CR38" i="69"/>
  <c r="CQ38" i="69"/>
  <c r="CP38" i="69"/>
  <c r="CO38" i="69"/>
  <c r="CN38" i="69"/>
  <c r="CM38" i="69"/>
  <c r="CL38" i="69"/>
  <c r="CK38" i="69"/>
  <c r="CJ38" i="69"/>
  <c r="CI38" i="69"/>
  <c r="CH38" i="69"/>
  <c r="CG38" i="69"/>
  <c r="CF38" i="69"/>
  <c r="CE38" i="69"/>
  <c r="CD38" i="69"/>
  <c r="CC38" i="69"/>
  <c r="CB38" i="69"/>
  <c r="CA38" i="69"/>
  <c r="BZ38" i="69"/>
  <c r="BY38" i="69"/>
  <c r="BX38" i="69"/>
  <c r="BW38" i="69"/>
  <c r="BV38" i="69"/>
  <c r="BU38" i="69"/>
  <c r="BT38" i="69"/>
  <c r="BS38" i="69"/>
  <c r="BR38" i="69"/>
  <c r="BQ38" i="69"/>
  <c r="BP38" i="69"/>
  <c r="BO38" i="69"/>
  <c r="BN38" i="69"/>
  <c r="BM38" i="69"/>
  <c r="BL38" i="69"/>
  <c r="BK38" i="69"/>
  <c r="BJ38" i="69"/>
  <c r="BI38" i="69"/>
  <c r="BH38" i="69"/>
  <c r="BG38" i="69"/>
  <c r="BF38" i="69"/>
  <c r="BE38" i="69"/>
  <c r="BD38" i="69"/>
  <c r="BC38" i="69"/>
  <c r="BB38" i="69"/>
  <c r="BA38" i="69"/>
  <c r="AZ38" i="69"/>
  <c r="AY38" i="69"/>
  <c r="AX38" i="69"/>
  <c r="AW38" i="69"/>
  <c r="AV38" i="69"/>
  <c r="AU38" i="69"/>
  <c r="AT38" i="69"/>
  <c r="AS38" i="69"/>
  <c r="AR38" i="69"/>
  <c r="AQ38" i="69"/>
  <c r="AP38" i="69"/>
  <c r="AO38" i="69"/>
  <c r="AN38" i="69"/>
  <c r="AM38" i="69"/>
  <c r="AL38" i="69"/>
  <c r="AK38" i="69"/>
  <c r="AJ38" i="69"/>
  <c r="AI38" i="69"/>
  <c r="AH38" i="69"/>
  <c r="AG38" i="69"/>
  <c r="AF38" i="69"/>
  <c r="AE38" i="69"/>
  <c r="AD38" i="69"/>
  <c r="AC38" i="69"/>
  <c r="AB38" i="69"/>
  <c r="AA38" i="69"/>
  <c r="Z38" i="69"/>
  <c r="Y38" i="69"/>
  <c r="X38" i="69"/>
  <c r="W38" i="69"/>
  <c r="V38" i="69"/>
  <c r="U38" i="69"/>
  <c r="T38" i="69"/>
  <c r="S38" i="69"/>
  <c r="R38" i="69"/>
  <c r="Q38" i="69"/>
  <c r="P38" i="69"/>
  <c r="O38" i="69"/>
  <c r="N38" i="69"/>
  <c r="M38" i="69"/>
  <c r="L38" i="69"/>
  <c r="K38" i="69"/>
  <c r="J38" i="69"/>
  <c r="I38" i="69"/>
  <c r="H38" i="69"/>
  <c r="G38" i="69"/>
  <c r="F38" i="69"/>
  <c r="E38" i="69"/>
  <c r="D38" i="69"/>
  <c r="C38" i="69"/>
  <c r="FN37" i="69"/>
  <c r="FM37" i="69"/>
  <c r="FL37" i="69"/>
  <c r="FK37" i="69"/>
  <c r="FJ37" i="69"/>
  <c r="FI37" i="69"/>
  <c r="FH37" i="69"/>
  <c r="FG37" i="69"/>
  <c r="FF37" i="69"/>
  <c r="FE37" i="69"/>
  <c r="FD37" i="69"/>
  <c r="FC37" i="69"/>
  <c r="FB37" i="69"/>
  <c r="FA37" i="69"/>
  <c r="EZ37" i="69"/>
  <c r="EY37" i="69"/>
  <c r="EX37" i="69"/>
  <c r="EW37" i="69"/>
  <c r="EV37" i="69"/>
  <c r="EU37" i="69"/>
  <c r="ET37" i="69"/>
  <c r="ES37" i="69"/>
  <c r="ER37" i="69"/>
  <c r="EQ37" i="69"/>
  <c r="EP37" i="69"/>
  <c r="EO37" i="69"/>
  <c r="EN37" i="69"/>
  <c r="EM37" i="69"/>
  <c r="EL37" i="69"/>
  <c r="EK37" i="69"/>
  <c r="EJ37" i="69"/>
  <c r="EI37" i="69"/>
  <c r="EH37" i="69"/>
  <c r="EG37" i="69"/>
  <c r="EF37" i="69"/>
  <c r="EE37" i="69"/>
  <c r="ED37" i="69"/>
  <c r="EC37" i="69"/>
  <c r="EB37" i="69"/>
  <c r="EA37" i="69"/>
  <c r="DZ37" i="69"/>
  <c r="DY37" i="69"/>
  <c r="DX37" i="69"/>
  <c r="DW37" i="69"/>
  <c r="DV37" i="69"/>
  <c r="DU37" i="69"/>
  <c r="DT37" i="69"/>
  <c r="DS37" i="69"/>
  <c r="DR37" i="69"/>
  <c r="DQ37" i="69"/>
  <c r="DP37" i="69"/>
  <c r="DO37" i="69"/>
  <c r="DN37" i="69"/>
  <c r="DM37" i="69"/>
  <c r="DL37" i="69"/>
  <c r="DK37" i="69"/>
  <c r="DJ37" i="69"/>
  <c r="DI37" i="69"/>
  <c r="DH37" i="69"/>
  <c r="DG37" i="69"/>
  <c r="DF37" i="69"/>
  <c r="DE37" i="69"/>
  <c r="DD37" i="69"/>
  <c r="DC37" i="69"/>
  <c r="DB37" i="69"/>
  <c r="DA37" i="69"/>
  <c r="CZ37" i="69"/>
  <c r="CY37" i="69"/>
  <c r="CX37" i="69"/>
  <c r="CW37" i="69"/>
  <c r="CV37" i="69"/>
  <c r="CU37" i="69"/>
  <c r="CT37" i="69"/>
  <c r="CS37" i="69"/>
  <c r="CR37" i="69"/>
  <c r="CQ37" i="69"/>
  <c r="CP37" i="69"/>
  <c r="CO37" i="69"/>
  <c r="CN37" i="69"/>
  <c r="CM37" i="69"/>
  <c r="CL37" i="69"/>
  <c r="CK37" i="69"/>
  <c r="CJ37" i="69"/>
  <c r="CI37" i="69"/>
  <c r="CH37" i="69"/>
  <c r="CG37" i="69"/>
  <c r="CF37" i="69"/>
  <c r="CE37" i="69"/>
  <c r="CD37" i="69"/>
  <c r="CC37" i="69"/>
  <c r="CB37" i="69"/>
  <c r="CA37" i="69"/>
  <c r="BZ37" i="69"/>
  <c r="BY37" i="69"/>
  <c r="BX37" i="69"/>
  <c r="BW37" i="69"/>
  <c r="BV37" i="69"/>
  <c r="BU37" i="69"/>
  <c r="BT37" i="69"/>
  <c r="BS37" i="69"/>
  <c r="BR37" i="69"/>
  <c r="BQ37" i="69"/>
  <c r="BP37" i="69"/>
  <c r="BO37" i="69"/>
  <c r="BN37" i="69"/>
  <c r="BM37" i="69"/>
  <c r="BL37" i="69"/>
  <c r="BK37" i="69"/>
  <c r="BJ37" i="69"/>
  <c r="BI37" i="69"/>
  <c r="BH37" i="69"/>
  <c r="BG37" i="69"/>
  <c r="BF37" i="69"/>
  <c r="BE37" i="69"/>
  <c r="BD37" i="69"/>
  <c r="BC37" i="69"/>
  <c r="BB37" i="69"/>
  <c r="BA37" i="69"/>
  <c r="AZ37" i="69"/>
  <c r="AY37" i="69"/>
  <c r="AX37" i="69"/>
  <c r="AW37" i="69"/>
  <c r="AV37" i="69"/>
  <c r="AU37" i="69"/>
  <c r="AT37" i="69"/>
  <c r="AS37" i="69"/>
  <c r="AR37" i="69"/>
  <c r="AQ37" i="69"/>
  <c r="AP37" i="69"/>
  <c r="AO37" i="69"/>
  <c r="AN37" i="69"/>
  <c r="AM37" i="69"/>
  <c r="AL37" i="69"/>
  <c r="AK37" i="69"/>
  <c r="AJ37" i="69"/>
  <c r="AI37" i="69"/>
  <c r="AH37" i="69"/>
  <c r="AG37" i="69"/>
  <c r="AF37" i="69"/>
  <c r="AE37" i="69"/>
  <c r="AD37" i="69"/>
  <c r="AC37" i="69"/>
  <c r="AB37" i="69"/>
  <c r="AA37" i="69"/>
  <c r="Z37" i="69"/>
  <c r="Y37" i="69"/>
  <c r="X37" i="69"/>
  <c r="W37" i="69"/>
  <c r="V37" i="69"/>
  <c r="U37" i="69"/>
  <c r="T37" i="69"/>
  <c r="S37" i="69"/>
  <c r="R37" i="69"/>
  <c r="Q37" i="69"/>
  <c r="P37" i="69"/>
  <c r="O37" i="69"/>
  <c r="N37" i="69"/>
  <c r="M37" i="69"/>
  <c r="L37" i="69"/>
  <c r="K37" i="69"/>
  <c r="J37" i="69"/>
  <c r="I37" i="69"/>
  <c r="H37" i="69"/>
  <c r="G37" i="69"/>
  <c r="F37" i="69"/>
  <c r="E37" i="69"/>
  <c r="D37" i="69"/>
  <c r="C37" i="69"/>
  <c r="FN36" i="69"/>
  <c r="FM36" i="69"/>
  <c r="FL36" i="69"/>
  <c r="FK36" i="69"/>
  <c r="FJ36" i="69"/>
  <c r="FI36" i="69"/>
  <c r="FH36" i="69"/>
  <c r="FG36" i="69"/>
  <c r="FF36" i="69"/>
  <c r="FE36" i="69"/>
  <c r="FD36" i="69"/>
  <c r="FC36" i="69"/>
  <c r="FB36" i="69"/>
  <c r="FA36" i="69"/>
  <c r="EZ36" i="69"/>
  <c r="EY36" i="69"/>
  <c r="EX36" i="69"/>
  <c r="EW36" i="69"/>
  <c r="EV36" i="69"/>
  <c r="EU36" i="69"/>
  <c r="ET36" i="69"/>
  <c r="ES36" i="69"/>
  <c r="ER36" i="69"/>
  <c r="EQ36" i="69"/>
  <c r="EP36" i="69"/>
  <c r="EO36" i="69"/>
  <c r="EN36" i="69"/>
  <c r="EM36" i="69"/>
  <c r="EL36" i="69"/>
  <c r="EK36" i="69"/>
  <c r="EJ36" i="69"/>
  <c r="EI36" i="69"/>
  <c r="EH36" i="69"/>
  <c r="EG36" i="69"/>
  <c r="EF36" i="69"/>
  <c r="EE36" i="69"/>
  <c r="ED36" i="69"/>
  <c r="EC36" i="69"/>
  <c r="EB36" i="69"/>
  <c r="EA36" i="69"/>
  <c r="DZ36" i="69"/>
  <c r="DY36" i="69"/>
  <c r="DX36" i="69"/>
  <c r="DW36" i="69"/>
  <c r="DV36" i="69"/>
  <c r="DU36" i="69"/>
  <c r="DT36" i="69"/>
  <c r="DS36" i="69"/>
  <c r="DR36" i="69"/>
  <c r="DQ36" i="69"/>
  <c r="DP36" i="69"/>
  <c r="DO36" i="69"/>
  <c r="DN36" i="69"/>
  <c r="DM36" i="69"/>
  <c r="DL36" i="69"/>
  <c r="DK36" i="69"/>
  <c r="DJ36" i="69"/>
  <c r="DI36" i="69"/>
  <c r="DH36" i="69"/>
  <c r="DG36" i="69"/>
  <c r="DF36" i="69"/>
  <c r="DE36" i="69"/>
  <c r="DD36" i="69"/>
  <c r="DC36" i="69"/>
  <c r="DB36" i="69"/>
  <c r="DA36" i="69"/>
  <c r="CZ36" i="69"/>
  <c r="CY36" i="69"/>
  <c r="CX36" i="69"/>
  <c r="CW36" i="69"/>
  <c r="CV36" i="69"/>
  <c r="CU36" i="69"/>
  <c r="CT36" i="69"/>
  <c r="CS36" i="69"/>
  <c r="CR36" i="69"/>
  <c r="CQ36" i="69"/>
  <c r="CP36" i="69"/>
  <c r="CO36" i="69"/>
  <c r="CN36" i="69"/>
  <c r="CM36" i="69"/>
  <c r="CL36" i="69"/>
  <c r="CK36" i="69"/>
  <c r="CJ36" i="69"/>
  <c r="CI36" i="69"/>
  <c r="CH36" i="69"/>
  <c r="CG36" i="69"/>
  <c r="CF36" i="69"/>
  <c r="CE36" i="69"/>
  <c r="CD36" i="69"/>
  <c r="CC36" i="69"/>
  <c r="CB36" i="69"/>
  <c r="CA36" i="69"/>
  <c r="BZ36" i="69"/>
  <c r="BY36" i="69"/>
  <c r="BX36" i="69"/>
  <c r="BW36" i="69"/>
  <c r="BV36" i="69"/>
  <c r="BU36" i="69"/>
  <c r="BT36" i="69"/>
  <c r="BS36" i="69"/>
  <c r="BR36" i="69"/>
  <c r="BQ36" i="69"/>
  <c r="BP36" i="69"/>
  <c r="BO36" i="69"/>
  <c r="BN36" i="69"/>
  <c r="BM36" i="69"/>
  <c r="BL36" i="69"/>
  <c r="BK36" i="69"/>
  <c r="BJ36" i="69"/>
  <c r="BI36" i="69"/>
  <c r="BH36" i="69"/>
  <c r="BG36" i="69"/>
  <c r="BF36" i="69"/>
  <c r="BE36" i="69"/>
  <c r="BD36" i="69"/>
  <c r="BC36" i="69"/>
  <c r="BB36" i="69"/>
  <c r="BA36" i="69"/>
  <c r="AZ36" i="69"/>
  <c r="AY36" i="69"/>
  <c r="AX36" i="69"/>
  <c r="AW36" i="69"/>
  <c r="AV36" i="69"/>
  <c r="AU36" i="69"/>
  <c r="AT36" i="69"/>
  <c r="AS36" i="69"/>
  <c r="AR36" i="69"/>
  <c r="AQ36" i="69"/>
  <c r="AP36" i="69"/>
  <c r="AO36" i="69"/>
  <c r="AN36" i="69"/>
  <c r="AM36" i="69"/>
  <c r="AL36" i="69"/>
  <c r="AK36" i="69"/>
  <c r="AJ36" i="69"/>
  <c r="AI36" i="69"/>
  <c r="AH36" i="69"/>
  <c r="AG36" i="69"/>
  <c r="AF36" i="69"/>
  <c r="AE36" i="69"/>
  <c r="AD36" i="69"/>
  <c r="AC36" i="69"/>
  <c r="AB36" i="69"/>
  <c r="AA36" i="69"/>
  <c r="Z36" i="69"/>
  <c r="Y36" i="69"/>
  <c r="X36" i="69"/>
  <c r="W36" i="69"/>
  <c r="V36" i="69"/>
  <c r="U36" i="69"/>
  <c r="T36" i="69"/>
  <c r="S36" i="69"/>
  <c r="R36" i="69"/>
  <c r="Q36" i="69"/>
  <c r="P36" i="69"/>
  <c r="O36" i="69"/>
  <c r="N36" i="69"/>
  <c r="M36" i="69"/>
  <c r="L36" i="69"/>
  <c r="K36" i="69"/>
  <c r="J36" i="69"/>
  <c r="I36" i="69"/>
  <c r="H36" i="69"/>
  <c r="G36" i="69"/>
  <c r="F36" i="69"/>
  <c r="E36" i="69"/>
  <c r="D36" i="69"/>
  <c r="C36" i="69"/>
  <c r="FN35" i="69"/>
  <c r="FM35" i="69"/>
  <c r="FL35" i="69"/>
  <c r="FK35" i="69"/>
  <c r="FJ35" i="69"/>
  <c r="FI35" i="69"/>
  <c r="FH35" i="69"/>
  <c r="FG35" i="69"/>
  <c r="FF35" i="69"/>
  <c r="FE35" i="69"/>
  <c r="FD35" i="69"/>
  <c r="FC35" i="69"/>
  <c r="FB35" i="69"/>
  <c r="FA35" i="69"/>
  <c r="EZ35" i="69"/>
  <c r="EY35" i="69"/>
  <c r="EX35" i="69"/>
  <c r="EW35" i="69"/>
  <c r="EV35" i="69"/>
  <c r="EU35" i="69"/>
  <c r="ET35" i="69"/>
  <c r="ES35" i="69"/>
  <c r="ER35" i="69"/>
  <c r="EQ35" i="69"/>
  <c r="EP35" i="69"/>
  <c r="EO35" i="69"/>
  <c r="EN35" i="69"/>
  <c r="EM35" i="69"/>
  <c r="EL35" i="69"/>
  <c r="EK35" i="69"/>
  <c r="EJ35" i="69"/>
  <c r="EI35" i="69"/>
  <c r="EH35" i="69"/>
  <c r="EG35" i="69"/>
  <c r="EF35" i="69"/>
  <c r="EE35" i="69"/>
  <c r="ED35" i="69"/>
  <c r="EC35" i="69"/>
  <c r="EB35" i="69"/>
  <c r="EA35" i="69"/>
  <c r="DZ35" i="69"/>
  <c r="DY35" i="69"/>
  <c r="DX35" i="69"/>
  <c r="DW35" i="69"/>
  <c r="DV35" i="69"/>
  <c r="DU35" i="69"/>
  <c r="DT35" i="69"/>
  <c r="DS35" i="69"/>
  <c r="DR35" i="69"/>
  <c r="DQ35" i="69"/>
  <c r="DP35" i="69"/>
  <c r="DO35" i="69"/>
  <c r="DN35" i="69"/>
  <c r="DM35" i="69"/>
  <c r="DL35" i="69"/>
  <c r="DK35" i="69"/>
  <c r="DJ35" i="69"/>
  <c r="DI35" i="69"/>
  <c r="DH35" i="69"/>
  <c r="DG35" i="69"/>
  <c r="DF35" i="69"/>
  <c r="DE35" i="69"/>
  <c r="DD35" i="69"/>
  <c r="DC35" i="69"/>
  <c r="DB35" i="69"/>
  <c r="DA35" i="69"/>
  <c r="CZ35" i="69"/>
  <c r="CY35" i="69"/>
  <c r="CX35" i="69"/>
  <c r="CW35" i="69"/>
  <c r="CV35" i="69"/>
  <c r="CU35" i="69"/>
  <c r="CT35" i="69"/>
  <c r="CS35" i="69"/>
  <c r="CR35" i="69"/>
  <c r="CQ35" i="69"/>
  <c r="CP35" i="69"/>
  <c r="CO35" i="69"/>
  <c r="CN35" i="69"/>
  <c r="CM35" i="69"/>
  <c r="CL35" i="69"/>
  <c r="CK35" i="69"/>
  <c r="CJ35" i="69"/>
  <c r="CI35" i="69"/>
  <c r="CH35" i="69"/>
  <c r="CG35" i="69"/>
  <c r="CF35" i="69"/>
  <c r="CE35" i="69"/>
  <c r="CD35" i="69"/>
  <c r="CC35" i="69"/>
  <c r="CB35" i="69"/>
  <c r="CA35" i="69"/>
  <c r="BZ35" i="69"/>
  <c r="BY35" i="69"/>
  <c r="BX35" i="69"/>
  <c r="BW35" i="69"/>
  <c r="BV35" i="69"/>
  <c r="BU35" i="69"/>
  <c r="BT35" i="69"/>
  <c r="BS35" i="69"/>
  <c r="BR35" i="69"/>
  <c r="BQ35" i="69"/>
  <c r="BP35" i="69"/>
  <c r="BO35" i="69"/>
  <c r="BN35" i="69"/>
  <c r="BM35" i="69"/>
  <c r="BL35" i="69"/>
  <c r="BK35" i="69"/>
  <c r="BJ35" i="69"/>
  <c r="BI35" i="69"/>
  <c r="BH35" i="69"/>
  <c r="BG35" i="69"/>
  <c r="BF35" i="69"/>
  <c r="BE35" i="69"/>
  <c r="BD35" i="69"/>
  <c r="BC35" i="69"/>
  <c r="BB35" i="69"/>
  <c r="BA35" i="69"/>
  <c r="AZ35" i="69"/>
  <c r="AY35" i="69"/>
  <c r="AX35" i="69"/>
  <c r="AW35" i="69"/>
  <c r="AV35" i="69"/>
  <c r="AU35" i="69"/>
  <c r="AT35" i="69"/>
  <c r="AS35" i="69"/>
  <c r="AR35" i="69"/>
  <c r="AQ35" i="69"/>
  <c r="AP35" i="69"/>
  <c r="AO35" i="69"/>
  <c r="AN35" i="69"/>
  <c r="AM35" i="69"/>
  <c r="AL35" i="69"/>
  <c r="AK35" i="69"/>
  <c r="AJ35" i="69"/>
  <c r="AI35" i="69"/>
  <c r="AH35" i="69"/>
  <c r="AG35" i="69"/>
  <c r="AF35" i="69"/>
  <c r="AE35" i="69"/>
  <c r="AD35" i="69"/>
  <c r="AC35" i="69"/>
  <c r="AB35" i="69"/>
  <c r="AA35" i="69"/>
  <c r="Z35" i="69"/>
  <c r="Y35" i="69"/>
  <c r="X35" i="69"/>
  <c r="W35" i="69"/>
  <c r="V35" i="69"/>
  <c r="U35" i="69"/>
  <c r="T35" i="69"/>
  <c r="S35" i="69"/>
  <c r="R35" i="69"/>
  <c r="Q35" i="69"/>
  <c r="P35" i="69"/>
  <c r="O35" i="69"/>
  <c r="N35" i="69"/>
  <c r="M35" i="69"/>
  <c r="L35" i="69"/>
  <c r="K35" i="69"/>
  <c r="J35" i="69"/>
  <c r="I35" i="69"/>
  <c r="H35" i="69"/>
  <c r="G35" i="69"/>
  <c r="F35" i="69"/>
  <c r="E35" i="69"/>
  <c r="D35" i="69"/>
  <c r="C35" i="69"/>
  <c r="FN34" i="69"/>
  <c r="FM34" i="69"/>
  <c r="FL34" i="69"/>
  <c r="FK34" i="69"/>
  <c r="FJ34" i="69"/>
  <c r="FI34" i="69"/>
  <c r="FH34" i="69"/>
  <c r="FG34" i="69"/>
  <c r="FF34" i="69"/>
  <c r="FE34" i="69"/>
  <c r="FD34" i="69"/>
  <c r="FC34" i="69"/>
  <c r="FB34" i="69"/>
  <c r="FA34" i="69"/>
  <c r="EZ34" i="69"/>
  <c r="EY34" i="69"/>
  <c r="EX34" i="69"/>
  <c r="EW34" i="69"/>
  <c r="EV34" i="69"/>
  <c r="EU34" i="69"/>
  <c r="ET34" i="69"/>
  <c r="ES34" i="69"/>
  <c r="ER34" i="69"/>
  <c r="EQ34" i="69"/>
  <c r="EP34" i="69"/>
  <c r="EO34" i="69"/>
  <c r="EN34" i="69"/>
  <c r="EM34" i="69"/>
  <c r="EL34" i="69"/>
  <c r="EK34" i="69"/>
  <c r="EJ34" i="69"/>
  <c r="EI34" i="69"/>
  <c r="EH34" i="69"/>
  <c r="EG34" i="69"/>
  <c r="EF34" i="69"/>
  <c r="EE34" i="69"/>
  <c r="ED34" i="69"/>
  <c r="EC34" i="69"/>
  <c r="EB34" i="69"/>
  <c r="EA34" i="69"/>
  <c r="DZ34" i="69"/>
  <c r="DY34" i="69"/>
  <c r="DX34" i="69"/>
  <c r="DW34" i="69"/>
  <c r="DV34" i="69"/>
  <c r="DU34" i="69"/>
  <c r="DT34" i="69"/>
  <c r="DS34" i="69"/>
  <c r="DR34" i="69"/>
  <c r="DQ34" i="69"/>
  <c r="DP34" i="69"/>
  <c r="DO34" i="69"/>
  <c r="DN34" i="69"/>
  <c r="DM34" i="69"/>
  <c r="DL34" i="69"/>
  <c r="DK34" i="69"/>
  <c r="DJ34" i="69"/>
  <c r="DI34" i="69"/>
  <c r="DH34" i="69"/>
  <c r="DG34" i="69"/>
  <c r="DF34" i="69"/>
  <c r="DE34" i="69"/>
  <c r="DD34" i="69"/>
  <c r="DC34" i="69"/>
  <c r="DB34" i="69"/>
  <c r="DA34" i="69"/>
  <c r="CZ34" i="69"/>
  <c r="CY34" i="69"/>
  <c r="CX34" i="69"/>
  <c r="CW34" i="69"/>
  <c r="CV34" i="69"/>
  <c r="CU34" i="69"/>
  <c r="CT34" i="69"/>
  <c r="CS34" i="69"/>
  <c r="CR34" i="69"/>
  <c r="CQ34" i="69"/>
  <c r="CP34" i="69"/>
  <c r="CO34" i="69"/>
  <c r="CN34" i="69"/>
  <c r="CM34" i="69"/>
  <c r="CL34" i="69"/>
  <c r="CK34" i="69"/>
  <c r="CJ34" i="69"/>
  <c r="CI34" i="69"/>
  <c r="CH34" i="69"/>
  <c r="CG34" i="69"/>
  <c r="CF34" i="69"/>
  <c r="CE34" i="69"/>
  <c r="CD34" i="69"/>
  <c r="CC34" i="69"/>
  <c r="CB34" i="69"/>
  <c r="CA34" i="69"/>
  <c r="BZ34" i="69"/>
  <c r="BY34" i="69"/>
  <c r="BX34" i="69"/>
  <c r="BW34" i="69"/>
  <c r="BV34" i="69"/>
  <c r="BU34" i="69"/>
  <c r="BT34" i="69"/>
  <c r="BS34" i="69"/>
  <c r="BR34" i="69"/>
  <c r="BQ34" i="69"/>
  <c r="BP34" i="69"/>
  <c r="BO34" i="69"/>
  <c r="BN34" i="69"/>
  <c r="BM34" i="69"/>
  <c r="BL34" i="69"/>
  <c r="BK34" i="69"/>
  <c r="BJ34" i="69"/>
  <c r="BI34" i="69"/>
  <c r="BH34" i="69"/>
  <c r="BG34" i="69"/>
  <c r="BF34" i="69"/>
  <c r="BE34" i="69"/>
  <c r="BD34" i="69"/>
  <c r="BC34" i="69"/>
  <c r="BB34" i="69"/>
  <c r="BA34" i="69"/>
  <c r="AZ34" i="69"/>
  <c r="AY34" i="69"/>
  <c r="AX34" i="69"/>
  <c r="AW34" i="69"/>
  <c r="AV34" i="69"/>
  <c r="AU34" i="69"/>
  <c r="AT34" i="69"/>
  <c r="AS34" i="69"/>
  <c r="AR34" i="69"/>
  <c r="AQ34" i="69"/>
  <c r="AP34" i="69"/>
  <c r="AO34" i="69"/>
  <c r="AN34" i="69"/>
  <c r="AM34" i="69"/>
  <c r="AL34" i="69"/>
  <c r="AK34" i="69"/>
  <c r="AJ34" i="69"/>
  <c r="AI34" i="69"/>
  <c r="AH34" i="69"/>
  <c r="AG34" i="69"/>
  <c r="AF34" i="69"/>
  <c r="AE34" i="69"/>
  <c r="AD34" i="69"/>
  <c r="AC34" i="69"/>
  <c r="AB34" i="69"/>
  <c r="AA34" i="69"/>
  <c r="Z34" i="69"/>
  <c r="Y34" i="69"/>
  <c r="X34" i="69"/>
  <c r="W34" i="69"/>
  <c r="V34" i="69"/>
  <c r="U34" i="69"/>
  <c r="T34" i="69"/>
  <c r="S34" i="69"/>
  <c r="R34" i="69"/>
  <c r="Q34" i="69"/>
  <c r="P34" i="69"/>
  <c r="O34" i="69"/>
  <c r="N34" i="69"/>
  <c r="M34" i="69"/>
  <c r="L34" i="69"/>
  <c r="K34" i="69"/>
  <c r="J34" i="69"/>
  <c r="I34" i="69"/>
  <c r="H34" i="69"/>
  <c r="G34" i="69"/>
  <c r="F34" i="69"/>
  <c r="E34" i="69"/>
  <c r="D34" i="69"/>
  <c r="C34" i="69"/>
  <c r="FN43" i="68"/>
  <c r="FM43" i="68"/>
  <c r="FL43" i="68"/>
  <c r="FK43" i="68"/>
  <c r="FJ43" i="68"/>
  <c r="FI43" i="68"/>
  <c r="FH43" i="68"/>
  <c r="FG43" i="68"/>
  <c r="FF43" i="68"/>
  <c r="FE43" i="68"/>
  <c r="FD43" i="68"/>
  <c r="FC43" i="68"/>
  <c r="FB43" i="68"/>
  <c r="FA43" i="68"/>
  <c r="EZ43" i="68"/>
  <c r="EY43" i="68"/>
  <c r="EX43" i="68"/>
  <c r="EW43" i="68"/>
  <c r="EV43" i="68"/>
  <c r="EU43" i="68"/>
  <c r="ET43" i="68"/>
  <c r="ES43" i="68"/>
  <c r="ER43" i="68"/>
  <c r="EQ43" i="68"/>
  <c r="EP43" i="68"/>
  <c r="EO43" i="68"/>
  <c r="EN43" i="68"/>
  <c r="EM43" i="68"/>
  <c r="EL43" i="68"/>
  <c r="EK43" i="68"/>
  <c r="EJ43" i="68"/>
  <c r="EI43" i="68"/>
  <c r="EH43" i="68"/>
  <c r="EG43" i="68"/>
  <c r="EF43" i="68"/>
  <c r="EE43" i="68"/>
  <c r="ED43" i="68"/>
  <c r="EC43" i="68"/>
  <c r="EB43" i="68"/>
  <c r="EA43" i="68"/>
  <c r="DZ43" i="68"/>
  <c r="DY43" i="68"/>
  <c r="DX43" i="68"/>
  <c r="DW43" i="68"/>
  <c r="DV43" i="68"/>
  <c r="DU43" i="68"/>
  <c r="DT43" i="68"/>
  <c r="DS43" i="68"/>
  <c r="DR43" i="68"/>
  <c r="DQ43" i="68"/>
  <c r="DP43" i="68"/>
  <c r="DO43" i="68"/>
  <c r="DN43" i="68"/>
  <c r="DM43" i="68"/>
  <c r="DL43" i="68"/>
  <c r="DK43" i="68"/>
  <c r="DJ43" i="68"/>
  <c r="DI43" i="68"/>
  <c r="DH43" i="68"/>
  <c r="DG43" i="68"/>
  <c r="DF43" i="68"/>
  <c r="DE43" i="68"/>
  <c r="DD43" i="68"/>
  <c r="DC43" i="68"/>
  <c r="DB43" i="68"/>
  <c r="DA43" i="68"/>
  <c r="CZ43" i="68"/>
  <c r="CY43" i="68"/>
  <c r="CX43" i="68"/>
  <c r="CW43" i="68"/>
  <c r="CV43" i="68"/>
  <c r="CU43" i="68"/>
  <c r="CT43" i="68"/>
  <c r="CS43" i="68"/>
  <c r="CR43" i="68"/>
  <c r="CQ43" i="68"/>
  <c r="CP43" i="68"/>
  <c r="CO43" i="68"/>
  <c r="CN43" i="68"/>
  <c r="CM43" i="68"/>
  <c r="CL43" i="68"/>
  <c r="CK43" i="68"/>
  <c r="CJ43" i="68"/>
  <c r="CI43" i="68"/>
  <c r="CH43" i="68"/>
  <c r="CG43" i="68"/>
  <c r="CF43" i="68"/>
  <c r="CE43" i="68"/>
  <c r="CD43" i="68"/>
  <c r="CC43" i="68"/>
  <c r="CB43" i="68"/>
  <c r="CA43" i="68"/>
  <c r="BZ43" i="68"/>
  <c r="BY43" i="68"/>
  <c r="BX43" i="68"/>
  <c r="BW43" i="68"/>
  <c r="BV43" i="68"/>
  <c r="BU43" i="68"/>
  <c r="BT43" i="68"/>
  <c r="BS43" i="68"/>
  <c r="BR43" i="68"/>
  <c r="BQ43" i="68"/>
  <c r="BP43" i="68"/>
  <c r="BO43" i="68"/>
  <c r="BN43" i="68"/>
  <c r="BM43" i="68"/>
  <c r="BL43" i="68"/>
  <c r="BK43" i="68"/>
  <c r="BJ43" i="68"/>
  <c r="BI43" i="68"/>
  <c r="BH43" i="68"/>
  <c r="BG43" i="68"/>
  <c r="BF43" i="68"/>
  <c r="BE43" i="68"/>
  <c r="BD43" i="68"/>
  <c r="BC43" i="68"/>
  <c r="BB43" i="68"/>
  <c r="BA43" i="68"/>
  <c r="AZ43" i="68"/>
  <c r="AY43" i="68"/>
  <c r="AX43" i="68"/>
  <c r="AW43" i="68"/>
  <c r="AV43" i="68"/>
  <c r="AU43" i="68"/>
  <c r="AT43" i="68"/>
  <c r="AS43" i="68"/>
  <c r="AR43" i="68"/>
  <c r="AQ43" i="68"/>
  <c r="AP43" i="68"/>
  <c r="AO43" i="68"/>
  <c r="AN43" i="68"/>
  <c r="AM43" i="68"/>
  <c r="AL43" i="68"/>
  <c r="AK43" i="68"/>
  <c r="AJ43" i="68"/>
  <c r="AI43" i="68"/>
  <c r="AH43" i="68"/>
  <c r="AG43" i="68"/>
  <c r="AF43" i="68"/>
  <c r="AE43" i="68"/>
  <c r="AD43" i="68"/>
  <c r="AC43" i="68"/>
  <c r="AB43" i="68"/>
  <c r="AA43" i="68"/>
  <c r="Z43" i="68"/>
  <c r="Y43" i="68"/>
  <c r="X43" i="68"/>
  <c r="W43" i="68"/>
  <c r="V43" i="68"/>
  <c r="U43" i="68"/>
  <c r="T43" i="68"/>
  <c r="S43" i="68"/>
  <c r="R43" i="68"/>
  <c r="Q43" i="68"/>
  <c r="P43" i="68"/>
  <c r="O43" i="68"/>
  <c r="N43" i="68"/>
  <c r="M43" i="68"/>
  <c r="L43" i="68"/>
  <c r="K43" i="68"/>
  <c r="J43" i="68"/>
  <c r="I43" i="68"/>
  <c r="H43" i="68"/>
  <c r="G43" i="68"/>
  <c r="F43" i="68"/>
  <c r="E43" i="68"/>
  <c r="D43" i="68"/>
  <c r="C43" i="68"/>
  <c r="FN42" i="68"/>
  <c r="FM42" i="68"/>
  <c r="FL42" i="68"/>
  <c r="FK42" i="68"/>
  <c r="FJ42" i="68"/>
  <c r="FI42" i="68"/>
  <c r="FH42" i="68"/>
  <c r="FG42" i="68"/>
  <c r="FF42" i="68"/>
  <c r="FE42" i="68"/>
  <c r="FD42" i="68"/>
  <c r="FC42" i="68"/>
  <c r="FB42" i="68"/>
  <c r="FA42" i="68"/>
  <c r="EZ42" i="68"/>
  <c r="EY42" i="68"/>
  <c r="EX42" i="68"/>
  <c r="EW42" i="68"/>
  <c r="EV42" i="68"/>
  <c r="EU42" i="68"/>
  <c r="ET42" i="68"/>
  <c r="ES42" i="68"/>
  <c r="ER42" i="68"/>
  <c r="EQ42" i="68"/>
  <c r="EP42" i="68"/>
  <c r="EO42" i="68"/>
  <c r="EN42" i="68"/>
  <c r="EM42" i="68"/>
  <c r="EL42" i="68"/>
  <c r="EK42" i="68"/>
  <c r="EJ42" i="68"/>
  <c r="EI42" i="68"/>
  <c r="EH42" i="68"/>
  <c r="EG42" i="68"/>
  <c r="EF42" i="68"/>
  <c r="EE42" i="68"/>
  <c r="ED42" i="68"/>
  <c r="EC42" i="68"/>
  <c r="EB42" i="68"/>
  <c r="EA42" i="68"/>
  <c r="DZ42" i="68"/>
  <c r="DY42" i="68"/>
  <c r="DX42" i="68"/>
  <c r="DW42" i="68"/>
  <c r="DV42" i="68"/>
  <c r="DU42" i="68"/>
  <c r="DT42" i="68"/>
  <c r="DS42" i="68"/>
  <c r="DR42" i="68"/>
  <c r="DQ42" i="68"/>
  <c r="DP42" i="68"/>
  <c r="DO42" i="68"/>
  <c r="DN42" i="68"/>
  <c r="DM42" i="68"/>
  <c r="DL42" i="68"/>
  <c r="DK42" i="68"/>
  <c r="DJ42" i="68"/>
  <c r="DI42" i="68"/>
  <c r="DH42" i="68"/>
  <c r="DG42" i="68"/>
  <c r="DF42" i="68"/>
  <c r="DE42" i="68"/>
  <c r="DD42" i="68"/>
  <c r="DC42" i="68"/>
  <c r="DB42" i="68"/>
  <c r="DA42" i="68"/>
  <c r="CZ42" i="68"/>
  <c r="CY42" i="68"/>
  <c r="CX42" i="68"/>
  <c r="CW42" i="68"/>
  <c r="CV42" i="68"/>
  <c r="CU42" i="68"/>
  <c r="CT42" i="68"/>
  <c r="CS42" i="68"/>
  <c r="CR42" i="68"/>
  <c r="CQ42" i="68"/>
  <c r="CP42" i="68"/>
  <c r="CO42" i="68"/>
  <c r="CN42" i="68"/>
  <c r="CM42" i="68"/>
  <c r="CL42" i="68"/>
  <c r="CK42" i="68"/>
  <c r="CJ42" i="68"/>
  <c r="CI42" i="68"/>
  <c r="CH42" i="68"/>
  <c r="CG42" i="68"/>
  <c r="CF42" i="68"/>
  <c r="CE42" i="68"/>
  <c r="CD42" i="68"/>
  <c r="CC42" i="68"/>
  <c r="CB42" i="68"/>
  <c r="CA42" i="68"/>
  <c r="BZ42" i="68"/>
  <c r="BY42" i="68"/>
  <c r="BX42" i="68"/>
  <c r="BW42" i="68"/>
  <c r="BV42" i="68"/>
  <c r="BU42" i="68"/>
  <c r="BT42" i="68"/>
  <c r="BS42" i="68"/>
  <c r="BR42" i="68"/>
  <c r="BQ42" i="68"/>
  <c r="BP42" i="68"/>
  <c r="BO42" i="68"/>
  <c r="BN42" i="68"/>
  <c r="BM42" i="68"/>
  <c r="BL42" i="68"/>
  <c r="BK42" i="68"/>
  <c r="BJ42" i="68"/>
  <c r="BI42" i="68"/>
  <c r="BH42" i="68"/>
  <c r="BG42" i="68"/>
  <c r="BF42" i="68"/>
  <c r="BE42" i="68"/>
  <c r="BD42" i="68"/>
  <c r="BC42" i="68"/>
  <c r="BB42" i="68"/>
  <c r="BA42" i="68"/>
  <c r="AZ42" i="68"/>
  <c r="AY42" i="68"/>
  <c r="AX42" i="68"/>
  <c r="AW42" i="68"/>
  <c r="AV42" i="68"/>
  <c r="AU42" i="68"/>
  <c r="AT42" i="68"/>
  <c r="AS42" i="68"/>
  <c r="AR42" i="68"/>
  <c r="AQ42" i="68"/>
  <c r="AP42" i="68"/>
  <c r="AO42" i="68"/>
  <c r="AN42" i="68"/>
  <c r="AM42" i="68"/>
  <c r="AL42" i="68"/>
  <c r="AK42" i="68"/>
  <c r="AJ42" i="68"/>
  <c r="AI42" i="68"/>
  <c r="AH42" i="68"/>
  <c r="AG42" i="68"/>
  <c r="AF42" i="68"/>
  <c r="AE42" i="68"/>
  <c r="AD42" i="68"/>
  <c r="AC42" i="68"/>
  <c r="AB42" i="68"/>
  <c r="AA42" i="68"/>
  <c r="Z42" i="68"/>
  <c r="Y42" i="68"/>
  <c r="X42" i="68"/>
  <c r="W42" i="68"/>
  <c r="V42" i="68"/>
  <c r="U42" i="68"/>
  <c r="T42" i="68"/>
  <c r="S42" i="68"/>
  <c r="R42" i="68"/>
  <c r="Q42" i="68"/>
  <c r="P42" i="68"/>
  <c r="O42" i="68"/>
  <c r="N42" i="68"/>
  <c r="M42" i="68"/>
  <c r="L42" i="68"/>
  <c r="K42" i="68"/>
  <c r="J42" i="68"/>
  <c r="I42" i="68"/>
  <c r="H42" i="68"/>
  <c r="G42" i="68"/>
  <c r="F42" i="68"/>
  <c r="E42" i="68"/>
  <c r="D42" i="68"/>
  <c r="C42" i="68"/>
  <c r="FN41" i="68"/>
  <c r="FM41" i="68"/>
  <c r="FL41" i="68"/>
  <c r="FK41" i="68"/>
  <c r="FJ41" i="68"/>
  <c r="FI41" i="68"/>
  <c r="FH41" i="68"/>
  <c r="FG41" i="68"/>
  <c r="FF41" i="68"/>
  <c r="FE41" i="68"/>
  <c r="FD41" i="68"/>
  <c r="FC41" i="68"/>
  <c r="FB41" i="68"/>
  <c r="FA41" i="68"/>
  <c r="EZ41" i="68"/>
  <c r="EY41" i="68"/>
  <c r="EX41" i="68"/>
  <c r="EW41" i="68"/>
  <c r="EV41" i="68"/>
  <c r="EU41" i="68"/>
  <c r="ET41" i="68"/>
  <c r="ES41" i="68"/>
  <c r="ER41" i="68"/>
  <c r="EQ41" i="68"/>
  <c r="EP41" i="68"/>
  <c r="EO41" i="68"/>
  <c r="EN41" i="68"/>
  <c r="EM41" i="68"/>
  <c r="EL41" i="68"/>
  <c r="EK41" i="68"/>
  <c r="EJ41" i="68"/>
  <c r="EI41" i="68"/>
  <c r="EH41" i="68"/>
  <c r="EG41" i="68"/>
  <c r="EF41" i="68"/>
  <c r="EE41" i="68"/>
  <c r="ED41" i="68"/>
  <c r="EC41" i="68"/>
  <c r="EB41" i="68"/>
  <c r="EA41" i="68"/>
  <c r="DZ41" i="68"/>
  <c r="DY41" i="68"/>
  <c r="DX41" i="68"/>
  <c r="DW41" i="68"/>
  <c r="DV41" i="68"/>
  <c r="DU41" i="68"/>
  <c r="DT41" i="68"/>
  <c r="DS41" i="68"/>
  <c r="DR41" i="68"/>
  <c r="DQ41" i="68"/>
  <c r="DP41" i="68"/>
  <c r="DO41" i="68"/>
  <c r="DN41" i="68"/>
  <c r="DM41" i="68"/>
  <c r="DL41" i="68"/>
  <c r="DK41" i="68"/>
  <c r="DJ41" i="68"/>
  <c r="DI41" i="68"/>
  <c r="DH41" i="68"/>
  <c r="DG41" i="68"/>
  <c r="DF41" i="68"/>
  <c r="DE41" i="68"/>
  <c r="DD41" i="68"/>
  <c r="DC41" i="68"/>
  <c r="DB41" i="68"/>
  <c r="DA41" i="68"/>
  <c r="CZ41" i="68"/>
  <c r="CY41" i="68"/>
  <c r="CX41" i="68"/>
  <c r="CW41" i="68"/>
  <c r="CV41" i="68"/>
  <c r="CU41" i="68"/>
  <c r="CT41" i="68"/>
  <c r="CS41" i="68"/>
  <c r="CR41" i="68"/>
  <c r="CQ41" i="68"/>
  <c r="CP41" i="68"/>
  <c r="CO41" i="68"/>
  <c r="CN41" i="68"/>
  <c r="CM41" i="68"/>
  <c r="CL41" i="68"/>
  <c r="CK41" i="68"/>
  <c r="CJ41" i="68"/>
  <c r="CI41" i="68"/>
  <c r="CH41" i="68"/>
  <c r="CG41" i="68"/>
  <c r="CF41" i="68"/>
  <c r="CE41" i="68"/>
  <c r="CD41" i="68"/>
  <c r="CC41" i="68"/>
  <c r="CB41" i="68"/>
  <c r="CA41" i="68"/>
  <c r="BZ41" i="68"/>
  <c r="BY41" i="68"/>
  <c r="BX41" i="68"/>
  <c r="BW41" i="68"/>
  <c r="BV41" i="68"/>
  <c r="BU41" i="68"/>
  <c r="BT41" i="68"/>
  <c r="BS41" i="68"/>
  <c r="BR41" i="68"/>
  <c r="BQ41" i="68"/>
  <c r="BP41" i="68"/>
  <c r="BO41" i="68"/>
  <c r="BN41" i="68"/>
  <c r="BM41" i="68"/>
  <c r="BL41" i="68"/>
  <c r="BK41" i="68"/>
  <c r="BJ41" i="68"/>
  <c r="BI41" i="68"/>
  <c r="BH41" i="68"/>
  <c r="BG41" i="68"/>
  <c r="BF41" i="68"/>
  <c r="BE41" i="68"/>
  <c r="BD41" i="68"/>
  <c r="BC41" i="68"/>
  <c r="BB41" i="68"/>
  <c r="BA41" i="68"/>
  <c r="AZ41" i="68"/>
  <c r="AY41" i="68"/>
  <c r="AX41" i="68"/>
  <c r="AW41" i="68"/>
  <c r="AV41" i="68"/>
  <c r="AU41" i="68"/>
  <c r="AT41" i="68"/>
  <c r="AS41" i="68"/>
  <c r="AR41" i="68"/>
  <c r="AQ41" i="68"/>
  <c r="AP41" i="68"/>
  <c r="AO41" i="68"/>
  <c r="AN41" i="68"/>
  <c r="AM41" i="68"/>
  <c r="AL41" i="68"/>
  <c r="AK41" i="68"/>
  <c r="AJ41" i="68"/>
  <c r="AI41" i="68"/>
  <c r="AH41" i="68"/>
  <c r="AG41" i="68"/>
  <c r="AF41" i="68"/>
  <c r="AE41" i="68"/>
  <c r="AD41" i="68"/>
  <c r="AC41" i="68"/>
  <c r="AB41" i="68"/>
  <c r="AA41" i="68"/>
  <c r="Z41" i="68"/>
  <c r="Y41" i="68"/>
  <c r="X41" i="68"/>
  <c r="W41" i="68"/>
  <c r="V41" i="68"/>
  <c r="U41" i="68"/>
  <c r="T41" i="68"/>
  <c r="S41" i="68"/>
  <c r="R41" i="68"/>
  <c r="Q41" i="68"/>
  <c r="P41" i="68"/>
  <c r="O41" i="68"/>
  <c r="N41" i="68"/>
  <c r="M41" i="68"/>
  <c r="L41" i="68"/>
  <c r="K41" i="68"/>
  <c r="J41" i="68"/>
  <c r="I41" i="68"/>
  <c r="H41" i="68"/>
  <c r="G41" i="68"/>
  <c r="F41" i="68"/>
  <c r="E41" i="68"/>
  <c r="D41" i="68"/>
  <c r="C41" i="68"/>
  <c r="FN40" i="68"/>
  <c r="FM40" i="68"/>
  <c r="FL40" i="68"/>
  <c r="FK40" i="68"/>
  <c r="FJ40" i="68"/>
  <c r="FI40" i="68"/>
  <c r="FH40" i="68"/>
  <c r="FG40" i="68"/>
  <c r="FF40" i="68"/>
  <c r="FE40" i="68"/>
  <c r="FD40" i="68"/>
  <c r="FC40" i="68"/>
  <c r="FB40" i="68"/>
  <c r="FA40" i="68"/>
  <c r="EZ40" i="68"/>
  <c r="EY40" i="68"/>
  <c r="EX40" i="68"/>
  <c r="EW40" i="68"/>
  <c r="EV40" i="68"/>
  <c r="EU40" i="68"/>
  <c r="ET40" i="68"/>
  <c r="ES40" i="68"/>
  <c r="ER40" i="68"/>
  <c r="EQ40" i="68"/>
  <c r="EP40" i="68"/>
  <c r="EO40" i="68"/>
  <c r="EN40" i="68"/>
  <c r="EM40" i="68"/>
  <c r="EL40" i="68"/>
  <c r="EK40" i="68"/>
  <c r="EJ40" i="68"/>
  <c r="EI40" i="68"/>
  <c r="EH40" i="68"/>
  <c r="EG40" i="68"/>
  <c r="EF40" i="68"/>
  <c r="EE40" i="68"/>
  <c r="ED40" i="68"/>
  <c r="EC40" i="68"/>
  <c r="EB40" i="68"/>
  <c r="EA40" i="68"/>
  <c r="DZ40" i="68"/>
  <c r="DY40" i="68"/>
  <c r="DX40" i="68"/>
  <c r="DW40" i="68"/>
  <c r="DV40" i="68"/>
  <c r="DU40" i="68"/>
  <c r="DT40" i="68"/>
  <c r="DS40" i="68"/>
  <c r="DR40" i="68"/>
  <c r="DQ40" i="68"/>
  <c r="DP40" i="68"/>
  <c r="DO40" i="68"/>
  <c r="DN40" i="68"/>
  <c r="DM40" i="68"/>
  <c r="DL40" i="68"/>
  <c r="DK40" i="68"/>
  <c r="DJ40" i="68"/>
  <c r="DI40" i="68"/>
  <c r="DH40" i="68"/>
  <c r="DG40" i="68"/>
  <c r="DF40" i="68"/>
  <c r="DE40" i="68"/>
  <c r="DD40" i="68"/>
  <c r="DC40" i="68"/>
  <c r="DB40" i="68"/>
  <c r="DA40" i="68"/>
  <c r="CZ40" i="68"/>
  <c r="CY40" i="68"/>
  <c r="CX40" i="68"/>
  <c r="CW40" i="68"/>
  <c r="CV40" i="68"/>
  <c r="CU40" i="68"/>
  <c r="CT40" i="68"/>
  <c r="CS40" i="68"/>
  <c r="CR40" i="68"/>
  <c r="CQ40" i="68"/>
  <c r="CP40" i="68"/>
  <c r="CO40" i="68"/>
  <c r="CN40" i="68"/>
  <c r="CM40" i="68"/>
  <c r="CL40" i="68"/>
  <c r="CK40" i="68"/>
  <c r="CJ40" i="68"/>
  <c r="CI40" i="68"/>
  <c r="CH40" i="68"/>
  <c r="CG40" i="68"/>
  <c r="CF40" i="68"/>
  <c r="CE40" i="68"/>
  <c r="CD40" i="68"/>
  <c r="CC40" i="68"/>
  <c r="CB40" i="68"/>
  <c r="CA40" i="68"/>
  <c r="BZ40" i="68"/>
  <c r="BY40" i="68"/>
  <c r="BX40" i="68"/>
  <c r="BW40" i="68"/>
  <c r="BV40" i="68"/>
  <c r="BU40" i="68"/>
  <c r="BT40" i="68"/>
  <c r="BS40" i="68"/>
  <c r="BR40" i="68"/>
  <c r="BQ40" i="68"/>
  <c r="BP40" i="68"/>
  <c r="BO40" i="68"/>
  <c r="BN40" i="68"/>
  <c r="BM40" i="68"/>
  <c r="BL40" i="68"/>
  <c r="BK40" i="68"/>
  <c r="BJ40" i="68"/>
  <c r="BI40" i="68"/>
  <c r="BH40" i="68"/>
  <c r="BG40" i="68"/>
  <c r="BF40" i="68"/>
  <c r="BE40" i="68"/>
  <c r="BD40" i="68"/>
  <c r="BC40" i="68"/>
  <c r="BB40" i="68"/>
  <c r="BA40" i="68"/>
  <c r="AZ40" i="68"/>
  <c r="AY40" i="68"/>
  <c r="AX40" i="68"/>
  <c r="AW40" i="68"/>
  <c r="AV40" i="68"/>
  <c r="AU40" i="68"/>
  <c r="AT40" i="68"/>
  <c r="AS40" i="68"/>
  <c r="AR40" i="68"/>
  <c r="AQ40" i="68"/>
  <c r="AP40" i="68"/>
  <c r="AO40" i="68"/>
  <c r="AN40" i="68"/>
  <c r="AM40" i="68"/>
  <c r="AL40" i="68"/>
  <c r="AK40" i="68"/>
  <c r="AJ40" i="68"/>
  <c r="AI40" i="68"/>
  <c r="AH40" i="68"/>
  <c r="AG40" i="68"/>
  <c r="AF40" i="68"/>
  <c r="AE40" i="68"/>
  <c r="AD40" i="68"/>
  <c r="AC40" i="68"/>
  <c r="AB40" i="68"/>
  <c r="AA40" i="68"/>
  <c r="Z40" i="68"/>
  <c r="Y40" i="68"/>
  <c r="X40" i="68"/>
  <c r="W40" i="68"/>
  <c r="V40" i="68"/>
  <c r="U40" i="68"/>
  <c r="T40" i="68"/>
  <c r="S40" i="68"/>
  <c r="R40" i="68"/>
  <c r="Q40" i="68"/>
  <c r="P40" i="68"/>
  <c r="O40" i="68"/>
  <c r="N40" i="68"/>
  <c r="M40" i="68"/>
  <c r="L40" i="68"/>
  <c r="K40" i="68"/>
  <c r="J40" i="68"/>
  <c r="I40" i="68"/>
  <c r="H40" i="68"/>
  <c r="G40" i="68"/>
  <c r="F40" i="68"/>
  <c r="E40" i="68"/>
  <c r="D40" i="68"/>
  <c r="C40" i="68"/>
  <c r="FN39" i="68"/>
  <c r="FM39" i="68"/>
  <c r="FL39" i="68"/>
  <c r="FK39" i="68"/>
  <c r="FJ39" i="68"/>
  <c r="FI39" i="68"/>
  <c r="FH39" i="68"/>
  <c r="FG39" i="68"/>
  <c r="FF39" i="68"/>
  <c r="FE39" i="68"/>
  <c r="FD39" i="68"/>
  <c r="FC39" i="68"/>
  <c r="FB39" i="68"/>
  <c r="FA39" i="68"/>
  <c r="EZ39" i="68"/>
  <c r="EY39" i="68"/>
  <c r="EX39" i="68"/>
  <c r="EW39" i="68"/>
  <c r="EV39" i="68"/>
  <c r="EU39" i="68"/>
  <c r="ET39" i="68"/>
  <c r="ES39" i="68"/>
  <c r="ER39" i="68"/>
  <c r="EQ39" i="68"/>
  <c r="EP39" i="68"/>
  <c r="EO39" i="68"/>
  <c r="EN39" i="68"/>
  <c r="EM39" i="68"/>
  <c r="EL39" i="68"/>
  <c r="EK39" i="68"/>
  <c r="EJ39" i="68"/>
  <c r="EI39" i="68"/>
  <c r="EH39" i="68"/>
  <c r="EG39" i="68"/>
  <c r="EF39" i="68"/>
  <c r="EE39" i="68"/>
  <c r="ED39" i="68"/>
  <c r="EC39" i="68"/>
  <c r="EB39" i="68"/>
  <c r="EA39" i="68"/>
  <c r="DZ39" i="68"/>
  <c r="DY39" i="68"/>
  <c r="DX39" i="68"/>
  <c r="DW39" i="68"/>
  <c r="DV39" i="68"/>
  <c r="DU39" i="68"/>
  <c r="DT39" i="68"/>
  <c r="DS39" i="68"/>
  <c r="DR39" i="68"/>
  <c r="DQ39" i="68"/>
  <c r="DP39" i="68"/>
  <c r="DO39" i="68"/>
  <c r="DN39" i="68"/>
  <c r="DM39" i="68"/>
  <c r="DL39" i="68"/>
  <c r="DK39" i="68"/>
  <c r="DJ39" i="68"/>
  <c r="DI39" i="68"/>
  <c r="DH39" i="68"/>
  <c r="DG39" i="68"/>
  <c r="DF39" i="68"/>
  <c r="DE39" i="68"/>
  <c r="DD39" i="68"/>
  <c r="DC39" i="68"/>
  <c r="DB39" i="68"/>
  <c r="DA39" i="68"/>
  <c r="CZ39" i="68"/>
  <c r="CY39" i="68"/>
  <c r="CX39" i="68"/>
  <c r="CW39" i="68"/>
  <c r="CV39" i="68"/>
  <c r="CU39" i="68"/>
  <c r="CT39" i="68"/>
  <c r="CS39" i="68"/>
  <c r="CR39" i="68"/>
  <c r="CQ39" i="68"/>
  <c r="CP39" i="68"/>
  <c r="CO39" i="68"/>
  <c r="CN39" i="68"/>
  <c r="CM39" i="68"/>
  <c r="CL39" i="68"/>
  <c r="CK39" i="68"/>
  <c r="CJ39" i="68"/>
  <c r="CI39" i="68"/>
  <c r="CH39" i="68"/>
  <c r="CG39" i="68"/>
  <c r="CF39" i="68"/>
  <c r="CE39" i="68"/>
  <c r="CD39" i="68"/>
  <c r="CC39" i="68"/>
  <c r="CB39" i="68"/>
  <c r="CA39" i="68"/>
  <c r="BZ39" i="68"/>
  <c r="BY39" i="68"/>
  <c r="BX39" i="68"/>
  <c r="BW39" i="68"/>
  <c r="BV39" i="68"/>
  <c r="BU39" i="68"/>
  <c r="BT39" i="68"/>
  <c r="BS39" i="68"/>
  <c r="BR39" i="68"/>
  <c r="BQ39" i="68"/>
  <c r="BP39" i="68"/>
  <c r="BO39" i="68"/>
  <c r="BN39" i="68"/>
  <c r="BM39" i="68"/>
  <c r="BL39" i="68"/>
  <c r="BK39" i="68"/>
  <c r="BJ39" i="68"/>
  <c r="BI39" i="68"/>
  <c r="BH39" i="68"/>
  <c r="BG39" i="68"/>
  <c r="BF39" i="68"/>
  <c r="BE39" i="68"/>
  <c r="BD39" i="68"/>
  <c r="BC39" i="68"/>
  <c r="BB39" i="68"/>
  <c r="BA39" i="68"/>
  <c r="AZ39" i="68"/>
  <c r="AY39" i="68"/>
  <c r="AX39" i="68"/>
  <c r="AW39" i="68"/>
  <c r="AV39" i="68"/>
  <c r="AU39" i="68"/>
  <c r="AT39" i="68"/>
  <c r="AS39" i="68"/>
  <c r="AR39" i="68"/>
  <c r="AQ39" i="68"/>
  <c r="AP39" i="68"/>
  <c r="AO39" i="68"/>
  <c r="AN39" i="68"/>
  <c r="AM39" i="68"/>
  <c r="AL39" i="68"/>
  <c r="AK39" i="68"/>
  <c r="AJ39" i="68"/>
  <c r="AI39" i="68"/>
  <c r="AH39" i="68"/>
  <c r="AG39" i="68"/>
  <c r="AF39" i="68"/>
  <c r="AE39" i="68"/>
  <c r="AD39" i="68"/>
  <c r="AC39" i="68"/>
  <c r="AB39" i="68"/>
  <c r="AA39" i="68"/>
  <c r="Z39" i="68"/>
  <c r="Y39" i="68"/>
  <c r="X39" i="68"/>
  <c r="W39" i="68"/>
  <c r="V39" i="68"/>
  <c r="U39" i="68"/>
  <c r="T39" i="68"/>
  <c r="S39" i="68"/>
  <c r="R39" i="68"/>
  <c r="Q39" i="68"/>
  <c r="P39" i="68"/>
  <c r="O39" i="68"/>
  <c r="N39" i="68"/>
  <c r="M39" i="68"/>
  <c r="L39" i="68"/>
  <c r="K39" i="68"/>
  <c r="J39" i="68"/>
  <c r="I39" i="68"/>
  <c r="H39" i="68"/>
  <c r="G39" i="68"/>
  <c r="F39" i="68"/>
  <c r="E39" i="68"/>
  <c r="D39" i="68"/>
  <c r="C39" i="68"/>
  <c r="FN38" i="68"/>
  <c r="FM38" i="68"/>
  <c r="FL38" i="68"/>
  <c r="FK38" i="68"/>
  <c r="FJ38" i="68"/>
  <c r="FI38" i="68"/>
  <c r="FH38" i="68"/>
  <c r="FG38" i="68"/>
  <c r="FF38" i="68"/>
  <c r="FE38" i="68"/>
  <c r="FD38" i="68"/>
  <c r="FC38" i="68"/>
  <c r="FB38" i="68"/>
  <c r="FA38" i="68"/>
  <c r="EZ38" i="68"/>
  <c r="EY38" i="68"/>
  <c r="EX38" i="68"/>
  <c r="EW38" i="68"/>
  <c r="EV38" i="68"/>
  <c r="EU38" i="68"/>
  <c r="ET38" i="68"/>
  <c r="ES38" i="68"/>
  <c r="ER38" i="68"/>
  <c r="EQ38" i="68"/>
  <c r="EP38" i="68"/>
  <c r="EO38" i="68"/>
  <c r="EN38" i="68"/>
  <c r="EM38" i="68"/>
  <c r="EL38" i="68"/>
  <c r="EK38" i="68"/>
  <c r="EJ38" i="68"/>
  <c r="EI38" i="68"/>
  <c r="EH38" i="68"/>
  <c r="EG38" i="68"/>
  <c r="EF38" i="68"/>
  <c r="EE38" i="68"/>
  <c r="ED38" i="68"/>
  <c r="EC38" i="68"/>
  <c r="EB38" i="68"/>
  <c r="EA38" i="68"/>
  <c r="DZ38" i="68"/>
  <c r="DY38" i="68"/>
  <c r="DX38" i="68"/>
  <c r="DW38" i="68"/>
  <c r="DV38" i="68"/>
  <c r="DU38" i="68"/>
  <c r="DT38" i="68"/>
  <c r="DS38" i="68"/>
  <c r="DR38" i="68"/>
  <c r="DQ38" i="68"/>
  <c r="DP38" i="68"/>
  <c r="DO38" i="68"/>
  <c r="DN38" i="68"/>
  <c r="DM38" i="68"/>
  <c r="DL38" i="68"/>
  <c r="DK38" i="68"/>
  <c r="DJ38" i="68"/>
  <c r="DI38" i="68"/>
  <c r="DH38" i="68"/>
  <c r="DG38" i="68"/>
  <c r="DF38" i="68"/>
  <c r="DE38" i="68"/>
  <c r="DD38" i="68"/>
  <c r="DC38" i="68"/>
  <c r="DB38" i="68"/>
  <c r="DA38" i="68"/>
  <c r="CZ38" i="68"/>
  <c r="CY38" i="68"/>
  <c r="CX38" i="68"/>
  <c r="CW38" i="68"/>
  <c r="CV38" i="68"/>
  <c r="CU38" i="68"/>
  <c r="CT38" i="68"/>
  <c r="CS38" i="68"/>
  <c r="CR38" i="68"/>
  <c r="CQ38" i="68"/>
  <c r="CP38" i="68"/>
  <c r="CO38" i="68"/>
  <c r="CN38" i="68"/>
  <c r="CM38" i="68"/>
  <c r="CL38" i="68"/>
  <c r="CK38" i="68"/>
  <c r="CJ38" i="68"/>
  <c r="CI38" i="68"/>
  <c r="CH38" i="68"/>
  <c r="CG38" i="68"/>
  <c r="CF38" i="68"/>
  <c r="CE38" i="68"/>
  <c r="CD38" i="68"/>
  <c r="CC38" i="68"/>
  <c r="CB38" i="68"/>
  <c r="CA38" i="68"/>
  <c r="BZ38" i="68"/>
  <c r="BY38" i="68"/>
  <c r="BX38" i="68"/>
  <c r="BW38" i="68"/>
  <c r="BV38" i="68"/>
  <c r="BU38" i="68"/>
  <c r="BT38" i="68"/>
  <c r="BS38" i="68"/>
  <c r="BR38" i="68"/>
  <c r="BQ38" i="68"/>
  <c r="BP38" i="68"/>
  <c r="BO38" i="68"/>
  <c r="BN38" i="68"/>
  <c r="BM38" i="68"/>
  <c r="BL38" i="68"/>
  <c r="BK38" i="68"/>
  <c r="BJ38" i="68"/>
  <c r="BI38" i="68"/>
  <c r="BH38" i="68"/>
  <c r="BG38" i="68"/>
  <c r="BF38" i="68"/>
  <c r="BE38" i="68"/>
  <c r="BD38" i="68"/>
  <c r="BC38" i="68"/>
  <c r="BB38" i="68"/>
  <c r="BA38" i="68"/>
  <c r="AZ38" i="68"/>
  <c r="AY38" i="68"/>
  <c r="AX38" i="68"/>
  <c r="AW38" i="68"/>
  <c r="AV38" i="68"/>
  <c r="AU38" i="68"/>
  <c r="AT38" i="68"/>
  <c r="AS38" i="68"/>
  <c r="AR38" i="68"/>
  <c r="AQ38" i="68"/>
  <c r="AP38" i="68"/>
  <c r="AO38" i="68"/>
  <c r="AN38" i="68"/>
  <c r="AM38" i="68"/>
  <c r="AL38" i="68"/>
  <c r="AK38" i="68"/>
  <c r="AJ38" i="68"/>
  <c r="AI38" i="68"/>
  <c r="AH38" i="68"/>
  <c r="AG38" i="68"/>
  <c r="AF38" i="68"/>
  <c r="AE38" i="68"/>
  <c r="AD38" i="68"/>
  <c r="AC38" i="68"/>
  <c r="AB38" i="68"/>
  <c r="AA38" i="68"/>
  <c r="Z38" i="68"/>
  <c r="Y38" i="68"/>
  <c r="X38" i="68"/>
  <c r="W38" i="68"/>
  <c r="V38" i="68"/>
  <c r="U38" i="68"/>
  <c r="T38" i="68"/>
  <c r="S38" i="68"/>
  <c r="R38" i="68"/>
  <c r="Q38" i="68"/>
  <c r="P38" i="68"/>
  <c r="O38" i="68"/>
  <c r="N38" i="68"/>
  <c r="M38" i="68"/>
  <c r="L38" i="68"/>
  <c r="K38" i="68"/>
  <c r="J38" i="68"/>
  <c r="I38" i="68"/>
  <c r="H38" i="68"/>
  <c r="G38" i="68"/>
  <c r="F38" i="68"/>
  <c r="E38" i="68"/>
  <c r="D38" i="68"/>
  <c r="C38" i="68"/>
  <c r="FN37" i="68"/>
  <c r="FM37" i="68"/>
  <c r="FL37" i="68"/>
  <c r="FK37" i="68"/>
  <c r="FJ37" i="68"/>
  <c r="FI37" i="68"/>
  <c r="FH37" i="68"/>
  <c r="FG37" i="68"/>
  <c r="FF37" i="68"/>
  <c r="FE37" i="68"/>
  <c r="FD37" i="68"/>
  <c r="FC37" i="68"/>
  <c r="FB37" i="68"/>
  <c r="FA37" i="68"/>
  <c r="EZ37" i="68"/>
  <c r="EY37" i="68"/>
  <c r="EX37" i="68"/>
  <c r="EW37" i="68"/>
  <c r="EV37" i="68"/>
  <c r="EU37" i="68"/>
  <c r="ET37" i="68"/>
  <c r="ES37" i="68"/>
  <c r="ER37" i="68"/>
  <c r="EQ37" i="68"/>
  <c r="EP37" i="68"/>
  <c r="EO37" i="68"/>
  <c r="EN37" i="68"/>
  <c r="EM37" i="68"/>
  <c r="EL37" i="68"/>
  <c r="EK37" i="68"/>
  <c r="EJ37" i="68"/>
  <c r="EI37" i="68"/>
  <c r="EH37" i="68"/>
  <c r="EG37" i="68"/>
  <c r="EF37" i="68"/>
  <c r="EE37" i="68"/>
  <c r="ED37" i="68"/>
  <c r="EC37" i="68"/>
  <c r="EB37" i="68"/>
  <c r="EA37" i="68"/>
  <c r="DZ37" i="68"/>
  <c r="DY37" i="68"/>
  <c r="DX37" i="68"/>
  <c r="DW37" i="68"/>
  <c r="DV37" i="68"/>
  <c r="DU37" i="68"/>
  <c r="DT37" i="68"/>
  <c r="DS37" i="68"/>
  <c r="DR37" i="68"/>
  <c r="DQ37" i="68"/>
  <c r="DP37" i="68"/>
  <c r="DO37" i="68"/>
  <c r="DN37" i="68"/>
  <c r="DM37" i="68"/>
  <c r="DL37" i="68"/>
  <c r="DK37" i="68"/>
  <c r="DJ37" i="68"/>
  <c r="DI37" i="68"/>
  <c r="DH37" i="68"/>
  <c r="DG37" i="68"/>
  <c r="DF37" i="68"/>
  <c r="DE37" i="68"/>
  <c r="DD37" i="68"/>
  <c r="DC37" i="68"/>
  <c r="DB37" i="68"/>
  <c r="DA37" i="68"/>
  <c r="CZ37" i="68"/>
  <c r="CY37" i="68"/>
  <c r="CX37" i="68"/>
  <c r="CW37" i="68"/>
  <c r="CV37" i="68"/>
  <c r="CU37" i="68"/>
  <c r="CT37" i="68"/>
  <c r="CS37" i="68"/>
  <c r="CR37" i="68"/>
  <c r="CQ37" i="68"/>
  <c r="CP37" i="68"/>
  <c r="CO37" i="68"/>
  <c r="CN37" i="68"/>
  <c r="CM37" i="68"/>
  <c r="CL37" i="68"/>
  <c r="CK37" i="68"/>
  <c r="CJ37" i="68"/>
  <c r="CI37" i="68"/>
  <c r="CH37" i="68"/>
  <c r="CG37" i="68"/>
  <c r="CF37" i="68"/>
  <c r="CE37" i="68"/>
  <c r="CD37" i="68"/>
  <c r="CC37" i="68"/>
  <c r="CB37" i="68"/>
  <c r="CA37" i="68"/>
  <c r="BZ37" i="68"/>
  <c r="BY37" i="68"/>
  <c r="BX37" i="68"/>
  <c r="BW37" i="68"/>
  <c r="BV37" i="68"/>
  <c r="BU37" i="68"/>
  <c r="BT37" i="68"/>
  <c r="BS37" i="68"/>
  <c r="BR37" i="68"/>
  <c r="BQ37" i="68"/>
  <c r="BP37" i="68"/>
  <c r="BO37" i="68"/>
  <c r="BN37" i="68"/>
  <c r="BM37" i="68"/>
  <c r="BL37" i="68"/>
  <c r="BK37" i="68"/>
  <c r="BJ37" i="68"/>
  <c r="BI37" i="68"/>
  <c r="BH37" i="68"/>
  <c r="BG37" i="68"/>
  <c r="BF37" i="68"/>
  <c r="BE37" i="68"/>
  <c r="BD37" i="68"/>
  <c r="BC37" i="68"/>
  <c r="BB37" i="68"/>
  <c r="BA37" i="68"/>
  <c r="AZ37" i="68"/>
  <c r="AY37" i="68"/>
  <c r="AX37" i="68"/>
  <c r="AW37" i="68"/>
  <c r="AV37" i="68"/>
  <c r="AU37" i="68"/>
  <c r="AT37" i="68"/>
  <c r="AS37" i="68"/>
  <c r="AR37" i="68"/>
  <c r="AQ37" i="68"/>
  <c r="AP37" i="68"/>
  <c r="AO37" i="68"/>
  <c r="AN37" i="68"/>
  <c r="AM37" i="68"/>
  <c r="AL37" i="68"/>
  <c r="AK37" i="68"/>
  <c r="AJ37" i="68"/>
  <c r="AI37" i="68"/>
  <c r="AH37" i="68"/>
  <c r="AG37" i="68"/>
  <c r="AF37" i="68"/>
  <c r="AE37" i="68"/>
  <c r="AD37" i="68"/>
  <c r="AC37" i="68"/>
  <c r="AB37" i="68"/>
  <c r="AA37" i="68"/>
  <c r="Z37" i="68"/>
  <c r="Y37" i="68"/>
  <c r="X37" i="68"/>
  <c r="W37" i="68"/>
  <c r="V37" i="68"/>
  <c r="U37" i="68"/>
  <c r="T37" i="68"/>
  <c r="S37" i="68"/>
  <c r="R37" i="68"/>
  <c r="Q37" i="68"/>
  <c r="P37" i="68"/>
  <c r="O37" i="68"/>
  <c r="N37" i="68"/>
  <c r="M37" i="68"/>
  <c r="L37" i="68"/>
  <c r="K37" i="68"/>
  <c r="J37" i="68"/>
  <c r="I37" i="68"/>
  <c r="H37" i="68"/>
  <c r="G37" i="68"/>
  <c r="F37" i="68"/>
  <c r="E37" i="68"/>
  <c r="D37" i="68"/>
  <c r="C37" i="68"/>
  <c r="FN36" i="68"/>
  <c r="FM36" i="68"/>
  <c r="FL36" i="68"/>
  <c r="FK36" i="68"/>
  <c r="FJ36" i="68"/>
  <c r="FI36" i="68"/>
  <c r="FH36" i="68"/>
  <c r="FG36" i="68"/>
  <c r="FF36" i="68"/>
  <c r="FE36" i="68"/>
  <c r="FD36" i="68"/>
  <c r="FC36" i="68"/>
  <c r="FB36" i="68"/>
  <c r="FA36" i="68"/>
  <c r="EZ36" i="68"/>
  <c r="EY36" i="68"/>
  <c r="EX36" i="68"/>
  <c r="EW36" i="68"/>
  <c r="EV36" i="68"/>
  <c r="EU36" i="68"/>
  <c r="ET36" i="68"/>
  <c r="ES36" i="68"/>
  <c r="ER36" i="68"/>
  <c r="EQ36" i="68"/>
  <c r="EP36" i="68"/>
  <c r="EO36" i="68"/>
  <c r="EN36" i="68"/>
  <c r="EM36" i="68"/>
  <c r="EL36" i="68"/>
  <c r="EK36" i="68"/>
  <c r="EJ36" i="68"/>
  <c r="EI36" i="68"/>
  <c r="EH36" i="68"/>
  <c r="EG36" i="68"/>
  <c r="EF36" i="68"/>
  <c r="EE36" i="68"/>
  <c r="ED36" i="68"/>
  <c r="EC36" i="68"/>
  <c r="EB36" i="68"/>
  <c r="EA36" i="68"/>
  <c r="DZ36" i="68"/>
  <c r="DY36" i="68"/>
  <c r="DX36" i="68"/>
  <c r="DW36" i="68"/>
  <c r="DV36" i="68"/>
  <c r="DU36" i="68"/>
  <c r="DT36" i="68"/>
  <c r="DS36" i="68"/>
  <c r="DR36" i="68"/>
  <c r="DQ36" i="68"/>
  <c r="DP36" i="68"/>
  <c r="DO36" i="68"/>
  <c r="DN36" i="68"/>
  <c r="DM36" i="68"/>
  <c r="DL36" i="68"/>
  <c r="DK36" i="68"/>
  <c r="DJ36" i="68"/>
  <c r="DI36" i="68"/>
  <c r="DH36" i="68"/>
  <c r="DG36" i="68"/>
  <c r="DF36" i="68"/>
  <c r="DE36" i="68"/>
  <c r="DD36" i="68"/>
  <c r="DC36" i="68"/>
  <c r="DB36" i="68"/>
  <c r="DA36" i="68"/>
  <c r="CZ36" i="68"/>
  <c r="CY36" i="68"/>
  <c r="CX36" i="68"/>
  <c r="CW36" i="68"/>
  <c r="CV36" i="68"/>
  <c r="CU36" i="68"/>
  <c r="CT36" i="68"/>
  <c r="CS36" i="68"/>
  <c r="CR36" i="68"/>
  <c r="CQ36" i="68"/>
  <c r="CP36" i="68"/>
  <c r="CO36" i="68"/>
  <c r="CN36" i="68"/>
  <c r="CM36" i="68"/>
  <c r="CL36" i="68"/>
  <c r="CK36" i="68"/>
  <c r="CJ36" i="68"/>
  <c r="CI36" i="68"/>
  <c r="CH36" i="68"/>
  <c r="CG36" i="68"/>
  <c r="CF36" i="68"/>
  <c r="CE36" i="68"/>
  <c r="CD36" i="68"/>
  <c r="CC36" i="68"/>
  <c r="CB36" i="68"/>
  <c r="CA36" i="68"/>
  <c r="BZ36" i="68"/>
  <c r="BY36" i="68"/>
  <c r="BX36" i="68"/>
  <c r="BW36" i="68"/>
  <c r="BV36" i="68"/>
  <c r="BU36" i="68"/>
  <c r="BT36" i="68"/>
  <c r="BS36" i="68"/>
  <c r="BR36" i="68"/>
  <c r="BQ36" i="68"/>
  <c r="BP36" i="68"/>
  <c r="BO36" i="68"/>
  <c r="BN36" i="68"/>
  <c r="BM36" i="68"/>
  <c r="BL36" i="68"/>
  <c r="BK36" i="68"/>
  <c r="BJ36" i="68"/>
  <c r="BI36" i="68"/>
  <c r="BH36" i="68"/>
  <c r="BG36" i="68"/>
  <c r="BF36" i="68"/>
  <c r="BE36" i="68"/>
  <c r="BD36" i="68"/>
  <c r="BC36" i="68"/>
  <c r="BB36" i="68"/>
  <c r="BA36" i="68"/>
  <c r="AZ36" i="68"/>
  <c r="AY36" i="68"/>
  <c r="AX36" i="68"/>
  <c r="AW36" i="68"/>
  <c r="AV36" i="68"/>
  <c r="AU36" i="68"/>
  <c r="AT36" i="68"/>
  <c r="AS36" i="68"/>
  <c r="AR36" i="68"/>
  <c r="AQ36" i="68"/>
  <c r="AP36" i="68"/>
  <c r="AO36" i="68"/>
  <c r="AN36" i="68"/>
  <c r="AM36" i="68"/>
  <c r="AL36" i="68"/>
  <c r="AK36" i="68"/>
  <c r="AJ36" i="68"/>
  <c r="AI36" i="68"/>
  <c r="AH36" i="68"/>
  <c r="AG36" i="68"/>
  <c r="AF36" i="68"/>
  <c r="AE36" i="68"/>
  <c r="AD36" i="68"/>
  <c r="AC36" i="68"/>
  <c r="AB36" i="68"/>
  <c r="AA36" i="68"/>
  <c r="Z36" i="68"/>
  <c r="Y36" i="68"/>
  <c r="X36" i="68"/>
  <c r="W36" i="68"/>
  <c r="V36" i="68"/>
  <c r="U36" i="68"/>
  <c r="T36" i="68"/>
  <c r="S36" i="68"/>
  <c r="R36" i="68"/>
  <c r="Q36" i="68"/>
  <c r="P36" i="68"/>
  <c r="O36" i="68"/>
  <c r="N36" i="68"/>
  <c r="M36" i="68"/>
  <c r="L36" i="68"/>
  <c r="K36" i="68"/>
  <c r="J36" i="68"/>
  <c r="I36" i="68"/>
  <c r="H36" i="68"/>
  <c r="G36" i="68"/>
  <c r="F36" i="68"/>
  <c r="E36" i="68"/>
  <c r="D36" i="68"/>
  <c r="C36" i="68"/>
  <c r="FN35" i="68"/>
  <c r="FM35" i="68"/>
  <c r="FL35" i="68"/>
  <c r="FK35" i="68"/>
  <c r="FJ35" i="68"/>
  <c r="FI35" i="68"/>
  <c r="FH35" i="68"/>
  <c r="FG35" i="68"/>
  <c r="FF35" i="68"/>
  <c r="FE35" i="68"/>
  <c r="FD35" i="68"/>
  <c r="FC35" i="68"/>
  <c r="FB35" i="68"/>
  <c r="FA35" i="68"/>
  <c r="EZ35" i="68"/>
  <c r="EY35" i="68"/>
  <c r="EX35" i="68"/>
  <c r="EW35" i="68"/>
  <c r="EV35" i="68"/>
  <c r="EU35" i="68"/>
  <c r="ET35" i="68"/>
  <c r="ES35" i="68"/>
  <c r="ER35" i="68"/>
  <c r="EQ35" i="68"/>
  <c r="EP35" i="68"/>
  <c r="EO35" i="68"/>
  <c r="EN35" i="68"/>
  <c r="EM35" i="68"/>
  <c r="EL35" i="68"/>
  <c r="EK35" i="68"/>
  <c r="EJ35" i="68"/>
  <c r="EI35" i="68"/>
  <c r="EH35" i="68"/>
  <c r="EG35" i="68"/>
  <c r="EF35" i="68"/>
  <c r="EE35" i="68"/>
  <c r="ED35" i="68"/>
  <c r="EC35" i="68"/>
  <c r="EB35" i="68"/>
  <c r="EA35" i="68"/>
  <c r="DZ35" i="68"/>
  <c r="DY35" i="68"/>
  <c r="DX35" i="68"/>
  <c r="DW35" i="68"/>
  <c r="DV35" i="68"/>
  <c r="DU35" i="68"/>
  <c r="DT35" i="68"/>
  <c r="DS35" i="68"/>
  <c r="DR35" i="68"/>
  <c r="DQ35" i="68"/>
  <c r="DP35" i="68"/>
  <c r="DO35" i="68"/>
  <c r="DN35" i="68"/>
  <c r="DM35" i="68"/>
  <c r="DL35" i="68"/>
  <c r="DK35" i="68"/>
  <c r="DJ35" i="68"/>
  <c r="DI35" i="68"/>
  <c r="DH35" i="68"/>
  <c r="DG35" i="68"/>
  <c r="DF35" i="68"/>
  <c r="DE35" i="68"/>
  <c r="DD35" i="68"/>
  <c r="DC35" i="68"/>
  <c r="DB35" i="68"/>
  <c r="DA35" i="68"/>
  <c r="CZ35" i="68"/>
  <c r="CY35" i="68"/>
  <c r="CX35" i="68"/>
  <c r="CW35" i="68"/>
  <c r="CV35" i="68"/>
  <c r="CU35" i="68"/>
  <c r="CT35" i="68"/>
  <c r="CS35" i="68"/>
  <c r="CR35" i="68"/>
  <c r="CQ35" i="68"/>
  <c r="CP35" i="68"/>
  <c r="CO35" i="68"/>
  <c r="CN35" i="68"/>
  <c r="CM35" i="68"/>
  <c r="CL35" i="68"/>
  <c r="CK35" i="68"/>
  <c r="CJ35" i="68"/>
  <c r="CI35" i="68"/>
  <c r="CH35" i="68"/>
  <c r="CG35" i="68"/>
  <c r="CF35" i="68"/>
  <c r="CE35" i="68"/>
  <c r="CD35" i="68"/>
  <c r="CC35" i="68"/>
  <c r="CB35" i="68"/>
  <c r="CA35" i="68"/>
  <c r="BZ35" i="68"/>
  <c r="BY35" i="68"/>
  <c r="BX35" i="68"/>
  <c r="BW35" i="68"/>
  <c r="BV35" i="68"/>
  <c r="BU35" i="68"/>
  <c r="BT35" i="68"/>
  <c r="BS35" i="68"/>
  <c r="BR35" i="68"/>
  <c r="BQ35" i="68"/>
  <c r="BP35" i="68"/>
  <c r="BO35" i="68"/>
  <c r="BN35" i="68"/>
  <c r="BM35" i="68"/>
  <c r="BL35" i="68"/>
  <c r="BK35" i="68"/>
  <c r="BJ35" i="68"/>
  <c r="BI35" i="68"/>
  <c r="BH35" i="68"/>
  <c r="BG35" i="68"/>
  <c r="BF35" i="68"/>
  <c r="BE35" i="68"/>
  <c r="BD35" i="68"/>
  <c r="BC35" i="68"/>
  <c r="BB35" i="68"/>
  <c r="BA35" i="68"/>
  <c r="AZ35" i="68"/>
  <c r="AY35" i="68"/>
  <c r="AX35" i="68"/>
  <c r="AW35" i="68"/>
  <c r="AV35" i="68"/>
  <c r="AU35" i="68"/>
  <c r="AT35" i="68"/>
  <c r="AS35" i="68"/>
  <c r="AR35" i="68"/>
  <c r="AQ35" i="68"/>
  <c r="AP35" i="68"/>
  <c r="AO35" i="68"/>
  <c r="AN35" i="68"/>
  <c r="AM35" i="68"/>
  <c r="AL35" i="68"/>
  <c r="AK35" i="68"/>
  <c r="AJ35" i="68"/>
  <c r="AI35" i="68"/>
  <c r="AH35" i="68"/>
  <c r="AG35" i="68"/>
  <c r="AF35" i="68"/>
  <c r="AE35" i="68"/>
  <c r="AD35" i="68"/>
  <c r="AC35" i="68"/>
  <c r="AB35" i="68"/>
  <c r="AA35" i="68"/>
  <c r="Z35" i="68"/>
  <c r="Y35" i="68"/>
  <c r="X35" i="68"/>
  <c r="W35" i="68"/>
  <c r="V35" i="68"/>
  <c r="U35" i="68"/>
  <c r="T35" i="68"/>
  <c r="S35" i="68"/>
  <c r="R35" i="68"/>
  <c r="Q35" i="68"/>
  <c r="P35" i="68"/>
  <c r="O35" i="68"/>
  <c r="N35" i="68"/>
  <c r="M35" i="68"/>
  <c r="L35" i="68"/>
  <c r="K35" i="68"/>
  <c r="J35" i="68"/>
  <c r="I35" i="68"/>
  <c r="H35" i="68"/>
  <c r="G35" i="68"/>
  <c r="F35" i="68"/>
  <c r="E35" i="68"/>
  <c r="D35" i="68"/>
  <c r="C35" i="68"/>
  <c r="FN34" i="68"/>
  <c r="FM34" i="68"/>
  <c r="FL34" i="68"/>
  <c r="FK34" i="68"/>
  <c r="FJ34" i="68"/>
  <c r="FI34" i="68"/>
  <c r="FH34" i="68"/>
  <c r="FG34" i="68"/>
  <c r="FF34" i="68"/>
  <c r="FE34" i="68"/>
  <c r="FD34" i="68"/>
  <c r="FC34" i="68"/>
  <c r="FB34" i="68"/>
  <c r="FA34" i="68"/>
  <c r="EZ34" i="68"/>
  <c r="EY34" i="68"/>
  <c r="EX34" i="68"/>
  <c r="EW34" i="68"/>
  <c r="EV34" i="68"/>
  <c r="EU34" i="68"/>
  <c r="ET34" i="68"/>
  <c r="ES34" i="68"/>
  <c r="ER34" i="68"/>
  <c r="EQ34" i="68"/>
  <c r="EP34" i="68"/>
  <c r="EO34" i="68"/>
  <c r="EN34" i="68"/>
  <c r="EM34" i="68"/>
  <c r="EL34" i="68"/>
  <c r="EK34" i="68"/>
  <c r="EJ34" i="68"/>
  <c r="EI34" i="68"/>
  <c r="EH34" i="68"/>
  <c r="EG34" i="68"/>
  <c r="EF34" i="68"/>
  <c r="EE34" i="68"/>
  <c r="ED34" i="68"/>
  <c r="EC34" i="68"/>
  <c r="EB34" i="68"/>
  <c r="EA34" i="68"/>
  <c r="DZ34" i="68"/>
  <c r="DY34" i="68"/>
  <c r="DX34" i="68"/>
  <c r="DW34" i="68"/>
  <c r="DV34" i="68"/>
  <c r="DU34" i="68"/>
  <c r="DT34" i="68"/>
  <c r="DS34" i="68"/>
  <c r="DR34" i="68"/>
  <c r="DQ34" i="68"/>
  <c r="DP34" i="68"/>
  <c r="DO34" i="68"/>
  <c r="DN34" i="68"/>
  <c r="DM34" i="68"/>
  <c r="DL34" i="68"/>
  <c r="DK34" i="68"/>
  <c r="DJ34" i="68"/>
  <c r="DI34" i="68"/>
  <c r="DH34" i="68"/>
  <c r="DG34" i="68"/>
  <c r="DF34" i="68"/>
  <c r="DE34" i="68"/>
  <c r="DD34" i="68"/>
  <c r="DC34" i="68"/>
  <c r="DB34" i="68"/>
  <c r="DA34" i="68"/>
  <c r="CZ34" i="68"/>
  <c r="CY34" i="68"/>
  <c r="CX34" i="68"/>
  <c r="CW34" i="68"/>
  <c r="CV34" i="68"/>
  <c r="CU34" i="68"/>
  <c r="CT34" i="68"/>
  <c r="CS34" i="68"/>
  <c r="CR34" i="68"/>
  <c r="CQ34" i="68"/>
  <c r="CP34" i="68"/>
  <c r="CO34" i="68"/>
  <c r="CN34" i="68"/>
  <c r="CM34" i="68"/>
  <c r="CL34" i="68"/>
  <c r="CK34" i="68"/>
  <c r="CJ34" i="68"/>
  <c r="CI34" i="68"/>
  <c r="CH34" i="68"/>
  <c r="CG34" i="68"/>
  <c r="CF34" i="68"/>
  <c r="CE34" i="68"/>
  <c r="CD34" i="68"/>
  <c r="CC34" i="68"/>
  <c r="CB34" i="68"/>
  <c r="CA34" i="68"/>
  <c r="BZ34" i="68"/>
  <c r="BY34" i="68"/>
  <c r="BX34" i="68"/>
  <c r="BW34" i="68"/>
  <c r="BV34" i="68"/>
  <c r="BU34" i="68"/>
  <c r="BT34" i="68"/>
  <c r="BS34" i="68"/>
  <c r="BR34" i="68"/>
  <c r="BQ34" i="68"/>
  <c r="BP34" i="68"/>
  <c r="BO34" i="68"/>
  <c r="BN34" i="68"/>
  <c r="BM34" i="68"/>
  <c r="BL34" i="68"/>
  <c r="BK34" i="68"/>
  <c r="BJ34" i="68"/>
  <c r="BI34" i="68"/>
  <c r="BH34" i="68"/>
  <c r="BG34" i="68"/>
  <c r="BF34" i="68"/>
  <c r="BE34" i="68"/>
  <c r="BD34" i="68"/>
  <c r="BC34" i="68"/>
  <c r="BB34" i="68"/>
  <c r="BA34" i="68"/>
  <c r="AZ34" i="68"/>
  <c r="AY34" i="68"/>
  <c r="AX34" i="68"/>
  <c r="AW34" i="68"/>
  <c r="AV34" i="68"/>
  <c r="AU34" i="68"/>
  <c r="AT34" i="68"/>
  <c r="AS34" i="68"/>
  <c r="AR34" i="68"/>
  <c r="AQ34" i="68"/>
  <c r="AP34" i="68"/>
  <c r="AO34" i="68"/>
  <c r="AN34" i="68"/>
  <c r="AM34" i="68"/>
  <c r="AL34" i="68"/>
  <c r="AK34" i="68"/>
  <c r="AJ34" i="68"/>
  <c r="AI34" i="68"/>
  <c r="AH34" i="68"/>
  <c r="AG34" i="68"/>
  <c r="AF34" i="68"/>
  <c r="AE34" i="68"/>
  <c r="AD34" i="68"/>
  <c r="AC34" i="68"/>
  <c r="AB34" i="68"/>
  <c r="AA34" i="68"/>
  <c r="Z34" i="68"/>
  <c r="Y34" i="68"/>
  <c r="X34" i="68"/>
  <c r="W34" i="68"/>
  <c r="V34" i="68"/>
  <c r="U34" i="68"/>
  <c r="T34" i="68"/>
  <c r="S34" i="68"/>
  <c r="R34" i="68"/>
  <c r="Q34" i="68"/>
  <c r="P34" i="68"/>
  <c r="O34" i="68"/>
  <c r="N34" i="68"/>
  <c r="M34" i="68"/>
  <c r="L34" i="68"/>
  <c r="K34" i="68"/>
  <c r="J34" i="68"/>
  <c r="I34" i="68"/>
  <c r="H34" i="68"/>
  <c r="G34" i="68"/>
  <c r="F34" i="68"/>
  <c r="E34" i="68"/>
  <c r="D34" i="68"/>
  <c r="C34" i="68"/>
  <c r="FN43" i="67"/>
  <c r="FM43" i="67"/>
  <c r="FL43" i="67"/>
  <c r="FK43" i="67"/>
  <c r="FJ43" i="67"/>
  <c r="FI43" i="67"/>
  <c r="FH43" i="67"/>
  <c r="FG43" i="67"/>
  <c r="FF43" i="67"/>
  <c r="FE43" i="67"/>
  <c r="FD43" i="67"/>
  <c r="FC43" i="67"/>
  <c r="FB43" i="67"/>
  <c r="FA43" i="67"/>
  <c r="EZ43" i="67"/>
  <c r="EY43" i="67"/>
  <c r="EX43" i="67"/>
  <c r="EW43" i="67"/>
  <c r="EV43" i="67"/>
  <c r="EU43" i="67"/>
  <c r="ET43" i="67"/>
  <c r="ES43" i="67"/>
  <c r="ER43" i="67"/>
  <c r="EQ43" i="67"/>
  <c r="EP43" i="67"/>
  <c r="EO43" i="67"/>
  <c r="EN43" i="67"/>
  <c r="EM43" i="67"/>
  <c r="EL43" i="67"/>
  <c r="EK43" i="67"/>
  <c r="EJ43" i="67"/>
  <c r="EI43" i="67"/>
  <c r="EH43" i="67"/>
  <c r="EG43" i="67"/>
  <c r="EF43" i="67"/>
  <c r="EE43" i="67"/>
  <c r="ED43" i="67"/>
  <c r="EC43" i="67"/>
  <c r="EB43" i="67"/>
  <c r="EA43" i="67"/>
  <c r="DZ43" i="67"/>
  <c r="DY43" i="67"/>
  <c r="DX43" i="67"/>
  <c r="DW43" i="67"/>
  <c r="DV43" i="67"/>
  <c r="DU43" i="67"/>
  <c r="DT43" i="67"/>
  <c r="DS43" i="67"/>
  <c r="DR43" i="67"/>
  <c r="DQ43" i="67"/>
  <c r="DP43" i="67"/>
  <c r="DO43" i="67"/>
  <c r="DN43" i="67"/>
  <c r="DM43" i="67"/>
  <c r="DL43" i="67"/>
  <c r="DK43" i="67"/>
  <c r="DJ43" i="67"/>
  <c r="DI43" i="67"/>
  <c r="DH43" i="67"/>
  <c r="DG43" i="67"/>
  <c r="DF43" i="67"/>
  <c r="DE43" i="67"/>
  <c r="DD43" i="67"/>
  <c r="DC43" i="67"/>
  <c r="DB43" i="67"/>
  <c r="DA43" i="67"/>
  <c r="CZ43" i="67"/>
  <c r="CY43" i="67"/>
  <c r="CX43" i="67"/>
  <c r="CW43" i="67"/>
  <c r="CV43" i="67"/>
  <c r="CU43" i="67"/>
  <c r="CT43" i="67"/>
  <c r="CS43" i="67"/>
  <c r="CR43" i="67"/>
  <c r="CQ43" i="67"/>
  <c r="CP43" i="67"/>
  <c r="CO43" i="67"/>
  <c r="CN43" i="67"/>
  <c r="CM43" i="67"/>
  <c r="CL43" i="67"/>
  <c r="CK43" i="67"/>
  <c r="CJ43" i="67"/>
  <c r="CI43" i="67"/>
  <c r="CH43" i="67"/>
  <c r="CG43" i="67"/>
  <c r="CF43" i="67"/>
  <c r="CE43" i="67"/>
  <c r="CD43" i="67"/>
  <c r="CC43" i="67"/>
  <c r="CB43" i="67"/>
  <c r="CA43" i="67"/>
  <c r="BZ43" i="67"/>
  <c r="BY43" i="67"/>
  <c r="BX43" i="67"/>
  <c r="BW43" i="67"/>
  <c r="BV43" i="67"/>
  <c r="BU43" i="67"/>
  <c r="BT43" i="67"/>
  <c r="BS43" i="67"/>
  <c r="BR43" i="67"/>
  <c r="BQ43" i="67"/>
  <c r="BP43" i="67"/>
  <c r="BO43" i="67"/>
  <c r="BN43" i="67"/>
  <c r="BM43" i="67"/>
  <c r="BL43" i="67"/>
  <c r="BK43" i="67"/>
  <c r="BJ43" i="67"/>
  <c r="BI43" i="67"/>
  <c r="BH43" i="67"/>
  <c r="BG43" i="67"/>
  <c r="BF43" i="67"/>
  <c r="BE43" i="67"/>
  <c r="BD43" i="67"/>
  <c r="BC43" i="67"/>
  <c r="BB43" i="67"/>
  <c r="BA43" i="67"/>
  <c r="AZ43" i="67"/>
  <c r="AY43" i="67"/>
  <c r="AX43" i="67"/>
  <c r="AW43" i="67"/>
  <c r="AV43" i="67"/>
  <c r="AU43" i="67"/>
  <c r="AT43" i="67"/>
  <c r="AS43" i="67"/>
  <c r="AR43" i="67"/>
  <c r="AQ43" i="67"/>
  <c r="AP43" i="67"/>
  <c r="AO43" i="67"/>
  <c r="AN43" i="67"/>
  <c r="AM43" i="67"/>
  <c r="AL43" i="67"/>
  <c r="AK43" i="67"/>
  <c r="AJ43" i="67"/>
  <c r="AI43" i="67"/>
  <c r="AH43" i="67"/>
  <c r="AG43" i="67"/>
  <c r="AF43" i="67"/>
  <c r="AE43" i="67"/>
  <c r="AD43" i="67"/>
  <c r="AC43" i="67"/>
  <c r="AB43" i="67"/>
  <c r="AA43" i="67"/>
  <c r="Z43" i="67"/>
  <c r="Y43" i="67"/>
  <c r="X43" i="67"/>
  <c r="W43" i="67"/>
  <c r="V43" i="67"/>
  <c r="U43" i="67"/>
  <c r="T43" i="67"/>
  <c r="S43" i="67"/>
  <c r="R43" i="67"/>
  <c r="Q43" i="67"/>
  <c r="P43" i="67"/>
  <c r="O43" i="67"/>
  <c r="N43" i="67"/>
  <c r="M43" i="67"/>
  <c r="L43" i="67"/>
  <c r="K43" i="67"/>
  <c r="J43" i="67"/>
  <c r="I43" i="67"/>
  <c r="H43" i="67"/>
  <c r="G43" i="67"/>
  <c r="F43" i="67"/>
  <c r="E43" i="67"/>
  <c r="D43" i="67"/>
  <c r="C43" i="67"/>
  <c r="FN42" i="67"/>
  <c r="FM42" i="67"/>
  <c r="FL42" i="67"/>
  <c r="FK42" i="67"/>
  <c r="FJ42" i="67"/>
  <c r="FI42" i="67"/>
  <c r="FH42" i="67"/>
  <c r="FG42" i="67"/>
  <c r="FF42" i="67"/>
  <c r="FE42" i="67"/>
  <c r="FD42" i="67"/>
  <c r="FC42" i="67"/>
  <c r="FB42" i="67"/>
  <c r="FA42" i="67"/>
  <c r="EZ42" i="67"/>
  <c r="EY42" i="67"/>
  <c r="EX42" i="67"/>
  <c r="EW42" i="67"/>
  <c r="EV42" i="67"/>
  <c r="EU42" i="67"/>
  <c r="ET42" i="67"/>
  <c r="ES42" i="67"/>
  <c r="ER42" i="67"/>
  <c r="EQ42" i="67"/>
  <c r="EP42" i="67"/>
  <c r="EO42" i="67"/>
  <c r="EN42" i="67"/>
  <c r="EM42" i="67"/>
  <c r="EL42" i="67"/>
  <c r="EK42" i="67"/>
  <c r="EJ42" i="67"/>
  <c r="EI42" i="67"/>
  <c r="EH42" i="67"/>
  <c r="EG42" i="67"/>
  <c r="EF42" i="67"/>
  <c r="EE42" i="67"/>
  <c r="ED42" i="67"/>
  <c r="EC42" i="67"/>
  <c r="EB42" i="67"/>
  <c r="EA42" i="67"/>
  <c r="DZ42" i="67"/>
  <c r="DY42" i="67"/>
  <c r="DX42" i="67"/>
  <c r="DW42" i="67"/>
  <c r="DV42" i="67"/>
  <c r="DU42" i="67"/>
  <c r="DT42" i="67"/>
  <c r="DS42" i="67"/>
  <c r="DR42" i="67"/>
  <c r="DQ42" i="67"/>
  <c r="DP42" i="67"/>
  <c r="DO42" i="67"/>
  <c r="DN42" i="67"/>
  <c r="DM42" i="67"/>
  <c r="DL42" i="67"/>
  <c r="DK42" i="67"/>
  <c r="DJ42" i="67"/>
  <c r="DI42" i="67"/>
  <c r="DH42" i="67"/>
  <c r="DG42" i="67"/>
  <c r="DF42" i="67"/>
  <c r="DE42" i="67"/>
  <c r="DD42" i="67"/>
  <c r="DC42" i="67"/>
  <c r="DB42" i="67"/>
  <c r="DA42" i="67"/>
  <c r="CZ42" i="67"/>
  <c r="CY42" i="67"/>
  <c r="CX42" i="67"/>
  <c r="CW42" i="67"/>
  <c r="CV42" i="67"/>
  <c r="CU42" i="67"/>
  <c r="CT42" i="67"/>
  <c r="CS42" i="67"/>
  <c r="CR42" i="67"/>
  <c r="CQ42" i="67"/>
  <c r="CP42" i="67"/>
  <c r="CO42" i="67"/>
  <c r="CN42" i="67"/>
  <c r="CM42" i="67"/>
  <c r="CL42" i="67"/>
  <c r="CK42" i="67"/>
  <c r="CJ42" i="67"/>
  <c r="CI42" i="67"/>
  <c r="CH42" i="67"/>
  <c r="CG42" i="67"/>
  <c r="CF42" i="67"/>
  <c r="CE42" i="67"/>
  <c r="CD42" i="67"/>
  <c r="CC42" i="67"/>
  <c r="CB42" i="67"/>
  <c r="CA42" i="67"/>
  <c r="BZ42" i="67"/>
  <c r="BY42" i="67"/>
  <c r="BX42" i="67"/>
  <c r="BW42" i="67"/>
  <c r="BV42" i="67"/>
  <c r="BU42" i="67"/>
  <c r="BT42" i="67"/>
  <c r="BS42" i="67"/>
  <c r="BR42" i="67"/>
  <c r="BQ42" i="67"/>
  <c r="BP42" i="67"/>
  <c r="BO42" i="67"/>
  <c r="BN42" i="67"/>
  <c r="BM42" i="67"/>
  <c r="BL42" i="67"/>
  <c r="BK42" i="67"/>
  <c r="BJ42" i="67"/>
  <c r="BI42" i="67"/>
  <c r="BH42" i="67"/>
  <c r="BG42" i="67"/>
  <c r="BF42" i="67"/>
  <c r="BE42" i="67"/>
  <c r="BD42" i="67"/>
  <c r="BC42" i="67"/>
  <c r="BB42" i="67"/>
  <c r="BA42" i="67"/>
  <c r="AZ42" i="67"/>
  <c r="AY42" i="67"/>
  <c r="AX42" i="67"/>
  <c r="AW42" i="67"/>
  <c r="AV42" i="67"/>
  <c r="AU42" i="67"/>
  <c r="AT42" i="67"/>
  <c r="AS42" i="67"/>
  <c r="AR42" i="67"/>
  <c r="AQ42" i="67"/>
  <c r="AP42" i="67"/>
  <c r="AO42" i="67"/>
  <c r="AN42" i="67"/>
  <c r="AM42" i="67"/>
  <c r="AL42" i="67"/>
  <c r="AK42" i="67"/>
  <c r="AJ42" i="67"/>
  <c r="AI42" i="67"/>
  <c r="AH42" i="67"/>
  <c r="AG42" i="67"/>
  <c r="AF42" i="67"/>
  <c r="AE42" i="67"/>
  <c r="AD42" i="67"/>
  <c r="AC42" i="67"/>
  <c r="AB42" i="67"/>
  <c r="AA42" i="67"/>
  <c r="Z42" i="67"/>
  <c r="Y42" i="67"/>
  <c r="X42" i="67"/>
  <c r="W42" i="67"/>
  <c r="V42" i="67"/>
  <c r="U42" i="67"/>
  <c r="T42" i="67"/>
  <c r="S42" i="67"/>
  <c r="R42" i="67"/>
  <c r="Q42" i="67"/>
  <c r="P42" i="67"/>
  <c r="O42" i="67"/>
  <c r="N42" i="67"/>
  <c r="M42" i="67"/>
  <c r="L42" i="67"/>
  <c r="K42" i="67"/>
  <c r="J42" i="67"/>
  <c r="I42" i="67"/>
  <c r="H42" i="67"/>
  <c r="G42" i="67"/>
  <c r="F42" i="67"/>
  <c r="E42" i="67"/>
  <c r="D42" i="67"/>
  <c r="C42" i="67"/>
  <c r="FN41" i="67"/>
  <c r="FM41" i="67"/>
  <c r="FL41" i="67"/>
  <c r="FK41" i="67"/>
  <c r="FJ41" i="67"/>
  <c r="FI41" i="67"/>
  <c r="FH41" i="67"/>
  <c r="FG41" i="67"/>
  <c r="FF41" i="67"/>
  <c r="FE41" i="67"/>
  <c r="FD41" i="67"/>
  <c r="FC41" i="67"/>
  <c r="FB41" i="67"/>
  <c r="FA41" i="67"/>
  <c r="EZ41" i="67"/>
  <c r="EY41" i="67"/>
  <c r="EX41" i="67"/>
  <c r="EW41" i="67"/>
  <c r="EV41" i="67"/>
  <c r="EU41" i="67"/>
  <c r="ET41" i="67"/>
  <c r="ES41" i="67"/>
  <c r="ER41" i="67"/>
  <c r="EQ41" i="67"/>
  <c r="EP41" i="67"/>
  <c r="EO41" i="67"/>
  <c r="EN41" i="67"/>
  <c r="EM41" i="67"/>
  <c r="EL41" i="67"/>
  <c r="EK41" i="67"/>
  <c r="EJ41" i="67"/>
  <c r="EI41" i="67"/>
  <c r="EH41" i="67"/>
  <c r="EG41" i="67"/>
  <c r="EF41" i="67"/>
  <c r="EE41" i="67"/>
  <c r="ED41" i="67"/>
  <c r="EC41" i="67"/>
  <c r="EB41" i="67"/>
  <c r="EA41" i="67"/>
  <c r="DZ41" i="67"/>
  <c r="DY41" i="67"/>
  <c r="DX41" i="67"/>
  <c r="DW41" i="67"/>
  <c r="DV41" i="67"/>
  <c r="DU41" i="67"/>
  <c r="DT41" i="67"/>
  <c r="DS41" i="67"/>
  <c r="DR41" i="67"/>
  <c r="DQ41" i="67"/>
  <c r="DP41" i="67"/>
  <c r="DO41" i="67"/>
  <c r="DN41" i="67"/>
  <c r="DM41" i="67"/>
  <c r="DL41" i="67"/>
  <c r="DK41" i="67"/>
  <c r="DJ41" i="67"/>
  <c r="DI41" i="67"/>
  <c r="DH41" i="67"/>
  <c r="DG41" i="67"/>
  <c r="DF41" i="67"/>
  <c r="DE41" i="67"/>
  <c r="DD41" i="67"/>
  <c r="DC41" i="67"/>
  <c r="DB41" i="67"/>
  <c r="DA41" i="67"/>
  <c r="CZ41" i="67"/>
  <c r="CY41" i="67"/>
  <c r="CX41" i="67"/>
  <c r="CW41" i="67"/>
  <c r="CV41" i="67"/>
  <c r="CU41" i="67"/>
  <c r="CT41" i="67"/>
  <c r="CS41" i="67"/>
  <c r="CR41" i="67"/>
  <c r="CQ41" i="67"/>
  <c r="CP41" i="67"/>
  <c r="CO41" i="67"/>
  <c r="CN41" i="67"/>
  <c r="CM41" i="67"/>
  <c r="CL41" i="67"/>
  <c r="CK41" i="67"/>
  <c r="CJ41" i="67"/>
  <c r="CI41" i="67"/>
  <c r="CH41" i="67"/>
  <c r="CG41" i="67"/>
  <c r="CF41" i="67"/>
  <c r="CE41" i="67"/>
  <c r="CD41" i="67"/>
  <c r="CC41" i="67"/>
  <c r="CB41" i="67"/>
  <c r="CA41" i="67"/>
  <c r="BZ41" i="67"/>
  <c r="BY41" i="67"/>
  <c r="BX41" i="67"/>
  <c r="BW41" i="67"/>
  <c r="BV41" i="67"/>
  <c r="BU41" i="67"/>
  <c r="BT41" i="67"/>
  <c r="BS41" i="67"/>
  <c r="BR41" i="67"/>
  <c r="BQ41" i="67"/>
  <c r="BP41" i="67"/>
  <c r="BO41" i="67"/>
  <c r="BN41" i="67"/>
  <c r="BM41" i="67"/>
  <c r="BL41" i="67"/>
  <c r="BK41" i="67"/>
  <c r="BJ41" i="67"/>
  <c r="BI41" i="67"/>
  <c r="BH41" i="67"/>
  <c r="BG41" i="67"/>
  <c r="BF41" i="67"/>
  <c r="BE41" i="67"/>
  <c r="BD41" i="67"/>
  <c r="BC41" i="67"/>
  <c r="BB41" i="67"/>
  <c r="BA41" i="67"/>
  <c r="AZ41" i="67"/>
  <c r="AY41" i="67"/>
  <c r="AX41" i="67"/>
  <c r="AW41" i="67"/>
  <c r="AV41" i="67"/>
  <c r="AU41" i="67"/>
  <c r="AT41" i="67"/>
  <c r="AS41" i="67"/>
  <c r="AR41" i="67"/>
  <c r="AQ41" i="67"/>
  <c r="AP41" i="67"/>
  <c r="AO41" i="67"/>
  <c r="AN41" i="67"/>
  <c r="AM41" i="67"/>
  <c r="AL41" i="67"/>
  <c r="AK41" i="67"/>
  <c r="AJ41" i="67"/>
  <c r="AI41" i="67"/>
  <c r="AH41" i="67"/>
  <c r="AG41" i="67"/>
  <c r="AF41" i="67"/>
  <c r="AE41" i="67"/>
  <c r="AD41" i="67"/>
  <c r="AC41" i="67"/>
  <c r="AB41" i="67"/>
  <c r="AA41" i="67"/>
  <c r="Z41" i="67"/>
  <c r="Y41" i="67"/>
  <c r="X41" i="67"/>
  <c r="W41" i="67"/>
  <c r="V41" i="67"/>
  <c r="U41" i="67"/>
  <c r="T41" i="67"/>
  <c r="S41" i="67"/>
  <c r="R41" i="67"/>
  <c r="Q41" i="67"/>
  <c r="P41" i="67"/>
  <c r="O41" i="67"/>
  <c r="N41" i="67"/>
  <c r="M41" i="67"/>
  <c r="L41" i="67"/>
  <c r="K41" i="67"/>
  <c r="J41" i="67"/>
  <c r="I41" i="67"/>
  <c r="H41" i="67"/>
  <c r="G41" i="67"/>
  <c r="F41" i="67"/>
  <c r="E41" i="67"/>
  <c r="D41" i="67"/>
  <c r="C41" i="67"/>
  <c r="FN40" i="67"/>
  <c r="FM40" i="67"/>
  <c r="FL40" i="67"/>
  <c r="FK40" i="67"/>
  <c r="FJ40" i="67"/>
  <c r="FI40" i="67"/>
  <c r="FH40" i="67"/>
  <c r="FG40" i="67"/>
  <c r="FF40" i="67"/>
  <c r="FE40" i="67"/>
  <c r="FD40" i="67"/>
  <c r="FC40" i="67"/>
  <c r="FB40" i="67"/>
  <c r="FA40" i="67"/>
  <c r="EZ40" i="67"/>
  <c r="EY40" i="67"/>
  <c r="EX40" i="67"/>
  <c r="EW40" i="67"/>
  <c r="EV40" i="67"/>
  <c r="EU40" i="67"/>
  <c r="ET40" i="67"/>
  <c r="ES40" i="67"/>
  <c r="ER40" i="67"/>
  <c r="EQ40" i="67"/>
  <c r="EP40" i="67"/>
  <c r="EO40" i="67"/>
  <c r="EN40" i="67"/>
  <c r="EM40" i="67"/>
  <c r="EL40" i="67"/>
  <c r="EK40" i="67"/>
  <c r="EJ40" i="67"/>
  <c r="EI40" i="67"/>
  <c r="EH40" i="67"/>
  <c r="EG40" i="67"/>
  <c r="EF40" i="67"/>
  <c r="EE40" i="67"/>
  <c r="ED40" i="67"/>
  <c r="EC40" i="67"/>
  <c r="EB40" i="67"/>
  <c r="EA40" i="67"/>
  <c r="DZ40" i="67"/>
  <c r="DY40" i="67"/>
  <c r="DX40" i="67"/>
  <c r="DW40" i="67"/>
  <c r="DV40" i="67"/>
  <c r="DU40" i="67"/>
  <c r="DT40" i="67"/>
  <c r="DS40" i="67"/>
  <c r="DR40" i="67"/>
  <c r="DQ40" i="67"/>
  <c r="DP40" i="67"/>
  <c r="DO40" i="67"/>
  <c r="DN40" i="67"/>
  <c r="DM40" i="67"/>
  <c r="DL40" i="67"/>
  <c r="DK40" i="67"/>
  <c r="DJ40" i="67"/>
  <c r="DI40" i="67"/>
  <c r="DH40" i="67"/>
  <c r="DG40" i="67"/>
  <c r="DF40" i="67"/>
  <c r="DE40" i="67"/>
  <c r="DD40" i="67"/>
  <c r="DC40" i="67"/>
  <c r="DB40" i="67"/>
  <c r="DA40" i="67"/>
  <c r="CZ40" i="67"/>
  <c r="CY40" i="67"/>
  <c r="CX40" i="67"/>
  <c r="CW40" i="67"/>
  <c r="CV40" i="67"/>
  <c r="CU40" i="67"/>
  <c r="CT40" i="67"/>
  <c r="CS40" i="67"/>
  <c r="CR40" i="67"/>
  <c r="CQ40" i="67"/>
  <c r="CP40" i="67"/>
  <c r="CO40" i="67"/>
  <c r="CN40" i="67"/>
  <c r="CM40" i="67"/>
  <c r="CL40" i="67"/>
  <c r="CK40" i="67"/>
  <c r="CJ40" i="67"/>
  <c r="CI40" i="67"/>
  <c r="CH40" i="67"/>
  <c r="CG40" i="67"/>
  <c r="CF40" i="67"/>
  <c r="CE40" i="67"/>
  <c r="CD40" i="67"/>
  <c r="CC40" i="67"/>
  <c r="CB40" i="67"/>
  <c r="CA40" i="67"/>
  <c r="BZ40" i="67"/>
  <c r="BY40" i="67"/>
  <c r="BX40" i="67"/>
  <c r="BW40" i="67"/>
  <c r="BV40" i="67"/>
  <c r="BU40" i="67"/>
  <c r="BT40" i="67"/>
  <c r="BS40" i="67"/>
  <c r="BR40" i="67"/>
  <c r="BQ40" i="67"/>
  <c r="BP40" i="67"/>
  <c r="BO40" i="67"/>
  <c r="BN40" i="67"/>
  <c r="BM40" i="67"/>
  <c r="BL40" i="67"/>
  <c r="BK40" i="67"/>
  <c r="BJ40" i="67"/>
  <c r="BI40" i="67"/>
  <c r="BH40" i="67"/>
  <c r="BG40" i="67"/>
  <c r="BF40" i="67"/>
  <c r="BE40" i="67"/>
  <c r="BD40" i="67"/>
  <c r="BC40" i="67"/>
  <c r="BB40" i="67"/>
  <c r="BA40" i="67"/>
  <c r="AZ40" i="67"/>
  <c r="AY40" i="67"/>
  <c r="AX40" i="67"/>
  <c r="AW40" i="67"/>
  <c r="AV40" i="67"/>
  <c r="AU40" i="67"/>
  <c r="AT40" i="67"/>
  <c r="AS40" i="67"/>
  <c r="AR40" i="67"/>
  <c r="AQ40" i="67"/>
  <c r="AP40" i="67"/>
  <c r="AO40" i="67"/>
  <c r="AN40" i="67"/>
  <c r="AM40" i="67"/>
  <c r="AL40" i="67"/>
  <c r="AK40" i="67"/>
  <c r="AJ40" i="67"/>
  <c r="AI40" i="67"/>
  <c r="AH40" i="67"/>
  <c r="AG40" i="67"/>
  <c r="AF40" i="67"/>
  <c r="AE40" i="67"/>
  <c r="AD40" i="67"/>
  <c r="AC40" i="67"/>
  <c r="AB40" i="67"/>
  <c r="AA40" i="67"/>
  <c r="Z40" i="67"/>
  <c r="Y40" i="67"/>
  <c r="X40" i="67"/>
  <c r="W40" i="67"/>
  <c r="V40" i="67"/>
  <c r="U40" i="67"/>
  <c r="T40" i="67"/>
  <c r="S40" i="67"/>
  <c r="R40" i="67"/>
  <c r="Q40" i="67"/>
  <c r="P40" i="67"/>
  <c r="O40" i="67"/>
  <c r="N40" i="67"/>
  <c r="M40" i="67"/>
  <c r="L40" i="67"/>
  <c r="K40" i="67"/>
  <c r="J40" i="67"/>
  <c r="I40" i="67"/>
  <c r="H40" i="67"/>
  <c r="G40" i="67"/>
  <c r="F40" i="67"/>
  <c r="E40" i="67"/>
  <c r="D40" i="67"/>
  <c r="C40" i="67"/>
  <c r="FN39" i="67"/>
  <c r="FM39" i="67"/>
  <c r="FL39" i="67"/>
  <c r="FK39" i="67"/>
  <c r="FJ39" i="67"/>
  <c r="FI39" i="67"/>
  <c r="FH39" i="67"/>
  <c r="FG39" i="67"/>
  <c r="FF39" i="67"/>
  <c r="FE39" i="67"/>
  <c r="FD39" i="67"/>
  <c r="FC39" i="67"/>
  <c r="FB39" i="67"/>
  <c r="FA39" i="67"/>
  <c r="EZ39" i="67"/>
  <c r="EY39" i="67"/>
  <c r="EX39" i="67"/>
  <c r="EW39" i="67"/>
  <c r="EV39" i="67"/>
  <c r="EU39" i="67"/>
  <c r="ET39" i="67"/>
  <c r="ES39" i="67"/>
  <c r="ER39" i="67"/>
  <c r="EQ39" i="67"/>
  <c r="EP39" i="67"/>
  <c r="EO39" i="67"/>
  <c r="EN39" i="67"/>
  <c r="EM39" i="67"/>
  <c r="EL39" i="67"/>
  <c r="EK39" i="67"/>
  <c r="EJ39" i="67"/>
  <c r="EI39" i="67"/>
  <c r="EH39" i="67"/>
  <c r="EG39" i="67"/>
  <c r="EF39" i="67"/>
  <c r="EE39" i="67"/>
  <c r="ED39" i="67"/>
  <c r="EC39" i="67"/>
  <c r="EB39" i="67"/>
  <c r="EA39" i="67"/>
  <c r="DZ39" i="67"/>
  <c r="DY39" i="67"/>
  <c r="DX39" i="67"/>
  <c r="DW39" i="67"/>
  <c r="DV39" i="67"/>
  <c r="DU39" i="67"/>
  <c r="DT39" i="67"/>
  <c r="DS39" i="67"/>
  <c r="DR39" i="67"/>
  <c r="DQ39" i="67"/>
  <c r="DP39" i="67"/>
  <c r="DO39" i="67"/>
  <c r="DN39" i="67"/>
  <c r="DM39" i="67"/>
  <c r="DL39" i="67"/>
  <c r="DK39" i="67"/>
  <c r="DJ39" i="67"/>
  <c r="DI39" i="67"/>
  <c r="DH39" i="67"/>
  <c r="DG39" i="67"/>
  <c r="DF39" i="67"/>
  <c r="DE39" i="67"/>
  <c r="DD39" i="67"/>
  <c r="DC39" i="67"/>
  <c r="DB39" i="67"/>
  <c r="DA39" i="67"/>
  <c r="CZ39" i="67"/>
  <c r="CY39" i="67"/>
  <c r="CX39" i="67"/>
  <c r="CW39" i="67"/>
  <c r="CV39" i="67"/>
  <c r="CU39" i="67"/>
  <c r="CT39" i="67"/>
  <c r="CS39" i="67"/>
  <c r="CR39" i="67"/>
  <c r="CQ39" i="67"/>
  <c r="CP39" i="67"/>
  <c r="CO39" i="67"/>
  <c r="CN39" i="67"/>
  <c r="CM39" i="67"/>
  <c r="CL39" i="67"/>
  <c r="CK39" i="67"/>
  <c r="CJ39" i="67"/>
  <c r="CI39" i="67"/>
  <c r="CH39" i="67"/>
  <c r="CG39" i="67"/>
  <c r="CF39" i="67"/>
  <c r="CE39" i="67"/>
  <c r="CD39" i="67"/>
  <c r="CC39" i="67"/>
  <c r="CB39" i="67"/>
  <c r="CA39" i="67"/>
  <c r="BZ39" i="67"/>
  <c r="BY39" i="67"/>
  <c r="BX39" i="67"/>
  <c r="BW39" i="67"/>
  <c r="BV39" i="67"/>
  <c r="BU39" i="67"/>
  <c r="BT39" i="67"/>
  <c r="BS39" i="67"/>
  <c r="BR39" i="67"/>
  <c r="BQ39" i="67"/>
  <c r="BP39" i="67"/>
  <c r="BO39" i="67"/>
  <c r="BN39" i="67"/>
  <c r="BM39" i="67"/>
  <c r="BL39" i="67"/>
  <c r="BK39" i="67"/>
  <c r="BJ39" i="67"/>
  <c r="BI39" i="67"/>
  <c r="BH39" i="67"/>
  <c r="BG39" i="67"/>
  <c r="BF39" i="67"/>
  <c r="BE39" i="67"/>
  <c r="BD39" i="67"/>
  <c r="BC39" i="67"/>
  <c r="BB39" i="67"/>
  <c r="BA39" i="67"/>
  <c r="AZ39" i="67"/>
  <c r="AY39" i="67"/>
  <c r="AX39" i="67"/>
  <c r="AW39" i="67"/>
  <c r="AV39" i="67"/>
  <c r="AU39" i="67"/>
  <c r="AT39" i="67"/>
  <c r="AS39" i="67"/>
  <c r="AR39" i="67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FN38" i="67"/>
  <c r="FM38" i="67"/>
  <c r="FL38" i="67"/>
  <c r="FK38" i="67"/>
  <c r="FJ38" i="67"/>
  <c r="FI38" i="67"/>
  <c r="FH38" i="67"/>
  <c r="FG38" i="67"/>
  <c r="FF38" i="67"/>
  <c r="FE38" i="67"/>
  <c r="FD38" i="67"/>
  <c r="FC38" i="67"/>
  <c r="FB38" i="67"/>
  <c r="FA38" i="67"/>
  <c r="EZ38" i="67"/>
  <c r="EY38" i="67"/>
  <c r="EX38" i="67"/>
  <c r="EW38" i="67"/>
  <c r="EV38" i="67"/>
  <c r="EU38" i="67"/>
  <c r="ET38" i="67"/>
  <c r="ES38" i="67"/>
  <c r="ER38" i="67"/>
  <c r="EQ38" i="67"/>
  <c r="EP38" i="67"/>
  <c r="EO38" i="67"/>
  <c r="EN38" i="67"/>
  <c r="EM38" i="67"/>
  <c r="EL38" i="67"/>
  <c r="EK38" i="67"/>
  <c r="EJ38" i="67"/>
  <c r="EI38" i="67"/>
  <c r="EH38" i="67"/>
  <c r="EG38" i="67"/>
  <c r="EF38" i="67"/>
  <c r="EE38" i="67"/>
  <c r="ED38" i="67"/>
  <c r="EC38" i="67"/>
  <c r="EB38" i="67"/>
  <c r="EA38" i="67"/>
  <c r="DZ38" i="67"/>
  <c r="DY38" i="67"/>
  <c r="DX38" i="67"/>
  <c r="DW38" i="67"/>
  <c r="DV38" i="67"/>
  <c r="DU38" i="67"/>
  <c r="DT38" i="67"/>
  <c r="DS38" i="67"/>
  <c r="DR38" i="67"/>
  <c r="DQ38" i="67"/>
  <c r="DP38" i="67"/>
  <c r="DO38" i="67"/>
  <c r="DN38" i="67"/>
  <c r="DM38" i="67"/>
  <c r="DL38" i="67"/>
  <c r="DK38" i="67"/>
  <c r="DJ38" i="67"/>
  <c r="DI38" i="67"/>
  <c r="DH38" i="67"/>
  <c r="DG38" i="67"/>
  <c r="DF38" i="67"/>
  <c r="DE38" i="67"/>
  <c r="DD38" i="67"/>
  <c r="DC38" i="67"/>
  <c r="DB38" i="67"/>
  <c r="DA38" i="67"/>
  <c r="CZ38" i="67"/>
  <c r="CY38" i="67"/>
  <c r="CX38" i="67"/>
  <c r="CW38" i="67"/>
  <c r="CV38" i="67"/>
  <c r="CU38" i="67"/>
  <c r="CT38" i="67"/>
  <c r="CS38" i="67"/>
  <c r="CR38" i="67"/>
  <c r="CQ38" i="67"/>
  <c r="CP38" i="67"/>
  <c r="CO38" i="67"/>
  <c r="CN38" i="67"/>
  <c r="CM38" i="67"/>
  <c r="CL38" i="67"/>
  <c r="CK38" i="67"/>
  <c r="CJ38" i="67"/>
  <c r="CI38" i="67"/>
  <c r="CH38" i="67"/>
  <c r="CG38" i="67"/>
  <c r="CF38" i="67"/>
  <c r="CE38" i="67"/>
  <c r="CD38" i="67"/>
  <c r="CC38" i="67"/>
  <c r="CB38" i="67"/>
  <c r="CA38" i="67"/>
  <c r="BZ38" i="67"/>
  <c r="BY38" i="67"/>
  <c r="BX38" i="67"/>
  <c r="BW38" i="67"/>
  <c r="BV38" i="67"/>
  <c r="BU38" i="67"/>
  <c r="BT38" i="67"/>
  <c r="BS38" i="67"/>
  <c r="BR38" i="67"/>
  <c r="BQ38" i="67"/>
  <c r="BP38" i="67"/>
  <c r="BO38" i="67"/>
  <c r="BN38" i="67"/>
  <c r="BM38" i="67"/>
  <c r="BL38" i="67"/>
  <c r="BK38" i="67"/>
  <c r="BJ38" i="67"/>
  <c r="BI38" i="67"/>
  <c r="BH38" i="67"/>
  <c r="BG38" i="67"/>
  <c r="BF38" i="67"/>
  <c r="BE38" i="67"/>
  <c r="BD38" i="67"/>
  <c r="BC38" i="67"/>
  <c r="BB38" i="67"/>
  <c r="BA38" i="67"/>
  <c r="AZ38" i="67"/>
  <c r="AY38" i="67"/>
  <c r="AX38" i="67"/>
  <c r="AW38" i="67"/>
  <c r="AV38" i="67"/>
  <c r="AU38" i="67"/>
  <c r="AT38" i="67"/>
  <c r="AS38" i="67"/>
  <c r="AR38" i="67"/>
  <c r="AQ38" i="67"/>
  <c r="AP38" i="67"/>
  <c r="AO38" i="67"/>
  <c r="AN38" i="67"/>
  <c r="AM38" i="67"/>
  <c r="AL38" i="67"/>
  <c r="AK38" i="67"/>
  <c r="AJ38" i="67"/>
  <c r="AI38" i="67"/>
  <c r="AH38" i="67"/>
  <c r="AG38" i="67"/>
  <c r="AF38" i="67"/>
  <c r="AE38" i="67"/>
  <c r="AD38" i="67"/>
  <c r="AC38" i="67"/>
  <c r="AB38" i="67"/>
  <c r="AA38" i="67"/>
  <c r="Z38" i="67"/>
  <c r="Y38" i="67"/>
  <c r="X38" i="67"/>
  <c r="W38" i="67"/>
  <c r="V38" i="67"/>
  <c r="U38" i="67"/>
  <c r="T38" i="67"/>
  <c r="S38" i="67"/>
  <c r="R38" i="67"/>
  <c r="Q38" i="67"/>
  <c r="P38" i="67"/>
  <c r="O38" i="67"/>
  <c r="N38" i="67"/>
  <c r="M38" i="67"/>
  <c r="L38" i="67"/>
  <c r="K38" i="67"/>
  <c r="J38" i="67"/>
  <c r="I38" i="67"/>
  <c r="H38" i="67"/>
  <c r="G38" i="67"/>
  <c r="F38" i="67"/>
  <c r="E38" i="67"/>
  <c r="D38" i="67"/>
  <c r="C38" i="67"/>
  <c r="FN37" i="67"/>
  <c r="FM37" i="67"/>
  <c r="FL37" i="67"/>
  <c r="FK37" i="67"/>
  <c r="FJ37" i="67"/>
  <c r="FI37" i="67"/>
  <c r="FH37" i="67"/>
  <c r="FG37" i="67"/>
  <c r="FF37" i="67"/>
  <c r="FE37" i="67"/>
  <c r="FD37" i="67"/>
  <c r="FC37" i="67"/>
  <c r="FB37" i="67"/>
  <c r="FA37" i="67"/>
  <c r="EZ37" i="67"/>
  <c r="EY37" i="67"/>
  <c r="EX37" i="67"/>
  <c r="EW37" i="67"/>
  <c r="EV37" i="67"/>
  <c r="EU37" i="67"/>
  <c r="ET37" i="67"/>
  <c r="ES37" i="67"/>
  <c r="ER37" i="67"/>
  <c r="EQ37" i="67"/>
  <c r="EP37" i="67"/>
  <c r="EO37" i="67"/>
  <c r="EN37" i="67"/>
  <c r="EM37" i="67"/>
  <c r="EL37" i="67"/>
  <c r="EK37" i="67"/>
  <c r="EJ37" i="67"/>
  <c r="EI37" i="67"/>
  <c r="EH37" i="67"/>
  <c r="EG37" i="67"/>
  <c r="EF37" i="67"/>
  <c r="EE37" i="67"/>
  <c r="ED37" i="67"/>
  <c r="EC37" i="67"/>
  <c r="EB37" i="67"/>
  <c r="EA37" i="67"/>
  <c r="DZ37" i="67"/>
  <c r="DY37" i="67"/>
  <c r="DX37" i="67"/>
  <c r="DW37" i="67"/>
  <c r="DV37" i="67"/>
  <c r="DU37" i="67"/>
  <c r="DT37" i="67"/>
  <c r="DS37" i="67"/>
  <c r="DR37" i="67"/>
  <c r="DQ37" i="67"/>
  <c r="DP37" i="67"/>
  <c r="DO37" i="67"/>
  <c r="DN37" i="67"/>
  <c r="DM37" i="67"/>
  <c r="DL37" i="67"/>
  <c r="DK37" i="67"/>
  <c r="DJ37" i="67"/>
  <c r="DI37" i="67"/>
  <c r="DH37" i="67"/>
  <c r="DG37" i="67"/>
  <c r="DF37" i="67"/>
  <c r="DE37" i="67"/>
  <c r="DD37" i="67"/>
  <c r="DC37" i="67"/>
  <c r="DB37" i="67"/>
  <c r="DA37" i="67"/>
  <c r="CZ37" i="67"/>
  <c r="CY37" i="67"/>
  <c r="CX37" i="67"/>
  <c r="CW37" i="67"/>
  <c r="CV37" i="67"/>
  <c r="CU37" i="67"/>
  <c r="CT37" i="67"/>
  <c r="CS37" i="67"/>
  <c r="CR37" i="67"/>
  <c r="CQ37" i="67"/>
  <c r="CP37" i="67"/>
  <c r="CO37" i="67"/>
  <c r="CN37" i="67"/>
  <c r="CM37" i="67"/>
  <c r="CL37" i="67"/>
  <c r="CK37" i="67"/>
  <c r="CJ37" i="67"/>
  <c r="CI37" i="67"/>
  <c r="CH37" i="67"/>
  <c r="CG37" i="67"/>
  <c r="CF37" i="67"/>
  <c r="CE37" i="67"/>
  <c r="CD37" i="67"/>
  <c r="CC37" i="67"/>
  <c r="CB37" i="67"/>
  <c r="CA37" i="67"/>
  <c r="BZ37" i="67"/>
  <c r="BY37" i="67"/>
  <c r="BX37" i="67"/>
  <c r="BW37" i="67"/>
  <c r="BV37" i="67"/>
  <c r="BU37" i="67"/>
  <c r="BT37" i="67"/>
  <c r="BS37" i="67"/>
  <c r="BR37" i="67"/>
  <c r="BQ37" i="67"/>
  <c r="BP37" i="67"/>
  <c r="BO37" i="67"/>
  <c r="BN37" i="67"/>
  <c r="BM37" i="67"/>
  <c r="BL37" i="67"/>
  <c r="BK37" i="67"/>
  <c r="BJ37" i="67"/>
  <c r="BI37" i="67"/>
  <c r="BH37" i="67"/>
  <c r="BG37" i="67"/>
  <c r="BF37" i="67"/>
  <c r="BE37" i="67"/>
  <c r="BD37" i="67"/>
  <c r="BC37" i="67"/>
  <c r="BB37" i="67"/>
  <c r="BA37" i="67"/>
  <c r="AZ37" i="67"/>
  <c r="AY37" i="67"/>
  <c r="AX37" i="67"/>
  <c r="AW37" i="67"/>
  <c r="AV37" i="67"/>
  <c r="AU37" i="67"/>
  <c r="AT37" i="67"/>
  <c r="AS37" i="67"/>
  <c r="AR37" i="67"/>
  <c r="AQ37" i="67"/>
  <c r="AP37" i="67"/>
  <c r="AO37" i="67"/>
  <c r="AN37" i="67"/>
  <c r="AM37" i="67"/>
  <c r="AL37" i="67"/>
  <c r="AK37" i="67"/>
  <c r="AJ37" i="67"/>
  <c r="AI37" i="67"/>
  <c r="AH37" i="67"/>
  <c r="AG37" i="67"/>
  <c r="AF37" i="67"/>
  <c r="AE37" i="67"/>
  <c r="AD37" i="67"/>
  <c r="AC37" i="67"/>
  <c r="AB37" i="67"/>
  <c r="AA37" i="67"/>
  <c r="Z37" i="67"/>
  <c r="Y37" i="67"/>
  <c r="X37" i="67"/>
  <c r="W37" i="67"/>
  <c r="V37" i="67"/>
  <c r="U37" i="67"/>
  <c r="T37" i="67"/>
  <c r="S37" i="67"/>
  <c r="R37" i="67"/>
  <c r="Q37" i="67"/>
  <c r="P37" i="67"/>
  <c r="O37" i="67"/>
  <c r="N37" i="67"/>
  <c r="M37" i="67"/>
  <c r="L37" i="67"/>
  <c r="K37" i="67"/>
  <c r="J37" i="67"/>
  <c r="I37" i="67"/>
  <c r="H37" i="67"/>
  <c r="G37" i="67"/>
  <c r="F37" i="67"/>
  <c r="E37" i="67"/>
  <c r="D37" i="67"/>
  <c r="C37" i="67"/>
  <c r="FN36" i="67"/>
  <c r="FM36" i="67"/>
  <c r="FL36" i="67"/>
  <c r="FK36" i="67"/>
  <c r="FJ36" i="67"/>
  <c r="FI36" i="67"/>
  <c r="FH36" i="67"/>
  <c r="FG36" i="67"/>
  <c r="FF36" i="67"/>
  <c r="FE36" i="67"/>
  <c r="FD36" i="67"/>
  <c r="FC36" i="67"/>
  <c r="FB36" i="67"/>
  <c r="FA36" i="67"/>
  <c r="EZ36" i="67"/>
  <c r="EY36" i="67"/>
  <c r="EX36" i="67"/>
  <c r="EW36" i="67"/>
  <c r="EV36" i="67"/>
  <c r="EU36" i="67"/>
  <c r="ET36" i="67"/>
  <c r="ES36" i="67"/>
  <c r="ER36" i="67"/>
  <c r="EQ36" i="67"/>
  <c r="EP36" i="67"/>
  <c r="EO36" i="67"/>
  <c r="EN36" i="67"/>
  <c r="EM36" i="67"/>
  <c r="EL36" i="67"/>
  <c r="EK36" i="67"/>
  <c r="EJ36" i="67"/>
  <c r="EI36" i="67"/>
  <c r="EH36" i="67"/>
  <c r="EG36" i="67"/>
  <c r="EF36" i="67"/>
  <c r="EE36" i="67"/>
  <c r="ED36" i="67"/>
  <c r="EC36" i="67"/>
  <c r="EB36" i="67"/>
  <c r="EA36" i="67"/>
  <c r="DZ36" i="67"/>
  <c r="DY36" i="67"/>
  <c r="DX36" i="67"/>
  <c r="DW36" i="67"/>
  <c r="DV36" i="67"/>
  <c r="DU36" i="67"/>
  <c r="DT36" i="67"/>
  <c r="DS36" i="67"/>
  <c r="DR36" i="67"/>
  <c r="DQ36" i="67"/>
  <c r="DP36" i="67"/>
  <c r="DO36" i="67"/>
  <c r="DN36" i="67"/>
  <c r="DM36" i="67"/>
  <c r="DL36" i="67"/>
  <c r="DK36" i="67"/>
  <c r="DJ36" i="67"/>
  <c r="DI36" i="67"/>
  <c r="DH36" i="67"/>
  <c r="DG36" i="67"/>
  <c r="DF36" i="67"/>
  <c r="DE36" i="67"/>
  <c r="DD36" i="67"/>
  <c r="DC36" i="67"/>
  <c r="DB36" i="67"/>
  <c r="DA36" i="67"/>
  <c r="CZ36" i="67"/>
  <c r="CY36" i="67"/>
  <c r="CX36" i="67"/>
  <c r="CW36" i="67"/>
  <c r="CV36" i="67"/>
  <c r="CU36" i="67"/>
  <c r="CT36" i="67"/>
  <c r="CS36" i="67"/>
  <c r="CR36" i="67"/>
  <c r="CQ36" i="67"/>
  <c r="CP36" i="67"/>
  <c r="CO36" i="67"/>
  <c r="CN36" i="67"/>
  <c r="CM36" i="67"/>
  <c r="CL36" i="67"/>
  <c r="CK36" i="67"/>
  <c r="CJ36" i="67"/>
  <c r="CI36" i="67"/>
  <c r="CH36" i="67"/>
  <c r="CG36" i="67"/>
  <c r="CF36" i="67"/>
  <c r="CE36" i="67"/>
  <c r="CD36" i="67"/>
  <c r="CC36" i="67"/>
  <c r="CB36" i="67"/>
  <c r="CA36" i="67"/>
  <c r="BZ36" i="67"/>
  <c r="BY36" i="67"/>
  <c r="BX36" i="67"/>
  <c r="BW36" i="67"/>
  <c r="BV36" i="67"/>
  <c r="BU36" i="67"/>
  <c r="BT36" i="67"/>
  <c r="BS36" i="67"/>
  <c r="BR36" i="67"/>
  <c r="BQ36" i="67"/>
  <c r="BP36" i="67"/>
  <c r="BO36" i="67"/>
  <c r="BN36" i="67"/>
  <c r="BM36" i="67"/>
  <c r="BL36" i="67"/>
  <c r="BK36" i="67"/>
  <c r="BJ36" i="67"/>
  <c r="BI36" i="67"/>
  <c r="BH36" i="67"/>
  <c r="BG36" i="67"/>
  <c r="BF36" i="67"/>
  <c r="BE36" i="67"/>
  <c r="BD36" i="67"/>
  <c r="BC36" i="67"/>
  <c r="BB36" i="67"/>
  <c r="BA36" i="67"/>
  <c r="AZ36" i="67"/>
  <c r="AY36" i="67"/>
  <c r="AX36" i="67"/>
  <c r="AW36" i="67"/>
  <c r="AV36" i="67"/>
  <c r="AU36" i="67"/>
  <c r="AT36" i="67"/>
  <c r="AS36" i="67"/>
  <c r="AR36" i="67"/>
  <c r="AQ36" i="67"/>
  <c r="AP36" i="67"/>
  <c r="AO36" i="67"/>
  <c r="AN36" i="67"/>
  <c r="AM36" i="67"/>
  <c r="AL36" i="67"/>
  <c r="AK36" i="67"/>
  <c r="AJ36" i="67"/>
  <c r="AI36" i="67"/>
  <c r="AH36" i="67"/>
  <c r="AG36" i="67"/>
  <c r="AF36" i="67"/>
  <c r="AE36" i="67"/>
  <c r="AD36" i="67"/>
  <c r="AC36" i="67"/>
  <c r="AB36" i="67"/>
  <c r="AA36" i="67"/>
  <c r="Z36" i="67"/>
  <c r="Y36" i="67"/>
  <c r="X36" i="67"/>
  <c r="W36" i="67"/>
  <c r="V36" i="67"/>
  <c r="U36" i="67"/>
  <c r="T36" i="67"/>
  <c r="S36" i="67"/>
  <c r="R36" i="67"/>
  <c r="Q36" i="67"/>
  <c r="P36" i="67"/>
  <c r="O36" i="67"/>
  <c r="N36" i="67"/>
  <c r="M36" i="67"/>
  <c r="L36" i="67"/>
  <c r="K36" i="67"/>
  <c r="J36" i="67"/>
  <c r="I36" i="67"/>
  <c r="H36" i="67"/>
  <c r="G36" i="67"/>
  <c r="F36" i="67"/>
  <c r="E36" i="67"/>
  <c r="D36" i="67"/>
  <c r="C36" i="67"/>
  <c r="FN35" i="67"/>
  <c r="FM35" i="67"/>
  <c r="FL35" i="67"/>
  <c r="FK35" i="67"/>
  <c r="FJ35" i="67"/>
  <c r="FI35" i="67"/>
  <c r="FH35" i="67"/>
  <c r="FG35" i="67"/>
  <c r="FF35" i="67"/>
  <c r="FE35" i="67"/>
  <c r="FD35" i="67"/>
  <c r="FC35" i="67"/>
  <c r="FB35" i="67"/>
  <c r="FA35" i="67"/>
  <c r="EZ35" i="67"/>
  <c r="EY35" i="67"/>
  <c r="EX35" i="67"/>
  <c r="EW35" i="67"/>
  <c r="EV35" i="67"/>
  <c r="EU35" i="67"/>
  <c r="ET35" i="67"/>
  <c r="ES35" i="67"/>
  <c r="ER35" i="67"/>
  <c r="EQ35" i="67"/>
  <c r="EP35" i="67"/>
  <c r="EO35" i="67"/>
  <c r="EN35" i="67"/>
  <c r="EM35" i="67"/>
  <c r="EL35" i="67"/>
  <c r="EK35" i="67"/>
  <c r="EJ35" i="67"/>
  <c r="EI35" i="67"/>
  <c r="EH35" i="67"/>
  <c r="EG35" i="67"/>
  <c r="EF35" i="67"/>
  <c r="EE35" i="67"/>
  <c r="ED35" i="67"/>
  <c r="EC35" i="67"/>
  <c r="EB35" i="67"/>
  <c r="EA35" i="67"/>
  <c r="DZ35" i="67"/>
  <c r="DY35" i="67"/>
  <c r="DX35" i="67"/>
  <c r="DW35" i="67"/>
  <c r="DV35" i="67"/>
  <c r="DU35" i="67"/>
  <c r="DT35" i="67"/>
  <c r="DS35" i="67"/>
  <c r="DR35" i="67"/>
  <c r="DQ35" i="67"/>
  <c r="DP35" i="67"/>
  <c r="DO35" i="67"/>
  <c r="DN35" i="67"/>
  <c r="DM35" i="67"/>
  <c r="DL35" i="67"/>
  <c r="DK35" i="67"/>
  <c r="DJ35" i="67"/>
  <c r="DI35" i="67"/>
  <c r="DH35" i="67"/>
  <c r="DG35" i="67"/>
  <c r="DF35" i="67"/>
  <c r="DE35" i="67"/>
  <c r="DD35" i="67"/>
  <c r="DC35" i="67"/>
  <c r="DB35" i="67"/>
  <c r="DA35" i="67"/>
  <c r="CZ35" i="67"/>
  <c r="CY35" i="67"/>
  <c r="CX35" i="67"/>
  <c r="CW35" i="67"/>
  <c r="CV35" i="67"/>
  <c r="CU35" i="67"/>
  <c r="CT35" i="67"/>
  <c r="CS35" i="67"/>
  <c r="CR35" i="67"/>
  <c r="CQ35" i="67"/>
  <c r="CP35" i="67"/>
  <c r="CO35" i="67"/>
  <c r="CN35" i="67"/>
  <c r="CM35" i="67"/>
  <c r="CL35" i="67"/>
  <c r="CK35" i="67"/>
  <c r="CJ35" i="67"/>
  <c r="CI35" i="67"/>
  <c r="CH35" i="67"/>
  <c r="CG35" i="67"/>
  <c r="CF35" i="67"/>
  <c r="CE35" i="67"/>
  <c r="CD35" i="67"/>
  <c r="CC35" i="67"/>
  <c r="CB35" i="67"/>
  <c r="CA35" i="67"/>
  <c r="BZ35" i="67"/>
  <c r="BY35" i="67"/>
  <c r="BX35" i="67"/>
  <c r="BW35" i="67"/>
  <c r="BV35" i="67"/>
  <c r="BU35" i="67"/>
  <c r="BT35" i="67"/>
  <c r="BS35" i="67"/>
  <c r="BR35" i="67"/>
  <c r="BQ35" i="67"/>
  <c r="BP35" i="67"/>
  <c r="BO35" i="67"/>
  <c r="BN35" i="67"/>
  <c r="BM35" i="67"/>
  <c r="BL35" i="67"/>
  <c r="BK35" i="67"/>
  <c r="BJ35" i="67"/>
  <c r="BI35" i="67"/>
  <c r="BH35" i="67"/>
  <c r="BG35" i="67"/>
  <c r="BF35" i="67"/>
  <c r="BE35" i="67"/>
  <c r="BD35" i="67"/>
  <c r="BC35" i="67"/>
  <c r="BB35" i="67"/>
  <c r="BA35" i="67"/>
  <c r="AZ35" i="67"/>
  <c r="AY35" i="67"/>
  <c r="AX35" i="67"/>
  <c r="AW35" i="67"/>
  <c r="AV35" i="67"/>
  <c r="AU35" i="67"/>
  <c r="AT35" i="67"/>
  <c r="AS35" i="67"/>
  <c r="AR35" i="67"/>
  <c r="AQ35" i="67"/>
  <c r="AP35" i="67"/>
  <c r="AO35" i="67"/>
  <c r="AN35" i="67"/>
  <c r="AM35" i="67"/>
  <c r="AL35" i="67"/>
  <c r="AK35" i="67"/>
  <c r="AJ35" i="67"/>
  <c r="AI35" i="67"/>
  <c r="AH35" i="67"/>
  <c r="AG35" i="67"/>
  <c r="AF35" i="67"/>
  <c r="AE35" i="67"/>
  <c r="AD35" i="67"/>
  <c r="AC35" i="67"/>
  <c r="AB35" i="67"/>
  <c r="AA35" i="67"/>
  <c r="Z35" i="67"/>
  <c r="Y35" i="67"/>
  <c r="X35" i="67"/>
  <c r="W35" i="67"/>
  <c r="V35" i="67"/>
  <c r="U35" i="67"/>
  <c r="T35" i="67"/>
  <c r="S35" i="67"/>
  <c r="R35" i="67"/>
  <c r="Q35" i="67"/>
  <c r="P35" i="67"/>
  <c r="O35" i="67"/>
  <c r="N35" i="67"/>
  <c r="M35" i="67"/>
  <c r="L35" i="67"/>
  <c r="K35" i="67"/>
  <c r="J35" i="67"/>
  <c r="I35" i="67"/>
  <c r="H35" i="67"/>
  <c r="G35" i="67"/>
  <c r="F35" i="67"/>
  <c r="E35" i="67"/>
  <c r="D35" i="67"/>
  <c r="C35" i="67"/>
  <c r="FN34" i="67"/>
  <c r="FM34" i="67"/>
  <c r="FL34" i="67"/>
  <c r="FK34" i="67"/>
  <c r="FJ34" i="67"/>
  <c r="FI34" i="67"/>
  <c r="FH34" i="67"/>
  <c r="FG34" i="67"/>
  <c r="FF34" i="67"/>
  <c r="FE34" i="67"/>
  <c r="FD34" i="67"/>
  <c r="FC34" i="67"/>
  <c r="FB34" i="67"/>
  <c r="FA34" i="67"/>
  <c r="EZ34" i="67"/>
  <c r="EY34" i="67"/>
  <c r="EX34" i="67"/>
  <c r="EW34" i="67"/>
  <c r="EV34" i="67"/>
  <c r="EU34" i="67"/>
  <c r="ET34" i="67"/>
  <c r="ES34" i="67"/>
  <c r="ER34" i="67"/>
  <c r="EQ34" i="67"/>
  <c r="EP34" i="67"/>
  <c r="EO34" i="67"/>
  <c r="EN34" i="67"/>
  <c r="EM34" i="67"/>
  <c r="EL34" i="67"/>
  <c r="EK34" i="67"/>
  <c r="EJ34" i="67"/>
  <c r="EI34" i="67"/>
  <c r="EH34" i="67"/>
  <c r="EG34" i="67"/>
  <c r="EF34" i="67"/>
  <c r="EE34" i="67"/>
  <c r="ED34" i="67"/>
  <c r="EC34" i="67"/>
  <c r="EB34" i="67"/>
  <c r="EA34" i="67"/>
  <c r="DZ34" i="67"/>
  <c r="DY34" i="67"/>
  <c r="DX34" i="67"/>
  <c r="DW34" i="67"/>
  <c r="DV34" i="67"/>
  <c r="DU34" i="67"/>
  <c r="DT34" i="67"/>
  <c r="DS34" i="67"/>
  <c r="DR34" i="67"/>
  <c r="DQ34" i="67"/>
  <c r="DP34" i="67"/>
  <c r="DO34" i="67"/>
  <c r="DN34" i="67"/>
  <c r="DM34" i="67"/>
  <c r="DL34" i="67"/>
  <c r="DK34" i="67"/>
  <c r="DJ34" i="67"/>
  <c r="DI34" i="67"/>
  <c r="DH34" i="67"/>
  <c r="DG34" i="67"/>
  <c r="DF34" i="67"/>
  <c r="DE34" i="67"/>
  <c r="DD34" i="67"/>
  <c r="DC34" i="67"/>
  <c r="DB34" i="67"/>
  <c r="DA34" i="67"/>
  <c r="CZ34" i="67"/>
  <c r="CY34" i="67"/>
  <c r="CX34" i="67"/>
  <c r="CW34" i="67"/>
  <c r="CV34" i="67"/>
  <c r="CU34" i="67"/>
  <c r="CT34" i="67"/>
  <c r="CS34" i="67"/>
  <c r="CR34" i="67"/>
  <c r="CQ34" i="67"/>
  <c r="CP34" i="67"/>
  <c r="CO34" i="67"/>
  <c r="CN34" i="67"/>
  <c r="CM34" i="67"/>
  <c r="CL34" i="67"/>
  <c r="CK34" i="67"/>
  <c r="CJ34" i="67"/>
  <c r="CI34" i="67"/>
  <c r="CH34" i="67"/>
  <c r="CG34" i="67"/>
  <c r="CF34" i="67"/>
  <c r="CE34" i="67"/>
  <c r="CD34" i="67"/>
  <c r="CC34" i="67"/>
  <c r="CB34" i="67"/>
  <c r="CA34" i="67"/>
  <c r="BZ34" i="67"/>
  <c r="BY34" i="67"/>
  <c r="BX34" i="67"/>
  <c r="BW34" i="67"/>
  <c r="BV34" i="67"/>
  <c r="BU34" i="67"/>
  <c r="BT34" i="67"/>
  <c r="BS34" i="67"/>
  <c r="BR34" i="67"/>
  <c r="BQ34" i="67"/>
  <c r="BP34" i="67"/>
  <c r="BO34" i="67"/>
  <c r="BN34" i="67"/>
  <c r="BM34" i="67"/>
  <c r="BL34" i="67"/>
  <c r="BK34" i="67"/>
  <c r="BJ34" i="67"/>
  <c r="BI34" i="67"/>
  <c r="BH34" i="67"/>
  <c r="BG34" i="67"/>
  <c r="BF34" i="67"/>
  <c r="BE34" i="67"/>
  <c r="BD34" i="67"/>
  <c r="BC34" i="67"/>
  <c r="BB34" i="67"/>
  <c r="BA34" i="67"/>
  <c r="AZ34" i="67"/>
  <c r="AY34" i="67"/>
  <c r="AX34" i="67"/>
  <c r="AW34" i="67"/>
  <c r="AV34" i="67"/>
  <c r="AU34" i="67"/>
  <c r="AT34" i="67"/>
  <c r="AS34" i="67"/>
  <c r="AR34" i="67"/>
  <c r="AQ34" i="67"/>
  <c r="AP34" i="67"/>
  <c r="AO34" i="67"/>
  <c r="AN34" i="67"/>
  <c r="AM34" i="67"/>
  <c r="AL34" i="67"/>
  <c r="AK34" i="67"/>
  <c r="AJ34" i="67"/>
  <c r="AI34" i="67"/>
  <c r="AH34" i="67"/>
  <c r="AG34" i="67"/>
  <c r="AF34" i="67"/>
  <c r="AE34" i="67"/>
  <c r="AD34" i="67"/>
  <c r="AC34" i="67"/>
  <c r="AB34" i="67"/>
  <c r="AA34" i="67"/>
  <c r="Z34" i="67"/>
  <c r="Y34" i="67"/>
  <c r="X34" i="67"/>
  <c r="W34" i="67"/>
  <c r="V34" i="67"/>
  <c r="U34" i="67"/>
  <c r="T34" i="67"/>
  <c r="S34" i="67"/>
  <c r="R34" i="67"/>
  <c r="Q34" i="67"/>
  <c r="P34" i="67"/>
  <c r="O34" i="67"/>
  <c r="N34" i="67"/>
  <c r="M34" i="67"/>
  <c r="L34" i="67"/>
  <c r="K34" i="67"/>
  <c r="J34" i="67"/>
  <c r="I34" i="67"/>
  <c r="H34" i="67"/>
  <c r="G34" i="67"/>
  <c r="F34" i="67"/>
  <c r="E34" i="67"/>
  <c r="D34" i="67"/>
  <c r="C34" i="67"/>
  <c r="FN43" i="66"/>
  <c r="FM43" i="66"/>
  <c r="FL43" i="66"/>
  <c r="FK43" i="66"/>
  <c r="FJ43" i="66"/>
  <c r="FI43" i="66"/>
  <c r="FH43" i="66"/>
  <c r="FG43" i="66"/>
  <c r="FF43" i="66"/>
  <c r="FE43" i="66"/>
  <c r="FD43" i="66"/>
  <c r="FC43" i="66"/>
  <c r="FB43" i="66"/>
  <c r="FA43" i="66"/>
  <c r="EZ43" i="66"/>
  <c r="EY43" i="66"/>
  <c r="EX43" i="66"/>
  <c r="EW43" i="66"/>
  <c r="EV43" i="66"/>
  <c r="EU43" i="66"/>
  <c r="ET43" i="66"/>
  <c r="ES43" i="66"/>
  <c r="ER43" i="66"/>
  <c r="EQ43" i="66"/>
  <c r="EP43" i="66"/>
  <c r="EO43" i="66"/>
  <c r="EN43" i="66"/>
  <c r="EM43" i="66"/>
  <c r="EL43" i="66"/>
  <c r="EK43" i="66"/>
  <c r="EJ43" i="66"/>
  <c r="EI43" i="66"/>
  <c r="EH43" i="66"/>
  <c r="EG43" i="66"/>
  <c r="EF43" i="66"/>
  <c r="EE43" i="66"/>
  <c r="ED43" i="66"/>
  <c r="EC43" i="66"/>
  <c r="EB43" i="66"/>
  <c r="EA43" i="66"/>
  <c r="DZ43" i="66"/>
  <c r="DY43" i="66"/>
  <c r="DX43" i="66"/>
  <c r="DW43" i="66"/>
  <c r="DV43" i="66"/>
  <c r="DU43" i="66"/>
  <c r="DT43" i="66"/>
  <c r="DS43" i="66"/>
  <c r="DR43" i="66"/>
  <c r="DQ43" i="66"/>
  <c r="DP43" i="66"/>
  <c r="DO43" i="66"/>
  <c r="DN43" i="66"/>
  <c r="DM43" i="66"/>
  <c r="DL43" i="66"/>
  <c r="DK43" i="66"/>
  <c r="DJ43" i="66"/>
  <c r="DI43" i="66"/>
  <c r="DH43" i="66"/>
  <c r="DG43" i="66"/>
  <c r="DF43" i="66"/>
  <c r="DE43" i="66"/>
  <c r="DD43" i="66"/>
  <c r="DC43" i="66"/>
  <c r="DB43" i="66"/>
  <c r="DA43" i="66"/>
  <c r="CZ43" i="66"/>
  <c r="CY43" i="66"/>
  <c r="CX43" i="66"/>
  <c r="CW43" i="66"/>
  <c r="CV43" i="66"/>
  <c r="CU43" i="66"/>
  <c r="CT43" i="66"/>
  <c r="CS43" i="66"/>
  <c r="CR43" i="66"/>
  <c r="CQ43" i="66"/>
  <c r="CP43" i="66"/>
  <c r="CO43" i="66"/>
  <c r="CN43" i="66"/>
  <c r="CM43" i="66"/>
  <c r="CL43" i="66"/>
  <c r="CK43" i="66"/>
  <c r="CJ43" i="66"/>
  <c r="CI43" i="66"/>
  <c r="CH43" i="66"/>
  <c r="CG43" i="66"/>
  <c r="CF43" i="66"/>
  <c r="CE43" i="66"/>
  <c r="CD43" i="66"/>
  <c r="CC43" i="66"/>
  <c r="CB43" i="66"/>
  <c r="CA43" i="66"/>
  <c r="BZ43" i="66"/>
  <c r="BY43" i="66"/>
  <c r="BX43" i="66"/>
  <c r="BW43" i="66"/>
  <c r="BV43" i="66"/>
  <c r="BU43" i="66"/>
  <c r="BT43" i="66"/>
  <c r="BS43" i="66"/>
  <c r="BR43" i="66"/>
  <c r="BQ43" i="66"/>
  <c r="BP43" i="66"/>
  <c r="BO43" i="66"/>
  <c r="BN43" i="66"/>
  <c r="BM43" i="66"/>
  <c r="BL43" i="66"/>
  <c r="BK43" i="66"/>
  <c r="BJ43" i="66"/>
  <c r="BI43" i="66"/>
  <c r="BH43" i="66"/>
  <c r="BG43" i="66"/>
  <c r="BF43" i="66"/>
  <c r="BE43" i="66"/>
  <c r="BD43" i="66"/>
  <c r="BC43" i="66"/>
  <c r="BB43" i="66"/>
  <c r="BA43" i="66"/>
  <c r="AZ43" i="66"/>
  <c r="AY43" i="66"/>
  <c r="AX43" i="66"/>
  <c r="AW43" i="66"/>
  <c r="AV43" i="66"/>
  <c r="AU43" i="66"/>
  <c r="AT43" i="66"/>
  <c r="AS43" i="66"/>
  <c r="AR43" i="66"/>
  <c r="AQ43" i="66"/>
  <c r="AP43" i="66"/>
  <c r="AO43" i="66"/>
  <c r="AN43" i="66"/>
  <c r="AM43" i="66"/>
  <c r="AL43" i="66"/>
  <c r="AK43" i="66"/>
  <c r="AJ43" i="66"/>
  <c r="AI43" i="66"/>
  <c r="AH43" i="66"/>
  <c r="AG43" i="66"/>
  <c r="AF43" i="66"/>
  <c r="AE43" i="66"/>
  <c r="AD43" i="66"/>
  <c r="AC43" i="66"/>
  <c r="AB43" i="66"/>
  <c r="AA43" i="66"/>
  <c r="Z43" i="66"/>
  <c r="Y43" i="66"/>
  <c r="X43" i="66"/>
  <c r="W43" i="66"/>
  <c r="V43" i="66"/>
  <c r="U43" i="66"/>
  <c r="T43" i="66"/>
  <c r="S43" i="66"/>
  <c r="R43" i="66"/>
  <c r="Q43" i="66"/>
  <c r="P43" i="66"/>
  <c r="O43" i="66"/>
  <c r="N43" i="66"/>
  <c r="M43" i="66"/>
  <c r="L43" i="66"/>
  <c r="K43" i="66"/>
  <c r="J43" i="66"/>
  <c r="I43" i="66"/>
  <c r="H43" i="66"/>
  <c r="G43" i="66"/>
  <c r="F43" i="66"/>
  <c r="E43" i="66"/>
  <c r="D43" i="66"/>
  <c r="C43" i="66"/>
  <c r="FN42" i="66"/>
  <c r="FM42" i="66"/>
  <c r="FL42" i="66"/>
  <c r="FK42" i="66"/>
  <c r="FJ42" i="66"/>
  <c r="FI42" i="66"/>
  <c r="FH42" i="66"/>
  <c r="FG42" i="66"/>
  <c r="FF42" i="66"/>
  <c r="FE42" i="66"/>
  <c r="FD42" i="66"/>
  <c r="FC42" i="66"/>
  <c r="FB42" i="66"/>
  <c r="FA42" i="66"/>
  <c r="EZ42" i="66"/>
  <c r="EY42" i="66"/>
  <c r="EX42" i="66"/>
  <c r="EW42" i="66"/>
  <c r="EV42" i="66"/>
  <c r="EU42" i="66"/>
  <c r="ET42" i="66"/>
  <c r="ES42" i="66"/>
  <c r="ER42" i="66"/>
  <c r="EQ42" i="66"/>
  <c r="EP42" i="66"/>
  <c r="EO42" i="66"/>
  <c r="EN42" i="66"/>
  <c r="EM42" i="66"/>
  <c r="EL42" i="66"/>
  <c r="EK42" i="66"/>
  <c r="EJ42" i="66"/>
  <c r="EI42" i="66"/>
  <c r="EH42" i="66"/>
  <c r="EG42" i="66"/>
  <c r="EF42" i="66"/>
  <c r="EE42" i="66"/>
  <c r="ED42" i="66"/>
  <c r="EC42" i="66"/>
  <c r="EB42" i="66"/>
  <c r="EA42" i="66"/>
  <c r="DZ42" i="66"/>
  <c r="DY42" i="66"/>
  <c r="DX42" i="66"/>
  <c r="DW42" i="66"/>
  <c r="DV42" i="66"/>
  <c r="DU42" i="66"/>
  <c r="DT42" i="66"/>
  <c r="DS42" i="66"/>
  <c r="DR42" i="66"/>
  <c r="DQ42" i="66"/>
  <c r="DP42" i="66"/>
  <c r="DO42" i="66"/>
  <c r="DN42" i="66"/>
  <c r="DM42" i="66"/>
  <c r="DL42" i="66"/>
  <c r="DK42" i="66"/>
  <c r="DJ42" i="66"/>
  <c r="DI42" i="66"/>
  <c r="DH42" i="66"/>
  <c r="DG42" i="66"/>
  <c r="DF42" i="66"/>
  <c r="DE42" i="66"/>
  <c r="DD42" i="66"/>
  <c r="DC42" i="66"/>
  <c r="DB42" i="66"/>
  <c r="DA42" i="66"/>
  <c r="CZ42" i="66"/>
  <c r="CY42" i="66"/>
  <c r="CX42" i="66"/>
  <c r="CW42" i="66"/>
  <c r="CV42" i="66"/>
  <c r="CU42" i="66"/>
  <c r="CT42" i="66"/>
  <c r="CS42" i="66"/>
  <c r="CR42" i="66"/>
  <c r="CQ42" i="66"/>
  <c r="CP42" i="66"/>
  <c r="CO42" i="66"/>
  <c r="CN42" i="66"/>
  <c r="CM42" i="66"/>
  <c r="CL42" i="66"/>
  <c r="CK42" i="66"/>
  <c r="CJ42" i="66"/>
  <c r="CI42" i="66"/>
  <c r="CH42" i="66"/>
  <c r="CG42" i="66"/>
  <c r="CF42" i="66"/>
  <c r="CE42" i="66"/>
  <c r="CD42" i="66"/>
  <c r="CC42" i="66"/>
  <c r="CB42" i="66"/>
  <c r="CA42" i="66"/>
  <c r="BZ42" i="66"/>
  <c r="BY42" i="66"/>
  <c r="BX42" i="66"/>
  <c r="BW42" i="66"/>
  <c r="BV42" i="66"/>
  <c r="BU42" i="66"/>
  <c r="BT42" i="66"/>
  <c r="BS42" i="66"/>
  <c r="BR42" i="66"/>
  <c r="BQ42" i="66"/>
  <c r="BP42" i="66"/>
  <c r="BO42" i="66"/>
  <c r="BN42" i="66"/>
  <c r="BM42" i="66"/>
  <c r="BL42" i="66"/>
  <c r="BK42" i="66"/>
  <c r="BJ42" i="66"/>
  <c r="BI42" i="66"/>
  <c r="BH42" i="66"/>
  <c r="BG42" i="66"/>
  <c r="BF42" i="66"/>
  <c r="BE42" i="66"/>
  <c r="BD42" i="66"/>
  <c r="BC42" i="66"/>
  <c r="BB42" i="66"/>
  <c r="BA42" i="66"/>
  <c r="AZ42" i="66"/>
  <c r="AY42" i="66"/>
  <c r="AX42" i="66"/>
  <c r="AW42" i="66"/>
  <c r="AV42" i="66"/>
  <c r="AU42" i="66"/>
  <c r="AT42" i="66"/>
  <c r="AS42" i="66"/>
  <c r="AR42" i="66"/>
  <c r="AQ42" i="66"/>
  <c r="AP42" i="66"/>
  <c r="AO42" i="66"/>
  <c r="AN42" i="66"/>
  <c r="AM42" i="66"/>
  <c r="AL42" i="66"/>
  <c r="AK42" i="66"/>
  <c r="AJ42" i="66"/>
  <c r="AI42" i="66"/>
  <c r="AH42" i="66"/>
  <c r="AG42" i="66"/>
  <c r="AF42" i="66"/>
  <c r="AE42" i="66"/>
  <c r="AD42" i="66"/>
  <c r="AC42" i="66"/>
  <c r="AB42" i="66"/>
  <c r="AA42" i="66"/>
  <c r="Z42" i="66"/>
  <c r="Y42" i="66"/>
  <c r="X42" i="66"/>
  <c r="W42" i="66"/>
  <c r="V42" i="66"/>
  <c r="U42" i="66"/>
  <c r="T42" i="66"/>
  <c r="S42" i="66"/>
  <c r="R42" i="66"/>
  <c r="Q42" i="66"/>
  <c r="P42" i="66"/>
  <c r="O42" i="66"/>
  <c r="N42" i="66"/>
  <c r="M42" i="66"/>
  <c r="L42" i="66"/>
  <c r="K42" i="66"/>
  <c r="J42" i="66"/>
  <c r="I42" i="66"/>
  <c r="H42" i="66"/>
  <c r="G42" i="66"/>
  <c r="F42" i="66"/>
  <c r="E42" i="66"/>
  <c r="D42" i="66"/>
  <c r="C42" i="66"/>
  <c r="FN41" i="66"/>
  <c r="FM41" i="66"/>
  <c r="FL41" i="66"/>
  <c r="FK41" i="66"/>
  <c r="FJ41" i="66"/>
  <c r="FI41" i="66"/>
  <c r="FH41" i="66"/>
  <c r="FG41" i="66"/>
  <c r="FF41" i="66"/>
  <c r="FE41" i="66"/>
  <c r="FD41" i="66"/>
  <c r="FC41" i="66"/>
  <c r="FB41" i="66"/>
  <c r="FA41" i="66"/>
  <c r="EZ41" i="66"/>
  <c r="EY41" i="66"/>
  <c r="EX41" i="66"/>
  <c r="EW41" i="66"/>
  <c r="EV41" i="66"/>
  <c r="EU41" i="66"/>
  <c r="ET41" i="66"/>
  <c r="ES41" i="66"/>
  <c r="ER41" i="66"/>
  <c r="EQ41" i="66"/>
  <c r="EP41" i="66"/>
  <c r="EO41" i="66"/>
  <c r="EN41" i="66"/>
  <c r="EM41" i="66"/>
  <c r="EL41" i="66"/>
  <c r="EK41" i="66"/>
  <c r="EJ41" i="66"/>
  <c r="EI41" i="66"/>
  <c r="EH41" i="66"/>
  <c r="EG41" i="66"/>
  <c r="EF41" i="66"/>
  <c r="EE41" i="66"/>
  <c r="ED41" i="66"/>
  <c r="EC41" i="66"/>
  <c r="EB41" i="66"/>
  <c r="EA41" i="66"/>
  <c r="DZ41" i="66"/>
  <c r="DY41" i="66"/>
  <c r="DX41" i="66"/>
  <c r="DW41" i="66"/>
  <c r="DV41" i="66"/>
  <c r="DU41" i="66"/>
  <c r="DT41" i="66"/>
  <c r="DS41" i="66"/>
  <c r="DR41" i="66"/>
  <c r="DQ41" i="66"/>
  <c r="DP41" i="66"/>
  <c r="DO41" i="66"/>
  <c r="DN41" i="66"/>
  <c r="DM41" i="66"/>
  <c r="DL41" i="66"/>
  <c r="DK41" i="66"/>
  <c r="DJ41" i="66"/>
  <c r="DI41" i="66"/>
  <c r="DH41" i="66"/>
  <c r="DG41" i="66"/>
  <c r="DF41" i="66"/>
  <c r="DE41" i="66"/>
  <c r="DD41" i="66"/>
  <c r="DC41" i="66"/>
  <c r="DB41" i="66"/>
  <c r="DA41" i="66"/>
  <c r="CZ41" i="66"/>
  <c r="CY41" i="66"/>
  <c r="CX41" i="66"/>
  <c r="CW41" i="66"/>
  <c r="CV41" i="66"/>
  <c r="CU41" i="66"/>
  <c r="CT41" i="66"/>
  <c r="CS41" i="66"/>
  <c r="CR41" i="66"/>
  <c r="CQ41" i="66"/>
  <c r="CP41" i="66"/>
  <c r="CO41" i="66"/>
  <c r="CN41" i="66"/>
  <c r="CM41" i="66"/>
  <c r="CL41" i="66"/>
  <c r="CK41" i="66"/>
  <c r="CJ41" i="66"/>
  <c r="CI41" i="66"/>
  <c r="CH41" i="66"/>
  <c r="CG41" i="66"/>
  <c r="CF41" i="66"/>
  <c r="CE41" i="66"/>
  <c r="CD41" i="66"/>
  <c r="CC41" i="66"/>
  <c r="CB41" i="66"/>
  <c r="CA41" i="66"/>
  <c r="BZ41" i="66"/>
  <c r="BY41" i="66"/>
  <c r="BX41" i="66"/>
  <c r="BW41" i="66"/>
  <c r="BV41" i="66"/>
  <c r="BU41" i="66"/>
  <c r="BT41" i="66"/>
  <c r="BS41" i="66"/>
  <c r="BR41" i="66"/>
  <c r="BQ41" i="66"/>
  <c r="BP41" i="66"/>
  <c r="BO41" i="66"/>
  <c r="BN41" i="66"/>
  <c r="BM41" i="66"/>
  <c r="BL41" i="66"/>
  <c r="BK41" i="66"/>
  <c r="BJ41" i="66"/>
  <c r="BI41" i="66"/>
  <c r="BH41" i="66"/>
  <c r="BG41" i="66"/>
  <c r="BF41" i="66"/>
  <c r="BE41" i="66"/>
  <c r="BD41" i="66"/>
  <c r="BC41" i="66"/>
  <c r="BB41" i="66"/>
  <c r="BA41" i="66"/>
  <c r="AZ41" i="66"/>
  <c r="AY41" i="66"/>
  <c r="AX41" i="66"/>
  <c r="AW41" i="66"/>
  <c r="AV41" i="66"/>
  <c r="AU41" i="66"/>
  <c r="AT41" i="66"/>
  <c r="AS41" i="66"/>
  <c r="AR41" i="66"/>
  <c r="AQ41" i="66"/>
  <c r="AP41" i="66"/>
  <c r="AO41" i="66"/>
  <c r="AN41" i="66"/>
  <c r="AM41" i="66"/>
  <c r="AL41" i="66"/>
  <c r="AK41" i="66"/>
  <c r="AJ41" i="66"/>
  <c r="AI41" i="66"/>
  <c r="AH41" i="66"/>
  <c r="AG41" i="66"/>
  <c r="AF41" i="66"/>
  <c r="AE41" i="66"/>
  <c r="AD41" i="66"/>
  <c r="AC41" i="66"/>
  <c r="AB41" i="66"/>
  <c r="AA41" i="66"/>
  <c r="Z41" i="66"/>
  <c r="Y41" i="66"/>
  <c r="X41" i="66"/>
  <c r="W41" i="66"/>
  <c r="V41" i="66"/>
  <c r="U41" i="66"/>
  <c r="T41" i="66"/>
  <c r="S41" i="66"/>
  <c r="R41" i="66"/>
  <c r="Q41" i="66"/>
  <c r="P41" i="66"/>
  <c r="O41" i="66"/>
  <c r="N41" i="66"/>
  <c r="M41" i="66"/>
  <c r="L41" i="66"/>
  <c r="K41" i="66"/>
  <c r="J41" i="66"/>
  <c r="I41" i="66"/>
  <c r="H41" i="66"/>
  <c r="G41" i="66"/>
  <c r="F41" i="66"/>
  <c r="E41" i="66"/>
  <c r="D41" i="66"/>
  <c r="C41" i="66"/>
  <c r="FN40" i="66"/>
  <c r="FM40" i="66"/>
  <c r="FL40" i="66"/>
  <c r="FK40" i="66"/>
  <c r="FJ40" i="66"/>
  <c r="FI40" i="66"/>
  <c r="FH40" i="66"/>
  <c r="FG40" i="66"/>
  <c r="FF40" i="66"/>
  <c r="FE40" i="66"/>
  <c r="FD40" i="66"/>
  <c r="FC40" i="66"/>
  <c r="FB40" i="66"/>
  <c r="FA40" i="66"/>
  <c r="EZ40" i="66"/>
  <c r="EY40" i="66"/>
  <c r="EX40" i="66"/>
  <c r="EW40" i="66"/>
  <c r="EV40" i="66"/>
  <c r="EU40" i="66"/>
  <c r="ET40" i="66"/>
  <c r="ES40" i="66"/>
  <c r="ER40" i="66"/>
  <c r="EQ40" i="66"/>
  <c r="EP40" i="66"/>
  <c r="EO40" i="66"/>
  <c r="EN40" i="66"/>
  <c r="EM40" i="66"/>
  <c r="EL40" i="66"/>
  <c r="EK40" i="66"/>
  <c r="EJ40" i="66"/>
  <c r="EI40" i="66"/>
  <c r="EH40" i="66"/>
  <c r="EG40" i="66"/>
  <c r="EF40" i="66"/>
  <c r="EE40" i="66"/>
  <c r="ED40" i="66"/>
  <c r="EC40" i="66"/>
  <c r="EB40" i="66"/>
  <c r="EA40" i="66"/>
  <c r="DZ40" i="66"/>
  <c r="DY40" i="66"/>
  <c r="DX40" i="66"/>
  <c r="DW40" i="66"/>
  <c r="DV40" i="66"/>
  <c r="DU40" i="66"/>
  <c r="DT40" i="66"/>
  <c r="DS40" i="66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FN39" i="66"/>
  <c r="FM39" i="66"/>
  <c r="FL39" i="66"/>
  <c r="FK39" i="66"/>
  <c r="FJ39" i="66"/>
  <c r="FI39" i="66"/>
  <c r="FH39" i="66"/>
  <c r="FG39" i="66"/>
  <c r="FF39" i="66"/>
  <c r="FE39" i="66"/>
  <c r="FD39" i="66"/>
  <c r="FC39" i="66"/>
  <c r="FB39" i="66"/>
  <c r="FA39" i="66"/>
  <c r="EZ39" i="66"/>
  <c r="EY39" i="66"/>
  <c r="EX39" i="66"/>
  <c r="EW39" i="66"/>
  <c r="EV39" i="66"/>
  <c r="EU39" i="66"/>
  <c r="ET39" i="66"/>
  <c r="ES39" i="66"/>
  <c r="ER39" i="66"/>
  <c r="EQ39" i="66"/>
  <c r="EP39" i="66"/>
  <c r="EO39" i="66"/>
  <c r="EN39" i="66"/>
  <c r="EM39" i="66"/>
  <c r="EL39" i="66"/>
  <c r="EK39" i="66"/>
  <c r="EJ39" i="66"/>
  <c r="EI39" i="66"/>
  <c r="EH39" i="66"/>
  <c r="EG39" i="66"/>
  <c r="EF39" i="66"/>
  <c r="EE39" i="66"/>
  <c r="ED39" i="66"/>
  <c r="EC39" i="66"/>
  <c r="EB39" i="66"/>
  <c r="EA39" i="66"/>
  <c r="DZ39" i="66"/>
  <c r="DY39" i="66"/>
  <c r="DX39" i="66"/>
  <c r="DW39" i="66"/>
  <c r="DV39" i="66"/>
  <c r="DU39" i="66"/>
  <c r="DT39" i="66"/>
  <c r="DS39" i="66"/>
  <c r="DR39" i="66"/>
  <c r="DQ39" i="66"/>
  <c r="DP39" i="66"/>
  <c r="DO39" i="66"/>
  <c r="DN39" i="66"/>
  <c r="DM39" i="66"/>
  <c r="DL39" i="66"/>
  <c r="DK39" i="66"/>
  <c r="DJ39" i="66"/>
  <c r="DI39" i="66"/>
  <c r="DH39" i="66"/>
  <c r="DG39" i="66"/>
  <c r="DF39" i="66"/>
  <c r="DE39" i="66"/>
  <c r="DD39" i="66"/>
  <c r="DC39" i="66"/>
  <c r="DB39" i="66"/>
  <c r="DA39" i="66"/>
  <c r="CZ39" i="66"/>
  <c r="CY39" i="66"/>
  <c r="CX39" i="66"/>
  <c r="CW39" i="66"/>
  <c r="CV39" i="66"/>
  <c r="CU39" i="66"/>
  <c r="CT39" i="66"/>
  <c r="CS39" i="66"/>
  <c r="CR39" i="66"/>
  <c r="CQ39" i="66"/>
  <c r="CP39" i="66"/>
  <c r="CO39" i="66"/>
  <c r="CN39" i="66"/>
  <c r="CM39" i="66"/>
  <c r="CL39" i="66"/>
  <c r="CK39" i="66"/>
  <c r="CJ39" i="66"/>
  <c r="CI39" i="66"/>
  <c r="CH39" i="66"/>
  <c r="CG39" i="66"/>
  <c r="CF39" i="66"/>
  <c r="CE39" i="66"/>
  <c r="CD39" i="66"/>
  <c r="CC39" i="66"/>
  <c r="CB39" i="66"/>
  <c r="CA39" i="66"/>
  <c r="BZ39" i="66"/>
  <c r="BY39" i="66"/>
  <c r="BX39" i="66"/>
  <c r="BW39" i="66"/>
  <c r="BV39" i="66"/>
  <c r="BU39" i="66"/>
  <c r="BT39" i="66"/>
  <c r="BS39" i="66"/>
  <c r="BR39" i="66"/>
  <c r="BQ39" i="66"/>
  <c r="BP39" i="66"/>
  <c r="BO39" i="66"/>
  <c r="BN39" i="66"/>
  <c r="BM39" i="66"/>
  <c r="BL39" i="66"/>
  <c r="BK39" i="66"/>
  <c r="BJ39" i="66"/>
  <c r="BI39" i="66"/>
  <c r="BH39" i="66"/>
  <c r="BG39" i="66"/>
  <c r="BF39" i="66"/>
  <c r="BE39" i="66"/>
  <c r="BD39" i="66"/>
  <c r="BC39" i="66"/>
  <c r="BB39" i="66"/>
  <c r="BA39" i="66"/>
  <c r="AZ39" i="66"/>
  <c r="AY39" i="66"/>
  <c r="AX39" i="66"/>
  <c r="AW39" i="66"/>
  <c r="AV39" i="66"/>
  <c r="AU39" i="66"/>
  <c r="AT39" i="66"/>
  <c r="AS39" i="66"/>
  <c r="AR39" i="66"/>
  <c r="AQ39" i="66"/>
  <c r="AP39" i="66"/>
  <c r="AO39" i="66"/>
  <c r="AN39" i="66"/>
  <c r="AM39" i="66"/>
  <c r="AL39" i="66"/>
  <c r="AK39" i="66"/>
  <c r="AJ39" i="66"/>
  <c r="AI39" i="66"/>
  <c r="AH39" i="66"/>
  <c r="AG39" i="66"/>
  <c r="AF39" i="66"/>
  <c r="AE39" i="66"/>
  <c r="AD39" i="66"/>
  <c r="AC39" i="66"/>
  <c r="AB39" i="66"/>
  <c r="AA39" i="66"/>
  <c r="Z39" i="66"/>
  <c r="Y39" i="66"/>
  <c r="X39" i="66"/>
  <c r="W39" i="66"/>
  <c r="V39" i="66"/>
  <c r="U39" i="66"/>
  <c r="T39" i="66"/>
  <c r="S39" i="66"/>
  <c r="R39" i="66"/>
  <c r="Q39" i="66"/>
  <c r="P39" i="66"/>
  <c r="O39" i="66"/>
  <c r="N39" i="66"/>
  <c r="M39" i="66"/>
  <c r="L39" i="66"/>
  <c r="K39" i="66"/>
  <c r="J39" i="66"/>
  <c r="I39" i="66"/>
  <c r="H39" i="66"/>
  <c r="G39" i="66"/>
  <c r="F39" i="66"/>
  <c r="E39" i="66"/>
  <c r="D39" i="66"/>
  <c r="C39" i="66"/>
  <c r="FN38" i="66"/>
  <c r="FM38" i="66"/>
  <c r="FL38" i="66"/>
  <c r="FK38" i="66"/>
  <c r="FJ38" i="66"/>
  <c r="FI38" i="66"/>
  <c r="FH38" i="66"/>
  <c r="FG38" i="66"/>
  <c r="FF38" i="66"/>
  <c r="FE38" i="66"/>
  <c r="FD38" i="66"/>
  <c r="FC38" i="66"/>
  <c r="FB38" i="66"/>
  <c r="FA38" i="66"/>
  <c r="EZ38" i="66"/>
  <c r="EY38" i="66"/>
  <c r="EX38" i="66"/>
  <c r="EW38" i="66"/>
  <c r="EV38" i="66"/>
  <c r="EU38" i="66"/>
  <c r="ET38" i="66"/>
  <c r="ES38" i="66"/>
  <c r="ER38" i="66"/>
  <c r="EQ38" i="66"/>
  <c r="EP38" i="66"/>
  <c r="EO38" i="66"/>
  <c r="EN38" i="66"/>
  <c r="EM38" i="66"/>
  <c r="EL38" i="66"/>
  <c r="EK38" i="66"/>
  <c r="EJ38" i="66"/>
  <c r="EI38" i="66"/>
  <c r="EH38" i="66"/>
  <c r="EG38" i="66"/>
  <c r="EF38" i="66"/>
  <c r="EE38" i="66"/>
  <c r="ED38" i="66"/>
  <c r="EC38" i="66"/>
  <c r="EB38" i="66"/>
  <c r="EA38" i="66"/>
  <c r="DZ38" i="66"/>
  <c r="DY38" i="66"/>
  <c r="DX38" i="66"/>
  <c r="DW38" i="66"/>
  <c r="DV38" i="66"/>
  <c r="DU38" i="66"/>
  <c r="DT38" i="66"/>
  <c r="DS38" i="66"/>
  <c r="DR38" i="66"/>
  <c r="DQ38" i="66"/>
  <c r="DP38" i="66"/>
  <c r="DO38" i="66"/>
  <c r="DN38" i="66"/>
  <c r="DM38" i="66"/>
  <c r="DL38" i="66"/>
  <c r="DK38" i="66"/>
  <c r="DJ38" i="66"/>
  <c r="DI38" i="66"/>
  <c r="DH38" i="66"/>
  <c r="DG38" i="66"/>
  <c r="DF38" i="66"/>
  <c r="DE38" i="66"/>
  <c r="DD38" i="66"/>
  <c r="DC38" i="66"/>
  <c r="DB38" i="66"/>
  <c r="DA38" i="66"/>
  <c r="CZ38" i="66"/>
  <c r="CY38" i="66"/>
  <c r="CX38" i="66"/>
  <c r="CW38" i="66"/>
  <c r="CV38" i="66"/>
  <c r="CU38" i="66"/>
  <c r="CT38" i="66"/>
  <c r="CS38" i="66"/>
  <c r="CR38" i="66"/>
  <c r="CQ38" i="66"/>
  <c r="CP38" i="66"/>
  <c r="CO38" i="66"/>
  <c r="CN38" i="66"/>
  <c r="CM38" i="66"/>
  <c r="CL38" i="66"/>
  <c r="CK38" i="66"/>
  <c r="CJ38" i="66"/>
  <c r="CI38" i="66"/>
  <c r="CH38" i="66"/>
  <c r="CG38" i="66"/>
  <c r="CF38" i="66"/>
  <c r="CE38" i="66"/>
  <c r="CD38" i="66"/>
  <c r="CC38" i="66"/>
  <c r="CB38" i="66"/>
  <c r="CA38" i="66"/>
  <c r="BZ38" i="66"/>
  <c r="BY38" i="66"/>
  <c r="BX38" i="66"/>
  <c r="BW38" i="66"/>
  <c r="BV38" i="66"/>
  <c r="BU38" i="66"/>
  <c r="BT38" i="66"/>
  <c r="BS38" i="66"/>
  <c r="BR38" i="66"/>
  <c r="BQ38" i="66"/>
  <c r="BP38" i="66"/>
  <c r="BO38" i="66"/>
  <c r="BN38" i="66"/>
  <c r="BM38" i="66"/>
  <c r="BL38" i="66"/>
  <c r="BK38" i="66"/>
  <c r="BJ38" i="66"/>
  <c r="BI38" i="66"/>
  <c r="BH38" i="66"/>
  <c r="BG38" i="66"/>
  <c r="BF38" i="66"/>
  <c r="BE38" i="66"/>
  <c r="BD38" i="66"/>
  <c r="BC38" i="66"/>
  <c r="BB38" i="66"/>
  <c r="BA38" i="66"/>
  <c r="AZ38" i="66"/>
  <c r="AY38" i="66"/>
  <c r="AX38" i="66"/>
  <c r="AW38" i="66"/>
  <c r="AV38" i="66"/>
  <c r="AU38" i="66"/>
  <c r="AT38" i="66"/>
  <c r="AS38" i="66"/>
  <c r="AR38" i="66"/>
  <c r="AQ38" i="66"/>
  <c r="AP38" i="66"/>
  <c r="AO38" i="66"/>
  <c r="AN38" i="66"/>
  <c r="AM38" i="66"/>
  <c r="AL38" i="66"/>
  <c r="AK38" i="66"/>
  <c r="AJ38" i="66"/>
  <c r="AI38" i="66"/>
  <c r="AH38" i="66"/>
  <c r="AG38" i="66"/>
  <c r="AF38" i="66"/>
  <c r="AE38" i="66"/>
  <c r="AD38" i="66"/>
  <c r="AC38" i="66"/>
  <c r="AB38" i="66"/>
  <c r="AA38" i="66"/>
  <c r="Z38" i="66"/>
  <c r="Y38" i="66"/>
  <c r="X38" i="66"/>
  <c r="W38" i="66"/>
  <c r="V38" i="66"/>
  <c r="U38" i="66"/>
  <c r="T38" i="66"/>
  <c r="S38" i="66"/>
  <c r="R38" i="66"/>
  <c r="Q38" i="66"/>
  <c r="P38" i="66"/>
  <c r="O38" i="66"/>
  <c r="N38" i="66"/>
  <c r="M38" i="66"/>
  <c r="L38" i="66"/>
  <c r="K38" i="66"/>
  <c r="J38" i="66"/>
  <c r="I38" i="66"/>
  <c r="H38" i="66"/>
  <c r="G38" i="66"/>
  <c r="F38" i="66"/>
  <c r="E38" i="66"/>
  <c r="D38" i="66"/>
  <c r="C38" i="66"/>
  <c r="FN37" i="66"/>
  <c r="FM37" i="66"/>
  <c r="FL37" i="66"/>
  <c r="FK37" i="66"/>
  <c r="FJ37" i="66"/>
  <c r="FI37" i="66"/>
  <c r="FH37" i="66"/>
  <c r="FG37" i="66"/>
  <c r="FF37" i="66"/>
  <c r="FE37" i="66"/>
  <c r="FD37" i="66"/>
  <c r="FC37" i="66"/>
  <c r="FB37" i="66"/>
  <c r="FA37" i="66"/>
  <c r="EZ37" i="66"/>
  <c r="EY37" i="66"/>
  <c r="EX37" i="66"/>
  <c r="EW37" i="66"/>
  <c r="EV37" i="66"/>
  <c r="EU37" i="66"/>
  <c r="ET37" i="66"/>
  <c r="ES37" i="66"/>
  <c r="ER37" i="66"/>
  <c r="EQ37" i="66"/>
  <c r="EP37" i="66"/>
  <c r="EO37" i="66"/>
  <c r="EN37" i="66"/>
  <c r="EM37" i="66"/>
  <c r="EL37" i="66"/>
  <c r="EK37" i="66"/>
  <c r="EJ37" i="66"/>
  <c r="EI37" i="66"/>
  <c r="EH37" i="66"/>
  <c r="EG37" i="66"/>
  <c r="EF37" i="66"/>
  <c r="EE37" i="66"/>
  <c r="ED37" i="66"/>
  <c r="EC37" i="66"/>
  <c r="EB37" i="66"/>
  <c r="EA37" i="66"/>
  <c r="DZ37" i="66"/>
  <c r="DY37" i="66"/>
  <c r="DX37" i="66"/>
  <c r="DW37" i="66"/>
  <c r="DV37" i="66"/>
  <c r="DU37" i="66"/>
  <c r="DT37" i="66"/>
  <c r="DS37" i="66"/>
  <c r="DR37" i="66"/>
  <c r="DQ37" i="66"/>
  <c r="DP37" i="66"/>
  <c r="DO37" i="66"/>
  <c r="DN37" i="66"/>
  <c r="DM37" i="66"/>
  <c r="DL37" i="66"/>
  <c r="DK37" i="66"/>
  <c r="DJ37" i="66"/>
  <c r="DI37" i="66"/>
  <c r="DH37" i="66"/>
  <c r="DG37" i="66"/>
  <c r="DF37" i="66"/>
  <c r="DE37" i="66"/>
  <c r="DD37" i="66"/>
  <c r="DC37" i="66"/>
  <c r="DB37" i="66"/>
  <c r="DA37" i="66"/>
  <c r="CZ37" i="66"/>
  <c r="CY37" i="66"/>
  <c r="CX37" i="66"/>
  <c r="CW37" i="66"/>
  <c r="CV37" i="66"/>
  <c r="CU37" i="66"/>
  <c r="CT37" i="66"/>
  <c r="CS37" i="66"/>
  <c r="CR37" i="66"/>
  <c r="CQ37" i="66"/>
  <c r="CP37" i="66"/>
  <c r="CO37" i="66"/>
  <c r="CN37" i="66"/>
  <c r="CM37" i="66"/>
  <c r="CL37" i="66"/>
  <c r="CK37" i="66"/>
  <c r="CJ37" i="66"/>
  <c r="CI37" i="66"/>
  <c r="CH37" i="66"/>
  <c r="CG37" i="66"/>
  <c r="CF37" i="66"/>
  <c r="CE37" i="66"/>
  <c r="CD37" i="66"/>
  <c r="CC37" i="66"/>
  <c r="CB37" i="66"/>
  <c r="CA37" i="66"/>
  <c r="BZ37" i="66"/>
  <c r="BY37" i="66"/>
  <c r="BX37" i="66"/>
  <c r="BW37" i="66"/>
  <c r="BV37" i="66"/>
  <c r="BU37" i="66"/>
  <c r="BT37" i="66"/>
  <c r="BS37" i="66"/>
  <c r="BR37" i="66"/>
  <c r="BQ37" i="66"/>
  <c r="BP37" i="66"/>
  <c r="BO37" i="66"/>
  <c r="BN37" i="66"/>
  <c r="BM37" i="66"/>
  <c r="BL37" i="66"/>
  <c r="BK37" i="66"/>
  <c r="BJ37" i="66"/>
  <c r="BI37" i="66"/>
  <c r="BH37" i="66"/>
  <c r="BG37" i="66"/>
  <c r="BF37" i="66"/>
  <c r="BE37" i="66"/>
  <c r="BD37" i="66"/>
  <c r="BC37" i="66"/>
  <c r="BB37" i="66"/>
  <c r="BA37" i="66"/>
  <c r="AZ37" i="66"/>
  <c r="AY37" i="66"/>
  <c r="AX37" i="66"/>
  <c r="AW37" i="66"/>
  <c r="AV37" i="66"/>
  <c r="AU37" i="66"/>
  <c r="AT37" i="66"/>
  <c r="AS37" i="66"/>
  <c r="AR37" i="66"/>
  <c r="AQ37" i="66"/>
  <c r="AP37" i="66"/>
  <c r="AO37" i="66"/>
  <c r="AN37" i="66"/>
  <c r="AM37" i="66"/>
  <c r="AL37" i="66"/>
  <c r="AK37" i="66"/>
  <c r="AJ37" i="66"/>
  <c r="AI37" i="66"/>
  <c r="AH37" i="66"/>
  <c r="AG37" i="66"/>
  <c r="AF37" i="66"/>
  <c r="AE37" i="66"/>
  <c r="AD37" i="66"/>
  <c r="AC37" i="66"/>
  <c r="AB37" i="66"/>
  <c r="AA37" i="66"/>
  <c r="Z37" i="66"/>
  <c r="Y37" i="66"/>
  <c r="X37" i="66"/>
  <c r="W37" i="66"/>
  <c r="V37" i="66"/>
  <c r="U37" i="66"/>
  <c r="T37" i="66"/>
  <c r="S37" i="66"/>
  <c r="R37" i="66"/>
  <c r="Q37" i="66"/>
  <c r="P37" i="66"/>
  <c r="O37" i="66"/>
  <c r="N37" i="66"/>
  <c r="M37" i="66"/>
  <c r="L37" i="66"/>
  <c r="K37" i="66"/>
  <c r="J37" i="66"/>
  <c r="I37" i="66"/>
  <c r="H37" i="66"/>
  <c r="G37" i="66"/>
  <c r="F37" i="66"/>
  <c r="E37" i="66"/>
  <c r="D37" i="66"/>
  <c r="C37" i="66"/>
  <c r="FN36" i="66"/>
  <c r="FM36" i="66"/>
  <c r="FL36" i="66"/>
  <c r="FK36" i="66"/>
  <c r="FJ36" i="66"/>
  <c r="FI36" i="66"/>
  <c r="FH36" i="66"/>
  <c r="FG36" i="66"/>
  <c r="FF36" i="66"/>
  <c r="FE36" i="66"/>
  <c r="FD36" i="66"/>
  <c r="FC36" i="66"/>
  <c r="FB36" i="66"/>
  <c r="FA36" i="66"/>
  <c r="EZ36" i="66"/>
  <c r="EY36" i="66"/>
  <c r="EX36" i="66"/>
  <c r="EW36" i="66"/>
  <c r="EV36" i="66"/>
  <c r="EU36" i="66"/>
  <c r="ET36" i="66"/>
  <c r="ES36" i="66"/>
  <c r="ER36" i="66"/>
  <c r="EQ36" i="66"/>
  <c r="EP36" i="66"/>
  <c r="EO36" i="66"/>
  <c r="EN36" i="66"/>
  <c r="EM36" i="66"/>
  <c r="EL36" i="66"/>
  <c r="EK36" i="66"/>
  <c r="EJ36" i="66"/>
  <c r="EI36" i="66"/>
  <c r="EH36" i="66"/>
  <c r="EG36" i="66"/>
  <c r="EF36" i="66"/>
  <c r="EE36" i="66"/>
  <c r="ED36" i="66"/>
  <c r="EC36" i="66"/>
  <c r="EB36" i="66"/>
  <c r="EA36" i="66"/>
  <c r="DZ36" i="66"/>
  <c r="DY36" i="66"/>
  <c r="DX36" i="66"/>
  <c r="DW36" i="66"/>
  <c r="DV36" i="66"/>
  <c r="DU36" i="66"/>
  <c r="DT36" i="66"/>
  <c r="DS36" i="66"/>
  <c r="DR36" i="66"/>
  <c r="DQ36" i="66"/>
  <c r="DP36" i="66"/>
  <c r="DO36" i="66"/>
  <c r="DN36" i="66"/>
  <c r="DM36" i="66"/>
  <c r="DL36" i="66"/>
  <c r="DK36" i="66"/>
  <c r="DJ36" i="66"/>
  <c r="DI36" i="66"/>
  <c r="DH36" i="66"/>
  <c r="DG36" i="66"/>
  <c r="DF36" i="66"/>
  <c r="DE36" i="66"/>
  <c r="DD36" i="66"/>
  <c r="DC36" i="66"/>
  <c r="DB36" i="66"/>
  <c r="DA36" i="66"/>
  <c r="CZ36" i="66"/>
  <c r="CY36" i="66"/>
  <c r="CX36" i="66"/>
  <c r="CW36" i="66"/>
  <c r="CV36" i="66"/>
  <c r="CU36" i="66"/>
  <c r="CT36" i="66"/>
  <c r="CS36" i="66"/>
  <c r="CR36" i="66"/>
  <c r="CQ36" i="66"/>
  <c r="CP36" i="66"/>
  <c r="CO36" i="66"/>
  <c r="CN36" i="66"/>
  <c r="CM36" i="66"/>
  <c r="CL36" i="66"/>
  <c r="CK36" i="66"/>
  <c r="CJ36" i="66"/>
  <c r="CI36" i="66"/>
  <c r="CH36" i="66"/>
  <c r="CG36" i="66"/>
  <c r="CF36" i="66"/>
  <c r="CE36" i="66"/>
  <c r="CD36" i="66"/>
  <c r="CC36" i="66"/>
  <c r="CB36" i="66"/>
  <c r="CA36" i="66"/>
  <c r="BZ36" i="66"/>
  <c r="BY36" i="66"/>
  <c r="BX36" i="66"/>
  <c r="BW36" i="66"/>
  <c r="BV36" i="66"/>
  <c r="BU36" i="66"/>
  <c r="BT36" i="66"/>
  <c r="BS36" i="66"/>
  <c r="BR36" i="66"/>
  <c r="BQ36" i="66"/>
  <c r="BP36" i="66"/>
  <c r="BO36" i="66"/>
  <c r="BN36" i="66"/>
  <c r="BM36" i="66"/>
  <c r="BL36" i="66"/>
  <c r="BK36" i="66"/>
  <c r="BJ36" i="66"/>
  <c r="BI36" i="66"/>
  <c r="BH36" i="66"/>
  <c r="BG36" i="66"/>
  <c r="BF36" i="66"/>
  <c r="BE36" i="66"/>
  <c r="BD36" i="66"/>
  <c r="BC36" i="66"/>
  <c r="BB36" i="66"/>
  <c r="BA36" i="66"/>
  <c r="AZ36" i="66"/>
  <c r="AY36" i="66"/>
  <c r="AX36" i="66"/>
  <c r="AW36" i="66"/>
  <c r="AV36" i="66"/>
  <c r="AU36" i="66"/>
  <c r="AT36" i="66"/>
  <c r="AS36" i="66"/>
  <c r="AR36" i="66"/>
  <c r="AQ36" i="66"/>
  <c r="AP36" i="66"/>
  <c r="AO36" i="66"/>
  <c r="AN36" i="66"/>
  <c r="AM36" i="66"/>
  <c r="AL36" i="66"/>
  <c r="AK36" i="66"/>
  <c r="AJ36" i="66"/>
  <c r="AI36" i="66"/>
  <c r="AH36" i="66"/>
  <c r="AG36" i="66"/>
  <c r="AF36" i="66"/>
  <c r="AE36" i="66"/>
  <c r="AD36" i="66"/>
  <c r="AC36" i="66"/>
  <c r="AB36" i="66"/>
  <c r="AA36" i="66"/>
  <c r="Z36" i="66"/>
  <c r="Y36" i="66"/>
  <c r="X36" i="66"/>
  <c r="W36" i="66"/>
  <c r="V36" i="66"/>
  <c r="U36" i="66"/>
  <c r="T36" i="66"/>
  <c r="S36" i="66"/>
  <c r="R36" i="66"/>
  <c r="Q36" i="66"/>
  <c r="P36" i="66"/>
  <c r="O36" i="66"/>
  <c r="N36" i="66"/>
  <c r="M36" i="66"/>
  <c r="L36" i="66"/>
  <c r="K36" i="66"/>
  <c r="J36" i="66"/>
  <c r="I36" i="66"/>
  <c r="H36" i="66"/>
  <c r="G36" i="66"/>
  <c r="F36" i="66"/>
  <c r="E36" i="66"/>
  <c r="D36" i="66"/>
  <c r="C36" i="66"/>
  <c r="FN35" i="66"/>
  <c r="FM35" i="66"/>
  <c r="FL35" i="66"/>
  <c r="FK35" i="66"/>
  <c r="FJ35" i="66"/>
  <c r="FI35" i="66"/>
  <c r="FH35" i="66"/>
  <c r="FG35" i="66"/>
  <c r="FF35" i="66"/>
  <c r="FE35" i="66"/>
  <c r="FD35" i="66"/>
  <c r="FC35" i="66"/>
  <c r="FB35" i="66"/>
  <c r="FA35" i="66"/>
  <c r="EZ35" i="66"/>
  <c r="EY35" i="66"/>
  <c r="EX35" i="66"/>
  <c r="EW35" i="66"/>
  <c r="EV35" i="66"/>
  <c r="EU35" i="66"/>
  <c r="ET35" i="66"/>
  <c r="ES35" i="66"/>
  <c r="ER35" i="66"/>
  <c r="EQ35" i="66"/>
  <c r="EP35" i="66"/>
  <c r="EO35" i="66"/>
  <c r="EN35" i="66"/>
  <c r="EM35" i="66"/>
  <c r="EL35" i="66"/>
  <c r="EK35" i="66"/>
  <c r="EJ35" i="66"/>
  <c r="EI35" i="66"/>
  <c r="EH35" i="66"/>
  <c r="EG35" i="66"/>
  <c r="EF35" i="66"/>
  <c r="EE35" i="66"/>
  <c r="ED35" i="66"/>
  <c r="EC35" i="66"/>
  <c r="EB35" i="66"/>
  <c r="EA35" i="66"/>
  <c r="DZ35" i="66"/>
  <c r="DY35" i="66"/>
  <c r="DX35" i="66"/>
  <c r="DW35" i="66"/>
  <c r="DV35" i="66"/>
  <c r="DU35" i="66"/>
  <c r="DT35" i="66"/>
  <c r="DS35" i="66"/>
  <c r="DR35" i="66"/>
  <c r="DQ35" i="66"/>
  <c r="DP35" i="66"/>
  <c r="DO35" i="66"/>
  <c r="DN35" i="66"/>
  <c r="DM35" i="66"/>
  <c r="DL35" i="66"/>
  <c r="DK35" i="66"/>
  <c r="DJ35" i="66"/>
  <c r="DI35" i="66"/>
  <c r="DH35" i="66"/>
  <c r="DG35" i="66"/>
  <c r="DF35" i="66"/>
  <c r="DE35" i="66"/>
  <c r="DD35" i="66"/>
  <c r="DC35" i="66"/>
  <c r="DB35" i="66"/>
  <c r="DA35" i="66"/>
  <c r="CZ35" i="66"/>
  <c r="CY35" i="66"/>
  <c r="CX35" i="66"/>
  <c r="CW35" i="66"/>
  <c r="CV35" i="66"/>
  <c r="CU35" i="66"/>
  <c r="CT35" i="66"/>
  <c r="CS35" i="66"/>
  <c r="CR35" i="66"/>
  <c r="CQ35" i="66"/>
  <c r="CP35" i="66"/>
  <c r="CO35" i="66"/>
  <c r="CN35" i="66"/>
  <c r="CM35" i="66"/>
  <c r="CL35" i="66"/>
  <c r="CK35" i="66"/>
  <c r="CJ35" i="66"/>
  <c r="CI35" i="66"/>
  <c r="CH35" i="66"/>
  <c r="CG35" i="66"/>
  <c r="CF35" i="66"/>
  <c r="CE35" i="66"/>
  <c r="CD35" i="66"/>
  <c r="CC35" i="66"/>
  <c r="CB35" i="66"/>
  <c r="CA35" i="66"/>
  <c r="BZ35" i="66"/>
  <c r="BY35" i="66"/>
  <c r="BX35" i="66"/>
  <c r="BW35" i="66"/>
  <c r="BV35" i="66"/>
  <c r="BU35" i="66"/>
  <c r="BT35" i="66"/>
  <c r="BS35" i="66"/>
  <c r="BR35" i="66"/>
  <c r="BQ35" i="66"/>
  <c r="BP35" i="66"/>
  <c r="BO35" i="66"/>
  <c r="BN35" i="66"/>
  <c r="BM35" i="66"/>
  <c r="BL35" i="66"/>
  <c r="BK35" i="66"/>
  <c r="BJ35" i="66"/>
  <c r="BI35" i="66"/>
  <c r="BH35" i="66"/>
  <c r="BG35" i="66"/>
  <c r="BF35" i="66"/>
  <c r="BE35" i="66"/>
  <c r="BD35" i="66"/>
  <c r="BC35" i="66"/>
  <c r="BB35" i="66"/>
  <c r="BA35" i="66"/>
  <c r="AZ35" i="66"/>
  <c r="AY35" i="66"/>
  <c r="AX35" i="66"/>
  <c r="AW35" i="66"/>
  <c r="AV35" i="66"/>
  <c r="AU35" i="66"/>
  <c r="AT35" i="66"/>
  <c r="AS35" i="66"/>
  <c r="AR35" i="66"/>
  <c r="AQ35" i="66"/>
  <c r="AP35" i="66"/>
  <c r="AO35" i="66"/>
  <c r="AN35" i="66"/>
  <c r="AM35" i="66"/>
  <c r="AL35" i="66"/>
  <c r="AK35" i="66"/>
  <c r="AJ35" i="66"/>
  <c r="AI35" i="66"/>
  <c r="AH35" i="66"/>
  <c r="AG35" i="66"/>
  <c r="AF35" i="66"/>
  <c r="AE35" i="66"/>
  <c r="AD35" i="66"/>
  <c r="AC35" i="66"/>
  <c r="AB35" i="66"/>
  <c r="AA35" i="66"/>
  <c r="Z35" i="66"/>
  <c r="Y35" i="66"/>
  <c r="X35" i="66"/>
  <c r="W35" i="66"/>
  <c r="V35" i="66"/>
  <c r="U35" i="66"/>
  <c r="T35" i="66"/>
  <c r="S35" i="66"/>
  <c r="R35" i="66"/>
  <c r="Q35" i="66"/>
  <c r="P35" i="66"/>
  <c r="O35" i="66"/>
  <c r="N35" i="66"/>
  <c r="M35" i="66"/>
  <c r="L35" i="66"/>
  <c r="K35" i="66"/>
  <c r="J35" i="66"/>
  <c r="I35" i="66"/>
  <c r="H35" i="66"/>
  <c r="G35" i="66"/>
  <c r="F35" i="66"/>
  <c r="E35" i="66"/>
  <c r="D35" i="66"/>
  <c r="C35" i="66"/>
  <c r="FN34" i="66"/>
  <c r="FM34" i="66"/>
  <c r="FL34" i="66"/>
  <c r="FK34" i="66"/>
  <c r="FJ34" i="66"/>
  <c r="FI34" i="66"/>
  <c r="FH34" i="66"/>
  <c r="FG34" i="66"/>
  <c r="FF34" i="66"/>
  <c r="FE34" i="66"/>
  <c r="FD34" i="66"/>
  <c r="FC34" i="66"/>
  <c r="FB34" i="66"/>
  <c r="FA34" i="66"/>
  <c r="EZ34" i="66"/>
  <c r="EY34" i="66"/>
  <c r="EX34" i="66"/>
  <c r="EW34" i="66"/>
  <c r="EV34" i="66"/>
  <c r="EU34" i="66"/>
  <c r="ET34" i="66"/>
  <c r="ES34" i="66"/>
  <c r="ER34" i="66"/>
  <c r="EQ34" i="66"/>
  <c r="EP34" i="66"/>
  <c r="EO34" i="66"/>
  <c r="EN34" i="66"/>
  <c r="EM34" i="66"/>
  <c r="EL34" i="66"/>
  <c r="EK34" i="66"/>
  <c r="EJ34" i="66"/>
  <c r="EI34" i="66"/>
  <c r="EH34" i="66"/>
  <c r="EG34" i="66"/>
  <c r="EF34" i="66"/>
  <c r="EE34" i="66"/>
  <c r="ED34" i="66"/>
  <c r="EC34" i="66"/>
  <c r="EB34" i="66"/>
  <c r="EA34" i="66"/>
  <c r="DZ34" i="66"/>
  <c r="DY34" i="66"/>
  <c r="DX34" i="66"/>
  <c r="DW34" i="66"/>
  <c r="DV34" i="66"/>
  <c r="DU34" i="66"/>
  <c r="DT34" i="66"/>
  <c r="DS34" i="66"/>
  <c r="DR34" i="66"/>
  <c r="DQ34" i="66"/>
  <c r="DP34" i="66"/>
  <c r="DO34" i="66"/>
  <c r="DN34" i="66"/>
  <c r="DM34" i="66"/>
  <c r="DL34" i="66"/>
  <c r="DK34" i="66"/>
  <c r="DJ34" i="66"/>
  <c r="DI34" i="66"/>
  <c r="DH34" i="66"/>
  <c r="DG34" i="66"/>
  <c r="DF34" i="66"/>
  <c r="DE34" i="66"/>
  <c r="DD34" i="66"/>
  <c r="DC34" i="66"/>
  <c r="DB34" i="66"/>
  <c r="DA34" i="66"/>
  <c r="CZ34" i="66"/>
  <c r="CY34" i="66"/>
  <c r="CX34" i="66"/>
  <c r="CW34" i="66"/>
  <c r="CV34" i="66"/>
  <c r="CU34" i="66"/>
  <c r="CT34" i="66"/>
  <c r="CS34" i="66"/>
  <c r="CR34" i="66"/>
  <c r="CQ34" i="66"/>
  <c r="CP34" i="66"/>
  <c r="CO34" i="66"/>
  <c r="CN34" i="66"/>
  <c r="CM34" i="66"/>
  <c r="CL34" i="66"/>
  <c r="CK34" i="66"/>
  <c r="CJ34" i="66"/>
  <c r="CI34" i="66"/>
  <c r="CH34" i="66"/>
  <c r="CG34" i="66"/>
  <c r="CF34" i="66"/>
  <c r="CE34" i="66"/>
  <c r="CD34" i="66"/>
  <c r="CC34" i="66"/>
  <c r="CB34" i="66"/>
  <c r="CA34" i="66"/>
  <c r="BZ34" i="66"/>
  <c r="BY34" i="66"/>
  <c r="BX34" i="66"/>
  <c r="BW34" i="66"/>
  <c r="BV34" i="66"/>
  <c r="BU34" i="66"/>
  <c r="BT34" i="66"/>
  <c r="BS34" i="66"/>
  <c r="BR34" i="66"/>
  <c r="BQ34" i="66"/>
  <c r="BP34" i="66"/>
  <c r="BO34" i="66"/>
  <c r="BN34" i="66"/>
  <c r="BM34" i="66"/>
  <c r="BL34" i="66"/>
  <c r="BK34" i="66"/>
  <c r="BJ34" i="66"/>
  <c r="BI34" i="66"/>
  <c r="BH34" i="66"/>
  <c r="BG34" i="66"/>
  <c r="BF34" i="66"/>
  <c r="BE34" i="66"/>
  <c r="BD34" i="66"/>
  <c r="BC34" i="66"/>
  <c r="BB34" i="66"/>
  <c r="BA34" i="66"/>
  <c r="AZ34" i="66"/>
  <c r="AY34" i="66"/>
  <c r="AX34" i="66"/>
  <c r="AW34" i="66"/>
  <c r="AV34" i="66"/>
  <c r="AU34" i="66"/>
  <c r="AT34" i="66"/>
  <c r="AS34" i="66"/>
  <c r="AR34" i="66"/>
  <c r="AQ34" i="66"/>
  <c r="AP34" i="66"/>
  <c r="AO34" i="66"/>
  <c r="AN34" i="66"/>
  <c r="AM34" i="66"/>
  <c r="AL34" i="66"/>
  <c r="AK34" i="66"/>
  <c r="AJ34" i="66"/>
  <c r="AI34" i="66"/>
  <c r="AH34" i="66"/>
  <c r="AG34" i="66"/>
  <c r="AF34" i="66"/>
  <c r="AE34" i="66"/>
  <c r="AD34" i="66"/>
  <c r="AC34" i="66"/>
  <c r="AB34" i="66"/>
  <c r="AA34" i="66"/>
  <c r="Z34" i="66"/>
  <c r="Y34" i="66"/>
  <c r="X34" i="66"/>
  <c r="W34" i="66"/>
  <c r="V34" i="66"/>
  <c r="U34" i="66"/>
  <c r="T34" i="66"/>
  <c r="S34" i="66"/>
  <c r="R34" i="66"/>
  <c r="Q34" i="66"/>
  <c r="P34" i="66"/>
  <c r="O34" i="66"/>
  <c r="N34" i="66"/>
  <c r="M34" i="66"/>
  <c r="L34" i="66"/>
  <c r="K34" i="66"/>
  <c r="J34" i="66"/>
  <c r="I34" i="66"/>
  <c r="H34" i="66"/>
  <c r="G34" i="66"/>
  <c r="F34" i="66"/>
  <c r="E34" i="66"/>
  <c r="D34" i="66"/>
  <c r="C34" i="66"/>
  <c r="FN43" i="65"/>
  <c r="FM43" i="65"/>
  <c r="FL43" i="65"/>
  <c r="FK43" i="65"/>
  <c r="FJ43" i="65"/>
  <c r="FI43" i="65"/>
  <c r="FH43" i="65"/>
  <c r="FG43" i="65"/>
  <c r="FF43" i="65"/>
  <c r="FE43" i="65"/>
  <c r="FD43" i="65"/>
  <c r="FC43" i="65"/>
  <c r="FB43" i="65"/>
  <c r="FA43" i="65"/>
  <c r="EZ43" i="65"/>
  <c r="EY43" i="65"/>
  <c r="EX43" i="65"/>
  <c r="EW43" i="65"/>
  <c r="EV43" i="65"/>
  <c r="EU43" i="65"/>
  <c r="ET43" i="65"/>
  <c r="ES43" i="65"/>
  <c r="ER43" i="65"/>
  <c r="EQ43" i="65"/>
  <c r="EP43" i="65"/>
  <c r="EO43" i="65"/>
  <c r="EN43" i="65"/>
  <c r="EM43" i="65"/>
  <c r="EL43" i="65"/>
  <c r="EK43" i="65"/>
  <c r="EJ43" i="65"/>
  <c r="EI43" i="65"/>
  <c r="EH43" i="65"/>
  <c r="EG43" i="65"/>
  <c r="EF43" i="65"/>
  <c r="EE43" i="65"/>
  <c r="ED43" i="65"/>
  <c r="EC43" i="65"/>
  <c r="EB43" i="65"/>
  <c r="EA43" i="65"/>
  <c r="DZ43" i="65"/>
  <c r="DY43" i="65"/>
  <c r="DX43" i="65"/>
  <c r="DW43" i="65"/>
  <c r="DV43" i="65"/>
  <c r="DU43" i="65"/>
  <c r="DT43" i="65"/>
  <c r="DS43" i="65"/>
  <c r="DR43" i="65"/>
  <c r="DQ43" i="65"/>
  <c r="DP43" i="65"/>
  <c r="DO43" i="65"/>
  <c r="DN43" i="65"/>
  <c r="DM43" i="65"/>
  <c r="DL43" i="65"/>
  <c r="DK43" i="65"/>
  <c r="DJ43" i="65"/>
  <c r="DI43" i="65"/>
  <c r="DH43" i="65"/>
  <c r="DG43" i="65"/>
  <c r="DF43" i="65"/>
  <c r="DE43" i="65"/>
  <c r="DD43" i="65"/>
  <c r="DC43" i="65"/>
  <c r="DB43" i="65"/>
  <c r="DA43" i="65"/>
  <c r="CZ43" i="65"/>
  <c r="CY43" i="65"/>
  <c r="CX43" i="65"/>
  <c r="CW43" i="65"/>
  <c r="CV43" i="65"/>
  <c r="CU43" i="65"/>
  <c r="CT43" i="65"/>
  <c r="CS43" i="65"/>
  <c r="CR43" i="65"/>
  <c r="CQ43" i="65"/>
  <c r="CP43" i="65"/>
  <c r="CO43" i="65"/>
  <c r="CN43" i="65"/>
  <c r="CM43" i="65"/>
  <c r="CL43" i="65"/>
  <c r="CK43" i="65"/>
  <c r="CJ43" i="65"/>
  <c r="CI43" i="65"/>
  <c r="CH43" i="65"/>
  <c r="CG43" i="65"/>
  <c r="CF43" i="65"/>
  <c r="CE43" i="65"/>
  <c r="CD43" i="65"/>
  <c r="CC43" i="65"/>
  <c r="CB43" i="65"/>
  <c r="CA43" i="65"/>
  <c r="BZ43" i="65"/>
  <c r="BY43" i="65"/>
  <c r="BX43" i="65"/>
  <c r="BW43" i="65"/>
  <c r="BV43" i="65"/>
  <c r="BU43" i="65"/>
  <c r="BT43" i="65"/>
  <c r="BS43" i="65"/>
  <c r="BR43" i="65"/>
  <c r="BQ43" i="65"/>
  <c r="BP43" i="65"/>
  <c r="BO43" i="65"/>
  <c r="BN43" i="65"/>
  <c r="BM43" i="65"/>
  <c r="BL43" i="65"/>
  <c r="BK43" i="65"/>
  <c r="BJ43" i="65"/>
  <c r="BI43" i="65"/>
  <c r="BH43" i="65"/>
  <c r="BG43" i="65"/>
  <c r="BF43" i="65"/>
  <c r="BE43" i="65"/>
  <c r="BD43" i="65"/>
  <c r="BC43" i="65"/>
  <c r="BB43" i="65"/>
  <c r="BA43" i="65"/>
  <c r="AZ43" i="65"/>
  <c r="AY43" i="65"/>
  <c r="AX43" i="65"/>
  <c r="AW43" i="65"/>
  <c r="AV43" i="65"/>
  <c r="AU43" i="65"/>
  <c r="AT43" i="65"/>
  <c r="AS43" i="65"/>
  <c r="AR43" i="65"/>
  <c r="AQ43" i="65"/>
  <c r="AP43" i="65"/>
  <c r="AO43" i="65"/>
  <c r="AN43" i="65"/>
  <c r="AM43" i="65"/>
  <c r="AL43" i="65"/>
  <c r="AK43" i="65"/>
  <c r="AJ43" i="65"/>
  <c r="AI43" i="65"/>
  <c r="AH43" i="65"/>
  <c r="AG43" i="65"/>
  <c r="AF43" i="65"/>
  <c r="AE43" i="65"/>
  <c r="AD43" i="65"/>
  <c r="AC43" i="65"/>
  <c r="AB43" i="65"/>
  <c r="AA43" i="65"/>
  <c r="Z43" i="65"/>
  <c r="Y43" i="65"/>
  <c r="X43" i="65"/>
  <c r="W43" i="65"/>
  <c r="V43" i="65"/>
  <c r="U43" i="65"/>
  <c r="T43" i="65"/>
  <c r="S43" i="65"/>
  <c r="R43" i="65"/>
  <c r="Q43" i="65"/>
  <c r="P43" i="65"/>
  <c r="O43" i="65"/>
  <c r="N43" i="65"/>
  <c r="M43" i="65"/>
  <c r="L43" i="65"/>
  <c r="K43" i="65"/>
  <c r="J43" i="65"/>
  <c r="I43" i="65"/>
  <c r="H43" i="65"/>
  <c r="G43" i="65"/>
  <c r="F43" i="65"/>
  <c r="E43" i="65"/>
  <c r="D43" i="65"/>
  <c r="C43" i="65"/>
  <c r="FN42" i="65"/>
  <c r="FM42" i="65"/>
  <c r="FL42" i="65"/>
  <c r="FK42" i="65"/>
  <c r="FJ42" i="65"/>
  <c r="FI42" i="65"/>
  <c r="FH42" i="65"/>
  <c r="FG42" i="65"/>
  <c r="FF42" i="65"/>
  <c r="FE42" i="65"/>
  <c r="FD42" i="65"/>
  <c r="FC42" i="65"/>
  <c r="FB42" i="65"/>
  <c r="FA42" i="65"/>
  <c r="EZ42" i="65"/>
  <c r="EY42" i="65"/>
  <c r="EX42" i="65"/>
  <c r="EW42" i="65"/>
  <c r="EV42" i="65"/>
  <c r="EU42" i="65"/>
  <c r="ET42" i="65"/>
  <c r="ES42" i="65"/>
  <c r="ER42" i="65"/>
  <c r="EQ42" i="65"/>
  <c r="EP42" i="65"/>
  <c r="EO42" i="65"/>
  <c r="EN42" i="65"/>
  <c r="EM42" i="65"/>
  <c r="EL42" i="65"/>
  <c r="EK42" i="65"/>
  <c r="EJ42" i="65"/>
  <c r="EI42" i="65"/>
  <c r="EH42" i="65"/>
  <c r="EG42" i="65"/>
  <c r="EF42" i="65"/>
  <c r="EE42" i="65"/>
  <c r="ED42" i="65"/>
  <c r="EC42" i="65"/>
  <c r="EB42" i="65"/>
  <c r="EA42" i="65"/>
  <c r="DZ42" i="65"/>
  <c r="DY42" i="65"/>
  <c r="DX42" i="65"/>
  <c r="DW42" i="65"/>
  <c r="DV42" i="65"/>
  <c r="DU42" i="65"/>
  <c r="DT42" i="65"/>
  <c r="DS42" i="65"/>
  <c r="DR42" i="65"/>
  <c r="DQ42" i="65"/>
  <c r="DP42" i="65"/>
  <c r="DO42" i="65"/>
  <c r="DN42" i="65"/>
  <c r="DM42" i="65"/>
  <c r="DL42" i="65"/>
  <c r="DK42" i="65"/>
  <c r="DJ42" i="65"/>
  <c r="DI42" i="65"/>
  <c r="DH42" i="65"/>
  <c r="DG42" i="65"/>
  <c r="DF42" i="65"/>
  <c r="DE42" i="65"/>
  <c r="DD42" i="65"/>
  <c r="DC42" i="65"/>
  <c r="DB42" i="65"/>
  <c r="DA42" i="65"/>
  <c r="CZ42" i="65"/>
  <c r="CY42" i="65"/>
  <c r="CX42" i="65"/>
  <c r="CW42" i="65"/>
  <c r="CV42" i="65"/>
  <c r="CU42" i="65"/>
  <c r="CT42" i="65"/>
  <c r="CS42" i="65"/>
  <c r="CR42" i="65"/>
  <c r="CQ42" i="65"/>
  <c r="CP42" i="65"/>
  <c r="CO42" i="65"/>
  <c r="CN42" i="65"/>
  <c r="CM42" i="65"/>
  <c r="CL42" i="65"/>
  <c r="CK42" i="65"/>
  <c r="CJ42" i="65"/>
  <c r="CI42" i="65"/>
  <c r="CH42" i="65"/>
  <c r="CG42" i="65"/>
  <c r="CF42" i="65"/>
  <c r="CE42" i="65"/>
  <c r="CD42" i="65"/>
  <c r="CC42" i="65"/>
  <c r="CB42" i="65"/>
  <c r="CA42" i="65"/>
  <c r="BZ42" i="65"/>
  <c r="BY42" i="65"/>
  <c r="BX42" i="65"/>
  <c r="BW42" i="65"/>
  <c r="BV42" i="65"/>
  <c r="BU42" i="65"/>
  <c r="BT42" i="65"/>
  <c r="BS42" i="65"/>
  <c r="BR42" i="65"/>
  <c r="BQ42" i="65"/>
  <c r="BP42" i="65"/>
  <c r="BO42" i="65"/>
  <c r="BN42" i="65"/>
  <c r="BM42" i="65"/>
  <c r="BL42" i="65"/>
  <c r="BK42" i="65"/>
  <c r="BJ42" i="65"/>
  <c r="BI42" i="65"/>
  <c r="BH42" i="65"/>
  <c r="BG42" i="65"/>
  <c r="BF42" i="65"/>
  <c r="BE42" i="65"/>
  <c r="BD42" i="65"/>
  <c r="BC42" i="65"/>
  <c r="BB42" i="65"/>
  <c r="BA42" i="65"/>
  <c r="AZ42" i="65"/>
  <c r="AY42" i="65"/>
  <c r="AX42" i="65"/>
  <c r="AW42" i="65"/>
  <c r="AV42" i="65"/>
  <c r="AU42" i="65"/>
  <c r="AT42" i="65"/>
  <c r="AS42" i="65"/>
  <c r="AR42" i="65"/>
  <c r="AQ42" i="65"/>
  <c r="AP42" i="65"/>
  <c r="AO42" i="65"/>
  <c r="AN42" i="65"/>
  <c r="AM42" i="65"/>
  <c r="AL42" i="65"/>
  <c r="AK42" i="65"/>
  <c r="AJ42" i="65"/>
  <c r="AI42" i="65"/>
  <c r="AH42" i="65"/>
  <c r="AG42" i="65"/>
  <c r="AF42" i="65"/>
  <c r="AE42" i="65"/>
  <c r="AD42" i="65"/>
  <c r="AC42" i="65"/>
  <c r="AB42" i="65"/>
  <c r="AA42" i="65"/>
  <c r="Z42" i="65"/>
  <c r="Y42" i="65"/>
  <c r="X42" i="65"/>
  <c r="W42" i="65"/>
  <c r="V42" i="65"/>
  <c r="U42" i="65"/>
  <c r="T42" i="65"/>
  <c r="S42" i="65"/>
  <c r="R42" i="65"/>
  <c r="Q42" i="65"/>
  <c r="P42" i="65"/>
  <c r="O42" i="65"/>
  <c r="N42" i="65"/>
  <c r="M42" i="65"/>
  <c r="L42" i="65"/>
  <c r="K42" i="65"/>
  <c r="J42" i="65"/>
  <c r="I42" i="65"/>
  <c r="H42" i="65"/>
  <c r="G42" i="65"/>
  <c r="F42" i="65"/>
  <c r="E42" i="65"/>
  <c r="D42" i="65"/>
  <c r="C42" i="65"/>
  <c r="E41" i="65"/>
  <c r="D41" i="65"/>
  <c r="C41" i="65"/>
  <c r="FN40" i="65"/>
  <c r="FM40" i="65"/>
  <c r="FL40" i="65"/>
  <c r="FK40" i="65"/>
  <c r="FJ40" i="65"/>
  <c r="FI40" i="65"/>
  <c r="FH40" i="65"/>
  <c r="FG40" i="65"/>
  <c r="FF40" i="65"/>
  <c r="FE40" i="65"/>
  <c r="FD40" i="65"/>
  <c r="FC40" i="65"/>
  <c r="FB40" i="65"/>
  <c r="FA40" i="65"/>
  <c r="EZ40" i="65"/>
  <c r="EY40" i="65"/>
  <c r="EX40" i="65"/>
  <c r="EW40" i="65"/>
  <c r="EV40" i="65"/>
  <c r="EU40" i="65"/>
  <c r="ET40" i="65"/>
  <c r="ES40" i="65"/>
  <c r="ER40" i="65"/>
  <c r="EQ40" i="65"/>
  <c r="EP40" i="65"/>
  <c r="EO40" i="65"/>
  <c r="EN40" i="65"/>
  <c r="EM40" i="65"/>
  <c r="EL40" i="65"/>
  <c r="EK40" i="65"/>
  <c r="EJ40" i="65"/>
  <c r="EI40" i="65"/>
  <c r="EH40" i="65"/>
  <c r="EG40" i="65"/>
  <c r="EF40" i="65"/>
  <c r="EE40" i="65"/>
  <c r="ED40" i="65"/>
  <c r="EC40" i="65"/>
  <c r="EB40" i="65"/>
  <c r="EA40" i="65"/>
  <c r="DZ40" i="65"/>
  <c r="DY40" i="65"/>
  <c r="DX40" i="65"/>
  <c r="DW40" i="65"/>
  <c r="DV40" i="65"/>
  <c r="DU40" i="65"/>
  <c r="DT40" i="65"/>
  <c r="DS40" i="65"/>
  <c r="DR40" i="65"/>
  <c r="DQ40" i="65"/>
  <c r="DP40" i="65"/>
  <c r="DO40" i="65"/>
  <c r="DN40" i="65"/>
  <c r="DM40" i="65"/>
  <c r="DL40" i="65"/>
  <c r="DK40" i="65"/>
  <c r="DJ40" i="65"/>
  <c r="DI40" i="65"/>
  <c r="DH40" i="65"/>
  <c r="DG40" i="65"/>
  <c r="DF40" i="65"/>
  <c r="DE40" i="65"/>
  <c r="DD40" i="65"/>
  <c r="DC40" i="65"/>
  <c r="DB40" i="65"/>
  <c r="DA40" i="65"/>
  <c r="CZ40" i="65"/>
  <c r="CY40" i="65"/>
  <c r="CX40" i="65"/>
  <c r="CW40" i="65"/>
  <c r="CV40" i="65"/>
  <c r="CU40" i="65"/>
  <c r="CT40" i="65"/>
  <c r="CS40" i="65"/>
  <c r="CR40" i="65"/>
  <c r="CQ40" i="65"/>
  <c r="CP40" i="65"/>
  <c r="CO40" i="65"/>
  <c r="CN40" i="65"/>
  <c r="CM40" i="65"/>
  <c r="CL40" i="65"/>
  <c r="CK40" i="65"/>
  <c r="CJ40" i="65"/>
  <c r="CI40" i="65"/>
  <c r="CH40" i="65"/>
  <c r="CG40" i="65"/>
  <c r="CF40" i="65"/>
  <c r="CE40" i="65"/>
  <c r="CD40" i="65"/>
  <c r="CC40" i="65"/>
  <c r="CB40" i="65"/>
  <c r="CA40" i="65"/>
  <c r="BZ40" i="65"/>
  <c r="BY40" i="65"/>
  <c r="BX40" i="65"/>
  <c r="BW40" i="65"/>
  <c r="BV40" i="65"/>
  <c r="BU40" i="65"/>
  <c r="BT40" i="65"/>
  <c r="BS40" i="65"/>
  <c r="BR40" i="65"/>
  <c r="BQ40" i="65"/>
  <c r="BP40" i="65"/>
  <c r="BO40" i="65"/>
  <c r="BN40" i="65"/>
  <c r="BM40" i="65"/>
  <c r="BL40" i="65"/>
  <c r="BK40" i="65"/>
  <c r="BJ40" i="65"/>
  <c r="BI40" i="65"/>
  <c r="BH40" i="65"/>
  <c r="BG40" i="65"/>
  <c r="BF40" i="65"/>
  <c r="BE40" i="65"/>
  <c r="BD40" i="65"/>
  <c r="BC40" i="65"/>
  <c r="BB40" i="65"/>
  <c r="BA40" i="65"/>
  <c r="AZ40" i="65"/>
  <c r="AY40" i="65"/>
  <c r="AX40" i="65"/>
  <c r="AW40" i="65"/>
  <c r="AV40" i="65"/>
  <c r="AU40" i="65"/>
  <c r="AT40" i="65"/>
  <c r="AS40" i="65"/>
  <c r="AR40" i="65"/>
  <c r="AQ40" i="65"/>
  <c r="AP40" i="65"/>
  <c r="AO40" i="65"/>
  <c r="AN40" i="65"/>
  <c r="AM40" i="65"/>
  <c r="AL40" i="65"/>
  <c r="AK40" i="65"/>
  <c r="AJ40" i="65"/>
  <c r="AI40" i="65"/>
  <c r="AH40" i="65"/>
  <c r="AG40" i="65"/>
  <c r="AF40" i="65"/>
  <c r="AE40" i="65"/>
  <c r="AD40" i="65"/>
  <c r="AC40" i="65"/>
  <c r="AB40" i="65"/>
  <c r="AA40" i="65"/>
  <c r="Z40" i="65"/>
  <c r="Y40" i="65"/>
  <c r="X40" i="65"/>
  <c r="W40" i="65"/>
  <c r="V40" i="65"/>
  <c r="U40" i="65"/>
  <c r="T40" i="65"/>
  <c r="S40" i="65"/>
  <c r="R40" i="65"/>
  <c r="Q40" i="65"/>
  <c r="P40" i="65"/>
  <c r="O40" i="65"/>
  <c r="N40" i="65"/>
  <c r="M40" i="65"/>
  <c r="L40" i="65"/>
  <c r="K40" i="65"/>
  <c r="J40" i="65"/>
  <c r="I40" i="65"/>
  <c r="H40" i="65"/>
  <c r="G40" i="65"/>
  <c r="F40" i="65"/>
  <c r="E40" i="65"/>
  <c r="D40" i="65"/>
  <c r="C40" i="65"/>
  <c r="FN39" i="65"/>
  <c r="FM39" i="65"/>
  <c r="FL39" i="65"/>
  <c r="FK39" i="65"/>
  <c r="FJ39" i="65"/>
  <c r="FI39" i="65"/>
  <c r="FH39" i="65"/>
  <c r="FG39" i="65"/>
  <c r="FF39" i="65"/>
  <c r="FE39" i="65"/>
  <c r="FD39" i="65"/>
  <c r="FC39" i="65"/>
  <c r="FB39" i="65"/>
  <c r="FA39" i="65"/>
  <c r="EZ39" i="65"/>
  <c r="EY39" i="65"/>
  <c r="EX39" i="65"/>
  <c r="EW39" i="65"/>
  <c r="EV39" i="65"/>
  <c r="EU39" i="65"/>
  <c r="ET39" i="65"/>
  <c r="ES39" i="65"/>
  <c r="ER39" i="65"/>
  <c r="EQ39" i="65"/>
  <c r="EP39" i="65"/>
  <c r="EO39" i="65"/>
  <c r="EN39" i="65"/>
  <c r="EM39" i="65"/>
  <c r="EL39" i="65"/>
  <c r="EK39" i="65"/>
  <c r="EJ39" i="65"/>
  <c r="EI39" i="65"/>
  <c r="EH39" i="65"/>
  <c r="EG39" i="65"/>
  <c r="EF39" i="65"/>
  <c r="EE39" i="65"/>
  <c r="ED39" i="65"/>
  <c r="EC39" i="65"/>
  <c r="EB39" i="65"/>
  <c r="EA39" i="65"/>
  <c r="DZ39" i="65"/>
  <c r="DY39" i="65"/>
  <c r="DX39" i="65"/>
  <c r="DW39" i="65"/>
  <c r="DV39" i="65"/>
  <c r="DU39" i="65"/>
  <c r="DT39" i="65"/>
  <c r="DS39" i="65"/>
  <c r="DR39" i="65"/>
  <c r="DQ39" i="65"/>
  <c r="DP39" i="65"/>
  <c r="DO39" i="65"/>
  <c r="DN39" i="65"/>
  <c r="DM39" i="65"/>
  <c r="DL39" i="65"/>
  <c r="DK39" i="65"/>
  <c r="DJ39" i="65"/>
  <c r="DI39" i="65"/>
  <c r="DH39" i="65"/>
  <c r="DG39" i="65"/>
  <c r="DF39" i="65"/>
  <c r="DE39" i="65"/>
  <c r="DD39" i="65"/>
  <c r="DC39" i="65"/>
  <c r="DB39" i="65"/>
  <c r="DA39" i="65"/>
  <c r="CZ39" i="65"/>
  <c r="CY39" i="65"/>
  <c r="CX39" i="65"/>
  <c r="CW39" i="65"/>
  <c r="CV39" i="65"/>
  <c r="CU39" i="65"/>
  <c r="CT39" i="65"/>
  <c r="CS39" i="65"/>
  <c r="CR39" i="65"/>
  <c r="CQ39" i="65"/>
  <c r="CP39" i="65"/>
  <c r="CO39" i="65"/>
  <c r="CN39" i="65"/>
  <c r="CM39" i="65"/>
  <c r="CL39" i="65"/>
  <c r="CK39" i="65"/>
  <c r="CJ39" i="65"/>
  <c r="CI39" i="65"/>
  <c r="CH39" i="65"/>
  <c r="CG39" i="65"/>
  <c r="CF39" i="65"/>
  <c r="CE39" i="65"/>
  <c r="CD39" i="65"/>
  <c r="CC39" i="65"/>
  <c r="CB39" i="65"/>
  <c r="CA39" i="65"/>
  <c r="BZ39" i="65"/>
  <c r="BY39" i="65"/>
  <c r="BX39" i="65"/>
  <c r="BW39" i="65"/>
  <c r="BV39" i="65"/>
  <c r="BU39" i="65"/>
  <c r="BT39" i="65"/>
  <c r="BS39" i="65"/>
  <c r="BR39" i="65"/>
  <c r="BQ39" i="65"/>
  <c r="BP39" i="65"/>
  <c r="BO39" i="65"/>
  <c r="BN39" i="65"/>
  <c r="BM39" i="65"/>
  <c r="BL39" i="65"/>
  <c r="BK39" i="65"/>
  <c r="BJ39" i="65"/>
  <c r="BI39" i="65"/>
  <c r="BH39" i="65"/>
  <c r="BG39" i="65"/>
  <c r="BF39" i="65"/>
  <c r="BE39" i="65"/>
  <c r="BD39" i="65"/>
  <c r="BC39" i="65"/>
  <c r="BB39" i="65"/>
  <c r="BA39" i="65"/>
  <c r="AZ39" i="65"/>
  <c r="AY39" i="65"/>
  <c r="AX39" i="65"/>
  <c r="AW39" i="65"/>
  <c r="AV39" i="65"/>
  <c r="AU39" i="65"/>
  <c r="AT39" i="65"/>
  <c r="AS39" i="65"/>
  <c r="AR39" i="65"/>
  <c r="AQ39" i="65"/>
  <c r="AP39" i="65"/>
  <c r="AO39" i="65"/>
  <c r="AN39" i="65"/>
  <c r="AM39" i="65"/>
  <c r="AL39" i="65"/>
  <c r="AK39" i="65"/>
  <c r="AJ39" i="65"/>
  <c r="AI39" i="65"/>
  <c r="AH39" i="65"/>
  <c r="AG39" i="65"/>
  <c r="AF39" i="65"/>
  <c r="AE39" i="65"/>
  <c r="AD39" i="65"/>
  <c r="AC39" i="65"/>
  <c r="AB39" i="65"/>
  <c r="AA39" i="65"/>
  <c r="Z39" i="65"/>
  <c r="Y39" i="65"/>
  <c r="X39" i="65"/>
  <c r="W39" i="65"/>
  <c r="V39" i="65"/>
  <c r="U39" i="65"/>
  <c r="T39" i="65"/>
  <c r="S39" i="65"/>
  <c r="R39" i="65"/>
  <c r="Q39" i="65"/>
  <c r="P39" i="65"/>
  <c r="O39" i="65"/>
  <c r="N39" i="65"/>
  <c r="M39" i="65"/>
  <c r="L39" i="65"/>
  <c r="K39" i="65"/>
  <c r="J39" i="65"/>
  <c r="I39" i="65"/>
  <c r="H39" i="65"/>
  <c r="G39" i="65"/>
  <c r="F39" i="65"/>
  <c r="E39" i="65"/>
  <c r="D39" i="65"/>
  <c r="C39" i="65"/>
  <c r="FN38" i="65"/>
  <c r="FM38" i="65"/>
  <c r="FL38" i="65"/>
  <c r="FK38" i="65"/>
  <c r="FJ38" i="65"/>
  <c r="FI38" i="65"/>
  <c r="FH38" i="65"/>
  <c r="FG38" i="65"/>
  <c r="FF38" i="65"/>
  <c r="FE38" i="65"/>
  <c r="FD38" i="65"/>
  <c r="FC38" i="65"/>
  <c r="FB38" i="65"/>
  <c r="FA38" i="65"/>
  <c r="EZ38" i="65"/>
  <c r="EY38" i="65"/>
  <c r="EX38" i="65"/>
  <c r="EW38" i="65"/>
  <c r="EV38" i="65"/>
  <c r="EU38" i="65"/>
  <c r="ET38" i="65"/>
  <c r="ES38" i="65"/>
  <c r="ER38" i="65"/>
  <c r="EQ38" i="65"/>
  <c r="EP38" i="65"/>
  <c r="EO38" i="65"/>
  <c r="EN38" i="65"/>
  <c r="EM38" i="65"/>
  <c r="EL38" i="65"/>
  <c r="EK38" i="65"/>
  <c r="EJ38" i="65"/>
  <c r="EI38" i="65"/>
  <c r="EH38" i="65"/>
  <c r="EG38" i="65"/>
  <c r="EF38" i="65"/>
  <c r="EE38" i="65"/>
  <c r="ED38" i="65"/>
  <c r="EC38" i="65"/>
  <c r="EB38" i="65"/>
  <c r="EA38" i="65"/>
  <c r="DZ38" i="65"/>
  <c r="DY38" i="65"/>
  <c r="DX38" i="65"/>
  <c r="DW38" i="65"/>
  <c r="DV38" i="65"/>
  <c r="DU38" i="65"/>
  <c r="DT38" i="65"/>
  <c r="DS38" i="65"/>
  <c r="DR38" i="65"/>
  <c r="DQ38" i="65"/>
  <c r="DP38" i="65"/>
  <c r="DO38" i="65"/>
  <c r="DN38" i="65"/>
  <c r="DM38" i="65"/>
  <c r="DL38" i="65"/>
  <c r="DK38" i="65"/>
  <c r="DJ38" i="65"/>
  <c r="DI38" i="65"/>
  <c r="DH38" i="65"/>
  <c r="DG38" i="65"/>
  <c r="DF38" i="65"/>
  <c r="DE38" i="65"/>
  <c r="DD38" i="65"/>
  <c r="DC38" i="65"/>
  <c r="DB38" i="65"/>
  <c r="DA38" i="65"/>
  <c r="CZ38" i="65"/>
  <c r="CY38" i="65"/>
  <c r="CX38" i="65"/>
  <c r="CW38" i="65"/>
  <c r="CV38" i="65"/>
  <c r="CU38" i="65"/>
  <c r="CT38" i="65"/>
  <c r="CS38" i="65"/>
  <c r="CR38" i="65"/>
  <c r="CQ38" i="65"/>
  <c r="CP38" i="65"/>
  <c r="CO38" i="65"/>
  <c r="CN38" i="65"/>
  <c r="CM38" i="65"/>
  <c r="CL38" i="65"/>
  <c r="CK38" i="65"/>
  <c r="CJ38" i="65"/>
  <c r="CI38" i="65"/>
  <c r="CH38" i="65"/>
  <c r="CG38" i="65"/>
  <c r="CF38" i="65"/>
  <c r="CE38" i="65"/>
  <c r="CD38" i="65"/>
  <c r="CC38" i="65"/>
  <c r="CB38" i="65"/>
  <c r="CA38" i="65"/>
  <c r="BZ38" i="65"/>
  <c r="BY38" i="65"/>
  <c r="BX38" i="65"/>
  <c r="BW38" i="65"/>
  <c r="BV38" i="65"/>
  <c r="BU38" i="65"/>
  <c r="BT38" i="65"/>
  <c r="BS38" i="65"/>
  <c r="BR38" i="65"/>
  <c r="BQ38" i="65"/>
  <c r="BP38" i="65"/>
  <c r="BO38" i="65"/>
  <c r="BN38" i="65"/>
  <c r="BM38" i="65"/>
  <c r="BL38" i="65"/>
  <c r="BK38" i="65"/>
  <c r="BJ38" i="65"/>
  <c r="BI38" i="65"/>
  <c r="BH38" i="65"/>
  <c r="BG38" i="65"/>
  <c r="BF38" i="65"/>
  <c r="BE38" i="65"/>
  <c r="BD38" i="65"/>
  <c r="BC38" i="65"/>
  <c r="BB38" i="65"/>
  <c r="BA38" i="65"/>
  <c r="AZ38" i="65"/>
  <c r="AY38" i="65"/>
  <c r="AX38" i="65"/>
  <c r="AW38" i="65"/>
  <c r="AV38" i="65"/>
  <c r="AU38" i="65"/>
  <c r="AT38" i="65"/>
  <c r="AS38" i="65"/>
  <c r="AR38" i="65"/>
  <c r="AQ38" i="65"/>
  <c r="AP38" i="65"/>
  <c r="AO38" i="65"/>
  <c r="AN38" i="65"/>
  <c r="AM38" i="65"/>
  <c r="AL38" i="65"/>
  <c r="AK38" i="65"/>
  <c r="AJ38" i="65"/>
  <c r="AI38" i="65"/>
  <c r="AH38" i="65"/>
  <c r="AG38" i="65"/>
  <c r="AF38" i="65"/>
  <c r="AE38" i="65"/>
  <c r="AD38" i="65"/>
  <c r="AC38" i="65"/>
  <c r="AB38" i="65"/>
  <c r="AA38" i="65"/>
  <c r="Z38" i="65"/>
  <c r="Y38" i="65"/>
  <c r="X38" i="65"/>
  <c r="W38" i="65"/>
  <c r="V38" i="65"/>
  <c r="U38" i="65"/>
  <c r="T38" i="65"/>
  <c r="S38" i="65"/>
  <c r="R38" i="65"/>
  <c r="Q38" i="65"/>
  <c r="P38" i="65"/>
  <c r="O38" i="65"/>
  <c r="N38" i="65"/>
  <c r="M38" i="65"/>
  <c r="L38" i="65"/>
  <c r="K38" i="65"/>
  <c r="J38" i="65"/>
  <c r="I38" i="65"/>
  <c r="H38" i="65"/>
  <c r="G38" i="65"/>
  <c r="F38" i="65"/>
  <c r="E38" i="65"/>
  <c r="D38" i="65"/>
  <c r="C38" i="65"/>
  <c r="FN37" i="65"/>
  <c r="FM37" i="65"/>
  <c r="FL37" i="65"/>
  <c r="FK37" i="65"/>
  <c r="FJ37" i="65"/>
  <c r="FI37" i="65"/>
  <c r="FH37" i="65"/>
  <c r="FG37" i="65"/>
  <c r="FF37" i="65"/>
  <c r="FE37" i="65"/>
  <c r="FD37" i="65"/>
  <c r="FC37" i="65"/>
  <c r="FB37" i="65"/>
  <c r="FA37" i="65"/>
  <c r="EZ37" i="65"/>
  <c r="EY37" i="65"/>
  <c r="EX37" i="65"/>
  <c r="EW37" i="65"/>
  <c r="EV37" i="65"/>
  <c r="EU37" i="65"/>
  <c r="ET37" i="65"/>
  <c r="ES37" i="65"/>
  <c r="ER37" i="65"/>
  <c r="EQ37" i="65"/>
  <c r="EP37" i="65"/>
  <c r="EO37" i="65"/>
  <c r="EN37" i="65"/>
  <c r="EM37" i="65"/>
  <c r="EL37" i="65"/>
  <c r="EK37" i="65"/>
  <c r="EJ37" i="65"/>
  <c r="EI37" i="65"/>
  <c r="EH37" i="65"/>
  <c r="EG37" i="65"/>
  <c r="EF37" i="65"/>
  <c r="EE37" i="65"/>
  <c r="ED37" i="65"/>
  <c r="EC37" i="65"/>
  <c r="EB37" i="65"/>
  <c r="EA37" i="65"/>
  <c r="DZ37" i="65"/>
  <c r="DY37" i="65"/>
  <c r="DX37" i="65"/>
  <c r="DW37" i="65"/>
  <c r="DV37" i="65"/>
  <c r="DU37" i="65"/>
  <c r="DT37" i="65"/>
  <c r="DS37" i="65"/>
  <c r="DR37" i="65"/>
  <c r="DQ37" i="65"/>
  <c r="DP37" i="65"/>
  <c r="DO37" i="65"/>
  <c r="DN37" i="65"/>
  <c r="DM37" i="65"/>
  <c r="DL37" i="65"/>
  <c r="DK37" i="65"/>
  <c r="DJ37" i="65"/>
  <c r="DI37" i="65"/>
  <c r="DH37" i="65"/>
  <c r="DG37" i="65"/>
  <c r="DF37" i="65"/>
  <c r="DE37" i="65"/>
  <c r="DD37" i="65"/>
  <c r="DC37" i="65"/>
  <c r="DB37" i="65"/>
  <c r="DA37" i="65"/>
  <c r="CZ37" i="65"/>
  <c r="CY37" i="65"/>
  <c r="CX37" i="65"/>
  <c r="CW37" i="65"/>
  <c r="CV37" i="65"/>
  <c r="CU37" i="65"/>
  <c r="CT37" i="65"/>
  <c r="CS37" i="65"/>
  <c r="CR37" i="65"/>
  <c r="CQ37" i="65"/>
  <c r="CP37" i="65"/>
  <c r="CO37" i="65"/>
  <c r="CN37" i="65"/>
  <c r="CM37" i="65"/>
  <c r="CL37" i="65"/>
  <c r="CK37" i="65"/>
  <c r="CJ37" i="65"/>
  <c r="CI37" i="65"/>
  <c r="CH37" i="65"/>
  <c r="CG37" i="65"/>
  <c r="CF37" i="65"/>
  <c r="CE37" i="65"/>
  <c r="CD37" i="65"/>
  <c r="CC37" i="65"/>
  <c r="CB37" i="65"/>
  <c r="CA37" i="65"/>
  <c r="BZ37" i="65"/>
  <c r="BY37" i="65"/>
  <c r="BX37" i="65"/>
  <c r="BW37" i="65"/>
  <c r="BV37" i="65"/>
  <c r="BU37" i="65"/>
  <c r="BT37" i="65"/>
  <c r="BS37" i="65"/>
  <c r="BR37" i="65"/>
  <c r="BQ37" i="65"/>
  <c r="BP37" i="65"/>
  <c r="BO37" i="65"/>
  <c r="BN37" i="65"/>
  <c r="BM37" i="65"/>
  <c r="BL37" i="65"/>
  <c r="BK37" i="65"/>
  <c r="BJ37" i="65"/>
  <c r="BI37" i="65"/>
  <c r="BH37" i="65"/>
  <c r="BG37" i="65"/>
  <c r="BF37" i="65"/>
  <c r="BE37" i="65"/>
  <c r="BD37" i="65"/>
  <c r="BC37" i="65"/>
  <c r="BB37" i="65"/>
  <c r="BA37" i="65"/>
  <c r="AZ37" i="65"/>
  <c r="AY37" i="65"/>
  <c r="AX37" i="65"/>
  <c r="AW37" i="65"/>
  <c r="AV37" i="65"/>
  <c r="AU37" i="65"/>
  <c r="AT37" i="65"/>
  <c r="AS37" i="65"/>
  <c r="AR37" i="65"/>
  <c r="AQ37" i="65"/>
  <c r="AP37" i="65"/>
  <c r="AO37" i="65"/>
  <c r="AN37" i="65"/>
  <c r="AM37" i="65"/>
  <c r="AL37" i="65"/>
  <c r="AK37" i="65"/>
  <c r="AJ37" i="65"/>
  <c r="AI37" i="65"/>
  <c r="AH37" i="65"/>
  <c r="AG37" i="65"/>
  <c r="AF37" i="65"/>
  <c r="AE37" i="65"/>
  <c r="AD37" i="65"/>
  <c r="AC37" i="65"/>
  <c r="AB37" i="65"/>
  <c r="AA37" i="65"/>
  <c r="Z37" i="65"/>
  <c r="Y37" i="65"/>
  <c r="X37" i="65"/>
  <c r="W37" i="65"/>
  <c r="V37" i="65"/>
  <c r="U37" i="65"/>
  <c r="T37" i="65"/>
  <c r="S37" i="65"/>
  <c r="R37" i="65"/>
  <c r="Q37" i="65"/>
  <c r="P37" i="65"/>
  <c r="O37" i="65"/>
  <c r="N37" i="65"/>
  <c r="M37" i="65"/>
  <c r="L37" i="65"/>
  <c r="K37" i="65"/>
  <c r="J37" i="65"/>
  <c r="I37" i="65"/>
  <c r="H37" i="65"/>
  <c r="G37" i="65"/>
  <c r="F37" i="65"/>
  <c r="E37" i="65"/>
  <c r="D37" i="65"/>
  <c r="C37" i="65"/>
  <c r="FN36" i="65"/>
  <c r="FM36" i="65"/>
  <c r="FL36" i="65"/>
  <c r="FK36" i="65"/>
  <c r="FJ36" i="65"/>
  <c r="FI36" i="65"/>
  <c r="FH36" i="65"/>
  <c r="FG36" i="65"/>
  <c r="FF36" i="65"/>
  <c r="FE36" i="65"/>
  <c r="FD36" i="65"/>
  <c r="FC36" i="65"/>
  <c r="FB36" i="65"/>
  <c r="FA36" i="65"/>
  <c r="EZ36" i="65"/>
  <c r="EY36" i="65"/>
  <c r="EX36" i="65"/>
  <c r="EW36" i="65"/>
  <c r="EV36" i="65"/>
  <c r="EU36" i="65"/>
  <c r="ET36" i="65"/>
  <c r="ES36" i="65"/>
  <c r="ER36" i="65"/>
  <c r="EQ36" i="65"/>
  <c r="EP36" i="65"/>
  <c r="EO36" i="65"/>
  <c r="EN36" i="65"/>
  <c r="EM36" i="65"/>
  <c r="EL36" i="65"/>
  <c r="EK36" i="65"/>
  <c r="EJ36" i="65"/>
  <c r="EI36" i="65"/>
  <c r="EH36" i="65"/>
  <c r="EG36" i="65"/>
  <c r="EF36" i="65"/>
  <c r="EE36" i="65"/>
  <c r="ED36" i="65"/>
  <c r="EC36" i="65"/>
  <c r="EB36" i="65"/>
  <c r="EA36" i="65"/>
  <c r="DZ36" i="65"/>
  <c r="DY36" i="65"/>
  <c r="DX36" i="65"/>
  <c r="DW36" i="65"/>
  <c r="DV36" i="65"/>
  <c r="DU36" i="65"/>
  <c r="DT36" i="65"/>
  <c r="DS36" i="65"/>
  <c r="DR36" i="65"/>
  <c r="DQ36" i="65"/>
  <c r="DP36" i="65"/>
  <c r="DO36" i="65"/>
  <c r="DN36" i="65"/>
  <c r="DM36" i="65"/>
  <c r="DL36" i="65"/>
  <c r="DK36" i="65"/>
  <c r="DJ36" i="65"/>
  <c r="DI36" i="65"/>
  <c r="DH36" i="65"/>
  <c r="DG36" i="65"/>
  <c r="DF36" i="65"/>
  <c r="DE36" i="65"/>
  <c r="DD36" i="65"/>
  <c r="DC36" i="65"/>
  <c r="DB36" i="65"/>
  <c r="DA36" i="65"/>
  <c r="CZ36" i="65"/>
  <c r="CY36" i="65"/>
  <c r="CX36" i="65"/>
  <c r="CW36" i="65"/>
  <c r="CV36" i="65"/>
  <c r="CU36" i="65"/>
  <c r="CT36" i="65"/>
  <c r="CS36" i="65"/>
  <c r="CR36" i="65"/>
  <c r="CQ36" i="65"/>
  <c r="CP36" i="65"/>
  <c r="CO36" i="65"/>
  <c r="CN36" i="65"/>
  <c r="CM36" i="65"/>
  <c r="CL36" i="65"/>
  <c r="CK36" i="65"/>
  <c r="CJ36" i="65"/>
  <c r="CI36" i="65"/>
  <c r="CH36" i="65"/>
  <c r="CG36" i="65"/>
  <c r="CF36" i="65"/>
  <c r="CE36" i="65"/>
  <c r="CD36" i="65"/>
  <c r="CC36" i="65"/>
  <c r="CB36" i="65"/>
  <c r="CA36" i="65"/>
  <c r="BZ36" i="65"/>
  <c r="BY36" i="65"/>
  <c r="BX36" i="65"/>
  <c r="BW36" i="65"/>
  <c r="BV36" i="65"/>
  <c r="BU36" i="65"/>
  <c r="BT36" i="65"/>
  <c r="BS36" i="65"/>
  <c r="BR36" i="65"/>
  <c r="BQ36" i="65"/>
  <c r="BP36" i="65"/>
  <c r="BO36" i="65"/>
  <c r="BN36" i="65"/>
  <c r="BM36" i="65"/>
  <c r="BL36" i="65"/>
  <c r="BK36" i="65"/>
  <c r="BJ36" i="65"/>
  <c r="BI36" i="65"/>
  <c r="BH36" i="65"/>
  <c r="BG36" i="65"/>
  <c r="BF36" i="65"/>
  <c r="BE36" i="65"/>
  <c r="BD36" i="65"/>
  <c r="BC36" i="65"/>
  <c r="BB36" i="65"/>
  <c r="BA36" i="65"/>
  <c r="AZ36" i="65"/>
  <c r="AY36" i="65"/>
  <c r="AX36" i="65"/>
  <c r="AW36" i="65"/>
  <c r="AV36" i="65"/>
  <c r="AU36" i="65"/>
  <c r="AT36" i="65"/>
  <c r="AS36" i="65"/>
  <c r="AR36" i="65"/>
  <c r="AQ36" i="65"/>
  <c r="AP36" i="65"/>
  <c r="AO36" i="65"/>
  <c r="AN36" i="65"/>
  <c r="AM36" i="65"/>
  <c r="AL36" i="65"/>
  <c r="AK36" i="65"/>
  <c r="AJ36" i="65"/>
  <c r="AI36" i="65"/>
  <c r="AH36" i="65"/>
  <c r="AG36" i="65"/>
  <c r="AF36" i="65"/>
  <c r="AE36" i="65"/>
  <c r="AD36" i="65"/>
  <c r="AC36" i="65"/>
  <c r="AB36" i="65"/>
  <c r="AA36" i="65"/>
  <c r="Z36" i="65"/>
  <c r="Y36" i="65"/>
  <c r="X36" i="65"/>
  <c r="W36" i="65"/>
  <c r="V36" i="65"/>
  <c r="U36" i="65"/>
  <c r="T36" i="65"/>
  <c r="S36" i="65"/>
  <c r="R36" i="65"/>
  <c r="Q36" i="65"/>
  <c r="P36" i="65"/>
  <c r="O36" i="65"/>
  <c r="N36" i="65"/>
  <c r="M36" i="65"/>
  <c r="L36" i="65"/>
  <c r="K36" i="65"/>
  <c r="J36" i="65"/>
  <c r="I36" i="65"/>
  <c r="H36" i="65"/>
  <c r="G36" i="65"/>
  <c r="F36" i="65"/>
  <c r="E36" i="65"/>
  <c r="D36" i="65"/>
  <c r="C36" i="65"/>
  <c r="FN35" i="65"/>
  <c r="FM35" i="65"/>
  <c r="FL35" i="65"/>
  <c r="FK35" i="65"/>
  <c r="FJ35" i="65"/>
  <c r="FI35" i="65"/>
  <c r="FH35" i="65"/>
  <c r="FG35" i="65"/>
  <c r="FF35" i="65"/>
  <c r="FE35" i="65"/>
  <c r="FD35" i="65"/>
  <c r="FC35" i="65"/>
  <c r="FB35" i="65"/>
  <c r="FA35" i="65"/>
  <c r="EZ35" i="65"/>
  <c r="EY35" i="65"/>
  <c r="EX35" i="65"/>
  <c r="EW35" i="65"/>
  <c r="EV35" i="65"/>
  <c r="EU35" i="65"/>
  <c r="ET35" i="65"/>
  <c r="ES35" i="65"/>
  <c r="ER35" i="65"/>
  <c r="EQ35" i="65"/>
  <c r="EP35" i="65"/>
  <c r="EO35" i="65"/>
  <c r="EN35" i="65"/>
  <c r="EM35" i="65"/>
  <c r="EL35" i="65"/>
  <c r="EK35" i="65"/>
  <c r="EJ35" i="65"/>
  <c r="EI35" i="65"/>
  <c r="EH35" i="65"/>
  <c r="EG35" i="65"/>
  <c r="EF35" i="65"/>
  <c r="EE35" i="65"/>
  <c r="ED35" i="65"/>
  <c r="EC35" i="65"/>
  <c r="EB35" i="65"/>
  <c r="EA35" i="65"/>
  <c r="DZ35" i="65"/>
  <c r="DY35" i="65"/>
  <c r="DX35" i="65"/>
  <c r="DW35" i="65"/>
  <c r="DV35" i="65"/>
  <c r="DU35" i="65"/>
  <c r="DT35" i="65"/>
  <c r="DS35" i="65"/>
  <c r="DR35" i="65"/>
  <c r="DQ35" i="65"/>
  <c r="DP35" i="65"/>
  <c r="DO35" i="65"/>
  <c r="DN35" i="65"/>
  <c r="DM35" i="65"/>
  <c r="DL35" i="65"/>
  <c r="DK35" i="65"/>
  <c r="DJ35" i="65"/>
  <c r="DI35" i="65"/>
  <c r="DH35" i="65"/>
  <c r="DG35" i="65"/>
  <c r="DF35" i="65"/>
  <c r="DE35" i="65"/>
  <c r="DD35" i="65"/>
  <c r="DC35" i="65"/>
  <c r="DB35" i="65"/>
  <c r="DA35" i="65"/>
  <c r="CZ35" i="65"/>
  <c r="CY35" i="65"/>
  <c r="CX35" i="65"/>
  <c r="CW35" i="65"/>
  <c r="CV35" i="65"/>
  <c r="CU35" i="65"/>
  <c r="CT35" i="65"/>
  <c r="CS35" i="65"/>
  <c r="CR35" i="65"/>
  <c r="CQ35" i="65"/>
  <c r="CP35" i="65"/>
  <c r="CO35" i="65"/>
  <c r="CN35" i="65"/>
  <c r="CM35" i="65"/>
  <c r="CL35" i="65"/>
  <c r="CK35" i="65"/>
  <c r="CJ35" i="65"/>
  <c r="CI35" i="65"/>
  <c r="CH35" i="65"/>
  <c r="CG35" i="65"/>
  <c r="CF35" i="65"/>
  <c r="CE35" i="65"/>
  <c r="CD35" i="65"/>
  <c r="CC35" i="65"/>
  <c r="CB35" i="65"/>
  <c r="CA35" i="65"/>
  <c r="BZ35" i="65"/>
  <c r="BY35" i="65"/>
  <c r="BX35" i="65"/>
  <c r="BW35" i="65"/>
  <c r="BV35" i="65"/>
  <c r="BU35" i="65"/>
  <c r="BT35" i="65"/>
  <c r="BS35" i="65"/>
  <c r="BR35" i="65"/>
  <c r="BQ35" i="65"/>
  <c r="BP35" i="65"/>
  <c r="BO35" i="65"/>
  <c r="BN35" i="65"/>
  <c r="BM35" i="65"/>
  <c r="BL35" i="65"/>
  <c r="BK35" i="65"/>
  <c r="BJ35" i="65"/>
  <c r="BI35" i="65"/>
  <c r="BH35" i="65"/>
  <c r="BG35" i="65"/>
  <c r="BF35" i="65"/>
  <c r="BE35" i="65"/>
  <c r="BD35" i="65"/>
  <c r="BC35" i="65"/>
  <c r="BB35" i="65"/>
  <c r="BA35" i="65"/>
  <c r="AZ35" i="65"/>
  <c r="AY35" i="65"/>
  <c r="AX35" i="65"/>
  <c r="AW35" i="65"/>
  <c r="AV35" i="65"/>
  <c r="AU35" i="65"/>
  <c r="AT35" i="65"/>
  <c r="AS35" i="65"/>
  <c r="AR35" i="65"/>
  <c r="AQ35" i="65"/>
  <c r="AP35" i="65"/>
  <c r="AO35" i="65"/>
  <c r="AN35" i="65"/>
  <c r="AM35" i="65"/>
  <c r="AL35" i="65"/>
  <c r="AK35" i="65"/>
  <c r="AJ35" i="65"/>
  <c r="AI35" i="65"/>
  <c r="AH35" i="65"/>
  <c r="AG35" i="65"/>
  <c r="AF35" i="65"/>
  <c r="AE35" i="65"/>
  <c r="AD35" i="65"/>
  <c r="AC35" i="65"/>
  <c r="AB35" i="65"/>
  <c r="AA35" i="65"/>
  <c r="Z35" i="65"/>
  <c r="Y35" i="65"/>
  <c r="X35" i="65"/>
  <c r="W35" i="65"/>
  <c r="V35" i="65"/>
  <c r="U35" i="65"/>
  <c r="T35" i="65"/>
  <c r="S35" i="65"/>
  <c r="R35" i="65"/>
  <c r="Q35" i="65"/>
  <c r="P35" i="65"/>
  <c r="O35" i="65"/>
  <c r="N35" i="65"/>
  <c r="M35" i="65"/>
  <c r="L35" i="65"/>
  <c r="K35" i="65"/>
  <c r="J35" i="65"/>
  <c r="I35" i="65"/>
  <c r="H35" i="65"/>
  <c r="G35" i="65"/>
  <c r="F35" i="65"/>
  <c r="E35" i="65"/>
  <c r="D35" i="65"/>
  <c r="C35" i="65"/>
  <c r="FN34" i="65"/>
  <c r="FM34" i="65"/>
  <c r="FL34" i="65"/>
  <c r="FK34" i="65"/>
  <c r="FJ34" i="65"/>
  <c r="FI34" i="65"/>
  <c r="FH34" i="65"/>
  <c r="FG34" i="65"/>
  <c r="FF34" i="65"/>
  <c r="FE34" i="65"/>
  <c r="FD34" i="65"/>
  <c r="FC34" i="65"/>
  <c r="FB34" i="65"/>
  <c r="FA34" i="65"/>
  <c r="EZ34" i="65"/>
  <c r="EY34" i="65"/>
  <c r="EX34" i="65"/>
  <c r="EW34" i="65"/>
  <c r="EV34" i="65"/>
  <c r="EU34" i="65"/>
  <c r="ET34" i="65"/>
  <c r="ES34" i="65"/>
  <c r="ER34" i="65"/>
  <c r="EQ34" i="65"/>
  <c r="EP34" i="65"/>
  <c r="EO34" i="65"/>
  <c r="EN34" i="65"/>
  <c r="EM34" i="65"/>
  <c r="EL34" i="65"/>
  <c r="EK34" i="65"/>
  <c r="EJ34" i="65"/>
  <c r="EI34" i="65"/>
  <c r="EH34" i="65"/>
  <c r="EG34" i="65"/>
  <c r="EF34" i="65"/>
  <c r="EE34" i="65"/>
  <c r="ED34" i="65"/>
  <c r="EC34" i="65"/>
  <c r="EB34" i="65"/>
  <c r="EA34" i="65"/>
  <c r="DZ34" i="65"/>
  <c r="DY34" i="65"/>
  <c r="DX34" i="65"/>
  <c r="DW34" i="65"/>
  <c r="DV34" i="65"/>
  <c r="DU34" i="65"/>
  <c r="DT34" i="65"/>
  <c r="DS34" i="65"/>
  <c r="DR34" i="65"/>
  <c r="DQ34" i="65"/>
  <c r="DP34" i="65"/>
  <c r="DO34" i="65"/>
  <c r="DN34" i="65"/>
  <c r="DM34" i="65"/>
  <c r="DL34" i="65"/>
  <c r="DK34" i="65"/>
  <c r="DJ34" i="65"/>
  <c r="DI34" i="65"/>
  <c r="DH34" i="65"/>
  <c r="DG34" i="65"/>
  <c r="DF34" i="65"/>
  <c r="DE34" i="65"/>
  <c r="DD34" i="65"/>
  <c r="DC34" i="65"/>
  <c r="DB34" i="65"/>
  <c r="DA34" i="65"/>
  <c r="CZ34" i="65"/>
  <c r="CY34" i="65"/>
  <c r="CX34" i="65"/>
  <c r="CW34" i="65"/>
  <c r="CV34" i="65"/>
  <c r="CU34" i="65"/>
  <c r="CT34" i="65"/>
  <c r="CS34" i="65"/>
  <c r="CR34" i="65"/>
  <c r="CQ34" i="65"/>
  <c r="CP34" i="65"/>
  <c r="CO34" i="65"/>
  <c r="CN34" i="65"/>
  <c r="CM34" i="65"/>
  <c r="CL34" i="65"/>
  <c r="CK34" i="65"/>
  <c r="CJ34" i="65"/>
  <c r="CI34" i="65"/>
  <c r="CH34" i="65"/>
  <c r="CG34" i="65"/>
  <c r="CF34" i="65"/>
  <c r="CE34" i="65"/>
  <c r="CD34" i="65"/>
  <c r="CC34" i="65"/>
  <c r="CB34" i="65"/>
  <c r="CA34" i="65"/>
  <c r="BZ34" i="65"/>
  <c r="BY34" i="65"/>
  <c r="BX34" i="65"/>
  <c r="BW34" i="65"/>
  <c r="BV34" i="65"/>
  <c r="BU34" i="65"/>
  <c r="BT34" i="65"/>
  <c r="BS34" i="65"/>
  <c r="BR34" i="65"/>
  <c r="BQ34" i="65"/>
  <c r="BP34" i="65"/>
  <c r="BO34" i="65"/>
  <c r="BN34" i="65"/>
  <c r="BM34" i="65"/>
  <c r="BL34" i="65"/>
  <c r="BK34" i="65"/>
  <c r="BJ34" i="65"/>
  <c r="BI34" i="65"/>
  <c r="BH34" i="65"/>
  <c r="BG34" i="65"/>
  <c r="BF34" i="65"/>
  <c r="BE34" i="65"/>
  <c r="BD34" i="65"/>
  <c r="BC34" i="65"/>
  <c r="BB34" i="65"/>
  <c r="BA34" i="65"/>
  <c r="AZ34" i="65"/>
  <c r="AY34" i="65"/>
  <c r="AX34" i="65"/>
  <c r="AW34" i="65"/>
  <c r="AV34" i="65"/>
  <c r="AU34" i="65"/>
  <c r="AT34" i="65"/>
  <c r="AS34" i="65"/>
  <c r="AR34" i="65"/>
  <c r="AQ34" i="65"/>
  <c r="AP34" i="65"/>
  <c r="AO34" i="65"/>
  <c r="AN34" i="65"/>
  <c r="AM34" i="65"/>
  <c r="AL34" i="65"/>
  <c r="AK34" i="65"/>
  <c r="AJ34" i="65"/>
  <c r="AI34" i="65"/>
  <c r="AH34" i="65"/>
  <c r="AG34" i="65"/>
  <c r="AF34" i="65"/>
  <c r="AE34" i="65"/>
  <c r="AD34" i="65"/>
  <c r="AC34" i="65"/>
  <c r="AB34" i="65"/>
  <c r="AA34" i="65"/>
  <c r="Z34" i="65"/>
  <c r="Y34" i="65"/>
  <c r="X34" i="65"/>
  <c r="W34" i="65"/>
  <c r="V34" i="65"/>
  <c r="U34" i="65"/>
  <c r="T34" i="65"/>
  <c r="S34" i="65"/>
  <c r="R34" i="65"/>
  <c r="Q34" i="65"/>
  <c r="P34" i="65"/>
  <c r="O34" i="65"/>
  <c r="N34" i="65"/>
  <c r="M34" i="65"/>
  <c r="L34" i="65"/>
  <c r="K34" i="65"/>
  <c r="J34" i="65"/>
  <c r="I34" i="65"/>
  <c r="H34" i="65"/>
  <c r="G34" i="65"/>
  <c r="F34" i="65"/>
  <c r="E34" i="65"/>
  <c r="D34" i="65"/>
  <c r="D44" i="65" s="1"/>
  <c r="C34" i="65"/>
  <c r="C44" i="65" s="1"/>
  <c r="E44" i="65"/>
  <c r="FN43" i="64"/>
  <c r="FM43" i="64"/>
  <c r="FL43" i="64"/>
  <c r="FK43" i="64"/>
  <c r="FJ43" i="64"/>
  <c r="FI43" i="64"/>
  <c r="FH43" i="64"/>
  <c r="FG43" i="64"/>
  <c r="FF43" i="64"/>
  <c r="FE43" i="64"/>
  <c r="FD43" i="64"/>
  <c r="FC43" i="64"/>
  <c r="FB43" i="64"/>
  <c r="FA43" i="64"/>
  <c r="EZ43" i="64"/>
  <c r="EY43" i="64"/>
  <c r="EX43" i="64"/>
  <c r="EW43" i="64"/>
  <c r="EV43" i="64"/>
  <c r="EU43" i="64"/>
  <c r="ET43" i="64"/>
  <c r="ES43" i="64"/>
  <c r="ER43" i="64"/>
  <c r="EQ43" i="64"/>
  <c r="EP43" i="64"/>
  <c r="EO43" i="64"/>
  <c r="EN43" i="64"/>
  <c r="EM43" i="64"/>
  <c r="EL43" i="64"/>
  <c r="EK43" i="64"/>
  <c r="EJ43" i="64"/>
  <c r="EI43" i="64"/>
  <c r="EH43" i="64"/>
  <c r="EG43" i="64"/>
  <c r="EF43" i="64"/>
  <c r="EE43" i="64"/>
  <c r="ED43" i="64"/>
  <c r="EC43" i="64"/>
  <c r="EB43" i="64"/>
  <c r="EA43" i="64"/>
  <c r="DZ43" i="64"/>
  <c r="DY43" i="64"/>
  <c r="DX43" i="64"/>
  <c r="DW43" i="64"/>
  <c r="DV43" i="64"/>
  <c r="DU43" i="64"/>
  <c r="DT43" i="64"/>
  <c r="DS43" i="64"/>
  <c r="DR43" i="64"/>
  <c r="DQ43" i="64"/>
  <c r="DP43" i="64"/>
  <c r="DO43" i="64"/>
  <c r="DN43" i="64"/>
  <c r="DM43" i="64"/>
  <c r="DL43" i="64"/>
  <c r="DK43" i="64"/>
  <c r="DJ43" i="64"/>
  <c r="DI43" i="64"/>
  <c r="DH43" i="64"/>
  <c r="DG43" i="64"/>
  <c r="DF43" i="64"/>
  <c r="DE43" i="64"/>
  <c r="DD43" i="64"/>
  <c r="DC43" i="64"/>
  <c r="DB43" i="64"/>
  <c r="DA43" i="64"/>
  <c r="CZ43" i="64"/>
  <c r="CY43" i="64"/>
  <c r="CX43" i="64"/>
  <c r="CW43" i="64"/>
  <c r="CV43" i="64"/>
  <c r="CU43" i="64"/>
  <c r="CT43" i="64"/>
  <c r="CS43" i="64"/>
  <c r="CR43" i="64"/>
  <c r="CQ43" i="64"/>
  <c r="CP43" i="64"/>
  <c r="CO43" i="64"/>
  <c r="CN43" i="64"/>
  <c r="CM43" i="64"/>
  <c r="CL43" i="64"/>
  <c r="CK43" i="64"/>
  <c r="CJ43" i="64"/>
  <c r="CI43" i="64"/>
  <c r="CH43" i="64"/>
  <c r="CG43" i="64"/>
  <c r="CF43" i="64"/>
  <c r="CE43" i="64"/>
  <c r="CD43" i="64"/>
  <c r="CC43" i="64"/>
  <c r="CB43" i="64"/>
  <c r="CA43" i="64"/>
  <c r="BZ43" i="64"/>
  <c r="BY43" i="64"/>
  <c r="BX43" i="64"/>
  <c r="BW43" i="64"/>
  <c r="BV43" i="64"/>
  <c r="BU43" i="64"/>
  <c r="BT43" i="64"/>
  <c r="BS43" i="64"/>
  <c r="BR43" i="64"/>
  <c r="BQ43" i="64"/>
  <c r="BP43" i="64"/>
  <c r="BO43" i="64"/>
  <c r="BN43" i="64"/>
  <c r="BM43" i="64"/>
  <c r="BL43" i="64"/>
  <c r="BK43" i="64"/>
  <c r="BJ43" i="64"/>
  <c r="BI43" i="64"/>
  <c r="BH43" i="64"/>
  <c r="BG43" i="64"/>
  <c r="BF43" i="64"/>
  <c r="BE43" i="64"/>
  <c r="BD43" i="64"/>
  <c r="BC43" i="64"/>
  <c r="BB43" i="64"/>
  <c r="BA43" i="64"/>
  <c r="AZ43" i="64"/>
  <c r="AY43" i="64"/>
  <c r="AX43" i="64"/>
  <c r="AW43" i="64"/>
  <c r="AV43" i="64"/>
  <c r="AU43" i="64"/>
  <c r="AT43" i="64"/>
  <c r="AS43" i="64"/>
  <c r="AR43" i="64"/>
  <c r="AQ43" i="64"/>
  <c r="AP43" i="64"/>
  <c r="AO43" i="64"/>
  <c r="AN43" i="64"/>
  <c r="AM43" i="64"/>
  <c r="AL43" i="64"/>
  <c r="AK43" i="64"/>
  <c r="AJ43" i="64"/>
  <c r="AI43" i="64"/>
  <c r="AH43" i="64"/>
  <c r="AG43" i="64"/>
  <c r="AF43" i="64"/>
  <c r="AE43" i="64"/>
  <c r="AD43" i="64"/>
  <c r="AC43" i="64"/>
  <c r="AB43" i="64"/>
  <c r="AA43" i="64"/>
  <c r="Z43" i="64"/>
  <c r="Y43" i="64"/>
  <c r="X43" i="64"/>
  <c r="W43" i="64"/>
  <c r="V43" i="64"/>
  <c r="U43" i="64"/>
  <c r="T43" i="64"/>
  <c r="S43" i="64"/>
  <c r="R43" i="64"/>
  <c r="Q43" i="64"/>
  <c r="P43" i="64"/>
  <c r="O43" i="64"/>
  <c r="N43" i="64"/>
  <c r="M43" i="64"/>
  <c r="L43" i="64"/>
  <c r="K43" i="64"/>
  <c r="J43" i="64"/>
  <c r="I43" i="64"/>
  <c r="H43" i="64"/>
  <c r="G43" i="64"/>
  <c r="F43" i="64"/>
  <c r="E43" i="64"/>
  <c r="D43" i="64"/>
  <c r="C43" i="64"/>
  <c r="FN42" i="64"/>
  <c r="FM42" i="64"/>
  <c r="FL42" i="64"/>
  <c r="FK42" i="64"/>
  <c r="FJ42" i="64"/>
  <c r="FI42" i="64"/>
  <c r="FH42" i="64"/>
  <c r="FG42" i="64"/>
  <c r="FF42" i="64"/>
  <c r="FE42" i="64"/>
  <c r="FD42" i="64"/>
  <c r="FC42" i="64"/>
  <c r="FB42" i="64"/>
  <c r="FA42" i="64"/>
  <c r="EZ42" i="64"/>
  <c r="EY42" i="64"/>
  <c r="EX42" i="64"/>
  <c r="EW42" i="64"/>
  <c r="EV42" i="64"/>
  <c r="EU42" i="64"/>
  <c r="ET42" i="64"/>
  <c r="ES42" i="64"/>
  <c r="ER42" i="64"/>
  <c r="EQ42" i="64"/>
  <c r="EP42" i="64"/>
  <c r="EO42" i="64"/>
  <c r="EN42" i="64"/>
  <c r="EM42" i="64"/>
  <c r="EL42" i="64"/>
  <c r="EK42" i="64"/>
  <c r="EJ42" i="64"/>
  <c r="EI42" i="64"/>
  <c r="EH42" i="64"/>
  <c r="EG42" i="64"/>
  <c r="EF42" i="64"/>
  <c r="EE42" i="64"/>
  <c r="ED42" i="64"/>
  <c r="EC42" i="64"/>
  <c r="EB42" i="64"/>
  <c r="EA42" i="64"/>
  <c r="DZ42" i="64"/>
  <c r="DY42" i="64"/>
  <c r="DX42" i="64"/>
  <c r="DW42" i="64"/>
  <c r="DV42" i="64"/>
  <c r="DU42" i="64"/>
  <c r="DT42" i="64"/>
  <c r="DS42" i="64"/>
  <c r="DR42" i="64"/>
  <c r="DQ42" i="64"/>
  <c r="DP42" i="64"/>
  <c r="DO42" i="64"/>
  <c r="DN42" i="64"/>
  <c r="DM42" i="64"/>
  <c r="DL42" i="64"/>
  <c r="DK42" i="64"/>
  <c r="DJ42" i="64"/>
  <c r="DI42" i="64"/>
  <c r="DH42" i="64"/>
  <c r="DG42" i="64"/>
  <c r="DF42" i="64"/>
  <c r="DE42" i="64"/>
  <c r="DD42" i="64"/>
  <c r="DC42" i="64"/>
  <c r="DB42" i="64"/>
  <c r="DA42" i="64"/>
  <c r="CZ42" i="64"/>
  <c r="CY42" i="64"/>
  <c r="CX42" i="64"/>
  <c r="CW42" i="64"/>
  <c r="CV42" i="64"/>
  <c r="CU42" i="64"/>
  <c r="CT42" i="64"/>
  <c r="CS42" i="64"/>
  <c r="CR42" i="64"/>
  <c r="CQ42" i="64"/>
  <c r="CP42" i="64"/>
  <c r="CO42" i="64"/>
  <c r="CN42" i="64"/>
  <c r="CM42" i="64"/>
  <c r="CL42" i="64"/>
  <c r="CK42" i="64"/>
  <c r="CJ42" i="64"/>
  <c r="CI42" i="64"/>
  <c r="CH42" i="64"/>
  <c r="CG42" i="64"/>
  <c r="CF42" i="64"/>
  <c r="CE42" i="64"/>
  <c r="CD42" i="64"/>
  <c r="CC42" i="64"/>
  <c r="CB42" i="64"/>
  <c r="CA42" i="64"/>
  <c r="BZ42" i="64"/>
  <c r="BY42" i="64"/>
  <c r="BX42" i="64"/>
  <c r="BW42" i="64"/>
  <c r="BV42" i="64"/>
  <c r="BU42" i="64"/>
  <c r="BT42" i="64"/>
  <c r="BS42" i="64"/>
  <c r="BR42" i="64"/>
  <c r="BQ42" i="64"/>
  <c r="BP42" i="64"/>
  <c r="BO42" i="64"/>
  <c r="BN42" i="64"/>
  <c r="BM42" i="64"/>
  <c r="BL42" i="64"/>
  <c r="BK42" i="64"/>
  <c r="BJ42" i="64"/>
  <c r="BI42" i="64"/>
  <c r="BH42" i="64"/>
  <c r="BG42" i="64"/>
  <c r="BF42" i="64"/>
  <c r="BE42" i="64"/>
  <c r="BD42" i="64"/>
  <c r="BC42" i="64"/>
  <c r="BB42" i="64"/>
  <c r="BA42" i="64"/>
  <c r="AZ42" i="64"/>
  <c r="AY42" i="64"/>
  <c r="AX42" i="64"/>
  <c r="AW42" i="64"/>
  <c r="AV42" i="64"/>
  <c r="AU42" i="64"/>
  <c r="AT42" i="64"/>
  <c r="AS42" i="64"/>
  <c r="AR42" i="64"/>
  <c r="AQ42" i="64"/>
  <c r="AP42" i="64"/>
  <c r="AO42" i="64"/>
  <c r="AN42" i="64"/>
  <c r="AM42" i="64"/>
  <c r="AL42" i="64"/>
  <c r="AK42" i="64"/>
  <c r="AJ42" i="64"/>
  <c r="AI42" i="64"/>
  <c r="AH42" i="64"/>
  <c r="AG42" i="64"/>
  <c r="AF42" i="64"/>
  <c r="AE42" i="64"/>
  <c r="AD42" i="64"/>
  <c r="AC42" i="64"/>
  <c r="AB42" i="64"/>
  <c r="AA42" i="64"/>
  <c r="Z42" i="64"/>
  <c r="Y42" i="64"/>
  <c r="X42" i="64"/>
  <c r="W42" i="64"/>
  <c r="V42" i="64"/>
  <c r="U42" i="64"/>
  <c r="T42" i="64"/>
  <c r="S42" i="64"/>
  <c r="R42" i="64"/>
  <c r="Q42" i="64"/>
  <c r="P42" i="64"/>
  <c r="O42" i="64"/>
  <c r="N42" i="64"/>
  <c r="M42" i="64"/>
  <c r="L42" i="64"/>
  <c r="K42" i="64"/>
  <c r="J42" i="64"/>
  <c r="I42" i="64"/>
  <c r="H42" i="64"/>
  <c r="G42" i="64"/>
  <c r="F42" i="64"/>
  <c r="E42" i="64"/>
  <c r="D42" i="64"/>
  <c r="C42" i="64"/>
  <c r="E41" i="64"/>
  <c r="D41" i="64"/>
  <c r="C41" i="64"/>
  <c r="FN40" i="64"/>
  <c r="FM40" i="64"/>
  <c r="FL40" i="64"/>
  <c r="FK40" i="64"/>
  <c r="FJ40" i="64"/>
  <c r="FI40" i="64"/>
  <c r="FH40" i="64"/>
  <c r="FG40" i="64"/>
  <c r="FF40" i="64"/>
  <c r="FE40" i="64"/>
  <c r="FD40" i="64"/>
  <c r="FC40" i="64"/>
  <c r="FB40" i="64"/>
  <c r="FA40" i="64"/>
  <c r="EZ40" i="64"/>
  <c r="EY40" i="64"/>
  <c r="EX40" i="64"/>
  <c r="EW40" i="64"/>
  <c r="EV40" i="64"/>
  <c r="EU40" i="64"/>
  <c r="ET40" i="64"/>
  <c r="ES40" i="64"/>
  <c r="ER40" i="64"/>
  <c r="EQ40" i="64"/>
  <c r="EP40" i="64"/>
  <c r="EO40" i="64"/>
  <c r="EN40" i="64"/>
  <c r="EM40" i="64"/>
  <c r="EL40" i="64"/>
  <c r="EK40" i="64"/>
  <c r="EJ40" i="64"/>
  <c r="EI40" i="64"/>
  <c r="EH40" i="64"/>
  <c r="EG40" i="64"/>
  <c r="EF40" i="64"/>
  <c r="EE40" i="64"/>
  <c r="ED40" i="64"/>
  <c r="EC40" i="64"/>
  <c r="EB40" i="64"/>
  <c r="EA40" i="64"/>
  <c r="DZ40" i="64"/>
  <c r="DY40" i="64"/>
  <c r="DX40" i="64"/>
  <c r="DW40" i="64"/>
  <c r="DV40" i="64"/>
  <c r="DU40" i="64"/>
  <c r="DT40" i="64"/>
  <c r="DS40" i="64"/>
  <c r="DR40" i="64"/>
  <c r="DQ40" i="64"/>
  <c r="DP40" i="64"/>
  <c r="DO40" i="64"/>
  <c r="DN40" i="64"/>
  <c r="DM40" i="64"/>
  <c r="DL40" i="64"/>
  <c r="DK40" i="64"/>
  <c r="DJ40" i="64"/>
  <c r="DI40" i="64"/>
  <c r="DH40" i="64"/>
  <c r="DG40" i="64"/>
  <c r="DF40" i="64"/>
  <c r="DE40" i="64"/>
  <c r="DD40" i="64"/>
  <c r="DC40" i="64"/>
  <c r="DB40" i="64"/>
  <c r="DA40" i="64"/>
  <c r="CZ40" i="64"/>
  <c r="CY40" i="64"/>
  <c r="CX40" i="64"/>
  <c r="CW40" i="64"/>
  <c r="CV40" i="64"/>
  <c r="CU40" i="64"/>
  <c r="CT40" i="64"/>
  <c r="CS40" i="64"/>
  <c r="CR40" i="64"/>
  <c r="CQ40" i="64"/>
  <c r="CP40" i="64"/>
  <c r="CO40" i="64"/>
  <c r="CN40" i="64"/>
  <c r="CM40" i="64"/>
  <c r="CL40" i="64"/>
  <c r="CK40" i="64"/>
  <c r="CJ40" i="64"/>
  <c r="CI40" i="64"/>
  <c r="CH40" i="64"/>
  <c r="CG40" i="64"/>
  <c r="CF40" i="64"/>
  <c r="CE40" i="64"/>
  <c r="CD40" i="64"/>
  <c r="CC40" i="64"/>
  <c r="CB40" i="64"/>
  <c r="CA40" i="64"/>
  <c r="BZ40" i="64"/>
  <c r="BY40" i="64"/>
  <c r="BX40" i="64"/>
  <c r="BW40" i="64"/>
  <c r="BV40" i="64"/>
  <c r="BU40" i="64"/>
  <c r="BT40" i="64"/>
  <c r="BS40" i="64"/>
  <c r="BR40" i="64"/>
  <c r="BQ40" i="64"/>
  <c r="BP40" i="64"/>
  <c r="BO40" i="64"/>
  <c r="BN40" i="64"/>
  <c r="BM40" i="64"/>
  <c r="BL40" i="64"/>
  <c r="BK40" i="64"/>
  <c r="BJ40" i="64"/>
  <c r="BI40" i="64"/>
  <c r="BH40" i="64"/>
  <c r="BG40" i="64"/>
  <c r="BF40" i="64"/>
  <c r="BE40" i="64"/>
  <c r="BD40" i="64"/>
  <c r="BC40" i="64"/>
  <c r="BB40" i="64"/>
  <c r="BA40" i="64"/>
  <c r="AZ40" i="64"/>
  <c r="AY40" i="64"/>
  <c r="AX40" i="64"/>
  <c r="AW40" i="64"/>
  <c r="AV40" i="64"/>
  <c r="AU40" i="64"/>
  <c r="AT40" i="64"/>
  <c r="AS40" i="64"/>
  <c r="AR40" i="64"/>
  <c r="AQ40" i="64"/>
  <c r="AP40" i="64"/>
  <c r="AO40" i="64"/>
  <c r="AN40" i="64"/>
  <c r="AM40" i="64"/>
  <c r="AL40" i="64"/>
  <c r="AK40" i="64"/>
  <c r="AJ40" i="64"/>
  <c r="AI40" i="64"/>
  <c r="AH40" i="64"/>
  <c r="AG40" i="64"/>
  <c r="AF40" i="64"/>
  <c r="AE40" i="64"/>
  <c r="AD40" i="64"/>
  <c r="AC40" i="64"/>
  <c r="AB40" i="64"/>
  <c r="AA40" i="64"/>
  <c r="Z40" i="64"/>
  <c r="Y40" i="64"/>
  <c r="X40" i="64"/>
  <c r="W40" i="64"/>
  <c r="V40" i="64"/>
  <c r="U40" i="64"/>
  <c r="T40" i="64"/>
  <c r="S40" i="64"/>
  <c r="R40" i="64"/>
  <c r="Q40" i="64"/>
  <c r="P40" i="64"/>
  <c r="O40" i="64"/>
  <c r="N40" i="64"/>
  <c r="M40" i="64"/>
  <c r="L40" i="64"/>
  <c r="K40" i="64"/>
  <c r="J40" i="64"/>
  <c r="I40" i="64"/>
  <c r="H40" i="64"/>
  <c r="G40" i="64"/>
  <c r="F40" i="64"/>
  <c r="E40" i="64"/>
  <c r="D40" i="64"/>
  <c r="C40" i="64"/>
  <c r="FN39" i="64"/>
  <c r="FM39" i="64"/>
  <c r="FL39" i="64"/>
  <c r="FK39" i="64"/>
  <c r="FJ39" i="64"/>
  <c r="FI39" i="64"/>
  <c r="FH39" i="64"/>
  <c r="FG39" i="64"/>
  <c r="FF39" i="64"/>
  <c r="FE39" i="64"/>
  <c r="FD39" i="64"/>
  <c r="FC39" i="64"/>
  <c r="FB39" i="64"/>
  <c r="FA39" i="64"/>
  <c r="EZ39" i="64"/>
  <c r="EY39" i="64"/>
  <c r="EX39" i="64"/>
  <c r="EW39" i="64"/>
  <c r="EV39" i="64"/>
  <c r="EU39" i="64"/>
  <c r="ET39" i="64"/>
  <c r="ES39" i="64"/>
  <c r="ER39" i="64"/>
  <c r="EQ39" i="64"/>
  <c r="EP39" i="64"/>
  <c r="EO39" i="64"/>
  <c r="EN39" i="64"/>
  <c r="EM39" i="64"/>
  <c r="EL39" i="64"/>
  <c r="EK39" i="64"/>
  <c r="EJ39" i="64"/>
  <c r="EI39" i="64"/>
  <c r="EH39" i="64"/>
  <c r="EG39" i="64"/>
  <c r="EF39" i="64"/>
  <c r="EE39" i="64"/>
  <c r="ED39" i="64"/>
  <c r="EC39" i="64"/>
  <c r="EB39" i="64"/>
  <c r="EA39" i="64"/>
  <c r="DZ39" i="64"/>
  <c r="DY39" i="64"/>
  <c r="DX39" i="64"/>
  <c r="DW39" i="64"/>
  <c r="DV39" i="64"/>
  <c r="DU39" i="64"/>
  <c r="DT39" i="64"/>
  <c r="DS39" i="64"/>
  <c r="DR39" i="64"/>
  <c r="DQ39" i="64"/>
  <c r="DP39" i="64"/>
  <c r="DO39" i="64"/>
  <c r="DN39" i="64"/>
  <c r="DM39" i="64"/>
  <c r="DL39" i="64"/>
  <c r="DK39" i="64"/>
  <c r="DJ39" i="64"/>
  <c r="DI39" i="64"/>
  <c r="DH39" i="64"/>
  <c r="DG39" i="64"/>
  <c r="DF39" i="64"/>
  <c r="DE39" i="64"/>
  <c r="DD39" i="64"/>
  <c r="DC39" i="64"/>
  <c r="DB39" i="64"/>
  <c r="DA39" i="64"/>
  <c r="CZ39" i="64"/>
  <c r="CY39" i="64"/>
  <c r="CX39" i="64"/>
  <c r="CW39" i="64"/>
  <c r="CV39" i="64"/>
  <c r="CU39" i="64"/>
  <c r="CT39" i="64"/>
  <c r="CS39" i="64"/>
  <c r="CR39" i="64"/>
  <c r="CQ39" i="64"/>
  <c r="CP39" i="64"/>
  <c r="CO39" i="64"/>
  <c r="CN39" i="64"/>
  <c r="CM39" i="64"/>
  <c r="CL39" i="64"/>
  <c r="CK39" i="64"/>
  <c r="CJ39" i="64"/>
  <c r="CI39" i="64"/>
  <c r="CH39" i="64"/>
  <c r="CG39" i="64"/>
  <c r="CF39" i="64"/>
  <c r="CE39" i="64"/>
  <c r="CD39" i="64"/>
  <c r="CC39" i="64"/>
  <c r="CB39" i="64"/>
  <c r="CA39" i="64"/>
  <c r="BZ39" i="64"/>
  <c r="BY39" i="64"/>
  <c r="BX39" i="64"/>
  <c r="BW39" i="64"/>
  <c r="BV39" i="64"/>
  <c r="BU39" i="64"/>
  <c r="BT39" i="64"/>
  <c r="BS39" i="64"/>
  <c r="BR39" i="64"/>
  <c r="BQ39" i="64"/>
  <c r="BP39" i="64"/>
  <c r="BO39" i="64"/>
  <c r="BN39" i="64"/>
  <c r="BM39" i="64"/>
  <c r="BL39" i="64"/>
  <c r="BK39" i="64"/>
  <c r="BJ39" i="64"/>
  <c r="BI39" i="64"/>
  <c r="BH39" i="64"/>
  <c r="BG39" i="64"/>
  <c r="BF39" i="64"/>
  <c r="BE39" i="64"/>
  <c r="BD39" i="64"/>
  <c r="BC39" i="64"/>
  <c r="BB39" i="64"/>
  <c r="BA39" i="64"/>
  <c r="AZ39" i="64"/>
  <c r="AY39" i="64"/>
  <c r="AX39" i="64"/>
  <c r="AW39" i="64"/>
  <c r="AV39" i="64"/>
  <c r="AU39" i="64"/>
  <c r="AT39" i="64"/>
  <c r="AS39" i="64"/>
  <c r="AR39" i="64"/>
  <c r="AQ39" i="64"/>
  <c r="AP39" i="64"/>
  <c r="AO39" i="64"/>
  <c r="AN39" i="64"/>
  <c r="AM39" i="64"/>
  <c r="AL39" i="64"/>
  <c r="AK39" i="64"/>
  <c r="AJ39" i="64"/>
  <c r="AI39" i="64"/>
  <c r="AH39" i="64"/>
  <c r="AG39" i="64"/>
  <c r="AF39" i="64"/>
  <c r="AE39" i="64"/>
  <c r="AD39" i="64"/>
  <c r="AC39" i="64"/>
  <c r="AB39" i="64"/>
  <c r="AA39" i="64"/>
  <c r="Z39" i="64"/>
  <c r="Y39" i="64"/>
  <c r="X39" i="64"/>
  <c r="W39" i="64"/>
  <c r="V39" i="64"/>
  <c r="U39" i="64"/>
  <c r="T39" i="64"/>
  <c r="S39" i="64"/>
  <c r="R39" i="64"/>
  <c r="Q39" i="64"/>
  <c r="P39" i="64"/>
  <c r="O39" i="64"/>
  <c r="N39" i="64"/>
  <c r="M39" i="64"/>
  <c r="L39" i="64"/>
  <c r="K39" i="64"/>
  <c r="J39" i="64"/>
  <c r="I39" i="64"/>
  <c r="H39" i="64"/>
  <c r="G39" i="64"/>
  <c r="F39" i="64"/>
  <c r="E39" i="64"/>
  <c r="D39" i="64"/>
  <c r="C39" i="64"/>
  <c r="FN38" i="64"/>
  <c r="FM38" i="64"/>
  <c r="FL38" i="64"/>
  <c r="FK38" i="64"/>
  <c r="FJ38" i="64"/>
  <c r="FI38" i="64"/>
  <c r="FH38" i="64"/>
  <c r="FG38" i="64"/>
  <c r="FF38" i="64"/>
  <c r="FE38" i="64"/>
  <c r="FD38" i="64"/>
  <c r="FC38" i="64"/>
  <c r="FB38" i="64"/>
  <c r="FA38" i="64"/>
  <c r="EZ38" i="64"/>
  <c r="EY38" i="64"/>
  <c r="EX38" i="64"/>
  <c r="EW38" i="64"/>
  <c r="EV38" i="64"/>
  <c r="EU38" i="64"/>
  <c r="ET38" i="64"/>
  <c r="ES38" i="64"/>
  <c r="ER38" i="64"/>
  <c r="EQ38" i="64"/>
  <c r="EP38" i="64"/>
  <c r="EO38" i="64"/>
  <c r="EN38" i="64"/>
  <c r="EM38" i="64"/>
  <c r="EL38" i="64"/>
  <c r="EK38" i="64"/>
  <c r="EJ38" i="64"/>
  <c r="EI38" i="64"/>
  <c r="EH38" i="64"/>
  <c r="EG38" i="64"/>
  <c r="EF38" i="64"/>
  <c r="EE38" i="64"/>
  <c r="ED38" i="64"/>
  <c r="EC38" i="64"/>
  <c r="EB38" i="64"/>
  <c r="EA38" i="64"/>
  <c r="DZ38" i="64"/>
  <c r="DY38" i="64"/>
  <c r="DX38" i="64"/>
  <c r="DW38" i="64"/>
  <c r="DV38" i="64"/>
  <c r="DU38" i="64"/>
  <c r="DT38" i="64"/>
  <c r="DS38" i="64"/>
  <c r="DR38" i="64"/>
  <c r="DQ38" i="64"/>
  <c r="DP38" i="64"/>
  <c r="DO38" i="64"/>
  <c r="DN38" i="64"/>
  <c r="DM38" i="64"/>
  <c r="DL38" i="64"/>
  <c r="DK38" i="64"/>
  <c r="DJ38" i="64"/>
  <c r="DI38" i="64"/>
  <c r="DH38" i="64"/>
  <c r="DG38" i="64"/>
  <c r="DF38" i="64"/>
  <c r="DE38" i="64"/>
  <c r="DD38" i="64"/>
  <c r="DC38" i="64"/>
  <c r="DB38" i="64"/>
  <c r="DA38" i="64"/>
  <c r="CZ38" i="64"/>
  <c r="CY38" i="64"/>
  <c r="CX38" i="64"/>
  <c r="CW38" i="64"/>
  <c r="CV38" i="64"/>
  <c r="CU38" i="64"/>
  <c r="CT38" i="64"/>
  <c r="CS38" i="64"/>
  <c r="CR38" i="64"/>
  <c r="CQ38" i="64"/>
  <c r="CP38" i="64"/>
  <c r="CO38" i="64"/>
  <c r="CN38" i="64"/>
  <c r="CM38" i="64"/>
  <c r="CL38" i="64"/>
  <c r="CK38" i="64"/>
  <c r="CJ38" i="64"/>
  <c r="CI38" i="64"/>
  <c r="CH38" i="64"/>
  <c r="CG38" i="64"/>
  <c r="CF38" i="64"/>
  <c r="CE38" i="64"/>
  <c r="CD38" i="64"/>
  <c r="CC38" i="64"/>
  <c r="CB38" i="64"/>
  <c r="CA38" i="64"/>
  <c r="BZ38" i="64"/>
  <c r="BY38" i="64"/>
  <c r="BX38" i="64"/>
  <c r="BW38" i="64"/>
  <c r="BV38" i="64"/>
  <c r="BU38" i="64"/>
  <c r="BT38" i="64"/>
  <c r="BS38" i="64"/>
  <c r="BR38" i="64"/>
  <c r="BQ38" i="64"/>
  <c r="BP38" i="64"/>
  <c r="BO38" i="64"/>
  <c r="BN38" i="64"/>
  <c r="BM38" i="64"/>
  <c r="BL38" i="64"/>
  <c r="BK38" i="64"/>
  <c r="BJ38" i="64"/>
  <c r="BI38" i="64"/>
  <c r="BH38" i="64"/>
  <c r="BG38" i="64"/>
  <c r="BF38" i="64"/>
  <c r="BE38" i="64"/>
  <c r="BD38" i="64"/>
  <c r="BC38" i="64"/>
  <c r="BB38" i="64"/>
  <c r="BA38" i="64"/>
  <c r="AZ38" i="64"/>
  <c r="AY38" i="64"/>
  <c r="AX38" i="64"/>
  <c r="AW38" i="64"/>
  <c r="AV38" i="64"/>
  <c r="AU38" i="64"/>
  <c r="AT38" i="64"/>
  <c r="AS38" i="64"/>
  <c r="AR38" i="64"/>
  <c r="AQ38" i="64"/>
  <c r="AP38" i="64"/>
  <c r="AO38" i="64"/>
  <c r="AN38" i="64"/>
  <c r="AM38" i="64"/>
  <c r="AL38" i="64"/>
  <c r="AK38" i="64"/>
  <c r="AJ38" i="64"/>
  <c r="AI38" i="64"/>
  <c r="AH38" i="64"/>
  <c r="AG38" i="64"/>
  <c r="AF38" i="64"/>
  <c r="AE38" i="64"/>
  <c r="AD38" i="64"/>
  <c r="AC38" i="64"/>
  <c r="AB38" i="64"/>
  <c r="AA38" i="64"/>
  <c r="Z38" i="64"/>
  <c r="Y38" i="64"/>
  <c r="X38" i="64"/>
  <c r="W38" i="64"/>
  <c r="V38" i="64"/>
  <c r="U38" i="64"/>
  <c r="T38" i="64"/>
  <c r="S38" i="64"/>
  <c r="R38" i="64"/>
  <c r="Q38" i="64"/>
  <c r="P38" i="64"/>
  <c r="O38" i="64"/>
  <c r="N38" i="64"/>
  <c r="M38" i="64"/>
  <c r="L38" i="64"/>
  <c r="K38" i="64"/>
  <c r="J38" i="64"/>
  <c r="I38" i="64"/>
  <c r="H38" i="64"/>
  <c r="G38" i="64"/>
  <c r="F38" i="64"/>
  <c r="E38" i="64"/>
  <c r="D38" i="64"/>
  <c r="C38" i="64"/>
  <c r="FN37" i="64"/>
  <c r="FM37" i="64"/>
  <c r="FL37" i="64"/>
  <c r="FK37" i="64"/>
  <c r="FJ37" i="64"/>
  <c r="FI37" i="64"/>
  <c r="FH37" i="64"/>
  <c r="FG37" i="64"/>
  <c r="FF37" i="64"/>
  <c r="FE37" i="64"/>
  <c r="FD37" i="64"/>
  <c r="FC37" i="64"/>
  <c r="FB37" i="64"/>
  <c r="FA37" i="64"/>
  <c r="EZ37" i="64"/>
  <c r="EY37" i="64"/>
  <c r="EX37" i="64"/>
  <c r="EW37" i="64"/>
  <c r="EV37" i="64"/>
  <c r="EU37" i="64"/>
  <c r="ET37" i="64"/>
  <c r="ES37" i="64"/>
  <c r="ER37" i="64"/>
  <c r="EQ37" i="64"/>
  <c r="EP37" i="64"/>
  <c r="EO37" i="64"/>
  <c r="EN37" i="64"/>
  <c r="EM37" i="64"/>
  <c r="EL37" i="64"/>
  <c r="EK37" i="64"/>
  <c r="EJ37" i="64"/>
  <c r="EI37" i="64"/>
  <c r="EH37" i="64"/>
  <c r="EG37" i="64"/>
  <c r="EF37" i="64"/>
  <c r="EE37" i="64"/>
  <c r="ED37" i="64"/>
  <c r="EC37" i="64"/>
  <c r="EB37" i="64"/>
  <c r="EA37" i="64"/>
  <c r="DZ37" i="64"/>
  <c r="DY37" i="64"/>
  <c r="DX37" i="64"/>
  <c r="DW37" i="64"/>
  <c r="DV37" i="64"/>
  <c r="DU37" i="64"/>
  <c r="DT37" i="64"/>
  <c r="DS37" i="64"/>
  <c r="DR37" i="64"/>
  <c r="DQ37" i="64"/>
  <c r="DP37" i="64"/>
  <c r="DO37" i="64"/>
  <c r="DN37" i="64"/>
  <c r="DM37" i="64"/>
  <c r="DL37" i="64"/>
  <c r="DK37" i="64"/>
  <c r="DJ37" i="64"/>
  <c r="DI37" i="64"/>
  <c r="DH37" i="64"/>
  <c r="DG37" i="64"/>
  <c r="DF37" i="64"/>
  <c r="DE37" i="64"/>
  <c r="DD37" i="64"/>
  <c r="DC37" i="64"/>
  <c r="DB37" i="64"/>
  <c r="DA37" i="64"/>
  <c r="CZ37" i="64"/>
  <c r="CY37" i="64"/>
  <c r="CX37" i="64"/>
  <c r="CW37" i="64"/>
  <c r="CV37" i="64"/>
  <c r="CU37" i="64"/>
  <c r="CT37" i="64"/>
  <c r="CS37" i="64"/>
  <c r="CR37" i="64"/>
  <c r="CQ37" i="64"/>
  <c r="CP37" i="64"/>
  <c r="CO37" i="64"/>
  <c r="CN37" i="64"/>
  <c r="CM37" i="64"/>
  <c r="CL37" i="64"/>
  <c r="CK37" i="64"/>
  <c r="CJ37" i="64"/>
  <c r="CI37" i="64"/>
  <c r="CH37" i="64"/>
  <c r="CG37" i="64"/>
  <c r="CF37" i="64"/>
  <c r="CE37" i="64"/>
  <c r="CD37" i="64"/>
  <c r="CC37" i="64"/>
  <c r="CB37" i="64"/>
  <c r="CA37" i="64"/>
  <c r="BZ37" i="64"/>
  <c r="BY37" i="64"/>
  <c r="BX37" i="64"/>
  <c r="BW37" i="64"/>
  <c r="BV37" i="64"/>
  <c r="BU37" i="64"/>
  <c r="BT37" i="64"/>
  <c r="BS37" i="64"/>
  <c r="BR37" i="64"/>
  <c r="BQ37" i="64"/>
  <c r="BP37" i="64"/>
  <c r="BO37" i="64"/>
  <c r="BN37" i="64"/>
  <c r="BM37" i="64"/>
  <c r="BL37" i="64"/>
  <c r="BK37" i="64"/>
  <c r="BJ37" i="64"/>
  <c r="BI37" i="64"/>
  <c r="BH37" i="64"/>
  <c r="BG37" i="64"/>
  <c r="BF37" i="64"/>
  <c r="BE37" i="64"/>
  <c r="BD37" i="64"/>
  <c r="BC37" i="64"/>
  <c r="BB37" i="64"/>
  <c r="BA37" i="64"/>
  <c r="AZ37" i="64"/>
  <c r="AY37" i="64"/>
  <c r="AX37" i="64"/>
  <c r="AW37" i="64"/>
  <c r="AV37" i="64"/>
  <c r="AU37" i="64"/>
  <c r="AT37" i="64"/>
  <c r="AS37" i="64"/>
  <c r="AR37" i="64"/>
  <c r="AQ37" i="64"/>
  <c r="AP37" i="64"/>
  <c r="AO37" i="64"/>
  <c r="AN37" i="64"/>
  <c r="AM37" i="64"/>
  <c r="AL37" i="64"/>
  <c r="AK37" i="64"/>
  <c r="AJ37" i="64"/>
  <c r="AI37" i="64"/>
  <c r="AH37" i="64"/>
  <c r="AG37" i="64"/>
  <c r="AF37" i="64"/>
  <c r="AE37" i="64"/>
  <c r="AD37" i="64"/>
  <c r="AC37" i="64"/>
  <c r="AB37" i="64"/>
  <c r="AA37" i="64"/>
  <c r="Z37" i="64"/>
  <c r="Y37" i="64"/>
  <c r="X37" i="64"/>
  <c r="W37" i="64"/>
  <c r="V37" i="64"/>
  <c r="U37" i="64"/>
  <c r="T37" i="64"/>
  <c r="S37" i="64"/>
  <c r="R37" i="64"/>
  <c r="Q37" i="64"/>
  <c r="P37" i="64"/>
  <c r="O37" i="64"/>
  <c r="N37" i="64"/>
  <c r="M37" i="64"/>
  <c r="L37" i="64"/>
  <c r="K37" i="64"/>
  <c r="J37" i="64"/>
  <c r="I37" i="64"/>
  <c r="H37" i="64"/>
  <c r="G37" i="64"/>
  <c r="F37" i="64"/>
  <c r="E37" i="64"/>
  <c r="D37" i="64"/>
  <c r="C37" i="64"/>
  <c r="FN36" i="64"/>
  <c r="FM36" i="64"/>
  <c r="FL36" i="64"/>
  <c r="FK36" i="64"/>
  <c r="FJ36" i="64"/>
  <c r="FI36" i="64"/>
  <c r="FH36" i="64"/>
  <c r="FG36" i="64"/>
  <c r="FF36" i="64"/>
  <c r="FE36" i="64"/>
  <c r="FD36" i="64"/>
  <c r="FC36" i="64"/>
  <c r="FB36" i="64"/>
  <c r="FA36" i="64"/>
  <c r="EZ36" i="64"/>
  <c r="EY36" i="64"/>
  <c r="EX36" i="64"/>
  <c r="EW36" i="64"/>
  <c r="EV36" i="64"/>
  <c r="EU36" i="64"/>
  <c r="ET36" i="64"/>
  <c r="ES36" i="64"/>
  <c r="ER36" i="64"/>
  <c r="EQ36" i="64"/>
  <c r="EP36" i="64"/>
  <c r="EO36" i="64"/>
  <c r="EN36" i="64"/>
  <c r="EM36" i="64"/>
  <c r="EL36" i="64"/>
  <c r="EK36" i="64"/>
  <c r="EJ36" i="64"/>
  <c r="EI36" i="64"/>
  <c r="EH36" i="64"/>
  <c r="EG36" i="64"/>
  <c r="EF36" i="64"/>
  <c r="EE36" i="64"/>
  <c r="ED36" i="64"/>
  <c r="EC36" i="64"/>
  <c r="EB36" i="64"/>
  <c r="EA36" i="64"/>
  <c r="DZ36" i="64"/>
  <c r="DY36" i="64"/>
  <c r="DX36" i="64"/>
  <c r="DW36" i="64"/>
  <c r="DV36" i="64"/>
  <c r="DU36" i="64"/>
  <c r="DT36" i="64"/>
  <c r="DS36" i="64"/>
  <c r="DR36" i="64"/>
  <c r="DQ36" i="64"/>
  <c r="DP36" i="64"/>
  <c r="DO36" i="64"/>
  <c r="DN36" i="64"/>
  <c r="DM36" i="64"/>
  <c r="DL36" i="64"/>
  <c r="DK36" i="64"/>
  <c r="DJ36" i="64"/>
  <c r="DI36" i="64"/>
  <c r="DH36" i="64"/>
  <c r="DG36" i="64"/>
  <c r="DF36" i="64"/>
  <c r="DE36" i="64"/>
  <c r="DD36" i="64"/>
  <c r="DC36" i="64"/>
  <c r="DB36" i="64"/>
  <c r="DA36" i="64"/>
  <c r="CZ36" i="64"/>
  <c r="CY36" i="64"/>
  <c r="CX36" i="64"/>
  <c r="CW36" i="64"/>
  <c r="CV36" i="64"/>
  <c r="CU36" i="64"/>
  <c r="CT36" i="64"/>
  <c r="CS36" i="64"/>
  <c r="CR36" i="64"/>
  <c r="CQ36" i="64"/>
  <c r="CP36" i="64"/>
  <c r="CO36" i="64"/>
  <c r="CN36" i="64"/>
  <c r="CM36" i="64"/>
  <c r="CL36" i="64"/>
  <c r="CK36" i="64"/>
  <c r="CJ36" i="64"/>
  <c r="CI36" i="64"/>
  <c r="CH36" i="64"/>
  <c r="CG36" i="64"/>
  <c r="CF36" i="64"/>
  <c r="CE36" i="64"/>
  <c r="CD36" i="64"/>
  <c r="CC36" i="64"/>
  <c r="CB36" i="64"/>
  <c r="CA36" i="64"/>
  <c r="BZ36" i="64"/>
  <c r="BY36" i="64"/>
  <c r="BX36" i="64"/>
  <c r="BW36" i="64"/>
  <c r="BV36" i="64"/>
  <c r="BU36" i="64"/>
  <c r="BT36" i="64"/>
  <c r="BS36" i="64"/>
  <c r="BR36" i="64"/>
  <c r="BQ36" i="64"/>
  <c r="BP36" i="64"/>
  <c r="BO36" i="64"/>
  <c r="BN36" i="64"/>
  <c r="BM36" i="64"/>
  <c r="BL36" i="64"/>
  <c r="BK36" i="64"/>
  <c r="BJ36" i="64"/>
  <c r="BI36" i="64"/>
  <c r="BH36" i="64"/>
  <c r="BG36" i="64"/>
  <c r="BF36" i="64"/>
  <c r="BE36" i="64"/>
  <c r="BD36" i="64"/>
  <c r="BC36" i="64"/>
  <c r="BB36" i="64"/>
  <c r="BA36" i="64"/>
  <c r="AZ36" i="64"/>
  <c r="AY36" i="64"/>
  <c r="AX36" i="64"/>
  <c r="AW36" i="64"/>
  <c r="AV36" i="64"/>
  <c r="AU36" i="64"/>
  <c r="AT36" i="64"/>
  <c r="AS36" i="64"/>
  <c r="AR36" i="64"/>
  <c r="AQ36" i="64"/>
  <c r="AP36" i="64"/>
  <c r="AO36" i="64"/>
  <c r="AN36" i="64"/>
  <c r="AM36" i="64"/>
  <c r="AL36" i="64"/>
  <c r="AK36" i="64"/>
  <c r="AJ36" i="64"/>
  <c r="AI36" i="64"/>
  <c r="AH36" i="64"/>
  <c r="AG36" i="64"/>
  <c r="AF36" i="64"/>
  <c r="AE36" i="64"/>
  <c r="AD36" i="64"/>
  <c r="AC36" i="64"/>
  <c r="AB36" i="64"/>
  <c r="AA36" i="64"/>
  <c r="Z36" i="64"/>
  <c r="Y36" i="64"/>
  <c r="X36" i="64"/>
  <c r="W36" i="64"/>
  <c r="V36" i="64"/>
  <c r="U36" i="64"/>
  <c r="T36" i="64"/>
  <c r="S36" i="64"/>
  <c r="R36" i="64"/>
  <c r="Q36" i="64"/>
  <c r="P36" i="64"/>
  <c r="O36" i="64"/>
  <c r="N36" i="64"/>
  <c r="M36" i="64"/>
  <c r="L36" i="64"/>
  <c r="K36" i="64"/>
  <c r="J36" i="64"/>
  <c r="I36" i="64"/>
  <c r="H36" i="64"/>
  <c r="G36" i="64"/>
  <c r="F36" i="64"/>
  <c r="E36" i="64"/>
  <c r="D36" i="64"/>
  <c r="C36" i="64"/>
  <c r="FN35" i="64"/>
  <c r="FM35" i="64"/>
  <c r="FL35" i="64"/>
  <c r="FK35" i="64"/>
  <c r="FJ35" i="64"/>
  <c r="FI35" i="64"/>
  <c r="FH35" i="64"/>
  <c r="FG35" i="64"/>
  <c r="FF35" i="64"/>
  <c r="FE35" i="64"/>
  <c r="FD35" i="64"/>
  <c r="FC35" i="64"/>
  <c r="FB35" i="64"/>
  <c r="FA35" i="64"/>
  <c r="EZ35" i="64"/>
  <c r="EY35" i="64"/>
  <c r="EX35" i="64"/>
  <c r="EW35" i="64"/>
  <c r="EV35" i="64"/>
  <c r="EU35" i="64"/>
  <c r="ET35" i="64"/>
  <c r="ES35" i="64"/>
  <c r="ER35" i="64"/>
  <c r="EQ35" i="64"/>
  <c r="EP35" i="64"/>
  <c r="EO35" i="64"/>
  <c r="EN35" i="64"/>
  <c r="EM35" i="64"/>
  <c r="EL35" i="64"/>
  <c r="EK35" i="64"/>
  <c r="EJ35" i="64"/>
  <c r="EI35" i="64"/>
  <c r="EH35" i="64"/>
  <c r="EG35" i="64"/>
  <c r="EF35" i="64"/>
  <c r="EE35" i="64"/>
  <c r="ED35" i="64"/>
  <c r="EC35" i="64"/>
  <c r="EB35" i="64"/>
  <c r="EA35" i="64"/>
  <c r="DZ35" i="64"/>
  <c r="DY35" i="64"/>
  <c r="DX35" i="64"/>
  <c r="DW35" i="64"/>
  <c r="DV35" i="64"/>
  <c r="DU35" i="64"/>
  <c r="DT35" i="64"/>
  <c r="DS35" i="64"/>
  <c r="DR35" i="64"/>
  <c r="DQ35" i="64"/>
  <c r="DP35" i="64"/>
  <c r="DO35" i="64"/>
  <c r="DN35" i="64"/>
  <c r="DM35" i="64"/>
  <c r="DL35" i="64"/>
  <c r="DK35" i="64"/>
  <c r="DJ35" i="64"/>
  <c r="DI35" i="64"/>
  <c r="DH35" i="64"/>
  <c r="DG35" i="64"/>
  <c r="DF35" i="64"/>
  <c r="DE35" i="64"/>
  <c r="DD35" i="64"/>
  <c r="DC35" i="64"/>
  <c r="DB35" i="64"/>
  <c r="DA35" i="64"/>
  <c r="CZ35" i="64"/>
  <c r="CY35" i="64"/>
  <c r="CX35" i="64"/>
  <c r="CW35" i="64"/>
  <c r="CV35" i="64"/>
  <c r="CU35" i="64"/>
  <c r="CT35" i="64"/>
  <c r="CS35" i="64"/>
  <c r="CR35" i="64"/>
  <c r="CQ35" i="64"/>
  <c r="CP35" i="64"/>
  <c r="CO35" i="64"/>
  <c r="CN35" i="64"/>
  <c r="CM35" i="64"/>
  <c r="CL35" i="64"/>
  <c r="CK35" i="64"/>
  <c r="CJ35" i="64"/>
  <c r="CI35" i="64"/>
  <c r="CH35" i="64"/>
  <c r="CG35" i="64"/>
  <c r="CF35" i="64"/>
  <c r="CE35" i="64"/>
  <c r="CD35" i="64"/>
  <c r="CC35" i="64"/>
  <c r="CB35" i="64"/>
  <c r="CA35" i="64"/>
  <c r="BZ35" i="64"/>
  <c r="BY35" i="64"/>
  <c r="BX35" i="64"/>
  <c r="BW35" i="64"/>
  <c r="BV35" i="64"/>
  <c r="BU35" i="64"/>
  <c r="BT35" i="64"/>
  <c r="BS35" i="64"/>
  <c r="BR35" i="64"/>
  <c r="BQ35" i="64"/>
  <c r="BP35" i="64"/>
  <c r="BO35" i="64"/>
  <c r="BN35" i="64"/>
  <c r="BM35" i="64"/>
  <c r="BL35" i="64"/>
  <c r="BK35" i="64"/>
  <c r="BJ35" i="64"/>
  <c r="BI35" i="64"/>
  <c r="BH35" i="64"/>
  <c r="BG35" i="64"/>
  <c r="BF35" i="64"/>
  <c r="BE35" i="64"/>
  <c r="BD35" i="64"/>
  <c r="BC35" i="64"/>
  <c r="BB35" i="64"/>
  <c r="BA35" i="64"/>
  <c r="AZ35" i="64"/>
  <c r="AY35" i="64"/>
  <c r="AX35" i="64"/>
  <c r="AW35" i="64"/>
  <c r="AV35" i="64"/>
  <c r="AU35" i="64"/>
  <c r="AT35" i="64"/>
  <c r="AS35" i="64"/>
  <c r="AR35" i="64"/>
  <c r="AQ35" i="64"/>
  <c r="AP35" i="64"/>
  <c r="AO35" i="64"/>
  <c r="AN35" i="64"/>
  <c r="AM35" i="64"/>
  <c r="AL35" i="64"/>
  <c r="AK35" i="64"/>
  <c r="AJ35" i="64"/>
  <c r="AI35" i="64"/>
  <c r="AH35" i="64"/>
  <c r="AG35" i="64"/>
  <c r="AF35" i="64"/>
  <c r="AE35" i="64"/>
  <c r="AD35" i="64"/>
  <c r="AC35" i="64"/>
  <c r="AB35" i="64"/>
  <c r="AA35" i="64"/>
  <c r="Z35" i="64"/>
  <c r="Y35" i="64"/>
  <c r="X35" i="64"/>
  <c r="W35" i="64"/>
  <c r="V35" i="64"/>
  <c r="U35" i="64"/>
  <c r="T35" i="64"/>
  <c r="S35" i="64"/>
  <c r="R35" i="64"/>
  <c r="Q35" i="64"/>
  <c r="P35" i="64"/>
  <c r="O35" i="64"/>
  <c r="N35" i="64"/>
  <c r="M35" i="64"/>
  <c r="L35" i="64"/>
  <c r="K35" i="64"/>
  <c r="J35" i="64"/>
  <c r="I35" i="64"/>
  <c r="H35" i="64"/>
  <c r="G35" i="64"/>
  <c r="F35" i="64"/>
  <c r="E35" i="64"/>
  <c r="D35" i="64"/>
  <c r="C35" i="64"/>
  <c r="FN34" i="64"/>
  <c r="FM34" i="64"/>
  <c r="FL34" i="64"/>
  <c r="FK34" i="64"/>
  <c r="FJ34" i="64"/>
  <c r="FI34" i="64"/>
  <c r="FH34" i="64"/>
  <c r="FG34" i="64"/>
  <c r="FF34" i="64"/>
  <c r="FE34" i="64"/>
  <c r="FD34" i="64"/>
  <c r="FC34" i="64"/>
  <c r="FB34" i="64"/>
  <c r="FA34" i="64"/>
  <c r="EZ34" i="64"/>
  <c r="EY34" i="64"/>
  <c r="EX34" i="64"/>
  <c r="EW34" i="64"/>
  <c r="EV34" i="64"/>
  <c r="EU34" i="64"/>
  <c r="ET34" i="64"/>
  <c r="ES34" i="64"/>
  <c r="ER34" i="64"/>
  <c r="EQ34" i="64"/>
  <c r="EP34" i="64"/>
  <c r="EO34" i="64"/>
  <c r="EN34" i="64"/>
  <c r="EM34" i="64"/>
  <c r="EL34" i="64"/>
  <c r="EK34" i="64"/>
  <c r="EJ34" i="64"/>
  <c r="EI34" i="64"/>
  <c r="EH34" i="64"/>
  <c r="EG34" i="64"/>
  <c r="EF34" i="64"/>
  <c r="EE34" i="64"/>
  <c r="ED34" i="64"/>
  <c r="EC34" i="64"/>
  <c r="EB34" i="64"/>
  <c r="EA34" i="64"/>
  <c r="DZ34" i="64"/>
  <c r="DY34" i="64"/>
  <c r="DX34" i="64"/>
  <c r="DW34" i="64"/>
  <c r="DV34" i="64"/>
  <c r="DU34" i="64"/>
  <c r="DT34" i="64"/>
  <c r="DS34" i="64"/>
  <c r="DR34" i="64"/>
  <c r="DQ34" i="64"/>
  <c r="DP34" i="64"/>
  <c r="DO34" i="64"/>
  <c r="DN34" i="64"/>
  <c r="DM34" i="64"/>
  <c r="DL34" i="64"/>
  <c r="DK34" i="64"/>
  <c r="DJ34" i="64"/>
  <c r="DI34" i="64"/>
  <c r="DH34" i="64"/>
  <c r="DG34" i="64"/>
  <c r="DF34" i="64"/>
  <c r="DE34" i="64"/>
  <c r="DD34" i="64"/>
  <c r="DC34" i="64"/>
  <c r="DB34" i="64"/>
  <c r="DA34" i="64"/>
  <c r="CZ34" i="64"/>
  <c r="CY34" i="64"/>
  <c r="CX34" i="64"/>
  <c r="CW34" i="64"/>
  <c r="CV34" i="64"/>
  <c r="CU34" i="64"/>
  <c r="CT34" i="64"/>
  <c r="CS34" i="64"/>
  <c r="CR34" i="64"/>
  <c r="CQ34" i="64"/>
  <c r="CP34" i="64"/>
  <c r="CO34" i="64"/>
  <c r="CN34" i="64"/>
  <c r="CM34" i="64"/>
  <c r="CL34" i="64"/>
  <c r="CK34" i="64"/>
  <c r="CJ34" i="64"/>
  <c r="CI34" i="64"/>
  <c r="CH34" i="64"/>
  <c r="CG34" i="64"/>
  <c r="CF34" i="64"/>
  <c r="CE34" i="64"/>
  <c r="CD34" i="64"/>
  <c r="CC34" i="64"/>
  <c r="CB34" i="64"/>
  <c r="CA34" i="64"/>
  <c r="BZ34" i="64"/>
  <c r="BY34" i="64"/>
  <c r="BX34" i="64"/>
  <c r="BW34" i="64"/>
  <c r="BV34" i="64"/>
  <c r="BU34" i="64"/>
  <c r="BT34" i="64"/>
  <c r="BS34" i="64"/>
  <c r="BR34" i="64"/>
  <c r="BQ34" i="64"/>
  <c r="BP34" i="64"/>
  <c r="BO34" i="64"/>
  <c r="BN34" i="64"/>
  <c r="BM34" i="64"/>
  <c r="BL34" i="64"/>
  <c r="BK34" i="64"/>
  <c r="BJ34" i="64"/>
  <c r="BI34" i="64"/>
  <c r="BH34" i="64"/>
  <c r="BG34" i="64"/>
  <c r="BF34" i="64"/>
  <c r="BE34" i="64"/>
  <c r="BD34" i="64"/>
  <c r="BC34" i="64"/>
  <c r="BB34" i="64"/>
  <c r="BA34" i="64"/>
  <c r="AZ34" i="64"/>
  <c r="AY34" i="64"/>
  <c r="AX34" i="64"/>
  <c r="AW34" i="64"/>
  <c r="AV34" i="64"/>
  <c r="AU34" i="64"/>
  <c r="AT34" i="64"/>
  <c r="AS34" i="64"/>
  <c r="AR34" i="64"/>
  <c r="AQ34" i="64"/>
  <c r="AP34" i="64"/>
  <c r="AO34" i="64"/>
  <c r="AN34" i="64"/>
  <c r="AM34" i="64"/>
  <c r="AL34" i="64"/>
  <c r="AK34" i="64"/>
  <c r="AJ34" i="64"/>
  <c r="AI34" i="64"/>
  <c r="AH34" i="64"/>
  <c r="AG34" i="64"/>
  <c r="AF34" i="64"/>
  <c r="AE34" i="64"/>
  <c r="AD34" i="64"/>
  <c r="AC34" i="64"/>
  <c r="AB34" i="64"/>
  <c r="AA34" i="64"/>
  <c r="Z34" i="64"/>
  <c r="Y34" i="64"/>
  <c r="X34" i="64"/>
  <c r="W34" i="64"/>
  <c r="V34" i="64"/>
  <c r="U34" i="64"/>
  <c r="T34" i="64"/>
  <c r="S34" i="64"/>
  <c r="R34" i="64"/>
  <c r="Q34" i="64"/>
  <c r="P34" i="64"/>
  <c r="O34" i="64"/>
  <c r="N34" i="64"/>
  <c r="M34" i="64"/>
  <c r="L34" i="64"/>
  <c r="K34" i="64"/>
  <c r="J34" i="64"/>
  <c r="I34" i="64"/>
  <c r="H34" i="64"/>
  <c r="G34" i="64"/>
  <c r="F34" i="64"/>
  <c r="E34" i="64"/>
  <c r="D34" i="64"/>
  <c r="C34" i="64"/>
  <c r="FN43" i="62"/>
  <c r="FM43" i="62"/>
  <c r="FL43" i="62"/>
  <c r="FK43" i="62"/>
  <c r="FJ43" i="62"/>
  <c r="FI43" i="62"/>
  <c r="FH43" i="62"/>
  <c r="FG43" i="62"/>
  <c r="FF43" i="62"/>
  <c r="FE43" i="62"/>
  <c r="FD43" i="62"/>
  <c r="FC43" i="62"/>
  <c r="FB43" i="62"/>
  <c r="FA43" i="62"/>
  <c r="EZ43" i="62"/>
  <c r="EY43" i="62"/>
  <c r="EX43" i="62"/>
  <c r="EW43" i="62"/>
  <c r="EV43" i="62"/>
  <c r="EU43" i="62"/>
  <c r="ET43" i="62"/>
  <c r="ES43" i="62"/>
  <c r="ER43" i="62"/>
  <c r="EQ43" i="62"/>
  <c r="EP43" i="62"/>
  <c r="EO43" i="62"/>
  <c r="EN43" i="62"/>
  <c r="EM43" i="62"/>
  <c r="EL43" i="62"/>
  <c r="EK43" i="62"/>
  <c r="EJ43" i="62"/>
  <c r="EI43" i="62"/>
  <c r="EH43" i="62"/>
  <c r="EG43" i="62"/>
  <c r="EF43" i="62"/>
  <c r="EE43" i="62"/>
  <c r="ED43" i="62"/>
  <c r="EC43" i="62"/>
  <c r="EB43" i="62"/>
  <c r="EA43" i="62"/>
  <c r="DZ43" i="62"/>
  <c r="DY43" i="62"/>
  <c r="DX43" i="62"/>
  <c r="DW43" i="62"/>
  <c r="DV43" i="62"/>
  <c r="DU43" i="62"/>
  <c r="DT43" i="62"/>
  <c r="DS43" i="62"/>
  <c r="DR43" i="62"/>
  <c r="DQ43" i="62"/>
  <c r="DP43" i="62"/>
  <c r="DO43" i="62"/>
  <c r="DN43" i="62"/>
  <c r="DM43" i="62"/>
  <c r="DL43" i="62"/>
  <c r="DK43" i="62"/>
  <c r="DJ43" i="62"/>
  <c r="DI43" i="62"/>
  <c r="DH43" i="62"/>
  <c r="DG43" i="62"/>
  <c r="DF43" i="62"/>
  <c r="DE43" i="62"/>
  <c r="DD43" i="62"/>
  <c r="DC43" i="62"/>
  <c r="DB43" i="62"/>
  <c r="DA43" i="62"/>
  <c r="CZ43" i="62"/>
  <c r="CY43" i="62"/>
  <c r="CX43" i="62"/>
  <c r="CW43" i="62"/>
  <c r="CV43" i="62"/>
  <c r="CU43" i="62"/>
  <c r="CT43" i="62"/>
  <c r="CS43" i="62"/>
  <c r="CR43" i="62"/>
  <c r="CQ43" i="62"/>
  <c r="CP43" i="62"/>
  <c r="CO43" i="62"/>
  <c r="CN43" i="62"/>
  <c r="CM43" i="62"/>
  <c r="CL43" i="62"/>
  <c r="CK43" i="62"/>
  <c r="CJ43" i="62"/>
  <c r="CI43" i="62"/>
  <c r="CH43" i="62"/>
  <c r="CG43" i="62"/>
  <c r="CF43" i="62"/>
  <c r="CE43" i="62"/>
  <c r="CD43" i="62"/>
  <c r="CC43" i="62"/>
  <c r="CB43" i="62"/>
  <c r="CA43" i="62"/>
  <c r="BZ43" i="62"/>
  <c r="BY43" i="62"/>
  <c r="BX43" i="62"/>
  <c r="BW43" i="62"/>
  <c r="BV43" i="62"/>
  <c r="BU43" i="62"/>
  <c r="BT43" i="62"/>
  <c r="BS43" i="62"/>
  <c r="BR43" i="62"/>
  <c r="BQ43" i="62"/>
  <c r="BP43" i="62"/>
  <c r="BO43" i="62"/>
  <c r="BN43" i="62"/>
  <c r="BM43" i="62"/>
  <c r="BL43" i="62"/>
  <c r="BK43" i="62"/>
  <c r="BJ43" i="62"/>
  <c r="BI43" i="62"/>
  <c r="BH43" i="62"/>
  <c r="BG43" i="62"/>
  <c r="BF43" i="62"/>
  <c r="BE43" i="62"/>
  <c r="BD43" i="62"/>
  <c r="BC43" i="62"/>
  <c r="BB43" i="62"/>
  <c r="BA43" i="62"/>
  <c r="AZ43" i="62"/>
  <c r="AY43" i="62"/>
  <c r="AX43" i="62"/>
  <c r="AW43" i="62"/>
  <c r="AV43" i="62"/>
  <c r="AU43" i="62"/>
  <c r="AT43" i="62"/>
  <c r="AS43" i="62"/>
  <c r="AR43" i="62"/>
  <c r="AQ43" i="62"/>
  <c r="AP43" i="62"/>
  <c r="AO43" i="62"/>
  <c r="AN43" i="62"/>
  <c r="AM43" i="62"/>
  <c r="AL43" i="62"/>
  <c r="AK43" i="62"/>
  <c r="AJ43" i="62"/>
  <c r="AI43" i="62"/>
  <c r="AH43" i="62"/>
  <c r="AG43" i="62"/>
  <c r="AF43" i="62"/>
  <c r="AE43" i="62"/>
  <c r="AD43" i="62"/>
  <c r="AC43" i="62"/>
  <c r="AB43" i="62"/>
  <c r="AA43" i="62"/>
  <c r="Z43" i="62"/>
  <c r="Y43" i="62"/>
  <c r="X43" i="62"/>
  <c r="W43" i="62"/>
  <c r="V43" i="62"/>
  <c r="U43" i="62"/>
  <c r="T43" i="62"/>
  <c r="S43" i="62"/>
  <c r="R43" i="62"/>
  <c r="Q43" i="62"/>
  <c r="P43" i="62"/>
  <c r="O43" i="62"/>
  <c r="N43" i="62"/>
  <c r="M43" i="62"/>
  <c r="L43" i="62"/>
  <c r="K43" i="62"/>
  <c r="J43" i="62"/>
  <c r="I43" i="62"/>
  <c r="H43" i="62"/>
  <c r="G43" i="62"/>
  <c r="F43" i="62"/>
  <c r="E43" i="62"/>
  <c r="D43" i="62"/>
  <c r="C43" i="62"/>
  <c r="FN42" i="62"/>
  <c r="FM42" i="62"/>
  <c r="FL42" i="62"/>
  <c r="FK42" i="62"/>
  <c r="FJ42" i="62"/>
  <c r="FI42" i="62"/>
  <c r="FH42" i="62"/>
  <c r="FG42" i="62"/>
  <c r="FF42" i="62"/>
  <c r="FE42" i="62"/>
  <c r="FD42" i="62"/>
  <c r="FC42" i="62"/>
  <c r="FB42" i="62"/>
  <c r="FA42" i="62"/>
  <c r="EZ42" i="62"/>
  <c r="EY42" i="62"/>
  <c r="EX42" i="62"/>
  <c r="EW42" i="62"/>
  <c r="EV42" i="62"/>
  <c r="EU42" i="62"/>
  <c r="ET42" i="62"/>
  <c r="ES42" i="62"/>
  <c r="ER42" i="62"/>
  <c r="EQ42" i="62"/>
  <c r="EP42" i="62"/>
  <c r="EO42" i="62"/>
  <c r="EN42" i="62"/>
  <c r="EM42" i="62"/>
  <c r="EL42" i="62"/>
  <c r="EK42" i="62"/>
  <c r="EJ42" i="62"/>
  <c r="EI42" i="62"/>
  <c r="EH42" i="62"/>
  <c r="EG42" i="62"/>
  <c r="EF42" i="62"/>
  <c r="EE42" i="62"/>
  <c r="ED42" i="62"/>
  <c r="EC42" i="62"/>
  <c r="EB42" i="62"/>
  <c r="EA42" i="62"/>
  <c r="DZ42" i="62"/>
  <c r="DY42" i="62"/>
  <c r="DX42" i="62"/>
  <c r="DW42" i="62"/>
  <c r="DV42" i="62"/>
  <c r="DU42" i="62"/>
  <c r="DT42" i="62"/>
  <c r="DS42" i="62"/>
  <c r="DR42" i="62"/>
  <c r="DQ42" i="62"/>
  <c r="DP42" i="62"/>
  <c r="DO42" i="62"/>
  <c r="DN42" i="62"/>
  <c r="DM42" i="62"/>
  <c r="DL42" i="62"/>
  <c r="DK42" i="62"/>
  <c r="DJ42" i="62"/>
  <c r="DI42" i="62"/>
  <c r="DH42" i="62"/>
  <c r="DG42" i="62"/>
  <c r="DF42" i="62"/>
  <c r="DE42" i="62"/>
  <c r="DD42" i="62"/>
  <c r="DC42" i="62"/>
  <c r="DB42" i="62"/>
  <c r="DA42" i="62"/>
  <c r="CZ42" i="62"/>
  <c r="CY42" i="62"/>
  <c r="CX42" i="62"/>
  <c r="CW42" i="62"/>
  <c r="CV42" i="62"/>
  <c r="CU42" i="62"/>
  <c r="CT42" i="62"/>
  <c r="CS42" i="62"/>
  <c r="CR42" i="62"/>
  <c r="CQ42" i="62"/>
  <c r="CP42" i="62"/>
  <c r="CO42" i="62"/>
  <c r="CN42" i="62"/>
  <c r="CM42" i="62"/>
  <c r="CL42" i="62"/>
  <c r="CK42" i="62"/>
  <c r="CJ42" i="62"/>
  <c r="CI42" i="62"/>
  <c r="CH42" i="62"/>
  <c r="CG42" i="62"/>
  <c r="CF42" i="62"/>
  <c r="CE42" i="62"/>
  <c r="CD42" i="62"/>
  <c r="CC42" i="62"/>
  <c r="CB42" i="62"/>
  <c r="CA42" i="62"/>
  <c r="BZ42" i="62"/>
  <c r="BY42" i="62"/>
  <c r="BX42" i="62"/>
  <c r="BW42" i="62"/>
  <c r="BV42" i="62"/>
  <c r="BU42" i="62"/>
  <c r="BT42" i="62"/>
  <c r="BS42" i="62"/>
  <c r="BR42" i="62"/>
  <c r="BQ42" i="62"/>
  <c r="BP42" i="62"/>
  <c r="BO42" i="62"/>
  <c r="BN42" i="62"/>
  <c r="BM42" i="62"/>
  <c r="BL42" i="62"/>
  <c r="BK42" i="62"/>
  <c r="BJ42" i="62"/>
  <c r="BI42" i="62"/>
  <c r="BH42" i="62"/>
  <c r="BG42" i="62"/>
  <c r="BF42" i="62"/>
  <c r="BE42" i="62"/>
  <c r="BD42" i="62"/>
  <c r="BC42" i="62"/>
  <c r="BB42" i="62"/>
  <c r="BA42" i="62"/>
  <c r="AZ42" i="62"/>
  <c r="AY42" i="62"/>
  <c r="AX42" i="62"/>
  <c r="AW42" i="62"/>
  <c r="AV42" i="62"/>
  <c r="AU42" i="62"/>
  <c r="AT42" i="62"/>
  <c r="AS42" i="62"/>
  <c r="AR42" i="62"/>
  <c r="AQ42" i="62"/>
  <c r="AP42" i="62"/>
  <c r="AO42" i="62"/>
  <c r="AN42" i="62"/>
  <c r="AM42" i="62"/>
  <c r="AL42" i="62"/>
  <c r="AK42" i="62"/>
  <c r="AJ42" i="62"/>
  <c r="AI42" i="62"/>
  <c r="AH42" i="62"/>
  <c r="AG42" i="62"/>
  <c r="AF42" i="62"/>
  <c r="AE42" i="62"/>
  <c r="AD42" i="62"/>
  <c r="AC42" i="62"/>
  <c r="AB42" i="62"/>
  <c r="AA42" i="62"/>
  <c r="Z42" i="62"/>
  <c r="Y42" i="62"/>
  <c r="X42" i="62"/>
  <c r="W42" i="62"/>
  <c r="V42" i="62"/>
  <c r="U42" i="62"/>
  <c r="T42" i="62"/>
  <c r="S42" i="62"/>
  <c r="R42" i="62"/>
  <c r="Q42" i="62"/>
  <c r="P42" i="62"/>
  <c r="O42" i="62"/>
  <c r="N42" i="62"/>
  <c r="M42" i="62"/>
  <c r="L42" i="62"/>
  <c r="K42" i="62"/>
  <c r="J42" i="62"/>
  <c r="I42" i="62"/>
  <c r="H42" i="62"/>
  <c r="G42" i="62"/>
  <c r="F42" i="62"/>
  <c r="E42" i="62"/>
  <c r="D42" i="62"/>
  <c r="C42" i="62"/>
  <c r="FN41" i="62"/>
  <c r="FM41" i="62"/>
  <c r="FL41" i="62"/>
  <c r="FK41" i="62"/>
  <c r="FJ41" i="62"/>
  <c r="FI41" i="62"/>
  <c r="FH41" i="62"/>
  <c r="FG41" i="62"/>
  <c r="FF41" i="62"/>
  <c r="FE41" i="62"/>
  <c r="FD41" i="62"/>
  <c r="FC41" i="62"/>
  <c r="FB41" i="62"/>
  <c r="FA41" i="62"/>
  <c r="EZ41" i="62"/>
  <c r="EY41" i="62"/>
  <c r="EX41" i="62"/>
  <c r="EW41" i="62"/>
  <c r="EV41" i="62"/>
  <c r="EU41" i="62"/>
  <c r="ET41" i="62"/>
  <c r="ES41" i="62"/>
  <c r="ER41" i="62"/>
  <c r="EQ41" i="62"/>
  <c r="EP41" i="62"/>
  <c r="EO41" i="62"/>
  <c r="EN41" i="62"/>
  <c r="EM41" i="62"/>
  <c r="EL41" i="62"/>
  <c r="EK41" i="62"/>
  <c r="EJ41" i="62"/>
  <c r="EI41" i="62"/>
  <c r="EH41" i="62"/>
  <c r="EG41" i="62"/>
  <c r="EF41" i="62"/>
  <c r="EE41" i="62"/>
  <c r="ED41" i="62"/>
  <c r="EC41" i="62"/>
  <c r="EB41" i="62"/>
  <c r="EA41" i="62"/>
  <c r="DZ41" i="62"/>
  <c r="DY41" i="62"/>
  <c r="DX41" i="62"/>
  <c r="DW41" i="62"/>
  <c r="DV41" i="62"/>
  <c r="DU41" i="62"/>
  <c r="DT41" i="62"/>
  <c r="DS41" i="62"/>
  <c r="DR41" i="62"/>
  <c r="DQ41" i="62"/>
  <c r="DP41" i="62"/>
  <c r="DO41" i="62"/>
  <c r="DN41" i="62"/>
  <c r="DM41" i="62"/>
  <c r="DL41" i="62"/>
  <c r="DK41" i="62"/>
  <c r="DJ41" i="62"/>
  <c r="DI41" i="62"/>
  <c r="DH41" i="62"/>
  <c r="DG41" i="62"/>
  <c r="DF41" i="62"/>
  <c r="DE41" i="62"/>
  <c r="DD41" i="62"/>
  <c r="DC41" i="62"/>
  <c r="DB41" i="62"/>
  <c r="DA41" i="62"/>
  <c r="CZ41" i="62"/>
  <c r="CY41" i="62"/>
  <c r="CX41" i="62"/>
  <c r="CW41" i="62"/>
  <c r="CV41" i="62"/>
  <c r="CU41" i="62"/>
  <c r="CT41" i="62"/>
  <c r="CS41" i="62"/>
  <c r="CR41" i="62"/>
  <c r="CQ41" i="62"/>
  <c r="CP41" i="62"/>
  <c r="CO41" i="62"/>
  <c r="CN41" i="62"/>
  <c r="CM41" i="62"/>
  <c r="CL41" i="62"/>
  <c r="CK41" i="62"/>
  <c r="CJ41" i="62"/>
  <c r="CI41" i="62"/>
  <c r="CH41" i="62"/>
  <c r="CG41" i="62"/>
  <c r="CF41" i="62"/>
  <c r="CE41" i="62"/>
  <c r="CD41" i="62"/>
  <c r="CC41" i="62"/>
  <c r="CB41" i="62"/>
  <c r="CA41" i="62"/>
  <c r="BZ41" i="62"/>
  <c r="BY41" i="62"/>
  <c r="BX41" i="62"/>
  <c r="BW41" i="62"/>
  <c r="BV41" i="62"/>
  <c r="BU41" i="62"/>
  <c r="BT41" i="62"/>
  <c r="BS41" i="62"/>
  <c r="BR41" i="62"/>
  <c r="BQ41" i="62"/>
  <c r="BP41" i="62"/>
  <c r="BO41" i="62"/>
  <c r="BN41" i="62"/>
  <c r="BM41" i="62"/>
  <c r="BL41" i="62"/>
  <c r="BK41" i="62"/>
  <c r="BJ41" i="62"/>
  <c r="BI41" i="62"/>
  <c r="BH41" i="62"/>
  <c r="BG41" i="62"/>
  <c r="BF41" i="62"/>
  <c r="BE41" i="62"/>
  <c r="BD41" i="62"/>
  <c r="BC41" i="62"/>
  <c r="BB41" i="62"/>
  <c r="BA41" i="62"/>
  <c r="AZ41" i="62"/>
  <c r="AY41" i="62"/>
  <c r="AX41" i="62"/>
  <c r="AW41" i="62"/>
  <c r="AV41" i="62"/>
  <c r="AU41" i="62"/>
  <c r="AT41" i="62"/>
  <c r="AS41" i="62"/>
  <c r="AR41" i="62"/>
  <c r="AQ41" i="62"/>
  <c r="AP41" i="62"/>
  <c r="AO41" i="62"/>
  <c r="AN41" i="62"/>
  <c r="AM41" i="62"/>
  <c r="AL41" i="62"/>
  <c r="AK41" i="62"/>
  <c r="AJ41" i="62"/>
  <c r="AI41" i="62"/>
  <c r="AH41" i="62"/>
  <c r="AG41" i="62"/>
  <c r="AF41" i="62"/>
  <c r="AE41" i="62"/>
  <c r="AD41" i="62"/>
  <c r="AC41" i="62"/>
  <c r="AB41" i="62"/>
  <c r="AA41" i="62"/>
  <c r="Z41" i="62"/>
  <c r="Y41" i="62"/>
  <c r="X41" i="62"/>
  <c r="W41" i="62"/>
  <c r="V41" i="62"/>
  <c r="U41" i="62"/>
  <c r="T41" i="62"/>
  <c r="S41" i="62"/>
  <c r="R41" i="62"/>
  <c r="Q41" i="62"/>
  <c r="P41" i="62"/>
  <c r="O41" i="62"/>
  <c r="N41" i="62"/>
  <c r="M41" i="62"/>
  <c r="L41" i="62"/>
  <c r="K41" i="62"/>
  <c r="J41" i="62"/>
  <c r="I41" i="62"/>
  <c r="H41" i="62"/>
  <c r="G41" i="62"/>
  <c r="F41" i="62"/>
  <c r="E41" i="62"/>
  <c r="D41" i="62"/>
  <c r="C41" i="62"/>
  <c r="FN40" i="62"/>
  <c r="FM40" i="62"/>
  <c r="FL40" i="62"/>
  <c r="FK40" i="62"/>
  <c r="FJ40" i="62"/>
  <c r="FI40" i="62"/>
  <c r="FH40" i="62"/>
  <c r="FG40" i="62"/>
  <c r="FF40" i="62"/>
  <c r="FE40" i="62"/>
  <c r="FD40" i="62"/>
  <c r="FC40" i="62"/>
  <c r="FB40" i="62"/>
  <c r="FA40" i="62"/>
  <c r="EZ40" i="62"/>
  <c r="EY40" i="62"/>
  <c r="EX40" i="62"/>
  <c r="EW40" i="62"/>
  <c r="EV40" i="62"/>
  <c r="EU40" i="62"/>
  <c r="ET40" i="62"/>
  <c r="ES40" i="62"/>
  <c r="ER40" i="62"/>
  <c r="EQ40" i="62"/>
  <c r="EP40" i="62"/>
  <c r="EO40" i="62"/>
  <c r="EN40" i="62"/>
  <c r="EM40" i="62"/>
  <c r="EL40" i="62"/>
  <c r="EK40" i="62"/>
  <c r="EJ40" i="62"/>
  <c r="EI40" i="62"/>
  <c r="EH40" i="62"/>
  <c r="EG40" i="62"/>
  <c r="EF40" i="62"/>
  <c r="EE40" i="62"/>
  <c r="ED40" i="62"/>
  <c r="EC40" i="62"/>
  <c r="EB40" i="62"/>
  <c r="EA40" i="62"/>
  <c r="DZ40" i="62"/>
  <c r="DY40" i="62"/>
  <c r="DX40" i="62"/>
  <c r="DW40" i="62"/>
  <c r="DV40" i="62"/>
  <c r="DU40" i="62"/>
  <c r="DT40" i="62"/>
  <c r="DS40" i="62"/>
  <c r="DR40" i="62"/>
  <c r="DQ40" i="62"/>
  <c r="DP40" i="62"/>
  <c r="DO40" i="62"/>
  <c r="DN40" i="62"/>
  <c r="DM40" i="62"/>
  <c r="DL40" i="62"/>
  <c r="DK40" i="62"/>
  <c r="DJ40" i="62"/>
  <c r="DI40" i="62"/>
  <c r="DH40" i="62"/>
  <c r="DG40" i="62"/>
  <c r="DF40" i="62"/>
  <c r="DE40" i="62"/>
  <c r="DD40" i="62"/>
  <c r="DC40" i="62"/>
  <c r="DB40" i="62"/>
  <c r="DA40" i="62"/>
  <c r="CZ40" i="62"/>
  <c r="CY40" i="62"/>
  <c r="CX40" i="62"/>
  <c r="CW40" i="62"/>
  <c r="CV40" i="62"/>
  <c r="CU40" i="62"/>
  <c r="CT40" i="62"/>
  <c r="CS40" i="62"/>
  <c r="CR40" i="62"/>
  <c r="CQ40" i="62"/>
  <c r="CP40" i="62"/>
  <c r="CO40" i="62"/>
  <c r="CN40" i="62"/>
  <c r="CM40" i="62"/>
  <c r="CL40" i="62"/>
  <c r="CK40" i="62"/>
  <c r="CJ40" i="62"/>
  <c r="CI40" i="62"/>
  <c r="CH40" i="62"/>
  <c r="CG40" i="62"/>
  <c r="CF40" i="62"/>
  <c r="CE40" i="62"/>
  <c r="CD40" i="62"/>
  <c r="CC40" i="62"/>
  <c r="CB40" i="62"/>
  <c r="CA40" i="62"/>
  <c r="BZ40" i="62"/>
  <c r="BY40" i="62"/>
  <c r="BX40" i="62"/>
  <c r="BW40" i="62"/>
  <c r="BV40" i="62"/>
  <c r="BU40" i="62"/>
  <c r="BT40" i="62"/>
  <c r="BS40" i="62"/>
  <c r="BR40" i="62"/>
  <c r="BQ40" i="62"/>
  <c r="BP40" i="62"/>
  <c r="BO40" i="62"/>
  <c r="BN40" i="62"/>
  <c r="BM40" i="62"/>
  <c r="BL40" i="62"/>
  <c r="BK40" i="62"/>
  <c r="BJ40" i="62"/>
  <c r="BI40" i="62"/>
  <c r="BH40" i="62"/>
  <c r="BG40" i="62"/>
  <c r="BF40" i="62"/>
  <c r="BE40" i="62"/>
  <c r="BD40" i="62"/>
  <c r="BC40" i="62"/>
  <c r="BB40" i="62"/>
  <c r="BA40" i="62"/>
  <c r="AZ40" i="62"/>
  <c r="AY40" i="62"/>
  <c r="AX40" i="62"/>
  <c r="AW40" i="62"/>
  <c r="AV40" i="62"/>
  <c r="AU40" i="62"/>
  <c r="AT40" i="62"/>
  <c r="AS40" i="62"/>
  <c r="AR40" i="62"/>
  <c r="AQ40" i="62"/>
  <c r="AP40" i="62"/>
  <c r="AO40" i="62"/>
  <c r="AN40" i="62"/>
  <c r="AM40" i="62"/>
  <c r="AL40" i="62"/>
  <c r="AK40" i="62"/>
  <c r="AJ40" i="62"/>
  <c r="AI40" i="62"/>
  <c r="AH40" i="62"/>
  <c r="AG40" i="62"/>
  <c r="AF40" i="62"/>
  <c r="AE40" i="62"/>
  <c r="AD40" i="62"/>
  <c r="AC40" i="62"/>
  <c r="AB40" i="62"/>
  <c r="AA40" i="62"/>
  <c r="Z40" i="62"/>
  <c r="Y40" i="62"/>
  <c r="X40" i="62"/>
  <c r="W40" i="62"/>
  <c r="V40" i="62"/>
  <c r="U40" i="62"/>
  <c r="T40" i="62"/>
  <c r="S40" i="62"/>
  <c r="R40" i="62"/>
  <c r="Q40" i="62"/>
  <c r="P40" i="62"/>
  <c r="O40" i="62"/>
  <c r="N40" i="62"/>
  <c r="M40" i="62"/>
  <c r="L40" i="62"/>
  <c r="K40" i="62"/>
  <c r="J40" i="62"/>
  <c r="I40" i="62"/>
  <c r="H40" i="62"/>
  <c r="G40" i="62"/>
  <c r="F40" i="62"/>
  <c r="E40" i="62"/>
  <c r="D40" i="62"/>
  <c r="C40" i="62"/>
  <c r="FN39" i="62"/>
  <c r="FM39" i="62"/>
  <c r="FL39" i="62"/>
  <c r="FK39" i="62"/>
  <c r="FJ39" i="62"/>
  <c r="FI39" i="62"/>
  <c r="FH39" i="62"/>
  <c r="FG39" i="62"/>
  <c r="FF39" i="62"/>
  <c r="FE39" i="62"/>
  <c r="FD39" i="62"/>
  <c r="FC39" i="62"/>
  <c r="FB39" i="62"/>
  <c r="FA39" i="62"/>
  <c r="EZ39" i="62"/>
  <c r="EY39" i="62"/>
  <c r="EX39" i="62"/>
  <c r="EW39" i="62"/>
  <c r="EV39" i="62"/>
  <c r="EU39" i="62"/>
  <c r="ET39" i="62"/>
  <c r="ES39" i="62"/>
  <c r="ER39" i="62"/>
  <c r="EQ39" i="62"/>
  <c r="EP39" i="62"/>
  <c r="EO39" i="62"/>
  <c r="EN39" i="62"/>
  <c r="EM39" i="62"/>
  <c r="EL39" i="62"/>
  <c r="EK39" i="62"/>
  <c r="EJ39" i="62"/>
  <c r="EI39" i="62"/>
  <c r="EH39" i="62"/>
  <c r="EG39" i="62"/>
  <c r="EF39" i="62"/>
  <c r="EE39" i="62"/>
  <c r="ED39" i="62"/>
  <c r="EC39" i="62"/>
  <c r="EB39" i="62"/>
  <c r="EA39" i="62"/>
  <c r="DZ39" i="62"/>
  <c r="DY39" i="62"/>
  <c r="DX39" i="62"/>
  <c r="DW39" i="62"/>
  <c r="DV39" i="62"/>
  <c r="DU39" i="62"/>
  <c r="DT39" i="62"/>
  <c r="DS39" i="62"/>
  <c r="DR39" i="62"/>
  <c r="DQ39" i="62"/>
  <c r="DP39" i="62"/>
  <c r="DO39" i="62"/>
  <c r="DN39" i="62"/>
  <c r="DM39" i="62"/>
  <c r="DL39" i="62"/>
  <c r="DK39" i="62"/>
  <c r="DJ39" i="62"/>
  <c r="DI39" i="62"/>
  <c r="DH39" i="62"/>
  <c r="DG39" i="62"/>
  <c r="DF39" i="62"/>
  <c r="DE39" i="62"/>
  <c r="DD39" i="62"/>
  <c r="DC39" i="62"/>
  <c r="DB39" i="62"/>
  <c r="DA39" i="62"/>
  <c r="CZ39" i="62"/>
  <c r="CY39" i="62"/>
  <c r="CX39" i="62"/>
  <c r="CW39" i="62"/>
  <c r="CV39" i="62"/>
  <c r="CU39" i="62"/>
  <c r="CT39" i="62"/>
  <c r="CS39" i="62"/>
  <c r="CR39" i="62"/>
  <c r="CQ39" i="62"/>
  <c r="CP39" i="62"/>
  <c r="CO39" i="62"/>
  <c r="CN39" i="62"/>
  <c r="CM39" i="62"/>
  <c r="CL39" i="62"/>
  <c r="CK39" i="62"/>
  <c r="CJ39" i="62"/>
  <c r="CI39" i="62"/>
  <c r="CH39" i="62"/>
  <c r="CG39" i="62"/>
  <c r="CF39" i="62"/>
  <c r="CE39" i="62"/>
  <c r="CD39" i="62"/>
  <c r="CC39" i="62"/>
  <c r="CB39" i="62"/>
  <c r="CA39" i="62"/>
  <c r="BZ39" i="62"/>
  <c r="BY39" i="62"/>
  <c r="BX39" i="62"/>
  <c r="BW39" i="62"/>
  <c r="BV39" i="62"/>
  <c r="BU39" i="62"/>
  <c r="BT39" i="62"/>
  <c r="BS39" i="62"/>
  <c r="BR39" i="62"/>
  <c r="BQ39" i="62"/>
  <c r="BP39" i="62"/>
  <c r="BO39" i="62"/>
  <c r="BN39" i="62"/>
  <c r="BM39" i="62"/>
  <c r="BL39" i="62"/>
  <c r="BK39" i="62"/>
  <c r="BJ39" i="62"/>
  <c r="BI39" i="62"/>
  <c r="BH39" i="62"/>
  <c r="BG39" i="62"/>
  <c r="BF39" i="62"/>
  <c r="BE39" i="62"/>
  <c r="BD39" i="62"/>
  <c r="BC39" i="62"/>
  <c r="BB39" i="62"/>
  <c r="BA39" i="62"/>
  <c r="AZ39" i="62"/>
  <c r="AY39" i="62"/>
  <c r="AX39" i="62"/>
  <c r="AW39" i="62"/>
  <c r="AV39" i="62"/>
  <c r="AU39" i="62"/>
  <c r="AT39" i="62"/>
  <c r="AS39" i="62"/>
  <c r="AR39" i="62"/>
  <c r="AQ39" i="62"/>
  <c r="AP39" i="62"/>
  <c r="AO39" i="62"/>
  <c r="AN39" i="62"/>
  <c r="AM39" i="62"/>
  <c r="AL39" i="62"/>
  <c r="AK39" i="62"/>
  <c r="AJ39" i="62"/>
  <c r="AI39" i="62"/>
  <c r="AH39" i="62"/>
  <c r="AG39" i="62"/>
  <c r="AF39" i="62"/>
  <c r="AE39" i="62"/>
  <c r="AD39" i="62"/>
  <c r="AC39" i="62"/>
  <c r="AB39" i="62"/>
  <c r="AA39" i="62"/>
  <c r="Z39" i="62"/>
  <c r="Y39" i="62"/>
  <c r="X39" i="62"/>
  <c r="W39" i="62"/>
  <c r="V39" i="62"/>
  <c r="U39" i="62"/>
  <c r="T39" i="62"/>
  <c r="S39" i="62"/>
  <c r="R39" i="62"/>
  <c r="Q39" i="62"/>
  <c r="P39" i="62"/>
  <c r="O39" i="62"/>
  <c r="N39" i="62"/>
  <c r="M39" i="62"/>
  <c r="L39" i="62"/>
  <c r="K39" i="62"/>
  <c r="J39" i="62"/>
  <c r="I39" i="62"/>
  <c r="H39" i="62"/>
  <c r="G39" i="62"/>
  <c r="F39" i="62"/>
  <c r="E39" i="62"/>
  <c r="D39" i="62"/>
  <c r="C39" i="62"/>
  <c r="FN38" i="62"/>
  <c r="FM38" i="62"/>
  <c r="FL38" i="62"/>
  <c r="FK38" i="62"/>
  <c r="FJ38" i="62"/>
  <c r="FI38" i="62"/>
  <c r="FH38" i="62"/>
  <c r="FG38" i="62"/>
  <c r="FF38" i="62"/>
  <c r="FE38" i="62"/>
  <c r="FD38" i="62"/>
  <c r="FC38" i="62"/>
  <c r="FB38" i="62"/>
  <c r="FA38" i="62"/>
  <c r="EZ38" i="62"/>
  <c r="EY38" i="62"/>
  <c r="EX38" i="62"/>
  <c r="EW38" i="62"/>
  <c r="EV38" i="62"/>
  <c r="EU38" i="62"/>
  <c r="ET38" i="62"/>
  <c r="ES38" i="62"/>
  <c r="ER38" i="62"/>
  <c r="EQ38" i="62"/>
  <c r="EP38" i="62"/>
  <c r="EO38" i="62"/>
  <c r="EN38" i="62"/>
  <c r="EM38" i="62"/>
  <c r="EL38" i="62"/>
  <c r="EK38" i="62"/>
  <c r="EJ38" i="62"/>
  <c r="EI38" i="62"/>
  <c r="EH38" i="62"/>
  <c r="EG38" i="62"/>
  <c r="EF38" i="62"/>
  <c r="EE38" i="62"/>
  <c r="ED38" i="62"/>
  <c r="EC38" i="62"/>
  <c r="EB38" i="62"/>
  <c r="EA38" i="62"/>
  <c r="DZ38" i="62"/>
  <c r="DY38" i="62"/>
  <c r="DX38" i="62"/>
  <c r="DW38" i="62"/>
  <c r="DV38" i="62"/>
  <c r="DU38" i="62"/>
  <c r="DT38" i="62"/>
  <c r="DS38" i="62"/>
  <c r="DR38" i="62"/>
  <c r="DQ38" i="62"/>
  <c r="DP38" i="62"/>
  <c r="DO38" i="62"/>
  <c r="DN38" i="62"/>
  <c r="DM38" i="62"/>
  <c r="DL38" i="62"/>
  <c r="DK38" i="62"/>
  <c r="DJ38" i="62"/>
  <c r="DI38" i="62"/>
  <c r="DH38" i="62"/>
  <c r="DG38" i="62"/>
  <c r="DF38" i="62"/>
  <c r="DE38" i="62"/>
  <c r="DD38" i="62"/>
  <c r="DC38" i="62"/>
  <c r="DB38" i="62"/>
  <c r="DA38" i="62"/>
  <c r="CZ38" i="62"/>
  <c r="CY38" i="62"/>
  <c r="CX38" i="62"/>
  <c r="CW38" i="62"/>
  <c r="CV38" i="62"/>
  <c r="CU38" i="62"/>
  <c r="CT38" i="62"/>
  <c r="CS38" i="62"/>
  <c r="CR38" i="62"/>
  <c r="CQ38" i="62"/>
  <c r="CP38" i="62"/>
  <c r="CO38" i="62"/>
  <c r="CN38" i="62"/>
  <c r="CM38" i="62"/>
  <c r="CL38" i="62"/>
  <c r="CK38" i="62"/>
  <c r="CJ38" i="62"/>
  <c r="CI38" i="62"/>
  <c r="CH38" i="62"/>
  <c r="CG38" i="62"/>
  <c r="CF38" i="62"/>
  <c r="CE38" i="62"/>
  <c r="CD38" i="62"/>
  <c r="CC38" i="62"/>
  <c r="CB38" i="62"/>
  <c r="CA38" i="62"/>
  <c r="BZ38" i="62"/>
  <c r="BY38" i="62"/>
  <c r="BX38" i="62"/>
  <c r="BW38" i="62"/>
  <c r="BV38" i="62"/>
  <c r="BU38" i="62"/>
  <c r="BT38" i="62"/>
  <c r="BS38" i="62"/>
  <c r="BR38" i="62"/>
  <c r="BQ38" i="62"/>
  <c r="BP38" i="62"/>
  <c r="BO38" i="62"/>
  <c r="BN38" i="62"/>
  <c r="BM38" i="62"/>
  <c r="BL38" i="62"/>
  <c r="BK38" i="62"/>
  <c r="BJ38" i="62"/>
  <c r="BI38" i="62"/>
  <c r="BH38" i="62"/>
  <c r="BG38" i="62"/>
  <c r="BF38" i="62"/>
  <c r="BE38" i="62"/>
  <c r="BD38" i="62"/>
  <c r="BC38" i="62"/>
  <c r="BB38" i="62"/>
  <c r="BA38" i="62"/>
  <c r="AZ38" i="62"/>
  <c r="AY38" i="62"/>
  <c r="AX38" i="62"/>
  <c r="AW38" i="62"/>
  <c r="AV38" i="62"/>
  <c r="AU38" i="62"/>
  <c r="AT38" i="62"/>
  <c r="AS38" i="62"/>
  <c r="AR38" i="62"/>
  <c r="AQ38" i="62"/>
  <c r="AP38" i="62"/>
  <c r="AO38" i="62"/>
  <c r="AN38" i="62"/>
  <c r="AM38" i="62"/>
  <c r="AL38" i="62"/>
  <c r="AK38" i="62"/>
  <c r="AJ38" i="62"/>
  <c r="AI38" i="62"/>
  <c r="AH38" i="62"/>
  <c r="AG38" i="62"/>
  <c r="AF38" i="62"/>
  <c r="AE38" i="62"/>
  <c r="AD38" i="62"/>
  <c r="AC38" i="62"/>
  <c r="AB38" i="62"/>
  <c r="AA38" i="62"/>
  <c r="Z38" i="62"/>
  <c r="Y38" i="62"/>
  <c r="X38" i="62"/>
  <c r="W38" i="62"/>
  <c r="V38" i="62"/>
  <c r="U38" i="62"/>
  <c r="T38" i="62"/>
  <c r="S38" i="62"/>
  <c r="R38" i="62"/>
  <c r="Q38" i="62"/>
  <c r="P38" i="62"/>
  <c r="O38" i="62"/>
  <c r="N38" i="62"/>
  <c r="M38" i="62"/>
  <c r="L38" i="62"/>
  <c r="K38" i="62"/>
  <c r="J38" i="62"/>
  <c r="I38" i="62"/>
  <c r="H38" i="62"/>
  <c r="G38" i="62"/>
  <c r="F38" i="62"/>
  <c r="E38" i="62"/>
  <c r="D38" i="62"/>
  <c r="C38" i="62"/>
  <c r="FN37" i="62"/>
  <c r="FM37" i="62"/>
  <c r="FL37" i="62"/>
  <c r="FK37" i="62"/>
  <c r="FJ37" i="62"/>
  <c r="FI37" i="62"/>
  <c r="FH37" i="62"/>
  <c r="FG37" i="62"/>
  <c r="FF37" i="62"/>
  <c r="FE37" i="62"/>
  <c r="FD37" i="62"/>
  <c r="FC37" i="62"/>
  <c r="FB37" i="62"/>
  <c r="FA37" i="62"/>
  <c r="EZ37" i="62"/>
  <c r="EY37" i="62"/>
  <c r="EX37" i="62"/>
  <c r="EW37" i="62"/>
  <c r="EV37" i="62"/>
  <c r="EU37" i="62"/>
  <c r="ET37" i="62"/>
  <c r="ES37" i="62"/>
  <c r="ER37" i="62"/>
  <c r="EQ37" i="62"/>
  <c r="EP37" i="62"/>
  <c r="EO37" i="62"/>
  <c r="EN37" i="62"/>
  <c r="EM37" i="62"/>
  <c r="EL37" i="62"/>
  <c r="EK37" i="62"/>
  <c r="EJ37" i="62"/>
  <c r="EI37" i="62"/>
  <c r="EH37" i="62"/>
  <c r="EG37" i="62"/>
  <c r="EF37" i="62"/>
  <c r="EE37" i="62"/>
  <c r="ED37" i="62"/>
  <c r="EC37" i="62"/>
  <c r="EB37" i="62"/>
  <c r="EA37" i="62"/>
  <c r="DZ37" i="62"/>
  <c r="DY37" i="62"/>
  <c r="DX37" i="62"/>
  <c r="DW37" i="62"/>
  <c r="DV37" i="62"/>
  <c r="DU37" i="62"/>
  <c r="DT37" i="62"/>
  <c r="DS37" i="62"/>
  <c r="DR37" i="62"/>
  <c r="DQ37" i="62"/>
  <c r="DP37" i="62"/>
  <c r="DO37" i="62"/>
  <c r="DN37" i="62"/>
  <c r="DM37" i="62"/>
  <c r="DL37" i="62"/>
  <c r="DK37" i="62"/>
  <c r="DJ37" i="62"/>
  <c r="DI37" i="62"/>
  <c r="DH37" i="62"/>
  <c r="DG37" i="62"/>
  <c r="DF37" i="62"/>
  <c r="DE37" i="62"/>
  <c r="DD37" i="62"/>
  <c r="DC37" i="62"/>
  <c r="DB37" i="62"/>
  <c r="DA37" i="62"/>
  <c r="CZ37" i="62"/>
  <c r="CY37" i="62"/>
  <c r="CX37" i="62"/>
  <c r="CW37" i="62"/>
  <c r="CV37" i="62"/>
  <c r="CU37" i="62"/>
  <c r="CT37" i="62"/>
  <c r="CS37" i="62"/>
  <c r="CR37" i="62"/>
  <c r="CQ37" i="62"/>
  <c r="CP37" i="62"/>
  <c r="CO37" i="62"/>
  <c r="CN37" i="62"/>
  <c r="CM37" i="62"/>
  <c r="CL37" i="62"/>
  <c r="CK37" i="62"/>
  <c r="CJ37" i="62"/>
  <c r="CI37" i="62"/>
  <c r="CH37" i="62"/>
  <c r="CG37" i="62"/>
  <c r="CF37" i="62"/>
  <c r="CE37" i="62"/>
  <c r="CD37" i="62"/>
  <c r="CC37" i="62"/>
  <c r="CB37" i="62"/>
  <c r="CA37" i="62"/>
  <c r="BZ37" i="62"/>
  <c r="BY37" i="62"/>
  <c r="BX37" i="62"/>
  <c r="BW37" i="62"/>
  <c r="BV37" i="62"/>
  <c r="BU37" i="62"/>
  <c r="BT37" i="62"/>
  <c r="BS37" i="62"/>
  <c r="BR37" i="62"/>
  <c r="BQ37" i="62"/>
  <c r="BP37" i="62"/>
  <c r="BO37" i="62"/>
  <c r="BN37" i="62"/>
  <c r="BM37" i="62"/>
  <c r="BL37" i="62"/>
  <c r="BK37" i="62"/>
  <c r="BJ37" i="62"/>
  <c r="BI37" i="62"/>
  <c r="BH37" i="62"/>
  <c r="BG37" i="62"/>
  <c r="BF37" i="62"/>
  <c r="BE37" i="62"/>
  <c r="BD37" i="62"/>
  <c r="BC37" i="62"/>
  <c r="BB37" i="62"/>
  <c r="BA37" i="62"/>
  <c r="AZ37" i="62"/>
  <c r="AY37" i="62"/>
  <c r="AX37" i="62"/>
  <c r="AW37" i="62"/>
  <c r="AV37" i="62"/>
  <c r="AU37" i="62"/>
  <c r="AT37" i="62"/>
  <c r="AS37" i="62"/>
  <c r="AR37" i="62"/>
  <c r="AQ37" i="62"/>
  <c r="AP37" i="62"/>
  <c r="AO37" i="62"/>
  <c r="AN37" i="62"/>
  <c r="AM37" i="62"/>
  <c r="AL37" i="62"/>
  <c r="AK37" i="62"/>
  <c r="AJ37" i="62"/>
  <c r="AI37" i="62"/>
  <c r="AH37" i="62"/>
  <c r="AG37" i="62"/>
  <c r="AF37" i="62"/>
  <c r="AE37" i="62"/>
  <c r="AD37" i="62"/>
  <c r="AC37" i="62"/>
  <c r="AB37" i="62"/>
  <c r="AA37" i="62"/>
  <c r="Z37" i="62"/>
  <c r="Y37" i="62"/>
  <c r="X37" i="62"/>
  <c r="W37" i="62"/>
  <c r="V37" i="62"/>
  <c r="U37" i="62"/>
  <c r="T37" i="62"/>
  <c r="S37" i="62"/>
  <c r="R37" i="62"/>
  <c r="Q37" i="62"/>
  <c r="P37" i="62"/>
  <c r="O37" i="62"/>
  <c r="N37" i="62"/>
  <c r="M37" i="62"/>
  <c r="L37" i="62"/>
  <c r="K37" i="62"/>
  <c r="J37" i="62"/>
  <c r="I37" i="62"/>
  <c r="H37" i="62"/>
  <c r="G37" i="62"/>
  <c r="F37" i="62"/>
  <c r="E37" i="62"/>
  <c r="D37" i="62"/>
  <c r="C37" i="62"/>
  <c r="FN36" i="62"/>
  <c r="FM36" i="62"/>
  <c r="FL36" i="62"/>
  <c r="FK36" i="62"/>
  <c r="FJ36" i="62"/>
  <c r="FI36" i="62"/>
  <c r="FH36" i="62"/>
  <c r="FG36" i="62"/>
  <c r="FF36" i="62"/>
  <c r="FE36" i="62"/>
  <c r="FD36" i="62"/>
  <c r="FC36" i="62"/>
  <c r="FB36" i="62"/>
  <c r="FA36" i="62"/>
  <c r="EZ36" i="62"/>
  <c r="EY36" i="62"/>
  <c r="EX36" i="62"/>
  <c r="EW36" i="62"/>
  <c r="EV36" i="62"/>
  <c r="EU36" i="62"/>
  <c r="ET36" i="62"/>
  <c r="ES36" i="62"/>
  <c r="ER36" i="62"/>
  <c r="EQ36" i="62"/>
  <c r="EP36" i="62"/>
  <c r="EO36" i="62"/>
  <c r="EN36" i="62"/>
  <c r="EM36" i="62"/>
  <c r="EL36" i="62"/>
  <c r="EK36" i="62"/>
  <c r="EJ36" i="62"/>
  <c r="EI36" i="62"/>
  <c r="EH36" i="62"/>
  <c r="EG36" i="62"/>
  <c r="EF36" i="62"/>
  <c r="EE36" i="62"/>
  <c r="ED36" i="62"/>
  <c r="EC36" i="62"/>
  <c r="EB36" i="62"/>
  <c r="EA36" i="62"/>
  <c r="DZ36" i="62"/>
  <c r="DY36" i="62"/>
  <c r="DX36" i="62"/>
  <c r="DW36" i="62"/>
  <c r="DV36" i="62"/>
  <c r="DU36" i="62"/>
  <c r="DT36" i="62"/>
  <c r="DS36" i="62"/>
  <c r="DR36" i="62"/>
  <c r="DQ36" i="62"/>
  <c r="DP36" i="62"/>
  <c r="DO36" i="62"/>
  <c r="DN36" i="62"/>
  <c r="DM36" i="62"/>
  <c r="DL36" i="62"/>
  <c r="DK36" i="62"/>
  <c r="DJ36" i="62"/>
  <c r="DI36" i="62"/>
  <c r="DH36" i="62"/>
  <c r="DG36" i="62"/>
  <c r="DF36" i="62"/>
  <c r="DE36" i="62"/>
  <c r="DD36" i="62"/>
  <c r="DC36" i="62"/>
  <c r="DB36" i="62"/>
  <c r="DA36" i="62"/>
  <c r="CZ36" i="62"/>
  <c r="CY36" i="62"/>
  <c r="CX36" i="62"/>
  <c r="CW36" i="62"/>
  <c r="CV36" i="62"/>
  <c r="CU36" i="62"/>
  <c r="CT36" i="62"/>
  <c r="CS36" i="62"/>
  <c r="CR36" i="62"/>
  <c r="CQ36" i="62"/>
  <c r="CP36" i="62"/>
  <c r="CO36" i="62"/>
  <c r="CN36" i="62"/>
  <c r="CM36" i="62"/>
  <c r="CL36" i="62"/>
  <c r="CK36" i="62"/>
  <c r="CJ36" i="62"/>
  <c r="CI36" i="62"/>
  <c r="CH36" i="62"/>
  <c r="CG36" i="62"/>
  <c r="CF36" i="62"/>
  <c r="CE36" i="62"/>
  <c r="CD36" i="62"/>
  <c r="CC36" i="62"/>
  <c r="CB36" i="62"/>
  <c r="CA36" i="62"/>
  <c r="BZ36" i="62"/>
  <c r="BY36" i="62"/>
  <c r="BX36" i="62"/>
  <c r="BW36" i="62"/>
  <c r="BV36" i="62"/>
  <c r="BU36" i="62"/>
  <c r="BT36" i="62"/>
  <c r="BS36" i="62"/>
  <c r="BR36" i="62"/>
  <c r="BQ36" i="62"/>
  <c r="BP36" i="62"/>
  <c r="BO36" i="62"/>
  <c r="BN36" i="62"/>
  <c r="BM36" i="62"/>
  <c r="BL36" i="62"/>
  <c r="BK36" i="62"/>
  <c r="BJ36" i="62"/>
  <c r="BI36" i="62"/>
  <c r="BH36" i="62"/>
  <c r="BG36" i="62"/>
  <c r="BF36" i="62"/>
  <c r="BE36" i="62"/>
  <c r="BD36" i="62"/>
  <c r="BC36" i="62"/>
  <c r="BB36" i="62"/>
  <c r="BA36" i="62"/>
  <c r="AZ36" i="62"/>
  <c r="AY36" i="62"/>
  <c r="AX36" i="62"/>
  <c r="AW36" i="62"/>
  <c r="AV36" i="62"/>
  <c r="AU36" i="62"/>
  <c r="AT36" i="62"/>
  <c r="AS36" i="62"/>
  <c r="AR36" i="62"/>
  <c r="AQ36" i="62"/>
  <c r="AP36" i="62"/>
  <c r="AO36" i="62"/>
  <c r="AN36" i="62"/>
  <c r="AM36" i="62"/>
  <c r="AL36" i="62"/>
  <c r="AK36" i="62"/>
  <c r="AJ36" i="62"/>
  <c r="AI36" i="62"/>
  <c r="AH36" i="62"/>
  <c r="AG36" i="62"/>
  <c r="AF36" i="62"/>
  <c r="AE36" i="62"/>
  <c r="AD36" i="62"/>
  <c r="AC36" i="62"/>
  <c r="AB36" i="62"/>
  <c r="AA36" i="62"/>
  <c r="Z36" i="62"/>
  <c r="Y36" i="62"/>
  <c r="X36" i="62"/>
  <c r="W36" i="62"/>
  <c r="V36" i="62"/>
  <c r="U36" i="62"/>
  <c r="T36" i="62"/>
  <c r="S36" i="62"/>
  <c r="R36" i="62"/>
  <c r="Q36" i="62"/>
  <c r="P36" i="62"/>
  <c r="O36" i="62"/>
  <c r="N36" i="62"/>
  <c r="M36" i="62"/>
  <c r="L36" i="62"/>
  <c r="K36" i="62"/>
  <c r="J36" i="62"/>
  <c r="I36" i="62"/>
  <c r="H36" i="62"/>
  <c r="G36" i="62"/>
  <c r="F36" i="62"/>
  <c r="E36" i="62"/>
  <c r="D36" i="62"/>
  <c r="C36" i="62"/>
  <c r="FN35" i="62"/>
  <c r="FM35" i="62"/>
  <c r="FL35" i="62"/>
  <c r="FK35" i="62"/>
  <c r="FJ35" i="62"/>
  <c r="FI35" i="62"/>
  <c r="FH35" i="62"/>
  <c r="FG35" i="62"/>
  <c r="FF35" i="62"/>
  <c r="FE35" i="62"/>
  <c r="FD35" i="62"/>
  <c r="FC35" i="62"/>
  <c r="FB35" i="62"/>
  <c r="FA35" i="62"/>
  <c r="EZ35" i="62"/>
  <c r="EY35" i="62"/>
  <c r="EX35" i="62"/>
  <c r="EW35" i="62"/>
  <c r="EV35" i="62"/>
  <c r="EU35" i="62"/>
  <c r="ET35" i="62"/>
  <c r="ES35" i="62"/>
  <c r="ER35" i="62"/>
  <c r="EQ35" i="62"/>
  <c r="EP35" i="62"/>
  <c r="EO35" i="62"/>
  <c r="EN35" i="62"/>
  <c r="EM35" i="62"/>
  <c r="EL35" i="62"/>
  <c r="EK35" i="62"/>
  <c r="EJ35" i="62"/>
  <c r="EI35" i="62"/>
  <c r="EH35" i="62"/>
  <c r="EG35" i="62"/>
  <c r="EF35" i="62"/>
  <c r="EE35" i="62"/>
  <c r="ED35" i="62"/>
  <c r="EC35" i="62"/>
  <c r="EB35" i="62"/>
  <c r="EA35" i="62"/>
  <c r="DZ35" i="62"/>
  <c r="DY35" i="62"/>
  <c r="DX35" i="62"/>
  <c r="DW35" i="62"/>
  <c r="DV35" i="62"/>
  <c r="DU35" i="62"/>
  <c r="DT35" i="62"/>
  <c r="DS35" i="62"/>
  <c r="DR35" i="62"/>
  <c r="DQ35" i="62"/>
  <c r="DP35" i="62"/>
  <c r="DO35" i="62"/>
  <c r="DN35" i="62"/>
  <c r="DM35" i="62"/>
  <c r="DL35" i="62"/>
  <c r="DK35" i="62"/>
  <c r="DJ35" i="62"/>
  <c r="DI35" i="62"/>
  <c r="DH35" i="62"/>
  <c r="DG35" i="62"/>
  <c r="DF35" i="62"/>
  <c r="DE35" i="62"/>
  <c r="DD35" i="62"/>
  <c r="DC35" i="62"/>
  <c r="DB35" i="62"/>
  <c r="DA35" i="62"/>
  <c r="CZ35" i="62"/>
  <c r="CY35" i="62"/>
  <c r="CX35" i="62"/>
  <c r="CW35" i="62"/>
  <c r="CV35" i="62"/>
  <c r="CU35" i="62"/>
  <c r="CT35" i="62"/>
  <c r="CS35" i="62"/>
  <c r="CR35" i="62"/>
  <c r="CQ35" i="62"/>
  <c r="CP35" i="62"/>
  <c r="CO35" i="62"/>
  <c r="CN35" i="62"/>
  <c r="CM35" i="62"/>
  <c r="CL35" i="62"/>
  <c r="CK35" i="62"/>
  <c r="CJ35" i="62"/>
  <c r="CI35" i="62"/>
  <c r="CH35" i="62"/>
  <c r="CG35" i="62"/>
  <c r="CF35" i="62"/>
  <c r="CE35" i="62"/>
  <c r="CD35" i="62"/>
  <c r="CC35" i="62"/>
  <c r="CB35" i="62"/>
  <c r="CA35" i="62"/>
  <c r="BZ35" i="62"/>
  <c r="BY35" i="62"/>
  <c r="BX35" i="62"/>
  <c r="BW35" i="62"/>
  <c r="BV35" i="62"/>
  <c r="BU35" i="62"/>
  <c r="BT35" i="62"/>
  <c r="BS35" i="62"/>
  <c r="BR35" i="62"/>
  <c r="BQ35" i="62"/>
  <c r="BP35" i="62"/>
  <c r="BO35" i="62"/>
  <c r="BN35" i="62"/>
  <c r="BM35" i="62"/>
  <c r="BL35" i="62"/>
  <c r="BK35" i="62"/>
  <c r="BJ35" i="62"/>
  <c r="BI35" i="62"/>
  <c r="BH35" i="62"/>
  <c r="BG35" i="62"/>
  <c r="BF35" i="62"/>
  <c r="BE35" i="62"/>
  <c r="BD35" i="62"/>
  <c r="BC35" i="62"/>
  <c r="BB35" i="62"/>
  <c r="BA35" i="62"/>
  <c r="AZ35" i="62"/>
  <c r="AY35" i="62"/>
  <c r="AX35" i="62"/>
  <c r="AW35" i="62"/>
  <c r="AV35" i="62"/>
  <c r="AU35" i="62"/>
  <c r="AT35" i="62"/>
  <c r="AS35" i="62"/>
  <c r="AR35" i="62"/>
  <c r="AQ35" i="62"/>
  <c r="AP35" i="62"/>
  <c r="AO35" i="62"/>
  <c r="AN35" i="62"/>
  <c r="AM35" i="62"/>
  <c r="AL35" i="62"/>
  <c r="AK35" i="62"/>
  <c r="AJ35" i="62"/>
  <c r="AI35" i="62"/>
  <c r="AH35" i="62"/>
  <c r="AG35" i="62"/>
  <c r="AF35" i="62"/>
  <c r="AE35" i="62"/>
  <c r="AD35" i="62"/>
  <c r="AC35" i="62"/>
  <c r="AB35" i="62"/>
  <c r="AA35" i="62"/>
  <c r="Z35" i="62"/>
  <c r="Y35" i="62"/>
  <c r="X35" i="62"/>
  <c r="W35" i="62"/>
  <c r="V35" i="62"/>
  <c r="U35" i="62"/>
  <c r="T35" i="62"/>
  <c r="S35" i="62"/>
  <c r="R35" i="62"/>
  <c r="Q35" i="62"/>
  <c r="P35" i="62"/>
  <c r="O35" i="62"/>
  <c r="N35" i="62"/>
  <c r="M35" i="62"/>
  <c r="L35" i="62"/>
  <c r="K35" i="62"/>
  <c r="J35" i="62"/>
  <c r="I35" i="62"/>
  <c r="H35" i="62"/>
  <c r="G35" i="62"/>
  <c r="F35" i="62"/>
  <c r="E35" i="62"/>
  <c r="D35" i="62"/>
  <c r="C35" i="62"/>
  <c r="E34" i="62"/>
  <c r="D34" i="62"/>
  <c r="C34" i="62"/>
  <c r="FN43" i="39"/>
  <c r="FM43" i="39"/>
  <c r="FL43" i="39"/>
  <c r="FK43" i="39"/>
  <c r="FJ43" i="39"/>
  <c r="FI43" i="39"/>
  <c r="FH43" i="39"/>
  <c r="FG43" i="39"/>
  <c r="FF43" i="39"/>
  <c r="FE43" i="39"/>
  <c r="FD43" i="39"/>
  <c r="FC43" i="39"/>
  <c r="FB43" i="39"/>
  <c r="FA43" i="39"/>
  <c r="EZ43" i="39"/>
  <c r="EY43" i="39"/>
  <c r="EX43" i="39"/>
  <c r="EW43" i="39"/>
  <c r="EV43" i="39"/>
  <c r="EU43" i="39"/>
  <c r="ET43" i="39"/>
  <c r="ES43" i="39"/>
  <c r="ER43" i="39"/>
  <c r="EQ43" i="39"/>
  <c r="EP43" i="39"/>
  <c r="EO43" i="39"/>
  <c r="EN43" i="39"/>
  <c r="EM43" i="39"/>
  <c r="EL43" i="39"/>
  <c r="EK43" i="39"/>
  <c r="EJ43" i="39"/>
  <c r="EI43" i="39"/>
  <c r="EH43" i="39"/>
  <c r="EG43" i="39"/>
  <c r="EF43" i="39"/>
  <c r="EE43" i="39"/>
  <c r="ED43" i="39"/>
  <c r="EC43" i="39"/>
  <c r="EB43" i="39"/>
  <c r="EA43" i="39"/>
  <c r="DZ43" i="39"/>
  <c r="DY43" i="39"/>
  <c r="DX43" i="39"/>
  <c r="DW43" i="39"/>
  <c r="DV43" i="39"/>
  <c r="DU43" i="39"/>
  <c r="DT43" i="39"/>
  <c r="DS43" i="39"/>
  <c r="DR43" i="39"/>
  <c r="DQ43" i="39"/>
  <c r="DP43" i="39"/>
  <c r="DO43" i="39"/>
  <c r="DN43" i="39"/>
  <c r="DM43" i="39"/>
  <c r="DL43" i="39"/>
  <c r="DK43" i="39"/>
  <c r="DJ43" i="39"/>
  <c r="DI43" i="39"/>
  <c r="DH43" i="39"/>
  <c r="DG43" i="39"/>
  <c r="DF43" i="39"/>
  <c r="DE43" i="39"/>
  <c r="DD43" i="39"/>
  <c r="DC43" i="39"/>
  <c r="DB43" i="39"/>
  <c r="DA43" i="39"/>
  <c r="CZ43" i="39"/>
  <c r="CY43" i="39"/>
  <c r="CX43" i="39"/>
  <c r="CW43" i="39"/>
  <c r="CV43" i="39"/>
  <c r="CU43" i="39"/>
  <c r="CT43" i="39"/>
  <c r="CS43" i="39"/>
  <c r="CR43" i="39"/>
  <c r="CQ43" i="39"/>
  <c r="CP43" i="39"/>
  <c r="CO43" i="39"/>
  <c r="CN43" i="39"/>
  <c r="CM43" i="39"/>
  <c r="CL43" i="39"/>
  <c r="CK43" i="39"/>
  <c r="CJ43" i="39"/>
  <c r="CI43" i="39"/>
  <c r="CH43" i="39"/>
  <c r="CG43" i="39"/>
  <c r="CF43" i="39"/>
  <c r="CE43" i="39"/>
  <c r="CD43" i="39"/>
  <c r="CC43" i="39"/>
  <c r="CB43" i="39"/>
  <c r="CA43" i="39"/>
  <c r="BZ43" i="39"/>
  <c r="BY43" i="39"/>
  <c r="BX43" i="39"/>
  <c r="BW43" i="39"/>
  <c r="BV43" i="39"/>
  <c r="BU43" i="39"/>
  <c r="BT43" i="39"/>
  <c r="BS43" i="39"/>
  <c r="BR43" i="39"/>
  <c r="BQ43" i="39"/>
  <c r="BP43" i="39"/>
  <c r="BO43" i="39"/>
  <c r="BN43" i="39"/>
  <c r="BM43" i="39"/>
  <c r="BL43" i="39"/>
  <c r="BK43" i="39"/>
  <c r="BJ43" i="39"/>
  <c r="BI43" i="39"/>
  <c r="BH43" i="39"/>
  <c r="BG43" i="39"/>
  <c r="BF43" i="39"/>
  <c r="BE43" i="39"/>
  <c r="BD43" i="39"/>
  <c r="BC43" i="39"/>
  <c r="BB43" i="39"/>
  <c r="BA43" i="39"/>
  <c r="AZ43" i="39"/>
  <c r="AY43" i="39"/>
  <c r="AX43" i="39"/>
  <c r="AW43" i="39"/>
  <c r="AV43" i="39"/>
  <c r="AU43" i="39"/>
  <c r="AT43" i="39"/>
  <c r="AS43" i="39"/>
  <c r="AR43" i="39"/>
  <c r="AQ43" i="39"/>
  <c r="AP43" i="39"/>
  <c r="AO43" i="39"/>
  <c r="AN43" i="39"/>
  <c r="AM43" i="39"/>
  <c r="AL43" i="39"/>
  <c r="AK43" i="39"/>
  <c r="AJ43" i="39"/>
  <c r="AI43" i="39"/>
  <c r="AH43" i="39"/>
  <c r="AG43" i="39"/>
  <c r="AF43" i="39"/>
  <c r="AE43" i="39"/>
  <c r="AD43" i="39"/>
  <c r="AC43" i="39"/>
  <c r="AB43" i="39"/>
  <c r="AA43" i="39"/>
  <c r="Z43" i="39"/>
  <c r="Y43" i="39"/>
  <c r="X43" i="39"/>
  <c r="W43" i="39"/>
  <c r="V43" i="39"/>
  <c r="U43" i="39"/>
  <c r="T43" i="39"/>
  <c r="S43" i="39"/>
  <c r="R43" i="39"/>
  <c r="Q43" i="39"/>
  <c r="P43" i="39"/>
  <c r="O43" i="39"/>
  <c r="N43" i="39"/>
  <c r="M43" i="39"/>
  <c r="L43" i="39"/>
  <c r="K43" i="39"/>
  <c r="J43" i="39"/>
  <c r="I43" i="39"/>
  <c r="H43" i="39"/>
  <c r="G43" i="39"/>
  <c r="F43" i="39"/>
  <c r="E43" i="39"/>
  <c r="D43" i="39"/>
  <c r="C43" i="39"/>
  <c r="FN42" i="39"/>
  <c r="FM42" i="39"/>
  <c r="FL42" i="39"/>
  <c r="FK42" i="39"/>
  <c r="FJ42" i="39"/>
  <c r="FI42" i="39"/>
  <c r="FH42" i="39"/>
  <c r="FG42" i="39"/>
  <c r="FF42" i="39"/>
  <c r="FE42" i="39"/>
  <c r="FD42" i="39"/>
  <c r="FC42" i="39"/>
  <c r="FB42" i="39"/>
  <c r="FA42" i="39"/>
  <c r="EZ42" i="39"/>
  <c r="EY42" i="39"/>
  <c r="EX42" i="39"/>
  <c r="EW42" i="39"/>
  <c r="EV42" i="39"/>
  <c r="EU42" i="39"/>
  <c r="ET42" i="39"/>
  <c r="ES42" i="39"/>
  <c r="ER42" i="39"/>
  <c r="EQ42" i="39"/>
  <c r="EP42" i="39"/>
  <c r="EO42" i="39"/>
  <c r="EN42" i="39"/>
  <c r="EM42" i="39"/>
  <c r="EL42" i="39"/>
  <c r="EK42" i="39"/>
  <c r="EJ42" i="39"/>
  <c r="EI42" i="39"/>
  <c r="EH42" i="39"/>
  <c r="EG42" i="39"/>
  <c r="EF42" i="39"/>
  <c r="EE42" i="39"/>
  <c r="ED42" i="39"/>
  <c r="EC42" i="39"/>
  <c r="EB42" i="39"/>
  <c r="EA42" i="39"/>
  <c r="DZ42" i="39"/>
  <c r="DY42" i="39"/>
  <c r="DX42" i="39"/>
  <c r="DW42" i="39"/>
  <c r="DV42" i="39"/>
  <c r="DU42" i="39"/>
  <c r="DT42" i="39"/>
  <c r="DS42" i="39"/>
  <c r="DR42" i="39"/>
  <c r="DQ42" i="39"/>
  <c r="DP42" i="39"/>
  <c r="DO42" i="39"/>
  <c r="DN42" i="39"/>
  <c r="DM42" i="39"/>
  <c r="DL42" i="39"/>
  <c r="DK42" i="39"/>
  <c r="DJ42" i="39"/>
  <c r="DI42" i="39"/>
  <c r="DH42" i="39"/>
  <c r="DG42" i="39"/>
  <c r="DF42" i="39"/>
  <c r="DE42" i="39"/>
  <c r="DD42" i="39"/>
  <c r="DC42" i="39"/>
  <c r="DB42" i="39"/>
  <c r="DA42" i="39"/>
  <c r="CZ42" i="39"/>
  <c r="CY42" i="39"/>
  <c r="CX42" i="39"/>
  <c r="CW42" i="39"/>
  <c r="CV42" i="39"/>
  <c r="CU42" i="39"/>
  <c r="CT42" i="39"/>
  <c r="CS42" i="39"/>
  <c r="CR42" i="39"/>
  <c r="CQ42" i="39"/>
  <c r="CP42" i="39"/>
  <c r="CO42" i="39"/>
  <c r="CN42" i="39"/>
  <c r="CM42" i="39"/>
  <c r="CL42" i="39"/>
  <c r="CK42" i="39"/>
  <c r="CJ42" i="39"/>
  <c r="CI42" i="39"/>
  <c r="CH42" i="39"/>
  <c r="CG42" i="39"/>
  <c r="CF42" i="39"/>
  <c r="CE42" i="39"/>
  <c r="CD42" i="39"/>
  <c r="CC42" i="39"/>
  <c r="CB42" i="39"/>
  <c r="CA42" i="39"/>
  <c r="BZ42" i="39"/>
  <c r="BY42" i="39"/>
  <c r="BX42" i="39"/>
  <c r="BW42" i="39"/>
  <c r="BV42" i="39"/>
  <c r="BU42" i="39"/>
  <c r="BT42" i="39"/>
  <c r="BS42" i="39"/>
  <c r="BR42" i="39"/>
  <c r="BQ42" i="39"/>
  <c r="BP42" i="39"/>
  <c r="BO42" i="39"/>
  <c r="BN42" i="39"/>
  <c r="BM42" i="39"/>
  <c r="BL42" i="39"/>
  <c r="BK42" i="39"/>
  <c r="BJ42" i="39"/>
  <c r="BI42" i="39"/>
  <c r="BH42" i="39"/>
  <c r="BG42" i="39"/>
  <c r="BF42" i="39"/>
  <c r="BE42" i="39"/>
  <c r="BD42" i="39"/>
  <c r="BC42" i="39"/>
  <c r="BB42" i="39"/>
  <c r="BA42" i="39"/>
  <c r="AZ42" i="39"/>
  <c r="AY42" i="39"/>
  <c r="AX42" i="39"/>
  <c r="AW42" i="39"/>
  <c r="AV42" i="39"/>
  <c r="AU42" i="39"/>
  <c r="AT42" i="39"/>
  <c r="AS42" i="39"/>
  <c r="AR42" i="39"/>
  <c r="AQ42" i="39"/>
  <c r="AP42" i="39"/>
  <c r="AO42" i="39"/>
  <c r="AN42" i="39"/>
  <c r="AM42" i="39"/>
  <c r="AL42" i="39"/>
  <c r="AK42" i="39"/>
  <c r="AJ42" i="39"/>
  <c r="AI42" i="39"/>
  <c r="AH42" i="39"/>
  <c r="AG42" i="39"/>
  <c r="AF42" i="39"/>
  <c r="AE42" i="39"/>
  <c r="AD42" i="39"/>
  <c r="AC42" i="39"/>
  <c r="AB42" i="39"/>
  <c r="AA42" i="39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F42" i="39"/>
  <c r="E42" i="39"/>
  <c r="D42" i="39"/>
  <c r="C42" i="39"/>
  <c r="FN41" i="39"/>
  <c r="FM41" i="39"/>
  <c r="FL41" i="39"/>
  <c r="FK41" i="39"/>
  <c r="FJ41" i="39"/>
  <c r="FI41" i="39"/>
  <c r="FH41" i="39"/>
  <c r="FG41" i="39"/>
  <c r="FF41" i="39"/>
  <c r="FE41" i="39"/>
  <c r="FD41" i="39"/>
  <c r="FC41" i="39"/>
  <c r="FB41" i="39"/>
  <c r="FA41" i="39"/>
  <c r="EZ41" i="39"/>
  <c r="EY41" i="39"/>
  <c r="EX41" i="39"/>
  <c r="EW41" i="39"/>
  <c r="EV41" i="39"/>
  <c r="EU41" i="39"/>
  <c r="ET41" i="39"/>
  <c r="ES41" i="39"/>
  <c r="ER41" i="39"/>
  <c r="EQ41" i="39"/>
  <c r="EP41" i="39"/>
  <c r="EO41" i="39"/>
  <c r="EN41" i="39"/>
  <c r="EM41" i="39"/>
  <c r="EL41" i="39"/>
  <c r="EK41" i="39"/>
  <c r="EJ41" i="39"/>
  <c r="EI41" i="39"/>
  <c r="EH41" i="39"/>
  <c r="EG41" i="39"/>
  <c r="EF41" i="39"/>
  <c r="EE41" i="39"/>
  <c r="ED41" i="39"/>
  <c r="EC41" i="39"/>
  <c r="EB41" i="39"/>
  <c r="EA41" i="39"/>
  <c r="DZ41" i="39"/>
  <c r="DY41" i="39"/>
  <c r="DX41" i="39"/>
  <c r="DW41" i="39"/>
  <c r="DV41" i="39"/>
  <c r="DU41" i="39"/>
  <c r="DT41" i="39"/>
  <c r="DS41" i="39"/>
  <c r="DR41" i="39"/>
  <c r="DQ41" i="39"/>
  <c r="DP41" i="39"/>
  <c r="DO41" i="39"/>
  <c r="DN41" i="39"/>
  <c r="DM41" i="39"/>
  <c r="DL41" i="39"/>
  <c r="DK41" i="39"/>
  <c r="DJ41" i="39"/>
  <c r="DI41" i="39"/>
  <c r="DH41" i="39"/>
  <c r="DG41" i="39"/>
  <c r="DF41" i="39"/>
  <c r="DE41" i="39"/>
  <c r="DD41" i="39"/>
  <c r="DC41" i="39"/>
  <c r="DB41" i="39"/>
  <c r="DA41" i="39"/>
  <c r="CZ41" i="39"/>
  <c r="CY41" i="39"/>
  <c r="CX41" i="39"/>
  <c r="CW41" i="39"/>
  <c r="CV41" i="39"/>
  <c r="CU41" i="39"/>
  <c r="CT41" i="39"/>
  <c r="CS41" i="39"/>
  <c r="CR41" i="39"/>
  <c r="CQ41" i="39"/>
  <c r="CP41" i="39"/>
  <c r="CO41" i="39"/>
  <c r="CN41" i="39"/>
  <c r="CM41" i="39"/>
  <c r="CL41" i="39"/>
  <c r="CK41" i="39"/>
  <c r="CJ41" i="39"/>
  <c r="CI41" i="39"/>
  <c r="CH41" i="39"/>
  <c r="CG41" i="39"/>
  <c r="CF41" i="39"/>
  <c r="CE41" i="39"/>
  <c r="CD41" i="39"/>
  <c r="CC41" i="39"/>
  <c r="CB41" i="39"/>
  <c r="CA41" i="39"/>
  <c r="BZ41" i="39"/>
  <c r="BY41" i="39"/>
  <c r="BX41" i="39"/>
  <c r="BW41" i="39"/>
  <c r="BV41" i="39"/>
  <c r="BU41" i="39"/>
  <c r="BT41" i="39"/>
  <c r="BS41" i="39"/>
  <c r="BR41" i="39"/>
  <c r="BQ41" i="39"/>
  <c r="BP41" i="39"/>
  <c r="BO41" i="39"/>
  <c r="BN41" i="39"/>
  <c r="BM41" i="39"/>
  <c r="BL41" i="39"/>
  <c r="BK41" i="39"/>
  <c r="BJ41" i="39"/>
  <c r="BI41" i="39"/>
  <c r="BH41" i="39"/>
  <c r="BG41" i="39"/>
  <c r="BF41" i="39"/>
  <c r="BE41" i="39"/>
  <c r="BD41" i="39"/>
  <c r="BC41" i="39"/>
  <c r="BB41" i="39"/>
  <c r="BA41" i="39"/>
  <c r="AZ41" i="39"/>
  <c r="AY41" i="39"/>
  <c r="AX41" i="39"/>
  <c r="AW41" i="39"/>
  <c r="AV41" i="39"/>
  <c r="AU41" i="39"/>
  <c r="AT41" i="39"/>
  <c r="AS41" i="39"/>
  <c r="AR41" i="39"/>
  <c r="AQ41" i="39"/>
  <c r="AP41" i="39"/>
  <c r="AO41" i="39"/>
  <c r="AN41" i="39"/>
  <c r="AM41" i="39"/>
  <c r="AL41" i="39"/>
  <c r="AK41" i="39"/>
  <c r="AJ41" i="39"/>
  <c r="AI41" i="39"/>
  <c r="AH41" i="39"/>
  <c r="AG41" i="39"/>
  <c r="AF41" i="39"/>
  <c r="AE41" i="39"/>
  <c r="AD41" i="39"/>
  <c r="AC41" i="39"/>
  <c r="AB41" i="39"/>
  <c r="AA41" i="39"/>
  <c r="Z41" i="39"/>
  <c r="Y41" i="39"/>
  <c r="X41" i="39"/>
  <c r="W41" i="39"/>
  <c r="V41" i="39"/>
  <c r="U41" i="39"/>
  <c r="T41" i="39"/>
  <c r="S41" i="39"/>
  <c r="R41" i="39"/>
  <c r="Q41" i="39"/>
  <c r="P41" i="39"/>
  <c r="O41" i="39"/>
  <c r="N41" i="39"/>
  <c r="M41" i="39"/>
  <c r="L41" i="39"/>
  <c r="K41" i="39"/>
  <c r="J41" i="39"/>
  <c r="I41" i="39"/>
  <c r="H41" i="39"/>
  <c r="G41" i="39"/>
  <c r="F41" i="39"/>
  <c r="E41" i="39"/>
  <c r="D41" i="39"/>
  <c r="C41" i="39"/>
  <c r="FN40" i="39"/>
  <c r="FM40" i="39"/>
  <c r="FL40" i="39"/>
  <c r="FK40" i="39"/>
  <c r="FJ40" i="39"/>
  <c r="FI40" i="39"/>
  <c r="FH40" i="39"/>
  <c r="FG40" i="39"/>
  <c r="FF40" i="39"/>
  <c r="FE40" i="39"/>
  <c r="FD40" i="39"/>
  <c r="FC40" i="39"/>
  <c r="FB40" i="39"/>
  <c r="FA40" i="39"/>
  <c r="EZ40" i="39"/>
  <c r="EY40" i="39"/>
  <c r="EX40" i="39"/>
  <c r="EW40" i="39"/>
  <c r="EV40" i="39"/>
  <c r="EU40" i="39"/>
  <c r="ET40" i="39"/>
  <c r="ES40" i="39"/>
  <c r="ER40" i="39"/>
  <c r="EQ40" i="39"/>
  <c r="EP40" i="39"/>
  <c r="EO40" i="39"/>
  <c r="EN40" i="39"/>
  <c r="EM40" i="39"/>
  <c r="EL40" i="39"/>
  <c r="EK40" i="39"/>
  <c r="EJ40" i="39"/>
  <c r="EI40" i="39"/>
  <c r="EH40" i="39"/>
  <c r="EG40" i="39"/>
  <c r="EF40" i="39"/>
  <c r="EE40" i="39"/>
  <c r="ED40" i="39"/>
  <c r="EC40" i="39"/>
  <c r="EB40" i="39"/>
  <c r="EA40" i="39"/>
  <c r="DZ40" i="39"/>
  <c r="DY40" i="39"/>
  <c r="DX40" i="39"/>
  <c r="DW40" i="39"/>
  <c r="DV40" i="39"/>
  <c r="DU40" i="39"/>
  <c r="DT40" i="39"/>
  <c r="DS40" i="39"/>
  <c r="DR40" i="39"/>
  <c r="DQ40" i="39"/>
  <c r="DP40" i="39"/>
  <c r="DO40" i="39"/>
  <c r="DN40" i="39"/>
  <c r="DM40" i="39"/>
  <c r="DL40" i="39"/>
  <c r="DK40" i="39"/>
  <c r="DJ40" i="39"/>
  <c r="DI40" i="39"/>
  <c r="DH40" i="39"/>
  <c r="DG40" i="39"/>
  <c r="DF40" i="39"/>
  <c r="DE40" i="39"/>
  <c r="DD40" i="39"/>
  <c r="DC40" i="39"/>
  <c r="DB40" i="39"/>
  <c r="DA40" i="39"/>
  <c r="CZ40" i="39"/>
  <c r="CY40" i="39"/>
  <c r="CX40" i="39"/>
  <c r="CW40" i="39"/>
  <c r="CV40" i="39"/>
  <c r="CU40" i="39"/>
  <c r="CT40" i="39"/>
  <c r="CS40" i="39"/>
  <c r="CR40" i="39"/>
  <c r="CQ40" i="39"/>
  <c r="CP40" i="39"/>
  <c r="CO40" i="39"/>
  <c r="CN40" i="39"/>
  <c r="CM40" i="39"/>
  <c r="CL40" i="39"/>
  <c r="CK40" i="39"/>
  <c r="CJ40" i="39"/>
  <c r="CI40" i="39"/>
  <c r="CH40" i="39"/>
  <c r="CG40" i="39"/>
  <c r="CF40" i="39"/>
  <c r="CE40" i="39"/>
  <c r="CD40" i="39"/>
  <c r="CC40" i="39"/>
  <c r="CB40" i="39"/>
  <c r="CA40" i="39"/>
  <c r="BZ40" i="39"/>
  <c r="BY40" i="39"/>
  <c r="BX40" i="39"/>
  <c r="BW40" i="39"/>
  <c r="BV40" i="39"/>
  <c r="BU40" i="39"/>
  <c r="BT40" i="39"/>
  <c r="BS40" i="39"/>
  <c r="BR40" i="39"/>
  <c r="BQ40" i="39"/>
  <c r="BP40" i="39"/>
  <c r="BO40" i="39"/>
  <c r="BN40" i="39"/>
  <c r="BM40" i="39"/>
  <c r="BL40" i="39"/>
  <c r="BK40" i="39"/>
  <c r="BJ40" i="39"/>
  <c r="BI40" i="39"/>
  <c r="BH40" i="39"/>
  <c r="BG40" i="39"/>
  <c r="BF40" i="39"/>
  <c r="BE40" i="39"/>
  <c r="BD40" i="39"/>
  <c r="BC40" i="39"/>
  <c r="BB40" i="39"/>
  <c r="BA40" i="39"/>
  <c r="AZ40" i="39"/>
  <c r="AY40" i="39"/>
  <c r="AX40" i="39"/>
  <c r="AW40" i="39"/>
  <c r="AV40" i="39"/>
  <c r="AU40" i="39"/>
  <c r="AT40" i="39"/>
  <c r="AS40" i="39"/>
  <c r="AR40" i="39"/>
  <c r="AQ40" i="39"/>
  <c r="AP40" i="39"/>
  <c r="AO40" i="39"/>
  <c r="AN40" i="39"/>
  <c r="AM40" i="39"/>
  <c r="AL40" i="39"/>
  <c r="AK40" i="39"/>
  <c r="AJ40" i="39"/>
  <c r="AI40" i="39"/>
  <c r="AH40" i="39"/>
  <c r="AG40" i="39"/>
  <c r="AF40" i="39"/>
  <c r="AE40" i="39"/>
  <c r="AD40" i="39"/>
  <c r="AC40" i="39"/>
  <c r="AB40" i="39"/>
  <c r="AA40" i="39"/>
  <c r="Z40" i="39"/>
  <c r="Y40" i="39"/>
  <c r="X40" i="39"/>
  <c r="W40" i="39"/>
  <c r="V40" i="39"/>
  <c r="U40" i="39"/>
  <c r="T40" i="39"/>
  <c r="S40" i="39"/>
  <c r="R40" i="39"/>
  <c r="Q40" i="39"/>
  <c r="P40" i="39"/>
  <c r="O40" i="39"/>
  <c r="N40" i="39"/>
  <c r="M40" i="39"/>
  <c r="L40" i="39"/>
  <c r="K40" i="39"/>
  <c r="J40" i="39"/>
  <c r="I40" i="39"/>
  <c r="H40" i="39"/>
  <c r="G40" i="39"/>
  <c r="F40" i="39"/>
  <c r="E40" i="39"/>
  <c r="D40" i="39"/>
  <c r="C40" i="39"/>
  <c r="FN39" i="39"/>
  <c r="FM39" i="39"/>
  <c r="FL39" i="39"/>
  <c r="FK39" i="39"/>
  <c r="FJ39" i="39"/>
  <c r="FI39" i="39"/>
  <c r="FH39" i="39"/>
  <c r="FG39" i="39"/>
  <c r="FF39" i="39"/>
  <c r="FE39" i="39"/>
  <c r="FD39" i="39"/>
  <c r="FC39" i="39"/>
  <c r="FB39" i="39"/>
  <c r="FA39" i="39"/>
  <c r="EZ39" i="39"/>
  <c r="EY39" i="39"/>
  <c r="EX39" i="39"/>
  <c r="EW39" i="39"/>
  <c r="EV39" i="39"/>
  <c r="EU39" i="39"/>
  <c r="ET39" i="39"/>
  <c r="ES39" i="39"/>
  <c r="ER39" i="39"/>
  <c r="EQ39" i="39"/>
  <c r="EP39" i="39"/>
  <c r="EO39" i="39"/>
  <c r="EN39" i="39"/>
  <c r="EM39" i="39"/>
  <c r="EL39" i="39"/>
  <c r="EK39" i="39"/>
  <c r="EJ39" i="39"/>
  <c r="EI39" i="39"/>
  <c r="EH39" i="39"/>
  <c r="EG39" i="39"/>
  <c r="EF39" i="39"/>
  <c r="EE39" i="39"/>
  <c r="ED39" i="39"/>
  <c r="EC39" i="39"/>
  <c r="EB39" i="39"/>
  <c r="EA39" i="39"/>
  <c r="DZ39" i="39"/>
  <c r="DY39" i="39"/>
  <c r="DX39" i="39"/>
  <c r="DW39" i="39"/>
  <c r="DV39" i="39"/>
  <c r="DU39" i="39"/>
  <c r="DT39" i="39"/>
  <c r="DS39" i="39"/>
  <c r="DR39" i="39"/>
  <c r="DQ39" i="39"/>
  <c r="DP39" i="39"/>
  <c r="DO39" i="39"/>
  <c r="DN39" i="39"/>
  <c r="DM39" i="39"/>
  <c r="DL39" i="39"/>
  <c r="DK39" i="39"/>
  <c r="DJ39" i="39"/>
  <c r="DI39" i="39"/>
  <c r="DH39" i="39"/>
  <c r="DG39" i="39"/>
  <c r="DF39" i="39"/>
  <c r="DE39" i="39"/>
  <c r="DD39" i="39"/>
  <c r="DC39" i="39"/>
  <c r="DB39" i="39"/>
  <c r="DA39" i="39"/>
  <c r="CZ39" i="39"/>
  <c r="CY39" i="39"/>
  <c r="CX39" i="39"/>
  <c r="CW39" i="39"/>
  <c r="CV39" i="39"/>
  <c r="CU39" i="39"/>
  <c r="CT39" i="39"/>
  <c r="CS39" i="39"/>
  <c r="CR39" i="39"/>
  <c r="CQ39" i="39"/>
  <c r="CP39" i="39"/>
  <c r="CO39" i="39"/>
  <c r="CN39" i="39"/>
  <c r="CM39" i="39"/>
  <c r="CL39" i="39"/>
  <c r="CK39" i="39"/>
  <c r="CJ39" i="39"/>
  <c r="CI39" i="39"/>
  <c r="CH39" i="39"/>
  <c r="CG39" i="39"/>
  <c r="CF39" i="39"/>
  <c r="CE39" i="39"/>
  <c r="CD39" i="39"/>
  <c r="CC39" i="39"/>
  <c r="CB39" i="39"/>
  <c r="CA39" i="39"/>
  <c r="BZ39" i="39"/>
  <c r="BY39" i="39"/>
  <c r="BX39" i="39"/>
  <c r="BW39" i="39"/>
  <c r="BV39" i="39"/>
  <c r="BU39" i="39"/>
  <c r="BT39" i="39"/>
  <c r="BS39" i="39"/>
  <c r="BR39" i="39"/>
  <c r="BQ39" i="39"/>
  <c r="BP39" i="39"/>
  <c r="BO39" i="39"/>
  <c r="BN39" i="39"/>
  <c r="BM39" i="39"/>
  <c r="BL39" i="39"/>
  <c r="BK39" i="39"/>
  <c r="BJ39" i="39"/>
  <c r="BI39" i="39"/>
  <c r="BH39" i="39"/>
  <c r="BG39" i="39"/>
  <c r="BF39" i="39"/>
  <c r="BE39" i="39"/>
  <c r="BD39" i="39"/>
  <c r="BC39" i="39"/>
  <c r="BB39" i="39"/>
  <c r="BA39" i="39"/>
  <c r="AZ39" i="39"/>
  <c r="AY39" i="39"/>
  <c r="AX39" i="39"/>
  <c r="AW39" i="39"/>
  <c r="AV39" i="39"/>
  <c r="AU39" i="39"/>
  <c r="AT39" i="39"/>
  <c r="AS39" i="39"/>
  <c r="AR39" i="39"/>
  <c r="AQ39" i="39"/>
  <c r="AP39" i="39"/>
  <c r="AO39" i="39"/>
  <c r="AN39" i="39"/>
  <c r="AM39" i="39"/>
  <c r="AL39" i="39"/>
  <c r="AK39" i="39"/>
  <c r="AJ39" i="39"/>
  <c r="AI39" i="39"/>
  <c r="AH39" i="39"/>
  <c r="AG39" i="39"/>
  <c r="AF39" i="39"/>
  <c r="AE39" i="39"/>
  <c r="AD39" i="39"/>
  <c r="AC39" i="39"/>
  <c r="AB39" i="39"/>
  <c r="AA39" i="39"/>
  <c r="Z39" i="39"/>
  <c r="Y39" i="39"/>
  <c r="X39" i="39"/>
  <c r="W39" i="39"/>
  <c r="V39" i="39"/>
  <c r="U39" i="39"/>
  <c r="T39" i="39"/>
  <c r="S39" i="39"/>
  <c r="R39" i="39"/>
  <c r="Q39" i="39"/>
  <c r="P39" i="39"/>
  <c r="O39" i="39"/>
  <c r="N39" i="39"/>
  <c r="M39" i="39"/>
  <c r="L39" i="39"/>
  <c r="K39" i="39"/>
  <c r="J39" i="39"/>
  <c r="I39" i="39"/>
  <c r="H39" i="39"/>
  <c r="G39" i="39"/>
  <c r="F39" i="39"/>
  <c r="E39" i="39"/>
  <c r="D39" i="39"/>
  <c r="C39" i="39"/>
  <c r="FN38" i="39"/>
  <c r="FM38" i="39"/>
  <c r="FL38" i="39"/>
  <c r="FK38" i="39"/>
  <c r="FJ38" i="39"/>
  <c r="FI38" i="39"/>
  <c r="FH38" i="39"/>
  <c r="FG38" i="39"/>
  <c r="FF38" i="39"/>
  <c r="FE38" i="39"/>
  <c r="FD38" i="39"/>
  <c r="FC38" i="39"/>
  <c r="FB38" i="39"/>
  <c r="FA38" i="39"/>
  <c r="EZ38" i="39"/>
  <c r="EY38" i="39"/>
  <c r="EX38" i="39"/>
  <c r="EW38" i="39"/>
  <c r="EV38" i="39"/>
  <c r="EU38" i="39"/>
  <c r="ET38" i="39"/>
  <c r="ES38" i="39"/>
  <c r="ER38" i="39"/>
  <c r="EQ38" i="39"/>
  <c r="EP38" i="39"/>
  <c r="EO38" i="39"/>
  <c r="EN38" i="39"/>
  <c r="EM38" i="39"/>
  <c r="EL38" i="39"/>
  <c r="EK38" i="39"/>
  <c r="EJ38" i="39"/>
  <c r="EI38" i="39"/>
  <c r="EH38" i="39"/>
  <c r="EG38" i="39"/>
  <c r="EF38" i="39"/>
  <c r="EE38" i="39"/>
  <c r="ED38" i="39"/>
  <c r="EC38" i="39"/>
  <c r="EB38" i="39"/>
  <c r="EA38" i="39"/>
  <c r="DZ38" i="39"/>
  <c r="DY38" i="39"/>
  <c r="DX38" i="39"/>
  <c r="DW38" i="39"/>
  <c r="DV38" i="39"/>
  <c r="DU38" i="39"/>
  <c r="DT38" i="39"/>
  <c r="DS38" i="39"/>
  <c r="DR38" i="39"/>
  <c r="DQ38" i="39"/>
  <c r="DP38" i="39"/>
  <c r="DO38" i="39"/>
  <c r="DN38" i="39"/>
  <c r="DM38" i="39"/>
  <c r="DL38" i="39"/>
  <c r="DK38" i="39"/>
  <c r="DJ38" i="39"/>
  <c r="DI38" i="39"/>
  <c r="DH38" i="39"/>
  <c r="DG38" i="39"/>
  <c r="DF38" i="39"/>
  <c r="DE38" i="39"/>
  <c r="DD38" i="39"/>
  <c r="DC38" i="39"/>
  <c r="DB38" i="39"/>
  <c r="DA38" i="39"/>
  <c r="CZ38" i="39"/>
  <c r="CY38" i="39"/>
  <c r="CX38" i="39"/>
  <c r="CW38" i="39"/>
  <c r="CV38" i="39"/>
  <c r="CU38" i="39"/>
  <c r="CT38" i="39"/>
  <c r="CS38" i="39"/>
  <c r="CR38" i="39"/>
  <c r="CQ38" i="39"/>
  <c r="CP38" i="39"/>
  <c r="CO38" i="39"/>
  <c r="CN38" i="39"/>
  <c r="CM38" i="39"/>
  <c r="CL38" i="39"/>
  <c r="CK38" i="39"/>
  <c r="CJ38" i="39"/>
  <c r="CI38" i="39"/>
  <c r="CH38" i="39"/>
  <c r="CG38" i="39"/>
  <c r="CF38" i="39"/>
  <c r="CE38" i="39"/>
  <c r="CD38" i="39"/>
  <c r="CC38" i="39"/>
  <c r="CB38" i="39"/>
  <c r="CA38" i="39"/>
  <c r="BZ38" i="39"/>
  <c r="BY38" i="39"/>
  <c r="BX38" i="39"/>
  <c r="BW38" i="39"/>
  <c r="BV38" i="39"/>
  <c r="BU38" i="39"/>
  <c r="BT38" i="39"/>
  <c r="BS38" i="39"/>
  <c r="BR38" i="39"/>
  <c r="BQ38" i="39"/>
  <c r="BP38" i="39"/>
  <c r="BO38" i="39"/>
  <c r="BN38" i="39"/>
  <c r="BM38" i="39"/>
  <c r="BL38" i="39"/>
  <c r="BK38" i="39"/>
  <c r="BJ38" i="39"/>
  <c r="BI38" i="39"/>
  <c r="BH38" i="39"/>
  <c r="BG38" i="39"/>
  <c r="BF38" i="39"/>
  <c r="BE38" i="39"/>
  <c r="BD38" i="39"/>
  <c r="BC38" i="39"/>
  <c r="BB38" i="39"/>
  <c r="BA38" i="39"/>
  <c r="AZ38" i="39"/>
  <c r="AY38" i="39"/>
  <c r="AX38" i="39"/>
  <c r="AW38" i="39"/>
  <c r="AV38" i="39"/>
  <c r="AU38" i="39"/>
  <c r="AT38" i="39"/>
  <c r="AS38" i="39"/>
  <c r="AR38" i="39"/>
  <c r="AQ38" i="39"/>
  <c r="AP38" i="39"/>
  <c r="AO38" i="39"/>
  <c r="AN38" i="39"/>
  <c r="AM38" i="39"/>
  <c r="AL38" i="39"/>
  <c r="AK38" i="39"/>
  <c r="AJ38" i="39"/>
  <c r="AI38" i="39"/>
  <c r="AH38" i="39"/>
  <c r="AG38" i="39"/>
  <c r="AF38" i="39"/>
  <c r="AE38" i="39"/>
  <c r="AD38" i="39"/>
  <c r="AC38" i="39"/>
  <c r="AB38" i="39"/>
  <c r="AA38" i="39"/>
  <c r="Z38" i="39"/>
  <c r="Y38" i="39"/>
  <c r="X38" i="39"/>
  <c r="W38" i="39"/>
  <c r="V38" i="39"/>
  <c r="U38" i="39"/>
  <c r="T38" i="39"/>
  <c r="S38" i="39"/>
  <c r="R38" i="39"/>
  <c r="Q38" i="39"/>
  <c r="P38" i="39"/>
  <c r="O38" i="39"/>
  <c r="N38" i="39"/>
  <c r="M38" i="39"/>
  <c r="L38" i="39"/>
  <c r="K38" i="39"/>
  <c r="J38" i="39"/>
  <c r="I38" i="39"/>
  <c r="H38" i="39"/>
  <c r="G38" i="39"/>
  <c r="F38" i="39"/>
  <c r="E38" i="39"/>
  <c r="D38" i="39"/>
  <c r="C38" i="39"/>
  <c r="FN37" i="39"/>
  <c r="FM37" i="39"/>
  <c r="FL37" i="39"/>
  <c r="FK37" i="39"/>
  <c r="FJ37" i="39"/>
  <c r="FI37" i="39"/>
  <c r="FH37" i="39"/>
  <c r="FG37" i="39"/>
  <c r="FF37" i="39"/>
  <c r="FE37" i="39"/>
  <c r="FD37" i="39"/>
  <c r="FC37" i="39"/>
  <c r="FB37" i="39"/>
  <c r="FA37" i="39"/>
  <c r="EZ37" i="39"/>
  <c r="EY37" i="39"/>
  <c r="EX37" i="39"/>
  <c r="EW37" i="39"/>
  <c r="EV37" i="39"/>
  <c r="EU37" i="39"/>
  <c r="ET37" i="39"/>
  <c r="ES37" i="39"/>
  <c r="ER37" i="39"/>
  <c r="EQ37" i="39"/>
  <c r="EP37" i="39"/>
  <c r="EO37" i="39"/>
  <c r="EN37" i="39"/>
  <c r="EM37" i="39"/>
  <c r="EL37" i="39"/>
  <c r="EK37" i="39"/>
  <c r="EJ37" i="39"/>
  <c r="EI37" i="39"/>
  <c r="EH37" i="39"/>
  <c r="EG37" i="39"/>
  <c r="EF37" i="39"/>
  <c r="EE37" i="39"/>
  <c r="ED37" i="39"/>
  <c r="EC37" i="39"/>
  <c r="EB37" i="39"/>
  <c r="EA37" i="39"/>
  <c r="DZ37" i="39"/>
  <c r="DY37" i="39"/>
  <c r="DX37" i="39"/>
  <c r="DW37" i="39"/>
  <c r="DV37" i="39"/>
  <c r="DU37" i="39"/>
  <c r="DT37" i="39"/>
  <c r="DS37" i="39"/>
  <c r="DR37" i="39"/>
  <c r="DQ37" i="39"/>
  <c r="DP37" i="39"/>
  <c r="DO37" i="39"/>
  <c r="DN37" i="39"/>
  <c r="DM37" i="39"/>
  <c r="DL37" i="39"/>
  <c r="DK37" i="39"/>
  <c r="DJ37" i="39"/>
  <c r="DI37" i="39"/>
  <c r="DH37" i="39"/>
  <c r="DG37" i="39"/>
  <c r="DF37" i="39"/>
  <c r="DE37" i="39"/>
  <c r="DD37" i="39"/>
  <c r="DC37" i="39"/>
  <c r="DB37" i="39"/>
  <c r="DA37" i="39"/>
  <c r="CZ37" i="39"/>
  <c r="CY37" i="39"/>
  <c r="CX37" i="39"/>
  <c r="CW37" i="39"/>
  <c r="CV37" i="39"/>
  <c r="CU37" i="39"/>
  <c r="CT37" i="39"/>
  <c r="CS37" i="39"/>
  <c r="CR37" i="39"/>
  <c r="CQ37" i="39"/>
  <c r="CP37" i="39"/>
  <c r="CO37" i="39"/>
  <c r="CN37" i="39"/>
  <c r="CM37" i="39"/>
  <c r="CL37" i="39"/>
  <c r="CK37" i="39"/>
  <c r="CJ37" i="39"/>
  <c r="CI37" i="39"/>
  <c r="CH37" i="39"/>
  <c r="CG37" i="39"/>
  <c r="CF37" i="39"/>
  <c r="CE37" i="39"/>
  <c r="CD37" i="39"/>
  <c r="CC37" i="39"/>
  <c r="CB37" i="39"/>
  <c r="CA37" i="39"/>
  <c r="BZ37" i="39"/>
  <c r="BY37" i="39"/>
  <c r="BX37" i="39"/>
  <c r="BW37" i="39"/>
  <c r="BV37" i="39"/>
  <c r="BU37" i="39"/>
  <c r="BT37" i="39"/>
  <c r="BS37" i="39"/>
  <c r="BR37" i="39"/>
  <c r="BQ37" i="39"/>
  <c r="BP37" i="39"/>
  <c r="BO37" i="39"/>
  <c r="BN37" i="39"/>
  <c r="BM37" i="39"/>
  <c r="BL37" i="39"/>
  <c r="BK37" i="39"/>
  <c r="BJ37" i="39"/>
  <c r="BI37" i="39"/>
  <c r="BH37" i="39"/>
  <c r="BG37" i="39"/>
  <c r="BF37" i="39"/>
  <c r="BE37" i="39"/>
  <c r="BD37" i="39"/>
  <c r="BC37" i="39"/>
  <c r="BB37" i="39"/>
  <c r="BA37" i="39"/>
  <c r="AZ37" i="39"/>
  <c r="AY37" i="39"/>
  <c r="AX37" i="39"/>
  <c r="AW37" i="39"/>
  <c r="AV37" i="39"/>
  <c r="AU37" i="39"/>
  <c r="AT37" i="39"/>
  <c r="AS37" i="39"/>
  <c r="AR37" i="39"/>
  <c r="AQ37" i="39"/>
  <c r="AP37" i="39"/>
  <c r="AO37" i="39"/>
  <c r="AN37" i="39"/>
  <c r="AM37" i="39"/>
  <c r="AL37" i="39"/>
  <c r="AK37" i="39"/>
  <c r="AJ37" i="39"/>
  <c r="AI37" i="39"/>
  <c r="AH37" i="39"/>
  <c r="AG37" i="39"/>
  <c r="AF37" i="39"/>
  <c r="AE37" i="39"/>
  <c r="AD37" i="39"/>
  <c r="AC37" i="39"/>
  <c r="AB37" i="39"/>
  <c r="AA37" i="39"/>
  <c r="Z37" i="39"/>
  <c r="Y37" i="39"/>
  <c r="X37" i="39"/>
  <c r="W37" i="39"/>
  <c r="V37" i="39"/>
  <c r="U37" i="39"/>
  <c r="T37" i="39"/>
  <c r="S37" i="39"/>
  <c r="R37" i="39"/>
  <c r="Q37" i="39"/>
  <c r="P37" i="39"/>
  <c r="O37" i="39"/>
  <c r="N37" i="39"/>
  <c r="M37" i="39"/>
  <c r="L37" i="39"/>
  <c r="K37" i="39"/>
  <c r="J37" i="39"/>
  <c r="I37" i="39"/>
  <c r="H37" i="39"/>
  <c r="G37" i="39"/>
  <c r="F37" i="39"/>
  <c r="E37" i="39"/>
  <c r="D37" i="39"/>
  <c r="C37" i="39"/>
  <c r="FN36" i="39"/>
  <c r="FM36" i="39"/>
  <c r="FL36" i="39"/>
  <c r="FK36" i="39"/>
  <c r="FJ36" i="39"/>
  <c r="FI36" i="39"/>
  <c r="FH36" i="39"/>
  <c r="FG36" i="39"/>
  <c r="FF36" i="39"/>
  <c r="FE36" i="39"/>
  <c r="FD36" i="39"/>
  <c r="FC36" i="39"/>
  <c r="FB36" i="39"/>
  <c r="FA36" i="39"/>
  <c r="EZ36" i="39"/>
  <c r="EY36" i="39"/>
  <c r="EX36" i="39"/>
  <c r="EW36" i="39"/>
  <c r="EV36" i="39"/>
  <c r="EU36" i="39"/>
  <c r="ET36" i="39"/>
  <c r="ES36" i="39"/>
  <c r="ER36" i="39"/>
  <c r="EQ36" i="39"/>
  <c r="EP36" i="39"/>
  <c r="EO36" i="39"/>
  <c r="EN36" i="39"/>
  <c r="EM36" i="39"/>
  <c r="EL36" i="39"/>
  <c r="EK36" i="39"/>
  <c r="EJ36" i="39"/>
  <c r="EI36" i="39"/>
  <c r="EH36" i="39"/>
  <c r="EG36" i="39"/>
  <c r="EF36" i="39"/>
  <c r="EE36" i="39"/>
  <c r="ED36" i="39"/>
  <c r="EC36" i="39"/>
  <c r="EB36" i="39"/>
  <c r="EA36" i="39"/>
  <c r="DZ36" i="39"/>
  <c r="DY36" i="39"/>
  <c r="DX36" i="39"/>
  <c r="DW36" i="39"/>
  <c r="DV36" i="39"/>
  <c r="DU36" i="39"/>
  <c r="DT36" i="39"/>
  <c r="DS36" i="39"/>
  <c r="DR36" i="39"/>
  <c r="DQ36" i="39"/>
  <c r="DP36" i="39"/>
  <c r="DO36" i="39"/>
  <c r="DN36" i="39"/>
  <c r="DM36" i="39"/>
  <c r="DL36" i="39"/>
  <c r="DK36" i="39"/>
  <c r="DJ36" i="39"/>
  <c r="DI36" i="39"/>
  <c r="DH36" i="39"/>
  <c r="DG36" i="39"/>
  <c r="DF36" i="39"/>
  <c r="DE36" i="39"/>
  <c r="DD36" i="39"/>
  <c r="DC36" i="39"/>
  <c r="DB36" i="39"/>
  <c r="DA36" i="39"/>
  <c r="CZ36" i="39"/>
  <c r="CY36" i="39"/>
  <c r="CX36" i="39"/>
  <c r="CW36" i="39"/>
  <c r="CV36" i="39"/>
  <c r="CU36" i="39"/>
  <c r="CT36" i="39"/>
  <c r="CS36" i="39"/>
  <c r="CR36" i="39"/>
  <c r="CQ36" i="39"/>
  <c r="CP36" i="39"/>
  <c r="CO36" i="39"/>
  <c r="CN36" i="39"/>
  <c r="CM36" i="39"/>
  <c r="CL36" i="39"/>
  <c r="CK36" i="39"/>
  <c r="CJ36" i="39"/>
  <c r="CI36" i="39"/>
  <c r="CH36" i="39"/>
  <c r="CG36" i="39"/>
  <c r="CF36" i="39"/>
  <c r="CE36" i="39"/>
  <c r="CD36" i="39"/>
  <c r="CC36" i="39"/>
  <c r="CB36" i="39"/>
  <c r="CA36" i="39"/>
  <c r="BZ36" i="39"/>
  <c r="BY36" i="39"/>
  <c r="BX36" i="39"/>
  <c r="BW36" i="39"/>
  <c r="BV36" i="39"/>
  <c r="BU36" i="39"/>
  <c r="BT36" i="39"/>
  <c r="BS36" i="39"/>
  <c r="BR36" i="39"/>
  <c r="BQ36" i="39"/>
  <c r="BP36" i="39"/>
  <c r="BO36" i="39"/>
  <c r="BN36" i="39"/>
  <c r="BM36" i="39"/>
  <c r="BL36" i="39"/>
  <c r="BK36" i="39"/>
  <c r="BJ36" i="39"/>
  <c r="BI36" i="39"/>
  <c r="BH36" i="39"/>
  <c r="BG36" i="39"/>
  <c r="BF36" i="39"/>
  <c r="BE36" i="39"/>
  <c r="BD36" i="39"/>
  <c r="BC36" i="39"/>
  <c r="BB36" i="39"/>
  <c r="BA36" i="39"/>
  <c r="AZ36" i="39"/>
  <c r="AY36" i="39"/>
  <c r="AX36" i="39"/>
  <c r="AW36" i="39"/>
  <c r="AV36" i="39"/>
  <c r="AU36" i="39"/>
  <c r="AT36" i="39"/>
  <c r="AS36" i="39"/>
  <c r="AR36" i="39"/>
  <c r="AQ36" i="39"/>
  <c r="AP36" i="39"/>
  <c r="AO36" i="39"/>
  <c r="AN36" i="39"/>
  <c r="AM36" i="39"/>
  <c r="AL36" i="39"/>
  <c r="AK36" i="39"/>
  <c r="AJ36" i="39"/>
  <c r="AI36" i="39"/>
  <c r="AH36" i="39"/>
  <c r="AG36" i="39"/>
  <c r="AF36" i="39"/>
  <c r="AE36" i="39"/>
  <c r="AD36" i="39"/>
  <c r="AC36" i="39"/>
  <c r="AB36" i="39"/>
  <c r="AA36" i="39"/>
  <c r="Z36" i="39"/>
  <c r="Y36" i="39"/>
  <c r="X36" i="39"/>
  <c r="W36" i="39"/>
  <c r="V36" i="39"/>
  <c r="U36" i="39"/>
  <c r="T36" i="39"/>
  <c r="S36" i="39"/>
  <c r="R36" i="39"/>
  <c r="Q36" i="39"/>
  <c r="P36" i="39"/>
  <c r="O36" i="39"/>
  <c r="N36" i="39"/>
  <c r="M36" i="39"/>
  <c r="L36" i="39"/>
  <c r="K36" i="39"/>
  <c r="J36" i="39"/>
  <c r="I36" i="39"/>
  <c r="H36" i="39"/>
  <c r="G36" i="39"/>
  <c r="F36" i="39"/>
  <c r="E36" i="39"/>
  <c r="D36" i="39"/>
  <c r="C36" i="39"/>
  <c r="FN35" i="39"/>
  <c r="FM35" i="39"/>
  <c r="FL35" i="39"/>
  <c r="FK35" i="39"/>
  <c r="FJ35" i="39"/>
  <c r="FI35" i="39"/>
  <c r="FH35" i="39"/>
  <c r="FG35" i="39"/>
  <c r="FF35" i="39"/>
  <c r="FE35" i="39"/>
  <c r="FD35" i="39"/>
  <c r="FC35" i="39"/>
  <c r="FB35" i="39"/>
  <c r="FA35" i="39"/>
  <c r="EZ35" i="39"/>
  <c r="EY35" i="39"/>
  <c r="EX35" i="39"/>
  <c r="EW35" i="39"/>
  <c r="EV35" i="39"/>
  <c r="EU35" i="39"/>
  <c r="ET35" i="39"/>
  <c r="ES35" i="39"/>
  <c r="ER35" i="39"/>
  <c r="EQ35" i="39"/>
  <c r="EP35" i="39"/>
  <c r="EO35" i="39"/>
  <c r="EN35" i="39"/>
  <c r="EM35" i="39"/>
  <c r="EL35" i="39"/>
  <c r="EK35" i="39"/>
  <c r="EJ35" i="39"/>
  <c r="EI35" i="39"/>
  <c r="EH35" i="39"/>
  <c r="EG35" i="39"/>
  <c r="EF35" i="39"/>
  <c r="EE35" i="39"/>
  <c r="ED35" i="39"/>
  <c r="EC35" i="39"/>
  <c r="EB35" i="39"/>
  <c r="EA35" i="39"/>
  <c r="DZ35" i="39"/>
  <c r="DY35" i="39"/>
  <c r="DX35" i="39"/>
  <c r="DW35" i="39"/>
  <c r="DV35" i="39"/>
  <c r="DU35" i="39"/>
  <c r="DT35" i="39"/>
  <c r="DS35" i="39"/>
  <c r="DR35" i="39"/>
  <c r="DQ35" i="39"/>
  <c r="DP35" i="39"/>
  <c r="DO35" i="39"/>
  <c r="DN35" i="39"/>
  <c r="DM35" i="39"/>
  <c r="DL35" i="39"/>
  <c r="DK35" i="39"/>
  <c r="DJ35" i="39"/>
  <c r="DI35" i="39"/>
  <c r="DH35" i="39"/>
  <c r="DG35" i="39"/>
  <c r="DF35" i="39"/>
  <c r="DE35" i="39"/>
  <c r="DD35" i="39"/>
  <c r="DC35" i="39"/>
  <c r="DB35" i="39"/>
  <c r="DA35" i="39"/>
  <c r="CZ35" i="39"/>
  <c r="CY35" i="39"/>
  <c r="CX35" i="39"/>
  <c r="CW35" i="39"/>
  <c r="CV35" i="39"/>
  <c r="CU35" i="39"/>
  <c r="CT35" i="39"/>
  <c r="CS35" i="39"/>
  <c r="CR35" i="39"/>
  <c r="CQ35" i="39"/>
  <c r="CP35" i="39"/>
  <c r="CO35" i="39"/>
  <c r="CN35" i="39"/>
  <c r="CM35" i="39"/>
  <c r="CL35" i="39"/>
  <c r="CK35" i="39"/>
  <c r="CJ35" i="39"/>
  <c r="CI35" i="39"/>
  <c r="CH35" i="39"/>
  <c r="CG35" i="39"/>
  <c r="CF35" i="39"/>
  <c r="CE35" i="39"/>
  <c r="CD35" i="39"/>
  <c r="CC35" i="39"/>
  <c r="CB35" i="39"/>
  <c r="CA35" i="39"/>
  <c r="BZ35" i="39"/>
  <c r="BY35" i="39"/>
  <c r="BX35" i="39"/>
  <c r="BW35" i="39"/>
  <c r="BV35" i="39"/>
  <c r="BU35" i="39"/>
  <c r="BT35" i="39"/>
  <c r="BS35" i="39"/>
  <c r="BR35" i="39"/>
  <c r="BQ35" i="39"/>
  <c r="BP35" i="39"/>
  <c r="BO35" i="39"/>
  <c r="BN35" i="39"/>
  <c r="BM35" i="39"/>
  <c r="BL35" i="39"/>
  <c r="BK35" i="39"/>
  <c r="BJ35" i="39"/>
  <c r="BI35" i="39"/>
  <c r="BH35" i="39"/>
  <c r="BG35" i="39"/>
  <c r="BF35" i="39"/>
  <c r="BE35" i="39"/>
  <c r="BD35" i="39"/>
  <c r="BC35" i="39"/>
  <c r="BB35" i="39"/>
  <c r="BA35" i="39"/>
  <c r="AZ35" i="39"/>
  <c r="AY35" i="39"/>
  <c r="AX35" i="39"/>
  <c r="AW35" i="39"/>
  <c r="AV35" i="39"/>
  <c r="AU35" i="39"/>
  <c r="AT35" i="39"/>
  <c r="AS35" i="39"/>
  <c r="AR35" i="39"/>
  <c r="AQ35" i="39"/>
  <c r="AP35" i="39"/>
  <c r="AO35" i="39"/>
  <c r="AN35" i="39"/>
  <c r="AM35" i="39"/>
  <c r="AL35" i="39"/>
  <c r="AK35" i="39"/>
  <c r="AJ35" i="39"/>
  <c r="AI35" i="39"/>
  <c r="AH35" i="39"/>
  <c r="AG35" i="39"/>
  <c r="AF35" i="39"/>
  <c r="AE35" i="39"/>
  <c r="AD35" i="39"/>
  <c r="AC35" i="39"/>
  <c r="AB35" i="39"/>
  <c r="AA35" i="39"/>
  <c r="Z35" i="39"/>
  <c r="Y35" i="39"/>
  <c r="X35" i="39"/>
  <c r="W35" i="39"/>
  <c r="V35" i="39"/>
  <c r="U35" i="39"/>
  <c r="T35" i="39"/>
  <c r="S35" i="39"/>
  <c r="R35" i="39"/>
  <c r="Q35" i="39"/>
  <c r="P35" i="39"/>
  <c r="O35" i="39"/>
  <c r="N35" i="39"/>
  <c r="M35" i="39"/>
  <c r="L35" i="39"/>
  <c r="K35" i="39"/>
  <c r="J35" i="39"/>
  <c r="I35" i="39"/>
  <c r="H35" i="39"/>
  <c r="G35" i="39"/>
  <c r="F35" i="39"/>
  <c r="E35" i="39"/>
  <c r="D35" i="39"/>
  <c r="C35" i="39"/>
  <c r="E34" i="39"/>
  <c r="E44" i="39" s="1"/>
  <c r="D34" i="39"/>
  <c r="D44" i="39" s="1"/>
  <c r="C34" i="39"/>
  <c r="C44" i="39" s="1"/>
  <c r="C34" i="63"/>
  <c r="C35" i="63"/>
  <c r="C36" i="63"/>
  <c r="C37" i="63"/>
  <c r="C38" i="63"/>
  <c r="C39" i="63"/>
  <c r="C40" i="63"/>
  <c r="C41" i="63"/>
  <c r="C42" i="63"/>
  <c r="C43" i="63"/>
  <c r="FN34" i="63"/>
  <c r="FN35" i="63"/>
  <c r="FN36" i="63"/>
  <c r="FN37" i="63"/>
  <c r="FN38" i="63"/>
  <c r="FN39" i="63"/>
  <c r="FN40" i="63"/>
  <c r="FN42" i="63"/>
  <c r="FN43" i="63"/>
  <c r="FM34" i="63"/>
  <c r="FM35" i="63"/>
  <c r="FM36" i="63"/>
  <c r="FM37" i="63"/>
  <c r="FM38" i="63"/>
  <c r="FM39" i="63"/>
  <c r="FM40" i="63"/>
  <c r="FM42" i="63"/>
  <c r="FM43" i="63"/>
  <c r="FL34" i="63"/>
  <c r="FL35" i="63"/>
  <c r="FL36" i="63"/>
  <c r="FL37" i="63"/>
  <c r="FL38" i="63"/>
  <c r="FL39" i="63"/>
  <c r="FL40" i="63"/>
  <c r="FL42" i="63"/>
  <c r="FL43" i="63"/>
  <c r="FK34" i="63"/>
  <c r="FK35" i="63"/>
  <c r="FK36" i="63"/>
  <c r="FK37" i="63"/>
  <c r="FK38" i="63"/>
  <c r="FK39" i="63"/>
  <c r="FK40" i="63"/>
  <c r="FK42" i="63"/>
  <c r="FK43" i="63"/>
  <c r="FJ34" i="63"/>
  <c r="FJ35" i="63"/>
  <c r="FJ36" i="63"/>
  <c r="FJ37" i="63"/>
  <c r="FJ38" i="63"/>
  <c r="FJ39" i="63"/>
  <c r="FJ40" i="63"/>
  <c r="FJ42" i="63"/>
  <c r="FJ43" i="63"/>
  <c r="FI34" i="63"/>
  <c r="FI35" i="63"/>
  <c r="FI36" i="63"/>
  <c r="FI37" i="63"/>
  <c r="FI38" i="63"/>
  <c r="FI39" i="63"/>
  <c r="FI40" i="63"/>
  <c r="FI42" i="63"/>
  <c r="FI43" i="63"/>
  <c r="FH34" i="63"/>
  <c r="FH35" i="63"/>
  <c r="FH36" i="63"/>
  <c r="FH37" i="63"/>
  <c r="FH38" i="63"/>
  <c r="FH39" i="63"/>
  <c r="FH40" i="63"/>
  <c r="FH42" i="63"/>
  <c r="FH43" i="63"/>
  <c r="FG34" i="63"/>
  <c r="FG35" i="63"/>
  <c r="FG36" i="63"/>
  <c r="FG37" i="63"/>
  <c r="FG38" i="63"/>
  <c r="FG39" i="63"/>
  <c r="FG40" i="63"/>
  <c r="FG42" i="63"/>
  <c r="FG43" i="63"/>
  <c r="FF34" i="63"/>
  <c r="FF35" i="63"/>
  <c r="FF36" i="63"/>
  <c r="FF37" i="63"/>
  <c r="FF38" i="63"/>
  <c r="FF39" i="63"/>
  <c r="FF40" i="63"/>
  <c r="FF42" i="63"/>
  <c r="FF43" i="63"/>
  <c r="FE34" i="63"/>
  <c r="FE35" i="63"/>
  <c r="FE36" i="63"/>
  <c r="FE37" i="63"/>
  <c r="FE38" i="63"/>
  <c r="FE39" i="63"/>
  <c r="FE40" i="63"/>
  <c r="FE42" i="63"/>
  <c r="FE43" i="63"/>
  <c r="FD34" i="63"/>
  <c r="FD35" i="63"/>
  <c r="FD36" i="63"/>
  <c r="FD37" i="63"/>
  <c r="FD38" i="63"/>
  <c r="FD39" i="63"/>
  <c r="FD40" i="63"/>
  <c r="FD42" i="63"/>
  <c r="FD43" i="63"/>
  <c r="FC34" i="63"/>
  <c r="FC35" i="63"/>
  <c r="FC36" i="63"/>
  <c r="FC37" i="63"/>
  <c r="FC38" i="63"/>
  <c r="FC39" i="63"/>
  <c r="FC40" i="63"/>
  <c r="FC42" i="63"/>
  <c r="FC43" i="63"/>
  <c r="FB34" i="63"/>
  <c r="FB35" i="63"/>
  <c r="FB36" i="63"/>
  <c r="FB37" i="63"/>
  <c r="FB38" i="63"/>
  <c r="FB39" i="63"/>
  <c r="FB40" i="63"/>
  <c r="FB42" i="63"/>
  <c r="FB43" i="63"/>
  <c r="FA34" i="63"/>
  <c r="FA35" i="63"/>
  <c r="FA36" i="63"/>
  <c r="FA37" i="63"/>
  <c r="FA38" i="63"/>
  <c r="FA39" i="63"/>
  <c r="FA40" i="63"/>
  <c r="FA42" i="63"/>
  <c r="FA43" i="63"/>
  <c r="EZ34" i="63"/>
  <c r="EZ35" i="63"/>
  <c r="EZ36" i="63"/>
  <c r="EZ37" i="63"/>
  <c r="EZ38" i="63"/>
  <c r="EZ39" i="63"/>
  <c r="EZ40" i="63"/>
  <c r="EZ42" i="63"/>
  <c r="EZ43" i="63"/>
  <c r="EY34" i="63"/>
  <c r="EY35" i="63"/>
  <c r="EY36" i="63"/>
  <c r="EY37" i="63"/>
  <c r="EY38" i="63"/>
  <c r="EY39" i="63"/>
  <c r="EY40" i="63"/>
  <c r="EY42" i="63"/>
  <c r="EY43" i="63"/>
  <c r="EX34" i="63"/>
  <c r="EX35" i="63"/>
  <c r="EX36" i="63"/>
  <c r="EX37" i="63"/>
  <c r="EX38" i="63"/>
  <c r="EX39" i="63"/>
  <c r="EX40" i="63"/>
  <c r="EX42" i="63"/>
  <c r="EX43" i="63"/>
  <c r="EW34" i="63"/>
  <c r="EW35" i="63"/>
  <c r="EW36" i="63"/>
  <c r="EW37" i="63"/>
  <c r="EW38" i="63"/>
  <c r="EW39" i="63"/>
  <c r="EW40" i="63"/>
  <c r="EW42" i="63"/>
  <c r="EW43" i="63"/>
  <c r="EV34" i="63"/>
  <c r="EV35" i="63"/>
  <c r="EV36" i="63"/>
  <c r="EV37" i="63"/>
  <c r="EV38" i="63"/>
  <c r="EV39" i="63"/>
  <c r="EV40" i="63"/>
  <c r="EV42" i="63"/>
  <c r="EV43" i="63"/>
  <c r="EU34" i="63"/>
  <c r="EU35" i="63"/>
  <c r="EU36" i="63"/>
  <c r="EU37" i="63"/>
  <c r="EU38" i="63"/>
  <c r="EU39" i="63"/>
  <c r="EU40" i="63"/>
  <c r="EU42" i="63"/>
  <c r="EU43" i="63"/>
  <c r="ET34" i="63"/>
  <c r="ET35" i="63"/>
  <c r="ET36" i="63"/>
  <c r="ET37" i="63"/>
  <c r="ET38" i="63"/>
  <c r="ET39" i="63"/>
  <c r="ET40" i="63"/>
  <c r="ET42" i="63"/>
  <c r="ET43" i="63"/>
  <c r="ES34" i="63"/>
  <c r="ES35" i="63"/>
  <c r="ES36" i="63"/>
  <c r="ES37" i="63"/>
  <c r="ES38" i="63"/>
  <c r="ES39" i="63"/>
  <c r="ES40" i="63"/>
  <c r="ES42" i="63"/>
  <c r="ES43" i="63"/>
  <c r="ER34" i="63"/>
  <c r="ER35" i="63"/>
  <c r="ER36" i="63"/>
  <c r="ER37" i="63"/>
  <c r="ER38" i="63"/>
  <c r="ER39" i="63"/>
  <c r="ER40" i="63"/>
  <c r="ER42" i="63"/>
  <c r="ER43" i="63"/>
  <c r="EQ34" i="63"/>
  <c r="EQ35" i="63"/>
  <c r="EQ36" i="63"/>
  <c r="EQ37" i="63"/>
  <c r="EQ38" i="63"/>
  <c r="EQ39" i="63"/>
  <c r="EQ40" i="63"/>
  <c r="EQ42" i="63"/>
  <c r="EQ43" i="63"/>
  <c r="EP34" i="63"/>
  <c r="EP35" i="63"/>
  <c r="EP36" i="63"/>
  <c r="EP37" i="63"/>
  <c r="EP38" i="63"/>
  <c r="EP39" i="63"/>
  <c r="EP40" i="63"/>
  <c r="EP42" i="63"/>
  <c r="EP43" i="63"/>
  <c r="EO34" i="63"/>
  <c r="EO35" i="63"/>
  <c r="EO36" i="63"/>
  <c r="EO37" i="63"/>
  <c r="EO38" i="63"/>
  <c r="EO39" i="63"/>
  <c r="EO40" i="63"/>
  <c r="EO42" i="63"/>
  <c r="EO43" i="63"/>
  <c r="EN34" i="63"/>
  <c r="EN35" i="63"/>
  <c r="EN36" i="63"/>
  <c r="EN37" i="63"/>
  <c r="EN38" i="63"/>
  <c r="EN39" i="63"/>
  <c r="EN40" i="63"/>
  <c r="EN42" i="63"/>
  <c r="EN43" i="63"/>
  <c r="EM34" i="63"/>
  <c r="EM35" i="63"/>
  <c r="EM36" i="63"/>
  <c r="EM37" i="63"/>
  <c r="EM38" i="63"/>
  <c r="EM39" i="63"/>
  <c r="EM40" i="63"/>
  <c r="EM42" i="63"/>
  <c r="EM43" i="63"/>
  <c r="EL34" i="63"/>
  <c r="EL35" i="63"/>
  <c r="EL36" i="63"/>
  <c r="EL37" i="63"/>
  <c r="EL38" i="63"/>
  <c r="EL39" i="63"/>
  <c r="EL40" i="63"/>
  <c r="EL42" i="63"/>
  <c r="EL43" i="63"/>
  <c r="EK34" i="63"/>
  <c r="EK35" i="63"/>
  <c r="EK36" i="63"/>
  <c r="EK37" i="63"/>
  <c r="EK38" i="63"/>
  <c r="EK39" i="63"/>
  <c r="EK40" i="63"/>
  <c r="EK42" i="63"/>
  <c r="EK43" i="63"/>
  <c r="EJ34" i="63"/>
  <c r="EJ35" i="63"/>
  <c r="EJ36" i="63"/>
  <c r="EJ37" i="63"/>
  <c r="EJ38" i="63"/>
  <c r="EJ39" i="63"/>
  <c r="EJ40" i="63"/>
  <c r="EJ42" i="63"/>
  <c r="EJ43" i="63"/>
  <c r="EI34" i="63"/>
  <c r="EI35" i="63"/>
  <c r="EI36" i="63"/>
  <c r="EI37" i="63"/>
  <c r="EI38" i="63"/>
  <c r="EI39" i="63"/>
  <c r="EI40" i="63"/>
  <c r="EI42" i="63"/>
  <c r="EI43" i="63"/>
  <c r="EH34" i="63"/>
  <c r="EH35" i="63"/>
  <c r="EH36" i="63"/>
  <c r="EH37" i="63"/>
  <c r="EH38" i="63"/>
  <c r="EH39" i="63"/>
  <c r="EH40" i="63"/>
  <c r="EH42" i="63"/>
  <c r="EH43" i="63"/>
  <c r="EG34" i="63"/>
  <c r="EG35" i="63"/>
  <c r="EG36" i="63"/>
  <c r="EG37" i="63"/>
  <c r="EG38" i="63"/>
  <c r="EG39" i="63"/>
  <c r="EG40" i="63"/>
  <c r="EG42" i="63"/>
  <c r="EG43" i="63"/>
  <c r="EF34" i="63"/>
  <c r="EF35" i="63"/>
  <c r="EF36" i="63"/>
  <c r="EF37" i="63"/>
  <c r="EF38" i="63"/>
  <c r="EF39" i="63"/>
  <c r="EF40" i="63"/>
  <c r="EF42" i="63"/>
  <c r="EF43" i="63"/>
  <c r="EE34" i="63"/>
  <c r="EE35" i="63"/>
  <c r="EE36" i="63"/>
  <c r="EE37" i="63"/>
  <c r="EE38" i="63"/>
  <c r="EE39" i="63"/>
  <c r="EE40" i="63"/>
  <c r="EE42" i="63"/>
  <c r="EE43" i="63"/>
  <c r="ED34" i="63"/>
  <c r="ED35" i="63"/>
  <c r="ED36" i="63"/>
  <c r="ED37" i="63"/>
  <c r="ED38" i="63"/>
  <c r="ED39" i="63"/>
  <c r="ED40" i="63"/>
  <c r="ED42" i="63"/>
  <c r="ED43" i="63"/>
  <c r="EC34" i="63"/>
  <c r="EC35" i="63"/>
  <c r="EC36" i="63"/>
  <c r="EC37" i="63"/>
  <c r="EC38" i="63"/>
  <c r="EC39" i="63"/>
  <c r="EC40" i="63"/>
  <c r="EC42" i="63"/>
  <c r="EC43" i="63"/>
  <c r="EB34" i="63"/>
  <c r="EB35" i="63"/>
  <c r="EB36" i="63"/>
  <c r="EB37" i="63"/>
  <c r="EB38" i="63"/>
  <c r="EB39" i="63"/>
  <c r="EB40" i="63"/>
  <c r="EB42" i="63"/>
  <c r="EB43" i="63"/>
  <c r="EA34" i="63"/>
  <c r="EA35" i="63"/>
  <c r="EA36" i="63"/>
  <c r="EA37" i="63"/>
  <c r="EA38" i="63"/>
  <c r="EA39" i="63"/>
  <c r="EA40" i="63"/>
  <c r="EA42" i="63"/>
  <c r="EA43" i="63"/>
  <c r="DZ34" i="63"/>
  <c r="DZ35" i="63"/>
  <c r="DZ36" i="63"/>
  <c r="DZ37" i="63"/>
  <c r="DZ38" i="63"/>
  <c r="DZ39" i="63"/>
  <c r="DZ40" i="63"/>
  <c r="DZ42" i="63"/>
  <c r="DZ43" i="63"/>
  <c r="DY34" i="63"/>
  <c r="DY35" i="63"/>
  <c r="DY36" i="63"/>
  <c r="DY37" i="63"/>
  <c r="DY38" i="63"/>
  <c r="DY39" i="63"/>
  <c r="DY40" i="63"/>
  <c r="DY42" i="63"/>
  <c r="DY43" i="63"/>
  <c r="DX34" i="63"/>
  <c r="DX35" i="63"/>
  <c r="DX36" i="63"/>
  <c r="DX37" i="63"/>
  <c r="DX38" i="63"/>
  <c r="DX39" i="63"/>
  <c r="DX40" i="63"/>
  <c r="DX42" i="63"/>
  <c r="DX43" i="63"/>
  <c r="DW34" i="63"/>
  <c r="DW35" i="63"/>
  <c r="DW36" i="63"/>
  <c r="DW37" i="63"/>
  <c r="DW38" i="63"/>
  <c r="DW39" i="63"/>
  <c r="DW40" i="63"/>
  <c r="DW42" i="63"/>
  <c r="DW43" i="63"/>
  <c r="DV34" i="63"/>
  <c r="DV35" i="63"/>
  <c r="DV36" i="63"/>
  <c r="DV37" i="63"/>
  <c r="DV38" i="63"/>
  <c r="DV39" i="63"/>
  <c r="DV40" i="63"/>
  <c r="DV42" i="63"/>
  <c r="DV43" i="63"/>
  <c r="DU34" i="63"/>
  <c r="DU35" i="63"/>
  <c r="DU36" i="63"/>
  <c r="DU37" i="63"/>
  <c r="DU38" i="63"/>
  <c r="DU39" i="63"/>
  <c r="DU40" i="63"/>
  <c r="DU42" i="63"/>
  <c r="DU43" i="63"/>
  <c r="DT34" i="63"/>
  <c r="DT35" i="63"/>
  <c r="DT36" i="63"/>
  <c r="DT37" i="63"/>
  <c r="DT38" i="63"/>
  <c r="DT39" i="63"/>
  <c r="DT40" i="63"/>
  <c r="DT42" i="63"/>
  <c r="DT43" i="63"/>
  <c r="DS34" i="63"/>
  <c r="DS35" i="63"/>
  <c r="DS36" i="63"/>
  <c r="DS37" i="63"/>
  <c r="DS38" i="63"/>
  <c r="DS39" i="63"/>
  <c r="DS40" i="63"/>
  <c r="DS42" i="63"/>
  <c r="DS43" i="63"/>
  <c r="DR34" i="63"/>
  <c r="DR35" i="63"/>
  <c r="DR36" i="63"/>
  <c r="DR37" i="63"/>
  <c r="DR38" i="63"/>
  <c r="DR39" i="63"/>
  <c r="DR40" i="63"/>
  <c r="DR42" i="63"/>
  <c r="DR43" i="63"/>
  <c r="DQ34" i="63"/>
  <c r="DQ35" i="63"/>
  <c r="DQ36" i="63"/>
  <c r="DQ37" i="63"/>
  <c r="DQ38" i="63"/>
  <c r="DQ39" i="63"/>
  <c r="DQ40" i="63"/>
  <c r="DQ42" i="63"/>
  <c r="DQ43" i="63"/>
  <c r="DP34" i="63"/>
  <c r="DP35" i="63"/>
  <c r="DP36" i="63"/>
  <c r="DP37" i="63"/>
  <c r="DP38" i="63"/>
  <c r="DP39" i="63"/>
  <c r="DP40" i="63"/>
  <c r="DP42" i="63"/>
  <c r="DP43" i="63"/>
  <c r="DO34" i="63"/>
  <c r="DO35" i="63"/>
  <c r="DO36" i="63"/>
  <c r="DO37" i="63"/>
  <c r="DO38" i="63"/>
  <c r="DO39" i="63"/>
  <c r="DO40" i="63"/>
  <c r="DO42" i="63"/>
  <c r="DO43" i="63"/>
  <c r="DN34" i="63"/>
  <c r="DN35" i="63"/>
  <c r="DN36" i="63"/>
  <c r="DN37" i="63"/>
  <c r="DN38" i="63"/>
  <c r="DN39" i="63"/>
  <c r="DN40" i="63"/>
  <c r="DN42" i="63"/>
  <c r="DN43" i="63"/>
  <c r="DM34" i="63"/>
  <c r="DM35" i="63"/>
  <c r="DM36" i="63"/>
  <c r="DM37" i="63"/>
  <c r="DM38" i="63"/>
  <c r="DM39" i="63"/>
  <c r="DM40" i="63"/>
  <c r="DM42" i="63"/>
  <c r="DM43" i="63"/>
  <c r="DL34" i="63"/>
  <c r="DL35" i="63"/>
  <c r="DL36" i="63"/>
  <c r="DL37" i="63"/>
  <c r="DL38" i="63"/>
  <c r="DL39" i="63"/>
  <c r="DL40" i="63"/>
  <c r="DL42" i="63"/>
  <c r="DL43" i="63"/>
  <c r="DK34" i="63"/>
  <c r="DK35" i="63"/>
  <c r="DK36" i="63"/>
  <c r="DK37" i="63"/>
  <c r="DK38" i="63"/>
  <c r="DK39" i="63"/>
  <c r="DK40" i="63"/>
  <c r="DK42" i="63"/>
  <c r="DK43" i="63"/>
  <c r="DJ34" i="63"/>
  <c r="DJ35" i="63"/>
  <c r="DJ36" i="63"/>
  <c r="DJ37" i="63"/>
  <c r="DJ38" i="63"/>
  <c r="DJ39" i="63"/>
  <c r="DJ40" i="63"/>
  <c r="DJ42" i="63"/>
  <c r="DJ43" i="63"/>
  <c r="DI34" i="63"/>
  <c r="DI35" i="63"/>
  <c r="DI36" i="63"/>
  <c r="DI37" i="63"/>
  <c r="DI38" i="63"/>
  <c r="DI39" i="63"/>
  <c r="DI40" i="63"/>
  <c r="DI42" i="63"/>
  <c r="DI43" i="63"/>
  <c r="DH34" i="63"/>
  <c r="DH35" i="63"/>
  <c r="DH36" i="63"/>
  <c r="DH37" i="63"/>
  <c r="DH38" i="63"/>
  <c r="DH39" i="63"/>
  <c r="DH40" i="63"/>
  <c r="DH42" i="63"/>
  <c r="DH43" i="63"/>
  <c r="DG34" i="63"/>
  <c r="DG35" i="63"/>
  <c r="DG36" i="63"/>
  <c r="DG37" i="63"/>
  <c r="DG38" i="63"/>
  <c r="DG39" i="63"/>
  <c r="DG40" i="63"/>
  <c r="DG42" i="63"/>
  <c r="DG43" i="63"/>
  <c r="DF34" i="63"/>
  <c r="DF35" i="63"/>
  <c r="DF36" i="63"/>
  <c r="DF37" i="63"/>
  <c r="DF38" i="63"/>
  <c r="DF39" i="63"/>
  <c r="DF40" i="63"/>
  <c r="DF42" i="63"/>
  <c r="DF43" i="63"/>
  <c r="DE34" i="63"/>
  <c r="DE35" i="63"/>
  <c r="DE36" i="63"/>
  <c r="DE37" i="63"/>
  <c r="DE38" i="63"/>
  <c r="DE39" i="63"/>
  <c r="DE40" i="63"/>
  <c r="DE42" i="63"/>
  <c r="DE43" i="63"/>
  <c r="DD34" i="63"/>
  <c r="DD35" i="63"/>
  <c r="DD36" i="63"/>
  <c r="DD37" i="63"/>
  <c r="DD38" i="63"/>
  <c r="DD39" i="63"/>
  <c r="DD40" i="63"/>
  <c r="DD42" i="63"/>
  <c r="DD43" i="63"/>
  <c r="DC34" i="63"/>
  <c r="DC35" i="63"/>
  <c r="DC36" i="63"/>
  <c r="DC37" i="63"/>
  <c r="DC38" i="63"/>
  <c r="DC39" i="63"/>
  <c r="DC40" i="63"/>
  <c r="DC42" i="63"/>
  <c r="DC43" i="63"/>
  <c r="DB34" i="63"/>
  <c r="DB35" i="63"/>
  <c r="DB36" i="63"/>
  <c r="DB37" i="63"/>
  <c r="DB38" i="63"/>
  <c r="DB39" i="63"/>
  <c r="DB40" i="63"/>
  <c r="DB42" i="63"/>
  <c r="DB43" i="63"/>
  <c r="DA34" i="63"/>
  <c r="DA35" i="63"/>
  <c r="DA36" i="63"/>
  <c r="DA37" i="63"/>
  <c r="DA38" i="63"/>
  <c r="DA39" i="63"/>
  <c r="DA40" i="63"/>
  <c r="DA42" i="63"/>
  <c r="DA43" i="63"/>
  <c r="CZ34" i="63"/>
  <c r="CZ35" i="63"/>
  <c r="CZ36" i="63"/>
  <c r="CZ37" i="63"/>
  <c r="CZ38" i="63"/>
  <c r="CZ39" i="63"/>
  <c r="CZ40" i="63"/>
  <c r="CZ42" i="63"/>
  <c r="CZ43" i="63"/>
  <c r="CY34" i="63"/>
  <c r="CY35" i="63"/>
  <c r="CY36" i="63"/>
  <c r="CY37" i="63"/>
  <c r="CY38" i="63"/>
  <c r="CY39" i="63"/>
  <c r="CY40" i="63"/>
  <c r="CY42" i="63"/>
  <c r="CY43" i="63"/>
  <c r="CX34" i="63"/>
  <c r="CX35" i="63"/>
  <c r="CX36" i="63"/>
  <c r="CX37" i="63"/>
  <c r="CX38" i="63"/>
  <c r="CX39" i="63"/>
  <c r="CX40" i="63"/>
  <c r="CX42" i="63"/>
  <c r="CX43" i="63"/>
  <c r="CW34" i="63"/>
  <c r="CW35" i="63"/>
  <c r="CW36" i="63"/>
  <c r="CW37" i="63"/>
  <c r="CW38" i="63"/>
  <c r="CW39" i="63"/>
  <c r="CW40" i="63"/>
  <c r="CW42" i="63"/>
  <c r="CW43" i="63"/>
  <c r="CV34" i="63"/>
  <c r="CV35" i="63"/>
  <c r="CV36" i="63"/>
  <c r="CV37" i="63"/>
  <c r="CV38" i="63"/>
  <c r="CV39" i="63"/>
  <c r="CV40" i="63"/>
  <c r="CV42" i="63"/>
  <c r="CV43" i="63"/>
  <c r="CU34" i="63"/>
  <c r="CU35" i="63"/>
  <c r="CU36" i="63"/>
  <c r="CU37" i="63"/>
  <c r="CU38" i="63"/>
  <c r="CU39" i="63"/>
  <c r="CU40" i="63"/>
  <c r="CU42" i="63"/>
  <c r="CU43" i="63"/>
  <c r="CT34" i="63"/>
  <c r="CT35" i="63"/>
  <c r="CT36" i="63"/>
  <c r="CT37" i="63"/>
  <c r="CT38" i="63"/>
  <c r="CT39" i="63"/>
  <c r="CT40" i="63"/>
  <c r="CT42" i="63"/>
  <c r="CT43" i="63"/>
  <c r="CS34" i="63"/>
  <c r="CS35" i="63"/>
  <c r="CS36" i="63"/>
  <c r="CS37" i="63"/>
  <c r="CS38" i="63"/>
  <c r="CS39" i="63"/>
  <c r="CS40" i="63"/>
  <c r="CS42" i="63"/>
  <c r="CS43" i="63"/>
  <c r="CR34" i="63"/>
  <c r="CR35" i="63"/>
  <c r="CR36" i="63"/>
  <c r="CR37" i="63"/>
  <c r="CR38" i="63"/>
  <c r="CR39" i="63"/>
  <c r="CR40" i="63"/>
  <c r="CR42" i="63"/>
  <c r="CR43" i="63"/>
  <c r="CQ34" i="63"/>
  <c r="CQ35" i="63"/>
  <c r="CQ36" i="63"/>
  <c r="CQ37" i="63"/>
  <c r="CQ38" i="63"/>
  <c r="CQ39" i="63"/>
  <c r="CQ40" i="63"/>
  <c r="CQ42" i="63"/>
  <c r="CQ43" i="63"/>
  <c r="CP34" i="63"/>
  <c r="CP35" i="63"/>
  <c r="CP36" i="63"/>
  <c r="CP37" i="63"/>
  <c r="CP38" i="63"/>
  <c r="CP39" i="63"/>
  <c r="CP40" i="63"/>
  <c r="CP42" i="63"/>
  <c r="CP43" i="63"/>
  <c r="CO34" i="63"/>
  <c r="CO35" i="63"/>
  <c r="CO36" i="63"/>
  <c r="CO37" i="63"/>
  <c r="CO38" i="63"/>
  <c r="CO39" i="63"/>
  <c r="CO40" i="63"/>
  <c r="CO42" i="63"/>
  <c r="CO43" i="63"/>
  <c r="CN34" i="63"/>
  <c r="CN35" i="63"/>
  <c r="CN36" i="63"/>
  <c r="CN37" i="63"/>
  <c r="CN38" i="63"/>
  <c r="CN39" i="63"/>
  <c r="CN40" i="63"/>
  <c r="CN42" i="63"/>
  <c r="CN43" i="63"/>
  <c r="CM34" i="63"/>
  <c r="CM35" i="63"/>
  <c r="CM36" i="63"/>
  <c r="CM37" i="63"/>
  <c r="CM38" i="63"/>
  <c r="CM39" i="63"/>
  <c r="CM40" i="63"/>
  <c r="CM42" i="63"/>
  <c r="CM43" i="63"/>
  <c r="CL34" i="63"/>
  <c r="CL35" i="63"/>
  <c r="CL36" i="63"/>
  <c r="CL37" i="63"/>
  <c r="CL38" i="63"/>
  <c r="CL39" i="63"/>
  <c r="CL40" i="63"/>
  <c r="CL42" i="63"/>
  <c r="CL43" i="63"/>
  <c r="CK34" i="63"/>
  <c r="CK35" i="63"/>
  <c r="CK36" i="63"/>
  <c r="CK37" i="63"/>
  <c r="CK38" i="63"/>
  <c r="CK39" i="63"/>
  <c r="CK40" i="63"/>
  <c r="CK42" i="63"/>
  <c r="CK43" i="63"/>
  <c r="CJ34" i="63"/>
  <c r="CJ35" i="63"/>
  <c r="CJ36" i="63"/>
  <c r="CJ37" i="63"/>
  <c r="CJ38" i="63"/>
  <c r="CJ39" i="63"/>
  <c r="CJ40" i="63"/>
  <c r="CJ42" i="63"/>
  <c r="CJ43" i="63"/>
  <c r="CI34" i="63"/>
  <c r="CI35" i="63"/>
  <c r="CI36" i="63"/>
  <c r="CI37" i="63"/>
  <c r="CI38" i="63"/>
  <c r="CI39" i="63"/>
  <c r="CI40" i="63"/>
  <c r="CI42" i="63"/>
  <c r="CI43" i="63"/>
  <c r="CH34" i="63"/>
  <c r="CH35" i="63"/>
  <c r="CH36" i="63"/>
  <c r="CH37" i="63"/>
  <c r="CH38" i="63"/>
  <c r="CH39" i="63"/>
  <c r="CH40" i="63"/>
  <c r="CH42" i="63"/>
  <c r="CH43" i="63"/>
  <c r="CG34" i="63"/>
  <c r="CG35" i="63"/>
  <c r="CG36" i="63"/>
  <c r="CG37" i="63"/>
  <c r="CG38" i="63"/>
  <c r="CG39" i="63"/>
  <c r="CG40" i="63"/>
  <c r="CG42" i="63"/>
  <c r="CG43" i="63"/>
  <c r="CF34" i="63"/>
  <c r="CF35" i="63"/>
  <c r="CF36" i="63"/>
  <c r="CF37" i="63"/>
  <c r="CF38" i="63"/>
  <c r="CF39" i="63"/>
  <c r="CF40" i="63"/>
  <c r="CF42" i="63"/>
  <c r="CF43" i="63"/>
  <c r="CE34" i="63"/>
  <c r="CE35" i="63"/>
  <c r="CE36" i="63"/>
  <c r="CE37" i="63"/>
  <c r="CE38" i="63"/>
  <c r="CE39" i="63"/>
  <c r="CE40" i="63"/>
  <c r="CE42" i="63"/>
  <c r="CE43" i="63"/>
  <c r="CD34" i="63"/>
  <c r="CD35" i="63"/>
  <c r="CD36" i="63"/>
  <c r="CD37" i="63"/>
  <c r="CD38" i="63"/>
  <c r="CD39" i="63"/>
  <c r="CD40" i="63"/>
  <c r="CD42" i="63"/>
  <c r="CD43" i="63"/>
  <c r="CC34" i="63"/>
  <c r="CC35" i="63"/>
  <c r="CC36" i="63"/>
  <c r="CC37" i="63"/>
  <c r="CC38" i="63"/>
  <c r="CC39" i="63"/>
  <c r="CC40" i="63"/>
  <c r="CC42" i="63"/>
  <c r="CC43" i="63"/>
  <c r="CB34" i="63"/>
  <c r="CB35" i="63"/>
  <c r="CB36" i="63"/>
  <c r="CB37" i="63"/>
  <c r="CB38" i="63"/>
  <c r="CB39" i="63"/>
  <c r="CB40" i="63"/>
  <c r="CB42" i="63"/>
  <c r="CB43" i="63"/>
  <c r="CA34" i="63"/>
  <c r="CA35" i="63"/>
  <c r="CA36" i="63"/>
  <c r="CA37" i="63"/>
  <c r="CA38" i="63"/>
  <c r="CA39" i="63"/>
  <c r="CA40" i="63"/>
  <c r="CA42" i="63"/>
  <c r="CA43" i="63"/>
  <c r="BZ34" i="63"/>
  <c r="BZ35" i="63"/>
  <c r="BZ36" i="63"/>
  <c r="BZ37" i="63"/>
  <c r="BZ38" i="63"/>
  <c r="BZ39" i="63"/>
  <c r="BZ40" i="63"/>
  <c r="BZ42" i="63"/>
  <c r="BZ43" i="63"/>
  <c r="BY34" i="63"/>
  <c r="BY35" i="63"/>
  <c r="BY36" i="63"/>
  <c r="BY37" i="63"/>
  <c r="BY38" i="63"/>
  <c r="BY39" i="63"/>
  <c r="BY40" i="63"/>
  <c r="BY42" i="63"/>
  <c r="BY43" i="63"/>
  <c r="BX34" i="63"/>
  <c r="BX35" i="63"/>
  <c r="BX36" i="63"/>
  <c r="BX37" i="63"/>
  <c r="BX38" i="63"/>
  <c r="BX39" i="63"/>
  <c r="BX40" i="63"/>
  <c r="BX42" i="63"/>
  <c r="BX43" i="63"/>
  <c r="BW34" i="63"/>
  <c r="BW35" i="63"/>
  <c r="BW36" i="63"/>
  <c r="BW37" i="63"/>
  <c r="BW38" i="63"/>
  <c r="BW39" i="63"/>
  <c r="BW40" i="63"/>
  <c r="BW42" i="63"/>
  <c r="BW43" i="63"/>
  <c r="BV34" i="63"/>
  <c r="BV35" i="63"/>
  <c r="BV36" i="63"/>
  <c r="BV37" i="63"/>
  <c r="BV38" i="63"/>
  <c r="BV39" i="63"/>
  <c r="BV40" i="63"/>
  <c r="BV42" i="63"/>
  <c r="BV43" i="63"/>
  <c r="BU34" i="63"/>
  <c r="BU35" i="63"/>
  <c r="BU36" i="63"/>
  <c r="BU37" i="63"/>
  <c r="BU38" i="63"/>
  <c r="BU39" i="63"/>
  <c r="BU40" i="63"/>
  <c r="BU42" i="63"/>
  <c r="BU43" i="63"/>
  <c r="BT34" i="63"/>
  <c r="BT35" i="63"/>
  <c r="BT36" i="63"/>
  <c r="BT37" i="63"/>
  <c r="BT38" i="63"/>
  <c r="BT39" i="63"/>
  <c r="BT40" i="63"/>
  <c r="BT42" i="63"/>
  <c r="BT43" i="63"/>
  <c r="BS34" i="63"/>
  <c r="BS35" i="63"/>
  <c r="BS36" i="63"/>
  <c r="BS37" i="63"/>
  <c r="BS38" i="63"/>
  <c r="BS39" i="63"/>
  <c r="BS40" i="63"/>
  <c r="BS42" i="63"/>
  <c r="BS43" i="63"/>
  <c r="BR34" i="63"/>
  <c r="BR35" i="63"/>
  <c r="BR36" i="63"/>
  <c r="BR37" i="63"/>
  <c r="BR38" i="63"/>
  <c r="BR39" i="63"/>
  <c r="BR40" i="63"/>
  <c r="BR42" i="63"/>
  <c r="BR43" i="63"/>
  <c r="BQ34" i="63"/>
  <c r="BQ35" i="63"/>
  <c r="BQ36" i="63"/>
  <c r="BQ37" i="63"/>
  <c r="BQ38" i="63"/>
  <c r="BQ39" i="63"/>
  <c r="BQ40" i="63"/>
  <c r="BQ42" i="63"/>
  <c r="BQ43" i="63"/>
  <c r="BP34" i="63"/>
  <c r="BP35" i="63"/>
  <c r="BP36" i="63"/>
  <c r="BP37" i="63"/>
  <c r="BP38" i="63"/>
  <c r="BP39" i="63"/>
  <c r="BP40" i="63"/>
  <c r="BP42" i="63"/>
  <c r="BP43" i="63"/>
  <c r="BO34" i="63"/>
  <c r="BO35" i="63"/>
  <c r="BO36" i="63"/>
  <c r="BO37" i="63"/>
  <c r="BO38" i="63"/>
  <c r="BO39" i="63"/>
  <c r="BO40" i="63"/>
  <c r="BO42" i="63"/>
  <c r="BO43" i="63"/>
  <c r="BN34" i="63"/>
  <c r="BN35" i="63"/>
  <c r="BN36" i="63"/>
  <c r="BN37" i="63"/>
  <c r="BN38" i="63"/>
  <c r="BN39" i="63"/>
  <c r="BN40" i="63"/>
  <c r="BN42" i="63"/>
  <c r="BN43" i="63"/>
  <c r="BM34" i="63"/>
  <c r="BM35" i="63"/>
  <c r="BM36" i="63"/>
  <c r="BM37" i="63"/>
  <c r="BM38" i="63"/>
  <c r="BM39" i="63"/>
  <c r="BM40" i="63"/>
  <c r="BM42" i="63"/>
  <c r="BM43" i="63"/>
  <c r="BL34" i="63"/>
  <c r="BL35" i="63"/>
  <c r="BL36" i="63"/>
  <c r="BL37" i="63"/>
  <c r="BL38" i="63"/>
  <c r="BL39" i="63"/>
  <c r="BL40" i="63"/>
  <c r="BL42" i="63"/>
  <c r="BL43" i="63"/>
  <c r="BK34" i="63"/>
  <c r="BK35" i="63"/>
  <c r="BK36" i="63"/>
  <c r="BK37" i="63"/>
  <c r="BK38" i="63"/>
  <c r="BK39" i="63"/>
  <c r="BK40" i="63"/>
  <c r="BK42" i="63"/>
  <c r="BK43" i="63"/>
  <c r="BJ34" i="63"/>
  <c r="BJ35" i="63"/>
  <c r="BJ36" i="63"/>
  <c r="BJ37" i="63"/>
  <c r="BJ38" i="63"/>
  <c r="BJ39" i="63"/>
  <c r="BJ40" i="63"/>
  <c r="BJ42" i="63"/>
  <c r="BJ43" i="63"/>
  <c r="BI34" i="63"/>
  <c r="BI35" i="63"/>
  <c r="BI36" i="63"/>
  <c r="BI37" i="63"/>
  <c r="BI38" i="63"/>
  <c r="BI39" i="63"/>
  <c r="BI40" i="63"/>
  <c r="BI42" i="63"/>
  <c r="BI43" i="63"/>
  <c r="BH34" i="63"/>
  <c r="BH35" i="63"/>
  <c r="BH36" i="63"/>
  <c r="BH37" i="63"/>
  <c r="BH38" i="63"/>
  <c r="BH39" i="63"/>
  <c r="BH40" i="63"/>
  <c r="BH42" i="63"/>
  <c r="BH43" i="63"/>
  <c r="BG34" i="63"/>
  <c r="BG35" i="63"/>
  <c r="BG36" i="63"/>
  <c r="BG37" i="63"/>
  <c r="BG38" i="63"/>
  <c r="BG39" i="63"/>
  <c r="BG40" i="63"/>
  <c r="BG42" i="63"/>
  <c r="BG43" i="63"/>
  <c r="BF34" i="63"/>
  <c r="BF35" i="63"/>
  <c r="BF36" i="63"/>
  <c r="BF37" i="63"/>
  <c r="BF38" i="63"/>
  <c r="BF39" i="63"/>
  <c r="BF40" i="63"/>
  <c r="BF42" i="63"/>
  <c r="BF43" i="63"/>
  <c r="BE34" i="63"/>
  <c r="BE35" i="63"/>
  <c r="BE36" i="63"/>
  <c r="BE37" i="63"/>
  <c r="BE38" i="63"/>
  <c r="BE39" i="63"/>
  <c r="BE40" i="63"/>
  <c r="BE42" i="63"/>
  <c r="BE43" i="63"/>
  <c r="BD34" i="63"/>
  <c r="BD35" i="63"/>
  <c r="BD36" i="63"/>
  <c r="BD37" i="63"/>
  <c r="BD38" i="63"/>
  <c r="BD39" i="63"/>
  <c r="BD40" i="63"/>
  <c r="BD42" i="63"/>
  <c r="BD43" i="63"/>
  <c r="BC34" i="63"/>
  <c r="BC35" i="63"/>
  <c r="BC36" i="63"/>
  <c r="BC37" i="63"/>
  <c r="BC38" i="63"/>
  <c r="BC39" i="63"/>
  <c r="BC40" i="63"/>
  <c r="BC42" i="63"/>
  <c r="BC43" i="63"/>
  <c r="BB34" i="63"/>
  <c r="BB35" i="63"/>
  <c r="BB36" i="63"/>
  <c r="BB37" i="63"/>
  <c r="BB38" i="63"/>
  <c r="BB39" i="63"/>
  <c r="BB40" i="63"/>
  <c r="BB42" i="63"/>
  <c r="BB43" i="63"/>
  <c r="BA34" i="63"/>
  <c r="BA35" i="63"/>
  <c r="BA36" i="63"/>
  <c r="BA37" i="63"/>
  <c r="BA38" i="63"/>
  <c r="BA39" i="63"/>
  <c r="BA40" i="63"/>
  <c r="BA42" i="63"/>
  <c r="BA43" i="63"/>
  <c r="AZ34" i="63"/>
  <c r="AZ35" i="63"/>
  <c r="AZ36" i="63"/>
  <c r="AZ37" i="63"/>
  <c r="AZ38" i="63"/>
  <c r="AZ39" i="63"/>
  <c r="AZ40" i="63"/>
  <c r="AZ42" i="63"/>
  <c r="AZ43" i="63"/>
  <c r="AY34" i="63"/>
  <c r="AY35" i="63"/>
  <c r="AY36" i="63"/>
  <c r="AY37" i="63"/>
  <c r="AY38" i="63"/>
  <c r="AY39" i="63"/>
  <c r="AY40" i="63"/>
  <c r="AY42" i="63"/>
  <c r="AY43" i="63"/>
  <c r="AX34" i="63"/>
  <c r="AX35" i="63"/>
  <c r="AX36" i="63"/>
  <c r="AX37" i="63"/>
  <c r="AX38" i="63"/>
  <c r="AX39" i="63"/>
  <c r="AX40" i="63"/>
  <c r="AX42" i="63"/>
  <c r="AX43" i="63"/>
  <c r="AW34" i="63"/>
  <c r="AW35" i="63"/>
  <c r="AW36" i="63"/>
  <c r="AW37" i="63"/>
  <c r="AW38" i="63"/>
  <c r="AW39" i="63"/>
  <c r="AW40" i="63"/>
  <c r="AW42" i="63"/>
  <c r="AW43" i="63"/>
  <c r="AV34" i="63"/>
  <c r="AV35" i="63"/>
  <c r="AV36" i="63"/>
  <c r="AV37" i="63"/>
  <c r="AV38" i="63"/>
  <c r="AV39" i="63"/>
  <c r="AV40" i="63"/>
  <c r="AV42" i="63"/>
  <c r="AV43" i="63"/>
  <c r="AU34" i="63"/>
  <c r="AU35" i="63"/>
  <c r="AU36" i="63"/>
  <c r="AU37" i="63"/>
  <c r="AU38" i="63"/>
  <c r="AU39" i="63"/>
  <c r="AU40" i="63"/>
  <c r="AU42" i="63"/>
  <c r="AU43" i="63"/>
  <c r="AT34" i="63"/>
  <c r="AT35" i="63"/>
  <c r="AT36" i="63"/>
  <c r="AT37" i="63"/>
  <c r="AT38" i="63"/>
  <c r="AT39" i="63"/>
  <c r="AT40" i="63"/>
  <c r="AT42" i="63"/>
  <c r="AT43" i="63"/>
  <c r="AS34" i="63"/>
  <c r="AS35" i="63"/>
  <c r="AS36" i="63"/>
  <c r="AS37" i="63"/>
  <c r="AS38" i="63"/>
  <c r="AS39" i="63"/>
  <c r="AS40" i="63"/>
  <c r="AS42" i="63"/>
  <c r="AS43" i="63"/>
  <c r="AR34" i="63"/>
  <c r="AR35" i="63"/>
  <c r="AR36" i="63"/>
  <c r="AR37" i="63"/>
  <c r="AR38" i="63"/>
  <c r="AR39" i="63"/>
  <c r="AR40" i="63"/>
  <c r="AR42" i="63"/>
  <c r="AR43" i="63"/>
  <c r="AQ34" i="63"/>
  <c r="AQ35" i="63"/>
  <c r="AQ36" i="63"/>
  <c r="AQ37" i="63"/>
  <c r="AQ38" i="63"/>
  <c r="AQ39" i="63"/>
  <c r="AQ40" i="63"/>
  <c r="AQ42" i="63"/>
  <c r="AQ43" i="63"/>
  <c r="AP34" i="63"/>
  <c r="AP35" i="63"/>
  <c r="AP36" i="63"/>
  <c r="AP37" i="63"/>
  <c r="AP38" i="63"/>
  <c r="AP39" i="63"/>
  <c r="AP40" i="63"/>
  <c r="AP42" i="63"/>
  <c r="AP43" i="63"/>
  <c r="AO34" i="63"/>
  <c r="AO35" i="63"/>
  <c r="AO36" i="63"/>
  <c r="AO37" i="63"/>
  <c r="AO38" i="63"/>
  <c r="AO39" i="63"/>
  <c r="AO40" i="63"/>
  <c r="AO42" i="63"/>
  <c r="AO43" i="63"/>
  <c r="AN34" i="63"/>
  <c r="AN35" i="63"/>
  <c r="AN36" i="63"/>
  <c r="AN37" i="63"/>
  <c r="AN38" i="63"/>
  <c r="AN39" i="63"/>
  <c r="AN40" i="63"/>
  <c r="AN42" i="63"/>
  <c r="AN43" i="63"/>
  <c r="AM34" i="63"/>
  <c r="AM35" i="63"/>
  <c r="AM36" i="63"/>
  <c r="AM37" i="63"/>
  <c r="AM38" i="63"/>
  <c r="AM39" i="63"/>
  <c r="AM40" i="63"/>
  <c r="AM42" i="63"/>
  <c r="AM43" i="63"/>
  <c r="AL34" i="63"/>
  <c r="AL35" i="63"/>
  <c r="AL36" i="63"/>
  <c r="AL37" i="63"/>
  <c r="AL38" i="63"/>
  <c r="AL39" i="63"/>
  <c r="AL40" i="63"/>
  <c r="AL42" i="63"/>
  <c r="AL43" i="63"/>
  <c r="AK34" i="63"/>
  <c r="AK35" i="63"/>
  <c r="AK36" i="63"/>
  <c r="AK37" i="63"/>
  <c r="AK38" i="63"/>
  <c r="AK39" i="63"/>
  <c r="AK40" i="63"/>
  <c r="AK42" i="63"/>
  <c r="AK43" i="63"/>
  <c r="AJ34" i="63"/>
  <c r="AJ35" i="63"/>
  <c r="AJ36" i="63"/>
  <c r="AJ37" i="63"/>
  <c r="AJ38" i="63"/>
  <c r="AJ39" i="63"/>
  <c r="AJ40" i="63"/>
  <c r="AJ42" i="63"/>
  <c r="AJ43" i="63"/>
  <c r="AI34" i="63"/>
  <c r="AI35" i="63"/>
  <c r="AI36" i="63"/>
  <c r="AI37" i="63"/>
  <c r="AI38" i="63"/>
  <c r="AI39" i="63"/>
  <c r="AI40" i="63"/>
  <c r="AI42" i="63"/>
  <c r="AI43" i="63"/>
  <c r="AH34" i="63"/>
  <c r="AH35" i="63"/>
  <c r="AH36" i="63"/>
  <c r="AH37" i="63"/>
  <c r="AH38" i="63"/>
  <c r="AH39" i="63"/>
  <c r="AH40" i="63"/>
  <c r="AH42" i="63"/>
  <c r="AH43" i="63"/>
  <c r="AG34" i="63"/>
  <c r="AG35" i="63"/>
  <c r="AG36" i="63"/>
  <c r="AG37" i="63"/>
  <c r="AG38" i="63"/>
  <c r="AG39" i="63"/>
  <c r="AG40" i="63"/>
  <c r="AG42" i="63"/>
  <c r="AG43" i="63"/>
  <c r="AF34" i="63"/>
  <c r="AF35" i="63"/>
  <c r="AF36" i="63"/>
  <c r="AF37" i="63"/>
  <c r="AF38" i="63"/>
  <c r="AF39" i="63"/>
  <c r="AF40" i="63"/>
  <c r="AF42" i="63"/>
  <c r="AF43" i="63"/>
  <c r="AE34" i="63"/>
  <c r="AE35" i="63"/>
  <c r="AE36" i="63"/>
  <c r="AE37" i="63"/>
  <c r="AE38" i="63"/>
  <c r="AE39" i="63"/>
  <c r="AE40" i="63"/>
  <c r="AE42" i="63"/>
  <c r="AE43" i="63"/>
  <c r="AD34" i="63"/>
  <c r="AD35" i="63"/>
  <c r="AD36" i="63"/>
  <c r="AD37" i="63"/>
  <c r="AD38" i="63"/>
  <c r="AD39" i="63"/>
  <c r="AD40" i="63"/>
  <c r="AD42" i="63"/>
  <c r="AD43" i="63"/>
  <c r="AC34" i="63"/>
  <c r="AC35" i="63"/>
  <c r="AC36" i="63"/>
  <c r="AC37" i="63"/>
  <c r="AC38" i="63"/>
  <c r="AC39" i="63"/>
  <c r="AC40" i="63"/>
  <c r="AC42" i="63"/>
  <c r="AC43" i="63"/>
  <c r="AB34" i="63"/>
  <c r="AB35" i="63"/>
  <c r="AB36" i="63"/>
  <c r="AB37" i="63"/>
  <c r="AB38" i="63"/>
  <c r="AB39" i="63"/>
  <c r="AB40" i="63"/>
  <c r="AB42" i="63"/>
  <c r="AB43" i="63"/>
  <c r="AA34" i="63"/>
  <c r="AA35" i="63"/>
  <c r="AA36" i="63"/>
  <c r="AA37" i="63"/>
  <c r="AA38" i="63"/>
  <c r="AA39" i="63"/>
  <c r="AA40" i="63"/>
  <c r="AA42" i="63"/>
  <c r="AA43" i="63"/>
  <c r="Z34" i="63"/>
  <c r="Z35" i="63"/>
  <c r="Z36" i="63"/>
  <c r="Z37" i="63"/>
  <c r="Z38" i="63"/>
  <c r="Z39" i="63"/>
  <c r="Z40" i="63"/>
  <c r="Z42" i="63"/>
  <c r="Z43" i="63"/>
  <c r="Y34" i="63"/>
  <c r="Y35" i="63"/>
  <c r="Y36" i="63"/>
  <c r="Y37" i="63"/>
  <c r="Y38" i="63"/>
  <c r="Y39" i="63"/>
  <c r="Y40" i="63"/>
  <c r="Y42" i="63"/>
  <c r="Y43" i="63"/>
  <c r="X34" i="63"/>
  <c r="X35" i="63"/>
  <c r="X36" i="63"/>
  <c r="X37" i="63"/>
  <c r="X38" i="63"/>
  <c r="X39" i="63"/>
  <c r="X40" i="63"/>
  <c r="X42" i="63"/>
  <c r="X43" i="63"/>
  <c r="W34" i="63"/>
  <c r="W35" i="63"/>
  <c r="W36" i="63"/>
  <c r="W37" i="63"/>
  <c r="W38" i="63"/>
  <c r="W39" i="63"/>
  <c r="W40" i="63"/>
  <c r="W42" i="63"/>
  <c r="W43" i="63"/>
  <c r="V34" i="63"/>
  <c r="V35" i="63"/>
  <c r="V36" i="63"/>
  <c r="V37" i="63"/>
  <c r="V38" i="63"/>
  <c r="V39" i="63"/>
  <c r="V40" i="63"/>
  <c r="V42" i="63"/>
  <c r="V43" i="63"/>
  <c r="U34" i="63"/>
  <c r="U35" i="63"/>
  <c r="U36" i="63"/>
  <c r="U37" i="63"/>
  <c r="U38" i="63"/>
  <c r="U39" i="63"/>
  <c r="U40" i="63"/>
  <c r="U42" i="63"/>
  <c r="U43" i="63"/>
  <c r="T34" i="63"/>
  <c r="T35" i="63"/>
  <c r="T36" i="63"/>
  <c r="T37" i="63"/>
  <c r="T38" i="63"/>
  <c r="T39" i="63"/>
  <c r="T40" i="63"/>
  <c r="T42" i="63"/>
  <c r="T43" i="63"/>
  <c r="S34" i="63"/>
  <c r="S35" i="63"/>
  <c r="S36" i="63"/>
  <c r="S37" i="63"/>
  <c r="S38" i="63"/>
  <c r="S39" i="63"/>
  <c r="S40" i="63"/>
  <c r="S42" i="63"/>
  <c r="S43" i="63"/>
  <c r="R34" i="63"/>
  <c r="R35" i="63"/>
  <c r="R36" i="63"/>
  <c r="R37" i="63"/>
  <c r="R38" i="63"/>
  <c r="R39" i="63"/>
  <c r="R40" i="63"/>
  <c r="R42" i="63"/>
  <c r="R43" i="63"/>
  <c r="Q34" i="63"/>
  <c r="Q35" i="63"/>
  <c r="Q36" i="63"/>
  <c r="Q37" i="63"/>
  <c r="Q38" i="63"/>
  <c r="Q39" i="63"/>
  <c r="Q40" i="63"/>
  <c r="Q42" i="63"/>
  <c r="Q43" i="63"/>
  <c r="P34" i="63"/>
  <c r="P35" i="63"/>
  <c r="P36" i="63"/>
  <c r="P37" i="63"/>
  <c r="P38" i="63"/>
  <c r="P39" i="63"/>
  <c r="P40" i="63"/>
  <c r="P42" i="63"/>
  <c r="P43" i="63"/>
  <c r="O34" i="63"/>
  <c r="O35" i="63"/>
  <c r="O36" i="63"/>
  <c r="O37" i="63"/>
  <c r="O38" i="63"/>
  <c r="O39" i="63"/>
  <c r="O40" i="63"/>
  <c r="O42" i="63"/>
  <c r="O43" i="63"/>
  <c r="N34" i="63"/>
  <c r="N35" i="63"/>
  <c r="N36" i="63"/>
  <c r="N37" i="63"/>
  <c r="N38" i="63"/>
  <c r="N39" i="63"/>
  <c r="N40" i="63"/>
  <c r="N42" i="63"/>
  <c r="N43" i="63"/>
  <c r="M34" i="63"/>
  <c r="M35" i="63"/>
  <c r="M36" i="63"/>
  <c r="M37" i="63"/>
  <c r="M38" i="63"/>
  <c r="M39" i="63"/>
  <c r="M40" i="63"/>
  <c r="M42" i="63"/>
  <c r="M43" i="63"/>
  <c r="L34" i="63"/>
  <c r="L35" i="63"/>
  <c r="L36" i="63"/>
  <c r="L37" i="63"/>
  <c r="L38" i="63"/>
  <c r="L39" i="63"/>
  <c r="L40" i="63"/>
  <c r="L42" i="63"/>
  <c r="L43" i="63"/>
  <c r="K34" i="63"/>
  <c r="K35" i="63"/>
  <c r="K36" i="63"/>
  <c r="K37" i="63"/>
  <c r="K38" i="63"/>
  <c r="K39" i="63"/>
  <c r="K40" i="63"/>
  <c r="K42" i="63"/>
  <c r="K43" i="63"/>
  <c r="J34" i="63"/>
  <c r="J35" i="63"/>
  <c r="J36" i="63"/>
  <c r="J37" i="63"/>
  <c r="J38" i="63"/>
  <c r="J39" i="63"/>
  <c r="J40" i="63"/>
  <c r="J42" i="63"/>
  <c r="J43" i="63"/>
  <c r="I34" i="63"/>
  <c r="I35" i="63"/>
  <c r="I36" i="63"/>
  <c r="I37" i="63"/>
  <c r="I38" i="63"/>
  <c r="I39" i="63"/>
  <c r="I40" i="63"/>
  <c r="I42" i="63"/>
  <c r="I43" i="63"/>
  <c r="H34" i="63"/>
  <c r="H35" i="63"/>
  <c r="H36" i="63"/>
  <c r="H37" i="63"/>
  <c r="H38" i="63"/>
  <c r="H39" i="63"/>
  <c r="H40" i="63"/>
  <c r="H42" i="63"/>
  <c r="H43" i="63"/>
  <c r="G34" i="63"/>
  <c r="G35" i="63"/>
  <c r="G36" i="63"/>
  <c r="G37" i="63"/>
  <c r="G38" i="63"/>
  <c r="G39" i="63"/>
  <c r="G40" i="63"/>
  <c r="G42" i="63"/>
  <c r="G43" i="63"/>
  <c r="F34" i="63"/>
  <c r="F35" i="63"/>
  <c r="F36" i="63"/>
  <c r="F37" i="63"/>
  <c r="F38" i="63"/>
  <c r="F39" i="63"/>
  <c r="F40" i="63"/>
  <c r="F42" i="63"/>
  <c r="F43" i="63"/>
  <c r="E34" i="63"/>
  <c r="E35" i="63"/>
  <c r="E36" i="63"/>
  <c r="E37" i="63"/>
  <c r="E38" i="63"/>
  <c r="E39" i="63"/>
  <c r="E40" i="63"/>
  <c r="E41" i="63"/>
  <c r="E42" i="63"/>
  <c r="E43" i="63"/>
  <c r="D42" i="63"/>
  <c r="D43" i="63"/>
  <c r="D41" i="63"/>
  <c r="D40" i="63"/>
  <c r="D39" i="63"/>
  <c r="D38" i="63"/>
  <c r="D37" i="63"/>
  <c r="D36" i="63"/>
  <c r="D35" i="63"/>
  <c r="E44" i="62" l="1"/>
  <c r="C44" i="64"/>
  <c r="D44" i="64"/>
  <c r="E44" i="64"/>
  <c r="C44" i="62"/>
  <c r="D44" i="62"/>
  <c r="C44" i="63"/>
  <c r="E44" i="63"/>
  <c r="G29" i="70" l="1"/>
  <c r="H29" i="70"/>
  <c r="I29" i="70"/>
  <c r="J29" i="70"/>
  <c r="K29" i="70"/>
  <c r="L29" i="70"/>
  <c r="M29" i="70"/>
  <c r="N29" i="70"/>
  <c r="O29" i="70"/>
  <c r="P29" i="70"/>
  <c r="Q29" i="70"/>
  <c r="R29" i="70"/>
  <c r="S29" i="70"/>
  <c r="T29" i="70"/>
  <c r="U29" i="70"/>
  <c r="V29" i="70"/>
  <c r="W29" i="70"/>
  <c r="X29" i="70"/>
  <c r="Y29" i="70"/>
  <c r="Z29" i="70"/>
  <c r="AA29" i="70"/>
  <c r="AB29" i="70"/>
  <c r="AC29" i="70"/>
  <c r="AD29" i="70"/>
  <c r="AE29" i="70"/>
  <c r="AF29" i="70"/>
  <c r="AG29" i="70"/>
  <c r="AH29" i="70"/>
  <c r="AI29" i="70"/>
  <c r="AJ29" i="70"/>
  <c r="AK29" i="70"/>
  <c r="AL29" i="70"/>
  <c r="AM29" i="70"/>
  <c r="AN29" i="70"/>
  <c r="AO29" i="70"/>
  <c r="AP29" i="70"/>
  <c r="AQ29" i="70"/>
  <c r="AR29" i="70"/>
  <c r="AS29" i="70"/>
  <c r="AT29" i="70"/>
  <c r="AU29" i="70"/>
  <c r="AV29" i="70"/>
  <c r="AW29" i="70"/>
  <c r="AX29" i="70"/>
  <c r="AY29" i="70"/>
  <c r="AZ29" i="70"/>
  <c r="BA29" i="70"/>
  <c r="BB29" i="70"/>
  <c r="BC29" i="70"/>
  <c r="BD29" i="70"/>
  <c r="BE29" i="70"/>
  <c r="BF29" i="70"/>
  <c r="BG29" i="70"/>
  <c r="BH29" i="70"/>
  <c r="BI29" i="70"/>
  <c r="BJ29" i="70"/>
  <c r="BK29" i="70"/>
  <c r="BL29" i="70"/>
  <c r="BM29" i="70"/>
  <c r="BN29" i="70"/>
  <c r="BO29" i="70"/>
  <c r="BP29" i="70"/>
  <c r="BQ29" i="70"/>
  <c r="BR29" i="70"/>
  <c r="BS29" i="70"/>
  <c r="BT29" i="70"/>
  <c r="BU29" i="70"/>
  <c r="BV29" i="70"/>
  <c r="BW29" i="70"/>
  <c r="BX29" i="70"/>
  <c r="BY29" i="70"/>
  <c r="BZ29" i="70"/>
  <c r="CA29" i="70"/>
  <c r="CB29" i="70"/>
  <c r="CC29" i="70"/>
  <c r="CD29" i="70"/>
  <c r="CE29" i="70"/>
  <c r="CF29" i="70"/>
  <c r="CG29" i="70"/>
  <c r="CH29" i="70"/>
  <c r="CI29" i="70"/>
  <c r="CJ29" i="70"/>
  <c r="CK29" i="70"/>
  <c r="CL29" i="70"/>
  <c r="CM29" i="70"/>
  <c r="CN29" i="70"/>
  <c r="CO29" i="70"/>
  <c r="CP29" i="70"/>
  <c r="CQ29" i="70"/>
  <c r="CR29" i="70"/>
  <c r="CS29" i="70"/>
  <c r="CT29" i="70"/>
  <c r="CU29" i="70"/>
  <c r="CV29" i="70"/>
  <c r="CW29" i="70"/>
  <c r="CX29" i="70"/>
  <c r="CY29" i="70"/>
  <c r="CZ29" i="70"/>
  <c r="DA29" i="70"/>
  <c r="DB29" i="70"/>
  <c r="DC29" i="70"/>
  <c r="DD29" i="70"/>
  <c r="DE29" i="70"/>
  <c r="DF29" i="70"/>
  <c r="DG29" i="70"/>
  <c r="DH29" i="70"/>
  <c r="DI29" i="70"/>
  <c r="DJ29" i="70"/>
  <c r="DK29" i="70"/>
  <c r="DL29" i="70"/>
  <c r="DM29" i="70"/>
  <c r="DN29" i="70"/>
  <c r="DO29" i="70"/>
  <c r="DP29" i="70"/>
  <c r="DQ29" i="70"/>
  <c r="DR29" i="70"/>
  <c r="DS29" i="70"/>
  <c r="DT29" i="70"/>
  <c r="DU29" i="70"/>
  <c r="DV29" i="70"/>
  <c r="DW29" i="70"/>
  <c r="DX29" i="70"/>
  <c r="DY29" i="70"/>
  <c r="DZ29" i="70"/>
  <c r="EA29" i="70"/>
  <c r="EB29" i="70"/>
  <c r="EC29" i="70"/>
  <c r="ED29" i="70"/>
  <c r="EE29" i="70"/>
  <c r="EF29" i="70"/>
  <c r="EG29" i="70"/>
  <c r="EH29" i="70"/>
  <c r="EI29" i="70"/>
  <c r="EJ29" i="70"/>
  <c r="EK29" i="70"/>
  <c r="EL29" i="70"/>
  <c r="EM29" i="70"/>
  <c r="EN29" i="70"/>
  <c r="EO29" i="70"/>
  <c r="EP29" i="70"/>
  <c r="EQ29" i="70"/>
  <c r="ER29" i="70"/>
  <c r="ES29" i="70"/>
  <c r="ET29" i="70"/>
  <c r="EU29" i="70"/>
  <c r="EV29" i="70"/>
  <c r="EW29" i="70"/>
  <c r="EX29" i="70"/>
  <c r="EY29" i="70"/>
  <c r="EZ29" i="70"/>
  <c r="FA29" i="70"/>
  <c r="FB29" i="70"/>
  <c r="FC29" i="70"/>
  <c r="FD29" i="70"/>
  <c r="FE29" i="70"/>
  <c r="FF29" i="70"/>
  <c r="FG29" i="70"/>
  <c r="FH29" i="70"/>
  <c r="FI29" i="70"/>
  <c r="FJ29" i="70"/>
  <c r="FK29" i="70"/>
  <c r="FL29" i="70"/>
  <c r="FM29" i="70"/>
  <c r="FN29" i="70"/>
  <c r="G29" i="69"/>
  <c r="H29" i="69"/>
  <c r="I29" i="69"/>
  <c r="J29" i="69"/>
  <c r="K29" i="69"/>
  <c r="L29" i="69"/>
  <c r="M29" i="69"/>
  <c r="N29" i="69"/>
  <c r="O29" i="69"/>
  <c r="P29" i="69"/>
  <c r="Q29" i="69"/>
  <c r="R29" i="69"/>
  <c r="S29" i="69"/>
  <c r="T29" i="69"/>
  <c r="U29" i="69"/>
  <c r="V29" i="69"/>
  <c r="W29" i="69"/>
  <c r="X29" i="69"/>
  <c r="Y29" i="69"/>
  <c r="Z29" i="69"/>
  <c r="AA29" i="69"/>
  <c r="AB29" i="69"/>
  <c r="AC29" i="69"/>
  <c r="AD29" i="69"/>
  <c r="AE29" i="69"/>
  <c r="AF29" i="69"/>
  <c r="AG29" i="69"/>
  <c r="AH29" i="69"/>
  <c r="AI29" i="69"/>
  <c r="AJ29" i="69"/>
  <c r="AK29" i="69"/>
  <c r="AL29" i="69"/>
  <c r="AM29" i="69"/>
  <c r="AN29" i="69"/>
  <c r="AO29" i="69"/>
  <c r="AP29" i="69"/>
  <c r="AQ29" i="69"/>
  <c r="AR29" i="69"/>
  <c r="AS29" i="69"/>
  <c r="AT29" i="69"/>
  <c r="AU29" i="69"/>
  <c r="AV29" i="69"/>
  <c r="AW29" i="69"/>
  <c r="AX29" i="69"/>
  <c r="AY29" i="69"/>
  <c r="AZ29" i="69"/>
  <c r="BA29" i="69"/>
  <c r="BB29" i="69"/>
  <c r="BC29" i="69"/>
  <c r="BD29" i="69"/>
  <c r="BE29" i="69"/>
  <c r="BF29" i="69"/>
  <c r="BG29" i="69"/>
  <c r="BH29" i="69"/>
  <c r="BI29" i="69"/>
  <c r="BJ29" i="69"/>
  <c r="BK29" i="69"/>
  <c r="BL29" i="69"/>
  <c r="BM29" i="69"/>
  <c r="BN29" i="69"/>
  <c r="BO29" i="69"/>
  <c r="BP29" i="69"/>
  <c r="BQ29" i="69"/>
  <c r="BR29" i="69"/>
  <c r="BS29" i="69"/>
  <c r="BT29" i="69"/>
  <c r="BU29" i="69"/>
  <c r="BV29" i="69"/>
  <c r="BW29" i="69"/>
  <c r="BX29" i="69"/>
  <c r="BY29" i="69"/>
  <c r="BZ29" i="69"/>
  <c r="CA29" i="69"/>
  <c r="CB29" i="69"/>
  <c r="CC29" i="69"/>
  <c r="CD29" i="69"/>
  <c r="CE29" i="69"/>
  <c r="CF29" i="69"/>
  <c r="CG29" i="69"/>
  <c r="CH29" i="69"/>
  <c r="CI29" i="69"/>
  <c r="CJ29" i="69"/>
  <c r="CK29" i="69"/>
  <c r="CL29" i="69"/>
  <c r="CM29" i="69"/>
  <c r="CN29" i="69"/>
  <c r="CO29" i="69"/>
  <c r="CP29" i="69"/>
  <c r="CQ29" i="69"/>
  <c r="CR29" i="69"/>
  <c r="CS29" i="69"/>
  <c r="CT29" i="69"/>
  <c r="CU29" i="69"/>
  <c r="CV29" i="69"/>
  <c r="CW29" i="69"/>
  <c r="CX29" i="69"/>
  <c r="CY29" i="69"/>
  <c r="CZ29" i="69"/>
  <c r="DA29" i="69"/>
  <c r="DB29" i="69"/>
  <c r="DC29" i="69"/>
  <c r="DD29" i="69"/>
  <c r="DE29" i="69"/>
  <c r="DF29" i="69"/>
  <c r="DG29" i="69"/>
  <c r="DH29" i="69"/>
  <c r="DI29" i="69"/>
  <c r="DJ29" i="69"/>
  <c r="DK29" i="69"/>
  <c r="DL29" i="69"/>
  <c r="DM29" i="69"/>
  <c r="DN29" i="69"/>
  <c r="DO29" i="69"/>
  <c r="DP29" i="69"/>
  <c r="DQ29" i="69"/>
  <c r="DR29" i="69"/>
  <c r="DS29" i="69"/>
  <c r="DT29" i="69"/>
  <c r="DU29" i="69"/>
  <c r="DV29" i="69"/>
  <c r="DW29" i="69"/>
  <c r="DX29" i="69"/>
  <c r="DY29" i="69"/>
  <c r="DZ29" i="69"/>
  <c r="EA29" i="69"/>
  <c r="EB29" i="69"/>
  <c r="EC29" i="69"/>
  <c r="ED29" i="69"/>
  <c r="EE29" i="69"/>
  <c r="EF29" i="69"/>
  <c r="EG29" i="69"/>
  <c r="EH29" i="69"/>
  <c r="EI29" i="69"/>
  <c r="EJ29" i="69"/>
  <c r="EK29" i="69"/>
  <c r="EL29" i="69"/>
  <c r="EM29" i="69"/>
  <c r="EN29" i="69"/>
  <c r="EO29" i="69"/>
  <c r="EP29" i="69"/>
  <c r="EQ29" i="69"/>
  <c r="ER29" i="69"/>
  <c r="ES29" i="69"/>
  <c r="ET29" i="69"/>
  <c r="EU29" i="69"/>
  <c r="EV29" i="69"/>
  <c r="EW29" i="69"/>
  <c r="EX29" i="69"/>
  <c r="EY29" i="69"/>
  <c r="EZ29" i="69"/>
  <c r="FA29" i="69"/>
  <c r="FB29" i="69"/>
  <c r="FC29" i="69"/>
  <c r="FD29" i="69"/>
  <c r="FE29" i="69"/>
  <c r="FF29" i="69"/>
  <c r="FG29" i="69"/>
  <c r="FH29" i="69"/>
  <c r="FI29" i="69"/>
  <c r="FJ29" i="69"/>
  <c r="FK29" i="69"/>
  <c r="FL29" i="69"/>
  <c r="FM29" i="69"/>
  <c r="FN29" i="69"/>
  <c r="G29" i="68"/>
  <c r="H29" i="68"/>
  <c r="I29" i="68"/>
  <c r="J29" i="68"/>
  <c r="K29" i="68"/>
  <c r="L29" i="68"/>
  <c r="M29" i="68"/>
  <c r="N29" i="68"/>
  <c r="O29" i="68"/>
  <c r="P29" i="68"/>
  <c r="Q29" i="68"/>
  <c r="R29" i="68"/>
  <c r="S29" i="68"/>
  <c r="T29" i="68"/>
  <c r="U29" i="68"/>
  <c r="V29" i="68"/>
  <c r="W29" i="68"/>
  <c r="X29" i="68"/>
  <c r="Y29" i="68"/>
  <c r="Z29" i="68"/>
  <c r="AA29" i="68"/>
  <c r="AB29" i="68"/>
  <c r="AC29" i="68"/>
  <c r="AD29" i="68"/>
  <c r="AE29" i="68"/>
  <c r="AF29" i="68"/>
  <c r="AG29" i="68"/>
  <c r="AH29" i="68"/>
  <c r="AI29" i="68"/>
  <c r="AJ29" i="68"/>
  <c r="AK29" i="68"/>
  <c r="AL29" i="68"/>
  <c r="AM29" i="68"/>
  <c r="AN29" i="68"/>
  <c r="AO29" i="68"/>
  <c r="AP29" i="68"/>
  <c r="AQ29" i="68"/>
  <c r="AR29" i="68"/>
  <c r="AS29" i="68"/>
  <c r="AT29" i="68"/>
  <c r="AU29" i="68"/>
  <c r="AV29" i="68"/>
  <c r="AW29" i="68"/>
  <c r="AX29" i="68"/>
  <c r="AY29" i="68"/>
  <c r="AZ29" i="68"/>
  <c r="BA29" i="68"/>
  <c r="BB29" i="68"/>
  <c r="BC29" i="68"/>
  <c r="BD29" i="68"/>
  <c r="BE29" i="68"/>
  <c r="BF29" i="68"/>
  <c r="BG29" i="68"/>
  <c r="BH29" i="68"/>
  <c r="BI29" i="68"/>
  <c r="BJ29" i="68"/>
  <c r="BK29" i="68"/>
  <c r="BL29" i="68"/>
  <c r="BM29" i="68"/>
  <c r="BN29" i="68"/>
  <c r="BO29" i="68"/>
  <c r="BP29" i="68"/>
  <c r="BQ29" i="68"/>
  <c r="BR29" i="68"/>
  <c r="BS29" i="68"/>
  <c r="BT29" i="68"/>
  <c r="BU29" i="68"/>
  <c r="BV29" i="68"/>
  <c r="BW29" i="68"/>
  <c r="BX29" i="68"/>
  <c r="BY29" i="68"/>
  <c r="BZ29" i="68"/>
  <c r="CA29" i="68"/>
  <c r="CB29" i="68"/>
  <c r="CC29" i="68"/>
  <c r="CD29" i="68"/>
  <c r="CE29" i="68"/>
  <c r="CF29" i="68"/>
  <c r="CG29" i="68"/>
  <c r="CH29" i="68"/>
  <c r="CI29" i="68"/>
  <c r="CJ29" i="68"/>
  <c r="CK29" i="68"/>
  <c r="CL29" i="68"/>
  <c r="CM29" i="68"/>
  <c r="CN29" i="68"/>
  <c r="CO29" i="68"/>
  <c r="CP29" i="68"/>
  <c r="CQ29" i="68"/>
  <c r="CR29" i="68"/>
  <c r="CS29" i="68"/>
  <c r="CT29" i="68"/>
  <c r="CU29" i="68"/>
  <c r="CV29" i="68"/>
  <c r="CW29" i="68"/>
  <c r="CX29" i="68"/>
  <c r="CY29" i="68"/>
  <c r="CZ29" i="68"/>
  <c r="DA29" i="68"/>
  <c r="DB29" i="68"/>
  <c r="DC29" i="68"/>
  <c r="DD29" i="68"/>
  <c r="DE29" i="68"/>
  <c r="DF29" i="68"/>
  <c r="DG29" i="68"/>
  <c r="DH29" i="68"/>
  <c r="DI29" i="68"/>
  <c r="DJ29" i="68"/>
  <c r="DK29" i="68"/>
  <c r="DL29" i="68"/>
  <c r="DM29" i="68"/>
  <c r="DN29" i="68"/>
  <c r="DO29" i="68"/>
  <c r="DP29" i="68"/>
  <c r="DQ29" i="68"/>
  <c r="DR29" i="68"/>
  <c r="DS29" i="68"/>
  <c r="DT29" i="68"/>
  <c r="DU29" i="68"/>
  <c r="DV29" i="68"/>
  <c r="DW29" i="68"/>
  <c r="DX29" i="68"/>
  <c r="DY29" i="68"/>
  <c r="DZ29" i="68"/>
  <c r="EA29" i="68"/>
  <c r="EB29" i="68"/>
  <c r="EC29" i="68"/>
  <c r="ED29" i="68"/>
  <c r="EE29" i="68"/>
  <c r="EF29" i="68"/>
  <c r="EG29" i="68"/>
  <c r="EH29" i="68"/>
  <c r="EI29" i="68"/>
  <c r="EJ29" i="68"/>
  <c r="EK29" i="68"/>
  <c r="EL29" i="68"/>
  <c r="EM29" i="68"/>
  <c r="EN29" i="68"/>
  <c r="EO29" i="68"/>
  <c r="EP29" i="68"/>
  <c r="EQ29" i="68"/>
  <c r="ER29" i="68"/>
  <c r="ES29" i="68"/>
  <c r="ET29" i="68"/>
  <c r="EU29" i="68"/>
  <c r="EV29" i="68"/>
  <c r="EW29" i="68"/>
  <c r="EX29" i="68"/>
  <c r="EY29" i="68"/>
  <c r="EZ29" i="68"/>
  <c r="FA29" i="68"/>
  <c r="FB29" i="68"/>
  <c r="FC29" i="68"/>
  <c r="FD29" i="68"/>
  <c r="FE29" i="68"/>
  <c r="FF29" i="68"/>
  <c r="FG29" i="68"/>
  <c r="FH29" i="68"/>
  <c r="FI29" i="68"/>
  <c r="FJ29" i="68"/>
  <c r="FK29" i="68"/>
  <c r="FL29" i="68"/>
  <c r="FM29" i="68"/>
  <c r="FN29" i="68"/>
  <c r="G29" i="67"/>
  <c r="H29" i="67"/>
  <c r="I29" i="67"/>
  <c r="J29" i="67"/>
  <c r="K29" i="67"/>
  <c r="L29" i="67"/>
  <c r="M29" i="67"/>
  <c r="N29" i="67"/>
  <c r="O29" i="67"/>
  <c r="P29" i="67"/>
  <c r="Q29" i="67"/>
  <c r="R29" i="67"/>
  <c r="S29" i="67"/>
  <c r="T29" i="67"/>
  <c r="U29" i="67"/>
  <c r="V29" i="67"/>
  <c r="W29" i="67"/>
  <c r="X29" i="67"/>
  <c r="Y29" i="67"/>
  <c r="Z29" i="67"/>
  <c r="AA29" i="67"/>
  <c r="AB29" i="67"/>
  <c r="AC29" i="67"/>
  <c r="AD29" i="67"/>
  <c r="AE29" i="67"/>
  <c r="AF29" i="67"/>
  <c r="AG29" i="67"/>
  <c r="AH29" i="67"/>
  <c r="AI29" i="67"/>
  <c r="AJ29" i="67"/>
  <c r="AK29" i="67"/>
  <c r="AL29" i="67"/>
  <c r="AM29" i="67"/>
  <c r="AN29" i="67"/>
  <c r="AO29" i="67"/>
  <c r="AP29" i="67"/>
  <c r="AQ29" i="67"/>
  <c r="AR29" i="67"/>
  <c r="AS29" i="67"/>
  <c r="AT29" i="67"/>
  <c r="AU29" i="67"/>
  <c r="AV29" i="67"/>
  <c r="AW29" i="67"/>
  <c r="AX29" i="67"/>
  <c r="AY29" i="67"/>
  <c r="AZ29" i="67"/>
  <c r="BA29" i="67"/>
  <c r="BB29" i="67"/>
  <c r="BC29" i="67"/>
  <c r="BD29" i="67"/>
  <c r="BE29" i="67"/>
  <c r="BF29" i="67"/>
  <c r="BG29" i="67"/>
  <c r="BH29" i="67"/>
  <c r="BI29" i="67"/>
  <c r="BJ29" i="67"/>
  <c r="BK29" i="67"/>
  <c r="BL29" i="67"/>
  <c r="BM29" i="67"/>
  <c r="BN29" i="67"/>
  <c r="BO29" i="67"/>
  <c r="BP29" i="67"/>
  <c r="BQ29" i="67"/>
  <c r="BR29" i="67"/>
  <c r="BS29" i="67"/>
  <c r="BT29" i="67"/>
  <c r="BU29" i="67"/>
  <c r="BV29" i="67"/>
  <c r="BW29" i="67"/>
  <c r="BX29" i="67"/>
  <c r="BY29" i="67"/>
  <c r="BZ29" i="67"/>
  <c r="CA29" i="67"/>
  <c r="CB29" i="67"/>
  <c r="CC29" i="67"/>
  <c r="CD29" i="67"/>
  <c r="CE29" i="67"/>
  <c r="CF29" i="67"/>
  <c r="CG29" i="67"/>
  <c r="CH29" i="67"/>
  <c r="CI29" i="67"/>
  <c r="CJ29" i="67"/>
  <c r="CK29" i="67"/>
  <c r="CL29" i="67"/>
  <c r="CM29" i="67"/>
  <c r="CN29" i="67"/>
  <c r="CO29" i="67"/>
  <c r="CP29" i="67"/>
  <c r="CQ29" i="67"/>
  <c r="CR29" i="67"/>
  <c r="CS29" i="67"/>
  <c r="CT29" i="67"/>
  <c r="CU29" i="67"/>
  <c r="CV29" i="67"/>
  <c r="CW29" i="67"/>
  <c r="CX29" i="67"/>
  <c r="CY29" i="67"/>
  <c r="CZ29" i="67"/>
  <c r="DA29" i="67"/>
  <c r="DB29" i="67"/>
  <c r="DC29" i="67"/>
  <c r="DD29" i="67"/>
  <c r="DE29" i="67"/>
  <c r="DF29" i="67"/>
  <c r="DG29" i="67"/>
  <c r="DH29" i="67"/>
  <c r="DI29" i="67"/>
  <c r="DJ29" i="67"/>
  <c r="DK29" i="67"/>
  <c r="DL29" i="67"/>
  <c r="DM29" i="67"/>
  <c r="DN29" i="67"/>
  <c r="DO29" i="67"/>
  <c r="DP29" i="67"/>
  <c r="DQ29" i="67"/>
  <c r="DR29" i="67"/>
  <c r="DS29" i="67"/>
  <c r="DT29" i="67"/>
  <c r="DU29" i="67"/>
  <c r="DV29" i="67"/>
  <c r="DW29" i="67"/>
  <c r="DX29" i="67"/>
  <c r="DY29" i="67"/>
  <c r="DZ29" i="67"/>
  <c r="EA29" i="67"/>
  <c r="EB29" i="67"/>
  <c r="EC29" i="67"/>
  <c r="ED29" i="67"/>
  <c r="EE29" i="67"/>
  <c r="EF29" i="67"/>
  <c r="EG29" i="67"/>
  <c r="EH29" i="67"/>
  <c r="EI29" i="67"/>
  <c r="EJ29" i="67"/>
  <c r="EK29" i="67"/>
  <c r="EL29" i="67"/>
  <c r="EM29" i="67"/>
  <c r="EN29" i="67"/>
  <c r="EO29" i="67"/>
  <c r="EP29" i="67"/>
  <c r="EQ29" i="67"/>
  <c r="ER29" i="67"/>
  <c r="ES29" i="67"/>
  <c r="ET29" i="67"/>
  <c r="EU29" i="67"/>
  <c r="EV29" i="67"/>
  <c r="EW29" i="67"/>
  <c r="EX29" i="67"/>
  <c r="EY29" i="67"/>
  <c r="EZ29" i="67"/>
  <c r="FA29" i="67"/>
  <c r="FB29" i="67"/>
  <c r="FC29" i="67"/>
  <c r="FD29" i="67"/>
  <c r="FE29" i="67"/>
  <c r="FF29" i="67"/>
  <c r="FG29" i="67"/>
  <c r="FH29" i="67"/>
  <c r="FI29" i="67"/>
  <c r="FJ29" i="67"/>
  <c r="FK29" i="67"/>
  <c r="FL29" i="67"/>
  <c r="FM29" i="67"/>
  <c r="FN29" i="67"/>
  <c r="G29" i="66"/>
  <c r="H29" i="66"/>
  <c r="I29" i="66"/>
  <c r="J29" i="66"/>
  <c r="K29" i="66"/>
  <c r="L29" i="66"/>
  <c r="M29" i="66"/>
  <c r="N29" i="66"/>
  <c r="O29" i="66"/>
  <c r="P29" i="66"/>
  <c r="Q29" i="66"/>
  <c r="R29" i="66"/>
  <c r="S29" i="66"/>
  <c r="T29" i="66"/>
  <c r="U29" i="66"/>
  <c r="V29" i="66"/>
  <c r="W29" i="66"/>
  <c r="X29" i="66"/>
  <c r="Y29" i="66"/>
  <c r="Z29" i="66"/>
  <c r="AA29" i="66"/>
  <c r="AB29" i="66"/>
  <c r="AC29" i="66"/>
  <c r="AD29" i="66"/>
  <c r="AE29" i="66"/>
  <c r="AF29" i="66"/>
  <c r="AG29" i="66"/>
  <c r="AH29" i="66"/>
  <c r="AI29" i="66"/>
  <c r="AJ29" i="66"/>
  <c r="AK29" i="66"/>
  <c r="AL29" i="66"/>
  <c r="AM29" i="66"/>
  <c r="AN29" i="66"/>
  <c r="AO29" i="66"/>
  <c r="AP29" i="66"/>
  <c r="AQ29" i="66"/>
  <c r="AR29" i="66"/>
  <c r="AS29" i="66"/>
  <c r="AT29" i="66"/>
  <c r="AU29" i="66"/>
  <c r="AV29" i="66"/>
  <c r="AW29" i="66"/>
  <c r="AX29" i="66"/>
  <c r="AY29" i="66"/>
  <c r="AZ29" i="66"/>
  <c r="BA29" i="66"/>
  <c r="BB29" i="66"/>
  <c r="BC29" i="66"/>
  <c r="BD29" i="66"/>
  <c r="BE29" i="66"/>
  <c r="BF29" i="66"/>
  <c r="BG29" i="66"/>
  <c r="BH29" i="66"/>
  <c r="BI29" i="66"/>
  <c r="BJ29" i="66"/>
  <c r="BK29" i="66"/>
  <c r="BL29" i="66"/>
  <c r="BM29" i="66"/>
  <c r="BN29" i="66"/>
  <c r="BO29" i="66"/>
  <c r="BP29" i="66"/>
  <c r="BQ29" i="66"/>
  <c r="BR29" i="66"/>
  <c r="BS29" i="66"/>
  <c r="BT29" i="66"/>
  <c r="BU29" i="66"/>
  <c r="BV29" i="66"/>
  <c r="BW29" i="66"/>
  <c r="BX29" i="66"/>
  <c r="BY29" i="66"/>
  <c r="BZ29" i="66"/>
  <c r="CA29" i="66"/>
  <c r="CB29" i="66"/>
  <c r="CC29" i="66"/>
  <c r="CD29" i="66"/>
  <c r="CE29" i="66"/>
  <c r="CF29" i="66"/>
  <c r="CG29" i="66"/>
  <c r="CH29" i="66"/>
  <c r="CI29" i="66"/>
  <c r="CJ29" i="66"/>
  <c r="CK29" i="66"/>
  <c r="CL29" i="66"/>
  <c r="CM29" i="66"/>
  <c r="CN29" i="66"/>
  <c r="CO29" i="66"/>
  <c r="CP29" i="66"/>
  <c r="CQ29" i="66"/>
  <c r="CR29" i="66"/>
  <c r="CS29" i="66"/>
  <c r="CT29" i="66"/>
  <c r="CU29" i="66"/>
  <c r="CV29" i="66"/>
  <c r="CW29" i="66"/>
  <c r="CX29" i="66"/>
  <c r="CY29" i="66"/>
  <c r="CZ29" i="66"/>
  <c r="DA29" i="66"/>
  <c r="DB29" i="66"/>
  <c r="DC29" i="66"/>
  <c r="DD29" i="66"/>
  <c r="DE29" i="66"/>
  <c r="DF29" i="66"/>
  <c r="DG29" i="66"/>
  <c r="DH29" i="66"/>
  <c r="DI29" i="66"/>
  <c r="DJ29" i="66"/>
  <c r="DK29" i="66"/>
  <c r="DL29" i="66"/>
  <c r="DM29" i="66"/>
  <c r="DN29" i="66"/>
  <c r="DO29" i="66"/>
  <c r="DP29" i="66"/>
  <c r="DQ29" i="66"/>
  <c r="DR29" i="66"/>
  <c r="DS29" i="66"/>
  <c r="DT29" i="66"/>
  <c r="DU29" i="66"/>
  <c r="DV29" i="66"/>
  <c r="DW29" i="66"/>
  <c r="DX29" i="66"/>
  <c r="DY29" i="66"/>
  <c r="DZ29" i="66"/>
  <c r="EA29" i="66"/>
  <c r="EB29" i="66"/>
  <c r="EC29" i="66"/>
  <c r="ED29" i="66"/>
  <c r="EE29" i="66"/>
  <c r="EF29" i="66"/>
  <c r="EG29" i="66"/>
  <c r="EH29" i="66"/>
  <c r="EI29" i="66"/>
  <c r="EJ29" i="66"/>
  <c r="EK29" i="66"/>
  <c r="EL29" i="66"/>
  <c r="EM29" i="66"/>
  <c r="EN29" i="66"/>
  <c r="EO29" i="66"/>
  <c r="EP29" i="66"/>
  <c r="EQ29" i="66"/>
  <c r="ER29" i="66"/>
  <c r="ES29" i="66"/>
  <c r="ET29" i="66"/>
  <c r="EU29" i="66"/>
  <c r="EV29" i="66"/>
  <c r="EW29" i="66"/>
  <c r="EX29" i="66"/>
  <c r="EY29" i="66"/>
  <c r="EZ29" i="66"/>
  <c r="FA29" i="66"/>
  <c r="FB29" i="66"/>
  <c r="FC29" i="66"/>
  <c r="FD29" i="66"/>
  <c r="FE29" i="66"/>
  <c r="FF29" i="66"/>
  <c r="FG29" i="66"/>
  <c r="FH29" i="66"/>
  <c r="FI29" i="66"/>
  <c r="FJ29" i="66"/>
  <c r="FK29" i="66"/>
  <c r="FL29" i="66"/>
  <c r="FM29" i="66"/>
  <c r="FN29" i="66"/>
  <c r="G29" i="65"/>
  <c r="H29" i="65"/>
  <c r="I29" i="65"/>
  <c r="J29" i="65"/>
  <c r="K29" i="65"/>
  <c r="L29" i="65"/>
  <c r="M29" i="65"/>
  <c r="N29" i="65"/>
  <c r="O29" i="65"/>
  <c r="P29" i="65"/>
  <c r="Q29" i="65"/>
  <c r="R29" i="65"/>
  <c r="S29" i="65"/>
  <c r="T29" i="65"/>
  <c r="U29" i="65"/>
  <c r="V29" i="65"/>
  <c r="W29" i="65"/>
  <c r="X29" i="65"/>
  <c r="Y29" i="65"/>
  <c r="Z29" i="65"/>
  <c r="AA29" i="65"/>
  <c r="AB29" i="65"/>
  <c r="AC29" i="65"/>
  <c r="AD29" i="65"/>
  <c r="AE29" i="65"/>
  <c r="AF29" i="65"/>
  <c r="AG29" i="65"/>
  <c r="AH29" i="65"/>
  <c r="AI29" i="65"/>
  <c r="AJ29" i="65"/>
  <c r="AK29" i="65"/>
  <c r="AL29" i="65"/>
  <c r="AM29" i="65"/>
  <c r="AN29" i="65"/>
  <c r="AO29" i="65"/>
  <c r="AP29" i="65"/>
  <c r="AQ29" i="65"/>
  <c r="AR29" i="65"/>
  <c r="AS29" i="65"/>
  <c r="AT29" i="65"/>
  <c r="AU29" i="65"/>
  <c r="AV29" i="65"/>
  <c r="AW29" i="65"/>
  <c r="AX29" i="65"/>
  <c r="AY29" i="65"/>
  <c r="AZ29" i="65"/>
  <c r="BA29" i="65"/>
  <c r="BB29" i="65"/>
  <c r="BC29" i="65"/>
  <c r="BD29" i="65"/>
  <c r="BE29" i="65"/>
  <c r="BF29" i="65"/>
  <c r="BG29" i="65"/>
  <c r="BH29" i="65"/>
  <c r="BI29" i="65"/>
  <c r="BJ29" i="65"/>
  <c r="BK29" i="65"/>
  <c r="BL29" i="65"/>
  <c r="BM29" i="65"/>
  <c r="BN29" i="65"/>
  <c r="BO29" i="65"/>
  <c r="BP29" i="65"/>
  <c r="BQ29" i="65"/>
  <c r="BR29" i="65"/>
  <c r="BS29" i="65"/>
  <c r="BT29" i="65"/>
  <c r="BU29" i="65"/>
  <c r="BV29" i="65"/>
  <c r="BW29" i="65"/>
  <c r="BX29" i="65"/>
  <c r="BY29" i="65"/>
  <c r="BZ29" i="65"/>
  <c r="CA29" i="65"/>
  <c r="CB29" i="65"/>
  <c r="CC29" i="65"/>
  <c r="CD29" i="65"/>
  <c r="CE29" i="65"/>
  <c r="CF29" i="65"/>
  <c r="CG29" i="65"/>
  <c r="CH29" i="65"/>
  <c r="CI29" i="65"/>
  <c r="CJ29" i="65"/>
  <c r="CK29" i="65"/>
  <c r="CL29" i="65"/>
  <c r="CM29" i="65"/>
  <c r="CN29" i="65"/>
  <c r="CO29" i="65"/>
  <c r="CP29" i="65"/>
  <c r="CQ29" i="65"/>
  <c r="CR29" i="65"/>
  <c r="CS29" i="65"/>
  <c r="CT29" i="65"/>
  <c r="CU29" i="65"/>
  <c r="CV29" i="65"/>
  <c r="CW29" i="65"/>
  <c r="CX29" i="65"/>
  <c r="CY29" i="65"/>
  <c r="CZ29" i="65"/>
  <c r="DA29" i="65"/>
  <c r="DB29" i="65"/>
  <c r="DC29" i="65"/>
  <c r="DD29" i="65"/>
  <c r="DE29" i="65"/>
  <c r="DF29" i="65"/>
  <c r="DG29" i="65"/>
  <c r="DH29" i="65"/>
  <c r="DI29" i="65"/>
  <c r="DJ29" i="65"/>
  <c r="DK29" i="65"/>
  <c r="DL29" i="65"/>
  <c r="DM29" i="65"/>
  <c r="DN29" i="65"/>
  <c r="DO29" i="65"/>
  <c r="DP29" i="65"/>
  <c r="DQ29" i="65"/>
  <c r="DR29" i="65"/>
  <c r="DS29" i="65"/>
  <c r="DT29" i="65"/>
  <c r="DU29" i="65"/>
  <c r="DV29" i="65"/>
  <c r="DW29" i="65"/>
  <c r="DX29" i="65"/>
  <c r="DY29" i="65"/>
  <c r="DZ29" i="65"/>
  <c r="EA29" i="65"/>
  <c r="EB29" i="65"/>
  <c r="EC29" i="65"/>
  <c r="ED29" i="65"/>
  <c r="EE29" i="65"/>
  <c r="EF29" i="65"/>
  <c r="EG29" i="65"/>
  <c r="EH29" i="65"/>
  <c r="EI29" i="65"/>
  <c r="EJ29" i="65"/>
  <c r="EK29" i="65"/>
  <c r="EL29" i="65"/>
  <c r="EM29" i="65"/>
  <c r="EN29" i="65"/>
  <c r="EO29" i="65"/>
  <c r="EP29" i="65"/>
  <c r="EQ29" i="65"/>
  <c r="ER29" i="65"/>
  <c r="ES29" i="65"/>
  <c r="ET29" i="65"/>
  <c r="EU29" i="65"/>
  <c r="EV29" i="65"/>
  <c r="EW29" i="65"/>
  <c r="EX29" i="65"/>
  <c r="EY29" i="65"/>
  <c r="EZ29" i="65"/>
  <c r="FA29" i="65"/>
  <c r="FB29" i="65"/>
  <c r="FC29" i="65"/>
  <c r="FD29" i="65"/>
  <c r="FE29" i="65"/>
  <c r="FF29" i="65"/>
  <c r="FG29" i="65"/>
  <c r="FH29" i="65"/>
  <c r="FI29" i="65"/>
  <c r="FJ29" i="65"/>
  <c r="FK29" i="65"/>
  <c r="FL29" i="65"/>
  <c r="FM29" i="65"/>
  <c r="FN29" i="65"/>
  <c r="G29" i="64"/>
  <c r="H29" i="64"/>
  <c r="I29" i="64"/>
  <c r="J29" i="64"/>
  <c r="K29" i="64"/>
  <c r="L29" i="64"/>
  <c r="M29" i="64"/>
  <c r="N29" i="64"/>
  <c r="O29" i="64"/>
  <c r="P29" i="64"/>
  <c r="Q29" i="64"/>
  <c r="R29" i="64"/>
  <c r="S29" i="64"/>
  <c r="T29" i="64"/>
  <c r="U29" i="64"/>
  <c r="V29" i="64"/>
  <c r="W29" i="64"/>
  <c r="X29" i="64"/>
  <c r="Y29" i="64"/>
  <c r="Z29" i="64"/>
  <c r="AA29" i="64"/>
  <c r="AB29" i="64"/>
  <c r="AC29" i="64"/>
  <c r="AD29" i="64"/>
  <c r="AE29" i="64"/>
  <c r="AF29" i="64"/>
  <c r="AG29" i="64"/>
  <c r="AH29" i="64"/>
  <c r="AI29" i="64"/>
  <c r="AJ29" i="64"/>
  <c r="AK29" i="64"/>
  <c r="AL29" i="64"/>
  <c r="AM29" i="64"/>
  <c r="AN29" i="64"/>
  <c r="AO29" i="64"/>
  <c r="AP29" i="64"/>
  <c r="AQ29" i="64"/>
  <c r="AR29" i="64"/>
  <c r="AS29" i="64"/>
  <c r="AT29" i="64"/>
  <c r="AU29" i="64"/>
  <c r="AV29" i="64"/>
  <c r="AW29" i="64"/>
  <c r="AX29" i="64"/>
  <c r="AY29" i="64"/>
  <c r="AZ29" i="64"/>
  <c r="BA29" i="64"/>
  <c r="BB29" i="64"/>
  <c r="BC29" i="64"/>
  <c r="BD29" i="64"/>
  <c r="BE29" i="64"/>
  <c r="BF29" i="64"/>
  <c r="BG29" i="64"/>
  <c r="BH29" i="64"/>
  <c r="BI29" i="64"/>
  <c r="BJ29" i="64"/>
  <c r="BK29" i="64"/>
  <c r="BL29" i="64"/>
  <c r="BM29" i="64"/>
  <c r="BN29" i="64"/>
  <c r="BO29" i="64"/>
  <c r="BP29" i="64"/>
  <c r="BQ29" i="64"/>
  <c r="BR29" i="64"/>
  <c r="BS29" i="64"/>
  <c r="BT29" i="64"/>
  <c r="BU29" i="64"/>
  <c r="BV29" i="64"/>
  <c r="BW29" i="64"/>
  <c r="BX29" i="64"/>
  <c r="BY29" i="64"/>
  <c r="BZ29" i="64"/>
  <c r="CA29" i="64"/>
  <c r="CB29" i="64"/>
  <c r="CC29" i="64"/>
  <c r="CD29" i="64"/>
  <c r="CE29" i="64"/>
  <c r="CF29" i="64"/>
  <c r="CG29" i="64"/>
  <c r="CH29" i="64"/>
  <c r="CI29" i="64"/>
  <c r="CJ29" i="64"/>
  <c r="CK29" i="64"/>
  <c r="CL29" i="64"/>
  <c r="CM29" i="64"/>
  <c r="CN29" i="64"/>
  <c r="CO29" i="64"/>
  <c r="CP29" i="64"/>
  <c r="CQ29" i="64"/>
  <c r="CR29" i="64"/>
  <c r="CS29" i="64"/>
  <c r="CT29" i="64"/>
  <c r="CU29" i="64"/>
  <c r="CV29" i="64"/>
  <c r="CW29" i="64"/>
  <c r="CX29" i="64"/>
  <c r="CY29" i="64"/>
  <c r="CZ29" i="64"/>
  <c r="DA29" i="64"/>
  <c r="DB29" i="64"/>
  <c r="DC29" i="64"/>
  <c r="DD29" i="64"/>
  <c r="DE29" i="64"/>
  <c r="DF29" i="64"/>
  <c r="DG29" i="64"/>
  <c r="DH29" i="64"/>
  <c r="DI29" i="64"/>
  <c r="DJ29" i="64"/>
  <c r="DK29" i="64"/>
  <c r="DL29" i="64"/>
  <c r="DM29" i="64"/>
  <c r="DN29" i="64"/>
  <c r="DO29" i="64"/>
  <c r="DP29" i="64"/>
  <c r="DQ29" i="64"/>
  <c r="DR29" i="64"/>
  <c r="DS29" i="64"/>
  <c r="DT29" i="64"/>
  <c r="DU29" i="64"/>
  <c r="DV29" i="64"/>
  <c r="DW29" i="64"/>
  <c r="DX29" i="64"/>
  <c r="DY29" i="64"/>
  <c r="DZ29" i="64"/>
  <c r="EA29" i="64"/>
  <c r="EB29" i="64"/>
  <c r="EC29" i="64"/>
  <c r="ED29" i="64"/>
  <c r="EE29" i="64"/>
  <c r="EF29" i="64"/>
  <c r="EG29" i="64"/>
  <c r="EH29" i="64"/>
  <c r="EI29" i="64"/>
  <c r="EJ29" i="64"/>
  <c r="EK29" i="64"/>
  <c r="EL29" i="64"/>
  <c r="EM29" i="64"/>
  <c r="EN29" i="64"/>
  <c r="EO29" i="64"/>
  <c r="EP29" i="64"/>
  <c r="EQ29" i="64"/>
  <c r="ER29" i="64"/>
  <c r="ES29" i="64"/>
  <c r="ET29" i="64"/>
  <c r="EU29" i="64"/>
  <c r="EV29" i="64"/>
  <c r="EW29" i="64"/>
  <c r="EX29" i="64"/>
  <c r="EY29" i="64"/>
  <c r="EZ29" i="64"/>
  <c r="FA29" i="64"/>
  <c r="FB29" i="64"/>
  <c r="FC29" i="64"/>
  <c r="FD29" i="64"/>
  <c r="FE29" i="64"/>
  <c r="FF29" i="64"/>
  <c r="FG29" i="64"/>
  <c r="FH29" i="64"/>
  <c r="FI29" i="64"/>
  <c r="FJ29" i="64"/>
  <c r="FK29" i="64"/>
  <c r="FL29" i="64"/>
  <c r="FM29" i="64"/>
  <c r="FN29" i="64"/>
  <c r="G29" i="63"/>
  <c r="H29" i="63"/>
  <c r="I29" i="63"/>
  <c r="J29" i="63"/>
  <c r="K29" i="63"/>
  <c r="L29" i="63"/>
  <c r="M29" i="63"/>
  <c r="N29" i="63"/>
  <c r="O29" i="63"/>
  <c r="P29" i="63"/>
  <c r="Q29" i="63"/>
  <c r="R29" i="63"/>
  <c r="S29" i="63"/>
  <c r="T29" i="63"/>
  <c r="U29" i="63"/>
  <c r="V29" i="63"/>
  <c r="W29" i="63"/>
  <c r="X29" i="63"/>
  <c r="Y29" i="63"/>
  <c r="Z29" i="63"/>
  <c r="AA29" i="63"/>
  <c r="AB29" i="63"/>
  <c r="AC29" i="63"/>
  <c r="AD29" i="63"/>
  <c r="AE29" i="63"/>
  <c r="AF29" i="63"/>
  <c r="AG29" i="63"/>
  <c r="AH29" i="63"/>
  <c r="AI29" i="63"/>
  <c r="AJ29" i="63"/>
  <c r="AK29" i="63"/>
  <c r="AL29" i="63"/>
  <c r="AM29" i="63"/>
  <c r="AN29" i="63"/>
  <c r="AO29" i="63"/>
  <c r="AP29" i="63"/>
  <c r="AQ29" i="63"/>
  <c r="AR29" i="63"/>
  <c r="AS29" i="63"/>
  <c r="AT29" i="63"/>
  <c r="AU29" i="63"/>
  <c r="AV29" i="63"/>
  <c r="AW29" i="63"/>
  <c r="AX29" i="63"/>
  <c r="AY29" i="63"/>
  <c r="AZ29" i="63"/>
  <c r="BA29" i="63"/>
  <c r="BB29" i="63"/>
  <c r="BC29" i="63"/>
  <c r="BD29" i="63"/>
  <c r="BE29" i="63"/>
  <c r="BF29" i="63"/>
  <c r="BG29" i="63"/>
  <c r="BH29" i="63"/>
  <c r="BI29" i="63"/>
  <c r="BJ29" i="63"/>
  <c r="BK29" i="63"/>
  <c r="BL29" i="63"/>
  <c r="BM29" i="63"/>
  <c r="BN29" i="63"/>
  <c r="BO29" i="63"/>
  <c r="BP29" i="63"/>
  <c r="BQ29" i="63"/>
  <c r="BR29" i="63"/>
  <c r="BS29" i="63"/>
  <c r="BT29" i="63"/>
  <c r="BU29" i="63"/>
  <c r="BV29" i="63"/>
  <c r="BW29" i="63"/>
  <c r="BX29" i="63"/>
  <c r="BY29" i="63"/>
  <c r="BZ29" i="63"/>
  <c r="CA29" i="63"/>
  <c r="CB29" i="63"/>
  <c r="CC29" i="63"/>
  <c r="CD29" i="63"/>
  <c r="CE29" i="63"/>
  <c r="CF29" i="63"/>
  <c r="CG29" i="63"/>
  <c r="CH29" i="63"/>
  <c r="CI29" i="63"/>
  <c r="CJ29" i="63"/>
  <c r="CK29" i="63"/>
  <c r="CL29" i="63"/>
  <c r="CM29" i="63"/>
  <c r="CN29" i="63"/>
  <c r="CO29" i="63"/>
  <c r="CP29" i="63"/>
  <c r="CQ29" i="63"/>
  <c r="CR29" i="63"/>
  <c r="CS29" i="63"/>
  <c r="CT29" i="63"/>
  <c r="CU29" i="63"/>
  <c r="CV29" i="63"/>
  <c r="CW29" i="63"/>
  <c r="CX29" i="63"/>
  <c r="CY29" i="63"/>
  <c r="CZ29" i="63"/>
  <c r="DA29" i="63"/>
  <c r="DB29" i="63"/>
  <c r="DC29" i="63"/>
  <c r="DD29" i="63"/>
  <c r="DE29" i="63"/>
  <c r="DF29" i="63"/>
  <c r="DG29" i="63"/>
  <c r="DH29" i="63"/>
  <c r="DI29" i="63"/>
  <c r="DJ29" i="63"/>
  <c r="DK29" i="63"/>
  <c r="DL29" i="63"/>
  <c r="DM29" i="63"/>
  <c r="DN29" i="63"/>
  <c r="DO29" i="63"/>
  <c r="DP29" i="63"/>
  <c r="DQ29" i="63"/>
  <c r="DR29" i="63"/>
  <c r="DS29" i="63"/>
  <c r="DT29" i="63"/>
  <c r="DU29" i="63"/>
  <c r="DV29" i="63"/>
  <c r="DW29" i="63"/>
  <c r="DX29" i="63"/>
  <c r="DY29" i="63"/>
  <c r="DZ29" i="63"/>
  <c r="EA29" i="63"/>
  <c r="EB29" i="63"/>
  <c r="EC29" i="63"/>
  <c r="ED29" i="63"/>
  <c r="EE29" i="63"/>
  <c r="EF29" i="63"/>
  <c r="EG29" i="63"/>
  <c r="EH29" i="63"/>
  <c r="EI29" i="63"/>
  <c r="EJ29" i="63"/>
  <c r="EK29" i="63"/>
  <c r="EL29" i="63"/>
  <c r="EM29" i="63"/>
  <c r="EN29" i="63"/>
  <c r="EO29" i="63"/>
  <c r="EP29" i="63"/>
  <c r="EQ29" i="63"/>
  <c r="ER29" i="63"/>
  <c r="ES29" i="63"/>
  <c r="ET29" i="63"/>
  <c r="EU29" i="63"/>
  <c r="EV29" i="63"/>
  <c r="EW29" i="63"/>
  <c r="EX29" i="63"/>
  <c r="EY29" i="63"/>
  <c r="EZ29" i="63"/>
  <c r="FA29" i="63"/>
  <c r="FB29" i="63"/>
  <c r="FC29" i="63"/>
  <c r="FD29" i="63"/>
  <c r="FE29" i="63"/>
  <c r="FF29" i="63"/>
  <c r="FG29" i="63"/>
  <c r="FH29" i="63"/>
  <c r="FI29" i="63"/>
  <c r="FJ29" i="63"/>
  <c r="FK29" i="63"/>
  <c r="FL29" i="63"/>
  <c r="FM29" i="63"/>
  <c r="FN29" i="63"/>
  <c r="G29" i="62"/>
  <c r="H29" i="62"/>
  <c r="I29" i="62"/>
  <c r="J29" i="62"/>
  <c r="K29" i="62"/>
  <c r="L29" i="62"/>
  <c r="M29" i="62"/>
  <c r="N29" i="62"/>
  <c r="O29" i="62"/>
  <c r="P29" i="62"/>
  <c r="Q29" i="62"/>
  <c r="R29" i="62"/>
  <c r="S29" i="62"/>
  <c r="T29" i="62"/>
  <c r="U29" i="62"/>
  <c r="V29" i="62"/>
  <c r="W29" i="62"/>
  <c r="X29" i="62"/>
  <c r="Y29" i="62"/>
  <c r="Z29" i="62"/>
  <c r="AA29" i="62"/>
  <c r="AB29" i="62"/>
  <c r="AC29" i="62"/>
  <c r="AD29" i="62"/>
  <c r="AE29" i="62"/>
  <c r="AF29" i="62"/>
  <c r="AG29" i="62"/>
  <c r="AH29" i="62"/>
  <c r="AI29" i="62"/>
  <c r="AJ29" i="62"/>
  <c r="AK29" i="62"/>
  <c r="AL29" i="62"/>
  <c r="AM29" i="62"/>
  <c r="AN29" i="62"/>
  <c r="AO29" i="62"/>
  <c r="AP29" i="62"/>
  <c r="AQ29" i="62"/>
  <c r="AR29" i="62"/>
  <c r="AS29" i="62"/>
  <c r="AT29" i="62"/>
  <c r="AU29" i="62"/>
  <c r="AV29" i="62"/>
  <c r="AW29" i="62"/>
  <c r="AX29" i="62"/>
  <c r="AY29" i="62"/>
  <c r="AZ29" i="62"/>
  <c r="BA29" i="62"/>
  <c r="BB29" i="62"/>
  <c r="BC29" i="62"/>
  <c r="BD29" i="62"/>
  <c r="BE29" i="62"/>
  <c r="BF29" i="62"/>
  <c r="BG29" i="62"/>
  <c r="BH29" i="62"/>
  <c r="BI29" i="62"/>
  <c r="BJ29" i="62"/>
  <c r="BK29" i="62"/>
  <c r="BL29" i="62"/>
  <c r="BM29" i="62"/>
  <c r="BN29" i="62"/>
  <c r="BO29" i="62"/>
  <c r="BP29" i="62"/>
  <c r="BQ29" i="62"/>
  <c r="BR29" i="62"/>
  <c r="BS29" i="62"/>
  <c r="BT29" i="62"/>
  <c r="BU29" i="62"/>
  <c r="BV29" i="62"/>
  <c r="BW29" i="62"/>
  <c r="BX29" i="62"/>
  <c r="BY29" i="62"/>
  <c r="BZ29" i="62"/>
  <c r="CA29" i="62"/>
  <c r="CB29" i="62"/>
  <c r="CC29" i="62"/>
  <c r="CD29" i="62"/>
  <c r="CE29" i="62"/>
  <c r="CF29" i="62"/>
  <c r="CG29" i="62"/>
  <c r="CH29" i="62"/>
  <c r="CI29" i="62"/>
  <c r="CJ29" i="62"/>
  <c r="CK29" i="62"/>
  <c r="CL29" i="62"/>
  <c r="CM29" i="62"/>
  <c r="CN29" i="62"/>
  <c r="CO29" i="62"/>
  <c r="CP29" i="62"/>
  <c r="CQ29" i="62"/>
  <c r="CR29" i="62"/>
  <c r="CS29" i="62"/>
  <c r="CT29" i="62"/>
  <c r="CU29" i="62"/>
  <c r="CV29" i="62"/>
  <c r="CW29" i="62"/>
  <c r="CX29" i="62"/>
  <c r="CY29" i="62"/>
  <c r="CZ29" i="62"/>
  <c r="DA29" i="62"/>
  <c r="DB29" i="62"/>
  <c r="DC29" i="62"/>
  <c r="DD29" i="62"/>
  <c r="DE29" i="62"/>
  <c r="DF29" i="62"/>
  <c r="DG29" i="62"/>
  <c r="DH29" i="62"/>
  <c r="DI29" i="62"/>
  <c r="DJ29" i="62"/>
  <c r="DK29" i="62"/>
  <c r="DL29" i="62"/>
  <c r="DM29" i="62"/>
  <c r="DN29" i="62"/>
  <c r="DO29" i="62"/>
  <c r="DP29" i="62"/>
  <c r="DQ29" i="62"/>
  <c r="DR29" i="62"/>
  <c r="DS29" i="62"/>
  <c r="DT29" i="62"/>
  <c r="DU29" i="62"/>
  <c r="DV29" i="62"/>
  <c r="DW29" i="62"/>
  <c r="DX29" i="62"/>
  <c r="DY29" i="62"/>
  <c r="DZ29" i="62"/>
  <c r="EA29" i="62"/>
  <c r="EB29" i="62"/>
  <c r="EC29" i="62"/>
  <c r="ED29" i="62"/>
  <c r="EE29" i="62"/>
  <c r="EF29" i="62"/>
  <c r="EG29" i="62"/>
  <c r="EH29" i="62"/>
  <c r="EI29" i="62"/>
  <c r="EJ29" i="62"/>
  <c r="EK29" i="62"/>
  <c r="EL29" i="62"/>
  <c r="EM29" i="62"/>
  <c r="EN29" i="62"/>
  <c r="EO29" i="62"/>
  <c r="EP29" i="62"/>
  <c r="EQ29" i="62"/>
  <c r="ER29" i="62"/>
  <c r="ES29" i="62"/>
  <c r="ET29" i="62"/>
  <c r="EU29" i="62"/>
  <c r="EV29" i="62"/>
  <c r="EW29" i="62"/>
  <c r="EX29" i="62"/>
  <c r="EY29" i="62"/>
  <c r="EZ29" i="62"/>
  <c r="FA29" i="62"/>
  <c r="FB29" i="62"/>
  <c r="FC29" i="62"/>
  <c r="FD29" i="62"/>
  <c r="FE29" i="62"/>
  <c r="FF29" i="62"/>
  <c r="FG29" i="62"/>
  <c r="FH29" i="62"/>
  <c r="FI29" i="62"/>
  <c r="FJ29" i="62"/>
  <c r="FK29" i="62"/>
  <c r="FL29" i="62"/>
  <c r="FM29" i="62"/>
  <c r="FN29" i="62"/>
  <c r="G29" i="39"/>
  <c r="H29" i="39"/>
  <c r="I29" i="39"/>
  <c r="J29" i="39"/>
  <c r="K29" i="39"/>
  <c r="L29" i="39"/>
  <c r="M29" i="39"/>
  <c r="N29" i="39"/>
  <c r="O29" i="39"/>
  <c r="P29" i="39"/>
  <c r="Q29" i="39"/>
  <c r="R29" i="39"/>
  <c r="S29" i="39"/>
  <c r="T29" i="39"/>
  <c r="U29" i="39"/>
  <c r="V29" i="39"/>
  <c r="W29" i="39"/>
  <c r="X29" i="39"/>
  <c r="Y29" i="39"/>
  <c r="Z29" i="39"/>
  <c r="AA29" i="39"/>
  <c r="AB29" i="39"/>
  <c r="AC29" i="39"/>
  <c r="AD29" i="39"/>
  <c r="AE29" i="39"/>
  <c r="AF29" i="39"/>
  <c r="AG29" i="39"/>
  <c r="AH29" i="39"/>
  <c r="AI29" i="39"/>
  <c r="AJ29" i="39"/>
  <c r="AK29" i="39"/>
  <c r="AL29" i="39"/>
  <c r="AM29" i="39"/>
  <c r="AN29" i="39"/>
  <c r="AO29" i="39"/>
  <c r="AP29" i="39"/>
  <c r="AQ29" i="39"/>
  <c r="AR29" i="39"/>
  <c r="AS29" i="39"/>
  <c r="AT29" i="39"/>
  <c r="AU29" i="39"/>
  <c r="AV29" i="39"/>
  <c r="AW29" i="39"/>
  <c r="AX29" i="39"/>
  <c r="AY29" i="39"/>
  <c r="AZ29" i="39"/>
  <c r="BA29" i="39"/>
  <c r="BB29" i="39"/>
  <c r="BC29" i="39"/>
  <c r="BD29" i="39"/>
  <c r="BE29" i="39"/>
  <c r="BF29" i="39"/>
  <c r="BG29" i="39"/>
  <c r="BH29" i="39"/>
  <c r="BI29" i="39"/>
  <c r="BJ29" i="39"/>
  <c r="BK29" i="39"/>
  <c r="BL29" i="39"/>
  <c r="BM29" i="39"/>
  <c r="BN29" i="39"/>
  <c r="BO29" i="39"/>
  <c r="BP29" i="39"/>
  <c r="BQ29" i="39"/>
  <c r="BR29" i="39"/>
  <c r="BS29" i="39"/>
  <c r="BT29" i="39"/>
  <c r="BU29" i="39"/>
  <c r="BV29" i="39"/>
  <c r="BW29" i="39"/>
  <c r="BX29" i="39"/>
  <c r="BY29" i="39"/>
  <c r="BZ29" i="39"/>
  <c r="CA29" i="39"/>
  <c r="CB29" i="39"/>
  <c r="CC29" i="39"/>
  <c r="CD29" i="39"/>
  <c r="CE29" i="39"/>
  <c r="CF29" i="39"/>
  <c r="CG29" i="39"/>
  <c r="CH29" i="39"/>
  <c r="CI29" i="39"/>
  <c r="CJ29" i="39"/>
  <c r="CK29" i="39"/>
  <c r="CL29" i="39"/>
  <c r="CM29" i="39"/>
  <c r="CN29" i="39"/>
  <c r="CO29" i="39"/>
  <c r="CP29" i="39"/>
  <c r="CQ29" i="39"/>
  <c r="CR29" i="39"/>
  <c r="CS29" i="39"/>
  <c r="CT29" i="39"/>
  <c r="CU29" i="39"/>
  <c r="CV29" i="39"/>
  <c r="CW29" i="39"/>
  <c r="CX29" i="39"/>
  <c r="CY29" i="39"/>
  <c r="CZ29" i="39"/>
  <c r="DA29" i="39"/>
  <c r="DB29" i="39"/>
  <c r="DC29" i="39"/>
  <c r="DD29" i="39"/>
  <c r="DE29" i="39"/>
  <c r="DF29" i="39"/>
  <c r="DG29" i="39"/>
  <c r="DH29" i="39"/>
  <c r="DI29" i="39"/>
  <c r="DJ29" i="39"/>
  <c r="DK29" i="39"/>
  <c r="DL29" i="39"/>
  <c r="DM29" i="39"/>
  <c r="DN29" i="39"/>
  <c r="DO29" i="39"/>
  <c r="DP29" i="39"/>
  <c r="DQ29" i="39"/>
  <c r="DR29" i="39"/>
  <c r="DS29" i="39"/>
  <c r="DT29" i="39"/>
  <c r="DU29" i="39"/>
  <c r="DV29" i="39"/>
  <c r="DW29" i="39"/>
  <c r="DX29" i="39"/>
  <c r="DY29" i="39"/>
  <c r="DZ29" i="39"/>
  <c r="EA29" i="39"/>
  <c r="EB29" i="39"/>
  <c r="EC29" i="39"/>
  <c r="ED29" i="39"/>
  <c r="EE29" i="39"/>
  <c r="EF29" i="39"/>
  <c r="EG29" i="39"/>
  <c r="EH29" i="39"/>
  <c r="EI29" i="39"/>
  <c r="EJ29" i="39"/>
  <c r="EK29" i="39"/>
  <c r="EL29" i="39"/>
  <c r="EM29" i="39"/>
  <c r="EN29" i="39"/>
  <c r="EO29" i="39"/>
  <c r="EP29" i="39"/>
  <c r="EQ29" i="39"/>
  <c r="ER29" i="39"/>
  <c r="ES29" i="39"/>
  <c r="ET29" i="39"/>
  <c r="EU29" i="39"/>
  <c r="EV29" i="39"/>
  <c r="EW29" i="39"/>
  <c r="EX29" i="39"/>
  <c r="EY29" i="39"/>
  <c r="EZ29" i="39"/>
  <c r="FA29" i="39"/>
  <c r="FB29" i="39"/>
  <c r="FC29" i="39"/>
  <c r="FD29" i="39"/>
  <c r="FE29" i="39"/>
  <c r="FF29" i="39"/>
  <c r="FG29" i="39"/>
  <c r="FH29" i="39"/>
  <c r="FI29" i="39"/>
  <c r="FJ29" i="39"/>
  <c r="FK29" i="39"/>
  <c r="FL29" i="39"/>
  <c r="FM29" i="39"/>
  <c r="FN29" i="39"/>
  <c r="F184" i="41" l="1"/>
  <c r="F183" i="41"/>
  <c r="F182" i="41"/>
  <c r="F181" i="41"/>
  <c r="E184" i="41"/>
  <c r="E183" i="41"/>
  <c r="E182" i="41"/>
  <c r="E181" i="41"/>
  <c r="E180" i="41"/>
  <c r="C180" i="41"/>
  <c r="D184" i="41"/>
  <c r="D183" i="41"/>
  <c r="D182" i="41"/>
  <c r="D181" i="41"/>
  <c r="D180" i="41"/>
  <c r="C184" i="41"/>
  <c r="C183" i="41"/>
  <c r="C182" i="41"/>
  <c r="C181" i="41"/>
  <c r="M9" i="41"/>
  <c r="L9" i="41"/>
  <c r="K9" i="41"/>
  <c r="J9" i="41"/>
  <c r="I9" i="41"/>
  <c r="H9" i="41"/>
  <c r="G9" i="41"/>
  <c r="F9" i="41"/>
  <c r="E9" i="41"/>
  <c r="FN44" i="70"/>
  <c r="M176" i="41" s="1"/>
  <c r="FM44" i="70"/>
  <c r="M175" i="41" s="1"/>
  <c r="FL44" i="70"/>
  <c r="M174" i="41" s="1"/>
  <c r="FK44" i="70"/>
  <c r="M173" i="41" s="1"/>
  <c r="FJ44" i="70"/>
  <c r="M172" i="41" s="1"/>
  <c r="FI44" i="70"/>
  <c r="M171" i="41" s="1"/>
  <c r="FH44" i="70"/>
  <c r="M170" i="41" s="1"/>
  <c r="FG44" i="70"/>
  <c r="M169" i="41" s="1"/>
  <c r="FF44" i="70"/>
  <c r="M168" i="41" s="1"/>
  <c r="FE44" i="70"/>
  <c r="M167" i="41" s="1"/>
  <c r="FD44" i="70"/>
  <c r="M166" i="41" s="1"/>
  <c r="FC44" i="70"/>
  <c r="M165" i="41" s="1"/>
  <c r="FB44" i="70"/>
  <c r="M164" i="41" s="1"/>
  <c r="FA44" i="70"/>
  <c r="M163" i="41" s="1"/>
  <c r="EZ44" i="70"/>
  <c r="M162" i="41" s="1"/>
  <c r="EY44" i="70"/>
  <c r="M161" i="41" s="1"/>
  <c r="EX44" i="70"/>
  <c r="M160" i="41" s="1"/>
  <c r="EW44" i="70"/>
  <c r="M159" i="41" s="1"/>
  <c r="EV44" i="70"/>
  <c r="M158" i="41" s="1"/>
  <c r="EU44" i="70"/>
  <c r="M157" i="41" s="1"/>
  <c r="ET44" i="70"/>
  <c r="M156" i="41" s="1"/>
  <c r="ES44" i="70"/>
  <c r="M155" i="41" s="1"/>
  <c r="ER44" i="70"/>
  <c r="M154" i="41" s="1"/>
  <c r="EQ44" i="70"/>
  <c r="M153" i="41" s="1"/>
  <c r="EP44" i="70"/>
  <c r="M152" i="41" s="1"/>
  <c r="EO44" i="70"/>
  <c r="M151" i="41" s="1"/>
  <c r="EN44" i="70"/>
  <c r="M150" i="41" s="1"/>
  <c r="EM44" i="70"/>
  <c r="M149" i="41" s="1"/>
  <c r="EL44" i="70"/>
  <c r="M148" i="41" s="1"/>
  <c r="EK44" i="70"/>
  <c r="M147" i="41" s="1"/>
  <c r="EJ44" i="70"/>
  <c r="M146" i="41" s="1"/>
  <c r="EI44" i="70"/>
  <c r="M145" i="41" s="1"/>
  <c r="EH44" i="70"/>
  <c r="M144" i="41" s="1"/>
  <c r="EG44" i="70"/>
  <c r="M143" i="41" s="1"/>
  <c r="EF44" i="70"/>
  <c r="M142" i="41" s="1"/>
  <c r="EE44" i="70"/>
  <c r="M141" i="41" s="1"/>
  <c r="ED44" i="70"/>
  <c r="M140" i="41" s="1"/>
  <c r="EC44" i="70"/>
  <c r="M139" i="41" s="1"/>
  <c r="EB44" i="70"/>
  <c r="M138" i="41" s="1"/>
  <c r="EA44" i="70"/>
  <c r="M137" i="41" s="1"/>
  <c r="DZ44" i="70"/>
  <c r="M136" i="41" s="1"/>
  <c r="DY44" i="70"/>
  <c r="M135" i="41" s="1"/>
  <c r="DX44" i="70"/>
  <c r="M134" i="41" s="1"/>
  <c r="DW44" i="70"/>
  <c r="M133" i="41" s="1"/>
  <c r="DV44" i="70"/>
  <c r="M132" i="41" s="1"/>
  <c r="DU44" i="70"/>
  <c r="M131" i="41" s="1"/>
  <c r="DT44" i="70"/>
  <c r="M130" i="41" s="1"/>
  <c r="DS44" i="70"/>
  <c r="M129" i="41" s="1"/>
  <c r="DR44" i="70"/>
  <c r="M128" i="41" s="1"/>
  <c r="DQ44" i="70"/>
  <c r="M127" i="41" s="1"/>
  <c r="DP44" i="70"/>
  <c r="M126" i="41" s="1"/>
  <c r="DO44" i="70"/>
  <c r="M125" i="41" s="1"/>
  <c r="DN44" i="70"/>
  <c r="M124" i="41" s="1"/>
  <c r="DM44" i="70"/>
  <c r="M123" i="41" s="1"/>
  <c r="DL44" i="70"/>
  <c r="M122" i="41" s="1"/>
  <c r="DK44" i="70"/>
  <c r="M121" i="41" s="1"/>
  <c r="DJ44" i="70"/>
  <c r="M120" i="41" s="1"/>
  <c r="DI44" i="70"/>
  <c r="M119" i="41" s="1"/>
  <c r="DH44" i="70"/>
  <c r="M118" i="41" s="1"/>
  <c r="DG44" i="70"/>
  <c r="M117" i="41" s="1"/>
  <c r="DF44" i="70"/>
  <c r="M116" i="41" s="1"/>
  <c r="DE44" i="70"/>
  <c r="M115" i="41" s="1"/>
  <c r="DD44" i="70"/>
  <c r="M114" i="41" s="1"/>
  <c r="DC44" i="70"/>
  <c r="M113" i="41" s="1"/>
  <c r="DB44" i="70"/>
  <c r="M112" i="41" s="1"/>
  <c r="DA44" i="70"/>
  <c r="M111" i="41" s="1"/>
  <c r="CZ44" i="70"/>
  <c r="M110" i="41" s="1"/>
  <c r="CY44" i="70"/>
  <c r="M109" i="41" s="1"/>
  <c r="CX44" i="70"/>
  <c r="M108" i="41" s="1"/>
  <c r="CW44" i="70"/>
  <c r="M107" i="41" s="1"/>
  <c r="CV44" i="70"/>
  <c r="M106" i="41" s="1"/>
  <c r="CU44" i="70"/>
  <c r="M105" i="41" s="1"/>
  <c r="CT44" i="70"/>
  <c r="M104" i="41" s="1"/>
  <c r="CS44" i="70"/>
  <c r="M103" i="41" s="1"/>
  <c r="CR44" i="70"/>
  <c r="M102" i="41" s="1"/>
  <c r="CQ44" i="70"/>
  <c r="M101" i="41" s="1"/>
  <c r="CP44" i="70"/>
  <c r="M100" i="41" s="1"/>
  <c r="CO44" i="70"/>
  <c r="M99" i="41" s="1"/>
  <c r="CN44" i="70"/>
  <c r="M98" i="41" s="1"/>
  <c r="CM44" i="70"/>
  <c r="M97" i="41" s="1"/>
  <c r="CL44" i="70"/>
  <c r="M96" i="41" s="1"/>
  <c r="CK44" i="70"/>
  <c r="M95" i="41" s="1"/>
  <c r="CJ44" i="70"/>
  <c r="M94" i="41" s="1"/>
  <c r="CI44" i="70"/>
  <c r="M93" i="41" s="1"/>
  <c r="CH44" i="70"/>
  <c r="M92" i="41" s="1"/>
  <c r="CG44" i="70"/>
  <c r="M91" i="41" s="1"/>
  <c r="CF44" i="70"/>
  <c r="M90" i="41" s="1"/>
  <c r="CE44" i="70"/>
  <c r="M89" i="41" s="1"/>
  <c r="CD44" i="70"/>
  <c r="M88" i="41" s="1"/>
  <c r="CC44" i="70"/>
  <c r="M87" i="41" s="1"/>
  <c r="CB44" i="70"/>
  <c r="M86" i="41" s="1"/>
  <c r="CA44" i="70"/>
  <c r="M85" i="41" s="1"/>
  <c r="BZ44" i="70"/>
  <c r="M84" i="41" s="1"/>
  <c r="BY44" i="70"/>
  <c r="M83" i="41" s="1"/>
  <c r="BX44" i="70"/>
  <c r="M82" i="41" s="1"/>
  <c r="BW44" i="70"/>
  <c r="M81" i="41" s="1"/>
  <c r="BV44" i="70"/>
  <c r="M80" i="41" s="1"/>
  <c r="BU44" i="70"/>
  <c r="M79" i="41" s="1"/>
  <c r="BT44" i="70"/>
  <c r="M78" i="41" s="1"/>
  <c r="BS44" i="70"/>
  <c r="M77" i="41" s="1"/>
  <c r="BR44" i="70"/>
  <c r="M76" i="41" s="1"/>
  <c r="BQ44" i="70"/>
  <c r="M75" i="41" s="1"/>
  <c r="BP44" i="70"/>
  <c r="M74" i="41" s="1"/>
  <c r="BO44" i="70"/>
  <c r="M73" i="41" s="1"/>
  <c r="BN44" i="70"/>
  <c r="M72" i="41" s="1"/>
  <c r="BM44" i="70"/>
  <c r="M71" i="41" s="1"/>
  <c r="BL44" i="70"/>
  <c r="M70" i="41" s="1"/>
  <c r="BK44" i="70"/>
  <c r="M69" i="41" s="1"/>
  <c r="BJ44" i="70"/>
  <c r="M68" i="41" s="1"/>
  <c r="BI44" i="70"/>
  <c r="M67" i="41" s="1"/>
  <c r="BH44" i="70"/>
  <c r="M66" i="41" s="1"/>
  <c r="BG44" i="70"/>
  <c r="M65" i="41" s="1"/>
  <c r="BF44" i="70"/>
  <c r="M64" i="41" s="1"/>
  <c r="BE44" i="70"/>
  <c r="M63" i="41" s="1"/>
  <c r="BD44" i="70"/>
  <c r="M62" i="41" s="1"/>
  <c r="BC44" i="70"/>
  <c r="M61" i="41" s="1"/>
  <c r="BB44" i="70"/>
  <c r="M60" i="41" s="1"/>
  <c r="BA44" i="70"/>
  <c r="M59" i="41" s="1"/>
  <c r="AZ44" i="70"/>
  <c r="M58" i="41" s="1"/>
  <c r="AY44" i="70"/>
  <c r="M57" i="41" s="1"/>
  <c r="AX44" i="70"/>
  <c r="M56" i="41" s="1"/>
  <c r="AW44" i="70"/>
  <c r="M55" i="41" s="1"/>
  <c r="AV44" i="70"/>
  <c r="M54" i="41" s="1"/>
  <c r="AU44" i="70"/>
  <c r="M53" i="41" s="1"/>
  <c r="AT44" i="70"/>
  <c r="M52" i="41" s="1"/>
  <c r="AS44" i="70"/>
  <c r="M51" i="41" s="1"/>
  <c r="AR44" i="70"/>
  <c r="M50" i="41" s="1"/>
  <c r="AQ44" i="70"/>
  <c r="M49" i="41" s="1"/>
  <c r="AP44" i="70"/>
  <c r="M48" i="41" s="1"/>
  <c r="AO44" i="70"/>
  <c r="M47" i="41" s="1"/>
  <c r="AN44" i="70"/>
  <c r="M46" i="41" s="1"/>
  <c r="AM44" i="70"/>
  <c r="M45" i="41" s="1"/>
  <c r="AL44" i="70"/>
  <c r="M44" i="41" s="1"/>
  <c r="AK44" i="70"/>
  <c r="M43" i="41" s="1"/>
  <c r="AJ44" i="70"/>
  <c r="M42" i="41" s="1"/>
  <c r="AI44" i="70"/>
  <c r="M41" i="41" s="1"/>
  <c r="AH44" i="70"/>
  <c r="M40" i="41" s="1"/>
  <c r="AG44" i="70"/>
  <c r="M39" i="41" s="1"/>
  <c r="AF44" i="70"/>
  <c r="M38" i="41" s="1"/>
  <c r="AE44" i="70"/>
  <c r="M37" i="41" s="1"/>
  <c r="AD44" i="70"/>
  <c r="M36" i="41" s="1"/>
  <c r="AC44" i="70"/>
  <c r="M35" i="41" s="1"/>
  <c r="AB44" i="70"/>
  <c r="M34" i="41" s="1"/>
  <c r="AA44" i="70"/>
  <c r="M33" i="41" s="1"/>
  <c r="Z44" i="70"/>
  <c r="M32" i="41" s="1"/>
  <c r="Y44" i="70"/>
  <c r="M31" i="41" s="1"/>
  <c r="X44" i="70"/>
  <c r="M30" i="41" s="1"/>
  <c r="W44" i="70"/>
  <c r="M29" i="41" s="1"/>
  <c r="V44" i="70"/>
  <c r="M28" i="41" s="1"/>
  <c r="U44" i="70"/>
  <c r="M27" i="41" s="1"/>
  <c r="T44" i="70"/>
  <c r="M26" i="41" s="1"/>
  <c r="S44" i="70"/>
  <c r="M25" i="41" s="1"/>
  <c r="R44" i="70"/>
  <c r="M24" i="41" s="1"/>
  <c r="Q44" i="70"/>
  <c r="M23" i="41" s="1"/>
  <c r="P44" i="70"/>
  <c r="M22" i="41" s="1"/>
  <c r="O44" i="70"/>
  <c r="M21" i="41" s="1"/>
  <c r="N44" i="70"/>
  <c r="M20" i="41" s="1"/>
  <c r="M44" i="70"/>
  <c r="M19" i="41" s="1"/>
  <c r="L44" i="70"/>
  <c r="M18" i="41" s="1"/>
  <c r="K44" i="70"/>
  <c r="M17" i="41" s="1"/>
  <c r="J44" i="70"/>
  <c r="M16" i="41" s="1"/>
  <c r="I44" i="70"/>
  <c r="M15" i="41" s="1"/>
  <c r="H44" i="70"/>
  <c r="M14" i="41" s="1"/>
  <c r="F44" i="70"/>
  <c r="M12" i="41" s="1"/>
  <c r="E44" i="70"/>
  <c r="D44" i="70"/>
  <c r="C44" i="70"/>
  <c r="F29" i="70"/>
  <c r="D29" i="70"/>
  <c r="B29" i="70"/>
  <c r="E29" i="70" s="1"/>
  <c r="M10" i="41" s="1"/>
  <c r="LW28" i="70"/>
  <c r="LV28" i="70"/>
  <c r="LU28" i="70"/>
  <c r="LT28" i="70"/>
  <c r="LS28" i="70"/>
  <c r="LR28" i="70"/>
  <c r="LQ28" i="70"/>
  <c r="LP28" i="70"/>
  <c r="LO28" i="70"/>
  <c r="LN28" i="70"/>
  <c r="LM28" i="70"/>
  <c r="LL28" i="70"/>
  <c r="LK28" i="70"/>
  <c r="LJ28" i="70"/>
  <c r="LI28" i="70"/>
  <c r="LH28" i="70"/>
  <c r="LG28" i="70"/>
  <c r="LF28" i="70"/>
  <c r="LE28" i="70"/>
  <c r="LD28" i="70"/>
  <c r="LC28" i="70"/>
  <c r="LB28" i="70"/>
  <c r="LA28" i="70"/>
  <c r="KZ28" i="70"/>
  <c r="KY28" i="70"/>
  <c r="KX28" i="70"/>
  <c r="KW28" i="70"/>
  <c r="KV28" i="70"/>
  <c r="KU28" i="70"/>
  <c r="KT28" i="70"/>
  <c r="KS28" i="70"/>
  <c r="KR28" i="70"/>
  <c r="KQ28" i="70"/>
  <c r="KP28" i="70"/>
  <c r="KO28" i="70"/>
  <c r="KN28" i="70"/>
  <c r="KM28" i="70"/>
  <c r="KL28" i="70"/>
  <c r="KK28" i="70"/>
  <c r="KJ28" i="70"/>
  <c r="KI28" i="70"/>
  <c r="KH28" i="70"/>
  <c r="KG28" i="70"/>
  <c r="KF28" i="70"/>
  <c r="KE28" i="70"/>
  <c r="KD28" i="70"/>
  <c r="KC28" i="70"/>
  <c r="KB28" i="70"/>
  <c r="KA28" i="70"/>
  <c r="JZ28" i="70"/>
  <c r="JY28" i="70"/>
  <c r="JX28" i="70"/>
  <c r="JW28" i="70"/>
  <c r="JV28" i="70"/>
  <c r="JU28" i="70"/>
  <c r="JT28" i="70"/>
  <c r="JS28" i="70"/>
  <c r="JR28" i="70"/>
  <c r="JQ28" i="70"/>
  <c r="JP28" i="70"/>
  <c r="JO28" i="70"/>
  <c r="JN28" i="70"/>
  <c r="JM28" i="70"/>
  <c r="JL28" i="70"/>
  <c r="JK28" i="70"/>
  <c r="JJ28" i="70"/>
  <c r="JI28" i="70"/>
  <c r="JH28" i="70"/>
  <c r="JG28" i="70"/>
  <c r="JF28" i="70"/>
  <c r="JE28" i="70"/>
  <c r="JD28" i="70"/>
  <c r="JC28" i="70"/>
  <c r="JB28" i="70"/>
  <c r="JA28" i="70"/>
  <c r="IZ28" i="70"/>
  <c r="IY28" i="70"/>
  <c r="IX28" i="70"/>
  <c r="IW28" i="70"/>
  <c r="IV28" i="70"/>
  <c r="IU28" i="70"/>
  <c r="IT28" i="70"/>
  <c r="IS28" i="70"/>
  <c r="IR28" i="70"/>
  <c r="IQ28" i="70"/>
  <c r="IP28" i="70"/>
  <c r="IO28" i="70"/>
  <c r="IN28" i="70"/>
  <c r="IM28" i="70"/>
  <c r="IL28" i="70"/>
  <c r="IK28" i="70"/>
  <c r="IJ28" i="70"/>
  <c r="II28" i="70"/>
  <c r="IH28" i="70"/>
  <c r="IG28" i="70"/>
  <c r="IF28" i="70"/>
  <c r="IE28" i="70"/>
  <c r="ID28" i="70"/>
  <c r="IC28" i="70"/>
  <c r="IB28" i="70"/>
  <c r="IA28" i="70"/>
  <c r="HZ28" i="70"/>
  <c r="HY28" i="70"/>
  <c r="HX28" i="70"/>
  <c r="HW28" i="70"/>
  <c r="HV28" i="70"/>
  <c r="HU28" i="70"/>
  <c r="HT28" i="70"/>
  <c r="HS28" i="70"/>
  <c r="HR28" i="70"/>
  <c r="HQ28" i="70"/>
  <c r="HP28" i="70"/>
  <c r="HO28" i="70"/>
  <c r="HN28" i="70"/>
  <c r="HM28" i="70"/>
  <c r="HL28" i="70"/>
  <c r="HK28" i="70"/>
  <c r="HJ28" i="70"/>
  <c r="HI28" i="70"/>
  <c r="HH28" i="70"/>
  <c r="HG28" i="70"/>
  <c r="HF28" i="70"/>
  <c r="HE28" i="70"/>
  <c r="HD28" i="70"/>
  <c r="HC28" i="70"/>
  <c r="HB28" i="70"/>
  <c r="HA28" i="70"/>
  <c r="GZ28" i="70"/>
  <c r="GY28" i="70"/>
  <c r="GX28" i="70"/>
  <c r="GW28" i="70"/>
  <c r="GV28" i="70"/>
  <c r="GU28" i="70"/>
  <c r="GT28" i="70"/>
  <c r="GS28" i="70"/>
  <c r="GR28" i="70"/>
  <c r="GQ28" i="70"/>
  <c r="GP28" i="70"/>
  <c r="GO28" i="70"/>
  <c r="GN28" i="70"/>
  <c r="GM28" i="70"/>
  <c r="GL28" i="70"/>
  <c r="GK28" i="70"/>
  <c r="GJ28" i="70"/>
  <c r="GI28" i="70"/>
  <c r="GH28" i="70"/>
  <c r="GG28" i="70"/>
  <c r="GF28" i="70"/>
  <c r="GE28" i="70"/>
  <c r="GD28" i="70"/>
  <c r="GC28" i="70"/>
  <c r="GB28" i="70"/>
  <c r="GA28" i="70"/>
  <c r="FZ28" i="70"/>
  <c r="FY28" i="70"/>
  <c r="FX28" i="70"/>
  <c r="FW28" i="70"/>
  <c r="FV28" i="70"/>
  <c r="FU28" i="70"/>
  <c r="FT28" i="70"/>
  <c r="FS28" i="70"/>
  <c r="FR28" i="70"/>
  <c r="FQ28" i="70"/>
  <c r="FP28" i="70"/>
  <c r="FO28" i="70"/>
  <c r="LW27" i="70"/>
  <c r="LV27" i="70"/>
  <c r="LU27" i="70"/>
  <c r="LT27" i="70"/>
  <c r="LS27" i="70"/>
  <c r="LR27" i="70"/>
  <c r="LQ27" i="70"/>
  <c r="LP27" i="70"/>
  <c r="LO27" i="70"/>
  <c r="LN27" i="70"/>
  <c r="LM27" i="70"/>
  <c r="LL27" i="70"/>
  <c r="LK27" i="70"/>
  <c r="LJ27" i="70"/>
  <c r="LI27" i="70"/>
  <c r="LH27" i="70"/>
  <c r="LG27" i="70"/>
  <c r="LF27" i="70"/>
  <c r="LE27" i="70"/>
  <c r="LD27" i="70"/>
  <c r="LC27" i="70"/>
  <c r="LB27" i="70"/>
  <c r="LA27" i="70"/>
  <c r="KZ27" i="70"/>
  <c r="KY27" i="70"/>
  <c r="KX27" i="70"/>
  <c r="KW27" i="70"/>
  <c r="KV27" i="70"/>
  <c r="KU27" i="70"/>
  <c r="KT27" i="70"/>
  <c r="KS27" i="70"/>
  <c r="KR27" i="70"/>
  <c r="KQ27" i="70"/>
  <c r="KP27" i="70"/>
  <c r="KO27" i="70"/>
  <c r="KN27" i="70"/>
  <c r="KM27" i="70"/>
  <c r="KL27" i="70"/>
  <c r="KK27" i="70"/>
  <c r="KJ27" i="70"/>
  <c r="KI27" i="70"/>
  <c r="KH27" i="70"/>
  <c r="KG27" i="70"/>
  <c r="KF27" i="70"/>
  <c r="KE27" i="70"/>
  <c r="KD27" i="70"/>
  <c r="KC27" i="70"/>
  <c r="KB27" i="70"/>
  <c r="KA27" i="70"/>
  <c r="JZ27" i="70"/>
  <c r="JY27" i="70"/>
  <c r="JX27" i="70"/>
  <c r="JW27" i="70"/>
  <c r="JV27" i="70"/>
  <c r="JU27" i="70"/>
  <c r="JT27" i="70"/>
  <c r="JS27" i="70"/>
  <c r="JR27" i="70"/>
  <c r="JQ27" i="70"/>
  <c r="JP27" i="70"/>
  <c r="JO27" i="70"/>
  <c r="JN27" i="70"/>
  <c r="JM27" i="70"/>
  <c r="JL27" i="70"/>
  <c r="JK27" i="70"/>
  <c r="JJ27" i="70"/>
  <c r="JI27" i="70"/>
  <c r="JH27" i="70"/>
  <c r="JG27" i="70"/>
  <c r="JF27" i="70"/>
  <c r="JE27" i="70"/>
  <c r="JD27" i="70"/>
  <c r="JC27" i="70"/>
  <c r="JB27" i="70"/>
  <c r="JA27" i="70"/>
  <c r="IZ27" i="70"/>
  <c r="IY27" i="70"/>
  <c r="IX27" i="70"/>
  <c r="IW27" i="70"/>
  <c r="IV27" i="70"/>
  <c r="IU27" i="70"/>
  <c r="IT27" i="70"/>
  <c r="IS27" i="70"/>
  <c r="IR27" i="70"/>
  <c r="IQ27" i="70"/>
  <c r="IP27" i="70"/>
  <c r="IO27" i="70"/>
  <c r="IN27" i="70"/>
  <c r="IM27" i="70"/>
  <c r="IL27" i="70"/>
  <c r="IK27" i="70"/>
  <c r="IJ27" i="70"/>
  <c r="II27" i="70"/>
  <c r="IH27" i="70"/>
  <c r="IG27" i="70"/>
  <c r="IF27" i="70"/>
  <c r="IE27" i="70"/>
  <c r="ID27" i="70"/>
  <c r="IC27" i="70"/>
  <c r="IB27" i="70"/>
  <c r="IA27" i="70"/>
  <c r="HZ27" i="70"/>
  <c r="HY27" i="70"/>
  <c r="HX27" i="70"/>
  <c r="HW27" i="70"/>
  <c r="HV27" i="70"/>
  <c r="HU27" i="70"/>
  <c r="HT27" i="70"/>
  <c r="HS27" i="70"/>
  <c r="HR27" i="70"/>
  <c r="HQ27" i="70"/>
  <c r="HP27" i="70"/>
  <c r="HO27" i="70"/>
  <c r="HN27" i="70"/>
  <c r="HM27" i="70"/>
  <c r="HL27" i="70"/>
  <c r="HK27" i="70"/>
  <c r="HJ27" i="70"/>
  <c r="HI27" i="70"/>
  <c r="HH27" i="70"/>
  <c r="HG27" i="70"/>
  <c r="HF27" i="70"/>
  <c r="HE27" i="70"/>
  <c r="HD27" i="70"/>
  <c r="HC27" i="70"/>
  <c r="HB27" i="70"/>
  <c r="HA27" i="70"/>
  <c r="GZ27" i="70"/>
  <c r="GY27" i="70"/>
  <c r="GX27" i="70"/>
  <c r="GW27" i="70"/>
  <c r="GV27" i="70"/>
  <c r="GU27" i="70"/>
  <c r="GT27" i="70"/>
  <c r="GS27" i="70"/>
  <c r="GR27" i="70"/>
  <c r="GQ27" i="70"/>
  <c r="GP27" i="70"/>
  <c r="GO27" i="70"/>
  <c r="GN27" i="70"/>
  <c r="GM27" i="70"/>
  <c r="GL27" i="70"/>
  <c r="GK27" i="70"/>
  <c r="GJ27" i="70"/>
  <c r="GI27" i="70"/>
  <c r="GH27" i="70"/>
  <c r="GG27" i="70"/>
  <c r="GF27" i="70"/>
  <c r="GE27" i="70"/>
  <c r="GD27" i="70"/>
  <c r="GC27" i="70"/>
  <c r="GB27" i="70"/>
  <c r="GA27" i="70"/>
  <c r="FZ27" i="70"/>
  <c r="FY27" i="70"/>
  <c r="FX27" i="70"/>
  <c r="FW27" i="70"/>
  <c r="FV27" i="70"/>
  <c r="FU27" i="70"/>
  <c r="FT27" i="70"/>
  <c r="FS27" i="70"/>
  <c r="FR27" i="70"/>
  <c r="FQ27" i="70"/>
  <c r="FP27" i="70"/>
  <c r="FO27" i="70"/>
  <c r="LW26" i="70"/>
  <c r="LV26" i="70"/>
  <c r="LU26" i="70"/>
  <c r="LT26" i="70"/>
  <c r="LS26" i="70"/>
  <c r="LR26" i="70"/>
  <c r="LQ26" i="70"/>
  <c r="LP26" i="70"/>
  <c r="LO26" i="70"/>
  <c r="LN26" i="70"/>
  <c r="LM26" i="70"/>
  <c r="LL26" i="70"/>
  <c r="LK26" i="70"/>
  <c r="LJ26" i="70"/>
  <c r="LI26" i="70"/>
  <c r="LH26" i="70"/>
  <c r="LG26" i="70"/>
  <c r="LF26" i="70"/>
  <c r="LE26" i="70"/>
  <c r="LD26" i="70"/>
  <c r="LC26" i="70"/>
  <c r="LB26" i="70"/>
  <c r="LA26" i="70"/>
  <c r="KZ26" i="70"/>
  <c r="KY26" i="70"/>
  <c r="KX26" i="70"/>
  <c r="KW26" i="70"/>
  <c r="KV26" i="70"/>
  <c r="KU26" i="70"/>
  <c r="KT26" i="70"/>
  <c r="KS26" i="70"/>
  <c r="KR26" i="70"/>
  <c r="KQ26" i="70"/>
  <c r="KP26" i="70"/>
  <c r="KO26" i="70"/>
  <c r="KN26" i="70"/>
  <c r="KM26" i="70"/>
  <c r="KL26" i="70"/>
  <c r="KK26" i="70"/>
  <c r="KJ26" i="70"/>
  <c r="KI26" i="70"/>
  <c r="KH26" i="70"/>
  <c r="KG26" i="70"/>
  <c r="KF26" i="70"/>
  <c r="KE26" i="70"/>
  <c r="KD26" i="70"/>
  <c r="KC26" i="70"/>
  <c r="KB26" i="70"/>
  <c r="KA26" i="70"/>
  <c r="JZ26" i="70"/>
  <c r="JY26" i="70"/>
  <c r="JX26" i="70"/>
  <c r="JW26" i="70"/>
  <c r="JV26" i="70"/>
  <c r="JU26" i="70"/>
  <c r="JT26" i="70"/>
  <c r="JS26" i="70"/>
  <c r="JR26" i="70"/>
  <c r="JQ26" i="70"/>
  <c r="JP26" i="70"/>
  <c r="JO26" i="70"/>
  <c r="JN26" i="70"/>
  <c r="JM26" i="70"/>
  <c r="JL26" i="70"/>
  <c r="JK26" i="70"/>
  <c r="JJ26" i="70"/>
  <c r="JI26" i="70"/>
  <c r="JH26" i="70"/>
  <c r="JG26" i="70"/>
  <c r="JF26" i="70"/>
  <c r="JE26" i="70"/>
  <c r="JD26" i="70"/>
  <c r="JC26" i="70"/>
  <c r="JB26" i="70"/>
  <c r="JA26" i="70"/>
  <c r="IZ26" i="70"/>
  <c r="IY26" i="70"/>
  <c r="IX26" i="70"/>
  <c r="IW26" i="70"/>
  <c r="IV26" i="70"/>
  <c r="IU26" i="70"/>
  <c r="IT26" i="70"/>
  <c r="IS26" i="70"/>
  <c r="IR26" i="70"/>
  <c r="IQ26" i="70"/>
  <c r="IP26" i="70"/>
  <c r="IO26" i="70"/>
  <c r="IN26" i="70"/>
  <c r="IM26" i="70"/>
  <c r="IL26" i="70"/>
  <c r="IK26" i="70"/>
  <c r="IJ26" i="70"/>
  <c r="II26" i="70"/>
  <c r="IH26" i="70"/>
  <c r="IG26" i="70"/>
  <c r="IF26" i="70"/>
  <c r="IE26" i="70"/>
  <c r="ID26" i="70"/>
  <c r="IC26" i="70"/>
  <c r="IB26" i="70"/>
  <c r="IA26" i="70"/>
  <c r="HZ26" i="70"/>
  <c r="HY26" i="70"/>
  <c r="HX26" i="70"/>
  <c r="HW26" i="70"/>
  <c r="HV26" i="70"/>
  <c r="HU26" i="70"/>
  <c r="HT26" i="70"/>
  <c r="HS26" i="70"/>
  <c r="HR26" i="70"/>
  <c r="HQ26" i="70"/>
  <c r="HP26" i="70"/>
  <c r="HO26" i="70"/>
  <c r="HN26" i="70"/>
  <c r="HM26" i="70"/>
  <c r="HL26" i="70"/>
  <c r="HK26" i="70"/>
  <c r="HJ26" i="70"/>
  <c r="HI26" i="70"/>
  <c r="HH26" i="70"/>
  <c r="HG26" i="70"/>
  <c r="HF26" i="70"/>
  <c r="HE26" i="70"/>
  <c r="HD26" i="70"/>
  <c r="HC26" i="70"/>
  <c r="HB26" i="70"/>
  <c r="HA26" i="70"/>
  <c r="GZ26" i="70"/>
  <c r="GY26" i="70"/>
  <c r="GX26" i="70"/>
  <c r="GW26" i="70"/>
  <c r="GV26" i="70"/>
  <c r="GU26" i="70"/>
  <c r="GT26" i="70"/>
  <c r="GS26" i="70"/>
  <c r="GR26" i="70"/>
  <c r="GQ26" i="70"/>
  <c r="GP26" i="70"/>
  <c r="GO26" i="70"/>
  <c r="GN26" i="70"/>
  <c r="GM26" i="70"/>
  <c r="GL26" i="70"/>
  <c r="GK26" i="70"/>
  <c r="GJ26" i="70"/>
  <c r="GI26" i="70"/>
  <c r="GH26" i="70"/>
  <c r="GG26" i="70"/>
  <c r="GF26" i="70"/>
  <c r="GE26" i="70"/>
  <c r="GD26" i="70"/>
  <c r="GC26" i="70"/>
  <c r="GB26" i="70"/>
  <c r="GA26" i="70"/>
  <c r="FZ26" i="70"/>
  <c r="FY26" i="70"/>
  <c r="FX26" i="70"/>
  <c r="FW26" i="70"/>
  <c r="FV26" i="70"/>
  <c r="FU26" i="70"/>
  <c r="FT26" i="70"/>
  <c r="FS26" i="70"/>
  <c r="FR26" i="70"/>
  <c r="FQ26" i="70"/>
  <c r="FP26" i="70"/>
  <c r="FO26" i="70"/>
  <c r="LW25" i="70"/>
  <c r="LV25" i="70"/>
  <c r="LU25" i="70"/>
  <c r="LT25" i="70"/>
  <c r="LS25" i="70"/>
  <c r="LR25" i="70"/>
  <c r="LQ25" i="70"/>
  <c r="LP25" i="70"/>
  <c r="LO25" i="70"/>
  <c r="LN25" i="70"/>
  <c r="LM25" i="70"/>
  <c r="LL25" i="70"/>
  <c r="LK25" i="70"/>
  <c r="LJ25" i="70"/>
  <c r="LI25" i="70"/>
  <c r="LH25" i="70"/>
  <c r="LG25" i="70"/>
  <c r="LF25" i="70"/>
  <c r="LE25" i="70"/>
  <c r="LD25" i="70"/>
  <c r="LC25" i="70"/>
  <c r="LB25" i="70"/>
  <c r="LA25" i="70"/>
  <c r="KZ25" i="70"/>
  <c r="KY25" i="70"/>
  <c r="KX25" i="70"/>
  <c r="KW25" i="70"/>
  <c r="KV25" i="70"/>
  <c r="KU25" i="70"/>
  <c r="KT25" i="70"/>
  <c r="KS25" i="70"/>
  <c r="KR25" i="70"/>
  <c r="KQ25" i="70"/>
  <c r="KP25" i="70"/>
  <c r="KO25" i="70"/>
  <c r="KN25" i="70"/>
  <c r="KM25" i="70"/>
  <c r="KL25" i="70"/>
  <c r="KK25" i="70"/>
  <c r="KJ25" i="70"/>
  <c r="KI25" i="70"/>
  <c r="KH25" i="70"/>
  <c r="KG25" i="70"/>
  <c r="KF25" i="70"/>
  <c r="KE25" i="70"/>
  <c r="KD25" i="70"/>
  <c r="KC25" i="70"/>
  <c r="KB25" i="70"/>
  <c r="KA25" i="70"/>
  <c r="JZ25" i="70"/>
  <c r="JY25" i="70"/>
  <c r="JX25" i="70"/>
  <c r="JW25" i="70"/>
  <c r="JV25" i="70"/>
  <c r="JU25" i="70"/>
  <c r="JT25" i="70"/>
  <c r="JS25" i="70"/>
  <c r="JR25" i="70"/>
  <c r="JQ25" i="70"/>
  <c r="JP25" i="70"/>
  <c r="JO25" i="70"/>
  <c r="JN25" i="70"/>
  <c r="JM25" i="70"/>
  <c r="JL25" i="70"/>
  <c r="JK25" i="70"/>
  <c r="JJ25" i="70"/>
  <c r="JI25" i="70"/>
  <c r="JH25" i="70"/>
  <c r="JG25" i="70"/>
  <c r="JF25" i="70"/>
  <c r="JE25" i="70"/>
  <c r="JD25" i="70"/>
  <c r="JC25" i="70"/>
  <c r="JB25" i="70"/>
  <c r="JA25" i="70"/>
  <c r="IZ25" i="70"/>
  <c r="IY25" i="70"/>
  <c r="IX25" i="70"/>
  <c r="IW25" i="70"/>
  <c r="IV25" i="70"/>
  <c r="IU25" i="70"/>
  <c r="IT25" i="70"/>
  <c r="IS25" i="70"/>
  <c r="IR25" i="70"/>
  <c r="IQ25" i="70"/>
  <c r="IP25" i="70"/>
  <c r="IO25" i="70"/>
  <c r="IN25" i="70"/>
  <c r="IM25" i="70"/>
  <c r="IL25" i="70"/>
  <c r="IK25" i="70"/>
  <c r="IJ25" i="70"/>
  <c r="II25" i="70"/>
  <c r="IH25" i="70"/>
  <c r="IG25" i="70"/>
  <c r="IF25" i="70"/>
  <c r="IE25" i="70"/>
  <c r="ID25" i="70"/>
  <c r="IC25" i="70"/>
  <c r="IB25" i="70"/>
  <c r="IA25" i="70"/>
  <c r="HZ25" i="70"/>
  <c r="HY25" i="70"/>
  <c r="HX25" i="70"/>
  <c r="HW25" i="70"/>
  <c r="HV25" i="70"/>
  <c r="HU25" i="70"/>
  <c r="HT25" i="70"/>
  <c r="HS25" i="70"/>
  <c r="HR25" i="70"/>
  <c r="HQ25" i="70"/>
  <c r="HP25" i="70"/>
  <c r="HO25" i="70"/>
  <c r="HN25" i="70"/>
  <c r="HM25" i="70"/>
  <c r="HL25" i="70"/>
  <c r="HK25" i="70"/>
  <c r="HJ25" i="70"/>
  <c r="HI25" i="70"/>
  <c r="HH25" i="70"/>
  <c r="HG25" i="70"/>
  <c r="HF25" i="70"/>
  <c r="HE25" i="70"/>
  <c r="HD25" i="70"/>
  <c r="HC25" i="70"/>
  <c r="HB25" i="70"/>
  <c r="HA25" i="70"/>
  <c r="GZ25" i="70"/>
  <c r="GY25" i="70"/>
  <c r="GX25" i="70"/>
  <c r="GW25" i="70"/>
  <c r="GV25" i="70"/>
  <c r="GU25" i="70"/>
  <c r="GT25" i="70"/>
  <c r="GS25" i="70"/>
  <c r="GR25" i="70"/>
  <c r="GQ25" i="70"/>
  <c r="GP25" i="70"/>
  <c r="GO25" i="70"/>
  <c r="GN25" i="70"/>
  <c r="GM25" i="70"/>
  <c r="GL25" i="70"/>
  <c r="GK25" i="70"/>
  <c r="GJ25" i="70"/>
  <c r="GI25" i="70"/>
  <c r="GH25" i="70"/>
  <c r="GG25" i="70"/>
  <c r="GF25" i="70"/>
  <c r="GE25" i="70"/>
  <c r="GD25" i="70"/>
  <c r="GC25" i="70"/>
  <c r="GB25" i="70"/>
  <c r="GA25" i="70"/>
  <c r="FZ25" i="70"/>
  <c r="FY25" i="70"/>
  <c r="FX25" i="70"/>
  <c r="FW25" i="70"/>
  <c r="FV25" i="70"/>
  <c r="FU25" i="70"/>
  <c r="FT25" i="70"/>
  <c r="FS25" i="70"/>
  <c r="FR25" i="70"/>
  <c r="FQ25" i="70"/>
  <c r="FP25" i="70"/>
  <c r="FO25" i="70"/>
  <c r="LW24" i="70"/>
  <c r="LV24" i="70"/>
  <c r="LU24" i="70"/>
  <c r="LT24" i="70"/>
  <c r="LS24" i="70"/>
  <c r="LR24" i="70"/>
  <c r="LQ24" i="70"/>
  <c r="LP24" i="70"/>
  <c r="LO24" i="70"/>
  <c r="LN24" i="70"/>
  <c r="LM24" i="70"/>
  <c r="LL24" i="70"/>
  <c r="LK24" i="70"/>
  <c r="LJ24" i="70"/>
  <c r="LI24" i="70"/>
  <c r="LH24" i="70"/>
  <c r="LG24" i="70"/>
  <c r="LF24" i="70"/>
  <c r="LE24" i="70"/>
  <c r="LD24" i="70"/>
  <c r="LC24" i="70"/>
  <c r="LB24" i="70"/>
  <c r="LA24" i="70"/>
  <c r="KZ24" i="70"/>
  <c r="KY24" i="70"/>
  <c r="KX24" i="70"/>
  <c r="KW24" i="70"/>
  <c r="KV24" i="70"/>
  <c r="KU24" i="70"/>
  <c r="KT24" i="70"/>
  <c r="KS24" i="70"/>
  <c r="KR24" i="70"/>
  <c r="KQ24" i="70"/>
  <c r="KP24" i="70"/>
  <c r="KO24" i="70"/>
  <c r="KN24" i="70"/>
  <c r="KM24" i="70"/>
  <c r="KL24" i="70"/>
  <c r="KK24" i="70"/>
  <c r="KJ24" i="70"/>
  <c r="KI24" i="70"/>
  <c r="KH24" i="70"/>
  <c r="KG24" i="70"/>
  <c r="KF24" i="70"/>
  <c r="KE24" i="70"/>
  <c r="KD24" i="70"/>
  <c r="KC24" i="70"/>
  <c r="KB24" i="70"/>
  <c r="KA24" i="70"/>
  <c r="JZ24" i="70"/>
  <c r="JY24" i="70"/>
  <c r="JX24" i="70"/>
  <c r="JW24" i="70"/>
  <c r="JV24" i="70"/>
  <c r="JU24" i="70"/>
  <c r="JT24" i="70"/>
  <c r="JS24" i="70"/>
  <c r="JR24" i="70"/>
  <c r="JQ24" i="70"/>
  <c r="JP24" i="70"/>
  <c r="JO24" i="70"/>
  <c r="JN24" i="70"/>
  <c r="JM24" i="70"/>
  <c r="JL24" i="70"/>
  <c r="JK24" i="70"/>
  <c r="JJ24" i="70"/>
  <c r="JI24" i="70"/>
  <c r="JH24" i="70"/>
  <c r="JG24" i="70"/>
  <c r="JF24" i="70"/>
  <c r="JE24" i="70"/>
  <c r="JD24" i="70"/>
  <c r="JC24" i="70"/>
  <c r="JB24" i="70"/>
  <c r="JA24" i="70"/>
  <c r="IZ24" i="70"/>
  <c r="IY24" i="70"/>
  <c r="IX24" i="70"/>
  <c r="IW24" i="70"/>
  <c r="IV24" i="70"/>
  <c r="IU24" i="70"/>
  <c r="IT24" i="70"/>
  <c r="IS24" i="70"/>
  <c r="IR24" i="70"/>
  <c r="IQ24" i="70"/>
  <c r="IP24" i="70"/>
  <c r="IO24" i="70"/>
  <c r="IN24" i="70"/>
  <c r="IM24" i="70"/>
  <c r="IL24" i="70"/>
  <c r="IK24" i="70"/>
  <c r="IJ24" i="70"/>
  <c r="II24" i="70"/>
  <c r="IH24" i="70"/>
  <c r="IG24" i="70"/>
  <c r="IF24" i="70"/>
  <c r="IE24" i="70"/>
  <c r="ID24" i="70"/>
  <c r="IC24" i="70"/>
  <c r="IB24" i="70"/>
  <c r="IA24" i="70"/>
  <c r="HZ24" i="70"/>
  <c r="HY24" i="70"/>
  <c r="HX24" i="70"/>
  <c r="HW24" i="70"/>
  <c r="HV24" i="70"/>
  <c r="HU24" i="70"/>
  <c r="HT24" i="70"/>
  <c r="HS24" i="70"/>
  <c r="HR24" i="70"/>
  <c r="HQ24" i="70"/>
  <c r="HP24" i="70"/>
  <c r="HO24" i="70"/>
  <c r="HN24" i="70"/>
  <c r="HM24" i="70"/>
  <c r="HL24" i="70"/>
  <c r="HK24" i="70"/>
  <c r="HJ24" i="70"/>
  <c r="HI24" i="70"/>
  <c r="HH24" i="70"/>
  <c r="HG24" i="70"/>
  <c r="HF24" i="70"/>
  <c r="HE24" i="70"/>
  <c r="HD24" i="70"/>
  <c r="HC24" i="70"/>
  <c r="HB24" i="70"/>
  <c r="HA24" i="70"/>
  <c r="GZ24" i="70"/>
  <c r="GY24" i="70"/>
  <c r="GX24" i="70"/>
  <c r="GW24" i="70"/>
  <c r="GV24" i="70"/>
  <c r="GU24" i="70"/>
  <c r="GT24" i="70"/>
  <c r="GS24" i="70"/>
  <c r="GR24" i="70"/>
  <c r="GQ24" i="70"/>
  <c r="GP24" i="70"/>
  <c r="GO24" i="70"/>
  <c r="GN24" i="70"/>
  <c r="GM24" i="70"/>
  <c r="GL24" i="70"/>
  <c r="GK24" i="70"/>
  <c r="GJ24" i="70"/>
  <c r="GI24" i="70"/>
  <c r="GH24" i="70"/>
  <c r="GG24" i="70"/>
  <c r="GF24" i="70"/>
  <c r="GE24" i="70"/>
  <c r="GD24" i="70"/>
  <c r="GC24" i="70"/>
  <c r="GB24" i="70"/>
  <c r="GA24" i="70"/>
  <c r="FZ24" i="70"/>
  <c r="FY24" i="70"/>
  <c r="FX24" i="70"/>
  <c r="FW24" i="70"/>
  <c r="FV24" i="70"/>
  <c r="FU24" i="70"/>
  <c r="FT24" i="70"/>
  <c r="FS24" i="70"/>
  <c r="FR24" i="70"/>
  <c r="FQ24" i="70"/>
  <c r="FP24" i="70"/>
  <c r="FO24" i="70"/>
  <c r="LW23" i="70"/>
  <c r="LV23" i="70"/>
  <c r="LU23" i="70"/>
  <c r="LT23" i="70"/>
  <c r="LS23" i="70"/>
  <c r="LR23" i="70"/>
  <c r="LQ23" i="70"/>
  <c r="LP23" i="70"/>
  <c r="LO23" i="70"/>
  <c r="LN23" i="70"/>
  <c r="LM23" i="70"/>
  <c r="LL23" i="70"/>
  <c r="LK23" i="70"/>
  <c r="LJ23" i="70"/>
  <c r="LI23" i="70"/>
  <c r="LH23" i="70"/>
  <c r="LG23" i="70"/>
  <c r="LF23" i="70"/>
  <c r="LE23" i="70"/>
  <c r="LD23" i="70"/>
  <c r="LC23" i="70"/>
  <c r="LB23" i="70"/>
  <c r="LA23" i="70"/>
  <c r="KZ23" i="70"/>
  <c r="KY23" i="70"/>
  <c r="KX23" i="70"/>
  <c r="KW23" i="70"/>
  <c r="KV23" i="70"/>
  <c r="KU23" i="70"/>
  <c r="KT23" i="70"/>
  <c r="KS23" i="70"/>
  <c r="KR23" i="70"/>
  <c r="KQ23" i="70"/>
  <c r="KP23" i="70"/>
  <c r="KO23" i="70"/>
  <c r="KN23" i="70"/>
  <c r="KM23" i="70"/>
  <c r="KL23" i="70"/>
  <c r="KK23" i="70"/>
  <c r="KJ23" i="70"/>
  <c r="KI23" i="70"/>
  <c r="KH23" i="70"/>
  <c r="KG23" i="70"/>
  <c r="KF23" i="70"/>
  <c r="KE23" i="70"/>
  <c r="KD23" i="70"/>
  <c r="KC23" i="70"/>
  <c r="KB23" i="70"/>
  <c r="KA23" i="70"/>
  <c r="JZ23" i="70"/>
  <c r="JY23" i="70"/>
  <c r="JX23" i="70"/>
  <c r="JW23" i="70"/>
  <c r="JV23" i="70"/>
  <c r="JU23" i="70"/>
  <c r="JT23" i="70"/>
  <c r="JS23" i="70"/>
  <c r="JR23" i="70"/>
  <c r="JQ23" i="70"/>
  <c r="JP23" i="70"/>
  <c r="JO23" i="70"/>
  <c r="JN23" i="70"/>
  <c r="JM23" i="70"/>
  <c r="JL23" i="70"/>
  <c r="JK23" i="70"/>
  <c r="JJ23" i="70"/>
  <c r="JI23" i="70"/>
  <c r="JH23" i="70"/>
  <c r="JG23" i="70"/>
  <c r="JF23" i="70"/>
  <c r="JE23" i="70"/>
  <c r="JD23" i="70"/>
  <c r="JC23" i="70"/>
  <c r="JB23" i="70"/>
  <c r="JA23" i="70"/>
  <c r="IZ23" i="70"/>
  <c r="IY23" i="70"/>
  <c r="IX23" i="70"/>
  <c r="IW23" i="70"/>
  <c r="IV23" i="70"/>
  <c r="IU23" i="70"/>
  <c r="IT23" i="70"/>
  <c r="IS23" i="70"/>
  <c r="IR23" i="70"/>
  <c r="IQ23" i="70"/>
  <c r="IP23" i="70"/>
  <c r="IO23" i="70"/>
  <c r="IN23" i="70"/>
  <c r="IM23" i="70"/>
  <c r="IL23" i="70"/>
  <c r="IK23" i="70"/>
  <c r="IJ23" i="70"/>
  <c r="II23" i="70"/>
  <c r="IH23" i="70"/>
  <c r="IG23" i="70"/>
  <c r="IF23" i="70"/>
  <c r="IE23" i="70"/>
  <c r="ID23" i="70"/>
  <c r="IC23" i="70"/>
  <c r="IB23" i="70"/>
  <c r="IA23" i="70"/>
  <c r="HZ23" i="70"/>
  <c r="HY23" i="70"/>
  <c r="HX23" i="70"/>
  <c r="HW23" i="70"/>
  <c r="HV23" i="70"/>
  <c r="HU23" i="70"/>
  <c r="HT23" i="70"/>
  <c r="HS23" i="70"/>
  <c r="HR23" i="70"/>
  <c r="HQ23" i="70"/>
  <c r="HP23" i="70"/>
  <c r="HO23" i="70"/>
  <c r="HN23" i="70"/>
  <c r="HM23" i="70"/>
  <c r="HL23" i="70"/>
  <c r="HK23" i="70"/>
  <c r="HJ23" i="70"/>
  <c r="HI23" i="70"/>
  <c r="HH23" i="70"/>
  <c r="HG23" i="70"/>
  <c r="HF23" i="70"/>
  <c r="HE23" i="70"/>
  <c r="HD23" i="70"/>
  <c r="HC23" i="70"/>
  <c r="HB23" i="70"/>
  <c r="HA23" i="70"/>
  <c r="GZ23" i="70"/>
  <c r="GY23" i="70"/>
  <c r="GX23" i="70"/>
  <c r="GW23" i="70"/>
  <c r="GV23" i="70"/>
  <c r="GU23" i="70"/>
  <c r="GT23" i="70"/>
  <c r="GS23" i="70"/>
  <c r="GR23" i="70"/>
  <c r="GQ23" i="70"/>
  <c r="GP23" i="70"/>
  <c r="GO23" i="70"/>
  <c r="GN23" i="70"/>
  <c r="GM23" i="70"/>
  <c r="GL23" i="70"/>
  <c r="GK23" i="70"/>
  <c r="GJ23" i="70"/>
  <c r="GI23" i="70"/>
  <c r="GH23" i="70"/>
  <c r="GG23" i="70"/>
  <c r="GF23" i="70"/>
  <c r="GE23" i="70"/>
  <c r="GD23" i="70"/>
  <c r="GC23" i="70"/>
  <c r="GB23" i="70"/>
  <c r="GA23" i="70"/>
  <c r="FZ23" i="70"/>
  <c r="FY23" i="70"/>
  <c r="FX23" i="70"/>
  <c r="FW23" i="70"/>
  <c r="FV23" i="70"/>
  <c r="FU23" i="70"/>
  <c r="FT23" i="70"/>
  <c r="FS23" i="70"/>
  <c r="FR23" i="70"/>
  <c r="FQ23" i="70"/>
  <c r="FP23" i="70"/>
  <c r="FO23" i="70"/>
  <c r="LW22" i="70"/>
  <c r="LV22" i="70"/>
  <c r="LU22" i="70"/>
  <c r="LT22" i="70"/>
  <c r="LS22" i="70"/>
  <c r="LR22" i="70"/>
  <c r="LQ22" i="70"/>
  <c r="LP22" i="70"/>
  <c r="LO22" i="70"/>
  <c r="LN22" i="70"/>
  <c r="LM22" i="70"/>
  <c r="LL22" i="70"/>
  <c r="LK22" i="70"/>
  <c r="LJ22" i="70"/>
  <c r="LI22" i="70"/>
  <c r="LH22" i="70"/>
  <c r="LG22" i="70"/>
  <c r="LF22" i="70"/>
  <c r="LE22" i="70"/>
  <c r="LD22" i="70"/>
  <c r="LC22" i="70"/>
  <c r="LB22" i="70"/>
  <c r="LA22" i="70"/>
  <c r="KZ22" i="70"/>
  <c r="KY22" i="70"/>
  <c r="KX22" i="70"/>
  <c r="KW22" i="70"/>
  <c r="KV22" i="70"/>
  <c r="KU22" i="70"/>
  <c r="KT22" i="70"/>
  <c r="KS22" i="70"/>
  <c r="KR22" i="70"/>
  <c r="KQ22" i="70"/>
  <c r="KP22" i="70"/>
  <c r="KO22" i="70"/>
  <c r="KN22" i="70"/>
  <c r="KM22" i="70"/>
  <c r="KL22" i="70"/>
  <c r="KK22" i="70"/>
  <c r="KJ22" i="70"/>
  <c r="KI22" i="70"/>
  <c r="KH22" i="70"/>
  <c r="KG22" i="70"/>
  <c r="KF22" i="70"/>
  <c r="KE22" i="70"/>
  <c r="KD22" i="70"/>
  <c r="KC22" i="70"/>
  <c r="KB22" i="70"/>
  <c r="KA22" i="70"/>
  <c r="JZ22" i="70"/>
  <c r="JY22" i="70"/>
  <c r="JX22" i="70"/>
  <c r="JW22" i="70"/>
  <c r="JV22" i="70"/>
  <c r="JU22" i="70"/>
  <c r="JT22" i="70"/>
  <c r="JS22" i="70"/>
  <c r="JR22" i="70"/>
  <c r="JQ22" i="70"/>
  <c r="JP22" i="70"/>
  <c r="JO22" i="70"/>
  <c r="JN22" i="70"/>
  <c r="JM22" i="70"/>
  <c r="JL22" i="70"/>
  <c r="JK22" i="70"/>
  <c r="JJ22" i="70"/>
  <c r="JI22" i="70"/>
  <c r="JH22" i="70"/>
  <c r="JG22" i="70"/>
  <c r="JF22" i="70"/>
  <c r="JE22" i="70"/>
  <c r="JD22" i="70"/>
  <c r="JC22" i="70"/>
  <c r="JB22" i="70"/>
  <c r="JA22" i="70"/>
  <c r="IZ22" i="70"/>
  <c r="IY22" i="70"/>
  <c r="IX22" i="70"/>
  <c r="IW22" i="70"/>
  <c r="IV22" i="70"/>
  <c r="IU22" i="70"/>
  <c r="IT22" i="70"/>
  <c r="IS22" i="70"/>
  <c r="IR22" i="70"/>
  <c r="IQ22" i="70"/>
  <c r="IP22" i="70"/>
  <c r="IO22" i="70"/>
  <c r="IN22" i="70"/>
  <c r="IM22" i="70"/>
  <c r="IL22" i="70"/>
  <c r="IK22" i="70"/>
  <c r="IJ22" i="70"/>
  <c r="II22" i="70"/>
  <c r="IH22" i="70"/>
  <c r="IG22" i="70"/>
  <c r="IF22" i="70"/>
  <c r="IE22" i="70"/>
  <c r="ID22" i="70"/>
  <c r="IC22" i="70"/>
  <c r="IB22" i="70"/>
  <c r="IA22" i="70"/>
  <c r="HZ22" i="70"/>
  <c r="HY22" i="70"/>
  <c r="HX22" i="70"/>
  <c r="HW22" i="70"/>
  <c r="HV22" i="70"/>
  <c r="HU22" i="70"/>
  <c r="HT22" i="70"/>
  <c r="HS22" i="70"/>
  <c r="HR22" i="70"/>
  <c r="HQ22" i="70"/>
  <c r="HP22" i="70"/>
  <c r="HO22" i="70"/>
  <c r="HN22" i="70"/>
  <c r="HM22" i="70"/>
  <c r="HL22" i="70"/>
  <c r="HK22" i="70"/>
  <c r="HJ22" i="70"/>
  <c r="HI22" i="70"/>
  <c r="HH22" i="70"/>
  <c r="HG22" i="70"/>
  <c r="HF22" i="70"/>
  <c r="HE22" i="70"/>
  <c r="HD22" i="70"/>
  <c r="HC22" i="70"/>
  <c r="HB22" i="70"/>
  <c r="HA22" i="70"/>
  <c r="GZ22" i="70"/>
  <c r="GY22" i="70"/>
  <c r="GX22" i="70"/>
  <c r="GW22" i="70"/>
  <c r="GV22" i="70"/>
  <c r="GU22" i="70"/>
  <c r="GT22" i="70"/>
  <c r="GS22" i="70"/>
  <c r="GR22" i="70"/>
  <c r="GQ22" i="70"/>
  <c r="GP22" i="70"/>
  <c r="GO22" i="70"/>
  <c r="GN22" i="70"/>
  <c r="GM22" i="70"/>
  <c r="GL22" i="70"/>
  <c r="GK22" i="70"/>
  <c r="GJ22" i="70"/>
  <c r="GI22" i="70"/>
  <c r="GH22" i="70"/>
  <c r="GG22" i="70"/>
  <c r="GF22" i="70"/>
  <c r="GE22" i="70"/>
  <c r="GD22" i="70"/>
  <c r="GC22" i="70"/>
  <c r="GB22" i="70"/>
  <c r="GA22" i="70"/>
  <c r="FZ22" i="70"/>
  <c r="FY22" i="70"/>
  <c r="FX22" i="70"/>
  <c r="FW22" i="70"/>
  <c r="FV22" i="70"/>
  <c r="FU22" i="70"/>
  <c r="FT22" i="70"/>
  <c r="FS22" i="70"/>
  <c r="FR22" i="70"/>
  <c r="FQ22" i="70"/>
  <c r="FP22" i="70"/>
  <c r="FO22" i="70"/>
  <c r="LW21" i="70"/>
  <c r="LV21" i="70"/>
  <c r="LU21" i="70"/>
  <c r="LT21" i="70"/>
  <c r="LS21" i="70"/>
  <c r="LR21" i="70"/>
  <c r="LQ21" i="70"/>
  <c r="LP21" i="70"/>
  <c r="LO21" i="70"/>
  <c r="LN21" i="70"/>
  <c r="LM21" i="70"/>
  <c r="LL21" i="70"/>
  <c r="LK21" i="70"/>
  <c r="LJ21" i="70"/>
  <c r="LI21" i="70"/>
  <c r="LH21" i="70"/>
  <c r="LG21" i="70"/>
  <c r="LF21" i="70"/>
  <c r="LE21" i="70"/>
  <c r="LD21" i="70"/>
  <c r="LC21" i="70"/>
  <c r="LB21" i="70"/>
  <c r="LA21" i="70"/>
  <c r="KZ21" i="70"/>
  <c r="KY21" i="70"/>
  <c r="KX21" i="70"/>
  <c r="KW21" i="70"/>
  <c r="KV21" i="70"/>
  <c r="KU21" i="70"/>
  <c r="KT21" i="70"/>
  <c r="KS21" i="70"/>
  <c r="KR21" i="70"/>
  <c r="KQ21" i="70"/>
  <c r="KP21" i="70"/>
  <c r="KO21" i="70"/>
  <c r="KN21" i="70"/>
  <c r="KM21" i="70"/>
  <c r="KL21" i="70"/>
  <c r="KK21" i="70"/>
  <c r="KJ21" i="70"/>
  <c r="KI21" i="70"/>
  <c r="KH21" i="70"/>
  <c r="KG21" i="70"/>
  <c r="KF21" i="70"/>
  <c r="KE21" i="70"/>
  <c r="KD21" i="70"/>
  <c r="KC21" i="70"/>
  <c r="KB21" i="70"/>
  <c r="KA21" i="70"/>
  <c r="JZ21" i="70"/>
  <c r="JY21" i="70"/>
  <c r="JX21" i="70"/>
  <c r="JW21" i="70"/>
  <c r="JV21" i="70"/>
  <c r="JU21" i="70"/>
  <c r="JT21" i="70"/>
  <c r="JS21" i="70"/>
  <c r="JR21" i="70"/>
  <c r="JQ21" i="70"/>
  <c r="JP21" i="70"/>
  <c r="JO21" i="70"/>
  <c r="JN21" i="70"/>
  <c r="JM21" i="70"/>
  <c r="JL21" i="70"/>
  <c r="JK21" i="70"/>
  <c r="JJ21" i="70"/>
  <c r="JI21" i="70"/>
  <c r="JH21" i="70"/>
  <c r="JG21" i="70"/>
  <c r="JF21" i="70"/>
  <c r="JE21" i="70"/>
  <c r="JD21" i="70"/>
  <c r="JC21" i="70"/>
  <c r="JB21" i="70"/>
  <c r="JA21" i="70"/>
  <c r="IZ21" i="70"/>
  <c r="IY21" i="70"/>
  <c r="IX21" i="70"/>
  <c r="IW21" i="70"/>
  <c r="IV21" i="70"/>
  <c r="IU21" i="70"/>
  <c r="IT21" i="70"/>
  <c r="IS21" i="70"/>
  <c r="IR21" i="70"/>
  <c r="IQ21" i="70"/>
  <c r="IP21" i="70"/>
  <c r="IO21" i="70"/>
  <c r="IN21" i="70"/>
  <c r="IM21" i="70"/>
  <c r="IL21" i="70"/>
  <c r="IK21" i="70"/>
  <c r="IJ21" i="70"/>
  <c r="II21" i="70"/>
  <c r="IH21" i="70"/>
  <c r="IG21" i="70"/>
  <c r="IF21" i="70"/>
  <c r="IE21" i="70"/>
  <c r="ID21" i="70"/>
  <c r="IC21" i="70"/>
  <c r="IB21" i="70"/>
  <c r="IA21" i="70"/>
  <c r="HZ21" i="70"/>
  <c r="HY21" i="70"/>
  <c r="HX21" i="70"/>
  <c r="HW21" i="70"/>
  <c r="HV21" i="70"/>
  <c r="HU21" i="70"/>
  <c r="HT21" i="70"/>
  <c r="HS21" i="70"/>
  <c r="HR21" i="70"/>
  <c r="HQ21" i="70"/>
  <c r="HP21" i="70"/>
  <c r="HO21" i="70"/>
  <c r="HN21" i="70"/>
  <c r="HM21" i="70"/>
  <c r="HL21" i="70"/>
  <c r="HK21" i="70"/>
  <c r="HJ21" i="70"/>
  <c r="HI21" i="70"/>
  <c r="HH21" i="70"/>
  <c r="HG21" i="70"/>
  <c r="HF21" i="70"/>
  <c r="HE21" i="70"/>
  <c r="HD21" i="70"/>
  <c r="HC21" i="70"/>
  <c r="HB21" i="70"/>
  <c r="HA21" i="70"/>
  <c r="GZ21" i="70"/>
  <c r="GY21" i="70"/>
  <c r="GX21" i="70"/>
  <c r="GW21" i="70"/>
  <c r="GV21" i="70"/>
  <c r="GU21" i="70"/>
  <c r="GT21" i="70"/>
  <c r="GS21" i="70"/>
  <c r="GR21" i="70"/>
  <c r="GQ21" i="70"/>
  <c r="GP21" i="70"/>
  <c r="GO21" i="70"/>
  <c r="GN21" i="70"/>
  <c r="GM21" i="70"/>
  <c r="GL21" i="70"/>
  <c r="GK21" i="70"/>
  <c r="GJ21" i="70"/>
  <c r="GI21" i="70"/>
  <c r="GH21" i="70"/>
  <c r="GG21" i="70"/>
  <c r="GF21" i="70"/>
  <c r="GE21" i="70"/>
  <c r="GD21" i="70"/>
  <c r="GC21" i="70"/>
  <c r="GB21" i="70"/>
  <c r="GA21" i="70"/>
  <c r="FZ21" i="70"/>
  <c r="FY21" i="70"/>
  <c r="FX21" i="70"/>
  <c r="FW21" i="70"/>
  <c r="FV21" i="70"/>
  <c r="FU21" i="70"/>
  <c r="FT21" i="70"/>
  <c r="FS21" i="70"/>
  <c r="FR21" i="70"/>
  <c r="FQ21" i="70"/>
  <c r="FP21" i="70"/>
  <c r="FO21" i="70"/>
  <c r="LW20" i="70"/>
  <c r="LV20" i="70"/>
  <c r="LU20" i="70"/>
  <c r="LT20" i="70"/>
  <c r="LS20" i="70"/>
  <c r="LR20" i="70"/>
  <c r="LQ20" i="70"/>
  <c r="LP20" i="70"/>
  <c r="LO20" i="70"/>
  <c r="LN20" i="70"/>
  <c r="LM20" i="70"/>
  <c r="LL20" i="70"/>
  <c r="LK20" i="70"/>
  <c r="LJ20" i="70"/>
  <c r="LI20" i="70"/>
  <c r="LH20" i="70"/>
  <c r="LG20" i="70"/>
  <c r="LF20" i="70"/>
  <c r="LE20" i="70"/>
  <c r="LD20" i="70"/>
  <c r="LC20" i="70"/>
  <c r="LB20" i="70"/>
  <c r="LA20" i="70"/>
  <c r="KZ20" i="70"/>
  <c r="KY20" i="70"/>
  <c r="KX20" i="70"/>
  <c r="KW20" i="70"/>
  <c r="KV20" i="70"/>
  <c r="KU20" i="70"/>
  <c r="KT20" i="70"/>
  <c r="KS20" i="70"/>
  <c r="KR20" i="70"/>
  <c r="KQ20" i="70"/>
  <c r="KP20" i="70"/>
  <c r="KO20" i="70"/>
  <c r="KN20" i="70"/>
  <c r="KM20" i="70"/>
  <c r="KL20" i="70"/>
  <c r="KK20" i="70"/>
  <c r="KJ20" i="70"/>
  <c r="KI20" i="70"/>
  <c r="KH20" i="70"/>
  <c r="KG20" i="70"/>
  <c r="KF20" i="70"/>
  <c r="KE20" i="70"/>
  <c r="KD20" i="70"/>
  <c r="KC20" i="70"/>
  <c r="KB20" i="70"/>
  <c r="KA20" i="70"/>
  <c r="JZ20" i="70"/>
  <c r="JY20" i="70"/>
  <c r="JX20" i="70"/>
  <c r="JW20" i="70"/>
  <c r="JV20" i="70"/>
  <c r="JU20" i="70"/>
  <c r="JT20" i="70"/>
  <c r="JS20" i="70"/>
  <c r="JR20" i="70"/>
  <c r="JQ20" i="70"/>
  <c r="JP20" i="70"/>
  <c r="JO20" i="70"/>
  <c r="JN20" i="70"/>
  <c r="JM20" i="70"/>
  <c r="JL20" i="70"/>
  <c r="JK20" i="70"/>
  <c r="JJ20" i="70"/>
  <c r="JI20" i="70"/>
  <c r="JH20" i="70"/>
  <c r="JG20" i="70"/>
  <c r="JF20" i="70"/>
  <c r="JE20" i="70"/>
  <c r="JD20" i="70"/>
  <c r="JC20" i="70"/>
  <c r="JB20" i="70"/>
  <c r="JA20" i="70"/>
  <c r="IZ20" i="70"/>
  <c r="IY20" i="70"/>
  <c r="IX20" i="70"/>
  <c r="IW20" i="70"/>
  <c r="IV20" i="70"/>
  <c r="IU20" i="70"/>
  <c r="IT20" i="70"/>
  <c r="IS20" i="70"/>
  <c r="IR20" i="70"/>
  <c r="IQ20" i="70"/>
  <c r="IP20" i="70"/>
  <c r="IO20" i="70"/>
  <c r="IN20" i="70"/>
  <c r="IM20" i="70"/>
  <c r="IL20" i="70"/>
  <c r="IK20" i="70"/>
  <c r="IJ20" i="70"/>
  <c r="II20" i="70"/>
  <c r="IH20" i="70"/>
  <c r="IG20" i="70"/>
  <c r="IF20" i="70"/>
  <c r="IE20" i="70"/>
  <c r="ID20" i="70"/>
  <c r="IC20" i="70"/>
  <c r="IB20" i="70"/>
  <c r="IA20" i="70"/>
  <c r="HZ20" i="70"/>
  <c r="HY20" i="70"/>
  <c r="HX20" i="70"/>
  <c r="HW20" i="70"/>
  <c r="HV20" i="70"/>
  <c r="HU20" i="70"/>
  <c r="HT20" i="70"/>
  <c r="HS20" i="70"/>
  <c r="HR20" i="70"/>
  <c r="HQ20" i="70"/>
  <c r="HP20" i="70"/>
  <c r="HO20" i="70"/>
  <c r="HN20" i="70"/>
  <c r="HM20" i="70"/>
  <c r="HL20" i="70"/>
  <c r="HK20" i="70"/>
  <c r="HJ20" i="70"/>
  <c r="HI20" i="70"/>
  <c r="HH20" i="70"/>
  <c r="HG20" i="70"/>
  <c r="HF20" i="70"/>
  <c r="HE20" i="70"/>
  <c r="HD20" i="70"/>
  <c r="HC20" i="70"/>
  <c r="HB20" i="70"/>
  <c r="HA20" i="70"/>
  <c r="GZ20" i="70"/>
  <c r="GY20" i="70"/>
  <c r="GX20" i="70"/>
  <c r="GW20" i="70"/>
  <c r="GV20" i="70"/>
  <c r="GU20" i="70"/>
  <c r="GT20" i="70"/>
  <c r="GS20" i="70"/>
  <c r="GR20" i="70"/>
  <c r="GQ20" i="70"/>
  <c r="GP20" i="70"/>
  <c r="GO20" i="70"/>
  <c r="GN20" i="70"/>
  <c r="GM20" i="70"/>
  <c r="GL20" i="70"/>
  <c r="GK20" i="70"/>
  <c r="GJ20" i="70"/>
  <c r="GI20" i="70"/>
  <c r="GH20" i="70"/>
  <c r="GG20" i="70"/>
  <c r="GF20" i="70"/>
  <c r="GE20" i="70"/>
  <c r="GD20" i="70"/>
  <c r="GC20" i="70"/>
  <c r="GB20" i="70"/>
  <c r="GA20" i="70"/>
  <c r="FZ20" i="70"/>
  <c r="FY20" i="70"/>
  <c r="FX20" i="70"/>
  <c r="FW20" i="70"/>
  <c r="FV20" i="70"/>
  <c r="FU20" i="70"/>
  <c r="FT20" i="70"/>
  <c r="FS20" i="70"/>
  <c r="FR20" i="70"/>
  <c r="FQ20" i="70"/>
  <c r="FP20" i="70"/>
  <c r="FO20" i="70"/>
  <c r="LW19" i="70"/>
  <c r="LV19" i="70"/>
  <c r="LU19" i="70"/>
  <c r="LT19" i="70"/>
  <c r="LS19" i="70"/>
  <c r="LR19" i="70"/>
  <c r="LQ19" i="70"/>
  <c r="LP19" i="70"/>
  <c r="LO19" i="70"/>
  <c r="LN19" i="70"/>
  <c r="LM19" i="70"/>
  <c r="LL19" i="70"/>
  <c r="LK19" i="70"/>
  <c r="LJ19" i="70"/>
  <c r="LI19" i="70"/>
  <c r="LH19" i="70"/>
  <c r="LG19" i="70"/>
  <c r="LF19" i="70"/>
  <c r="LE19" i="70"/>
  <c r="LD19" i="70"/>
  <c r="LC19" i="70"/>
  <c r="LB19" i="70"/>
  <c r="LA19" i="70"/>
  <c r="KZ19" i="70"/>
  <c r="KY19" i="70"/>
  <c r="KX19" i="70"/>
  <c r="KW19" i="70"/>
  <c r="KV19" i="70"/>
  <c r="KU19" i="70"/>
  <c r="KT19" i="70"/>
  <c r="KS19" i="70"/>
  <c r="KR19" i="70"/>
  <c r="KQ19" i="70"/>
  <c r="KP19" i="70"/>
  <c r="KO19" i="70"/>
  <c r="KN19" i="70"/>
  <c r="KM19" i="70"/>
  <c r="KL19" i="70"/>
  <c r="KK19" i="70"/>
  <c r="KJ19" i="70"/>
  <c r="KI19" i="70"/>
  <c r="KH19" i="70"/>
  <c r="KG19" i="70"/>
  <c r="KF19" i="70"/>
  <c r="KE19" i="70"/>
  <c r="KD19" i="70"/>
  <c r="KC19" i="70"/>
  <c r="KB19" i="70"/>
  <c r="KA19" i="70"/>
  <c r="JZ19" i="70"/>
  <c r="JY19" i="70"/>
  <c r="JX19" i="70"/>
  <c r="JW19" i="70"/>
  <c r="JV19" i="70"/>
  <c r="JU19" i="70"/>
  <c r="JT19" i="70"/>
  <c r="JS19" i="70"/>
  <c r="JR19" i="70"/>
  <c r="JQ19" i="70"/>
  <c r="JP19" i="70"/>
  <c r="JO19" i="70"/>
  <c r="JN19" i="70"/>
  <c r="JM19" i="70"/>
  <c r="JL19" i="70"/>
  <c r="JK19" i="70"/>
  <c r="JJ19" i="70"/>
  <c r="JI19" i="70"/>
  <c r="JH19" i="70"/>
  <c r="JG19" i="70"/>
  <c r="JF19" i="70"/>
  <c r="JE19" i="70"/>
  <c r="JD19" i="70"/>
  <c r="JC19" i="70"/>
  <c r="JB19" i="70"/>
  <c r="JA19" i="70"/>
  <c r="IZ19" i="70"/>
  <c r="IY19" i="70"/>
  <c r="IX19" i="70"/>
  <c r="IW19" i="70"/>
  <c r="IV19" i="70"/>
  <c r="IU19" i="70"/>
  <c r="IT19" i="70"/>
  <c r="IS19" i="70"/>
  <c r="IR19" i="70"/>
  <c r="IQ19" i="70"/>
  <c r="IP19" i="70"/>
  <c r="IO19" i="70"/>
  <c r="IN19" i="70"/>
  <c r="IM19" i="70"/>
  <c r="IL19" i="70"/>
  <c r="IK19" i="70"/>
  <c r="IJ19" i="70"/>
  <c r="II19" i="70"/>
  <c r="IH19" i="70"/>
  <c r="IG19" i="70"/>
  <c r="IF19" i="70"/>
  <c r="IE19" i="70"/>
  <c r="ID19" i="70"/>
  <c r="IC19" i="70"/>
  <c r="IB19" i="70"/>
  <c r="IA19" i="70"/>
  <c r="HZ19" i="70"/>
  <c r="HY19" i="70"/>
  <c r="HX19" i="70"/>
  <c r="HW19" i="70"/>
  <c r="HV19" i="70"/>
  <c r="HU19" i="70"/>
  <c r="HT19" i="70"/>
  <c r="HS19" i="70"/>
  <c r="HR19" i="70"/>
  <c r="HQ19" i="70"/>
  <c r="HP19" i="70"/>
  <c r="HO19" i="70"/>
  <c r="HN19" i="70"/>
  <c r="HM19" i="70"/>
  <c r="HL19" i="70"/>
  <c r="HK19" i="70"/>
  <c r="HJ19" i="70"/>
  <c r="HI19" i="70"/>
  <c r="HH19" i="70"/>
  <c r="HG19" i="70"/>
  <c r="HF19" i="70"/>
  <c r="HE19" i="70"/>
  <c r="HD19" i="70"/>
  <c r="HC19" i="70"/>
  <c r="HB19" i="70"/>
  <c r="HA19" i="70"/>
  <c r="GZ19" i="70"/>
  <c r="GY19" i="70"/>
  <c r="GX19" i="70"/>
  <c r="GW19" i="70"/>
  <c r="GV19" i="70"/>
  <c r="GU19" i="70"/>
  <c r="GT19" i="70"/>
  <c r="GS19" i="70"/>
  <c r="GR19" i="70"/>
  <c r="GQ19" i="70"/>
  <c r="GP19" i="70"/>
  <c r="GO19" i="70"/>
  <c r="GN19" i="70"/>
  <c r="GM19" i="70"/>
  <c r="GL19" i="70"/>
  <c r="GK19" i="70"/>
  <c r="GJ19" i="70"/>
  <c r="GI19" i="70"/>
  <c r="GH19" i="70"/>
  <c r="GG19" i="70"/>
  <c r="GF19" i="70"/>
  <c r="GE19" i="70"/>
  <c r="GD19" i="70"/>
  <c r="GC19" i="70"/>
  <c r="GB19" i="70"/>
  <c r="GA19" i="70"/>
  <c r="FZ19" i="70"/>
  <c r="FY19" i="70"/>
  <c r="FX19" i="70"/>
  <c r="FW19" i="70"/>
  <c r="FV19" i="70"/>
  <c r="FU19" i="70"/>
  <c r="FT19" i="70"/>
  <c r="FS19" i="70"/>
  <c r="FR19" i="70"/>
  <c r="FQ19" i="70"/>
  <c r="FP19" i="70"/>
  <c r="FO19" i="70"/>
  <c r="LW18" i="70"/>
  <c r="LV18" i="70"/>
  <c r="LU18" i="70"/>
  <c r="LT18" i="70"/>
  <c r="LS18" i="70"/>
  <c r="LR18" i="70"/>
  <c r="LQ18" i="70"/>
  <c r="LP18" i="70"/>
  <c r="LO18" i="70"/>
  <c r="LN18" i="70"/>
  <c r="LM18" i="70"/>
  <c r="LL18" i="70"/>
  <c r="LK18" i="70"/>
  <c r="LJ18" i="70"/>
  <c r="LI18" i="70"/>
  <c r="LH18" i="70"/>
  <c r="LG18" i="70"/>
  <c r="LF18" i="70"/>
  <c r="LE18" i="70"/>
  <c r="LD18" i="70"/>
  <c r="LC18" i="70"/>
  <c r="LB18" i="70"/>
  <c r="LA18" i="70"/>
  <c r="KZ18" i="70"/>
  <c r="KY18" i="70"/>
  <c r="KX18" i="70"/>
  <c r="KW18" i="70"/>
  <c r="KV18" i="70"/>
  <c r="KU18" i="70"/>
  <c r="KT18" i="70"/>
  <c r="KS18" i="70"/>
  <c r="KR18" i="70"/>
  <c r="KQ18" i="70"/>
  <c r="KP18" i="70"/>
  <c r="KO18" i="70"/>
  <c r="KN18" i="70"/>
  <c r="KM18" i="70"/>
  <c r="KL18" i="70"/>
  <c r="KK18" i="70"/>
  <c r="KJ18" i="70"/>
  <c r="KI18" i="70"/>
  <c r="KH18" i="70"/>
  <c r="KG18" i="70"/>
  <c r="KF18" i="70"/>
  <c r="KE18" i="70"/>
  <c r="KD18" i="70"/>
  <c r="KC18" i="70"/>
  <c r="KB18" i="70"/>
  <c r="KA18" i="70"/>
  <c r="JZ18" i="70"/>
  <c r="JY18" i="70"/>
  <c r="JX18" i="70"/>
  <c r="JW18" i="70"/>
  <c r="JV18" i="70"/>
  <c r="JU18" i="70"/>
  <c r="JT18" i="70"/>
  <c r="JS18" i="70"/>
  <c r="JR18" i="70"/>
  <c r="JQ18" i="70"/>
  <c r="JP18" i="70"/>
  <c r="JO18" i="70"/>
  <c r="JN18" i="70"/>
  <c r="JM18" i="70"/>
  <c r="JL18" i="70"/>
  <c r="JK18" i="70"/>
  <c r="JJ18" i="70"/>
  <c r="JI18" i="70"/>
  <c r="JH18" i="70"/>
  <c r="JG18" i="70"/>
  <c r="JF18" i="70"/>
  <c r="JE18" i="70"/>
  <c r="JD18" i="70"/>
  <c r="JC18" i="70"/>
  <c r="JB18" i="70"/>
  <c r="JA18" i="70"/>
  <c r="IZ18" i="70"/>
  <c r="IY18" i="70"/>
  <c r="IX18" i="70"/>
  <c r="IW18" i="70"/>
  <c r="IV18" i="70"/>
  <c r="IU18" i="70"/>
  <c r="IT18" i="70"/>
  <c r="IS18" i="70"/>
  <c r="IR18" i="70"/>
  <c r="IQ18" i="70"/>
  <c r="IP18" i="70"/>
  <c r="IO18" i="70"/>
  <c r="IN18" i="70"/>
  <c r="IM18" i="70"/>
  <c r="IL18" i="70"/>
  <c r="IK18" i="70"/>
  <c r="IJ18" i="70"/>
  <c r="II18" i="70"/>
  <c r="IH18" i="70"/>
  <c r="IG18" i="70"/>
  <c r="IF18" i="70"/>
  <c r="IE18" i="70"/>
  <c r="ID18" i="70"/>
  <c r="IC18" i="70"/>
  <c r="IB18" i="70"/>
  <c r="IA18" i="70"/>
  <c r="HZ18" i="70"/>
  <c r="HY18" i="70"/>
  <c r="HX18" i="70"/>
  <c r="HW18" i="70"/>
  <c r="HV18" i="70"/>
  <c r="HU18" i="70"/>
  <c r="HT18" i="70"/>
  <c r="HS18" i="70"/>
  <c r="HR18" i="70"/>
  <c r="HQ18" i="70"/>
  <c r="HP18" i="70"/>
  <c r="HO18" i="70"/>
  <c r="HN18" i="70"/>
  <c r="HM18" i="70"/>
  <c r="HL18" i="70"/>
  <c r="HK18" i="70"/>
  <c r="HJ18" i="70"/>
  <c r="HI18" i="70"/>
  <c r="HH18" i="70"/>
  <c r="HG18" i="70"/>
  <c r="HF18" i="70"/>
  <c r="HE18" i="70"/>
  <c r="HD18" i="70"/>
  <c r="HC18" i="70"/>
  <c r="HB18" i="70"/>
  <c r="HA18" i="70"/>
  <c r="GZ18" i="70"/>
  <c r="GY18" i="70"/>
  <c r="GX18" i="70"/>
  <c r="GW18" i="70"/>
  <c r="GV18" i="70"/>
  <c r="GU18" i="70"/>
  <c r="GT18" i="70"/>
  <c r="GS18" i="70"/>
  <c r="GR18" i="70"/>
  <c r="GQ18" i="70"/>
  <c r="GP18" i="70"/>
  <c r="GO18" i="70"/>
  <c r="GN18" i="70"/>
  <c r="GM18" i="70"/>
  <c r="GL18" i="70"/>
  <c r="GK18" i="70"/>
  <c r="GJ18" i="70"/>
  <c r="GI18" i="70"/>
  <c r="GH18" i="70"/>
  <c r="GG18" i="70"/>
  <c r="GF18" i="70"/>
  <c r="GE18" i="70"/>
  <c r="GD18" i="70"/>
  <c r="GC18" i="70"/>
  <c r="GB18" i="70"/>
  <c r="GA18" i="70"/>
  <c r="FZ18" i="70"/>
  <c r="FY18" i="70"/>
  <c r="FX18" i="70"/>
  <c r="FW18" i="70"/>
  <c r="FV18" i="70"/>
  <c r="FU18" i="70"/>
  <c r="FT18" i="70"/>
  <c r="FS18" i="70"/>
  <c r="FR18" i="70"/>
  <c r="FQ18" i="70"/>
  <c r="FP18" i="70"/>
  <c r="FO18" i="70"/>
  <c r="LW17" i="70"/>
  <c r="LV17" i="70"/>
  <c r="LU17" i="70"/>
  <c r="LT17" i="70"/>
  <c r="LS17" i="70"/>
  <c r="LR17" i="70"/>
  <c r="LQ17" i="70"/>
  <c r="LP17" i="70"/>
  <c r="LO17" i="70"/>
  <c r="LN17" i="70"/>
  <c r="LM17" i="70"/>
  <c r="LL17" i="70"/>
  <c r="LK17" i="70"/>
  <c r="LJ17" i="70"/>
  <c r="LI17" i="70"/>
  <c r="LH17" i="70"/>
  <c r="LG17" i="70"/>
  <c r="LF17" i="70"/>
  <c r="LE17" i="70"/>
  <c r="LD17" i="70"/>
  <c r="LC17" i="70"/>
  <c r="LB17" i="70"/>
  <c r="LA17" i="70"/>
  <c r="KZ17" i="70"/>
  <c r="KY17" i="70"/>
  <c r="KX17" i="70"/>
  <c r="KW17" i="70"/>
  <c r="KV17" i="70"/>
  <c r="KU17" i="70"/>
  <c r="KT17" i="70"/>
  <c r="KS17" i="70"/>
  <c r="KR17" i="70"/>
  <c r="KQ17" i="70"/>
  <c r="KP17" i="70"/>
  <c r="KO17" i="70"/>
  <c r="KN17" i="70"/>
  <c r="KM17" i="70"/>
  <c r="KL17" i="70"/>
  <c r="KK17" i="70"/>
  <c r="KJ17" i="70"/>
  <c r="KI17" i="70"/>
  <c r="KH17" i="70"/>
  <c r="KG17" i="70"/>
  <c r="KF17" i="70"/>
  <c r="KE17" i="70"/>
  <c r="KD17" i="70"/>
  <c r="KC17" i="70"/>
  <c r="KB17" i="70"/>
  <c r="KA17" i="70"/>
  <c r="JZ17" i="70"/>
  <c r="JY17" i="70"/>
  <c r="JX17" i="70"/>
  <c r="JW17" i="70"/>
  <c r="JV17" i="70"/>
  <c r="JU17" i="70"/>
  <c r="JT17" i="70"/>
  <c r="JS17" i="70"/>
  <c r="JR17" i="70"/>
  <c r="JQ17" i="70"/>
  <c r="JP17" i="70"/>
  <c r="JO17" i="70"/>
  <c r="JN17" i="70"/>
  <c r="JM17" i="70"/>
  <c r="JL17" i="70"/>
  <c r="JK17" i="70"/>
  <c r="JJ17" i="70"/>
  <c r="JI17" i="70"/>
  <c r="JH17" i="70"/>
  <c r="JG17" i="70"/>
  <c r="JF17" i="70"/>
  <c r="JE17" i="70"/>
  <c r="JD17" i="70"/>
  <c r="JC17" i="70"/>
  <c r="JB17" i="70"/>
  <c r="JA17" i="70"/>
  <c r="IZ17" i="70"/>
  <c r="IY17" i="70"/>
  <c r="IX17" i="70"/>
  <c r="IW17" i="70"/>
  <c r="IV17" i="70"/>
  <c r="IU17" i="70"/>
  <c r="IT17" i="70"/>
  <c r="IS17" i="70"/>
  <c r="IR17" i="70"/>
  <c r="IQ17" i="70"/>
  <c r="IP17" i="70"/>
  <c r="IO17" i="70"/>
  <c r="IN17" i="70"/>
  <c r="IM17" i="70"/>
  <c r="IL17" i="70"/>
  <c r="IK17" i="70"/>
  <c r="IJ17" i="70"/>
  <c r="II17" i="70"/>
  <c r="IH17" i="70"/>
  <c r="IG17" i="70"/>
  <c r="IF17" i="70"/>
  <c r="IE17" i="70"/>
  <c r="ID17" i="70"/>
  <c r="IC17" i="70"/>
  <c r="IB17" i="70"/>
  <c r="IA17" i="70"/>
  <c r="HZ17" i="70"/>
  <c r="HY17" i="70"/>
  <c r="HX17" i="70"/>
  <c r="HW17" i="70"/>
  <c r="HV17" i="70"/>
  <c r="HU17" i="70"/>
  <c r="HT17" i="70"/>
  <c r="HS17" i="70"/>
  <c r="HR17" i="70"/>
  <c r="HQ17" i="70"/>
  <c r="HP17" i="70"/>
  <c r="HO17" i="70"/>
  <c r="HN17" i="70"/>
  <c r="HM17" i="70"/>
  <c r="HL17" i="70"/>
  <c r="HK17" i="70"/>
  <c r="HJ17" i="70"/>
  <c r="HI17" i="70"/>
  <c r="HH17" i="70"/>
  <c r="HG17" i="70"/>
  <c r="HF17" i="70"/>
  <c r="HE17" i="70"/>
  <c r="HD17" i="70"/>
  <c r="HC17" i="70"/>
  <c r="HB17" i="70"/>
  <c r="HA17" i="70"/>
  <c r="GZ17" i="70"/>
  <c r="GY17" i="70"/>
  <c r="GX17" i="70"/>
  <c r="GW17" i="70"/>
  <c r="GV17" i="70"/>
  <c r="GU17" i="70"/>
  <c r="GT17" i="70"/>
  <c r="GS17" i="70"/>
  <c r="GR17" i="70"/>
  <c r="GQ17" i="70"/>
  <c r="GP17" i="70"/>
  <c r="GO17" i="70"/>
  <c r="GN17" i="70"/>
  <c r="GM17" i="70"/>
  <c r="GL17" i="70"/>
  <c r="GK17" i="70"/>
  <c r="GJ17" i="70"/>
  <c r="GI17" i="70"/>
  <c r="GH17" i="70"/>
  <c r="GG17" i="70"/>
  <c r="GF17" i="70"/>
  <c r="GE17" i="70"/>
  <c r="GD17" i="70"/>
  <c r="GC17" i="70"/>
  <c r="GB17" i="70"/>
  <c r="GA17" i="70"/>
  <c r="FZ17" i="70"/>
  <c r="FY17" i="70"/>
  <c r="FX17" i="70"/>
  <c r="FW17" i="70"/>
  <c r="FV17" i="70"/>
  <c r="FU17" i="70"/>
  <c r="FT17" i="70"/>
  <c r="FS17" i="70"/>
  <c r="FR17" i="70"/>
  <c r="FQ17" i="70"/>
  <c r="FP17" i="70"/>
  <c r="FO17" i="70"/>
  <c r="LW16" i="70"/>
  <c r="LV16" i="70"/>
  <c r="LU16" i="70"/>
  <c r="LT16" i="70"/>
  <c r="LS16" i="70"/>
  <c r="LR16" i="70"/>
  <c r="LQ16" i="70"/>
  <c r="LP16" i="70"/>
  <c r="LO16" i="70"/>
  <c r="LN16" i="70"/>
  <c r="LM16" i="70"/>
  <c r="LL16" i="70"/>
  <c r="LK16" i="70"/>
  <c r="LJ16" i="70"/>
  <c r="LI16" i="70"/>
  <c r="LH16" i="70"/>
  <c r="LG16" i="70"/>
  <c r="LF16" i="70"/>
  <c r="LE16" i="70"/>
  <c r="LD16" i="70"/>
  <c r="LC16" i="70"/>
  <c r="LB16" i="70"/>
  <c r="LA16" i="70"/>
  <c r="KZ16" i="70"/>
  <c r="KY16" i="70"/>
  <c r="KX16" i="70"/>
  <c r="KW16" i="70"/>
  <c r="KV16" i="70"/>
  <c r="KU16" i="70"/>
  <c r="KT16" i="70"/>
  <c r="KS16" i="70"/>
  <c r="KR16" i="70"/>
  <c r="KQ16" i="70"/>
  <c r="KP16" i="70"/>
  <c r="KO16" i="70"/>
  <c r="KN16" i="70"/>
  <c r="KM16" i="70"/>
  <c r="KL16" i="70"/>
  <c r="KK16" i="70"/>
  <c r="KJ16" i="70"/>
  <c r="KI16" i="70"/>
  <c r="KH16" i="70"/>
  <c r="KG16" i="70"/>
  <c r="KF16" i="70"/>
  <c r="KE16" i="70"/>
  <c r="KD16" i="70"/>
  <c r="KC16" i="70"/>
  <c r="KB16" i="70"/>
  <c r="KA16" i="70"/>
  <c r="JZ16" i="70"/>
  <c r="JY16" i="70"/>
  <c r="JX16" i="70"/>
  <c r="JW16" i="70"/>
  <c r="JV16" i="70"/>
  <c r="JU16" i="70"/>
  <c r="JT16" i="70"/>
  <c r="JS16" i="70"/>
  <c r="JR16" i="70"/>
  <c r="JQ16" i="70"/>
  <c r="JP16" i="70"/>
  <c r="JO16" i="70"/>
  <c r="JN16" i="70"/>
  <c r="JM16" i="70"/>
  <c r="JL16" i="70"/>
  <c r="JK16" i="70"/>
  <c r="JJ16" i="70"/>
  <c r="JI16" i="70"/>
  <c r="JH16" i="70"/>
  <c r="JG16" i="70"/>
  <c r="JF16" i="70"/>
  <c r="JE16" i="70"/>
  <c r="JD16" i="70"/>
  <c r="JC16" i="70"/>
  <c r="JB16" i="70"/>
  <c r="JA16" i="70"/>
  <c r="IZ16" i="70"/>
  <c r="IY16" i="70"/>
  <c r="IX16" i="70"/>
  <c r="IW16" i="70"/>
  <c r="IV16" i="70"/>
  <c r="IU16" i="70"/>
  <c r="IT16" i="70"/>
  <c r="IS16" i="70"/>
  <c r="IR16" i="70"/>
  <c r="IQ16" i="70"/>
  <c r="IP16" i="70"/>
  <c r="IO16" i="70"/>
  <c r="IN16" i="70"/>
  <c r="IM16" i="70"/>
  <c r="IL16" i="70"/>
  <c r="IK16" i="70"/>
  <c r="IJ16" i="70"/>
  <c r="II16" i="70"/>
  <c r="IH16" i="70"/>
  <c r="IG16" i="70"/>
  <c r="IF16" i="70"/>
  <c r="IE16" i="70"/>
  <c r="ID16" i="70"/>
  <c r="IC16" i="70"/>
  <c r="IB16" i="70"/>
  <c r="IA16" i="70"/>
  <c r="HZ16" i="70"/>
  <c r="HY16" i="70"/>
  <c r="HX16" i="70"/>
  <c r="HW16" i="70"/>
  <c r="HV16" i="70"/>
  <c r="HU16" i="70"/>
  <c r="HT16" i="70"/>
  <c r="HS16" i="70"/>
  <c r="HR16" i="70"/>
  <c r="HQ16" i="70"/>
  <c r="HP16" i="70"/>
  <c r="HO16" i="70"/>
  <c r="HN16" i="70"/>
  <c r="HM16" i="70"/>
  <c r="HL16" i="70"/>
  <c r="HK16" i="70"/>
  <c r="HJ16" i="70"/>
  <c r="HI16" i="70"/>
  <c r="HH16" i="70"/>
  <c r="HG16" i="70"/>
  <c r="HF16" i="70"/>
  <c r="HE16" i="70"/>
  <c r="HD16" i="70"/>
  <c r="HC16" i="70"/>
  <c r="HB16" i="70"/>
  <c r="HA16" i="70"/>
  <c r="GZ16" i="70"/>
  <c r="GY16" i="70"/>
  <c r="GX16" i="70"/>
  <c r="GW16" i="70"/>
  <c r="GV16" i="70"/>
  <c r="GU16" i="70"/>
  <c r="GT16" i="70"/>
  <c r="GS16" i="70"/>
  <c r="GR16" i="70"/>
  <c r="GQ16" i="70"/>
  <c r="GP16" i="70"/>
  <c r="GO16" i="70"/>
  <c r="GN16" i="70"/>
  <c r="GM16" i="70"/>
  <c r="GL16" i="70"/>
  <c r="GK16" i="70"/>
  <c r="GJ16" i="70"/>
  <c r="GI16" i="70"/>
  <c r="GH16" i="70"/>
  <c r="GG16" i="70"/>
  <c r="GF16" i="70"/>
  <c r="GE16" i="70"/>
  <c r="GD16" i="70"/>
  <c r="GC16" i="70"/>
  <c r="GB16" i="70"/>
  <c r="GA16" i="70"/>
  <c r="FZ16" i="70"/>
  <c r="FY16" i="70"/>
  <c r="FX16" i="70"/>
  <c r="FW16" i="70"/>
  <c r="FV16" i="70"/>
  <c r="FU16" i="70"/>
  <c r="FT16" i="70"/>
  <c r="FS16" i="70"/>
  <c r="FR16" i="70"/>
  <c r="FQ16" i="70"/>
  <c r="FP16" i="70"/>
  <c r="FO16" i="70"/>
  <c r="LW15" i="70"/>
  <c r="LV15" i="70"/>
  <c r="LU15" i="70"/>
  <c r="LT15" i="70"/>
  <c r="LS15" i="70"/>
  <c r="LR15" i="70"/>
  <c r="LQ15" i="70"/>
  <c r="LP15" i="70"/>
  <c r="LO15" i="70"/>
  <c r="LN15" i="70"/>
  <c r="LM15" i="70"/>
  <c r="LL15" i="70"/>
  <c r="LK15" i="70"/>
  <c r="LJ15" i="70"/>
  <c r="LI15" i="70"/>
  <c r="LH15" i="70"/>
  <c r="LG15" i="70"/>
  <c r="LF15" i="70"/>
  <c r="LE15" i="70"/>
  <c r="LD15" i="70"/>
  <c r="LC15" i="70"/>
  <c r="LB15" i="70"/>
  <c r="LA15" i="70"/>
  <c r="KZ15" i="70"/>
  <c r="KY15" i="70"/>
  <c r="KX15" i="70"/>
  <c r="KW15" i="70"/>
  <c r="KV15" i="70"/>
  <c r="KU15" i="70"/>
  <c r="KT15" i="70"/>
  <c r="KS15" i="70"/>
  <c r="KR15" i="70"/>
  <c r="KQ15" i="70"/>
  <c r="KP15" i="70"/>
  <c r="KO15" i="70"/>
  <c r="KN15" i="70"/>
  <c r="KM15" i="70"/>
  <c r="KL15" i="70"/>
  <c r="KK15" i="70"/>
  <c r="KJ15" i="70"/>
  <c r="KI15" i="70"/>
  <c r="KH15" i="70"/>
  <c r="KG15" i="70"/>
  <c r="KF15" i="70"/>
  <c r="KE15" i="70"/>
  <c r="KD15" i="70"/>
  <c r="KC15" i="70"/>
  <c r="KB15" i="70"/>
  <c r="KA15" i="70"/>
  <c r="JZ15" i="70"/>
  <c r="JY15" i="70"/>
  <c r="JX15" i="70"/>
  <c r="JW15" i="70"/>
  <c r="JV15" i="70"/>
  <c r="JU15" i="70"/>
  <c r="JT15" i="70"/>
  <c r="JS15" i="70"/>
  <c r="JR15" i="70"/>
  <c r="JQ15" i="70"/>
  <c r="JP15" i="70"/>
  <c r="JO15" i="70"/>
  <c r="JN15" i="70"/>
  <c r="JM15" i="70"/>
  <c r="JL15" i="70"/>
  <c r="JK15" i="70"/>
  <c r="JJ15" i="70"/>
  <c r="JI15" i="70"/>
  <c r="JH15" i="70"/>
  <c r="JG15" i="70"/>
  <c r="JF15" i="70"/>
  <c r="JE15" i="70"/>
  <c r="JD15" i="70"/>
  <c r="JC15" i="70"/>
  <c r="JB15" i="70"/>
  <c r="JA15" i="70"/>
  <c r="IZ15" i="70"/>
  <c r="IY15" i="70"/>
  <c r="IX15" i="70"/>
  <c r="IW15" i="70"/>
  <c r="IV15" i="70"/>
  <c r="IU15" i="70"/>
  <c r="IT15" i="70"/>
  <c r="IS15" i="70"/>
  <c r="IR15" i="70"/>
  <c r="IQ15" i="70"/>
  <c r="IP15" i="70"/>
  <c r="IO15" i="70"/>
  <c r="IN15" i="70"/>
  <c r="IM15" i="70"/>
  <c r="IL15" i="70"/>
  <c r="IK15" i="70"/>
  <c r="IJ15" i="70"/>
  <c r="II15" i="70"/>
  <c r="IH15" i="70"/>
  <c r="IG15" i="70"/>
  <c r="IF15" i="70"/>
  <c r="IE15" i="70"/>
  <c r="ID15" i="70"/>
  <c r="IC15" i="70"/>
  <c r="IB15" i="70"/>
  <c r="IA15" i="70"/>
  <c r="HZ15" i="70"/>
  <c r="HY15" i="70"/>
  <c r="HX15" i="70"/>
  <c r="HW15" i="70"/>
  <c r="HV15" i="70"/>
  <c r="HU15" i="70"/>
  <c r="HT15" i="70"/>
  <c r="HS15" i="70"/>
  <c r="HR15" i="70"/>
  <c r="HQ15" i="70"/>
  <c r="HP15" i="70"/>
  <c r="HO15" i="70"/>
  <c r="HN15" i="70"/>
  <c r="HM15" i="70"/>
  <c r="HL15" i="70"/>
  <c r="HK15" i="70"/>
  <c r="HJ15" i="70"/>
  <c r="HI15" i="70"/>
  <c r="HH15" i="70"/>
  <c r="HG15" i="70"/>
  <c r="HF15" i="70"/>
  <c r="HE15" i="70"/>
  <c r="HD15" i="70"/>
  <c r="HC15" i="70"/>
  <c r="HB15" i="70"/>
  <c r="HA15" i="70"/>
  <c r="GZ15" i="70"/>
  <c r="GY15" i="70"/>
  <c r="GX15" i="70"/>
  <c r="GW15" i="70"/>
  <c r="GV15" i="70"/>
  <c r="GU15" i="70"/>
  <c r="GT15" i="70"/>
  <c r="GS15" i="70"/>
  <c r="GR15" i="70"/>
  <c r="GQ15" i="70"/>
  <c r="GP15" i="70"/>
  <c r="GO15" i="70"/>
  <c r="GN15" i="70"/>
  <c r="GM15" i="70"/>
  <c r="GL15" i="70"/>
  <c r="GK15" i="70"/>
  <c r="GJ15" i="70"/>
  <c r="GI15" i="70"/>
  <c r="GH15" i="70"/>
  <c r="GG15" i="70"/>
  <c r="GF15" i="70"/>
  <c r="GE15" i="70"/>
  <c r="GD15" i="70"/>
  <c r="GC15" i="70"/>
  <c r="GB15" i="70"/>
  <c r="GA15" i="70"/>
  <c r="FZ15" i="70"/>
  <c r="FY15" i="70"/>
  <c r="FX15" i="70"/>
  <c r="FW15" i="70"/>
  <c r="FV15" i="70"/>
  <c r="FU15" i="70"/>
  <c r="FT15" i="70"/>
  <c r="FS15" i="70"/>
  <c r="FR15" i="70"/>
  <c r="FQ15" i="70"/>
  <c r="FP15" i="70"/>
  <c r="FO15" i="70"/>
  <c r="LW14" i="70"/>
  <c r="LV14" i="70"/>
  <c r="LU14" i="70"/>
  <c r="LT14" i="70"/>
  <c r="LS14" i="70"/>
  <c r="LR14" i="70"/>
  <c r="LQ14" i="70"/>
  <c r="LP14" i="70"/>
  <c r="LO14" i="70"/>
  <c r="LN14" i="70"/>
  <c r="LM14" i="70"/>
  <c r="LL14" i="70"/>
  <c r="LK14" i="70"/>
  <c r="LJ14" i="70"/>
  <c r="LI14" i="70"/>
  <c r="LH14" i="70"/>
  <c r="LG14" i="70"/>
  <c r="LF14" i="70"/>
  <c r="LE14" i="70"/>
  <c r="LD14" i="70"/>
  <c r="LC14" i="70"/>
  <c r="LB14" i="70"/>
  <c r="LA14" i="70"/>
  <c r="KZ14" i="70"/>
  <c r="KY14" i="70"/>
  <c r="KX14" i="70"/>
  <c r="KW14" i="70"/>
  <c r="KV14" i="70"/>
  <c r="KU14" i="70"/>
  <c r="KT14" i="70"/>
  <c r="KS14" i="70"/>
  <c r="KR14" i="70"/>
  <c r="KQ14" i="70"/>
  <c r="KP14" i="70"/>
  <c r="KO14" i="70"/>
  <c r="KN14" i="70"/>
  <c r="KM14" i="70"/>
  <c r="KL14" i="70"/>
  <c r="KK14" i="70"/>
  <c r="KJ14" i="70"/>
  <c r="KI14" i="70"/>
  <c r="KH14" i="70"/>
  <c r="KG14" i="70"/>
  <c r="KF14" i="70"/>
  <c r="KE14" i="70"/>
  <c r="KD14" i="70"/>
  <c r="KC14" i="70"/>
  <c r="KB14" i="70"/>
  <c r="KA14" i="70"/>
  <c r="JZ14" i="70"/>
  <c r="JY14" i="70"/>
  <c r="JX14" i="70"/>
  <c r="JW14" i="70"/>
  <c r="JV14" i="70"/>
  <c r="JU14" i="70"/>
  <c r="JT14" i="70"/>
  <c r="JS14" i="70"/>
  <c r="JR14" i="70"/>
  <c r="JQ14" i="70"/>
  <c r="JP14" i="70"/>
  <c r="JO14" i="70"/>
  <c r="JN14" i="70"/>
  <c r="JM14" i="70"/>
  <c r="JL14" i="70"/>
  <c r="JK14" i="70"/>
  <c r="JJ14" i="70"/>
  <c r="JI14" i="70"/>
  <c r="JH14" i="70"/>
  <c r="JG14" i="70"/>
  <c r="JF14" i="70"/>
  <c r="JE14" i="70"/>
  <c r="JD14" i="70"/>
  <c r="JC14" i="70"/>
  <c r="JB14" i="70"/>
  <c r="JA14" i="70"/>
  <c r="IZ14" i="70"/>
  <c r="IY14" i="70"/>
  <c r="IX14" i="70"/>
  <c r="IW14" i="70"/>
  <c r="IV14" i="70"/>
  <c r="IU14" i="70"/>
  <c r="IT14" i="70"/>
  <c r="IS14" i="70"/>
  <c r="IR14" i="70"/>
  <c r="IQ14" i="70"/>
  <c r="IP14" i="70"/>
  <c r="IO14" i="70"/>
  <c r="IN14" i="70"/>
  <c r="IM14" i="70"/>
  <c r="IL14" i="70"/>
  <c r="IK14" i="70"/>
  <c r="IJ14" i="70"/>
  <c r="II14" i="70"/>
  <c r="IH14" i="70"/>
  <c r="IG14" i="70"/>
  <c r="IF14" i="70"/>
  <c r="IE14" i="70"/>
  <c r="ID14" i="70"/>
  <c r="IC14" i="70"/>
  <c r="IB14" i="70"/>
  <c r="IA14" i="70"/>
  <c r="HZ14" i="70"/>
  <c r="HY14" i="70"/>
  <c r="HX14" i="70"/>
  <c r="HW14" i="70"/>
  <c r="HV14" i="70"/>
  <c r="HU14" i="70"/>
  <c r="HT14" i="70"/>
  <c r="HS14" i="70"/>
  <c r="HR14" i="70"/>
  <c r="HQ14" i="70"/>
  <c r="HP14" i="70"/>
  <c r="HO14" i="70"/>
  <c r="HN14" i="70"/>
  <c r="HM14" i="70"/>
  <c r="HL14" i="70"/>
  <c r="HK14" i="70"/>
  <c r="HJ14" i="70"/>
  <c r="HI14" i="70"/>
  <c r="HH14" i="70"/>
  <c r="HG14" i="70"/>
  <c r="HF14" i="70"/>
  <c r="HE14" i="70"/>
  <c r="HD14" i="70"/>
  <c r="HC14" i="70"/>
  <c r="HB14" i="70"/>
  <c r="HA14" i="70"/>
  <c r="GZ14" i="70"/>
  <c r="GY14" i="70"/>
  <c r="GX14" i="70"/>
  <c r="GW14" i="70"/>
  <c r="GV14" i="70"/>
  <c r="GU14" i="70"/>
  <c r="GT14" i="70"/>
  <c r="GS14" i="70"/>
  <c r="GR14" i="70"/>
  <c r="GQ14" i="70"/>
  <c r="GP14" i="70"/>
  <c r="GO14" i="70"/>
  <c r="GN14" i="70"/>
  <c r="GM14" i="70"/>
  <c r="GL14" i="70"/>
  <c r="GK14" i="70"/>
  <c r="GJ14" i="70"/>
  <c r="GI14" i="70"/>
  <c r="GH14" i="70"/>
  <c r="GG14" i="70"/>
  <c r="GF14" i="70"/>
  <c r="GE14" i="70"/>
  <c r="GD14" i="70"/>
  <c r="GC14" i="70"/>
  <c r="GB14" i="70"/>
  <c r="GA14" i="70"/>
  <c r="FZ14" i="70"/>
  <c r="FY14" i="70"/>
  <c r="FX14" i="70"/>
  <c r="FW14" i="70"/>
  <c r="FV14" i="70"/>
  <c r="FU14" i="70"/>
  <c r="FT14" i="70"/>
  <c r="FS14" i="70"/>
  <c r="FR14" i="70"/>
  <c r="FQ14" i="70"/>
  <c r="FP14" i="70"/>
  <c r="FO14" i="70"/>
  <c r="LW13" i="70"/>
  <c r="LV13" i="70"/>
  <c r="LU13" i="70"/>
  <c r="LT13" i="70"/>
  <c r="LS13" i="70"/>
  <c r="LR13" i="70"/>
  <c r="LQ13" i="70"/>
  <c r="LP13" i="70"/>
  <c r="LO13" i="70"/>
  <c r="LN13" i="70"/>
  <c r="LM13" i="70"/>
  <c r="LL13" i="70"/>
  <c r="LK13" i="70"/>
  <c r="LJ13" i="70"/>
  <c r="LI13" i="70"/>
  <c r="LH13" i="70"/>
  <c r="LG13" i="70"/>
  <c r="LF13" i="70"/>
  <c r="LE13" i="70"/>
  <c r="LD13" i="70"/>
  <c r="LC13" i="70"/>
  <c r="LB13" i="70"/>
  <c r="LA13" i="70"/>
  <c r="KZ13" i="70"/>
  <c r="KY13" i="70"/>
  <c r="KX13" i="70"/>
  <c r="KW13" i="70"/>
  <c r="KV13" i="70"/>
  <c r="KU13" i="70"/>
  <c r="KT13" i="70"/>
  <c r="KS13" i="70"/>
  <c r="KR13" i="70"/>
  <c r="KQ13" i="70"/>
  <c r="KP13" i="70"/>
  <c r="KO13" i="70"/>
  <c r="KN13" i="70"/>
  <c r="KM13" i="70"/>
  <c r="KL13" i="70"/>
  <c r="KK13" i="70"/>
  <c r="KJ13" i="70"/>
  <c r="KI13" i="70"/>
  <c r="KH13" i="70"/>
  <c r="KG13" i="70"/>
  <c r="KF13" i="70"/>
  <c r="KE13" i="70"/>
  <c r="KD13" i="70"/>
  <c r="KC13" i="70"/>
  <c r="KB13" i="70"/>
  <c r="KA13" i="70"/>
  <c r="JZ13" i="70"/>
  <c r="JY13" i="70"/>
  <c r="JX13" i="70"/>
  <c r="JW13" i="70"/>
  <c r="JV13" i="70"/>
  <c r="JU13" i="70"/>
  <c r="JT13" i="70"/>
  <c r="JS13" i="70"/>
  <c r="JR13" i="70"/>
  <c r="JQ13" i="70"/>
  <c r="JP13" i="70"/>
  <c r="JO13" i="70"/>
  <c r="JN13" i="70"/>
  <c r="JM13" i="70"/>
  <c r="JL13" i="70"/>
  <c r="JK13" i="70"/>
  <c r="JJ13" i="70"/>
  <c r="JI13" i="70"/>
  <c r="JH13" i="70"/>
  <c r="JG13" i="70"/>
  <c r="JF13" i="70"/>
  <c r="JE13" i="70"/>
  <c r="JD13" i="70"/>
  <c r="JC13" i="70"/>
  <c r="JB13" i="70"/>
  <c r="JA13" i="70"/>
  <c r="IZ13" i="70"/>
  <c r="IY13" i="70"/>
  <c r="IX13" i="70"/>
  <c r="IW13" i="70"/>
  <c r="IV13" i="70"/>
  <c r="IU13" i="70"/>
  <c r="IT13" i="70"/>
  <c r="IS13" i="70"/>
  <c r="IR13" i="70"/>
  <c r="IQ13" i="70"/>
  <c r="IP13" i="70"/>
  <c r="IO13" i="70"/>
  <c r="IN13" i="70"/>
  <c r="IM13" i="70"/>
  <c r="IL13" i="70"/>
  <c r="IK13" i="70"/>
  <c r="IJ13" i="70"/>
  <c r="II13" i="70"/>
  <c r="IH13" i="70"/>
  <c r="IG13" i="70"/>
  <c r="IF13" i="70"/>
  <c r="IE13" i="70"/>
  <c r="ID13" i="70"/>
  <c r="IC13" i="70"/>
  <c r="IB13" i="70"/>
  <c r="IA13" i="70"/>
  <c r="HZ13" i="70"/>
  <c r="HY13" i="70"/>
  <c r="HX13" i="70"/>
  <c r="HW13" i="70"/>
  <c r="HV13" i="70"/>
  <c r="HU13" i="70"/>
  <c r="HT13" i="70"/>
  <c r="HS13" i="70"/>
  <c r="HR13" i="70"/>
  <c r="HQ13" i="70"/>
  <c r="HP13" i="70"/>
  <c r="HO13" i="70"/>
  <c r="HN13" i="70"/>
  <c r="HM13" i="70"/>
  <c r="HL13" i="70"/>
  <c r="HK13" i="70"/>
  <c r="HJ13" i="70"/>
  <c r="HI13" i="70"/>
  <c r="HH13" i="70"/>
  <c r="HG13" i="70"/>
  <c r="HF13" i="70"/>
  <c r="HE13" i="70"/>
  <c r="HD13" i="70"/>
  <c r="HC13" i="70"/>
  <c r="HB13" i="70"/>
  <c r="HA13" i="70"/>
  <c r="GZ13" i="70"/>
  <c r="GY13" i="70"/>
  <c r="GX13" i="70"/>
  <c r="GW13" i="70"/>
  <c r="GV13" i="70"/>
  <c r="GU13" i="70"/>
  <c r="GT13" i="70"/>
  <c r="GS13" i="70"/>
  <c r="GR13" i="70"/>
  <c r="GQ13" i="70"/>
  <c r="GP13" i="70"/>
  <c r="GO13" i="70"/>
  <c r="GN13" i="70"/>
  <c r="GM13" i="70"/>
  <c r="GL13" i="70"/>
  <c r="GK13" i="70"/>
  <c r="GJ13" i="70"/>
  <c r="GI13" i="70"/>
  <c r="GH13" i="70"/>
  <c r="GG13" i="70"/>
  <c r="GF13" i="70"/>
  <c r="GE13" i="70"/>
  <c r="GD13" i="70"/>
  <c r="GC13" i="70"/>
  <c r="GB13" i="70"/>
  <c r="GA13" i="70"/>
  <c r="FZ13" i="70"/>
  <c r="FY13" i="70"/>
  <c r="FX13" i="70"/>
  <c r="FW13" i="70"/>
  <c r="FV13" i="70"/>
  <c r="FU13" i="70"/>
  <c r="FT13" i="70"/>
  <c r="FS13" i="70"/>
  <c r="FR13" i="70"/>
  <c r="FQ13" i="70"/>
  <c r="FP13" i="70"/>
  <c r="FO13" i="70"/>
  <c r="LW12" i="70"/>
  <c r="LV12" i="70"/>
  <c r="LU12" i="70"/>
  <c r="LT12" i="70"/>
  <c r="LS12" i="70"/>
  <c r="LR12" i="70"/>
  <c r="LQ12" i="70"/>
  <c r="LP12" i="70"/>
  <c r="LO12" i="70"/>
  <c r="LN12" i="70"/>
  <c r="LM12" i="70"/>
  <c r="LL12" i="70"/>
  <c r="LK12" i="70"/>
  <c r="LJ12" i="70"/>
  <c r="LI12" i="70"/>
  <c r="LH12" i="70"/>
  <c r="LG12" i="70"/>
  <c r="LF12" i="70"/>
  <c r="LE12" i="70"/>
  <c r="LD12" i="70"/>
  <c r="LC12" i="70"/>
  <c r="LB12" i="70"/>
  <c r="LA12" i="70"/>
  <c r="KZ12" i="70"/>
  <c r="KY12" i="70"/>
  <c r="KX12" i="70"/>
  <c r="KW12" i="70"/>
  <c r="KV12" i="70"/>
  <c r="KU12" i="70"/>
  <c r="KT12" i="70"/>
  <c r="KS12" i="70"/>
  <c r="KR12" i="70"/>
  <c r="KQ12" i="70"/>
  <c r="KP12" i="70"/>
  <c r="KO12" i="70"/>
  <c r="KN12" i="70"/>
  <c r="KM12" i="70"/>
  <c r="KL12" i="70"/>
  <c r="KK12" i="70"/>
  <c r="KJ12" i="70"/>
  <c r="KI12" i="70"/>
  <c r="KH12" i="70"/>
  <c r="KG12" i="70"/>
  <c r="KF12" i="70"/>
  <c r="KE12" i="70"/>
  <c r="KD12" i="70"/>
  <c r="KC12" i="70"/>
  <c r="KB12" i="70"/>
  <c r="KA12" i="70"/>
  <c r="JZ12" i="70"/>
  <c r="JY12" i="70"/>
  <c r="JX12" i="70"/>
  <c r="JW12" i="70"/>
  <c r="JV12" i="70"/>
  <c r="JU12" i="70"/>
  <c r="JT12" i="70"/>
  <c r="JS12" i="70"/>
  <c r="JR12" i="70"/>
  <c r="JQ12" i="70"/>
  <c r="JP12" i="70"/>
  <c r="JO12" i="70"/>
  <c r="JN12" i="70"/>
  <c r="JM12" i="70"/>
  <c r="JL12" i="70"/>
  <c r="JK12" i="70"/>
  <c r="JJ12" i="70"/>
  <c r="JI12" i="70"/>
  <c r="JH12" i="70"/>
  <c r="JG12" i="70"/>
  <c r="JF12" i="70"/>
  <c r="JE12" i="70"/>
  <c r="JD12" i="70"/>
  <c r="JC12" i="70"/>
  <c r="JB12" i="70"/>
  <c r="JA12" i="70"/>
  <c r="IZ12" i="70"/>
  <c r="IY12" i="70"/>
  <c r="IX12" i="70"/>
  <c r="IW12" i="70"/>
  <c r="IV12" i="70"/>
  <c r="IU12" i="70"/>
  <c r="IT12" i="70"/>
  <c r="IS12" i="70"/>
  <c r="IR12" i="70"/>
  <c r="IQ12" i="70"/>
  <c r="IP12" i="70"/>
  <c r="IO12" i="70"/>
  <c r="IN12" i="70"/>
  <c r="IM12" i="70"/>
  <c r="IL12" i="70"/>
  <c r="IK12" i="70"/>
  <c r="IJ12" i="70"/>
  <c r="II12" i="70"/>
  <c r="IH12" i="70"/>
  <c r="IG12" i="70"/>
  <c r="IF12" i="70"/>
  <c r="IE12" i="70"/>
  <c r="ID12" i="70"/>
  <c r="IC12" i="70"/>
  <c r="IB12" i="70"/>
  <c r="IA12" i="70"/>
  <c r="HZ12" i="70"/>
  <c r="HY12" i="70"/>
  <c r="HX12" i="70"/>
  <c r="HW12" i="70"/>
  <c r="HV12" i="70"/>
  <c r="HU12" i="70"/>
  <c r="HT12" i="70"/>
  <c r="HS12" i="70"/>
  <c r="HR12" i="70"/>
  <c r="HQ12" i="70"/>
  <c r="HP12" i="70"/>
  <c r="HO12" i="70"/>
  <c r="HN12" i="70"/>
  <c r="HM12" i="70"/>
  <c r="HL12" i="70"/>
  <c r="HK12" i="70"/>
  <c r="HJ12" i="70"/>
  <c r="HI12" i="70"/>
  <c r="HH12" i="70"/>
  <c r="HG12" i="70"/>
  <c r="HF12" i="70"/>
  <c r="HE12" i="70"/>
  <c r="HD12" i="70"/>
  <c r="HC12" i="70"/>
  <c r="HB12" i="70"/>
  <c r="HA12" i="70"/>
  <c r="GZ12" i="70"/>
  <c r="GY12" i="70"/>
  <c r="GX12" i="70"/>
  <c r="GW12" i="70"/>
  <c r="GV12" i="70"/>
  <c r="GU12" i="70"/>
  <c r="GT12" i="70"/>
  <c r="GS12" i="70"/>
  <c r="GR12" i="70"/>
  <c r="GQ12" i="70"/>
  <c r="GP12" i="70"/>
  <c r="GO12" i="70"/>
  <c r="GN12" i="70"/>
  <c r="GM12" i="70"/>
  <c r="GL12" i="70"/>
  <c r="GK12" i="70"/>
  <c r="GJ12" i="70"/>
  <c r="GI12" i="70"/>
  <c r="GH12" i="70"/>
  <c r="GG12" i="70"/>
  <c r="GF12" i="70"/>
  <c r="GE12" i="70"/>
  <c r="GD12" i="70"/>
  <c r="GC12" i="70"/>
  <c r="GB12" i="70"/>
  <c r="GA12" i="70"/>
  <c r="FZ12" i="70"/>
  <c r="FY12" i="70"/>
  <c r="FX12" i="70"/>
  <c r="FW12" i="70"/>
  <c r="FV12" i="70"/>
  <c r="FU12" i="70"/>
  <c r="FT12" i="70"/>
  <c r="FS12" i="70"/>
  <c r="FR12" i="70"/>
  <c r="FQ12" i="70"/>
  <c r="FP12" i="70"/>
  <c r="FO12" i="70"/>
  <c r="LW11" i="70"/>
  <c r="LV11" i="70"/>
  <c r="LU11" i="70"/>
  <c r="LT11" i="70"/>
  <c r="LS11" i="70"/>
  <c r="LR11" i="70"/>
  <c r="LQ11" i="70"/>
  <c r="LP11" i="70"/>
  <c r="LO11" i="70"/>
  <c r="LN11" i="70"/>
  <c r="LM11" i="70"/>
  <c r="LL11" i="70"/>
  <c r="LK11" i="70"/>
  <c r="LJ11" i="70"/>
  <c r="LI11" i="70"/>
  <c r="LH11" i="70"/>
  <c r="LG11" i="70"/>
  <c r="LF11" i="70"/>
  <c r="LE11" i="70"/>
  <c r="LD11" i="70"/>
  <c r="LC11" i="70"/>
  <c r="LB11" i="70"/>
  <c r="LA11" i="70"/>
  <c r="KZ11" i="70"/>
  <c r="KY11" i="70"/>
  <c r="KX11" i="70"/>
  <c r="KW11" i="70"/>
  <c r="KV11" i="70"/>
  <c r="KU11" i="70"/>
  <c r="KT11" i="70"/>
  <c r="KS11" i="70"/>
  <c r="KR11" i="70"/>
  <c r="KQ11" i="70"/>
  <c r="KP11" i="70"/>
  <c r="KO11" i="70"/>
  <c r="KN11" i="70"/>
  <c r="KM11" i="70"/>
  <c r="KL11" i="70"/>
  <c r="KK11" i="70"/>
  <c r="KJ11" i="70"/>
  <c r="KI11" i="70"/>
  <c r="KH11" i="70"/>
  <c r="KG11" i="70"/>
  <c r="KF11" i="70"/>
  <c r="KE11" i="70"/>
  <c r="KD11" i="70"/>
  <c r="KC11" i="70"/>
  <c r="KB11" i="70"/>
  <c r="KA11" i="70"/>
  <c r="JZ11" i="70"/>
  <c r="JY11" i="70"/>
  <c r="JX11" i="70"/>
  <c r="JW11" i="70"/>
  <c r="JV11" i="70"/>
  <c r="JU11" i="70"/>
  <c r="JT11" i="70"/>
  <c r="JS11" i="70"/>
  <c r="JR11" i="70"/>
  <c r="JQ11" i="70"/>
  <c r="JP11" i="70"/>
  <c r="JO11" i="70"/>
  <c r="JN11" i="70"/>
  <c r="JM11" i="70"/>
  <c r="JL11" i="70"/>
  <c r="JK11" i="70"/>
  <c r="JJ11" i="70"/>
  <c r="JI11" i="70"/>
  <c r="JH11" i="70"/>
  <c r="JG11" i="70"/>
  <c r="JF11" i="70"/>
  <c r="JE11" i="70"/>
  <c r="JD11" i="70"/>
  <c r="JC11" i="70"/>
  <c r="JB11" i="70"/>
  <c r="JA11" i="70"/>
  <c r="IZ11" i="70"/>
  <c r="IY11" i="70"/>
  <c r="IX11" i="70"/>
  <c r="IW11" i="70"/>
  <c r="IV11" i="70"/>
  <c r="IU11" i="70"/>
  <c r="IT11" i="70"/>
  <c r="IS11" i="70"/>
  <c r="IR11" i="70"/>
  <c r="IQ11" i="70"/>
  <c r="IP11" i="70"/>
  <c r="IO11" i="70"/>
  <c r="IN11" i="70"/>
  <c r="IM11" i="70"/>
  <c r="IL11" i="70"/>
  <c r="IK11" i="70"/>
  <c r="IJ11" i="70"/>
  <c r="II11" i="70"/>
  <c r="IH11" i="70"/>
  <c r="IG11" i="70"/>
  <c r="IF11" i="70"/>
  <c r="IE11" i="70"/>
  <c r="ID11" i="70"/>
  <c r="IC11" i="70"/>
  <c r="IB11" i="70"/>
  <c r="IA11" i="70"/>
  <c r="HZ11" i="70"/>
  <c r="HY11" i="70"/>
  <c r="HX11" i="70"/>
  <c r="HW11" i="70"/>
  <c r="HV11" i="70"/>
  <c r="HU11" i="70"/>
  <c r="HT11" i="70"/>
  <c r="HS11" i="70"/>
  <c r="HR11" i="70"/>
  <c r="HQ11" i="70"/>
  <c r="HP11" i="70"/>
  <c r="HO11" i="70"/>
  <c r="HN11" i="70"/>
  <c r="HM11" i="70"/>
  <c r="HL11" i="70"/>
  <c r="HK11" i="70"/>
  <c r="HJ11" i="70"/>
  <c r="HI11" i="70"/>
  <c r="HH11" i="70"/>
  <c r="HG11" i="70"/>
  <c r="HF11" i="70"/>
  <c r="HE11" i="70"/>
  <c r="HD11" i="70"/>
  <c r="HC11" i="70"/>
  <c r="HB11" i="70"/>
  <c r="HA11" i="70"/>
  <c r="GZ11" i="70"/>
  <c r="GY11" i="70"/>
  <c r="GX11" i="70"/>
  <c r="GW11" i="70"/>
  <c r="GV11" i="70"/>
  <c r="GU11" i="70"/>
  <c r="GT11" i="70"/>
  <c r="GS11" i="70"/>
  <c r="GR11" i="70"/>
  <c r="GQ11" i="70"/>
  <c r="GP11" i="70"/>
  <c r="GO11" i="70"/>
  <c r="GN11" i="70"/>
  <c r="GM11" i="70"/>
  <c r="GL11" i="70"/>
  <c r="GK11" i="70"/>
  <c r="GJ11" i="70"/>
  <c r="GI11" i="70"/>
  <c r="GH11" i="70"/>
  <c r="GG11" i="70"/>
  <c r="GF11" i="70"/>
  <c r="GE11" i="70"/>
  <c r="GD11" i="70"/>
  <c r="GC11" i="70"/>
  <c r="GB11" i="70"/>
  <c r="GA11" i="70"/>
  <c r="FZ11" i="70"/>
  <c r="FY11" i="70"/>
  <c r="FX11" i="70"/>
  <c r="FW11" i="70"/>
  <c r="FV11" i="70"/>
  <c r="FU11" i="70"/>
  <c r="FT11" i="70"/>
  <c r="FS11" i="70"/>
  <c r="FR11" i="70"/>
  <c r="FQ11" i="70"/>
  <c r="FP11" i="70"/>
  <c r="FO11" i="70"/>
  <c r="LW10" i="70"/>
  <c r="LV10" i="70"/>
  <c r="LU10" i="70"/>
  <c r="LT10" i="70"/>
  <c r="LS10" i="70"/>
  <c r="LR10" i="70"/>
  <c r="LQ10" i="70"/>
  <c r="LP10" i="70"/>
  <c r="LO10" i="70"/>
  <c r="LN10" i="70"/>
  <c r="LM10" i="70"/>
  <c r="LL10" i="70"/>
  <c r="LK10" i="70"/>
  <c r="LJ10" i="70"/>
  <c r="LI10" i="70"/>
  <c r="LH10" i="70"/>
  <c r="LG10" i="70"/>
  <c r="LF10" i="70"/>
  <c r="LE10" i="70"/>
  <c r="LD10" i="70"/>
  <c r="LC10" i="70"/>
  <c r="LB10" i="70"/>
  <c r="LA10" i="70"/>
  <c r="KZ10" i="70"/>
  <c r="KY10" i="70"/>
  <c r="KX10" i="70"/>
  <c r="KW10" i="70"/>
  <c r="KV10" i="70"/>
  <c r="KU10" i="70"/>
  <c r="KT10" i="70"/>
  <c r="KS10" i="70"/>
  <c r="KR10" i="70"/>
  <c r="KQ10" i="70"/>
  <c r="KP10" i="70"/>
  <c r="KO10" i="70"/>
  <c r="KN10" i="70"/>
  <c r="KM10" i="70"/>
  <c r="KL10" i="70"/>
  <c r="KK10" i="70"/>
  <c r="KJ10" i="70"/>
  <c r="KI10" i="70"/>
  <c r="KH10" i="70"/>
  <c r="KG10" i="70"/>
  <c r="KF10" i="70"/>
  <c r="KE10" i="70"/>
  <c r="KD10" i="70"/>
  <c r="KC10" i="70"/>
  <c r="KB10" i="70"/>
  <c r="KA10" i="70"/>
  <c r="JZ10" i="70"/>
  <c r="JY10" i="70"/>
  <c r="JX10" i="70"/>
  <c r="JW10" i="70"/>
  <c r="JV10" i="70"/>
  <c r="JU10" i="70"/>
  <c r="JT10" i="70"/>
  <c r="JS10" i="70"/>
  <c r="JR10" i="70"/>
  <c r="JQ10" i="70"/>
  <c r="JP10" i="70"/>
  <c r="JO10" i="70"/>
  <c r="JN10" i="70"/>
  <c r="JM10" i="70"/>
  <c r="JL10" i="70"/>
  <c r="JK10" i="70"/>
  <c r="JJ10" i="70"/>
  <c r="JI10" i="70"/>
  <c r="JH10" i="70"/>
  <c r="JG10" i="70"/>
  <c r="JF10" i="70"/>
  <c r="JE10" i="70"/>
  <c r="JD10" i="70"/>
  <c r="JC10" i="70"/>
  <c r="JB10" i="70"/>
  <c r="JA10" i="70"/>
  <c r="IZ10" i="70"/>
  <c r="IY10" i="70"/>
  <c r="IX10" i="70"/>
  <c r="IW10" i="70"/>
  <c r="IV10" i="70"/>
  <c r="IU10" i="70"/>
  <c r="IT10" i="70"/>
  <c r="IS10" i="70"/>
  <c r="IR10" i="70"/>
  <c r="IQ10" i="70"/>
  <c r="IP10" i="70"/>
  <c r="IO10" i="70"/>
  <c r="IN10" i="70"/>
  <c r="IM10" i="70"/>
  <c r="IL10" i="70"/>
  <c r="IK10" i="70"/>
  <c r="IJ10" i="70"/>
  <c r="II10" i="70"/>
  <c r="IH10" i="70"/>
  <c r="IG10" i="70"/>
  <c r="IF10" i="70"/>
  <c r="IE10" i="70"/>
  <c r="ID10" i="70"/>
  <c r="IC10" i="70"/>
  <c r="IB10" i="70"/>
  <c r="IA10" i="70"/>
  <c r="HZ10" i="70"/>
  <c r="HY10" i="70"/>
  <c r="HX10" i="70"/>
  <c r="HW10" i="70"/>
  <c r="HV10" i="70"/>
  <c r="HU10" i="70"/>
  <c r="HT10" i="70"/>
  <c r="HS10" i="70"/>
  <c r="HR10" i="70"/>
  <c r="HQ10" i="70"/>
  <c r="HP10" i="70"/>
  <c r="HO10" i="70"/>
  <c r="HN10" i="70"/>
  <c r="HM10" i="70"/>
  <c r="HL10" i="70"/>
  <c r="HK10" i="70"/>
  <c r="HJ10" i="70"/>
  <c r="HI10" i="70"/>
  <c r="HH10" i="70"/>
  <c r="HG10" i="70"/>
  <c r="HF10" i="70"/>
  <c r="HE10" i="70"/>
  <c r="HD10" i="70"/>
  <c r="HC10" i="70"/>
  <c r="HB10" i="70"/>
  <c r="HA10" i="70"/>
  <c r="GZ10" i="70"/>
  <c r="GY10" i="70"/>
  <c r="GX10" i="70"/>
  <c r="GW10" i="70"/>
  <c r="GV10" i="70"/>
  <c r="GU10" i="70"/>
  <c r="GT10" i="70"/>
  <c r="GS10" i="70"/>
  <c r="GR10" i="70"/>
  <c r="GQ10" i="70"/>
  <c r="GP10" i="70"/>
  <c r="GO10" i="70"/>
  <c r="GN10" i="70"/>
  <c r="GM10" i="70"/>
  <c r="GL10" i="70"/>
  <c r="GK10" i="70"/>
  <c r="GJ10" i="70"/>
  <c r="GI10" i="70"/>
  <c r="GH10" i="70"/>
  <c r="GG10" i="70"/>
  <c r="GF10" i="70"/>
  <c r="GE10" i="70"/>
  <c r="GD10" i="70"/>
  <c r="GC10" i="70"/>
  <c r="GB10" i="70"/>
  <c r="GA10" i="70"/>
  <c r="FZ10" i="70"/>
  <c r="FY10" i="70"/>
  <c r="FX10" i="70"/>
  <c r="FW10" i="70"/>
  <c r="FV10" i="70"/>
  <c r="FU10" i="70"/>
  <c r="FT10" i="70"/>
  <c r="FS10" i="70"/>
  <c r="FR10" i="70"/>
  <c r="FQ10" i="70"/>
  <c r="FP10" i="70"/>
  <c r="FO10" i="70"/>
  <c r="LW9" i="70"/>
  <c r="LV9" i="70"/>
  <c r="LU9" i="70"/>
  <c r="LT9" i="70"/>
  <c r="LS9" i="70"/>
  <c r="LR9" i="70"/>
  <c r="LQ9" i="70"/>
  <c r="LP9" i="70"/>
  <c r="LO9" i="70"/>
  <c r="LN9" i="70"/>
  <c r="LM9" i="70"/>
  <c r="LL9" i="70"/>
  <c r="LK9" i="70"/>
  <c r="LJ9" i="70"/>
  <c r="LI9" i="70"/>
  <c r="LH9" i="70"/>
  <c r="LG9" i="70"/>
  <c r="LF9" i="70"/>
  <c r="LE9" i="70"/>
  <c r="LD9" i="70"/>
  <c r="LC9" i="70"/>
  <c r="LB9" i="70"/>
  <c r="LA9" i="70"/>
  <c r="KZ9" i="70"/>
  <c r="KY9" i="70"/>
  <c r="KX9" i="70"/>
  <c r="KW9" i="70"/>
  <c r="KV9" i="70"/>
  <c r="KU9" i="70"/>
  <c r="KT9" i="70"/>
  <c r="KS9" i="70"/>
  <c r="KR9" i="70"/>
  <c r="KQ9" i="70"/>
  <c r="KP9" i="70"/>
  <c r="KO9" i="70"/>
  <c r="KN9" i="70"/>
  <c r="KM9" i="70"/>
  <c r="KL9" i="70"/>
  <c r="KK9" i="70"/>
  <c r="KJ9" i="70"/>
  <c r="KI9" i="70"/>
  <c r="KH9" i="70"/>
  <c r="KG9" i="70"/>
  <c r="KF9" i="70"/>
  <c r="KE9" i="70"/>
  <c r="KD9" i="70"/>
  <c r="KC9" i="70"/>
  <c r="KB9" i="70"/>
  <c r="KA9" i="70"/>
  <c r="JZ9" i="70"/>
  <c r="JY9" i="70"/>
  <c r="JX9" i="70"/>
  <c r="JW9" i="70"/>
  <c r="JV9" i="70"/>
  <c r="JU9" i="70"/>
  <c r="JT9" i="70"/>
  <c r="JS9" i="70"/>
  <c r="JR9" i="70"/>
  <c r="JQ9" i="70"/>
  <c r="JP9" i="70"/>
  <c r="JO9" i="70"/>
  <c r="JN9" i="70"/>
  <c r="JM9" i="70"/>
  <c r="JL9" i="70"/>
  <c r="JK9" i="70"/>
  <c r="JJ9" i="70"/>
  <c r="JI9" i="70"/>
  <c r="JH9" i="70"/>
  <c r="JG9" i="70"/>
  <c r="JF9" i="70"/>
  <c r="JE9" i="70"/>
  <c r="JD9" i="70"/>
  <c r="JC9" i="70"/>
  <c r="JB9" i="70"/>
  <c r="JA9" i="70"/>
  <c r="IZ9" i="70"/>
  <c r="IY9" i="70"/>
  <c r="IX9" i="70"/>
  <c r="IW9" i="70"/>
  <c r="IV9" i="70"/>
  <c r="IU9" i="70"/>
  <c r="IT9" i="70"/>
  <c r="IS9" i="70"/>
  <c r="IR9" i="70"/>
  <c r="IQ9" i="70"/>
  <c r="IP9" i="70"/>
  <c r="IO9" i="70"/>
  <c r="IN9" i="70"/>
  <c r="IM9" i="70"/>
  <c r="IL9" i="70"/>
  <c r="IK9" i="70"/>
  <c r="IJ9" i="70"/>
  <c r="II9" i="70"/>
  <c r="IH9" i="70"/>
  <c r="IG9" i="70"/>
  <c r="IF9" i="70"/>
  <c r="IE9" i="70"/>
  <c r="ID9" i="70"/>
  <c r="IC9" i="70"/>
  <c r="IB9" i="70"/>
  <c r="IA9" i="70"/>
  <c r="HZ9" i="70"/>
  <c r="HY9" i="70"/>
  <c r="HX9" i="70"/>
  <c r="HW9" i="70"/>
  <c r="HV9" i="70"/>
  <c r="HU9" i="70"/>
  <c r="HT9" i="70"/>
  <c r="HS9" i="70"/>
  <c r="HR9" i="70"/>
  <c r="HQ9" i="70"/>
  <c r="HP9" i="70"/>
  <c r="HO9" i="70"/>
  <c r="HN9" i="70"/>
  <c r="HM9" i="70"/>
  <c r="HL9" i="70"/>
  <c r="HK9" i="70"/>
  <c r="HJ9" i="70"/>
  <c r="HI9" i="70"/>
  <c r="HH9" i="70"/>
  <c r="HG9" i="70"/>
  <c r="HF9" i="70"/>
  <c r="HE9" i="70"/>
  <c r="HD9" i="70"/>
  <c r="HC9" i="70"/>
  <c r="HB9" i="70"/>
  <c r="HA9" i="70"/>
  <c r="GZ9" i="70"/>
  <c r="GY9" i="70"/>
  <c r="GX9" i="70"/>
  <c r="GW9" i="70"/>
  <c r="GV9" i="70"/>
  <c r="GU9" i="70"/>
  <c r="GT9" i="70"/>
  <c r="GS9" i="70"/>
  <c r="GR9" i="70"/>
  <c r="GQ9" i="70"/>
  <c r="GP9" i="70"/>
  <c r="GO9" i="70"/>
  <c r="GN9" i="70"/>
  <c r="GM9" i="70"/>
  <c r="GL9" i="70"/>
  <c r="GK9" i="70"/>
  <c r="GJ9" i="70"/>
  <c r="GI9" i="70"/>
  <c r="GH9" i="70"/>
  <c r="GG9" i="70"/>
  <c r="GF9" i="70"/>
  <c r="GE9" i="70"/>
  <c r="GD9" i="70"/>
  <c r="GC9" i="70"/>
  <c r="GB9" i="70"/>
  <c r="GA9" i="70"/>
  <c r="FZ9" i="70"/>
  <c r="FY9" i="70"/>
  <c r="FX9" i="70"/>
  <c r="FW9" i="70"/>
  <c r="FV9" i="70"/>
  <c r="FU9" i="70"/>
  <c r="FT9" i="70"/>
  <c r="FS9" i="70"/>
  <c r="FR9" i="70"/>
  <c r="FQ9" i="70"/>
  <c r="FP9" i="70"/>
  <c r="FO9" i="70"/>
  <c r="LW8" i="70"/>
  <c r="LV8" i="70"/>
  <c r="LU8" i="70"/>
  <c r="LT8" i="70"/>
  <c r="LS8" i="70"/>
  <c r="LR8" i="70"/>
  <c r="LQ8" i="70"/>
  <c r="LP8" i="70"/>
  <c r="LO8" i="70"/>
  <c r="LN8" i="70"/>
  <c r="LM8" i="70"/>
  <c r="LL8" i="70"/>
  <c r="LK8" i="70"/>
  <c r="LJ8" i="70"/>
  <c r="LI8" i="70"/>
  <c r="LH8" i="70"/>
  <c r="LG8" i="70"/>
  <c r="LF8" i="70"/>
  <c r="LE8" i="70"/>
  <c r="LD8" i="70"/>
  <c r="LC8" i="70"/>
  <c r="LB8" i="70"/>
  <c r="LA8" i="70"/>
  <c r="KZ8" i="70"/>
  <c r="KY8" i="70"/>
  <c r="KX8" i="70"/>
  <c r="KW8" i="70"/>
  <c r="KV8" i="70"/>
  <c r="KU8" i="70"/>
  <c r="KT8" i="70"/>
  <c r="KS8" i="70"/>
  <c r="KR8" i="70"/>
  <c r="KQ8" i="70"/>
  <c r="KP8" i="70"/>
  <c r="KO8" i="70"/>
  <c r="KN8" i="70"/>
  <c r="KM8" i="70"/>
  <c r="KL8" i="70"/>
  <c r="KK8" i="70"/>
  <c r="KJ8" i="70"/>
  <c r="KI8" i="70"/>
  <c r="KH8" i="70"/>
  <c r="KG8" i="70"/>
  <c r="KF8" i="70"/>
  <c r="KE8" i="70"/>
  <c r="KD8" i="70"/>
  <c r="KC8" i="70"/>
  <c r="KB8" i="70"/>
  <c r="KA8" i="70"/>
  <c r="JZ8" i="70"/>
  <c r="JY8" i="70"/>
  <c r="JX8" i="70"/>
  <c r="JW8" i="70"/>
  <c r="JV8" i="70"/>
  <c r="JU8" i="70"/>
  <c r="JT8" i="70"/>
  <c r="JS8" i="70"/>
  <c r="JR8" i="70"/>
  <c r="JQ8" i="70"/>
  <c r="JP8" i="70"/>
  <c r="JO8" i="70"/>
  <c r="JN8" i="70"/>
  <c r="JM8" i="70"/>
  <c r="JL8" i="70"/>
  <c r="JK8" i="70"/>
  <c r="JJ8" i="70"/>
  <c r="JI8" i="70"/>
  <c r="JH8" i="70"/>
  <c r="JG8" i="70"/>
  <c r="JF8" i="70"/>
  <c r="JE8" i="70"/>
  <c r="JD8" i="70"/>
  <c r="JC8" i="70"/>
  <c r="JB8" i="70"/>
  <c r="JA8" i="70"/>
  <c r="IZ8" i="70"/>
  <c r="IY8" i="70"/>
  <c r="IX8" i="70"/>
  <c r="IW8" i="70"/>
  <c r="IV8" i="70"/>
  <c r="IU8" i="70"/>
  <c r="IT8" i="70"/>
  <c r="IS8" i="70"/>
  <c r="IR8" i="70"/>
  <c r="IQ8" i="70"/>
  <c r="IP8" i="70"/>
  <c r="IO8" i="70"/>
  <c r="IN8" i="70"/>
  <c r="IM8" i="70"/>
  <c r="IL8" i="70"/>
  <c r="IK8" i="70"/>
  <c r="IJ8" i="70"/>
  <c r="II8" i="70"/>
  <c r="IH8" i="70"/>
  <c r="IG8" i="70"/>
  <c r="IF8" i="70"/>
  <c r="IE8" i="70"/>
  <c r="ID8" i="70"/>
  <c r="IC8" i="70"/>
  <c r="IB8" i="70"/>
  <c r="IA8" i="70"/>
  <c r="HZ8" i="70"/>
  <c r="HY8" i="70"/>
  <c r="HX8" i="70"/>
  <c r="HW8" i="70"/>
  <c r="HV8" i="70"/>
  <c r="HU8" i="70"/>
  <c r="HT8" i="70"/>
  <c r="HS8" i="70"/>
  <c r="HR8" i="70"/>
  <c r="HQ8" i="70"/>
  <c r="HP8" i="70"/>
  <c r="HO8" i="70"/>
  <c r="HN8" i="70"/>
  <c r="HM8" i="70"/>
  <c r="HL8" i="70"/>
  <c r="HK8" i="70"/>
  <c r="HJ8" i="70"/>
  <c r="HI8" i="70"/>
  <c r="HH8" i="70"/>
  <c r="HG8" i="70"/>
  <c r="HF8" i="70"/>
  <c r="HE8" i="70"/>
  <c r="HD8" i="70"/>
  <c r="HC8" i="70"/>
  <c r="HB8" i="70"/>
  <c r="HA8" i="70"/>
  <c r="GZ8" i="70"/>
  <c r="GY8" i="70"/>
  <c r="GX8" i="70"/>
  <c r="GW8" i="70"/>
  <c r="GV8" i="70"/>
  <c r="GU8" i="70"/>
  <c r="GT8" i="70"/>
  <c r="GS8" i="70"/>
  <c r="GR8" i="70"/>
  <c r="GQ8" i="70"/>
  <c r="GP8" i="70"/>
  <c r="GO8" i="70"/>
  <c r="GN8" i="70"/>
  <c r="GM8" i="70"/>
  <c r="GL8" i="70"/>
  <c r="GK8" i="70"/>
  <c r="GJ8" i="70"/>
  <c r="GI8" i="70"/>
  <c r="GH8" i="70"/>
  <c r="GG8" i="70"/>
  <c r="GF8" i="70"/>
  <c r="GE8" i="70"/>
  <c r="GD8" i="70"/>
  <c r="GC8" i="70"/>
  <c r="GB8" i="70"/>
  <c r="GA8" i="70"/>
  <c r="FZ8" i="70"/>
  <c r="FY8" i="70"/>
  <c r="FX8" i="70"/>
  <c r="FW8" i="70"/>
  <c r="FV8" i="70"/>
  <c r="FU8" i="70"/>
  <c r="FT8" i="70"/>
  <c r="FS8" i="70"/>
  <c r="FR8" i="70"/>
  <c r="FQ8" i="70"/>
  <c r="FP8" i="70"/>
  <c r="FO8" i="70"/>
  <c r="LW7" i="70"/>
  <c r="LV7" i="70"/>
  <c r="LU7" i="70"/>
  <c r="LT7" i="70"/>
  <c r="LS7" i="70"/>
  <c r="LR7" i="70"/>
  <c r="LQ7" i="70"/>
  <c r="LP7" i="70"/>
  <c r="LO7" i="70"/>
  <c r="LN7" i="70"/>
  <c r="LM7" i="70"/>
  <c r="LL7" i="70"/>
  <c r="LK7" i="70"/>
  <c r="LJ7" i="70"/>
  <c r="LI7" i="70"/>
  <c r="LH7" i="70"/>
  <c r="LG7" i="70"/>
  <c r="LF7" i="70"/>
  <c r="LE7" i="70"/>
  <c r="LD7" i="70"/>
  <c r="LC7" i="70"/>
  <c r="LB7" i="70"/>
  <c r="LA7" i="70"/>
  <c r="KZ7" i="70"/>
  <c r="KY7" i="70"/>
  <c r="KX7" i="70"/>
  <c r="KW7" i="70"/>
  <c r="KV7" i="70"/>
  <c r="KU7" i="70"/>
  <c r="KT7" i="70"/>
  <c r="KS7" i="70"/>
  <c r="KR7" i="70"/>
  <c r="KQ7" i="70"/>
  <c r="KP7" i="70"/>
  <c r="KO7" i="70"/>
  <c r="KN7" i="70"/>
  <c r="KM7" i="70"/>
  <c r="KL7" i="70"/>
  <c r="KK7" i="70"/>
  <c r="KJ7" i="70"/>
  <c r="KI7" i="70"/>
  <c r="KH7" i="70"/>
  <c r="KG7" i="70"/>
  <c r="KF7" i="70"/>
  <c r="KE7" i="70"/>
  <c r="KD7" i="70"/>
  <c r="KC7" i="70"/>
  <c r="KB7" i="70"/>
  <c r="KA7" i="70"/>
  <c r="JZ7" i="70"/>
  <c r="JY7" i="70"/>
  <c r="JX7" i="70"/>
  <c r="JW7" i="70"/>
  <c r="JV7" i="70"/>
  <c r="JU7" i="70"/>
  <c r="JT7" i="70"/>
  <c r="JS7" i="70"/>
  <c r="JR7" i="70"/>
  <c r="JQ7" i="70"/>
  <c r="JP7" i="70"/>
  <c r="JO7" i="70"/>
  <c r="JN7" i="70"/>
  <c r="JM7" i="70"/>
  <c r="JL7" i="70"/>
  <c r="JK7" i="70"/>
  <c r="JJ7" i="70"/>
  <c r="JI7" i="70"/>
  <c r="JH7" i="70"/>
  <c r="JG7" i="70"/>
  <c r="JF7" i="70"/>
  <c r="JE7" i="70"/>
  <c r="JD7" i="70"/>
  <c r="JC7" i="70"/>
  <c r="JB7" i="70"/>
  <c r="JA7" i="70"/>
  <c r="IZ7" i="70"/>
  <c r="IY7" i="70"/>
  <c r="IX7" i="70"/>
  <c r="IW7" i="70"/>
  <c r="IV7" i="70"/>
  <c r="IU7" i="70"/>
  <c r="IT7" i="70"/>
  <c r="IS7" i="70"/>
  <c r="IR7" i="70"/>
  <c r="IQ7" i="70"/>
  <c r="IP7" i="70"/>
  <c r="IO7" i="70"/>
  <c r="IN7" i="70"/>
  <c r="IM7" i="70"/>
  <c r="IL7" i="70"/>
  <c r="IK7" i="70"/>
  <c r="IJ7" i="70"/>
  <c r="II7" i="70"/>
  <c r="IH7" i="70"/>
  <c r="IG7" i="70"/>
  <c r="IF7" i="70"/>
  <c r="IE7" i="70"/>
  <c r="ID7" i="70"/>
  <c r="IC7" i="70"/>
  <c r="IB7" i="70"/>
  <c r="IA7" i="70"/>
  <c r="HZ7" i="70"/>
  <c r="HY7" i="70"/>
  <c r="HX7" i="70"/>
  <c r="HW7" i="70"/>
  <c r="HV7" i="70"/>
  <c r="HU7" i="70"/>
  <c r="HT7" i="70"/>
  <c r="HS7" i="70"/>
  <c r="HR7" i="70"/>
  <c r="HQ7" i="70"/>
  <c r="HP7" i="70"/>
  <c r="HO7" i="70"/>
  <c r="HN7" i="70"/>
  <c r="HM7" i="70"/>
  <c r="HL7" i="70"/>
  <c r="HK7" i="70"/>
  <c r="HJ7" i="70"/>
  <c r="HI7" i="70"/>
  <c r="HH7" i="70"/>
  <c r="HG7" i="70"/>
  <c r="HF7" i="70"/>
  <c r="HE7" i="70"/>
  <c r="HD7" i="70"/>
  <c r="HC7" i="70"/>
  <c r="HB7" i="70"/>
  <c r="HA7" i="70"/>
  <c r="GZ7" i="70"/>
  <c r="GY7" i="70"/>
  <c r="GX7" i="70"/>
  <c r="GW7" i="70"/>
  <c r="GV7" i="70"/>
  <c r="GU7" i="70"/>
  <c r="GT7" i="70"/>
  <c r="GS7" i="70"/>
  <c r="GR7" i="70"/>
  <c r="GQ7" i="70"/>
  <c r="GP7" i="70"/>
  <c r="GO7" i="70"/>
  <c r="GN7" i="70"/>
  <c r="GM7" i="70"/>
  <c r="GL7" i="70"/>
  <c r="GK7" i="70"/>
  <c r="GJ7" i="70"/>
  <c r="GI7" i="70"/>
  <c r="GH7" i="70"/>
  <c r="GG7" i="70"/>
  <c r="GF7" i="70"/>
  <c r="GE7" i="70"/>
  <c r="GD7" i="70"/>
  <c r="GC7" i="70"/>
  <c r="GB7" i="70"/>
  <c r="GA7" i="70"/>
  <c r="FZ7" i="70"/>
  <c r="FY7" i="70"/>
  <c r="FX7" i="70"/>
  <c r="FW7" i="70"/>
  <c r="FV7" i="70"/>
  <c r="FU7" i="70"/>
  <c r="FT7" i="70"/>
  <c r="FS7" i="70"/>
  <c r="FR7" i="70"/>
  <c r="FQ7" i="70"/>
  <c r="FP7" i="70"/>
  <c r="FO7" i="70"/>
  <c r="LW6" i="70"/>
  <c r="LV6" i="70"/>
  <c r="LU6" i="70"/>
  <c r="LT6" i="70"/>
  <c r="LS6" i="70"/>
  <c r="LR6" i="70"/>
  <c r="LQ6" i="70"/>
  <c r="LP6" i="70"/>
  <c r="LO6" i="70"/>
  <c r="LN6" i="70"/>
  <c r="LM6" i="70"/>
  <c r="LL6" i="70"/>
  <c r="LK6" i="70"/>
  <c r="LJ6" i="70"/>
  <c r="LI6" i="70"/>
  <c r="LH6" i="70"/>
  <c r="LG6" i="70"/>
  <c r="LF6" i="70"/>
  <c r="LE6" i="70"/>
  <c r="LD6" i="70"/>
  <c r="LC6" i="70"/>
  <c r="LB6" i="70"/>
  <c r="LA6" i="70"/>
  <c r="KZ6" i="70"/>
  <c r="KY6" i="70"/>
  <c r="KX6" i="70"/>
  <c r="KW6" i="70"/>
  <c r="KV6" i="70"/>
  <c r="KU6" i="70"/>
  <c r="KT6" i="70"/>
  <c r="KS6" i="70"/>
  <c r="KR6" i="70"/>
  <c r="KQ6" i="70"/>
  <c r="KP6" i="70"/>
  <c r="KO6" i="70"/>
  <c r="KN6" i="70"/>
  <c r="KM6" i="70"/>
  <c r="KL6" i="70"/>
  <c r="KK6" i="70"/>
  <c r="KJ6" i="70"/>
  <c r="KI6" i="70"/>
  <c r="KH6" i="70"/>
  <c r="KG6" i="70"/>
  <c r="KF6" i="70"/>
  <c r="KE6" i="70"/>
  <c r="KD6" i="70"/>
  <c r="KC6" i="70"/>
  <c r="KB6" i="70"/>
  <c r="KA6" i="70"/>
  <c r="JZ6" i="70"/>
  <c r="JY6" i="70"/>
  <c r="JX6" i="70"/>
  <c r="JW6" i="70"/>
  <c r="JV6" i="70"/>
  <c r="JU6" i="70"/>
  <c r="JT6" i="70"/>
  <c r="JS6" i="70"/>
  <c r="JR6" i="70"/>
  <c r="JQ6" i="70"/>
  <c r="JP6" i="70"/>
  <c r="JO6" i="70"/>
  <c r="JN6" i="70"/>
  <c r="JM6" i="70"/>
  <c r="JL6" i="70"/>
  <c r="JK6" i="70"/>
  <c r="JJ6" i="70"/>
  <c r="JI6" i="70"/>
  <c r="JH6" i="70"/>
  <c r="JG6" i="70"/>
  <c r="JF6" i="70"/>
  <c r="JE6" i="70"/>
  <c r="JD6" i="70"/>
  <c r="JC6" i="70"/>
  <c r="JB6" i="70"/>
  <c r="JA6" i="70"/>
  <c r="IZ6" i="70"/>
  <c r="IY6" i="70"/>
  <c r="IX6" i="70"/>
  <c r="IW6" i="70"/>
  <c r="IV6" i="70"/>
  <c r="IU6" i="70"/>
  <c r="IT6" i="70"/>
  <c r="IS6" i="70"/>
  <c r="IR6" i="70"/>
  <c r="IQ6" i="70"/>
  <c r="IP6" i="70"/>
  <c r="IO6" i="70"/>
  <c r="IN6" i="70"/>
  <c r="IM6" i="70"/>
  <c r="IL6" i="70"/>
  <c r="IK6" i="70"/>
  <c r="IJ6" i="70"/>
  <c r="II6" i="70"/>
  <c r="IH6" i="70"/>
  <c r="IG6" i="70"/>
  <c r="IF6" i="70"/>
  <c r="IE6" i="70"/>
  <c r="ID6" i="70"/>
  <c r="IC6" i="70"/>
  <c r="IB6" i="70"/>
  <c r="IA6" i="70"/>
  <c r="HZ6" i="70"/>
  <c r="HY6" i="70"/>
  <c r="HX6" i="70"/>
  <c r="HW6" i="70"/>
  <c r="HV6" i="70"/>
  <c r="HU6" i="70"/>
  <c r="HT6" i="70"/>
  <c r="HS6" i="70"/>
  <c r="HR6" i="70"/>
  <c r="HQ6" i="70"/>
  <c r="HP6" i="70"/>
  <c r="HO6" i="70"/>
  <c r="HN6" i="70"/>
  <c r="HM6" i="70"/>
  <c r="HL6" i="70"/>
  <c r="HK6" i="70"/>
  <c r="HJ6" i="70"/>
  <c r="HI6" i="70"/>
  <c r="HH6" i="70"/>
  <c r="HG6" i="70"/>
  <c r="HF6" i="70"/>
  <c r="HE6" i="70"/>
  <c r="HD6" i="70"/>
  <c r="HC6" i="70"/>
  <c r="HB6" i="70"/>
  <c r="HA6" i="70"/>
  <c r="GZ6" i="70"/>
  <c r="GY6" i="70"/>
  <c r="GX6" i="70"/>
  <c r="GW6" i="70"/>
  <c r="GV6" i="70"/>
  <c r="GU6" i="70"/>
  <c r="GT6" i="70"/>
  <c r="GS6" i="70"/>
  <c r="GR6" i="70"/>
  <c r="GQ6" i="70"/>
  <c r="GP6" i="70"/>
  <c r="GO6" i="70"/>
  <c r="GN6" i="70"/>
  <c r="GM6" i="70"/>
  <c r="GL6" i="70"/>
  <c r="GK6" i="70"/>
  <c r="GJ6" i="70"/>
  <c r="GI6" i="70"/>
  <c r="GH6" i="70"/>
  <c r="GG6" i="70"/>
  <c r="GF6" i="70"/>
  <c r="GE6" i="70"/>
  <c r="GD6" i="70"/>
  <c r="GC6" i="70"/>
  <c r="GB6" i="70"/>
  <c r="GA6" i="70"/>
  <c r="FZ6" i="70"/>
  <c r="FY6" i="70"/>
  <c r="FX6" i="70"/>
  <c r="FW6" i="70"/>
  <c r="FV6" i="70"/>
  <c r="FU6" i="70"/>
  <c r="FT6" i="70"/>
  <c r="FS6" i="70"/>
  <c r="FR6" i="70"/>
  <c r="FQ6" i="70"/>
  <c r="FP6" i="70"/>
  <c r="FO6" i="70"/>
  <c r="LW5" i="70"/>
  <c r="LV5" i="70"/>
  <c r="LU5" i="70"/>
  <c r="LT5" i="70"/>
  <c r="LS5" i="70"/>
  <c r="LR5" i="70"/>
  <c r="LQ5" i="70"/>
  <c r="LP5" i="70"/>
  <c r="LO5" i="70"/>
  <c r="LN5" i="70"/>
  <c r="LM5" i="70"/>
  <c r="LL5" i="70"/>
  <c r="LK5" i="70"/>
  <c r="LJ5" i="70"/>
  <c r="LI5" i="70"/>
  <c r="LH5" i="70"/>
  <c r="LG5" i="70"/>
  <c r="LF5" i="70"/>
  <c r="LE5" i="70"/>
  <c r="LD5" i="70"/>
  <c r="LC5" i="70"/>
  <c r="LB5" i="70"/>
  <c r="LA5" i="70"/>
  <c r="KZ5" i="70"/>
  <c r="KY5" i="70"/>
  <c r="KX5" i="70"/>
  <c r="KW5" i="70"/>
  <c r="KV5" i="70"/>
  <c r="KU5" i="70"/>
  <c r="KT5" i="70"/>
  <c r="KS5" i="70"/>
  <c r="KR5" i="70"/>
  <c r="KQ5" i="70"/>
  <c r="KP5" i="70"/>
  <c r="KO5" i="70"/>
  <c r="KN5" i="70"/>
  <c r="KM5" i="70"/>
  <c r="KL5" i="70"/>
  <c r="KK5" i="70"/>
  <c r="KJ5" i="70"/>
  <c r="KI5" i="70"/>
  <c r="KH5" i="70"/>
  <c r="KG5" i="70"/>
  <c r="KF5" i="70"/>
  <c r="KE5" i="70"/>
  <c r="KD5" i="70"/>
  <c r="KC5" i="70"/>
  <c r="KB5" i="70"/>
  <c r="KA5" i="70"/>
  <c r="JZ5" i="70"/>
  <c r="JY5" i="70"/>
  <c r="JX5" i="70"/>
  <c r="JW5" i="70"/>
  <c r="JV5" i="70"/>
  <c r="JU5" i="70"/>
  <c r="JT5" i="70"/>
  <c r="JS5" i="70"/>
  <c r="JR5" i="70"/>
  <c r="JQ5" i="70"/>
  <c r="JP5" i="70"/>
  <c r="JO5" i="70"/>
  <c r="JN5" i="70"/>
  <c r="JM5" i="70"/>
  <c r="JL5" i="70"/>
  <c r="JK5" i="70"/>
  <c r="JJ5" i="70"/>
  <c r="JI5" i="70"/>
  <c r="JH5" i="70"/>
  <c r="JG5" i="70"/>
  <c r="JF5" i="70"/>
  <c r="JE5" i="70"/>
  <c r="JD5" i="70"/>
  <c r="JC5" i="70"/>
  <c r="JB5" i="70"/>
  <c r="JA5" i="70"/>
  <c r="IZ5" i="70"/>
  <c r="IY5" i="70"/>
  <c r="IX5" i="70"/>
  <c r="IW5" i="70"/>
  <c r="IV5" i="70"/>
  <c r="IU5" i="70"/>
  <c r="IT5" i="70"/>
  <c r="IS5" i="70"/>
  <c r="IR5" i="70"/>
  <c r="IQ5" i="70"/>
  <c r="IP5" i="70"/>
  <c r="IO5" i="70"/>
  <c r="IN5" i="70"/>
  <c r="IM5" i="70"/>
  <c r="IL5" i="70"/>
  <c r="IK5" i="70"/>
  <c r="IJ5" i="70"/>
  <c r="II5" i="70"/>
  <c r="IH5" i="70"/>
  <c r="IG5" i="70"/>
  <c r="IF5" i="70"/>
  <c r="IE5" i="70"/>
  <c r="ID5" i="70"/>
  <c r="IC5" i="70"/>
  <c r="IB5" i="70"/>
  <c r="IA5" i="70"/>
  <c r="HZ5" i="70"/>
  <c r="HY5" i="70"/>
  <c r="HX5" i="70"/>
  <c r="HW5" i="70"/>
  <c r="HV5" i="70"/>
  <c r="HU5" i="70"/>
  <c r="HT5" i="70"/>
  <c r="HS5" i="70"/>
  <c r="HR5" i="70"/>
  <c r="HQ5" i="70"/>
  <c r="HP5" i="70"/>
  <c r="HO5" i="70"/>
  <c r="HN5" i="70"/>
  <c r="HM5" i="70"/>
  <c r="HL5" i="70"/>
  <c r="HK5" i="70"/>
  <c r="HJ5" i="70"/>
  <c r="HI5" i="70"/>
  <c r="HH5" i="70"/>
  <c r="HG5" i="70"/>
  <c r="HF5" i="70"/>
  <c r="HE5" i="70"/>
  <c r="HD5" i="70"/>
  <c r="HC5" i="70"/>
  <c r="HB5" i="70"/>
  <c r="HA5" i="70"/>
  <c r="GZ5" i="70"/>
  <c r="GY5" i="70"/>
  <c r="GX5" i="70"/>
  <c r="GW5" i="70"/>
  <c r="GV5" i="70"/>
  <c r="GU5" i="70"/>
  <c r="GT5" i="70"/>
  <c r="GS5" i="70"/>
  <c r="GR5" i="70"/>
  <c r="GQ5" i="70"/>
  <c r="GP5" i="70"/>
  <c r="GO5" i="70"/>
  <c r="GN5" i="70"/>
  <c r="GM5" i="70"/>
  <c r="GL5" i="70"/>
  <c r="GK5" i="70"/>
  <c r="GJ5" i="70"/>
  <c r="GI5" i="70"/>
  <c r="GH5" i="70"/>
  <c r="GG5" i="70"/>
  <c r="GF5" i="70"/>
  <c r="GE5" i="70"/>
  <c r="GD5" i="70"/>
  <c r="GC5" i="70"/>
  <c r="GB5" i="70"/>
  <c r="GA5" i="70"/>
  <c r="FZ5" i="70"/>
  <c r="FY5" i="70"/>
  <c r="FX5" i="70"/>
  <c r="FW5" i="70"/>
  <c r="FV5" i="70"/>
  <c r="FU5" i="70"/>
  <c r="FT5" i="70"/>
  <c r="FS5" i="70"/>
  <c r="FR5" i="70"/>
  <c r="FQ5" i="70"/>
  <c r="FP5" i="70"/>
  <c r="FO5" i="70"/>
  <c r="LW4" i="70"/>
  <c r="LV4" i="70"/>
  <c r="LU4" i="70"/>
  <c r="LT4" i="70"/>
  <c r="LS4" i="70"/>
  <c r="LR4" i="70"/>
  <c r="LQ4" i="70"/>
  <c r="LP4" i="70"/>
  <c r="LO4" i="70"/>
  <c r="LN4" i="70"/>
  <c r="LM4" i="70"/>
  <c r="LL4" i="70"/>
  <c r="LK4" i="70"/>
  <c r="LJ4" i="70"/>
  <c r="LI4" i="70"/>
  <c r="LH4" i="70"/>
  <c r="LG4" i="70"/>
  <c r="LF4" i="70"/>
  <c r="LE4" i="70"/>
  <c r="LD4" i="70"/>
  <c r="LC4" i="70"/>
  <c r="LB4" i="70"/>
  <c r="LA4" i="70"/>
  <c r="KZ4" i="70"/>
  <c r="KY4" i="70"/>
  <c r="KX4" i="70"/>
  <c r="KW4" i="70"/>
  <c r="KV4" i="70"/>
  <c r="KU4" i="70"/>
  <c r="KT4" i="70"/>
  <c r="KS4" i="70"/>
  <c r="KR4" i="70"/>
  <c r="KQ4" i="70"/>
  <c r="KP4" i="70"/>
  <c r="KO4" i="70"/>
  <c r="KN4" i="70"/>
  <c r="KM4" i="70"/>
  <c r="KL4" i="70"/>
  <c r="KK4" i="70"/>
  <c r="KJ4" i="70"/>
  <c r="KI4" i="70"/>
  <c r="KH4" i="70"/>
  <c r="KG4" i="70"/>
  <c r="KF4" i="70"/>
  <c r="KE4" i="70"/>
  <c r="KD4" i="70"/>
  <c r="KC4" i="70"/>
  <c r="KB4" i="70"/>
  <c r="KA4" i="70"/>
  <c r="JZ4" i="70"/>
  <c r="JY4" i="70"/>
  <c r="JX4" i="70"/>
  <c r="JW4" i="70"/>
  <c r="JV4" i="70"/>
  <c r="JU4" i="70"/>
  <c r="JT4" i="70"/>
  <c r="JS4" i="70"/>
  <c r="JR4" i="70"/>
  <c r="JQ4" i="70"/>
  <c r="JP4" i="70"/>
  <c r="JO4" i="70"/>
  <c r="JN4" i="70"/>
  <c r="JM4" i="70"/>
  <c r="JL4" i="70"/>
  <c r="JK4" i="70"/>
  <c r="JJ4" i="70"/>
  <c r="JI4" i="70"/>
  <c r="JH4" i="70"/>
  <c r="JG4" i="70"/>
  <c r="JF4" i="70"/>
  <c r="JE4" i="70"/>
  <c r="JD4" i="70"/>
  <c r="JC4" i="70"/>
  <c r="JB4" i="70"/>
  <c r="JA4" i="70"/>
  <c r="IZ4" i="70"/>
  <c r="IY4" i="70"/>
  <c r="IX4" i="70"/>
  <c r="IW4" i="70"/>
  <c r="IV4" i="70"/>
  <c r="IU4" i="70"/>
  <c r="IT4" i="70"/>
  <c r="IS4" i="70"/>
  <c r="IR4" i="70"/>
  <c r="IQ4" i="70"/>
  <c r="IP4" i="70"/>
  <c r="IO4" i="70"/>
  <c r="IN4" i="70"/>
  <c r="IM4" i="70"/>
  <c r="IL4" i="70"/>
  <c r="IK4" i="70"/>
  <c r="IJ4" i="70"/>
  <c r="II4" i="70"/>
  <c r="IH4" i="70"/>
  <c r="IG4" i="70"/>
  <c r="IF4" i="70"/>
  <c r="IE4" i="70"/>
  <c r="ID4" i="70"/>
  <c r="IC4" i="70"/>
  <c r="IB4" i="70"/>
  <c r="IA4" i="70"/>
  <c r="HZ4" i="70"/>
  <c r="HY4" i="70"/>
  <c r="HX4" i="70"/>
  <c r="HW4" i="70"/>
  <c r="HV4" i="70"/>
  <c r="HU4" i="70"/>
  <c r="HT4" i="70"/>
  <c r="HS4" i="70"/>
  <c r="HR4" i="70"/>
  <c r="HQ4" i="70"/>
  <c r="HP4" i="70"/>
  <c r="HO4" i="70"/>
  <c r="HN4" i="70"/>
  <c r="HM4" i="70"/>
  <c r="HL4" i="70"/>
  <c r="HK4" i="70"/>
  <c r="HJ4" i="70"/>
  <c r="HI4" i="70"/>
  <c r="HH4" i="70"/>
  <c r="HG4" i="70"/>
  <c r="HF4" i="70"/>
  <c r="HE4" i="70"/>
  <c r="HD4" i="70"/>
  <c r="HC4" i="70"/>
  <c r="HB4" i="70"/>
  <c r="HA4" i="70"/>
  <c r="GZ4" i="70"/>
  <c r="GY4" i="70"/>
  <c r="GX4" i="70"/>
  <c r="GW4" i="70"/>
  <c r="GV4" i="70"/>
  <c r="GU4" i="70"/>
  <c r="GT4" i="70"/>
  <c r="GS4" i="70"/>
  <c r="GR4" i="70"/>
  <c r="GQ4" i="70"/>
  <c r="GP4" i="70"/>
  <c r="GO4" i="70"/>
  <c r="GN4" i="70"/>
  <c r="GM4" i="70"/>
  <c r="GL4" i="70"/>
  <c r="GK4" i="70"/>
  <c r="GJ4" i="70"/>
  <c r="GI4" i="70"/>
  <c r="GH4" i="70"/>
  <c r="GG4" i="70"/>
  <c r="GF4" i="70"/>
  <c r="GE4" i="70"/>
  <c r="GD4" i="70"/>
  <c r="GC4" i="70"/>
  <c r="GB4" i="70"/>
  <c r="GA4" i="70"/>
  <c r="FZ4" i="70"/>
  <c r="FY4" i="70"/>
  <c r="FX4" i="70"/>
  <c r="FW4" i="70"/>
  <c r="FV4" i="70"/>
  <c r="FU4" i="70"/>
  <c r="FT4" i="70"/>
  <c r="FS4" i="70"/>
  <c r="FR4" i="70"/>
  <c r="FQ4" i="70"/>
  <c r="FP4" i="70"/>
  <c r="FO4" i="70"/>
  <c r="FN44" i="69"/>
  <c r="L176" i="41" s="1"/>
  <c r="FM44" i="69"/>
  <c r="L175" i="41" s="1"/>
  <c r="FL44" i="69"/>
  <c r="L174" i="41" s="1"/>
  <c r="FK44" i="69"/>
  <c r="L173" i="41" s="1"/>
  <c r="FJ44" i="69"/>
  <c r="L172" i="41" s="1"/>
  <c r="FI44" i="69"/>
  <c r="L171" i="41" s="1"/>
  <c r="FH44" i="69"/>
  <c r="L170" i="41" s="1"/>
  <c r="FG44" i="69"/>
  <c r="L169" i="41" s="1"/>
  <c r="FF44" i="69"/>
  <c r="L168" i="41" s="1"/>
  <c r="FE44" i="69"/>
  <c r="L167" i="41" s="1"/>
  <c r="FD44" i="69"/>
  <c r="L166" i="41" s="1"/>
  <c r="FC44" i="69"/>
  <c r="L165" i="41" s="1"/>
  <c r="FB44" i="69"/>
  <c r="L164" i="41" s="1"/>
  <c r="FA44" i="69"/>
  <c r="L163" i="41" s="1"/>
  <c r="EZ44" i="69"/>
  <c r="L162" i="41" s="1"/>
  <c r="EY44" i="69"/>
  <c r="L161" i="41" s="1"/>
  <c r="EX44" i="69"/>
  <c r="L160" i="41" s="1"/>
  <c r="EW44" i="69"/>
  <c r="L159" i="41" s="1"/>
  <c r="EV44" i="69"/>
  <c r="L158" i="41" s="1"/>
  <c r="EU44" i="69"/>
  <c r="L157" i="41" s="1"/>
  <c r="ET44" i="69"/>
  <c r="L156" i="41" s="1"/>
  <c r="ES44" i="69"/>
  <c r="L155" i="41" s="1"/>
  <c r="ER44" i="69"/>
  <c r="L154" i="41" s="1"/>
  <c r="EQ44" i="69"/>
  <c r="L153" i="41" s="1"/>
  <c r="EP44" i="69"/>
  <c r="L152" i="41" s="1"/>
  <c r="EO44" i="69"/>
  <c r="L151" i="41" s="1"/>
  <c r="EN44" i="69"/>
  <c r="L150" i="41" s="1"/>
  <c r="EM44" i="69"/>
  <c r="L149" i="41" s="1"/>
  <c r="EL44" i="69"/>
  <c r="L148" i="41" s="1"/>
  <c r="EK44" i="69"/>
  <c r="L147" i="41" s="1"/>
  <c r="EJ44" i="69"/>
  <c r="L146" i="41" s="1"/>
  <c r="EI44" i="69"/>
  <c r="L145" i="41" s="1"/>
  <c r="EH44" i="69"/>
  <c r="L144" i="41" s="1"/>
  <c r="EG44" i="69"/>
  <c r="L143" i="41" s="1"/>
  <c r="EF44" i="69"/>
  <c r="L142" i="41" s="1"/>
  <c r="EE44" i="69"/>
  <c r="L141" i="41" s="1"/>
  <c r="ED44" i="69"/>
  <c r="L140" i="41" s="1"/>
  <c r="EC44" i="69"/>
  <c r="L139" i="41" s="1"/>
  <c r="EB44" i="69"/>
  <c r="L138" i="41" s="1"/>
  <c r="EA44" i="69"/>
  <c r="L137" i="41" s="1"/>
  <c r="DZ44" i="69"/>
  <c r="L136" i="41" s="1"/>
  <c r="DY44" i="69"/>
  <c r="L135" i="41" s="1"/>
  <c r="DX44" i="69"/>
  <c r="L134" i="41" s="1"/>
  <c r="DW44" i="69"/>
  <c r="L133" i="41" s="1"/>
  <c r="DV44" i="69"/>
  <c r="L132" i="41" s="1"/>
  <c r="DU44" i="69"/>
  <c r="L131" i="41" s="1"/>
  <c r="DT44" i="69"/>
  <c r="L130" i="41" s="1"/>
  <c r="DS44" i="69"/>
  <c r="L129" i="41" s="1"/>
  <c r="DR44" i="69"/>
  <c r="L128" i="41" s="1"/>
  <c r="DQ44" i="69"/>
  <c r="L127" i="41" s="1"/>
  <c r="DP44" i="69"/>
  <c r="L126" i="41" s="1"/>
  <c r="DO44" i="69"/>
  <c r="L125" i="41" s="1"/>
  <c r="DN44" i="69"/>
  <c r="L124" i="41" s="1"/>
  <c r="DM44" i="69"/>
  <c r="L123" i="41" s="1"/>
  <c r="DL44" i="69"/>
  <c r="L122" i="41" s="1"/>
  <c r="DK44" i="69"/>
  <c r="L121" i="41" s="1"/>
  <c r="DJ44" i="69"/>
  <c r="L120" i="41" s="1"/>
  <c r="DI44" i="69"/>
  <c r="L119" i="41" s="1"/>
  <c r="DH44" i="69"/>
  <c r="L118" i="41" s="1"/>
  <c r="DG44" i="69"/>
  <c r="L117" i="41" s="1"/>
  <c r="DF44" i="69"/>
  <c r="L116" i="41" s="1"/>
  <c r="DE44" i="69"/>
  <c r="L115" i="41" s="1"/>
  <c r="DD44" i="69"/>
  <c r="L114" i="41" s="1"/>
  <c r="DC44" i="69"/>
  <c r="L113" i="41" s="1"/>
  <c r="DB44" i="69"/>
  <c r="L112" i="41" s="1"/>
  <c r="DA44" i="69"/>
  <c r="L111" i="41" s="1"/>
  <c r="CZ44" i="69"/>
  <c r="L110" i="41" s="1"/>
  <c r="CY44" i="69"/>
  <c r="L109" i="41" s="1"/>
  <c r="CX44" i="69"/>
  <c r="L108" i="41" s="1"/>
  <c r="CW44" i="69"/>
  <c r="L107" i="41" s="1"/>
  <c r="CV44" i="69"/>
  <c r="L106" i="41" s="1"/>
  <c r="CU44" i="69"/>
  <c r="L105" i="41" s="1"/>
  <c r="CT44" i="69"/>
  <c r="L104" i="41" s="1"/>
  <c r="CS44" i="69"/>
  <c r="L103" i="41" s="1"/>
  <c r="CR44" i="69"/>
  <c r="L102" i="41" s="1"/>
  <c r="CQ44" i="69"/>
  <c r="L101" i="41" s="1"/>
  <c r="CP44" i="69"/>
  <c r="L100" i="41" s="1"/>
  <c r="CO44" i="69"/>
  <c r="L99" i="41" s="1"/>
  <c r="CN44" i="69"/>
  <c r="L98" i="41" s="1"/>
  <c r="CM44" i="69"/>
  <c r="L97" i="41" s="1"/>
  <c r="CL44" i="69"/>
  <c r="L96" i="41" s="1"/>
  <c r="CK44" i="69"/>
  <c r="L95" i="41" s="1"/>
  <c r="CJ44" i="69"/>
  <c r="L94" i="41" s="1"/>
  <c r="CI44" i="69"/>
  <c r="L93" i="41" s="1"/>
  <c r="CH44" i="69"/>
  <c r="L92" i="41" s="1"/>
  <c r="CG44" i="69"/>
  <c r="L91" i="41" s="1"/>
  <c r="CF44" i="69"/>
  <c r="L90" i="41" s="1"/>
  <c r="CE44" i="69"/>
  <c r="L89" i="41" s="1"/>
  <c r="CD44" i="69"/>
  <c r="L88" i="41" s="1"/>
  <c r="CC44" i="69"/>
  <c r="L87" i="41" s="1"/>
  <c r="CB44" i="69"/>
  <c r="L86" i="41" s="1"/>
  <c r="CA44" i="69"/>
  <c r="L85" i="41" s="1"/>
  <c r="BZ44" i="69"/>
  <c r="L84" i="41" s="1"/>
  <c r="BY44" i="69"/>
  <c r="L83" i="41" s="1"/>
  <c r="BX44" i="69"/>
  <c r="L82" i="41" s="1"/>
  <c r="BW44" i="69"/>
  <c r="L81" i="41" s="1"/>
  <c r="BV44" i="69"/>
  <c r="L80" i="41" s="1"/>
  <c r="BU44" i="69"/>
  <c r="L79" i="41" s="1"/>
  <c r="BT44" i="69"/>
  <c r="L78" i="41" s="1"/>
  <c r="BS44" i="69"/>
  <c r="L77" i="41" s="1"/>
  <c r="BR44" i="69"/>
  <c r="L76" i="41" s="1"/>
  <c r="BQ44" i="69"/>
  <c r="L75" i="41" s="1"/>
  <c r="BP44" i="69"/>
  <c r="L74" i="41" s="1"/>
  <c r="BO44" i="69"/>
  <c r="L73" i="41" s="1"/>
  <c r="BN44" i="69"/>
  <c r="L72" i="41" s="1"/>
  <c r="BM44" i="69"/>
  <c r="L71" i="41" s="1"/>
  <c r="BL44" i="69"/>
  <c r="L70" i="41" s="1"/>
  <c r="BK44" i="69"/>
  <c r="L69" i="41" s="1"/>
  <c r="BJ44" i="69"/>
  <c r="L68" i="41" s="1"/>
  <c r="BI44" i="69"/>
  <c r="L67" i="41" s="1"/>
  <c r="BH44" i="69"/>
  <c r="L66" i="41" s="1"/>
  <c r="BG44" i="69"/>
  <c r="L65" i="41" s="1"/>
  <c r="BF44" i="69"/>
  <c r="L64" i="41" s="1"/>
  <c r="BE44" i="69"/>
  <c r="L63" i="41" s="1"/>
  <c r="BD44" i="69"/>
  <c r="L62" i="41" s="1"/>
  <c r="BC44" i="69"/>
  <c r="L61" i="41" s="1"/>
  <c r="BB44" i="69"/>
  <c r="L60" i="41" s="1"/>
  <c r="BA44" i="69"/>
  <c r="L59" i="41" s="1"/>
  <c r="AZ44" i="69"/>
  <c r="L58" i="41" s="1"/>
  <c r="AY44" i="69"/>
  <c r="L57" i="41" s="1"/>
  <c r="AX44" i="69"/>
  <c r="L56" i="41" s="1"/>
  <c r="AW44" i="69"/>
  <c r="L55" i="41" s="1"/>
  <c r="AV44" i="69"/>
  <c r="L54" i="41" s="1"/>
  <c r="AU44" i="69"/>
  <c r="L53" i="41" s="1"/>
  <c r="AT44" i="69"/>
  <c r="L52" i="41" s="1"/>
  <c r="AS44" i="69"/>
  <c r="L51" i="41" s="1"/>
  <c r="AR44" i="69"/>
  <c r="L50" i="41" s="1"/>
  <c r="AQ44" i="69"/>
  <c r="L49" i="41" s="1"/>
  <c r="AP44" i="69"/>
  <c r="L48" i="41" s="1"/>
  <c r="AO44" i="69"/>
  <c r="L47" i="41" s="1"/>
  <c r="AN44" i="69"/>
  <c r="L46" i="41" s="1"/>
  <c r="AM44" i="69"/>
  <c r="L45" i="41" s="1"/>
  <c r="AL44" i="69"/>
  <c r="L44" i="41" s="1"/>
  <c r="AK44" i="69"/>
  <c r="L43" i="41" s="1"/>
  <c r="AJ44" i="69"/>
  <c r="L42" i="41" s="1"/>
  <c r="AI44" i="69"/>
  <c r="L41" i="41" s="1"/>
  <c r="AH44" i="69"/>
  <c r="L40" i="41" s="1"/>
  <c r="AG44" i="69"/>
  <c r="L39" i="41" s="1"/>
  <c r="AF44" i="69"/>
  <c r="L38" i="41" s="1"/>
  <c r="AE44" i="69"/>
  <c r="L37" i="41" s="1"/>
  <c r="AD44" i="69"/>
  <c r="L36" i="41" s="1"/>
  <c r="AC44" i="69"/>
  <c r="L35" i="41" s="1"/>
  <c r="AB44" i="69"/>
  <c r="L34" i="41" s="1"/>
  <c r="AA44" i="69"/>
  <c r="L33" i="41" s="1"/>
  <c r="Z44" i="69"/>
  <c r="L32" i="41" s="1"/>
  <c r="Y44" i="69"/>
  <c r="L31" i="41" s="1"/>
  <c r="X44" i="69"/>
  <c r="L30" i="41" s="1"/>
  <c r="W44" i="69"/>
  <c r="L29" i="41" s="1"/>
  <c r="V44" i="69"/>
  <c r="L28" i="41" s="1"/>
  <c r="U44" i="69"/>
  <c r="L27" i="41" s="1"/>
  <c r="T44" i="69"/>
  <c r="L26" i="41" s="1"/>
  <c r="S44" i="69"/>
  <c r="L25" i="41" s="1"/>
  <c r="R44" i="69"/>
  <c r="L24" i="41" s="1"/>
  <c r="Q44" i="69"/>
  <c r="L23" i="41" s="1"/>
  <c r="P44" i="69"/>
  <c r="L22" i="41" s="1"/>
  <c r="O44" i="69"/>
  <c r="L21" i="41" s="1"/>
  <c r="N44" i="69"/>
  <c r="L20" i="41" s="1"/>
  <c r="M44" i="69"/>
  <c r="L19" i="41" s="1"/>
  <c r="L44" i="69"/>
  <c r="L18" i="41" s="1"/>
  <c r="K44" i="69"/>
  <c r="L17" i="41" s="1"/>
  <c r="J44" i="69"/>
  <c r="L16" i="41" s="1"/>
  <c r="I44" i="69"/>
  <c r="L15" i="41" s="1"/>
  <c r="H44" i="69"/>
  <c r="L14" i="41" s="1"/>
  <c r="G44" i="69"/>
  <c r="L13" i="41" s="1"/>
  <c r="F44" i="69"/>
  <c r="L12" i="41" s="1"/>
  <c r="E44" i="69"/>
  <c r="D44" i="69"/>
  <c r="C44" i="69"/>
  <c r="F29" i="69"/>
  <c r="E29" i="69"/>
  <c r="L10" i="41" s="1"/>
  <c r="D29" i="69"/>
  <c r="B29" i="69"/>
  <c r="LW28" i="69"/>
  <c r="LV28" i="69"/>
  <c r="LU28" i="69"/>
  <c r="LT28" i="69"/>
  <c r="LS28" i="69"/>
  <c r="LR28" i="69"/>
  <c r="LQ28" i="69"/>
  <c r="LP28" i="69"/>
  <c r="LO28" i="69"/>
  <c r="LN28" i="69"/>
  <c r="LM28" i="69"/>
  <c r="LL28" i="69"/>
  <c r="LK28" i="69"/>
  <c r="LJ28" i="69"/>
  <c r="LI28" i="69"/>
  <c r="LH28" i="69"/>
  <c r="LG28" i="69"/>
  <c r="LF28" i="69"/>
  <c r="LE28" i="69"/>
  <c r="LD28" i="69"/>
  <c r="LC28" i="69"/>
  <c r="LB28" i="69"/>
  <c r="LA28" i="69"/>
  <c r="KZ28" i="69"/>
  <c r="KY28" i="69"/>
  <c r="KX28" i="69"/>
  <c r="KW28" i="69"/>
  <c r="KV28" i="69"/>
  <c r="KU28" i="69"/>
  <c r="KT28" i="69"/>
  <c r="KS28" i="69"/>
  <c r="KR28" i="69"/>
  <c r="KQ28" i="69"/>
  <c r="KP28" i="69"/>
  <c r="KO28" i="69"/>
  <c r="KN28" i="69"/>
  <c r="KM28" i="69"/>
  <c r="KL28" i="69"/>
  <c r="KK28" i="69"/>
  <c r="KJ28" i="69"/>
  <c r="KI28" i="69"/>
  <c r="KH28" i="69"/>
  <c r="KG28" i="69"/>
  <c r="KF28" i="69"/>
  <c r="KE28" i="69"/>
  <c r="KD28" i="69"/>
  <c r="KC28" i="69"/>
  <c r="KB28" i="69"/>
  <c r="KA28" i="69"/>
  <c r="JZ28" i="69"/>
  <c r="JY28" i="69"/>
  <c r="JX28" i="69"/>
  <c r="JW28" i="69"/>
  <c r="JV28" i="69"/>
  <c r="JU28" i="69"/>
  <c r="JT28" i="69"/>
  <c r="JS28" i="69"/>
  <c r="JR28" i="69"/>
  <c r="JQ28" i="69"/>
  <c r="JP28" i="69"/>
  <c r="JO28" i="69"/>
  <c r="JN28" i="69"/>
  <c r="JM28" i="69"/>
  <c r="JL28" i="69"/>
  <c r="JK28" i="69"/>
  <c r="JJ28" i="69"/>
  <c r="JI28" i="69"/>
  <c r="JH28" i="69"/>
  <c r="JG28" i="69"/>
  <c r="JF28" i="69"/>
  <c r="JE28" i="69"/>
  <c r="JD28" i="69"/>
  <c r="JC28" i="69"/>
  <c r="JB28" i="69"/>
  <c r="JA28" i="69"/>
  <c r="IZ28" i="69"/>
  <c r="IY28" i="69"/>
  <c r="IX28" i="69"/>
  <c r="IW28" i="69"/>
  <c r="IV28" i="69"/>
  <c r="IU28" i="69"/>
  <c r="IT28" i="69"/>
  <c r="IS28" i="69"/>
  <c r="IR28" i="69"/>
  <c r="IQ28" i="69"/>
  <c r="IP28" i="69"/>
  <c r="IO28" i="69"/>
  <c r="IN28" i="69"/>
  <c r="IM28" i="69"/>
  <c r="IL28" i="69"/>
  <c r="IK28" i="69"/>
  <c r="IJ28" i="69"/>
  <c r="II28" i="69"/>
  <c r="IH28" i="69"/>
  <c r="IG28" i="69"/>
  <c r="IF28" i="69"/>
  <c r="IE28" i="69"/>
  <c r="ID28" i="69"/>
  <c r="IC28" i="69"/>
  <c r="IB28" i="69"/>
  <c r="IA28" i="69"/>
  <c r="HZ28" i="69"/>
  <c r="HY28" i="69"/>
  <c r="HX28" i="69"/>
  <c r="HW28" i="69"/>
  <c r="HV28" i="69"/>
  <c r="HU28" i="69"/>
  <c r="HT28" i="69"/>
  <c r="HS28" i="69"/>
  <c r="HR28" i="69"/>
  <c r="HQ28" i="69"/>
  <c r="HP28" i="69"/>
  <c r="HO28" i="69"/>
  <c r="HN28" i="69"/>
  <c r="HM28" i="69"/>
  <c r="HL28" i="69"/>
  <c r="HK28" i="69"/>
  <c r="HJ28" i="69"/>
  <c r="HI28" i="69"/>
  <c r="HH28" i="69"/>
  <c r="HG28" i="69"/>
  <c r="HF28" i="69"/>
  <c r="HE28" i="69"/>
  <c r="HD28" i="69"/>
  <c r="HC28" i="69"/>
  <c r="HB28" i="69"/>
  <c r="HA28" i="69"/>
  <c r="GZ28" i="69"/>
  <c r="GY28" i="69"/>
  <c r="GX28" i="69"/>
  <c r="GW28" i="69"/>
  <c r="GV28" i="69"/>
  <c r="GU28" i="69"/>
  <c r="GT28" i="69"/>
  <c r="GS28" i="69"/>
  <c r="GR28" i="69"/>
  <c r="GQ28" i="69"/>
  <c r="GP28" i="69"/>
  <c r="GO28" i="69"/>
  <c r="GN28" i="69"/>
  <c r="GM28" i="69"/>
  <c r="GL28" i="69"/>
  <c r="GK28" i="69"/>
  <c r="GJ28" i="69"/>
  <c r="GI28" i="69"/>
  <c r="GH28" i="69"/>
  <c r="GG28" i="69"/>
  <c r="GF28" i="69"/>
  <c r="GE28" i="69"/>
  <c r="GD28" i="69"/>
  <c r="GC28" i="69"/>
  <c r="GB28" i="69"/>
  <c r="GA28" i="69"/>
  <c r="FZ28" i="69"/>
  <c r="FY28" i="69"/>
  <c r="FX28" i="69"/>
  <c r="FW28" i="69"/>
  <c r="FV28" i="69"/>
  <c r="FU28" i="69"/>
  <c r="FT28" i="69"/>
  <c r="FS28" i="69"/>
  <c r="FR28" i="69"/>
  <c r="FQ28" i="69"/>
  <c r="FP28" i="69"/>
  <c r="FO28" i="69"/>
  <c r="C28" i="69"/>
  <c r="LW27" i="69"/>
  <c r="LV27" i="69"/>
  <c r="LU27" i="69"/>
  <c r="LT27" i="69"/>
  <c r="LS27" i="69"/>
  <c r="LR27" i="69"/>
  <c r="LQ27" i="69"/>
  <c r="LP27" i="69"/>
  <c r="LO27" i="69"/>
  <c r="LN27" i="69"/>
  <c r="LM27" i="69"/>
  <c r="LL27" i="69"/>
  <c r="LK27" i="69"/>
  <c r="LJ27" i="69"/>
  <c r="LI27" i="69"/>
  <c r="LH27" i="69"/>
  <c r="LG27" i="69"/>
  <c r="LF27" i="69"/>
  <c r="LE27" i="69"/>
  <c r="LD27" i="69"/>
  <c r="LC27" i="69"/>
  <c r="LB27" i="69"/>
  <c r="LA27" i="69"/>
  <c r="KZ27" i="69"/>
  <c r="KY27" i="69"/>
  <c r="KX27" i="69"/>
  <c r="KW27" i="69"/>
  <c r="KV27" i="69"/>
  <c r="KU27" i="69"/>
  <c r="KT27" i="69"/>
  <c r="KS27" i="69"/>
  <c r="KR27" i="69"/>
  <c r="KQ27" i="69"/>
  <c r="KP27" i="69"/>
  <c r="KO27" i="69"/>
  <c r="KN27" i="69"/>
  <c r="KM27" i="69"/>
  <c r="KL27" i="69"/>
  <c r="KK27" i="69"/>
  <c r="KJ27" i="69"/>
  <c r="KI27" i="69"/>
  <c r="KH27" i="69"/>
  <c r="KG27" i="69"/>
  <c r="KF27" i="69"/>
  <c r="KE27" i="69"/>
  <c r="KD27" i="69"/>
  <c r="KC27" i="69"/>
  <c r="KB27" i="69"/>
  <c r="KA27" i="69"/>
  <c r="JZ27" i="69"/>
  <c r="JY27" i="69"/>
  <c r="JX27" i="69"/>
  <c r="JW27" i="69"/>
  <c r="JV27" i="69"/>
  <c r="JU27" i="69"/>
  <c r="JT27" i="69"/>
  <c r="JS27" i="69"/>
  <c r="JR27" i="69"/>
  <c r="JQ27" i="69"/>
  <c r="JP27" i="69"/>
  <c r="JO27" i="69"/>
  <c r="JN27" i="69"/>
  <c r="JM27" i="69"/>
  <c r="JL27" i="69"/>
  <c r="JK27" i="69"/>
  <c r="JJ27" i="69"/>
  <c r="JI27" i="69"/>
  <c r="JH27" i="69"/>
  <c r="JG27" i="69"/>
  <c r="JF27" i="69"/>
  <c r="JE27" i="69"/>
  <c r="JD27" i="69"/>
  <c r="JC27" i="69"/>
  <c r="JB27" i="69"/>
  <c r="JA27" i="69"/>
  <c r="IZ27" i="69"/>
  <c r="IY27" i="69"/>
  <c r="IX27" i="69"/>
  <c r="IW27" i="69"/>
  <c r="IV27" i="69"/>
  <c r="IU27" i="69"/>
  <c r="IT27" i="69"/>
  <c r="IS27" i="69"/>
  <c r="IR27" i="69"/>
  <c r="IQ27" i="69"/>
  <c r="IP27" i="69"/>
  <c r="IO27" i="69"/>
  <c r="IN27" i="69"/>
  <c r="IM27" i="69"/>
  <c r="IL27" i="69"/>
  <c r="IK27" i="69"/>
  <c r="IJ27" i="69"/>
  <c r="II27" i="69"/>
  <c r="IH27" i="69"/>
  <c r="IG27" i="69"/>
  <c r="IF27" i="69"/>
  <c r="IE27" i="69"/>
  <c r="ID27" i="69"/>
  <c r="IC27" i="69"/>
  <c r="IB27" i="69"/>
  <c r="IA27" i="69"/>
  <c r="HZ27" i="69"/>
  <c r="HY27" i="69"/>
  <c r="HX27" i="69"/>
  <c r="HW27" i="69"/>
  <c r="HV27" i="69"/>
  <c r="HU27" i="69"/>
  <c r="HT27" i="69"/>
  <c r="HS27" i="69"/>
  <c r="HR27" i="69"/>
  <c r="HQ27" i="69"/>
  <c r="HP27" i="69"/>
  <c r="HO27" i="69"/>
  <c r="HN27" i="69"/>
  <c r="HM27" i="69"/>
  <c r="HL27" i="69"/>
  <c r="HK27" i="69"/>
  <c r="HJ27" i="69"/>
  <c r="HI27" i="69"/>
  <c r="HH27" i="69"/>
  <c r="HG27" i="69"/>
  <c r="HF27" i="69"/>
  <c r="HE27" i="69"/>
  <c r="HD27" i="69"/>
  <c r="HC27" i="69"/>
  <c r="HB27" i="69"/>
  <c r="HA27" i="69"/>
  <c r="GZ27" i="69"/>
  <c r="GY27" i="69"/>
  <c r="GX27" i="69"/>
  <c r="GW27" i="69"/>
  <c r="GV27" i="69"/>
  <c r="GU27" i="69"/>
  <c r="GT27" i="69"/>
  <c r="GS27" i="69"/>
  <c r="GR27" i="69"/>
  <c r="GQ27" i="69"/>
  <c r="GP27" i="69"/>
  <c r="GO27" i="69"/>
  <c r="GN27" i="69"/>
  <c r="GM27" i="69"/>
  <c r="GL27" i="69"/>
  <c r="GK27" i="69"/>
  <c r="GJ27" i="69"/>
  <c r="GI27" i="69"/>
  <c r="GH27" i="69"/>
  <c r="GG27" i="69"/>
  <c r="GF27" i="69"/>
  <c r="GE27" i="69"/>
  <c r="GD27" i="69"/>
  <c r="GC27" i="69"/>
  <c r="GB27" i="69"/>
  <c r="GA27" i="69"/>
  <c r="FZ27" i="69"/>
  <c r="FY27" i="69"/>
  <c r="FX27" i="69"/>
  <c r="FW27" i="69"/>
  <c r="FV27" i="69"/>
  <c r="FU27" i="69"/>
  <c r="FT27" i="69"/>
  <c r="FS27" i="69"/>
  <c r="FR27" i="69"/>
  <c r="FQ27" i="69"/>
  <c r="FP27" i="69"/>
  <c r="FO27" i="69"/>
  <c r="C27" i="69"/>
  <c r="LW26" i="69"/>
  <c r="LV26" i="69"/>
  <c r="LU26" i="69"/>
  <c r="LT26" i="69"/>
  <c r="LS26" i="69"/>
  <c r="LR26" i="69"/>
  <c r="LQ26" i="69"/>
  <c r="LP26" i="69"/>
  <c r="LO26" i="69"/>
  <c r="LN26" i="69"/>
  <c r="LM26" i="69"/>
  <c r="LL26" i="69"/>
  <c r="LK26" i="69"/>
  <c r="LJ26" i="69"/>
  <c r="LI26" i="69"/>
  <c r="LH26" i="69"/>
  <c r="LG26" i="69"/>
  <c r="LF26" i="69"/>
  <c r="LE26" i="69"/>
  <c r="LD26" i="69"/>
  <c r="LC26" i="69"/>
  <c r="LB26" i="69"/>
  <c r="LA26" i="69"/>
  <c r="KZ26" i="69"/>
  <c r="KY26" i="69"/>
  <c r="KX26" i="69"/>
  <c r="KW26" i="69"/>
  <c r="KV26" i="69"/>
  <c r="KU26" i="69"/>
  <c r="KT26" i="69"/>
  <c r="KS26" i="69"/>
  <c r="KR26" i="69"/>
  <c r="KQ26" i="69"/>
  <c r="KP26" i="69"/>
  <c r="KO26" i="69"/>
  <c r="KN26" i="69"/>
  <c r="KM26" i="69"/>
  <c r="KL26" i="69"/>
  <c r="KK26" i="69"/>
  <c r="KJ26" i="69"/>
  <c r="KI26" i="69"/>
  <c r="KH26" i="69"/>
  <c r="KG26" i="69"/>
  <c r="KF26" i="69"/>
  <c r="KE26" i="69"/>
  <c r="KD26" i="69"/>
  <c r="KC26" i="69"/>
  <c r="KB26" i="69"/>
  <c r="KA26" i="69"/>
  <c r="JZ26" i="69"/>
  <c r="JY26" i="69"/>
  <c r="JX26" i="69"/>
  <c r="JW26" i="69"/>
  <c r="JV26" i="69"/>
  <c r="JU26" i="69"/>
  <c r="JT26" i="69"/>
  <c r="JS26" i="69"/>
  <c r="JR26" i="69"/>
  <c r="JQ26" i="69"/>
  <c r="JP26" i="69"/>
  <c r="JO26" i="69"/>
  <c r="JN26" i="69"/>
  <c r="JM26" i="69"/>
  <c r="JL26" i="69"/>
  <c r="JK26" i="69"/>
  <c r="JJ26" i="69"/>
  <c r="JI26" i="69"/>
  <c r="JH26" i="69"/>
  <c r="JG26" i="69"/>
  <c r="JF26" i="69"/>
  <c r="JE26" i="69"/>
  <c r="JD26" i="69"/>
  <c r="JC26" i="69"/>
  <c r="JB26" i="69"/>
  <c r="JA26" i="69"/>
  <c r="IZ26" i="69"/>
  <c r="IY26" i="69"/>
  <c r="IX26" i="69"/>
  <c r="IW26" i="69"/>
  <c r="IV26" i="69"/>
  <c r="IU26" i="69"/>
  <c r="IT26" i="69"/>
  <c r="IS26" i="69"/>
  <c r="IR26" i="69"/>
  <c r="IQ26" i="69"/>
  <c r="IP26" i="69"/>
  <c r="IO26" i="69"/>
  <c r="IN26" i="69"/>
  <c r="IM26" i="69"/>
  <c r="IL26" i="69"/>
  <c r="IK26" i="69"/>
  <c r="IJ26" i="69"/>
  <c r="II26" i="69"/>
  <c r="IH26" i="69"/>
  <c r="IG26" i="69"/>
  <c r="IF26" i="69"/>
  <c r="IE26" i="69"/>
  <c r="ID26" i="69"/>
  <c r="IC26" i="69"/>
  <c r="IB26" i="69"/>
  <c r="IA26" i="69"/>
  <c r="HZ26" i="69"/>
  <c r="HY26" i="69"/>
  <c r="HX26" i="69"/>
  <c r="HW26" i="69"/>
  <c r="HV26" i="69"/>
  <c r="HU26" i="69"/>
  <c r="HT26" i="69"/>
  <c r="HS26" i="69"/>
  <c r="HR26" i="69"/>
  <c r="HQ26" i="69"/>
  <c r="HP26" i="69"/>
  <c r="HO26" i="69"/>
  <c r="HN26" i="69"/>
  <c r="HM26" i="69"/>
  <c r="HL26" i="69"/>
  <c r="HK26" i="69"/>
  <c r="HJ26" i="69"/>
  <c r="HI26" i="69"/>
  <c r="HH26" i="69"/>
  <c r="HG26" i="69"/>
  <c r="HF26" i="69"/>
  <c r="HE26" i="69"/>
  <c r="HD26" i="69"/>
  <c r="HC26" i="69"/>
  <c r="HB26" i="69"/>
  <c r="HA26" i="69"/>
  <c r="GZ26" i="69"/>
  <c r="GY26" i="69"/>
  <c r="GX26" i="69"/>
  <c r="GW26" i="69"/>
  <c r="GV26" i="69"/>
  <c r="GU26" i="69"/>
  <c r="GT26" i="69"/>
  <c r="GS26" i="69"/>
  <c r="GR26" i="69"/>
  <c r="GQ26" i="69"/>
  <c r="GP26" i="69"/>
  <c r="GO26" i="69"/>
  <c r="GN26" i="69"/>
  <c r="GM26" i="69"/>
  <c r="GL26" i="69"/>
  <c r="GK26" i="69"/>
  <c r="GJ26" i="69"/>
  <c r="GI26" i="69"/>
  <c r="GH26" i="69"/>
  <c r="GG26" i="69"/>
  <c r="GF26" i="69"/>
  <c r="GE26" i="69"/>
  <c r="GD26" i="69"/>
  <c r="GC26" i="69"/>
  <c r="GB26" i="69"/>
  <c r="GA26" i="69"/>
  <c r="FZ26" i="69"/>
  <c r="FY26" i="69"/>
  <c r="FX26" i="69"/>
  <c r="FW26" i="69"/>
  <c r="FV26" i="69"/>
  <c r="FU26" i="69"/>
  <c r="FT26" i="69"/>
  <c r="FS26" i="69"/>
  <c r="FR26" i="69"/>
  <c r="FQ26" i="69"/>
  <c r="FP26" i="69"/>
  <c r="FO26" i="69"/>
  <c r="C26" i="69"/>
  <c r="LW25" i="69"/>
  <c r="LV25" i="69"/>
  <c r="LU25" i="69"/>
  <c r="LT25" i="69"/>
  <c r="LS25" i="69"/>
  <c r="LR25" i="69"/>
  <c r="LQ25" i="69"/>
  <c r="LP25" i="69"/>
  <c r="LO25" i="69"/>
  <c r="LN25" i="69"/>
  <c r="LM25" i="69"/>
  <c r="LL25" i="69"/>
  <c r="LK25" i="69"/>
  <c r="LJ25" i="69"/>
  <c r="LI25" i="69"/>
  <c r="LH25" i="69"/>
  <c r="LG25" i="69"/>
  <c r="LF25" i="69"/>
  <c r="LE25" i="69"/>
  <c r="LD25" i="69"/>
  <c r="LC25" i="69"/>
  <c r="LB25" i="69"/>
  <c r="LA25" i="69"/>
  <c r="KZ25" i="69"/>
  <c r="KY25" i="69"/>
  <c r="KX25" i="69"/>
  <c r="KW25" i="69"/>
  <c r="KV25" i="69"/>
  <c r="KU25" i="69"/>
  <c r="KT25" i="69"/>
  <c r="KS25" i="69"/>
  <c r="KR25" i="69"/>
  <c r="KQ25" i="69"/>
  <c r="KP25" i="69"/>
  <c r="KO25" i="69"/>
  <c r="KN25" i="69"/>
  <c r="KM25" i="69"/>
  <c r="KL25" i="69"/>
  <c r="KK25" i="69"/>
  <c r="KJ25" i="69"/>
  <c r="KI25" i="69"/>
  <c r="KH25" i="69"/>
  <c r="KG25" i="69"/>
  <c r="KF25" i="69"/>
  <c r="KE25" i="69"/>
  <c r="KD25" i="69"/>
  <c r="KC25" i="69"/>
  <c r="KB25" i="69"/>
  <c r="KA25" i="69"/>
  <c r="JZ25" i="69"/>
  <c r="JY25" i="69"/>
  <c r="JX25" i="69"/>
  <c r="JW25" i="69"/>
  <c r="JV25" i="69"/>
  <c r="JU25" i="69"/>
  <c r="JT25" i="69"/>
  <c r="JS25" i="69"/>
  <c r="JR25" i="69"/>
  <c r="JQ25" i="69"/>
  <c r="JP25" i="69"/>
  <c r="JO25" i="69"/>
  <c r="JN25" i="69"/>
  <c r="JM25" i="69"/>
  <c r="JL25" i="69"/>
  <c r="JK25" i="69"/>
  <c r="JJ25" i="69"/>
  <c r="JI25" i="69"/>
  <c r="JH25" i="69"/>
  <c r="JG25" i="69"/>
  <c r="JF25" i="69"/>
  <c r="JE25" i="69"/>
  <c r="JD25" i="69"/>
  <c r="JC25" i="69"/>
  <c r="JB25" i="69"/>
  <c r="JA25" i="69"/>
  <c r="IZ25" i="69"/>
  <c r="IY25" i="69"/>
  <c r="IX25" i="69"/>
  <c r="IW25" i="69"/>
  <c r="IV25" i="69"/>
  <c r="IU25" i="69"/>
  <c r="IT25" i="69"/>
  <c r="IS25" i="69"/>
  <c r="IR25" i="69"/>
  <c r="IQ25" i="69"/>
  <c r="IP25" i="69"/>
  <c r="IO25" i="69"/>
  <c r="IN25" i="69"/>
  <c r="IM25" i="69"/>
  <c r="IL25" i="69"/>
  <c r="IK25" i="69"/>
  <c r="IJ25" i="69"/>
  <c r="II25" i="69"/>
  <c r="IH25" i="69"/>
  <c r="IG25" i="69"/>
  <c r="IF25" i="69"/>
  <c r="IE25" i="69"/>
  <c r="ID25" i="69"/>
  <c r="IC25" i="69"/>
  <c r="IB25" i="69"/>
  <c r="IA25" i="69"/>
  <c r="HZ25" i="69"/>
  <c r="HY25" i="69"/>
  <c r="HX25" i="69"/>
  <c r="HW25" i="69"/>
  <c r="HV25" i="69"/>
  <c r="HU25" i="69"/>
  <c r="HT25" i="69"/>
  <c r="HS25" i="69"/>
  <c r="HR25" i="69"/>
  <c r="HQ25" i="69"/>
  <c r="HP25" i="69"/>
  <c r="HO25" i="69"/>
  <c r="HN25" i="69"/>
  <c r="HM25" i="69"/>
  <c r="HL25" i="69"/>
  <c r="HK25" i="69"/>
  <c r="HJ25" i="69"/>
  <c r="HI25" i="69"/>
  <c r="HH25" i="69"/>
  <c r="HG25" i="69"/>
  <c r="HF25" i="69"/>
  <c r="HE25" i="69"/>
  <c r="HD25" i="69"/>
  <c r="HC25" i="69"/>
  <c r="HB25" i="69"/>
  <c r="HA25" i="69"/>
  <c r="GZ25" i="69"/>
  <c r="GY25" i="69"/>
  <c r="GX25" i="69"/>
  <c r="GW25" i="69"/>
  <c r="GV25" i="69"/>
  <c r="GU25" i="69"/>
  <c r="GT25" i="69"/>
  <c r="GS25" i="69"/>
  <c r="GR25" i="69"/>
  <c r="GQ25" i="69"/>
  <c r="GP25" i="69"/>
  <c r="GO25" i="69"/>
  <c r="GN25" i="69"/>
  <c r="GM25" i="69"/>
  <c r="GL25" i="69"/>
  <c r="GK25" i="69"/>
  <c r="GJ25" i="69"/>
  <c r="GI25" i="69"/>
  <c r="GH25" i="69"/>
  <c r="GG25" i="69"/>
  <c r="GF25" i="69"/>
  <c r="GE25" i="69"/>
  <c r="GD25" i="69"/>
  <c r="GC25" i="69"/>
  <c r="GB25" i="69"/>
  <c r="GA25" i="69"/>
  <c r="FZ25" i="69"/>
  <c r="FY25" i="69"/>
  <c r="FX25" i="69"/>
  <c r="FW25" i="69"/>
  <c r="FV25" i="69"/>
  <c r="FU25" i="69"/>
  <c r="FT25" i="69"/>
  <c r="FS25" i="69"/>
  <c r="FR25" i="69"/>
  <c r="FQ25" i="69"/>
  <c r="FP25" i="69"/>
  <c r="FO25" i="69"/>
  <c r="C25" i="69"/>
  <c r="LW24" i="69"/>
  <c r="LV24" i="69"/>
  <c r="LU24" i="69"/>
  <c r="LT24" i="69"/>
  <c r="LS24" i="69"/>
  <c r="LR24" i="69"/>
  <c r="LQ24" i="69"/>
  <c r="LP24" i="69"/>
  <c r="LO24" i="69"/>
  <c r="LN24" i="69"/>
  <c r="LM24" i="69"/>
  <c r="LL24" i="69"/>
  <c r="LK24" i="69"/>
  <c r="LJ24" i="69"/>
  <c r="LI24" i="69"/>
  <c r="LH24" i="69"/>
  <c r="LG24" i="69"/>
  <c r="LF24" i="69"/>
  <c r="LE24" i="69"/>
  <c r="LD24" i="69"/>
  <c r="LC24" i="69"/>
  <c r="LB24" i="69"/>
  <c r="LA24" i="69"/>
  <c r="KZ24" i="69"/>
  <c r="KY24" i="69"/>
  <c r="KX24" i="69"/>
  <c r="KW24" i="69"/>
  <c r="KV24" i="69"/>
  <c r="KU24" i="69"/>
  <c r="KT24" i="69"/>
  <c r="KS24" i="69"/>
  <c r="KR24" i="69"/>
  <c r="KQ24" i="69"/>
  <c r="KP24" i="69"/>
  <c r="KO24" i="69"/>
  <c r="KN24" i="69"/>
  <c r="KM24" i="69"/>
  <c r="KL24" i="69"/>
  <c r="KK24" i="69"/>
  <c r="KJ24" i="69"/>
  <c r="KI24" i="69"/>
  <c r="KH24" i="69"/>
  <c r="KG24" i="69"/>
  <c r="KF24" i="69"/>
  <c r="KE24" i="69"/>
  <c r="KD24" i="69"/>
  <c r="KC24" i="69"/>
  <c r="KB24" i="69"/>
  <c r="KA24" i="69"/>
  <c r="JZ24" i="69"/>
  <c r="JY24" i="69"/>
  <c r="JX24" i="69"/>
  <c r="JW24" i="69"/>
  <c r="JV24" i="69"/>
  <c r="JU24" i="69"/>
  <c r="JT24" i="69"/>
  <c r="JS24" i="69"/>
  <c r="JR24" i="69"/>
  <c r="JQ24" i="69"/>
  <c r="JP24" i="69"/>
  <c r="JO24" i="69"/>
  <c r="JN24" i="69"/>
  <c r="JM24" i="69"/>
  <c r="JL24" i="69"/>
  <c r="JK24" i="69"/>
  <c r="JJ24" i="69"/>
  <c r="JI24" i="69"/>
  <c r="JH24" i="69"/>
  <c r="JG24" i="69"/>
  <c r="JF24" i="69"/>
  <c r="JE24" i="69"/>
  <c r="JD24" i="69"/>
  <c r="JC24" i="69"/>
  <c r="JB24" i="69"/>
  <c r="JA24" i="69"/>
  <c r="IZ24" i="69"/>
  <c r="IY24" i="69"/>
  <c r="IX24" i="69"/>
  <c r="IW24" i="69"/>
  <c r="IV24" i="69"/>
  <c r="IU24" i="69"/>
  <c r="IT24" i="69"/>
  <c r="IS24" i="69"/>
  <c r="IR24" i="69"/>
  <c r="IQ24" i="69"/>
  <c r="IP24" i="69"/>
  <c r="IO24" i="69"/>
  <c r="IN24" i="69"/>
  <c r="IM24" i="69"/>
  <c r="IL24" i="69"/>
  <c r="IK24" i="69"/>
  <c r="IJ24" i="69"/>
  <c r="II24" i="69"/>
  <c r="IH24" i="69"/>
  <c r="IG24" i="69"/>
  <c r="IF24" i="69"/>
  <c r="IE24" i="69"/>
  <c r="ID24" i="69"/>
  <c r="IC24" i="69"/>
  <c r="IB24" i="69"/>
  <c r="IA24" i="69"/>
  <c r="HZ24" i="69"/>
  <c r="HY24" i="69"/>
  <c r="HX24" i="69"/>
  <c r="HW24" i="69"/>
  <c r="HV24" i="69"/>
  <c r="HU24" i="69"/>
  <c r="HT24" i="69"/>
  <c r="HS24" i="69"/>
  <c r="HR24" i="69"/>
  <c r="HQ24" i="69"/>
  <c r="HP24" i="69"/>
  <c r="HO24" i="69"/>
  <c r="HN24" i="69"/>
  <c r="HM24" i="69"/>
  <c r="HL24" i="69"/>
  <c r="HK24" i="69"/>
  <c r="HJ24" i="69"/>
  <c r="HI24" i="69"/>
  <c r="HH24" i="69"/>
  <c r="HG24" i="69"/>
  <c r="HF24" i="69"/>
  <c r="HE24" i="69"/>
  <c r="HD24" i="69"/>
  <c r="HC24" i="69"/>
  <c r="HB24" i="69"/>
  <c r="HA24" i="69"/>
  <c r="GZ24" i="69"/>
  <c r="GY24" i="69"/>
  <c r="GX24" i="69"/>
  <c r="GW24" i="69"/>
  <c r="GV24" i="69"/>
  <c r="GU24" i="69"/>
  <c r="GT24" i="69"/>
  <c r="GS24" i="69"/>
  <c r="GR24" i="69"/>
  <c r="GQ24" i="69"/>
  <c r="GP24" i="69"/>
  <c r="GO24" i="69"/>
  <c r="GN24" i="69"/>
  <c r="GM24" i="69"/>
  <c r="GL24" i="69"/>
  <c r="GK24" i="69"/>
  <c r="GJ24" i="69"/>
  <c r="GI24" i="69"/>
  <c r="GH24" i="69"/>
  <c r="GG24" i="69"/>
  <c r="GF24" i="69"/>
  <c r="GE24" i="69"/>
  <c r="GD24" i="69"/>
  <c r="GC24" i="69"/>
  <c r="GB24" i="69"/>
  <c r="GA24" i="69"/>
  <c r="FZ24" i="69"/>
  <c r="FY24" i="69"/>
  <c r="FX24" i="69"/>
  <c r="FW24" i="69"/>
  <c r="FV24" i="69"/>
  <c r="FU24" i="69"/>
  <c r="FT24" i="69"/>
  <c r="FS24" i="69"/>
  <c r="FR24" i="69"/>
  <c r="FQ24" i="69"/>
  <c r="FP24" i="69"/>
  <c r="FO24" i="69"/>
  <c r="C24" i="69"/>
  <c r="LW23" i="69"/>
  <c r="LV23" i="69"/>
  <c r="LU23" i="69"/>
  <c r="LT23" i="69"/>
  <c r="LS23" i="69"/>
  <c r="LR23" i="69"/>
  <c r="LQ23" i="69"/>
  <c r="LP23" i="69"/>
  <c r="LO23" i="69"/>
  <c r="LN23" i="69"/>
  <c r="LM23" i="69"/>
  <c r="LL23" i="69"/>
  <c r="LK23" i="69"/>
  <c r="LJ23" i="69"/>
  <c r="LI23" i="69"/>
  <c r="LH23" i="69"/>
  <c r="LG23" i="69"/>
  <c r="LF23" i="69"/>
  <c r="LE23" i="69"/>
  <c r="LD23" i="69"/>
  <c r="LC23" i="69"/>
  <c r="LB23" i="69"/>
  <c r="LA23" i="69"/>
  <c r="KZ23" i="69"/>
  <c r="KY23" i="69"/>
  <c r="KX23" i="69"/>
  <c r="KW23" i="69"/>
  <c r="KV23" i="69"/>
  <c r="KU23" i="69"/>
  <c r="KT23" i="69"/>
  <c r="KS23" i="69"/>
  <c r="KR23" i="69"/>
  <c r="KQ23" i="69"/>
  <c r="KP23" i="69"/>
  <c r="KO23" i="69"/>
  <c r="KN23" i="69"/>
  <c r="KM23" i="69"/>
  <c r="KL23" i="69"/>
  <c r="KK23" i="69"/>
  <c r="KJ23" i="69"/>
  <c r="KI23" i="69"/>
  <c r="KH23" i="69"/>
  <c r="KG23" i="69"/>
  <c r="KF23" i="69"/>
  <c r="KE23" i="69"/>
  <c r="KD23" i="69"/>
  <c r="KC23" i="69"/>
  <c r="KB23" i="69"/>
  <c r="KA23" i="69"/>
  <c r="JZ23" i="69"/>
  <c r="JY23" i="69"/>
  <c r="JX23" i="69"/>
  <c r="JW23" i="69"/>
  <c r="JV23" i="69"/>
  <c r="JU23" i="69"/>
  <c r="JT23" i="69"/>
  <c r="JS23" i="69"/>
  <c r="JR23" i="69"/>
  <c r="JQ23" i="69"/>
  <c r="JP23" i="69"/>
  <c r="JO23" i="69"/>
  <c r="JN23" i="69"/>
  <c r="JM23" i="69"/>
  <c r="JL23" i="69"/>
  <c r="JK23" i="69"/>
  <c r="JJ23" i="69"/>
  <c r="JI23" i="69"/>
  <c r="JH23" i="69"/>
  <c r="JG23" i="69"/>
  <c r="JF23" i="69"/>
  <c r="JE23" i="69"/>
  <c r="JD23" i="69"/>
  <c r="JC23" i="69"/>
  <c r="JB23" i="69"/>
  <c r="JA23" i="69"/>
  <c r="IZ23" i="69"/>
  <c r="IY23" i="69"/>
  <c r="IX23" i="69"/>
  <c r="IW23" i="69"/>
  <c r="IV23" i="69"/>
  <c r="IU23" i="69"/>
  <c r="IT23" i="69"/>
  <c r="IS23" i="69"/>
  <c r="IR23" i="69"/>
  <c r="IQ23" i="69"/>
  <c r="IP23" i="69"/>
  <c r="IO23" i="69"/>
  <c r="IN23" i="69"/>
  <c r="IM23" i="69"/>
  <c r="IL23" i="69"/>
  <c r="IK23" i="69"/>
  <c r="IJ23" i="69"/>
  <c r="II23" i="69"/>
  <c r="IH23" i="69"/>
  <c r="IG23" i="69"/>
  <c r="IF23" i="69"/>
  <c r="IE23" i="69"/>
  <c r="ID23" i="69"/>
  <c r="IC23" i="69"/>
  <c r="IB23" i="69"/>
  <c r="IA23" i="69"/>
  <c r="HZ23" i="69"/>
  <c r="HY23" i="69"/>
  <c r="HX23" i="69"/>
  <c r="HW23" i="69"/>
  <c r="HV23" i="69"/>
  <c r="HU23" i="69"/>
  <c r="HT23" i="69"/>
  <c r="HS23" i="69"/>
  <c r="HR23" i="69"/>
  <c r="HQ23" i="69"/>
  <c r="HP23" i="69"/>
  <c r="HO23" i="69"/>
  <c r="HN23" i="69"/>
  <c r="HM23" i="69"/>
  <c r="HL23" i="69"/>
  <c r="HK23" i="69"/>
  <c r="HJ23" i="69"/>
  <c r="HI23" i="69"/>
  <c r="HH23" i="69"/>
  <c r="HG23" i="69"/>
  <c r="HF23" i="69"/>
  <c r="HE23" i="69"/>
  <c r="HD23" i="69"/>
  <c r="HC23" i="69"/>
  <c r="HB23" i="69"/>
  <c r="HA23" i="69"/>
  <c r="GZ23" i="69"/>
  <c r="GY23" i="69"/>
  <c r="GX23" i="69"/>
  <c r="GW23" i="69"/>
  <c r="GV23" i="69"/>
  <c r="GU23" i="69"/>
  <c r="GT23" i="69"/>
  <c r="GS23" i="69"/>
  <c r="GR23" i="69"/>
  <c r="GQ23" i="69"/>
  <c r="GP23" i="69"/>
  <c r="GO23" i="69"/>
  <c r="GN23" i="69"/>
  <c r="GM23" i="69"/>
  <c r="GL23" i="69"/>
  <c r="GK23" i="69"/>
  <c r="GJ23" i="69"/>
  <c r="GI23" i="69"/>
  <c r="GH23" i="69"/>
  <c r="GG23" i="69"/>
  <c r="GF23" i="69"/>
  <c r="GE23" i="69"/>
  <c r="GD23" i="69"/>
  <c r="GC23" i="69"/>
  <c r="GB23" i="69"/>
  <c r="GA23" i="69"/>
  <c r="FZ23" i="69"/>
  <c r="FY23" i="69"/>
  <c r="FX23" i="69"/>
  <c r="FW23" i="69"/>
  <c r="FV23" i="69"/>
  <c r="FU23" i="69"/>
  <c r="FT23" i="69"/>
  <c r="FS23" i="69"/>
  <c r="FR23" i="69"/>
  <c r="FQ23" i="69"/>
  <c r="FP23" i="69"/>
  <c r="FO23" i="69"/>
  <c r="C23" i="69"/>
  <c r="LW22" i="69"/>
  <c r="LV22" i="69"/>
  <c r="LU22" i="69"/>
  <c r="LT22" i="69"/>
  <c r="LS22" i="69"/>
  <c r="LR22" i="69"/>
  <c r="LQ22" i="69"/>
  <c r="LP22" i="69"/>
  <c r="LO22" i="69"/>
  <c r="LN22" i="69"/>
  <c r="LM22" i="69"/>
  <c r="LL22" i="69"/>
  <c r="LK22" i="69"/>
  <c r="LJ22" i="69"/>
  <c r="LI22" i="69"/>
  <c r="LH22" i="69"/>
  <c r="LG22" i="69"/>
  <c r="LF22" i="69"/>
  <c r="LE22" i="69"/>
  <c r="LD22" i="69"/>
  <c r="LC22" i="69"/>
  <c r="LB22" i="69"/>
  <c r="LA22" i="69"/>
  <c r="KZ22" i="69"/>
  <c r="KY22" i="69"/>
  <c r="KX22" i="69"/>
  <c r="KW22" i="69"/>
  <c r="KV22" i="69"/>
  <c r="KU22" i="69"/>
  <c r="KT22" i="69"/>
  <c r="KS22" i="69"/>
  <c r="KR22" i="69"/>
  <c r="KQ22" i="69"/>
  <c r="KP22" i="69"/>
  <c r="KO22" i="69"/>
  <c r="KN22" i="69"/>
  <c r="KM22" i="69"/>
  <c r="KL22" i="69"/>
  <c r="KK22" i="69"/>
  <c r="KJ22" i="69"/>
  <c r="KI22" i="69"/>
  <c r="KH22" i="69"/>
  <c r="KG22" i="69"/>
  <c r="KF22" i="69"/>
  <c r="KE22" i="69"/>
  <c r="KD22" i="69"/>
  <c r="KC22" i="69"/>
  <c r="KB22" i="69"/>
  <c r="KA22" i="69"/>
  <c r="JZ22" i="69"/>
  <c r="JY22" i="69"/>
  <c r="JX22" i="69"/>
  <c r="JW22" i="69"/>
  <c r="JV22" i="69"/>
  <c r="JU22" i="69"/>
  <c r="JT22" i="69"/>
  <c r="JS22" i="69"/>
  <c r="JR22" i="69"/>
  <c r="JQ22" i="69"/>
  <c r="JP22" i="69"/>
  <c r="JO22" i="69"/>
  <c r="JN22" i="69"/>
  <c r="JM22" i="69"/>
  <c r="JL22" i="69"/>
  <c r="JK22" i="69"/>
  <c r="JJ22" i="69"/>
  <c r="JI22" i="69"/>
  <c r="JH22" i="69"/>
  <c r="JG22" i="69"/>
  <c r="JF22" i="69"/>
  <c r="JE22" i="69"/>
  <c r="JD22" i="69"/>
  <c r="JC22" i="69"/>
  <c r="JB22" i="69"/>
  <c r="JA22" i="69"/>
  <c r="IZ22" i="69"/>
  <c r="IY22" i="69"/>
  <c r="IX22" i="69"/>
  <c r="IW22" i="69"/>
  <c r="IV22" i="69"/>
  <c r="IU22" i="69"/>
  <c r="IT22" i="69"/>
  <c r="IS22" i="69"/>
  <c r="IR22" i="69"/>
  <c r="IQ22" i="69"/>
  <c r="IP22" i="69"/>
  <c r="IO22" i="69"/>
  <c r="IN22" i="69"/>
  <c r="IM22" i="69"/>
  <c r="IL22" i="69"/>
  <c r="IK22" i="69"/>
  <c r="IJ22" i="69"/>
  <c r="II22" i="69"/>
  <c r="IH22" i="69"/>
  <c r="IG22" i="69"/>
  <c r="IF22" i="69"/>
  <c r="IE22" i="69"/>
  <c r="ID22" i="69"/>
  <c r="IC22" i="69"/>
  <c r="IB22" i="69"/>
  <c r="IA22" i="69"/>
  <c r="HZ22" i="69"/>
  <c r="HY22" i="69"/>
  <c r="HX22" i="69"/>
  <c r="HW22" i="69"/>
  <c r="HV22" i="69"/>
  <c r="HU22" i="69"/>
  <c r="HT22" i="69"/>
  <c r="HS22" i="69"/>
  <c r="HR22" i="69"/>
  <c r="HQ22" i="69"/>
  <c r="HP22" i="69"/>
  <c r="HO22" i="69"/>
  <c r="HN22" i="69"/>
  <c r="HM22" i="69"/>
  <c r="HL22" i="69"/>
  <c r="HK22" i="69"/>
  <c r="HJ22" i="69"/>
  <c r="HI22" i="69"/>
  <c r="HH22" i="69"/>
  <c r="HG22" i="69"/>
  <c r="HF22" i="69"/>
  <c r="HE22" i="69"/>
  <c r="HD22" i="69"/>
  <c r="HC22" i="69"/>
  <c r="HB22" i="69"/>
  <c r="HA22" i="69"/>
  <c r="GZ22" i="69"/>
  <c r="GY22" i="69"/>
  <c r="GX22" i="69"/>
  <c r="GW22" i="69"/>
  <c r="GV22" i="69"/>
  <c r="GU22" i="69"/>
  <c r="GT22" i="69"/>
  <c r="GS22" i="69"/>
  <c r="GR22" i="69"/>
  <c r="GQ22" i="69"/>
  <c r="GP22" i="69"/>
  <c r="GO22" i="69"/>
  <c r="GN22" i="69"/>
  <c r="GM22" i="69"/>
  <c r="GL22" i="69"/>
  <c r="GK22" i="69"/>
  <c r="GJ22" i="69"/>
  <c r="GI22" i="69"/>
  <c r="GH22" i="69"/>
  <c r="GG22" i="69"/>
  <c r="GF22" i="69"/>
  <c r="GE22" i="69"/>
  <c r="GD22" i="69"/>
  <c r="GC22" i="69"/>
  <c r="GB22" i="69"/>
  <c r="GA22" i="69"/>
  <c r="FZ22" i="69"/>
  <c r="FY22" i="69"/>
  <c r="FX22" i="69"/>
  <c r="FW22" i="69"/>
  <c r="FV22" i="69"/>
  <c r="FU22" i="69"/>
  <c r="FT22" i="69"/>
  <c r="FS22" i="69"/>
  <c r="FR22" i="69"/>
  <c r="FQ22" i="69"/>
  <c r="FP22" i="69"/>
  <c r="FO22" i="69"/>
  <c r="C22" i="69"/>
  <c r="LW21" i="69"/>
  <c r="LV21" i="69"/>
  <c r="LU21" i="69"/>
  <c r="LT21" i="69"/>
  <c r="LS21" i="69"/>
  <c r="LR21" i="69"/>
  <c r="LQ21" i="69"/>
  <c r="LP21" i="69"/>
  <c r="LO21" i="69"/>
  <c r="LN21" i="69"/>
  <c r="LM21" i="69"/>
  <c r="LL21" i="69"/>
  <c r="LK21" i="69"/>
  <c r="LJ21" i="69"/>
  <c r="LI21" i="69"/>
  <c r="LH21" i="69"/>
  <c r="LG21" i="69"/>
  <c r="LF21" i="69"/>
  <c r="LE21" i="69"/>
  <c r="LD21" i="69"/>
  <c r="LC21" i="69"/>
  <c r="LB21" i="69"/>
  <c r="LA21" i="69"/>
  <c r="KZ21" i="69"/>
  <c r="KY21" i="69"/>
  <c r="KX21" i="69"/>
  <c r="KW21" i="69"/>
  <c r="KV21" i="69"/>
  <c r="KU21" i="69"/>
  <c r="KT21" i="69"/>
  <c r="KS21" i="69"/>
  <c r="KR21" i="69"/>
  <c r="KQ21" i="69"/>
  <c r="KP21" i="69"/>
  <c r="KO21" i="69"/>
  <c r="KN21" i="69"/>
  <c r="KM21" i="69"/>
  <c r="KL21" i="69"/>
  <c r="KK21" i="69"/>
  <c r="KJ21" i="69"/>
  <c r="KI21" i="69"/>
  <c r="KH21" i="69"/>
  <c r="KG21" i="69"/>
  <c r="KF21" i="69"/>
  <c r="KE21" i="69"/>
  <c r="KD21" i="69"/>
  <c r="KC21" i="69"/>
  <c r="KB21" i="69"/>
  <c r="KA21" i="69"/>
  <c r="JZ21" i="69"/>
  <c r="JY21" i="69"/>
  <c r="JX21" i="69"/>
  <c r="JW21" i="69"/>
  <c r="JV21" i="69"/>
  <c r="JU21" i="69"/>
  <c r="JT21" i="69"/>
  <c r="JS21" i="69"/>
  <c r="JR21" i="69"/>
  <c r="JQ21" i="69"/>
  <c r="JP21" i="69"/>
  <c r="JO21" i="69"/>
  <c r="JN21" i="69"/>
  <c r="JM21" i="69"/>
  <c r="JL21" i="69"/>
  <c r="JK21" i="69"/>
  <c r="JJ21" i="69"/>
  <c r="JI21" i="69"/>
  <c r="JH21" i="69"/>
  <c r="JG21" i="69"/>
  <c r="JF21" i="69"/>
  <c r="JE21" i="69"/>
  <c r="JD21" i="69"/>
  <c r="JC21" i="69"/>
  <c r="JB21" i="69"/>
  <c r="JA21" i="69"/>
  <c r="IZ21" i="69"/>
  <c r="IY21" i="69"/>
  <c r="IX21" i="69"/>
  <c r="IW21" i="69"/>
  <c r="IV21" i="69"/>
  <c r="IU21" i="69"/>
  <c r="IT21" i="69"/>
  <c r="IS21" i="69"/>
  <c r="IR21" i="69"/>
  <c r="IQ21" i="69"/>
  <c r="IP21" i="69"/>
  <c r="IO21" i="69"/>
  <c r="IN21" i="69"/>
  <c r="IM21" i="69"/>
  <c r="IL21" i="69"/>
  <c r="IK21" i="69"/>
  <c r="IJ21" i="69"/>
  <c r="II21" i="69"/>
  <c r="IH21" i="69"/>
  <c r="IG21" i="69"/>
  <c r="IF21" i="69"/>
  <c r="IE21" i="69"/>
  <c r="ID21" i="69"/>
  <c r="IC21" i="69"/>
  <c r="IB21" i="69"/>
  <c r="IA21" i="69"/>
  <c r="HZ21" i="69"/>
  <c r="HY21" i="69"/>
  <c r="HX21" i="69"/>
  <c r="HW21" i="69"/>
  <c r="HV21" i="69"/>
  <c r="HU21" i="69"/>
  <c r="HT21" i="69"/>
  <c r="HS21" i="69"/>
  <c r="HR21" i="69"/>
  <c r="HQ21" i="69"/>
  <c r="HP21" i="69"/>
  <c r="HO21" i="69"/>
  <c r="HN21" i="69"/>
  <c r="HM21" i="69"/>
  <c r="HL21" i="69"/>
  <c r="HK21" i="69"/>
  <c r="HJ21" i="69"/>
  <c r="HI21" i="69"/>
  <c r="HH21" i="69"/>
  <c r="HG21" i="69"/>
  <c r="HF21" i="69"/>
  <c r="HE21" i="69"/>
  <c r="HD21" i="69"/>
  <c r="HC21" i="69"/>
  <c r="HB21" i="69"/>
  <c r="HA21" i="69"/>
  <c r="GZ21" i="69"/>
  <c r="GY21" i="69"/>
  <c r="GX21" i="69"/>
  <c r="GW21" i="69"/>
  <c r="GV21" i="69"/>
  <c r="GU21" i="69"/>
  <c r="GT21" i="69"/>
  <c r="GS21" i="69"/>
  <c r="GR21" i="69"/>
  <c r="GQ21" i="69"/>
  <c r="GP21" i="69"/>
  <c r="GO21" i="69"/>
  <c r="GN21" i="69"/>
  <c r="GM21" i="69"/>
  <c r="GL21" i="69"/>
  <c r="GK21" i="69"/>
  <c r="GJ21" i="69"/>
  <c r="GI21" i="69"/>
  <c r="GH21" i="69"/>
  <c r="GG21" i="69"/>
  <c r="GF21" i="69"/>
  <c r="GE21" i="69"/>
  <c r="GD21" i="69"/>
  <c r="GC21" i="69"/>
  <c r="GB21" i="69"/>
  <c r="GA21" i="69"/>
  <c r="FZ21" i="69"/>
  <c r="FY21" i="69"/>
  <c r="FX21" i="69"/>
  <c r="FW21" i="69"/>
  <c r="FV21" i="69"/>
  <c r="FU21" i="69"/>
  <c r="FT21" i="69"/>
  <c r="FS21" i="69"/>
  <c r="FR21" i="69"/>
  <c r="FQ21" i="69"/>
  <c r="FP21" i="69"/>
  <c r="FO21" i="69"/>
  <c r="C21" i="69"/>
  <c r="LW20" i="69"/>
  <c r="LV20" i="69"/>
  <c r="LU20" i="69"/>
  <c r="LT20" i="69"/>
  <c r="LS20" i="69"/>
  <c r="LR20" i="69"/>
  <c r="LQ20" i="69"/>
  <c r="LP20" i="69"/>
  <c r="LO20" i="69"/>
  <c r="LN20" i="69"/>
  <c r="LM20" i="69"/>
  <c r="LL20" i="69"/>
  <c r="LK20" i="69"/>
  <c r="LJ20" i="69"/>
  <c r="LI20" i="69"/>
  <c r="LH20" i="69"/>
  <c r="LG20" i="69"/>
  <c r="LF20" i="69"/>
  <c r="LE20" i="69"/>
  <c r="LD20" i="69"/>
  <c r="LC20" i="69"/>
  <c r="LB20" i="69"/>
  <c r="LA20" i="69"/>
  <c r="KZ20" i="69"/>
  <c r="KY20" i="69"/>
  <c r="KX20" i="69"/>
  <c r="KW20" i="69"/>
  <c r="KV20" i="69"/>
  <c r="KU20" i="69"/>
  <c r="KT20" i="69"/>
  <c r="KS20" i="69"/>
  <c r="KR20" i="69"/>
  <c r="KQ20" i="69"/>
  <c r="KP20" i="69"/>
  <c r="KO20" i="69"/>
  <c r="KN20" i="69"/>
  <c r="KM20" i="69"/>
  <c r="KL20" i="69"/>
  <c r="KK20" i="69"/>
  <c r="KJ20" i="69"/>
  <c r="KI20" i="69"/>
  <c r="KH20" i="69"/>
  <c r="KG20" i="69"/>
  <c r="KF20" i="69"/>
  <c r="KE20" i="69"/>
  <c r="KD20" i="69"/>
  <c r="KC20" i="69"/>
  <c r="KB20" i="69"/>
  <c r="KA20" i="69"/>
  <c r="JZ20" i="69"/>
  <c r="JY20" i="69"/>
  <c r="JX20" i="69"/>
  <c r="JW20" i="69"/>
  <c r="JV20" i="69"/>
  <c r="JU20" i="69"/>
  <c r="JT20" i="69"/>
  <c r="JS20" i="69"/>
  <c r="JR20" i="69"/>
  <c r="JQ20" i="69"/>
  <c r="JP20" i="69"/>
  <c r="JO20" i="69"/>
  <c r="JN20" i="69"/>
  <c r="JM20" i="69"/>
  <c r="JL20" i="69"/>
  <c r="JK20" i="69"/>
  <c r="JJ20" i="69"/>
  <c r="JI20" i="69"/>
  <c r="JH20" i="69"/>
  <c r="JG20" i="69"/>
  <c r="JF20" i="69"/>
  <c r="JE20" i="69"/>
  <c r="JD20" i="69"/>
  <c r="JC20" i="69"/>
  <c r="JB20" i="69"/>
  <c r="JA20" i="69"/>
  <c r="IZ20" i="69"/>
  <c r="IY20" i="69"/>
  <c r="IX20" i="69"/>
  <c r="IW20" i="69"/>
  <c r="IV20" i="69"/>
  <c r="IU20" i="69"/>
  <c r="IT20" i="69"/>
  <c r="IS20" i="69"/>
  <c r="IR20" i="69"/>
  <c r="IQ20" i="69"/>
  <c r="IP20" i="69"/>
  <c r="IO20" i="69"/>
  <c r="IN20" i="69"/>
  <c r="IM20" i="69"/>
  <c r="IL20" i="69"/>
  <c r="IK20" i="69"/>
  <c r="IJ20" i="69"/>
  <c r="II20" i="69"/>
  <c r="IH20" i="69"/>
  <c r="IG20" i="69"/>
  <c r="IF20" i="69"/>
  <c r="IE20" i="69"/>
  <c r="ID20" i="69"/>
  <c r="IC20" i="69"/>
  <c r="IB20" i="69"/>
  <c r="IA20" i="69"/>
  <c r="HZ20" i="69"/>
  <c r="HY20" i="69"/>
  <c r="HX20" i="69"/>
  <c r="HW20" i="69"/>
  <c r="HV20" i="69"/>
  <c r="HU20" i="69"/>
  <c r="HT20" i="69"/>
  <c r="HS20" i="69"/>
  <c r="HR20" i="69"/>
  <c r="HQ20" i="69"/>
  <c r="HP20" i="69"/>
  <c r="HO20" i="69"/>
  <c r="HN20" i="69"/>
  <c r="HM20" i="69"/>
  <c r="HL20" i="69"/>
  <c r="HK20" i="69"/>
  <c r="HJ20" i="69"/>
  <c r="HI20" i="69"/>
  <c r="HH20" i="69"/>
  <c r="HG20" i="69"/>
  <c r="HF20" i="69"/>
  <c r="HE20" i="69"/>
  <c r="HD20" i="69"/>
  <c r="HC20" i="69"/>
  <c r="HB20" i="69"/>
  <c r="HA20" i="69"/>
  <c r="GZ20" i="69"/>
  <c r="GY20" i="69"/>
  <c r="GX20" i="69"/>
  <c r="GW20" i="69"/>
  <c r="GV20" i="69"/>
  <c r="GU20" i="69"/>
  <c r="GT20" i="69"/>
  <c r="GS20" i="69"/>
  <c r="GR20" i="69"/>
  <c r="GQ20" i="69"/>
  <c r="GP20" i="69"/>
  <c r="GO20" i="69"/>
  <c r="GN20" i="69"/>
  <c r="GM20" i="69"/>
  <c r="GL20" i="69"/>
  <c r="GK20" i="69"/>
  <c r="GJ20" i="69"/>
  <c r="GI20" i="69"/>
  <c r="GH20" i="69"/>
  <c r="GG20" i="69"/>
  <c r="GF20" i="69"/>
  <c r="GE20" i="69"/>
  <c r="GD20" i="69"/>
  <c r="GC20" i="69"/>
  <c r="GB20" i="69"/>
  <c r="GA20" i="69"/>
  <c r="FZ20" i="69"/>
  <c r="FY20" i="69"/>
  <c r="FX20" i="69"/>
  <c r="FW20" i="69"/>
  <c r="FV20" i="69"/>
  <c r="FU20" i="69"/>
  <c r="FT20" i="69"/>
  <c r="FS20" i="69"/>
  <c r="FR20" i="69"/>
  <c r="FQ20" i="69"/>
  <c r="FP20" i="69"/>
  <c r="FO20" i="69"/>
  <c r="C20" i="69"/>
  <c r="LW19" i="69"/>
  <c r="LV19" i="69"/>
  <c r="LU19" i="69"/>
  <c r="LT19" i="69"/>
  <c r="LS19" i="69"/>
  <c r="LR19" i="69"/>
  <c r="LQ19" i="69"/>
  <c r="LP19" i="69"/>
  <c r="LO19" i="69"/>
  <c r="LN19" i="69"/>
  <c r="LM19" i="69"/>
  <c r="LL19" i="69"/>
  <c r="LK19" i="69"/>
  <c r="LJ19" i="69"/>
  <c r="LI19" i="69"/>
  <c r="LH19" i="69"/>
  <c r="LG19" i="69"/>
  <c r="LF19" i="69"/>
  <c r="LE19" i="69"/>
  <c r="LD19" i="69"/>
  <c r="LC19" i="69"/>
  <c r="LB19" i="69"/>
  <c r="LA19" i="69"/>
  <c r="KZ19" i="69"/>
  <c r="KY19" i="69"/>
  <c r="KX19" i="69"/>
  <c r="KW19" i="69"/>
  <c r="KV19" i="69"/>
  <c r="KU19" i="69"/>
  <c r="KT19" i="69"/>
  <c r="KS19" i="69"/>
  <c r="KR19" i="69"/>
  <c r="KQ19" i="69"/>
  <c r="KP19" i="69"/>
  <c r="KO19" i="69"/>
  <c r="KN19" i="69"/>
  <c r="KM19" i="69"/>
  <c r="KL19" i="69"/>
  <c r="KK19" i="69"/>
  <c r="KJ19" i="69"/>
  <c r="KI19" i="69"/>
  <c r="KH19" i="69"/>
  <c r="KG19" i="69"/>
  <c r="KF19" i="69"/>
  <c r="KE19" i="69"/>
  <c r="KD19" i="69"/>
  <c r="KC19" i="69"/>
  <c r="KB19" i="69"/>
  <c r="KA19" i="69"/>
  <c r="JZ19" i="69"/>
  <c r="JY19" i="69"/>
  <c r="JX19" i="69"/>
  <c r="JW19" i="69"/>
  <c r="JV19" i="69"/>
  <c r="JU19" i="69"/>
  <c r="JT19" i="69"/>
  <c r="JS19" i="69"/>
  <c r="JR19" i="69"/>
  <c r="JQ19" i="69"/>
  <c r="JP19" i="69"/>
  <c r="JO19" i="69"/>
  <c r="JN19" i="69"/>
  <c r="JM19" i="69"/>
  <c r="JL19" i="69"/>
  <c r="JK19" i="69"/>
  <c r="JJ19" i="69"/>
  <c r="JI19" i="69"/>
  <c r="JH19" i="69"/>
  <c r="JG19" i="69"/>
  <c r="JF19" i="69"/>
  <c r="JE19" i="69"/>
  <c r="JD19" i="69"/>
  <c r="JC19" i="69"/>
  <c r="JB19" i="69"/>
  <c r="JA19" i="69"/>
  <c r="IZ19" i="69"/>
  <c r="IY19" i="69"/>
  <c r="IX19" i="69"/>
  <c r="IW19" i="69"/>
  <c r="IV19" i="69"/>
  <c r="IU19" i="69"/>
  <c r="IT19" i="69"/>
  <c r="IS19" i="69"/>
  <c r="IR19" i="69"/>
  <c r="IQ19" i="69"/>
  <c r="IP19" i="69"/>
  <c r="IO19" i="69"/>
  <c r="IN19" i="69"/>
  <c r="IM19" i="69"/>
  <c r="IL19" i="69"/>
  <c r="IK19" i="69"/>
  <c r="IJ19" i="69"/>
  <c r="II19" i="69"/>
  <c r="IH19" i="69"/>
  <c r="IG19" i="69"/>
  <c r="IF19" i="69"/>
  <c r="IE19" i="69"/>
  <c r="ID19" i="69"/>
  <c r="IC19" i="69"/>
  <c r="IB19" i="69"/>
  <c r="IA19" i="69"/>
  <c r="HZ19" i="69"/>
  <c r="HY19" i="69"/>
  <c r="HX19" i="69"/>
  <c r="HW19" i="69"/>
  <c r="HV19" i="69"/>
  <c r="HU19" i="69"/>
  <c r="HT19" i="69"/>
  <c r="HS19" i="69"/>
  <c r="HR19" i="69"/>
  <c r="HQ19" i="69"/>
  <c r="HP19" i="69"/>
  <c r="HO19" i="69"/>
  <c r="HN19" i="69"/>
  <c r="HM19" i="69"/>
  <c r="HL19" i="69"/>
  <c r="HK19" i="69"/>
  <c r="HJ19" i="69"/>
  <c r="HI19" i="69"/>
  <c r="HH19" i="69"/>
  <c r="HG19" i="69"/>
  <c r="HF19" i="69"/>
  <c r="HE19" i="69"/>
  <c r="HD19" i="69"/>
  <c r="HC19" i="69"/>
  <c r="HB19" i="69"/>
  <c r="HA19" i="69"/>
  <c r="GZ19" i="69"/>
  <c r="GY19" i="69"/>
  <c r="GX19" i="69"/>
  <c r="GW19" i="69"/>
  <c r="GV19" i="69"/>
  <c r="GU19" i="69"/>
  <c r="GT19" i="69"/>
  <c r="GS19" i="69"/>
  <c r="GR19" i="69"/>
  <c r="GQ19" i="69"/>
  <c r="GP19" i="69"/>
  <c r="GO19" i="69"/>
  <c r="GN19" i="69"/>
  <c r="GM19" i="69"/>
  <c r="GL19" i="69"/>
  <c r="GK19" i="69"/>
  <c r="GJ19" i="69"/>
  <c r="GI19" i="69"/>
  <c r="GH19" i="69"/>
  <c r="GG19" i="69"/>
  <c r="GF19" i="69"/>
  <c r="GE19" i="69"/>
  <c r="GD19" i="69"/>
  <c r="GC19" i="69"/>
  <c r="GB19" i="69"/>
  <c r="GA19" i="69"/>
  <c r="FZ19" i="69"/>
  <c r="FY19" i="69"/>
  <c r="FX19" i="69"/>
  <c r="FW19" i="69"/>
  <c r="FV19" i="69"/>
  <c r="FU19" i="69"/>
  <c r="FT19" i="69"/>
  <c r="FS19" i="69"/>
  <c r="FR19" i="69"/>
  <c r="FQ19" i="69"/>
  <c r="FP19" i="69"/>
  <c r="FO19" i="69"/>
  <c r="C19" i="69"/>
  <c r="LW18" i="69"/>
  <c r="LV18" i="69"/>
  <c r="LU18" i="69"/>
  <c r="LT18" i="69"/>
  <c r="LS18" i="69"/>
  <c r="LR18" i="69"/>
  <c r="LQ18" i="69"/>
  <c r="LP18" i="69"/>
  <c r="LO18" i="69"/>
  <c r="LN18" i="69"/>
  <c r="LM18" i="69"/>
  <c r="LL18" i="69"/>
  <c r="LK18" i="69"/>
  <c r="LJ18" i="69"/>
  <c r="LI18" i="69"/>
  <c r="LH18" i="69"/>
  <c r="LG18" i="69"/>
  <c r="LF18" i="69"/>
  <c r="LE18" i="69"/>
  <c r="LD18" i="69"/>
  <c r="LC18" i="69"/>
  <c r="LB18" i="69"/>
  <c r="LA18" i="69"/>
  <c r="KZ18" i="69"/>
  <c r="KY18" i="69"/>
  <c r="KX18" i="69"/>
  <c r="KW18" i="69"/>
  <c r="KV18" i="69"/>
  <c r="KU18" i="69"/>
  <c r="KT18" i="69"/>
  <c r="KS18" i="69"/>
  <c r="KR18" i="69"/>
  <c r="KQ18" i="69"/>
  <c r="KP18" i="69"/>
  <c r="KO18" i="69"/>
  <c r="KN18" i="69"/>
  <c r="KM18" i="69"/>
  <c r="KL18" i="69"/>
  <c r="KK18" i="69"/>
  <c r="KJ18" i="69"/>
  <c r="KI18" i="69"/>
  <c r="KH18" i="69"/>
  <c r="KG18" i="69"/>
  <c r="KF18" i="69"/>
  <c r="KE18" i="69"/>
  <c r="KD18" i="69"/>
  <c r="KC18" i="69"/>
  <c r="KB18" i="69"/>
  <c r="KA18" i="69"/>
  <c r="JZ18" i="69"/>
  <c r="JY18" i="69"/>
  <c r="JX18" i="69"/>
  <c r="JW18" i="69"/>
  <c r="JV18" i="69"/>
  <c r="JU18" i="69"/>
  <c r="JT18" i="69"/>
  <c r="JS18" i="69"/>
  <c r="JR18" i="69"/>
  <c r="JQ18" i="69"/>
  <c r="JP18" i="69"/>
  <c r="JO18" i="69"/>
  <c r="JN18" i="69"/>
  <c r="JM18" i="69"/>
  <c r="JL18" i="69"/>
  <c r="JK18" i="69"/>
  <c r="JJ18" i="69"/>
  <c r="JI18" i="69"/>
  <c r="JH18" i="69"/>
  <c r="JG18" i="69"/>
  <c r="JF18" i="69"/>
  <c r="JE18" i="69"/>
  <c r="JD18" i="69"/>
  <c r="JC18" i="69"/>
  <c r="JB18" i="69"/>
  <c r="JA18" i="69"/>
  <c r="IZ18" i="69"/>
  <c r="IY18" i="69"/>
  <c r="IX18" i="69"/>
  <c r="IW18" i="69"/>
  <c r="IV18" i="69"/>
  <c r="IU18" i="69"/>
  <c r="IT18" i="69"/>
  <c r="IS18" i="69"/>
  <c r="IR18" i="69"/>
  <c r="IQ18" i="69"/>
  <c r="IP18" i="69"/>
  <c r="IO18" i="69"/>
  <c r="IN18" i="69"/>
  <c r="IM18" i="69"/>
  <c r="IL18" i="69"/>
  <c r="IK18" i="69"/>
  <c r="IJ18" i="69"/>
  <c r="II18" i="69"/>
  <c r="IH18" i="69"/>
  <c r="IG18" i="69"/>
  <c r="IF18" i="69"/>
  <c r="IE18" i="69"/>
  <c r="ID18" i="69"/>
  <c r="IC18" i="69"/>
  <c r="IB18" i="69"/>
  <c r="IA18" i="69"/>
  <c r="HZ18" i="69"/>
  <c r="HY18" i="69"/>
  <c r="HX18" i="69"/>
  <c r="HW18" i="69"/>
  <c r="HV18" i="69"/>
  <c r="HU18" i="69"/>
  <c r="HT18" i="69"/>
  <c r="HS18" i="69"/>
  <c r="HR18" i="69"/>
  <c r="HQ18" i="69"/>
  <c r="HP18" i="69"/>
  <c r="HO18" i="69"/>
  <c r="HN18" i="69"/>
  <c r="HM18" i="69"/>
  <c r="HL18" i="69"/>
  <c r="HK18" i="69"/>
  <c r="HJ18" i="69"/>
  <c r="HI18" i="69"/>
  <c r="HH18" i="69"/>
  <c r="HG18" i="69"/>
  <c r="HF18" i="69"/>
  <c r="HE18" i="69"/>
  <c r="HD18" i="69"/>
  <c r="HC18" i="69"/>
  <c r="HB18" i="69"/>
  <c r="HA18" i="69"/>
  <c r="GZ18" i="69"/>
  <c r="GY18" i="69"/>
  <c r="GX18" i="69"/>
  <c r="GW18" i="69"/>
  <c r="GV18" i="69"/>
  <c r="GU18" i="69"/>
  <c r="GT18" i="69"/>
  <c r="GS18" i="69"/>
  <c r="GR18" i="69"/>
  <c r="GQ18" i="69"/>
  <c r="GP18" i="69"/>
  <c r="GO18" i="69"/>
  <c r="GN18" i="69"/>
  <c r="GM18" i="69"/>
  <c r="GL18" i="69"/>
  <c r="GK18" i="69"/>
  <c r="GJ18" i="69"/>
  <c r="GI18" i="69"/>
  <c r="GH18" i="69"/>
  <c r="GG18" i="69"/>
  <c r="GF18" i="69"/>
  <c r="GE18" i="69"/>
  <c r="GD18" i="69"/>
  <c r="GC18" i="69"/>
  <c r="GB18" i="69"/>
  <c r="GA18" i="69"/>
  <c r="FZ18" i="69"/>
  <c r="FY18" i="69"/>
  <c r="FX18" i="69"/>
  <c r="FW18" i="69"/>
  <c r="FV18" i="69"/>
  <c r="FU18" i="69"/>
  <c r="FT18" i="69"/>
  <c r="FS18" i="69"/>
  <c r="FR18" i="69"/>
  <c r="FQ18" i="69"/>
  <c r="FP18" i="69"/>
  <c r="FO18" i="69"/>
  <c r="C18" i="69"/>
  <c r="LW17" i="69"/>
  <c r="LV17" i="69"/>
  <c r="LU17" i="69"/>
  <c r="LT17" i="69"/>
  <c r="LS17" i="69"/>
  <c r="LR17" i="69"/>
  <c r="LQ17" i="69"/>
  <c r="LP17" i="69"/>
  <c r="LO17" i="69"/>
  <c r="LN17" i="69"/>
  <c r="LM17" i="69"/>
  <c r="LL17" i="69"/>
  <c r="LK17" i="69"/>
  <c r="LJ17" i="69"/>
  <c r="LI17" i="69"/>
  <c r="LH17" i="69"/>
  <c r="LG17" i="69"/>
  <c r="LF17" i="69"/>
  <c r="LE17" i="69"/>
  <c r="LD17" i="69"/>
  <c r="LC17" i="69"/>
  <c r="LB17" i="69"/>
  <c r="LA17" i="69"/>
  <c r="KZ17" i="69"/>
  <c r="KY17" i="69"/>
  <c r="KX17" i="69"/>
  <c r="KW17" i="69"/>
  <c r="KV17" i="69"/>
  <c r="KU17" i="69"/>
  <c r="KT17" i="69"/>
  <c r="KS17" i="69"/>
  <c r="KR17" i="69"/>
  <c r="KQ17" i="69"/>
  <c r="KP17" i="69"/>
  <c r="KO17" i="69"/>
  <c r="KN17" i="69"/>
  <c r="KM17" i="69"/>
  <c r="KL17" i="69"/>
  <c r="KK17" i="69"/>
  <c r="KJ17" i="69"/>
  <c r="KI17" i="69"/>
  <c r="KH17" i="69"/>
  <c r="KG17" i="69"/>
  <c r="KF17" i="69"/>
  <c r="KE17" i="69"/>
  <c r="KD17" i="69"/>
  <c r="KC17" i="69"/>
  <c r="KB17" i="69"/>
  <c r="KA17" i="69"/>
  <c r="JZ17" i="69"/>
  <c r="JY17" i="69"/>
  <c r="JX17" i="69"/>
  <c r="JW17" i="69"/>
  <c r="JV17" i="69"/>
  <c r="JU17" i="69"/>
  <c r="JT17" i="69"/>
  <c r="JS17" i="69"/>
  <c r="JR17" i="69"/>
  <c r="JQ17" i="69"/>
  <c r="JP17" i="69"/>
  <c r="JO17" i="69"/>
  <c r="JN17" i="69"/>
  <c r="JM17" i="69"/>
  <c r="JL17" i="69"/>
  <c r="JK17" i="69"/>
  <c r="JJ17" i="69"/>
  <c r="JI17" i="69"/>
  <c r="JH17" i="69"/>
  <c r="JG17" i="69"/>
  <c r="JF17" i="69"/>
  <c r="JE17" i="69"/>
  <c r="JD17" i="69"/>
  <c r="JC17" i="69"/>
  <c r="JB17" i="69"/>
  <c r="JA17" i="69"/>
  <c r="IZ17" i="69"/>
  <c r="IY17" i="69"/>
  <c r="IX17" i="69"/>
  <c r="IW17" i="69"/>
  <c r="IV17" i="69"/>
  <c r="IU17" i="69"/>
  <c r="IT17" i="69"/>
  <c r="IS17" i="69"/>
  <c r="IR17" i="69"/>
  <c r="IQ17" i="69"/>
  <c r="IP17" i="69"/>
  <c r="IO17" i="69"/>
  <c r="IN17" i="69"/>
  <c r="IM17" i="69"/>
  <c r="IL17" i="69"/>
  <c r="IK17" i="69"/>
  <c r="IJ17" i="69"/>
  <c r="II17" i="69"/>
  <c r="IH17" i="69"/>
  <c r="IG17" i="69"/>
  <c r="IF17" i="69"/>
  <c r="IE17" i="69"/>
  <c r="ID17" i="69"/>
  <c r="IC17" i="69"/>
  <c r="IB17" i="69"/>
  <c r="IA17" i="69"/>
  <c r="HZ17" i="69"/>
  <c r="HY17" i="69"/>
  <c r="HX17" i="69"/>
  <c r="HW17" i="69"/>
  <c r="HV17" i="69"/>
  <c r="HU17" i="69"/>
  <c r="HT17" i="69"/>
  <c r="HS17" i="69"/>
  <c r="HR17" i="69"/>
  <c r="HQ17" i="69"/>
  <c r="HP17" i="69"/>
  <c r="HO17" i="69"/>
  <c r="HN17" i="69"/>
  <c r="HM17" i="69"/>
  <c r="HL17" i="69"/>
  <c r="HK17" i="69"/>
  <c r="HJ17" i="69"/>
  <c r="HI17" i="69"/>
  <c r="HH17" i="69"/>
  <c r="HG17" i="69"/>
  <c r="HF17" i="69"/>
  <c r="HE17" i="69"/>
  <c r="HD17" i="69"/>
  <c r="HC17" i="69"/>
  <c r="HB17" i="69"/>
  <c r="HA17" i="69"/>
  <c r="GZ17" i="69"/>
  <c r="GY17" i="69"/>
  <c r="GX17" i="69"/>
  <c r="GW17" i="69"/>
  <c r="GV17" i="69"/>
  <c r="GU17" i="69"/>
  <c r="GT17" i="69"/>
  <c r="GS17" i="69"/>
  <c r="GR17" i="69"/>
  <c r="GQ17" i="69"/>
  <c r="GP17" i="69"/>
  <c r="GO17" i="69"/>
  <c r="GN17" i="69"/>
  <c r="GM17" i="69"/>
  <c r="GL17" i="69"/>
  <c r="GK17" i="69"/>
  <c r="GJ17" i="69"/>
  <c r="GI17" i="69"/>
  <c r="GH17" i="69"/>
  <c r="GG17" i="69"/>
  <c r="GF17" i="69"/>
  <c r="GE17" i="69"/>
  <c r="GD17" i="69"/>
  <c r="GC17" i="69"/>
  <c r="GB17" i="69"/>
  <c r="GA17" i="69"/>
  <c r="FZ17" i="69"/>
  <c r="FY17" i="69"/>
  <c r="FX17" i="69"/>
  <c r="FW17" i="69"/>
  <c r="FV17" i="69"/>
  <c r="FU17" i="69"/>
  <c r="FT17" i="69"/>
  <c r="FS17" i="69"/>
  <c r="FR17" i="69"/>
  <c r="FQ17" i="69"/>
  <c r="FP17" i="69"/>
  <c r="FO17" i="69"/>
  <c r="C17" i="69"/>
  <c r="LW16" i="69"/>
  <c r="LV16" i="69"/>
  <c r="LU16" i="69"/>
  <c r="LT16" i="69"/>
  <c r="LS16" i="69"/>
  <c r="LR16" i="69"/>
  <c r="LQ16" i="69"/>
  <c r="LP16" i="69"/>
  <c r="LO16" i="69"/>
  <c r="LN16" i="69"/>
  <c r="LM16" i="69"/>
  <c r="LL16" i="69"/>
  <c r="LK16" i="69"/>
  <c r="LJ16" i="69"/>
  <c r="LI16" i="69"/>
  <c r="LH16" i="69"/>
  <c r="LG16" i="69"/>
  <c r="LF16" i="69"/>
  <c r="LE16" i="69"/>
  <c r="LD16" i="69"/>
  <c r="LC16" i="69"/>
  <c r="LB16" i="69"/>
  <c r="LA16" i="69"/>
  <c r="KZ16" i="69"/>
  <c r="KY16" i="69"/>
  <c r="KX16" i="69"/>
  <c r="KW16" i="69"/>
  <c r="KV16" i="69"/>
  <c r="KU16" i="69"/>
  <c r="KT16" i="69"/>
  <c r="KS16" i="69"/>
  <c r="KR16" i="69"/>
  <c r="KQ16" i="69"/>
  <c r="KP16" i="69"/>
  <c r="KO16" i="69"/>
  <c r="KN16" i="69"/>
  <c r="KM16" i="69"/>
  <c r="KL16" i="69"/>
  <c r="KK16" i="69"/>
  <c r="KJ16" i="69"/>
  <c r="KI16" i="69"/>
  <c r="KH16" i="69"/>
  <c r="KG16" i="69"/>
  <c r="KF16" i="69"/>
  <c r="KE16" i="69"/>
  <c r="KD16" i="69"/>
  <c r="KC16" i="69"/>
  <c r="KB16" i="69"/>
  <c r="KA16" i="69"/>
  <c r="JZ16" i="69"/>
  <c r="JY16" i="69"/>
  <c r="JX16" i="69"/>
  <c r="JW16" i="69"/>
  <c r="JV16" i="69"/>
  <c r="JU16" i="69"/>
  <c r="JT16" i="69"/>
  <c r="JS16" i="69"/>
  <c r="JR16" i="69"/>
  <c r="JQ16" i="69"/>
  <c r="JP16" i="69"/>
  <c r="JO16" i="69"/>
  <c r="JN16" i="69"/>
  <c r="JM16" i="69"/>
  <c r="JL16" i="69"/>
  <c r="JK16" i="69"/>
  <c r="JJ16" i="69"/>
  <c r="JI16" i="69"/>
  <c r="JH16" i="69"/>
  <c r="JG16" i="69"/>
  <c r="JF16" i="69"/>
  <c r="JE16" i="69"/>
  <c r="JD16" i="69"/>
  <c r="JC16" i="69"/>
  <c r="JB16" i="69"/>
  <c r="JA16" i="69"/>
  <c r="IZ16" i="69"/>
  <c r="IY16" i="69"/>
  <c r="IX16" i="69"/>
  <c r="IW16" i="69"/>
  <c r="IV16" i="69"/>
  <c r="IU16" i="69"/>
  <c r="IT16" i="69"/>
  <c r="IS16" i="69"/>
  <c r="IR16" i="69"/>
  <c r="IQ16" i="69"/>
  <c r="IP16" i="69"/>
  <c r="IO16" i="69"/>
  <c r="IN16" i="69"/>
  <c r="IM16" i="69"/>
  <c r="IL16" i="69"/>
  <c r="IK16" i="69"/>
  <c r="IJ16" i="69"/>
  <c r="II16" i="69"/>
  <c r="IH16" i="69"/>
  <c r="IG16" i="69"/>
  <c r="IF16" i="69"/>
  <c r="IE16" i="69"/>
  <c r="ID16" i="69"/>
  <c r="IC16" i="69"/>
  <c r="IB16" i="69"/>
  <c r="IA16" i="69"/>
  <c r="HZ16" i="69"/>
  <c r="HY16" i="69"/>
  <c r="HX16" i="69"/>
  <c r="HW16" i="69"/>
  <c r="HV16" i="69"/>
  <c r="HU16" i="69"/>
  <c r="HT16" i="69"/>
  <c r="HS16" i="69"/>
  <c r="HR16" i="69"/>
  <c r="HQ16" i="69"/>
  <c r="HP16" i="69"/>
  <c r="HO16" i="69"/>
  <c r="HN16" i="69"/>
  <c r="HM16" i="69"/>
  <c r="HL16" i="69"/>
  <c r="HK16" i="69"/>
  <c r="HJ16" i="69"/>
  <c r="HI16" i="69"/>
  <c r="HH16" i="69"/>
  <c r="HG16" i="69"/>
  <c r="HF16" i="69"/>
  <c r="HE16" i="69"/>
  <c r="HD16" i="69"/>
  <c r="HC16" i="69"/>
  <c r="HB16" i="69"/>
  <c r="HA16" i="69"/>
  <c r="GZ16" i="69"/>
  <c r="GY16" i="69"/>
  <c r="GX16" i="69"/>
  <c r="GW16" i="69"/>
  <c r="GV16" i="69"/>
  <c r="GU16" i="69"/>
  <c r="GT16" i="69"/>
  <c r="GS16" i="69"/>
  <c r="GR16" i="69"/>
  <c r="GQ16" i="69"/>
  <c r="GP16" i="69"/>
  <c r="GO16" i="69"/>
  <c r="GN16" i="69"/>
  <c r="GM16" i="69"/>
  <c r="GL16" i="69"/>
  <c r="GK16" i="69"/>
  <c r="GJ16" i="69"/>
  <c r="GI16" i="69"/>
  <c r="GH16" i="69"/>
  <c r="GG16" i="69"/>
  <c r="GF16" i="69"/>
  <c r="GE16" i="69"/>
  <c r="GD16" i="69"/>
  <c r="GC16" i="69"/>
  <c r="GB16" i="69"/>
  <c r="GA16" i="69"/>
  <c r="FZ16" i="69"/>
  <c r="FY16" i="69"/>
  <c r="FX16" i="69"/>
  <c r="FW16" i="69"/>
  <c r="FV16" i="69"/>
  <c r="FU16" i="69"/>
  <c r="FT16" i="69"/>
  <c r="FS16" i="69"/>
  <c r="FR16" i="69"/>
  <c r="FQ16" i="69"/>
  <c r="FP16" i="69"/>
  <c r="FO16" i="69"/>
  <c r="C16" i="69"/>
  <c r="LW15" i="69"/>
  <c r="LV15" i="69"/>
  <c r="LU15" i="69"/>
  <c r="LT15" i="69"/>
  <c r="LS15" i="69"/>
  <c r="LR15" i="69"/>
  <c r="LQ15" i="69"/>
  <c r="LP15" i="69"/>
  <c r="LO15" i="69"/>
  <c r="LN15" i="69"/>
  <c r="LM15" i="69"/>
  <c r="LL15" i="69"/>
  <c r="LK15" i="69"/>
  <c r="LJ15" i="69"/>
  <c r="LI15" i="69"/>
  <c r="LH15" i="69"/>
  <c r="LG15" i="69"/>
  <c r="LF15" i="69"/>
  <c r="LE15" i="69"/>
  <c r="LD15" i="69"/>
  <c r="LC15" i="69"/>
  <c r="LB15" i="69"/>
  <c r="LA15" i="69"/>
  <c r="KZ15" i="69"/>
  <c r="KY15" i="69"/>
  <c r="KX15" i="69"/>
  <c r="KW15" i="69"/>
  <c r="KV15" i="69"/>
  <c r="KU15" i="69"/>
  <c r="KT15" i="69"/>
  <c r="KS15" i="69"/>
  <c r="KR15" i="69"/>
  <c r="KQ15" i="69"/>
  <c r="KP15" i="69"/>
  <c r="KO15" i="69"/>
  <c r="KN15" i="69"/>
  <c r="KM15" i="69"/>
  <c r="KL15" i="69"/>
  <c r="KK15" i="69"/>
  <c r="KJ15" i="69"/>
  <c r="KI15" i="69"/>
  <c r="KH15" i="69"/>
  <c r="KG15" i="69"/>
  <c r="KF15" i="69"/>
  <c r="KE15" i="69"/>
  <c r="KD15" i="69"/>
  <c r="KC15" i="69"/>
  <c r="KB15" i="69"/>
  <c r="KA15" i="69"/>
  <c r="JZ15" i="69"/>
  <c r="JY15" i="69"/>
  <c r="JX15" i="69"/>
  <c r="JW15" i="69"/>
  <c r="JV15" i="69"/>
  <c r="JU15" i="69"/>
  <c r="JT15" i="69"/>
  <c r="JS15" i="69"/>
  <c r="JR15" i="69"/>
  <c r="JQ15" i="69"/>
  <c r="JP15" i="69"/>
  <c r="JO15" i="69"/>
  <c r="JN15" i="69"/>
  <c r="JM15" i="69"/>
  <c r="JL15" i="69"/>
  <c r="JK15" i="69"/>
  <c r="JJ15" i="69"/>
  <c r="JI15" i="69"/>
  <c r="JH15" i="69"/>
  <c r="JG15" i="69"/>
  <c r="JF15" i="69"/>
  <c r="JE15" i="69"/>
  <c r="JD15" i="69"/>
  <c r="JC15" i="69"/>
  <c r="JB15" i="69"/>
  <c r="JA15" i="69"/>
  <c r="IZ15" i="69"/>
  <c r="IY15" i="69"/>
  <c r="IX15" i="69"/>
  <c r="IW15" i="69"/>
  <c r="IV15" i="69"/>
  <c r="IU15" i="69"/>
  <c r="IT15" i="69"/>
  <c r="IS15" i="69"/>
  <c r="IR15" i="69"/>
  <c r="IQ15" i="69"/>
  <c r="IP15" i="69"/>
  <c r="IO15" i="69"/>
  <c r="IN15" i="69"/>
  <c r="IM15" i="69"/>
  <c r="IL15" i="69"/>
  <c r="IK15" i="69"/>
  <c r="IJ15" i="69"/>
  <c r="II15" i="69"/>
  <c r="IH15" i="69"/>
  <c r="IG15" i="69"/>
  <c r="IF15" i="69"/>
  <c r="IE15" i="69"/>
  <c r="ID15" i="69"/>
  <c r="IC15" i="69"/>
  <c r="IB15" i="69"/>
  <c r="IA15" i="69"/>
  <c r="HZ15" i="69"/>
  <c r="HY15" i="69"/>
  <c r="HX15" i="69"/>
  <c r="HW15" i="69"/>
  <c r="HV15" i="69"/>
  <c r="HU15" i="69"/>
  <c r="HT15" i="69"/>
  <c r="HS15" i="69"/>
  <c r="HR15" i="69"/>
  <c r="HQ15" i="69"/>
  <c r="HP15" i="69"/>
  <c r="HO15" i="69"/>
  <c r="HN15" i="69"/>
  <c r="HM15" i="69"/>
  <c r="HL15" i="69"/>
  <c r="HK15" i="69"/>
  <c r="HJ15" i="69"/>
  <c r="HI15" i="69"/>
  <c r="HH15" i="69"/>
  <c r="HG15" i="69"/>
  <c r="HF15" i="69"/>
  <c r="HE15" i="69"/>
  <c r="HD15" i="69"/>
  <c r="HC15" i="69"/>
  <c r="HB15" i="69"/>
  <c r="HA15" i="69"/>
  <c r="GZ15" i="69"/>
  <c r="GY15" i="69"/>
  <c r="GX15" i="69"/>
  <c r="GW15" i="69"/>
  <c r="GV15" i="69"/>
  <c r="GU15" i="69"/>
  <c r="GT15" i="69"/>
  <c r="GS15" i="69"/>
  <c r="GR15" i="69"/>
  <c r="GQ15" i="69"/>
  <c r="GP15" i="69"/>
  <c r="GO15" i="69"/>
  <c r="GN15" i="69"/>
  <c r="GM15" i="69"/>
  <c r="GL15" i="69"/>
  <c r="GK15" i="69"/>
  <c r="GJ15" i="69"/>
  <c r="GI15" i="69"/>
  <c r="GH15" i="69"/>
  <c r="GG15" i="69"/>
  <c r="GF15" i="69"/>
  <c r="GE15" i="69"/>
  <c r="GD15" i="69"/>
  <c r="GC15" i="69"/>
  <c r="GB15" i="69"/>
  <c r="GA15" i="69"/>
  <c r="FZ15" i="69"/>
  <c r="FY15" i="69"/>
  <c r="FX15" i="69"/>
  <c r="FW15" i="69"/>
  <c r="FV15" i="69"/>
  <c r="FU15" i="69"/>
  <c r="FT15" i="69"/>
  <c r="FS15" i="69"/>
  <c r="FR15" i="69"/>
  <c r="FQ15" i="69"/>
  <c r="FP15" i="69"/>
  <c r="FO15" i="69"/>
  <c r="C15" i="69"/>
  <c r="LW14" i="69"/>
  <c r="LV14" i="69"/>
  <c r="LU14" i="69"/>
  <c r="LT14" i="69"/>
  <c r="LS14" i="69"/>
  <c r="LR14" i="69"/>
  <c r="LQ14" i="69"/>
  <c r="LP14" i="69"/>
  <c r="LO14" i="69"/>
  <c r="LN14" i="69"/>
  <c r="LM14" i="69"/>
  <c r="LL14" i="69"/>
  <c r="LK14" i="69"/>
  <c r="LJ14" i="69"/>
  <c r="LI14" i="69"/>
  <c r="LH14" i="69"/>
  <c r="LG14" i="69"/>
  <c r="LF14" i="69"/>
  <c r="LE14" i="69"/>
  <c r="LD14" i="69"/>
  <c r="LC14" i="69"/>
  <c r="LB14" i="69"/>
  <c r="LA14" i="69"/>
  <c r="KZ14" i="69"/>
  <c r="KY14" i="69"/>
  <c r="KX14" i="69"/>
  <c r="KW14" i="69"/>
  <c r="KV14" i="69"/>
  <c r="KU14" i="69"/>
  <c r="KT14" i="69"/>
  <c r="KS14" i="69"/>
  <c r="KR14" i="69"/>
  <c r="KQ14" i="69"/>
  <c r="KP14" i="69"/>
  <c r="KO14" i="69"/>
  <c r="KN14" i="69"/>
  <c r="KM14" i="69"/>
  <c r="KL14" i="69"/>
  <c r="KK14" i="69"/>
  <c r="KJ14" i="69"/>
  <c r="KI14" i="69"/>
  <c r="KH14" i="69"/>
  <c r="KG14" i="69"/>
  <c r="KF14" i="69"/>
  <c r="KE14" i="69"/>
  <c r="KD14" i="69"/>
  <c r="KC14" i="69"/>
  <c r="KB14" i="69"/>
  <c r="KA14" i="69"/>
  <c r="JZ14" i="69"/>
  <c r="JY14" i="69"/>
  <c r="JX14" i="69"/>
  <c r="JW14" i="69"/>
  <c r="JV14" i="69"/>
  <c r="JU14" i="69"/>
  <c r="JT14" i="69"/>
  <c r="JS14" i="69"/>
  <c r="JR14" i="69"/>
  <c r="JQ14" i="69"/>
  <c r="JP14" i="69"/>
  <c r="JO14" i="69"/>
  <c r="JN14" i="69"/>
  <c r="JM14" i="69"/>
  <c r="JL14" i="69"/>
  <c r="JK14" i="69"/>
  <c r="JJ14" i="69"/>
  <c r="JI14" i="69"/>
  <c r="JH14" i="69"/>
  <c r="JG14" i="69"/>
  <c r="JF14" i="69"/>
  <c r="JE14" i="69"/>
  <c r="JD14" i="69"/>
  <c r="JC14" i="69"/>
  <c r="JB14" i="69"/>
  <c r="JA14" i="69"/>
  <c r="IZ14" i="69"/>
  <c r="IY14" i="69"/>
  <c r="IX14" i="69"/>
  <c r="IW14" i="69"/>
  <c r="IV14" i="69"/>
  <c r="IU14" i="69"/>
  <c r="IT14" i="69"/>
  <c r="IS14" i="69"/>
  <c r="IR14" i="69"/>
  <c r="IQ14" i="69"/>
  <c r="IP14" i="69"/>
  <c r="IO14" i="69"/>
  <c r="IN14" i="69"/>
  <c r="IM14" i="69"/>
  <c r="IL14" i="69"/>
  <c r="IK14" i="69"/>
  <c r="IJ14" i="69"/>
  <c r="II14" i="69"/>
  <c r="IH14" i="69"/>
  <c r="IG14" i="69"/>
  <c r="IF14" i="69"/>
  <c r="IE14" i="69"/>
  <c r="ID14" i="69"/>
  <c r="IC14" i="69"/>
  <c r="IB14" i="69"/>
  <c r="IA14" i="69"/>
  <c r="HZ14" i="69"/>
  <c r="HY14" i="69"/>
  <c r="HX14" i="69"/>
  <c r="HW14" i="69"/>
  <c r="HV14" i="69"/>
  <c r="HU14" i="69"/>
  <c r="HT14" i="69"/>
  <c r="HS14" i="69"/>
  <c r="HR14" i="69"/>
  <c r="HQ14" i="69"/>
  <c r="HP14" i="69"/>
  <c r="HO14" i="69"/>
  <c r="HN14" i="69"/>
  <c r="HM14" i="69"/>
  <c r="HL14" i="69"/>
  <c r="HK14" i="69"/>
  <c r="HJ14" i="69"/>
  <c r="HI14" i="69"/>
  <c r="HH14" i="69"/>
  <c r="HG14" i="69"/>
  <c r="HF14" i="69"/>
  <c r="HE14" i="69"/>
  <c r="HD14" i="69"/>
  <c r="HC14" i="69"/>
  <c r="HB14" i="69"/>
  <c r="HA14" i="69"/>
  <c r="GZ14" i="69"/>
  <c r="GY14" i="69"/>
  <c r="GX14" i="69"/>
  <c r="GW14" i="69"/>
  <c r="GV14" i="69"/>
  <c r="GU14" i="69"/>
  <c r="GT14" i="69"/>
  <c r="GS14" i="69"/>
  <c r="GR14" i="69"/>
  <c r="GQ14" i="69"/>
  <c r="GP14" i="69"/>
  <c r="GO14" i="69"/>
  <c r="GN14" i="69"/>
  <c r="GM14" i="69"/>
  <c r="GL14" i="69"/>
  <c r="GK14" i="69"/>
  <c r="GJ14" i="69"/>
  <c r="GI14" i="69"/>
  <c r="GH14" i="69"/>
  <c r="GG14" i="69"/>
  <c r="GF14" i="69"/>
  <c r="GE14" i="69"/>
  <c r="GD14" i="69"/>
  <c r="GC14" i="69"/>
  <c r="GB14" i="69"/>
  <c r="GA14" i="69"/>
  <c r="FZ14" i="69"/>
  <c r="FY14" i="69"/>
  <c r="FX14" i="69"/>
  <c r="FW14" i="69"/>
  <c r="FV14" i="69"/>
  <c r="FU14" i="69"/>
  <c r="FT14" i="69"/>
  <c r="FS14" i="69"/>
  <c r="FR14" i="69"/>
  <c r="FQ14" i="69"/>
  <c r="FP14" i="69"/>
  <c r="FO14" i="69"/>
  <c r="C14" i="69"/>
  <c r="LW13" i="69"/>
  <c r="LV13" i="69"/>
  <c r="LU13" i="69"/>
  <c r="LT13" i="69"/>
  <c r="LS13" i="69"/>
  <c r="LR13" i="69"/>
  <c r="LQ13" i="69"/>
  <c r="LP13" i="69"/>
  <c r="LO13" i="69"/>
  <c r="LN13" i="69"/>
  <c r="LM13" i="69"/>
  <c r="LL13" i="69"/>
  <c r="LK13" i="69"/>
  <c r="LJ13" i="69"/>
  <c r="LI13" i="69"/>
  <c r="LH13" i="69"/>
  <c r="LG13" i="69"/>
  <c r="LF13" i="69"/>
  <c r="LE13" i="69"/>
  <c r="LD13" i="69"/>
  <c r="LC13" i="69"/>
  <c r="LB13" i="69"/>
  <c r="LA13" i="69"/>
  <c r="KZ13" i="69"/>
  <c r="KY13" i="69"/>
  <c r="KX13" i="69"/>
  <c r="KW13" i="69"/>
  <c r="KV13" i="69"/>
  <c r="KU13" i="69"/>
  <c r="KT13" i="69"/>
  <c r="KS13" i="69"/>
  <c r="KR13" i="69"/>
  <c r="KQ13" i="69"/>
  <c r="KP13" i="69"/>
  <c r="KO13" i="69"/>
  <c r="KN13" i="69"/>
  <c r="KM13" i="69"/>
  <c r="KL13" i="69"/>
  <c r="KK13" i="69"/>
  <c r="KJ13" i="69"/>
  <c r="KI13" i="69"/>
  <c r="KH13" i="69"/>
  <c r="KG13" i="69"/>
  <c r="KF13" i="69"/>
  <c r="KE13" i="69"/>
  <c r="KD13" i="69"/>
  <c r="KC13" i="69"/>
  <c r="KB13" i="69"/>
  <c r="KA13" i="69"/>
  <c r="JZ13" i="69"/>
  <c r="JY13" i="69"/>
  <c r="JX13" i="69"/>
  <c r="JW13" i="69"/>
  <c r="JV13" i="69"/>
  <c r="JU13" i="69"/>
  <c r="JT13" i="69"/>
  <c r="JS13" i="69"/>
  <c r="JR13" i="69"/>
  <c r="JQ13" i="69"/>
  <c r="JP13" i="69"/>
  <c r="JO13" i="69"/>
  <c r="JN13" i="69"/>
  <c r="JM13" i="69"/>
  <c r="JL13" i="69"/>
  <c r="JK13" i="69"/>
  <c r="JJ13" i="69"/>
  <c r="JI13" i="69"/>
  <c r="JH13" i="69"/>
  <c r="JG13" i="69"/>
  <c r="JF13" i="69"/>
  <c r="JE13" i="69"/>
  <c r="JD13" i="69"/>
  <c r="JC13" i="69"/>
  <c r="JB13" i="69"/>
  <c r="JA13" i="69"/>
  <c r="IZ13" i="69"/>
  <c r="IY13" i="69"/>
  <c r="IX13" i="69"/>
  <c r="IW13" i="69"/>
  <c r="IV13" i="69"/>
  <c r="IU13" i="69"/>
  <c r="IT13" i="69"/>
  <c r="IS13" i="69"/>
  <c r="IR13" i="69"/>
  <c r="IQ13" i="69"/>
  <c r="IP13" i="69"/>
  <c r="IO13" i="69"/>
  <c r="IN13" i="69"/>
  <c r="IM13" i="69"/>
  <c r="IL13" i="69"/>
  <c r="IK13" i="69"/>
  <c r="IJ13" i="69"/>
  <c r="II13" i="69"/>
  <c r="IH13" i="69"/>
  <c r="IG13" i="69"/>
  <c r="IF13" i="69"/>
  <c r="IE13" i="69"/>
  <c r="ID13" i="69"/>
  <c r="IC13" i="69"/>
  <c r="IB13" i="69"/>
  <c r="IA13" i="69"/>
  <c r="HZ13" i="69"/>
  <c r="HY13" i="69"/>
  <c r="HX13" i="69"/>
  <c r="HW13" i="69"/>
  <c r="HV13" i="69"/>
  <c r="HU13" i="69"/>
  <c r="HT13" i="69"/>
  <c r="HS13" i="69"/>
  <c r="HR13" i="69"/>
  <c r="HQ13" i="69"/>
  <c r="HP13" i="69"/>
  <c r="HO13" i="69"/>
  <c r="HN13" i="69"/>
  <c r="HM13" i="69"/>
  <c r="HL13" i="69"/>
  <c r="HK13" i="69"/>
  <c r="HJ13" i="69"/>
  <c r="HI13" i="69"/>
  <c r="HH13" i="69"/>
  <c r="HG13" i="69"/>
  <c r="HF13" i="69"/>
  <c r="HE13" i="69"/>
  <c r="HD13" i="69"/>
  <c r="HC13" i="69"/>
  <c r="HB13" i="69"/>
  <c r="HA13" i="69"/>
  <c r="GZ13" i="69"/>
  <c r="GY13" i="69"/>
  <c r="GX13" i="69"/>
  <c r="GW13" i="69"/>
  <c r="GV13" i="69"/>
  <c r="GU13" i="69"/>
  <c r="GT13" i="69"/>
  <c r="GS13" i="69"/>
  <c r="GR13" i="69"/>
  <c r="GQ13" i="69"/>
  <c r="GP13" i="69"/>
  <c r="GO13" i="69"/>
  <c r="GN13" i="69"/>
  <c r="GM13" i="69"/>
  <c r="GL13" i="69"/>
  <c r="GK13" i="69"/>
  <c r="GJ13" i="69"/>
  <c r="GI13" i="69"/>
  <c r="GH13" i="69"/>
  <c r="GG13" i="69"/>
  <c r="GF13" i="69"/>
  <c r="GE13" i="69"/>
  <c r="GD13" i="69"/>
  <c r="GC13" i="69"/>
  <c r="GB13" i="69"/>
  <c r="GA13" i="69"/>
  <c r="FZ13" i="69"/>
  <c r="FY13" i="69"/>
  <c r="FX13" i="69"/>
  <c r="FW13" i="69"/>
  <c r="FV13" i="69"/>
  <c r="FU13" i="69"/>
  <c r="FT13" i="69"/>
  <c r="FS13" i="69"/>
  <c r="FR13" i="69"/>
  <c r="FQ13" i="69"/>
  <c r="FP13" i="69"/>
  <c r="FO13" i="69"/>
  <c r="C13" i="69"/>
  <c r="LW12" i="69"/>
  <c r="LV12" i="69"/>
  <c r="LU12" i="69"/>
  <c r="LT12" i="69"/>
  <c r="LS12" i="69"/>
  <c r="LR12" i="69"/>
  <c r="LQ12" i="69"/>
  <c r="LP12" i="69"/>
  <c r="LO12" i="69"/>
  <c r="LN12" i="69"/>
  <c r="LM12" i="69"/>
  <c r="LL12" i="69"/>
  <c r="LK12" i="69"/>
  <c r="LJ12" i="69"/>
  <c r="LI12" i="69"/>
  <c r="LH12" i="69"/>
  <c r="LG12" i="69"/>
  <c r="LF12" i="69"/>
  <c r="LE12" i="69"/>
  <c r="LD12" i="69"/>
  <c r="LC12" i="69"/>
  <c r="LB12" i="69"/>
  <c r="LA12" i="69"/>
  <c r="KZ12" i="69"/>
  <c r="KY12" i="69"/>
  <c r="KX12" i="69"/>
  <c r="KW12" i="69"/>
  <c r="KV12" i="69"/>
  <c r="KU12" i="69"/>
  <c r="KT12" i="69"/>
  <c r="KS12" i="69"/>
  <c r="KR12" i="69"/>
  <c r="KQ12" i="69"/>
  <c r="KP12" i="69"/>
  <c r="KO12" i="69"/>
  <c r="KN12" i="69"/>
  <c r="KM12" i="69"/>
  <c r="KL12" i="69"/>
  <c r="KK12" i="69"/>
  <c r="KJ12" i="69"/>
  <c r="KI12" i="69"/>
  <c r="KH12" i="69"/>
  <c r="KG12" i="69"/>
  <c r="KF12" i="69"/>
  <c r="KE12" i="69"/>
  <c r="KD12" i="69"/>
  <c r="KC12" i="69"/>
  <c r="KB12" i="69"/>
  <c r="KA12" i="69"/>
  <c r="JZ12" i="69"/>
  <c r="JY12" i="69"/>
  <c r="JX12" i="69"/>
  <c r="JW12" i="69"/>
  <c r="JV12" i="69"/>
  <c r="JU12" i="69"/>
  <c r="JT12" i="69"/>
  <c r="JS12" i="69"/>
  <c r="JR12" i="69"/>
  <c r="JQ12" i="69"/>
  <c r="JP12" i="69"/>
  <c r="JO12" i="69"/>
  <c r="JN12" i="69"/>
  <c r="JM12" i="69"/>
  <c r="JL12" i="69"/>
  <c r="JK12" i="69"/>
  <c r="JJ12" i="69"/>
  <c r="JI12" i="69"/>
  <c r="JH12" i="69"/>
  <c r="JG12" i="69"/>
  <c r="JF12" i="69"/>
  <c r="JE12" i="69"/>
  <c r="JD12" i="69"/>
  <c r="JC12" i="69"/>
  <c r="JB12" i="69"/>
  <c r="JA12" i="69"/>
  <c r="IZ12" i="69"/>
  <c r="IY12" i="69"/>
  <c r="IX12" i="69"/>
  <c r="IW12" i="69"/>
  <c r="IV12" i="69"/>
  <c r="IU12" i="69"/>
  <c r="IT12" i="69"/>
  <c r="IS12" i="69"/>
  <c r="IR12" i="69"/>
  <c r="IQ12" i="69"/>
  <c r="IP12" i="69"/>
  <c r="IO12" i="69"/>
  <c r="IN12" i="69"/>
  <c r="IM12" i="69"/>
  <c r="IL12" i="69"/>
  <c r="IK12" i="69"/>
  <c r="IJ12" i="69"/>
  <c r="II12" i="69"/>
  <c r="IH12" i="69"/>
  <c r="IG12" i="69"/>
  <c r="IF12" i="69"/>
  <c r="IE12" i="69"/>
  <c r="ID12" i="69"/>
  <c r="IC12" i="69"/>
  <c r="IB12" i="69"/>
  <c r="IA12" i="69"/>
  <c r="HZ12" i="69"/>
  <c r="HY12" i="69"/>
  <c r="HX12" i="69"/>
  <c r="HW12" i="69"/>
  <c r="HV12" i="69"/>
  <c r="HU12" i="69"/>
  <c r="HT12" i="69"/>
  <c r="HS12" i="69"/>
  <c r="HR12" i="69"/>
  <c r="HQ12" i="69"/>
  <c r="HP12" i="69"/>
  <c r="HO12" i="69"/>
  <c r="HN12" i="69"/>
  <c r="HM12" i="69"/>
  <c r="HL12" i="69"/>
  <c r="HK12" i="69"/>
  <c r="HJ12" i="69"/>
  <c r="HI12" i="69"/>
  <c r="HH12" i="69"/>
  <c r="HG12" i="69"/>
  <c r="HF12" i="69"/>
  <c r="HE12" i="69"/>
  <c r="HD12" i="69"/>
  <c r="HC12" i="69"/>
  <c r="HB12" i="69"/>
  <c r="HA12" i="69"/>
  <c r="GZ12" i="69"/>
  <c r="GY12" i="69"/>
  <c r="GX12" i="69"/>
  <c r="GW12" i="69"/>
  <c r="GV12" i="69"/>
  <c r="GU12" i="69"/>
  <c r="GT12" i="69"/>
  <c r="GS12" i="69"/>
  <c r="GR12" i="69"/>
  <c r="GQ12" i="69"/>
  <c r="GP12" i="69"/>
  <c r="GO12" i="69"/>
  <c r="GN12" i="69"/>
  <c r="GM12" i="69"/>
  <c r="GL12" i="69"/>
  <c r="GK12" i="69"/>
  <c r="GJ12" i="69"/>
  <c r="GI12" i="69"/>
  <c r="GH12" i="69"/>
  <c r="GG12" i="69"/>
  <c r="GF12" i="69"/>
  <c r="GE12" i="69"/>
  <c r="GD12" i="69"/>
  <c r="GC12" i="69"/>
  <c r="GB12" i="69"/>
  <c r="GA12" i="69"/>
  <c r="FZ12" i="69"/>
  <c r="FY12" i="69"/>
  <c r="FX12" i="69"/>
  <c r="FW12" i="69"/>
  <c r="FV12" i="69"/>
  <c r="FU12" i="69"/>
  <c r="FT12" i="69"/>
  <c r="FS12" i="69"/>
  <c r="FR12" i="69"/>
  <c r="FQ12" i="69"/>
  <c r="FP12" i="69"/>
  <c r="FO12" i="69"/>
  <c r="C12" i="69"/>
  <c r="LW11" i="69"/>
  <c r="LV11" i="69"/>
  <c r="LU11" i="69"/>
  <c r="LT11" i="69"/>
  <c r="LS11" i="69"/>
  <c r="LR11" i="69"/>
  <c r="LQ11" i="69"/>
  <c r="LP11" i="69"/>
  <c r="LO11" i="69"/>
  <c r="LN11" i="69"/>
  <c r="LM11" i="69"/>
  <c r="LL11" i="69"/>
  <c r="LK11" i="69"/>
  <c r="LJ11" i="69"/>
  <c r="LI11" i="69"/>
  <c r="LH11" i="69"/>
  <c r="LG11" i="69"/>
  <c r="LF11" i="69"/>
  <c r="LE11" i="69"/>
  <c r="LD11" i="69"/>
  <c r="LC11" i="69"/>
  <c r="LB11" i="69"/>
  <c r="LA11" i="69"/>
  <c r="KZ11" i="69"/>
  <c r="KY11" i="69"/>
  <c r="KX11" i="69"/>
  <c r="KW11" i="69"/>
  <c r="KV11" i="69"/>
  <c r="KU11" i="69"/>
  <c r="KT11" i="69"/>
  <c r="KS11" i="69"/>
  <c r="KR11" i="69"/>
  <c r="KQ11" i="69"/>
  <c r="KP11" i="69"/>
  <c r="KO11" i="69"/>
  <c r="KN11" i="69"/>
  <c r="KM11" i="69"/>
  <c r="KL11" i="69"/>
  <c r="KK11" i="69"/>
  <c r="KJ11" i="69"/>
  <c r="KI11" i="69"/>
  <c r="KH11" i="69"/>
  <c r="KG11" i="69"/>
  <c r="KF11" i="69"/>
  <c r="KE11" i="69"/>
  <c r="KD11" i="69"/>
  <c r="KC11" i="69"/>
  <c r="KB11" i="69"/>
  <c r="KA11" i="69"/>
  <c r="JZ11" i="69"/>
  <c r="JY11" i="69"/>
  <c r="JX11" i="69"/>
  <c r="JW11" i="69"/>
  <c r="JV11" i="69"/>
  <c r="JU11" i="69"/>
  <c r="JT11" i="69"/>
  <c r="JS11" i="69"/>
  <c r="JR11" i="69"/>
  <c r="JQ11" i="69"/>
  <c r="JP11" i="69"/>
  <c r="JO11" i="69"/>
  <c r="JN11" i="69"/>
  <c r="JM11" i="69"/>
  <c r="JL11" i="69"/>
  <c r="JK11" i="69"/>
  <c r="JJ11" i="69"/>
  <c r="JI11" i="69"/>
  <c r="JH11" i="69"/>
  <c r="JG11" i="69"/>
  <c r="JF11" i="69"/>
  <c r="JE11" i="69"/>
  <c r="JD11" i="69"/>
  <c r="JC11" i="69"/>
  <c r="JB11" i="69"/>
  <c r="JA11" i="69"/>
  <c r="IZ11" i="69"/>
  <c r="IY11" i="69"/>
  <c r="IX11" i="69"/>
  <c r="IW11" i="69"/>
  <c r="IV11" i="69"/>
  <c r="IU11" i="69"/>
  <c r="IT11" i="69"/>
  <c r="IS11" i="69"/>
  <c r="IR11" i="69"/>
  <c r="IQ11" i="69"/>
  <c r="IP11" i="69"/>
  <c r="IO11" i="69"/>
  <c r="IN11" i="69"/>
  <c r="IM11" i="69"/>
  <c r="IL11" i="69"/>
  <c r="IK11" i="69"/>
  <c r="IJ11" i="69"/>
  <c r="II11" i="69"/>
  <c r="IH11" i="69"/>
  <c r="IG11" i="69"/>
  <c r="IF11" i="69"/>
  <c r="IE11" i="69"/>
  <c r="ID11" i="69"/>
  <c r="IC11" i="69"/>
  <c r="IB11" i="69"/>
  <c r="IA11" i="69"/>
  <c r="HZ11" i="69"/>
  <c r="HY11" i="69"/>
  <c r="HX11" i="69"/>
  <c r="HW11" i="69"/>
  <c r="HV11" i="69"/>
  <c r="HU11" i="69"/>
  <c r="HT11" i="69"/>
  <c r="HS11" i="69"/>
  <c r="HR11" i="69"/>
  <c r="HQ11" i="69"/>
  <c r="HP11" i="69"/>
  <c r="HO11" i="69"/>
  <c r="HN11" i="69"/>
  <c r="HM11" i="69"/>
  <c r="HL11" i="69"/>
  <c r="HK11" i="69"/>
  <c r="HJ11" i="69"/>
  <c r="HI11" i="69"/>
  <c r="HH11" i="69"/>
  <c r="HG11" i="69"/>
  <c r="HF11" i="69"/>
  <c r="HE11" i="69"/>
  <c r="HD11" i="69"/>
  <c r="HC11" i="69"/>
  <c r="HB11" i="69"/>
  <c r="HA11" i="69"/>
  <c r="GZ11" i="69"/>
  <c r="GY11" i="69"/>
  <c r="GX11" i="69"/>
  <c r="GW11" i="69"/>
  <c r="GV11" i="69"/>
  <c r="GU11" i="69"/>
  <c r="GT11" i="69"/>
  <c r="GS11" i="69"/>
  <c r="GR11" i="69"/>
  <c r="GQ11" i="69"/>
  <c r="GP11" i="69"/>
  <c r="GO11" i="69"/>
  <c r="GN11" i="69"/>
  <c r="GM11" i="69"/>
  <c r="GL11" i="69"/>
  <c r="GK11" i="69"/>
  <c r="GJ11" i="69"/>
  <c r="GI11" i="69"/>
  <c r="GH11" i="69"/>
  <c r="GG11" i="69"/>
  <c r="GF11" i="69"/>
  <c r="GE11" i="69"/>
  <c r="GD11" i="69"/>
  <c r="GC11" i="69"/>
  <c r="GB11" i="69"/>
  <c r="GA11" i="69"/>
  <c r="FZ11" i="69"/>
  <c r="FY11" i="69"/>
  <c r="FX11" i="69"/>
  <c r="FW11" i="69"/>
  <c r="FV11" i="69"/>
  <c r="FU11" i="69"/>
  <c r="FT11" i="69"/>
  <c r="FS11" i="69"/>
  <c r="FR11" i="69"/>
  <c r="FQ11" i="69"/>
  <c r="FP11" i="69"/>
  <c r="FO11" i="69"/>
  <c r="C11" i="69"/>
  <c r="LW10" i="69"/>
  <c r="LV10" i="69"/>
  <c r="LU10" i="69"/>
  <c r="LT10" i="69"/>
  <c r="LS10" i="69"/>
  <c r="LR10" i="69"/>
  <c r="LQ10" i="69"/>
  <c r="LP10" i="69"/>
  <c r="LO10" i="69"/>
  <c r="LN10" i="69"/>
  <c r="LM10" i="69"/>
  <c r="LL10" i="69"/>
  <c r="LK10" i="69"/>
  <c r="LJ10" i="69"/>
  <c r="LI10" i="69"/>
  <c r="LH10" i="69"/>
  <c r="LG10" i="69"/>
  <c r="LF10" i="69"/>
  <c r="LE10" i="69"/>
  <c r="LD10" i="69"/>
  <c r="LC10" i="69"/>
  <c r="LB10" i="69"/>
  <c r="LA10" i="69"/>
  <c r="KZ10" i="69"/>
  <c r="KY10" i="69"/>
  <c r="KX10" i="69"/>
  <c r="KW10" i="69"/>
  <c r="KV10" i="69"/>
  <c r="KU10" i="69"/>
  <c r="KT10" i="69"/>
  <c r="KS10" i="69"/>
  <c r="KR10" i="69"/>
  <c r="KQ10" i="69"/>
  <c r="KP10" i="69"/>
  <c r="KO10" i="69"/>
  <c r="KN10" i="69"/>
  <c r="KM10" i="69"/>
  <c r="KL10" i="69"/>
  <c r="KK10" i="69"/>
  <c r="KJ10" i="69"/>
  <c r="KI10" i="69"/>
  <c r="KH10" i="69"/>
  <c r="KG10" i="69"/>
  <c r="KF10" i="69"/>
  <c r="KE10" i="69"/>
  <c r="KD10" i="69"/>
  <c r="KC10" i="69"/>
  <c r="KB10" i="69"/>
  <c r="KA10" i="69"/>
  <c r="JZ10" i="69"/>
  <c r="JY10" i="69"/>
  <c r="JX10" i="69"/>
  <c r="JW10" i="69"/>
  <c r="JV10" i="69"/>
  <c r="JU10" i="69"/>
  <c r="JT10" i="69"/>
  <c r="JS10" i="69"/>
  <c r="JR10" i="69"/>
  <c r="JQ10" i="69"/>
  <c r="JP10" i="69"/>
  <c r="JO10" i="69"/>
  <c r="JN10" i="69"/>
  <c r="JM10" i="69"/>
  <c r="JL10" i="69"/>
  <c r="JK10" i="69"/>
  <c r="JJ10" i="69"/>
  <c r="JI10" i="69"/>
  <c r="JH10" i="69"/>
  <c r="JG10" i="69"/>
  <c r="JF10" i="69"/>
  <c r="JE10" i="69"/>
  <c r="JD10" i="69"/>
  <c r="JC10" i="69"/>
  <c r="JB10" i="69"/>
  <c r="JA10" i="69"/>
  <c r="IZ10" i="69"/>
  <c r="IY10" i="69"/>
  <c r="IX10" i="69"/>
  <c r="IW10" i="69"/>
  <c r="IV10" i="69"/>
  <c r="IU10" i="69"/>
  <c r="IT10" i="69"/>
  <c r="IS10" i="69"/>
  <c r="IR10" i="69"/>
  <c r="IQ10" i="69"/>
  <c r="IP10" i="69"/>
  <c r="IO10" i="69"/>
  <c r="IN10" i="69"/>
  <c r="IM10" i="69"/>
  <c r="IL10" i="69"/>
  <c r="IK10" i="69"/>
  <c r="IJ10" i="69"/>
  <c r="II10" i="69"/>
  <c r="IH10" i="69"/>
  <c r="IG10" i="69"/>
  <c r="IF10" i="69"/>
  <c r="IE10" i="69"/>
  <c r="ID10" i="69"/>
  <c r="IC10" i="69"/>
  <c r="IB10" i="69"/>
  <c r="IA10" i="69"/>
  <c r="HZ10" i="69"/>
  <c r="HY10" i="69"/>
  <c r="HX10" i="69"/>
  <c r="HW10" i="69"/>
  <c r="HV10" i="69"/>
  <c r="HU10" i="69"/>
  <c r="HT10" i="69"/>
  <c r="HS10" i="69"/>
  <c r="HR10" i="69"/>
  <c r="HQ10" i="69"/>
  <c r="HP10" i="69"/>
  <c r="HO10" i="69"/>
  <c r="HN10" i="69"/>
  <c r="HM10" i="69"/>
  <c r="HL10" i="69"/>
  <c r="HK10" i="69"/>
  <c r="HJ10" i="69"/>
  <c r="HI10" i="69"/>
  <c r="HH10" i="69"/>
  <c r="HG10" i="69"/>
  <c r="HF10" i="69"/>
  <c r="HE10" i="69"/>
  <c r="HD10" i="69"/>
  <c r="HC10" i="69"/>
  <c r="HB10" i="69"/>
  <c r="HA10" i="69"/>
  <c r="GZ10" i="69"/>
  <c r="GY10" i="69"/>
  <c r="GX10" i="69"/>
  <c r="GW10" i="69"/>
  <c r="GV10" i="69"/>
  <c r="GU10" i="69"/>
  <c r="GT10" i="69"/>
  <c r="GS10" i="69"/>
  <c r="GR10" i="69"/>
  <c r="GQ10" i="69"/>
  <c r="GP10" i="69"/>
  <c r="GO10" i="69"/>
  <c r="GN10" i="69"/>
  <c r="GM10" i="69"/>
  <c r="GL10" i="69"/>
  <c r="GK10" i="69"/>
  <c r="GJ10" i="69"/>
  <c r="GI10" i="69"/>
  <c r="GH10" i="69"/>
  <c r="GG10" i="69"/>
  <c r="GF10" i="69"/>
  <c r="GE10" i="69"/>
  <c r="GD10" i="69"/>
  <c r="GC10" i="69"/>
  <c r="GB10" i="69"/>
  <c r="GA10" i="69"/>
  <c r="FZ10" i="69"/>
  <c r="FY10" i="69"/>
  <c r="FX10" i="69"/>
  <c r="FW10" i="69"/>
  <c r="FV10" i="69"/>
  <c r="FU10" i="69"/>
  <c r="FT10" i="69"/>
  <c r="FS10" i="69"/>
  <c r="FR10" i="69"/>
  <c r="FQ10" i="69"/>
  <c r="FP10" i="69"/>
  <c r="FO10" i="69"/>
  <c r="C10" i="69"/>
  <c r="LW9" i="69"/>
  <c r="LV9" i="69"/>
  <c r="LU9" i="69"/>
  <c r="LT9" i="69"/>
  <c r="LS9" i="69"/>
  <c r="LR9" i="69"/>
  <c r="LQ9" i="69"/>
  <c r="LP9" i="69"/>
  <c r="LO9" i="69"/>
  <c r="LN9" i="69"/>
  <c r="LM9" i="69"/>
  <c r="LL9" i="69"/>
  <c r="LK9" i="69"/>
  <c r="LJ9" i="69"/>
  <c r="LI9" i="69"/>
  <c r="LH9" i="69"/>
  <c r="LG9" i="69"/>
  <c r="LF9" i="69"/>
  <c r="LE9" i="69"/>
  <c r="LD9" i="69"/>
  <c r="LC9" i="69"/>
  <c r="LB9" i="69"/>
  <c r="LA9" i="69"/>
  <c r="KZ9" i="69"/>
  <c r="KY9" i="69"/>
  <c r="KX9" i="69"/>
  <c r="KW9" i="69"/>
  <c r="KV9" i="69"/>
  <c r="KU9" i="69"/>
  <c r="KT9" i="69"/>
  <c r="KS9" i="69"/>
  <c r="KR9" i="69"/>
  <c r="KQ9" i="69"/>
  <c r="KP9" i="69"/>
  <c r="KO9" i="69"/>
  <c r="KN9" i="69"/>
  <c r="KM9" i="69"/>
  <c r="KL9" i="69"/>
  <c r="KK9" i="69"/>
  <c r="KJ9" i="69"/>
  <c r="KI9" i="69"/>
  <c r="KH9" i="69"/>
  <c r="KG9" i="69"/>
  <c r="KF9" i="69"/>
  <c r="KE9" i="69"/>
  <c r="KD9" i="69"/>
  <c r="KC9" i="69"/>
  <c r="KB9" i="69"/>
  <c r="KA9" i="69"/>
  <c r="JZ9" i="69"/>
  <c r="JY9" i="69"/>
  <c r="JX9" i="69"/>
  <c r="JW9" i="69"/>
  <c r="JV9" i="69"/>
  <c r="JU9" i="69"/>
  <c r="JT9" i="69"/>
  <c r="JS9" i="69"/>
  <c r="JR9" i="69"/>
  <c r="JQ9" i="69"/>
  <c r="JP9" i="69"/>
  <c r="JO9" i="69"/>
  <c r="JN9" i="69"/>
  <c r="JM9" i="69"/>
  <c r="JL9" i="69"/>
  <c r="JK9" i="69"/>
  <c r="JJ9" i="69"/>
  <c r="JI9" i="69"/>
  <c r="JH9" i="69"/>
  <c r="JG9" i="69"/>
  <c r="JF9" i="69"/>
  <c r="JE9" i="69"/>
  <c r="JD9" i="69"/>
  <c r="JC9" i="69"/>
  <c r="JB9" i="69"/>
  <c r="JA9" i="69"/>
  <c r="IZ9" i="69"/>
  <c r="IY9" i="69"/>
  <c r="IX9" i="69"/>
  <c r="IW9" i="69"/>
  <c r="IV9" i="69"/>
  <c r="IU9" i="69"/>
  <c r="IT9" i="69"/>
  <c r="IS9" i="69"/>
  <c r="IR9" i="69"/>
  <c r="IQ9" i="69"/>
  <c r="IP9" i="69"/>
  <c r="IO9" i="69"/>
  <c r="IN9" i="69"/>
  <c r="IM9" i="69"/>
  <c r="IL9" i="69"/>
  <c r="IK9" i="69"/>
  <c r="IJ9" i="69"/>
  <c r="II9" i="69"/>
  <c r="IH9" i="69"/>
  <c r="IG9" i="69"/>
  <c r="IF9" i="69"/>
  <c r="IE9" i="69"/>
  <c r="ID9" i="69"/>
  <c r="IC9" i="69"/>
  <c r="IB9" i="69"/>
  <c r="IA9" i="69"/>
  <c r="HZ9" i="69"/>
  <c r="HY9" i="69"/>
  <c r="HX9" i="69"/>
  <c r="HW9" i="69"/>
  <c r="HV9" i="69"/>
  <c r="HU9" i="69"/>
  <c r="HT9" i="69"/>
  <c r="HS9" i="69"/>
  <c r="HR9" i="69"/>
  <c r="HQ9" i="69"/>
  <c r="HP9" i="69"/>
  <c r="HO9" i="69"/>
  <c r="HN9" i="69"/>
  <c r="HM9" i="69"/>
  <c r="HL9" i="69"/>
  <c r="HK9" i="69"/>
  <c r="HJ9" i="69"/>
  <c r="HI9" i="69"/>
  <c r="HH9" i="69"/>
  <c r="HG9" i="69"/>
  <c r="HF9" i="69"/>
  <c r="HE9" i="69"/>
  <c r="HD9" i="69"/>
  <c r="HC9" i="69"/>
  <c r="HB9" i="69"/>
  <c r="HA9" i="69"/>
  <c r="GZ9" i="69"/>
  <c r="GY9" i="69"/>
  <c r="GX9" i="69"/>
  <c r="GW9" i="69"/>
  <c r="GV9" i="69"/>
  <c r="GU9" i="69"/>
  <c r="GT9" i="69"/>
  <c r="GS9" i="69"/>
  <c r="GR9" i="69"/>
  <c r="GQ9" i="69"/>
  <c r="GP9" i="69"/>
  <c r="GO9" i="69"/>
  <c r="GN9" i="69"/>
  <c r="GM9" i="69"/>
  <c r="GL9" i="69"/>
  <c r="GK9" i="69"/>
  <c r="GJ9" i="69"/>
  <c r="GI9" i="69"/>
  <c r="GH9" i="69"/>
  <c r="GG9" i="69"/>
  <c r="GF9" i="69"/>
  <c r="GE9" i="69"/>
  <c r="GD9" i="69"/>
  <c r="GC9" i="69"/>
  <c r="GB9" i="69"/>
  <c r="GA9" i="69"/>
  <c r="FZ9" i="69"/>
  <c r="FY9" i="69"/>
  <c r="FX9" i="69"/>
  <c r="FW9" i="69"/>
  <c r="FV9" i="69"/>
  <c r="FU9" i="69"/>
  <c r="FT9" i="69"/>
  <c r="FS9" i="69"/>
  <c r="FR9" i="69"/>
  <c r="FQ9" i="69"/>
  <c r="FP9" i="69"/>
  <c r="FO9" i="69"/>
  <c r="C9" i="69"/>
  <c r="LW8" i="69"/>
  <c r="LV8" i="69"/>
  <c r="LU8" i="69"/>
  <c r="LT8" i="69"/>
  <c r="LS8" i="69"/>
  <c r="LR8" i="69"/>
  <c r="LQ8" i="69"/>
  <c r="LP8" i="69"/>
  <c r="LO8" i="69"/>
  <c r="LN8" i="69"/>
  <c r="LM8" i="69"/>
  <c r="LL8" i="69"/>
  <c r="LK8" i="69"/>
  <c r="LJ8" i="69"/>
  <c r="LI8" i="69"/>
  <c r="LH8" i="69"/>
  <c r="LG8" i="69"/>
  <c r="LF8" i="69"/>
  <c r="LE8" i="69"/>
  <c r="LD8" i="69"/>
  <c r="LC8" i="69"/>
  <c r="LB8" i="69"/>
  <c r="LA8" i="69"/>
  <c r="KZ8" i="69"/>
  <c r="KY8" i="69"/>
  <c r="KX8" i="69"/>
  <c r="KW8" i="69"/>
  <c r="KV8" i="69"/>
  <c r="KU8" i="69"/>
  <c r="KT8" i="69"/>
  <c r="KS8" i="69"/>
  <c r="KR8" i="69"/>
  <c r="KQ8" i="69"/>
  <c r="KP8" i="69"/>
  <c r="KO8" i="69"/>
  <c r="KN8" i="69"/>
  <c r="KM8" i="69"/>
  <c r="KL8" i="69"/>
  <c r="KK8" i="69"/>
  <c r="KJ8" i="69"/>
  <c r="KI8" i="69"/>
  <c r="KH8" i="69"/>
  <c r="KG8" i="69"/>
  <c r="KF8" i="69"/>
  <c r="KE8" i="69"/>
  <c r="KD8" i="69"/>
  <c r="KC8" i="69"/>
  <c r="KB8" i="69"/>
  <c r="KA8" i="69"/>
  <c r="JZ8" i="69"/>
  <c r="JY8" i="69"/>
  <c r="JX8" i="69"/>
  <c r="JW8" i="69"/>
  <c r="JV8" i="69"/>
  <c r="JU8" i="69"/>
  <c r="JT8" i="69"/>
  <c r="JS8" i="69"/>
  <c r="JR8" i="69"/>
  <c r="JQ8" i="69"/>
  <c r="JP8" i="69"/>
  <c r="JO8" i="69"/>
  <c r="JN8" i="69"/>
  <c r="JM8" i="69"/>
  <c r="JL8" i="69"/>
  <c r="JK8" i="69"/>
  <c r="JJ8" i="69"/>
  <c r="JI8" i="69"/>
  <c r="JH8" i="69"/>
  <c r="JG8" i="69"/>
  <c r="JF8" i="69"/>
  <c r="JE8" i="69"/>
  <c r="JD8" i="69"/>
  <c r="JC8" i="69"/>
  <c r="JB8" i="69"/>
  <c r="JA8" i="69"/>
  <c r="IZ8" i="69"/>
  <c r="IY8" i="69"/>
  <c r="IX8" i="69"/>
  <c r="IW8" i="69"/>
  <c r="IV8" i="69"/>
  <c r="IU8" i="69"/>
  <c r="IT8" i="69"/>
  <c r="IS8" i="69"/>
  <c r="IR8" i="69"/>
  <c r="IQ8" i="69"/>
  <c r="IP8" i="69"/>
  <c r="IO8" i="69"/>
  <c r="IN8" i="69"/>
  <c r="IM8" i="69"/>
  <c r="IL8" i="69"/>
  <c r="IK8" i="69"/>
  <c r="IJ8" i="69"/>
  <c r="II8" i="69"/>
  <c r="IH8" i="69"/>
  <c r="IG8" i="69"/>
  <c r="IF8" i="69"/>
  <c r="IE8" i="69"/>
  <c r="ID8" i="69"/>
  <c r="IC8" i="69"/>
  <c r="IB8" i="69"/>
  <c r="IA8" i="69"/>
  <c r="HZ8" i="69"/>
  <c r="HY8" i="69"/>
  <c r="HX8" i="69"/>
  <c r="HW8" i="69"/>
  <c r="HV8" i="69"/>
  <c r="HU8" i="69"/>
  <c r="HT8" i="69"/>
  <c r="HS8" i="69"/>
  <c r="HR8" i="69"/>
  <c r="HQ8" i="69"/>
  <c r="HP8" i="69"/>
  <c r="HO8" i="69"/>
  <c r="HN8" i="69"/>
  <c r="HM8" i="69"/>
  <c r="HL8" i="69"/>
  <c r="HK8" i="69"/>
  <c r="HJ8" i="69"/>
  <c r="HI8" i="69"/>
  <c r="HH8" i="69"/>
  <c r="HG8" i="69"/>
  <c r="HF8" i="69"/>
  <c r="HE8" i="69"/>
  <c r="HD8" i="69"/>
  <c r="HC8" i="69"/>
  <c r="HB8" i="69"/>
  <c r="HA8" i="69"/>
  <c r="GZ8" i="69"/>
  <c r="GY8" i="69"/>
  <c r="GX8" i="69"/>
  <c r="GW8" i="69"/>
  <c r="GV8" i="69"/>
  <c r="GU8" i="69"/>
  <c r="GT8" i="69"/>
  <c r="GS8" i="69"/>
  <c r="GR8" i="69"/>
  <c r="GQ8" i="69"/>
  <c r="GP8" i="69"/>
  <c r="GO8" i="69"/>
  <c r="GN8" i="69"/>
  <c r="GM8" i="69"/>
  <c r="GL8" i="69"/>
  <c r="GK8" i="69"/>
  <c r="GJ8" i="69"/>
  <c r="GI8" i="69"/>
  <c r="GH8" i="69"/>
  <c r="GG8" i="69"/>
  <c r="GF8" i="69"/>
  <c r="GE8" i="69"/>
  <c r="GD8" i="69"/>
  <c r="GC8" i="69"/>
  <c r="GB8" i="69"/>
  <c r="GA8" i="69"/>
  <c r="FZ8" i="69"/>
  <c r="FY8" i="69"/>
  <c r="FX8" i="69"/>
  <c r="FW8" i="69"/>
  <c r="FV8" i="69"/>
  <c r="FU8" i="69"/>
  <c r="FT8" i="69"/>
  <c r="FS8" i="69"/>
  <c r="FR8" i="69"/>
  <c r="FQ8" i="69"/>
  <c r="FP8" i="69"/>
  <c r="FO8" i="69"/>
  <c r="C8" i="69"/>
  <c r="LW7" i="69"/>
  <c r="LV7" i="69"/>
  <c r="LU7" i="69"/>
  <c r="LT7" i="69"/>
  <c r="LS7" i="69"/>
  <c r="LR7" i="69"/>
  <c r="LQ7" i="69"/>
  <c r="LP7" i="69"/>
  <c r="LO7" i="69"/>
  <c r="LN7" i="69"/>
  <c r="LM7" i="69"/>
  <c r="LL7" i="69"/>
  <c r="LK7" i="69"/>
  <c r="LJ7" i="69"/>
  <c r="LI7" i="69"/>
  <c r="LH7" i="69"/>
  <c r="LG7" i="69"/>
  <c r="LF7" i="69"/>
  <c r="LE7" i="69"/>
  <c r="LD7" i="69"/>
  <c r="LC7" i="69"/>
  <c r="LB7" i="69"/>
  <c r="LA7" i="69"/>
  <c r="KZ7" i="69"/>
  <c r="KY7" i="69"/>
  <c r="KX7" i="69"/>
  <c r="KW7" i="69"/>
  <c r="KV7" i="69"/>
  <c r="KU7" i="69"/>
  <c r="KT7" i="69"/>
  <c r="KS7" i="69"/>
  <c r="KR7" i="69"/>
  <c r="KQ7" i="69"/>
  <c r="KP7" i="69"/>
  <c r="KO7" i="69"/>
  <c r="KN7" i="69"/>
  <c r="KM7" i="69"/>
  <c r="KL7" i="69"/>
  <c r="KK7" i="69"/>
  <c r="KJ7" i="69"/>
  <c r="KI7" i="69"/>
  <c r="KH7" i="69"/>
  <c r="KG7" i="69"/>
  <c r="KF7" i="69"/>
  <c r="KE7" i="69"/>
  <c r="KD7" i="69"/>
  <c r="KC7" i="69"/>
  <c r="KB7" i="69"/>
  <c r="KA7" i="69"/>
  <c r="JZ7" i="69"/>
  <c r="JY7" i="69"/>
  <c r="JX7" i="69"/>
  <c r="JW7" i="69"/>
  <c r="JV7" i="69"/>
  <c r="JU7" i="69"/>
  <c r="JT7" i="69"/>
  <c r="JS7" i="69"/>
  <c r="JR7" i="69"/>
  <c r="JQ7" i="69"/>
  <c r="JP7" i="69"/>
  <c r="JO7" i="69"/>
  <c r="JN7" i="69"/>
  <c r="JM7" i="69"/>
  <c r="JL7" i="69"/>
  <c r="JK7" i="69"/>
  <c r="JJ7" i="69"/>
  <c r="JI7" i="69"/>
  <c r="JH7" i="69"/>
  <c r="JG7" i="69"/>
  <c r="JF7" i="69"/>
  <c r="JE7" i="69"/>
  <c r="JD7" i="69"/>
  <c r="JC7" i="69"/>
  <c r="JB7" i="69"/>
  <c r="JA7" i="69"/>
  <c r="IZ7" i="69"/>
  <c r="IY7" i="69"/>
  <c r="IX7" i="69"/>
  <c r="IW7" i="69"/>
  <c r="IV7" i="69"/>
  <c r="IU7" i="69"/>
  <c r="IT7" i="69"/>
  <c r="IS7" i="69"/>
  <c r="IR7" i="69"/>
  <c r="IQ7" i="69"/>
  <c r="IP7" i="69"/>
  <c r="IO7" i="69"/>
  <c r="IN7" i="69"/>
  <c r="IM7" i="69"/>
  <c r="IL7" i="69"/>
  <c r="IK7" i="69"/>
  <c r="IJ7" i="69"/>
  <c r="II7" i="69"/>
  <c r="IH7" i="69"/>
  <c r="IG7" i="69"/>
  <c r="IF7" i="69"/>
  <c r="IE7" i="69"/>
  <c r="ID7" i="69"/>
  <c r="IC7" i="69"/>
  <c r="IB7" i="69"/>
  <c r="IA7" i="69"/>
  <c r="HZ7" i="69"/>
  <c r="HY7" i="69"/>
  <c r="HX7" i="69"/>
  <c r="HW7" i="69"/>
  <c r="HV7" i="69"/>
  <c r="HU7" i="69"/>
  <c r="HT7" i="69"/>
  <c r="HS7" i="69"/>
  <c r="HR7" i="69"/>
  <c r="HQ7" i="69"/>
  <c r="HP7" i="69"/>
  <c r="HO7" i="69"/>
  <c r="HN7" i="69"/>
  <c r="HM7" i="69"/>
  <c r="HL7" i="69"/>
  <c r="HK7" i="69"/>
  <c r="HJ7" i="69"/>
  <c r="HI7" i="69"/>
  <c r="HH7" i="69"/>
  <c r="HG7" i="69"/>
  <c r="HF7" i="69"/>
  <c r="HE7" i="69"/>
  <c r="HD7" i="69"/>
  <c r="HC7" i="69"/>
  <c r="HB7" i="69"/>
  <c r="HA7" i="69"/>
  <c r="GZ7" i="69"/>
  <c r="GY7" i="69"/>
  <c r="GX7" i="69"/>
  <c r="GW7" i="69"/>
  <c r="GV7" i="69"/>
  <c r="GU7" i="69"/>
  <c r="GT7" i="69"/>
  <c r="GS7" i="69"/>
  <c r="GR7" i="69"/>
  <c r="GQ7" i="69"/>
  <c r="GP7" i="69"/>
  <c r="GO7" i="69"/>
  <c r="GN7" i="69"/>
  <c r="GM7" i="69"/>
  <c r="GL7" i="69"/>
  <c r="GK7" i="69"/>
  <c r="GJ7" i="69"/>
  <c r="GI7" i="69"/>
  <c r="GH7" i="69"/>
  <c r="GG7" i="69"/>
  <c r="GF7" i="69"/>
  <c r="GE7" i="69"/>
  <c r="GD7" i="69"/>
  <c r="GC7" i="69"/>
  <c r="GB7" i="69"/>
  <c r="GA7" i="69"/>
  <c r="FZ7" i="69"/>
  <c r="FY7" i="69"/>
  <c r="FX7" i="69"/>
  <c r="FW7" i="69"/>
  <c r="FV7" i="69"/>
  <c r="FU7" i="69"/>
  <c r="FT7" i="69"/>
  <c r="FS7" i="69"/>
  <c r="FR7" i="69"/>
  <c r="FQ7" i="69"/>
  <c r="FP7" i="69"/>
  <c r="FO7" i="69"/>
  <c r="C7" i="69"/>
  <c r="LW6" i="69"/>
  <c r="LV6" i="69"/>
  <c r="LU6" i="69"/>
  <c r="LT6" i="69"/>
  <c r="LS6" i="69"/>
  <c r="LR6" i="69"/>
  <c r="LQ6" i="69"/>
  <c r="LP6" i="69"/>
  <c r="LO6" i="69"/>
  <c r="LN6" i="69"/>
  <c r="LM6" i="69"/>
  <c r="LL6" i="69"/>
  <c r="LK6" i="69"/>
  <c r="LJ6" i="69"/>
  <c r="LI6" i="69"/>
  <c r="LH6" i="69"/>
  <c r="LG6" i="69"/>
  <c r="LF6" i="69"/>
  <c r="LE6" i="69"/>
  <c r="LD6" i="69"/>
  <c r="LC6" i="69"/>
  <c r="LB6" i="69"/>
  <c r="LA6" i="69"/>
  <c r="KZ6" i="69"/>
  <c r="KY6" i="69"/>
  <c r="KX6" i="69"/>
  <c r="KW6" i="69"/>
  <c r="KV6" i="69"/>
  <c r="KU6" i="69"/>
  <c r="KT6" i="69"/>
  <c r="KS6" i="69"/>
  <c r="KR6" i="69"/>
  <c r="KQ6" i="69"/>
  <c r="KP6" i="69"/>
  <c r="KO6" i="69"/>
  <c r="KN6" i="69"/>
  <c r="KM6" i="69"/>
  <c r="KL6" i="69"/>
  <c r="KK6" i="69"/>
  <c r="KJ6" i="69"/>
  <c r="KI6" i="69"/>
  <c r="KH6" i="69"/>
  <c r="KG6" i="69"/>
  <c r="KF6" i="69"/>
  <c r="KE6" i="69"/>
  <c r="KD6" i="69"/>
  <c r="KC6" i="69"/>
  <c r="KB6" i="69"/>
  <c r="KA6" i="69"/>
  <c r="JZ6" i="69"/>
  <c r="JY6" i="69"/>
  <c r="JX6" i="69"/>
  <c r="JW6" i="69"/>
  <c r="JV6" i="69"/>
  <c r="JU6" i="69"/>
  <c r="JT6" i="69"/>
  <c r="JS6" i="69"/>
  <c r="JR6" i="69"/>
  <c r="JQ6" i="69"/>
  <c r="JP6" i="69"/>
  <c r="JO6" i="69"/>
  <c r="JN6" i="69"/>
  <c r="JM6" i="69"/>
  <c r="JL6" i="69"/>
  <c r="JK6" i="69"/>
  <c r="JJ6" i="69"/>
  <c r="JI6" i="69"/>
  <c r="JH6" i="69"/>
  <c r="JG6" i="69"/>
  <c r="JF6" i="69"/>
  <c r="JE6" i="69"/>
  <c r="JD6" i="69"/>
  <c r="JC6" i="69"/>
  <c r="JB6" i="69"/>
  <c r="JA6" i="69"/>
  <c r="IZ6" i="69"/>
  <c r="IY6" i="69"/>
  <c r="IX6" i="69"/>
  <c r="IW6" i="69"/>
  <c r="IV6" i="69"/>
  <c r="IU6" i="69"/>
  <c r="IT6" i="69"/>
  <c r="IS6" i="69"/>
  <c r="IR6" i="69"/>
  <c r="IQ6" i="69"/>
  <c r="IP6" i="69"/>
  <c r="IO6" i="69"/>
  <c r="IN6" i="69"/>
  <c r="IM6" i="69"/>
  <c r="IL6" i="69"/>
  <c r="IK6" i="69"/>
  <c r="IJ6" i="69"/>
  <c r="II6" i="69"/>
  <c r="IH6" i="69"/>
  <c r="IG6" i="69"/>
  <c r="IF6" i="69"/>
  <c r="IE6" i="69"/>
  <c r="ID6" i="69"/>
  <c r="IC6" i="69"/>
  <c r="IB6" i="69"/>
  <c r="IA6" i="69"/>
  <c r="HZ6" i="69"/>
  <c r="HY6" i="69"/>
  <c r="HX6" i="69"/>
  <c r="HW6" i="69"/>
  <c r="HV6" i="69"/>
  <c r="HU6" i="69"/>
  <c r="HT6" i="69"/>
  <c r="HS6" i="69"/>
  <c r="HR6" i="69"/>
  <c r="HQ6" i="69"/>
  <c r="HP6" i="69"/>
  <c r="HO6" i="69"/>
  <c r="HN6" i="69"/>
  <c r="HM6" i="69"/>
  <c r="HL6" i="69"/>
  <c r="HK6" i="69"/>
  <c r="HJ6" i="69"/>
  <c r="HI6" i="69"/>
  <c r="HH6" i="69"/>
  <c r="HG6" i="69"/>
  <c r="HF6" i="69"/>
  <c r="HE6" i="69"/>
  <c r="HD6" i="69"/>
  <c r="HC6" i="69"/>
  <c r="HB6" i="69"/>
  <c r="HA6" i="69"/>
  <c r="GZ6" i="69"/>
  <c r="GY6" i="69"/>
  <c r="GX6" i="69"/>
  <c r="GW6" i="69"/>
  <c r="GV6" i="69"/>
  <c r="GU6" i="69"/>
  <c r="GT6" i="69"/>
  <c r="GS6" i="69"/>
  <c r="GR6" i="69"/>
  <c r="GQ6" i="69"/>
  <c r="GP6" i="69"/>
  <c r="GO6" i="69"/>
  <c r="GN6" i="69"/>
  <c r="GM6" i="69"/>
  <c r="GL6" i="69"/>
  <c r="GK6" i="69"/>
  <c r="GJ6" i="69"/>
  <c r="GI6" i="69"/>
  <c r="GH6" i="69"/>
  <c r="GG6" i="69"/>
  <c r="GF6" i="69"/>
  <c r="GE6" i="69"/>
  <c r="GD6" i="69"/>
  <c r="GC6" i="69"/>
  <c r="GB6" i="69"/>
  <c r="GA6" i="69"/>
  <c r="FZ6" i="69"/>
  <c r="FY6" i="69"/>
  <c r="FX6" i="69"/>
  <c r="FW6" i="69"/>
  <c r="FV6" i="69"/>
  <c r="FU6" i="69"/>
  <c r="FT6" i="69"/>
  <c r="FS6" i="69"/>
  <c r="FR6" i="69"/>
  <c r="FQ6" i="69"/>
  <c r="FP6" i="69"/>
  <c r="FO6" i="69"/>
  <c r="C6" i="69"/>
  <c r="LW5" i="69"/>
  <c r="LV5" i="69"/>
  <c r="LU5" i="69"/>
  <c r="LT5" i="69"/>
  <c r="LS5" i="69"/>
  <c r="LR5" i="69"/>
  <c r="LQ5" i="69"/>
  <c r="LP5" i="69"/>
  <c r="LO5" i="69"/>
  <c r="LN5" i="69"/>
  <c r="LM5" i="69"/>
  <c r="LL5" i="69"/>
  <c r="LK5" i="69"/>
  <c r="LJ5" i="69"/>
  <c r="LI5" i="69"/>
  <c r="LH5" i="69"/>
  <c r="LG5" i="69"/>
  <c r="LF5" i="69"/>
  <c r="LE5" i="69"/>
  <c r="LD5" i="69"/>
  <c r="LC5" i="69"/>
  <c r="LB5" i="69"/>
  <c r="LA5" i="69"/>
  <c r="KZ5" i="69"/>
  <c r="KY5" i="69"/>
  <c r="KX5" i="69"/>
  <c r="KW5" i="69"/>
  <c r="KV5" i="69"/>
  <c r="KU5" i="69"/>
  <c r="KT5" i="69"/>
  <c r="KS5" i="69"/>
  <c r="KR5" i="69"/>
  <c r="KQ5" i="69"/>
  <c r="KP5" i="69"/>
  <c r="KO5" i="69"/>
  <c r="KN5" i="69"/>
  <c r="KM5" i="69"/>
  <c r="KL5" i="69"/>
  <c r="KK5" i="69"/>
  <c r="KJ5" i="69"/>
  <c r="KI5" i="69"/>
  <c r="KH5" i="69"/>
  <c r="KG5" i="69"/>
  <c r="KF5" i="69"/>
  <c r="KE5" i="69"/>
  <c r="KD5" i="69"/>
  <c r="KC5" i="69"/>
  <c r="KB5" i="69"/>
  <c r="KA5" i="69"/>
  <c r="JZ5" i="69"/>
  <c r="JY5" i="69"/>
  <c r="JX5" i="69"/>
  <c r="JW5" i="69"/>
  <c r="JV5" i="69"/>
  <c r="JU5" i="69"/>
  <c r="JT5" i="69"/>
  <c r="JS5" i="69"/>
  <c r="JR5" i="69"/>
  <c r="JQ5" i="69"/>
  <c r="JP5" i="69"/>
  <c r="JO5" i="69"/>
  <c r="JN5" i="69"/>
  <c r="JM5" i="69"/>
  <c r="JL5" i="69"/>
  <c r="JK5" i="69"/>
  <c r="JJ5" i="69"/>
  <c r="JI5" i="69"/>
  <c r="JH5" i="69"/>
  <c r="JG5" i="69"/>
  <c r="JF5" i="69"/>
  <c r="JE5" i="69"/>
  <c r="JD5" i="69"/>
  <c r="JC5" i="69"/>
  <c r="JB5" i="69"/>
  <c r="JA5" i="69"/>
  <c r="IZ5" i="69"/>
  <c r="IY5" i="69"/>
  <c r="IX5" i="69"/>
  <c r="IW5" i="69"/>
  <c r="IV5" i="69"/>
  <c r="IU5" i="69"/>
  <c r="IT5" i="69"/>
  <c r="IS5" i="69"/>
  <c r="IR5" i="69"/>
  <c r="IQ5" i="69"/>
  <c r="IP5" i="69"/>
  <c r="IO5" i="69"/>
  <c r="IN5" i="69"/>
  <c r="IM5" i="69"/>
  <c r="IL5" i="69"/>
  <c r="IK5" i="69"/>
  <c r="IJ5" i="69"/>
  <c r="II5" i="69"/>
  <c r="IH5" i="69"/>
  <c r="IG5" i="69"/>
  <c r="IF5" i="69"/>
  <c r="IE5" i="69"/>
  <c r="ID5" i="69"/>
  <c r="IC5" i="69"/>
  <c r="IB5" i="69"/>
  <c r="IA5" i="69"/>
  <c r="HZ5" i="69"/>
  <c r="HY5" i="69"/>
  <c r="HX5" i="69"/>
  <c r="HW5" i="69"/>
  <c r="HV5" i="69"/>
  <c r="HU5" i="69"/>
  <c r="HT5" i="69"/>
  <c r="HS5" i="69"/>
  <c r="HR5" i="69"/>
  <c r="HQ5" i="69"/>
  <c r="HP5" i="69"/>
  <c r="HO5" i="69"/>
  <c r="HN5" i="69"/>
  <c r="HM5" i="69"/>
  <c r="HL5" i="69"/>
  <c r="HK5" i="69"/>
  <c r="HJ5" i="69"/>
  <c r="HI5" i="69"/>
  <c r="HH5" i="69"/>
  <c r="HG5" i="69"/>
  <c r="HF5" i="69"/>
  <c r="HE5" i="69"/>
  <c r="HD5" i="69"/>
  <c r="HC5" i="69"/>
  <c r="HB5" i="69"/>
  <c r="HA5" i="69"/>
  <c r="GZ5" i="69"/>
  <c r="GY5" i="69"/>
  <c r="GX5" i="69"/>
  <c r="GW5" i="69"/>
  <c r="GV5" i="69"/>
  <c r="GU5" i="69"/>
  <c r="GT5" i="69"/>
  <c r="GS5" i="69"/>
  <c r="GR5" i="69"/>
  <c r="GQ5" i="69"/>
  <c r="GP5" i="69"/>
  <c r="GO5" i="69"/>
  <c r="GN5" i="69"/>
  <c r="GM5" i="69"/>
  <c r="GL5" i="69"/>
  <c r="GK5" i="69"/>
  <c r="GJ5" i="69"/>
  <c r="GI5" i="69"/>
  <c r="GH5" i="69"/>
  <c r="GG5" i="69"/>
  <c r="GF5" i="69"/>
  <c r="GE5" i="69"/>
  <c r="GD5" i="69"/>
  <c r="GC5" i="69"/>
  <c r="GB5" i="69"/>
  <c r="GA5" i="69"/>
  <c r="FZ5" i="69"/>
  <c r="FY5" i="69"/>
  <c r="FX5" i="69"/>
  <c r="FW5" i="69"/>
  <c r="FV5" i="69"/>
  <c r="FU5" i="69"/>
  <c r="FT5" i="69"/>
  <c r="FS5" i="69"/>
  <c r="FR5" i="69"/>
  <c r="FQ5" i="69"/>
  <c r="FP5" i="69"/>
  <c r="FO5" i="69"/>
  <c r="C5" i="69"/>
  <c r="LW4" i="69"/>
  <c r="LV4" i="69"/>
  <c r="LU4" i="69"/>
  <c r="LT4" i="69"/>
  <c r="LS4" i="69"/>
  <c r="LR4" i="69"/>
  <c r="LQ4" i="69"/>
  <c r="LP4" i="69"/>
  <c r="LO4" i="69"/>
  <c r="LN4" i="69"/>
  <c r="LM4" i="69"/>
  <c r="LL4" i="69"/>
  <c r="LK4" i="69"/>
  <c r="LJ4" i="69"/>
  <c r="LI4" i="69"/>
  <c r="LH4" i="69"/>
  <c r="LG4" i="69"/>
  <c r="LF4" i="69"/>
  <c r="LE4" i="69"/>
  <c r="LD4" i="69"/>
  <c r="LC4" i="69"/>
  <c r="LB4" i="69"/>
  <c r="LA4" i="69"/>
  <c r="KZ4" i="69"/>
  <c r="KY4" i="69"/>
  <c r="KX4" i="69"/>
  <c r="KW4" i="69"/>
  <c r="KV4" i="69"/>
  <c r="KU4" i="69"/>
  <c r="KT4" i="69"/>
  <c r="KS4" i="69"/>
  <c r="KR4" i="69"/>
  <c r="KQ4" i="69"/>
  <c r="KP4" i="69"/>
  <c r="KO4" i="69"/>
  <c r="KN4" i="69"/>
  <c r="KM4" i="69"/>
  <c r="KL4" i="69"/>
  <c r="KK4" i="69"/>
  <c r="KJ4" i="69"/>
  <c r="KI4" i="69"/>
  <c r="KH4" i="69"/>
  <c r="KG4" i="69"/>
  <c r="KF4" i="69"/>
  <c r="KE4" i="69"/>
  <c r="KD4" i="69"/>
  <c r="KC4" i="69"/>
  <c r="KB4" i="69"/>
  <c r="KA4" i="69"/>
  <c r="JZ4" i="69"/>
  <c r="JY4" i="69"/>
  <c r="JX4" i="69"/>
  <c r="JW4" i="69"/>
  <c r="JV4" i="69"/>
  <c r="JU4" i="69"/>
  <c r="JT4" i="69"/>
  <c r="JS4" i="69"/>
  <c r="JR4" i="69"/>
  <c r="JQ4" i="69"/>
  <c r="JP4" i="69"/>
  <c r="JO4" i="69"/>
  <c r="JN4" i="69"/>
  <c r="JM4" i="69"/>
  <c r="JL4" i="69"/>
  <c r="JK4" i="69"/>
  <c r="JJ4" i="69"/>
  <c r="JI4" i="69"/>
  <c r="JH4" i="69"/>
  <c r="JG4" i="69"/>
  <c r="JF4" i="69"/>
  <c r="JE4" i="69"/>
  <c r="JD4" i="69"/>
  <c r="JC4" i="69"/>
  <c r="JB4" i="69"/>
  <c r="JA4" i="69"/>
  <c r="IZ4" i="69"/>
  <c r="IY4" i="69"/>
  <c r="IX4" i="69"/>
  <c r="IW4" i="69"/>
  <c r="IV4" i="69"/>
  <c r="IU4" i="69"/>
  <c r="IT4" i="69"/>
  <c r="IS4" i="69"/>
  <c r="IR4" i="69"/>
  <c r="IQ4" i="69"/>
  <c r="IP4" i="69"/>
  <c r="IO4" i="69"/>
  <c r="IN4" i="69"/>
  <c r="IM4" i="69"/>
  <c r="IL4" i="69"/>
  <c r="IK4" i="69"/>
  <c r="IJ4" i="69"/>
  <c r="II4" i="69"/>
  <c r="IH4" i="69"/>
  <c r="IG4" i="69"/>
  <c r="IF4" i="69"/>
  <c r="IE4" i="69"/>
  <c r="ID4" i="69"/>
  <c r="IC4" i="69"/>
  <c r="IB4" i="69"/>
  <c r="IA4" i="69"/>
  <c r="HZ4" i="69"/>
  <c r="HY4" i="69"/>
  <c r="HX4" i="69"/>
  <c r="HW4" i="69"/>
  <c r="HV4" i="69"/>
  <c r="HU4" i="69"/>
  <c r="HT4" i="69"/>
  <c r="HS4" i="69"/>
  <c r="HR4" i="69"/>
  <c r="HQ4" i="69"/>
  <c r="HP4" i="69"/>
  <c r="HO4" i="69"/>
  <c r="HN4" i="69"/>
  <c r="HM4" i="69"/>
  <c r="HL4" i="69"/>
  <c r="HK4" i="69"/>
  <c r="HJ4" i="69"/>
  <c r="HI4" i="69"/>
  <c r="HH4" i="69"/>
  <c r="HG4" i="69"/>
  <c r="HF4" i="69"/>
  <c r="HE4" i="69"/>
  <c r="HD4" i="69"/>
  <c r="HC4" i="69"/>
  <c r="HB4" i="69"/>
  <c r="HA4" i="69"/>
  <c r="GZ4" i="69"/>
  <c r="GY4" i="69"/>
  <c r="GX4" i="69"/>
  <c r="GW4" i="69"/>
  <c r="GV4" i="69"/>
  <c r="GU4" i="69"/>
  <c r="GT4" i="69"/>
  <c r="GS4" i="69"/>
  <c r="GR4" i="69"/>
  <c r="GQ4" i="69"/>
  <c r="GP4" i="69"/>
  <c r="GO4" i="69"/>
  <c r="GN4" i="69"/>
  <c r="GM4" i="69"/>
  <c r="GL4" i="69"/>
  <c r="GK4" i="69"/>
  <c r="GJ4" i="69"/>
  <c r="GI4" i="69"/>
  <c r="GH4" i="69"/>
  <c r="GG4" i="69"/>
  <c r="GF4" i="69"/>
  <c r="GE4" i="69"/>
  <c r="GD4" i="69"/>
  <c r="GC4" i="69"/>
  <c r="GB4" i="69"/>
  <c r="GA4" i="69"/>
  <c r="FZ4" i="69"/>
  <c r="FY4" i="69"/>
  <c r="FX4" i="69"/>
  <c r="FW4" i="69"/>
  <c r="FV4" i="69"/>
  <c r="FU4" i="69"/>
  <c r="FT4" i="69"/>
  <c r="FS4" i="69"/>
  <c r="FR4" i="69"/>
  <c r="FQ4" i="69"/>
  <c r="FP4" i="69"/>
  <c r="FO4" i="69"/>
  <c r="C4" i="69"/>
  <c r="FN44" i="68"/>
  <c r="K176" i="41" s="1"/>
  <c r="FM44" i="68"/>
  <c r="K175" i="41" s="1"/>
  <c r="FL44" i="68"/>
  <c r="K174" i="41" s="1"/>
  <c r="FK44" i="68"/>
  <c r="K173" i="41" s="1"/>
  <c r="FJ44" i="68"/>
  <c r="K172" i="41" s="1"/>
  <c r="FI44" i="68"/>
  <c r="K171" i="41" s="1"/>
  <c r="FH44" i="68"/>
  <c r="K170" i="41" s="1"/>
  <c r="FG44" i="68"/>
  <c r="K169" i="41" s="1"/>
  <c r="FF44" i="68"/>
  <c r="K168" i="41" s="1"/>
  <c r="FE44" i="68"/>
  <c r="K167" i="41" s="1"/>
  <c r="FD44" i="68"/>
  <c r="K166" i="41" s="1"/>
  <c r="FC44" i="68"/>
  <c r="K165" i="41" s="1"/>
  <c r="FB44" i="68"/>
  <c r="K164" i="41" s="1"/>
  <c r="FA44" i="68"/>
  <c r="K163" i="41" s="1"/>
  <c r="EZ44" i="68"/>
  <c r="K162" i="41" s="1"/>
  <c r="EY44" i="68"/>
  <c r="K161" i="41" s="1"/>
  <c r="EX44" i="68"/>
  <c r="K160" i="41" s="1"/>
  <c r="EW44" i="68"/>
  <c r="K159" i="41" s="1"/>
  <c r="EV44" i="68"/>
  <c r="K158" i="41" s="1"/>
  <c r="EU44" i="68"/>
  <c r="K157" i="41" s="1"/>
  <c r="ET44" i="68"/>
  <c r="K156" i="41" s="1"/>
  <c r="ES44" i="68"/>
  <c r="K155" i="41" s="1"/>
  <c r="ER44" i="68"/>
  <c r="K154" i="41" s="1"/>
  <c r="EQ44" i="68"/>
  <c r="K153" i="41" s="1"/>
  <c r="EP44" i="68"/>
  <c r="K152" i="41" s="1"/>
  <c r="EO44" i="68"/>
  <c r="K151" i="41" s="1"/>
  <c r="EN44" i="68"/>
  <c r="K150" i="41" s="1"/>
  <c r="EM44" i="68"/>
  <c r="K149" i="41" s="1"/>
  <c r="EL44" i="68"/>
  <c r="K148" i="41" s="1"/>
  <c r="EK44" i="68"/>
  <c r="K147" i="41" s="1"/>
  <c r="EJ44" i="68"/>
  <c r="K146" i="41" s="1"/>
  <c r="EI44" i="68"/>
  <c r="K145" i="41" s="1"/>
  <c r="EH44" i="68"/>
  <c r="K144" i="41" s="1"/>
  <c r="EG44" i="68"/>
  <c r="K143" i="41" s="1"/>
  <c r="EF44" i="68"/>
  <c r="K142" i="41" s="1"/>
  <c r="EE44" i="68"/>
  <c r="K141" i="41" s="1"/>
  <c r="ED44" i="68"/>
  <c r="K140" i="41" s="1"/>
  <c r="EC44" i="68"/>
  <c r="K139" i="41" s="1"/>
  <c r="EB44" i="68"/>
  <c r="K138" i="41" s="1"/>
  <c r="EA44" i="68"/>
  <c r="K137" i="41" s="1"/>
  <c r="DZ44" i="68"/>
  <c r="K136" i="41" s="1"/>
  <c r="DY44" i="68"/>
  <c r="K135" i="41" s="1"/>
  <c r="DX44" i="68"/>
  <c r="K134" i="41" s="1"/>
  <c r="DW44" i="68"/>
  <c r="K133" i="41" s="1"/>
  <c r="DV44" i="68"/>
  <c r="K132" i="41" s="1"/>
  <c r="DU44" i="68"/>
  <c r="K131" i="41" s="1"/>
  <c r="DT44" i="68"/>
  <c r="K130" i="41" s="1"/>
  <c r="DS44" i="68"/>
  <c r="K129" i="41" s="1"/>
  <c r="DR44" i="68"/>
  <c r="K128" i="41" s="1"/>
  <c r="DQ44" i="68"/>
  <c r="K127" i="41" s="1"/>
  <c r="DP44" i="68"/>
  <c r="K126" i="41" s="1"/>
  <c r="DO44" i="68"/>
  <c r="K125" i="41" s="1"/>
  <c r="DN44" i="68"/>
  <c r="K124" i="41" s="1"/>
  <c r="DM44" i="68"/>
  <c r="K123" i="41" s="1"/>
  <c r="DL44" i="68"/>
  <c r="K122" i="41" s="1"/>
  <c r="DK44" i="68"/>
  <c r="K121" i="41" s="1"/>
  <c r="DJ44" i="68"/>
  <c r="K120" i="41" s="1"/>
  <c r="DI44" i="68"/>
  <c r="K119" i="41" s="1"/>
  <c r="DH44" i="68"/>
  <c r="K118" i="41" s="1"/>
  <c r="DG44" i="68"/>
  <c r="K117" i="41" s="1"/>
  <c r="DF44" i="68"/>
  <c r="K116" i="41" s="1"/>
  <c r="DE44" i="68"/>
  <c r="K115" i="41" s="1"/>
  <c r="DD44" i="68"/>
  <c r="K114" i="41" s="1"/>
  <c r="DC44" i="68"/>
  <c r="K113" i="41" s="1"/>
  <c r="DB44" i="68"/>
  <c r="K112" i="41" s="1"/>
  <c r="DA44" i="68"/>
  <c r="K111" i="41" s="1"/>
  <c r="CZ44" i="68"/>
  <c r="K110" i="41" s="1"/>
  <c r="CY44" i="68"/>
  <c r="K109" i="41" s="1"/>
  <c r="CX44" i="68"/>
  <c r="K108" i="41" s="1"/>
  <c r="CW44" i="68"/>
  <c r="K107" i="41" s="1"/>
  <c r="CV44" i="68"/>
  <c r="K106" i="41" s="1"/>
  <c r="CU44" i="68"/>
  <c r="K105" i="41" s="1"/>
  <c r="CT44" i="68"/>
  <c r="K104" i="41" s="1"/>
  <c r="CS44" i="68"/>
  <c r="K103" i="41" s="1"/>
  <c r="CR44" i="68"/>
  <c r="K102" i="41" s="1"/>
  <c r="CQ44" i="68"/>
  <c r="K101" i="41" s="1"/>
  <c r="CP44" i="68"/>
  <c r="K100" i="41" s="1"/>
  <c r="CO44" i="68"/>
  <c r="K99" i="41" s="1"/>
  <c r="CN44" i="68"/>
  <c r="K98" i="41" s="1"/>
  <c r="CM44" i="68"/>
  <c r="K97" i="41" s="1"/>
  <c r="CL44" i="68"/>
  <c r="K96" i="41" s="1"/>
  <c r="CK44" i="68"/>
  <c r="K95" i="41" s="1"/>
  <c r="CJ44" i="68"/>
  <c r="K94" i="41" s="1"/>
  <c r="CI44" i="68"/>
  <c r="K93" i="41" s="1"/>
  <c r="CH44" i="68"/>
  <c r="K92" i="41" s="1"/>
  <c r="CG44" i="68"/>
  <c r="K91" i="41" s="1"/>
  <c r="CF44" i="68"/>
  <c r="K90" i="41" s="1"/>
  <c r="CE44" i="68"/>
  <c r="K89" i="41" s="1"/>
  <c r="CD44" i="68"/>
  <c r="K88" i="41" s="1"/>
  <c r="CC44" i="68"/>
  <c r="K87" i="41" s="1"/>
  <c r="CB44" i="68"/>
  <c r="K86" i="41" s="1"/>
  <c r="CA44" i="68"/>
  <c r="K85" i="41" s="1"/>
  <c r="BZ44" i="68"/>
  <c r="K84" i="41" s="1"/>
  <c r="BY44" i="68"/>
  <c r="K83" i="41" s="1"/>
  <c r="BX44" i="68"/>
  <c r="K82" i="41" s="1"/>
  <c r="BW44" i="68"/>
  <c r="K81" i="41" s="1"/>
  <c r="BV44" i="68"/>
  <c r="K80" i="41" s="1"/>
  <c r="BU44" i="68"/>
  <c r="K79" i="41" s="1"/>
  <c r="BT44" i="68"/>
  <c r="K78" i="41" s="1"/>
  <c r="BS44" i="68"/>
  <c r="K77" i="41" s="1"/>
  <c r="BR44" i="68"/>
  <c r="K76" i="41" s="1"/>
  <c r="BQ44" i="68"/>
  <c r="K75" i="41" s="1"/>
  <c r="BP44" i="68"/>
  <c r="K74" i="41" s="1"/>
  <c r="BO44" i="68"/>
  <c r="K73" i="41" s="1"/>
  <c r="BN44" i="68"/>
  <c r="K72" i="41" s="1"/>
  <c r="BM44" i="68"/>
  <c r="K71" i="41" s="1"/>
  <c r="BL44" i="68"/>
  <c r="K70" i="41" s="1"/>
  <c r="BK44" i="68"/>
  <c r="K69" i="41" s="1"/>
  <c r="BJ44" i="68"/>
  <c r="K68" i="41" s="1"/>
  <c r="BI44" i="68"/>
  <c r="K67" i="41" s="1"/>
  <c r="BH44" i="68"/>
  <c r="K66" i="41" s="1"/>
  <c r="BG44" i="68"/>
  <c r="K65" i="41" s="1"/>
  <c r="BF44" i="68"/>
  <c r="K64" i="41" s="1"/>
  <c r="BE44" i="68"/>
  <c r="K63" i="41" s="1"/>
  <c r="BD44" i="68"/>
  <c r="K62" i="41" s="1"/>
  <c r="BC44" i="68"/>
  <c r="K61" i="41" s="1"/>
  <c r="BB44" i="68"/>
  <c r="K60" i="41" s="1"/>
  <c r="BA44" i="68"/>
  <c r="K59" i="41" s="1"/>
  <c r="AZ44" i="68"/>
  <c r="K58" i="41" s="1"/>
  <c r="AY44" i="68"/>
  <c r="K57" i="41" s="1"/>
  <c r="AX44" i="68"/>
  <c r="K56" i="41" s="1"/>
  <c r="AW44" i="68"/>
  <c r="K55" i="41" s="1"/>
  <c r="AV44" i="68"/>
  <c r="K54" i="41" s="1"/>
  <c r="AU44" i="68"/>
  <c r="K53" i="41" s="1"/>
  <c r="AT44" i="68"/>
  <c r="K52" i="41" s="1"/>
  <c r="AS44" i="68"/>
  <c r="K51" i="41" s="1"/>
  <c r="AR44" i="68"/>
  <c r="K50" i="41" s="1"/>
  <c r="AQ44" i="68"/>
  <c r="K49" i="41" s="1"/>
  <c r="AP44" i="68"/>
  <c r="K48" i="41" s="1"/>
  <c r="AO44" i="68"/>
  <c r="K47" i="41" s="1"/>
  <c r="AN44" i="68"/>
  <c r="K46" i="41" s="1"/>
  <c r="AM44" i="68"/>
  <c r="K45" i="41" s="1"/>
  <c r="AL44" i="68"/>
  <c r="K44" i="41" s="1"/>
  <c r="AK44" i="68"/>
  <c r="K43" i="41" s="1"/>
  <c r="AJ44" i="68"/>
  <c r="K42" i="41" s="1"/>
  <c r="AI44" i="68"/>
  <c r="K41" i="41" s="1"/>
  <c r="AH44" i="68"/>
  <c r="K40" i="41" s="1"/>
  <c r="AG44" i="68"/>
  <c r="K39" i="41" s="1"/>
  <c r="AF44" i="68"/>
  <c r="K38" i="41" s="1"/>
  <c r="AE44" i="68"/>
  <c r="K37" i="41" s="1"/>
  <c r="AD44" i="68"/>
  <c r="K36" i="41" s="1"/>
  <c r="AC44" i="68"/>
  <c r="K35" i="41" s="1"/>
  <c r="AB44" i="68"/>
  <c r="K34" i="41" s="1"/>
  <c r="AA44" i="68"/>
  <c r="K33" i="41" s="1"/>
  <c r="Z44" i="68"/>
  <c r="K32" i="41" s="1"/>
  <c r="Y44" i="68"/>
  <c r="K31" i="41" s="1"/>
  <c r="X44" i="68"/>
  <c r="K30" i="41" s="1"/>
  <c r="W44" i="68"/>
  <c r="K29" i="41" s="1"/>
  <c r="V44" i="68"/>
  <c r="K28" i="41" s="1"/>
  <c r="U44" i="68"/>
  <c r="K27" i="41" s="1"/>
  <c r="T44" i="68"/>
  <c r="K26" i="41" s="1"/>
  <c r="S44" i="68"/>
  <c r="K25" i="41" s="1"/>
  <c r="R44" i="68"/>
  <c r="K24" i="41" s="1"/>
  <c r="Q44" i="68"/>
  <c r="K23" i="41" s="1"/>
  <c r="P44" i="68"/>
  <c r="K22" i="41" s="1"/>
  <c r="O44" i="68"/>
  <c r="K21" i="41" s="1"/>
  <c r="N44" i="68"/>
  <c r="K20" i="41" s="1"/>
  <c r="M44" i="68"/>
  <c r="K19" i="41" s="1"/>
  <c r="L44" i="68"/>
  <c r="K18" i="41" s="1"/>
  <c r="K44" i="68"/>
  <c r="K17" i="41" s="1"/>
  <c r="J44" i="68"/>
  <c r="K16" i="41" s="1"/>
  <c r="I44" i="68"/>
  <c r="K15" i="41" s="1"/>
  <c r="H44" i="68"/>
  <c r="K14" i="41" s="1"/>
  <c r="G44" i="68"/>
  <c r="K13" i="41" s="1"/>
  <c r="F44" i="68"/>
  <c r="K12" i="41" s="1"/>
  <c r="E44" i="68"/>
  <c r="D44" i="68"/>
  <c r="C44" i="68"/>
  <c r="F29" i="68"/>
  <c r="E29" i="68"/>
  <c r="K10" i="41" s="1"/>
  <c r="D29" i="68"/>
  <c r="B29" i="68"/>
  <c r="LW28" i="68"/>
  <c r="LV28" i="68"/>
  <c r="LU28" i="68"/>
  <c r="LT28" i="68"/>
  <c r="LS28" i="68"/>
  <c r="LR28" i="68"/>
  <c r="LQ28" i="68"/>
  <c r="LP28" i="68"/>
  <c r="LO28" i="68"/>
  <c r="LN28" i="68"/>
  <c r="LM28" i="68"/>
  <c r="LL28" i="68"/>
  <c r="LK28" i="68"/>
  <c r="LJ28" i="68"/>
  <c r="LI28" i="68"/>
  <c r="LH28" i="68"/>
  <c r="LG28" i="68"/>
  <c r="LF28" i="68"/>
  <c r="LE28" i="68"/>
  <c r="LD28" i="68"/>
  <c r="LC28" i="68"/>
  <c r="LB28" i="68"/>
  <c r="LA28" i="68"/>
  <c r="KZ28" i="68"/>
  <c r="KY28" i="68"/>
  <c r="KX28" i="68"/>
  <c r="KW28" i="68"/>
  <c r="KV28" i="68"/>
  <c r="KU28" i="68"/>
  <c r="KT28" i="68"/>
  <c r="KS28" i="68"/>
  <c r="KR28" i="68"/>
  <c r="KQ28" i="68"/>
  <c r="KP28" i="68"/>
  <c r="KO28" i="68"/>
  <c r="KN28" i="68"/>
  <c r="KM28" i="68"/>
  <c r="KL28" i="68"/>
  <c r="KK28" i="68"/>
  <c r="KJ28" i="68"/>
  <c r="KI28" i="68"/>
  <c r="KH28" i="68"/>
  <c r="KG28" i="68"/>
  <c r="KF28" i="68"/>
  <c r="KE28" i="68"/>
  <c r="KD28" i="68"/>
  <c r="KC28" i="68"/>
  <c r="KB28" i="68"/>
  <c r="KA28" i="68"/>
  <c r="JZ28" i="68"/>
  <c r="JY28" i="68"/>
  <c r="JX28" i="68"/>
  <c r="JW28" i="68"/>
  <c r="JV28" i="68"/>
  <c r="JU28" i="68"/>
  <c r="JT28" i="68"/>
  <c r="JS28" i="68"/>
  <c r="JR28" i="68"/>
  <c r="JQ28" i="68"/>
  <c r="JP28" i="68"/>
  <c r="JO28" i="68"/>
  <c r="JN28" i="68"/>
  <c r="JM28" i="68"/>
  <c r="JL28" i="68"/>
  <c r="JK28" i="68"/>
  <c r="JJ28" i="68"/>
  <c r="JI28" i="68"/>
  <c r="JH28" i="68"/>
  <c r="JG28" i="68"/>
  <c r="JF28" i="68"/>
  <c r="JE28" i="68"/>
  <c r="JD28" i="68"/>
  <c r="JC28" i="68"/>
  <c r="JB28" i="68"/>
  <c r="JA28" i="68"/>
  <c r="IZ28" i="68"/>
  <c r="IY28" i="68"/>
  <c r="IX28" i="68"/>
  <c r="IW28" i="68"/>
  <c r="IV28" i="68"/>
  <c r="IU28" i="68"/>
  <c r="IT28" i="68"/>
  <c r="IS28" i="68"/>
  <c r="IR28" i="68"/>
  <c r="IQ28" i="68"/>
  <c r="IP28" i="68"/>
  <c r="IO28" i="68"/>
  <c r="IN28" i="68"/>
  <c r="IM28" i="68"/>
  <c r="IL28" i="68"/>
  <c r="IK28" i="68"/>
  <c r="IJ28" i="68"/>
  <c r="II28" i="68"/>
  <c r="IH28" i="68"/>
  <c r="IG28" i="68"/>
  <c r="IF28" i="68"/>
  <c r="IE28" i="68"/>
  <c r="ID28" i="68"/>
  <c r="IC28" i="68"/>
  <c r="IB28" i="68"/>
  <c r="IA28" i="68"/>
  <c r="HZ28" i="68"/>
  <c r="HY28" i="68"/>
  <c r="HX28" i="68"/>
  <c r="HW28" i="68"/>
  <c r="HV28" i="68"/>
  <c r="HU28" i="68"/>
  <c r="HT28" i="68"/>
  <c r="HS28" i="68"/>
  <c r="HR28" i="68"/>
  <c r="HQ28" i="68"/>
  <c r="HP28" i="68"/>
  <c r="HO28" i="68"/>
  <c r="HN28" i="68"/>
  <c r="HM28" i="68"/>
  <c r="HL28" i="68"/>
  <c r="HK28" i="68"/>
  <c r="HJ28" i="68"/>
  <c r="HI28" i="68"/>
  <c r="HH28" i="68"/>
  <c r="HG28" i="68"/>
  <c r="HF28" i="68"/>
  <c r="HE28" i="68"/>
  <c r="HD28" i="68"/>
  <c r="HC28" i="68"/>
  <c r="HB28" i="68"/>
  <c r="HA28" i="68"/>
  <c r="GZ28" i="68"/>
  <c r="GY28" i="68"/>
  <c r="GX28" i="68"/>
  <c r="GW28" i="68"/>
  <c r="GV28" i="68"/>
  <c r="GU28" i="68"/>
  <c r="GT28" i="68"/>
  <c r="GS28" i="68"/>
  <c r="GR28" i="68"/>
  <c r="GQ28" i="68"/>
  <c r="GP28" i="68"/>
  <c r="GO28" i="68"/>
  <c r="GN28" i="68"/>
  <c r="GM28" i="68"/>
  <c r="GL28" i="68"/>
  <c r="GK28" i="68"/>
  <c r="GJ28" i="68"/>
  <c r="GI28" i="68"/>
  <c r="GH28" i="68"/>
  <c r="GG28" i="68"/>
  <c r="GF28" i="68"/>
  <c r="GE28" i="68"/>
  <c r="GD28" i="68"/>
  <c r="GC28" i="68"/>
  <c r="GB28" i="68"/>
  <c r="GA28" i="68"/>
  <c r="FZ28" i="68"/>
  <c r="FY28" i="68"/>
  <c r="FX28" i="68"/>
  <c r="FW28" i="68"/>
  <c r="FV28" i="68"/>
  <c r="FU28" i="68"/>
  <c r="FT28" i="68"/>
  <c r="FS28" i="68"/>
  <c r="FR28" i="68"/>
  <c r="FQ28" i="68"/>
  <c r="FP28" i="68"/>
  <c r="FO28" i="68"/>
  <c r="C28" i="68"/>
  <c r="LW27" i="68"/>
  <c r="LV27" i="68"/>
  <c r="LU27" i="68"/>
  <c r="LT27" i="68"/>
  <c r="LS27" i="68"/>
  <c r="LR27" i="68"/>
  <c r="LQ27" i="68"/>
  <c r="LP27" i="68"/>
  <c r="LO27" i="68"/>
  <c r="LN27" i="68"/>
  <c r="LM27" i="68"/>
  <c r="LL27" i="68"/>
  <c r="LK27" i="68"/>
  <c r="LJ27" i="68"/>
  <c r="LI27" i="68"/>
  <c r="LH27" i="68"/>
  <c r="LG27" i="68"/>
  <c r="LF27" i="68"/>
  <c r="LE27" i="68"/>
  <c r="LD27" i="68"/>
  <c r="LC27" i="68"/>
  <c r="LB27" i="68"/>
  <c r="LA27" i="68"/>
  <c r="KZ27" i="68"/>
  <c r="KY27" i="68"/>
  <c r="KX27" i="68"/>
  <c r="KW27" i="68"/>
  <c r="KV27" i="68"/>
  <c r="KU27" i="68"/>
  <c r="KT27" i="68"/>
  <c r="KS27" i="68"/>
  <c r="KR27" i="68"/>
  <c r="KQ27" i="68"/>
  <c r="KP27" i="68"/>
  <c r="KO27" i="68"/>
  <c r="KN27" i="68"/>
  <c r="KM27" i="68"/>
  <c r="KL27" i="68"/>
  <c r="KK27" i="68"/>
  <c r="KJ27" i="68"/>
  <c r="KI27" i="68"/>
  <c r="KH27" i="68"/>
  <c r="KG27" i="68"/>
  <c r="KF27" i="68"/>
  <c r="KE27" i="68"/>
  <c r="KD27" i="68"/>
  <c r="KC27" i="68"/>
  <c r="KB27" i="68"/>
  <c r="KA27" i="68"/>
  <c r="JZ27" i="68"/>
  <c r="JY27" i="68"/>
  <c r="JX27" i="68"/>
  <c r="JW27" i="68"/>
  <c r="JV27" i="68"/>
  <c r="JU27" i="68"/>
  <c r="JT27" i="68"/>
  <c r="JS27" i="68"/>
  <c r="JR27" i="68"/>
  <c r="JQ27" i="68"/>
  <c r="JP27" i="68"/>
  <c r="JO27" i="68"/>
  <c r="JN27" i="68"/>
  <c r="JM27" i="68"/>
  <c r="JL27" i="68"/>
  <c r="JK27" i="68"/>
  <c r="JJ27" i="68"/>
  <c r="JI27" i="68"/>
  <c r="JH27" i="68"/>
  <c r="JG27" i="68"/>
  <c r="JF27" i="68"/>
  <c r="JE27" i="68"/>
  <c r="JD27" i="68"/>
  <c r="JC27" i="68"/>
  <c r="JB27" i="68"/>
  <c r="JA27" i="68"/>
  <c r="IZ27" i="68"/>
  <c r="IY27" i="68"/>
  <c r="IX27" i="68"/>
  <c r="IW27" i="68"/>
  <c r="IV27" i="68"/>
  <c r="IU27" i="68"/>
  <c r="IT27" i="68"/>
  <c r="IS27" i="68"/>
  <c r="IR27" i="68"/>
  <c r="IQ27" i="68"/>
  <c r="IP27" i="68"/>
  <c r="IO27" i="68"/>
  <c r="IN27" i="68"/>
  <c r="IM27" i="68"/>
  <c r="IL27" i="68"/>
  <c r="IK27" i="68"/>
  <c r="IJ27" i="68"/>
  <c r="II27" i="68"/>
  <c r="IH27" i="68"/>
  <c r="IG27" i="68"/>
  <c r="IF27" i="68"/>
  <c r="IE27" i="68"/>
  <c r="ID27" i="68"/>
  <c r="IC27" i="68"/>
  <c r="IB27" i="68"/>
  <c r="IA27" i="68"/>
  <c r="HZ27" i="68"/>
  <c r="HY27" i="68"/>
  <c r="HX27" i="68"/>
  <c r="HW27" i="68"/>
  <c r="HV27" i="68"/>
  <c r="HU27" i="68"/>
  <c r="HT27" i="68"/>
  <c r="HS27" i="68"/>
  <c r="HR27" i="68"/>
  <c r="HQ27" i="68"/>
  <c r="HP27" i="68"/>
  <c r="HO27" i="68"/>
  <c r="HN27" i="68"/>
  <c r="HM27" i="68"/>
  <c r="HL27" i="68"/>
  <c r="HK27" i="68"/>
  <c r="HJ27" i="68"/>
  <c r="HI27" i="68"/>
  <c r="HH27" i="68"/>
  <c r="HG27" i="68"/>
  <c r="HF27" i="68"/>
  <c r="HE27" i="68"/>
  <c r="HD27" i="68"/>
  <c r="HC27" i="68"/>
  <c r="HB27" i="68"/>
  <c r="HA27" i="68"/>
  <c r="GZ27" i="68"/>
  <c r="GY27" i="68"/>
  <c r="GX27" i="68"/>
  <c r="GW27" i="68"/>
  <c r="GV27" i="68"/>
  <c r="GU27" i="68"/>
  <c r="GT27" i="68"/>
  <c r="GS27" i="68"/>
  <c r="GR27" i="68"/>
  <c r="GQ27" i="68"/>
  <c r="GP27" i="68"/>
  <c r="GO27" i="68"/>
  <c r="GN27" i="68"/>
  <c r="GM27" i="68"/>
  <c r="GL27" i="68"/>
  <c r="GK27" i="68"/>
  <c r="GJ27" i="68"/>
  <c r="GI27" i="68"/>
  <c r="GH27" i="68"/>
  <c r="GG27" i="68"/>
  <c r="GF27" i="68"/>
  <c r="GE27" i="68"/>
  <c r="GD27" i="68"/>
  <c r="GC27" i="68"/>
  <c r="GB27" i="68"/>
  <c r="GA27" i="68"/>
  <c r="FZ27" i="68"/>
  <c r="FY27" i="68"/>
  <c r="FX27" i="68"/>
  <c r="FW27" i="68"/>
  <c r="FV27" i="68"/>
  <c r="FU27" i="68"/>
  <c r="FT27" i="68"/>
  <c r="FS27" i="68"/>
  <c r="FR27" i="68"/>
  <c r="FQ27" i="68"/>
  <c r="FP27" i="68"/>
  <c r="FO27" i="68"/>
  <c r="C27" i="68"/>
  <c r="LW26" i="68"/>
  <c r="LV26" i="68"/>
  <c r="LU26" i="68"/>
  <c r="LT26" i="68"/>
  <c r="LS26" i="68"/>
  <c r="LR26" i="68"/>
  <c r="LQ26" i="68"/>
  <c r="LP26" i="68"/>
  <c r="LO26" i="68"/>
  <c r="LN26" i="68"/>
  <c r="LM26" i="68"/>
  <c r="LL26" i="68"/>
  <c r="LK26" i="68"/>
  <c r="LJ26" i="68"/>
  <c r="LI26" i="68"/>
  <c r="LH26" i="68"/>
  <c r="LG26" i="68"/>
  <c r="LF26" i="68"/>
  <c r="LE26" i="68"/>
  <c r="LD26" i="68"/>
  <c r="LC26" i="68"/>
  <c r="LB26" i="68"/>
  <c r="LA26" i="68"/>
  <c r="KZ26" i="68"/>
  <c r="KY26" i="68"/>
  <c r="KX26" i="68"/>
  <c r="KW26" i="68"/>
  <c r="KV26" i="68"/>
  <c r="KU26" i="68"/>
  <c r="KT26" i="68"/>
  <c r="KS26" i="68"/>
  <c r="KR26" i="68"/>
  <c r="KQ26" i="68"/>
  <c r="KP26" i="68"/>
  <c r="KO26" i="68"/>
  <c r="KN26" i="68"/>
  <c r="KM26" i="68"/>
  <c r="KL26" i="68"/>
  <c r="KK26" i="68"/>
  <c r="KJ26" i="68"/>
  <c r="KI26" i="68"/>
  <c r="KH26" i="68"/>
  <c r="KG26" i="68"/>
  <c r="KF26" i="68"/>
  <c r="KE26" i="68"/>
  <c r="KD26" i="68"/>
  <c r="KC26" i="68"/>
  <c r="KB26" i="68"/>
  <c r="KA26" i="68"/>
  <c r="JZ26" i="68"/>
  <c r="JY26" i="68"/>
  <c r="JX26" i="68"/>
  <c r="JW26" i="68"/>
  <c r="JV26" i="68"/>
  <c r="JU26" i="68"/>
  <c r="JT26" i="68"/>
  <c r="JS26" i="68"/>
  <c r="JR26" i="68"/>
  <c r="JQ26" i="68"/>
  <c r="JP26" i="68"/>
  <c r="JO26" i="68"/>
  <c r="JN26" i="68"/>
  <c r="JM26" i="68"/>
  <c r="JL26" i="68"/>
  <c r="JK26" i="68"/>
  <c r="JJ26" i="68"/>
  <c r="JI26" i="68"/>
  <c r="JH26" i="68"/>
  <c r="JG26" i="68"/>
  <c r="JF26" i="68"/>
  <c r="JE26" i="68"/>
  <c r="JD26" i="68"/>
  <c r="JC26" i="68"/>
  <c r="JB26" i="68"/>
  <c r="JA26" i="68"/>
  <c r="IZ26" i="68"/>
  <c r="IY26" i="68"/>
  <c r="IX26" i="68"/>
  <c r="IW26" i="68"/>
  <c r="IV26" i="68"/>
  <c r="IU26" i="68"/>
  <c r="IT26" i="68"/>
  <c r="IS26" i="68"/>
  <c r="IR26" i="68"/>
  <c r="IQ26" i="68"/>
  <c r="IP26" i="68"/>
  <c r="IO26" i="68"/>
  <c r="IN26" i="68"/>
  <c r="IM26" i="68"/>
  <c r="IL26" i="68"/>
  <c r="IK26" i="68"/>
  <c r="IJ26" i="68"/>
  <c r="II26" i="68"/>
  <c r="IH26" i="68"/>
  <c r="IG26" i="68"/>
  <c r="IF26" i="68"/>
  <c r="IE26" i="68"/>
  <c r="ID26" i="68"/>
  <c r="IC26" i="68"/>
  <c r="IB26" i="68"/>
  <c r="IA26" i="68"/>
  <c r="HZ26" i="68"/>
  <c r="HY26" i="68"/>
  <c r="HX26" i="68"/>
  <c r="HW26" i="68"/>
  <c r="HV26" i="68"/>
  <c r="HU26" i="68"/>
  <c r="HT26" i="68"/>
  <c r="HS26" i="68"/>
  <c r="HR26" i="68"/>
  <c r="HQ26" i="68"/>
  <c r="HP26" i="68"/>
  <c r="HO26" i="68"/>
  <c r="HN26" i="68"/>
  <c r="HM26" i="68"/>
  <c r="HL26" i="68"/>
  <c r="HK26" i="68"/>
  <c r="HJ26" i="68"/>
  <c r="HI26" i="68"/>
  <c r="HH26" i="68"/>
  <c r="HG26" i="68"/>
  <c r="HF26" i="68"/>
  <c r="HE26" i="68"/>
  <c r="HD26" i="68"/>
  <c r="HC26" i="68"/>
  <c r="HB26" i="68"/>
  <c r="HA26" i="68"/>
  <c r="GZ26" i="68"/>
  <c r="GY26" i="68"/>
  <c r="GX26" i="68"/>
  <c r="GW26" i="68"/>
  <c r="GV26" i="68"/>
  <c r="GU26" i="68"/>
  <c r="GT26" i="68"/>
  <c r="GS26" i="68"/>
  <c r="GR26" i="68"/>
  <c r="GQ26" i="68"/>
  <c r="GP26" i="68"/>
  <c r="GO26" i="68"/>
  <c r="GN26" i="68"/>
  <c r="GM26" i="68"/>
  <c r="GL26" i="68"/>
  <c r="GK26" i="68"/>
  <c r="GJ26" i="68"/>
  <c r="GI26" i="68"/>
  <c r="GH26" i="68"/>
  <c r="GG26" i="68"/>
  <c r="GF26" i="68"/>
  <c r="GE26" i="68"/>
  <c r="GD26" i="68"/>
  <c r="GC26" i="68"/>
  <c r="GB26" i="68"/>
  <c r="GA26" i="68"/>
  <c r="FZ26" i="68"/>
  <c r="FY26" i="68"/>
  <c r="FX26" i="68"/>
  <c r="FW26" i="68"/>
  <c r="FV26" i="68"/>
  <c r="FU26" i="68"/>
  <c r="FT26" i="68"/>
  <c r="FS26" i="68"/>
  <c r="FR26" i="68"/>
  <c r="FQ26" i="68"/>
  <c r="FP26" i="68"/>
  <c r="FO26" i="68"/>
  <c r="C26" i="68"/>
  <c r="LW25" i="68"/>
  <c r="LV25" i="68"/>
  <c r="LU25" i="68"/>
  <c r="LT25" i="68"/>
  <c r="LS25" i="68"/>
  <c r="LR25" i="68"/>
  <c r="LQ25" i="68"/>
  <c r="LP25" i="68"/>
  <c r="LO25" i="68"/>
  <c r="LN25" i="68"/>
  <c r="LM25" i="68"/>
  <c r="LL25" i="68"/>
  <c r="LK25" i="68"/>
  <c r="LJ25" i="68"/>
  <c r="LI25" i="68"/>
  <c r="LH25" i="68"/>
  <c r="LG25" i="68"/>
  <c r="LF25" i="68"/>
  <c r="LE25" i="68"/>
  <c r="LD25" i="68"/>
  <c r="LC25" i="68"/>
  <c r="LB25" i="68"/>
  <c r="LA25" i="68"/>
  <c r="KZ25" i="68"/>
  <c r="KY25" i="68"/>
  <c r="KX25" i="68"/>
  <c r="KW25" i="68"/>
  <c r="KV25" i="68"/>
  <c r="KU25" i="68"/>
  <c r="KT25" i="68"/>
  <c r="KS25" i="68"/>
  <c r="KR25" i="68"/>
  <c r="KQ25" i="68"/>
  <c r="KP25" i="68"/>
  <c r="KO25" i="68"/>
  <c r="KN25" i="68"/>
  <c r="KM25" i="68"/>
  <c r="KL25" i="68"/>
  <c r="KK25" i="68"/>
  <c r="KJ25" i="68"/>
  <c r="KI25" i="68"/>
  <c r="KH25" i="68"/>
  <c r="KG25" i="68"/>
  <c r="KF25" i="68"/>
  <c r="KE25" i="68"/>
  <c r="KD25" i="68"/>
  <c r="KC25" i="68"/>
  <c r="KB25" i="68"/>
  <c r="KA25" i="68"/>
  <c r="JZ25" i="68"/>
  <c r="JY25" i="68"/>
  <c r="JX25" i="68"/>
  <c r="JW25" i="68"/>
  <c r="JV25" i="68"/>
  <c r="JU25" i="68"/>
  <c r="JT25" i="68"/>
  <c r="JS25" i="68"/>
  <c r="JR25" i="68"/>
  <c r="JQ25" i="68"/>
  <c r="JP25" i="68"/>
  <c r="JO25" i="68"/>
  <c r="JN25" i="68"/>
  <c r="JM25" i="68"/>
  <c r="JL25" i="68"/>
  <c r="JK25" i="68"/>
  <c r="JJ25" i="68"/>
  <c r="JI25" i="68"/>
  <c r="JH25" i="68"/>
  <c r="JG25" i="68"/>
  <c r="JF25" i="68"/>
  <c r="JE25" i="68"/>
  <c r="JD25" i="68"/>
  <c r="JC25" i="68"/>
  <c r="JB25" i="68"/>
  <c r="JA25" i="68"/>
  <c r="IZ25" i="68"/>
  <c r="IY25" i="68"/>
  <c r="IX25" i="68"/>
  <c r="IW25" i="68"/>
  <c r="IV25" i="68"/>
  <c r="IU25" i="68"/>
  <c r="IT25" i="68"/>
  <c r="IS25" i="68"/>
  <c r="IR25" i="68"/>
  <c r="IQ25" i="68"/>
  <c r="IP25" i="68"/>
  <c r="IO25" i="68"/>
  <c r="IN25" i="68"/>
  <c r="IM25" i="68"/>
  <c r="IL25" i="68"/>
  <c r="IK25" i="68"/>
  <c r="IJ25" i="68"/>
  <c r="II25" i="68"/>
  <c r="IH25" i="68"/>
  <c r="IG25" i="68"/>
  <c r="IF25" i="68"/>
  <c r="IE25" i="68"/>
  <c r="ID25" i="68"/>
  <c r="IC25" i="68"/>
  <c r="IB25" i="68"/>
  <c r="IA25" i="68"/>
  <c r="HZ25" i="68"/>
  <c r="HY25" i="68"/>
  <c r="HX25" i="68"/>
  <c r="HW25" i="68"/>
  <c r="HV25" i="68"/>
  <c r="HU25" i="68"/>
  <c r="HT25" i="68"/>
  <c r="HS25" i="68"/>
  <c r="HR25" i="68"/>
  <c r="HQ25" i="68"/>
  <c r="HP25" i="68"/>
  <c r="HO25" i="68"/>
  <c r="HN25" i="68"/>
  <c r="HM25" i="68"/>
  <c r="HL25" i="68"/>
  <c r="HK25" i="68"/>
  <c r="HJ25" i="68"/>
  <c r="HI25" i="68"/>
  <c r="HH25" i="68"/>
  <c r="HG25" i="68"/>
  <c r="HF25" i="68"/>
  <c r="HE25" i="68"/>
  <c r="HD25" i="68"/>
  <c r="HC25" i="68"/>
  <c r="HB25" i="68"/>
  <c r="HA25" i="68"/>
  <c r="GZ25" i="68"/>
  <c r="GY25" i="68"/>
  <c r="GX25" i="68"/>
  <c r="GW25" i="68"/>
  <c r="GV25" i="68"/>
  <c r="GU25" i="68"/>
  <c r="GT25" i="68"/>
  <c r="GS25" i="68"/>
  <c r="GR25" i="68"/>
  <c r="GQ25" i="68"/>
  <c r="GP25" i="68"/>
  <c r="GO25" i="68"/>
  <c r="GN25" i="68"/>
  <c r="GM25" i="68"/>
  <c r="GL25" i="68"/>
  <c r="GK25" i="68"/>
  <c r="GJ25" i="68"/>
  <c r="GI25" i="68"/>
  <c r="GH25" i="68"/>
  <c r="GG25" i="68"/>
  <c r="GF25" i="68"/>
  <c r="GE25" i="68"/>
  <c r="GD25" i="68"/>
  <c r="GC25" i="68"/>
  <c r="GB25" i="68"/>
  <c r="GA25" i="68"/>
  <c r="FZ25" i="68"/>
  <c r="FY25" i="68"/>
  <c r="FX25" i="68"/>
  <c r="FW25" i="68"/>
  <c r="FV25" i="68"/>
  <c r="FU25" i="68"/>
  <c r="FT25" i="68"/>
  <c r="FS25" i="68"/>
  <c r="FR25" i="68"/>
  <c r="FQ25" i="68"/>
  <c r="FP25" i="68"/>
  <c r="FO25" i="68"/>
  <c r="C25" i="68"/>
  <c r="LW24" i="68"/>
  <c r="LV24" i="68"/>
  <c r="LU24" i="68"/>
  <c r="LT24" i="68"/>
  <c r="LS24" i="68"/>
  <c r="LR24" i="68"/>
  <c r="LQ24" i="68"/>
  <c r="LP24" i="68"/>
  <c r="LO24" i="68"/>
  <c r="LN24" i="68"/>
  <c r="LM24" i="68"/>
  <c r="LL24" i="68"/>
  <c r="LK24" i="68"/>
  <c r="LJ24" i="68"/>
  <c r="LI24" i="68"/>
  <c r="LH24" i="68"/>
  <c r="LG24" i="68"/>
  <c r="LF24" i="68"/>
  <c r="LE24" i="68"/>
  <c r="LD24" i="68"/>
  <c r="LC24" i="68"/>
  <c r="LB24" i="68"/>
  <c r="LA24" i="68"/>
  <c r="KZ24" i="68"/>
  <c r="KY24" i="68"/>
  <c r="KX24" i="68"/>
  <c r="KW24" i="68"/>
  <c r="KV24" i="68"/>
  <c r="KU24" i="68"/>
  <c r="KT24" i="68"/>
  <c r="KS24" i="68"/>
  <c r="KR24" i="68"/>
  <c r="KQ24" i="68"/>
  <c r="KP24" i="68"/>
  <c r="KO24" i="68"/>
  <c r="KN24" i="68"/>
  <c r="KM24" i="68"/>
  <c r="KL24" i="68"/>
  <c r="KK24" i="68"/>
  <c r="KJ24" i="68"/>
  <c r="KI24" i="68"/>
  <c r="KH24" i="68"/>
  <c r="KG24" i="68"/>
  <c r="KF24" i="68"/>
  <c r="KE24" i="68"/>
  <c r="KD24" i="68"/>
  <c r="KC24" i="68"/>
  <c r="KB24" i="68"/>
  <c r="KA24" i="68"/>
  <c r="JZ24" i="68"/>
  <c r="JY24" i="68"/>
  <c r="JX24" i="68"/>
  <c r="JW24" i="68"/>
  <c r="JV24" i="68"/>
  <c r="JU24" i="68"/>
  <c r="JT24" i="68"/>
  <c r="JS24" i="68"/>
  <c r="JR24" i="68"/>
  <c r="JQ24" i="68"/>
  <c r="JP24" i="68"/>
  <c r="JO24" i="68"/>
  <c r="JN24" i="68"/>
  <c r="JM24" i="68"/>
  <c r="JL24" i="68"/>
  <c r="JK24" i="68"/>
  <c r="JJ24" i="68"/>
  <c r="JI24" i="68"/>
  <c r="JH24" i="68"/>
  <c r="JG24" i="68"/>
  <c r="JF24" i="68"/>
  <c r="JE24" i="68"/>
  <c r="JD24" i="68"/>
  <c r="JC24" i="68"/>
  <c r="JB24" i="68"/>
  <c r="JA24" i="68"/>
  <c r="IZ24" i="68"/>
  <c r="IY24" i="68"/>
  <c r="IX24" i="68"/>
  <c r="IW24" i="68"/>
  <c r="IV24" i="68"/>
  <c r="IU24" i="68"/>
  <c r="IT24" i="68"/>
  <c r="IS24" i="68"/>
  <c r="IR24" i="68"/>
  <c r="IQ24" i="68"/>
  <c r="IP24" i="68"/>
  <c r="IO24" i="68"/>
  <c r="IN24" i="68"/>
  <c r="IM24" i="68"/>
  <c r="IL24" i="68"/>
  <c r="IK24" i="68"/>
  <c r="IJ24" i="68"/>
  <c r="II24" i="68"/>
  <c r="IH24" i="68"/>
  <c r="IG24" i="68"/>
  <c r="IF24" i="68"/>
  <c r="IE24" i="68"/>
  <c r="ID24" i="68"/>
  <c r="IC24" i="68"/>
  <c r="IB24" i="68"/>
  <c r="IA24" i="68"/>
  <c r="HZ24" i="68"/>
  <c r="HY24" i="68"/>
  <c r="HX24" i="68"/>
  <c r="HW24" i="68"/>
  <c r="HV24" i="68"/>
  <c r="HU24" i="68"/>
  <c r="HT24" i="68"/>
  <c r="HS24" i="68"/>
  <c r="HR24" i="68"/>
  <c r="HQ24" i="68"/>
  <c r="HP24" i="68"/>
  <c r="HO24" i="68"/>
  <c r="HN24" i="68"/>
  <c r="HM24" i="68"/>
  <c r="HL24" i="68"/>
  <c r="HK24" i="68"/>
  <c r="HJ24" i="68"/>
  <c r="HI24" i="68"/>
  <c r="HH24" i="68"/>
  <c r="HG24" i="68"/>
  <c r="HF24" i="68"/>
  <c r="HE24" i="68"/>
  <c r="HD24" i="68"/>
  <c r="HC24" i="68"/>
  <c r="HB24" i="68"/>
  <c r="HA24" i="68"/>
  <c r="GZ24" i="68"/>
  <c r="GY24" i="68"/>
  <c r="GX24" i="68"/>
  <c r="GW24" i="68"/>
  <c r="GV24" i="68"/>
  <c r="GU24" i="68"/>
  <c r="GT24" i="68"/>
  <c r="GS24" i="68"/>
  <c r="GR24" i="68"/>
  <c r="GQ24" i="68"/>
  <c r="GP24" i="68"/>
  <c r="GO24" i="68"/>
  <c r="GN24" i="68"/>
  <c r="GM24" i="68"/>
  <c r="GL24" i="68"/>
  <c r="GK24" i="68"/>
  <c r="GJ24" i="68"/>
  <c r="GI24" i="68"/>
  <c r="GH24" i="68"/>
  <c r="GG24" i="68"/>
  <c r="GF24" i="68"/>
  <c r="GE24" i="68"/>
  <c r="GD24" i="68"/>
  <c r="GC24" i="68"/>
  <c r="GB24" i="68"/>
  <c r="GA24" i="68"/>
  <c r="FZ24" i="68"/>
  <c r="FY24" i="68"/>
  <c r="FX24" i="68"/>
  <c r="FW24" i="68"/>
  <c r="FV24" i="68"/>
  <c r="FU24" i="68"/>
  <c r="FT24" i="68"/>
  <c r="FS24" i="68"/>
  <c r="FR24" i="68"/>
  <c r="FQ24" i="68"/>
  <c r="FP24" i="68"/>
  <c r="FO24" i="68"/>
  <c r="C24" i="68"/>
  <c r="LW23" i="68"/>
  <c r="LV23" i="68"/>
  <c r="LU23" i="68"/>
  <c r="LT23" i="68"/>
  <c r="LS23" i="68"/>
  <c r="LR23" i="68"/>
  <c r="LQ23" i="68"/>
  <c r="LP23" i="68"/>
  <c r="LO23" i="68"/>
  <c r="LN23" i="68"/>
  <c r="LM23" i="68"/>
  <c r="LL23" i="68"/>
  <c r="LK23" i="68"/>
  <c r="LJ23" i="68"/>
  <c r="LI23" i="68"/>
  <c r="LH23" i="68"/>
  <c r="LG23" i="68"/>
  <c r="LF23" i="68"/>
  <c r="LE23" i="68"/>
  <c r="LD23" i="68"/>
  <c r="LC23" i="68"/>
  <c r="LB23" i="68"/>
  <c r="LA23" i="68"/>
  <c r="KZ23" i="68"/>
  <c r="KY23" i="68"/>
  <c r="KX23" i="68"/>
  <c r="KW23" i="68"/>
  <c r="KV23" i="68"/>
  <c r="KU23" i="68"/>
  <c r="KT23" i="68"/>
  <c r="KS23" i="68"/>
  <c r="KR23" i="68"/>
  <c r="KQ23" i="68"/>
  <c r="KP23" i="68"/>
  <c r="KO23" i="68"/>
  <c r="KN23" i="68"/>
  <c r="KM23" i="68"/>
  <c r="KL23" i="68"/>
  <c r="KK23" i="68"/>
  <c r="KJ23" i="68"/>
  <c r="KI23" i="68"/>
  <c r="KH23" i="68"/>
  <c r="KG23" i="68"/>
  <c r="KF23" i="68"/>
  <c r="KE23" i="68"/>
  <c r="KD23" i="68"/>
  <c r="KC23" i="68"/>
  <c r="KB23" i="68"/>
  <c r="KA23" i="68"/>
  <c r="JZ23" i="68"/>
  <c r="JY23" i="68"/>
  <c r="JX23" i="68"/>
  <c r="JW23" i="68"/>
  <c r="JV23" i="68"/>
  <c r="JU23" i="68"/>
  <c r="JT23" i="68"/>
  <c r="JS23" i="68"/>
  <c r="JR23" i="68"/>
  <c r="JQ23" i="68"/>
  <c r="JP23" i="68"/>
  <c r="JO23" i="68"/>
  <c r="JN23" i="68"/>
  <c r="JM23" i="68"/>
  <c r="JL23" i="68"/>
  <c r="JK23" i="68"/>
  <c r="JJ23" i="68"/>
  <c r="JI23" i="68"/>
  <c r="JH23" i="68"/>
  <c r="JG23" i="68"/>
  <c r="JF23" i="68"/>
  <c r="JE23" i="68"/>
  <c r="JD23" i="68"/>
  <c r="JC23" i="68"/>
  <c r="JB23" i="68"/>
  <c r="JA23" i="68"/>
  <c r="IZ23" i="68"/>
  <c r="IY23" i="68"/>
  <c r="IX23" i="68"/>
  <c r="IW23" i="68"/>
  <c r="IV23" i="68"/>
  <c r="IU23" i="68"/>
  <c r="IT23" i="68"/>
  <c r="IS23" i="68"/>
  <c r="IR23" i="68"/>
  <c r="IQ23" i="68"/>
  <c r="IP23" i="68"/>
  <c r="IO23" i="68"/>
  <c r="IN23" i="68"/>
  <c r="IM23" i="68"/>
  <c r="IL23" i="68"/>
  <c r="IK23" i="68"/>
  <c r="IJ23" i="68"/>
  <c r="II23" i="68"/>
  <c r="IH23" i="68"/>
  <c r="IG23" i="68"/>
  <c r="IF23" i="68"/>
  <c r="IE23" i="68"/>
  <c r="ID23" i="68"/>
  <c r="IC23" i="68"/>
  <c r="IB23" i="68"/>
  <c r="IA23" i="68"/>
  <c r="HZ23" i="68"/>
  <c r="HY23" i="68"/>
  <c r="HX23" i="68"/>
  <c r="HW23" i="68"/>
  <c r="HV23" i="68"/>
  <c r="HU23" i="68"/>
  <c r="HT23" i="68"/>
  <c r="HS23" i="68"/>
  <c r="HR23" i="68"/>
  <c r="HQ23" i="68"/>
  <c r="HP23" i="68"/>
  <c r="HO23" i="68"/>
  <c r="HN23" i="68"/>
  <c r="HM23" i="68"/>
  <c r="HL23" i="68"/>
  <c r="HK23" i="68"/>
  <c r="HJ23" i="68"/>
  <c r="HI23" i="68"/>
  <c r="HH23" i="68"/>
  <c r="HG23" i="68"/>
  <c r="HF23" i="68"/>
  <c r="HE23" i="68"/>
  <c r="HD23" i="68"/>
  <c r="HC23" i="68"/>
  <c r="HB23" i="68"/>
  <c r="HA23" i="68"/>
  <c r="GZ23" i="68"/>
  <c r="GY23" i="68"/>
  <c r="GX23" i="68"/>
  <c r="GW23" i="68"/>
  <c r="GV23" i="68"/>
  <c r="GU23" i="68"/>
  <c r="GT23" i="68"/>
  <c r="GS23" i="68"/>
  <c r="GR23" i="68"/>
  <c r="GQ23" i="68"/>
  <c r="GP23" i="68"/>
  <c r="GO23" i="68"/>
  <c r="GN23" i="68"/>
  <c r="GM23" i="68"/>
  <c r="GL23" i="68"/>
  <c r="GK23" i="68"/>
  <c r="GJ23" i="68"/>
  <c r="GI23" i="68"/>
  <c r="GH23" i="68"/>
  <c r="GG23" i="68"/>
  <c r="GF23" i="68"/>
  <c r="GE23" i="68"/>
  <c r="GD23" i="68"/>
  <c r="GC23" i="68"/>
  <c r="GB23" i="68"/>
  <c r="GA23" i="68"/>
  <c r="FZ23" i="68"/>
  <c r="FY23" i="68"/>
  <c r="FX23" i="68"/>
  <c r="FW23" i="68"/>
  <c r="FV23" i="68"/>
  <c r="FU23" i="68"/>
  <c r="FT23" i="68"/>
  <c r="FS23" i="68"/>
  <c r="FR23" i="68"/>
  <c r="FQ23" i="68"/>
  <c r="FP23" i="68"/>
  <c r="FO23" i="68"/>
  <c r="C23" i="68"/>
  <c r="LW22" i="68"/>
  <c r="LV22" i="68"/>
  <c r="LU22" i="68"/>
  <c r="LT22" i="68"/>
  <c r="LS22" i="68"/>
  <c r="LR22" i="68"/>
  <c r="LQ22" i="68"/>
  <c r="LP22" i="68"/>
  <c r="LO22" i="68"/>
  <c r="LN22" i="68"/>
  <c r="LM22" i="68"/>
  <c r="LL22" i="68"/>
  <c r="LK22" i="68"/>
  <c r="LJ22" i="68"/>
  <c r="LI22" i="68"/>
  <c r="LH22" i="68"/>
  <c r="LG22" i="68"/>
  <c r="LF22" i="68"/>
  <c r="LE22" i="68"/>
  <c r="LD22" i="68"/>
  <c r="LC22" i="68"/>
  <c r="LB22" i="68"/>
  <c r="LA22" i="68"/>
  <c r="KZ22" i="68"/>
  <c r="KY22" i="68"/>
  <c r="KX22" i="68"/>
  <c r="KW22" i="68"/>
  <c r="KV22" i="68"/>
  <c r="KU22" i="68"/>
  <c r="KT22" i="68"/>
  <c r="KS22" i="68"/>
  <c r="KR22" i="68"/>
  <c r="KQ22" i="68"/>
  <c r="KP22" i="68"/>
  <c r="KO22" i="68"/>
  <c r="KN22" i="68"/>
  <c r="KM22" i="68"/>
  <c r="KL22" i="68"/>
  <c r="KK22" i="68"/>
  <c r="KJ22" i="68"/>
  <c r="KI22" i="68"/>
  <c r="KH22" i="68"/>
  <c r="KG22" i="68"/>
  <c r="KF22" i="68"/>
  <c r="KE22" i="68"/>
  <c r="KD22" i="68"/>
  <c r="KC22" i="68"/>
  <c r="KB22" i="68"/>
  <c r="KA22" i="68"/>
  <c r="JZ22" i="68"/>
  <c r="JY22" i="68"/>
  <c r="JX22" i="68"/>
  <c r="JW22" i="68"/>
  <c r="JV22" i="68"/>
  <c r="JU22" i="68"/>
  <c r="JT22" i="68"/>
  <c r="JS22" i="68"/>
  <c r="JR22" i="68"/>
  <c r="JQ22" i="68"/>
  <c r="JP22" i="68"/>
  <c r="JO22" i="68"/>
  <c r="JN22" i="68"/>
  <c r="JM22" i="68"/>
  <c r="JL22" i="68"/>
  <c r="JK22" i="68"/>
  <c r="JJ22" i="68"/>
  <c r="JI22" i="68"/>
  <c r="JH22" i="68"/>
  <c r="JG22" i="68"/>
  <c r="JF22" i="68"/>
  <c r="JE22" i="68"/>
  <c r="JD22" i="68"/>
  <c r="JC22" i="68"/>
  <c r="JB22" i="68"/>
  <c r="JA22" i="68"/>
  <c r="IZ22" i="68"/>
  <c r="IY22" i="68"/>
  <c r="IX22" i="68"/>
  <c r="IW22" i="68"/>
  <c r="IV22" i="68"/>
  <c r="IU22" i="68"/>
  <c r="IT22" i="68"/>
  <c r="IS22" i="68"/>
  <c r="IR22" i="68"/>
  <c r="IQ22" i="68"/>
  <c r="IP22" i="68"/>
  <c r="IO22" i="68"/>
  <c r="IN22" i="68"/>
  <c r="IM22" i="68"/>
  <c r="IL22" i="68"/>
  <c r="IK22" i="68"/>
  <c r="IJ22" i="68"/>
  <c r="II22" i="68"/>
  <c r="IH22" i="68"/>
  <c r="IG22" i="68"/>
  <c r="IF22" i="68"/>
  <c r="IE22" i="68"/>
  <c r="ID22" i="68"/>
  <c r="IC22" i="68"/>
  <c r="IB22" i="68"/>
  <c r="IA22" i="68"/>
  <c r="HZ22" i="68"/>
  <c r="HY22" i="68"/>
  <c r="HX22" i="68"/>
  <c r="HW22" i="68"/>
  <c r="HV22" i="68"/>
  <c r="HU22" i="68"/>
  <c r="HT22" i="68"/>
  <c r="HS22" i="68"/>
  <c r="HR22" i="68"/>
  <c r="HQ22" i="68"/>
  <c r="HP22" i="68"/>
  <c r="HO22" i="68"/>
  <c r="HN22" i="68"/>
  <c r="HM22" i="68"/>
  <c r="HL22" i="68"/>
  <c r="HK22" i="68"/>
  <c r="HJ22" i="68"/>
  <c r="HI22" i="68"/>
  <c r="HH22" i="68"/>
  <c r="HG22" i="68"/>
  <c r="HF22" i="68"/>
  <c r="HE22" i="68"/>
  <c r="HD22" i="68"/>
  <c r="HC22" i="68"/>
  <c r="HB22" i="68"/>
  <c r="HA22" i="68"/>
  <c r="GZ22" i="68"/>
  <c r="GY22" i="68"/>
  <c r="GX22" i="68"/>
  <c r="GW22" i="68"/>
  <c r="GV22" i="68"/>
  <c r="GU22" i="68"/>
  <c r="GT22" i="68"/>
  <c r="GS22" i="68"/>
  <c r="GR22" i="68"/>
  <c r="GQ22" i="68"/>
  <c r="GP22" i="68"/>
  <c r="GO22" i="68"/>
  <c r="GN22" i="68"/>
  <c r="GM22" i="68"/>
  <c r="GL22" i="68"/>
  <c r="GK22" i="68"/>
  <c r="GJ22" i="68"/>
  <c r="GI22" i="68"/>
  <c r="GH22" i="68"/>
  <c r="GG22" i="68"/>
  <c r="GF22" i="68"/>
  <c r="GE22" i="68"/>
  <c r="GD22" i="68"/>
  <c r="GC22" i="68"/>
  <c r="GB22" i="68"/>
  <c r="GA22" i="68"/>
  <c r="FZ22" i="68"/>
  <c r="FY22" i="68"/>
  <c r="FX22" i="68"/>
  <c r="FW22" i="68"/>
  <c r="FV22" i="68"/>
  <c r="FU22" i="68"/>
  <c r="FT22" i="68"/>
  <c r="FS22" i="68"/>
  <c r="FR22" i="68"/>
  <c r="FQ22" i="68"/>
  <c r="FP22" i="68"/>
  <c r="FO22" i="68"/>
  <c r="C22" i="68"/>
  <c r="LW21" i="68"/>
  <c r="LV21" i="68"/>
  <c r="LU21" i="68"/>
  <c r="LT21" i="68"/>
  <c r="LS21" i="68"/>
  <c r="LR21" i="68"/>
  <c r="LQ21" i="68"/>
  <c r="LP21" i="68"/>
  <c r="LO21" i="68"/>
  <c r="LN21" i="68"/>
  <c r="LM21" i="68"/>
  <c r="LL21" i="68"/>
  <c r="LK21" i="68"/>
  <c r="LJ21" i="68"/>
  <c r="LI21" i="68"/>
  <c r="LH21" i="68"/>
  <c r="LG21" i="68"/>
  <c r="LF21" i="68"/>
  <c r="LE21" i="68"/>
  <c r="LD21" i="68"/>
  <c r="LC21" i="68"/>
  <c r="LB21" i="68"/>
  <c r="LA21" i="68"/>
  <c r="KZ21" i="68"/>
  <c r="KY21" i="68"/>
  <c r="KX21" i="68"/>
  <c r="KW21" i="68"/>
  <c r="KV21" i="68"/>
  <c r="KU21" i="68"/>
  <c r="KT21" i="68"/>
  <c r="KS21" i="68"/>
  <c r="KR21" i="68"/>
  <c r="KQ21" i="68"/>
  <c r="KP21" i="68"/>
  <c r="KO21" i="68"/>
  <c r="KN21" i="68"/>
  <c r="KM21" i="68"/>
  <c r="KL21" i="68"/>
  <c r="KK21" i="68"/>
  <c r="KJ21" i="68"/>
  <c r="KI21" i="68"/>
  <c r="KH21" i="68"/>
  <c r="KG21" i="68"/>
  <c r="KF21" i="68"/>
  <c r="KE21" i="68"/>
  <c r="KD21" i="68"/>
  <c r="KC21" i="68"/>
  <c r="KB21" i="68"/>
  <c r="KA21" i="68"/>
  <c r="JZ21" i="68"/>
  <c r="JY21" i="68"/>
  <c r="JX21" i="68"/>
  <c r="JW21" i="68"/>
  <c r="JV21" i="68"/>
  <c r="JU21" i="68"/>
  <c r="JT21" i="68"/>
  <c r="JS21" i="68"/>
  <c r="JR21" i="68"/>
  <c r="JQ21" i="68"/>
  <c r="JP21" i="68"/>
  <c r="JO21" i="68"/>
  <c r="JN21" i="68"/>
  <c r="JM21" i="68"/>
  <c r="JL21" i="68"/>
  <c r="JK21" i="68"/>
  <c r="JJ21" i="68"/>
  <c r="JI21" i="68"/>
  <c r="JH21" i="68"/>
  <c r="JG21" i="68"/>
  <c r="JF21" i="68"/>
  <c r="JE21" i="68"/>
  <c r="JD21" i="68"/>
  <c r="JC21" i="68"/>
  <c r="JB21" i="68"/>
  <c r="JA21" i="68"/>
  <c r="IZ21" i="68"/>
  <c r="IY21" i="68"/>
  <c r="IX21" i="68"/>
  <c r="IW21" i="68"/>
  <c r="IV21" i="68"/>
  <c r="IU21" i="68"/>
  <c r="IT21" i="68"/>
  <c r="IS21" i="68"/>
  <c r="IR21" i="68"/>
  <c r="IQ21" i="68"/>
  <c r="IP21" i="68"/>
  <c r="IO21" i="68"/>
  <c r="IN21" i="68"/>
  <c r="IM21" i="68"/>
  <c r="IL21" i="68"/>
  <c r="IK21" i="68"/>
  <c r="IJ21" i="68"/>
  <c r="II21" i="68"/>
  <c r="IH21" i="68"/>
  <c r="IG21" i="68"/>
  <c r="IF21" i="68"/>
  <c r="IE21" i="68"/>
  <c r="ID21" i="68"/>
  <c r="IC21" i="68"/>
  <c r="IB21" i="68"/>
  <c r="IA21" i="68"/>
  <c r="HZ21" i="68"/>
  <c r="HY21" i="68"/>
  <c r="HX21" i="68"/>
  <c r="HW21" i="68"/>
  <c r="HV21" i="68"/>
  <c r="HU21" i="68"/>
  <c r="HT21" i="68"/>
  <c r="HS21" i="68"/>
  <c r="HR21" i="68"/>
  <c r="HQ21" i="68"/>
  <c r="HP21" i="68"/>
  <c r="HO21" i="68"/>
  <c r="HN21" i="68"/>
  <c r="HM21" i="68"/>
  <c r="HL21" i="68"/>
  <c r="HK21" i="68"/>
  <c r="HJ21" i="68"/>
  <c r="HI21" i="68"/>
  <c r="HH21" i="68"/>
  <c r="HG21" i="68"/>
  <c r="HF21" i="68"/>
  <c r="HE21" i="68"/>
  <c r="HD21" i="68"/>
  <c r="HC21" i="68"/>
  <c r="HB21" i="68"/>
  <c r="HA21" i="68"/>
  <c r="GZ21" i="68"/>
  <c r="GY21" i="68"/>
  <c r="GX21" i="68"/>
  <c r="GW21" i="68"/>
  <c r="GV21" i="68"/>
  <c r="GU21" i="68"/>
  <c r="GT21" i="68"/>
  <c r="GS21" i="68"/>
  <c r="GR21" i="68"/>
  <c r="GQ21" i="68"/>
  <c r="GP21" i="68"/>
  <c r="GO21" i="68"/>
  <c r="GN21" i="68"/>
  <c r="GM21" i="68"/>
  <c r="GL21" i="68"/>
  <c r="GK21" i="68"/>
  <c r="GJ21" i="68"/>
  <c r="GI21" i="68"/>
  <c r="GH21" i="68"/>
  <c r="GG21" i="68"/>
  <c r="GF21" i="68"/>
  <c r="GE21" i="68"/>
  <c r="GD21" i="68"/>
  <c r="GC21" i="68"/>
  <c r="GB21" i="68"/>
  <c r="GA21" i="68"/>
  <c r="FZ21" i="68"/>
  <c r="FY21" i="68"/>
  <c r="FX21" i="68"/>
  <c r="FW21" i="68"/>
  <c r="FV21" i="68"/>
  <c r="FU21" i="68"/>
  <c r="FT21" i="68"/>
  <c r="FS21" i="68"/>
  <c r="FR21" i="68"/>
  <c r="FQ21" i="68"/>
  <c r="FP21" i="68"/>
  <c r="FO21" i="68"/>
  <c r="C21" i="68"/>
  <c r="LW20" i="68"/>
  <c r="LV20" i="68"/>
  <c r="LU20" i="68"/>
  <c r="LT20" i="68"/>
  <c r="LS20" i="68"/>
  <c r="LR20" i="68"/>
  <c r="LQ20" i="68"/>
  <c r="LP20" i="68"/>
  <c r="LO20" i="68"/>
  <c r="LN20" i="68"/>
  <c r="LM20" i="68"/>
  <c r="LL20" i="68"/>
  <c r="LK20" i="68"/>
  <c r="LJ20" i="68"/>
  <c r="LI20" i="68"/>
  <c r="LH20" i="68"/>
  <c r="LG20" i="68"/>
  <c r="LF20" i="68"/>
  <c r="LE20" i="68"/>
  <c r="LD20" i="68"/>
  <c r="LC20" i="68"/>
  <c r="LB20" i="68"/>
  <c r="LA20" i="68"/>
  <c r="KZ20" i="68"/>
  <c r="KY20" i="68"/>
  <c r="KX20" i="68"/>
  <c r="KW20" i="68"/>
  <c r="KV20" i="68"/>
  <c r="KU20" i="68"/>
  <c r="KT20" i="68"/>
  <c r="KS20" i="68"/>
  <c r="KR20" i="68"/>
  <c r="KQ20" i="68"/>
  <c r="KP20" i="68"/>
  <c r="KO20" i="68"/>
  <c r="KN20" i="68"/>
  <c r="KM20" i="68"/>
  <c r="KL20" i="68"/>
  <c r="KK20" i="68"/>
  <c r="KJ20" i="68"/>
  <c r="KI20" i="68"/>
  <c r="KH20" i="68"/>
  <c r="KG20" i="68"/>
  <c r="KF20" i="68"/>
  <c r="KE20" i="68"/>
  <c r="KD20" i="68"/>
  <c r="KC20" i="68"/>
  <c r="KB20" i="68"/>
  <c r="KA20" i="68"/>
  <c r="JZ20" i="68"/>
  <c r="JY20" i="68"/>
  <c r="JX20" i="68"/>
  <c r="JW20" i="68"/>
  <c r="JV20" i="68"/>
  <c r="JU20" i="68"/>
  <c r="JT20" i="68"/>
  <c r="JS20" i="68"/>
  <c r="JR20" i="68"/>
  <c r="JQ20" i="68"/>
  <c r="JP20" i="68"/>
  <c r="JO20" i="68"/>
  <c r="JN20" i="68"/>
  <c r="JM20" i="68"/>
  <c r="JL20" i="68"/>
  <c r="JK20" i="68"/>
  <c r="JJ20" i="68"/>
  <c r="JI20" i="68"/>
  <c r="JH20" i="68"/>
  <c r="JG20" i="68"/>
  <c r="JF20" i="68"/>
  <c r="JE20" i="68"/>
  <c r="JD20" i="68"/>
  <c r="JC20" i="68"/>
  <c r="JB20" i="68"/>
  <c r="JA20" i="68"/>
  <c r="IZ20" i="68"/>
  <c r="IY20" i="68"/>
  <c r="IX20" i="68"/>
  <c r="IW20" i="68"/>
  <c r="IV20" i="68"/>
  <c r="IU20" i="68"/>
  <c r="IT20" i="68"/>
  <c r="IS20" i="68"/>
  <c r="IR20" i="68"/>
  <c r="IQ20" i="68"/>
  <c r="IP20" i="68"/>
  <c r="IO20" i="68"/>
  <c r="IN20" i="68"/>
  <c r="IM20" i="68"/>
  <c r="IL20" i="68"/>
  <c r="IK20" i="68"/>
  <c r="IJ20" i="68"/>
  <c r="II20" i="68"/>
  <c r="IH20" i="68"/>
  <c r="IG20" i="68"/>
  <c r="IF20" i="68"/>
  <c r="IE20" i="68"/>
  <c r="ID20" i="68"/>
  <c r="IC20" i="68"/>
  <c r="IB20" i="68"/>
  <c r="IA20" i="68"/>
  <c r="HZ20" i="68"/>
  <c r="HY20" i="68"/>
  <c r="HX20" i="68"/>
  <c r="HW20" i="68"/>
  <c r="HV20" i="68"/>
  <c r="HU20" i="68"/>
  <c r="HT20" i="68"/>
  <c r="HS20" i="68"/>
  <c r="HR20" i="68"/>
  <c r="HQ20" i="68"/>
  <c r="HP20" i="68"/>
  <c r="HO20" i="68"/>
  <c r="HN20" i="68"/>
  <c r="HM20" i="68"/>
  <c r="HL20" i="68"/>
  <c r="HK20" i="68"/>
  <c r="HJ20" i="68"/>
  <c r="HI20" i="68"/>
  <c r="HH20" i="68"/>
  <c r="HG20" i="68"/>
  <c r="HF20" i="68"/>
  <c r="HE20" i="68"/>
  <c r="HD20" i="68"/>
  <c r="HC20" i="68"/>
  <c r="HB20" i="68"/>
  <c r="HA20" i="68"/>
  <c r="GZ20" i="68"/>
  <c r="GY20" i="68"/>
  <c r="GX20" i="68"/>
  <c r="GW20" i="68"/>
  <c r="GV20" i="68"/>
  <c r="GU20" i="68"/>
  <c r="GT20" i="68"/>
  <c r="GS20" i="68"/>
  <c r="GR20" i="68"/>
  <c r="GQ20" i="68"/>
  <c r="GP20" i="68"/>
  <c r="GO20" i="68"/>
  <c r="GN20" i="68"/>
  <c r="GM20" i="68"/>
  <c r="GL20" i="68"/>
  <c r="GK20" i="68"/>
  <c r="GJ20" i="68"/>
  <c r="GI20" i="68"/>
  <c r="GH20" i="68"/>
  <c r="GG20" i="68"/>
  <c r="GF20" i="68"/>
  <c r="GE20" i="68"/>
  <c r="GD20" i="68"/>
  <c r="GC20" i="68"/>
  <c r="GB20" i="68"/>
  <c r="GA20" i="68"/>
  <c r="FZ20" i="68"/>
  <c r="FY20" i="68"/>
  <c r="FX20" i="68"/>
  <c r="FW20" i="68"/>
  <c r="FV20" i="68"/>
  <c r="FU20" i="68"/>
  <c r="FT20" i="68"/>
  <c r="FS20" i="68"/>
  <c r="FR20" i="68"/>
  <c r="FQ20" i="68"/>
  <c r="FP20" i="68"/>
  <c r="FO20" i="68"/>
  <c r="C20" i="68"/>
  <c r="LW19" i="68"/>
  <c r="LV19" i="68"/>
  <c r="LU19" i="68"/>
  <c r="LT19" i="68"/>
  <c r="LS19" i="68"/>
  <c r="LR19" i="68"/>
  <c r="LQ19" i="68"/>
  <c r="LP19" i="68"/>
  <c r="LO19" i="68"/>
  <c r="LN19" i="68"/>
  <c r="LM19" i="68"/>
  <c r="LL19" i="68"/>
  <c r="LK19" i="68"/>
  <c r="LJ19" i="68"/>
  <c r="LI19" i="68"/>
  <c r="LH19" i="68"/>
  <c r="LG19" i="68"/>
  <c r="LF19" i="68"/>
  <c r="LE19" i="68"/>
  <c r="LD19" i="68"/>
  <c r="LC19" i="68"/>
  <c r="LB19" i="68"/>
  <c r="LA19" i="68"/>
  <c r="KZ19" i="68"/>
  <c r="KY19" i="68"/>
  <c r="KX19" i="68"/>
  <c r="KW19" i="68"/>
  <c r="KV19" i="68"/>
  <c r="KU19" i="68"/>
  <c r="KT19" i="68"/>
  <c r="KS19" i="68"/>
  <c r="KR19" i="68"/>
  <c r="KQ19" i="68"/>
  <c r="KP19" i="68"/>
  <c r="KO19" i="68"/>
  <c r="KN19" i="68"/>
  <c r="KM19" i="68"/>
  <c r="KL19" i="68"/>
  <c r="KK19" i="68"/>
  <c r="KJ19" i="68"/>
  <c r="KI19" i="68"/>
  <c r="KH19" i="68"/>
  <c r="KG19" i="68"/>
  <c r="KF19" i="68"/>
  <c r="KE19" i="68"/>
  <c r="KD19" i="68"/>
  <c r="KC19" i="68"/>
  <c r="KB19" i="68"/>
  <c r="KA19" i="68"/>
  <c r="JZ19" i="68"/>
  <c r="JY19" i="68"/>
  <c r="JX19" i="68"/>
  <c r="JW19" i="68"/>
  <c r="JV19" i="68"/>
  <c r="JU19" i="68"/>
  <c r="JT19" i="68"/>
  <c r="JS19" i="68"/>
  <c r="JR19" i="68"/>
  <c r="JQ19" i="68"/>
  <c r="JP19" i="68"/>
  <c r="JO19" i="68"/>
  <c r="JN19" i="68"/>
  <c r="JM19" i="68"/>
  <c r="JL19" i="68"/>
  <c r="JK19" i="68"/>
  <c r="JJ19" i="68"/>
  <c r="JI19" i="68"/>
  <c r="JH19" i="68"/>
  <c r="JG19" i="68"/>
  <c r="JF19" i="68"/>
  <c r="JE19" i="68"/>
  <c r="JD19" i="68"/>
  <c r="JC19" i="68"/>
  <c r="JB19" i="68"/>
  <c r="JA19" i="68"/>
  <c r="IZ19" i="68"/>
  <c r="IY19" i="68"/>
  <c r="IX19" i="68"/>
  <c r="IW19" i="68"/>
  <c r="IV19" i="68"/>
  <c r="IU19" i="68"/>
  <c r="IT19" i="68"/>
  <c r="IS19" i="68"/>
  <c r="IR19" i="68"/>
  <c r="IQ19" i="68"/>
  <c r="IP19" i="68"/>
  <c r="IO19" i="68"/>
  <c r="IN19" i="68"/>
  <c r="IM19" i="68"/>
  <c r="IL19" i="68"/>
  <c r="IK19" i="68"/>
  <c r="IJ19" i="68"/>
  <c r="II19" i="68"/>
  <c r="IH19" i="68"/>
  <c r="IG19" i="68"/>
  <c r="IF19" i="68"/>
  <c r="IE19" i="68"/>
  <c r="ID19" i="68"/>
  <c r="IC19" i="68"/>
  <c r="IB19" i="68"/>
  <c r="IA19" i="68"/>
  <c r="HZ19" i="68"/>
  <c r="HY19" i="68"/>
  <c r="HX19" i="68"/>
  <c r="HW19" i="68"/>
  <c r="HV19" i="68"/>
  <c r="HU19" i="68"/>
  <c r="HT19" i="68"/>
  <c r="HS19" i="68"/>
  <c r="HR19" i="68"/>
  <c r="HQ19" i="68"/>
  <c r="HP19" i="68"/>
  <c r="HO19" i="68"/>
  <c r="HN19" i="68"/>
  <c r="HM19" i="68"/>
  <c r="HL19" i="68"/>
  <c r="HK19" i="68"/>
  <c r="HJ19" i="68"/>
  <c r="HI19" i="68"/>
  <c r="HH19" i="68"/>
  <c r="HG19" i="68"/>
  <c r="HF19" i="68"/>
  <c r="HE19" i="68"/>
  <c r="HD19" i="68"/>
  <c r="HC19" i="68"/>
  <c r="HB19" i="68"/>
  <c r="HA19" i="68"/>
  <c r="GZ19" i="68"/>
  <c r="GY19" i="68"/>
  <c r="GX19" i="68"/>
  <c r="GW19" i="68"/>
  <c r="GV19" i="68"/>
  <c r="GU19" i="68"/>
  <c r="GT19" i="68"/>
  <c r="GS19" i="68"/>
  <c r="GR19" i="68"/>
  <c r="GQ19" i="68"/>
  <c r="GP19" i="68"/>
  <c r="GO19" i="68"/>
  <c r="GN19" i="68"/>
  <c r="GM19" i="68"/>
  <c r="GL19" i="68"/>
  <c r="GK19" i="68"/>
  <c r="GJ19" i="68"/>
  <c r="GI19" i="68"/>
  <c r="GH19" i="68"/>
  <c r="GG19" i="68"/>
  <c r="GF19" i="68"/>
  <c r="GE19" i="68"/>
  <c r="GD19" i="68"/>
  <c r="GC19" i="68"/>
  <c r="GB19" i="68"/>
  <c r="GA19" i="68"/>
  <c r="FZ19" i="68"/>
  <c r="FY19" i="68"/>
  <c r="FX19" i="68"/>
  <c r="FW19" i="68"/>
  <c r="FV19" i="68"/>
  <c r="FU19" i="68"/>
  <c r="FT19" i="68"/>
  <c r="FS19" i="68"/>
  <c r="FR19" i="68"/>
  <c r="FQ19" i="68"/>
  <c r="FP19" i="68"/>
  <c r="FO19" i="68"/>
  <c r="C19" i="68"/>
  <c r="LW18" i="68"/>
  <c r="LV18" i="68"/>
  <c r="LU18" i="68"/>
  <c r="LT18" i="68"/>
  <c r="LS18" i="68"/>
  <c r="LR18" i="68"/>
  <c r="LQ18" i="68"/>
  <c r="LP18" i="68"/>
  <c r="LO18" i="68"/>
  <c r="LN18" i="68"/>
  <c r="LM18" i="68"/>
  <c r="LL18" i="68"/>
  <c r="LK18" i="68"/>
  <c r="LJ18" i="68"/>
  <c r="LI18" i="68"/>
  <c r="LH18" i="68"/>
  <c r="LG18" i="68"/>
  <c r="LF18" i="68"/>
  <c r="LE18" i="68"/>
  <c r="LD18" i="68"/>
  <c r="LC18" i="68"/>
  <c r="LB18" i="68"/>
  <c r="LA18" i="68"/>
  <c r="KZ18" i="68"/>
  <c r="KY18" i="68"/>
  <c r="KX18" i="68"/>
  <c r="KW18" i="68"/>
  <c r="KV18" i="68"/>
  <c r="KU18" i="68"/>
  <c r="KT18" i="68"/>
  <c r="KS18" i="68"/>
  <c r="KR18" i="68"/>
  <c r="KQ18" i="68"/>
  <c r="KP18" i="68"/>
  <c r="KO18" i="68"/>
  <c r="KN18" i="68"/>
  <c r="KM18" i="68"/>
  <c r="KL18" i="68"/>
  <c r="KK18" i="68"/>
  <c r="KJ18" i="68"/>
  <c r="KI18" i="68"/>
  <c r="KH18" i="68"/>
  <c r="KG18" i="68"/>
  <c r="KF18" i="68"/>
  <c r="KE18" i="68"/>
  <c r="KD18" i="68"/>
  <c r="KC18" i="68"/>
  <c r="KB18" i="68"/>
  <c r="KA18" i="68"/>
  <c r="JZ18" i="68"/>
  <c r="JY18" i="68"/>
  <c r="JX18" i="68"/>
  <c r="JW18" i="68"/>
  <c r="JV18" i="68"/>
  <c r="JU18" i="68"/>
  <c r="JT18" i="68"/>
  <c r="JS18" i="68"/>
  <c r="JR18" i="68"/>
  <c r="JQ18" i="68"/>
  <c r="JP18" i="68"/>
  <c r="JO18" i="68"/>
  <c r="JN18" i="68"/>
  <c r="JM18" i="68"/>
  <c r="JL18" i="68"/>
  <c r="JK18" i="68"/>
  <c r="JJ18" i="68"/>
  <c r="JI18" i="68"/>
  <c r="JH18" i="68"/>
  <c r="JG18" i="68"/>
  <c r="JF18" i="68"/>
  <c r="JE18" i="68"/>
  <c r="JD18" i="68"/>
  <c r="JC18" i="68"/>
  <c r="JB18" i="68"/>
  <c r="JA18" i="68"/>
  <c r="IZ18" i="68"/>
  <c r="IY18" i="68"/>
  <c r="IX18" i="68"/>
  <c r="IW18" i="68"/>
  <c r="IV18" i="68"/>
  <c r="IU18" i="68"/>
  <c r="IT18" i="68"/>
  <c r="IS18" i="68"/>
  <c r="IR18" i="68"/>
  <c r="IQ18" i="68"/>
  <c r="IP18" i="68"/>
  <c r="IO18" i="68"/>
  <c r="IN18" i="68"/>
  <c r="IM18" i="68"/>
  <c r="IL18" i="68"/>
  <c r="IK18" i="68"/>
  <c r="IJ18" i="68"/>
  <c r="II18" i="68"/>
  <c r="IH18" i="68"/>
  <c r="IG18" i="68"/>
  <c r="IF18" i="68"/>
  <c r="IE18" i="68"/>
  <c r="ID18" i="68"/>
  <c r="IC18" i="68"/>
  <c r="IB18" i="68"/>
  <c r="IA18" i="68"/>
  <c r="HZ18" i="68"/>
  <c r="HY18" i="68"/>
  <c r="HX18" i="68"/>
  <c r="HW18" i="68"/>
  <c r="HV18" i="68"/>
  <c r="HU18" i="68"/>
  <c r="HT18" i="68"/>
  <c r="HS18" i="68"/>
  <c r="HR18" i="68"/>
  <c r="HQ18" i="68"/>
  <c r="HP18" i="68"/>
  <c r="HO18" i="68"/>
  <c r="HN18" i="68"/>
  <c r="HM18" i="68"/>
  <c r="HL18" i="68"/>
  <c r="HK18" i="68"/>
  <c r="HJ18" i="68"/>
  <c r="HI18" i="68"/>
  <c r="HH18" i="68"/>
  <c r="HG18" i="68"/>
  <c r="HF18" i="68"/>
  <c r="HE18" i="68"/>
  <c r="HD18" i="68"/>
  <c r="HC18" i="68"/>
  <c r="HB18" i="68"/>
  <c r="HA18" i="68"/>
  <c r="GZ18" i="68"/>
  <c r="GY18" i="68"/>
  <c r="GX18" i="68"/>
  <c r="GW18" i="68"/>
  <c r="GV18" i="68"/>
  <c r="GU18" i="68"/>
  <c r="GT18" i="68"/>
  <c r="GS18" i="68"/>
  <c r="GR18" i="68"/>
  <c r="GQ18" i="68"/>
  <c r="GP18" i="68"/>
  <c r="GO18" i="68"/>
  <c r="GN18" i="68"/>
  <c r="GM18" i="68"/>
  <c r="GL18" i="68"/>
  <c r="GK18" i="68"/>
  <c r="GJ18" i="68"/>
  <c r="GI18" i="68"/>
  <c r="GH18" i="68"/>
  <c r="GG18" i="68"/>
  <c r="GF18" i="68"/>
  <c r="GE18" i="68"/>
  <c r="GD18" i="68"/>
  <c r="GC18" i="68"/>
  <c r="GB18" i="68"/>
  <c r="GA18" i="68"/>
  <c r="FZ18" i="68"/>
  <c r="FY18" i="68"/>
  <c r="FX18" i="68"/>
  <c r="FW18" i="68"/>
  <c r="FV18" i="68"/>
  <c r="FU18" i="68"/>
  <c r="FT18" i="68"/>
  <c r="FS18" i="68"/>
  <c r="FR18" i="68"/>
  <c r="FQ18" i="68"/>
  <c r="FP18" i="68"/>
  <c r="FO18" i="68"/>
  <c r="C18" i="68"/>
  <c r="LW17" i="68"/>
  <c r="LV17" i="68"/>
  <c r="LU17" i="68"/>
  <c r="LT17" i="68"/>
  <c r="LS17" i="68"/>
  <c r="LR17" i="68"/>
  <c r="LQ17" i="68"/>
  <c r="LP17" i="68"/>
  <c r="LO17" i="68"/>
  <c r="LN17" i="68"/>
  <c r="LM17" i="68"/>
  <c r="LL17" i="68"/>
  <c r="LK17" i="68"/>
  <c r="LJ17" i="68"/>
  <c r="LI17" i="68"/>
  <c r="LH17" i="68"/>
  <c r="LG17" i="68"/>
  <c r="LF17" i="68"/>
  <c r="LE17" i="68"/>
  <c r="LD17" i="68"/>
  <c r="LC17" i="68"/>
  <c r="LB17" i="68"/>
  <c r="LA17" i="68"/>
  <c r="KZ17" i="68"/>
  <c r="KY17" i="68"/>
  <c r="KX17" i="68"/>
  <c r="KW17" i="68"/>
  <c r="KV17" i="68"/>
  <c r="KU17" i="68"/>
  <c r="KT17" i="68"/>
  <c r="KS17" i="68"/>
  <c r="KR17" i="68"/>
  <c r="KQ17" i="68"/>
  <c r="KP17" i="68"/>
  <c r="KO17" i="68"/>
  <c r="KN17" i="68"/>
  <c r="KM17" i="68"/>
  <c r="KL17" i="68"/>
  <c r="KK17" i="68"/>
  <c r="KJ17" i="68"/>
  <c r="KI17" i="68"/>
  <c r="KH17" i="68"/>
  <c r="KG17" i="68"/>
  <c r="KF17" i="68"/>
  <c r="KE17" i="68"/>
  <c r="KD17" i="68"/>
  <c r="KC17" i="68"/>
  <c r="KB17" i="68"/>
  <c r="KA17" i="68"/>
  <c r="JZ17" i="68"/>
  <c r="JY17" i="68"/>
  <c r="JX17" i="68"/>
  <c r="JW17" i="68"/>
  <c r="JV17" i="68"/>
  <c r="JU17" i="68"/>
  <c r="JT17" i="68"/>
  <c r="JS17" i="68"/>
  <c r="JR17" i="68"/>
  <c r="JQ17" i="68"/>
  <c r="JP17" i="68"/>
  <c r="JO17" i="68"/>
  <c r="JN17" i="68"/>
  <c r="JM17" i="68"/>
  <c r="JL17" i="68"/>
  <c r="JK17" i="68"/>
  <c r="JJ17" i="68"/>
  <c r="JI17" i="68"/>
  <c r="JH17" i="68"/>
  <c r="JG17" i="68"/>
  <c r="JF17" i="68"/>
  <c r="JE17" i="68"/>
  <c r="JD17" i="68"/>
  <c r="JC17" i="68"/>
  <c r="JB17" i="68"/>
  <c r="JA17" i="68"/>
  <c r="IZ17" i="68"/>
  <c r="IY17" i="68"/>
  <c r="IX17" i="68"/>
  <c r="IW17" i="68"/>
  <c r="IV17" i="68"/>
  <c r="IU17" i="68"/>
  <c r="IT17" i="68"/>
  <c r="IS17" i="68"/>
  <c r="IR17" i="68"/>
  <c r="IQ17" i="68"/>
  <c r="IP17" i="68"/>
  <c r="IO17" i="68"/>
  <c r="IN17" i="68"/>
  <c r="IM17" i="68"/>
  <c r="IL17" i="68"/>
  <c r="IK17" i="68"/>
  <c r="IJ17" i="68"/>
  <c r="II17" i="68"/>
  <c r="IH17" i="68"/>
  <c r="IG17" i="68"/>
  <c r="IF17" i="68"/>
  <c r="IE17" i="68"/>
  <c r="ID17" i="68"/>
  <c r="IC17" i="68"/>
  <c r="IB17" i="68"/>
  <c r="IA17" i="68"/>
  <c r="HZ17" i="68"/>
  <c r="HY17" i="68"/>
  <c r="HX17" i="68"/>
  <c r="HW17" i="68"/>
  <c r="HV17" i="68"/>
  <c r="HU17" i="68"/>
  <c r="HT17" i="68"/>
  <c r="HS17" i="68"/>
  <c r="HR17" i="68"/>
  <c r="HQ17" i="68"/>
  <c r="HP17" i="68"/>
  <c r="HO17" i="68"/>
  <c r="HN17" i="68"/>
  <c r="HM17" i="68"/>
  <c r="HL17" i="68"/>
  <c r="HK17" i="68"/>
  <c r="HJ17" i="68"/>
  <c r="HI17" i="68"/>
  <c r="HH17" i="68"/>
  <c r="HG17" i="68"/>
  <c r="HF17" i="68"/>
  <c r="HE17" i="68"/>
  <c r="HD17" i="68"/>
  <c r="HC17" i="68"/>
  <c r="HB17" i="68"/>
  <c r="HA17" i="68"/>
  <c r="GZ17" i="68"/>
  <c r="GY17" i="68"/>
  <c r="GX17" i="68"/>
  <c r="GW17" i="68"/>
  <c r="GV17" i="68"/>
  <c r="GU17" i="68"/>
  <c r="GT17" i="68"/>
  <c r="GS17" i="68"/>
  <c r="GR17" i="68"/>
  <c r="GQ17" i="68"/>
  <c r="GP17" i="68"/>
  <c r="GO17" i="68"/>
  <c r="GN17" i="68"/>
  <c r="GM17" i="68"/>
  <c r="GL17" i="68"/>
  <c r="GK17" i="68"/>
  <c r="GJ17" i="68"/>
  <c r="GI17" i="68"/>
  <c r="GH17" i="68"/>
  <c r="GG17" i="68"/>
  <c r="GF17" i="68"/>
  <c r="GE17" i="68"/>
  <c r="GD17" i="68"/>
  <c r="GC17" i="68"/>
  <c r="GB17" i="68"/>
  <c r="GA17" i="68"/>
  <c r="FZ17" i="68"/>
  <c r="FY17" i="68"/>
  <c r="FX17" i="68"/>
  <c r="FW17" i="68"/>
  <c r="FV17" i="68"/>
  <c r="FU17" i="68"/>
  <c r="FT17" i="68"/>
  <c r="FS17" i="68"/>
  <c r="FR17" i="68"/>
  <c r="FQ17" i="68"/>
  <c r="FP17" i="68"/>
  <c r="FO17" i="68"/>
  <c r="C17" i="68"/>
  <c r="LW16" i="68"/>
  <c r="LV16" i="68"/>
  <c r="LU16" i="68"/>
  <c r="LT16" i="68"/>
  <c r="LS16" i="68"/>
  <c r="LR16" i="68"/>
  <c r="LQ16" i="68"/>
  <c r="LP16" i="68"/>
  <c r="LO16" i="68"/>
  <c r="LN16" i="68"/>
  <c r="LM16" i="68"/>
  <c r="LL16" i="68"/>
  <c r="LK16" i="68"/>
  <c r="LJ16" i="68"/>
  <c r="LI16" i="68"/>
  <c r="LH16" i="68"/>
  <c r="LG16" i="68"/>
  <c r="LF16" i="68"/>
  <c r="LE16" i="68"/>
  <c r="LD16" i="68"/>
  <c r="LC16" i="68"/>
  <c r="LB16" i="68"/>
  <c r="LA16" i="68"/>
  <c r="KZ16" i="68"/>
  <c r="KY16" i="68"/>
  <c r="KX16" i="68"/>
  <c r="KW16" i="68"/>
  <c r="KV16" i="68"/>
  <c r="KU16" i="68"/>
  <c r="KT16" i="68"/>
  <c r="KS16" i="68"/>
  <c r="KR16" i="68"/>
  <c r="KQ16" i="68"/>
  <c r="KP16" i="68"/>
  <c r="KO16" i="68"/>
  <c r="KN16" i="68"/>
  <c r="KM16" i="68"/>
  <c r="KL16" i="68"/>
  <c r="KK16" i="68"/>
  <c r="KJ16" i="68"/>
  <c r="KI16" i="68"/>
  <c r="KH16" i="68"/>
  <c r="KG16" i="68"/>
  <c r="KF16" i="68"/>
  <c r="KE16" i="68"/>
  <c r="KD16" i="68"/>
  <c r="KC16" i="68"/>
  <c r="KB16" i="68"/>
  <c r="KA16" i="68"/>
  <c r="JZ16" i="68"/>
  <c r="JY16" i="68"/>
  <c r="JX16" i="68"/>
  <c r="JW16" i="68"/>
  <c r="JV16" i="68"/>
  <c r="JU16" i="68"/>
  <c r="JT16" i="68"/>
  <c r="JS16" i="68"/>
  <c r="JR16" i="68"/>
  <c r="JQ16" i="68"/>
  <c r="JP16" i="68"/>
  <c r="JO16" i="68"/>
  <c r="JN16" i="68"/>
  <c r="JM16" i="68"/>
  <c r="JL16" i="68"/>
  <c r="JK16" i="68"/>
  <c r="JJ16" i="68"/>
  <c r="JI16" i="68"/>
  <c r="JH16" i="68"/>
  <c r="JG16" i="68"/>
  <c r="JF16" i="68"/>
  <c r="JE16" i="68"/>
  <c r="JD16" i="68"/>
  <c r="JC16" i="68"/>
  <c r="JB16" i="68"/>
  <c r="JA16" i="68"/>
  <c r="IZ16" i="68"/>
  <c r="IY16" i="68"/>
  <c r="IX16" i="68"/>
  <c r="IW16" i="68"/>
  <c r="IV16" i="68"/>
  <c r="IU16" i="68"/>
  <c r="IT16" i="68"/>
  <c r="IS16" i="68"/>
  <c r="IR16" i="68"/>
  <c r="IQ16" i="68"/>
  <c r="IP16" i="68"/>
  <c r="IO16" i="68"/>
  <c r="IN16" i="68"/>
  <c r="IM16" i="68"/>
  <c r="IL16" i="68"/>
  <c r="IK16" i="68"/>
  <c r="IJ16" i="68"/>
  <c r="II16" i="68"/>
  <c r="IH16" i="68"/>
  <c r="IG16" i="68"/>
  <c r="IF16" i="68"/>
  <c r="IE16" i="68"/>
  <c r="ID16" i="68"/>
  <c r="IC16" i="68"/>
  <c r="IB16" i="68"/>
  <c r="IA16" i="68"/>
  <c r="HZ16" i="68"/>
  <c r="HY16" i="68"/>
  <c r="HX16" i="68"/>
  <c r="HW16" i="68"/>
  <c r="HV16" i="68"/>
  <c r="HU16" i="68"/>
  <c r="HT16" i="68"/>
  <c r="HS16" i="68"/>
  <c r="HR16" i="68"/>
  <c r="HQ16" i="68"/>
  <c r="HP16" i="68"/>
  <c r="HO16" i="68"/>
  <c r="HN16" i="68"/>
  <c r="HM16" i="68"/>
  <c r="HL16" i="68"/>
  <c r="HK16" i="68"/>
  <c r="HJ16" i="68"/>
  <c r="HI16" i="68"/>
  <c r="HH16" i="68"/>
  <c r="HG16" i="68"/>
  <c r="HF16" i="68"/>
  <c r="HE16" i="68"/>
  <c r="HD16" i="68"/>
  <c r="HC16" i="68"/>
  <c r="HB16" i="68"/>
  <c r="HA16" i="68"/>
  <c r="GZ16" i="68"/>
  <c r="GY16" i="68"/>
  <c r="GX16" i="68"/>
  <c r="GW16" i="68"/>
  <c r="GV16" i="68"/>
  <c r="GU16" i="68"/>
  <c r="GT16" i="68"/>
  <c r="GS16" i="68"/>
  <c r="GR16" i="68"/>
  <c r="GQ16" i="68"/>
  <c r="GP16" i="68"/>
  <c r="GO16" i="68"/>
  <c r="GN16" i="68"/>
  <c r="GM16" i="68"/>
  <c r="GL16" i="68"/>
  <c r="GK16" i="68"/>
  <c r="GJ16" i="68"/>
  <c r="GI16" i="68"/>
  <c r="GH16" i="68"/>
  <c r="GG16" i="68"/>
  <c r="GF16" i="68"/>
  <c r="GE16" i="68"/>
  <c r="GD16" i="68"/>
  <c r="GC16" i="68"/>
  <c r="GB16" i="68"/>
  <c r="GA16" i="68"/>
  <c r="FZ16" i="68"/>
  <c r="FY16" i="68"/>
  <c r="FX16" i="68"/>
  <c r="FW16" i="68"/>
  <c r="FV16" i="68"/>
  <c r="FU16" i="68"/>
  <c r="FT16" i="68"/>
  <c r="FS16" i="68"/>
  <c r="FR16" i="68"/>
  <c r="FQ16" i="68"/>
  <c r="FP16" i="68"/>
  <c r="FO16" i="68"/>
  <c r="C16" i="68"/>
  <c r="LW15" i="68"/>
  <c r="LV15" i="68"/>
  <c r="LU15" i="68"/>
  <c r="LT15" i="68"/>
  <c r="LS15" i="68"/>
  <c r="LR15" i="68"/>
  <c r="LQ15" i="68"/>
  <c r="LP15" i="68"/>
  <c r="LO15" i="68"/>
  <c r="LN15" i="68"/>
  <c r="LM15" i="68"/>
  <c r="LL15" i="68"/>
  <c r="LK15" i="68"/>
  <c r="LJ15" i="68"/>
  <c r="LI15" i="68"/>
  <c r="LH15" i="68"/>
  <c r="LG15" i="68"/>
  <c r="LF15" i="68"/>
  <c r="LE15" i="68"/>
  <c r="LD15" i="68"/>
  <c r="LC15" i="68"/>
  <c r="LB15" i="68"/>
  <c r="LA15" i="68"/>
  <c r="KZ15" i="68"/>
  <c r="KY15" i="68"/>
  <c r="KX15" i="68"/>
  <c r="KW15" i="68"/>
  <c r="KV15" i="68"/>
  <c r="KU15" i="68"/>
  <c r="KT15" i="68"/>
  <c r="KS15" i="68"/>
  <c r="KR15" i="68"/>
  <c r="KQ15" i="68"/>
  <c r="KP15" i="68"/>
  <c r="KO15" i="68"/>
  <c r="KN15" i="68"/>
  <c r="KM15" i="68"/>
  <c r="KL15" i="68"/>
  <c r="KK15" i="68"/>
  <c r="KJ15" i="68"/>
  <c r="KI15" i="68"/>
  <c r="KH15" i="68"/>
  <c r="KG15" i="68"/>
  <c r="KF15" i="68"/>
  <c r="KE15" i="68"/>
  <c r="KD15" i="68"/>
  <c r="KC15" i="68"/>
  <c r="KB15" i="68"/>
  <c r="KA15" i="68"/>
  <c r="JZ15" i="68"/>
  <c r="JY15" i="68"/>
  <c r="JX15" i="68"/>
  <c r="JW15" i="68"/>
  <c r="JV15" i="68"/>
  <c r="JU15" i="68"/>
  <c r="JT15" i="68"/>
  <c r="JS15" i="68"/>
  <c r="JR15" i="68"/>
  <c r="JQ15" i="68"/>
  <c r="JP15" i="68"/>
  <c r="JO15" i="68"/>
  <c r="JN15" i="68"/>
  <c r="JM15" i="68"/>
  <c r="JL15" i="68"/>
  <c r="JK15" i="68"/>
  <c r="JJ15" i="68"/>
  <c r="JI15" i="68"/>
  <c r="JH15" i="68"/>
  <c r="JG15" i="68"/>
  <c r="JF15" i="68"/>
  <c r="JE15" i="68"/>
  <c r="JD15" i="68"/>
  <c r="JC15" i="68"/>
  <c r="JB15" i="68"/>
  <c r="JA15" i="68"/>
  <c r="IZ15" i="68"/>
  <c r="IY15" i="68"/>
  <c r="IX15" i="68"/>
  <c r="IW15" i="68"/>
  <c r="IV15" i="68"/>
  <c r="IU15" i="68"/>
  <c r="IT15" i="68"/>
  <c r="IS15" i="68"/>
  <c r="IR15" i="68"/>
  <c r="IQ15" i="68"/>
  <c r="IP15" i="68"/>
  <c r="IO15" i="68"/>
  <c r="IN15" i="68"/>
  <c r="IM15" i="68"/>
  <c r="IL15" i="68"/>
  <c r="IK15" i="68"/>
  <c r="IJ15" i="68"/>
  <c r="II15" i="68"/>
  <c r="IH15" i="68"/>
  <c r="IG15" i="68"/>
  <c r="IF15" i="68"/>
  <c r="IE15" i="68"/>
  <c r="ID15" i="68"/>
  <c r="IC15" i="68"/>
  <c r="IB15" i="68"/>
  <c r="IA15" i="68"/>
  <c r="HZ15" i="68"/>
  <c r="HY15" i="68"/>
  <c r="HX15" i="68"/>
  <c r="HW15" i="68"/>
  <c r="HV15" i="68"/>
  <c r="HU15" i="68"/>
  <c r="HT15" i="68"/>
  <c r="HS15" i="68"/>
  <c r="HR15" i="68"/>
  <c r="HQ15" i="68"/>
  <c r="HP15" i="68"/>
  <c r="HO15" i="68"/>
  <c r="HN15" i="68"/>
  <c r="HM15" i="68"/>
  <c r="HL15" i="68"/>
  <c r="HK15" i="68"/>
  <c r="HJ15" i="68"/>
  <c r="HI15" i="68"/>
  <c r="HH15" i="68"/>
  <c r="HG15" i="68"/>
  <c r="HF15" i="68"/>
  <c r="HE15" i="68"/>
  <c r="HD15" i="68"/>
  <c r="HC15" i="68"/>
  <c r="HB15" i="68"/>
  <c r="HA15" i="68"/>
  <c r="GZ15" i="68"/>
  <c r="GY15" i="68"/>
  <c r="GX15" i="68"/>
  <c r="GW15" i="68"/>
  <c r="GV15" i="68"/>
  <c r="GU15" i="68"/>
  <c r="GT15" i="68"/>
  <c r="GS15" i="68"/>
  <c r="GR15" i="68"/>
  <c r="GQ15" i="68"/>
  <c r="GP15" i="68"/>
  <c r="GO15" i="68"/>
  <c r="GN15" i="68"/>
  <c r="GM15" i="68"/>
  <c r="GL15" i="68"/>
  <c r="GK15" i="68"/>
  <c r="GJ15" i="68"/>
  <c r="GI15" i="68"/>
  <c r="GH15" i="68"/>
  <c r="GG15" i="68"/>
  <c r="GF15" i="68"/>
  <c r="GE15" i="68"/>
  <c r="GD15" i="68"/>
  <c r="GC15" i="68"/>
  <c r="GB15" i="68"/>
  <c r="GA15" i="68"/>
  <c r="FZ15" i="68"/>
  <c r="FY15" i="68"/>
  <c r="FX15" i="68"/>
  <c r="FW15" i="68"/>
  <c r="FV15" i="68"/>
  <c r="FU15" i="68"/>
  <c r="FT15" i="68"/>
  <c r="FS15" i="68"/>
  <c r="FR15" i="68"/>
  <c r="FQ15" i="68"/>
  <c r="FP15" i="68"/>
  <c r="FO15" i="68"/>
  <c r="C15" i="68"/>
  <c r="LW14" i="68"/>
  <c r="LV14" i="68"/>
  <c r="LU14" i="68"/>
  <c r="LT14" i="68"/>
  <c r="LS14" i="68"/>
  <c r="LR14" i="68"/>
  <c r="LQ14" i="68"/>
  <c r="LP14" i="68"/>
  <c r="LO14" i="68"/>
  <c r="LN14" i="68"/>
  <c r="LM14" i="68"/>
  <c r="LL14" i="68"/>
  <c r="LK14" i="68"/>
  <c r="LJ14" i="68"/>
  <c r="LI14" i="68"/>
  <c r="LH14" i="68"/>
  <c r="LG14" i="68"/>
  <c r="LF14" i="68"/>
  <c r="LE14" i="68"/>
  <c r="LD14" i="68"/>
  <c r="LC14" i="68"/>
  <c r="LB14" i="68"/>
  <c r="LA14" i="68"/>
  <c r="KZ14" i="68"/>
  <c r="KY14" i="68"/>
  <c r="KX14" i="68"/>
  <c r="KW14" i="68"/>
  <c r="KV14" i="68"/>
  <c r="KU14" i="68"/>
  <c r="KT14" i="68"/>
  <c r="KS14" i="68"/>
  <c r="KR14" i="68"/>
  <c r="KQ14" i="68"/>
  <c r="KP14" i="68"/>
  <c r="KO14" i="68"/>
  <c r="KN14" i="68"/>
  <c r="KM14" i="68"/>
  <c r="KL14" i="68"/>
  <c r="KK14" i="68"/>
  <c r="KJ14" i="68"/>
  <c r="KI14" i="68"/>
  <c r="KH14" i="68"/>
  <c r="KG14" i="68"/>
  <c r="KF14" i="68"/>
  <c r="KE14" i="68"/>
  <c r="KD14" i="68"/>
  <c r="KC14" i="68"/>
  <c r="KB14" i="68"/>
  <c r="KA14" i="68"/>
  <c r="JZ14" i="68"/>
  <c r="JY14" i="68"/>
  <c r="JX14" i="68"/>
  <c r="JW14" i="68"/>
  <c r="JV14" i="68"/>
  <c r="JU14" i="68"/>
  <c r="JT14" i="68"/>
  <c r="JS14" i="68"/>
  <c r="JR14" i="68"/>
  <c r="JQ14" i="68"/>
  <c r="JP14" i="68"/>
  <c r="JO14" i="68"/>
  <c r="JN14" i="68"/>
  <c r="JM14" i="68"/>
  <c r="JL14" i="68"/>
  <c r="JK14" i="68"/>
  <c r="JJ14" i="68"/>
  <c r="JI14" i="68"/>
  <c r="JH14" i="68"/>
  <c r="JG14" i="68"/>
  <c r="JF14" i="68"/>
  <c r="JE14" i="68"/>
  <c r="JD14" i="68"/>
  <c r="JC14" i="68"/>
  <c r="JB14" i="68"/>
  <c r="JA14" i="68"/>
  <c r="IZ14" i="68"/>
  <c r="IY14" i="68"/>
  <c r="IX14" i="68"/>
  <c r="IW14" i="68"/>
  <c r="IV14" i="68"/>
  <c r="IU14" i="68"/>
  <c r="IT14" i="68"/>
  <c r="IS14" i="68"/>
  <c r="IR14" i="68"/>
  <c r="IQ14" i="68"/>
  <c r="IP14" i="68"/>
  <c r="IO14" i="68"/>
  <c r="IN14" i="68"/>
  <c r="IM14" i="68"/>
  <c r="IL14" i="68"/>
  <c r="IK14" i="68"/>
  <c r="IJ14" i="68"/>
  <c r="II14" i="68"/>
  <c r="IH14" i="68"/>
  <c r="IG14" i="68"/>
  <c r="IF14" i="68"/>
  <c r="IE14" i="68"/>
  <c r="ID14" i="68"/>
  <c r="IC14" i="68"/>
  <c r="IB14" i="68"/>
  <c r="IA14" i="68"/>
  <c r="HZ14" i="68"/>
  <c r="HY14" i="68"/>
  <c r="HX14" i="68"/>
  <c r="HW14" i="68"/>
  <c r="HV14" i="68"/>
  <c r="HU14" i="68"/>
  <c r="HT14" i="68"/>
  <c r="HS14" i="68"/>
  <c r="HR14" i="68"/>
  <c r="HQ14" i="68"/>
  <c r="HP14" i="68"/>
  <c r="HO14" i="68"/>
  <c r="HN14" i="68"/>
  <c r="HM14" i="68"/>
  <c r="HL14" i="68"/>
  <c r="HK14" i="68"/>
  <c r="HJ14" i="68"/>
  <c r="HI14" i="68"/>
  <c r="HH14" i="68"/>
  <c r="HG14" i="68"/>
  <c r="HF14" i="68"/>
  <c r="HE14" i="68"/>
  <c r="HD14" i="68"/>
  <c r="HC14" i="68"/>
  <c r="HB14" i="68"/>
  <c r="HA14" i="68"/>
  <c r="GZ14" i="68"/>
  <c r="GY14" i="68"/>
  <c r="GX14" i="68"/>
  <c r="GW14" i="68"/>
  <c r="GV14" i="68"/>
  <c r="GU14" i="68"/>
  <c r="GT14" i="68"/>
  <c r="GS14" i="68"/>
  <c r="GR14" i="68"/>
  <c r="GQ14" i="68"/>
  <c r="GP14" i="68"/>
  <c r="GO14" i="68"/>
  <c r="GN14" i="68"/>
  <c r="GM14" i="68"/>
  <c r="GL14" i="68"/>
  <c r="GK14" i="68"/>
  <c r="GJ14" i="68"/>
  <c r="GI14" i="68"/>
  <c r="GH14" i="68"/>
  <c r="GG14" i="68"/>
  <c r="GF14" i="68"/>
  <c r="GE14" i="68"/>
  <c r="GD14" i="68"/>
  <c r="GC14" i="68"/>
  <c r="GB14" i="68"/>
  <c r="GA14" i="68"/>
  <c r="FZ14" i="68"/>
  <c r="FY14" i="68"/>
  <c r="FX14" i="68"/>
  <c r="FW14" i="68"/>
  <c r="FV14" i="68"/>
  <c r="FU14" i="68"/>
  <c r="FT14" i="68"/>
  <c r="FS14" i="68"/>
  <c r="FR14" i="68"/>
  <c r="FQ14" i="68"/>
  <c r="FP14" i="68"/>
  <c r="FO14" i="68"/>
  <c r="C14" i="68"/>
  <c r="LW13" i="68"/>
  <c r="LV13" i="68"/>
  <c r="LU13" i="68"/>
  <c r="LT13" i="68"/>
  <c r="LS13" i="68"/>
  <c r="LR13" i="68"/>
  <c r="LQ13" i="68"/>
  <c r="LP13" i="68"/>
  <c r="LO13" i="68"/>
  <c r="LN13" i="68"/>
  <c r="LM13" i="68"/>
  <c r="LL13" i="68"/>
  <c r="LK13" i="68"/>
  <c r="LJ13" i="68"/>
  <c r="LI13" i="68"/>
  <c r="LH13" i="68"/>
  <c r="LG13" i="68"/>
  <c r="LF13" i="68"/>
  <c r="LE13" i="68"/>
  <c r="LD13" i="68"/>
  <c r="LC13" i="68"/>
  <c r="LB13" i="68"/>
  <c r="LA13" i="68"/>
  <c r="KZ13" i="68"/>
  <c r="KY13" i="68"/>
  <c r="KX13" i="68"/>
  <c r="KW13" i="68"/>
  <c r="KV13" i="68"/>
  <c r="KU13" i="68"/>
  <c r="KT13" i="68"/>
  <c r="KS13" i="68"/>
  <c r="KR13" i="68"/>
  <c r="KQ13" i="68"/>
  <c r="KP13" i="68"/>
  <c r="KO13" i="68"/>
  <c r="KN13" i="68"/>
  <c r="KM13" i="68"/>
  <c r="KL13" i="68"/>
  <c r="KK13" i="68"/>
  <c r="KJ13" i="68"/>
  <c r="KI13" i="68"/>
  <c r="KH13" i="68"/>
  <c r="KG13" i="68"/>
  <c r="KF13" i="68"/>
  <c r="KE13" i="68"/>
  <c r="KD13" i="68"/>
  <c r="KC13" i="68"/>
  <c r="KB13" i="68"/>
  <c r="KA13" i="68"/>
  <c r="JZ13" i="68"/>
  <c r="JY13" i="68"/>
  <c r="JX13" i="68"/>
  <c r="JW13" i="68"/>
  <c r="JV13" i="68"/>
  <c r="JU13" i="68"/>
  <c r="JT13" i="68"/>
  <c r="JS13" i="68"/>
  <c r="JR13" i="68"/>
  <c r="JQ13" i="68"/>
  <c r="JP13" i="68"/>
  <c r="JO13" i="68"/>
  <c r="JN13" i="68"/>
  <c r="JM13" i="68"/>
  <c r="JL13" i="68"/>
  <c r="JK13" i="68"/>
  <c r="JJ13" i="68"/>
  <c r="JI13" i="68"/>
  <c r="JH13" i="68"/>
  <c r="JG13" i="68"/>
  <c r="JF13" i="68"/>
  <c r="JE13" i="68"/>
  <c r="JD13" i="68"/>
  <c r="JC13" i="68"/>
  <c r="JB13" i="68"/>
  <c r="JA13" i="68"/>
  <c r="IZ13" i="68"/>
  <c r="IY13" i="68"/>
  <c r="IX13" i="68"/>
  <c r="IW13" i="68"/>
  <c r="IV13" i="68"/>
  <c r="IU13" i="68"/>
  <c r="IT13" i="68"/>
  <c r="IS13" i="68"/>
  <c r="IR13" i="68"/>
  <c r="IQ13" i="68"/>
  <c r="IP13" i="68"/>
  <c r="IO13" i="68"/>
  <c r="IN13" i="68"/>
  <c r="IM13" i="68"/>
  <c r="IL13" i="68"/>
  <c r="IK13" i="68"/>
  <c r="IJ13" i="68"/>
  <c r="II13" i="68"/>
  <c r="IH13" i="68"/>
  <c r="IG13" i="68"/>
  <c r="IF13" i="68"/>
  <c r="IE13" i="68"/>
  <c r="ID13" i="68"/>
  <c r="IC13" i="68"/>
  <c r="IB13" i="68"/>
  <c r="IA13" i="68"/>
  <c r="HZ13" i="68"/>
  <c r="HY13" i="68"/>
  <c r="HX13" i="68"/>
  <c r="HW13" i="68"/>
  <c r="HV13" i="68"/>
  <c r="HU13" i="68"/>
  <c r="HT13" i="68"/>
  <c r="HS13" i="68"/>
  <c r="HR13" i="68"/>
  <c r="HQ13" i="68"/>
  <c r="HP13" i="68"/>
  <c r="HO13" i="68"/>
  <c r="HN13" i="68"/>
  <c r="HM13" i="68"/>
  <c r="HL13" i="68"/>
  <c r="HK13" i="68"/>
  <c r="HJ13" i="68"/>
  <c r="HI13" i="68"/>
  <c r="HH13" i="68"/>
  <c r="HG13" i="68"/>
  <c r="HF13" i="68"/>
  <c r="HE13" i="68"/>
  <c r="HD13" i="68"/>
  <c r="HC13" i="68"/>
  <c r="HB13" i="68"/>
  <c r="HA13" i="68"/>
  <c r="GZ13" i="68"/>
  <c r="GY13" i="68"/>
  <c r="GX13" i="68"/>
  <c r="GW13" i="68"/>
  <c r="GV13" i="68"/>
  <c r="GU13" i="68"/>
  <c r="GT13" i="68"/>
  <c r="GS13" i="68"/>
  <c r="GR13" i="68"/>
  <c r="GQ13" i="68"/>
  <c r="GP13" i="68"/>
  <c r="GO13" i="68"/>
  <c r="GN13" i="68"/>
  <c r="GM13" i="68"/>
  <c r="GL13" i="68"/>
  <c r="GK13" i="68"/>
  <c r="GJ13" i="68"/>
  <c r="GI13" i="68"/>
  <c r="GH13" i="68"/>
  <c r="GG13" i="68"/>
  <c r="GF13" i="68"/>
  <c r="GE13" i="68"/>
  <c r="GD13" i="68"/>
  <c r="GC13" i="68"/>
  <c r="GB13" i="68"/>
  <c r="GA13" i="68"/>
  <c r="FZ13" i="68"/>
  <c r="FY13" i="68"/>
  <c r="FX13" i="68"/>
  <c r="FW13" i="68"/>
  <c r="FV13" i="68"/>
  <c r="FU13" i="68"/>
  <c r="FT13" i="68"/>
  <c r="FS13" i="68"/>
  <c r="FR13" i="68"/>
  <c r="FQ13" i="68"/>
  <c r="FP13" i="68"/>
  <c r="FO13" i="68"/>
  <c r="C13" i="68"/>
  <c r="LW12" i="68"/>
  <c r="LV12" i="68"/>
  <c r="LU12" i="68"/>
  <c r="LT12" i="68"/>
  <c r="LS12" i="68"/>
  <c r="LR12" i="68"/>
  <c r="LQ12" i="68"/>
  <c r="LP12" i="68"/>
  <c r="LO12" i="68"/>
  <c r="LN12" i="68"/>
  <c r="LM12" i="68"/>
  <c r="LL12" i="68"/>
  <c r="LK12" i="68"/>
  <c r="LJ12" i="68"/>
  <c r="LI12" i="68"/>
  <c r="LH12" i="68"/>
  <c r="LG12" i="68"/>
  <c r="LF12" i="68"/>
  <c r="LE12" i="68"/>
  <c r="LD12" i="68"/>
  <c r="LC12" i="68"/>
  <c r="LB12" i="68"/>
  <c r="LA12" i="68"/>
  <c r="KZ12" i="68"/>
  <c r="KY12" i="68"/>
  <c r="KX12" i="68"/>
  <c r="KW12" i="68"/>
  <c r="KV12" i="68"/>
  <c r="KU12" i="68"/>
  <c r="KT12" i="68"/>
  <c r="KS12" i="68"/>
  <c r="KR12" i="68"/>
  <c r="KQ12" i="68"/>
  <c r="KP12" i="68"/>
  <c r="KO12" i="68"/>
  <c r="KN12" i="68"/>
  <c r="KM12" i="68"/>
  <c r="KL12" i="68"/>
  <c r="KK12" i="68"/>
  <c r="KJ12" i="68"/>
  <c r="KI12" i="68"/>
  <c r="KH12" i="68"/>
  <c r="KG12" i="68"/>
  <c r="KF12" i="68"/>
  <c r="KE12" i="68"/>
  <c r="KD12" i="68"/>
  <c r="KC12" i="68"/>
  <c r="KB12" i="68"/>
  <c r="KA12" i="68"/>
  <c r="JZ12" i="68"/>
  <c r="JY12" i="68"/>
  <c r="JX12" i="68"/>
  <c r="JW12" i="68"/>
  <c r="JV12" i="68"/>
  <c r="JU12" i="68"/>
  <c r="JT12" i="68"/>
  <c r="JS12" i="68"/>
  <c r="JR12" i="68"/>
  <c r="JQ12" i="68"/>
  <c r="JP12" i="68"/>
  <c r="JO12" i="68"/>
  <c r="JN12" i="68"/>
  <c r="JM12" i="68"/>
  <c r="JL12" i="68"/>
  <c r="JK12" i="68"/>
  <c r="JJ12" i="68"/>
  <c r="JI12" i="68"/>
  <c r="JH12" i="68"/>
  <c r="JG12" i="68"/>
  <c r="JF12" i="68"/>
  <c r="JE12" i="68"/>
  <c r="JD12" i="68"/>
  <c r="JC12" i="68"/>
  <c r="JB12" i="68"/>
  <c r="JA12" i="68"/>
  <c r="IZ12" i="68"/>
  <c r="IY12" i="68"/>
  <c r="IX12" i="68"/>
  <c r="IW12" i="68"/>
  <c r="IV12" i="68"/>
  <c r="IU12" i="68"/>
  <c r="IT12" i="68"/>
  <c r="IS12" i="68"/>
  <c r="IR12" i="68"/>
  <c r="IQ12" i="68"/>
  <c r="IP12" i="68"/>
  <c r="IO12" i="68"/>
  <c r="IN12" i="68"/>
  <c r="IM12" i="68"/>
  <c r="IL12" i="68"/>
  <c r="IK12" i="68"/>
  <c r="IJ12" i="68"/>
  <c r="II12" i="68"/>
  <c r="IH12" i="68"/>
  <c r="IG12" i="68"/>
  <c r="IF12" i="68"/>
  <c r="IE12" i="68"/>
  <c r="ID12" i="68"/>
  <c r="IC12" i="68"/>
  <c r="IB12" i="68"/>
  <c r="IA12" i="68"/>
  <c r="HZ12" i="68"/>
  <c r="HY12" i="68"/>
  <c r="HX12" i="68"/>
  <c r="HW12" i="68"/>
  <c r="HV12" i="68"/>
  <c r="HU12" i="68"/>
  <c r="HT12" i="68"/>
  <c r="HS12" i="68"/>
  <c r="HR12" i="68"/>
  <c r="HQ12" i="68"/>
  <c r="HP12" i="68"/>
  <c r="HO12" i="68"/>
  <c r="HN12" i="68"/>
  <c r="HM12" i="68"/>
  <c r="HL12" i="68"/>
  <c r="HK12" i="68"/>
  <c r="HJ12" i="68"/>
  <c r="HI12" i="68"/>
  <c r="HH12" i="68"/>
  <c r="HG12" i="68"/>
  <c r="HF12" i="68"/>
  <c r="HE12" i="68"/>
  <c r="HD12" i="68"/>
  <c r="HC12" i="68"/>
  <c r="HB12" i="68"/>
  <c r="HA12" i="68"/>
  <c r="GZ12" i="68"/>
  <c r="GY12" i="68"/>
  <c r="GX12" i="68"/>
  <c r="GW12" i="68"/>
  <c r="GV12" i="68"/>
  <c r="GU12" i="68"/>
  <c r="GT12" i="68"/>
  <c r="GS12" i="68"/>
  <c r="GR12" i="68"/>
  <c r="GQ12" i="68"/>
  <c r="GP12" i="68"/>
  <c r="GO12" i="68"/>
  <c r="GN12" i="68"/>
  <c r="GM12" i="68"/>
  <c r="GL12" i="68"/>
  <c r="GK12" i="68"/>
  <c r="GJ12" i="68"/>
  <c r="GI12" i="68"/>
  <c r="GH12" i="68"/>
  <c r="GG12" i="68"/>
  <c r="GF12" i="68"/>
  <c r="GE12" i="68"/>
  <c r="GD12" i="68"/>
  <c r="GC12" i="68"/>
  <c r="GB12" i="68"/>
  <c r="GA12" i="68"/>
  <c r="FZ12" i="68"/>
  <c r="FY12" i="68"/>
  <c r="FX12" i="68"/>
  <c r="FW12" i="68"/>
  <c r="FV12" i="68"/>
  <c r="FU12" i="68"/>
  <c r="FT12" i="68"/>
  <c r="FS12" i="68"/>
  <c r="FR12" i="68"/>
  <c r="FQ12" i="68"/>
  <c r="FP12" i="68"/>
  <c r="FO12" i="68"/>
  <c r="C12" i="68"/>
  <c r="LW11" i="68"/>
  <c r="LV11" i="68"/>
  <c r="LU11" i="68"/>
  <c r="LT11" i="68"/>
  <c r="LS11" i="68"/>
  <c r="LR11" i="68"/>
  <c r="LQ11" i="68"/>
  <c r="LP11" i="68"/>
  <c r="LO11" i="68"/>
  <c r="LN11" i="68"/>
  <c r="LM11" i="68"/>
  <c r="LL11" i="68"/>
  <c r="LK11" i="68"/>
  <c r="LJ11" i="68"/>
  <c r="LI11" i="68"/>
  <c r="LH11" i="68"/>
  <c r="LG11" i="68"/>
  <c r="LF11" i="68"/>
  <c r="LE11" i="68"/>
  <c r="LD11" i="68"/>
  <c r="LC11" i="68"/>
  <c r="LB11" i="68"/>
  <c r="LA11" i="68"/>
  <c r="KZ11" i="68"/>
  <c r="KY11" i="68"/>
  <c r="KX11" i="68"/>
  <c r="KW11" i="68"/>
  <c r="KV11" i="68"/>
  <c r="KU11" i="68"/>
  <c r="KT11" i="68"/>
  <c r="KS11" i="68"/>
  <c r="KR11" i="68"/>
  <c r="KQ11" i="68"/>
  <c r="KP11" i="68"/>
  <c r="KO11" i="68"/>
  <c r="KN11" i="68"/>
  <c r="KM11" i="68"/>
  <c r="KL11" i="68"/>
  <c r="KK11" i="68"/>
  <c r="KJ11" i="68"/>
  <c r="KI11" i="68"/>
  <c r="KH11" i="68"/>
  <c r="KG11" i="68"/>
  <c r="KF11" i="68"/>
  <c r="KE11" i="68"/>
  <c r="KD11" i="68"/>
  <c r="KC11" i="68"/>
  <c r="KB11" i="68"/>
  <c r="KA11" i="68"/>
  <c r="JZ11" i="68"/>
  <c r="JY11" i="68"/>
  <c r="JX11" i="68"/>
  <c r="JW11" i="68"/>
  <c r="JV11" i="68"/>
  <c r="JU11" i="68"/>
  <c r="JT11" i="68"/>
  <c r="JS11" i="68"/>
  <c r="JR11" i="68"/>
  <c r="JQ11" i="68"/>
  <c r="JP11" i="68"/>
  <c r="JO11" i="68"/>
  <c r="JN11" i="68"/>
  <c r="JM11" i="68"/>
  <c r="JL11" i="68"/>
  <c r="JK11" i="68"/>
  <c r="JJ11" i="68"/>
  <c r="JI11" i="68"/>
  <c r="JH11" i="68"/>
  <c r="JG11" i="68"/>
  <c r="JF11" i="68"/>
  <c r="JE11" i="68"/>
  <c r="JD11" i="68"/>
  <c r="JC11" i="68"/>
  <c r="JB11" i="68"/>
  <c r="JA11" i="68"/>
  <c r="IZ11" i="68"/>
  <c r="IY11" i="68"/>
  <c r="IX11" i="68"/>
  <c r="IW11" i="68"/>
  <c r="IV11" i="68"/>
  <c r="IU11" i="68"/>
  <c r="IT11" i="68"/>
  <c r="IS11" i="68"/>
  <c r="IR11" i="68"/>
  <c r="IQ11" i="68"/>
  <c r="IP11" i="68"/>
  <c r="IO11" i="68"/>
  <c r="IN11" i="68"/>
  <c r="IM11" i="68"/>
  <c r="IL11" i="68"/>
  <c r="IK11" i="68"/>
  <c r="IJ11" i="68"/>
  <c r="II11" i="68"/>
  <c r="IH11" i="68"/>
  <c r="IG11" i="68"/>
  <c r="IF11" i="68"/>
  <c r="IE11" i="68"/>
  <c r="ID11" i="68"/>
  <c r="IC11" i="68"/>
  <c r="IB11" i="68"/>
  <c r="IA11" i="68"/>
  <c r="HZ11" i="68"/>
  <c r="HY11" i="68"/>
  <c r="HX11" i="68"/>
  <c r="HW11" i="68"/>
  <c r="HV11" i="68"/>
  <c r="HU11" i="68"/>
  <c r="HT11" i="68"/>
  <c r="HS11" i="68"/>
  <c r="HR11" i="68"/>
  <c r="HQ11" i="68"/>
  <c r="HP11" i="68"/>
  <c r="HO11" i="68"/>
  <c r="HN11" i="68"/>
  <c r="HM11" i="68"/>
  <c r="HL11" i="68"/>
  <c r="HK11" i="68"/>
  <c r="HJ11" i="68"/>
  <c r="HI11" i="68"/>
  <c r="HH11" i="68"/>
  <c r="HG11" i="68"/>
  <c r="HF11" i="68"/>
  <c r="HE11" i="68"/>
  <c r="HD11" i="68"/>
  <c r="HC11" i="68"/>
  <c r="HB11" i="68"/>
  <c r="HA11" i="68"/>
  <c r="GZ11" i="68"/>
  <c r="GY11" i="68"/>
  <c r="GX11" i="68"/>
  <c r="GW11" i="68"/>
  <c r="GV11" i="68"/>
  <c r="GU11" i="68"/>
  <c r="GT11" i="68"/>
  <c r="GS11" i="68"/>
  <c r="GR11" i="68"/>
  <c r="GQ11" i="68"/>
  <c r="GP11" i="68"/>
  <c r="GO11" i="68"/>
  <c r="GN11" i="68"/>
  <c r="GM11" i="68"/>
  <c r="GL11" i="68"/>
  <c r="GK11" i="68"/>
  <c r="GJ11" i="68"/>
  <c r="GI11" i="68"/>
  <c r="GH11" i="68"/>
  <c r="GG11" i="68"/>
  <c r="GF11" i="68"/>
  <c r="GE11" i="68"/>
  <c r="GD11" i="68"/>
  <c r="GC11" i="68"/>
  <c r="GB11" i="68"/>
  <c r="GA11" i="68"/>
  <c r="FZ11" i="68"/>
  <c r="FY11" i="68"/>
  <c r="FX11" i="68"/>
  <c r="FW11" i="68"/>
  <c r="FV11" i="68"/>
  <c r="FU11" i="68"/>
  <c r="FT11" i="68"/>
  <c r="FS11" i="68"/>
  <c r="FR11" i="68"/>
  <c r="FQ11" i="68"/>
  <c r="FP11" i="68"/>
  <c r="FO11" i="68"/>
  <c r="C11" i="68"/>
  <c r="LW10" i="68"/>
  <c r="LV10" i="68"/>
  <c r="LU10" i="68"/>
  <c r="LT10" i="68"/>
  <c r="LS10" i="68"/>
  <c r="LR10" i="68"/>
  <c r="LQ10" i="68"/>
  <c r="LP10" i="68"/>
  <c r="LO10" i="68"/>
  <c r="LN10" i="68"/>
  <c r="LM10" i="68"/>
  <c r="LL10" i="68"/>
  <c r="LK10" i="68"/>
  <c r="LJ10" i="68"/>
  <c r="LI10" i="68"/>
  <c r="LH10" i="68"/>
  <c r="LG10" i="68"/>
  <c r="LF10" i="68"/>
  <c r="LE10" i="68"/>
  <c r="LD10" i="68"/>
  <c r="LC10" i="68"/>
  <c r="LB10" i="68"/>
  <c r="LA10" i="68"/>
  <c r="KZ10" i="68"/>
  <c r="KY10" i="68"/>
  <c r="KX10" i="68"/>
  <c r="KW10" i="68"/>
  <c r="KV10" i="68"/>
  <c r="KU10" i="68"/>
  <c r="KT10" i="68"/>
  <c r="KS10" i="68"/>
  <c r="KR10" i="68"/>
  <c r="KQ10" i="68"/>
  <c r="KP10" i="68"/>
  <c r="KO10" i="68"/>
  <c r="KN10" i="68"/>
  <c r="KM10" i="68"/>
  <c r="KL10" i="68"/>
  <c r="KK10" i="68"/>
  <c r="KJ10" i="68"/>
  <c r="KI10" i="68"/>
  <c r="KH10" i="68"/>
  <c r="KG10" i="68"/>
  <c r="KF10" i="68"/>
  <c r="KE10" i="68"/>
  <c r="KD10" i="68"/>
  <c r="KC10" i="68"/>
  <c r="KB10" i="68"/>
  <c r="KA10" i="68"/>
  <c r="JZ10" i="68"/>
  <c r="JY10" i="68"/>
  <c r="JX10" i="68"/>
  <c r="JW10" i="68"/>
  <c r="JV10" i="68"/>
  <c r="JU10" i="68"/>
  <c r="JT10" i="68"/>
  <c r="JS10" i="68"/>
  <c r="JR10" i="68"/>
  <c r="JQ10" i="68"/>
  <c r="JP10" i="68"/>
  <c r="JO10" i="68"/>
  <c r="JN10" i="68"/>
  <c r="JM10" i="68"/>
  <c r="JL10" i="68"/>
  <c r="JK10" i="68"/>
  <c r="JJ10" i="68"/>
  <c r="JI10" i="68"/>
  <c r="JH10" i="68"/>
  <c r="JG10" i="68"/>
  <c r="JF10" i="68"/>
  <c r="JE10" i="68"/>
  <c r="JD10" i="68"/>
  <c r="JC10" i="68"/>
  <c r="JB10" i="68"/>
  <c r="JA10" i="68"/>
  <c r="IZ10" i="68"/>
  <c r="IY10" i="68"/>
  <c r="IX10" i="68"/>
  <c r="IW10" i="68"/>
  <c r="IV10" i="68"/>
  <c r="IU10" i="68"/>
  <c r="IT10" i="68"/>
  <c r="IS10" i="68"/>
  <c r="IR10" i="68"/>
  <c r="IQ10" i="68"/>
  <c r="IP10" i="68"/>
  <c r="IO10" i="68"/>
  <c r="IN10" i="68"/>
  <c r="IM10" i="68"/>
  <c r="IL10" i="68"/>
  <c r="IK10" i="68"/>
  <c r="IJ10" i="68"/>
  <c r="II10" i="68"/>
  <c r="IH10" i="68"/>
  <c r="IG10" i="68"/>
  <c r="IF10" i="68"/>
  <c r="IE10" i="68"/>
  <c r="ID10" i="68"/>
  <c r="IC10" i="68"/>
  <c r="IB10" i="68"/>
  <c r="IA10" i="68"/>
  <c r="HZ10" i="68"/>
  <c r="HY10" i="68"/>
  <c r="HX10" i="68"/>
  <c r="HW10" i="68"/>
  <c r="HV10" i="68"/>
  <c r="HU10" i="68"/>
  <c r="HT10" i="68"/>
  <c r="HS10" i="68"/>
  <c r="HR10" i="68"/>
  <c r="HQ10" i="68"/>
  <c r="HP10" i="68"/>
  <c r="HO10" i="68"/>
  <c r="HN10" i="68"/>
  <c r="HM10" i="68"/>
  <c r="HL10" i="68"/>
  <c r="HK10" i="68"/>
  <c r="HJ10" i="68"/>
  <c r="HI10" i="68"/>
  <c r="HH10" i="68"/>
  <c r="HG10" i="68"/>
  <c r="HF10" i="68"/>
  <c r="HE10" i="68"/>
  <c r="HD10" i="68"/>
  <c r="HC10" i="68"/>
  <c r="HB10" i="68"/>
  <c r="HA10" i="68"/>
  <c r="GZ10" i="68"/>
  <c r="GY10" i="68"/>
  <c r="GX10" i="68"/>
  <c r="GW10" i="68"/>
  <c r="GV10" i="68"/>
  <c r="GU10" i="68"/>
  <c r="GT10" i="68"/>
  <c r="GS10" i="68"/>
  <c r="GR10" i="68"/>
  <c r="GQ10" i="68"/>
  <c r="GP10" i="68"/>
  <c r="GO10" i="68"/>
  <c r="GN10" i="68"/>
  <c r="GM10" i="68"/>
  <c r="GL10" i="68"/>
  <c r="GK10" i="68"/>
  <c r="GJ10" i="68"/>
  <c r="GI10" i="68"/>
  <c r="GH10" i="68"/>
  <c r="GG10" i="68"/>
  <c r="GF10" i="68"/>
  <c r="GE10" i="68"/>
  <c r="GD10" i="68"/>
  <c r="GC10" i="68"/>
  <c r="GB10" i="68"/>
  <c r="GA10" i="68"/>
  <c r="FZ10" i="68"/>
  <c r="FY10" i="68"/>
  <c r="FX10" i="68"/>
  <c r="FW10" i="68"/>
  <c r="FV10" i="68"/>
  <c r="FU10" i="68"/>
  <c r="FT10" i="68"/>
  <c r="FS10" i="68"/>
  <c r="FR10" i="68"/>
  <c r="FQ10" i="68"/>
  <c r="FP10" i="68"/>
  <c r="FO10" i="68"/>
  <c r="C10" i="68"/>
  <c r="LW9" i="68"/>
  <c r="LV9" i="68"/>
  <c r="LU9" i="68"/>
  <c r="LT9" i="68"/>
  <c r="LS9" i="68"/>
  <c r="LR9" i="68"/>
  <c r="LQ9" i="68"/>
  <c r="LP9" i="68"/>
  <c r="LO9" i="68"/>
  <c r="LN9" i="68"/>
  <c r="LM9" i="68"/>
  <c r="LL9" i="68"/>
  <c r="LK9" i="68"/>
  <c r="LJ9" i="68"/>
  <c r="LI9" i="68"/>
  <c r="LH9" i="68"/>
  <c r="LG9" i="68"/>
  <c r="LF9" i="68"/>
  <c r="LE9" i="68"/>
  <c r="LD9" i="68"/>
  <c r="LC9" i="68"/>
  <c r="LB9" i="68"/>
  <c r="LA9" i="68"/>
  <c r="KZ9" i="68"/>
  <c r="KY9" i="68"/>
  <c r="KX9" i="68"/>
  <c r="KW9" i="68"/>
  <c r="KV9" i="68"/>
  <c r="KU9" i="68"/>
  <c r="KT9" i="68"/>
  <c r="KS9" i="68"/>
  <c r="KR9" i="68"/>
  <c r="KQ9" i="68"/>
  <c r="KP9" i="68"/>
  <c r="KO9" i="68"/>
  <c r="KN9" i="68"/>
  <c r="KM9" i="68"/>
  <c r="KL9" i="68"/>
  <c r="KK9" i="68"/>
  <c r="KJ9" i="68"/>
  <c r="KI9" i="68"/>
  <c r="KH9" i="68"/>
  <c r="KG9" i="68"/>
  <c r="KF9" i="68"/>
  <c r="KE9" i="68"/>
  <c r="KD9" i="68"/>
  <c r="KC9" i="68"/>
  <c r="KB9" i="68"/>
  <c r="KA9" i="68"/>
  <c r="JZ9" i="68"/>
  <c r="JY9" i="68"/>
  <c r="JX9" i="68"/>
  <c r="JW9" i="68"/>
  <c r="JV9" i="68"/>
  <c r="JU9" i="68"/>
  <c r="JT9" i="68"/>
  <c r="JS9" i="68"/>
  <c r="JR9" i="68"/>
  <c r="JQ9" i="68"/>
  <c r="JP9" i="68"/>
  <c r="JO9" i="68"/>
  <c r="JN9" i="68"/>
  <c r="JM9" i="68"/>
  <c r="JL9" i="68"/>
  <c r="JK9" i="68"/>
  <c r="JJ9" i="68"/>
  <c r="JI9" i="68"/>
  <c r="JH9" i="68"/>
  <c r="JG9" i="68"/>
  <c r="JF9" i="68"/>
  <c r="JE9" i="68"/>
  <c r="JD9" i="68"/>
  <c r="JC9" i="68"/>
  <c r="JB9" i="68"/>
  <c r="JA9" i="68"/>
  <c r="IZ9" i="68"/>
  <c r="IY9" i="68"/>
  <c r="IX9" i="68"/>
  <c r="IW9" i="68"/>
  <c r="IV9" i="68"/>
  <c r="IU9" i="68"/>
  <c r="IT9" i="68"/>
  <c r="IS9" i="68"/>
  <c r="IR9" i="68"/>
  <c r="IQ9" i="68"/>
  <c r="IP9" i="68"/>
  <c r="IO9" i="68"/>
  <c r="IN9" i="68"/>
  <c r="IM9" i="68"/>
  <c r="IL9" i="68"/>
  <c r="IK9" i="68"/>
  <c r="IJ9" i="68"/>
  <c r="II9" i="68"/>
  <c r="IH9" i="68"/>
  <c r="IG9" i="68"/>
  <c r="IF9" i="68"/>
  <c r="IE9" i="68"/>
  <c r="ID9" i="68"/>
  <c r="IC9" i="68"/>
  <c r="IB9" i="68"/>
  <c r="IA9" i="68"/>
  <c r="HZ9" i="68"/>
  <c r="HY9" i="68"/>
  <c r="HX9" i="68"/>
  <c r="HW9" i="68"/>
  <c r="HV9" i="68"/>
  <c r="HU9" i="68"/>
  <c r="HT9" i="68"/>
  <c r="HS9" i="68"/>
  <c r="HR9" i="68"/>
  <c r="HQ9" i="68"/>
  <c r="HP9" i="68"/>
  <c r="HO9" i="68"/>
  <c r="HN9" i="68"/>
  <c r="HM9" i="68"/>
  <c r="HL9" i="68"/>
  <c r="HK9" i="68"/>
  <c r="HJ9" i="68"/>
  <c r="HI9" i="68"/>
  <c r="HH9" i="68"/>
  <c r="HG9" i="68"/>
  <c r="HF9" i="68"/>
  <c r="HE9" i="68"/>
  <c r="HD9" i="68"/>
  <c r="HC9" i="68"/>
  <c r="HB9" i="68"/>
  <c r="HA9" i="68"/>
  <c r="GZ9" i="68"/>
  <c r="GY9" i="68"/>
  <c r="GX9" i="68"/>
  <c r="GW9" i="68"/>
  <c r="GV9" i="68"/>
  <c r="GU9" i="68"/>
  <c r="GT9" i="68"/>
  <c r="GS9" i="68"/>
  <c r="GR9" i="68"/>
  <c r="GQ9" i="68"/>
  <c r="GP9" i="68"/>
  <c r="GO9" i="68"/>
  <c r="GN9" i="68"/>
  <c r="GM9" i="68"/>
  <c r="GL9" i="68"/>
  <c r="GK9" i="68"/>
  <c r="GJ9" i="68"/>
  <c r="GI9" i="68"/>
  <c r="GH9" i="68"/>
  <c r="GG9" i="68"/>
  <c r="GF9" i="68"/>
  <c r="GE9" i="68"/>
  <c r="GD9" i="68"/>
  <c r="GC9" i="68"/>
  <c r="GB9" i="68"/>
  <c r="GA9" i="68"/>
  <c r="FZ9" i="68"/>
  <c r="FY9" i="68"/>
  <c r="FX9" i="68"/>
  <c r="FW9" i="68"/>
  <c r="FV9" i="68"/>
  <c r="FU9" i="68"/>
  <c r="FT9" i="68"/>
  <c r="FS9" i="68"/>
  <c r="FR9" i="68"/>
  <c r="FQ9" i="68"/>
  <c r="FP9" i="68"/>
  <c r="FO9" i="68"/>
  <c r="C9" i="68"/>
  <c r="LW8" i="68"/>
  <c r="LV8" i="68"/>
  <c r="LU8" i="68"/>
  <c r="LT8" i="68"/>
  <c r="LS8" i="68"/>
  <c r="LR8" i="68"/>
  <c r="LQ8" i="68"/>
  <c r="LP8" i="68"/>
  <c r="LO8" i="68"/>
  <c r="LN8" i="68"/>
  <c r="LM8" i="68"/>
  <c r="LL8" i="68"/>
  <c r="LK8" i="68"/>
  <c r="LJ8" i="68"/>
  <c r="LI8" i="68"/>
  <c r="LH8" i="68"/>
  <c r="LG8" i="68"/>
  <c r="LF8" i="68"/>
  <c r="LE8" i="68"/>
  <c r="LD8" i="68"/>
  <c r="LC8" i="68"/>
  <c r="LB8" i="68"/>
  <c r="LA8" i="68"/>
  <c r="KZ8" i="68"/>
  <c r="KY8" i="68"/>
  <c r="KX8" i="68"/>
  <c r="KW8" i="68"/>
  <c r="KV8" i="68"/>
  <c r="KU8" i="68"/>
  <c r="KT8" i="68"/>
  <c r="KS8" i="68"/>
  <c r="KR8" i="68"/>
  <c r="KQ8" i="68"/>
  <c r="KP8" i="68"/>
  <c r="KO8" i="68"/>
  <c r="KN8" i="68"/>
  <c r="KM8" i="68"/>
  <c r="KL8" i="68"/>
  <c r="KK8" i="68"/>
  <c r="KJ8" i="68"/>
  <c r="KI8" i="68"/>
  <c r="KH8" i="68"/>
  <c r="KG8" i="68"/>
  <c r="KF8" i="68"/>
  <c r="KE8" i="68"/>
  <c r="KD8" i="68"/>
  <c r="KC8" i="68"/>
  <c r="KB8" i="68"/>
  <c r="KA8" i="68"/>
  <c r="JZ8" i="68"/>
  <c r="JY8" i="68"/>
  <c r="JX8" i="68"/>
  <c r="JW8" i="68"/>
  <c r="JV8" i="68"/>
  <c r="JU8" i="68"/>
  <c r="JT8" i="68"/>
  <c r="JS8" i="68"/>
  <c r="JR8" i="68"/>
  <c r="JQ8" i="68"/>
  <c r="JP8" i="68"/>
  <c r="JO8" i="68"/>
  <c r="JN8" i="68"/>
  <c r="JM8" i="68"/>
  <c r="JL8" i="68"/>
  <c r="JK8" i="68"/>
  <c r="JJ8" i="68"/>
  <c r="JI8" i="68"/>
  <c r="JH8" i="68"/>
  <c r="JG8" i="68"/>
  <c r="JF8" i="68"/>
  <c r="JE8" i="68"/>
  <c r="JD8" i="68"/>
  <c r="JC8" i="68"/>
  <c r="JB8" i="68"/>
  <c r="JA8" i="68"/>
  <c r="IZ8" i="68"/>
  <c r="IY8" i="68"/>
  <c r="IX8" i="68"/>
  <c r="IW8" i="68"/>
  <c r="IV8" i="68"/>
  <c r="IU8" i="68"/>
  <c r="IT8" i="68"/>
  <c r="IS8" i="68"/>
  <c r="IR8" i="68"/>
  <c r="IQ8" i="68"/>
  <c r="IP8" i="68"/>
  <c r="IO8" i="68"/>
  <c r="IN8" i="68"/>
  <c r="IM8" i="68"/>
  <c r="IL8" i="68"/>
  <c r="IK8" i="68"/>
  <c r="IJ8" i="68"/>
  <c r="II8" i="68"/>
  <c r="IH8" i="68"/>
  <c r="IG8" i="68"/>
  <c r="IF8" i="68"/>
  <c r="IE8" i="68"/>
  <c r="ID8" i="68"/>
  <c r="IC8" i="68"/>
  <c r="IB8" i="68"/>
  <c r="IA8" i="68"/>
  <c r="HZ8" i="68"/>
  <c r="HY8" i="68"/>
  <c r="HX8" i="68"/>
  <c r="HW8" i="68"/>
  <c r="HV8" i="68"/>
  <c r="HU8" i="68"/>
  <c r="HT8" i="68"/>
  <c r="HS8" i="68"/>
  <c r="HR8" i="68"/>
  <c r="HQ8" i="68"/>
  <c r="HP8" i="68"/>
  <c r="HO8" i="68"/>
  <c r="HN8" i="68"/>
  <c r="HM8" i="68"/>
  <c r="HL8" i="68"/>
  <c r="HK8" i="68"/>
  <c r="HJ8" i="68"/>
  <c r="HI8" i="68"/>
  <c r="HH8" i="68"/>
  <c r="HG8" i="68"/>
  <c r="HF8" i="68"/>
  <c r="HE8" i="68"/>
  <c r="HD8" i="68"/>
  <c r="HC8" i="68"/>
  <c r="HB8" i="68"/>
  <c r="HA8" i="68"/>
  <c r="GZ8" i="68"/>
  <c r="GY8" i="68"/>
  <c r="GX8" i="68"/>
  <c r="GW8" i="68"/>
  <c r="GV8" i="68"/>
  <c r="GU8" i="68"/>
  <c r="GT8" i="68"/>
  <c r="GS8" i="68"/>
  <c r="GR8" i="68"/>
  <c r="GQ8" i="68"/>
  <c r="GP8" i="68"/>
  <c r="GO8" i="68"/>
  <c r="GN8" i="68"/>
  <c r="GM8" i="68"/>
  <c r="GL8" i="68"/>
  <c r="GK8" i="68"/>
  <c r="GJ8" i="68"/>
  <c r="GI8" i="68"/>
  <c r="GH8" i="68"/>
  <c r="GG8" i="68"/>
  <c r="GF8" i="68"/>
  <c r="GE8" i="68"/>
  <c r="GD8" i="68"/>
  <c r="GC8" i="68"/>
  <c r="GB8" i="68"/>
  <c r="GA8" i="68"/>
  <c r="FZ8" i="68"/>
  <c r="FY8" i="68"/>
  <c r="FX8" i="68"/>
  <c r="FW8" i="68"/>
  <c r="FV8" i="68"/>
  <c r="FU8" i="68"/>
  <c r="FT8" i="68"/>
  <c r="FS8" i="68"/>
  <c r="FR8" i="68"/>
  <c r="FQ8" i="68"/>
  <c r="FP8" i="68"/>
  <c r="FO8" i="68"/>
  <c r="C8" i="68"/>
  <c r="LW7" i="68"/>
  <c r="LV7" i="68"/>
  <c r="LU7" i="68"/>
  <c r="LT7" i="68"/>
  <c r="LS7" i="68"/>
  <c r="LR7" i="68"/>
  <c r="LQ7" i="68"/>
  <c r="LP7" i="68"/>
  <c r="LO7" i="68"/>
  <c r="LN7" i="68"/>
  <c r="LM7" i="68"/>
  <c r="LL7" i="68"/>
  <c r="LK7" i="68"/>
  <c r="LJ7" i="68"/>
  <c r="LI7" i="68"/>
  <c r="LH7" i="68"/>
  <c r="LG7" i="68"/>
  <c r="LF7" i="68"/>
  <c r="LE7" i="68"/>
  <c r="LD7" i="68"/>
  <c r="LC7" i="68"/>
  <c r="LB7" i="68"/>
  <c r="LA7" i="68"/>
  <c r="KZ7" i="68"/>
  <c r="KY7" i="68"/>
  <c r="KX7" i="68"/>
  <c r="KW7" i="68"/>
  <c r="KV7" i="68"/>
  <c r="KU7" i="68"/>
  <c r="KT7" i="68"/>
  <c r="KS7" i="68"/>
  <c r="KR7" i="68"/>
  <c r="KQ7" i="68"/>
  <c r="KP7" i="68"/>
  <c r="KO7" i="68"/>
  <c r="KN7" i="68"/>
  <c r="KM7" i="68"/>
  <c r="KL7" i="68"/>
  <c r="KK7" i="68"/>
  <c r="KJ7" i="68"/>
  <c r="KI7" i="68"/>
  <c r="KH7" i="68"/>
  <c r="KG7" i="68"/>
  <c r="KF7" i="68"/>
  <c r="KE7" i="68"/>
  <c r="KD7" i="68"/>
  <c r="KC7" i="68"/>
  <c r="KB7" i="68"/>
  <c r="KA7" i="68"/>
  <c r="JZ7" i="68"/>
  <c r="JY7" i="68"/>
  <c r="JX7" i="68"/>
  <c r="JW7" i="68"/>
  <c r="JV7" i="68"/>
  <c r="JU7" i="68"/>
  <c r="JT7" i="68"/>
  <c r="JS7" i="68"/>
  <c r="JR7" i="68"/>
  <c r="JQ7" i="68"/>
  <c r="JP7" i="68"/>
  <c r="JO7" i="68"/>
  <c r="JN7" i="68"/>
  <c r="JM7" i="68"/>
  <c r="JL7" i="68"/>
  <c r="JK7" i="68"/>
  <c r="JJ7" i="68"/>
  <c r="JI7" i="68"/>
  <c r="JH7" i="68"/>
  <c r="JG7" i="68"/>
  <c r="JF7" i="68"/>
  <c r="JE7" i="68"/>
  <c r="JD7" i="68"/>
  <c r="JC7" i="68"/>
  <c r="JB7" i="68"/>
  <c r="JA7" i="68"/>
  <c r="IZ7" i="68"/>
  <c r="IY7" i="68"/>
  <c r="IX7" i="68"/>
  <c r="IW7" i="68"/>
  <c r="IV7" i="68"/>
  <c r="IU7" i="68"/>
  <c r="IT7" i="68"/>
  <c r="IS7" i="68"/>
  <c r="IR7" i="68"/>
  <c r="IQ7" i="68"/>
  <c r="IP7" i="68"/>
  <c r="IO7" i="68"/>
  <c r="IN7" i="68"/>
  <c r="IM7" i="68"/>
  <c r="IL7" i="68"/>
  <c r="IK7" i="68"/>
  <c r="IJ7" i="68"/>
  <c r="II7" i="68"/>
  <c r="IH7" i="68"/>
  <c r="IG7" i="68"/>
  <c r="IF7" i="68"/>
  <c r="IE7" i="68"/>
  <c r="ID7" i="68"/>
  <c r="IC7" i="68"/>
  <c r="IB7" i="68"/>
  <c r="IA7" i="68"/>
  <c r="HZ7" i="68"/>
  <c r="HY7" i="68"/>
  <c r="HX7" i="68"/>
  <c r="HW7" i="68"/>
  <c r="HV7" i="68"/>
  <c r="HU7" i="68"/>
  <c r="HT7" i="68"/>
  <c r="HS7" i="68"/>
  <c r="HR7" i="68"/>
  <c r="HQ7" i="68"/>
  <c r="HP7" i="68"/>
  <c r="HO7" i="68"/>
  <c r="HN7" i="68"/>
  <c r="HM7" i="68"/>
  <c r="HL7" i="68"/>
  <c r="HK7" i="68"/>
  <c r="HJ7" i="68"/>
  <c r="HI7" i="68"/>
  <c r="HH7" i="68"/>
  <c r="HG7" i="68"/>
  <c r="HF7" i="68"/>
  <c r="HE7" i="68"/>
  <c r="HD7" i="68"/>
  <c r="HC7" i="68"/>
  <c r="HB7" i="68"/>
  <c r="HA7" i="68"/>
  <c r="GZ7" i="68"/>
  <c r="GY7" i="68"/>
  <c r="GX7" i="68"/>
  <c r="GW7" i="68"/>
  <c r="GV7" i="68"/>
  <c r="GU7" i="68"/>
  <c r="GT7" i="68"/>
  <c r="GS7" i="68"/>
  <c r="GR7" i="68"/>
  <c r="GQ7" i="68"/>
  <c r="GP7" i="68"/>
  <c r="GO7" i="68"/>
  <c r="GN7" i="68"/>
  <c r="GM7" i="68"/>
  <c r="GL7" i="68"/>
  <c r="GK7" i="68"/>
  <c r="GJ7" i="68"/>
  <c r="GI7" i="68"/>
  <c r="GH7" i="68"/>
  <c r="GG7" i="68"/>
  <c r="GF7" i="68"/>
  <c r="GE7" i="68"/>
  <c r="GD7" i="68"/>
  <c r="GC7" i="68"/>
  <c r="GB7" i="68"/>
  <c r="GA7" i="68"/>
  <c r="FZ7" i="68"/>
  <c r="FY7" i="68"/>
  <c r="FX7" i="68"/>
  <c r="FW7" i="68"/>
  <c r="FV7" i="68"/>
  <c r="FU7" i="68"/>
  <c r="FT7" i="68"/>
  <c r="FS7" i="68"/>
  <c r="FR7" i="68"/>
  <c r="FQ7" i="68"/>
  <c r="FP7" i="68"/>
  <c r="FO7" i="68"/>
  <c r="C7" i="68"/>
  <c r="LW6" i="68"/>
  <c r="LV6" i="68"/>
  <c r="LU6" i="68"/>
  <c r="LT6" i="68"/>
  <c r="LS6" i="68"/>
  <c r="LR6" i="68"/>
  <c r="LQ6" i="68"/>
  <c r="LP6" i="68"/>
  <c r="LO6" i="68"/>
  <c r="LN6" i="68"/>
  <c r="LM6" i="68"/>
  <c r="LL6" i="68"/>
  <c r="LK6" i="68"/>
  <c r="LJ6" i="68"/>
  <c r="LI6" i="68"/>
  <c r="LH6" i="68"/>
  <c r="LG6" i="68"/>
  <c r="LF6" i="68"/>
  <c r="LE6" i="68"/>
  <c r="LD6" i="68"/>
  <c r="LC6" i="68"/>
  <c r="LB6" i="68"/>
  <c r="LA6" i="68"/>
  <c r="KZ6" i="68"/>
  <c r="KY6" i="68"/>
  <c r="KX6" i="68"/>
  <c r="KW6" i="68"/>
  <c r="KV6" i="68"/>
  <c r="KU6" i="68"/>
  <c r="KT6" i="68"/>
  <c r="KS6" i="68"/>
  <c r="KR6" i="68"/>
  <c r="KQ6" i="68"/>
  <c r="KP6" i="68"/>
  <c r="KO6" i="68"/>
  <c r="KN6" i="68"/>
  <c r="KM6" i="68"/>
  <c r="KL6" i="68"/>
  <c r="KK6" i="68"/>
  <c r="KJ6" i="68"/>
  <c r="KI6" i="68"/>
  <c r="KH6" i="68"/>
  <c r="KG6" i="68"/>
  <c r="KF6" i="68"/>
  <c r="KE6" i="68"/>
  <c r="KD6" i="68"/>
  <c r="KC6" i="68"/>
  <c r="KB6" i="68"/>
  <c r="KA6" i="68"/>
  <c r="JZ6" i="68"/>
  <c r="JY6" i="68"/>
  <c r="JX6" i="68"/>
  <c r="JW6" i="68"/>
  <c r="JV6" i="68"/>
  <c r="JU6" i="68"/>
  <c r="JT6" i="68"/>
  <c r="JS6" i="68"/>
  <c r="JR6" i="68"/>
  <c r="JQ6" i="68"/>
  <c r="JP6" i="68"/>
  <c r="JO6" i="68"/>
  <c r="JN6" i="68"/>
  <c r="JM6" i="68"/>
  <c r="JL6" i="68"/>
  <c r="JK6" i="68"/>
  <c r="JJ6" i="68"/>
  <c r="JI6" i="68"/>
  <c r="JH6" i="68"/>
  <c r="JG6" i="68"/>
  <c r="JF6" i="68"/>
  <c r="JE6" i="68"/>
  <c r="JD6" i="68"/>
  <c r="JC6" i="68"/>
  <c r="JB6" i="68"/>
  <c r="JA6" i="68"/>
  <c r="IZ6" i="68"/>
  <c r="IY6" i="68"/>
  <c r="IX6" i="68"/>
  <c r="IW6" i="68"/>
  <c r="IV6" i="68"/>
  <c r="IU6" i="68"/>
  <c r="IT6" i="68"/>
  <c r="IS6" i="68"/>
  <c r="IR6" i="68"/>
  <c r="IQ6" i="68"/>
  <c r="IP6" i="68"/>
  <c r="IO6" i="68"/>
  <c r="IN6" i="68"/>
  <c r="IM6" i="68"/>
  <c r="IL6" i="68"/>
  <c r="IK6" i="68"/>
  <c r="IJ6" i="68"/>
  <c r="II6" i="68"/>
  <c r="IH6" i="68"/>
  <c r="IG6" i="68"/>
  <c r="IF6" i="68"/>
  <c r="IE6" i="68"/>
  <c r="ID6" i="68"/>
  <c r="IC6" i="68"/>
  <c r="IB6" i="68"/>
  <c r="IA6" i="68"/>
  <c r="HZ6" i="68"/>
  <c r="HY6" i="68"/>
  <c r="HX6" i="68"/>
  <c r="HW6" i="68"/>
  <c r="HV6" i="68"/>
  <c r="HU6" i="68"/>
  <c r="HT6" i="68"/>
  <c r="HS6" i="68"/>
  <c r="HR6" i="68"/>
  <c r="HQ6" i="68"/>
  <c r="HP6" i="68"/>
  <c r="HO6" i="68"/>
  <c r="HN6" i="68"/>
  <c r="HM6" i="68"/>
  <c r="HL6" i="68"/>
  <c r="HK6" i="68"/>
  <c r="HJ6" i="68"/>
  <c r="HI6" i="68"/>
  <c r="HH6" i="68"/>
  <c r="HG6" i="68"/>
  <c r="HF6" i="68"/>
  <c r="HE6" i="68"/>
  <c r="HD6" i="68"/>
  <c r="HC6" i="68"/>
  <c r="HB6" i="68"/>
  <c r="HA6" i="68"/>
  <c r="GZ6" i="68"/>
  <c r="GY6" i="68"/>
  <c r="GX6" i="68"/>
  <c r="GW6" i="68"/>
  <c r="GV6" i="68"/>
  <c r="GU6" i="68"/>
  <c r="GT6" i="68"/>
  <c r="GS6" i="68"/>
  <c r="GR6" i="68"/>
  <c r="GQ6" i="68"/>
  <c r="GP6" i="68"/>
  <c r="GO6" i="68"/>
  <c r="GN6" i="68"/>
  <c r="GM6" i="68"/>
  <c r="GL6" i="68"/>
  <c r="GK6" i="68"/>
  <c r="GJ6" i="68"/>
  <c r="GI6" i="68"/>
  <c r="GH6" i="68"/>
  <c r="GG6" i="68"/>
  <c r="GF6" i="68"/>
  <c r="GE6" i="68"/>
  <c r="GD6" i="68"/>
  <c r="GC6" i="68"/>
  <c r="GB6" i="68"/>
  <c r="GA6" i="68"/>
  <c r="FZ6" i="68"/>
  <c r="FY6" i="68"/>
  <c r="FX6" i="68"/>
  <c r="FW6" i="68"/>
  <c r="FV6" i="68"/>
  <c r="FU6" i="68"/>
  <c r="FT6" i="68"/>
  <c r="FS6" i="68"/>
  <c r="FR6" i="68"/>
  <c r="FQ6" i="68"/>
  <c r="FP6" i="68"/>
  <c r="FO6" i="68"/>
  <c r="C6" i="68"/>
  <c r="LW5" i="68"/>
  <c r="LV5" i="68"/>
  <c r="LU5" i="68"/>
  <c r="LT5" i="68"/>
  <c r="LS5" i="68"/>
  <c r="LR5" i="68"/>
  <c r="LQ5" i="68"/>
  <c r="LP5" i="68"/>
  <c r="LO5" i="68"/>
  <c r="LN5" i="68"/>
  <c r="LM5" i="68"/>
  <c r="LL5" i="68"/>
  <c r="LK5" i="68"/>
  <c r="LJ5" i="68"/>
  <c r="LI5" i="68"/>
  <c r="LH5" i="68"/>
  <c r="LG5" i="68"/>
  <c r="LF5" i="68"/>
  <c r="LE5" i="68"/>
  <c r="LD5" i="68"/>
  <c r="LC5" i="68"/>
  <c r="LB5" i="68"/>
  <c r="LA5" i="68"/>
  <c r="KZ5" i="68"/>
  <c r="KY5" i="68"/>
  <c r="KX5" i="68"/>
  <c r="KW5" i="68"/>
  <c r="KV5" i="68"/>
  <c r="KU5" i="68"/>
  <c r="KT5" i="68"/>
  <c r="KS5" i="68"/>
  <c r="KR5" i="68"/>
  <c r="KQ5" i="68"/>
  <c r="KP5" i="68"/>
  <c r="KO5" i="68"/>
  <c r="KN5" i="68"/>
  <c r="KM5" i="68"/>
  <c r="KL5" i="68"/>
  <c r="KK5" i="68"/>
  <c r="KJ5" i="68"/>
  <c r="KI5" i="68"/>
  <c r="KH5" i="68"/>
  <c r="KG5" i="68"/>
  <c r="KF5" i="68"/>
  <c r="KE5" i="68"/>
  <c r="KD5" i="68"/>
  <c r="KC5" i="68"/>
  <c r="KB5" i="68"/>
  <c r="KA5" i="68"/>
  <c r="JZ5" i="68"/>
  <c r="JY5" i="68"/>
  <c r="JX5" i="68"/>
  <c r="JW5" i="68"/>
  <c r="JV5" i="68"/>
  <c r="JU5" i="68"/>
  <c r="JT5" i="68"/>
  <c r="JS5" i="68"/>
  <c r="JR5" i="68"/>
  <c r="JQ5" i="68"/>
  <c r="JP5" i="68"/>
  <c r="JO5" i="68"/>
  <c r="JN5" i="68"/>
  <c r="JM5" i="68"/>
  <c r="JL5" i="68"/>
  <c r="JK5" i="68"/>
  <c r="JJ5" i="68"/>
  <c r="JI5" i="68"/>
  <c r="JH5" i="68"/>
  <c r="JG5" i="68"/>
  <c r="JF5" i="68"/>
  <c r="JE5" i="68"/>
  <c r="JD5" i="68"/>
  <c r="JC5" i="68"/>
  <c r="JB5" i="68"/>
  <c r="JA5" i="68"/>
  <c r="IZ5" i="68"/>
  <c r="IY5" i="68"/>
  <c r="IX5" i="68"/>
  <c r="IW5" i="68"/>
  <c r="IV5" i="68"/>
  <c r="IU5" i="68"/>
  <c r="IT5" i="68"/>
  <c r="IS5" i="68"/>
  <c r="IR5" i="68"/>
  <c r="IQ5" i="68"/>
  <c r="IP5" i="68"/>
  <c r="IO5" i="68"/>
  <c r="IN5" i="68"/>
  <c r="IM5" i="68"/>
  <c r="IL5" i="68"/>
  <c r="IK5" i="68"/>
  <c r="IJ5" i="68"/>
  <c r="II5" i="68"/>
  <c r="IH5" i="68"/>
  <c r="IG5" i="68"/>
  <c r="IF5" i="68"/>
  <c r="IE5" i="68"/>
  <c r="ID5" i="68"/>
  <c r="IC5" i="68"/>
  <c r="IB5" i="68"/>
  <c r="IA5" i="68"/>
  <c r="HZ5" i="68"/>
  <c r="HY5" i="68"/>
  <c r="HX5" i="68"/>
  <c r="HW5" i="68"/>
  <c r="HV5" i="68"/>
  <c r="HU5" i="68"/>
  <c r="HT5" i="68"/>
  <c r="HS5" i="68"/>
  <c r="HR5" i="68"/>
  <c r="HQ5" i="68"/>
  <c r="HP5" i="68"/>
  <c r="HO5" i="68"/>
  <c r="HN5" i="68"/>
  <c r="HM5" i="68"/>
  <c r="HL5" i="68"/>
  <c r="HK5" i="68"/>
  <c r="HJ5" i="68"/>
  <c r="HI5" i="68"/>
  <c r="HH5" i="68"/>
  <c r="HG5" i="68"/>
  <c r="HF5" i="68"/>
  <c r="HE5" i="68"/>
  <c r="HD5" i="68"/>
  <c r="HC5" i="68"/>
  <c r="HB5" i="68"/>
  <c r="HA5" i="68"/>
  <c r="GZ5" i="68"/>
  <c r="GY5" i="68"/>
  <c r="GX5" i="68"/>
  <c r="GW5" i="68"/>
  <c r="GV5" i="68"/>
  <c r="GU5" i="68"/>
  <c r="GT5" i="68"/>
  <c r="GS5" i="68"/>
  <c r="GR5" i="68"/>
  <c r="GQ5" i="68"/>
  <c r="GP5" i="68"/>
  <c r="GO5" i="68"/>
  <c r="GN5" i="68"/>
  <c r="GM5" i="68"/>
  <c r="GL5" i="68"/>
  <c r="GK5" i="68"/>
  <c r="GJ5" i="68"/>
  <c r="GI5" i="68"/>
  <c r="GH5" i="68"/>
  <c r="GG5" i="68"/>
  <c r="GF5" i="68"/>
  <c r="GE5" i="68"/>
  <c r="GD5" i="68"/>
  <c r="GC5" i="68"/>
  <c r="GB5" i="68"/>
  <c r="GA5" i="68"/>
  <c r="FZ5" i="68"/>
  <c r="FY5" i="68"/>
  <c r="FX5" i="68"/>
  <c r="FW5" i="68"/>
  <c r="FV5" i="68"/>
  <c r="FU5" i="68"/>
  <c r="FT5" i="68"/>
  <c r="FS5" i="68"/>
  <c r="FR5" i="68"/>
  <c r="FQ5" i="68"/>
  <c r="FP5" i="68"/>
  <c r="FO5" i="68"/>
  <c r="C5" i="68"/>
  <c r="LW4" i="68"/>
  <c r="LV4" i="68"/>
  <c r="LU4" i="68"/>
  <c r="LT4" i="68"/>
  <c r="LS4" i="68"/>
  <c r="LR4" i="68"/>
  <c r="LQ4" i="68"/>
  <c r="LP4" i="68"/>
  <c r="LO4" i="68"/>
  <c r="LN4" i="68"/>
  <c r="LM4" i="68"/>
  <c r="LL4" i="68"/>
  <c r="LK4" i="68"/>
  <c r="LJ4" i="68"/>
  <c r="LI4" i="68"/>
  <c r="LH4" i="68"/>
  <c r="LG4" i="68"/>
  <c r="LF4" i="68"/>
  <c r="LE4" i="68"/>
  <c r="LD4" i="68"/>
  <c r="LC4" i="68"/>
  <c r="LB4" i="68"/>
  <c r="LA4" i="68"/>
  <c r="KZ4" i="68"/>
  <c r="KY4" i="68"/>
  <c r="KX4" i="68"/>
  <c r="KW4" i="68"/>
  <c r="KV4" i="68"/>
  <c r="KU4" i="68"/>
  <c r="KT4" i="68"/>
  <c r="KS4" i="68"/>
  <c r="KR4" i="68"/>
  <c r="KQ4" i="68"/>
  <c r="KP4" i="68"/>
  <c r="KO4" i="68"/>
  <c r="KN4" i="68"/>
  <c r="KM4" i="68"/>
  <c r="KL4" i="68"/>
  <c r="KK4" i="68"/>
  <c r="KJ4" i="68"/>
  <c r="KI4" i="68"/>
  <c r="KH4" i="68"/>
  <c r="KG4" i="68"/>
  <c r="KF4" i="68"/>
  <c r="KE4" i="68"/>
  <c r="KD4" i="68"/>
  <c r="KC4" i="68"/>
  <c r="KB4" i="68"/>
  <c r="KA4" i="68"/>
  <c r="JZ4" i="68"/>
  <c r="JY4" i="68"/>
  <c r="JX4" i="68"/>
  <c r="JW4" i="68"/>
  <c r="JV4" i="68"/>
  <c r="JU4" i="68"/>
  <c r="JT4" i="68"/>
  <c r="JS4" i="68"/>
  <c r="JR4" i="68"/>
  <c r="JQ4" i="68"/>
  <c r="JP4" i="68"/>
  <c r="JO4" i="68"/>
  <c r="JN4" i="68"/>
  <c r="JM4" i="68"/>
  <c r="JL4" i="68"/>
  <c r="JK4" i="68"/>
  <c r="JJ4" i="68"/>
  <c r="JI4" i="68"/>
  <c r="JH4" i="68"/>
  <c r="JG4" i="68"/>
  <c r="JF4" i="68"/>
  <c r="JE4" i="68"/>
  <c r="JD4" i="68"/>
  <c r="JC4" i="68"/>
  <c r="JB4" i="68"/>
  <c r="JA4" i="68"/>
  <c r="IZ4" i="68"/>
  <c r="IY4" i="68"/>
  <c r="IX4" i="68"/>
  <c r="IW4" i="68"/>
  <c r="IV4" i="68"/>
  <c r="IU4" i="68"/>
  <c r="IT4" i="68"/>
  <c r="IS4" i="68"/>
  <c r="IR4" i="68"/>
  <c r="IQ4" i="68"/>
  <c r="IP4" i="68"/>
  <c r="IO4" i="68"/>
  <c r="IN4" i="68"/>
  <c r="IM4" i="68"/>
  <c r="IL4" i="68"/>
  <c r="IK4" i="68"/>
  <c r="IJ4" i="68"/>
  <c r="II4" i="68"/>
  <c r="IH4" i="68"/>
  <c r="IG4" i="68"/>
  <c r="IF4" i="68"/>
  <c r="IE4" i="68"/>
  <c r="ID4" i="68"/>
  <c r="IC4" i="68"/>
  <c r="IB4" i="68"/>
  <c r="IA4" i="68"/>
  <c r="HZ4" i="68"/>
  <c r="HY4" i="68"/>
  <c r="HX4" i="68"/>
  <c r="HW4" i="68"/>
  <c r="HV4" i="68"/>
  <c r="HU4" i="68"/>
  <c r="HT4" i="68"/>
  <c r="HS4" i="68"/>
  <c r="HR4" i="68"/>
  <c r="HQ4" i="68"/>
  <c r="HP4" i="68"/>
  <c r="HO4" i="68"/>
  <c r="HN4" i="68"/>
  <c r="HM4" i="68"/>
  <c r="HL4" i="68"/>
  <c r="HK4" i="68"/>
  <c r="HJ4" i="68"/>
  <c r="HI4" i="68"/>
  <c r="HH4" i="68"/>
  <c r="HG4" i="68"/>
  <c r="HF4" i="68"/>
  <c r="HE4" i="68"/>
  <c r="HD4" i="68"/>
  <c r="HC4" i="68"/>
  <c r="HB4" i="68"/>
  <c r="HA4" i="68"/>
  <c r="GZ4" i="68"/>
  <c r="GY4" i="68"/>
  <c r="GX4" i="68"/>
  <c r="GW4" i="68"/>
  <c r="GV4" i="68"/>
  <c r="GU4" i="68"/>
  <c r="GT4" i="68"/>
  <c r="GS4" i="68"/>
  <c r="GR4" i="68"/>
  <c r="GQ4" i="68"/>
  <c r="GP4" i="68"/>
  <c r="GO4" i="68"/>
  <c r="GN4" i="68"/>
  <c r="GM4" i="68"/>
  <c r="GL4" i="68"/>
  <c r="GK4" i="68"/>
  <c r="GJ4" i="68"/>
  <c r="GI4" i="68"/>
  <c r="GH4" i="68"/>
  <c r="GG4" i="68"/>
  <c r="GF4" i="68"/>
  <c r="GE4" i="68"/>
  <c r="GD4" i="68"/>
  <c r="GC4" i="68"/>
  <c r="GB4" i="68"/>
  <c r="GA4" i="68"/>
  <c r="FZ4" i="68"/>
  <c r="FY4" i="68"/>
  <c r="FX4" i="68"/>
  <c r="FW4" i="68"/>
  <c r="FV4" i="68"/>
  <c r="FU4" i="68"/>
  <c r="FT4" i="68"/>
  <c r="FS4" i="68"/>
  <c r="FR4" i="68"/>
  <c r="FQ4" i="68"/>
  <c r="FP4" i="68"/>
  <c r="FO4" i="68"/>
  <c r="C4" i="68"/>
  <c r="FN44" i="67"/>
  <c r="J176" i="41" s="1"/>
  <c r="FM44" i="67"/>
  <c r="J175" i="41" s="1"/>
  <c r="FL44" i="67"/>
  <c r="J174" i="41" s="1"/>
  <c r="FK44" i="67"/>
  <c r="J173" i="41" s="1"/>
  <c r="FI44" i="67"/>
  <c r="J171" i="41" s="1"/>
  <c r="FH44" i="67"/>
  <c r="J170" i="41" s="1"/>
  <c r="FG44" i="67"/>
  <c r="J169" i="41" s="1"/>
  <c r="FF44" i="67"/>
  <c r="J168" i="41" s="1"/>
  <c r="FE44" i="67"/>
  <c r="J167" i="41" s="1"/>
  <c r="FD44" i="67"/>
  <c r="J166" i="41" s="1"/>
  <c r="FC44" i="67"/>
  <c r="J165" i="41" s="1"/>
  <c r="FB44" i="67"/>
  <c r="J164" i="41" s="1"/>
  <c r="FA44" i="67"/>
  <c r="J163" i="41" s="1"/>
  <c r="EY44" i="67"/>
  <c r="J161" i="41" s="1"/>
  <c r="EX44" i="67"/>
  <c r="J160" i="41" s="1"/>
  <c r="EW44" i="67"/>
  <c r="J159" i="41" s="1"/>
  <c r="EV44" i="67"/>
  <c r="J158" i="41" s="1"/>
  <c r="EU44" i="67"/>
  <c r="J157" i="41" s="1"/>
  <c r="ET44" i="67"/>
  <c r="J156" i="41" s="1"/>
  <c r="ES44" i="67"/>
  <c r="J155" i="41" s="1"/>
  <c r="ER44" i="67"/>
  <c r="J154" i="41" s="1"/>
  <c r="EQ44" i="67"/>
  <c r="J153" i="41" s="1"/>
  <c r="EP44" i="67"/>
  <c r="J152" i="41" s="1"/>
  <c r="EO44" i="67"/>
  <c r="J151" i="41" s="1"/>
  <c r="EN44" i="67"/>
  <c r="J150" i="41" s="1"/>
  <c r="EM44" i="67"/>
  <c r="J149" i="41" s="1"/>
  <c r="EL44" i="67"/>
  <c r="J148" i="41" s="1"/>
  <c r="EK44" i="67"/>
  <c r="J147" i="41" s="1"/>
  <c r="EJ44" i="67"/>
  <c r="J146" i="41" s="1"/>
  <c r="EI44" i="67"/>
  <c r="J145" i="41" s="1"/>
  <c r="EH44" i="67"/>
  <c r="J144" i="41" s="1"/>
  <c r="EG44" i="67"/>
  <c r="J143" i="41" s="1"/>
  <c r="EF44" i="67"/>
  <c r="J142" i="41" s="1"/>
  <c r="EE44" i="67"/>
  <c r="J141" i="41" s="1"/>
  <c r="ED44" i="67"/>
  <c r="J140" i="41" s="1"/>
  <c r="EC44" i="67"/>
  <c r="J139" i="41" s="1"/>
  <c r="EB44" i="67"/>
  <c r="J138" i="41" s="1"/>
  <c r="EA44" i="67"/>
  <c r="J137" i="41" s="1"/>
  <c r="DZ44" i="67"/>
  <c r="J136" i="41" s="1"/>
  <c r="DY44" i="67"/>
  <c r="J135" i="41" s="1"/>
  <c r="DX44" i="67"/>
  <c r="J134" i="41" s="1"/>
  <c r="DW44" i="67"/>
  <c r="J133" i="41" s="1"/>
  <c r="DV44" i="67"/>
  <c r="J132" i="41" s="1"/>
  <c r="DU44" i="67"/>
  <c r="J131" i="41" s="1"/>
  <c r="DT44" i="67"/>
  <c r="J130" i="41" s="1"/>
  <c r="DS44" i="67"/>
  <c r="J129" i="41" s="1"/>
  <c r="DR44" i="67"/>
  <c r="J128" i="41" s="1"/>
  <c r="DQ44" i="67"/>
  <c r="J127" i="41" s="1"/>
  <c r="DP44" i="67"/>
  <c r="J126" i="41" s="1"/>
  <c r="DO44" i="67"/>
  <c r="J125" i="41" s="1"/>
  <c r="DN44" i="67"/>
  <c r="J124" i="41" s="1"/>
  <c r="DM44" i="67"/>
  <c r="J123" i="41" s="1"/>
  <c r="DL44" i="67"/>
  <c r="J122" i="41" s="1"/>
  <c r="DK44" i="67"/>
  <c r="J121" i="41" s="1"/>
  <c r="DJ44" i="67"/>
  <c r="J120" i="41" s="1"/>
  <c r="DI44" i="67"/>
  <c r="J119" i="41" s="1"/>
  <c r="DH44" i="67"/>
  <c r="J118" i="41" s="1"/>
  <c r="DG44" i="67"/>
  <c r="J117" i="41" s="1"/>
  <c r="DF44" i="67"/>
  <c r="J116" i="41" s="1"/>
  <c r="DE44" i="67"/>
  <c r="J115" i="41" s="1"/>
  <c r="DD44" i="67"/>
  <c r="J114" i="41" s="1"/>
  <c r="DC44" i="67"/>
  <c r="J113" i="41" s="1"/>
  <c r="DB44" i="67"/>
  <c r="J112" i="41" s="1"/>
  <c r="DA44" i="67"/>
  <c r="J111" i="41" s="1"/>
  <c r="CZ44" i="67"/>
  <c r="J110" i="41" s="1"/>
  <c r="CY44" i="67"/>
  <c r="J109" i="41" s="1"/>
  <c r="CX44" i="67"/>
  <c r="J108" i="41" s="1"/>
  <c r="CW44" i="67"/>
  <c r="J107" i="41" s="1"/>
  <c r="CV44" i="67"/>
  <c r="J106" i="41" s="1"/>
  <c r="CU44" i="67"/>
  <c r="J105" i="41" s="1"/>
  <c r="CT44" i="67"/>
  <c r="J104" i="41" s="1"/>
  <c r="CS44" i="67"/>
  <c r="J103" i="41" s="1"/>
  <c r="CR44" i="67"/>
  <c r="J102" i="41" s="1"/>
  <c r="CQ44" i="67"/>
  <c r="J101" i="41" s="1"/>
  <c r="CP44" i="67"/>
  <c r="J100" i="41" s="1"/>
  <c r="CO44" i="67"/>
  <c r="J99" i="41" s="1"/>
  <c r="CN44" i="67"/>
  <c r="J98" i="41" s="1"/>
  <c r="CM44" i="67"/>
  <c r="J97" i="41" s="1"/>
  <c r="CL44" i="67"/>
  <c r="J96" i="41" s="1"/>
  <c r="CK44" i="67"/>
  <c r="J95" i="41" s="1"/>
  <c r="CJ44" i="67"/>
  <c r="J94" i="41" s="1"/>
  <c r="CI44" i="67"/>
  <c r="J93" i="41" s="1"/>
  <c r="CH44" i="67"/>
  <c r="J92" i="41" s="1"/>
  <c r="CG44" i="67"/>
  <c r="J91" i="41" s="1"/>
  <c r="CF44" i="67"/>
  <c r="J90" i="41" s="1"/>
  <c r="CE44" i="67"/>
  <c r="J89" i="41" s="1"/>
  <c r="CD44" i="67"/>
  <c r="J88" i="41" s="1"/>
  <c r="CC44" i="67"/>
  <c r="J87" i="41" s="1"/>
  <c r="CB44" i="67"/>
  <c r="J86" i="41" s="1"/>
  <c r="CA44" i="67"/>
  <c r="J85" i="41" s="1"/>
  <c r="BZ44" i="67"/>
  <c r="J84" i="41" s="1"/>
  <c r="BY44" i="67"/>
  <c r="J83" i="41" s="1"/>
  <c r="BX44" i="67"/>
  <c r="J82" i="41" s="1"/>
  <c r="BW44" i="67"/>
  <c r="J81" i="41" s="1"/>
  <c r="BV44" i="67"/>
  <c r="J80" i="41" s="1"/>
  <c r="BU44" i="67"/>
  <c r="J79" i="41" s="1"/>
  <c r="BT44" i="67"/>
  <c r="J78" i="41" s="1"/>
  <c r="BS44" i="67"/>
  <c r="J77" i="41" s="1"/>
  <c r="BR44" i="67"/>
  <c r="J76" i="41" s="1"/>
  <c r="BQ44" i="67"/>
  <c r="J75" i="41" s="1"/>
  <c r="BP44" i="67"/>
  <c r="J74" i="41" s="1"/>
  <c r="BO44" i="67"/>
  <c r="J73" i="41" s="1"/>
  <c r="BN44" i="67"/>
  <c r="J72" i="41" s="1"/>
  <c r="BM44" i="67"/>
  <c r="J71" i="41" s="1"/>
  <c r="BL44" i="67"/>
  <c r="J70" i="41" s="1"/>
  <c r="BK44" i="67"/>
  <c r="J69" i="41" s="1"/>
  <c r="BJ44" i="67"/>
  <c r="J68" i="41" s="1"/>
  <c r="BI44" i="67"/>
  <c r="J67" i="41" s="1"/>
  <c r="BH44" i="67"/>
  <c r="J66" i="41" s="1"/>
  <c r="BG44" i="67"/>
  <c r="J65" i="41" s="1"/>
  <c r="BF44" i="67"/>
  <c r="J64" i="41" s="1"/>
  <c r="BE44" i="67"/>
  <c r="J63" i="41" s="1"/>
  <c r="BD44" i="67"/>
  <c r="J62" i="41" s="1"/>
  <c r="BC44" i="67"/>
  <c r="J61" i="41" s="1"/>
  <c r="BB44" i="67"/>
  <c r="J60" i="41" s="1"/>
  <c r="BA44" i="67"/>
  <c r="J59" i="41" s="1"/>
  <c r="AZ44" i="67"/>
  <c r="J58" i="41" s="1"/>
  <c r="AY44" i="67"/>
  <c r="J57" i="41" s="1"/>
  <c r="AX44" i="67"/>
  <c r="J56" i="41" s="1"/>
  <c r="AW44" i="67"/>
  <c r="J55" i="41" s="1"/>
  <c r="AV44" i="67"/>
  <c r="J54" i="41" s="1"/>
  <c r="AU44" i="67"/>
  <c r="J53" i="41" s="1"/>
  <c r="AT44" i="67"/>
  <c r="J52" i="41" s="1"/>
  <c r="AS44" i="67"/>
  <c r="J51" i="41" s="1"/>
  <c r="AR44" i="67"/>
  <c r="J50" i="41" s="1"/>
  <c r="AQ44" i="67"/>
  <c r="J49" i="41" s="1"/>
  <c r="AP44" i="67"/>
  <c r="J48" i="41" s="1"/>
  <c r="AO44" i="67"/>
  <c r="J47" i="41" s="1"/>
  <c r="AN44" i="67"/>
  <c r="J46" i="41" s="1"/>
  <c r="AM44" i="67"/>
  <c r="J45" i="41" s="1"/>
  <c r="AL44" i="67"/>
  <c r="J44" i="41" s="1"/>
  <c r="AK44" i="67"/>
  <c r="J43" i="41" s="1"/>
  <c r="AJ44" i="67"/>
  <c r="J42" i="41" s="1"/>
  <c r="AI44" i="67"/>
  <c r="J41" i="41" s="1"/>
  <c r="AH44" i="67"/>
  <c r="J40" i="41" s="1"/>
  <c r="AG44" i="67"/>
  <c r="J39" i="41" s="1"/>
  <c r="AF44" i="67"/>
  <c r="J38" i="41" s="1"/>
  <c r="AE44" i="67"/>
  <c r="J37" i="41" s="1"/>
  <c r="AD44" i="67"/>
  <c r="J36" i="41" s="1"/>
  <c r="AC44" i="67"/>
  <c r="J35" i="41" s="1"/>
  <c r="AB44" i="67"/>
  <c r="J34" i="41" s="1"/>
  <c r="AA44" i="67"/>
  <c r="J33" i="41" s="1"/>
  <c r="Z44" i="67"/>
  <c r="J32" i="41" s="1"/>
  <c r="Y44" i="67"/>
  <c r="J31" i="41" s="1"/>
  <c r="X44" i="67"/>
  <c r="J30" i="41" s="1"/>
  <c r="W44" i="67"/>
  <c r="J29" i="41" s="1"/>
  <c r="V44" i="67"/>
  <c r="J28" i="41" s="1"/>
  <c r="U44" i="67"/>
  <c r="J27" i="41" s="1"/>
  <c r="T44" i="67"/>
  <c r="J26" i="41" s="1"/>
  <c r="S44" i="67"/>
  <c r="J25" i="41" s="1"/>
  <c r="R44" i="67"/>
  <c r="J24" i="41" s="1"/>
  <c r="Q44" i="67"/>
  <c r="J23" i="41" s="1"/>
  <c r="P44" i="67"/>
  <c r="J22" i="41" s="1"/>
  <c r="O44" i="67"/>
  <c r="J21" i="41" s="1"/>
  <c r="N44" i="67"/>
  <c r="J20" i="41" s="1"/>
  <c r="M44" i="67"/>
  <c r="J19" i="41" s="1"/>
  <c r="L44" i="67"/>
  <c r="J18" i="41" s="1"/>
  <c r="K44" i="67"/>
  <c r="J17" i="41" s="1"/>
  <c r="J44" i="67"/>
  <c r="J16" i="41" s="1"/>
  <c r="I44" i="67"/>
  <c r="J15" i="41" s="1"/>
  <c r="H44" i="67"/>
  <c r="J14" i="41" s="1"/>
  <c r="G44" i="67"/>
  <c r="J13" i="41" s="1"/>
  <c r="F44" i="67"/>
  <c r="J12" i="41" s="1"/>
  <c r="E44" i="67"/>
  <c r="D44" i="67"/>
  <c r="C44" i="67"/>
  <c r="F29" i="67"/>
  <c r="E29" i="67"/>
  <c r="J10" i="41" s="1"/>
  <c r="D29" i="67"/>
  <c r="B29" i="67"/>
  <c r="LW28" i="67"/>
  <c r="LV28" i="67"/>
  <c r="LU28" i="67"/>
  <c r="LT28" i="67"/>
  <c r="LS28" i="67"/>
  <c r="LR28" i="67"/>
  <c r="LQ28" i="67"/>
  <c r="LP28" i="67"/>
  <c r="LO28" i="67"/>
  <c r="LN28" i="67"/>
  <c r="LM28" i="67"/>
  <c r="LL28" i="67"/>
  <c r="LK28" i="67"/>
  <c r="LJ28" i="67"/>
  <c r="LI28" i="67"/>
  <c r="LH28" i="67"/>
  <c r="LG28" i="67"/>
  <c r="LF28" i="67"/>
  <c r="LE28" i="67"/>
  <c r="LD28" i="67"/>
  <c r="LC28" i="67"/>
  <c r="LB28" i="67"/>
  <c r="LA28" i="67"/>
  <c r="KZ28" i="67"/>
  <c r="KY28" i="67"/>
  <c r="KX28" i="67"/>
  <c r="KW28" i="67"/>
  <c r="KV28" i="67"/>
  <c r="KU28" i="67"/>
  <c r="KT28" i="67"/>
  <c r="KS28" i="67"/>
  <c r="KR28" i="67"/>
  <c r="KQ28" i="67"/>
  <c r="KP28" i="67"/>
  <c r="KO28" i="67"/>
  <c r="KN28" i="67"/>
  <c r="KM28" i="67"/>
  <c r="KL28" i="67"/>
  <c r="KK28" i="67"/>
  <c r="KJ28" i="67"/>
  <c r="KI28" i="67"/>
  <c r="KH28" i="67"/>
  <c r="KG28" i="67"/>
  <c r="KF28" i="67"/>
  <c r="KE28" i="67"/>
  <c r="KD28" i="67"/>
  <c r="KC28" i="67"/>
  <c r="KB28" i="67"/>
  <c r="KA28" i="67"/>
  <c r="JZ28" i="67"/>
  <c r="JY28" i="67"/>
  <c r="JX28" i="67"/>
  <c r="JW28" i="67"/>
  <c r="JV28" i="67"/>
  <c r="JU28" i="67"/>
  <c r="JT28" i="67"/>
  <c r="JS28" i="67"/>
  <c r="JR28" i="67"/>
  <c r="JQ28" i="67"/>
  <c r="JP28" i="67"/>
  <c r="JO28" i="67"/>
  <c r="JN28" i="67"/>
  <c r="JM28" i="67"/>
  <c r="JL28" i="67"/>
  <c r="JK28" i="67"/>
  <c r="JJ28" i="67"/>
  <c r="JI28" i="67"/>
  <c r="JH28" i="67"/>
  <c r="JG28" i="67"/>
  <c r="JF28" i="67"/>
  <c r="JE28" i="67"/>
  <c r="JD28" i="67"/>
  <c r="JC28" i="67"/>
  <c r="JB28" i="67"/>
  <c r="JA28" i="67"/>
  <c r="IZ28" i="67"/>
  <c r="IY28" i="67"/>
  <c r="IX28" i="67"/>
  <c r="IW28" i="67"/>
  <c r="IV28" i="67"/>
  <c r="IU28" i="67"/>
  <c r="IT28" i="67"/>
  <c r="IS28" i="67"/>
  <c r="IR28" i="67"/>
  <c r="IQ28" i="67"/>
  <c r="IP28" i="67"/>
  <c r="IO28" i="67"/>
  <c r="IN28" i="67"/>
  <c r="IM28" i="67"/>
  <c r="IL28" i="67"/>
  <c r="IK28" i="67"/>
  <c r="IJ28" i="67"/>
  <c r="II28" i="67"/>
  <c r="IH28" i="67"/>
  <c r="IG28" i="67"/>
  <c r="IF28" i="67"/>
  <c r="IE28" i="67"/>
  <c r="ID28" i="67"/>
  <c r="IC28" i="67"/>
  <c r="IB28" i="67"/>
  <c r="IA28" i="67"/>
  <c r="HZ28" i="67"/>
  <c r="HY28" i="67"/>
  <c r="HX28" i="67"/>
  <c r="HW28" i="67"/>
  <c r="HV28" i="67"/>
  <c r="HU28" i="67"/>
  <c r="HT28" i="67"/>
  <c r="HS28" i="67"/>
  <c r="HR28" i="67"/>
  <c r="HQ28" i="67"/>
  <c r="HP28" i="67"/>
  <c r="HO28" i="67"/>
  <c r="HN28" i="67"/>
  <c r="HM28" i="67"/>
  <c r="HL28" i="67"/>
  <c r="HK28" i="67"/>
  <c r="HJ28" i="67"/>
  <c r="HI28" i="67"/>
  <c r="HH28" i="67"/>
  <c r="HG28" i="67"/>
  <c r="HF28" i="67"/>
  <c r="HE28" i="67"/>
  <c r="HD28" i="67"/>
  <c r="HC28" i="67"/>
  <c r="HB28" i="67"/>
  <c r="HA28" i="67"/>
  <c r="GZ28" i="67"/>
  <c r="GY28" i="67"/>
  <c r="GX28" i="67"/>
  <c r="GW28" i="67"/>
  <c r="GV28" i="67"/>
  <c r="GU28" i="67"/>
  <c r="GT28" i="67"/>
  <c r="GS28" i="67"/>
  <c r="GR28" i="67"/>
  <c r="GQ28" i="67"/>
  <c r="GP28" i="67"/>
  <c r="GO28" i="67"/>
  <c r="GN28" i="67"/>
  <c r="GM28" i="67"/>
  <c r="GL28" i="67"/>
  <c r="GK28" i="67"/>
  <c r="GJ28" i="67"/>
  <c r="GI28" i="67"/>
  <c r="GH28" i="67"/>
  <c r="GG28" i="67"/>
  <c r="GF28" i="67"/>
  <c r="GE28" i="67"/>
  <c r="GD28" i="67"/>
  <c r="GC28" i="67"/>
  <c r="GB28" i="67"/>
  <c r="GA28" i="67"/>
  <c r="FZ28" i="67"/>
  <c r="FY28" i="67"/>
  <c r="FX28" i="67"/>
  <c r="FW28" i="67"/>
  <c r="FV28" i="67"/>
  <c r="FU28" i="67"/>
  <c r="FT28" i="67"/>
  <c r="FS28" i="67"/>
  <c r="FR28" i="67"/>
  <c r="FQ28" i="67"/>
  <c r="FP28" i="67"/>
  <c r="FO28" i="67"/>
  <c r="C28" i="67"/>
  <c r="LW27" i="67"/>
  <c r="LV27" i="67"/>
  <c r="LU27" i="67"/>
  <c r="LT27" i="67"/>
  <c r="LS27" i="67"/>
  <c r="LR27" i="67"/>
  <c r="LQ27" i="67"/>
  <c r="LP27" i="67"/>
  <c r="LO27" i="67"/>
  <c r="LN27" i="67"/>
  <c r="LM27" i="67"/>
  <c r="LL27" i="67"/>
  <c r="LK27" i="67"/>
  <c r="LJ27" i="67"/>
  <c r="LI27" i="67"/>
  <c r="LH27" i="67"/>
  <c r="LG27" i="67"/>
  <c r="LF27" i="67"/>
  <c r="LE27" i="67"/>
  <c r="LD27" i="67"/>
  <c r="LC27" i="67"/>
  <c r="LB27" i="67"/>
  <c r="LA27" i="67"/>
  <c r="KZ27" i="67"/>
  <c r="KY27" i="67"/>
  <c r="KX27" i="67"/>
  <c r="KW27" i="67"/>
  <c r="KV27" i="67"/>
  <c r="KU27" i="67"/>
  <c r="KT27" i="67"/>
  <c r="KS27" i="67"/>
  <c r="KR27" i="67"/>
  <c r="KQ27" i="67"/>
  <c r="KP27" i="67"/>
  <c r="KO27" i="67"/>
  <c r="KN27" i="67"/>
  <c r="KM27" i="67"/>
  <c r="KL27" i="67"/>
  <c r="KK27" i="67"/>
  <c r="KJ27" i="67"/>
  <c r="KI27" i="67"/>
  <c r="KH27" i="67"/>
  <c r="KG27" i="67"/>
  <c r="KF27" i="67"/>
  <c r="KE27" i="67"/>
  <c r="KD27" i="67"/>
  <c r="KC27" i="67"/>
  <c r="KB27" i="67"/>
  <c r="KA27" i="67"/>
  <c r="JZ27" i="67"/>
  <c r="JY27" i="67"/>
  <c r="JX27" i="67"/>
  <c r="JW27" i="67"/>
  <c r="JV27" i="67"/>
  <c r="JU27" i="67"/>
  <c r="JT27" i="67"/>
  <c r="JS27" i="67"/>
  <c r="JR27" i="67"/>
  <c r="JQ27" i="67"/>
  <c r="JP27" i="67"/>
  <c r="JO27" i="67"/>
  <c r="JN27" i="67"/>
  <c r="JM27" i="67"/>
  <c r="JL27" i="67"/>
  <c r="JK27" i="67"/>
  <c r="JJ27" i="67"/>
  <c r="JI27" i="67"/>
  <c r="JH27" i="67"/>
  <c r="JG27" i="67"/>
  <c r="JF27" i="67"/>
  <c r="JE27" i="67"/>
  <c r="JD27" i="67"/>
  <c r="JC27" i="67"/>
  <c r="JB27" i="67"/>
  <c r="JA27" i="67"/>
  <c r="IZ27" i="67"/>
  <c r="IY27" i="67"/>
  <c r="IX27" i="67"/>
  <c r="IW27" i="67"/>
  <c r="IV27" i="67"/>
  <c r="IU27" i="67"/>
  <c r="IT27" i="67"/>
  <c r="IS27" i="67"/>
  <c r="IR27" i="67"/>
  <c r="IQ27" i="67"/>
  <c r="IP27" i="67"/>
  <c r="IO27" i="67"/>
  <c r="IN27" i="67"/>
  <c r="IM27" i="67"/>
  <c r="IL27" i="67"/>
  <c r="IK27" i="67"/>
  <c r="IJ27" i="67"/>
  <c r="II27" i="67"/>
  <c r="IH27" i="67"/>
  <c r="IG27" i="67"/>
  <c r="IF27" i="67"/>
  <c r="IE27" i="67"/>
  <c r="ID27" i="67"/>
  <c r="IC27" i="67"/>
  <c r="IB27" i="67"/>
  <c r="IA27" i="67"/>
  <c r="HZ27" i="67"/>
  <c r="HY27" i="67"/>
  <c r="HX27" i="67"/>
  <c r="HW27" i="67"/>
  <c r="HV27" i="67"/>
  <c r="HU27" i="67"/>
  <c r="HT27" i="67"/>
  <c r="HS27" i="67"/>
  <c r="HR27" i="67"/>
  <c r="HQ27" i="67"/>
  <c r="HP27" i="67"/>
  <c r="HO27" i="67"/>
  <c r="HN27" i="67"/>
  <c r="HM27" i="67"/>
  <c r="HL27" i="67"/>
  <c r="HK27" i="67"/>
  <c r="HJ27" i="67"/>
  <c r="HI27" i="67"/>
  <c r="HH27" i="67"/>
  <c r="HG27" i="67"/>
  <c r="HF27" i="67"/>
  <c r="HE27" i="67"/>
  <c r="HD27" i="67"/>
  <c r="HC27" i="67"/>
  <c r="HB27" i="67"/>
  <c r="HA27" i="67"/>
  <c r="GZ27" i="67"/>
  <c r="GY27" i="67"/>
  <c r="GX27" i="67"/>
  <c r="GW27" i="67"/>
  <c r="GV27" i="67"/>
  <c r="GU27" i="67"/>
  <c r="GT27" i="67"/>
  <c r="GS27" i="67"/>
  <c r="GR27" i="67"/>
  <c r="GQ27" i="67"/>
  <c r="GP27" i="67"/>
  <c r="GO27" i="67"/>
  <c r="GN27" i="67"/>
  <c r="GM27" i="67"/>
  <c r="GL27" i="67"/>
  <c r="GK27" i="67"/>
  <c r="GJ27" i="67"/>
  <c r="GI27" i="67"/>
  <c r="GH27" i="67"/>
  <c r="GG27" i="67"/>
  <c r="GF27" i="67"/>
  <c r="GE27" i="67"/>
  <c r="GD27" i="67"/>
  <c r="GC27" i="67"/>
  <c r="GB27" i="67"/>
  <c r="GA27" i="67"/>
  <c r="FZ27" i="67"/>
  <c r="FY27" i="67"/>
  <c r="FX27" i="67"/>
  <c r="FW27" i="67"/>
  <c r="FV27" i="67"/>
  <c r="FU27" i="67"/>
  <c r="FT27" i="67"/>
  <c r="FS27" i="67"/>
  <c r="FR27" i="67"/>
  <c r="FQ27" i="67"/>
  <c r="FP27" i="67"/>
  <c r="FO27" i="67"/>
  <c r="C27" i="67"/>
  <c r="LW26" i="67"/>
  <c r="LV26" i="67"/>
  <c r="LU26" i="67"/>
  <c r="LT26" i="67"/>
  <c r="LS26" i="67"/>
  <c r="LR26" i="67"/>
  <c r="LQ26" i="67"/>
  <c r="LP26" i="67"/>
  <c r="LO26" i="67"/>
  <c r="LN26" i="67"/>
  <c r="LM26" i="67"/>
  <c r="LL26" i="67"/>
  <c r="LK26" i="67"/>
  <c r="LJ26" i="67"/>
  <c r="LI26" i="67"/>
  <c r="LH26" i="67"/>
  <c r="LG26" i="67"/>
  <c r="LF26" i="67"/>
  <c r="LE26" i="67"/>
  <c r="LD26" i="67"/>
  <c r="LC26" i="67"/>
  <c r="LB26" i="67"/>
  <c r="LA26" i="67"/>
  <c r="KZ26" i="67"/>
  <c r="KY26" i="67"/>
  <c r="KX26" i="67"/>
  <c r="KW26" i="67"/>
  <c r="KV26" i="67"/>
  <c r="KU26" i="67"/>
  <c r="KT26" i="67"/>
  <c r="KS26" i="67"/>
  <c r="KR26" i="67"/>
  <c r="KQ26" i="67"/>
  <c r="KP26" i="67"/>
  <c r="KO26" i="67"/>
  <c r="KN26" i="67"/>
  <c r="KM26" i="67"/>
  <c r="KL26" i="67"/>
  <c r="KK26" i="67"/>
  <c r="KJ26" i="67"/>
  <c r="KI26" i="67"/>
  <c r="KH26" i="67"/>
  <c r="KG26" i="67"/>
  <c r="KF26" i="67"/>
  <c r="KE26" i="67"/>
  <c r="KD26" i="67"/>
  <c r="KC26" i="67"/>
  <c r="KB26" i="67"/>
  <c r="KA26" i="67"/>
  <c r="JZ26" i="67"/>
  <c r="JY26" i="67"/>
  <c r="JX26" i="67"/>
  <c r="JW26" i="67"/>
  <c r="JV26" i="67"/>
  <c r="JU26" i="67"/>
  <c r="JT26" i="67"/>
  <c r="JS26" i="67"/>
  <c r="JR26" i="67"/>
  <c r="JQ26" i="67"/>
  <c r="JP26" i="67"/>
  <c r="JO26" i="67"/>
  <c r="JN26" i="67"/>
  <c r="JM26" i="67"/>
  <c r="JL26" i="67"/>
  <c r="JK26" i="67"/>
  <c r="JJ26" i="67"/>
  <c r="JI26" i="67"/>
  <c r="JH26" i="67"/>
  <c r="JG26" i="67"/>
  <c r="JF26" i="67"/>
  <c r="JE26" i="67"/>
  <c r="JD26" i="67"/>
  <c r="JC26" i="67"/>
  <c r="JB26" i="67"/>
  <c r="JA26" i="67"/>
  <c r="IZ26" i="67"/>
  <c r="IY26" i="67"/>
  <c r="IX26" i="67"/>
  <c r="IW26" i="67"/>
  <c r="IV26" i="67"/>
  <c r="IU26" i="67"/>
  <c r="IT26" i="67"/>
  <c r="IS26" i="67"/>
  <c r="IR26" i="67"/>
  <c r="IQ26" i="67"/>
  <c r="IP26" i="67"/>
  <c r="IO26" i="67"/>
  <c r="IN26" i="67"/>
  <c r="IM26" i="67"/>
  <c r="IL26" i="67"/>
  <c r="IK26" i="67"/>
  <c r="IJ26" i="67"/>
  <c r="II26" i="67"/>
  <c r="IH26" i="67"/>
  <c r="IG26" i="67"/>
  <c r="IF26" i="67"/>
  <c r="IE26" i="67"/>
  <c r="ID26" i="67"/>
  <c r="IC26" i="67"/>
  <c r="IB26" i="67"/>
  <c r="IA26" i="67"/>
  <c r="HZ26" i="67"/>
  <c r="HY26" i="67"/>
  <c r="HX26" i="67"/>
  <c r="HW26" i="67"/>
  <c r="HV26" i="67"/>
  <c r="HU26" i="67"/>
  <c r="HT26" i="67"/>
  <c r="HS26" i="67"/>
  <c r="HR26" i="67"/>
  <c r="HQ26" i="67"/>
  <c r="HP26" i="67"/>
  <c r="HO26" i="67"/>
  <c r="HN26" i="67"/>
  <c r="HM26" i="67"/>
  <c r="HL26" i="67"/>
  <c r="HK26" i="67"/>
  <c r="HJ26" i="67"/>
  <c r="HI26" i="67"/>
  <c r="HH26" i="67"/>
  <c r="HG26" i="67"/>
  <c r="HF26" i="67"/>
  <c r="HE26" i="67"/>
  <c r="HD26" i="67"/>
  <c r="HC26" i="67"/>
  <c r="HB26" i="67"/>
  <c r="HA26" i="67"/>
  <c r="GZ26" i="67"/>
  <c r="GY26" i="67"/>
  <c r="GX26" i="67"/>
  <c r="GW26" i="67"/>
  <c r="GV26" i="67"/>
  <c r="GU26" i="67"/>
  <c r="GT26" i="67"/>
  <c r="GS26" i="67"/>
  <c r="GR26" i="67"/>
  <c r="GQ26" i="67"/>
  <c r="GP26" i="67"/>
  <c r="GO26" i="67"/>
  <c r="GN26" i="67"/>
  <c r="GM26" i="67"/>
  <c r="GL26" i="67"/>
  <c r="GK26" i="67"/>
  <c r="GJ26" i="67"/>
  <c r="GI26" i="67"/>
  <c r="GH26" i="67"/>
  <c r="GG26" i="67"/>
  <c r="GF26" i="67"/>
  <c r="GE26" i="67"/>
  <c r="GD26" i="67"/>
  <c r="GC26" i="67"/>
  <c r="GB26" i="67"/>
  <c r="GA26" i="67"/>
  <c r="FZ26" i="67"/>
  <c r="FY26" i="67"/>
  <c r="FX26" i="67"/>
  <c r="FW26" i="67"/>
  <c r="FV26" i="67"/>
  <c r="FU26" i="67"/>
  <c r="FT26" i="67"/>
  <c r="FS26" i="67"/>
  <c r="FR26" i="67"/>
  <c r="FQ26" i="67"/>
  <c r="FP26" i="67"/>
  <c r="FO26" i="67"/>
  <c r="C26" i="67"/>
  <c r="LW25" i="67"/>
  <c r="LV25" i="67"/>
  <c r="LU25" i="67"/>
  <c r="LT25" i="67"/>
  <c r="LS25" i="67"/>
  <c r="LR25" i="67"/>
  <c r="LQ25" i="67"/>
  <c r="LP25" i="67"/>
  <c r="LO25" i="67"/>
  <c r="LN25" i="67"/>
  <c r="LM25" i="67"/>
  <c r="LL25" i="67"/>
  <c r="LK25" i="67"/>
  <c r="LJ25" i="67"/>
  <c r="LI25" i="67"/>
  <c r="LH25" i="67"/>
  <c r="LG25" i="67"/>
  <c r="LF25" i="67"/>
  <c r="LE25" i="67"/>
  <c r="LD25" i="67"/>
  <c r="LC25" i="67"/>
  <c r="LB25" i="67"/>
  <c r="LA25" i="67"/>
  <c r="KZ25" i="67"/>
  <c r="KY25" i="67"/>
  <c r="KX25" i="67"/>
  <c r="KW25" i="67"/>
  <c r="KV25" i="67"/>
  <c r="KU25" i="67"/>
  <c r="KT25" i="67"/>
  <c r="KS25" i="67"/>
  <c r="KR25" i="67"/>
  <c r="KQ25" i="67"/>
  <c r="KP25" i="67"/>
  <c r="KO25" i="67"/>
  <c r="KN25" i="67"/>
  <c r="KM25" i="67"/>
  <c r="KL25" i="67"/>
  <c r="KK25" i="67"/>
  <c r="KJ25" i="67"/>
  <c r="KI25" i="67"/>
  <c r="KH25" i="67"/>
  <c r="KG25" i="67"/>
  <c r="KF25" i="67"/>
  <c r="KE25" i="67"/>
  <c r="KD25" i="67"/>
  <c r="KC25" i="67"/>
  <c r="KB25" i="67"/>
  <c r="KA25" i="67"/>
  <c r="JZ25" i="67"/>
  <c r="JY25" i="67"/>
  <c r="JX25" i="67"/>
  <c r="JW25" i="67"/>
  <c r="JV25" i="67"/>
  <c r="JU25" i="67"/>
  <c r="JT25" i="67"/>
  <c r="JS25" i="67"/>
  <c r="JR25" i="67"/>
  <c r="JQ25" i="67"/>
  <c r="JP25" i="67"/>
  <c r="JO25" i="67"/>
  <c r="JN25" i="67"/>
  <c r="JM25" i="67"/>
  <c r="JL25" i="67"/>
  <c r="JK25" i="67"/>
  <c r="JJ25" i="67"/>
  <c r="JI25" i="67"/>
  <c r="JH25" i="67"/>
  <c r="JG25" i="67"/>
  <c r="JF25" i="67"/>
  <c r="JE25" i="67"/>
  <c r="JD25" i="67"/>
  <c r="JC25" i="67"/>
  <c r="JB25" i="67"/>
  <c r="JA25" i="67"/>
  <c r="IZ25" i="67"/>
  <c r="IY25" i="67"/>
  <c r="IX25" i="67"/>
  <c r="IW25" i="67"/>
  <c r="IV25" i="67"/>
  <c r="IU25" i="67"/>
  <c r="IT25" i="67"/>
  <c r="IS25" i="67"/>
  <c r="IR25" i="67"/>
  <c r="IQ25" i="67"/>
  <c r="IP25" i="67"/>
  <c r="IO25" i="67"/>
  <c r="IN25" i="67"/>
  <c r="IM25" i="67"/>
  <c r="IL25" i="67"/>
  <c r="IK25" i="67"/>
  <c r="IJ25" i="67"/>
  <c r="II25" i="67"/>
  <c r="IH25" i="67"/>
  <c r="IG25" i="67"/>
  <c r="IF25" i="67"/>
  <c r="IE25" i="67"/>
  <c r="ID25" i="67"/>
  <c r="IC25" i="67"/>
  <c r="IB25" i="67"/>
  <c r="IA25" i="67"/>
  <c r="HZ25" i="67"/>
  <c r="HY25" i="67"/>
  <c r="HX25" i="67"/>
  <c r="HW25" i="67"/>
  <c r="HV25" i="67"/>
  <c r="HU25" i="67"/>
  <c r="HT25" i="67"/>
  <c r="HS25" i="67"/>
  <c r="HR25" i="67"/>
  <c r="HQ25" i="67"/>
  <c r="HP25" i="67"/>
  <c r="HO25" i="67"/>
  <c r="HN25" i="67"/>
  <c r="HM25" i="67"/>
  <c r="HL25" i="67"/>
  <c r="HK25" i="67"/>
  <c r="HJ25" i="67"/>
  <c r="HI25" i="67"/>
  <c r="HH25" i="67"/>
  <c r="HG25" i="67"/>
  <c r="HF25" i="67"/>
  <c r="HE25" i="67"/>
  <c r="HD25" i="67"/>
  <c r="HC25" i="67"/>
  <c r="HB25" i="67"/>
  <c r="HA25" i="67"/>
  <c r="GZ25" i="67"/>
  <c r="GY25" i="67"/>
  <c r="GX25" i="67"/>
  <c r="GW25" i="67"/>
  <c r="GV25" i="67"/>
  <c r="GU25" i="67"/>
  <c r="GT25" i="67"/>
  <c r="GS25" i="67"/>
  <c r="GR25" i="67"/>
  <c r="GQ25" i="67"/>
  <c r="GP25" i="67"/>
  <c r="GO25" i="67"/>
  <c r="GN25" i="67"/>
  <c r="GM25" i="67"/>
  <c r="GL25" i="67"/>
  <c r="GK25" i="67"/>
  <c r="GJ25" i="67"/>
  <c r="GI25" i="67"/>
  <c r="GH25" i="67"/>
  <c r="GG25" i="67"/>
  <c r="GF25" i="67"/>
  <c r="GE25" i="67"/>
  <c r="GD25" i="67"/>
  <c r="GC25" i="67"/>
  <c r="GB25" i="67"/>
  <c r="GA25" i="67"/>
  <c r="FZ25" i="67"/>
  <c r="FY25" i="67"/>
  <c r="FX25" i="67"/>
  <c r="FW25" i="67"/>
  <c r="FV25" i="67"/>
  <c r="FU25" i="67"/>
  <c r="FT25" i="67"/>
  <c r="FS25" i="67"/>
  <c r="FR25" i="67"/>
  <c r="FQ25" i="67"/>
  <c r="FP25" i="67"/>
  <c r="FO25" i="67"/>
  <c r="C25" i="67"/>
  <c r="LW24" i="67"/>
  <c r="LV24" i="67"/>
  <c r="LU24" i="67"/>
  <c r="LT24" i="67"/>
  <c r="LS24" i="67"/>
  <c r="LR24" i="67"/>
  <c r="LQ24" i="67"/>
  <c r="LP24" i="67"/>
  <c r="LO24" i="67"/>
  <c r="LN24" i="67"/>
  <c r="LM24" i="67"/>
  <c r="LL24" i="67"/>
  <c r="LK24" i="67"/>
  <c r="LJ24" i="67"/>
  <c r="LI24" i="67"/>
  <c r="LH24" i="67"/>
  <c r="LG24" i="67"/>
  <c r="LF24" i="67"/>
  <c r="LE24" i="67"/>
  <c r="LD24" i="67"/>
  <c r="LC24" i="67"/>
  <c r="LB24" i="67"/>
  <c r="LA24" i="67"/>
  <c r="KZ24" i="67"/>
  <c r="KY24" i="67"/>
  <c r="KX24" i="67"/>
  <c r="KW24" i="67"/>
  <c r="KV24" i="67"/>
  <c r="KU24" i="67"/>
  <c r="KT24" i="67"/>
  <c r="KS24" i="67"/>
  <c r="KR24" i="67"/>
  <c r="KQ24" i="67"/>
  <c r="KP24" i="67"/>
  <c r="KO24" i="67"/>
  <c r="KN24" i="67"/>
  <c r="KM24" i="67"/>
  <c r="KL24" i="67"/>
  <c r="KK24" i="67"/>
  <c r="KJ24" i="67"/>
  <c r="KI24" i="67"/>
  <c r="KH24" i="67"/>
  <c r="KG24" i="67"/>
  <c r="KF24" i="67"/>
  <c r="KE24" i="67"/>
  <c r="KD24" i="67"/>
  <c r="KC24" i="67"/>
  <c r="KB24" i="67"/>
  <c r="KA24" i="67"/>
  <c r="JZ24" i="67"/>
  <c r="JY24" i="67"/>
  <c r="JX24" i="67"/>
  <c r="JW24" i="67"/>
  <c r="JV24" i="67"/>
  <c r="JU24" i="67"/>
  <c r="JT24" i="67"/>
  <c r="JS24" i="67"/>
  <c r="JR24" i="67"/>
  <c r="JQ24" i="67"/>
  <c r="JP24" i="67"/>
  <c r="JO24" i="67"/>
  <c r="JN24" i="67"/>
  <c r="JM24" i="67"/>
  <c r="JL24" i="67"/>
  <c r="JK24" i="67"/>
  <c r="JJ24" i="67"/>
  <c r="JI24" i="67"/>
  <c r="JH24" i="67"/>
  <c r="JG24" i="67"/>
  <c r="JF24" i="67"/>
  <c r="JE24" i="67"/>
  <c r="JD24" i="67"/>
  <c r="JC24" i="67"/>
  <c r="JB24" i="67"/>
  <c r="JA24" i="67"/>
  <c r="IZ24" i="67"/>
  <c r="IY24" i="67"/>
  <c r="IX24" i="67"/>
  <c r="IW24" i="67"/>
  <c r="IV24" i="67"/>
  <c r="IU24" i="67"/>
  <c r="IT24" i="67"/>
  <c r="IS24" i="67"/>
  <c r="IR24" i="67"/>
  <c r="IQ24" i="67"/>
  <c r="IP24" i="67"/>
  <c r="IO24" i="67"/>
  <c r="IN24" i="67"/>
  <c r="IM24" i="67"/>
  <c r="IL24" i="67"/>
  <c r="IK24" i="67"/>
  <c r="IJ24" i="67"/>
  <c r="II24" i="67"/>
  <c r="IH24" i="67"/>
  <c r="IG24" i="67"/>
  <c r="IF24" i="67"/>
  <c r="IE24" i="67"/>
  <c r="ID24" i="67"/>
  <c r="IC24" i="67"/>
  <c r="IB24" i="67"/>
  <c r="IA24" i="67"/>
  <c r="HZ24" i="67"/>
  <c r="HY24" i="67"/>
  <c r="HX24" i="67"/>
  <c r="HW24" i="67"/>
  <c r="HV24" i="67"/>
  <c r="HU24" i="67"/>
  <c r="HT24" i="67"/>
  <c r="HS24" i="67"/>
  <c r="HR24" i="67"/>
  <c r="HQ24" i="67"/>
  <c r="HP24" i="67"/>
  <c r="HO24" i="67"/>
  <c r="HN24" i="67"/>
  <c r="HM24" i="67"/>
  <c r="HL24" i="67"/>
  <c r="HK24" i="67"/>
  <c r="HJ24" i="67"/>
  <c r="HI24" i="67"/>
  <c r="HH24" i="67"/>
  <c r="HG24" i="67"/>
  <c r="HF24" i="67"/>
  <c r="HE24" i="67"/>
  <c r="HD24" i="67"/>
  <c r="HC24" i="67"/>
  <c r="HB24" i="67"/>
  <c r="HA24" i="67"/>
  <c r="GZ24" i="67"/>
  <c r="GY24" i="67"/>
  <c r="GX24" i="67"/>
  <c r="GW24" i="67"/>
  <c r="GV24" i="67"/>
  <c r="GU24" i="67"/>
  <c r="GT24" i="67"/>
  <c r="GS24" i="67"/>
  <c r="GR24" i="67"/>
  <c r="GQ24" i="67"/>
  <c r="GP24" i="67"/>
  <c r="GO24" i="67"/>
  <c r="GN24" i="67"/>
  <c r="GM24" i="67"/>
  <c r="GL24" i="67"/>
  <c r="GK24" i="67"/>
  <c r="GJ24" i="67"/>
  <c r="GI24" i="67"/>
  <c r="GH24" i="67"/>
  <c r="GG24" i="67"/>
  <c r="GF24" i="67"/>
  <c r="GE24" i="67"/>
  <c r="GD24" i="67"/>
  <c r="GC24" i="67"/>
  <c r="GB24" i="67"/>
  <c r="GA24" i="67"/>
  <c r="FZ24" i="67"/>
  <c r="FY24" i="67"/>
  <c r="FX24" i="67"/>
  <c r="FW24" i="67"/>
  <c r="FV24" i="67"/>
  <c r="FU24" i="67"/>
  <c r="FT24" i="67"/>
  <c r="FS24" i="67"/>
  <c r="FR24" i="67"/>
  <c r="FQ24" i="67"/>
  <c r="FP24" i="67"/>
  <c r="FO24" i="67"/>
  <c r="C24" i="67"/>
  <c r="LW23" i="67"/>
  <c r="LV23" i="67"/>
  <c r="LU23" i="67"/>
  <c r="LT23" i="67"/>
  <c r="LS23" i="67"/>
  <c r="LR23" i="67"/>
  <c r="LQ23" i="67"/>
  <c r="LP23" i="67"/>
  <c r="LO23" i="67"/>
  <c r="LN23" i="67"/>
  <c r="LM23" i="67"/>
  <c r="LL23" i="67"/>
  <c r="LK23" i="67"/>
  <c r="LJ23" i="67"/>
  <c r="LI23" i="67"/>
  <c r="LH23" i="67"/>
  <c r="LG23" i="67"/>
  <c r="LF23" i="67"/>
  <c r="LE23" i="67"/>
  <c r="LD23" i="67"/>
  <c r="LC23" i="67"/>
  <c r="LB23" i="67"/>
  <c r="LA23" i="67"/>
  <c r="KZ23" i="67"/>
  <c r="KY23" i="67"/>
  <c r="KX23" i="67"/>
  <c r="KW23" i="67"/>
  <c r="KV23" i="67"/>
  <c r="KU23" i="67"/>
  <c r="KT23" i="67"/>
  <c r="KS23" i="67"/>
  <c r="KR23" i="67"/>
  <c r="KQ23" i="67"/>
  <c r="KP23" i="67"/>
  <c r="KO23" i="67"/>
  <c r="KN23" i="67"/>
  <c r="KM23" i="67"/>
  <c r="KL23" i="67"/>
  <c r="KK23" i="67"/>
  <c r="KJ23" i="67"/>
  <c r="KI23" i="67"/>
  <c r="KH23" i="67"/>
  <c r="KG23" i="67"/>
  <c r="KF23" i="67"/>
  <c r="KE23" i="67"/>
  <c r="KD23" i="67"/>
  <c r="KC23" i="67"/>
  <c r="KB23" i="67"/>
  <c r="KA23" i="67"/>
  <c r="JZ23" i="67"/>
  <c r="JY23" i="67"/>
  <c r="JX23" i="67"/>
  <c r="JW23" i="67"/>
  <c r="JV23" i="67"/>
  <c r="JU23" i="67"/>
  <c r="JT23" i="67"/>
  <c r="JS23" i="67"/>
  <c r="JR23" i="67"/>
  <c r="JQ23" i="67"/>
  <c r="JP23" i="67"/>
  <c r="JO23" i="67"/>
  <c r="JN23" i="67"/>
  <c r="JM23" i="67"/>
  <c r="JL23" i="67"/>
  <c r="JK23" i="67"/>
  <c r="JJ23" i="67"/>
  <c r="JI23" i="67"/>
  <c r="JH23" i="67"/>
  <c r="JG23" i="67"/>
  <c r="JF23" i="67"/>
  <c r="JE23" i="67"/>
  <c r="JD23" i="67"/>
  <c r="JC23" i="67"/>
  <c r="JB23" i="67"/>
  <c r="JA23" i="67"/>
  <c r="IZ23" i="67"/>
  <c r="IY23" i="67"/>
  <c r="IX23" i="67"/>
  <c r="IW23" i="67"/>
  <c r="IV23" i="67"/>
  <c r="IU23" i="67"/>
  <c r="IT23" i="67"/>
  <c r="IS23" i="67"/>
  <c r="IR23" i="67"/>
  <c r="IQ23" i="67"/>
  <c r="IP23" i="67"/>
  <c r="IO23" i="67"/>
  <c r="IN23" i="67"/>
  <c r="IM23" i="67"/>
  <c r="IL23" i="67"/>
  <c r="IK23" i="67"/>
  <c r="IJ23" i="67"/>
  <c r="II23" i="67"/>
  <c r="IH23" i="67"/>
  <c r="IG23" i="67"/>
  <c r="IF23" i="67"/>
  <c r="IE23" i="67"/>
  <c r="ID23" i="67"/>
  <c r="IC23" i="67"/>
  <c r="IB23" i="67"/>
  <c r="IA23" i="67"/>
  <c r="HZ23" i="67"/>
  <c r="HY23" i="67"/>
  <c r="HX23" i="67"/>
  <c r="HW23" i="67"/>
  <c r="HV23" i="67"/>
  <c r="HU23" i="67"/>
  <c r="HT23" i="67"/>
  <c r="HS23" i="67"/>
  <c r="HR23" i="67"/>
  <c r="HQ23" i="67"/>
  <c r="HP23" i="67"/>
  <c r="HO23" i="67"/>
  <c r="HN23" i="67"/>
  <c r="HM23" i="67"/>
  <c r="HL23" i="67"/>
  <c r="HK23" i="67"/>
  <c r="HJ23" i="67"/>
  <c r="HI23" i="67"/>
  <c r="HH23" i="67"/>
  <c r="HG23" i="67"/>
  <c r="HF23" i="67"/>
  <c r="HE23" i="67"/>
  <c r="HD23" i="67"/>
  <c r="HC23" i="67"/>
  <c r="HB23" i="67"/>
  <c r="HA23" i="67"/>
  <c r="GZ23" i="67"/>
  <c r="GY23" i="67"/>
  <c r="GX23" i="67"/>
  <c r="GW23" i="67"/>
  <c r="GV23" i="67"/>
  <c r="GU23" i="67"/>
  <c r="GT23" i="67"/>
  <c r="GS23" i="67"/>
  <c r="GR23" i="67"/>
  <c r="GQ23" i="67"/>
  <c r="GP23" i="67"/>
  <c r="GO23" i="67"/>
  <c r="GN23" i="67"/>
  <c r="GM23" i="67"/>
  <c r="GL23" i="67"/>
  <c r="GK23" i="67"/>
  <c r="GJ23" i="67"/>
  <c r="GI23" i="67"/>
  <c r="GH23" i="67"/>
  <c r="GG23" i="67"/>
  <c r="GF23" i="67"/>
  <c r="GE23" i="67"/>
  <c r="GD23" i="67"/>
  <c r="GC23" i="67"/>
  <c r="GB23" i="67"/>
  <c r="GA23" i="67"/>
  <c r="FZ23" i="67"/>
  <c r="FY23" i="67"/>
  <c r="FX23" i="67"/>
  <c r="FW23" i="67"/>
  <c r="FV23" i="67"/>
  <c r="FU23" i="67"/>
  <c r="FT23" i="67"/>
  <c r="FS23" i="67"/>
  <c r="FR23" i="67"/>
  <c r="FQ23" i="67"/>
  <c r="FP23" i="67"/>
  <c r="FO23" i="67"/>
  <c r="C23" i="67"/>
  <c r="LW22" i="67"/>
  <c r="LV22" i="67"/>
  <c r="LU22" i="67"/>
  <c r="LT22" i="67"/>
  <c r="LS22" i="67"/>
  <c r="LR22" i="67"/>
  <c r="LQ22" i="67"/>
  <c r="LP22" i="67"/>
  <c r="LO22" i="67"/>
  <c r="LN22" i="67"/>
  <c r="LM22" i="67"/>
  <c r="LL22" i="67"/>
  <c r="LK22" i="67"/>
  <c r="LJ22" i="67"/>
  <c r="LI22" i="67"/>
  <c r="LH22" i="67"/>
  <c r="LG22" i="67"/>
  <c r="LF22" i="67"/>
  <c r="LE22" i="67"/>
  <c r="LD22" i="67"/>
  <c r="LC22" i="67"/>
  <c r="LB22" i="67"/>
  <c r="LA22" i="67"/>
  <c r="KZ22" i="67"/>
  <c r="KY22" i="67"/>
  <c r="KX22" i="67"/>
  <c r="KW22" i="67"/>
  <c r="KV22" i="67"/>
  <c r="KU22" i="67"/>
  <c r="KT22" i="67"/>
  <c r="KS22" i="67"/>
  <c r="KR22" i="67"/>
  <c r="KQ22" i="67"/>
  <c r="KP22" i="67"/>
  <c r="KO22" i="67"/>
  <c r="KN22" i="67"/>
  <c r="KM22" i="67"/>
  <c r="KL22" i="67"/>
  <c r="KK22" i="67"/>
  <c r="KJ22" i="67"/>
  <c r="KI22" i="67"/>
  <c r="KH22" i="67"/>
  <c r="KG22" i="67"/>
  <c r="KF22" i="67"/>
  <c r="KE22" i="67"/>
  <c r="KD22" i="67"/>
  <c r="KC22" i="67"/>
  <c r="KB22" i="67"/>
  <c r="KA22" i="67"/>
  <c r="JZ22" i="67"/>
  <c r="JY22" i="67"/>
  <c r="JX22" i="67"/>
  <c r="JW22" i="67"/>
  <c r="JV22" i="67"/>
  <c r="JU22" i="67"/>
  <c r="JT22" i="67"/>
  <c r="JS22" i="67"/>
  <c r="JR22" i="67"/>
  <c r="JQ22" i="67"/>
  <c r="JP22" i="67"/>
  <c r="JO22" i="67"/>
  <c r="JN22" i="67"/>
  <c r="JM22" i="67"/>
  <c r="JL22" i="67"/>
  <c r="JK22" i="67"/>
  <c r="JJ22" i="67"/>
  <c r="JI22" i="67"/>
  <c r="JH22" i="67"/>
  <c r="JG22" i="67"/>
  <c r="JF22" i="67"/>
  <c r="JE22" i="67"/>
  <c r="JD22" i="67"/>
  <c r="JC22" i="67"/>
  <c r="JB22" i="67"/>
  <c r="JA22" i="67"/>
  <c r="IZ22" i="67"/>
  <c r="IY22" i="67"/>
  <c r="IX22" i="67"/>
  <c r="IW22" i="67"/>
  <c r="IV22" i="67"/>
  <c r="IU22" i="67"/>
  <c r="IT22" i="67"/>
  <c r="IS22" i="67"/>
  <c r="IR22" i="67"/>
  <c r="IQ22" i="67"/>
  <c r="IP22" i="67"/>
  <c r="IO22" i="67"/>
  <c r="IN22" i="67"/>
  <c r="IM22" i="67"/>
  <c r="IL22" i="67"/>
  <c r="IK22" i="67"/>
  <c r="IJ22" i="67"/>
  <c r="II22" i="67"/>
  <c r="IH22" i="67"/>
  <c r="IG22" i="67"/>
  <c r="IF22" i="67"/>
  <c r="IE22" i="67"/>
  <c r="ID22" i="67"/>
  <c r="IC22" i="67"/>
  <c r="IB22" i="67"/>
  <c r="IA22" i="67"/>
  <c r="HZ22" i="67"/>
  <c r="HY22" i="67"/>
  <c r="HX22" i="67"/>
  <c r="HW22" i="67"/>
  <c r="HV22" i="67"/>
  <c r="HU22" i="67"/>
  <c r="HT22" i="67"/>
  <c r="HS22" i="67"/>
  <c r="HR22" i="67"/>
  <c r="HQ22" i="67"/>
  <c r="HP22" i="67"/>
  <c r="HO22" i="67"/>
  <c r="HN22" i="67"/>
  <c r="HM22" i="67"/>
  <c r="HL22" i="67"/>
  <c r="HK22" i="67"/>
  <c r="HJ22" i="67"/>
  <c r="HI22" i="67"/>
  <c r="HH22" i="67"/>
  <c r="HG22" i="67"/>
  <c r="HF22" i="67"/>
  <c r="HE22" i="67"/>
  <c r="HD22" i="67"/>
  <c r="HC22" i="67"/>
  <c r="HB22" i="67"/>
  <c r="HA22" i="67"/>
  <c r="GZ22" i="67"/>
  <c r="GY22" i="67"/>
  <c r="GX22" i="67"/>
  <c r="GW22" i="67"/>
  <c r="GV22" i="67"/>
  <c r="GU22" i="67"/>
  <c r="GT22" i="67"/>
  <c r="GS22" i="67"/>
  <c r="GR22" i="67"/>
  <c r="GQ22" i="67"/>
  <c r="GP22" i="67"/>
  <c r="GO22" i="67"/>
  <c r="GN22" i="67"/>
  <c r="GM22" i="67"/>
  <c r="GL22" i="67"/>
  <c r="GK22" i="67"/>
  <c r="GJ22" i="67"/>
  <c r="GI22" i="67"/>
  <c r="GH22" i="67"/>
  <c r="GG22" i="67"/>
  <c r="GF22" i="67"/>
  <c r="GE22" i="67"/>
  <c r="GD22" i="67"/>
  <c r="GC22" i="67"/>
  <c r="GB22" i="67"/>
  <c r="GA22" i="67"/>
  <c r="FZ22" i="67"/>
  <c r="FY22" i="67"/>
  <c r="FX22" i="67"/>
  <c r="FW22" i="67"/>
  <c r="FV22" i="67"/>
  <c r="FU22" i="67"/>
  <c r="FT22" i="67"/>
  <c r="FS22" i="67"/>
  <c r="FR22" i="67"/>
  <c r="FQ22" i="67"/>
  <c r="FP22" i="67"/>
  <c r="FO22" i="67"/>
  <c r="C22" i="67"/>
  <c r="LW21" i="67"/>
  <c r="LV21" i="67"/>
  <c r="LU21" i="67"/>
  <c r="LT21" i="67"/>
  <c r="LS21" i="67"/>
  <c r="LR21" i="67"/>
  <c r="LQ21" i="67"/>
  <c r="LP21" i="67"/>
  <c r="LO21" i="67"/>
  <c r="LN21" i="67"/>
  <c r="LM21" i="67"/>
  <c r="LL21" i="67"/>
  <c r="LK21" i="67"/>
  <c r="LJ21" i="67"/>
  <c r="LI21" i="67"/>
  <c r="LH21" i="67"/>
  <c r="LG21" i="67"/>
  <c r="LF21" i="67"/>
  <c r="LE21" i="67"/>
  <c r="LD21" i="67"/>
  <c r="LC21" i="67"/>
  <c r="LB21" i="67"/>
  <c r="LA21" i="67"/>
  <c r="KZ21" i="67"/>
  <c r="KY21" i="67"/>
  <c r="KX21" i="67"/>
  <c r="KW21" i="67"/>
  <c r="KV21" i="67"/>
  <c r="KU21" i="67"/>
  <c r="KT21" i="67"/>
  <c r="KS21" i="67"/>
  <c r="KR21" i="67"/>
  <c r="KQ21" i="67"/>
  <c r="KP21" i="67"/>
  <c r="KO21" i="67"/>
  <c r="KN21" i="67"/>
  <c r="KM21" i="67"/>
  <c r="KL21" i="67"/>
  <c r="KK21" i="67"/>
  <c r="KJ21" i="67"/>
  <c r="KI21" i="67"/>
  <c r="KH21" i="67"/>
  <c r="KG21" i="67"/>
  <c r="KF21" i="67"/>
  <c r="KE21" i="67"/>
  <c r="KD21" i="67"/>
  <c r="KC21" i="67"/>
  <c r="KB21" i="67"/>
  <c r="KA21" i="67"/>
  <c r="JZ21" i="67"/>
  <c r="JY21" i="67"/>
  <c r="JX21" i="67"/>
  <c r="JW21" i="67"/>
  <c r="JV21" i="67"/>
  <c r="JU21" i="67"/>
  <c r="JT21" i="67"/>
  <c r="JS21" i="67"/>
  <c r="JR21" i="67"/>
  <c r="JQ21" i="67"/>
  <c r="JP21" i="67"/>
  <c r="JO21" i="67"/>
  <c r="JN21" i="67"/>
  <c r="JM21" i="67"/>
  <c r="JL21" i="67"/>
  <c r="JK21" i="67"/>
  <c r="JJ21" i="67"/>
  <c r="JI21" i="67"/>
  <c r="JH21" i="67"/>
  <c r="JG21" i="67"/>
  <c r="JF21" i="67"/>
  <c r="JE21" i="67"/>
  <c r="JD21" i="67"/>
  <c r="JC21" i="67"/>
  <c r="JB21" i="67"/>
  <c r="JA21" i="67"/>
  <c r="IZ21" i="67"/>
  <c r="IY21" i="67"/>
  <c r="IX21" i="67"/>
  <c r="IW21" i="67"/>
  <c r="IV21" i="67"/>
  <c r="IU21" i="67"/>
  <c r="IT21" i="67"/>
  <c r="IS21" i="67"/>
  <c r="IR21" i="67"/>
  <c r="IQ21" i="67"/>
  <c r="IP21" i="67"/>
  <c r="IO21" i="67"/>
  <c r="IN21" i="67"/>
  <c r="IM21" i="67"/>
  <c r="IL21" i="67"/>
  <c r="IK21" i="67"/>
  <c r="IJ21" i="67"/>
  <c r="II21" i="67"/>
  <c r="IH21" i="67"/>
  <c r="IG21" i="67"/>
  <c r="IF21" i="67"/>
  <c r="IE21" i="67"/>
  <c r="ID21" i="67"/>
  <c r="IC21" i="67"/>
  <c r="IB21" i="67"/>
  <c r="IA21" i="67"/>
  <c r="HZ21" i="67"/>
  <c r="HY21" i="67"/>
  <c r="HX21" i="67"/>
  <c r="HW21" i="67"/>
  <c r="HV21" i="67"/>
  <c r="HU21" i="67"/>
  <c r="HT21" i="67"/>
  <c r="HS21" i="67"/>
  <c r="HR21" i="67"/>
  <c r="HQ21" i="67"/>
  <c r="HP21" i="67"/>
  <c r="HO21" i="67"/>
  <c r="HN21" i="67"/>
  <c r="HM21" i="67"/>
  <c r="HL21" i="67"/>
  <c r="HK21" i="67"/>
  <c r="HJ21" i="67"/>
  <c r="HI21" i="67"/>
  <c r="HH21" i="67"/>
  <c r="HG21" i="67"/>
  <c r="HF21" i="67"/>
  <c r="HE21" i="67"/>
  <c r="HD21" i="67"/>
  <c r="HC21" i="67"/>
  <c r="HB21" i="67"/>
  <c r="HA21" i="67"/>
  <c r="GZ21" i="67"/>
  <c r="GY21" i="67"/>
  <c r="GX21" i="67"/>
  <c r="GW21" i="67"/>
  <c r="GV21" i="67"/>
  <c r="GU21" i="67"/>
  <c r="GT21" i="67"/>
  <c r="GS21" i="67"/>
  <c r="GR21" i="67"/>
  <c r="GQ21" i="67"/>
  <c r="GP21" i="67"/>
  <c r="GO21" i="67"/>
  <c r="GN21" i="67"/>
  <c r="GM21" i="67"/>
  <c r="GL21" i="67"/>
  <c r="GK21" i="67"/>
  <c r="GJ21" i="67"/>
  <c r="GI21" i="67"/>
  <c r="GH21" i="67"/>
  <c r="GG21" i="67"/>
  <c r="GF21" i="67"/>
  <c r="GE21" i="67"/>
  <c r="GD21" i="67"/>
  <c r="GC21" i="67"/>
  <c r="GB21" i="67"/>
  <c r="GA21" i="67"/>
  <c r="FZ21" i="67"/>
  <c r="FY21" i="67"/>
  <c r="FX21" i="67"/>
  <c r="FW21" i="67"/>
  <c r="FV21" i="67"/>
  <c r="FU21" i="67"/>
  <c r="FT21" i="67"/>
  <c r="FS21" i="67"/>
  <c r="FR21" i="67"/>
  <c r="FQ21" i="67"/>
  <c r="FP21" i="67"/>
  <c r="FO21" i="67"/>
  <c r="C21" i="67"/>
  <c r="LW20" i="67"/>
  <c r="LV20" i="67"/>
  <c r="LU20" i="67"/>
  <c r="LT20" i="67"/>
  <c r="LS20" i="67"/>
  <c r="LR20" i="67"/>
  <c r="LQ20" i="67"/>
  <c r="LP20" i="67"/>
  <c r="LO20" i="67"/>
  <c r="LN20" i="67"/>
  <c r="LM20" i="67"/>
  <c r="LL20" i="67"/>
  <c r="LK20" i="67"/>
  <c r="LJ20" i="67"/>
  <c r="LI20" i="67"/>
  <c r="LH20" i="67"/>
  <c r="LG20" i="67"/>
  <c r="LF20" i="67"/>
  <c r="LE20" i="67"/>
  <c r="LD20" i="67"/>
  <c r="LC20" i="67"/>
  <c r="LB20" i="67"/>
  <c r="LA20" i="67"/>
  <c r="KZ20" i="67"/>
  <c r="KY20" i="67"/>
  <c r="KX20" i="67"/>
  <c r="KW20" i="67"/>
  <c r="KV20" i="67"/>
  <c r="KU20" i="67"/>
  <c r="KT20" i="67"/>
  <c r="KS20" i="67"/>
  <c r="KR20" i="67"/>
  <c r="KQ20" i="67"/>
  <c r="KP20" i="67"/>
  <c r="KO20" i="67"/>
  <c r="KN20" i="67"/>
  <c r="KM20" i="67"/>
  <c r="KL20" i="67"/>
  <c r="KK20" i="67"/>
  <c r="KJ20" i="67"/>
  <c r="KI20" i="67"/>
  <c r="KH20" i="67"/>
  <c r="KG20" i="67"/>
  <c r="KF20" i="67"/>
  <c r="KE20" i="67"/>
  <c r="KD20" i="67"/>
  <c r="KC20" i="67"/>
  <c r="KB20" i="67"/>
  <c r="KA20" i="67"/>
  <c r="JZ20" i="67"/>
  <c r="JY20" i="67"/>
  <c r="JX20" i="67"/>
  <c r="JW20" i="67"/>
  <c r="JV20" i="67"/>
  <c r="JU20" i="67"/>
  <c r="JT20" i="67"/>
  <c r="JS20" i="67"/>
  <c r="JR20" i="67"/>
  <c r="JQ20" i="67"/>
  <c r="JP20" i="67"/>
  <c r="JO20" i="67"/>
  <c r="JN20" i="67"/>
  <c r="JM20" i="67"/>
  <c r="JL20" i="67"/>
  <c r="JK20" i="67"/>
  <c r="JJ20" i="67"/>
  <c r="JI20" i="67"/>
  <c r="JH20" i="67"/>
  <c r="JG20" i="67"/>
  <c r="JF20" i="67"/>
  <c r="JE20" i="67"/>
  <c r="JD20" i="67"/>
  <c r="JC20" i="67"/>
  <c r="JB20" i="67"/>
  <c r="JA20" i="67"/>
  <c r="IZ20" i="67"/>
  <c r="IY20" i="67"/>
  <c r="IX20" i="67"/>
  <c r="IW20" i="67"/>
  <c r="IV20" i="67"/>
  <c r="IU20" i="67"/>
  <c r="IT20" i="67"/>
  <c r="IS20" i="67"/>
  <c r="IR20" i="67"/>
  <c r="IQ20" i="67"/>
  <c r="IP20" i="67"/>
  <c r="IO20" i="67"/>
  <c r="IN20" i="67"/>
  <c r="IM20" i="67"/>
  <c r="IL20" i="67"/>
  <c r="IK20" i="67"/>
  <c r="IJ20" i="67"/>
  <c r="II20" i="67"/>
  <c r="IH20" i="67"/>
  <c r="IG20" i="67"/>
  <c r="IF20" i="67"/>
  <c r="IE20" i="67"/>
  <c r="ID20" i="67"/>
  <c r="IC20" i="67"/>
  <c r="IB20" i="67"/>
  <c r="IA20" i="67"/>
  <c r="HZ20" i="67"/>
  <c r="HY20" i="67"/>
  <c r="HX20" i="67"/>
  <c r="HW20" i="67"/>
  <c r="HV20" i="67"/>
  <c r="HU20" i="67"/>
  <c r="HT20" i="67"/>
  <c r="HS20" i="67"/>
  <c r="HR20" i="67"/>
  <c r="HQ20" i="67"/>
  <c r="HP20" i="67"/>
  <c r="HO20" i="67"/>
  <c r="HN20" i="67"/>
  <c r="HM20" i="67"/>
  <c r="HL20" i="67"/>
  <c r="HK20" i="67"/>
  <c r="HJ20" i="67"/>
  <c r="HI20" i="67"/>
  <c r="HH20" i="67"/>
  <c r="HG20" i="67"/>
  <c r="HF20" i="67"/>
  <c r="HE20" i="67"/>
  <c r="HD20" i="67"/>
  <c r="HC20" i="67"/>
  <c r="HB20" i="67"/>
  <c r="HA20" i="67"/>
  <c r="GZ20" i="67"/>
  <c r="GY20" i="67"/>
  <c r="GX20" i="67"/>
  <c r="GW20" i="67"/>
  <c r="GV20" i="67"/>
  <c r="GU20" i="67"/>
  <c r="GT20" i="67"/>
  <c r="GS20" i="67"/>
  <c r="GR20" i="67"/>
  <c r="GQ20" i="67"/>
  <c r="GP20" i="67"/>
  <c r="GO20" i="67"/>
  <c r="GN20" i="67"/>
  <c r="GM20" i="67"/>
  <c r="GL20" i="67"/>
  <c r="GK20" i="67"/>
  <c r="GJ20" i="67"/>
  <c r="GI20" i="67"/>
  <c r="GH20" i="67"/>
  <c r="GG20" i="67"/>
  <c r="GF20" i="67"/>
  <c r="GE20" i="67"/>
  <c r="GD20" i="67"/>
  <c r="GC20" i="67"/>
  <c r="GB20" i="67"/>
  <c r="GA20" i="67"/>
  <c r="FZ20" i="67"/>
  <c r="FY20" i="67"/>
  <c r="FX20" i="67"/>
  <c r="FW20" i="67"/>
  <c r="FV20" i="67"/>
  <c r="FU20" i="67"/>
  <c r="FT20" i="67"/>
  <c r="FS20" i="67"/>
  <c r="FR20" i="67"/>
  <c r="FQ20" i="67"/>
  <c r="FP20" i="67"/>
  <c r="FO20" i="67"/>
  <c r="C20" i="67"/>
  <c r="LW19" i="67"/>
  <c r="LV19" i="67"/>
  <c r="LU19" i="67"/>
  <c r="LT19" i="67"/>
  <c r="LS19" i="67"/>
  <c r="LR19" i="67"/>
  <c r="LQ19" i="67"/>
  <c r="LP19" i="67"/>
  <c r="LO19" i="67"/>
  <c r="LN19" i="67"/>
  <c r="LM19" i="67"/>
  <c r="LL19" i="67"/>
  <c r="LK19" i="67"/>
  <c r="LJ19" i="67"/>
  <c r="LI19" i="67"/>
  <c r="LH19" i="67"/>
  <c r="LG19" i="67"/>
  <c r="LF19" i="67"/>
  <c r="LE19" i="67"/>
  <c r="LD19" i="67"/>
  <c r="LC19" i="67"/>
  <c r="LB19" i="67"/>
  <c r="LA19" i="67"/>
  <c r="KZ19" i="67"/>
  <c r="KY19" i="67"/>
  <c r="KX19" i="67"/>
  <c r="KW19" i="67"/>
  <c r="KV19" i="67"/>
  <c r="KU19" i="67"/>
  <c r="KT19" i="67"/>
  <c r="KS19" i="67"/>
  <c r="KR19" i="67"/>
  <c r="KQ19" i="67"/>
  <c r="KP19" i="67"/>
  <c r="KO19" i="67"/>
  <c r="KN19" i="67"/>
  <c r="KM19" i="67"/>
  <c r="KL19" i="67"/>
  <c r="KK19" i="67"/>
  <c r="KJ19" i="67"/>
  <c r="KI19" i="67"/>
  <c r="KH19" i="67"/>
  <c r="KG19" i="67"/>
  <c r="KF19" i="67"/>
  <c r="KE19" i="67"/>
  <c r="KD19" i="67"/>
  <c r="KC19" i="67"/>
  <c r="KB19" i="67"/>
  <c r="KA19" i="67"/>
  <c r="JZ19" i="67"/>
  <c r="JY19" i="67"/>
  <c r="JX19" i="67"/>
  <c r="JW19" i="67"/>
  <c r="JV19" i="67"/>
  <c r="JU19" i="67"/>
  <c r="JT19" i="67"/>
  <c r="JS19" i="67"/>
  <c r="JR19" i="67"/>
  <c r="JQ19" i="67"/>
  <c r="JP19" i="67"/>
  <c r="JO19" i="67"/>
  <c r="JN19" i="67"/>
  <c r="JM19" i="67"/>
  <c r="JL19" i="67"/>
  <c r="JK19" i="67"/>
  <c r="JJ19" i="67"/>
  <c r="JI19" i="67"/>
  <c r="JH19" i="67"/>
  <c r="JG19" i="67"/>
  <c r="JF19" i="67"/>
  <c r="JE19" i="67"/>
  <c r="JD19" i="67"/>
  <c r="JC19" i="67"/>
  <c r="JB19" i="67"/>
  <c r="JA19" i="67"/>
  <c r="IZ19" i="67"/>
  <c r="IY19" i="67"/>
  <c r="IX19" i="67"/>
  <c r="IW19" i="67"/>
  <c r="IV19" i="67"/>
  <c r="IU19" i="67"/>
  <c r="IT19" i="67"/>
  <c r="IS19" i="67"/>
  <c r="IR19" i="67"/>
  <c r="IQ19" i="67"/>
  <c r="IP19" i="67"/>
  <c r="IO19" i="67"/>
  <c r="IN19" i="67"/>
  <c r="IM19" i="67"/>
  <c r="IL19" i="67"/>
  <c r="IK19" i="67"/>
  <c r="IJ19" i="67"/>
  <c r="II19" i="67"/>
  <c r="IH19" i="67"/>
  <c r="IG19" i="67"/>
  <c r="IF19" i="67"/>
  <c r="IE19" i="67"/>
  <c r="ID19" i="67"/>
  <c r="IC19" i="67"/>
  <c r="IB19" i="67"/>
  <c r="IA19" i="67"/>
  <c r="HZ19" i="67"/>
  <c r="HY19" i="67"/>
  <c r="HX19" i="67"/>
  <c r="HW19" i="67"/>
  <c r="HV19" i="67"/>
  <c r="HU19" i="67"/>
  <c r="HT19" i="67"/>
  <c r="HS19" i="67"/>
  <c r="HR19" i="67"/>
  <c r="HQ19" i="67"/>
  <c r="HP19" i="67"/>
  <c r="HO19" i="67"/>
  <c r="HN19" i="67"/>
  <c r="HM19" i="67"/>
  <c r="HL19" i="67"/>
  <c r="HK19" i="67"/>
  <c r="HJ19" i="67"/>
  <c r="HI19" i="67"/>
  <c r="HH19" i="67"/>
  <c r="HG19" i="67"/>
  <c r="HF19" i="67"/>
  <c r="HE19" i="67"/>
  <c r="HD19" i="67"/>
  <c r="HC19" i="67"/>
  <c r="HB19" i="67"/>
  <c r="HA19" i="67"/>
  <c r="GZ19" i="67"/>
  <c r="GY19" i="67"/>
  <c r="GX19" i="67"/>
  <c r="GW19" i="67"/>
  <c r="GV19" i="67"/>
  <c r="GU19" i="67"/>
  <c r="GT19" i="67"/>
  <c r="GS19" i="67"/>
  <c r="GR19" i="67"/>
  <c r="GQ19" i="67"/>
  <c r="GP19" i="67"/>
  <c r="GO19" i="67"/>
  <c r="GN19" i="67"/>
  <c r="GM19" i="67"/>
  <c r="GL19" i="67"/>
  <c r="GK19" i="67"/>
  <c r="GJ19" i="67"/>
  <c r="GI19" i="67"/>
  <c r="GH19" i="67"/>
  <c r="GG19" i="67"/>
  <c r="GF19" i="67"/>
  <c r="GE19" i="67"/>
  <c r="GD19" i="67"/>
  <c r="GC19" i="67"/>
  <c r="GB19" i="67"/>
  <c r="GA19" i="67"/>
  <c r="FZ19" i="67"/>
  <c r="FY19" i="67"/>
  <c r="FX19" i="67"/>
  <c r="FW19" i="67"/>
  <c r="FV19" i="67"/>
  <c r="FU19" i="67"/>
  <c r="FT19" i="67"/>
  <c r="FS19" i="67"/>
  <c r="FR19" i="67"/>
  <c r="FQ19" i="67"/>
  <c r="FP19" i="67"/>
  <c r="FO19" i="67"/>
  <c r="C19" i="67"/>
  <c r="LW18" i="67"/>
  <c r="LV18" i="67"/>
  <c r="LU18" i="67"/>
  <c r="LT18" i="67"/>
  <c r="LS18" i="67"/>
  <c r="LR18" i="67"/>
  <c r="LQ18" i="67"/>
  <c r="LP18" i="67"/>
  <c r="LO18" i="67"/>
  <c r="LN18" i="67"/>
  <c r="LM18" i="67"/>
  <c r="LL18" i="67"/>
  <c r="LK18" i="67"/>
  <c r="LJ18" i="67"/>
  <c r="LI18" i="67"/>
  <c r="LH18" i="67"/>
  <c r="LG18" i="67"/>
  <c r="LF18" i="67"/>
  <c r="LE18" i="67"/>
  <c r="LD18" i="67"/>
  <c r="LC18" i="67"/>
  <c r="LB18" i="67"/>
  <c r="LA18" i="67"/>
  <c r="KZ18" i="67"/>
  <c r="KY18" i="67"/>
  <c r="KX18" i="67"/>
  <c r="KW18" i="67"/>
  <c r="KV18" i="67"/>
  <c r="KU18" i="67"/>
  <c r="KT18" i="67"/>
  <c r="KS18" i="67"/>
  <c r="KR18" i="67"/>
  <c r="KQ18" i="67"/>
  <c r="KP18" i="67"/>
  <c r="KO18" i="67"/>
  <c r="KN18" i="67"/>
  <c r="KM18" i="67"/>
  <c r="KL18" i="67"/>
  <c r="KK18" i="67"/>
  <c r="KJ18" i="67"/>
  <c r="KI18" i="67"/>
  <c r="KH18" i="67"/>
  <c r="KG18" i="67"/>
  <c r="KF18" i="67"/>
  <c r="KE18" i="67"/>
  <c r="KD18" i="67"/>
  <c r="KC18" i="67"/>
  <c r="KB18" i="67"/>
  <c r="KA18" i="67"/>
  <c r="JZ18" i="67"/>
  <c r="JY18" i="67"/>
  <c r="JX18" i="67"/>
  <c r="JW18" i="67"/>
  <c r="JV18" i="67"/>
  <c r="JU18" i="67"/>
  <c r="JT18" i="67"/>
  <c r="JS18" i="67"/>
  <c r="JR18" i="67"/>
  <c r="JQ18" i="67"/>
  <c r="JP18" i="67"/>
  <c r="JO18" i="67"/>
  <c r="JN18" i="67"/>
  <c r="JM18" i="67"/>
  <c r="JL18" i="67"/>
  <c r="JK18" i="67"/>
  <c r="JJ18" i="67"/>
  <c r="JI18" i="67"/>
  <c r="JH18" i="67"/>
  <c r="JG18" i="67"/>
  <c r="JF18" i="67"/>
  <c r="JE18" i="67"/>
  <c r="JD18" i="67"/>
  <c r="JC18" i="67"/>
  <c r="JB18" i="67"/>
  <c r="JA18" i="67"/>
  <c r="IZ18" i="67"/>
  <c r="IY18" i="67"/>
  <c r="IX18" i="67"/>
  <c r="IW18" i="67"/>
  <c r="IV18" i="67"/>
  <c r="IU18" i="67"/>
  <c r="IT18" i="67"/>
  <c r="IS18" i="67"/>
  <c r="IR18" i="67"/>
  <c r="IQ18" i="67"/>
  <c r="IP18" i="67"/>
  <c r="IO18" i="67"/>
  <c r="IN18" i="67"/>
  <c r="IM18" i="67"/>
  <c r="IL18" i="67"/>
  <c r="IK18" i="67"/>
  <c r="IJ18" i="67"/>
  <c r="II18" i="67"/>
  <c r="IH18" i="67"/>
  <c r="IG18" i="67"/>
  <c r="IF18" i="67"/>
  <c r="IE18" i="67"/>
  <c r="ID18" i="67"/>
  <c r="IC18" i="67"/>
  <c r="IB18" i="67"/>
  <c r="IA18" i="67"/>
  <c r="HZ18" i="67"/>
  <c r="HY18" i="67"/>
  <c r="HX18" i="67"/>
  <c r="HW18" i="67"/>
  <c r="HV18" i="67"/>
  <c r="HU18" i="67"/>
  <c r="HT18" i="67"/>
  <c r="HS18" i="67"/>
  <c r="HR18" i="67"/>
  <c r="HQ18" i="67"/>
  <c r="HP18" i="67"/>
  <c r="HO18" i="67"/>
  <c r="HN18" i="67"/>
  <c r="HM18" i="67"/>
  <c r="HL18" i="67"/>
  <c r="HK18" i="67"/>
  <c r="HJ18" i="67"/>
  <c r="HI18" i="67"/>
  <c r="HH18" i="67"/>
  <c r="HG18" i="67"/>
  <c r="HF18" i="67"/>
  <c r="HE18" i="67"/>
  <c r="HD18" i="67"/>
  <c r="HC18" i="67"/>
  <c r="HB18" i="67"/>
  <c r="HA18" i="67"/>
  <c r="GZ18" i="67"/>
  <c r="GY18" i="67"/>
  <c r="GX18" i="67"/>
  <c r="GW18" i="67"/>
  <c r="GV18" i="67"/>
  <c r="GU18" i="67"/>
  <c r="GT18" i="67"/>
  <c r="GS18" i="67"/>
  <c r="GR18" i="67"/>
  <c r="GQ18" i="67"/>
  <c r="GP18" i="67"/>
  <c r="GO18" i="67"/>
  <c r="GN18" i="67"/>
  <c r="GM18" i="67"/>
  <c r="GL18" i="67"/>
  <c r="GK18" i="67"/>
  <c r="GJ18" i="67"/>
  <c r="GI18" i="67"/>
  <c r="GH18" i="67"/>
  <c r="GG18" i="67"/>
  <c r="GF18" i="67"/>
  <c r="GE18" i="67"/>
  <c r="GD18" i="67"/>
  <c r="GC18" i="67"/>
  <c r="GB18" i="67"/>
  <c r="GA18" i="67"/>
  <c r="FZ18" i="67"/>
  <c r="FY18" i="67"/>
  <c r="FX18" i="67"/>
  <c r="FW18" i="67"/>
  <c r="FV18" i="67"/>
  <c r="FU18" i="67"/>
  <c r="FT18" i="67"/>
  <c r="FS18" i="67"/>
  <c r="FR18" i="67"/>
  <c r="FQ18" i="67"/>
  <c r="FP18" i="67"/>
  <c r="FO18" i="67"/>
  <c r="C18" i="67"/>
  <c r="LW17" i="67"/>
  <c r="LV17" i="67"/>
  <c r="LU17" i="67"/>
  <c r="LT17" i="67"/>
  <c r="LS17" i="67"/>
  <c r="LR17" i="67"/>
  <c r="LQ17" i="67"/>
  <c r="LP17" i="67"/>
  <c r="LO17" i="67"/>
  <c r="LN17" i="67"/>
  <c r="LM17" i="67"/>
  <c r="LL17" i="67"/>
  <c r="LK17" i="67"/>
  <c r="LJ17" i="67"/>
  <c r="LI17" i="67"/>
  <c r="LH17" i="67"/>
  <c r="LG17" i="67"/>
  <c r="LF17" i="67"/>
  <c r="LE17" i="67"/>
  <c r="LD17" i="67"/>
  <c r="LC17" i="67"/>
  <c r="LB17" i="67"/>
  <c r="LA17" i="67"/>
  <c r="KZ17" i="67"/>
  <c r="KY17" i="67"/>
  <c r="KX17" i="67"/>
  <c r="KW17" i="67"/>
  <c r="KV17" i="67"/>
  <c r="KU17" i="67"/>
  <c r="KT17" i="67"/>
  <c r="KS17" i="67"/>
  <c r="KR17" i="67"/>
  <c r="KQ17" i="67"/>
  <c r="KP17" i="67"/>
  <c r="KO17" i="67"/>
  <c r="KN17" i="67"/>
  <c r="KM17" i="67"/>
  <c r="KL17" i="67"/>
  <c r="KK17" i="67"/>
  <c r="KJ17" i="67"/>
  <c r="KI17" i="67"/>
  <c r="KH17" i="67"/>
  <c r="KG17" i="67"/>
  <c r="KF17" i="67"/>
  <c r="KE17" i="67"/>
  <c r="KD17" i="67"/>
  <c r="KC17" i="67"/>
  <c r="KB17" i="67"/>
  <c r="KA17" i="67"/>
  <c r="JZ17" i="67"/>
  <c r="JY17" i="67"/>
  <c r="JX17" i="67"/>
  <c r="JW17" i="67"/>
  <c r="JV17" i="67"/>
  <c r="JU17" i="67"/>
  <c r="JT17" i="67"/>
  <c r="JS17" i="67"/>
  <c r="JR17" i="67"/>
  <c r="JQ17" i="67"/>
  <c r="JP17" i="67"/>
  <c r="JO17" i="67"/>
  <c r="JN17" i="67"/>
  <c r="JM17" i="67"/>
  <c r="JL17" i="67"/>
  <c r="JK17" i="67"/>
  <c r="JJ17" i="67"/>
  <c r="JI17" i="67"/>
  <c r="JH17" i="67"/>
  <c r="JG17" i="67"/>
  <c r="JF17" i="67"/>
  <c r="JE17" i="67"/>
  <c r="JD17" i="67"/>
  <c r="JC17" i="67"/>
  <c r="JB17" i="67"/>
  <c r="JA17" i="67"/>
  <c r="IZ17" i="67"/>
  <c r="IY17" i="67"/>
  <c r="IX17" i="67"/>
  <c r="IW17" i="67"/>
  <c r="IV17" i="67"/>
  <c r="IU17" i="67"/>
  <c r="IT17" i="67"/>
  <c r="IS17" i="67"/>
  <c r="IR17" i="67"/>
  <c r="IQ17" i="67"/>
  <c r="IP17" i="67"/>
  <c r="IO17" i="67"/>
  <c r="IN17" i="67"/>
  <c r="IM17" i="67"/>
  <c r="IL17" i="67"/>
  <c r="IK17" i="67"/>
  <c r="IJ17" i="67"/>
  <c r="II17" i="67"/>
  <c r="IH17" i="67"/>
  <c r="IG17" i="67"/>
  <c r="IF17" i="67"/>
  <c r="IE17" i="67"/>
  <c r="ID17" i="67"/>
  <c r="IC17" i="67"/>
  <c r="IB17" i="67"/>
  <c r="IA17" i="67"/>
  <c r="HZ17" i="67"/>
  <c r="HY17" i="67"/>
  <c r="HX17" i="67"/>
  <c r="HW17" i="67"/>
  <c r="HV17" i="67"/>
  <c r="HU17" i="67"/>
  <c r="HT17" i="67"/>
  <c r="HS17" i="67"/>
  <c r="HR17" i="67"/>
  <c r="HQ17" i="67"/>
  <c r="HP17" i="67"/>
  <c r="HO17" i="67"/>
  <c r="HN17" i="67"/>
  <c r="HM17" i="67"/>
  <c r="HL17" i="67"/>
  <c r="HK17" i="67"/>
  <c r="HJ17" i="67"/>
  <c r="HI17" i="67"/>
  <c r="HH17" i="67"/>
  <c r="HG17" i="67"/>
  <c r="HF17" i="67"/>
  <c r="HE17" i="67"/>
  <c r="HD17" i="67"/>
  <c r="HC17" i="67"/>
  <c r="HB17" i="67"/>
  <c r="HA17" i="67"/>
  <c r="GZ17" i="67"/>
  <c r="GY17" i="67"/>
  <c r="GX17" i="67"/>
  <c r="GW17" i="67"/>
  <c r="GV17" i="67"/>
  <c r="GU17" i="67"/>
  <c r="GT17" i="67"/>
  <c r="GS17" i="67"/>
  <c r="GR17" i="67"/>
  <c r="GQ17" i="67"/>
  <c r="GP17" i="67"/>
  <c r="GO17" i="67"/>
  <c r="GN17" i="67"/>
  <c r="GM17" i="67"/>
  <c r="GL17" i="67"/>
  <c r="GK17" i="67"/>
  <c r="GJ17" i="67"/>
  <c r="GI17" i="67"/>
  <c r="GH17" i="67"/>
  <c r="GG17" i="67"/>
  <c r="GF17" i="67"/>
  <c r="GE17" i="67"/>
  <c r="GD17" i="67"/>
  <c r="GC17" i="67"/>
  <c r="GB17" i="67"/>
  <c r="GA17" i="67"/>
  <c r="FZ17" i="67"/>
  <c r="FY17" i="67"/>
  <c r="FX17" i="67"/>
  <c r="FW17" i="67"/>
  <c r="FV17" i="67"/>
  <c r="FU17" i="67"/>
  <c r="FT17" i="67"/>
  <c r="FS17" i="67"/>
  <c r="FR17" i="67"/>
  <c r="FQ17" i="67"/>
  <c r="FP17" i="67"/>
  <c r="FO17" i="67"/>
  <c r="C17" i="67"/>
  <c r="LW16" i="67"/>
  <c r="LV16" i="67"/>
  <c r="LU16" i="67"/>
  <c r="LT16" i="67"/>
  <c r="LS16" i="67"/>
  <c r="LR16" i="67"/>
  <c r="LQ16" i="67"/>
  <c r="LP16" i="67"/>
  <c r="LO16" i="67"/>
  <c r="LN16" i="67"/>
  <c r="LM16" i="67"/>
  <c r="LL16" i="67"/>
  <c r="LK16" i="67"/>
  <c r="LJ16" i="67"/>
  <c r="LI16" i="67"/>
  <c r="LH16" i="67"/>
  <c r="LG16" i="67"/>
  <c r="LF16" i="67"/>
  <c r="LE16" i="67"/>
  <c r="LD16" i="67"/>
  <c r="LC16" i="67"/>
  <c r="LB16" i="67"/>
  <c r="LA16" i="67"/>
  <c r="KZ16" i="67"/>
  <c r="KY16" i="67"/>
  <c r="KX16" i="67"/>
  <c r="KW16" i="67"/>
  <c r="KV16" i="67"/>
  <c r="KU16" i="67"/>
  <c r="KT16" i="67"/>
  <c r="KS16" i="67"/>
  <c r="KR16" i="67"/>
  <c r="KQ16" i="67"/>
  <c r="KP16" i="67"/>
  <c r="KO16" i="67"/>
  <c r="KN16" i="67"/>
  <c r="KM16" i="67"/>
  <c r="KL16" i="67"/>
  <c r="KK16" i="67"/>
  <c r="KJ16" i="67"/>
  <c r="KI16" i="67"/>
  <c r="KH16" i="67"/>
  <c r="KG16" i="67"/>
  <c r="KF16" i="67"/>
  <c r="KE16" i="67"/>
  <c r="KD16" i="67"/>
  <c r="KC16" i="67"/>
  <c r="KB16" i="67"/>
  <c r="KA16" i="67"/>
  <c r="JZ16" i="67"/>
  <c r="JY16" i="67"/>
  <c r="JX16" i="67"/>
  <c r="JW16" i="67"/>
  <c r="JV16" i="67"/>
  <c r="JU16" i="67"/>
  <c r="JT16" i="67"/>
  <c r="JS16" i="67"/>
  <c r="JR16" i="67"/>
  <c r="JQ16" i="67"/>
  <c r="JP16" i="67"/>
  <c r="JO16" i="67"/>
  <c r="JN16" i="67"/>
  <c r="JM16" i="67"/>
  <c r="JL16" i="67"/>
  <c r="JK16" i="67"/>
  <c r="JJ16" i="67"/>
  <c r="JI16" i="67"/>
  <c r="JH16" i="67"/>
  <c r="JG16" i="67"/>
  <c r="JF16" i="67"/>
  <c r="JE16" i="67"/>
  <c r="JD16" i="67"/>
  <c r="JC16" i="67"/>
  <c r="JB16" i="67"/>
  <c r="JA16" i="67"/>
  <c r="IZ16" i="67"/>
  <c r="IY16" i="67"/>
  <c r="IX16" i="67"/>
  <c r="IW16" i="67"/>
  <c r="IV16" i="67"/>
  <c r="IU16" i="67"/>
  <c r="IT16" i="67"/>
  <c r="IS16" i="67"/>
  <c r="IR16" i="67"/>
  <c r="IQ16" i="67"/>
  <c r="IP16" i="67"/>
  <c r="IO16" i="67"/>
  <c r="IN16" i="67"/>
  <c r="IM16" i="67"/>
  <c r="IL16" i="67"/>
  <c r="IK16" i="67"/>
  <c r="IJ16" i="67"/>
  <c r="II16" i="67"/>
  <c r="IH16" i="67"/>
  <c r="IG16" i="67"/>
  <c r="IF16" i="67"/>
  <c r="IE16" i="67"/>
  <c r="ID16" i="67"/>
  <c r="IC16" i="67"/>
  <c r="IB16" i="67"/>
  <c r="IA16" i="67"/>
  <c r="HZ16" i="67"/>
  <c r="HY16" i="67"/>
  <c r="HX16" i="67"/>
  <c r="HW16" i="67"/>
  <c r="HV16" i="67"/>
  <c r="HU16" i="67"/>
  <c r="HT16" i="67"/>
  <c r="HS16" i="67"/>
  <c r="HR16" i="67"/>
  <c r="HQ16" i="67"/>
  <c r="HP16" i="67"/>
  <c r="HO16" i="67"/>
  <c r="HN16" i="67"/>
  <c r="HM16" i="67"/>
  <c r="HL16" i="67"/>
  <c r="HK16" i="67"/>
  <c r="HJ16" i="67"/>
  <c r="HI16" i="67"/>
  <c r="HH16" i="67"/>
  <c r="HG16" i="67"/>
  <c r="HF16" i="67"/>
  <c r="HE16" i="67"/>
  <c r="HD16" i="67"/>
  <c r="HC16" i="67"/>
  <c r="HB16" i="67"/>
  <c r="HA16" i="67"/>
  <c r="GZ16" i="67"/>
  <c r="GY16" i="67"/>
  <c r="GX16" i="67"/>
  <c r="GW16" i="67"/>
  <c r="GV16" i="67"/>
  <c r="GU16" i="67"/>
  <c r="GT16" i="67"/>
  <c r="GS16" i="67"/>
  <c r="GR16" i="67"/>
  <c r="GQ16" i="67"/>
  <c r="GP16" i="67"/>
  <c r="GO16" i="67"/>
  <c r="GN16" i="67"/>
  <c r="GM16" i="67"/>
  <c r="GL16" i="67"/>
  <c r="GK16" i="67"/>
  <c r="GJ16" i="67"/>
  <c r="GI16" i="67"/>
  <c r="GH16" i="67"/>
  <c r="GG16" i="67"/>
  <c r="GF16" i="67"/>
  <c r="GE16" i="67"/>
  <c r="GD16" i="67"/>
  <c r="GC16" i="67"/>
  <c r="GB16" i="67"/>
  <c r="GA16" i="67"/>
  <c r="FZ16" i="67"/>
  <c r="FY16" i="67"/>
  <c r="FX16" i="67"/>
  <c r="FW16" i="67"/>
  <c r="FV16" i="67"/>
  <c r="FU16" i="67"/>
  <c r="FT16" i="67"/>
  <c r="FS16" i="67"/>
  <c r="FR16" i="67"/>
  <c r="FQ16" i="67"/>
  <c r="FP16" i="67"/>
  <c r="FO16" i="67"/>
  <c r="C16" i="67"/>
  <c r="LW15" i="67"/>
  <c r="LV15" i="67"/>
  <c r="LU15" i="67"/>
  <c r="LT15" i="67"/>
  <c r="LS15" i="67"/>
  <c r="LR15" i="67"/>
  <c r="LQ15" i="67"/>
  <c r="LP15" i="67"/>
  <c r="LO15" i="67"/>
  <c r="LN15" i="67"/>
  <c r="LM15" i="67"/>
  <c r="LL15" i="67"/>
  <c r="LK15" i="67"/>
  <c r="LJ15" i="67"/>
  <c r="LI15" i="67"/>
  <c r="LH15" i="67"/>
  <c r="LG15" i="67"/>
  <c r="LF15" i="67"/>
  <c r="LE15" i="67"/>
  <c r="LD15" i="67"/>
  <c r="LC15" i="67"/>
  <c r="LB15" i="67"/>
  <c r="LA15" i="67"/>
  <c r="KZ15" i="67"/>
  <c r="KY15" i="67"/>
  <c r="KX15" i="67"/>
  <c r="KW15" i="67"/>
  <c r="KV15" i="67"/>
  <c r="KU15" i="67"/>
  <c r="KT15" i="67"/>
  <c r="KS15" i="67"/>
  <c r="KR15" i="67"/>
  <c r="KQ15" i="67"/>
  <c r="KP15" i="67"/>
  <c r="KO15" i="67"/>
  <c r="KN15" i="67"/>
  <c r="KM15" i="67"/>
  <c r="KL15" i="67"/>
  <c r="KK15" i="67"/>
  <c r="KJ15" i="67"/>
  <c r="KI15" i="67"/>
  <c r="KH15" i="67"/>
  <c r="KG15" i="67"/>
  <c r="KF15" i="67"/>
  <c r="KE15" i="67"/>
  <c r="KD15" i="67"/>
  <c r="KC15" i="67"/>
  <c r="KB15" i="67"/>
  <c r="KA15" i="67"/>
  <c r="JZ15" i="67"/>
  <c r="JY15" i="67"/>
  <c r="JX15" i="67"/>
  <c r="JW15" i="67"/>
  <c r="JV15" i="67"/>
  <c r="JU15" i="67"/>
  <c r="JT15" i="67"/>
  <c r="JS15" i="67"/>
  <c r="JR15" i="67"/>
  <c r="JQ15" i="67"/>
  <c r="JP15" i="67"/>
  <c r="JO15" i="67"/>
  <c r="JN15" i="67"/>
  <c r="JM15" i="67"/>
  <c r="JL15" i="67"/>
  <c r="JK15" i="67"/>
  <c r="JJ15" i="67"/>
  <c r="JI15" i="67"/>
  <c r="JH15" i="67"/>
  <c r="JG15" i="67"/>
  <c r="JF15" i="67"/>
  <c r="JE15" i="67"/>
  <c r="JD15" i="67"/>
  <c r="JC15" i="67"/>
  <c r="JB15" i="67"/>
  <c r="JA15" i="67"/>
  <c r="IZ15" i="67"/>
  <c r="IY15" i="67"/>
  <c r="IX15" i="67"/>
  <c r="IW15" i="67"/>
  <c r="IV15" i="67"/>
  <c r="IU15" i="67"/>
  <c r="IT15" i="67"/>
  <c r="IS15" i="67"/>
  <c r="IR15" i="67"/>
  <c r="IQ15" i="67"/>
  <c r="IP15" i="67"/>
  <c r="IO15" i="67"/>
  <c r="IN15" i="67"/>
  <c r="IM15" i="67"/>
  <c r="IL15" i="67"/>
  <c r="IK15" i="67"/>
  <c r="IJ15" i="67"/>
  <c r="II15" i="67"/>
  <c r="IH15" i="67"/>
  <c r="IG15" i="67"/>
  <c r="IF15" i="67"/>
  <c r="IE15" i="67"/>
  <c r="ID15" i="67"/>
  <c r="IC15" i="67"/>
  <c r="IB15" i="67"/>
  <c r="IA15" i="67"/>
  <c r="HZ15" i="67"/>
  <c r="HY15" i="67"/>
  <c r="HX15" i="67"/>
  <c r="HW15" i="67"/>
  <c r="HV15" i="67"/>
  <c r="HU15" i="67"/>
  <c r="HT15" i="67"/>
  <c r="HS15" i="67"/>
  <c r="HR15" i="67"/>
  <c r="HQ15" i="67"/>
  <c r="HP15" i="67"/>
  <c r="HO15" i="67"/>
  <c r="HN15" i="67"/>
  <c r="HM15" i="67"/>
  <c r="HL15" i="67"/>
  <c r="HK15" i="67"/>
  <c r="HJ15" i="67"/>
  <c r="HI15" i="67"/>
  <c r="HH15" i="67"/>
  <c r="HG15" i="67"/>
  <c r="HF15" i="67"/>
  <c r="HE15" i="67"/>
  <c r="HD15" i="67"/>
  <c r="HC15" i="67"/>
  <c r="HB15" i="67"/>
  <c r="HA15" i="67"/>
  <c r="GZ15" i="67"/>
  <c r="GY15" i="67"/>
  <c r="GX15" i="67"/>
  <c r="GW15" i="67"/>
  <c r="GV15" i="67"/>
  <c r="GU15" i="67"/>
  <c r="GT15" i="67"/>
  <c r="GS15" i="67"/>
  <c r="GR15" i="67"/>
  <c r="GQ15" i="67"/>
  <c r="GP15" i="67"/>
  <c r="GO15" i="67"/>
  <c r="GN15" i="67"/>
  <c r="GM15" i="67"/>
  <c r="GL15" i="67"/>
  <c r="GK15" i="67"/>
  <c r="GJ15" i="67"/>
  <c r="GI15" i="67"/>
  <c r="GH15" i="67"/>
  <c r="GG15" i="67"/>
  <c r="GF15" i="67"/>
  <c r="GE15" i="67"/>
  <c r="GD15" i="67"/>
  <c r="GC15" i="67"/>
  <c r="GB15" i="67"/>
  <c r="GA15" i="67"/>
  <c r="FZ15" i="67"/>
  <c r="FY15" i="67"/>
  <c r="FX15" i="67"/>
  <c r="FW15" i="67"/>
  <c r="FV15" i="67"/>
  <c r="FU15" i="67"/>
  <c r="FT15" i="67"/>
  <c r="FS15" i="67"/>
  <c r="FR15" i="67"/>
  <c r="FQ15" i="67"/>
  <c r="FP15" i="67"/>
  <c r="FO15" i="67"/>
  <c r="C15" i="67"/>
  <c r="LW14" i="67"/>
  <c r="LV14" i="67"/>
  <c r="LU14" i="67"/>
  <c r="LT14" i="67"/>
  <c r="LS14" i="67"/>
  <c r="LR14" i="67"/>
  <c r="LQ14" i="67"/>
  <c r="LP14" i="67"/>
  <c r="LO14" i="67"/>
  <c r="LN14" i="67"/>
  <c r="LM14" i="67"/>
  <c r="LL14" i="67"/>
  <c r="LK14" i="67"/>
  <c r="LJ14" i="67"/>
  <c r="LI14" i="67"/>
  <c r="LH14" i="67"/>
  <c r="LG14" i="67"/>
  <c r="LF14" i="67"/>
  <c r="LE14" i="67"/>
  <c r="LD14" i="67"/>
  <c r="LC14" i="67"/>
  <c r="LB14" i="67"/>
  <c r="LA14" i="67"/>
  <c r="KZ14" i="67"/>
  <c r="KY14" i="67"/>
  <c r="KX14" i="67"/>
  <c r="KW14" i="67"/>
  <c r="KV14" i="67"/>
  <c r="KU14" i="67"/>
  <c r="KT14" i="67"/>
  <c r="KS14" i="67"/>
  <c r="KR14" i="67"/>
  <c r="KQ14" i="67"/>
  <c r="KP14" i="67"/>
  <c r="KO14" i="67"/>
  <c r="KN14" i="67"/>
  <c r="KM14" i="67"/>
  <c r="KL14" i="67"/>
  <c r="KK14" i="67"/>
  <c r="KJ14" i="67"/>
  <c r="KI14" i="67"/>
  <c r="KH14" i="67"/>
  <c r="KG14" i="67"/>
  <c r="KF14" i="67"/>
  <c r="KE14" i="67"/>
  <c r="KD14" i="67"/>
  <c r="KC14" i="67"/>
  <c r="KB14" i="67"/>
  <c r="KA14" i="67"/>
  <c r="JZ14" i="67"/>
  <c r="JY14" i="67"/>
  <c r="JX14" i="67"/>
  <c r="JW14" i="67"/>
  <c r="JV14" i="67"/>
  <c r="JU14" i="67"/>
  <c r="JT14" i="67"/>
  <c r="JS14" i="67"/>
  <c r="JR14" i="67"/>
  <c r="JQ14" i="67"/>
  <c r="JP14" i="67"/>
  <c r="JO14" i="67"/>
  <c r="JN14" i="67"/>
  <c r="JM14" i="67"/>
  <c r="JL14" i="67"/>
  <c r="JK14" i="67"/>
  <c r="JJ14" i="67"/>
  <c r="JI14" i="67"/>
  <c r="JH14" i="67"/>
  <c r="JG14" i="67"/>
  <c r="JF14" i="67"/>
  <c r="JE14" i="67"/>
  <c r="JD14" i="67"/>
  <c r="JC14" i="67"/>
  <c r="JB14" i="67"/>
  <c r="JA14" i="67"/>
  <c r="IZ14" i="67"/>
  <c r="IY14" i="67"/>
  <c r="IX14" i="67"/>
  <c r="IW14" i="67"/>
  <c r="IV14" i="67"/>
  <c r="IU14" i="67"/>
  <c r="IT14" i="67"/>
  <c r="IS14" i="67"/>
  <c r="IR14" i="67"/>
  <c r="IQ14" i="67"/>
  <c r="IP14" i="67"/>
  <c r="IO14" i="67"/>
  <c r="IN14" i="67"/>
  <c r="IM14" i="67"/>
  <c r="IL14" i="67"/>
  <c r="IK14" i="67"/>
  <c r="IJ14" i="67"/>
  <c r="II14" i="67"/>
  <c r="IH14" i="67"/>
  <c r="IG14" i="67"/>
  <c r="IF14" i="67"/>
  <c r="IE14" i="67"/>
  <c r="ID14" i="67"/>
  <c r="IC14" i="67"/>
  <c r="IB14" i="67"/>
  <c r="IA14" i="67"/>
  <c r="HZ14" i="67"/>
  <c r="HY14" i="67"/>
  <c r="HX14" i="67"/>
  <c r="HW14" i="67"/>
  <c r="HV14" i="67"/>
  <c r="HU14" i="67"/>
  <c r="HT14" i="67"/>
  <c r="HS14" i="67"/>
  <c r="HR14" i="67"/>
  <c r="HQ14" i="67"/>
  <c r="HP14" i="67"/>
  <c r="HO14" i="67"/>
  <c r="HN14" i="67"/>
  <c r="HM14" i="67"/>
  <c r="HL14" i="67"/>
  <c r="HK14" i="67"/>
  <c r="HJ14" i="67"/>
  <c r="HI14" i="67"/>
  <c r="HH14" i="67"/>
  <c r="HG14" i="67"/>
  <c r="HF14" i="67"/>
  <c r="HE14" i="67"/>
  <c r="HD14" i="67"/>
  <c r="HC14" i="67"/>
  <c r="HB14" i="67"/>
  <c r="HA14" i="67"/>
  <c r="GZ14" i="67"/>
  <c r="GY14" i="67"/>
  <c r="GX14" i="67"/>
  <c r="GW14" i="67"/>
  <c r="GV14" i="67"/>
  <c r="GU14" i="67"/>
  <c r="GT14" i="67"/>
  <c r="GS14" i="67"/>
  <c r="GR14" i="67"/>
  <c r="GQ14" i="67"/>
  <c r="GP14" i="67"/>
  <c r="GO14" i="67"/>
  <c r="GN14" i="67"/>
  <c r="GM14" i="67"/>
  <c r="GL14" i="67"/>
  <c r="GK14" i="67"/>
  <c r="GJ14" i="67"/>
  <c r="GI14" i="67"/>
  <c r="GH14" i="67"/>
  <c r="GG14" i="67"/>
  <c r="GF14" i="67"/>
  <c r="GE14" i="67"/>
  <c r="GD14" i="67"/>
  <c r="GC14" i="67"/>
  <c r="GB14" i="67"/>
  <c r="GA14" i="67"/>
  <c r="FZ14" i="67"/>
  <c r="FY14" i="67"/>
  <c r="FX14" i="67"/>
  <c r="FW14" i="67"/>
  <c r="FV14" i="67"/>
  <c r="FU14" i="67"/>
  <c r="FT14" i="67"/>
  <c r="FS14" i="67"/>
  <c r="FR14" i="67"/>
  <c r="FQ14" i="67"/>
  <c r="FP14" i="67"/>
  <c r="FO14" i="67"/>
  <c r="C14" i="67"/>
  <c r="LW13" i="67"/>
  <c r="LV13" i="67"/>
  <c r="LU13" i="67"/>
  <c r="LT13" i="67"/>
  <c r="LS13" i="67"/>
  <c r="LR13" i="67"/>
  <c r="LQ13" i="67"/>
  <c r="LP13" i="67"/>
  <c r="LO13" i="67"/>
  <c r="LN13" i="67"/>
  <c r="LM13" i="67"/>
  <c r="LL13" i="67"/>
  <c r="LK13" i="67"/>
  <c r="LJ13" i="67"/>
  <c r="LI13" i="67"/>
  <c r="LH13" i="67"/>
  <c r="LG13" i="67"/>
  <c r="LF13" i="67"/>
  <c r="LE13" i="67"/>
  <c r="LD13" i="67"/>
  <c r="LC13" i="67"/>
  <c r="LB13" i="67"/>
  <c r="LA13" i="67"/>
  <c r="KZ13" i="67"/>
  <c r="KY13" i="67"/>
  <c r="KX13" i="67"/>
  <c r="KW13" i="67"/>
  <c r="KV13" i="67"/>
  <c r="KU13" i="67"/>
  <c r="KT13" i="67"/>
  <c r="KS13" i="67"/>
  <c r="KR13" i="67"/>
  <c r="KQ13" i="67"/>
  <c r="KP13" i="67"/>
  <c r="KO13" i="67"/>
  <c r="KN13" i="67"/>
  <c r="KM13" i="67"/>
  <c r="KL13" i="67"/>
  <c r="KK13" i="67"/>
  <c r="KJ13" i="67"/>
  <c r="KI13" i="67"/>
  <c r="KH13" i="67"/>
  <c r="KG13" i="67"/>
  <c r="KF13" i="67"/>
  <c r="KE13" i="67"/>
  <c r="KD13" i="67"/>
  <c r="KC13" i="67"/>
  <c r="KB13" i="67"/>
  <c r="KA13" i="67"/>
  <c r="JZ13" i="67"/>
  <c r="JY13" i="67"/>
  <c r="JX13" i="67"/>
  <c r="JW13" i="67"/>
  <c r="JV13" i="67"/>
  <c r="JU13" i="67"/>
  <c r="JT13" i="67"/>
  <c r="JS13" i="67"/>
  <c r="JR13" i="67"/>
  <c r="JQ13" i="67"/>
  <c r="JP13" i="67"/>
  <c r="JO13" i="67"/>
  <c r="JN13" i="67"/>
  <c r="JM13" i="67"/>
  <c r="JL13" i="67"/>
  <c r="JK13" i="67"/>
  <c r="JJ13" i="67"/>
  <c r="JI13" i="67"/>
  <c r="JH13" i="67"/>
  <c r="JG13" i="67"/>
  <c r="JF13" i="67"/>
  <c r="JE13" i="67"/>
  <c r="JD13" i="67"/>
  <c r="JC13" i="67"/>
  <c r="JB13" i="67"/>
  <c r="JA13" i="67"/>
  <c r="IZ13" i="67"/>
  <c r="IY13" i="67"/>
  <c r="IX13" i="67"/>
  <c r="IW13" i="67"/>
  <c r="IV13" i="67"/>
  <c r="IU13" i="67"/>
  <c r="IT13" i="67"/>
  <c r="IS13" i="67"/>
  <c r="IR13" i="67"/>
  <c r="IQ13" i="67"/>
  <c r="IP13" i="67"/>
  <c r="IO13" i="67"/>
  <c r="IN13" i="67"/>
  <c r="IM13" i="67"/>
  <c r="IL13" i="67"/>
  <c r="IK13" i="67"/>
  <c r="IJ13" i="67"/>
  <c r="II13" i="67"/>
  <c r="IH13" i="67"/>
  <c r="IG13" i="67"/>
  <c r="IF13" i="67"/>
  <c r="IE13" i="67"/>
  <c r="ID13" i="67"/>
  <c r="IC13" i="67"/>
  <c r="IB13" i="67"/>
  <c r="IA13" i="67"/>
  <c r="HZ13" i="67"/>
  <c r="HY13" i="67"/>
  <c r="HX13" i="67"/>
  <c r="HW13" i="67"/>
  <c r="HV13" i="67"/>
  <c r="HU13" i="67"/>
  <c r="HT13" i="67"/>
  <c r="HS13" i="67"/>
  <c r="HR13" i="67"/>
  <c r="HQ13" i="67"/>
  <c r="HP13" i="67"/>
  <c r="HO13" i="67"/>
  <c r="HN13" i="67"/>
  <c r="HM13" i="67"/>
  <c r="HL13" i="67"/>
  <c r="HK13" i="67"/>
  <c r="HJ13" i="67"/>
  <c r="HI13" i="67"/>
  <c r="HH13" i="67"/>
  <c r="HG13" i="67"/>
  <c r="HF13" i="67"/>
  <c r="HE13" i="67"/>
  <c r="HD13" i="67"/>
  <c r="HC13" i="67"/>
  <c r="HB13" i="67"/>
  <c r="HA13" i="67"/>
  <c r="GZ13" i="67"/>
  <c r="GY13" i="67"/>
  <c r="GX13" i="67"/>
  <c r="GW13" i="67"/>
  <c r="GV13" i="67"/>
  <c r="GU13" i="67"/>
  <c r="GT13" i="67"/>
  <c r="GS13" i="67"/>
  <c r="GR13" i="67"/>
  <c r="GQ13" i="67"/>
  <c r="GP13" i="67"/>
  <c r="GO13" i="67"/>
  <c r="GN13" i="67"/>
  <c r="GM13" i="67"/>
  <c r="GL13" i="67"/>
  <c r="GK13" i="67"/>
  <c r="GJ13" i="67"/>
  <c r="GI13" i="67"/>
  <c r="GH13" i="67"/>
  <c r="GG13" i="67"/>
  <c r="GF13" i="67"/>
  <c r="GE13" i="67"/>
  <c r="GD13" i="67"/>
  <c r="GC13" i="67"/>
  <c r="GB13" i="67"/>
  <c r="GA13" i="67"/>
  <c r="FZ13" i="67"/>
  <c r="FY13" i="67"/>
  <c r="FX13" i="67"/>
  <c r="FW13" i="67"/>
  <c r="FV13" i="67"/>
  <c r="FU13" i="67"/>
  <c r="FT13" i="67"/>
  <c r="FS13" i="67"/>
  <c r="FR13" i="67"/>
  <c r="FQ13" i="67"/>
  <c r="FP13" i="67"/>
  <c r="FO13" i="67"/>
  <c r="C13" i="67"/>
  <c r="LW12" i="67"/>
  <c r="LV12" i="67"/>
  <c r="LU12" i="67"/>
  <c r="LT12" i="67"/>
  <c r="LS12" i="67"/>
  <c r="LR12" i="67"/>
  <c r="LQ12" i="67"/>
  <c r="LP12" i="67"/>
  <c r="LO12" i="67"/>
  <c r="LN12" i="67"/>
  <c r="LM12" i="67"/>
  <c r="LL12" i="67"/>
  <c r="LK12" i="67"/>
  <c r="LJ12" i="67"/>
  <c r="LI12" i="67"/>
  <c r="LH12" i="67"/>
  <c r="LG12" i="67"/>
  <c r="LF12" i="67"/>
  <c r="LE12" i="67"/>
  <c r="LD12" i="67"/>
  <c r="LC12" i="67"/>
  <c r="LB12" i="67"/>
  <c r="LA12" i="67"/>
  <c r="KZ12" i="67"/>
  <c r="KY12" i="67"/>
  <c r="KX12" i="67"/>
  <c r="KW12" i="67"/>
  <c r="KV12" i="67"/>
  <c r="KU12" i="67"/>
  <c r="KT12" i="67"/>
  <c r="KS12" i="67"/>
  <c r="KR12" i="67"/>
  <c r="KQ12" i="67"/>
  <c r="KP12" i="67"/>
  <c r="KO12" i="67"/>
  <c r="KN12" i="67"/>
  <c r="KM12" i="67"/>
  <c r="KL12" i="67"/>
  <c r="KK12" i="67"/>
  <c r="KJ12" i="67"/>
  <c r="KI12" i="67"/>
  <c r="KH12" i="67"/>
  <c r="KG12" i="67"/>
  <c r="KF12" i="67"/>
  <c r="KE12" i="67"/>
  <c r="KD12" i="67"/>
  <c r="KC12" i="67"/>
  <c r="KB12" i="67"/>
  <c r="KA12" i="67"/>
  <c r="JZ12" i="67"/>
  <c r="JY12" i="67"/>
  <c r="JX12" i="67"/>
  <c r="JW12" i="67"/>
  <c r="JV12" i="67"/>
  <c r="JU12" i="67"/>
  <c r="JT12" i="67"/>
  <c r="JS12" i="67"/>
  <c r="JR12" i="67"/>
  <c r="JQ12" i="67"/>
  <c r="JP12" i="67"/>
  <c r="JO12" i="67"/>
  <c r="JN12" i="67"/>
  <c r="JM12" i="67"/>
  <c r="JL12" i="67"/>
  <c r="JK12" i="67"/>
  <c r="JJ12" i="67"/>
  <c r="JI12" i="67"/>
  <c r="JH12" i="67"/>
  <c r="JG12" i="67"/>
  <c r="JF12" i="67"/>
  <c r="JE12" i="67"/>
  <c r="JD12" i="67"/>
  <c r="JC12" i="67"/>
  <c r="JB12" i="67"/>
  <c r="JA12" i="67"/>
  <c r="IZ12" i="67"/>
  <c r="IY12" i="67"/>
  <c r="IX12" i="67"/>
  <c r="IW12" i="67"/>
  <c r="IV12" i="67"/>
  <c r="IU12" i="67"/>
  <c r="IT12" i="67"/>
  <c r="IS12" i="67"/>
  <c r="IR12" i="67"/>
  <c r="IQ12" i="67"/>
  <c r="IP12" i="67"/>
  <c r="IO12" i="67"/>
  <c r="IN12" i="67"/>
  <c r="IM12" i="67"/>
  <c r="IL12" i="67"/>
  <c r="IK12" i="67"/>
  <c r="IJ12" i="67"/>
  <c r="II12" i="67"/>
  <c r="IH12" i="67"/>
  <c r="IG12" i="67"/>
  <c r="IF12" i="67"/>
  <c r="IE12" i="67"/>
  <c r="ID12" i="67"/>
  <c r="IC12" i="67"/>
  <c r="IB12" i="67"/>
  <c r="IA12" i="67"/>
  <c r="HZ12" i="67"/>
  <c r="HY12" i="67"/>
  <c r="HX12" i="67"/>
  <c r="HW12" i="67"/>
  <c r="HV12" i="67"/>
  <c r="HU12" i="67"/>
  <c r="HT12" i="67"/>
  <c r="HS12" i="67"/>
  <c r="HR12" i="67"/>
  <c r="HQ12" i="67"/>
  <c r="HP12" i="67"/>
  <c r="HO12" i="67"/>
  <c r="HN12" i="67"/>
  <c r="HM12" i="67"/>
  <c r="HL12" i="67"/>
  <c r="HK12" i="67"/>
  <c r="HJ12" i="67"/>
  <c r="HI12" i="67"/>
  <c r="HH12" i="67"/>
  <c r="HG12" i="67"/>
  <c r="HF12" i="67"/>
  <c r="HE12" i="67"/>
  <c r="HD12" i="67"/>
  <c r="HC12" i="67"/>
  <c r="HB12" i="67"/>
  <c r="HA12" i="67"/>
  <c r="GZ12" i="67"/>
  <c r="GY12" i="67"/>
  <c r="GX12" i="67"/>
  <c r="GW12" i="67"/>
  <c r="GV12" i="67"/>
  <c r="GU12" i="67"/>
  <c r="GT12" i="67"/>
  <c r="GS12" i="67"/>
  <c r="GR12" i="67"/>
  <c r="GQ12" i="67"/>
  <c r="GP12" i="67"/>
  <c r="GO12" i="67"/>
  <c r="GN12" i="67"/>
  <c r="GM12" i="67"/>
  <c r="GL12" i="67"/>
  <c r="GK12" i="67"/>
  <c r="GJ12" i="67"/>
  <c r="GI12" i="67"/>
  <c r="GH12" i="67"/>
  <c r="GG12" i="67"/>
  <c r="GF12" i="67"/>
  <c r="GE12" i="67"/>
  <c r="GD12" i="67"/>
  <c r="GC12" i="67"/>
  <c r="GB12" i="67"/>
  <c r="GA12" i="67"/>
  <c r="FZ12" i="67"/>
  <c r="FY12" i="67"/>
  <c r="FX12" i="67"/>
  <c r="FW12" i="67"/>
  <c r="FV12" i="67"/>
  <c r="FU12" i="67"/>
  <c r="FT12" i="67"/>
  <c r="FS12" i="67"/>
  <c r="FR12" i="67"/>
  <c r="FQ12" i="67"/>
  <c r="FP12" i="67"/>
  <c r="FO12" i="67"/>
  <c r="C12" i="67"/>
  <c r="LW11" i="67"/>
  <c r="LV11" i="67"/>
  <c r="LU11" i="67"/>
  <c r="LT11" i="67"/>
  <c r="LS11" i="67"/>
  <c r="LR11" i="67"/>
  <c r="LQ11" i="67"/>
  <c r="LP11" i="67"/>
  <c r="LO11" i="67"/>
  <c r="LN11" i="67"/>
  <c r="LM11" i="67"/>
  <c r="LL11" i="67"/>
  <c r="LK11" i="67"/>
  <c r="LJ11" i="67"/>
  <c r="LI11" i="67"/>
  <c r="LH11" i="67"/>
  <c r="LG11" i="67"/>
  <c r="LF11" i="67"/>
  <c r="LE11" i="67"/>
  <c r="LD11" i="67"/>
  <c r="LC11" i="67"/>
  <c r="LB11" i="67"/>
  <c r="LA11" i="67"/>
  <c r="KZ11" i="67"/>
  <c r="KY11" i="67"/>
  <c r="KX11" i="67"/>
  <c r="KW11" i="67"/>
  <c r="KV11" i="67"/>
  <c r="KU11" i="67"/>
  <c r="KT11" i="67"/>
  <c r="KS11" i="67"/>
  <c r="KR11" i="67"/>
  <c r="KQ11" i="67"/>
  <c r="KP11" i="67"/>
  <c r="KO11" i="67"/>
  <c r="KN11" i="67"/>
  <c r="KM11" i="67"/>
  <c r="KL11" i="67"/>
  <c r="KK11" i="67"/>
  <c r="KJ11" i="67"/>
  <c r="KI11" i="67"/>
  <c r="KH11" i="67"/>
  <c r="KG11" i="67"/>
  <c r="KF11" i="67"/>
  <c r="KE11" i="67"/>
  <c r="KD11" i="67"/>
  <c r="KC11" i="67"/>
  <c r="KB11" i="67"/>
  <c r="KA11" i="67"/>
  <c r="JZ11" i="67"/>
  <c r="JY11" i="67"/>
  <c r="JX11" i="67"/>
  <c r="JW11" i="67"/>
  <c r="JV11" i="67"/>
  <c r="JU11" i="67"/>
  <c r="JT11" i="67"/>
  <c r="JS11" i="67"/>
  <c r="JR11" i="67"/>
  <c r="JQ11" i="67"/>
  <c r="JP11" i="67"/>
  <c r="JO11" i="67"/>
  <c r="JN11" i="67"/>
  <c r="JM11" i="67"/>
  <c r="JL11" i="67"/>
  <c r="JK11" i="67"/>
  <c r="JJ11" i="67"/>
  <c r="JI11" i="67"/>
  <c r="JH11" i="67"/>
  <c r="JG11" i="67"/>
  <c r="JF11" i="67"/>
  <c r="JE11" i="67"/>
  <c r="JD11" i="67"/>
  <c r="JC11" i="67"/>
  <c r="JB11" i="67"/>
  <c r="JA11" i="67"/>
  <c r="IZ11" i="67"/>
  <c r="IY11" i="67"/>
  <c r="IX11" i="67"/>
  <c r="IW11" i="67"/>
  <c r="IV11" i="67"/>
  <c r="IU11" i="67"/>
  <c r="IT11" i="67"/>
  <c r="IS11" i="67"/>
  <c r="IR11" i="67"/>
  <c r="IQ11" i="67"/>
  <c r="IP11" i="67"/>
  <c r="IO11" i="67"/>
  <c r="IN11" i="67"/>
  <c r="IM11" i="67"/>
  <c r="IL11" i="67"/>
  <c r="IK11" i="67"/>
  <c r="IJ11" i="67"/>
  <c r="II11" i="67"/>
  <c r="IH11" i="67"/>
  <c r="IG11" i="67"/>
  <c r="IF11" i="67"/>
  <c r="IE11" i="67"/>
  <c r="ID11" i="67"/>
  <c r="IC11" i="67"/>
  <c r="IB11" i="67"/>
  <c r="IA11" i="67"/>
  <c r="HZ11" i="67"/>
  <c r="HY11" i="67"/>
  <c r="HX11" i="67"/>
  <c r="HW11" i="67"/>
  <c r="HV11" i="67"/>
  <c r="HU11" i="67"/>
  <c r="HT11" i="67"/>
  <c r="HS11" i="67"/>
  <c r="HR11" i="67"/>
  <c r="HQ11" i="67"/>
  <c r="HP11" i="67"/>
  <c r="HO11" i="67"/>
  <c r="HN11" i="67"/>
  <c r="HM11" i="67"/>
  <c r="HL11" i="67"/>
  <c r="HK11" i="67"/>
  <c r="HJ11" i="67"/>
  <c r="HI11" i="67"/>
  <c r="HH11" i="67"/>
  <c r="HG11" i="67"/>
  <c r="HF11" i="67"/>
  <c r="HE11" i="67"/>
  <c r="HD11" i="67"/>
  <c r="HC11" i="67"/>
  <c r="HB11" i="67"/>
  <c r="HA11" i="67"/>
  <c r="GZ11" i="67"/>
  <c r="GY11" i="67"/>
  <c r="GX11" i="67"/>
  <c r="GW11" i="67"/>
  <c r="GV11" i="67"/>
  <c r="GU11" i="67"/>
  <c r="GT11" i="67"/>
  <c r="GS11" i="67"/>
  <c r="GR11" i="67"/>
  <c r="GQ11" i="67"/>
  <c r="GP11" i="67"/>
  <c r="GO11" i="67"/>
  <c r="GN11" i="67"/>
  <c r="GM11" i="67"/>
  <c r="GL11" i="67"/>
  <c r="GK11" i="67"/>
  <c r="GJ11" i="67"/>
  <c r="GI11" i="67"/>
  <c r="GH11" i="67"/>
  <c r="GG11" i="67"/>
  <c r="GF11" i="67"/>
  <c r="GE11" i="67"/>
  <c r="GD11" i="67"/>
  <c r="GC11" i="67"/>
  <c r="GB11" i="67"/>
  <c r="GA11" i="67"/>
  <c r="FZ11" i="67"/>
  <c r="FY11" i="67"/>
  <c r="FX11" i="67"/>
  <c r="FW11" i="67"/>
  <c r="FV11" i="67"/>
  <c r="FU11" i="67"/>
  <c r="FT11" i="67"/>
  <c r="FS11" i="67"/>
  <c r="FR11" i="67"/>
  <c r="FQ11" i="67"/>
  <c r="FP11" i="67"/>
  <c r="FO11" i="67"/>
  <c r="C11" i="67"/>
  <c r="LW10" i="67"/>
  <c r="LV10" i="67"/>
  <c r="LU10" i="67"/>
  <c r="LT10" i="67"/>
  <c r="LS10" i="67"/>
  <c r="LR10" i="67"/>
  <c r="LQ10" i="67"/>
  <c r="LP10" i="67"/>
  <c r="LO10" i="67"/>
  <c r="LN10" i="67"/>
  <c r="LM10" i="67"/>
  <c r="LL10" i="67"/>
  <c r="LK10" i="67"/>
  <c r="LJ10" i="67"/>
  <c r="LI10" i="67"/>
  <c r="LH10" i="67"/>
  <c r="LG10" i="67"/>
  <c r="LF10" i="67"/>
  <c r="LE10" i="67"/>
  <c r="LD10" i="67"/>
  <c r="LC10" i="67"/>
  <c r="LB10" i="67"/>
  <c r="LA10" i="67"/>
  <c r="KZ10" i="67"/>
  <c r="KY10" i="67"/>
  <c r="KX10" i="67"/>
  <c r="KW10" i="67"/>
  <c r="KV10" i="67"/>
  <c r="KU10" i="67"/>
  <c r="KT10" i="67"/>
  <c r="KS10" i="67"/>
  <c r="KR10" i="67"/>
  <c r="KQ10" i="67"/>
  <c r="KP10" i="67"/>
  <c r="KO10" i="67"/>
  <c r="KN10" i="67"/>
  <c r="KM10" i="67"/>
  <c r="KL10" i="67"/>
  <c r="KK10" i="67"/>
  <c r="KJ10" i="67"/>
  <c r="KI10" i="67"/>
  <c r="KH10" i="67"/>
  <c r="KG10" i="67"/>
  <c r="KF10" i="67"/>
  <c r="KE10" i="67"/>
  <c r="KD10" i="67"/>
  <c r="KC10" i="67"/>
  <c r="KB10" i="67"/>
  <c r="KA10" i="67"/>
  <c r="JZ10" i="67"/>
  <c r="JY10" i="67"/>
  <c r="JX10" i="67"/>
  <c r="JW10" i="67"/>
  <c r="JV10" i="67"/>
  <c r="JU10" i="67"/>
  <c r="JT10" i="67"/>
  <c r="JS10" i="67"/>
  <c r="JR10" i="67"/>
  <c r="JQ10" i="67"/>
  <c r="JP10" i="67"/>
  <c r="JO10" i="67"/>
  <c r="JN10" i="67"/>
  <c r="JM10" i="67"/>
  <c r="JL10" i="67"/>
  <c r="JK10" i="67"/>
  <c r="JJ10" i="67"/>
  <c r="JI10" i="67"/>
  <c r="JH10" i="67"/>
  <c r="JG10" i="67"/>
  <c r="JF10" i="67"/>
  <c r="JE10" i="67"/>
  <c r="JD10" i="67"/>
  <c r="JC10" i="67"/>
  <c r="JB10" i="67"/>
  <c r="JA10" i="67"/>
  <c r="IZ10" i="67"/>
  <c r="IY10" i="67"/>
  <c r="IX10" i="67"/>
  <c r="IW10" i="67"/>
  <c r="IV10" i="67"/>
  <c r="IU10" i="67"/>
  <c r="IT10" i="67"/>
  <c r="IS10" i="67"/>
  <c r="IR10" i="67"/>
  <c r="IQ10" i="67"/>
  <c r="IP10" i="67"/>
  <c r="IO10" i="67"/>
  <c r="IN10" i="67"/>
  <c r="IM10" i="67"/>
  <c r="IL10" i="67"/>
  <c r="IK10" i="67"/>
  <c r="IJ10" i="67"/>
  <c r="II10" i="67"/>
  <c r="IH10" i="67"/>
  <c r="IG10" i="67"/>
  <c r="IF10" i="67"/>
  <c r="IE10" i="67"/>
  <c r="ID10" i="67"/>
  <c r="IC10" i="67"/>
  <c r="IB10" i="67"/>
  <c r="IA10" i="67"/>
  <c r="HZ10" i="67"/>
  <c r="HY10" i="67"/>
  <c r="HX10" i="67"/>
  <c r="HW10" i="67"/>
  <c r="HV10" i="67"/>
  <c r="HU10" i="67"/>
  <c r="HT10" i="67"/>
  <c r="HS10" i="67"/>
  <c r="HR10" i="67"/>
  <c r="HQ10" i="67"/>
  <c r="HP10" i="67"/>
  <c r="HO10" i="67"/>
  <c r="HN10" i="67"/>
  <c r="HM10" i="67"/>
  <c r="HL10" i="67"/>
  <c r="HK10" i="67"/>
  <c r="HJ10" i="67"/>
  <c r="HI10" i="67"/>
  <c r="HH10" i="67"/>
  <c r="HG10" i="67"/>
  <c r="HF10" i="67"/>
  <c r="HE10" i="67"/>
  <c r="HD10" i="67"/>
  <c r="HC10" i="67"/>
  <c r="HB10" i="67"/>
  <c r="HA10" i="67"/>
  <c r="GZ10" i="67"/>
  <c r="GY10" i="67"/>
  <c r="GX10" i="67"/>
  <c r="GW10" i="67"/>
  <c r="GV10" i="67"/>
  <c r="GU10" i="67"/>
  <c r="GT10" i="67"/>
  <c r="GS10" i="67"/>
  <c r="GR10" i="67"/>
  <c r="GQ10" i="67"/>
  <c r="GP10" i="67"/>
  <c r="GO10" i="67"/>
  <c r="GN10" i="67"/>
  <c r="GM10" i="67"/>
  <c r="GL10" i="67"/>
  <c r="GK10" i="67"/>
  <c r="GJ10" i="67"/>
  <c r="GI10" i="67"/>
  <c r="GH10" i="67"/>
  <c r="GG10" i="67"/>
  <c r="GF10" i="67"/>
  <c r="GE10" i="67"/>
  <c r="GD10" i="67"/>
  <c r="GC10" i="67"/>
  <c r="GB10" i="67"/>
  <c r="GA10" i="67"/>
  <c r="FZ10" i="67"/>
  <c r="FY10" i="67"/>
  <c r="FX10" i="67"/>
  <c r="FW10" i="67"/>
  <c r="FV10" i="67"/>
  <c r="FU10" i="67"/>
  <c r="FT10" i="67"/>
  <c r="FS10" i="67"/>
  <c r="FR10" i="67"/>
  <c r="FQ10" i="67"/>
  <c r="FP10" i="67"/>
  <c r="FO10" i="67"/>
  <c r="C10" i="67"/>
  <c r="LW9" i="67"/>
  <c r="LV9" i="67"/>
  <c r="LU9" i="67"/>
  <c r="LT9" i="67"/>
  <c r="LS9" i="67"/>
  <c r="LR9" i="67"/>
  <c r="LQ9" i="67"/>
  <c r="LP9" i="67"/>
  <c r="LO9" i="67"/>
  <c r="LN9" i="67"/>
  <c r="LM9" i="67"/>
  <c r="LL9" i="67"/>
  <c r="LK9" i="67"/>
  <c r="LJ9" i="67"/>
  <c r="LI9" i="67"/>
  <c r="LH9" i="67"/>
  <c r="LG9" i="67"/>
  <c r="LF9" i="67"/>
  <c r="LE9" i="67"/>
  <c r="LD9" i="67"/>
  <c r="LC9" i="67"/>
  <c r="LB9" i="67"/>
  <c r="LA9" i="67"/>
  <c r="KZ9" i="67"/>
  <c r="KY9" i="67"/>
  <c r="KX9" i="67"/>
  <c r="KW9" i="67"/>
  <c r="KV9" i="67"/>
  <c r="KU9" i="67"/>
  <c r="KT9" i="67"/>
  <c r="KS9" i="67"/>
  <c r="KR9" i="67"/>
  <c r="KQ9" i="67"/>
  <c r="KP9" i="67"/>
  <c r="KO9" i="67"/>
  <c r="KN9" i="67"/>
  <c r="KM9" i="67"/>
  <c r="KL9" i="67"/>
  <c r="KK9" i="67"/>
  <c r="KJ9" i="67"/>
  <c r="KI9" i="67"/>
  <c r="KH9" i="67"/>
  <c r="KG9" i="67"/>
  <c r="KF9" i="67"/>
  <c r="KE9" i="67"/>
  <c r="KD9" i="67"/>
  <c r="KC9" i="67"/>
  <c r="KB9" i="67"/>
  <c r="KA9" i="67"/>
  <c r="JZ9" i="67"/>
  <c r="JY9" i="67"/>
  <c r="JX9" i="67"/>
  <c r="JW9" i="67"/>
  <c r="JV9" i="67"/>
  <c r="JU9" i="67"/>
  <c r="JT9" i="67"/>
  <c r="JS9" i="67"/>
  <c r="JR9" i="67"/>
  <c r="JQ9" i="67"/>
  <c r="JP9" i="67"/>
  <c r="JO9" i="67"/>
  <c r="JN9" i="67"/>
  <c r="JM9" i="67"/>
  <c r="JL9" i="67"/>
  <c r="JK9" i="67"/>
  <c r="JJ9" i="67"/>
  <c r="JI9" i="67"/>
  <c r="JH9" i="67"/>
  <c r="JG9" i="67"/>
  <c r="JF9" i="67"/>
  <c r="JE9" i="67"/>
  <c r="JD9" i="67"/>
  <c r="JC9" i="67"/>
  <c r="JB9" i="67"/>
  <c r="JA9" i="67"/>
  <c r="IZ9" i="67"/>
  <c r="IY9" i="67"/>
  <c r="IX9" i="67"/>
  <c r="IW9" i="67"/>
  <c r="IV9" i="67"/>
  <c r="IU9" i="67"/>
  <c r="IT9" i="67"/>
  <c r="IS9" i="67"/>
  <c r="IR9" i="67"/>
  <c r="IQ9" i="67"/>
  <c r="IP9" i="67"/>
  <c r="IO9" i="67"/>
  <c r="IN9" i="67"/>
  <c r="IM9" i="67"/>
  <c r="IL9" i="67"/>
  <c r="IK9" i="67"/>
  <c r="IJ9" i="67"/>
  <c r="II9" i="67"/>
  <c r="IH9" i="67"/>
  <c r="IG9" i="67"/>
  <c r="IF9" i="67"/>
  <c r="IE9" i="67"/>
  <c r="ID9" i="67"/>
  <c r="IC9" i="67"/>
  <c r="IB9" i="67"/>
  <c r="IA9" i="67"/>
  <c r="HZ9" i="67"/>
  <c r="HY9" i="67"/>
  <c r="HX9" i="67"/>
  <c r="HW9" i="67"/>
  <c r="HV9" i="67"/>
  <c r="HU9" i="67"/>
  <c r="HT9" i="67"/>
  <c r="HS9" i="67"/>
  <c r="HR9" i="67"/>
  <c r="HQ9" i="67"/>
  <c r="HP9" i="67"/>
  <c r="HO9" i="67"/>
  <c r="HN9" i="67"/>
  <c r="HM9" i="67"/>
  <c r="HL9" i="67"/>
  <c r="HK9" i="67"/>
  <c r="HJ9" i="67"/>
  <c r="HI9" i="67"/>
  <c r="HH9" i="67"/>
  <c r="HG9" i="67"/>
  <c r="HF9" i="67"/>
  <c r="HE9" i="67"/>
  <c r="HD9" i="67"/>
  <c r="HC9" i="67"/>
  <c r="HB9" i="67"/>
  <c r="HA9" i="67"/>
  <c r="GZ9" i="67"/>
  <c r="GY9" i="67"/>
  <c r="GX9" i="67"/>
  <c r="GW9" i="67"/>
  <c r="GV9" i="67"/>
  <c r="GU9" i="67"/>
  <c r="GT9" i="67"/>
  <c r="GS9" i="67"/>
  <c r="GR9" i="67"/>
  <c r="GQ9" i="67"/>
  <c r="GP9" i="67"/>
  <c r="GO9" i="67"/>
  <c r="GN9" i="67"/>
  <c r="GM9" i="67"/>
  <c r="GL9" i="67"/>
  <c r="GK9" i="67"/>
  <c r="GJ9" i="67"/>
  <c r="GI9" i="67"/>
  <c r="GH9" i="67"/>
  <c r="GG9" i="67"/>
  <c r="GF9" i="67"/>
  <c r="GE9" i="67"/>
  <c r="GD9" i="67"/>
  <c r="GC9" i="67"/>
  <c r="GB9" i="67"/>
  <c r="GA9" i="67"/>
  <c r="FZ9" i="67"/>
  <c r="FY9" i="67"/>
  <c r="FX9" i="67"/>
  <c r="FW9" i="67"/>
  <c r="FV9" i="67"/>
  <c r="FU9" i="67"/>
  <c r="FT9" i="67"/>
  <c r="FS9" i="67"/>
  <c r="FR9" i="67"/>
  <c r="FQ9" i="67"/>
  <c r="FP9" i="67"/>
  <c r="FO9" i="67"/>
  <c r="C9" i="67"/>
  <c r="LW8" i="67"/>
  <c r="LV8" i="67"/>
  <c r="LU8" i="67"/>
  <c r="LT8" i="67"/>
  <c r="LS8" i="67"/>
  <c r="LR8" i="67"/>
  <c r="LQ8" i="67"/>
  <c r="LP8" i="67"/>
  <c r="LO8" i="67"/>
  <c r="LN8" i="67"/>
  <c r="LM8" i="67"/>
  <c r="LL8" i="67"/>
  <c r="LK8" i="67"/>
  <c r="LJ8" i="67"/>
  <c r="LI8" i="67"/>
  <c r="LH8" i="67"/>
  <c r="LG8" i="67"/>
  <c r="LF8" i="67"/>
  <c r="LE8" i="67"/>
  <c r="LD8" i="67"/>
  <c r="LC8" i="67"/>
  <c r="LB8" i="67"/>
  <c r="LA8" i="67"/>
  <c r="KZ8" i="67"/>
  <c r="KY8" i="67"/>
  <c r="KX8" i="67"/>
  <c r="KW8" i="67"/>
  <c r="KV8" i="67"/>
  <c r="KU8" i="67"/>
  <c r="KT8" i="67"/>
  <c r="KS8" i="67"/>
  <c r="KR8" i="67"/>
  <c r="KQ8" i="67"/>
  <c r="KP8" i="67"/>
  <c r="KO8" i="67"/>
  <c r="KN8" i="67"/>
  <c r="KM8" i="67"/>
  <c r="KL8" i="67"/>
  <c r="KK8" i="67"/>
  <c r="KJ8" i="67"/>
  <c r="KI8" i="67"/>
  <c r="KH8" i="67"/>
  <c r="KG8" i="67"/>
  <c r="KF8" i="67"/>
  <c r="KE8" i="67"/>
  <c r="KD8" i="67"/>
  <c r="KC8" i="67"/>
  <c r="KB8" i="67"/>
  <c r="KA8" i="67"/>
  <c r="JZ8" i="67"/>
  <c r="JY8" i="67"/>
  <c r="JX8" i="67"/>
  <c r="JW8" i="67"/>
  <c r="JV8" i="67"/>
  <c r="JU8" i="67"/>
  <c r="JT8" i="67"/>
  <c r="JS8" i="67"/>
  <c r="JR8" i="67"/>
  <c r="JQ8" i="67"/>
  <c r="JP8" i="67"/>
  <c r="JO8" i="67"/>
  <c r="JN8" i="67"/>
  <c r="JM8" i="67"/>
  <c r="JL8" i="67"/>
  <c r="JK8" i="67"/>
  <c r="JJ8" i="67"/>
  <c r="JI8" i="67"/>
  <c r="JH8" i="67"/>
  <c r="JG8" i="67"/>
  <c r="JF8" i="67"/>
  <c r="JE8" i="67"/>
  <c r="JD8" i="67"/>
  <c r="JC8" i="67"/>
  <c r="JB8" i="67"/>
  <c r="JA8" i="67"/>
  <c r="IZ8" i="67"/>
  <c r="IY8" i="67"/>
  <c r="IX8" i="67"/>
  <c r="IW8" i="67"/>
  <c r="IV8" i="67"/>
  <c r="IU8" i="67"/>
  <c r="IT8" i="67"/>
  <c r="IS8" i="67"/>
  <c r="IR8" i="67"/>
  <c r="IQ8" i="67"/>
  <c r="IP8" i="67"/>
  <c r="IO8" i="67"/>
  <c r="IN8" i="67"/>
  <c r="IM8" i="67"/>
  <c r="IL8" i="67"/>
  <c r="IK8" i="67"/>
  <c r="IJ8" i="67"/>
  <c r="II8" i="67"/>
  <c r="IH8" i="67"/>
  <c r="IG8" i="67"/>
  <c r="IF8" i="67"/>
  <c r="IE8" i="67"/>
  <c r="ID8" i="67"/>
  <c r="IC8" i="67"/>
  <c r="IB8" i="67"/>
  <c r="IA8" i="67"/>
  <c r="HZ8" i="67"/>
  <c r="HY8" i="67"/>
  <c r="HX8" i="67"/>
  <c r="HW8" i="67"/>
  <c r="HV8" i="67"/>
  <c r="HU8" i="67"/>
  <c r="HT8" i="67"/>
  <c r="HS8" i="67"/>
  <c r="HR8" i="67"/>
  <c r="HQ8" i="67"/>
  <c r="HP8" i="67"/>
  <c r="HO8" i="67"/>
  <c r="HN8" i="67"/>
  <c r="HM8" i="67"/>
  <c r="HL8" i="67"/>
  <c r="HK8" i="67"/>
  <c r="HJ8" i="67"/>
  <c r="HI8" i="67"/>
  <c r="HH8" i="67"/>
  <c r="HG8" i="67"/>
  <c r="HF8" i="67"/>
  <c r="HE8" i="67"/>
  <c r="HD8" i="67"/>
  <c r="HC8" i="67"/>
  <c r="HB8" i="67"/>
  <c r="HA8" i="67"/>
  <c r="GZ8" i="67"/>
  <c r="GY8" i="67"/>
  <c r="GX8" i="67"/>
  <c r="GW8" i="67"/>
  <c r="GV8" i="67"/>
  <c r="GU8" i="67"/>
  <c r="GT8" i="67"/>
  <c r="GS8" i="67"/>
  <c r="GR8" i="67"/>
  <c r="GQ8" i="67"/>
  <c r="GP8" i="67"/>
  <c r="GO8" i="67"/>
  <c r="GN8" i="67"/>
  <c r="GM8" i="67"/>
  <c r="GL8" i="67"/>
  <c r="GK8" i="67"/>
  <c r="GJ8" i="67"/>
  <c r="GI8" i="67"/>
  <c r="GH8" i="67"/>
  <c r="GG8" i="67"/>
  <c r="GF8" i="67"/>
  <c r="GE8" i="67"/>
  <c r="GD8" i="67"/>
  <c r="GC8" i="67"/>
  <c r="GB8" i="67"/>
  <c r="GA8" i="67"/>
  <c r="FZ8" i="67"/>
  <c r="FY8" i="67"/>
  <c r="FX8" i="67"/>
  <c r="FW8" i="67"/>
  <c r="FV8" i="67"/>
  <c r="FU8" i="67"/>
  <c r="FT8" i="67"/>
  <c r="FS8" i="67"/>
  <c r="FR8" i="67"/>
  <c r="FQ8" i="67"/>
  <c r="FP8" i="67"/>
  <c r="FO8" i="67"/>
  <c r="C8" i="67"/>
  <c r="LW7" i="67"/>
  <c r="LV7" i="67"/>
  <c r="LU7" i="67"/>
  <c r="LT7" i="67"/>
  <c r="LS7" i="67"/>
  <c r="LR7" i="67"/>
  <c r="LQ7" i="67"/>
  <c r="LP7" i="67"/>
  <c r="LO7" i="67"/>
  <c r="LN7" i="67"/>
  <c r="LM7" i="67"/>
  <c r="LL7" i="67"/>
  <c r="LK7" i="67"/>
  <c r="LJ7" i="67"/>
  <c r="LI7" i="67"/>
  <c r="LH7" i="67"/>
  <c r="LG7" i="67"/>
  <c r="LF7" i="67"/>
  <c r="LE7" i="67"/>
  <c r="LD7" i="67"/>
  <c r="LC7" i="67"/>
  <c r="LB7" i="67"/>
  <c r="LA7" i="67"/>
  <c r="KZ7" i="67"/>
  <c r="KY7" i="67"/>
  <c r="KX7" i="67"/>
  <c r="KW7" i="67"/>
  <c r="KV7" i="67"/>
  <c r="KU7" i="67"/>
  <c r="KT7" i="67"/>
  <c r="KS7" i="67"/>
  <c r="KR7" i="67"/>
  <c r="KQ7" i="67"/>
  <c r="KP7" i="67"/>
  <c r="KO7" i="67"/>
  <c r="KN7" i="67"/>
  <c r="KM7" i="67"/>
  <c r="KL7" i="67"/>
  <c r="KK7" i="67"/>
  <c r="KJ7" i="67"/>
  <c r="KI7" i="67"/>
  <c r="KH7" i="67"/>
  <c r="KG7" i="67"/>
  <c r="KF7" i="67"/>
  <c r="KE7" i="67"/>
  <c r="KD7" i="67"/>
  <c r="KC7" i="67"/>
  <c r="KB7" i="67"/>
  <c r="KA7" i="67"/>
  <c r="JZ7" i="67"/>
  <c r="JY7" i="67"/>
  <c r="JX7" i="67"/>
  <c r="JW7" i="67"/>
  <c r="JV7" i="67"/>
  <c r="JU7" i="67"/>
  <c r="JT7" i="67"/>
  <c r="JS7" i="67"/>
  <c r="JR7" i="67"/>
  <c r="JQ7" i="67"/>
  <c r="JP7" i="67"/>
  <c r="JO7" i="67"/>
  <c r="JN7" i="67"/>
  <c r="JM7" i="67"/>
  <c r="JL7" i="67"/>
  <c r="JK7" i="67"/>
  <c r="JJ7" i="67"/>
  <c r="JI7" i="67"/>
  <c r="JH7" i="67"/>
  <c r="JG7" i="67"/>
  <c r="JF7" i="67"/>
  <c r="JE7" i="67"/>
  <c r="JD7" i="67"/>
  <c r="JC7" i="67"/>
  <c r="JB7" i="67"/>
  <c r="JA7" i="67"/>
  <c r="IZ7" i="67"/>
  <c r="IY7" i="67"/>
  <c r="IX7" i="67"/>
  <c r="IW7" i="67"/>
  <c r="IV7" i="67"/>
  <c r="IU7" i="67"/>
  <c r="IT7" i="67"/>
  <c r="IS7" i="67"/>
  <c r="IR7" i="67"/>
  <c r="IQ7" i="67"/>
  <c r="IP7" i="67"/>
  <c r="IO7" i="67"/>
  <c r="IN7" i="67"/>
  <c r="IM7" i="67"/>
  <c r="IL7" i="67"/>
  <c r="IK7" i="67"/>
  <c r="IJ7" i="67"/>
  <c r="II7" i="67"/>
  <c r="IH7" i="67"/>
  <c r="IG7" i="67"/>
  <c r="IF7" i="67"/>
  <c r="IE7" i="67"/>
  <c r="ID7" i="67"/>
  <c r="IC7" i="67"/>
  <c r="IB7" i="67"/>
  <c r="IA7" i="67"/>
  <c r="HZ7" i="67"/>
  <c r="HY7" i="67"/>
  <c r="HX7" i="67"/>
  <c r="HW7" i="67"/>
  <c r="HV7" i="67"/>
  <c r="HU7" i="67"/>
  <c r="HT7" i="67"/>
  <c r="HS7" i="67"/>
  <c r="HR7" i="67"/>
  <c r="HQ7" i="67"/>
  <c r="HP7" i="67"/>
  <c r="HO7" i="67"/>
  <c r="HN7" i="67"/>
  <c r="HM7" i="67"/>
  <c r="HL7" i="67"/>
  <c r="HK7" i="67"/>
  <c r="HJ7" i="67"/>
  <c r="HI7" i="67"/>
  <c r="HH7" i="67"/>
  <c r="HG7" i="67"/>
  <c r="HF7" i="67"/>
  <c r="HE7" i="67"/>
  <c r="HD7" i="67"/>
  <c r="HC7" i="67"/>
  <c r="HB7" i="67"/>
  <c r="HA7" i="67"/>
  <c r="GZ7" i="67"/>
  <c r="GY7" i="67"/>
  <c r="GX7" i="67"/>
  <c r="GW7" i="67"/>
  <c r="GV7" i="67"/>
  <c r="GU7" i="67"/>
  <c r="GT7" i="67"/>
  <c r="GS7" i="67"/>
  <c r="GR7" i="67"/>
  <c r="GQ7" i="67"/>
  <c r="GP7" i="67"/>
  <c r="GO7" i="67"/>
  <c r="GN7" i="67"/>
  <c r="GM7" i="67"/>
  <c r="GL7" i="67"/>
  <c r="GK7" i="67"/>
  <c r="GJ7" i="67"/>
  <c r="GI7" i="67"/>
  <c r="GH7" i="67"/>
  <c r="GG7" i="67"/>
  <c r="GF7" i="67"/>
  <c r="GE7" i="67"/>
  <c r="GD7" i="67"/>
  <c r="GC7" i="67"/>
  <c r="GB7" i="67"/>
  <c r="GA7" i="67"/>
  <c r="FZ7" i="67"/>
  <c r="FY7" i="67"/>
  <c r="FX7" i="67"/>
  <c r="FW7" i="67"/>
  <c r="FV7" i="67"/>
  <c r="FU7" i="67"/>
  <c r="FT7" i="67"/>
  <c r="FS7" i="67"/>
  <c r="FR7" i="67"/>
  <c r="FQ7" i="67"/>
  <c r="FP7" i="67"/>
  <c r="FO7" i="67"/>
  <c r="C7" i="67"/>
  <c r="LW6" i="67"/>
  <c r="LV6" i="67"/>
  <c r="LU6" i="67"/>
  <c r="LT6" i="67"/>
  <c r="LS6" i="67"/>
  <c r="LR6" i="67"/>
  <c r="LQ6" i="67"/>
  <c r="LP6" i="67"/>
  <c r="LO6" i="67"/>
  <c r="LN6" i="67"/>
  <c r="LM6" i="67"/>
  <c r="LL6" i="67"/>
  <c r="LK6" i="67"/>
  <c r="LJ6" i="67"/>
  <c r="LI6" i="67"/>
  <c r="LH6" i="67"/>
  <c r="LG6" i="67"/>
  <c r="LF6" i="67"/>
  <c r="LE6" i="67"/>
  <c r="LD6" i="67"/>
  <c r="LC6" i="67"/>
  <c r="LB6" i="67"/>
  <c r="LA6" i="67"/>
  <c r="KZ6" i="67"/>
  <c r="KY6" i="67"/>
  <c r="KX6" i="67"/>
  <c r="KW6" i="67"/>
  <c r="KV6" i="67"/>
  <c r="KU6" i="67"/>
  <c r="KT6" i="67"/>
  <c r="KS6" i="67"/>
  <c r="KR6" i="67"/>
  <c r="KQ6" i="67"/>
  <c r="KP6" i="67"/>
  <c r="KO6" i="67"/>
  <c r="KN6" i="67"/>
  <c r="KM6" i="67"/>
  <c r="KL6" i="67"/>
  <c r="KK6" i="67"/>
  <c r="KJ6" i="67"/>
  <c r="KI6" i="67"/>
  <c r="KH6" i="67"/>
  <c r="KG6" i="67"/>
  <c r="KF6" i="67"/>
  <c r="KE6" i="67"/>
  <c r="KD6" i="67"/>
  <c r="KC6" i="67"/>
  <c r="KB6" i="67"/>
  <c r="KA6" i="67"/>
  <c r="JZ6" i="67"/>
  <c r="JY6" i="67"/>
  <c r="JX6" i="67"/>
  <c r="JW6" i="67"/>
  <c r="JV6" i="67"/>
  <c r="JU6" i="67"/>
  <c r="JT6" i="67"/>
  <c r="JS6" i="67"/>
  <c r="JR6" i="67"/>
  <c r="JQ6" i="67"/>
  <c r="JP6" i="67"/>
  <c r="JO6" i="67"/>
  <c r="JN6" i="67"/>
  <c r="JM6" i="67"/>
  <c r="JL6" i="67"/>
  <c r="JK6" i="67"/>
  <c r="JJ6" i="67"/>
  <c r="JI6" i="67"/>
  <c r="JH6" i="67"/>
  <c r="JG6" i="67"/>
  <c r="JF6" i="67"/>
  <c r="JE6" i="67"/>
  <c r="JD6" i="67"/>
  <c r="JC6" i="67"/>
  <c r="JB6" i="67"/>
  <c r="JA6" i="67"/>
  <c r="IZ6" i="67"/>
  <c r="IY6" i="67"/>
  <c r="IX6" i="67"/>
  <c r="IW6" i="67"/>
  <c r="IV6" i="67"/>
  <c r="IU6" i="67"/>
  <c r="IT6" i="67"/>
  <c r="IS6" i="67"/>
  <c r="IR6" i="67"/>
  <c r="IQ6" i="67"/>
  <c r="IP6" i="67"/>
  <c r="IO6" i="67"/>
  <c r="IN6" i="67"/>
  <c r="IM6" i="67"/>
  <c r="IL6" i="67"/>
  <c r="IK6" i="67"/>
  <c r="IJ6" i="67"/>
  <c r="II6" i="67"/>
  <c r="IH6" i="67"/>
  <c r="IG6" i="67"/>
  <c r="IF6" i="67"/>
  <c r="IE6" i="67"/>
  <c r="ID6" i="67"/>
  <c r="IC6" i="67"/>
  <c r="IB6" i="67"/>
  <c r="IA6" i="67"/>
  <c r="HZ6" i="67"/>
  <c r="HY6" i="67"/>
  <c r="HX6" i="67"/>
  <c r="HW6" i="67"/>
  <c r="HV6" i="67"/>
  <c r="HU6" i="67"/>
  <c r="HT6" i="67"/>
  <c r="HS6" i="67"/>
  <c r="HR6" i="67"/>
  <c r="HQ6" i="67"/>
  <c r="HP6" i="67"/>
  <c r="HO6" i="67"/>
  <c r="HN6" i="67"/>
  <c r="HM6" i="67"/>
  <c r="HL6" i="67"/>
  <c r="HK6" i="67"/>
  <c r="HJ6" i="67"/>
  <c r="HI6" i="67"/>
  <c r="HH6" i="67"/>
  <c r="HG6" i="67"/>
  <c r="HF6" i="67"/>
  <c r="HE6" i="67"/>
  <c r="HD6" i="67"/>
  <c r="HC6" i="67"/>
  <c r="HB6" i="67"/>
  <c r="HA6" i="67"/>
  <c r="GZ6" i="67"/>
  <c r="GY6" i="67"/>
  <c r="GX6" i="67"/>
  <c r="GW6" i="67"/>
  <c r="GV6" i="67"/>
  <c r="GU6" i="67"/>
  <c r="GT6" i="67"/>
  <c r="GS6" i="67"/>
  <c r="GR6" i="67"/>
  <c r="GQ6" i="67"/>
  <c r="GP6" i="67"/>
  <c r="GO6" i="67"/>
  <c r="GN6" i="67"/>
  <c r="GM6" i="67"/>
  <c r="GL6" i="67"/>
  <c r="GK6" i="67"/>
  <c r="GJ6" i="67"/>
  <c r="GI6" i="67"/>
  <c r="GH6" i="67"/>
  <c r="GG6" i="67"/>
  <c r="GF6" i="67"/>
  <c r="GE6" i="67"/>
  <c r="GD6" i="67"/>
  <c r="GC6" i="67"/>
  <c r="GB6" i="67"/>
  <c r="GA6" i="67"/>
  <c r="FZ6" i="67"/>
  <c r="FY6" i="67"/>
  <c r="FX6" i="67"/>
  <c r="FW6" i="67"/>
  <c r="FV6" i="67"/>
  <c r="FU6" i="67"/>
  <c r="FT6" i="67"/>
  <c r="FS6" i="67"/>
  <c r="FR6" i="67"/>
  <c r="FQ6" i="67"/>
  <c r="FP6" i="67"/>
  <c r="FO6" i="67"/>
  <c r="C6" i="67"/>
  <c r="LW5" i="67"/>
  <c r="LV5" i="67"/>
  <c r="LU5" i="67"/>
  <c r="LT5" i="67"/>
  <c r="LS5" i="67"/>
  <c r="LR5" i="67"/>
  <c r="LQ5" i="67"/>
  <c r="LP5" i="67"/>
  <c r="LO5" i="67"/>
  <c r="LN5" i="67"/>
  <c r="LM5" i="67"/>
  <c r="LL5" i="67"/>
  <c r="LK5" i="67"/>
  <c r="LJ5" i="67"/>
  <c r="LI5" i="67"/>
  <c r="LH5" i="67"/>
  <c r="LG5" i="67"/>
  <c r="LF5" i="67"/>
  <c r="LE5" i="67"/>
  <c r="LD5" i="67"/>
  <c r="LC5" i="67"/>
  <c r="LB5" i="67"/>
  <c r="LA5" i="67"/>
  <c r="KZ5" i="67"/>
  <c r="KY5" i="67"/>
  <c r="KX5" i="67"/>
  <c r="KW5" i="67"/>
  <c r="KV5" i="67"/>
  <c r="KU5" i="67"/>
  <c r="KT5" i="67"/>
  <c r="KS5" i="67"/>
  <c r="KR5" i="67"/>
  <c r="KQ5" i="67"/>
  <c r="KP5" i="67"/>
  <c r="KO5" i="67"/>
  <c r="KN5" i="67"/>
  <c r="KM5" i="67"/>
  <c r="KL5" i="67"/>
  <c r="KK5" i="67"/>
  <c r="KJ5" i="67"/>
  <c r="KI5" i="67"/>
  <c r="KH5" i="67"/>
  <c r="KG5" i="67"/>
  <c r="KF5" i="67"/>
  <c r="KE5" i="67"/>
  <c r="KD5" i="67"/>
  <c r="KC5" i="67"/>
  <c r="KB5" i="67"/>
  <c r="KA5" i="67"/>
  <c r="JZ5" i="67"/>
  <c r="JY5" i="67"/>
  <c r="JX5" i="67"/>
  <c r="JW5" i="67"/>
  <c r="JV5" i="67"/>
  <c r="JU5" i="67"/>
  <c r="JT5" i="67"/>
  <c r="JS5" i="67"/>
  <c r="JR5" i="67"/>
  <c r="JQ5" i="67"/>
  <c r="JP5" i="67"/>
  <c r="JO5" i="67"/>
  <c r="JN5" i="67"/>
  <c r="JM5" i="67"/>
  <c r="JL5" i="67"/>
  <c r="JK5" i="67"/>
  <c r="JJ5" i="67"/>
  <c r="JI5" i="67"/>
  <c r="JH5" i="67"/>
  <c r="JG5" i="67"/>
  <c r="JF5" i="67"/>
  <c r="JE5" i="67"/>
  <c r="JD5" i="67"/>
  <c r="JC5" i="67"/>
  <c r="JB5" i="67"/>
  <c r="JA5" i="67"/>
  <c r="IZ5" i="67"/>
  <c r="IY5" i="67"/>
  <c r="IX5" i="67"/>
  <c r="IW5" i="67"/>
  <c r="IV5" i="67"/>
  <c r="IU5" i="67"/>
  <c r="IT5" i="67"/>
  <c r="IS5" i="67"/>
  <c r="IR5" i="67"/>
  <c r="IQ5" i="67"/>
  <c r="IP5" i="67"/>
  <c r="IO5" i="67"/>
  <c r="IN5" i="67"/>
  <c r="IM5" i="67"/>
  <c r="IL5" i="67"/>
  <c r="IK5" i="67"/>
  <c r="IJ5" i="67"/>
  <c r="II5" i="67"/>
  <c r="IH5" i="67"/>
  <c r="IG5" i="67"/>
  <c r="IF5" i="67"/>
  <c r="IE5" i="67"/>
  <c r="ID5" i="67"/>
  <c r="IC5" i="67"/>
  <c r="IB5" i="67"/>
  <c r="IA5" i="67"/>
  <c r="HZ5" i="67"/>
  <c r="HY5" i="67"/>
  <c r="HX5" i="67"/>
  <c r="HW5" i="67"/>
  <c r="HV5" i="67"/>
  <c r="HU5" i="67"/>
  <c r="HT5" i="67"/>
  <c r="HS5" i="67"/>
  <c r="HR5" i="67"/>
  <c r="HQ5" i="67"/>
  <c r="HP5" i="67"/>
  <c r="HO5" i="67"/>
  <c r="HN5" i="67"/>
  <c r="HM5" i="67"/>
  <c r="HL5" i="67"/>
  <c r="HK5" i="67"/>
  <c r="HJ5" i="67"/>
  <c r="HI5" i="67"/>
  <c r="HH5" i="67"/>
  <c r="HG5" i="67"/>
  <c r="HF5" i="67"/>
  <c r="HE5" i="67"/>
  <c r="HD5" i="67"/>
  <c r="HC5" i="67"/>
  <c r="HB5" i="67"/>
  <c r="HA5" i="67"/>
  <c r="GZ5" i="67"/>
  <c r="GY5" i="67"/>
  <c r="GX5" i="67"/>
  <c r="GW5" i="67"/>
  <c r="GV5" i="67"/>
  <c r="GU5" i="67"/>
  <c r="GT5" i="67"/>
  <c r="GS5" i="67"/>
  <c r="GR5" i="67"/>
  <c r="GQ5" i="67"/>
  <c r="GP5" i="67"/>
  <c r="GO5" i="67"/>
  <c r="GN5" i="67"/>
  <c r="GM5" i="67"/>
  <c r="GL5" i="67"/>
  <c r="GK5" i="67"/>
  <c r="GJ5" i="67"/>
  <c r="GI5" i="67"/>
  <c r="GH5" i="67"/>
  <c r="GG5" i="67"/>
  <c r="GF5" i="67"/>
  <c r="GE5" i="67"/>
  <c r="GD5" i="67"/>
  <c r="GC5" i="67"/>
  <c r="GB5" i="67"/>
  <c r="GA5" i="67"/>
  <c r="FZ5" i="67"/>
  <c r="FY5" i="67"/>
  <c r="FX5" i="67"/>
  <c r="FW5" i="67"/>
  <c r="FV5" i="67"/>
  <c r="FU5" i="67"/>
  <c r="FT5" i="67"/>
  <c r="FS5" i="67"/>
  <c r="FR5" i="67"/>
  <c r="FQ5" i="67"/>
  <c r="FP5" i="67"/>
  <c r="FO5" i="67"/>
  <c r="C5" i="67"/>
  <c r="LW4" i="67"/>
  <c r="LV4" i="67"/>
  <c r="LU4" i="67"/>
  <c r="LT4" i="67"/>
  <c r="LS4" i="67"/>
  <c r="LR4" i="67"/>
  <c r="LQ4" i="67"/>
  <c r="LP4" i="67"/>
  <c r="LO4" i="67"/>
  <c r="LN4" i="67"/>
  <c r="LM4" i="67"/>
  <c r="LL4" i="67"/>
  <c r="LK4" i="67"/>
  <c r="LJ4" i="67"/>
  <c r="LI4" i="67"/>
  <c r="LH4" i="67"/>
  <c r="LG4" i="67"/>
  <c r="LF4" i="67"/>
  <c r="LE4" i="67"/>
  <c r="LD4" i="67"/>
  <c r="LC4" i="67"/>
  <c r="LB4" i="67"/>
  <c r="LA4" i="67"/>
  <c r="KZ4" i="67"/>
  <c r="KY4" i="67"/>
  <c r="KX4" i="67"/>
  <c r="KW4" i="67"/>
  <c r="KV4" i="67"/>
  <c r="KU4" i="67"/>
  <c r="KT4" i="67"/>
  <c r="KS4" i="67"/>
  <c r="KR4" i="67"/>
  <c r="KQ4" i="67"/>
  <c r="KP4" i="67"/>
  <c r="KO4" i="67"/>
  <c r="KN4" i="67"/>
  <c r="KM4" i="67"/>
  <c r="KL4" i="67"/>
  <c r="KK4" i="67"/>
  <c r="KJ4" i="67"/>
  <c r="KI4" i="67"/>
  <c r="KH4" i="67"/>
  <c r="KG4" i="67"/>
  <c r="KF4" i="67"/>
  <c r="KE4" i="67"/>
  <c r="KD4" i="67"/>
  <c r="KC4" i="67"/>
  <c r="KB4" i="67"/>
  <c r="KA4" i="67"/>
  <c r="JZ4" i="67"/>
  <c r="JY4" i="67"/>
  <c r="JX4" i="67"/>
  <c r="JW4" i="67"/>
  <c r="JV4" i="67"/>
  <c r="JU4" i="67"/>
  <c r="JT4" i="67"/>
  <c r="JS4" i="67"/>
  <c r="JR4" i="67"/>
  <c r="JQ4" i="67"/>
  <c r="JP4" i="67"/>
  <c r="JO4" i="67"/>
  <c r="JN4" i="67"/>
  <c r="JM4" i="67"/>
  <c r="JL4" i="67"/>
  <c r="JK4" i="67"/>
  <c r="JJ4" i="67"/>
  <c r="JI4" i="67"/>
  <c r="JH4" i="67"/>
  <c r="JG4" i="67"/>
  <c r="JF4" i="67"/>
  <c r="JE4" i="67"/>
  <c r="JD4" i="67"/>
  <c r="JC4" i="67"/>
  <c r="JB4" i="67"/>
  <c r="JA4" i="67"/>
  <c r="IZ4" i="67"/>
  <c r="IY4" i="67"/>
  <c r="IX4" i="67"/>
  <c r="IW4" i="67"/>
  <c r="IV4" i="67"/>
  <c r="IU4" i="67"/>
  <c r="IT4" i="67"/>
  <c r="IS4" i="67"/>
  <c r="IR4" i="67"/>
  <c r="IQ4" i="67"/>
  <c r="IP4" i="67"/>
  <c r="IO4" i="67"/>
  <c r="IN4" i="67"/>
  <c r="IM4" i="67"/>
  <c r="IL4" i="67"/>
  <c r="IK4" i="67"/>
  <c r="IJ4" i="67"/>
  <c r="II4" i="67"/>
  <c r="IH4" i="67"/>
  <c r="IG4" i="67"/>
  <c r="IF4" i="67"/>
  <c r="IE4" i="67"/>
  <c r="ID4" i="67"/>
  <c r="IC4" i="67"/>
  <c r="IB4" i="67"/>
  <c r="IA4" i="67"/>
  <c r="HZ4" i="67"/>
  <c r="HY4" i="67"/>
  <c r="HX4" i="67"/>
  <c r="HW4" i="67"/>
  <c r="HV4" i="67"/>
  <c r="HU4" i="67"/>
  <c r="HT4" i="67"/>
  <c r="HS4" i="67"/>
  <c r="HR4" i="67"/>
  <c r="HQ4" i="67"/>
  <c r="HP4" i="67"/>
  <c r="HO4" i="67"/>
  <c r="HN4" i="67"/>
  <c r="HM4" i="67"/>
  <c r="HL4" i="67"/>
  <c r="HK4" i="67"/>
  <c r="HJ4" i="67"/>
  <c r="HI4" i="67"/>
  <c r="HH4" i="67"/>
  <c r="HG4" i="67"/>
  <c r="HF4" i="67"/>
  <c r="HE4" i="67"/>
  <c r="HD4" i="67"/>
  <c r="HC4" i="67"/>
  <c r="HB4" i="67"/>
  <c r="HA4" i="67"/>
  <c r="GZ4" i="67"/>
  <c r="GY4" i="67"/>
  <c r="GX4" i="67"/>
  <c r="GW4" i="67"/>
  <c r="GV4" i="67"/>
  <c r="GU4" i="67"/>
  <c r="GT4" i="67"/>
  <c r="GS4" i="67"/>
  <c r="GR4" i="67"/>
  <c r="GQ4" i="67"/>
  <c r="GP4" i="67"/>
  <c r="GO4" i="67"/>
  <c r="GN4" i="67"/>
  <c r="GM4" i="67"/>
  <c r="GL4" i="67"/>
  <c r="GK4" i="67"/>
  <c r="GJ4" i="67"/>
  <c r="GI4" i="67"/>
  <c r="GH4" i="67"/>
  <c r="GG4" i="67"/>
  <c r="GF4" i="67"/>
  <c r="GE4" i="67"/>
  <c r="GD4" i="67"/>
  <c r="GC4" i="67"/>
  <c r="GB4" i="67"/>
  <c r="GA4" i="67"/>
  <c r="FZ4" i="67"/>
  <c r="FY4" i="67"/>
  <c r="FX4" i="67"/>
  <c r="FW4" i="67"/>
  <c r="FV4" i="67"/>
  <c r="FU4" i="67"/>
  <c r="FT4" i="67"/>
  <c r="FS4" i="67"/>
  <c r="FR4" i="67"/>
  <c r="FQ4" i="67"/>
  <c r="FP4" i="67"/>
  <c r="FO4" i="67"/>
  <c r="C4" i="67"/>
  <c r="FN44" i="66"/>
  <c r="I176" i="41" s="1"/>
  <c r="FM44" i="66"/>
  <c r="I175" i="41" s="1"/>
  <c r="FL44" i="66"/>
  <c r="I174" i="41" s="1"/>
  <c r="FK44" i="66"/>
  <c r="I173" i="41" s="1"/>
  <c r="FJ44" i="66"/>
  <c r="I172" i="41" s="1"/>
  <c r="FI44" i="66"/>
  <c r="I171" i="41" s="1"/>
  <c r="FH44" i="66"/>
  <c r="I170" i="41" s="1"/>
  <c r="FG44" i="66"/>
  <c r="I169" i="41" s="1"/>
  <c r="FF44" i="66"/>
  <c r="I168" i="41" s="1"/>
  <c r="FE44" i="66"/>
  <c r="I167" i="41" s="1"/>
  <c r="FD44" i="66"/>
  <c r="I166" i="41" s="1"/>
  <c r="FC44" i="66"/>
  <c r="I165" i="41" s="1"/>
  <c r="FB44" i="66"/>
  <c r="I164" i="41" s="1"/>
  <c r="FA44" i="66"/>
  <c r="I163" i="41" s="1"/>
  <c r="EZ44" i="66"/>
  <c r="I162" i="41" s="1"/>
  <c r="EY44" i="66"/>
  <c r="I161" i="41" s="1"/>
  <c r="EX44" i="66"/>
  <c r="I160" i="41" s="1"/>
  <c r="EW44" i="66"/>
  <c r="I159" i="41" s="1"/>
  <c r="EV44" i="66"/>
  <c r="I158" i="41" s="1"/>
  <c r="EU44" i="66"/>
  <c r="I157" i="41" s="1"/>
  <c r="ET44" i="66"/>
  <c r="I156" i="41" s="1"/>
  <c r="ES44" i="66"/>
  <c r="I155" i="41" s="1"/>
  <c r="ER44" i="66"/>
  <c r="I154" i="41" s="1"/>
  <c r="EQ44" i="66"/>
  <c r="I153" i="41" s="1"/>
  <c r="EP44" i="66"/>
  <c r="I152" i="41" s="1"/>
  <c r="EO44" i="66"/>
  <c r="I151" i="41" s="1"/>
  <c r="EN44" i="66"/>
  <c r="I150" i="41" s="1"/>
  <c r="EM44" i="66"/>
  <c r="I149" i="41" s="1"/>
  <c r="EL44" i="66"/>
  <c r="I148" i="41" s="1"/>
  <c r="EK44" i="66"/>
  <c r="I147" i="41" s="1"/>
  <c r="EJ44" i="66"/>
  <c r="I146" i="41" s="1"/>
  <c r="EI44" i="66"/>
  <c r="I145" i="41" s="1"/>
  <c r="EH44" i="66"/>
  <c r="I144" i="41" s="1"/>
  <c r="EG44" i="66"/>
  <c r="I143" i="41" s="1"/>
  <c r="EF44" i="66"/>
  <c r="I142" i="41" s="1"/>
  <c r="EE44" i="66"/>
  <c r="I141" i="41" s="1"/>
  <c r="ED44" i="66"/>
  <c r="I140" i="41" s="1"/>
  <c r="EC44" i="66"/>
  <c r="I139" i="41" s="1"/>
  <c r="EB44" i="66"/>
  <c r="I138" i="41" s="1"/>
  <c r="EA44" i="66"/>
  <c r="I137" i="41" s="1"/>
  <c r="DZ44" i="66"/>
  <c r="I136" i="41" s="1"/>
  <c r="DY44" i="66"/>
  <c r="I135" i="41" s="1"/>
  <c r="DX44" i="66"/>
  <c r="I134" i="41" s="1"/>
  <c r="DW44" i="66"/>
  <c r="I133" i="41" s="1"/>
  <c r="DV44" i="66"/>
  <c r="I132" i="41" s="1"/>
  <c r="DU44" i="66"/>
  <c r="I131" i="41" s="1"/>
  <c r="DT44" i="66"/>
  <c r="I130" i="41" s="1"/>
  <c r="DS44" i="66"/>
  <c r="I129" i="41" s="1"/>
  <c r="DR44" i="66"/>
  <c r="I128" i="41" s="1"/>
  <c r="DQ44" i="66"/>
  <c r="I127" i="41" s="1"/>
  <c r="DP44" i="66"/>
  <c r="I126" i="41" s="1"/>
  <c r="DO44" i="66"/>
  <c r="I125" i="41" s="1"/>
  <c r="DN44" i="66"/>
  <c r="I124" i="41" s="1"/>
  <c r="DM44" i="66"/>
  <c r="I123" i="41" s="1"/>
  <c r="DL44" i="66"/>
  <c r="I122" i="41" s="1"/>
  <c r="DK44" i="66"/>
  <c r="I121" i="41" s="1"/>
  <c r="DJ44" i="66"/>
  <c r="I120" i="41" s="1"/>
  <c r="DI44" i="66"/>
  <c r="I119" i="41" s="1"/>
  <c r="DH44" i="66"/>
  <c r="I118" i="41" s="1"/>
  <c r="DG44" i="66"/>
  <c r="I117" i="41" s="1"/>
  <c r="DF44" i="66"/>
  <c r="I116" i="41" s="1"/>
  <c r="DE44" i="66"/>
  <c r="I115" i="41" s="1"/>
  <c r="DD44" i="66"/>
  <c r="I114" i="41" s="1"/>
  <c r="DC44" i="66"/>
  <c r="I113" i="41" s="1"/>
  <c r="DB44" i="66"/>
  <c r="I112" i="41" s="1"/>
  <c r="DA44" i="66"/>
  <c r="I111" i="41" s="1"/>
  <c r="CZ44" i="66"/>
  <c r="I110" i="41" s="1"/>
  <c r="CY44" i="66"/>
  <c r="I109" i="41" s="1"/>
  <c r="CX44" i="66"/>
  <c r="I108" i="41" s="1"/>
  <c r="CW44" i="66"/>
  <c r="I107" i="41" s="1"/>
  <c r="CV44" i="66"/>
  <c r="I106" i="41" s="1"/>
  <c r="CU44" i="66"/>
  <c r="I105" i="41" s="1"/>
  <c r="CT44" i="66"/>
  <c r="I104" i="41" s="1"/>
  <c r="CS44" i="66"/>
  <c r="I103" i="41" s="1"/>
  <c r="CR44" i="66"/>
  <c r="I102" i="41" s="1"/>
  <c r="CQ44" i="66"/>
  <c r="I101" i="41" s="1"/>
  <c r="CP44" i="66"/>
  <c r="I100" i="41" s="1"/>
  <c r="CO44" i="66"/>
  <c r="I99" i="41" s="1"/>
  <c r="CN44" i="66"/>
  <c r="I98" i="41" s="1"/>
  <c r="CM44" i="66"/>
  <c r="I97" i="41" s="1"/>
  <c r="CL44" i="66"/>
  <c r="I96" i="41" s="1"/>
  <c r="CK44" i="66"/>
  <c r="I95" i="41" s="1"/>
  <c r="CJ44" i="66"/>
  <c r="I94" i="41" s="1"/>
  <c r="CI44" i="66"/>
  <c r="I93" i="41" s="1"/>
  <c r="CH44" i="66"/>
  <c r="I92" i="41" s="1"/>
  <c r="CG44" i="66"/>
  <c r="I91" i="41" s="1"/>
  <c r="CF44" i="66"/>
  <c r="I90" i="41" s="1"/>
  <c r="CE44" i="66"/>
  <c r="I89" i="41" s="1"/>
  <c r="CD44" i="66"/>
  <c r="I88" i="41" s="1"/>
  <c r="CC44" i="66"/>
  <c r="I87" i="41" s="1"/>
  <c r="CB44" i="66"/>
  <c r="I86" i="41" s="1"/>
  <c r="CA44" i="66"/>
  <c r="I85" i="41" s="1"/>
  <c r="BZ44" i="66"/>
  <c r="I84" i="41" s="1"/>
  <c r="BY44" i="66"/>
  <c r="I83" i="41" s="1"/>
  <c r="BX44" i="66"/>
  <c r="I82" i="41" s="1"/>
  <c r="BW44" i="66"/>
  <c r="I81" i="41" s="1"/>
  <c r="BV44" i="66"/>
  <c r="I80" i="41" s="1"/>
  <c r="BU44" i="66"/>
  <c r="I79" i="41" s="1"/>
  <c r="BT44" i="66"/>
  <c r="I78" i="41" s="1"/>
  <c r="BS44" i="66"/>
  <c r="I77" i="41" s="1"/>
  <c r="BR44" i="66"/>
  <c r="I76" i="41" s="1"/>
  <c r="BQ44" i="66"/>
  <c r="I75" i="41" s="1"/>
  <c r="BP44" i="66"/>
  <c r="I74" i="41" s="1"/>
  <c r="BO44" i="66"/>
  <c r="I73" i="41" s="1"/>
  <c r="BN44" i="66"/>
  <c r="I72" i="41" s="1"/>
  <c r="BM44" i="66"/>
  <c r="I71" i="41" s="1"/>
  <c r="BL44" i="66"/>
  <c r="I70" i="41" s="1"/>
  <c r="BK44" i="66"/>
  <c r="I69" i="41" s="1"/>
  <c r="BJ44" i="66"/>
  <c r="I68" i="41" s="1"/>
  <c r="BI44" i="66"/>
  <c r="I67" i="41" s="1"/>
  <c r="BH44" i="66"/>
  <c r="I66" i="41" s="1"/>
  <c r="BG44" i="66"/>
  <c r="I65" i="41" s="1"/>
  <c r="BF44" i="66"/>
  <c r="I64" i="41" s="1"/>
  <c r="BE44" i="66"/>
  <c r="I63" i="41" s="1"/>
  <c r="BD44" i="66"/>
  <c r="I62" i="41" s="1"/>
  <c r="BC44" i="66"/>
  <c r="I61" i="41" s="1"/>
  <c r="BB44" i="66"/>
  <c r="I60" i="41" s="1"/>
  <c r="BA44" i="66"/>
  <c r="I59" i="41" s="1"/>
  <c r="AZ44" i="66"/>
  <c r="I58" i="41" s="1"/>
  <c r="AY44" i="66"/>
  <c r="I57" i="41" s="1"/>
  <c r="AX44" i="66"/>
  <c r="I56" i="41" s="1"/>
  <c r="AW44" i="66"/>
  <c r="I55" i="41" s="1"/>
  <c r="AV44" i="66"/>
  <c r="I54" i="41" s="1"/>
  <c r="AU44" i="66"/>
  <c r="I53" i="41" s="1"/>
  <c r="AT44" i="66"/>
  <c r="I52" i="41" s="1"/>
  <c r="AS44" i="66"/>
  <c r="I51" i="41" s="1"/>
  <c r="AR44" i="66"/>
  <c r="I50" i="41" s="1"/>
  <c r="AQ44" i="66"/>
  <c r="I49" i="41" s="1"/>
  <c r="AP44" i="66"/>
  <c r="I48" i="41" s="1"/>
  <c r="AO44" i="66"/>
  <c r="I47" i="41" s="1"/>
  <c r="AN44" i="66"/>
  <c r="I46" i="41" s="1"/>
  <c r="AM44" i="66"/>
  <c r="I45" i="41" s="1"/>
  <c r="AL44" i="66"/>
  <c r="I44" i="41" s="1"/>
  <c r="AK44" i="66"/>
  <c r="I43" i="41" s="1"/>
  <c r="AJ44" i="66"/>
  <c r="I42" i="41" s="1"/>
  <c r="AI44" i="66"/>
  <c r="I41" i="41" s="1"/>
  <c r="AH44" i="66"/>
  <c r="I40" i="41" s="1"/>
  <c r="AG44" i="66"/>
  <c r="I39" i="41" s="1"/>
  <c r="AF44" i="66"/>
  <c r="I38" i="41" s="1"/>
  <c r="AE44" i="66"/>
  <c r="I37" i="41" s="1"/>
  <c r="AD44" i="66"/>
  <c r="I36" i="41" s="1"/>
  <c r="AC44" i="66"/>
  <c r="I35" i="41" s="1"/>
  <c r="AB44" i="66"/>
  <c r="I34" i="41" s="1"/>
  <c r="AA44" i="66"/>
  <c r="I33" i="41" s="1"/>
  <c r="Z44" i="66"/>
  <c r="I32" i="41" s="1"/>
  <c r="Y44" i="66"/>
  <c r="I31" i="41" s="1"/>
  <c r="X44" i="66"/>
  <c r="I30" i="41" s="1"/>
  <c r="W44" i="66"/>
  <c r="I29" i="41" s="1"/>
  <c r="V44" i="66"/>
  <c r="I28" i="41" s="1"/>
  <c r="U44" i="66"/>
  <c r="I27" i="41" s="1"/>
  <c r="T44" i="66"/>
  <c r="I26" i="41" s="1"/>
  <c r="S44" i="66"/>
  <c r="I25" i="41" s="1"/>
  <c r="R44" i="66"/>
  <c r="I24" i="41" s="1"/>
  <c r="Q44" i="66"/>
  <c r="I23" i="41" s="1"/>
  <c r="P44" i="66"/>
  <c r="I22" i="41" s="1"/>
  <c r="O44" i="66"/>
  <c r="I21" i="41" s="1"/>
  <c r="N44" i="66"/>
  <c r="I20" i="41" s="1"/>
  <c r="M44" i="66"/>
  <c r="I19" i="41" s="1"/>
  <c r="L44" i="66"/>
  <c r="I18" i="41" s="1"/>
  <c r="K44" i="66"/>
  <c r="I17" i="41" s="1"/>
  <c r="J44" i="66"/>
  <c r="I16" i="41" s="1"/>
  <c r="I44" i="66"/>
  <c r="I15" i="41" s="1"/>
  <c r="H44" i="66"/>
  <c r="I14" i="41" s="1"/>
  <c r="G44" i="66"/>
  <c r="I13" i="41" s="1"/>
  <c r="F44" i="66"/>
  <c r="I12" i="41" s="1"/>
  <c r="E44" i="66"/>
  <c r="D44" i="66"/>
  <c r="C44" i="66"/>
  <c r="F29" i="66"/>
  <c r="E29" i="66"/>
  <c r="I10" i="41" s="1"/>
  <c r="D29" i="66"/>
  <c r="B29" i="66"/>
  <c r="LW28" i="66"/>
  <c r="LV28" i="66"/>
  <c r="LU28" i="66"/>
  <c r="LT28" i="66"/>
  <c r="LS28" i="66"/>
  <c r="LR28" i="66"/>
  <c r="LQ28" i="66"/>
  <c r="LP28" i="66"/>
  <c r="LO28" i="66"/>
  <c r="LN28" i="66"/>
  <c r="LM28" i="66"/>
  <c r="LL28" i="66"/>
  <c r="LK28" i="66"/>
  <c r="LJ28" i="66"/>
  <c r="LI28" i="66"/>
  <c r="LH28" i="66"/>
  <c r="LG28" i="66"/>
  <c r="LF28" i="66"/>
  <c r="LE28" i="66"/>
  <c r="LD28" i="66"/>
  <c r="LC28" i="66"/>
  <c r="LB28" i="66"/>
  <c r="LA28" i="66"/>
  <c r="KZ28" i="66"/>
  <c r="KY28" i="66"/>
  <c r="KX28" i="66"/>
  <c r="KW28" i="66"/>
  <c r="KV28" i="66"/>
  <c r="KU28" i="66"/>
  <c r="KT28" i="66"/>
  <c r="KS28" i="66"/>
  <c r="KR28" i="66"/>
  <c r="KQ28" i="66"/>
  <c r="KP28" i="66"/>
  <c r="KO28" i="66"/>
  <c r="KN28" i="66"/>
  <c r="KM28" i="66"/>
  <c r="KL28" i="66"/>
  <c r="KK28" i="66"/>
  <c r="KJ28" i="66"/>
  <c r="KI28" i="66"/>
  <c r="KH28" i="66"/>
  <c r="KG28" i="66"/>
  <c r="KF28" i="66"/>
  <c r="KE28" i="66"/>
  <c r="KD28" i="66"/>
  <c r="KC28" i="66"/>
  <c r="KB28" i="66"/>
  <c r="KA28" i="66"/>
  <c r="JZ28" i="66"/>
  <c r="JY28" i="66"/>
  <c r="JX28" i="66"/>
  <c r="JW28" i="66"/>
  <c r="JV28" i="66"/>
  <c r="JU28" i="66"/>
  <c r="JT28" i="66"/>
  <c r="JS28" i="66"/>
  <c r="JR28" i="66"/>
  <c r="JQ28" i="66"/>
  <c r="JP28" i="66"/>
  <c r="JO28" i="66"/>
  <c r="JN28" i="66"/>
  <c r="JM28" i="66"/>
  <c r="JL28" i="66"/>
  <c r="JK28" i="66"/>
  <c r="JJ28" i="66"/>
  <c r="JI28" i="66"/>
  <c r="JH28" i="66"/>
  <c r="JG28" i="66"/>
  <c r="JF28" i="66"/>
  <c r="JE28" i="66"/>
  <c r="JD28" i="66"/>
  <c r="JC28" i="66"/>
  <c r="JB28" i="66"/>
  <c r="JA28" i="66"/>
  <c r="IZ28" i="66"/>
  <c r="IY28" i="66"/>
  <c r="IX28" i="66"/>
  <c r="IW28" i="66"/>
  <c r="IV28" i="66"/>
  <c r="IU28" i="66"/>
  <c r="IT28" i="66"/>
  <c r="IS28" i="66"/>
  <c r="IR28" i="66"/>
  <c r="IQ28" i="66"/>
  <c r="IP28" i="66"/>
  <c r="IO28" i="66"/>
  <c r="IN28" i="66"/>
  <c r="IM28" i="66"/>
  <c r="IL28" i="66"/>
  <c r="IK28" i="66"/>
  <c r="IJ28" i="66"/>
  <c r="II28" i="66"/>
  <c r="IH28" i="66"/>
  <c r="IG28" i="66"/>
  <c r="IF28" i="66"/>
  <c r="IE28" i="66"/>
  <c r="ID28" i="66"/>
  <c r="IC28" i="66"/>
  <c r="IB28" i="66"/>
  <c r="IA28" i="66"/>
  <c r="HZ28" i="66"/>
  <c r="HY28" i="66"/>
  <c r="HX28" i="66"/>
  <c r="HW28" i="66"/>
  <c r="HV28" i="66"/>
  <c r="HU28" i="66"/>
  <c r="HT28" i="66"/>
  <c r="HS28" i="66"/>
  <c r="HR28" i="66"/>
  <c r="HQ28" i="66"/>
  <c r="HP28" i="66"/>
  <c r="HO28" i="66"/>
  <c r="HN28" i="66"/>
  <c r="HM28" i="66"/>
  <c r="HL28" i="66"/>
  <c r="HK28" i="66"/>
  <c r="HJ28" i="66"/>
  <c r="HI28" i="66"/>
  <c r="HH28" i="66"/>
  <c r="HG28" i="66"/>
  <c r="HF28" i="66"/>
  <c r="HE28" i="66"/>
  <c r="HD28" i="66"/>
  <c r="HC28" i="66"/>
  <c r="HB28" i="66"/>
  <c r="HA28" i="66"/>
  <c r="GZ28" i="66"/>
  <c r="GY28" i="66"/>
  <c r="GX28" i="66"/>
  <c r="GW28" i="66"/>
  <c r="GV28" i="66"/>
  <c r="GU28" i="66"/>
  <c r="GT28" i="66"/>
  <c r="GS28" i="66"/>
  <c r="GR28" i="66"/>
  <c r="GQ28" i="66"/>
  <c r="GP28" i="66"/>
  <c r="GO28" i="66"/>
  <c r="GN28" i="66"/>
  <c r="GM28" i="66"/>
  <c r="GL28" i="66"/>
  <c r="GK28" i="66"/>
  <c r="GJ28" i="66"/>
  <c r="GI28" i="66"/>
  <c r="GH28" i="66"/>
  <c r="GG28" i="66"/>
  <c r="GF28" i="66"/>
  <c r="GE28" i="66"/>
  <c r="GD28" i="66"/>
  <c r="GC28" i="66"/>
  <c r="GB28" i="66"/>
  <c r="GA28" i="66"/>
  <c r="FZ28" i="66"/>
  <c r="FY28" i="66"/>
  <c r="FX28" i="66"/>
  <c r="FW28" i="66"/>
  <c r="FV28" i="66"/>
  <c r="FU28" i="66"/>
  <c r="FT28" i="66"/>
  <c r="FS28" i="66"/>
  <c r="FR28" i="66"/>
  <c r="FQ28" i="66"/>
  <c r="FP28" i="66"/>
  <c r="FO28" i="66"/>
  <c r="C28" i="66"/>
  <c r="LW27" i="66"/>
  <c r="LV27" i="66"/>
  <c r="LU27" i="66"/>
  <c r="LT27" i="66"/>
  <c r="LS27" i="66"/>
  <c r="LR27" i="66"/>
  <c r="LQ27" i="66"/>
  <c r="LP27" i="66"/>
  <c r="LO27" i="66"/>
  <c r="LN27" i="66"/>
  <c r="LM27" i="66"/>
  <c r="LL27" i="66"/>
  <c r="LK27" i="66"/>
  <c r="LJ27" i="66"/>
  <c r="LI27" i="66"/>
  <c r="LH27" i="66"/>
  <c r="LG27" i="66"/>
  <c r="LF27" i="66"/>
  <c r="LE27" i="66"/>
  <c r="LD27" i="66"/>
  <c r="LC27" i="66"/>
  <c r="LB27" i="66"/>
  <c r="LA27" i="66"/>
  <c r="KZ27" i="66"/>
  <c r="KY27" i="66"/>
  <c r="KX27" i="66"/>
  <c r="KW27" i="66"/>
  <c r="KV27" i="66"/>
  <c r="KU27" i="66"/>
  <c r="KT27" i="66"/>
  <c r="KS27" i="66"/>
  <c r="KR27" i="66"/>
  <c r="KQ27" i="66"/>
  <c r="KP27" i="66"/>
  <c r="KO27" i="66"/>
  <c r="KN27" i="66"/>
  <c r="KM27" i="66"/>
  <c r="KL27" i="66"/>
  <c r="KK27" i="66"/>
  <c r="KJ27" i="66"/>
  <c r="KI27" i="66"/>
  <c r="KH27" i="66"/>
  <c r="KG27" i="66"/>
  <c r="KF27" i="66"/>
  <c r="KE27" i="66"/>
  <c r="KD27" i="66"/>
  <c r="KC27" i="66"/>
  <c r="KB27" i="66"/>
  <c r="KA27" i="66"/>
  <c r="JZ27" i="66"/>
  <c r="JY27" i="66"/>
  <c r="JX27" i="66"/>
  <c r="JW27" i="66"/>
  <c r="JV27" i="66"/>
  <c r="JU27" i="66"/>
  <c r="JT27" i="66"/>
  <c r="JS27" i="66"/>
  <c r="JR27" i="66"/>
  <c r="JQ27" i="66"/>
  <c r="JP27" i="66"/>
  <c r="JO27" i="66"/>
  <c r="JN27" i="66"/>
  <c r="JM27" i="66"/>
  <c r="JL27" i="66"/>
  <c r="JK27" i="66"/>
  <c r="JJ27" i="66"/>
  <c r="JI27" i="66"/>
  <c r="JH27" i="66"/>
  <c r="JG27" i="66"/>
  <c r="JF27" i="66"/>
  <c r="JE27" i="66"/>
  <c r="JD27" i="66"/>
  <c r="JC27" i="66"/>
  <c r="JB27" i="66"/>
  <c r="JA27" i="66"/>
  <c r="IZ27" i="66"/>
  <c r="IY27" i="66"/>
  <c r="IX27" i="66"/>
  <c r="IW27" i="66"/>
  <c r="IV27" i="66"/>
  <c r="IU27" i="66"/>
  <c r="IT27" i="66"/>
  <c r="IS27" i="66"/>
  <c r="IR27" i="66"/>
  <c r="IQ27" i="66"/>
  <c r="IP27" i="66"/>
  <c r="IO27" i="66"/>
  <c r="IN27" i="66"/>
  <c r="IM27" i="66"/>
  <c r="IL27" i="66"/>
  <c r="IK27" i="66"/>
  <c r="IJ27" i="66"/>
  <c r="II27" i="66"/>
  <c r="IH27" i="66"/>
  <c r="IG27" i="66"/>
  <c r="IF27" i="66"/>
  <c r="IE27" i="66"/>
  <c r="ID27" i="66"/>
  <c r="IC27" i="66"/>
  <c r="IB27" i="66"/>
  <c r="IA27" i="66"/>
  <c r="HZ27" i="66"/>
  <c r="HY27" i="66"/>
  <c r="HX27" i="66"/>
  <c r="HW27" i="66"/>
  <c r="HV27" i="66"/>
  <c r="HU27" i="66"/>
  <c r="HT27" i="66"/>
  <c r="HS27" i="66"/>
  <c r="HR27" i="66"/>
  <c r="HQ27" i="66"/>
  <c r="HP27" i="66"/>
  <c r="HO27" i="66"/>
  <c r="HN27" i="66"/>
  <c r="HM27" i="66"/>
  <c r="HL27" i="66"/>
  <c r="HK27" i="66"/>
  <c r="HJ27" i="66"/>
  <c r="HI27" i="66"/>
  <c r="HH27" i="66"/>
  <c r="HG27" i="66"/>
  <c r="HF27" i="66"/>
  <c r="HE27" i="66"/>
  <c r="HD27" i="66"/>
  <c r="HC27" i="66"/>
  <c r="HB27" i="66"/>
  <c r="HA27" i="66"/>
  <c r="GZ27" i="66"/>
  <c r="GY27" i="66"/>
  <c r="GX27" i="66"/>
  <c r="GW27" i="66"/>
  <c r="GV27" i="66"/>
  <c r="GU27" i="66"/>
  <c r="GT27" i="66"/>
  <c r="GS27" i="66"/>
  <c r="GR27" i="66"/>
  <c r="GQ27" i="66"/>
  <c r="GP27" i="66"/>
  <c r="GO27" i="66"/>
  <c r="GN27" i="66"/>
  <c r="GM27" i="66"/>
  <c r="GL27" i="66"/>
  <c r="GK27" i="66"/>
  <c r="GJ27" i="66"/>
  <c r="GI27" i="66"/>
  <c r="GH27" i="66"/>
  <c r="GG27" i="66"/>
  <c r="GF27" i="66"/>
  <c r="GE27" i="66"/>
  <c r="GD27" i="66"/>
  <c r="GC27" i="66"/>
  <c r="GB27" i="66"/>
  <c r="GA27" i="66"/>
  <c r="FZ27" i="66"/>
  <c r="FY27" i="66"/>
  <c r="FX27" i="66"/>
  <c r="FW27" i="66"/>
  <c r="FV27" i="66"/>
  <c r="FU27" i="66"/>
  <c r="FT27" i="66"/>
  <c r="FS27" i="66"/>
  <c r="FR27" i="66"/>
  <c r="FQ27" i="66"/>
  <c r="FP27" i="66"/>
  <c r="FO27" i="66"/>
  <c r="C27" i="66"/>
  <c r="LW26" i="66"/>
  <c r="LV26" i="66"/>
  <c r="LU26" i="66"/>
  <c r="LT26" i="66"/>
  <c r="LS26" i="66"/>
  <c r="LR26" i="66"/>
  <c r="LQ26" i="66"/>
  <c r="LP26" i="66"/>
  <c r="LO26" i="66"/>
  <c r="LN26" i="66"/>
  <c r="LM26" i="66"/>
  <c r="LL26" i="66"/>
  <c r="LK26" i="66"/>
  <c r="LJ26" i="66"/>
  <c r="LI26" i="66"/>
  <c r="LH26" i="66"/>
  <c r="LG26" i="66"/>
  <c r="LF26" i="66"/>
  <c r="LE26" i="66"/>
  <c r="LD26" i="66"/>
  <c r="LC26" i="66"/>
  <c r="LB26" i="66"/>
  <c r="LA26" i="66"/>
  <c r="KZ26" i="66"/>
  <c r="KY26" i="66"/>
  <c r="KX26" i="66"/>
  <c r="KW26" i="66"/>
  <c r="KV26" i="66"/>
  <c r="KU26" i="66"/>
  <c r="KT26" i="66"/>
  <c r="KS26" i="66"/>
  <c r="KR26" i="66"/>
  <c r="KQ26" i="66"/>
  <c r="KP26" i="66"/>
  <c r="KO26" i="66"/>
  <c r="KN26" i="66"/>
  <c r="KM26" i="66"/>
  <c r="KL26" i="66"/>
  <c r="KK26" i="66"/>
  <c r="KJ26" i="66"/>
  <c r="KI26" i="66"/>
  <c r="KH26" i="66"/>
  <c r="KG26" i="66"/>
  <c r="KF26" i="66"/>
  <c r="KE26" i="66"/>
  <c r="KD26" i="66"/>
  <c r="KC26" i="66"/>
  <c r="KB26" i="66"/>
  <c r="KA26" i="66"/>
  <c r="JZ26" i="66"/>
  <c r="JY26" i="66"/>
  <c r="JX26" i="66"/>
  <c r="JW26" i="66"/>
  <c r="JV26" i="66"/>
  <c r="JU26" i="66"/>
  <c r="JT26" i="66"/>
  <c r="JS26" i="66"/>
  <c r="JR26" i="66"/>
  <c r="JQ26" i="66"/>
  <c r="JP26" i="66"/>
  <c r="JO26" i="66"/>
  <c r="JN26" i="66"/>
  <c r="JM26" i="66"/>
  <c r="JL26" i="66"/>
  <c r="JK26" i="66"/>
  <c r="JJ26" i="66"/>
  <c r="JI26" i="66"/>
  <c r="JH26" i="66"/>
  <c r="JG26" i="66"/>
  <c r="JF26" i="66"/>
  <c r="JE26" i="66"/>
  <c r="JD26" i="66"/>
  <c r="JC26" i="66"/>
  <c r="JB26" i="66"/>
  <c r="JA26" i="66"/>
  <c r="IZ26" i="66"/>
  <c r="IY26" i="66"/>
  <c r="IX26" i="66"/>
  <c r="IW26" i="66"/>
  <c r="IV26" i="66"/>
  <c r="IU26" i="66"/>
  <c r="IT26" i="66"/>
  <c r="IS26" i="66"/>
  <c r="IR26" i="66"/>
  <c r="IQ26" i="66"/>
  <c r="IP26" i="66"/>
  <c r="IO26" i="66"/>
  <c r="IN26" i="66"/>
  <c r="IM26" i="66"/>
  <c r="IL26" i="66"/>
  <c r="IK26" i="66"/>
  <c r="IJ26" i="66"/>
  <c r="II26" i="66"/>
  <c r="IH26" i="66"/>
  <c r="IG26" i="66"/>
  <c r="IF26" i="66"/>
  <c r="IE26" i="66"/>
  <c r="ID26" i="66"/>
  <c r="IC26" i="66"/>
  <c r="IB26" i="66"/>
  <c r="IA26" i="66"/>
  <c r="HZ26" i="66"/>
  <c r="HY26" i="66"/>
  <c r="HX26" i="66"/>
  <c r="HW26" i="66"/>
  <c r="HV26" i="66"/>
  <c r="HU26" i="66"/>
  <c r="HT26" i="66"/>
  <c r="HS26" i="66"/>
  <c r="HR26" i="66"/>
  <c r="HQ26" i="66"/>
  <c r="HP26" i="66"/>
  <c r="HO26" i="66"/>
  <c r="HN26" i="66"/>
  <c r="HM26" i="66"/>
  <c r="HL26" i="66"/>
  <c r="HK26" i="66"/>
  <c r="HJ26" i="66"/>
  <c r="HI26" i="66"/>
  <c r="HH26" i="66"/>
  <c r="HG26" i="66"/>
  <c r="HF26" i="66"/>
  <c r="HE26" i="66"/>
  <c r="HD26" i="66"/>
  <c r="HC26" i="66"/>
  <c r="HB26" i="66"/>
  <c r="HA26" i="66"/>
  <c r="GZ26" i="66"/>
  <c r="GY26" i="66"/>
  <c r="GX26" i="66"/>
  <c r="GW26" i="66"/>
  <c r="GV26" i="66"/>
  <c r="GU26" i="66"/>
  <c r="GT26" i="66"/>
  <c r="GS26" i="66"/>
  <c r="GR26" i="66"/>
  <c r="GQ26" i="66"/>
  <c r="GP26" i="66"/>
  <c r="GO26" i="66"/>
  <c r="GN26" i="66"/>
  <c r="GM26" i="66"/>
  <c r="GL26" i="66"/>
  <c r="GK26" i="66"/>
  <c r="GJ26" i="66"/>
  <c r="GI26" i="66"/>
  <c r="GH26" i="66"/>
  <c r="GG26" i="66"/>
  <c r="GF26" i="66"/>
  <c r="GE26" i="66"/>
  <c r="GD26" i="66"/>
  <c r="GC26" i="66"/>
  <c r="GB26" i="66"/>
  <c r="GA26" i="66"/>
  <c r="FZ26" i="66"/>
  <c r="FY26" i="66"/>
  <c r="FX26" i="66"/>
  <c r="FW26" i="66"/>
  <c r="FV26" i="66"/>
  <c r="FU26" i="66"/>
  <c r="FT26" i="66"/>
  <c r="FS26" i="66"/>
  <c r="FR26" i="66"/>
  <c r="FQ26" i="66"/>
  <c r="FP26" i="66"/>
  <c r="FO26" i="66"/>
  <c r="C26" i="66"/>
  <c r="LW25" i="66"/>
  <c r="LV25" i="66"/>
  <c r="LU25" i="66"/>
  <c r="LT25" i="66"/>
  <c r="LS25" i="66"/>
  <c r="LR25" i="66"/>
  <c r="LQ25" i="66"/>
  <c r="LP25" i="66"/>
  <c r="LO25" i="66"/>
  <c r="LN25" i="66"/>
  <c r="LM25" i="66"/>
  <c r="LL25" i="66"/>
  <c r="LK25" i="66"/>
  <c r="LJ25" i="66"/>
  <c r="LI25" i="66"/>
  <c r="LH25" i="66"/>
  <c r="LG25" i="66"/>
  <c r="LF25" i="66"/>
  <c r="LE25" i="66"/>
  <c r="LD25" i="66"/>
  <c r="LC25" i="66"/>
  <c r="LB25" i="66"/>
  <c r="LA25" i="66"/>
  <c r="KZ25" i="66"/>
  <c r="KY25" i="66"/>
  <c r="KX25" i="66"/>
  <c r="KW25" i="66"/>
  <c r="KV25" i="66"/>
  <c r="KU25" i="66"/>
  <c r="KT25" i="66"/>
  <c r="KS25" i="66"/>
  <c r="KR25" i="66"/>
  <c r="KQ25" i="66"/>
  <c r="KP25" i="66"/>
  <c r="KO25" i="66"/>
  <c r="KN25" i="66"/>
  <c r="KM25" i="66"/>
  <c r="KL25" i="66"/>
  <c r="KK25" i="66"/>
  <c r="KJ25" i="66"/>
  <c r="KI25" i="66"/>
  <c r="KH25" i="66"/>
  <c r="KG25" i="66"/>
  <c r="KF25" i="66"/>
  <c r="KE25" i="66"/>
  <c r="KD25" i="66"/>
  <c r="KC25" i="66"/>
  <c r="KB25" i="66"/>
  <c r="KA25" i="66"/>
  <c r="JZ25" i="66"/>
  <c r="JY25" i="66"/>
  <c r="JX25" i="66"/>
  <c r="JW25" i="66"/>
  <c r="JV25" i="66"/>
  <c r="JU25" i="66"/>
  <c r="JT25" i="66"/>
  <c r="JS25" i="66"/>
  <c r="JR25" i="66"/>
  <c r="JQ25" i="66"/>
  <c r="JP25" i="66"/>
  <c r="JO25" i="66"/>
  <c r="JN25" i="66"/>
  <c r="JM25" i="66"/>
  <c r="JL25" i="66"/>
  <c r="JK25" i="66"/>
  <c r="JJ25" i="66"/>
  <c r="JI25" i="66"/>
  <c r="JH25" i="66"/>
  <c r="JG25" i="66"/>
  <c r="JF25" i="66"/>
  <c r="JE25" i="66"/>
  <c r="JD25" i="66"/>
  <c r="JC25" i="66"/>
  <c r="JB25" i="66"/>
  <c r="JA25" i="66"/>
  <c r="IZ25" i="66"/>
  <c r="IY25" i="66"/>
  <c r="IX25" i="66"/>
  <c r="IW25" i="66"/>
  <c r="IV25" i="66"/>
  <c r="IU25" i="66"/>
  <c r="IT25" i="66"/>
  <c r="IS25" i="66"/>
  <c r="IR25" i="66"/>
  <c r="IQ25" i="66"/>
  <c r="IP25" i="66"/>
  <c r="IO25" i="66"/>
  <c r="IN25" i="66"/>
  <c r="IM25" i="66"/>
  <c r="IL25" i="66"/>
  <c r="IK25" i="66"/>
  <c r="IJ25" i="66"/>
  <c r="II25" i="66"/>
  <c r="IH25" i="66"/>
  <c r="IG25" i="66"/>
  <c r="IF25" i="66"/>
  <c r="IE25" i="66"/>
  <c r="ID25" i="66"/>
  <c r="IC25" i="66"/>
  <c r="IB25" i="66"/>
  <c r="IA25" i="66"/>
  <c r="HZ25" i="66"/>
  <c r="HY25" i="66"/>
  <c r="HX25" i="66"/>
  <c r="HW25" i="66"/>
  <c r="HV25" i="66"/>
  <c r="HU25" i="66"/>
  <c r="HT25" i="66"/>
  <c r="HS25" i="66"/>
  <c r="HR25" i="66"/>
  <c r="HQ25" i="66"/>
  <c r="HP25" i="66"/>
  <c r="HO25" i="66"/>
  <c r="HN25" i="66"/>
  <c r="HM25" i="66"/>
  <c r="HL25" i="66"/>
  <c r="HK25" i="66"/>
  <c r="HJ25" i="66"/>
  <c r="HI25" i="66"/>
  <c r="HH25" i="66"/>
  <c r="HG25" i="66"/>
  <c r="HF25" i="66"/>
  <c r="HE25" i="66"/>
  <c r="HD25" i="66"/>
  <c r="HC25" i="66"/>
  <c r="HB25" i="66"/>
  <c r="HA25" i="66"/>
  <c r="GZ25" i="66"/>
  <c r="GY25" i="66"/>
  <c r="GX25" i="66"/>
  <c r="GW25" i="66"/>
  <c r="GV25" i="66"/>
  <c r="GU25" i="66"/>
  <c r="GT25" i="66"/>
  <c r="GS25" i="66"/>
  <c r="GR25" i="66"/>
  <c r="GQ25" i="66"/>
  <c r="GP25" i="66"/>
  <c r="GO25" i="66"/>
  <c r="GN25" i="66"/>
  <c r="GM25" i="66"/>
  <c r="GL25" i="66"/>
  <c r="GK25" i="66"/>
  <c r="GJ25" i="66"/>
  <c r="GI25" i="66"/>
  <c r="GH25" i="66"/>
  <c r="GG25" i="66"/>
  <c r="GF25" i="66"/>
  <c r="GE25" i="66"/>
  <c r="GD25" i="66"/>
  <c r="GC25" i="66"/>
  <c r="GB25" i="66"/>
  <c r="GA25" i="66"/>
  <c r="FZ25" i="66"/>
  <c r="FY25" i="66"/>
  <c r="FX25" i="66"/>
  <c r="FW25" i="66"/>
  <c r="FV25" i="66"/>
  <c r="FU25" i="66"/>
  <c r="FT25" i="66"/>
  <c r="FS25" i="66"/>
  <c r="FR25" i="66"/>
  <c r="FQ25" i="66"/>
  <c r="FP25" i="66"/>
  <c r="FO25" i="66"/>
  <c r="C25" i="66"/>
  <c r="LW24" i="66"/>
  <c r="LV24" i="66"/>
  <c r="LU24" i="66"/>
  <c r="LT24" i="66"/>
  <c r="LS24" i="66"/>
  <c r="LR24" i="66"/>
  <c r="LQ24" i="66"/>
  <c r="LP24" i="66"/>
  <c r="LO24" i="66"/>
  <c r="LN24" i="66"/>
  <c r="LM24" i="66"/>
  <c r="LL24" i="66"/>
  <c r="LK24" i="66"/>
  <c r="LJ24" i="66"/>
  <c r="LI24" i="66"/>
  <c r="LH24" i="66"/>
  <c r="LG24" i="66"/>
  <c r="LF24" i="66"/>
  <c r="LE24" i="66"/>
  <c r="LD24" i="66"/>
  <c r="LC24" i="66"/>
  <c r="LB24" i="66"/>
  <c r="LA24" i="66"/>
  <c r="KZ24" i="66"/>
  <c r="KY24" i="66"/>
  <c r="KX24" i="66"/>
  <c r="KW24" i="66"/>
  <c r="KV24" i="66"/>
  <c r="KU24" i="66"/>
  <c r="KT24" i="66"/>
  <c r="KS24" i="66"/>
  <c r="KR24" i="66"/>
  <c r="KQ24" i="66"/>
  <c r="KP24" i="66"/>
  <c r="KO24" i="66"/>
  <c r="KN24" i="66"/>
  <c r="KM24" i="66"/>
  <c r="KL24" i="66"/>
  <c r="KK24" i="66"/>
  <c r="KJ24" i="66"/>
  <c r="KI24" i="66"/>
  <c r="KH24" i="66"/>
  <c r="KG24" i="66"/>
  <c r="KF24" i="66"/>
  <c r="KE24" i="66"/>
  <c r="KD24" i="66"/>
  <c r="KC24" i="66"/>
  <c r="KB24" i="66"/>
  <c r="KA24" i="66"/>
  <c r="JZ24" i="66"/>
  <c r="JY24" i="66"/>
  <c r="JX24" i="66"/>
  <c r="JW24" i="66"/>
  <c r="JV24" i="66"/>
  <c r="JU24" i="66"/>
  <c r="JT24" i="66"/>
  <c r="JS24" i="66"/>
  <c r="JR24" i="66"/>
  <c r="JQ24" i="66"/>
  <c r="JP24" i="66"/>
  <c r="JO24" i="66"/>
  <c r="JN24" i="66"/>
  <c r="JM24" i="66"/>
  <c r="JL24" i="66"/>
  <c r="JK24" i="66"/>
  <c r="JJ24" i="66"/>
  <c r="JI24" i="66"/>
  <c r="JH24" i="66"/>
  <c r="JG24" i="66"/>
  <c r="JF24" i="66"/>
  <c r="JE24" i="66"/>
  <c r="JD24" i="66"/>
  <c r="JC24" i="66"/>
  <c r="JB24" i="66"/>
  <c r="JA24" i="66"/>
  <c r="IZ24" i="66"/>
  <c r="IY24" i="66"/>
  <c r="IX24" i="66"/>
  <c r="IW24" i="66"/>
  <c r="IV24" i="66"/>
  <c r="IU24" i="66"/>
  <c r="IT24" i="66"/>
  <c r="IS24" i="66"/>
  <c r="IR24" i="66"/>
  <c r="IQ24" i="66"/>
  <c r="IP24" i="66"/>
  <c r="IO24" i="66"/>
  <c r="IN24" i="66"/>
  <c r="IM24" i="66"/>
  <c r="IL24" i="66"/>
  <c r="IK24" i="66"/>
  <c r="IJ24" i="66"/>
  <c r="II24" i="66"/>
  <c r="IH24" i="66"/>
  <c r="IG24" i="66"/>
  <c r="IF24" i="66"/>
  <c r="IE24" i="66"/>
  <c r="ID24" i="66"/>
  <c r="IC24" i="66"/>
  <c r="IB24" i="66"/>
  <c r="IA24" i="66"/>
  <c r="HZ24" i="66"/>
  <c r="HY24" i="66"/>
  <c r="HX24" i="66"/>
  <c r="HW24" i="66"/>
  <c r="HV24" i="66"/>
  <c r="HU24" i="66"/>
  <c r="HT24" i="66"/>
  <c r="HS24" i="66"/>
  <c r="HR24" i="66"/>
  <c r="HQ24" i="66"/>
  <c r="HP24" i="66"/>
  <c r="HO24" i="66"/>
  <c r="HN24" i="66"/>
  <c r="HM24" i="66"/>
  <c r="HL24" i="66"/>
  <c r="HK24" i="66"/>
  <c r="HJ24" i="66"/>
  <c r="HI24" i="66"/>
  <c r="HH24" i="66"/>
  <c r="HG24" i="66"/>
  <c r="HF24" i="66"/>
  <c r="HE24" i="66"/>
  <c r="HD24" i="66"/>
  <c r="HC24" i="66"/>
  <c r="HB24" i="66"/>
  <c r="HA24" i="66"/>
  <c r="GZ24" i="66"/>
  <c r="GY24" i="66"/>
  <c r="GX24" i="66"/>
  <c r="GW24" i="66"/>
  <c r="GV24" i="66"/>
  <c r="GU24" i="66"/>
  <c r="GT24" i="66"/>
  <c r="GS24" i="66"/>
  <c r="GR24" i="66"/>
  <c r="GQ24" i="66"/>
  <c r="GP24" i="66"/>
  <c r="GO24" i="66"/>
  <c r="GN24" i="66"/>
  <c r="GM24" i="66"/>
  <c r="GL24" i="66"/>
  <c r="GK24" i="66"/>
  <c r="GJ24" i="66"/>
  <c r="GI24" i="66"/>
  <c r="GH24" i="66"/>
  <c r="GG24" i="66"/>
  <c r="GF24" i="66"/>
  <c r="GE24" i="66"/>
  <c r="GD24" i="66"/>
  <c r="GC24" i="66"/>
  <c r="GB24" i="66"/>
  <c r="GA24" i="66"/>
  <c r="FZ24" i="66"/>
  <c r="FY24" i="66"/>
  <c r="FX24" i="66"/>
  <c r="FW24" i="66"/>
  <c r="FV24" i="66"/>
  <c r="FU24" i="66"/>
  <c r="FT24" i="66"/>
  <c r="FS24" i="66"/>
  <c r="FR24" i="66"/>
  <c r="FQ24" i="66"/>
  <c r="FP24" i="66"/>
  <c r="FO24" i="66"/>
  <c r="C24" i="66"/>
  <c r="LW23" i="66"/>
  <c r="LV23" i="66"/>
  <c r="LU23" i="66"/>
  <c r="LT23" i="66"/>
  <c r="LS23" i="66"/>
  <c r="LR23" i="66"/>
  <c r="LQ23" i="66"/>
  <c r="LP23" i="66"/>
  <c r="LO23" i="66"/>
  <c r="LN23" i="66"/>
  <c r="LM23" i="66"/>
  <c r="LL23" i="66"/>
  <c r="LK23" i="66"/>
  <c r="LJ23" i="66"/>
  <c r="LI23" i="66"/>
  <c r="LH23" i="66"/>
  <c r="LG23" i="66"/>
  <c r="LF23" i="66"/>
  <c r="LE23" i="66"/>
  <c r="LD23" i="66"/>
  <c r="LC23" i="66"/>
  <c r="LB23" i="66"/>
  <c r="LA23" i="66"/>
  <c r="KZ23" i="66"/>
  <c r="KY23" i="66"/>
  <c r="KX23" i="66"/>
  <c r="KW23" i="66"/>
  <c r="KV23" i="66"/>
  <c r="KU23" i="66"/>
  <c r="KT23" i="66"/>
  <c r="KS23" i="66"/>
  <c r="KR23" i="66"/>
  <c r="KQ23" i="66"/>
  <c r="KP23" i="66"/>
  <c r="KO23" i="66"/>
  <c r="KN23" i="66"/>
  <c r="KM23" i="66"/>
  <c r="KL23" i="66"/>
  <c r="KK23" i="66"/>
  <c r="KJ23" i="66"/>
  <c r="KI23" i="66"/>
  <c r="KH23" i="66"/>
  <c r="KG23" i="66"/>
  <c r="KF23" i="66"/>
  <c r="KE23" i="66"/>
  <c r="KD23" i="66"/>
  <c r="KC23" i="66"/>
  <c r="KB23" i="66"/>
  <c r="KA23" i="66"/>
  <c r="JZ23" i="66"/>
  <c r="JY23" i="66"/>
  <c r="JX23" i="66"/>
  <c r="JW23" i="66"/>
  <c r="JV23" i="66"/>
  <c r="JU23" i="66"/>
  <c r="JT23" i="66"/>
  <c r="JS23" i="66"/>
  <c r="JR23" i="66"/>
  <c r="JQ23" i="66"/>
  <c r="JP23" i="66"/>
  <c r="JO23" i="66"/>
  <c r="JN23" i="66"/>
  <c r="JM23" i="66"/>
  <c r="JL23" i="66"/>
  <c r="JK23" i="66"/>
  <c r="JJ23" i="66"/>
  <c r="JI23" i="66"/>
  <c r="JH23" i="66"/>
  <c r="JG23" i="66"/>
  <c r="JF23" i="66"/>
  <c r="JE23" i="66"/>
  <c r="JD23" i="66"/>
  <c r="JC23" i="66"/>
  <c r="JB23" i="66"/>
  <c r="JA23" i="66"/>
  <c r="IZ23" i="66"/>
  <c r="IY23" i="66"/>
  <c r="IX23" i="66"/>
  <c r="IW23" i="66"/>
  <c r="IV23" i="66"/>
  <c r="IU23" i="66"/>
  <c r="IT23" i="66"/>
  <c r="IS23" i="66"/>
  <c r="IR23" i="66"/>
  <c r="IQ23" i="66"/>
  <c r="IP23" i="66"/>
  <c r="IO23" i="66"/>
  <c r="IN23" i="66"/>
  <c r="IM23" i="66"/>
  <c r="IL23" i="66"/>
  <c r="IK23" i="66"/>
  <c r="IJ23" i="66"/>
  <c r="II23" i="66"/>
  <c r="IH23" i="66"/>
  <c r="IG23" i="66"/>
  <c r="IF23" i="66"/>
  <c r="IE23" i="66"/>
  <c r="ID23" i="66"/>
  <c r="IC23" i="66"/>
  <c r="IB23" i="66"/>
  <c r="IA23" i="66"/>
  <c r="HZ23" i="66"/>
  <c r="HY23" i="66"/>
  <c r="HX23" i="66"/>
  <c r="HW23" i="66"/>
  <c r="HV23" i="66"/>
  <c r="HU23" i="66"/>
  <c r="HT23" i="66"/>
  <c r="HS23" i="66"/>
  <c r="HR23" i="66"/>
  <c r="HQ23" i="66"/>
  <c r="HP23" i="66"/>
  <c r="HO23" i="66"/>
  <c r="HN23" i="66"/>
  <c r="HM23" i="66"/>
  <c r="HL23" i="66"/>
  <c r="HK23" i="66"/>
  <c r="HJ23" i="66"/>
  <c r="HI23" i="66"/>
  <c r="HH23" i="66"/>
  <c r="HG23" i="66"/>
  <c r="HF23" i="66"/>
  <c r="HE23" i="66"/>
  <c r="HD23" i="66"/>
  <c r="HC23" i="66"/>
  <c r="HB23" i="66"/>
  <c r="HA23" i="66"/>
  <c r="GZ23" i="66"/>
  <c r="GY23" i="66"/>
  <c r="GX23" i="66"/>
  <c r="GW23" i="66"/>
  <c r="GV23" i="66"/>
  <c r="GU23" i="66"/>
  <c r="GT23" i="66"/>
  <c r="GS23" i="66"/>
  <c r="GR23" i="66"/>
  <c r="GQ23" i="66"/>
  <c r="GP23" i="66"/>
  <c r="GO23" i="66"/>
  <c r="GN23" i="66"/>
  <c r="GM23" i="66"/>
  <c r="GL23" i="66"/>
  <c r="GK23" i="66"/>
  <c r="GJ23" i="66"/>
  <c r="GI23" i="66"/>
  <c r="GH23" i="66"/>
  <c r="GG23" i="66"/>
  <c r="GF23" i="66"/>
  <c r="GE23" i="66"/>
  <c r="GD23" i="66"/>
  <c r="GC23" i="66"/>
  <c r="GB23" i="66"/>
  <c r="GA23" i="66"/>
  <c r="FZ23" i="66"/>
  <c r="FY23" i="66"/>
  <c r="FX23" i="66"/>
  <c r="FW23" i="66"/>
  <c r="FV23" i="66"/>
  <c r="FU23" i="66"/>
  <c r="FT23" i="66"/>
  <c r="FS23" i="66"/>
  <c r="FR23" i="66"/>
  <c r="FQ23" i="66"/>
  <c r="FP23" i="66"/>
  <c r="FO23" i="66"/>
  <c r="C23" i="66"/>
  <c r="LW22" i="66"/>
  <c r="LV22" i="66"/>
  <c r="LU22" i="66"/>
  <c r="LT22" i="66"/>
  <c r="LS22" i="66"/>
  <c r="LR22" i="66"/>
  <c r="LQ22" i="66"/>
  <c r="LP22" i="66"/>
  <c r="LO22" i="66"/>
  <c r="LN22" i="66"/>
  <c r="LM22" i="66"/>
  <c r="LL22" i="66"/>
  <c r="LK22" i="66"/>
  <c r="LJ22" i="66"/>
  <c r="LI22" i="66"/>
  <c r="LH22" i="66"/>
  <c r="LG22" i="66"/>
  <c r="LF22" i="66"/>
  <c r="LE22" i="66"/>
  <c r="LD22" i="66"/>
  <c r="LC22" i="66"/>
  <c r="LB22" i="66"/>
  <c r="LA22" i="66"/>
  <c r="KZ22" i="66"/>
  <c r="KY22" i="66"/>
  <c r="KX22" i="66"/>
  <c r="KW22" i="66"/>
  <c r="KV22" i="66"/>
  <c r="KU22" i="66"/>
  <c r="KT22" i="66"/>
  <c r="KS22" i="66"/>
  <c r="KR22" i="66"/>
  <c r="KQ22" i="66"/>
  <c r="KP22" i="66"/>
  <c r="KO22" i="66"/>
  <c r="KN22" i="66"/>
  <c r="KM22" i="66"/>
  <c r="KL22" i="66"/>
  <c r="KK22" i="66"/>
  <c r="KJ22" i="66"/>
  <c r="KI22" i="66"/>
  <c r="KH22" i="66"/>
  <c r="KG22" i="66"/>
  <c r="KF22" i="66"/>
  <c r="KE22" i="66"/>
  <c r="KD22" i="66"/>
  <c r="KC22" i="66"/>
  <c r="KB22" i="66"/>
  <c r="KA22" i="66"/>
  <c r="JZ22" i="66"/>
  <c r="JY22" i="66"/>
  <c r="JX22" i="66"/>
  <c r="JW22" i="66"/>
  <c r="JV22" i="66"/>
  <c r="JU22" i="66"/>
  <c r="JT22" i="66"/>
  <c r="JS22" i="66"/>
  <c r="JR22" i="66"/>
  <c r="JQ22" i="66"/>
  <c r="JP22" i="66"/>
  <c r="JO22" i="66"/>
  <c r="JN22" i="66"/>
  <c r="JM22" i="66"/>
  <c r="JL22" i="66"/>
  <c r="JK22" i="66"/>
  <c r="JJ22" i="66"/>
  <c r="JI22" i="66"/>
  <c r="JH22" i="66"/>
  <c r="JG22" i="66"/>
  <c r="JF22" i="66"/>
  <c r="JE22" i="66"/>
  <c r="JD22" i="66"/>
  <c r="JC22" i="66"/>
  <c r="JB22" i="66"/>
  <c r="JA22" i="66"/>
  <c r="IZ22" i="66"/>
  <c r="IY22" i="66"/>
  <c r="IX22" i="66"/>
  <c r="IW22" i="66"/>
  <c r="IV22" i="66"/>
  <c r="IU22" i="66"/>
  <c r="IT22" i="66"/>
  <c r="IS22" i="66"/>
  <c r="IR22" i="66"/>
  <c r="IQ22" i="66"/>
  <c r="IP22" i="66"/>
  <c r="IO22" i="66"/>
  <c r="IN22" i="66"/>
  <c r="IM22" i="66"/>
  <c r="IL22" i="66"/>
  <c r="IK22" i="66"/>
  <c r="IJ22" i="66"/>
  <c r="II22" i="66"/>
  <c r="IH22" i="66"/>
  <c r="IG22" i="66"/>
  <c r="IF22" i="66"/>
  <c r="IE22" i="66"/>
  <c r="ID22" i="66"/>
  <c r="IC22" i="66"/>
  <c r="IB22" i="66"/>
  <c r="IA22" i="66"/>
  <c r="HZ22" i="66"/>
  <c r="HY22" i="66"/>
  <c r="HX22" i="66"/>
  <c r="HW22" i="66"/>
  <c r="HV22" i="66"/>
  <c r="HU22" i="66"/>
  <c r="HT22" i="66"/>
  <c r="HS22" i="66"/>
  <c r="HR22" i="66"/>
  <c r="HQ22" i="66"/>
  <c r="HP22" i="66"/>
  <c r="HO22" i="66"/>
  <c r="HN22" i="66"/>
  <c r="HM22" i="66"/>
  <c r="HL22" i="66"/>
  <c r="HK22" i="66"/>
  <c r="HJ22" i="66"/>
  <c r="HI22" i="66"/>
  <c r="HH22" i="66"/>
  <c r="HG22" i="66"/>
  <c r="HF22" i="66"/>
  <c r="HE22" i="66"/>
  <c r="HD22" i="66"/>
  <c r="HC22" i="66"/>
  <c r="HB22" i="66"/>
  <c r="HA22" i="66"/>
  <c r="GZ22" i="66"/>
  <c r="GY22" i="66"/>
  <c r="GX22" i="66"/>
  <c r="GW22" i="66"/>
  <c r="GV22" i="66"/>
  <c r="GU22" i="66"/>
  <c r="GT22" i="66"/>
  <c r="GS22" i="66"/>
  <c r="GR22" i="66"/>
  <c r="GQ22" i="66"/>
  <c r="GP22" i="66"/>
  <c r="GO22" i="66"/>
  <c r="GN22" i="66"/>
  <c r="GM22" i="66"/>
  <c r="GL22" i="66"/>
  <c r="GK22" i="66"/>
  <c r="GJ22" i="66"/>
  <c r="GI22" i="66"/>
  <c r="GH22" i="66"/>
  <c r="GG22" i="66"/>
  <c r="GF22" i="66"/>
  <c r="GE22" i="66"/>
  <c r="GD22" i="66"/>
  <c r="GC22" i="66"/>
  <c r="GB22" i="66"/>
  <c r="GA22" i="66"/>
  <c r="FZ22" i="66"/>
  <c r="FY22" i="66"/>
  <c r="FX22" i="66"/>
  <c r="FW22" i="66"/>
  <c r="FV22" i="66"/>
  <c r="FU22" i="66"/>
  <c r="FT22" i="66"/>
  <c r="FS22" i="66"/>
  <c r="FR22" i="66"/>
  <c r="FQ22" i="66"/>
  <c r="FP22" i="66"/>
  <c r="FO22" i="66"/>
  <c r="C22" i="66"/>
  <c r="LW21" i="66"/>
  <c r="LV21" i="66"/>
  <c r="LU21" i="66"/>
  <c r="LT21" i="66"/>
  <c r="LS21" i="66"/>
  <c r="LR21" i="66"/>
  <c r="LQ21" i="66"/>
  <c r="LP21" i="66"/>
  <c r="LO21" i="66"/>
  <c r="LN21" i="66"/>
  <c r="LM21" i="66"/>
  <c r="LL21" i="66"/>
  <c r="LK21" i="66"/>
  <c r="LJ21" i="66"/>
  <c r="LI21" i="66"/>
  <c r="LH21" i="66"/>
  <c r="LG21" i="66"/>
  <c r="LF21" i="66"/>
  <c r="LE21" i="66"/>
  <c r="LD21" i="66"/>
  <c r="LC21" i="66"/>
  <c r="LB21" i="66"/>
  <c r="LA21" i="66"/>
  <c r="KZ21" i="66"/>
  <c r="KY21" i="66"/>
  <c r="KX21" i="66"/>
  <c r="KW21" i="66"/>
  <c r="KV21" i="66"/>
  <c r="KU21" i="66"/>
  <c r="KT21" i="66"/>
  <c r="KS21" i="66"/>
  <c r="KR21" i="66"/>
  <c r="KQ21" i="66"/>
  <c r="KP21" i="66"/>
  <c r="KO21" i="66"/>
  <c r="KN21" i="66"/>
  <c r="KM21" i="66"/>
  <c r="KL21" i="66"/>
  <c r="KK21" i="66"/>
  <c r="KJ21" i="66"/>
  <c r="KI21" i="66"/>
  <c r="KH21" i="66"/>
  <c r="KG21" i="66"/>
  <c r="KF21" i="66"/>
  <c r="KE21" i="66"/>
  <c r="KD21" i="66"/>
  <c r="KC21" i="66"/>
  <c r="KB21" i="66"/>
  <c r="KA21" i="66"/>
  <c r="JZ21" i="66"/>
  <c r="JY21" i="66"/>
  <c r="JX21" i="66"/>
  <c r="JW21" i="66"/>
  <c r="JV21" i="66"/>
  <c r="JU21" i="66"/>
  <c r="JT21" i="66"/>
  <c r="JS21" i="66"/>
  <c r="JR21" i="66"/>
  <c r="JQ21" i="66"/>
  <c r="JP21" i="66"/>
  <c r="JO21" i="66"/>
  <c r="JN21" i="66"/>
  <c r="JM21" i="66"/>
  <c r="JL21" i="66"/>
  <c r="JK21" i="66"/>
  <c r="JJ21" i="66"/>
  <c r="JI21" i="66"/>
  <c r="JH21" i="66"/>
  <c r="JG21" i="66"/>
  <c r="JF21" i="66"/>
  <c r="JE21" i="66"/>
  <c r="JD21" i="66"/>
  <c r="JC21" i="66"/>
  <c r="JB21" i="66"/>
  <c r="JA21" i="66"/>
  <c r="IZ21" i="66"/>
  <c r="IY21" i="66"/>
  <c r="IX21" i="66"/>
  <c r="IW21" i="66"/>
  <c r="IV21" i="66"/>
  <c r="IU21" i="66"/>
  <c r="IT21" i="66"/>
  <c r="IS21" i="66"/>
  <c r="IR21" i="66"/>
  <c r="IQ21" i="66"/>
  <c r="IP21" i="66"/>
  <c r="IO21" i="66"/>
  <c r="IN21" i="66"/>
  <c r="IM21" i="66"/>
  <c r="IL21" i="66"/>
  <c r="IK21" i="66"/>
  <c r="IJ21" i="66"/>
  <c r="II21" i="66"/>
  <c r="IH21" i="66"/>
  <c r="IG21" i="66"/>
  <c r="IF21" i="66"/>
  <c r="IE21" i="66"/>
  <c r="ID21" i="66"/>
  <c r="IC21" i="66"/>
  <c r="IB21" i="66"/>
  <c r="IA21" i="66"/>
  <c r="HZ21" i="66"/>
  <c r="HY21" i="66"/>
  <c r="HX21" i="66"/>
  <c r="HW21" i="66"/>
  <c r="HV21" i="66"/>
  <c r="HU21" i="66"/>
  <c r="HT21" i="66"/>
  <c r="HS21" i="66"/>
  <c r="HR21" i="66"/>
  <c r="HQ21" i="66"/>
  <c r="HP21" i="66"/>
  <c r="HO21" i="66"/>
  <c r="HN21" i="66"/>
  <c r="HM21" i="66"/>
  <c r="HL21" i="66"/>
  <c r="HK21" i="66"/>
  <c r="HJ21" i="66"/>
  <c r="HI21" i="66"/>
  <c r="HH21" i="66"/>
  <c r="HG21" i="66"/>
  <c r="HF21" i="66"/>
  <c r="HE21" i="66"/>
  <c r="HD21" i="66"/>
  <c r="HC21" i="66"/>
  <c r="HB21" i="66"/>
  <c r="HA21" i="66"/>
  <c r="GZ21" i="66"/>
  <c r="GY21" i="66"/>
  <c r="GX21" i="66"/>
  <c r="GW21" i="66"/>
  <c r="GV21" i="66"/>
  <c r="GU21" i="66"/>
  <c r="GT21" i="66"/>
  <c r="GS21" i="66"/>
  <c r="GR21" i="66"/>
  <c r="GQ21" i="66"/>
  <c r="GP21" i="66"/>
  <c r="GO21" i="66"/>
  <c r="GN21" i="66"/>
  <c r="GM21" i="66"/>
  <c r="GL21" i="66"/>
  <c r="GK21" i="66"/>
  <c r="GJ21" i="66"/>
  <c r="GI21" i="66"/>
  <c r="GH21" i="66"/>
  <c r="GG21" i="66"/>
  <c r="GF21" i="66"/>
  <c r="GE21" i="66"/>
  <c r="GD21" i="66"/>
  <c r="GC21" i="66"/>
  <c r="GB21" i="66"/>
  <c r="GA21" i="66"/>
  <c r="FZ21" i="66"/>
  <c r="FY21" i="66"/>
  <c r="FX21" i="66"/>
  <c r="FW21" i="66"/>
  <c r="FV21" i="66"/>
  <c r="FU21" i="66"/>
  <c r="FT21" i="66"/>
  <c r="FS21" i="66"/>
  <c r="FR21" i="66"/>
  <c r="FQ21" i="66"/>
  <c r="FP21" i="66"/>
  <c r="FO21" i="66"/>
  <c r="C21" i="66"/>
  <c r="LW20" i="66"/>
  <c r="LV20" i="66"/>
  <c r="LU20" i="66"/>
  <c r="LT20" i="66"/>
  <c r="LS20" i="66"/>
  <c r="LR20" i="66"/>
  <c r="LQ20" i="66"/>
  <c r="LP20" i="66"/>
  <c r="LO20" i="66"/>
  <c r="LN20" i="66"/>
  <c r="LM20" i="66"/>
  <c r="LL20" i="66"/>
  <c r="LK20" i="66"/>
  <c r="LJ20" i="66"/>
  <c r="LI20" i="66"/>
  <c r="LH20" i="66"/>
  <c r="LG20" i="66"/>
  <c r="LF20" i="66"/>
  <c r="LE20" i="66"/>
  <c r="LD20" i="66"/>
  <c r="LC20" i="66"/>
  <c r="LB20" i="66"/>
  <c r="LA20" i="66"/>
  <c r="KZ20" i="66"/>
  <c r="KY20" i="66"/>
  <c r="KX20" i="66"/>
  <c r="KW20" i="66"/>
  <c r="KV20" i="66"/>
  <c r="KU20" i="66"/>
  <c r="KT20" i="66"/>
  <c r="KS20" i="66"/>
  <c r="KR20" i="66"/>
  <c r="KQ20" i="66"/>
  <c r="KP20" i="66"/>
  <c r="KO20" i="66"/>
  <c r="KN20" i="66"/>
  <c r="KM20" i="66"/>
  <c r="KL20" i="66"/>
  <c r="KK20" i="66"/>
  <c r="KJ20" i="66"/>
  <c r="KI20" i="66"/>
  <c r="KH20" i="66"/>
  <c r="KG20" i="66"/>
  <c r="KF20" i="66"/>
  <c r="KE20" i="66"/>
  <c r="KD20" i="66"/>
  <c r="KC20" i="66"/>
  <c r="KB20" i="66"/>
  <c r="KA20" i="66"/>
  <c r="JZ20" i="66"/>
  <c r="JY20" i="66"/>
  <c r="JX20" i="66"/>
  <c r="JW20" i="66"/>
  <c r="JV20" i="66"/>
  <c r="JU20" i="66"/>
  <c r="JT20" i="66"/>
  <c r="JS20" i="66"/>
  <c r="JR20" i="66"/>
  <c r="JQ20" i="66"/>
  <c r="JP20" i="66"/>
  <c r="JO20" i="66"/>
  <c r="JN20" i="66"/>
  <c r="JM20" i="66"/>
  <c r="JL20" i="66"/>
  <c r="JK20" i="66"/>
  <c r="JJ20" i="66"/>
  <c r="JI20" i="66"/>
  <c r="JH20" i="66"/>
  <c r="JG20" i="66"/>
  <c r="JF20" i="66"/>
  <c r="JE20" i="66"/>
  <c r="JD20" i="66"/>
  <c r="JC20" i="66"/>
  <c r="JB20" i="66"/>
  <c r="JA20" i="66"/>
  <c r="IZ20" i="66"/>
  <c r="IY20" i="66"/>
  <c r="IX20" i="66"/>
  <c r="IW20" i="66"/>
  <c r="IV20" i="66"/>
  <c r="IU20" i="66"/>
  <c r="IT20" i="66"/>
  <c r="IS20" i="66"/>
  <c r="IR20" i="66"/>
  <c r="IQ20" i="66"/>
  <c r="IP20" i="66"/>
  <c r="IO20" i="66"/>
  <c r="IN20" i="66"/>
  <c r="IM20" i="66"/>
  <c r="IL20" i="66"/>
  <c r="IK20" i="66"/>
  <c r="IJ20" i="66"/>
  <c r="II20" i="66"/>
  <c r="IH20" i="66"/>
  <c r="IG20" i="66"/>
  <c r="IF20" i="66"/>
  <c r="IE20" i="66"/>
  <c r="ID20" i="66"/>
  <c r="IC20" i="66"/>
  <c r="IB20" i="66"/>
  <c r="IA20" i="66"/>
  <c r="HZ20" i="66"/>
  <c r="HY20" i="66"/>
  <c r="HX20" i="66"/>
  <c r="HW20" i="66"/>
  <c r="HV20" i="66"/>
  <c r="HU20" i="66"/>
  <c r="HT20" i="66"/>
  <c r="HS20" i="66"/>
  <c r="HR20" i="66"/>
  <c r="HQ20" i="66"/>
  <c r="HP20" i="66"/>
  <c r="HO20" i="66"/>
  <c r="HN20" i="66"/>
  <c r="HM20" i="66"/>
  <c r="HL20" i="66"/>
  <c r="HK20" i="66"/>
  <c r="HJ20" i="66"/>
  <c r="HI20" i="66"/>
  <c r="HH20" i="66"/>
  <c r="HG20" i="66"/>
  <c r="HF20" i="66"/>
  <c r="HE20" i="66"/>
  <c r="HD20" i="66"/>
  <c r="HC20" i="66"/>
  <c r="HB20" i="66"/>
  <c r="HA20" i="66"/>
  <c r="GZ20" i="66"/>
  <c r="GY20" i="66"/>
  <c r="GX20" i="66"/>
  <c r="GW20" i="66"/>
  <c r="GV20" i="66"/>
  <c r="GU20" i="66"/>
  <c r="GT20" i="66"/>
  <c r="GS20" i="66"/>
  <c r="GR20" i="66"/>
  <c r="GQ20" i="66"/>
  <c r="GP20" i="66"/>
  <c r="GO20" i="66"/>
  <c r="GN20" i="66"/>
  <c r="GM20" i="66"/>
  <c r="GL20" i="66"/>
  <c r="GK20" i="66"/>
  <c r="GJ20" i="66"/>
  <c r="GI20" i="66"/>
  <c r="GH20" i="66"/>
  <c r="GG20" i="66"/>
  <c r="GF20" i="66"/>
  <c r="GE20" i="66"/>
  <c r="GD20" i="66"/>
  <c r="GC20" i="66"/>
  <c r="GB20" i="66"/>
  <c r="GA20" i="66"/>
  <c r="FZ20" i="66"/>
  <c r="FY20" i="66"/>
  <c r="FX20" i="66"/>
  <c r="FW20" i="66"/>
  <c r="FV20" i="66"/>
  <c r="FU20" i="66"/>
  <c r="FT20" i="66"/>
  <c r="FS20" i="66"/>
  <c r="FR20" i="66"/>
  <c r="FQ20" i="66"/>
  <c r="FP20" i="66"/>
  <c r="FO20" i="66"/>
  <c r="C20" i="66"/>
  <c r="LW19" i="66"/>
  <c r="LV19" i="66"/>
  <c r="LU19" i="66"/>
  <c r="LT19" i="66"/>
  <c r="LS19" i="66"/>
  <c r="LR19" i="66"/>
  <c r="LQ19" i="66"/>
  <c r="LP19" i="66"/>
  <c r="LO19" i="66"/>
  <c r="LN19" i="66"/>
  <c r="LM19" i="66"/>
  <c r="LL19" i="66"/>
  <c r="LK19" i="66"/>
  <c r="LJ19" i="66"/>
  <c r="LI19" i="66"/>
  <c r="LH19" i="66"/>
  <c r="LG19" i="66"/>
  <c r="LF19" i="66"/>
  <c r="LE19" i="66"/>
  <c r="LD19" i="66"/>
  <c r="LC19" i="66"/>
  <c r="LB19" i="66"/>
  <c r="LA19" i="66"/>
  <c r="KZ19" i="66"/>
  <c r="KY19" i="66"/>
  <c r="KX19" i="66"/>
  <c r="KW19" i="66"/>
  <c r="KV19" i="66"/>
  <c r="KU19" i="66"/>
  <c r="KT19" i="66"/>
  <c r="KS19" i="66"/>
  <c r="KR19" i="66"/>
  <c r="KQ19" i="66"/>
  <c r="KP19" i="66"/>
  <c r="KO19" i="66"/>
  <c r="KN19" i="66"/>
  <c r="KM19" i="66"/>
  <c r="KL19" i="66"/>
  <c r="KK19" i="66"/>
  <c r="KJ19" i="66"/>
  <c r="KI19" i="66"/>
  <c r="KH19" i="66"/>
  <c r="KG19" i="66"/>
  <c r="KF19" i="66"/>
  <c r="KE19" i="66"/>
  <c r="KD19" i="66"/>
  <c r="KC19" i="66"/>
  <c r="KB19" i="66"/>
  <c r="KA19" i="66"/>
  <c r="JZ19" i="66"/>
  <c r="JY19" i="66"/>
  <c r="JX19" i="66"/>
  <c r="JW19" i="66"/>
  <c r="JV19" i="66"/>
  <c r="JU19" i="66"/>
  <c r="JT19" i="66"/>
  <c r="JS19" i="66"/>
  <c r="JR19" i="66"/>
  <c r="JQ19" i="66"/>
  <c r="JP19" i="66"/>
  <c r="JO19" i="66"/>
  <c r="JN19" i="66"/>
  <c r="JM19" i="66"/>
  <c r="JL19" i="66"/>
  <c r="JK19" i="66"/>
  <c r="JJ19" i="66"/>
  <c r="JI19" i="66"/>
  <c r="JH19" i="66"/>
  <c r="JG19" i="66"/>
  <c r="JF19" i="66"/>
  <c r="JE19" i="66"/>
  <c r="JD19" i="66"/>
  <c r="JC19" i="66"/>
  <c r="JB19" i="66"/>
  <c r="JA19" i="66"/>
  <c r="IZ19" i="66"/>
  <c r="IY19" i="66"/>
  <c r="IX19" i="66"/>
  <c r="IW19" i="66"/>
  <c r="IV19" i="66"/>
  <c r="IU19" i="66"/>
  <c r="IT19" i="66"/>
  <c r="IS19" i="66"/>
  <c r="IR19" i="66"/>
  <c r="IQ19" i="66"/>
  <c r="IP19" i="66"/>
  <c r="IO19" i="66"/>
  <c r="IN19" i="66"/>
  <c r="IM19" i="66"/>
  <c r="IL19" i="66"/>
  <c r="IK19" i="66"/>
  <c r="IJ19" i="66"/>
  <c r="II19" i="66"/>
  <c r="IH19" i="66"/>
  <c r="IG19" i="66"/>
  <c r="IF19" i="66"/>
  <c r="IE19" i="66"/>
  <c r="ID19" i="66"/>
  <c r="IC19" i="66"/>
  <c r="IB19" i="66"/>
  <c r="IA19" i="66"/>
  <c r="HZ19" i="66"/>
  <c r="HY19" i="66"/>
  <c r="HX19" i="66"/>
  <c r="HW19" i="66"/>
  <c r="HV19" i="66"/>
  <c r="HU19" i="66"/>
  <c r="HT19" i="66"/>
  <c r="HS19" i="66"/>
  <c r="HR19" i="66"/>
  <c r="HQ19" i="66"/>
  <c r="HP19" i="66"/>
  <c r="HO19" i="66"/>
  <c r="HN19" i="66"/>
  <c r="HM19" i="66"/>
  <c r="HL19" i="66"/>
  <c r="HK19" i="66"/>
  <c r="HJ19" i="66"/>
  <c r="HI19" i="66"/>
  <c r="HH19" i="66"/>
  <c r="HG19" i="66"/>
  <c r="HF19" i="66"/>
  <c r="HE19" i="66"/>
  <c r="HD19" i="66"/>
  <c r="HC19" i="66"/>
  <c r="HB19" i="66"/>
  <c r="HA19" i="66"/>
  <c r="GZ19" i="66"/>
  <c r="GY19" i="66"/>
  <c r="GX19" i="66"/>
  <c r="GW19" i="66"/>
  <c r="GV19" i="66"/>
  <c r="GU19" i="66"/>
  <c r="GT19" i="66"/>
  <c r="GS19" i="66"/>
  <c r="GR19" i="66"/>
  <c r="GQ19" i="66"/>
  <c r="GP19" i="66"/>
  <c r="GO19" i="66"/>
  <c r="GN19" i="66"/>
  <c r="GM19" i="66"/>
  <c r="GL19" i="66"/>
  <c r="GK19" i="66"/>
  <c r="GJ19" i="66"/>
  <c r="GI19" i="66"/>
  <c r="GH19" i="66"/>
  <c r="GG19" i="66"/>
  <c r="GF19" i="66"/>
  <c r="GE19" i="66"/>
  <c r="GD19" i="66"/>
  <c r="GC19" i="66"/>
  <c r="GB19" i="66"/>
  <c r="GA19" i="66"/>
  <c r="FZ19" i="66"/>
  <c r="FY19" i="66"/>
  <c r="FX19" i="66"/>
  <c r="FW19" i="66"/>
  <c r="FV19" i="66"/>
  <c r="FU19" i="66"/>
  <c r="FT19" i="66"/>
  <c r="FS19" i="66"/>
  <c r="FR19" i="66"/>
  <c r="FQ19" i="66"/>
  <c r="FP19" i="66"/>
  <c r="FO19" i="66"/>
  <c r="C19" i="66"/>
  <c r="LW18" i="66"/>
  <c r="LV18" i="66"/>
  <c r="LU18" i="66"/>
  <c r="LT18" i="66"/>
  <c r="LS18" i="66"/>
  <c r="LR18" i="66"/>
  <c r="LQ18" i="66"/>
  <c r="LP18" i="66"/>
  <c r="LO18" i="66"/>
  <c r="LN18" i="66"/>
  <c r="LM18" i="66"/>
  <c r="LL18" i="66"/>
  <c r="LK18" i="66"/>
  <c r="LJ18" i="66"/>
  <c r="LI18" i="66"/>
  <c r="LH18" i="66"/>
  <c r="LG18" i="66"/>
  <c r="LF18" i="66"/>
  <c r="LE18" i="66"/>
  <c r="LD18" i="66"/>
  <c r="LC18" i="66"/>
  <c r="LB18" i="66"/>
  <c r="LA18" i="66"/>
  <c r="KZ18" i="66"/>
  <c r="KY18" i="66"/>
  <c r="KX18" i="66"/>
  <c r="KW18" i="66"/>
  <c r="KV18" i="66"/>
  <c r="KU18" i="66"/>
  <c r="KT18" i="66"/>
  <c r="KS18" i="66"/>
  <c r="KR18" i="66"/>
  <c r="KQ18" i="66"/>
  <c r="KP18" i="66"/>
  <c r="KO18" i="66"/>
  <c r="KN18" i="66"/>
  <c r="KM18" i="66"/>
  <c r="KL18" i="66"/>
  <c r="KK18" i="66"/>
  <c r="KJ18" i="66"/>
  <c r="KI18" i="66"/>
  <c r="KH18" i="66"/>
  <c r="KG18" i="66"/>
  <c r="KF18" i="66"/>
  <c r="KE18" i="66"/>
  <c r="KD18" i="66"/>
  <c r="KC18" i="66"/>
  <c r="KB18" i="66"/>
  <c r="KA18" i="66"/>
  <c r="JZ18" i="66"/>
  <c r="JY18" i="66"/>
  <c r="JX18" i="66"/>
  <c r="JW18" i="66"/>
  <c r="JV18" i="66"/>
  <c r="JU18" i="66"/>
  <c r="JT18" i="66"/>
  <c r="JS18" i="66"/>
  <c r="JR18" i="66"/>
  <c r="JQ18" i="66"/>
  <c r="JP18" i="66"/>
  <c r="JO18" i="66"/>
  <c r="JN18" i="66"/>
  <c r="JM18" i="66"/>
  <c r="JL18" i="66"/>
  <c r="JK18" i="66"/>
  <c r="JJ18" i="66"/>
  <c r="JI18" i="66"/>
  <c r="JH18" i="66"/>
  <c r="JG18" i="66"/>
  <c r="JF18" i="66"/>
  <c r="JE18" i="66"/>
  <c r="JD18" i="66"/>
  <c r="JC18" i="66"/>
  <c r="JB18" i="66"/>
  <c r="JA18" i="66"/>
  <c r="IZ18" i="66"/>
  <c r="IY18" i="66"/>
  <c r="IX18" i="66"/>
  <c r="IW18" i="66"/>
  <c r="IV18" i="66"/>
  <c r="IU18" i="66"/>
  <c r="IT18" i="66"/>
  <c r="IS18" i="66"/>
  <c r="IR18" i="66"/>
  <c r="IQ18" i="66"/>
  <c r="IP18" i="66"/>
  <c r="IO18" i="66"/>
  <c r="IN18" i="66"/>
  <c r="IM18" i="66"/>
  <c r="IL18" i="66"/>
  <c r="IK18" i="66"/>
  <c r="IJ18" i="66"/>
  <c r="II18" i="66"/>
  <c r="IH18" i="66"/>
  <c r="IG18" i="66"/>
  <c r="IF18" i="66"/>
  <c r="IE18" i="66"/>
  <c r="ID18" i="66"/>
  <c r="IC18" i="66"/>
  <c r="IB18" i="66"/>
  <c r="IA18" i="66"/>
  <c r="HZ18" i="66"/>
  <c r="HY18" i="66"/>
  <c r="HX18" i="66"/>
  <c r="HW18" i="66"/>
  <c r="HV18" i="66"/>
  <c r="HU18" i="66"/>
  <c r="HT18" i="66"/>
  <c r="HS18" i="66"/>
  <c r="HR18" i="66"/>
  <c r="HQ18" i="66"/>
  <c r="HP18" i="66"/>
  <c r="HO18" i="66"/>
  <c r="HN18" i="66"/>
  <c r="HM18" i="66"/>
  <c r="HL18" i="66"/>
  <c r="HK18" i="66"/>
  <c r="HJ18" i="66"/>
  <c r="HI18" i="66"/>
  <c r="HH18" i="66"/>
  <c r="HG18" i="66"/>
  <c r="HF18" i="66"/>
  <c r="HE18" i="66"/>
  <c r="HD18" i="66"/>
  <c r="HC18" i="66"/>
  <c r="HB18" i="66"/>
  <c r="HA18" i="66"/>
  <c r="GZ18" i="66"/>
  <c r="GY18" i="66"/>
  <c r="GX18" i="66"/>
  <c r="GW18" i="66"/>
  <c r="GV18" i="66"/>
  <c r="GU18" i="66"/>
  <c r="GT18" i="66"/>
  <c r="GS18" i="66"/>
  <c r="GR18" i="66"/>
  <c r="GQ18" i="66"/>
  <c r="GP18" i="66"/>
  <c r="GO18" i="66"/>
  <c r="GN18" i="66"/>
  <c r="GM18" i="66"/>
  <c r="GL18" i="66"/>
  <c r="GK18" i="66"/>
  <c r="GJ18" i="66"/>
  <c r="GI18" i="66"/>
  <c r="GH18" i="66"/>
  <c r="GG18" i="66"/>
  <c r="GF18" i="66"/>
  <c r="GE18" i="66"/>
  <c r="GD18" i="66"/>
  <c r="GC18" i="66"/>
  <c r="GB18" i="66"/>
  <c r="GA18" i="66"/>
  <c r="FZ18" i="66"/>
  <c r="FY18" i="66"/>
  <c r="FX18" i="66"/>
  <c r="FW18" i="66"/>
  <c r="FV18" i="66"/>
  <c r="FU18" i="66"/>
  <c r="FT18" i="66"/>
  <c r="FS18" i="66"/>
  <c r="FR18" i="66"/>
  <c r="FQ18" i="66"/>
  <c r="FP18" i="66"/>
  <c r="FO18" i="66"/>
  <c r="C18" i="66"/>
  <c r="LW17" i="66"/>
  <c r="LV17" i="66"/>
  <c r="LU17" i="66"/>
  <c r="LT17" i="66"/>
  <c r="LS17" i="66"/>
  <c r="LR17" i="66"/>
  <c r="LQ17" i="66"/>
  <c r="LP17" i="66"/>
  <c r="LO17" i="66"/>
  <c r="LN17" i="66"/>
  <c r="LM17" i="66"/>
  <c r="LL17" i="66"/>
  <c r="LK17" i="66"/>
  <c r="LJ17" i="66"/>
  <c r="LI17" i="66"/>
  <c r="LH17" i="66"/>
  <c r="LG17" i="66"/>
  <c r="LF17" i="66"/>
  <c r="LE17" i="66"/>
  <c r="LD17" i="66"/>
  <c r="LC17" i="66"/>
  <c r="LB17" i="66"/>
  <c r="LA17" i="66"/>
  <c r="KZ17" i="66"/>
  <c r="KY17" i="66"/>
  <c r="KX17" i="66"/>
  <c r="KW17" i="66"/>
  <c r="KV17" i="66"/>
  <c r="KU17" i="66"/>
  <c r="KT17" i="66"/>
  <c r="KS17" i="66"/>
  <c r="KR17" i="66"/>
  <c r="KQ17" i="66"/>
  <c r="KP17" i="66"/>
  <c r="KO17" i="66"/>
  <c r="KN17" i="66"/>
  <c r="KM17" i="66"/>
  <c r="KL17" i="66"/>
  <c r="KK17" i="66"/>
  <c r="KJ17" i="66"/>
  <c r="KI17" i="66"/>
  <c r="KH17" i="66"/>
  <c r="KG17" i="66"/>
  <c r="KF17" i="66"/>
  <c r="KE17" i="66"/>
  <c r="KD17" i="66"/>
  <c r="KC17" i="66"/>
  <c r="KB17" i="66"/>
  <c r="KA17" i="66"/>
  <c r="JZ17" i="66"/>
  <c r="JY17" i="66"/>
  <c r="JX17" i="66"/>
  <c r="JW17" i="66"/>
  <c r="JV17" i="66"/>
  <c r="JU17" i="66"/>
  <c r="JT17" i="66"/>
  <c r="JS17" i="66"/>
  <c r="JR17" i="66"/>
  <c r="JQ17" i="66"/>
  <c r="JP17" i="66"/>
  <c r="JO17" i="66"/>
  <c r="JN17" i="66"/>
  <c r="JM17" i="66"/>
  <c r="JL17" i="66"/>
  <c r="JK17" i="66"/>
  <c r="JJ17" i="66"/>
  <c r="JI17" i="66"/>
  <c r="JH17" i="66"/>
  <c r="JG17" i="66"/>
  <c r="JF17" i="66"/>
  <c r="JE17" i="66"/>
  <c r="JD17" i="66"/>
  <c r="JC17" i="66"/>
  <c r="JB17" i="66"/>
  <c r="JA17" i="66"/>
  <c r="IZ17" i="66"/>
  <c r="IY17" i="66"/>
  <c r="IX17" i="66"/>
  <c r="IW17" i="66"/>
  <c r="IV17" i="66"/>
  <c r="IU17" i="66"/>
  <c r="IT17" i="66"/>
  <c r="IS17" i="66"/>
  <c r="IR17" i="66"/>
  <c r="IQ17" i="66"/>
  <c r="IP17" i="66"/>
  <c r="IO17" i="66"/>
  <c r="IN17" i="66"/>
  <c r="IM17" i="66"/>
  <c r="IL17" i="66"/>
  <c r="IK17" i="66"/>
  <c r="IJ17" i="66"/>
  <c r="II17" i="66"/>
  <c r="IH17" i="66"/>
  <c r="IG17" i="66"/>
  <c r="IF17" i="66"/>
  <c r="IE17" i="66"/>
  <c r="ID17" i="66"/>
  <c r="IC17" i="66"/>
  <c r="IB17" i="66"/>
  <c r="IA17" i="66"/>
  <c r="HZ17" i="66"/>
  <c r="HY17" i="66"/>
  <c r="HX17" i="66"/>
  <c r="HW17" i="66"/>
  <c r="HV17" i="66"/>
  <c r="HU17" i="66"/>
  <c r="HT17" i="66"/>
  <c r="HS17" i="66"/>
  <c r="HR17" i="66"/>
  <c r="HQ17" i="66"/>
  <c r="HP17" i="66"/>
  <c r="HO17" i="66"/>
  <c r="HN17" i="66"/>
  <c r="HM17" i="66"/>
  <c r="HL17" i="66"/>
  <c r="HK17" i="66"/>
  <c r="HJ17" i="66"/>
  <c r="HI17" i="66"/>
  <c r="HH17" i="66"/>
  <c r="HG17" i="66"/>
  <c r="HF17" i="66"/>
  <c r="HE17" i="66"/>
  <c r="HD17" i="66"/>
  <c r="HC17" i="66"/>
  <c r="HB17" i="66"/>
  <c r="HA17" i="66"/>
  <c r="GZ17" i="66"/>
  <c r="GY17" i="66"/>
  <c r="GX17" i="66"/>
  <c r="GW17" i="66"/>
  <c r="GV17" i="66"/>
  <c r="GU17" i="66"/>
  <c r="GT17" i="66"/>
  <c r="GS17" i="66"/>
  <c r="GR17" i="66"/>
  <c r="GQ17" i="66"/>
  <c r="GP17" i="66"/>
  <c r="GO17" i="66"/>
  <c r="GN17" i="66"/>
  <c r="GM17" i="66"/>
  <c r="GL17" i="66"/>
  <c r="GK17" i="66"/>
  <c r="GJ17" i="66"/>
  <c r="GI17" i="66"/>
  <c r="GH17" i="66"/>
  <c r="GG17" i="66"/>
  <c r="GF17" i="66"/>
  <c r="GE17" i="66"/>
  <c r="GD17" i="66"/>
  <c r="GC17" i="66"/>
  <c r="GB17" i="66"/>
  <c r="GA17" i="66"/>
  <c r="FZ17" i="66"/>
  <c r="FY17" i="66"/>
  <c r="FX17" i="66"/>
  <c r="FW17" i="66"/>
  <c r="FV17" i="66"/>
  <c r="FU17" i="66"/>
  <c r="FT17" i="66"/>
  <c r="FS17" i="66"/>
  <c r="FR17" i="66"/>
  <c r="FQ17" i="66"/>
  <c r="FP17" i="66"/>
  <c r="FO17" i="66"/>
  <c r="C17" i="66"/>
  <c r="LW16" i="66"/>
  <c r="LV16" i="66"/>
  <c r="LU16" i="66"/>
  <c r="LT16" i="66"/>
  <c r="LS16" i="66"/>
  <c r="LR16" i="66"/>
  <c r="LQ16" i="66"/>
  <c r="LP16" i="66"/>
  <c r="LO16" i="66"/>
  <c r="LN16" i="66"/>
  <c r="LM16" i="66"/>
  <c r="LL16" i="66"/>
  <c r="LK16" i="66"/>
  <c r="LJ16" i="66"/>
  <c r="LI16" i="66"/>
  <c r="LH16" i="66"/>
  <c r="LG16" i="66"/>
  <c r="LF16" i="66"/>
  <c r="LE16" i="66"/>
  <c r="LD16" i="66"/>
  <c r="LC16" i="66"/>
  <c r="LB16" i="66"/>
  <c r="LA16" i="66"/>
  <c r="KZ16" i="66"/>
  <c r="KY16" i="66"/>
  <c r="KX16" i="66"/>
  <c r="KW16" i="66"/>
  <c r="KV16" i="66"/>
  <c r="KU16" i="66"/>
  <c r="KT16" i="66"/>
  <c r="KS16" i="66"/>
  <c r="KR16" i="66"/>
  <c r="KQ16" i="66"/>
  <c r="KP16" i="66"/>
  <c r="KO16" i="66"/>
  <c r="KN16" i="66"/>
  <c r="KM16" i="66"/>
  <c r="KL16" i="66"/>
  <c r="KK16" i="66"/>
  <c r="KJ16" i="66"/>
  <c r="KI16" i="66"/>
  <c r="KH16" i="66"/>
  <c r="KG16" i="66"/>
  <c r="KF16" i="66"/>
  <c r="KE16" i="66"/>
  <c r="KD16" i="66"/>
  <c r="KC16" i="66"/>
  <c r="KB16" i="66"/>
  <c r="KA16" i="66"/>
  <c r="JZ16" i="66"/>
  <c r="JY16" i="66"/>
  <c r="JX16" i="66"/>
  <c r="JW16" i="66"/>
  <c r="JV16" i="66"/>
  <c r="JU16" i="66"/>
  <c r="JT16" i="66"/>
  <c r="JS16" i="66"/>
  <c r="JR16" i="66"/>
  <c r="JQ16" i="66"/>
  <c r="JP16" i="66"/>
  <c r="JO16" i="66"/>
  <c r="JN16" i="66"/>
  <c r="JM16" i="66"/>
  <c r="JL16" i="66"/>
  <c r="JK16" i="66"/>
  <c r="JJ16" i="66"/>
  <c r="JI16" i="66"/>
  <c r="JH16" i="66"/>
  <c r="JG16" i="66"/>
  <c r="JF16" i="66"/>
  <c r="JE16" i="66"/>
  <c r="JD16" i="66"/>
  <c r="JC16" i="66"/>
  <c r="JB16" i="66"/>
  <c r="JA16" i="66"/>
  <c r="IZ16" i="66"/>
  <c r="IY16" i="66"/>
  <c r="IX16" i="66"/>
  <c r="IW16" i="66"/>
  <c r="IV16" i="66"/>
  <c r="IU16" i="66"/>
  <c r="IT16" i="66"/>
  <c r="IS16" i="66"/>
  <c r="IR16" i="66"/>
  <c r="IQ16" i="66"/>
  <c r="IP16" i="66"/>
  <c r="IO16" i="66"/>
  <c r="IN16" i="66"/>
  <c r="IM16" i="66"/>
  <c r="IL16" i="66"/>
  <c r="IK16" i="66"/>
  <c r="IJ16" i="66"/>
  <c r="II16" i="66"/>
  <c r="IH16" i="66"/>
  <c r="IG16" i="66"/>
  <c r="IF16" i="66"/>
  <c r="IE16" i="66"/>
  <c r="ID16" i="66"/>
  <c r="IC16" i="66"/>
  <c r="IB16" i="66"/>
  <c r="IA16" i="66"/>
  <c r="HZ16" i="66"/>
  <c r="HY16" i="66"/>
  <c r="HX16" i="66"/>
  <c r="HW16" i="66"/>
  <c r="HV16" i="66"/>
  <c r="HU16" i="66"/>
  <c r="HT16" i="66"/>
  <c r="HS16" i="66"/>
  <c r="HR16" i="66"/>
  <c r="HQ16" i="66"/>
  <c r="HP16" i="66"/>
  <c r="HO16" i="66"/>
  <c r="HN16" i="66"/>
  <c r="HM16" i="66"/>
  <c r="HL16" i="66"/>
  <c r="HK16" i="66"/>
  <c r="HJ16" i="66"/>
  <c r="HI16" i="66"/>
  <c r="HH16" i="66"/>
  <c r="HG16" i="66"/>
  <c r="HF16" i="66"/>
  <c r="HE16" i="66"/>
  <c r="HD16" i="66"/>
  <c r="HC16" i="66"/>
  <c r="HB16" i="66"/>
  <c r="HA16" i="66"/>
  <c r="GZ16" i="66"/>
  <c r="GY16" i="66"/>
  <c r="GX16" i="66"/>
  <c r="GW16" i="66"/>
  <c r="GV16" i="66"/>
  <c r="GU16" i="66"/>
  <c r="GT16" i="66"/>
  <c r="GS16" i="66"/>
  <c r="GR16" i="66"/>
  <c r="GQ16" i="66"/>
  <c r="GP16" i="66"/>
  <c r="GO16" i="66"/>
  <c r="GN16" i="66"/>
  <c r="GM16" i="66"/>
  <c r="GL16" i="66"/>
  <c r="GK16" i="66"/>
  <c r="GJ16" i="66"/>
  <c r="GI16" i="66"/>
  <c r="GH16" i="66"/>
  <c r="GG16" i="66"/>
  <c r="GF16" i="66"/>
  <c r="GE16" i="66"/>
  <c r="GD16" i="66"/>
  <c r="GC16" i="66"/>
  <c r="GB16" i="66"/>
  <c r="GA16" i="66"/>
  <c r="FZ16" i="66"/>
  <c r="FY16" i="66"/>
  <c r="FX16" i="66"/>
  <c r="FW16" i="66"/>
  <c r="FV16" i="66"/>
  <c r="FU16" i="66"/>
  <c r="FT16" i="66"/>
  <c r="FS16" i="66"/>
  <c r="FR16" i="66"/>
  <c r="FQ16" i="66"/>
  <c r="FP16" i="66"/>
  <c r="FO16" i="66"/>
  <c r="C16" i="66"/>
  <c r="LW15" i="66"/>
  <c r="LV15" i="66"/>
  <c r="LU15" i="66"/>
  <c r="LT15" i="66"/>
  <c r="LS15" i="66"/>
  <c r="LR15" i="66"/>
  <c r="LQ15" i="66"/>
  <c r="LP15" i="66"/>
  <c r="LO15" i="66"/>
  <c r="LN15" i="66"/>
  <c r="LM15" i="66"/>
  <c r="LL15" i="66"/>
  <c r="LK15" i="66"/>
  <c r="LJ15" i="66"/>
  <c r="LI15" i="66"/>
  <c r="LH15" i="66"/>
  <c r="LG15" i="66"/>
  <c r="LF15" i="66"/>
  <c r="LE15" i="66"/>
  <c r="LD15" i="66"/>
  <c r="LC15" i="66"/>
  <c r="LB15" i="66"/>
  <c r="LA15" i="66"/>
  <c r="KZ15" i="66"/>
  <c r="KY15" i="66"/>
  <c r="KX15" i="66"/>
  <c r="KW15" i="66"/>
  <c r="KV15" i="66"/>
  <c r="KU15" i="66"/>
  <c r="KT15" i="66"/>
  <c r="KS15" i="66"/>
  <c r="KR15" i="66"/>
  <c r="KQ15" i="66"/>
  <c r="KP15" i="66"/>
  <c r="KO15" i="66"/>
  <c r="KN15" i="66"/>
  <c r="KM15" i="66"/>
  <c r="KL15" i="66"/>
  <c r="KK15" i="66"/>
  <c r="KJ15" i="66"/>
  <c r="KI15" i="66"/>
  <c r="KH15" i="66"/>
  <c r="KG15" i="66"/>
  <c r="KF15" i="66"/>
  <c r="KE15" i="66"/>
  <c r="KD15" i="66"/>
  <c r="KC15" i="66"/>
  <c r="KB15" i="66"/>
  <c r="KA15" i="66"/>
  <c r="JZ15" i="66"/>
  <c r="JY15" i="66"/>
  <c r="JX15" i="66"/>
  <c r="JW15" i="66"/>
  <c r="JV15" i="66"/>
  <c r="JU15" i="66"/>
  <c r="JT15" i="66"/>
  <c r="JS15" i="66"/>
  <c r="JR15" i="66"/>
  <c r="JQ15" i="66"/>
  <c r="JP15" i="66"/>
  <c r="JO15" i="66"/>
  <c r="JN15" i="66"/>
  <c r="JM15" i="66"/>
  <c r="JL15" i="66"/>
  <c r="JK15" i="66"/>
  <c r="JJ15" i="66"/>
  <c r="JI15" i="66"/>
  <c r="JH15" i="66"/>
  <c r="JG15" i="66"/>
  <c r="JF15" i="66"/>
  <c r="JE15" i="66"/>
  <c r="JD15" i="66"/>
  <c r="JC15" i="66"/>
  <c r="JB15" i="66"/>
  <c r="JA15" i="66"/>
  <c r="IZ15" i="66"/>
  <c r="IY15" i="66"/>
  <c r="IX15" i="66"/>
  <c r="IW15" i="66"/>
  <c r="IV15" i="66"/>
  <c r="IU15" i="66"/>
  <c r="IT15" i="66"/>
  <c r="IS15" i="66"/>
  <c r="IR15" i="66"/>
  <c r="IQ15" i="66"/>
  <c r="IP15" i="66"/>
  <c r="IO15" i="66"/>
  <c r="IN15" i="66"/>
  <c r="IM15" i="66"/>
  <c r="IL15" i="66"/>
  <c r="IK15" i="66"/>
  <c r="IJ15" i="66"/>
  <c r="II15" i="66"/>
  <c r="IH15" i="66"/>
  <c r="IG15" i="66"/>
  <c r="IF15" i="66"/>
  <c r="IE15" i="66"/>
  <c r="ID15" i="66"/>
  <c r="IC15" i="66"/>
  <c r="IB15" i="66"/>
  <c r="IA15" i="66"/>
  <c r="HZ15" i="66"/>
  <c r="HY15" i="66"/>
  <c r="HX15" i="66"/>
  <c r="HW15" i="66"/>
  <c r="HV15" i="66"/>
  <c r="HU15" i="66"/>
  <c r="HT15" i="66"/>
  <c r="HS15" i="66"/>
  <c r="HR15" i="66"/>
  <c r="HQ15" i="66"/>
  <c r="HP15" i="66"/>
  <c r="HO15" i="66"/>
  <c r="HN15" i="66"/>
  <c r="HM15" i="66"/>
  <c r="HL15" i="66"/>
  <c r="HK15" i="66"/>
  <c r="HJ15" i="66"/>
  <c r="HI15" i="66"/>
  <c r="HH15" i="66"/>
  <c r="HG15" i="66"/>
  <c r="HF15" i="66"/>
  <c r="HE15" i="66"/>
  <c r="HD15" i="66"/>
  <c r="HC15" i="66"/>
  <c r="HB15" i="66"/>
  <c r="HA15" i="66"/>
  <c r="GZ15" i="66"/>
  <c r="GY15" i="66"/>
  <c r="GX15" i="66"/>
  <c r="GW15" i="66"/>
  <c r="GV15" i="66"/>
  <c r="GU15" i="66"/>
  <c r="GT15" i="66"/>
  <c r="GS15" i="66"/>
  <c r="GR15" i="66"/>
  <c r="GQ15" i="66"/>
  <c r="GP15" i="66"/>
  <c r="GO15" i="66"/>
  <c r="GN15" i="66"/>
  <c r="GM15" i="66"/>
  <c r="GL15" i="66"/>
  <c r="GK15" i="66"/>
  <c r="GJ15" i="66"/>
  <c r="GI15" i="66"/>
  <c r="GH15" i="66"/>
  <c r="GG15" i="66"/>
  <c r="GF15" i="66"/>
  <c r="GE15" i="66"/>
  <c r="GD15" i="66"/>
  <c r="GC15" i="66"/>
  <c r="GB15" i="66"/>
  <c r="GA15" i="66"/>
  <c r="FZ15" i="66"/>
  <c r="FY15" i="66"/>
  <c r="FX15" i="66"/>
  <c r="FW15" i="66"/>
  <c r="FV15" i="66"/>
  <c r="FU15" i="66"/>
  <c r="FT15" i="66"/>
  <c r="FS15" i="66"/>
  <c r="FR15" i="66"/>
  <c r="FQ15" i="66"/>
  <c r="FP15" i="66"/>
  <c r="FO15" i="66"/>
  <c r="C15" i="66"/>
  <c r="LW14" i="66"/>
  <c r="LV14" i="66"/>
  <c r="LU14" i="66"/>
  <c r="LT14" i="66"/>
  <c r="LS14" i="66"/>
  <c r="LR14" i="66"/>
  <c r="LQ14" i="66"/>
  <c r="LP14" i="66"/>
  <c r="LO14" i="66"/>
  <c r="LN14" i="66"/>
  <c r="LM14" i="66"/>
  <c r="LL14" i="66"/>
  <c r="LK14" i="66"/>
  <c r="LJ14" i="66"/>
  <c r="LI14" i="66"/>
  <c r="LH14" i="66"/>
  <c r="LG14" i="66"/>
  <c r="LF14" i="66"/>
  <c r="LE14" i="66"/>
  <c r="LD14" i="66"/>
  <c r="LC14" i="66"/>
  <c r="LB14" i="66"/>
  <c r="LA14" i="66"/>
  <c r="KZ14" i="66"/>
  <c r="KY14" i="66"/>
  <c r="KX14" i="66"/>
  <c r="KW14" i="66"/>
  <c r="KV14" i="66"/>
  <c r="KU14" i="66"/>
  <c r="KT14" i="66"/>
  <c r="KS14" i="66"/>
  <c r="KR14" i="66"/>
  <c r="KQ14" i="66"/>
  <c r="KP14" i="66"/>
  <c r="KO14" i="66"/>
  <c r="KN14" i="66"/>
  <c r="KM14" i="66"/>
  <c r="KL14" i="66"/>
  <c r="KK14" i="66"/>
  <c r="KJ14" i="66"/>
  <c r="KI14" i="66"/>
  <c r="KH14" i="66"/>
  <c r="KG14" i="66"/>
  <c r="KF14" i="66"/>
  <c r="KE14" i="66"/>
  <c r="KD14" i="66"/>
  <c r="KC14" i="66"/>
  <c r="KB14" i="66"/>
  <c r="KA14" i="66"/>
  <c r="JZ14" i="66"/>
  <c r="JY14" i="66"/>
  <c r="JX14" i="66"/>
  <c r="JW14" i="66"/>
  <c r="JV14" i="66"/>
  <c r="JU14" i="66"/>
  <c r="JT14" i="66"/>
  <c r="JS14" i="66"/>
  <c r="JR14" i="66"/>
  <c r="JQ14" i="66"/>
  <c r="JP14" i="66"/>
  <c r="JO14" i="66"/>
  <c r="JN14" i="66"/>
  <c r="JM14" i="66"/>
  <c r="JL14" i="66"/>
  <c r="JK14" i="66"/>
  <c r="JJ14" i="66"/>
  <c r="JI14" i="66"/>
  <c r="JH14" i="66"/>
  <c r="JG14" i="66"/>
  <c r="JF14" i="66"/>
  <c r="JE14" i="66"/>
  <c r="JD14" i="66"/>
  <c r="JC14" i="66"/>
  <c r="JB14" i="66"/>
  <c r="JA14" i="66"/>
  <c r="IZ14" i="66"/>
  <c r="IY14" i="66"/>
  <c r="IX14" i="66"/>
  <c r="IW14" i="66"/>
  <c r="IV14" i="66"/>
  <c r="IU14" i="66"/>
  <c r="IT14" i="66"/>
  <c r="IS14" i="66"/>
  <c r="IR14" i="66"/>
  <c r="IQ14" i="66"/>
  <c r="IP14" i="66"/>
  <c r="IO14" i="66"/>
  <c r="IN14" i="66"/>
  <c r="IM14" i="66"/>
  <c r="IL14" i="66"/>
  <c r="IK14" i="66"/>
  <c r="IJ14" i="66"/>
  <c r="II14" i="66"/>
  <c r="IH14" i="66"/>
  <c r="IG14" i="66"/>
  <c r="IF14" i="66"/>
  <c r="IE14" i="66"/>
  <c r="ID14" i="66"/>
  <c r="IC14" i="66"/>
  <c r="IB14" i="66"/>
  <c r="IA14" i="66"/>
  <c r="HZ14" i="66"/>
  <c r="HY14" i="66"/>
  <c r="HX14" i="66"/>
  <c r="HW14" i="66"/>
  <c r="HV14" i="66"/>
  <c r="HU14" i="66"/>
  <c r="HT14" i="66"/>
  <c r="HS14" i="66"/>
  <c r="HR14" i="66"/>
  <c r="HQ14" i="66"/>
  <c r="HP14" i="66"/>
  <c r="HO14" i="66"/>
  <c r="HN14" i="66"/>
  <c r="HM14" i="66"/>
  <c r="HL14" i="66"/>
  <c r="HK14" i="66"/>
  <c r="HJ14" i="66"/>
  <c r="HI14" i="66"/>
  <c r="HH14" i="66"/>
  <c r="HG14" i="66"/>
  <c r="HF14" i="66"/>
  <c r="HE14" i="66"/>
  <c r="HD14" i="66"/>
  <c r="HC14" i="66"/>
  <c r="HB14" i="66"/>
  <c r="HA14" i="66"/>
  <c r="GZ14" i="66"/>
  <c r="GY14" i="66"/>
  <c r="GX14" i="66"/>
  <c r="GW14" i="66"/>
  <c r="GV14" i="66"/>
  <c r="GU14" i="66"/>
  <c r="GT14" i="66"/>
  <c r="GS14" i="66"/>
  <c r="GR14" i="66"/>
  <c r="GQ14" i="66"/>
  <c r="GP14" i="66"/>
  <c r="GO14" i="66"/>
  <c r="GN14" i="66"/>
  <c r="GM14" i="66"/>
  <c r="GL14" i="66"/>
  <c r="GK14" i="66"/>
  <c r="GJ14" i="66"/>
  <c r="GI14" i="66"/>
  <c r="GH14" i="66"/>
  <c r="GG14" i="66"/>
  <c r="GF14" i="66"/>
  <c r="GE14" i="66"/>
  <c r="GD14" i="66"/>
  <c r="GC14" i="66"/>
  <c r="GB14" i="66"/>
  <c r="GA14" i="66"/>
  <c r="FZ14" i="66"/>
  <c r="FY14" i="66"/>
  <c r="FX14" i="66"/>
  <c r="FW14" i="66"/>
  <c r="FV14" i="66"/>
  <c r="FU14" i="66"/>
  <c r="FT14" i="66"/>
  <c r="FS14" i="66"/>
  <c r="FR14" i="66"/>
  <c r="FQ14" i="66"/>
  <c r="FP14" i="66"/>
  <c r="FO14" i="66"/>
  <c r="C14" i="66"/>
  <c r="LW13" i="66"/>
  <c r="LV13" i="66"/>
  <c r="LU13" i="66"/>
  <c r="LT13" i="66"/>
  <c r="LS13" i="66"/>
  <c r="LR13" i="66"/>
  <c r="LQ13" i="66"/>
  <c r="LP13" i="66"/>
  <c r="LO13" i="66"/>
  <c r="LN13" i="66"/>
  <c r="LM13" i="66"/>
  <c r="LL13" i="66"/>
  <c r="LK13" i="66"/>
  <c r="LJ13" i="66"/>
  <c r="LI13" i="66"/>
  <c r="LH13" i="66"/>
  <c r="LG13" i="66"/>
  <c r="LF13" i="66"/>
  <c r="LE13" i="66"/>
  <c r="LD13" i="66"/>
  <c r="LC13" i="66"/>
  <c r="LB13" i="66"/>
  <c r="LA13" i="66"/>
  <c r="KZ13" i="66"/>
  <c r="KY13" i="66"/>
  <c r="KX13" i="66"/>
  <c r="KW13" i="66"/>
  <c r="KV13" i="66"/>
  <c r="KU13" i="66"/>
  <c r="KT13" i="66"/>
  <c r="KS13" i="66"/>
  <c r="KR13" i="66"/>
  <c r="KQ13" i="66"/>
  <c r="KP13" i="66"/>
  <c r="KO13" i="66"/>
  <c r="KN13" i="66"/>
  <c r="KM13" i="66"/>
  <c r="KL13" i="66"/>
  <c r="KK13" i="66"/>
  <c r="KJ13" i="66"/>
  <c r="KI13" i="66"/>
  <c r="KH13" i="66"/>
  <c r="KG13" i="66"/>
  <c r="KF13" i="66"/>
  <c r="KE13" i="66"/>
  <c r="KD13" i="66"/>
  <c r="KC13" i="66"/>
  <c r="KB13" i="66"/>
  <c r="KA13" i="66"/>
  <c r="JZ13" i="66"/>
  <c r="JY13" i="66"/>
  <c r="JX13" i="66"/>
  <c r="JW13" i="66"/>
  <c r="JV13" i="66"/>
  <c r="JU13" i="66"/>
  <c r="JT13" i="66"/>
  <c r="JS13" i="66"/>
  <c r="JR13" i="66"/>
  <c r="JQ13" i="66"/>
  <c r="JP13" i="66"/>
  <c r="JO13" i="66"/>
  <c r="JN13" i="66"/>
  <c r="JM13" i="66"/>
  <c r="JL13" i="66"/>
  <c r="JK13" i="66"/>
  <c r="JJ13" i="66"/>
  <c r="JI13" i="66"/>
  <c r="JH13" i="66"/>
  <c r="JG13" i="66"/>
  <c r="JF13" i="66"/>
  <c r="JE13" i="66"/>
  <c r="JD13" i="66"/>
  <c r="JC13" i="66"/>
  <c r="JB13" i="66"/>
  <c r="JA13" i="66"/>
  <c r="IZ13" i="66"/>
  <c r="IY13" i="66"/>
  <c r="IX13" i="66"/>
  <c r="IW13" i="66"/>
  <c r="IV13" i="66"/>
  <c r="IU13" i="66"/>
  <c r="IT13" i="66"/>
  <c r="IS13" i="66"/>
  <c r="IR13" i="66"/>
  <c r="IQ13" i="66"/>
  <c r="IP13" i="66"/>
  <c r="IO13" i="66"/>
  <c r="IN13" i="66"/>
  <c r="IM13" i="66"/>
  <c r="IL13" i="66"/>
  <c r="IK13" i="66"/>
  <c r="IJ13" i="66"/>
  <c r="II13" i="66"/>
  <c r="IH13" i="66"/>
  <c r="IG13" i="66"/>
  <c r="IF13" i="66"/>
  <c r="IE13" i="66"/>
  <c r="ID13" i="66"/>
  <c r="IC13" i="66"/>
  <c r="IB13" i="66"/>
  <c r="IA13" i="66"/>
  <c r="HZ13" i="66"/>
  <c r="HY13" i="66"/>
  <c r="HX13" i="66"/>
  <c r="HW13" i="66"/>
  <c r="HV13" i="66"/>
  <c r="HU13" i="66"/>
  <c r="HT13" i="66"/>
  <c r="HS13" i="66"/>
  <c r="HR13" i="66"/>
  <c r="HQ13" i="66"/>
  <c r="HP13" i="66"/>
  <c r="HO13" i="66"/>
  <c r="HN13" i="66"/>
  <c r="HM13" i="66"/>
  <c r="HL13" i="66"/>
  <c r="HK13" i="66"/>
  <c r="HJ13" i="66"/>
  <c r="HI13" i="66"/>
  <c r="HH13" i="66"/>
  <c r="HG13" i="66"/>
  <c r="HF13" i="66"/>
  <c r="HE13" i="66"/>
  <c r="HD13" i="66"/>
  <c r="HC13" i="66"/>
  <c r="HB13" i="66"/>
  <c r="HA13" i="66"/>
  <c r="GZ13" i="66"/>
  <c r="GY13" i="66"/>
  <c r="GX13" i="66"/>
  <c r="GW13" i="66"/>
  <c r="GV13" i="66"/>
  <c r="GU13" i="66"/>
  <c r="GT13" i="66"/>
  <c r="GS13" i="66"/>
  <c r="GR13" i="66"/>
  <c r="GQ13" i="66"/>
  <c r="GP13" i="66"/>
  <c r="GO13" i="66"/>
  <c r="GN13" i="66"/>
  <c r="GM13" i="66"/>
  <c r="GL13" i="66"/>
  <c r="GK13" i="66"/>
  <c r="GJ13" i="66"/>
  <c r="GI13" i="66"/>
  <c r="GH13" i="66"/>
  <c r="GG13" i="66"/>
  <c r="GF13" i="66"/>
  <c r="GE13" i="66"/>
  <c r="GD13" i="66"/>
  <c r="GC13" i="66"/>
  <c r="GB13" i="66"/>
  <c r="GA13" i="66"/>
  <c r="FZ13" i="66"/>
  <c r="FY13" i="66"/>
  <c r="FX13" i="66"/>
  <c r="FW13" i="66"/>
  <c r="FV13" i="66"/>
  <c r="FU13" i="66"/>
  <c r="FT13" i="66"/>
  <c r="FS13" i="66"/>
  <c r="FR13" i="66"/>
  <c r="FQ13" i="66"/>
  <c r="FP13" i="66"/>
  <c r="FO13" i="66"/>
  <c r="C13" i="66"/>
  <c r="LW12" i="66"/>
  <c r="LV12" i="66"/>
  <c r="LU12" i="66"/>
  <c r="LT12" i="66"/>
  <c r="LS12" i="66"/>
  <c r="LR12" i="66"/>
  <c r="LQ12" i="66"/>
  <c r="LP12" i="66"/>
  <c r="LO12" i="66"/>
  <c r="LN12" i="66"/>
  <c r="LM12" i="66"/>
  <c r="LL12" i="66"/>
  <c r="LK12" i="66"/>
  <c r="LJ12" i="66"/>
  <c r="LI12" i="66"/>
  <c r="LH12" i="66"/>
  <c r="LG12" i="66"/>
  <c r="LF12" i="66"/>
  <c r="LE12" i="66"/>
  <c r="LD12" i="66"/>
  <c r="LC12" i="66"/>
  <c r="LB12" i="66"/>
  <c r="LA12" i="66"/>
  <c r="KZ12" i="66"/>
  <c r="KY12" i="66"/>
  <c r="KX12" i="66"/>
  <c r="KW12" i="66"/>
  <c r="KV12" i="66"/>
  <c r="KU12" i="66"/>
  <c r="KT12" i="66"/>
  <c r="KS12" i="66"/>
  <c r="KR12" i="66"/>
  <c r="KQ12" i="66"/>
  <c r="KP12" i="66"/>
  <c r="KO12" i="66"/>
  <c r="KN12" i="66"/>
  <c r="KM12" i="66"/>
  <c r="KL12" i="66"/>
  <c r="KK12" i="66"/>
  <c r="KJ12" i="66"/>
  <c r="KI12" i="66"/>
  <c r="KH12" i="66"/>
  <c r="KG12" i="66"/>
  <c r="KF12" i="66"/>
  <c r="KE12" i="66"/>
  <c r="KD12" i="66"/>
  <c r="KC12" i="66"/>
  <c r="KB12" i="66"/>
  <c r="KA12" i="66"/>
  <c r="JZ12" i="66"/>
  <c r="JY12" i="66"/>
  <c r="JX12" i="66"/>
  <c r="JW12" i="66"/>
  <c r="JV12" i="66"/>
  <c r="JU12" i="66"/>
  <c r="JT12" i="66"/>
  <c r="JS12" i="66"/>
  <c r="JR12" i="66"/>
  <c r="JQ12" i="66"/>
  <c r="JP12" i="66"/>
  <c r="JO12" i="66"/>
  <c r="JN12" i="66"/>
  <c r="JM12" i="66"/>
  <c r="JL12" i="66"/>
  <c r="JK12" i="66"/>
  <c r="JJ12" i="66"/>
  <c r="JI12" i="66"/>
  <c r="JH12" i="66"/>
  <c r="JG12" i="66"/>
  <c r="JF12" i="66"/>
  <c r="JE12" i="66"/>
  <c r="JD12" i="66"/>
  <c r="JC12" i="66"/>
  <c r="JB12" i="66"/>
  <c r="JA12" i="66"/>
  <c r="IZ12" i="66"/>
  <c r="IY12" i="66"/>
  <c r="IX12" i="66"/>
  <c r="IW12" i="66"/>
  <c r="IV12" i="66"/>
  <c r="IU12" i="66"/>
  <c r="IT12" i="66"/>
  <c r="IS12" i="66"/>
  <c r="IR12" i="66"/>
  <c r="IQ12" i="66"/>
  <c r="IP12" i="66"/>
  <c r="IO12" i="66"/>
  <c r="IN12" i="66"/>
  <c r="IM12" i="66"/>
  <c r="IL12" i="66"/>
  <c r="IK12" i="66"/>
  <c r="IJ12" i="66"/>
  <c r="II12" i="66"/>
  <c r="IH12" i="66"/>
  <c r="IG12" i="66"/>
  <c r="IF12" i="66"/>
  <c r="IE12" i="66"/>
  <c r="ID12" i="66"/>
  <c r="IC12" i="66"/>
  <c r="IB12" i="66"/>
  <c r="IA12" i="66"/>
  <c r="HZ12" i="66"/>
  <c r="HY12" i="66"/>
  <c r="HX12" i="66"/>
  <c r="HW12" i="66"/>
  <c r="HV12" i="66"/>
  <c r="HU12" i="66"/>
  <c r="HT12" i="66"/>
  <c r="HS12" i="66"/>
  <c r="HR12" i="66"/>
  <c r="HQ12" i="66"/>
  <c r="HP12" i="66"/>
  <c r="HO12" i="66"/>
  <c r="HN12" i="66"/>
  <c r="HM12" i="66"/>
  <c r="HL12" i="66"/>
  <c r="HK12" i="66"/>
  <c r="HJ12" i="66"/>
  <c r="HI12" i="66"/>
  <c r="HH12" i="66"/>
  <c r="HG12" i="66"/>
  <c r="HF12" i="66"/>
  <c r="HE12" i="66"/>
  <c r="HD12" i="66"/>
  <c r="HC12" i="66"/>
  <c r="HB12" i="66"/>
  <c r="HA12" i="66"/>
  <c r="GZ12" i="66"/>
  <c r="GY12" i="66"/>
  <c r="GX12" i="66"/>
  <c r="GW12" i="66"/>
  <c r="GV12" i="66"/>
  <c r="GU12" i="66"/>
  <c r="GT12" i="66"/>
  <c r="GS12" i="66"/>
  <c r="GR12" i="66"/>
  <c r="GQ12" i="66"/>
  <c r="GP12" i="66"/>
  <c r="GO12" i="66"/>
  <c r="GN12" i="66"/>
  <c r="GM12" i="66"/>
  <c r="GL12" i="66"/>
  <c r="GK12" i="66"/>
  <c r="GJ12" i="66"/>
  <c r="GI12" i="66"/>
  <c r="GH12" i="66"/>
  <c r="GG12" i="66"/>
  <c r="GF12" i="66"/>
  <c r="GE12" i="66"/>
  <c r="GD12" i="66"/>
  <c r="GC12" i="66"/>
  <c r="GB12" i="66"/>
  <c r="GA12" i="66"/>
  <c r="FZ12" i="66"/>
  <c r="FY12" i="66"/>
  <c r="FX12" i="66"/>
  <c r="FW12" i="66"/>
  <c r="FV12" i="66"/>
  <c r="FU12" i="66"/>
  <c r="FT12" i="66"/>
  <c r="FS12" i="66"/>
  <c r="FR12" i="66"/>
  <c r="FQ12" i="66"/>
  <c r="FP12" i="66"/>
  <c r="FO12" i="66"/>
  <c r="C12" i="66"/>
  <c r="LW11" i="66"/>
  <c r="LV11" i="66"/>
  <c r="LU11" i="66"/>
  <c r="LT11" i="66"/>
  <c r="LS11" i="66"/>
  <c r="LR11" i="66"/>
  <c r="LQ11" i="66"/>
  <c r="LP11" i="66"/>
  <c r="LO11" i="66"/>
  <c r="LN11" i="66"/>
  <c r="LM11" i="66"/>
  <c r="LL11" i="66"/>
  <c r="LK11" i="66"/>
  <c r="LJ11" i="66"/>
  <c r="LI11" i="66"/>
  <c r="LH11" i="66"/>
  <c r="LG11" i="66"/>
  <c r="LF11" i="66"/>
  <c r="LE11" i="66"/>
  <c r="LD11" i="66"/>
  <c r="LC11" i="66"/>
  <c r="LB11" i="66"/>
  <c r="LA11" i="66"/>
  <c r="KZ11" i="66"/>
  <c r="KY11" i="66"/>
  <c r="KX11" i="66"/>
  <c r="KW11" i="66"/>
  <c r="KV11" i="66"/>
  <c r="KU11" i="66"/>
  <c r="KT11" i="66"/>
  <c r="KS11" i="66"/>
  <c r="KR11" i="66"/>
  <c r="KQ11" i="66"/>
  <c r="KP11" i="66"/>
  <c r="KO11" i="66"/>
  <c r="KN11" i="66"/>
  <c r="KM11" i="66"/>
  <c r="KL11" i="66"/>
  <c r="KK11" i="66"/>
  <c r="KJ11" i="66"/>
  <c r="KI11" i="66"/>
  <c r="KH11" i="66"/>
  <c r="KG11" i="66"/>
  <c r="KF11" i="66"/>
  <c r="KE11" i="66"/>
  <c r="KD11" i="66"/>
  <c r="KC11" i="66"/>
  <c r="KB11" i="66"/>
  <c r="KA11" i="66"/>
  <c r="JZ11" i="66"/>
  <c r="JY11" i="66"/>
  <c r="JX11" i="66"/>
  <c r="JW11" i="66"/>
  <c r="JV11" i="66"/>
  <c r="JU11" i="66"/>
  <c r="JT11" i="66"/>
  <c r="JS11" i="66"/>
  <c r="JR11" i="66"/>
  <c r="JQ11" i="66"/>
  <c r="JP11" i="66"/>
  <c r="JO11" i="66"/>
  <c r="JN11" i="66"/>
  <c r="JM11" i="66"/>
  <c r="JL11" i="66"/>
  <c r="JK11" i="66"/>
  <c r="JJ11" i="66"/>
  <c r="JI11" i="66"/>
  <c r="JH11" i="66"/>
  <c r="JG11" i="66"/>
  <c r="JF11" i="66"/>
  <c r="JE11" i="66"/>
  <c r="JD11" i="66"/>
  <c r="JC11" i="66"/>
  <c r="JB11" i="66"/>
  <c r="JA11" i="66"/>
  <c r="IZ11" i="66"/>
  <c r="IY11" i="66"/>
  <c r="IX11" i="66"/>
  <c r="IW11" i="66"/>
  <c r="IV11" i="66"/>
  <c r="IU11" i="66"/>
  <c r="IT11" i="66"/>
  <c r="IS11" i="66"/>
  <c r="IR11" i="66"/>
  <c r="IQ11" i="66"/>
  <c r="IP11" i="66"/>
  <c r="IO11" i="66"/>
  <c r="IN11" i="66"/>
  <c r="IM11" i="66"/>
  <c r="IL11" i="66"/>
  <c r="IK11" i="66"/>
  <c r="IJ11" i="66"/>
  <c r="II11" i="66"/>
  <c r="IH11" i="66"/>
  <c r="IG11" i="66"/>
  <c r="IF11" i="66"/>
  <c r="IE11" i="66"/>
  <c r="ID11" i="66"/>
  <c r="IC11" i="66"/>
  <c r="IB11" i="66"/>
  <c r="IA11" i="66"/>
  <c r="HZ11" i="66"/>
  <c r="HY11" i="66"/>
  <c r="HX11" i="66"/>
  <c r="HW11" i="66"/>
  <c r="HV11" i="66"/>
  <c r="HU11" i="66"/>
  <c r="HT11" i="66"/>
  <c r="HS11" i="66"/>
  <c r="HR11" i="66"/>
  <c r="HQ11" i="66"/>
  <c r="HP11" i="66"/>
  <c r="HO11" i="66"/>
  <c r="HN11" i="66"/>
  <c r="HM11" i="66"/>
  <c r="HL11" i="66"/>
  <c r="HK11" i="66"/>
  <c r="HJ11" i="66"/>
  <c r="HI11" i="66"/>
  <c r="HH11" i="66"/>
  <c r="HG11" i="66"/>
  <c r="HF11" i="66"/>
  <c r="HE11" i="66"/>
  <c r="HD11" i="66"/>
  <c r="HC11" i="66"/>
  <c r="HB11" i="66"/>
  <c r="HA11" i="66"/>
  <c r="GZ11" i="66"/>
  <c r="GY11" i="66"/>
  <c r="GX11" i="66"/>
  <c r="GW11" i="66"/>
  <c r="GV11" i="66"/>
  <c r="GU11" i="66"/>
  <c r="GT11" i="66"/>
  <c r="GS11" i="66"/>
  <c r="GR11" i="66"/>
  <c r="GQ11" i="66"/>
  <c r="GP11" i="66"/>
  <c r="GO11" i="66"/>
  <c r="GN11" i="66"/>
  <c r="GM11" i="66"/>
  <c r="GL11" i="66"/>
  <c r="GK11" i="66"/>
  <c r="GJ11" i="66"/>
  <c r="GI11" i="66"/>
  <c r="GH11" i="66"/>
  <c r="GG11" i="66"/>
  <c r="GF11" i="66"/>
  <c r="GE11" i="66"/>
  <c r="GD11" i="66"/>
  <c r="GC11" i="66"/>
  <c r="GB11" i="66"/>
  <c r="GA11" i="66"/>
  <c r="FZ11" i="66"/>
  <c r="FY11" i="66"/>
  <c r="FX11" i="66"/>
  <c r="FW11" i="66"/>
  <c r="FV11" i="66"/>
  <c r="FU11" i="66"/>
  <c r="FT11" i="66"/>
  <c r="FS11" i="66"/>
  <c r="FR11" i="66"/>
  <c r="FQ11" i="66"/>
  <c r="FP11" i="66"/>
  <c r="FO11" i="66"/>
  <c r="C11" i="66"/>
  <c r="LW10" i="66"/>
  <c r="LV10" i="66"/>
  <c r="LU10" i="66"/>
  <c r="LT10" i="66"/>
  <c r="LS10" i="66"/>
  <c r="LR10" i="66"/>
  <c r="LQ10" i="66"/>
  <c r="LP10" i="66"/>
  <c r="LO10" i="66"/>
  <c r="LN10" i="66"/>
  <c r="LM10" i="66"/>
  <c r="LL10" i="66"/>
  <c r="LK10" i="66"/>
  <c r="LJ10" i="66"/>
  <c r="LI10" i="66"/>
  <c r="LH10" i="66"/>
  <c r="LG10" i="66"/>
  <c r="LF10" i="66"/>
  <c r="LE10" i="66"/>
  <c r="LD10" i="66"/>
  <c r="LC10" i="66"/>
  <c r="LB10" i="66"/>
  <c r="LA10" i="66"/>
  <c r="KZ10" i="66"/>
  <c r="KY10" i="66"/>
  <c r="KX10" i="66"/>
  <c r="KW10" i="66"/>
  <c r="KV10" i="66"/>
  <c r="KU10" i="66"/>
  <c r="KT10" i="66"/>
  <c r="KS10" i="66"/>
  <c r="KR10" i="66"/>
  <c r="KQ10" i="66"/>
  <c r="KP10" i="66"/>
  <c r="KO10" i="66"/>
  <c r="KN10" i="66"/>
  <c r="KM10" i="66"/>
  <c r="KL10" i="66"/>
  <c r="KK10" i="66"/>
  <c r="KJ10" i="66"/>
  <c r="KI10" i="66"/>
  <c r="KH10" i="66"/>
  <c r="KG10" i="66"/>
  <c r="KF10" i="66"/>
  <c r="KE10" i="66"/>
  <c r="KD10" i="66"/>
  <c r="KC10" i="66"/>
  <c r="KB10" i="66"/>
  <c r="KA10" i="66"/>
  <c r="JZ10" i="66"/>
  <c r="JY10" i="66"/>
  <c r="JX10" i="66"/>
  <c r="JW10" i="66"/>
  <c r="JV10" i="66"/>
  <c r="JU10" i="66"/>
  <c r="JT10" i="66"/>
  <c r="JS10" i="66"/>
  <c r="JR10" i="66"/>
  <c r="JQ10" i="66"/>
  <c r="JP10" i="66"/>
  <c r="JO10" i="66"/>
  <c r="JN10" i="66"/>
  <c r="JM10" i="66"/>
  <c r="JL10" i="66"/>
  <c r="JK10" i="66"/>
  <c r="JJ10" i="66"/>
  <c r="JI10" i="66"/>
  <c r="JH10" i="66"/>
  <c r="JG10" i="66"/>
  <c r="JF10" i="66"/>
  <c r="JE10" i="66"/>
  <c r="JD10" i="66"/>
  <c r="JC10" i="66"/>
  <c r="JB10" i="66"/>
  <c r="JA10" i="66"/>
  <c r="IZ10" i="66"/>
  <c r="IY10" i="66"/>
  <c r="IX10" i="66"/>
  <c r="IW10" i="66"/>
  <c r="IV10" i="66"/>
  <c r="IU10" i="66"/>
  <c r="IT10" i="66"/>
  <c r="IS10" i="66"/>
  <c r="IR10" i="66"/>
  <c r="IQ10" i="66"/>
  <c r="IP10" i="66"/>
  <c r="IO10" i="66"/>
  <c r="IN10" i="66"/>
  <c r="IM10" i="66"/>
  <c r="IL10" i="66"/>
  <c r="IK10" i="66"/>
  <c r="IJ10" i="66"/>
  <c r="II10" i="66"/>
  <c r="IH10" i="66"/>
  <c r="IG10" i="66"/>
  <c r="IF10" i="66"/>
  <c r="IE10" i="66"/>
  <c r="ID10" i="66"/>
  <c r="IC10" i="66"/>
  <c r="IB10" i="66"/>
  <c r="IA10" i="66"/>
  <c r="HZ10" i="66"/>
  <c r="HY10" i="66"/>
  <c r="HX10" i="66"/>
  <c r="HW10" i="66"/>
  <c r="HV10" i="66"/>
  <c r="HU10" i="66"/>
  <c r="HT10" i="66"/>
  <c r="HS10" i="66"/>
  <c r="HR10" i="66"/>
  <c r="HQ10" i="66"/>
  <c r="HP10" i="66"/>
  <c r="HO10" i="66"/>
  <c r="HN10" i="66"/>
  <c r="HM10" i="66"/>
  <c r="HL10" i="66"/>
  <c r="HK10" i="66"/>
  <c r="HJ10" i="66"/>
  <c r="HI10" i="66"/>
  <c r="HH10" i="66"/>
  <c r="HG10" i="66"/>
  <c r="HF10" i="66"/>
  <c r="HE10" i="66"/>
  <c r="HD10" i="66"/>
  <c r="HC10" i="66"/>
  <c r="HB10" i="66"/>
  <c r="HA10" i="66"/>
  <c r="GZ10" i="66"/>
  <c r="GY10" i="66"/>
  <c r="GX10" i="66"/>
  <c r="GW10" i="66"/>
  <c r="GV10" i="66"/>
  <c r="GU10" i="66"/>
  <c r="GT10" i="66"/>
  <c r="GS10" i="66"/>
  <c r="GR10" i="66"/>
  <c r="GQ10" i="66"/>
  <c r="GP10" i="66"/>
  <c r="GO10" i="66"/>
  <c r="GN10" i="66"/>
  <c r="GM10" i="66"/>
  <c r="GL10" i="66"/>
  <c r="GK10" i="66"/>
  <c r="GJ10" i="66"/>
  <c r="GI10" i="66"/>
  <c r="GH10" i="66"/>
  <c r="GG10" i="66"/>
  <c r="GF10" i="66"/>
  <c r="GE10" i="66"/>
  <c r="GD10" i="66"/>
  <c r="GC10" i="66"/>
  <c r="GB10" i="66"/>
  <c r="GA10" i="66"/>
  <c r="FZ10" i="66"/>
  <c r="FY10" i="66"/>
  <c r="FX10" i="66"/>
  <c r="FW10" i="66"/>
  <c r="FV10" i="66"/>
  <c r="FU10" i="66"/>
  <c r="FT10" i="66"/>
  <c r="FS10" i="66"/>
  <c r="FR10" i="66"/>
  <c r="FQ10" i="66"/>
  <c r="FP10" i="66"/>
  <c r="FO10" i="66"/>
  <c r="C10" i="66"/>
  <c r="LW9" i="66"/>
  <c r="LV9" i="66"/>
  <c r="LU9" i="66"/>
  <c r="LT9" i="66"/>
  <c r="LS9" i="66"/>
  <c r="LR9" i="66"/>
  <c r="LQ9" i="66"/>
  <c r="LP9" i="66"/>
  <c r="LO9" i="66"/>
  <c r="LN9" i="66"/>
  <c r="LM9" i="66"/>
  <c r="LL9" i="66"/>
  <c r="LK9" i="66"/>
  <c r="LJ9" i="66"/>
  <c r="LI9" i="66"/>
  <c r="LH9" i="66"/>
  <c r="LG9" i="66"/>
  <c r="LF9" i="66"/>
  <c r="LE9" i="66"/>
  <c r="LD9" i="66"/>
  <c r="LC9" i="66"/>
  <c r="LB9" i="66"/>
  <c r="LA9" i="66"/>
  <c r="KZ9" i="66"/>
  <c r="KY9" i="66"/>
  <c r="KX9" i="66"/>
  <c r="KW9" i="66"/>
  <c r="KV9" i="66"/>
  <c r="KU9" i="66"/>
  <c r="KT9" i="66"/>
  <c r="KS9" i="66"/>
  <c r="KR9" i="66"/>
  <c r="KQ9" i="66"/>
  <c r="KP9" i="66"/>
  <c r="KO9" i="66"/>
  <c r="KN9" i="66"/>
  <c r="KM9" i="66"/>
  <c r="KL9" i="66"/>
  <c r="KK9" i="66"/>
  <c r="KJ9" i="66"/>
  <c r="KI9" i="66"/>
  <c r="KH9" i="66"/>
  <c r="KG9" i="66"/>
  <c r="KF9" i="66"/>
  <c r="KE9" i="66"/>
  <c r="KD9" i="66"/>
  <c r="KC9" i="66"/>
  <c r="KB9" i="66"/>
  <c r="KA9" i="66"/>
  <c r="JZ9" i="66"/>
  <c r="JY9" i="66"/>
  <c r="JX9" i="66"/>
  <c r="JW9" i="66"/>
  <c r="JV9" i="66"/>
  <c r="JU9" i="66"/>
  <c r="JT9" i="66"/>
  <c r="JS9" i="66"/>
  <c r="JR9" i="66"/>
  <c r="JQ9" i="66"/>
  <c r="JP9" i="66"/>
  <c r="JO9" i="66"/>
  <c r="JN9" i="66"/>
  <c r="JM9" i="66"/>
  <c r="JL9" i="66"/>
  <c r="JK9" i="66"/>
  <c r="JJ9" i="66"/>
  <c r="JI9" i="66"/>
  <c r="JH9" i="66"/>
  <c r="JG9" i="66"/>
  <c r="JF9" i="66"/>
  <c r="JE9" i="66"/>
  <c r="JD9" i="66"/>
  <c r="JC9" i="66"/>
  <c r="JB9" i="66"/>
  <c r="JA9" i="66"/>
  <c r="IZ9" i="66"/>
  <c r="IY9" i="66"/>
  <c r="IX9" i="66"/>
  <c r="IW9" i="66"/>
  <c r="IV9" i="66"/>
  <c r="IU9" i="66"/>
  <c r="IT9" i="66"/>
  <c r="IS9" i="66"/>
  <c r="IR9" i="66"/>
  <c r="IQ9" i="66"/>
  <c r="IP9" i="66"/>
  <c r="IO9" i="66"/>
  <c r="IN9" i="66"/>
  <c r="IM9" i="66"/>
  <c r="IL9" i="66"/>
  <c r="IK9" i="66"/>
  <c r="IJ9" i="66"/>
  <c r="II9" i="66"/>
  <c r="IH9" i="66"/>
  <c r="IG9" i="66"/>
  <c r="IF9" i="66"/>
  <c r="IE9" i="66"/>
  <c r="ID9" i="66"/>
  <c r="IC9" i="66"/>
  <c r="IB9" i="66"/>
  <c r="IA9" i="66"/>
  <c r="HZ9" i="66"/>
  <c r="HY9" i="66"/>
  <c r="HX9" i="66"/>
  <c r="HW9" i="66"/>
  <c r="HV9" i="66"/>
  <c r="HU9" i="66"/>
  <c r="HT9" i="66"/>
  <c r="HS9" i="66"/>
  <c r="HR9" i="66"/>
  <c r="HQ9" i="66"/>
  <c r="HP9" i="66"/>
  <c r="HO9" i="66"/>
  <c r="HN9" i="66"/>
  <c r="HM9" i="66"/>
  <c r="HL9" i="66"/>
  <c r="HK9" i="66"/>
  <c r="HJ9" i="66"/>
  <c r="HI9" i="66"/>
  <c r="HH9" i="66"/>
  <c r="HG9" i="66"/>
  <c r="HF9" i="66"/>
  <c r="HE9" i="66"/>
  <c r="HD9" i="66"/>
  <c r="HC9" i="66"/>
  <c r="HB9" i="66"/>
  <c r="HA9" i="66"/>
  <c r="GZ9" i="66"/>
  <c r="GY9" i="66"/>
  <c r="GX9" i="66"/>
  <c r="GW9" i="66"/>
  <c r="GV9" i="66"/>
  <c r="GU9" i="66"/>
  <c r="GT9" i="66"/>
  <c r="GS9" i="66"/>
  <c r="GR9" i="66"/>
  <c r="GQ9" i="66"/>
  <c r="GP9" i="66"/>
  <c r="GO9" i="66"/>
  <c r="GN9" i="66"/>
  <c r="GM9" i="66"/>
  <c r="GL9" i="66"/>
  <c r="GK9" i="66"/>
  <c r="GJ9" i="66"/>
  <c r="GI9" i="66"/>
  <c r="GH9" i="66"/>
  <c r="GG9" i="66"/>
  <c r="GF9" i="66"/>
  <c r="GE9" i="66"/>
  <c r="GD9" i="66"/>
  <c r="GC9" i="66"/>
  <c r="GB9" i="66"/>
  <c r="GA9" i="66"/>
  <c r="FZ9" i="66"/>
  <c r="FY9" i="66"/>
  <c r="FX9" i="66"/>
  <c r="FW9" i="66"/>
  <c r="FV9" i="66"/>
  <c r="FU9" i="66"/>
  <c r="FT9" i="66"/>
  <c r="FS9" i="66"/>
  <c r="FR9" i="66"/>
  <c r="FQ9" i="66"/>
  <c r="FP9" i="66"/>
  <c r="FO9" i="66"/>
  <c r="C9" i="66"/>
  <c r="LW8" i="66"/>
  <c r="LV8" i="66"/>
  <c r="LU8" i="66"/>
  <c r="LT8" i="66"/>
  <c r="LS8" i="66"/>
  <c r="LR8" i="66"/>
  <c r="LQ8" i="66"/>
  <c r="LP8" i="66"/>
  <c r="LO8" i="66"/>
  <c r="LN8" i="66"/>
  <c r="LM8" i="66"/>
  <c r="LL8" i="66"/>
  <c r="LK8" i="66"/>
  <c r="LJ8" i="66"/>
  <c r="LI8" i="66"/>
  <c r="LH8" i="66"/>
  <c r="LG8" i="66"/>
  <c r="LF8" i="66"/>
  <c r="LE8" i="66"/>
  <c r="LD8" i="66"/>
  <c r="LC8" i="66"/>
  <c r="LB8" i="66"/>
  <c r="LA8" i="66"/>
  <c r="KZ8" i="66"/>
  <c r="KY8" i="66"/>
  <c r="KX8" i="66"/>
  <c r="KW8" i="66"/>
  <c r="KV8" i="66"/>
  <c r="KU8" i="66"/>
  <c r="KT8" i="66"/>
  <c r="KS8" i="66"/>
  <c r="KR8" i="66"/>
  <c r="KQ8" i="66"/>
  <c r="KP8" i="66"/>
  <c r="KO8" i="66"/>
  <c r="KN8" i="66"/>
  <c r="KM8" i="66"/>
  <c r="KL8" i="66"/>
  <c r="KK8" i="66"/>
  <c r="KJ8" i="66"/>
  <c r="KI8" i="66"/>
  <c r="KH8" i="66"/>
  <c r="KG8" i="66"/>
  <c r="KF8" i="66"/>
  <c r="KE8" i="66"/>
  <c r="KD8" i="66"/>
  <c r="KC8" i="66"/>
  <c r="KB8" i="66"/>
  <c r="KA8" i="66"/>
  <c r="JZ8" i="66"/>
  <c r="JY8" i="66"/>
  <c r="JX8" i="66"/>
  <c r="JW8" i="66"/>
  <c r="JV8" i="66"/>
  <c r="JU8" i="66"/>
  <c r="JT8" i="66"/>
  <c r="JS8" i="66"/>
  <c r="JR8" i="66"/>
  <c r="JQ8" i="66"/>
  <c r="JP8" i="66"/>
  <c r="JO8" i="66"/>
  <c r="JN8" i="66"/>
  <c r="JM8" i="66"/>
  <c r="JL8" i="66"/>
  <c r="JK8" i="66"/>
  <c r="JJ8" i="66"/>
  <c r="JI8" i="66"/>
  <c r="JH8" i="66"/>
  <c r="JG8" i="66"/>
  <c r="JF8" i="66"/>
  <c r="JE8" i="66"/>
  <c r="JD8" i="66"/>
  <c r="JC8" i="66"/>
  <c r="JB8" i="66"/>
  <c r="JA8" i="66"/>
  <c r="IZ8" i="66"/>
  <c r="IY8" i="66"/>
  <c r="IX8" i="66"/>
  <c r="IW8" i="66"/>
  <c r="IV8" i="66"/>
  <c r="IU8" i="66"/>
  <c r="IT8" i="66"/>
  <c r="IS8" i="66"/>
  <c r="IR8" i="66"/>
  <c r="IQ8" i="66"/>
  <c r="IP8" i="66"/>
  <c r="IO8" i="66"/>
  <c r="IN8" i="66"/>
  <c r="IM8" i="66"/>
  <c r="IL8" i="66"/>
  <c r="IK8" i="66"/>
  <c r="IJ8" i="66"/>
  <c r="II8" i="66"/>
  <c r="IH8" i="66"/>
  <c r="IG8" i="66"/>
  <c r="IF8" i="66"/>
  <c r="IE8" i="66"/>
  <c r="ID8" i="66"/>
  <c r="IC8" i="66"/>
  <c r="IB8" i="66"/>
  <c r="IA8" i="66"/>
  <c r="HZ8" i="66"/>
  <c r="HY8" i="66"/>
  <c r="HX8" i="66"/>
  <c r="HW8" i="66"/>
  <c r="HV8" i="66"/>
  <c r="HU8" i="66"/>
  <c r="HT8" i="66"/>
  <c r="HS8" i="66"/>
  <c r="HR8" i="66"/>
  <c r="HQ8" i="66"/>
  <c r="HP8" i="66"/>
  <c r="HO8" i="66"/>
  <c r="HN8" i="66"/>
  <c r="HM8" i="66"/>
  <c r="HL8" i="66"/>
  <c r="HK8" i="66"/>
  <c r="HJ8" i="66"/>
  <c r="HI8" i="66"/>
  <c r="HH8" i="66"/>
  <c r="HG8" i="66"/>
  <c r="HF8" i="66"/>
  <c r="HE8" i="66"/>
  <c r="HD8" i="66"/>
  <c r="HC8" i="66"/>
  <c r="HB8" i="66"/>
  <c r="HA8" i="66"/>
  <c r="GZ8" i="66"/>
  <c r="GY8" i="66"/>
  <c r="GX8" i="66"/>
  <c r="GW8" i="66"/>
  <c r="GV8" i="66"/>
  <c r="GU8" i="66"/>
  <c r="GT8" i="66"/>
  <c r="GS8" i="66"/>
  <c r="GR8" i="66"/>
  <c r="GQ8" i="66"/>
  <c r="GP8" i="66"/>
  <c r="GO8" i="66"/>
  <c r="GN8" i="66"/>
  <c r="GM8" i="66"/>
  <c r="GL8" i="66"/>
  <c r="GK8" i="66"/>
  <c r="GJ8" i="66"/>
  <c r="GI8" i="66"/>
  <c r="GH8" i="66"/>
  <c r="GG8" i="66"/>
  <c r="GF8" i="66"/>
  <c r="GE8" i="66"/>
  <c r="GD8" i="66"/>
  <c r="GC8" i="66"/>
  <c r="GB8" i="66"/>
  <c r="GA8" i="66"/>
  <c r="FZ8" i="66"/>
  <c r="FY8" i="66"/>
  <c r="FX8" i="66"/>
  <c r="FW8" i="66"/>
  <c r="FV8" i="66"/>
  <c r="FU8" i="66"/>
  <c r="FT8" i="66"/>
  <c r="FS8" i="66"/>
  <c r="FR8" i="66"/>
  <c r="FQ8" i="66"/>
  <c r="FP8" i="66"/>
  <c r="FO8" i="66"/>
  <c r="C8" i="66"/>
  <c r="LW7" i="66"/>
  <c r="LV7" i="66"/>
  <c r="LU7" i="66"/>
  <c r="LT7" i="66"/>
  <c r="LS7" i="66"/>
  <c r="LR7" i="66"/>
  <c r="LQ7" i="66"/>
  <c r="LP7" i="66"/>
  <c r="LO7" i="66"/>
  <c r="LN7" i="66"/>
  <c r="LM7" i="66"/>
  <c r="LL7" i="66"/>
  <c r="LK7" i="66"/>
  <c r="LJ7" i="66"/>
  <c r="LI7" i="66"/>
  <c r="LH7" i="66"/>
  <c r="LG7" i="66"/>
  <c r="LF7" i="66"/>
  <c r="LE7" i="66"/>
  <c r="LD7" i="66"/>
  <c r="LC7" i="66"/>
  <c r="LB7" i="66"/>
  <c r="LA7" i="66"/>
  <c r="KZ7" i="66"/>
  <c r="KY7" i="66"/>
  <c r="KX7" i="66"/>
  <c r="KW7" i="66"/>
  <c r="KV7" i="66"/>
  <c r="KU7" i="66"/>
  <c r="KT7" i="66"/>
  <c r="KS7" i="66"/>
  <c r="KR7" i="66"/>
  <c r="KQ7" i="66"/>
  <c r="KP7" i="66"/>
  <c r="KO7" i="66"/>
  <c r="KN7" i="66"/>
  <c r="KM7" i="66"/>
  <c r="KL7" i="66"/>
  <c r="KK7" i="66"/>
  <c r="KJ7" i="66"/>
  <c r="KI7" i="66"/>
  <c r="KH7" i="66"/>
  <c r="KG7" i="66"/>
  <c r="KF7" i="66"/>
  <c r="KE7" i="66"/>
  <c r="KD7" i="66"/>
  <c r="KC7" i="66"/>
  <c r="KB7" i="66"/>
  <c r="KA7" i="66"/>
  <c r="JZ7" i="66"/>
  <c r="JY7" i="66"/>
  <c r="JX7" i="66"/>
  <c r="JW7" i="66"/>
  <c r="JV7" i="66"/>
  <c r="JU7" i="66"/>
  <c r="JT7" i="66"/>
  <c r="JS7" i="66"/>
  <c r="JR7" i="66"/>
  <c r="JQ7" i="66"/>
  <c r="JP7" i="66"/>
  <c r="JO7" i="66"/>
  <c r="JN7" i="66"/>
  <c r="JM7" i="66"/>
  <c r="JL7" i="66"/>
  <c r="JK7" i="66"/>
  <c r="JJ7" i="66"/>
  <c r="JI7" i="66"/>
  <c r="JH7" i="66"/>
  <c r="JG7" i="66"/>
  <c r="JF7" i="66"/>
  <c r="JE7" i="66"/>
  <c r="JD7" i="66"/>
  <c r="JC7" i="66"/>
  <c r="JB7" i="66"/>
  <c r="JA7" i="66"/>
  <c r="IZ7" i="66"/>
  <c r="IY7" i="66"/>
  <c r="IX7" i="66"/>
  <c r="IW7" i="66"/>
  <c r="IV7" i="66"/>
  <c r="IU7" i="66"/>
  <c r="IT7" i="66"/>
  <c r="IS7" i="66"/>
  <c r="IR7" i="66"/>
  <c r="IQ7" i="66"/>
  <c r="IP7" i="66"/>
  <c r="IO7" i="66"/>
  <c r="IN7" i="66"/>
  <c r="IM7" i="66"/>
  <c r="IL7" i="66"/>
  <c r="IK7" i="66"/>
  <c r="IJ7" i="66"/>
  <c r="II7" i="66"/>
  <c r="IH7" i="66"/>
  <c r="IG7" i="66"/>
  <c r="IF7" i="66"/>
  <c r="IE7" i="66"/>
  <c r="ID7" i="66"/>
  <c r="IC7" i="66"/>
  <c r="IB7" i="66"/>
  <c r="IA7" i="66"/>
  <c r="HZ7" i="66"/>
  <c r="HY7" i="66"/>
  <c r="HX7" i="66"/>
  <c r="HW7" i="66"/>
  <c r="HV7" i="66"/>
  <c r="HU7" i="66"/>
  <c r="HT7" i="66"/>
  <c r="HS7" i="66"/>
  <c r="HR7" i="66"/>
  <c r="HQ7" i="66"/>
  <c r="HP7" i="66"/>
  <c r="HO7" i="66"/>
  <c r="HN7" i="66"/>
  <c r="HM7" i="66"/>
  <c r="HL7" i="66"/>
  <c r="HK7" i="66"/>
  <c r="HJ7" i="66"/>
  <c r="HI7" i="66"/>
  <c r="HH7" i="66"/>
  <c r="HG7" i="66"/>
  <c r="HF7" i="66"/>
  <c r="HE7" i="66"/>
  <c r="HD7" i="66"/>
  <c r="HC7" i="66"/>
  <c r="HB7" i="66"/>
  <c r="HA7" i="66"/>
  <c r="GZ7" i="66"/>
  <c r="GY7" i="66"/>
  <c r="GX7" i="66"/>
  <c r="GW7" i="66"/>
  <c r="GV7" i="66"/>
  <c r="GU7" i="66"/>
  <c r="GT7" i="66"/>
  <c r="GS7" i="66"/>
  <c r="GR7" i="66"/>
  <c r="GQ7" i="66"/>
  <c r="GP7" i="66"/>
  <c r="GO7" i="66"/>
  <c r="GN7" i="66"/>
  <c r="GM7" i="66"/>
  <c r="GL7" i="66"/>
  <c r="GK7" i="66"/>
  <c r="GJ7" i="66"/>
  <c r="GI7" i="66"/>
  <c r="GH7" i="66"/>
  <c r="GG7" i="66"/>
  <c r="GF7" i="66"/>
  <c r="GE7" i="66"/>
  <c r="GD7" i="66"/>
  <c r="GC7" i="66"/>
  <c r="GB7" i="66"/>
  <c r="GA7" i="66"/>
  <c r="FZ7" i="66"/>
  <c r="FY7" i="66"/>
  <c r="FX7" i="66"/>
  <c r="FW7" i="66"/>
  <c r="FV7" i="66"/>
  <c r="FU7" i="66"/>
  <c r="FT7" i="66"/>
  <c r="FS7" i="66"/>
  <c r="FR7" i="66"/>
  <c r="FQ7" i="66"/>
  <c r="FP7" i="66"/>
  <c r="FO7" i="66"/>
  <c r="C7" i="66"/>
  <c r="LW6" i="66"/>
  <c r="LV6" i="66"/>
  <c r="LU6" i="66"/>
  <c r="LT6" i="66"/>
  <c r="LS6" i="66"/>
  <c r="LR6" i="66"/>
  <c r="LQ6" i="66"/>
  <c r="LP6" i="66"/>
  <c r="LO6" i="66"/>
  <c r="LN6" i="66"/>
  <c r="LM6" i="66"/>
  <c r="LL6" i="66"/>
  <c r="LK6" i="66"/>
  <c r="LJ6" i="66"/>
  <c r="LI6" i="66"/>
  <c r="LH6" i="66"/>
  <c r="LG6" i="66"/>
  <c r="LF6" i="66"/>
  <c r="LE6" i="66"/>
  <c r="LD6" i="66"/>
  <c r="LC6" i="66"/>
  <c r="LB6" i="66"/>
  <c r="LA6" i="66"/>
  <c r="KZ6" i="66"/>
  <c r="KY6" i="66"/>
  <c r="KX6" i="66"/>
  <c r="KW6" i="66"/>
  <c r="KV6" i="66"/>
  <c r="KU6" i="66"/>
  <c r="KT6" i="66"/>
  <c r="KS6" i="66"/>
  <c r="KR6" i="66"/>
  <c r="KQ6" i="66"/>
  <c r="KP6" i="66"/>
  <c r="KO6" i="66"/>
  <c r="KN6" i="66"/>
  <c r="KM6" i="66"/>
  <c r="KL6" i="66"/>
  <c r="KK6" i="66"/>
  <c r="KJ6" i="66"/>
  <c r="KI6" i="66"/>
  <c r="KH6" i="66"/>
  <c r="KG6" i="66"/>
  <c r="KF6" i="66"/>
  <c r="KE6" i="66"/>
  <c r="KD6" i="66"/>
  <c r="KC6" i="66"/>
  <c r="KB6" i="66"/>
  <c r="KA6" i="66"/>
  <c r="JZ6" i="66"/>
  <c r="JY6" i="66"/>
  <c r="JX6" i="66"/>
  <c r="JW6" i="66"/>
  <c r="JV6" i="66"/>
  <c r="JU6" i="66"/>
  <c r="JT6" i="66"/>
  <c r="JS6" i="66"/>
  <c r="JR6" i="66"/>
  <c r="JQ6" i="66"/>
  <c r="JP6" i="66"/>
  <c r="JO6" i="66"/>
  <c r="JN6" i="66"/>
  <c r="JM6" i="66"/>
  <c r="JL6" i="66"/>
  <c r="JK6" i="66"/>
  <c r="JJ6" i="66"/>
  <c r="JI6" i="66"/>
  <c r="JH6" i="66"/>
  <c r="JG6" i="66"/>
  <c r="JF6" i="66"/>
  <c r="JE6" i="66"/>
  <c r="JD6" i="66"/>
  <c r="JC6" i="66"/>
  <c r="JB6" i="66"/>
  <c r="JA6" i="66"/>
  <c r="IZ6" i="66"/>
  <c r="IY6" i="66"/>
  <c r="IX6" i="66"/>
  <c r="IW6" i="66"/>
  <c r="IV6" i="66"/>
  <c r="IU6" i="66"/>
  <c r="IT6" i="66"/>
  <c r="IS6" i="66"/>
  <c r="IR6" i="66"/>
  <c r="IQ6" i="66"/>
  <c r="IP6" i="66"/>
  <c r="IO6" i="66"/>
  <c r="IN6" i="66"/>
  <c r="IM6" i="66"/>
  <c r="IL6" i="66"/>
  <c r="IK6" i="66"/>
  <c r="IJ6" i="66"/>
  <c r="II6" i="66"/>
  <c r="IH6" i="66"/>
  <c r="IG6" i="66"/>
  <c r="IF6" i="66"/>
  <c r="IE6" i="66"/>
  <c r="ID6" i="66"/>
  <c r="IC6" i="66"/>
  <c r="IB6" i="66"/>
  <c r="IA6" i="66"/>
  <c r="HZ6" i="66"/>
  <c r="HY6" i="66"/>
  <c r="HX6" i="66"/>
  <c r="HW6" i="66"/>
  <c r="HV6" i="66"/>
  <c r="HU6" i="66"/>
  <c r="HT6" i="66"/>
  <c r="HS6" i="66"/>
  <c r="HR6" i="66"/>
  <c r="HQ6" i="66"/>
  <c r="HP6" i="66"/>
  <c r="HO6" i="66"/>
  <c r="HN6" i="66"/>
  <c r="HM6" i="66"/>
  <c r="HL6" i="66"/>
  <c r="HK6" i="66"/>
  <c r="HJ6" i="66"/>
  <c r="HI6" i="66"/>
  <c r="HH6" i="66"/>
  <c r="HG6" i="66"/>
  <c r="HF6" i="66"/>
  <c r="HE6" i="66"/>
  <c r="HD6" i="66"/>
  <c r="HC6" i="66"/>
  <c r="HB6" i="66"/>
  <c r="HA6" i="66"/>
  <c r="GZ6" i="66"/>
  <c r="GY6" i="66"/>
  <c r="GX6" i="66"/>
  <c r="GW6" i="66"/>
  <c r="GV6" i="66"/>
  <c r="GU6" i="66"/>
  <c r="GT6" i="66"/>
  <c r="GS6" i="66"/>
  <c r="GR6" i="66"/>
  <c r="GQ6" i="66"/>
  <c r="GP6" i="66"/>
  <c r="GO6" i="66"/>
  <c r="GN6" i="66"/>
  <c r="GM6" i="66"/>
  <c r="GL6" i="66"/>
  <c r="GK6" i="66"/>
  <c r="GJ6" i="66"/>
  <c r="GI6" i="66"/>
  <c r="GH6" i="66"/>
  <c r="GG6" i="66"/>
  <c r="GF6" i="66"/>
  <c r="GE6" i="66"/>
  <c r="GD6" i="66"/>
  <c r="GC6" i="66"/>
  <c r="GB6" i="66"/>
  <c r="GA6" i="66"/>
  <c r="FZ6" i="66"/>
  <c r="FY6" i="66"/>
  <c r="FX6" i="66"/>
  <c r="FW6" i="66"/>
  <c r="FV6" i="66"/>
  <c r="FU6" i="66"/>
  <c r="FT6" i="66"/>
  <c r="FS6" i="66"/>
  <c r="FR6" i="66"/>
  <c r="FQ6" i="66"/>
  <c r="FP6" i="66"/>
  <c r="FO6" i="66"/>
  <c r="C6" i="66"/>
  <c r="LW5" i="66"/>
  <c r="LV5" i="66"/>
  <c r="LU5" i="66"/>
  <c r="LT5" i="66"/>
  <c r="LS5" i="66"/>
  <c r="LR5" i="66"/>
  <c r="LQ5" i="66"/>
  <c r="LP5" i="66"/>
  <c r="LO5" i="66"/>
  <c r="LN5" i="66"/>
  <c r="LM5" i="66"/>
  <c r="LL5" i="66"/>
  <c r="LK5" i="66"/>
  <c r="LJ5" i="66"/>
  <c r="LI5" i="66"/>
  <c r="LH5" i="66"/>
  <c r="LG5" i="66"/>
  <c r="LF5" i="66"/>
  <c r="LE5" i="66"/>
  <c r="LD5" i="66"/>
  <c r="LC5" i="66"/>
  <c r="LB5" i="66"/>
  <c r="LA5" i="66"/>
  <c r="KZ5" i="66"/>
  <c r="KY5" i="66"/>
  <c r="KX5" i="66"/>
  <c r="KW5" i="66"/>
  <c r="KV5" i="66"/>
  <c r="KU5" i="66"/>
  <c r="KT5" i="66"/>
  <c r="KS5" i="66"/>
  <c r="KR5" i="66"/>
  <c r="KQ5" i="66"/>
  <c r="KP5" i="66"/>
  <c r="KO5" i="66"/>
  <c r="KN5" i="66"/>
  <c r="KM5" i="66"/>
  <c r="KL5" i="66"/>
  <c r="KK5" i="66"/>
  <c r="KJ5" i="66"/>
  <c r="KI5" i="66"/>
  <c r="KH5" i="66"/>
  <c r="KG5" i="66"/>
  <c r="KF5" i="66"/>
  <c r="KE5" i="66"/>
  <c r="KD5" i="66"/>
  <c r="KC5" i="66"/>
  <c r="KB5" i="66"/>
  <c r="KA5" i="66"/>
  <c r="JZ5" i="66"/>
  <c r="JY5" i="66"/>
  <c r="JX5" i="66"/>
  <c r="JW5" i="66"/>
  <c r="JV5" i="66"/>
  <c r="JU5" i="66"/>
  <c r="JT5" i="66"/>
  <c r="JS5" i="66"/>
  <c r="JR5" i="66"/>
  <c r="JQ5" i="66"/>
  <c r="JP5" i="66"/>
  <c r="JO5" i="66"/>
  <c r="JN5" i="66"/>
  <c r="JM5" i="66"/>
  <c r="JL5" i="66"/>
  <c r="JK5" i="66"/>
  <c r="JJ5" i="66"/>
  <c r="JI5" i="66"/>
  <c r="JH5" i="66"/>
  <c r="JG5" i="66"/>
  <c r="JF5" i="66"/>
  <c r="JE5" i="66"/>
  <c r="JD5" i="66"/>
  <c r="JC5" i="66"/>
  <c r="JB5" i="66"/>
  <c r="JA5" i="66"/>
  <c r="IZ5" i="66"/>
  <c r="IY5" i="66"/>
  <c r="IX5" i="66"/>
  <c r="IW5" i="66"/>
  <c r="IV5" i="66"/>
  <c r="IU5" i="66"/>
  <c r="IT5" i="66"/>
  <c r="IS5" i="66"/>
  <c r="IR5" i="66"/>
  <c r="IQ5" i="66"/>
  <c r="IP5" i="66"/>
  <c r="IO5" i="66"/>
  <c r="IN5" i="66"/>
  <c r="IM5" i="66"/>
  <c r="IL5" i="66"/>
  <c r="IK5" i="66"/>
  <c r="IJ5" i="66"/>
  <c r="II5" i="66"/>
  <c r="IH5" i="66"/>
  <c r="IG5" i="66"/>
  <c r="IF5" i="66"/>
  <c r="IE5" i="66"/>
  <c r="ID5" i="66"/>
  <c r="IC5" i="66"/>
  <c r="IB5" i="66"/>
  <c r="IA5" i="66"/>
  <c r="HZ5" i="66"/>
  <c r="HY5" i="66"/>
  <c r="HX5" i="66"/>
  <c r="HW5" i="66"/>
  <c r="HV5" i="66"/>
  <c r="HU5" i="66"/>
  <c r="HT5" i="66"/>
  <c r="HS5" i="66"/>
  <c r="HR5" i="66"/>
  <c r="HQ5" i="66"/>
  <c r="HP5" i="66"/>
  <c r="HO5" i="66"/>
  <c r="HN5" i="66"/>
  <c r="HM5" i="66"/>
  <c r="HL5" i="66"/>
  <c r="HK5" i="66"/>
  <c r="HJ5" i="66"/>
  <c r="HI5" i="66"/>
  <c r="HH5" i="66"/>
  <c r="HG5" i="66"/>
  <c r="HF5" i="66"/>
  <c r="HE5" i="66"/>
  <c r="HD5" i="66"/>
  <c r="HC5" i="66"/>
  <c r="HB5" i="66"/>
  <c r="HA5" i="66"/>
  <c r="GZ5" i="66"/>
  <c r="GY5" i="66"/>
  <c r="GX5" i="66"/>
  <c r="GW5" i="66"/>
  <c r="GV5" i="66"/>
  <c r="GU5" i="66"/>
  <c r="GT5" i="66"/>
  <c r="GS5" i="66"/>
  <c r="GR5" i="66"/>
  <c r="GQ5" i="66"/>
  <c r="GP5" i="66"/>
  <c r="GO5" i="66"/>
  <c r="GN5" i="66"/>
  <c r="GM5" i="66"/>
  <c r="GL5" i="66"/>
  <c r="GK5" i="66"/>
  <c r="GJ5" i="66"/>
  <c r="GI5" i="66"/>
  <c r="GH5" i="66"/>
  <c r="GG5" i="66"/>
  <c r="GF5" i="66"/>
  <c r="GE5" i="66"/>
  <c r="GD5" i="66"/>
  <c r="GC5" i="66"/>
  <c r="GB5" i="66"/>
  <c r="GA5" i="66"/>
  <c r="FZ5" i="66"/>
  <c r="FY5" i="66"/>
  <c r="FX5" i="66"/>
  <c r="FW5" i="66"/>
  <c r="FV5" i="66"/>
  <c r="FU5" i="66"/>
  <c r="FT5" i="66"/>
  <c r="FS5" i="66"/>
  <c r="FR5" i="66"/>
  <c r="FQ5" i="66"/>
  <c r="FP5" i="66"/>
  <c r="FO5" i="66"/>
  <c r="C5" i="66"/>
  <c r="LW4" i="66"/>
  <c r="LV4" i="66"/>
  <c r="LU4" i="66"/>
  <c r="LT4" i="66"/>
  <c r="LS4" i="66"/>
  <c r="LR4" i="66"/>
  <c r="LQ4" i="66"/>
  <c r="LP4" i="66"/>
  <c r="LO4" i="66"/>
  <c r="LN4" i="66"/>
  <c r="LM4" i="66"/>
  <c r="LL4" i="66"/>
  <c r="LK4" i="66"/>
  <c r="LJ4" i="66"/>
  <c r="LI4" i="66"/>
  <c r="LH4" i="66"/>
  <c r="LG4" i="66"/>
  <c r="LF4" i="66"/>
  <c r="LE4" i="66"/>
  <c r="LD4" i="66"/>
  <c r="LC4" i="66"/>
  <c r="LB4" i="66"/>
  <c r="LA4" i="66"/>
  <c r="KZ4" i="66"/>
  <c r="KY4" i="66"/>
  <c r="KX4" i="66"/>
  <c r="KW4" i="66"/>
  <c r="KV4" i="66"/>
  <c r="KU4" i="66"/>
  <c r="KT4" i="66"/>
  <c r="KS4" i="66"/>
  <c r="KR4" i="66"/>
  <c r="KQ4" i="66"/>
  <c r="KP4" i="66"/>
  <c r="KO4" i="66"/>
  <c r="KN4" i="66"/>
  <c r="KM4" i="66"/>
  <c r="KL4" i="66"/>
  <c r="KK4" i="66"/>
  <c r="KJ4" i="66"/>
  <c r="KI4" i="66"/>
  <c r="KH4" i="66"/>
  <c r="KG4" i="66"/>
  <c r="KF4" i="66"/>
  <c r="KE4" i="66"/>
  <c r="KD4" i="66"/>
  <c r="KC4" i="66"/>
  <c r="KB4" i="66"/>
  <c r="KA4" i="66"/>
  <c r="JZ4" i="66"/>
  <c r="JY4" i="66"/>
  <c r="JX4" i="66"/>
  <c r="JW4" i="66"/>
  <c r="JV4" i="66"/>
  <c r="JU4" i="66"/>
  <c r="JT4" i="66"/>
  <c r="JS4" i="66"/>
  <c r="JR4" i="66"/>
  <c r="JQ4" i="66"/>
  <c r="JP4" i="66"/>
  <c r="JO4" i="66"/>
  <c r="JN4" i="66"/>
  <c r="JM4" i="66"/>
  <c r="JL4" i="66"/>
  <c r="JK4" i="66"/>
  <c r="JJ4" i="66"/>
  <c r="JI4" i="66"/>
  <c r="JH4" i="66"/>
  <c r="JG4" i="66"/>
  <c r="JF4" i="66"/>
  <c r="JE4" i="66"/>
  <c r="JD4" i="66"/>
  <c r="JC4" i="66"/>
  <c r="JB4" i="66"/>
  <c r="JA4" i="66"/>
  <c r="IZ4" i="66"/>
  <c r="IY4" i="66"/>
  <c r="IX4" i="66"/>
  <c r="IW4" i="66"/>
  <c r="IV4" i="66"/>
  <c r="IU4" i="66"/>
  <c r="IT4" i="66"/>
  <c r="IS4" i="66"/>
  <c r="IR4" i="66"/>
  <c r="IQ4" i="66"/>
  <c r="IP4" i="66"/>
  <c r="IO4" i="66"/>
  <c r="IN4" i="66"/>
  <c r="IM4" i="66"/>
  <c r="IL4" i="66"/>
  <c r="IK4" i="66"/>
  <c r="IJ4" i="66"/>
  <c r="II4" i="66"/>
  <c r="IH4" i="66"/>
  <c r="IG4" i="66"/>
  <c r="IF4" i="66"/>
  <c r="IE4" i="66"/>
  <c r="ID4" i="66"/>
  <c r="IC4" i="66"/>
  <c r="IB4" i="66"/>
  <c r="IA4" i="66"/>
  <c r="HZ4" i="66"/>
  <c r="HY4" i="66"/>
  <c r="HX4" i="66"/>
  <c r="HW4" i="66"/>
  <c r="HV4" i="66"/>
  <c r="HU4" i="66"/>
  <c r="HT4" i="66"/>
  <c r="HS4" i="66"/>
  <c r="HR4" i="66"/>
  <c r="HQ4" i="66"/>
  <c r="HP4" i="66"/>
  <c r="HO4" i="66"/>
  <c r="HN4" i="66"/>
  <c r="HM4" i="66"/>
  <c r="HL4" i="66"/>
  <c r="HK4" i="66"/>
  <c r="HJ4" i="66"/>
  <c r="HI4" i="66"/>
  <c r="HH4" i="66"/>
  <c r="HG4" i="66"/>
  <c r="HF4" i="66"/>
  <c r="HE4" i="66"/>
  <c r="HD4" i="66"/>
  <c r="HC4" i="66"/>
  <c r="HB4" i="66"/>
  <c r="HA4" i="66"/>
  <c r="GZ4" i="66"/>
  <c r="GY4" i="66"/>
  <c r="GX4" i="66"/>
  <c r="GW4" i="66"/>
  <c r="GV4" i="66"/>
  <c r="GU4" i="66"/>
  <c r="GT4" i="66"/>
  <c r="GS4" i="66"/>
  <c r="GR4" i="66"/>
  <c r="GQ4" i="66"/>
  <c r="GP4" i="66"/>
  <c r="GO4" i="66"/>
  <c r="GN4" i="66"/>
  <c r="GM4" i="66"/>
  <c r="GL4" i="66"/>
  <c r="GK4" i="66"/>
  <c r="GJ4" i="66"/>
  <c r="GI4" i="66"/>
  <c r="GH4" i="66"/>
  <c r="GG4" i="66"/>
  <c r="GF4" i="66"/>
  <c r="GE4" i="66"/>
  <c r="GD4" i="66"/>
  <c r="GC4" i="66"/>
  <c r="GB4" i="66"/>
  <c r="GA4" i="66"/>
  <c r="FZ4" i="66"/>
  <c r="FY4" i="66"/>
  <c r="FX4" i="66"/>
  <c r="FW4" i="66"/>
  <c r="FV4" i="66"/>
  <c r="FU4" i="66"/>
  <c r="FT4" i="66"/>
  <c r="FS4" i="66"/>
  <c r="FR4" i="66"/>
  <c r="FQ4" i="66"/>
  <c r="FP4" i="66"/>
  <c r="FO4" i="66"/>
  <c r="C4" i="66"/>
  <c r="F29" i="65"/>
  <c r="E29" i="65"/>
  <c r="H10" i="41" s="1"/>
  <c r="D29" i="65"/>
  <c r="B29" i="65"/>
  <c r="LW28" i="65"/>
  <c r="LV28" i="65"/>
  <c r="LU28" i="65"/>
  <c r="LT28" i="65"/>
  <c r="LS28" i="65"/>
  <c r="LR28" i="65"/>
  <c r="LQ28" i="65"/>
  <c r="LP28" i="65"/>
  <c r="LO28" i="65"/>
  <c r="LN28" i="65"/>
  <c r="LM28" i="65"/>
  <c r="LL28" i="65"/>
  <c r="LK28" i="65"/>
  <c r="LJ28" i="65"/>
  <c r="LI28" i="65"/>
  <c r="LH28" i="65"/>
  <c r="LG28" i="65"/>
  <c r="LF28" i="65"/>
  <c r="LE28" i="65"/>
  <c r="LD28" i="65"/>
  <c r="LC28" i="65"/>
  <c r="LB28" i="65"/>
  <c r="LA28" i="65"/>
  <c r="KZ28" i="65"/>
  <c r="KY28" i="65"/>
  <c r="KX28" i="65"/>
  <c r="KW28" i="65"/>
  <c r="KV28" i="65"/>
  <c r="KU28" i="65"/>
  <c r="KT28" i="65"/>
  <c r="KS28" i="65"/>
  <c r="KR28" i="65"/>
  <c r="KQ28" i="65"/>
  <c r="KP28" i="65"/>
  <c r="KO28" i="65"/>
  <c r="KN28" i="65"/>
  <c r="KM28" i="65"/>
  <c r="KL28" i="65"/>
  <c r="KK28" i="65"/>
  <c r="KJ28" i="65"/>
  <c r="KI28" i="65"/>
  <c r="KH28" i="65"/>
  <c r="KG28" i="65"/>
  <c r="KF28" i="65"/>
  <c r="KE28" i="65"/>
  <c r="KD28" i="65"/>
  <c r="KC28" i="65"/>
  <c r="KB28" i="65"/>
  <c r="KA28" i="65"/>
  <c r="JZ28" i="65"/>
  <c r="JY28" i="65"/>
  <c r="JX28" i="65"/>
  <c r="JW28" i="65"/>
  <c r="JV28" i="65"/>
  <c r="JU28" i="65"/>
  <c r="JT28" i="65"/>
  <c r="JS28" i="65"/>
  <c r="JR28" i="65"/>
  <c r="JQ28" i="65"/>
  <c r="JP28" i="65"/>
  <c r="JO28" i="65"/>
  <c r="JN28" i="65"/>
  <c r="JM28" i="65"/>
  <c r="JL28" i="65"/>
  <c r="JK28" i="65"/>
  <c r="JJ28" i="65"/>
  <c r="JI28" i="65"/>
  <c r="JH28" i="65"/>
  <c r="JG28" i="65"/>
  <c r="JF28" i="65"/>
  <c r="JE28" i="65"/>
  <c r="JD28" i="65"/>
  <c r="JC28" i="65"/>
  <c r="JB28" i="65"/>
  <c r="JA28" i="65"/>
  <c r="IZ28" i="65"/>
  <c r="IY28" i="65"/>
  <c r="IX28" i="65"/>
  <c r="IW28" i="65"/>
  <c r="IV28" i="65"/>
  <c r="IU28" i="65"/>
  <c r="IT28" i="65"/>
  <c r="IS28" i="65"/>
  <c r="IR28" i="65"/>
  <c r="IQ28" i="65"/>
  <c r="IP28" i="65"/>
  <c r="IO28" i="65"/>
  <c r="IN28" i="65"/>
  <c r="IM28" i="65"/>
  <c r="IL28" i="65"/>
  <c r="IK28" i="65"/>
  <c r="IJ28" i="65"/>
  <c r="II28" i="65"/>
  <c r="IH28" i="65"/>
  <c r="IG28" i="65"/>
  <c r="IF28" i="65"/>
  <c r="IE28" i="65"/>
  <c r="ID28" i="65"/>
  <c r="IC28" i="65"/>
  <c r="IB28" i="65"/>
  <c r="IA28" i="65"/>
  <c r="HZ28" i="65"/>
  <c r="HY28" i="65"/>
  <c r="HX28" i="65"/>
  <c r="HW28" i="65"/>
  <c r="HV28" i="65"/>
  <c r="HU28" i="65"/>
  <c r="HT28" i="65"/>
  <c r="HS28" i="65"/>
  <c r="HR28" i="65"/>
  <c r="HQ28" i="65"/>
  <c r="HP28" i="65"/>
  <c r="HO28" i="65"/>
  <c r="HN28" i="65"/>
  <c r="HM28" i="65"/>
  <c r="HL28" i="65"/>
  <c r="HK28" i="65"/>
  <c r="HJ28" i="65"/>
  <c r="HI28" i="65"/>
  <c r="HH28" i="65"/>
  <c r="HG28" i="65"/>
  <c r="HF28" i="65"/>
  <c r="HE28" i="65"/>
  <c r="HD28" i="65"/>
  <c r="HC28" i="65"/>
  <c r="HB28" i="65"/>
  <c r="HA28" i="65"/>
  <c r="GZ28" i="65"/>
  <c r="GY28" i="65"/>
  <c r="GX28" i="65"/>
  <c r="GW28" i="65"/>
  <c r="GV28" i="65"/>
  <c r="GU28" i="65"/>
  <c r="GT28" i="65"/>
  <c r="GS28" i="65"/>
  <c r="GR28" i="65"/>
  <c r="GQ28" i="65"/>
  <c r="GP28" i="65"/>
  <c r="GO28" i="65"/>
  <c r="GN28" i="65"/>
  <c r="GM28" i="65"/>
  <c r="GL28" i="65"/>
  <c r="GK28" i="65"/>
  <c r="GJ28" i="65"/>
  <c r="GI28" i="65"/>
  <c r="GH28" i="65"/>
  <c r="GG28" i="65"/>
  <c r="GF28" i="65"/>
  <c r="GE28" i="65"/>
  <c r="GD28" i="65"/>
  <c r="GC28" i="65"/>
  <c r="GB28" i="65"/>
  <c r="GA28" i="65"/>
  <c r="FZ28" i="65"/>
  <c r="FY28" i="65"/>
  <c r="FX28" i="65"/>
  <c r="FW28" i="65"/>
  <c r="FV28" i="65"/>
  <c r="FU28" i="65"/>
  <c r="FT28" i="65"/>
  <c r="FS28" i="65"/>
  <c r="FR28" i="65"/>
  <c r="FQ28" i="65"/>
  <c r="FP28" i="65"/>
  <c r="FO28" i="65"/>
  <c r="C28" i="65"/>
  <c r="LW27" i="65"/>
  <c r="LV27" i="65"/>
  <c r="LU27" i="65"/>
  <c r="LT27" i="65"/>
  <c r="LS27" i="65"/>
  <c r="LR27" i="65"/>
  <c r="LQ27" i="65"/>
  <c r="LP27" i="65"/>
  <c r="LO27" i="65"/>
  <c r="LN27" i="65"/>
  <c r="LM27" i="65"/>
  <c r="LL27" i="65"/>
  <c r="LK27" i="65"/>
  <c r="LJ27" i="65"/>
  <c r="LI27" i="65"/>
  <c r="LH27" i="65"/>
  <c r="LG27" i="65"/>
  <c r="LF27" i="65"/>
  <c r="LE27" i="65"/>
  <c r="LD27" i="65"/>
  <c r="LC27" i="65"/>
  <c r="LB27" i="65"/>
  <c r="LA27" i="65"/>
  <c r="KZ27" i="65"/>
  <c r="KY27" i="65"/>
  <c r="KX27" i="65"/>
  <c r="KW27" i="65"/>
  <c r="KV27" i="65"/>
  <c r="KU27" i="65"/>
  <c r="KT27" i="65"/>
  <c r="KS27" i="65"/>
  <c r="KR27" i="65"/>
  <c r="KQ27" i="65"/>
  <c r="KP27" i="65"/>
  <c r="KO27" i="65"/>
  <c r="KN27" i="65"/>
  <c r="KM27" i="65"/>
  <c r="KL27" i="65"/>
  <c r="KK27" i="65"/>
  <c r="KJ27" i="65"/>
  <c r="KI27" i="65"/>
  <c r="KH27" i="65"/>
  <c r="KG27" i="65"/>
  <c r="KF27" i="65"/>
  <c r="KE27" i="65"/>
  <c r="KD27" i="65"/>
  <c r="KC27" i="65"/>
  <c r="KB27" i="65"/>
  <c r="KA27" i="65"/>
  <c r="JZ27" i="65"/>
  <c r="JY27" i="65"/>
  <c r="JX27" i="65"/>
  <c r="JW27" i="65"/>
  <c r="JV27" i="65"/>
  <c r="JU27" i="65"/>
  <c r="JT27" i="65"/>
  <c r="JS27" i="65"/>
  <c r="JR27" i="65"/>
  <c r="JQ27" i="65"/>
  <c r="JP27" i="65"/>
  <c r="JO27" i="65"/>
  <c r="JN27" i="65"/>
  <c r="JM27" i="65"/>
  <c r="JL27" i="65"/>
  <c r="JK27" i="65"/>
  <c r="JJ27" i="65"/>
  <c r="JI27" i="65"/>
  <c r="JH27" i="65"/>
  <c r="JG27" i="65"/>
  <c r="JF27" i="65"/>
  <c r="JE27" i="65"/>
  <c r="JD27" i="65"/>
  <c r="JC27" i="65"/>
  <c r="JB27" i="65"/>
  <c r="JA27" i="65"/>
  <c r="IZ27" i="65"/>
  <c r="IY27" i="65"/>
  <c r="IX27" i="65"/>
  <c r="IW27" i="65"/>
  <c r="IV27" i="65"/>
  <c r="IU27" i="65"/>
  <c r="IT27" i="65"/>
  <c r="IS27" i="65"/>
  <c r="IR27" i="65"/>
  <c r="IQ27" i="65"/>
  <c r="IP27" i="65"/>
  <c r="IO27" i="65"/>
  <c r="IN27" i="65"/>
  <c r="IM27" i="65"/>
  <c r="IL27" i="65"/>
  <c r="IK27" i="65"/>
  <c r="IJ27" i="65"/>
  <c r="II27" i="65"/>
  <c r="IH27" i="65"/>
  <c r="IG27" i="65"/>
  <c r="IF27" i="65"/>
  <c r="IE27" i="65"/>
  <c r="ID27" i="65"/>
  <c r="IC27" i="65"/>
  <c r="IB27" i="65"/>
  <c r="IA27" i="65"/>
  <c r="HZ27" i="65"/>
  <c r="HY27" i="65"/>
  <c r="HX27" i="65"/>
  <c r="HW27" i="65"/>
  <c r="HV27" i="65"/>
  <c r="HU27" i="65"/>
  <c r="HT27" i="65"/>
  <c r="HS27" i="65"/>
  <c r="HR27" i="65"/>
  <c r="HQ27" i="65"/>
  <c r="HP27" i="65"/>
  <c r="HO27" i="65"/>
  <c r="HN27" i="65"/>
  <c r="HM27" i="65"/>
  <c r="HL27" i="65"/>
  <c r="HK27" i="65"/>
  <c r="HJ27" i="65"/>
  <c r="HI27" i="65"/>
  <c r="HH27" i="65"/>
  <c r="HG27" i="65"/>
  <c r="HF27" i="65"/>
  <c r="HE27" i="65"/>
  <c r="HD27" i="65"/>
  <c r="HC27" i="65"/>
  <c r="HB27" i="65"/>
  <c r="HA27" i="65"/>
  <c r="GZ27" i="65"/>
  <c r="GY27" i="65"/>
  <c r="GX27" i="65"/>
  <c r="GW27" i="65"/>
  <c r="GV27" i="65"/>
  <c r="GU27" i="65"/>
  <c r="GT27" i="65"/>
  <c r="GS27" i="65"/>
  <c r="GR27" i="65"/>
  <c r="GQ27" i="65"/>
  <c r="GP27" i="65"/>
  <c r="GO27" i="65"/>
  <c r="GN27" i="65"/>
  <c r="GM27" i="65"/>
  <c r="GL27" i="65"/>
  <c r="GK27" i="65"/>
  <c r="GJ27" i="65"/>
  <c r="GI27" i="65"/>
  <c r="GH27" i="65"/>
  <c r="GG27" i="65"/>
  <c r="GF27" i="65"/>
  <c r="GE27" i="65"/>
  <c r="GD27" i="65"/>
  <c r="GC27" i="65"/>
  <c r="GB27" i="65"/>
  <c r="GA27" i="65"/>
  <c r="FZ27" i="65"/>
  <c r="FY27" i="65"/>
  <c r="FX27" i="65"/>
  <c r="FW27" i="65"/>
  <c r="FV27" i="65"/>
  <c r="FU27" i="65"/>
  <c r="FT27" i="65"/>
  <c r="FS27" i="65"/>
  <c r="FR27" i="65"/>
  <c r="FQ27" i="65"/>
  <c r="FP27" i="65"/>
  <c r="FO27" i="65"/>
  <c r="C27" i="65"/>
  <c r="LW26" i="65"/>
  <c r="LV26" i="65"/>
  <c r="LU26" i="65"/>
  <c r="LT26" i="65"/>
  <c r="LS26" i="65"/>
  <c r="LR26" i="65"/>
  <c r="LQ26" i="65"/>
  <c r="LP26" i="65"/>
  <c r="LO26" i="65"/>
  <c r="LN26" i="65"/>
  <c r="LM26" i="65"/>
  <c r="LL26" i="65"/>
  <c r="LK26" i="65"/>
  <c r="LJ26" i="65"/>
  <c r="LI26" i="65"/>
  <c r="LH26" i="65"/>
  <c r="LG26" i="65"/>
  <c r="LF26" i="65"/>
  <c r="LE26" i="65"/>
  <c r="LD26" i="65"/>
  <c r="LC26" i="65"/>
  <c r="LB26" i="65"/>
  <c r="LA26" i="65"/>
  <c r="KZ26" i="65"/>
  <c r="KY26" i="65"/>
  <c r="KX26" i="65"/>
  <c r="KW26" i="65"/>
  <c r="KV26" i="65"/>
  <c r="KU26" i="65"/>
  <c r="KT26" i="65"/>
  <c r="KS26" i="65"/>
  <c r="KR26" i="65"/>
  <c r="KQ26" i="65"/>
  <c r="KP26" i="65"/>
  <c r="KO26" i="65"/>
  <c r="KN26" i="65"/>
  <c r="KM26" i="65"/>
  <c r="KL26" i="65"/>
  <c r="KK26" i="65"/>
  <c r="KJ26" i="65"/>
  <c r="KI26" i="65"/>
  <c r="KH26" i="65"/>
  <c r="KG26" i="65"/>
  <c r="KF26" i="65"/>
  <c r="KE26" i="65"/>
  <c r="KD26" i="65"/>
  <c r="KC26" i="65"/>
  <c r="KB26" i="65"/>
  <c r="KA26" i="65"/>
  <c r="JZ26" i="65"/>
  <c r="JY26" i="65"/>
  <c r="JX26" i="65"/>
  <c r="JW26" i="65"/>
  <c r="JV26" i="65"/>
  <c r="JU26" i="65"/>
  <c r="JT26" i="65"/>
  <c r="JS26" i="65"/>
  <c r="JR26" i="65"/>
  <c r="JQ26" i="65"/>
  <c r="JP26" i="65"/>
  <c r="JO26" i="65"/>
  <c r="JN26" i="65"/>
  <c r="JM26" i="65"/>
  <c r="JL26" i="65"/>
  <c r="JK26" i="65"/>
  <c r="JJ26" i="65"/>
  <c r="JI26" i="65"/>
  <c r="JH26" i="65"/>
  <c r="JG26" i="65"/>
  <c r="JF26" i="65"/>
  <c r="JE26" i="65"/>
  <c r="JD26" i="65"/>
  <c r="JC26" i="65"/>
  <c r="JB26" i="65"/>
  <c r="JA26" i="65"/>
  <c r="IZ26" i="65"/>
  <c r="IY26" i="65"/>
  <c r="IX26" i="65"/>
  <c r="IW26" i="65"/>
  <c r="IV26" i="65"/>
  <c r="IU26" i="65"/>
  <c r="IT26" i="65"/>
  <c r="IS26" i="65"/>
  <c r="IR26" i="65"/>
  <c r="IQ26" i="65"/>
  <c r="IP26" i="65"/>
  <c r="IO26" i="65"/>
  <c r="IN26" i="65"/>
  <c r="IM26" i="65"/>
  <c r="IL26" i="65"/>
  <c r="IK26" i="65"/>
  <c r="IJ26" i="65"/>
  <c r="II26" i="65"/>
  <c r="IH26" i="65"/>
  <c r="IG26" i="65"/>
  <c r="IF26" i="65"/>
  <c r="IE26" i="65"/>
  <c r="ID26" i="65"/>
  <c r="IC26" i="65"/>
  <c r="IB26" i="65"/>
  <c r="IA26" i="65"/>
  <c r="HZ26" i="65"/>
  <c r="HY26" i="65"/>
  <c r="HX26" i="65"/>
  <c r="HW26" i="65"/>
  <c r="HV26" i="65"/>
  <c r="HU26" i="65"/>
  <c r="HT26" i="65"/>
  <c r="HS26" i="65"/>
  <c r="HR26" i="65"/>
  <c r="HQ26" i="65"/>
  <c r="HP26" i="65"/>
  <c r="HO26" i="65"/>
  <c r="HN26" i="65"/>
  <c r="HM26" i="65"/>
  <c r="HL26" i="65"/>
  <c r="HK26" i="65"/>
  <c r="HJ26" i="65"/>
  <c r="HI26" i="65"/>
  <c r="HH26" i="65"/>
  <c r="HG26" i="65"/>
  <c r="HF26" i="65"/>
  <c r="HE26" i="65"/>
  <c r="HD26" i="65"/>
  <c r="HC26" i="65"/>
  <c r="HB26" i="65"/>
  <c r="HA26" i="65"/>
  <c r="GZ26" i="65"/>
  <c r="GY26" i="65"/>
  <c r="GX26" i="65"/>
  <c r="GW26" i="65"/>
  <c r="GV26" i="65"/>
  <c r="GU26" i="65"/>
  <c r="GT26" i="65"/>
  <c r="GS26" i="65"/>
  <c r="GR26" i="65"/>
  <c r="GQ26" i="65"/>
  <c r="GP26" i="65"/>
  <c r="GO26" i="65"/>
  <c r="GN26" i="65"/>
  <c r="GM26" i="65"/>
  <c r="GL26" i="65"/>
  <c r="GK26" i="65"/>
  <c r="GJ26" i="65"/>
  <c r="GI26" i="65"/>
  <c r="GH26" i="65"/>
  <c r="GG26" i="65"/>
  <c r="GF26" i="65"/>
  <c r="GE26" i="65"/>
  <c r="GD26" i="65"/>
  <c r="GC26" i="65"/>
  <c r="GB26" i="65"/>
  <c r="GA26" i="65"/>
  <c r="FZ26" i="65"/>
  <c r="FY26" i="65"/>
  <c r="FX26" i="65"/>
  <c r="FW26" i="65"/>
  <c r="FV26" i="65"/>
  <c r="FU26" i="65"/>
  <c r="FT26" i="65"/>
  <c r="FS26" i="65"/>
  <c r="FR26" i="65"/>
  <c r="FQ26" i="65"/>
  <c r="FP26" i="65"/>
  <c r="FO26" i="65"/>
  <c r="C26" i="65"/>
  <c r="LW25" i="65"/>
  <c r="LV25" i="65"/>
  <c r="LU25" i="65"/>
  <c r="LT25" i="65"/>
  <c r="LS25" i="65"/>
  <c r="LR25" i="65"/>
  <c r="LQ25" i="65"/>
  <c r="LP25" i="65"/>
  <c r="LO25" i="65"/>
  <c r="LN25" i="65"/>
  <c r="LM25" i="65"/>
  <c r="LL25" i="65"/>
  <c r="LK25" i="65"/>
  <c r="LJ25" i="65"/>
  <c r="LI25" i="65"/>
  <c r="LH25" i="65"/>
  <c r="LG25" i="65"/>
  <c r="LF25" i="65"/>
  <c r="LE25" i="65"/>
  <c r="LD25" i="65"/>
  <c r="LC25" i="65"/>
  <c r="LB25" i="65"/>
  <c r="LA25" i="65"/>
  <c r="KZ25" i="65"/>
  <c r="KY25" i="65"/>
  <c r="KX25" i="65"/>
  <c r="KW25" i="65"/>
  <c r="KV25" i="65"/>
  <c r="KU25" i="65"/>
  <c r="KT25" i="65"/>
  <c r="KS25" i="65"/>
  <c r="KR25" i="65"/>
  <c r="KQ25" i="65"/>
  <c r="KP25" i="65"/>
  <c r="KO25" i="65"/>
  <c r="KN25" i="65"/>
  <c r="KM25" i="65"/>
  <c r="KL25" i="65"/>
  <c r="KK25" i="65"/>
  <c r="KJ25" i="65"/>
  <c r="KI25" i="65"/>
  <c r="KH25" i="65"/>
  <c r="KG25" i="65"/>
  <c r="KF25" i="65"/>
  <c r="KE25" i="65"/>
  <c r="KD25" i="65"/>
  <c r="KC25" i="65"/>
  <c r="KB25" i="65"/>
  <c r="KA25" i="65"/>
  <c r="JZ25" i="65"/>
  <c r="JY25" i="65"/>
  <c r="JX25" i="65"/>
  <c r="JW25" i="65"/>
  <c r="JV25" i="65"/>
  <c r="JU25" i="65"/>
  <c r="JT25" i="65"/>
  <c r="JS25" i="65"/>
  <c r="JR25" i="65"/>
  <c r="JQ25" i="65"/>
  <c r="JP25" i="65"/>
  <c r="JO25" i="65"/>
  <c r="JN25" i="65"/>
  <c r="JM25" i="65"/>
  <c r="JL25" i="65"/>
  <c r="JK25" i="65"/>
  <c r="JJ25" i="65"/>
  <c r="JI25" i="65"/>
  <c r="JH25" i="65"/>
  <c r="JG25" i="65"/>
  <c r="JF25" i="65"/>
  <c r="JE25" i="65"/>
  <c r="JD25" i="65"/>
  <c r="JC25" i="65"/>
  <c r="JB25" i="65"/>
  <c r="JA25" i="65"/>
  <c r="IZ25" i="65"/>
  <c r="IY25" i="65"/>
  <c r="IX25" i="65"/>
  <c r="IW25" i="65"/>
  <c r="IV25" i="65"/>
  <c r="IU25" i="65"/>
  <c r="IT25" i="65"/>
  <c r="IS25" i="65"/>
  <c r="IR25" i="65"/>
  <c r="IQ25" i="65"/>
  <c r="IP25" i="65"/>
  <c r="IO25" i="65"/>
  <c r="IN25" i="65"/>
  <c r="IM25" i="65"/>
  <c r="IL25" i="65"/>
  <c r="IK25" i="65"/>
  <c r="IJ25" i="65"/>
  <c r="II25" i="65"/>
  <c r="IH25" i="65"/>
  <c r="IG25" i="65"/>
  <c r="IF25" i="65"/>
  <c r="IE25" i="65"/>
  <c r="ID25" i="65"/>
  <c r="IC25" i="65"/>
  <c r="IB25" i="65"/>
  <c r="IA25" i="65"/>
  <c r="HZ25" i="65"/>
  <c r="HY25" i="65"/>
  <c r="HX25" i="65"/>
  <c r="HW25" i="65"/>
  <c r="HV25" i="65"/>
  <c r="HU25" i="65"/>
  <c r="HT25" i="65"/>
  <c r="HS25" i="65"/>
  <c r="HR25" i="65"/>
  <c r="HQ25" i="65"/>
  <c r="HP25" i="65"/>
  <c r="HO25" i="65"/>
  <c r="HN25" i="65"/>
  <c r="HM25" i="65"/>
  <c r="HL25" i="65"/>
  <c r="HK25" i="65"/>
  <c r="HJ25" i="65"/>
  <c r="HI25" i="65"/>
  <c r="HH25" i="65"/>
  <c r="HG25" i="65"/>
  <c r="HF25" i="65"/>
  <c r="HE25" i="65"/>
  <c r="HD25" i="65"/>
  <c r="HC25" i="65"/>
  <c r="HB25" i="65"/>
  <c r="HA25" i="65"/>
  <c r="GZ25" i="65"/>
  <c r="GY25" i="65"/>
  <c r="GX25" i="65"/>
  <c r="GW25" i="65"/>
  <c r="GV25" i="65"/>
  <c r="GU25" i="65"/>
  <c r="GT25" i="65"/>
  <c r="GS25" i="65"/>
  <c r="GR25" i="65"/>
  <c r="GQ25" i="65"/>
  <c r="GP25" i="65"/>
  <c r="GO25" i="65"/>
  <c r="GN25" i="65"/>
  <c r="GM25" i="65"/>
  <c r="GL25" i="65"/>
  <c r="GK25" i="65"/>
  <c r="GJ25" i="65"/>
  <c r="GI25" i="65"/>
  <c r="GH25" i="65"/>
  <c r="GG25" i="65"/>
  <c r="GF25" i="65"/>
  <c r="GE25" i="65"/>
  <c r="GD25" i="65"/>
  <c r="GC25" i="65"/>
  <c r="GB25" i="65"/>
  <c r="GA25" i="65"/>
  <c r="FZ25" i="65"/>
  <c r="FY25" i="65"/>
  <c r="FX25" i="65"/>
  <c r="FW25" i="65"/>
  <c r="FV25" i="65"/>
  <c r="FU25" i="65"/>
  <c r="FT25" i="65"/>
  <c r="FS25" i="65"/>
  <c r="FR25" i="65"/>
  <c r="FQ25" i="65"/>
  <c r="FP25" i="65"/>
  <c r="FO25" i="65"/>
  <c r="C25" i="65"/>
  <c r="LW24" i="65"/>
  <c r="LV24" i="65"/>
  <c r="LU24" i="65"/>
  <c r="LT24" i="65"/>
  <c r="LS24" i="65"/>
  <c r="LR24" i="65"/>
  <c r="LQ24" i="65"/>
  <c r="LP24" i="65"/>
  <c r="LO24" i="65"/>
  <c r="LN24" i="65"/>
  <c r="LM24" i="65"/>
  <c r="LL24" i="65"/>
  <c r="LK24" i="65"/>
  <c r="LJ24" i="65"/>
  <c r="LI24" i="65"/>
  <c r="LH24" i="65"/>
  <c r="LG24" i="65"/>
  <c r="LF24" i="65"/>
  <c r="LE24" i="65"/>
  <c r="LD24" i="65"/>
  <c r="LC24" i="65"/>
  <c r="LB24" i="65"/>
  <c r="LA24" i="65"/>
  <c r="KZ24" i="65"/>
  <c r="KY24" i="65"/>
  <c r="KX24" i="65"/>
  <c r="KW24" i="65"/>
  <c r="KV24" i="65"/>
  <c r="KU24" i="65"/>
  <c r="KT24" i="65"/>
  <c r="KS24" i="65"/>
  <c r="KR24" i="65"/>
  <c r="KQ24" i="65"/>
  <c r="KP24" i="65"/>
  <c r="KO24" i="65"/>
  <c r="KN24" i="65"/>
  <c r="KM24" i="65"/>
  <c r="KL24" i="65"/>
  <c r="KK24" i="65"/>
  <c r="KJ24" i="65"/>
  <c r="KI24" i="65"/>
  <c r="KH24" i="65"/>
  <c r="KG24" i="65"/>
  <c r="KF24" i="65"/>
  <c r="KE24" i="65"/>
  <c r="KD24" i="65"/>
  <c r="KC24" i="65"/>
  <c r="KB24" i="65"/>
  <c r="KA24" i="65"/>
  <c r="JZ24" i="65"/>
  <c r="JY24" i="65"/>
  <c r="JX24" i="65"/>
  <c r="JW24" i="65"/>
  <c r="JV24" i="65"/>
  <c r="JU24" i="65"/>
  <c r="JT24" i="65"/>
  <c r="JS24" i="65"/>
  <c r="JR24" i="65"/>
  <c r="JQ24" i="65"/>
  <c r="JP24" i="65"/>
  <c r="JO24" i="65"/>
  <c r="JN24" i="65"/>
  <c r="JM24" i="65"/>
  <c r="JL24" i="65"/>
  <c r="JK24" i="65"/>
  <c r="JJ24" i="65"/>
  <c r="JI24" i="65"/>
  <c r="JH24" i="65"/>
  <c r="JG24" i="65"/>
  <c r="JF24" i="65"/>
  <c r="JE24" i="65"/>
  <c r="JD24" i="65"/>
  <c r="JC24" i="65"/>
  <c r="JB24" i="65"/>
  <c r="JA24" i="65"/>
  <c r="IZ24" i="65"/>
  <c r="IY24" i="65"/>
  <c r="IX24" i="65"/>
  <c r="IW24" i="65"/>
  <c r="IV24" i="65"/>
  <c r="IU24" i="65"/>
  <c r="IT24" i="65"/>
  <c r="IS24" i="65"/>
  <c r="IR24" i="65"/>
  <c r="IQ24" i="65"/>
  <c r="IP24" i="65"/>
  <c r="IO24" i="65"/>
  <c r="IN24" i="65"/>
  <c r="IM24" i="65"/>
  <c r="IL24" i="65"/>
  <c r="IK24" i="65"/>
  <c r="IJ24" i="65"/>
  <c r="II24" i="65"/>
  <c r="IH24" i="65"/>
  <c r="IG24" i="65"/>
  <c r="IF24" i="65"/>
  <c r="IE24" i="65"/>
  <c r="ID24" i="65"/>
  <c r="IC24" i="65"/>
  <c r="IB24" i="65"/>
  <c r="IA24" i="65"/>
  <c r="HZ24" i="65"/>
  <c r="HY24" i="65"/>
  <c r="HX24" i="65"/>
  <c r="HW24" i="65"/>
  <c r="HV24" i="65"/>
  <c r="HU24" i="65"/>
  <c r="HT24" i="65"/>
  <c r="HS24" i="65"/>
  <c r="HR24" i="65"/>
  <c r="HQ24" i="65"/>
  <c r="HP24" i="65"/>
  <c r="HO24" i="65"/>
  <c r="HN24" i="65"/>
  <c r="HM24" i="65"/>
  <c r="HL24" i="65"/>
  <c r="HK24" i="65"/>
  <c r="HJ24" i="65"/>
  <c r="HI24" i="65"/>
  <c r="HH24" i="65"/>
  <c r="HG24" i="65"/>
  <c r="HF24" i="65"/>
  <c r="HE24" i="65"/>
  <c r="HD24" i="65"/>
  <c r="HC24" i="65"/>
  <c r="HB24" i="65"/>
  <c r="HA24" i="65"/>
  <c r="GZ24" i="65"/>
  <c r="GY24" i="65"/>
  <c r="GX24" i="65"/>
  <c r="GW24" i="65"/>
  <c r="GV24" i="65"/>
  <c r="GU24" i="65"/>
  <c r="GT24" i="65"/>
  <c r="GS24" i="65"/>
  <c r="GR24" i="65"/>
  <c r="GQ24" i="65"/>
  <c r="GP24" i="65"/>
  <c r="GO24" i="65"/>
  <c r="GN24" i="65"/>
  <c r="GM24" i="65"/>
  <c r="GL24" i="65"/>
  <c r="GK24" i="65"/>
  <c r="GJ24" i="65"/>
  <c r="GI24" i="65"/>
  <c r="GH24" i="65"/>
  <c r="GG24" i="65"/>
  <c r="GF24" i="65"/>
  <c r="GE24" i="65"/>
  <c r="GD24" i="65"/>
  <c r="GC24" i="65"/>
  <c r="GB24" i="65"/>
  <c r="GA24" i="65"/>
  <c r="FZ24" i="65"/>
  <c r="FY24" i="65"/>
  <c r="FX24" i="65"/>
  <c r="FW24" i="65"/>
  <c r="FV24" i="65"/>
  <c r="FU24" i="65"/>
  <c r="FT24" i="65"/>
  <c r="FS24" i="65"/>
  <c r="FR24" i="65"/>
  <c r="FQ24" i="65"/>
  <c r="FP24" i="65"/>
  <c r="FO24" i="65"/>
  <c r="C24" i="65"/>
  <c r="LW23" i="65"/>
  <c r="LV23" i="65"/>
  <c r="LU23" i="65"/>
  <c r="LT23" i="65"/>
  <c r="LS23" i="65"/>
  <c r="LR23" i="65"/>
  <c r="LQ23" i="65"/>
  <c r="LP23" i="65"/>
  <c r="LO23" i="65"/>
  <c r="LN23" i="65"/>
  <c r="LM23" i="65"/>
  <c r="LL23" i="65"/>
  <c r="LK23" i="65"/>
  <c r="LJ23" i="65"/>
  <c r="LI23" i="65"/>
  <c r="LH23" i="65"/>
  <c r="LG23" i="65"/>
  <c r="LF23" i="65"/>
  <c r="LE23" i="65"/>
  <c r="LD23" i="65"/>
  <c r="LC23" i="65"/>
  <c r="LB23" i="65"/>
  <c r="LA23" i="65"/>
  <c r="KZ23" i="65"/>
  <c r="KY23" i="65"/>
  <c r="KX23" i="65"/>
  <c r="KW23" i="65"/>
  <c r="KV23" i="65"/>
  <c r="KU23" i="65"/>
  <c r="KT23" i="65"/>
  <c r="KS23" i="65"/>
  <c r="KR23" i="65"/>
  <c r="KQ23" i="65"/>
  <c r="KP23" i="65"/>
  <c r="KO23" i="65"/>
  <c r="KN23" i="65"/>
  <c r="KM23" i="65"/>
  <c r="KL23" i="65"/>
  <c r="KK23" i="65"/>
  <c r="KJ23" i="65"/>
  <c r="KI23" i="65"/>
  <c r="KH23" i="65"/>
  <c r="KG23" i="65"/>
  <c r="KF23" i="65"/>
  <c r="KE23" i="65"/>
  <c r="KD23" i="65"/>
  <c r="KC23" i="65"/>
  <c r="KB23" i="65"/>
  <c r="KA23" i="65"/>
  <c r="JZ23" i="65"/>
  <c r="JY23" i="65"/>
  <c r="JX23" i="65"/>
  <c r="JW23" i="65"/>
  <c r="JV23" i="65"/>
  <c r="JU23" i="65"/>
  <c r="JT23" i="65"/>
  <c r="JS23" i="65"/>
  <c r="JR23" i="65"/>
  <c r="JQ23" i="65"/>
  <c r="JP23" i="65"/>
  <c r="JO23" i="65"/>
  <c r="JN23" i="65"/>
  <c r="JM23" i="65"/>
  <c r="JL23" i="65"/>
  <c r="JK23" i="65"/>
  <c r="JJ23" i="65"/>
  <c r="JI23" i="65"/>
  <c r="JH23" i="65"/>
  <c r="JG23" i="65"/>
  <c r="JF23" i="65"/>
  <c r="JE23" i="65"/>
  <c r="JD23" i="65"/>
  <c r="JC23" i="65"/>
  <c r="JB23" i="65"/>
  <c r="JA23" i="65"/>
  <c r="IZ23" i="65"/>
  <c r="IY23" i="65"/>
  <c r="IX23" i="65"/>
  <c r="IW23" i="65"/>
  <c r="IV23" i="65"/>
  <c r="IU23" i="65"/>
  <c r="IT23" i="65"/>
  <c r="IS23" i="65"/>
  <c r="IR23" i="65"/>
  <c r="IQ23" i="65"/>
  <c r="IP23" i="65"/>
  <c r="IO23" i="65"/>
  <c r="IN23" i="65"/>
  <c r="IM23" i="65"/>
  <c r="IL23" i="65"/>
  <c r="IK23" i="65"/>
  <c r="IJ23" i="65"/>
  <c r="II23" i="65"/>
  <c r="IH23" i="65"/>
  <c r="IG23" i="65"/>
  <c r="IF23" i="65"/>
  <c r="IE23" i="65"/>
  <c r="ID23" i="65"/>
  <c r="IC23" i="65"/>
  <c r="IB23" i="65"/>
  <c r="IA23" i="65"/>
  <c r="HZ23" i="65"/>
  <c r="HY23" i="65"/>
  <c r="HX23" i="65"/>
  <c r="HW23" i="65"/>
  <c r="HV23" i="65"/>
  <c r="HU23" i="65"/>
  <c r="HT23" i="65"/>
  <c r="HS23" i="65"/>
  <c r="HR23" i="65"/>
  <c r="HQ23" i="65"/>
  <c r="HP23" i="65"/>
  <c r="HO23" i="65"/>
  <c r="HN23" i="65"/>
  <c r="HM23" i="65"/>
  <c r="HL23" i="65"/>
  <c r="HK23" i="65"/>
  <c r="HJ23" i="65"/>
  <c r="HI23" i="65"/>
  <c r="HH23" i="65"/>
  <c r="HG23" i="65"/>
  <c r="HF23" i="65"/>
  <c r="HE23" i="65"/>
  <c r="HD23" i="65"/>
  <c r="HC23" i="65"/>
  <c r="HB23" i="65"/>
  <c r="HA23" i="65"/>
  <c r="GZ23" i="65"/>
  <c r="GY23" i="65"/>
  <c r="GX23" i="65"/>
  <c r="GW23" i="65"/>
  <c r="GV23" i="65"/>
  <c r="GU23" i="65"/>
  <c r="GT23" i="65"/>
  <c r="GS23" i="65"/>
  <c r="GR23" i="65"/>
  <c r="GQ23" i="65"/>
  <c r="GP23" i="65"/>
  <c r="GO23" i="65"/>
  <c r="GN23" i="65"/>
  <c r="GM23" i="65"/>
  <c r="GL23" i="65"/>
  <c r="GK23" i="65"/>
  <c r="GJ23" i="65"/>
  <c r="GI23" i="65"/>
  <c r="GH23" i="65"/>
  <c r="GG23" i="65"/>
  <c r="GF23" i="65"/>
  <c r="GE23" i="65"/>
  <c r="GD23" i="65"/>
  <c r="GC23" i="65"/>
  <c r="GB23" i="65"/>
  <c r="GA23" i="65"/>
  <c r="FZ23" i="65"/>
  <c r="FY23" i="65"/>
  <c r="FX23" i="65"/>
  <c r="FW23" i="65"/>
  <c r="FV23" i="65"/>
  <c r="FU23" i="65"/>
  <c r="FT23" i="65"/>
  <c r="FS23" i="65"/>
  <c r="FR23" i="65"/>
  <c r="FQ23" i="65"/>
  <c r="FP23" i="65"/>
  <c r="FO23" i="65"/>
  <c r="C23" i="65"/>
  <c r="LW22" i="65"/>
  <c r="LV22" i="65"/>
  <c r="LU22" i="65"/>
  <c r="LT22" i="65"/>
  <c r="LS22" i="65"/>
  <c r="LR22" i="65"/>
  <c r="LQ22" i="65"/>
  <c r="LP22" i="65"/>
  <c r="LO22" i="65"/>
  <c r="LN22" i="65"/>
  <c r="LM22" i="65"/>
  <c r="LL22" i="65"/>
  <c r="LK22" i="65"/>
  <c r="LJ22" i="65"/>
  <c r="LI22" i="65"/>
  <c r="LH22" i="65"/>
  <c r="LG22" i="65"/>
  <c r="LF22" i="65"/>
  <c r="LE22" i="65"/>
  <c r="LD22" i="65"/>
  <c r="LC22" i="65"/>
  <c r="LB22" i="65"/>
  <c r="LA22" i="65"/>
  <c r="KZ22" i="65"/>
  <c r="KY22" i="65"/>
  <c r="KX22" i="65"/>
  <c r="KW22" i="65"/>
  <c r="KV22" i="65"/>
  <c r="KU22" i="65"/>
  <c r="KT22" i="65"/>
  <c r="KS22" i="65"/>
  <c r="KR22" i="65"/>
  <c r="KQ22" i="65"/>
  <c r="KP22" i="65"/>
  <c r="KO22" i="65"/>
  <c r="KN22" i="65"/>
  <c r="KM22" i="65"/>
  <c r="KL22" i="65"/>
  <c r="KK22" i="65"/>
  <c r="KJ22" i="65"/>
  <c r="KI22" i="65"/>
  <c r="KH22" i="65"/>
  <c r="KG22" i="65"/>
  <c r="KF22" i="65"/>
  <c r="KE22" i="65"/>
  <c r="KD22" i="65"/>
  <c r="KC22" i="65"/>
  <c r="KB22" i="65"/>
  <c r="KA22" i="65"/>
  <c r="JZ22" i="65"/>
  <c r="JY22" i="65"/>
  <c r="JX22" i="65"/>
  <c r="JW22" i="65"/>
  <c r="JV22" i="65"/>
  <c r="JU22" i="65"/>
  <c r="JT22" i="65"/>
  <c r="JS22" i="65"/>
  <c r="JR22" i="65"/>
  <c r="JQ22" i="65"/>
  <c r="JP22" i="65"/>
  <c r="JO22" i="65"/>
  <c r="JN22" i="65"/>
  <c r="JM22" i="65"/>
  <c r="JL22" i="65"/>
  <c r="JK22" i="65"/>
  <c r="JJ22" i="65"/>
  <c r="JI22" i="65"/>
  <c r="JH22" i="65"/>
  <c r="JG22" i="65"/>
  <c r="JF22" i="65"/>
  <c r="JE22" i="65"/>
  <c r="JD22" i="65"/>
  <c r="JC22" i="65"/>
  <c r="JB22" i="65"/>
  <c r="JA22" i="65"/>
  <c r="IZ22" i="65"/>
  <c r="IY22" i="65"/>
  <c r="IX22" i="65"/>
  <c r="IW22" i="65"/>
  <c r="IV22" i="65"/>
  <c r="IU22" i="65"/>
  <c r="IT22" i="65"/>
  <c r="IS22" i="65"/>
  <c r="IR22" i="65"/>
  <c r="IQ22" i="65"/>
  <c r="IP22" i="65"/>
  <c r="IO22" i="65"/>
  <c r="IN22" i="65"/>
  <c r="IM22" i="65"/>
  <c r="IL22" i="65"/>
  <c r="IK22" i="65"/>
  <c r="IJ22" i="65"/>
  <c r="II22" i="65"/>
  <c r="IH22" i="65"/>
  <c r="IG22" i="65"/>
  <c r="IF22" i="65"/>
  <c r="IE22" i="65"/>
  <c r="ID22" i="65"/>
  <c r="IC22" i="65"/>
  <c r="IB22" i="65"/>
  <c r="IA22" i="65"/>
  <c r="HZ22" i="65"/>
  <c r="HY22" i="65"/>
  <c r="HX22" i="65"/>
  <c r="HW22" i="65"/>
  <c r="HV22" i="65"/>
  <c r="HU22" i="65"/>
  <c r="HT22" i="65"/>
  <c r="HS22" i="65"/>
  <c r="HR22" i="65"/>
  <c r="HQ22" i="65"/>
  <c r="HP22" i="65"/>
  <c r="HO22" i="65"/>
  <c r="HN22" i="65"/>
  <c r="HM22" i="65"/>
  <c r="HL22" i="65"/>
  <c r="HK22" i="65"/>
  <c r="HJ22" i="65"/>
  <c r="HI22" i="65"/>
  <c r="HH22" i="65"/>
  <c r="HG22" i="65"/>
  <c r="HF22" i="65"/>
  <c r="HE22" i="65"/>
  <c r="HD22" i="65"/>
  <c r="HC22" i="65"/>
  <c r="HB22" i="65"/>
  <c r="HA22" i="65"/>
  <c r="GZ22" i="65"/>
  <c r="GY22" i="65"/>
  <c r="GX22" i="65"/>
  <c r="GW22" i="65"/>
  <c r="GV22" i="65"/>
  <c r="GU22" i="65"/>
  <c r="GT22" i="65"/>
  <c r="GS22" i="65"/>
  <c r="GR22" i="65"/>
  <c r="GQ22" i="65"/>
  <c r="GP22" i="65"/>
  <c r="GO22" i="65"/>
  <c r="GN22" i="65"/>
  <c r="GM22" i="65"/>
  <c r="GL22" i="65"/>
  <c r="GK22" i="65"/>
  <c r="GJ22" i="65"/>
  <c r="GI22" i="65"/>
  <c r="GH22" i="65"/>
  <c r="GG22" i="65"/>
  <c r="GF22" i="65"/>
  <c r="GE22" i="65"/>
  <c r="GD22" i="65"/>
  <c r="GC22" i="65"/>
  <c r="GB22" i="65"/>
  <c r="GA22" i="65"/>
  <c r="FZ22" i="65"/>
  <c r="FY22" i="65"/>
  <c r="FX22" i="65"/>
  <c r="FW22" i="65"/>
  <c r="FV22" i="65"/>
  <c r="FU22" i="65"/>
  <c r="FT22" i="65"/>
  <c r="FS22" i="65"/>
  <c r="FR22" i="65"/>
  <c r="FQ22" i="65"/>
  <c r="FP22" i="65"/>
  <c r="FO22" i="65"/>
  <c r="C22" i="65"/>
  <c r="LW21" i="65"/>
  <c r="LV21" i="65"/>
  <c r="LU21" i="65"/>
  <c r="LT21" i="65"/>
  <c r="LS21" i="65"/>
  <c r="LR21" i="65"/>
  <c r="LQ21" i="65"/>
  <c r="LP21" i="65"/>
  <c r="LO21" i="65"/>
  <c r="LN21" i="65"/>
  <c r="LM21" i="65"/>
  <c r="LL21" i="65"/>
  <c r="LK21" i="65"/>
  <c r="LJ21" i="65"/>
  <c r="LI21" i="65"/>
  <c r="LH21" i="65"/>
  <c r="LG21" i="65"/>
  <c r="LF21" i="65"/>
  <c r="LE21" i="65"/>
  <c r="LD21" i="65"/>
  <c r="LC21" i="65"/>
  <c r="LB21" i="65"/>
  <c r="LA21" i="65"/>
  <c r="KZ21" i="65"/>
  <c r="KY21" i="65"/>
  <c r="KX21" i="65"/>
  <c r="KW21" i="65"/>
  <c r="KV21" i="65"/>
  <c r="KU21" i="65"/>
  <c r="KT21" i="65"/>
  <c r="KS21" i="65"/>
  <c r="KR21" i="65"/>
  <c r="KQ21" i="65"/>
  <c r="KP21" i="65"/>
  <c r="KO21" i="65"/>
  <c r="KN21" i="65"/>
  <c r="KM21" i="65"/>
  <c r="KL21" i="65"/>
  <c r="KK21" i="65"/>
  <c r="KJ21" i="65"/>
  <c r="KI21" i="65"/>
  <c r="KH21" i="65"/>
  <c r="KG21" i="65"/>
  <c r="KF21" i="65"/>
  <c r="KE21" i="65"/>
  <c r="KD21" i="65"/>
  <c r="KC21" i="65"/>
  <c r="KB21" i="65"/>
  <c r="KA21" i="65"/>
  <c r="JZ21" i="65"/>
  <c r="JY21" i="65"/>
  <c r="JX21" i="65"/>
  <c r="JW21" i="65"/>
  <c r="JV21" i="65"/>
  <c r="JU21" i="65"/>
  <c r="JT21" i="65"/>
  <c r="JS21" i="65"/>
  <c r="JR21" i="65"/>
  <c r="JQ21" i="65"/>
  <c r="JP21" i="65"/>
  <c r="JO21" i="65"/>
  <c r="JN21" i="65"/>
  <c r="JM21" i="65"/>
  <c r="JL21" i="65"/>
  <c r="JK21" i="65"/>
  <c r="JJ21" i="65"/>
  <c r="JI21" i="65"/>
  <c r="JH21" i="65"/>
  <c r="JG21" i="65"/>
  <c r="JF21" i="65"/>
  <c r="JE21" i="65"/>
  <c r="JD21" i="65"/>
  <c r="JC21" i="65"/>
  <c r="JB21" i="65"/>
  <c r="JA21" i="65"/>
  <c r="IZ21" i="65"/>
  <c r="IY21" i="65"/>
  <c r="IX21" i="65"/>
  <c r="IW21" i="65"/>
  <c r="IV21" i="65"/>
  <c r="IU21" i="65"/>
  <c r="IT21" i="65"/>
  <c r="IS21" i="65"/>
  <c r="IR21" i="65"/>
  <c r="IQ21" i="65"/>
  <c r="IP21" i="65"/>
  <c r="IO21" i="65"/>
  <c r="IN21" i="65"/>
  <c r="IM21" i="65"/>
  <c r="IL21" i="65"/>
  <c r="IK21" i="65"/>
  <c r="IJ21" i="65"/>
  <c r="II21" i="65"/>
  <c r="IH21" i="65"/>
  <c r="IG21" i="65"/>
  <c r="IF21" i="65"/>
  <c r="IE21" i="65"/>
  <c r="ID21" i="65"/>
  <c r="IC21" i="65"/>
  <c r="IB21" i="65"/>
  <c r="IA21" i="65"/>
  <c r="HZ21" i="65"/>
  <c r="HY21" i="65"/>
  <c r="HX21" i="65"/>
  <c r="HW21" i="65"/>
  <c r="HV21" i="65"/>
  <c r="HU21" i="65"/>
  <c r="HT21" i="65"/>
  <c r="HS21" i="65"/>
  <c r="HR21" i="65"/>
  <c r="HQ21" i="65"/>
  <c r="HP21" i="65"/>
  <c r="HO21" i="65"/>
  <c r="HN21" i="65"/>
  <c r="HM21" i="65"/>
  <c r="HL21" i="65"/>
  <c r="HK21" i="65"/>
  <c r="HJ21" i="65"/>
  <c r="HI21" i="65"/>
  <c r="HH21" i="65"/>
  <c r="HG21" i="65"/>
  <c r="HF21" i="65"/>
  <c r="HE21" i="65"/>
  <c r="HD21" i="65"/>
  <c r="HC21" i="65"/>
  <c r="HB21" i="65"/>
  <c r="HA21" i="65"/>
  <c r="GZ21" i="65"/>
  <c r="GY21" i="65"/>
  <c r="GX21" i="65"/>
  <c r="GW21" i="65"/>
  <c r="GV21" i="65"/>
  <c r="GU21" i="65"/>
  <c r="GT21" i="65"/>
  <c r="GS21" i="65"/>
  <c r="GR21" i="65"/>
  <c r="GQ21" i="65"/>
  <c r="GP21" i="65"/>
  <c r="GO21" i="65"/>
  <c r="GN21" i="65"/>
  <c r="GM21" i="65"/>
  <c r="GL21" i="65"/>
  <c r="GK21" i="65"/>
  <c r="GJ21" i="65"/>
  <c r="GI21" i="65"/>
  <c r="GH21" i="65"/>
  <c r="GG21" i="65"/>
  <c r="GF21" i="65"/>
  <c r="GE21" i="65"/>
  <c r="GD21" i="65"/>
  <c r="GC21" i="65"/>
  <c r="GB21" i="65"/>
  <c r="GA21" i="65"/>
  <c r="FZ21" i="65"/>
  <c r="FY21" i="65"/>
  <c r="FX21" i="65"/>
  <c r="FW21" i="65"/>
  <c r="FV21" i="65"/>
  <c r="FU21" i="65"/>
  <c r="FT21" i="65"/>
  <c r="FS21" i="65"/>
  <c r="FR21" i="65"/>
  <c r="FQ21" i="65"/>
  <c r="FP21" i="65"/>
  <c r="FO21" i="65"/>
  <c r="C21" i="65"/>
  <c r="LW20" i="65"/>
  <c r="LV20" i="65"/>
  <c r="LU20" i="65"/>
  <c r="LT20" i="65"/>
  <c r="LS20" i="65"/>
  <c r="LR20" i="65"/>
  <c r="LQ20" i="65"/>
  <c r="LP20" i="65"/>
  <c r="LO20" i="65"/>
  <c r="LN20" i="65"/>
  <c r="LM20" i="65"/>
  <c r="LL20" i="65"/>
  <c r="LK20" i="65"/>
  <c r="LJ20" i="65"/>
  <c r="LI20" i="65"/>
  <c r="LH20" i="65"/>
  <c r="LG20" i="65"/>
  <c r="LF20" i="65"/>
  <c r="LE20" i="65"/>
  <c r="LD20" i="65"/>
  <c r="LC20" i="65"/>
  <c r="LB20" i="65"/>
  <c r="LA20" i="65"/>
  <c r="KZ20" i="65"/>
  <c r="KY20" i="65"/>
  <c r="KX20" i="65"/>
  <c r="KW20" i="65"/>
  <c r="KV20" i="65"/>
  <c r="KU20" i="65"/>
  <c r="KT20" i="65"/>
  <c r="KS20" i="65"/>
  <c r="KR20" i="65"/>
  <c r="KQ20" i="65"/>
  <c r="KP20" i="65"/>
  <c r="KO20" i="65"/>
  <c r="KN20" i="65"/>
  <c r="KM20" i="65"/>
  <c r="KL20" i="65"/>
  <c r="KK20" i="65"/>
  <c r="KJ20" i="65"/>
  <c r="KI20" i="65"/>
  <c r="KH20" i="65"/>
  <c r="KG20" i="65"/>
  <c r="KF20" i="65"/>
  <c r="KE20" i="65"/>
  <c r="KD20" i="65"/>
  <c r="KC20" i="65"/>
  <c r="KB20" i="65"/>
  <c r="KA20" i="65"/>
  <c r="JZ20" i="65"/>
  <c r="JY20" i="65"/>
  <c r="JX20" i="65"/>
  <c r="JW20" i="65"/>
  <c r="JV20" i="65"/>
  <c r="JU20" i="65"/>
  <c r="JT20" i="65"/>
  <c r="JS20" i="65"/>
  <c r="JR20" i="65"/>
  <c r="JQ20" i="65"/>
  <c r="JP20" i="65"/>
  <c r="JO20" i="65"/>
  <c r="JN20" i="65"/>
  <c r="JM20" i="65"/>
  <c r="JL20" i="65"/>
  <c r="JK20" i="65"/>
  <c r="JJ20" i="65"/>
  <c r="JI20" i="65"/>
  <c r="JH20" i="65"/>
  <c r="JG20" i="65"/>
  <c r="JF20" i="65"/>
  <c r="JE20" i="65"/>
  <c r="JD20" i="65"/>
  <c r="JC20" i="65"/>
  <c r="JB20" i="65"/>
  <c r="JA20" i="65"/>
  <c r="IZ20" i="65"/>
  <c r="IY20" i="65"/>
  <c r="IX20" i="65"/>
  <c r="IW20" i="65"/>
  <c r="IV20" i="65"/>
  <c r="IU20" i="65"/>
  <c r="IT20" i="65"/>
  <c r="IS20" i="65"/>
  <c r="IR20" i="65"/>
  <c r="IQ20" i="65"/>
  <c r="IP20" i="65"/>
  <c r="IO20" i="65"/>
  <c r="IN20" i="65"/>
  <c r="IM20" i="65"/>
  <c r="IL20" i="65"/>
  <c r="IK20" i="65"/>
  <c r="IJ20" i="65"/>
  <c r="II20" i="65"/>
  <c r="IH20" i="65"/>
  <c r="IG20" i="65"/>
  <c r="IF20" i="65"/>
  <c r="IE20" i="65"/>
  <c r="ID20" i="65"/>
  <c r="IC20" i="65"/>
  <c r="IB20" i="65"/>
  <c r="IA20" i="65"/>
  <c r="HZ20" i="65"/>
  <c r="HY20" i="65"/>
  <c r="HX20" i="65"/>
  <c r="HW20" i="65"/>
  <c r="HV20" i="65"/>
  <c r="HU20" i="65"/>
  <c r="HT20" i="65"/>
  <c r="HS20" i="65"/>
  <c r="HR20" i="65"/>
  <c r="HQ20" i="65"/>
  <c r="HP20" i="65"/>
  <c r="HO20" i="65"/>
  <c r="HN20" i="65"/>
  <c r="HM20" i="65"/>
  <c r="HL20" i="65"/>
  <c r="HK20" i="65"/>
  <c r="HJ20" i="65"/>
  <c r="HI20" i="65"/>
  <c r="HH20" i="65"/>
  <c r="HG20" i="65"/>
  <c r="HF20" i="65"/>
  <c r="HE20" i="65"/>
  <c r="HD20" i="65"/>
  <c r="HC20" i="65"/>
  <c r="HB20" i="65"/>
  <c r="HA20" i="65"/>
  <c r="GZ20" i="65"/>
  <c r="GY20" i="65"/>
  <c r="GX20" i="65"/>
  <c r="GW20" i="65"/>
  <c r="GV20" i="65"/>
  <c r="GU20" i="65"/>
  <c r="GT20" i="65"/>
  <c r="GS20" i="65"/>
  <c r="GR20" i="65"/>
  <c r="GQ20" i="65"/>
  <c r="GP20" i="65"/>
  <c r="GO20" i="65"/>
  <c r="GN20" i="65"/>
  <c r="GM20" i="65"/>
  <c r="GL20" i="65"/>
  <c r="GK20" i="65"/>
  <c r="GJ20" i="65"/>
  <c r="GI20" i="65"/>
  <c r="GH20" i="65"/>
  <c r="GG20" i="65"/>
  <c r="GF20" i="65"/>
  <c r="GE20" i="65"/>
  <c r="GD20" i="65"/>
  <c r="GC20" i="65"/>
  <c r="GB20" i="65"/>
  <c r="GA20" i="65"/>
  <c r="FZ20" i="65"/>
  <c r="FY20" i="65"/>
  <c r="FX20" i="65"/>
  <c r="FW20" i="65"/>
  <c r="FV20" i="65"/>
  <c r="FU20" i="65"/>
  <c r="FT20" i="65"/>
  <c r="FS20" i="65"/>
  <c r="FR20" i="65"/>
  <c r="FQ20" i="65"/>
  <c r="FP20" i="65"/>
  <c r="FO20" i="65"/>
  <c r="C20" i="65"/>
  <c r="LW19" i="65"/>
  <c r="LV19" i="65"/>
  <c r="LU19" i="65"/>
  <c r="LT19" i="65"/>
  <c r="LS19" i="65"/>
  <c r="LR19" i="65"/>
  <c r="LQ19" i="65"/>
  <c r="LP19" i="65"/>
  <c r="LO19" i="65"/>
  <c r="LN19" i="65"/>
  <c r="LM19" i="65"/>
  <c r="LL19" i="65"/>
  <c r="LK19" i="65"/>
  <c r="LJ19" i="65"/>
  <c r="LI19" i="65"/>
  <c r="LH19" i="65"/>
  <c r="LG19" i="65"/>
  <c r="LF19" i="65"/>
  <c r="LE19" i="65"/>
  <c r="LD19" i="65"/>
  <c r="LC19" i="65"/>
  <c r="LB19" i="65"/>
  <c r="LA19" i="65"/>
  <c r="KZ19" i="65"/>
  <c r="KY19" i="65"/>
  <c r="KX19" i="65"/>
  <c r="KW19" i="65"/>
  <c r="KV19" i="65"/>
  <c r="KU19" i="65"/>
  <c r="KT19" i="65"/>
  <c r="KS19" i="65"/>
  <c r="KR19" i="65"/>
  <c r="KQ19" i="65"/>
  <c r="KP19" i="65"/>
  <c r="KO19" i="65"/>
  <c r="KN19" i="65"/>
  <c r="KM19" i="65"/>
  <c r="KL19" i="65"/>
  <c r="KK19" i="65"/>
  <c r="KJ19" i="65"/>
  <c r="KI19" i="65"/>
  <c r="KH19" i="65"/>
  <c r="KG19" i="65"/>
  <c r="KF19" i="65"/>
  <c r="KE19" i="65"/>
  <c r="KD19" i="65"/>
  <c r="KC19" i="65"/>
  <c r="KB19" i="65"/>
  <c r="KA19" i="65"/>
  <c r="JZ19" i="65"/>
  <c r="JY19" i="65"/>
  <c r="JX19" i="65"/>
  <c r="JW19" i="65"/>
  <c r="JV19" i="65"/>
  <c r="JU19" i="65"/>
  <c r="JT19" i="65"/>
  <c r="JS19" i="65"/>
  <c r="JR19" i="65"/>
  <c r="JQ19" i="65"/>
  <c r="JP19" i="65"/>
  <c r="JO19" i="65"/>
  <c r="JN19" i="65"/>
  <c r="JM19" i="65"/>
  <c r="JL19" i="65"/>
  <c r="JK19" i="65"/>
  <c r="JJ19" i="65"/>
  <c r="JI19" i="65"/>
  <c r="JH19" i="65"/>
  <c r="JG19" i="65"/>
  <c r="JF19" i="65"/>
  <c r="JE19" i="65"/>
  <c r="JD19" i="65"/>
  <c r="JC19" i="65"/>
  <c r="JB19" i="65"/>
  <c r="JA19" i="65"/>
  <c r="IZ19" i="65"/>
  <c r="IY19" i="65"/>
  <c r="IX19" i="65"/>
  <c r="IW19" i="65"/>
  <c r="IV19" i="65"/>
  <c r="IU19" i="65"/>
  <c r="IT19" i="65"/>
  <c r="IS19" i="65"/>
  <c r="IR19" i="65"/>
  <c r="IQ19" i="65"/>
  <c r="IP19" i="65"/>
  <c r="IO19" i="65"/>
  <c r="IN19" i="65"/>
  <c r="IM19" i="65"/>
  <c r="IL19" i="65"/>
  <c r="IK19" i="65"/>
  <c r="IJ19" i="65"/>
  <c r="II19" i="65"/>
  <c r="IH19" i="65"/>
  <c r="IG19" i="65"/>
  <c r="IF19" i="65"/>
  <c r="IE19" i="65"/>
  <c r="ID19" i="65"/>
  <c r="IC19" i="65"/>
  <c r="IB19" i="65"/>
  <c r="IA19" i="65"/>
  <c r="HZ19" i="65"/>
  <c r="HY19" i="65"/>
  <c r="HX19" i="65"/>
  <c r="HW19" i="65"/>
  <c r="HV19" i="65"/>
  <c r="HU19" i="65"/>
  <c r="HT19" i="65"/>
  <c r="HS19" i="65"/>
  <c r="HR19" i="65"/>
  <c r="HQ19" i="65"/>
  <c r="HP19" i="65"/>
  <c r="HO19" i="65"/>
  <c r="HN19" i="65"/>
  <c r="HM19" i="65"/>
  <c r="HL19" i="65"/>
  <c r="HK19" i="65"/>
  <c r="HJ19" i="65"/>
  <c r="HI19" i="65"/>
  <c r="HH19" i="65"/>
  <c r="HG19" i="65"/>
  <c r="HF19" i="65"/>
  <c r="HE19" i="65"/>
  <c r="HD19" i="65"/>
  <c r="HC19" i="65"/>
  <c r="HB19" i="65"/>
  <c r="HA19" i="65"/>
  <c r="GZ19" i="65"/>
  <c r="GY19" i="65"/>
  <c r="GX19" i="65"/>
  <c r="GW19" i="65"/>
  <c r="GV19" i="65"/>
  <c r="GU19" i="65"/>
  <c r="GT19" i="65"/>
  <c r="GS19" i="65"/>
  <c r="GR19" i="65"/>
  <c r="GQ19" i="65"/>
  <c r="GP19" i="65"/>
  <c r="GO19" i="65"/>
  <c r="GN19" i="65"/>
  <c r="GM19" i="65"/>
  <c r="GL19" i="65"/>
  <c r="GK19" i="65"/>
  <c r="GJ19" i="65"/>
  <c r="GI19" i="65"/>
  <c r="GH19" i="65"/>
  <c r="GG19" i="65"/>
  <c r="GF19" i="65"/>
  <c r="GE19" i="65"/>
  <c r="GD19" i="65"/>
  <c r="GC19" i="65"/>
  <c r="GB19" i="65"/>
  <c r="GA19" i="65"/>
  <c r="FZ19" i="65"/>
  <c r="FY19" i="65"/>
  <c r="FX19" i="65"/>
  <c r="FW19" i="65"/>
  <c r="FV19" i="65"/>
  <c r="FU19" i="65"/>
  <c r="FT19" i="65"/>
  <c r="FS19" i="65"/>
  <c r="FR19" i="65"/>
  <c r="FQ19" i="65"/>
  <c r="FP19" i="65"/>
  <c r="FO19" i="65"/>
  <c r="C19" i="65"/>
  <c r="LW18" i="65"/>
  <c r="LV18" i="65"/>
  <c r="LU18" i="65"/>
  <c r="LT18" i="65"/>
  <c r="LS18" i="65"/>
  <c r="LR18" i="65"/>
  <c r="LQ18" i="65"/>
  <c r="LP18" i="65"/>
  <c r="LO18" i="65"/>
  <c r="LN18" i="65"/>
  <c r="LM18" i="65"/>
  <c r="LL18" i="65"/>
  <c r="LK18" i="65"/>
  <c r="LJ18" i="65"/>
  <c r="LI18" i="65"/>
  <c r="LH18" i="65"/>
  <c r="LG18" i="65"/>
  <c r="LF18" i="65"/>
  <c r="LE18" i="65"/>
  <c r="LD18" i="65"/>
  <c r="LC18" i="65"/>
  <c r="LB18" i="65"/>
  <c r="LA18" i="65"/>
  <c r="KZ18" i="65"/>
  <c r="KY18" i="65"/>
  <c r="KX18" i="65"/>
  <c r="KW18" i="65"/>
  <c r="KV18" i="65"/>
  <c r="KU18" i="65"/>
  <c r="KT18" i="65"/>
  <c r="KS18" i="65"/>
  <c r="KR18" i="65"/>
  <c r="KQ18" i="65"/>
  <c r="KP18" i="65"/>
  <c r="KO18" i="65"/>
  <c r="KN18" i="65"/>
  <c r="KM18" i="65"/>
  <c r="KL18" i="65"/>
  <c r="KK18" i="65"/>
  <c r="KJ18" i="65"/>
  <c r="KI18" i="65"/>
  <c r="KH18" i="65"/>
  <c r="KG18" i="65"/>
  <c r="KF18" i="65"/>
  <c r="KE18" i="65"/>
  <c r="KD18" i="65"/>
  <c r="KC18" i="65"/>
  <c r="KB18" i="65"/>
  <c r="KA18" i="65"/>
  <c r="JZ18" i="65"/>
  <c r="JY18" i="65"/>
  <c r="JX18" i="65"/>
  <c r="JW18" i="65"/>
  <c r="JV18" i="65"/>
  <c r="JU18" i="65"/>
  <c r="JT18" i="65"/>
  <c r="JS18" i="65"/>
  <c r="JR18" i="65"/>
  <c r="JQ18" i="65"/>
  <c r="JP18" i="65"/>
  <c r="JO18" i="65"/>
  <c r="JN18" i="65"/>
  <c r="JM18" i="65"/>
  <c r="JL18" i="65"/>
  <c r="JK18" i="65"/>
  <c r="JJ18" i="65"/>
  <c r="JI18" i="65"/>
  <c r="JH18" i="65"/>
  <c r="JG18" i="65"/>
  <c r="JF18" i="65"/>
  <c r="JE18" i="65"/>
  <c r="JD18" i="65"/>
  <c r="JC18" i="65"/>
  <c r="JB18" i="65"/>
  <c r="JA18" i="65"/>
  <c r="IZ18" i="65"/>
  <c r="IY18" i="65"/>
  <c r="IX18" i="65"/>
  <c r="IW18" i="65"/>
  <c r="IV18" i="65"/>
  <c r="IU18" i="65"/>
  <c r="IT18" i="65"/>
  <c r="IS18" i="65"/>
  <c r="IR18" i="65"/>
  <c r="IQ18" i="65"/>
  <c r="IP18" i="65"/>
  <c r="IO18" i="65"/>
  <c r="IN18" i="65"/>
  <c r="IM18" i="65"/>
  <c r="IL18" i="65"/>
  <c r="IK18" i="65"/>
  <c r="IJ18" i="65"/>
  <c r="II18" i="65"/>
  <c r="IH18" i="65"/>
  <c r="IG18" i="65"/>
  <c r="IF18" i="65"/>
  <c r="IE18" i="65"/>
  <c r="ID18" i="65"/>
  <c r="IC18" i="65"/>
  <c r="IB18" i="65"/>
  <c r="IA18" i="65"/>
  <c r="HZ18" i="65"/>
  <c r="HY18" i="65"/>
  <c r="HX18" i="65"/>
  <c r="HW18" i="65"/>
  <c r="HV18" i="65"/>
  <c r="HU18" i="65"/>
  <c r="HT18" i="65"/>
  <c r="HS18" i="65"/>
  <c r="HR18" i="65"/>
  <c r="HQ18" i="65"/>
  <c r="HP18" i="65"/>
  <c r="HO18" i="65"/>
  <c r="HN18" i="65"/>
  <c r="HM18" i="65"/>
  <c r="HL18" i="65"/>
  <c r="HK18" i="65"/>
  <c r="HJ18" i="65"/>
  <c r="HI18" i="65"/>
  <c r="HH18" i="65"/>
  <c r="HG18" i="65"/>
  <c r="HF18" i="65"/>
  <c r="HE18" i="65"/>
  <c r="HD18" i="65"/>
  <c r="HC18" i="65"/>
  <c r="HB18" i="65"/>
  <c r="HA18" i="65"/>
  <c r="GZ18" i="65"/>
  <c r="GY18" i="65"/>
  <c r="GX18" i="65"/>
  <c r="GW18" i="65"/>
  <c r="GV18" i="65"/>
  <c r="GU18" i="65"/>
  <c r="GT18" i="65"/>
  <c r="GS18" i="65"/>
  <c r="GR18" i="65"/>
  <c r="GQ18" i="65"/>
  <c r="GP18" i="65"/>
  <c r="GO18" i="65"/>
  <c r="GN18" i="65"/>
  <c r="GM18" i="65"/>
  <c r="GL18" i="65"/>
  <c r="GK18" i="65"/>
  <c r="GJ18" i="65"/>
  <c r="GI18" i="65"/>
  <c r="GH18" i="65"/>
  <c r="GG18" i="65"/>
  <c r="GF18" i="65"/>
  <c r="GE18" i="65"/>
  <c r="GD18" i="65"/>
  <c r="GC18" i="65"/>
  <c r="GB18" i="65"/>
  <c r="GA18" i="65"/>
  <c r="FZ18" i="65"/>
  <c r="FY18" i="65"/>
  <c r="FX18" i="65"/>
  <c r="FW18" i="65"/>
  <c r="FV18" i="65"/>
  <c r="FU18" i="65"/>
  <c r="FT18" i="65"/>
  <c r="FS18" i="65"/>
  <c r="FR18" i="65"/>
  <c r="FQ18" i="65"/>
  <c r="FP18" i="65"/>
  <c r="FO18" i="65"/>
  <c r="C18" i="65"/>
  <c r="LW17" i="65"/>
  <c r="LV17" i="65"/>
  <c r="LU17" i="65"/>
  <c r="LT17" i="65"/>
  <c r="LS17" i="65"/>
  <c r="LR17" i="65"/>
  <c r="LQ17" i="65"/>
  <c r="LP17" i="65"/>
  <c r="LO17" i="65"/>
  <c r="LN17" i="65"/>
  <c r="LM17" i="65"/>
  <c r="LL17" i="65"/>
  <c r="LK17" i="65"/>
  <c r="LJ17" i="65"/>
  <c r="LI17" i="65"/>
  <c r="LH17" i="65"/>
  <c r="LG17" i="65"/>
  <c r="LF17" i="65"/>
  <c r="LE17" i="65"/>
  <c r="LD17" i="65"/>
  <c r="LC17" i="65"/>
  <c r="LB17" i="65"/>
  <c r="LA17" i="65"/>
  <c r="KZ17" i="65"/>
  <c r="KY17" i="65"/>
  <c r="KX17" i="65"/>
  <c r="KW17" i="65"/>
  <c r="KV17" i="65"/>
  <c r="KU17" i="65"/>
  <c r="KT17" i="65"/>
  <c r="KS17" i="65"/>
  <c r="KR17" i="65"/>
  <c r="KQ17" i="65"/>
  <c r="KP17" i="65"/>
  <c r="KO17" i="65"/>
  <c r="KN17" i="65"/>
  <c r="KM17" i="65"/>
  <c r="KL17" i="65"/>
  <c r="KK17" i="65"/>
  <c r="KJ17" i="65"/>
  <c r="KI17" i="65"/>
  <c r="KH17" i="65"/>
  <c r="KG17" i="65"/>
  <c r="KF17" i="65"/>
  <c r="KE17" i="65"/>
  <c r="KD17" i="65"/>
  <c r="KC17" i="65"/>
  <c r="KB17" i="65"/>
  <c r="KA17" i="65"/>
  <c r="JZ17" i="65"/>
  <c r="JY17" i="65"/>
  <c r="JX17" i="65"/>
  <c r="JW17" i="65"/>
  <c r="JV17" i="65"/>
  <c r="JU17" i="65"/>
  <c r="JT17" i="65"/>
  <c r="JS17" i="65"/>
  <c r="JR17" i="65"/>
  <c r="JQ17" i="65"/>
  <c r="JP17" i="65"/>
  <c r="JO17" i="65"/>
  <c r="JN17" i="65"/>
  <c r="JM17" i="65"/>
  <c r="JL17" i="65"/>
  <c r="JK17" i="65"/>
  <c r="JJ17" i="65"/>
  <c r="JI17" i="65"/>
  <c r="JH17" i="65"/>
  <c r="JG17" i="65"/>
  <c r="JF17" i="65"/>
  <c r="JE17" i="65"/>
  <c r="JD17" i="65"/>
  <c r="JC17" i="65"/>
  <c r="JB17" i="65"/>
  <c r="JA17" i="65"/>
  <c r="IZ17" i="65"/>
  <c r="IY17" i="65"/>
  <c r="IX17" i="65"/>
  <c r="IW17" i="65"/>
  <c r="IV17" i="65"/>
  <c r="IU17" i="65"/>
  <c r="IT17" i="65"/>
  <c r="IS17" i="65"/>
  <c r="IR17" i="65"/>
  <c r="IQ17" i="65"/>
  <c r="IP17" i="65"/>
  <c r="IO17" i="65"/>
  <c r="IN17" i="65"/>
  <c r="IM17" i="65"/>
  <c r="IL17" i="65"/>
  <c r="IK17" i="65"/>
  <c r="IJ17" i="65"/>
  <c r="II17" i="65"/>
  <c r="IH17" i="65"/>
  <c r="IG17" i="65"/>
  <c r="IF17" i="65"/>
  <c r="IE17" i="65"/>
  <c r="ID17" i="65"/>
  <c r="IC17" i="65"/>
  <c r="IB17" i="65"/>
  <c r="IA17" i="65"/>
  <c r="HZ17" i="65"/>
  <c r="HY17" i="65"/>
  <c r="HX17" i="65"/>
  <c r="HW17" i="65"/>
  <c r="HV17" i="65"/>
  <c r="HU17" i="65"/>
  <c r="HT17" i="65"/>
  <c r="HS17" i="65"/>
  <c r="HR17" i="65"/>
  <c r="HQ17" i="65"/>
  <c r="HP17" i="65"/>
  <c r="HO17" i="65"/>
  <c r="HN17" i="65"/>
  <c r="HM17" i="65"/>
  <c r="HL17" i="65"/>
  <c r="HK17" i="65"/>
  <c r="HJ17" i="65"/>
  <c r="HI17" i="65"/>
  <c r="HH17" i="65"/>
  <c r="HG17" i="65"/>
  <c r="HF17" i="65"/>
  <c r="HE17" i="65"/>
  <c r="HD17" i="65"/>
  <c r="HC17" i="65"/>
  <c r="HB17" i="65"/>
  <c r="HA17" i="65"/>
  <c r="GZ17" i="65"/>
  <c r="GY17" i="65"/>
  <c r="GX17" i="65"/>
  <c r="GW17" i="65"/>
  <c r="GV17" i="65"/>
  <c r="GU17" i="65"/>
  <c r="GT17" i="65"/>
  <c r="GS17" i="65"/>
  <c r="GR17" i="65"/>
  <c r="GQ17" i="65"/>
  <c r="GP17" i="65"/>
  <c r="GO17" i="65"/>
  <c r="GN17" i="65"/>
  <c r="GM17" i="65"/>
  <c r="GL17" i="65"/>
  <c r="GK17" i="65"/>
  <c r="GJ17" i="65"/>
  <c r="GI17" i="65"/>
  <c r="GH17" i="65"/>
  <c r="GG17" i="65"/>
  <c r="GF17" i="65"/>
  <c r="GE17" i="65"/>
  <c r="GD17" i="65"/>
  <c r="GC17" i="65"/>
  <c r="GB17" i="65"/>
  <c r="GA17" i="65"/>
  <c r="FZ17" i="65"/>
  <c r="FY17" i="65"/>
  <c r="FX17" i="65"/>
  <c r="FW17" i="65"/>
  <c r="FV17" i="65"/>
  <c r="FU17" i="65"/>
  <c r="FT17" i="65"/>
  <c r="FS17" i="65"/>
  <c r="FR17" i="65"/>
  <c r="FQ17" i="65"/>
  <c r="FP17" i="65"/>
  <c r="FO17" i="65"/>
  <c r="C17" i="65"/>
  <c r="LW16" i="65"/>
  <c r="LV16" i="65"/>
  <c r="LU16" i="65"/>
  <c r="LT16" i="65"/>
  <c r="LS16" i="65"/>
  <c r="LR16" i="65"/>
  <c r="LQ16" i="65"/>
  <c r="LP16" i="65"/>
  <c r="LO16" i="65"/>
  <c r="LN16" i="65"/>
  <c r="LM16" i="65"/>
  <c r="LL16" i="65"/>
  <c r="LK16" i="65"/>
  <c r="LJ16" i="65"/>
  <c r="LI16" i="65"/>
  <c r="LH16" i="65"/>
  <c r="LG16" i="65"/>
  <c r="LF16" i="65"/>
  <c r="LE16" i="65"/>
  <c r="LD16" i="65"/>
  <c r="LC16" i="65"/>
  <c r="LB16" i="65"/>
  <c r="LA16" i="65"/>
  <c r="KZ16" i="65"/>
  <c r="KY16" i="65"/>
  <c r="KX16" i="65"/>
  <c r="KW16" i="65"/>
  <c r="KV16" i="65"/>
  <c r="KU16" i="65"/>
  <c r="KT16" i="65"/>
  <c r="KS16" i="65"/>
  <c r="KR16" i="65"/>
  <c r="KQ16" i="65"/>
  <c r="KP16" i="65"/>
  <c r="KO16" i="65"/>
  <c r="KN16" i="65"/>
  <c r="KM16" i="65"/>
  <c r="KL16" i="65"/>
  <c r="KK16" i="65"/>
  <c r="KJ16" i="65"/>
  <c r="KI16" i="65"/>
  <c r="KH16" i="65"/>
  <c r="KG16" i="65"/>
  <c r="KF16" i="65"/>
  <c r="KE16" i="65"/>
  <c r="KD16" i="65"/>
  <c r="KC16" i="65"/>
  <c r="KB16" i="65"/>
  <c r="KA16" i="65"/>
  <c r="JZ16" i="65"/>
  <c r="JY16" i="65"/>
  <c r="JX16" i="65"/>
  <c r="JW16" i="65"/>
  <c r="JV16" i="65"/>
  <c r="JU16" i="65"/>
  <c r="JT16" i="65"/>
  <c r="JS16" i="65"/>
  <c r="JR16" i="65"/>
  <c r="JQ16" i="65"/>
  <c r="JP16" i="65"/>
  <c r="JO16" i="65"/>
  <c r="JN16" i="65"/>
  <c r="JM16" i="65"/>
  <c r="JL16" i="65"/>
  <c r="JK16" i="65"/>
  <c r="JJ16" i="65"/>
  <c r="JI16" i="65"/>
  <c r="JH16" i="65"/>
  <c r="JG16" i="65"/>
  <c r="JF16" i="65"/>
  <c r="JE16" i="65"/>
  <c r="JD16" i="65"/>
  <c r="JC16" i="65"/>
  <c r="JB16" i="65"/>
  <c r="JA16" i="65"/>
  <c r="IZ16" i="65"/>
  <c r="IY16" i="65"/>
  <c r="IX16" i="65"/>
  <c r="IW16" i="65"/>
  <c r="IV16" i="65"/>
  <c r="IU16" i="65"/>
  <c r="IT16" i="65"/>
  <c r="IS16" i="65"/>
  <c r="IR16" i="65"/>
  <c r="IQ16" i="65"/>
  <c r="IP16" i="65"/>
  <c r="IO16" i="65"/>
  <c r="IN16" i="65"/>
  <c r="IM16" i="65"/>
  <c r="IL16" i="65"/>
  <c r="IK16" i="65"/>
  <c r="IJ16" i="65"/>
  <c r="II16" i="65"/>
  <c r="IH16" i="65"/>
  <c r="IG16" i="65"/>
  <c r="IF16" i="65"/>
  <c r="IE16" i="65"/>
  <c r="ID16" i="65"/>
  <c r="IC16" i="65"/>
  <c r="IB16" i="65"/>
  <c r="IA16" i="65"/>
  <c r="HZ16" i="65"/>
  <c r="HY16" i="65"/>
  <c r="HX16" i="65"/>
  <c r="HW16" i="65"/>
  <c r="HV16" i="65"/>
  <c r="HU16" i="65"/>
  <c r="HT16" i="65"/>
  <c r="HS16" i="65"/>
  <c r="HR16" i="65"/>
  <c r="HQ16" i="65"/>
  <c r="HP16" i="65"/>
  <c r="HO16" i="65"/>
  <c r="HN16" i="65"/>
  <c r="HM16" i="65"/>
  <c r="HL16" i="65"/>
  <c r="HK16" i="65"/>
  <c r="HJ16" i="65"/>
  <c r="HI16" i="65"/>
  <c r="HH16" i="65"/>
  <c r="HG16" i="65"/>
  <c r="HF16" i="65"/>
  <c r="HE16" i="65"/>
  <c r="HD16" i="65"/>
  <c r="HC16" i="65"/>
  <c r="HB16" i="65"/>
  <c r="HA16" i="65"/>
  <c r="GZ16" i="65"/>
  <c r="GY16" i="65"/>
  <c r="GX16" i="65"/>
  <c r="GW16" i="65"/>
  <c r="GV16" i="65"/>
  <c r="GU16" i="65"/>
  <c r="GT16" i="65"/>
  <c r="GS16" i="65"/>
  <c r="GR16" i="65"/>
  <c r="GQ16" i="65"/>
  <c r="GP16" i="65"/>
  <c r="GO16" i="65"/>
  <c r="GN16" i="65"/>
  <c r="GM16" i="65"/>
  <c r="GL16" i="65"/>
  <c r="GK16" i="65"/>
  <c r="GJ16" i="65"/>
  <c r="GI16" i="65"/>
  <c r="GH16" i="65"/>
  <c r="GG16" i="65"/>
  <c r="GF16" i="65"/>
  <c r="GE16" i="65"/>
  <c r="GD16" i="65"/>
  <c r="GC16" i="65"/>
  <c r="GB16" i="65"/>
  <c r="GA16" i="65"/>
  <c r="FZ16" i="65"/>
  <c r="FY16" i="65"/>
  <c r="FX16" i="65"/>
  <c r="FW16" i="65"/>
  <c r="FV16" i="65"/>
  <c r="FU16" i="65"/>
  <c r="FT16" i="65"/>
  <c r="FS16" i="65"/>
  <c r="FR16" i="65"/>
  <c r="FQ16" i="65"/>
  <c r="FP16" i="65"/>
  <c r="FO16" i="65"/>
  <c r="C16" i="65"/>
  <c r="LW15" i="65"/>
  <c r="LV15" i="65"/>
  <c r="LU15" i="65"/>
  <c r="LT15" i="65"/>
  <c r="LS15" i="65"/>
  <c r="LR15" i="65"/>
  <c r="LQ15" i="65"/>
  <c r="LP15" i="65"/>
  <c r="LO15" i="65"/>
  <c r="LN15" i="65"/>
  <c r="LM15" i="65"/>
  <c r="LL15" i="65"/>
  <c r="LK15" i="65"/>
  <c r="LJ15" i="65"/>
  <c r="LI15" i="65"/>
  <c r="LH15" i="65"/>
  <c r="LG15" i="65"/>
  <c r="LF15" i="65"/>
  <c r="LE15" i="65"/>
  <c r="LD15" i="65"/>
  <c r="LC15" i="65"/>
  <c r="LB15" i="65"/>
  <c r="LA15" i="65"/>
  <c r="KZ15" i="65"/>
  <c r="KY15" i="65"/>
  <c r="KX15" i="65"/>
  <c r="KW15" i="65"/>
  <c r="KV15" i="65"/>
  <c r="KU15" i="65"/>
  <c r="KT15" i="65"/>
  <c r="KS15" i="65"/>
  <c r="KR15" i="65"/>
  <c r="KQ15" i="65"/>
  <c r="KP15" i="65"/>
  <c r="KO15" i="65"/>
  <c r="KN15" i="65"/>
  <c r="KM15" i="65"/>
  <c r="KL15" i="65"/>
  <c r="KK15" i="65"/>
  <c r="KJ15" i="65"/>
  <c r="KI15" i="65"/>
  <c r="KH15" i="65"/>
  <c r="KG15" i="65"/>
  <c r="KF15" i="65"/>
  <c r="KE15" i="65"/>
  <c r="KD15" i="65"/>
  <c r="KC15" i="65"/>
  <c r="KB15" i="65"/>
  <c r="KA15" i="65"/>
  <c r="JZ15" i="65"/>
  <c r="JY15" i="65"/>
  <c r="JX15" i="65"/>
  <c r="JW15" i="65"/>
  <c r="JV15" i="65"/>
  <c r="JU15" i="65"/>
  <c r="JT15" i="65"/>
  <c r="JS15" i="65"/>
  <c r="JR15" i="65"/>
  <c r="JQ15" i="65"/>
  <c r="JP15" i="65"/>
  <c r="JO15" i="65"/>
  <c r="JN15" i="65"/>
  <c r="JM15" i="65"/>
  <c r="JL15" i="65"/>
  <c r="JK15" i="65"/>
  <c r="JJ15" i="65"/>
  <c r="JI15" i="65"/>
  <c r="JH15" i="65"/>
  <c r="JG15" i="65"/>
  <c r="JF15" i="65"/>
  <c r="JE15" i="65"/>
  <c r="JD15" i="65"/>
  <c r="JC15" i="65"/>
  <c r="JB15" i="65"/>
  <c r="JA15" i="65"/>
  <c r="IZ15" i="65"/>
  <c r="IY15" i="65"/>
  <c r="IX15" i="65"/>
  <c r="IW15" i="65"/>
  <c r="IV15" i="65"/>
  <c r="IU15" i="65"/>
  <c r="IT15" i="65"/>
  <c r="IS15" i="65"/>
  <c r="IR15" i="65"/>
  <c r="IQ15" i="65"/>
  <c r="IP15" i="65"/>
  <c r="IO15" i="65"/>
  <c r="IN15" i="65"/>
  <c r="IM15" i="65"/>
  <c r="IL15" i="65"/>
  <c r="IK15" i="65"/>
  <c r="IJ15" i="65"/>
  <c r="II15" i="65"/>
  <c r="IH15" i="65"/>
  <c r="IG15" i="65"/>
  <c r="IF15" i="65"/>
  <c r="IE15" i="65"/>
  <c r="ID15" i="65"/>
  <c r="IC15" i="65"/>
  <c r="IB15" i="65"/>
  <c r="IA15" i="65"/>
  <c r="HZ15" i="65"/>
  <c r="HY15" i="65"/>
  <c r="HX15" i="65"/>
  <c r="HW15" i="65"/>
  <c r="HV15" i="65"/>
  <c r="HU15" i="65"/>
  <c r="HT15" i="65"/>
  <c r="HS15" i="65"/>
  <c r="HR15" i="65"/>
  <c r="HQ15" i="65"/>
  <c r="HP15" i="65"/>
  <c r="HO15" i="65"/>
  <c r="HN15" i="65"/>
  <c r="HM15" i="65"/>
  <c r="HL15" i="65"/>
  <c r="HK15" i="65"/>
  <c r="HJ15" i="65"/>
  <c r="HI15" i="65"/>
  <c r="HH15" i="65"/>
  <c r="HG15" i="65"/>
  <c r="HF15" i="65"/>
  <c r="HE15" i="65"/>
  <c r="HD15" i="65"/>
  <c r="HC15" i="65"/>
  <c r="HB15" i="65"/>
  <c r="HA15" i="65"/>
  <c r="GZ15" i="65"/>
  <c r="GY15" i="65"/>
  <c r="GX15" i="65"/>
  <c r="GW15" i="65"/>
  <c r="GV15" i="65"/>
  <c r="GU15" i="65"/>
  <c r="GT15" i="65"/>
  <c r="GS15" i="65"/>
  <c r="GR15" i="65"/>
  <c r="GQ15" i="65"/>
  <c r="GP15" i="65"/>
  <c r="GO15" i="65"/>
  <c r="GN15" i="65"/>
  <c r="GM15" i="65"/>
  <c r="GL15" i="65"/>
  <c r="GK15" i="65"/>
  <c r="GJ15" i="65"/>
  <c r="GI15" i="65"/>
  <c r="GH15" i="65"/>
  <c r="GG15" i="65"/>
  <c r="GF15" i="65"/>
  <c r="GE15" i="65"/>
  <c r="GD15" i="65"/>
  <c r="GC15" i="65"/>
  <c r="GB15" i="65"/>
  <c r="GA15" i="65"/>
  <c r="FZ15" i="65"/>
  <c r="FY15" i="65"/>
  <c r="FX15" i="65"/>
  <c r="FW15" i="65"/>
  <c r="FV15" i="65"/>
  <c r="FU15" i="65"/>
  <c r="FT15" i="65"/>
  <c r="FS15" i="65"/>
  <c r="FR15" i="65"/>
  <c r="FQ15" i="65"/>
  <c r="FP15" i="65"/>
  <c r="FO15" i="65"/>
  <c r="C15" i="65"/>
  <c r="LW14" i="65"/>
  <c r="LV14" i="65"/>
  <c r="LU14" i="65"/>
  <c r="LT14" i="65"/>
  <c r="LS14" i="65"/>
  <c r="LR14" i="65"/>
  <c r="LQ14" i="65"/>
  <c r="LP14" i="65"/>
  <c r="LO14" i="65"/>
  <c r="LN14" i="65"/>
  <c r="LM14" i="65"/>
  <c r="LL14" i="65"/>
  <c r="LK14" i="65"/>
  <c r="LJ14" i="65"/>
  <c r="LI14" i="65"/>
  <c r="LH14" i="65"/>
  <c r="LG14" i="65"/>
  <c r="LF14" i="65"/>
  <c r="LE14" i="65"/>
  <c r="LD14" i="65"/>
  <c r="LC14" i="65"/>
  <c r="LB14" i="65"/>
  <c r="LA14" i="65"/>
  <c r="KZ14" i="65"/>
  <c r="KY14" i="65"/>
  <c r="KX14" i="65"/>
  <c r="KW14" i="65"/>
  <c r="KV14" i="65"/>
  <c r="KU14" i="65"/>
  <c r="KT14" i="65"/>
  <c r="KS14" i="65"/>
  <c r="KR14" i="65"/>
  <c r="KQ14" i="65"/>
  <c r="KP14" i="65"/>
  <c r="KO14" i="65"/>
  <c r="KN14" i="65"/>
  <c r="KM14" i="65"/>
  <c r="KL14" i="65"/>
  <c r="KK14" i="65"/>
  <c r="KJ14" i="65"/>
  <c r="KI14" i="65"/>
  <c r="KH14" i="65"/>
  <c r="KG14" i="65"/>
  <c r="KF14" i="65"/>
  <c r="KE14" i="65"/>
  <c r="KD14" i="65"/>
  <c r="KC14" i="65"/>
  <c r="KB14" i="65"/>
  <c r="KA14" i="65"/>
  <c r="JZ14" i="65"/>
  <c r="JY14" i="65"/>
  <c r="JX14" i="65"/>
  <c r="JW14" i="65"/>
  <c r="JV14" i="65"/>
  <c r="JU14" i="65"/>
  <c r="JT14" i="65"/>
  <c r="JS14" i="65"/>
  <c r="JR14" i="65"/>
  <c r="JQ14" i="65"/>
  <c r="JP14" i="65"/>
  <c r="JO14" i="65"/>
  <c r="JN14" i="65"/>
  <c r="JM14" i="65"/>
  <c r="JL14" i="65"/>
  <c r="JK14" i="65"/>
  <c r="JJ14" i="65"/>
  <c r="JI14" i="65"/>
  <c r="JH14" i="65"/>
  <c r="JG14" i="65"/>
  <c r="JF14" i="65"/>
  <c r="JE14" i="65"/>
  <c r="JD14" i="65"/>
  <c r="JC14" i="65"/>
  <c r="JB14" i="65"/>
  <c r="JA14" i="65"/>
  <c r="IZ14" i="65"/>
  <c r="IY14" i="65"/>
  <c r="IX14" i="65"/>
  <c r="IW14" i="65"/>
  <c r="IV14" i="65"/>
  <c r="IU14" i="65"/>
  <c r="IT14" i="65"/>
  <c r="IS14" i="65"/>
  <c r="IR14" i="65"/>
  <c r="IQ14" i="65"/>
  <c r="IP14" i="65"/>
  <c r="IO14" i="65"/>
  <c r="IN14" i="65"/>
  <c r="IM14" i="65"/>
  <c r="IL14" i="65"/>
  <c r="IK14" i="65"/>
  <c r="IJ14" i="65"/>
  <c r="II14" i="65"/>
  <c r="IH14" i="65"/>
  <c r="IG14" i="65"/>
  <c r="IF14" i="65"/>
  <c r="IE14" i="65"/>
  <c r="ID14" i="65"/>
  <c r="IC14" i="65"/>
  <c r="IB14" i="65"/>
  <c r="IA14" i="65"/>
  <c r="HZ14" i="65"/>
  <c r="HY14" i="65"/>
  <c r="HX14" i="65"/>
  <c r="HW14" i="65"/>
  <c r="HV14" i="65"/>
  <c r="HU14" i="65"/>
  <c r="HT14" i="65"/>
  <c r="HS14" i="65"/>
  <c r="HR14" i="65"/>
  <c r="HQ14" i="65"/>
  <c r="HP14" i="65"/>
  <c r="HO14" i="65"/>
  <c r="HN14" i="65"/>
  <c r="HM14" i="65"/>
  <c r="HL14" i="65"/>
  <c r="HK14" i="65"/>
  <c r="HJ14" i="65"/>
  <c r="HI14" i="65"/>
  <c r="HH14" i="65"/>
  <c r="HG14" i="65"/>
  <c r="HF14" i="65"/>
  <c r="HE14" i="65"/>
  <c r="HD14" i="65"/>
  <c r="HC14" i="65"/>
  <c r="HB14" i="65"/>
  <c r="HA14" i="65"/>
  <c r="GZ14" i="65"/>
  <c r="GY14" i="65"/>
  <c r="GX14" i="65"/>
  <c r="GW14" i="65"/>
  <c r="GV14" i="65"/>
  <c r="GU14" i="65"/>
  <c r="GT14" i="65"/>
  <c r="GS14" i="65"/>
  <c r="GR14" i="65"/>
  <c r="GQ14" i="65"/>
  <c r="GP14" i="65"/>
  <c r="GO14" i="65"/>
  <c r="GN14" i="65"/>
  <c r="GM14" i="65"/>
  <c r="GL14" i="65"/>
  <c r="GK14" i="65"/>
  <c r="GJ14" i="65"/>
  <c r="GI14" i="65"/>
  <c r="GH14" i="65"/>
  <c r="GG14" i="65"/>
  <c r="GF14" i="65"/>
  <c r="GE14" i="65"/>
  <c r="GD14" i="65"/>
  <c r="GC14" i="65"/>
  <c r="GB14" i="65"/>
  <c r="GA14" i="65"/>
  <c r="FZ14" i="65"/>
  <c r="FY14" i="65"/>
  <c r="FX14" i="65"/>
  <c r="FW14" i="65"/>
  <c r="FV14" i="65"/>
  <c r="FU14" i="65"/>
  <c r="FT14" i="65"/>
  <c r="FS14" i="65"/>
  <c r="FR14" i="65"/>
  <c r="FQ14" i="65"/>
  <c r="FP14" i="65"/>
  <c r="FO14" i="65"/>
  <c r="C14" i="65"/>
  <c r="LW13" i="65"/>
  <c r="LV13" i="65"/>
  <c r="LU13" i="65"/>
  <c r="LT13" i="65"/>
  <c r="LS13" i="65"/>
  <c r="LR13" i="65"/>
  <c r="LQ13" i="65"/>
  <c r="LP13" i="65"/>
  <c r="LO13" i="65"/>
  <c r="LN13" i="65"/>
  <c r="LM13" i="65"/>
  <c r="LL13" i="65"/>
  <c r="LK13" i="65"/>
  <c r="LJ13" i="65"/>
  <c r="LI13" i="65"/>
  <c r="LH13" i="65"/>
  <c r="LG13" i="65"/>
  <c r="LF13" i="65"/>
  <c r="LE13" i="65"/>
  <c r="LD13" i="65"/>
  <c r="LC13" i="65"/>
  <c r="LB13" i="65"/>
  <c r="LA13" i="65"/>
  <c r="KZ13" i="65"/>
  <c r="KY13" i="65"/>
  <c r="KX13" i="65"/>
  <c r="KW13" i="65"/>
  <c r="KV13" i="65"/>
  <c r="KU13" i="65"/>
  <c r="KT13" i="65"/>
  <c r="KS13" i="65"/>
  <c r="KR13" i="65"/>
  <c r="KQ13" i="65"/>
  <c r="KP13" i="65"/>
  <c r="KO13" i="65"/>
  <c r="KN13" i="65"/>
  <c r="KM13" i="65"/>
  <c r="KL13" i="65"/>
  <c r="KK13" i="65"/>
  <c r="KJ13" i="65"/>
  <c r="KI13" i="65"/>
  <c r="KH13" i="65"/>
  <c r="KG13" i="65"/>
  <c r="KF13" i="65"/>
  <c r="KE13" i="65"/>
  <c r="KD13" i="65"/>
  <c r="KC13" i="65"/>
  <c r="KB13" i="65"/>
  <c r="KA13" i="65"/>
  <c r="JZ13" i="65"/>
  <c r="JY13" i="65"/>
  <c r="JX13" i="65"/>
  <c r="JW13" i="65"/>
  <c r="JV13" i="65"/>
  <c r="JU13" i="65"/>
  <c r="JT13" i="65"/>
  <c r="JS13" i="65"/>
  <c r="JR13" i="65"/>
  <c r="JQ13" i="65"/>
  <c r="JP13" i="65"/>
  <c r="JO13" i="65"/>
  <c r="JN13" i="65"/>
  <c r="JM13" i="65"/>
  <c r="JL13" i="65"/>
  <c r="JK13" i="65"/>
  <c r="JJ13" i="65"/>
  <c r="JI13" i="65"/>
  <c r="JH13" i="65"/>
  <c r="JG13" i="65"/>
  <c r="JF13" i="65"/>
  <c r="JE13" i="65"/>
  <c r="JD13" i="65"/>
  <c r="JC13" i="65"/>
  <c r="JB13" i="65"/>
  <c r="JA13" i="65"/>
  <c r="IZ13" i="65"/>
  <c r="IY13" i="65"/>
  <c r="IX13" i="65"/>
  <c r="IW13" i="65"/>
  <c r="IV13" i="65"/>
  <c r="IU13" i="65"/>
  <c r="IT13" i="65"/>
  <c r="IS13" i="65"/>
  <c r="IR13" i="65"/>
  <c r="IQ13" i="65"/>
  <c r="IP13" i="65"/>
  <c r="IO13" i="65"/>
  <c r="IN13" i="65"/>
  <c r="IM13" i="65"/>
  <c r="IL13" i="65"/>
  <c r="IK13" i="65"/>
  <c r="IJ13" i="65"/>
  <c r="II13" i="65"/>
  <c r="IH13" i="65"/>
  <c r="IG13" i="65"/>
  <c r="IF13" i="65"/>
  <c r="IE13" i="65"/>
  <c r="ID13" i="65"/>
  <c r="IC13" i="65"/>
  <c r="IB13" i="65"/>
  <c r="IA13" i="65"/>
  <c r="HZ13" i="65"/>
  <c r="HY13" i="65"/>
  <c r="HX13" i="65"/>
  <c r="HW13" i="65"/>
  <c r="HV13" i="65"/>
  <c r="HU13" i="65"/>
  <c r="HT13" i="65"/>
  <c r="HS13" i="65"/>
  <c r="HR13" i="65"/>
  <c r="HQ13" i="65"/>
  <c r="HP13" i="65"/>
  <c r="HO13" i="65"/>
  <c r="HN13" i="65"/>
  <c r="HM13" i="65"/>
  <c r="HL13" i="65"/>
  <c r="HK13" i="65"/>
  <c r="HJ13" i="65"/>
  <c r="HI13" i="65"/>
  <c r="HH13" i="65"/>
  <c r="HG13" i="65"/>
  <c r="HF13" i="65"/>
  <c r="HE13" i="65"/>
  <c r="HD13" i="65"/>
  <c r="HC13" i="65"/>
  <c r="HB13" i="65"/>
  <c r="HA13" i="65"/>
  <c r="GZ13" i="65"/>
  <c r="GY13" i="65"/>
  <c r="GX13" i="65"/>
  <c r="GW13" i="65"/>
  <c r="GV13" i="65"/>
  <c r="GU13" i="65"/>
  <c r="GT13" i="65"/>
  <c r="GS13" i="65"/>
  <c r="GR13" i="65"/>
  <c r="GQ13" i="65"/>
  <c r="GP13" i="65"/>
  <c r="GO13" i="65"/>
  <c r="GN13" i="65"/>
  <c r="GM13" i="65"/>
  <c r="GL13" i="65"/>
  <c r="GK13" i="65"/>
  <c r="GJ13" i="65"/>
  <c r="GI13" i="65"/>
  <c r="GH13" i="65"/>
  <c r="GG13" i="65"/>
  <c r="GF13" i="65"/>
  <c r="GE13" i="65"/>
  <c r="GD13" i="65"/>
  <c r="GC13" i="65"/>
  <c r="GB13" i="65"/>
  <c r="GA13" i="65"/>
  <c r="FZ13" i="65"/>
  <c r="FY13" i="65"/>
  <c r="FX13" i="65"/>
  <c r="FW13" i="65"/>
  <c r="FV13" i="65"/>
  <c r="FU13" i="65"/>
  <c r="FT13" i="65"/>
  <c r="FS13" i="65"/>
  <c r="FR13" i="65"/>
  <c r="FQ13" i="65"/>
  <c r="FP13" i="65"/>
  <c r="FO13" i="65"/>
  <c r="C13" i="65"/>
  <c r="LW12" i="65"/>
  <c r="LV12" i="65"/>
  <c r="LU12" i="65"/>
  <c r="LT12" i="65"/>
  <c r="LS12" i="65"/>
  <c r="LR12" i="65"/>
  <c r="LQ12" i="65"/>
  <c r="LP12" i="65"/>
  <c r="LO12" i="65"/>
  <c r="LN12" i="65"/>
  <c r="LM12" i="65"/>
  <c r="LL12" i="65"/>
  <c r="LK12" i="65"/>
  <c r="LJ12" i="65"/>
  <c r="LI12" i="65"/>
  <c r="LH12" i="65"/>
  <c r="LG12" i="65"/>
  <c r="LF12" i="65"/>
  <c r="LE12" i="65"/>
  <c r="LD12" i="65"/>
  <c r="LC12" i="65"/>
  <c r="LB12" i="65"/>
  <c r="LA12" i="65"/>
  <c r="KZ12" i="65"/>
  <c r="KY12" i="65"/>
  <c r="KX12" i="65"/>
  <c r="KW12" i="65"/>
  <c r="KV12" i="65"/>
  <c r="KU12" i="65"/>
  <c r="KT12" i="65"/>
  <c r="KS12" i="65"/>
  <c r="KR12" i="65"/>
  <c r="KQ12" i="65"/>
  <c r="KP12" i="65"/>
  <c r="KO12" i="65"/>
  <c r="KN12" i="65"/>
  <c r="KM12" i="65"/>
  <c r="KL12" i="65"/>
  <c r="KK12" i="65"/>
  <c r="KJ12" i="65"/>
  <c r="KI12" i="65"/>
  <c r="KH12" i="65"/>
  <c r="KG12" i="65"/>
  <c r="KF12" i="65"/>
  <c r="KE12" i="65"/>
  <c r="KD12" i="65"/>
  <c r="KC12" i="65"/>
  <c r="KB12" i="65"/>
  <c r="KA12" i="65"/>
  <c r="JZ12" i="65"/>
  <c r="JY12" i="65"/>
  <c r="JX12" i="65"/>
  <c r="JW12" i="65"/>
  <c r="JV12" i="65"/>
  <c r="JU12" i="65"/>
  <c r="JT12" i="65"/>
  <c r="JS12" i="65"/>
  <c r="JR12" i="65"/>
  <c r="JQ12" i="65"/>
  <c r="JP12" i="65"/>
  <c r="JO12" i="65"/>
  <c r="JN12" i="65"/>
  <c r="JM12" i="65"/>
  <c r="JL12" i="65"/>
  <c r="JK12" i="65"/>
  <c r="JJ12" i="65"/>
  <c r="JI12" i="65"/>
  <c r="JH12" i="65"/>
  <c r="JG12" i="65"/>
  <c r="JF12" i="65"/>
  <c r="JE12" i="65"/>
  <c r="JD12" i="65"/>
  <c r="JC12" i="65"/>
  <c r="JB12" i="65"/>
  <c r="JA12" i="65"/>
  <c r="IZ12" i="65"/>
  <c r="IY12" i="65"/>
  <c r="IX12" i="65"/>
  <c r="IW12" i="65"/>
  <c r="IV12" i="65"/>
  <c r="IU12" i="65"/>
  <c r="IT12" i="65"/>
  <c r="IS12" i="65"/>
  <c r="IR12" i="65"/>
  <c r="IQ12" i="65"/>
  <c r="IP12" i="65"/>
  <c r="IO12" i="65"/>
  <c r="IN12" i="65"/>
  <c r="IM12" i="65"/>
  <c r="IL12" i="65"/>
  <c r="IK12" i="65"/>
  <c r="IJ12" i="65"/>
  <c r="II12" i="65"/>
  <c r="IH12" i="65"/>
  <c r="IG12" i="65"/>
  <c r="IF12" i="65"/>
  <c r="IE12" i="65"/>
  <c r="ID12" i="65"/>
  <c r="IC12" i="65"/>
  <c r="IB12" i="65"/>
  <c r="IA12" i="65"/>
  <c r="HZ12" i="65"/>
  <c r="HY12" i="65"/>
  <c r="HX12" i="65"/>
  <c r="HW12" i="65"/>
  <c r="HV12" i="65"/>
  <c r="HU12" i="65"/>
  <c r="HT12" i="65"/>
  <c r="HS12" i="65"/>
  <c r="HR12" i="65"/>
  <c r="HQ12" i="65"/>
  <c r="HP12" i="65"/>
  <c r="HO12" i="65"/>
  <c r="HN12" i="65"/>
  <c r="HM12" i="65"/>
  <c r="HL12" i="65"/>
  <c r="HK12" i="65"/>
  <c r="HJ12" i="65"/>
  <c r="HI12" i="65"/>
  <c r="HH12" i="65"/>
  <c r="HG12" i="65"/>
  <c r="HF12" i="65"/>
  <c r="HE12" i="65"/>
  <c r="HD12" i="65"/>
  <c r="HC12" i="65"/>
  <c r="HB12" i="65"/>
  <c r="HA12" i="65"/>
  <c r="GZ12" i="65"/>
  <c r="GY12" i="65"/>
  <c r="GX12" i="65"/>
  <c r="GW12" i="65"/>
  <c r="GV12" i="65"/>
  <c r="GU12" i="65"/>
  <c r="GT12" i="65"/>
  <c r="GS12" i="65"/>
  <c r="GR12" i="65"/>
  <c r="GQ12" i="65"/>
  <c r="GP12" i="65"/>
  <c r="GO12" i="65"/>
  <c r="GN12" i="65"/>
  <c r="GM12" i="65"/>
  <c r="GL12" i="65"/>
  <c r="GK12" i="65"/>
  <c r="GJ12" i="65"/>
  <c r="GI12" i="65"/>
  <c r="GH12" i="65"/>
  <c r="GG12" i="65"/>
  <c r="GF12" i="65"/>
  <c r="GE12" i="65"/>
  <c r="GD12" i="65"/>
  <c r="GC12" i="65"/>
  <c r="GB12" i="65"/>
  <c r="GA12" i="65"/>
  <c r="FZ12" i="65"/>
  <c r="FY12" i="65"/>
  <c r="FX12" i="65"/>
  <c r="FW12" i="65"/>
  <c r="FV12" i="65"/>
  <c r="FU12" i="65"/>
  <c r="FT12" i="65"/>
  <c r="FS12" i="65"/>
  <c r="FR12" i="65"/>
  <c r="FQ12" i="65"/>
  <c r="FP12" i="65"/>
  <c r="FO12" i="65"/>
  <c r="C12" i="65"/>
  <c r="LW11" i="65"/>
  <c r="LV11" i="65"/>
  <c r="LU11" i="65"/>
  <c r="LT11" i="65"/>
  <c r="LS11" i="65"/>
  <c r="LR11" i="65"/>
  <c r="LQ11" i="65"/>
  <c r="LP11" i="65"/>
  <c r="LO11" i="65"/>
  <c r="LN11" i="65"/>
  <c r="LM11" i="65"/>
  <c r="LL11" i="65"/>
  <c r="LK11" i="65"/>
  <c r="LJ11" i="65"/>
  <c r="LI11" i="65"/>
  <c r="LH11" i="65"/>
  <c r="LG11" i="65"/>
  <c r="LF11" i="65"/>
  <c r="LE11" i="65"/>
  <c r="LD11" i="65"/>
  <c r="LC11" i="65"/>
  <c r="LB11" i="65"/>
  <c r="LA11" i="65"/>
  <c r="KZ11" i="65"/>
  <c r="KY11" i="65"/>
  <c r="KX11" i="65"/>
  <c r="KW11" i="65"/>
  <c r="KV11" i="65"/>
  <c r="KU11" i="65"/>
  <c r="KT11" i="65"/>
  <c r="KS11" i="65"/>
  <c r="KR11" i="65"/>
  <c r="KQ11" i="65"/>
  <c r="KP11" i="65"/>
  <c r="KO11" i="65"/>
  <c r="KN11" i="65"/>
  <c r="KM11" i="65"/>
  <c r="KL11" i="65"/>
  <c r="KK11" i="65"/>
  <c r="KJ11" i="65"/>
  <c r="KI11" i="65"/>
  <c r="KH11" i="65"/>
  <c r="KG11" i="65"/>
  <c r="KF11" i="65"/>
  <c r="KE11" i="65"/>
  <c r="KD11" i="65"/>
  <c r="KC11" i="65"/>
  <c r="KB11" i="65"/>
  <c r="KA11" i="65"/>
  <c r="JZ11" i="65"/>
  <c r="JY11" i="65"/>
  <c r="JX11" i="65"/>
  <c r="JW11" i="65"/>
  <c r="JV11" i="65"/>
  <c r="JU11" i="65"/>
  <c r="JT11" i="65"/>
  <c r="JS11" i="65"/>
  <c r="JR11" i="65"/>
  <c r="JQ11" i="65"/>
  <c r="JP11" i="65"/>
  <c r="JO11" i="65"/>
  <c r="JN11" i="65"/>
  <c r="JM11" i="65"/>
  <c r="JL11" i="65"/>
  <c r="JK11" i="65"/>
  <c r="JJ11" i="65"/>
  <c r="JI11" i="65"/>
  <c r="JH11" i="65"/>
  <c r="JG11" i="65"/>
  <c r="JF11" i="65"/>
  <c r="JE11" i="65"/>
  <c r="JD11" i="65"/>
  <c r="JC11" i="65"/>
  <c r="JB11" i="65"/>
  <c r="JA11" i="65"/>
  <c r="IZ11" i="65"/>
  <c r="IY11" i="65"/>
  <c r="IX11" i="65"/>
  <c r="IW11" i="65"/>
  <c r="IV11" i="65"/>
  <c r="IU11" i="65"/>
  <c r="IT11" i="65"/>
  <c r="IS11" i="65"/>
  <c r="IR11" i="65"/>
  <c r="IQ11" i="65"/>
  <c r="IP11" i="65"/>
  <c r="IO11" i="65"/>
  <c r="IN11" i="65"/>
  <c r="IM11" i="65"/>
  <c r="IL11" i="65"/>
  <c r="IK11" i="65"/>
  <c r="IJ11" i="65"/>
  <c r="II11" i="65"/>
  <c r="IH11" i="65"/>
  <c r="IG11" i="65"/>
  <c r="IF11" i="65"/>
  <c r="IE11" i="65"/>
  <c r="ID11" i="65"/>
  <c r="IC11" i="65"/>
  <c r="IB11" i="65"/>
  <c r="IA11" i="65"/>
  <c r="HZ11" i="65"/>
  <c r="HY11" i="65"/>
  <c r="HX11" i="65"/>
  <c r="HW11" i="65"/>
  <c r="HV11" i="65"/>
  <c r="HU11" i="65"/>
  <c r="HT11" i="65"/>
  <c r="HS11" i="65"/>
  <c r="HR11" i="65"/>
  <c r="HQ11" i="65"/>
  <c r="HP11" i="65"/>
  <c r="HO11" i="65"/>
  <c r="HN11" i="65"/>
  <c r="HM11" i="65"/>
  <c r="HL11" i="65"/>
  <c r="HK11" i="65"/>
  <c r="HJ11" i="65"/>
  <c r="HI11" i="65"/>
  <c r="HH11" i="65"/>
  <c r="HG11" i="65"/>
  <c r="HF11" i="65"/>
  <c r="HE11" i="65"/>
  <c r="HD11" i="65"/>
  <c r="HC11" i="65"/>
  <c r="HB11" i="65"/>
  <c r="HA11" i="65"/>
  <c r="GZ11" i="65"/>
  <c r="GY11" i="65"/>
  <c r="GX11" i="65"/>
  <c r="GW11" i="65"/>
  <c r="GV11" i="65"/>
  <c r="GU11" i="65"/>
  <c r="GT11" i="65"/>
  <c r="GS11" i="65"/>
  <c r="GR11" i="65"/>
  <c r="GQ11" i="65"/>
  <c r="GP11" i="65"/>
  <c r="GO11" i="65"/>
  <c r="GN11" i="65"/>
  <c r="GM11" i="65"/>
  <c r="GL11" i="65"/>
  <c r="GK11" i="65"/>
  <c r="GJ11" i="65"/>
  <c r="GI11" i="65"/>
  <c r="GH11" i="65"/>
  <c r="GG11" i="65"/>
  <c r="GF11" i="65"/>
  <c r="GE11" i="65"/>
  <c r="GD11" i="65"/>
  <c r="GC11" i="65"/>
  <c r="GB11" i="65"/>
  <c r="GA11" i="65"/>
  <c r="FZ11" i="65"/>
  <c r="FY11" i="65"/>
  <c r="FX11" i="65"/>
  <c r="FW11" i="65"/>
  <c r="FV11" i="65"/>
  <c r="FU11" i="65"/>
  <c r="FT11" i="65"/>
  <c r="FS11" i="65"/>
  <c r="FR11" i="65"/>
  <c r="FQ11" i="65"/>
  <c r="FP11" i="65"/>
  <c r="FO11" i="65"/>
  <c r="C11" i="65"/>
  <c r="LW10" i="65"/>
  <c r="LV10" i="65"/>
  <c r="LU10" i="65"/>
  <c r="LT10" i="65"/>
  <c r="LS10" i="65"/>
  <c r="LR10" i="65"/>
  <c r="LQ10" i="65"/>
  <c r="LP10" i="65"/>
  <c r="LO10" i="65"/>
  <c r="LN10" i="65"/>
  <c r="LM10" i="65"/>
  <c r="LL10" i="65"/>
  <c r="LK10" i="65"/>
  <c r="LJ10" i="65"/>
  <c r="LI10" i="65"/>
  <c r="LH10" i="65"/>
  <c r="LG10" i="65"/>
  <c r="LF10" i="65"/>
  <c r="LE10" i="65"/>
  <c r="LD10" i="65"/>
  <c r="LC10" i="65"/>
  <c r="LB10" i="65"/>
  <c r="LA10" i="65"/>
  <c r="KZ10" i="65"/>
  <c r="KY10" i="65"/>
  <c r="KX10" i="65"/>
  <c r="KW10" i="65"/>
  <c r="KV10" i="65"/>
  <c r="KU10" i="65"/>
  <c r="KT10" i="65"/>
  <c r="KS10" i="65"/>
  <c r="KR10" i="65"/>
  <c r="KQ10" i="65"/>
  <c r="KP10" i="65"/>
  <c r="KO10" i="65"/>
  <c r="KN10" i="65"/>
  <c r="KM10" i="65"/>
  <c r="KL10" i="65"/>
  <c r="KK10" i="65"/>
  <c r="KJ10" i="65"/>
  <c r="KI10" i="65"/>
  <c r="KH10" i="65"/>
  <c r="KG10" i="65"/>
  <c r="KF10" i="65"/>
  <c r="KE10" i="65"/>
  <c r="KD10" i="65"/>
  <c r="KC10" i="65"/>
  <c r="KB10" i="65"/>
  <c r="KA10" i="65"/>
  <c r="JZ10" i="65"/>
  <c r="JY10" i="65"/>
  <c r="JX10" i="65"/>
  <c r="JW10" i="65"/>
  <c r="JV10" i="65"/>
  <c r="JU10" i="65"/>
  <c r="JT10" i="65"/>
  <c r="JS10" i="65"/>
  <c r="JR10" i="65"/>
  <c r="JQ10" i="65"/>
  <c r="JP10" i="65"/>
  <c r="JO10" i="65"/>
  <c r="JN10" i="65"/>
  <c r="JM10" i="65"/>
  <c r="JL10" i="65"/>
  <c r="JK10" i="65"/>
  <c r="JJ10" i="65"/>
  <c r="JI10" i="65"/>
  <c r="JH10" i="65"/>
  <c r="JG10" i="65"/>
  <c r="JF10" i="65"/>
  <c r="JE10" i="65"/>
  <c r="JD10" i="65"/>
  <c r="JC10" i="65"/>
  <c r="JB10" i="65"/>
  <c r="JA10" i="65"/>
  <c r="IZ10" i="65"/>
  <c r="IY10" i="65"/>
  <c r="IX10" i="65"/>
  <c r="IW10" i="65"/>
  <c r="IV10" i="65"/>
  <c r="IU10" i="65"/>
  <c r="IT10" i="65"/>
  <c r="IS10" i="65"/>
  <c r="IR10" i="65"/>
  <c r="IQ10" i="65"/>
  <c r="IP10" i="65"/>
  <c r="IO10" i="65"/>
  <c r="IN10" i="65"/>
  <c r="IM10" i="65"/>
  <c r="IL10" i="65"/>
  <c r="IK10" i="65"/>
  <c r="IJ10" i="65"/>
  <c r="II10" i="65"/>
  <c r="IH10" i="65"/>
  <c r="IG10" i="65"/>
  <c r="IF10" i="65"/>
  <c r="IE10" i="65"/>
  <c r="ID10" i="65"/>
  <c r="IC10" i="65"/>
  <c r="IB10" i="65"/>
  <c r="IA10" i="65"/>
  <c r="HZ10" i="65"/>
  <c r="HY10" i="65"/>
  <c r="HX10" i="65"/>
  <c r="HW10" i="65"/>
  <c r="HV10" i="65"/>
  <c r="HU10" i="65"/>
  <c r="HT10" i="65"/>
  <c r="HS10" i="65"/>
  <c r="HR10" i="65"/>
  <c r="HQ10" i="65"/>
  <c r="HP10" i="65"/>
  <c r="HO10" i="65"/>
  <c r="HN10" i="65"/>
  <c r="HM10" i="65"/>
  <c r="HL10" i="65"/>
  <c r="HK10" i="65"/>
  <c r="HJ10" i="65"/>
  <c r="HI10" i="65"/>
  <c r="HH10" i="65"/>
  <c r="HG10" i="65"/>
  <c r="HF10" i="65"/>
  <c r="HE10" i="65"/>
  <c r="HD10" i="65"/>
  <c r="HC10" i="65"/>
  <c r="HB10" i="65"/>
  <c r="HA10" i="65"/>
  <c r="GZ10" i="65"/>
  <c r="GY10" i="65"/>
  <c r="GX10" i="65"/>
  <c r="GW10" i="65"/>
  <c r="GV10" i="65"/>
  <c r="GU10" i="65"/>
  <c r="GT10" i="65"/>
  <c r="GS10" i="65"/>
  <c r="GR10" i="65"/>
  <c r="GQ10" i="65"/>
  <c r="GP10" i="65"/>
  <c r="GO10" i="65"/>
  <c r="GN10" i="65"/>
  <c r="GM10" i="65"/>
  <c r="GL10" i="65"/>
  <c r="GK10" i="65"/>
  <c r="GJ10" i="65"/>
  <c r="GI10" i="65"/>
  <c r="GH10" i="65"/>
  <c r="GG10" i="65"/>
  <c r="GF10" i="65"/>
  <c r="GE10" i="65"/>
  <c r="GD10" i="65"/>
  <c r="GC10" i="65"/>
  <c r="GB10" i="65"/>
  <c r="GA10" i="65"/>
  <c r="FZ10" i="65"/>
  <c r="FY10" i="65"/>
  <c r="FX10" i="65"/>
  <c r="FW10" i="65"/>
  <c r="FV10" i="65"/>
  <c r="FU10" i="65"/>
  <c r="FT10" i="65"/>
  <c r="FS10" i="65"/>
  <c r="FR10" i="65"/>
  <c r="FQ10" i="65"/>
  <c r="FP10" i="65"/>
  <c r="FO10" i="65"/>
  <c r="C10" i="65"/>
  <c r="LW9" i="65"/>
  <c r="LV9" i="65"/>
  <c r="LU9" i="65"/>
  <c r="LT9" i="65"/>
  <c r="LS9" i="65"/>
  <c r="LR9" i="65"/>
  <c r="LQ9" i="65"/>
  <c r="LP9" i="65"/>
  <c r="LO9" i="65"/>
  <c r="LN9" i="65"/>
  <c r="LM9" i="65"/>
  <c r="LL9" i="65"/>
  <c r="LK9" i="65"/>
  <c r="LJ9" i="65"/>
  <c r="LI9" i="65"/>
  <c r="LH9" i="65"/>
  <c r="LG9" i="65"/>
  <c r="LF9" i="65"/>
  <c r="LE9" i="65"/>
  <c r="LD9" i="65"/>
  <c r="LC9" i="65"/>
  <c r="LB9" i="65"/>
  <c r="LA9" i="65"/>
  <c r="KZ9" i="65"/>
  <c r="KY9" i="65"/>
  <c r="KX9" i="65"/>
  <c r="KW9" i="65"/>
  <c r="KV9" i="65"/>
  <c r="KU9" i="65"/>
  <c r="KT9" i="65"/>
  <c r="KS9" i="65"/>
  <c r="KR9" i="65"/>
  <c r="KQ9" i="65"/>
  <c r="KP9" i="65"/>
  <c r="KO9" i="65"/>
  <c r="KN9" i="65"/>
  <c r="KM9" i="65"/>
  <c r="KL9" i="65"/>
  <c r="KK9" i="65"/>
  <c r="KJ9" i="65"/>
  <c r="KI9" i="65"/>
  <c r="KH9" i="65"/>
  <c r="KG9" i="65"/>
  <c r="KF9" i="65"/>
  <c r="KE9" i="65"/>
  <c r="KD9" i="65"/>
  <c r="KC9" i="65"/>
  <c r="KB9" i="65"/>
  <c r="KA9" i="65"/>
  <c r="JZ9" i="65"/>
  <c r="JY9" i="65"/>
  <c r="JX9" i="65"/>
  <c r="JW9" i="65"/>
  <c r="JV9" i="65"/>
  <c r="JU9" i="65"/>
  <c r="JT9" i="65"/>
  <c r="JS9" i="65"/>
  <c r="JR9" i="65"/>
  <c r="JQ9" i="65"/>
  <c r="JP9" i="65"/>
  <c r="JO9" i="65"/>
  <c r="JN9" i="65"/>
  <c r="JM9" i="65"/>
  <c r="JL9" i="65"/>
  <c r="JK9" i="65"/>
  <c r="JJ9" i="65"/>
  <c r="JI9" i="65"/>
  <c r="JH9" i="65"/>
  <c r="JG9" i="65"/>
  <c r="JF9" i="65"/>
  <c r="JE9" i="65"/>
  <c r="JD9" i="65"/>
  <c r="JC9" i="65"/>
  <c r="JB9" i="65"/>
  <c r="JA9" i="65"/>
  <c r="IZ9" i="65"/>
  <c r="IY9" i="65"/>
  <c r="IX9" i="65"/>
  <c r="IW9" i="65"/>
  <c r="IV9" i="65"/>
  <c r="IU9" i="65"/>
  <c r="IT9" i="65"/>
  <c r="IS9" i="65"/>
  <c r="IR9" i="65"/>
  <c r="IQ9" i="65"/>
  <c r="IP9" i="65"/>
  <c r="IO9" i="65"/>
  <c r="IN9" i="65"/>
  <c r="IM9" i="65"/>
  <c r="IL9" i="65"/>
  <c r="IK9" i="65"/>
  <c r="IJ9" i="65"/>
  <c r="II9" i="65"/>
  <c r="IH9" i="65"/>
  <c r="IG9" i="65"/>
  <c r="IF9" i="65"/>
  <c r="IE9" i="65"/>
  <c r="ID9" i="65"/>
  <c r="IC9" i="65"/>
  <c r="IB9" i="65"/>
  <c r="IA9" i="65"/>
  <c r="HZ9" i="65"/>
  <c r="HY9" i="65"/>
  <c r="HX9" i="65"/>
  <c r="HW9" i="65"/>
  <c r="HV9" i="65"/>
  <c r="HU9" i="65"/>
  <c r="HT9" i="65"/>
  <c r="HS9" i="65"/>
  <c r="HR9" i="65"/>
  <c r="HQ9" i="65"/>
  <c r="HP9" i="65"/>
  <c r="HO9" i="65"/>
  <c r="HN9" i="65"/>
  <c r="HM9" i="65"/>
  <c r="HL9" i="65"/>
  <c r="HK9" i="65"/>
  <c r="HJ9" i="65"/>
  <c r="HI9" i="65"/>
  <c r="HH9" i="65"/>
  <c r="HG9" i="65"/>
  <c r="HF9" i="65"/>
  <c r="HE9" i="65"/>
  <c r="HD9" i="65"/>
  <c r="HC9" i="65"/>
  <c r="HB9" i="65"/>
  <c r="HA9" i="65"/>
  <c r="GZ9" i="65"/>
  <c r="GY9" i="65"/>
  <c r="GX9" i="65"/>
  <c r="GW9" i="65"/>
  <c r="GV9" i="65"/>
  <c r="GU9" i="65"/>
  <c r="GT9" i="65"/>
  <c r="GS9" i="65"/>
  <c r="GR9" i="65"/>
  <c r="GQ9" i="65"/>
  <c r="GP9" i="65"/>
  <c r="GO9" i="65"/>
  <c r="GN9" i="65"/>
  <c r="GM9" i="65"/>
  <c r="GL9" i="65"/>
  <c r="GK9" i="65"/>
  <c r="GJ9" i="65"/>
  <c r="GI9" i="65"/>
  <c r="GH9" i="65"/>
  <c r="GG9" i="65"/>
  <c r="GF9" i="65"/>
  <c r="GE9" i="65"/>
  <c r="GD9" i="65"/>
  <c r="GC9" i="65"/>
  <c r="GB9" i="65"/>
  <c r="GA9" i="65"/>
  <c r="FZ9" i="65"/>
  <c r="FY9" i="65"/>
  <c r="FX9" i="65"/>
  <c r="FW9" i="65"/>
  <c r="FV9" i="65"/>
  <c r="FU9" i="65"/>
  <c r="FT9" i="65"/>
  <c r="FS9" i="65"/>
  <c r="FR9" i="65"/>
  <c r="FQ9" i="65"/>
  <c r="FP9" i="65"/>
  <c r="FO9" i="65"/>
  <c r="C9" i="65"/>
  <c r="LW8" i="65"/>
  <c r="LV8" i="65"/>
  <c r="LU8" i="65"/>
  <c r="LT8" i="65"/>
  <c r="LS8" i="65"/>
  <c r="LR8" i="65"/>
  <c r="LQ8" i="65"/>
  <c r="LP8" i="65"/>
  <c r="LO8" i="65"/>
  <c r="LN8" i="65"/>
  <c r="LM8" i="65"/>
  <c r="LL8" i="65"/>
  <c r="LK8" i="65"/>
  <c r="LJ8" i="65"/>
  <c r="LI8" i="65"/>
  <c r="LH8" i="65"/>
  <c r="LG8" i="65"/>
  <c r="LF8" i="65"/>
  <c r="LE8" i="65"/>
  <c r="LD8" i="65"/>
  <c r="LC8" i="65"/>
  <c r="LB8" i="65"/>
  <c r="LA8" i="65"/>
  <c r="KZ8" i="65"/>
  <c r="KY8" i="65"/>
  <c r="KX8" i="65"/>
  <c r="KW8" i="65"/>
  <c r="KV8" i="65"/>
  <c r="KU8" i="65"/>
  <c r="KT8" i="65"/>
  <c r="KS8" i="65"/>
  <c r="KR8" i="65"/>
  <c r="KQ8" i="65"/>
  <c r="KP8" i="65"/>
  <c r="KO8" i="65"/>
  <c r="KN8" i="65"/>
  <c r="KM8" i="65"/>
  <c r="KL8" i="65"/>
  <c r="KK8" i="65"/>
  <c r="KJ8" i="65"/>
  <c r="KI8" i="65"/>
  <c r="KH8" i="65"/>
  <c r="KG8" i="65"/>
  <c r="KF8" i="65"/>
  <c r="KE8" i="65"/>
  <c r="KD8" i="65"/>
  <c r="KC8" i="65"/>
  <c r="KB8" i="65"/>
  <c r="KA8" i="65"/>
  <c r="JZ8" i="65"/>
  <c r="JY8" i="65"/>
  <c r="JX8" i="65"/>
  <c r="JW8" i="65"/>
  <c r="JV8" i="65"/>
  <c r="JU8" i="65"/>
  <c r="JT8" i="65"/>
  <c r="JS8" i="65"/>
  <c r="JR8" i="65"/>
  <c r="JQ8" i="65"/>
  <c r="JP8" i="65"/>
  <c r="JO8" i="65"/>
  <c r="JN8" i="65"/>
  <c r="JM8" i="65"/>
  <c r="JL8" i="65"/>
  <c r="JK8" i="65"/>
  <c r="JJ8" i="65"/>
  <c r="JI8" i="65"/>
  <c r="JH8" i="65"/>
  <c r="JG8" i="65"/>
  <c r="JF8" i="65"/>
  <c r="JE8" i="65"/>
  <c r="JD8" i="65"/>
  <c r="JC8" i="65"/>
  <c r="JB8" i="65"/>
  <c r="JA8" i="65"/>
  <c r="IZ8" i="65"/>
  <c r="IY8" i="65"/>
  <c r="IX8" i="65"/>
  <c r="IW8" i="65"/>
  <c r="IV8" i="65"/>
  <c r="IU8" i="65"/>
  <c r="IT8" i="65"/>
  <c r="IS8" i="65"/>
  <c r="IR8" i="65"/>
  <c r="IQ8" i="65"/>
  <c r="IP8" i="65"/>
  <c r="IO8" i="65"/>
  <c r="IN8" i="65"/>
  <c r="IM8" i="65"/>
  <c r="IL8" i="65"/>
  <c r="IK8" i="65"/>
  <c r="IJ8" i="65"/>
  <c r="II8" i="65"/>
  <c r="IH8" i="65"/>
  <c r="IG8" i="65"/>
  <c r="IF8" i="65"/>
  <c r="IE8" i="65"/>
  <c r="ID8" i="65"/>
  <c r="IC8" i="65"/>
  <c r="IB8" i="65"/>
  <c r="IA8" i="65"/>
  <c r="HZ8" i="65"/>
  <c r="HY8" i="65"/>
  <c r="HX8" i="65"/>
  <c r="HW8" i="65"/>
  <c r="HV8" i="65"/>
  <c r="HU8" i="65"/>
  <c r="HT8" i="65"/>
  <c r="HS8" i="65"/>
  <c r="HR8" i="65"/>
  <c r="HQ8" i="65"/>
  <c r="HP8" i="65"/>
  <c r="HO8" i="65"/>
  <c r="HN8" i="65"/>
  <c r="HM8" i="65"/>
  <c r="HL8" i="65"/>
  <c r="HK8" i="65"/>
  <c r="HJ8" i="65"/>
  <c r="HI8" i="65"/>
  <c r="HH8" i="65"/>
  <c r="HG8" i="65"/>
  <c r="HF8" i="65"/>
  <c r="HE8" i="65"/>
  <c r="HD8" i="65"/>
  <c r="HC8" i="65"/>
  <c r="HB8" i="65"/>
  <c r="HA8" i="65"/>
  <c r="GZ8" i="65"/>
  <c r="GY8" i="65"/>
  <c r="GX8" i="65"/>
  <c r="GW8" i="65"/>
  <c r="GV8" i="65"/>
  <c r="GU8" i="65"/>
  <c r="GT8" i="65"/>
  <c r="GS8" i="65"/>
  <c r="GR8" i="65"/>
  <c r="GQ8" i="65"/>
  <c r="GP8" i="65"/>
  <c r="GO8" i="65"/>
  <c r="GN8" i="65"/>
  <c r="GM8" i="65"/>
  <c r="GL8" i="65"/>
  <c r="GK8" i="65"/>
  <c r="GJ8" i="65"/>
  <c r="GI8" i="65"/>
  <c r="GH8" i="65"/>
  <c r="GG8" i="65"/>
  <c r="GF8" i="65"/>
  <c r="GE8" i="65"/>
  <c r="GD8" i="65"/>
  <c r="GC8" i="65"/>
  <c r="GB8" i="65"/>
  <c r="GA8" i="65"/>
  <c r="FZ8" i="65"/>
  <c r="FY8" i="65"/>
  <c r="FX8" i="65"/>
  <c r="FW8" i="65"/>
  <c r="FV8" i="65"/>
  <c r="FU8" i="65"/>
  <c r="FT8" i="65"/>
  <c r="FS8" i="65"/>
  <c r="FR8" i="65"/>
  <c r="FQ8" i="65"/>
  <c r="FP8" i="65"/>
  <c r="FO8" i="65"/>
  <c r="C8" i="65"/>
  <c r="LW7" i="65"/>
  <c r="LV7" i="65"/>
  <c r="LU7" i="65"/>
  <c r="LT7" i="65"/>
  <c r="LS7" i="65"/>
  <c r="LR7" i="65"/>
  <c r="LQ7" i="65"/>
  <c r="LP7" i="65"/>
  <c r="LO7" i="65"/>
  <c r="LN7" i="65"/>
  <c r="LM7" i="65"/>
  <c r="LL7" i="65"/>
  <c r="LK7" i="65"/>
  <c r="LJ7" i="65"/>
  <c r="LI7" i="65"/>
  <c r="LH7" i="65"/>
  <c r="LG7" i="65"/>
  <c r="LF7" i="65"/>
  <c r="LE7" i="65"/>
  <c r="LD7" i="65"/>
  <c r="LC7" i="65"/>
  <c r="LB7" i="65"/>
  <c r="LA7" i="65"/>
  <c r="KZ7" i="65"/>
  <c r="KY7" i="65"/>
  <c r="KX7" i="65"/>
  <c r="KW7" i="65"/>
  <c r="KV7" i="65"/>
  <c r="KU7" i="65"/>
  <c r="KT7" i="65"/>
  <c r="KS7" i="65"/>
  <c r="KR7" i="65"/>
  <c r="KQ7" i="65"/>
  <c r="KP7" i="65"/>
  <c r="KO7" i="65"/>
  <c r="KN7" i="65"/>
  <c r="KM7" i="65"/>
  <c r="KL7" i="65"/>
  <c r="KK7" i="65"/>
  <c r="KJ7" i="65"/>
  <c r="KI7" i="65"/>
  <c r="KH7" i="65"/>
  <c r="KG7" i="65"/>
  <c r="KF7" i="65"/>
  <c r="KE7" i="65"/>
  <c r="KD7" i="65"/>
  <c r="KC7" i="65"/>
  <c r="KB7" i="65"/>
  <c r="KA7" i="65"/>
  <c r="JZ7" i="65"/>
  <c r="JY7" i="65"/>
  <c r="JX7" i="65"/>
  <c r="JW7" i="65"/>
  <c r="JV7" i="65"/>
  <c r="JU7" i="65"/>
  <c r="JT7" i="65"/>
  <c r="JS7" i="65"/>
  <c r="JR7" i="65"/>
  <c r="JQ7" i="65"/>
  <c r="JP7" i="65"/>
  <c r="JO7" i="65"/>
  <c r="JN7" i="65"/>
  <c r="JM7" i="65"/>
  <c r="JL7" i="65"/>
  <c r="JK7" i="65"/>
  <c r="JJ7" i="65"/>
  <c r="JI7" i="65"/>
  <c r="JH7" i="65"/>
  <c r="JG7" i="65"/>
  <c r="JF7" i="65"/>
  <c r="JE7" i="65"/>
  <c r="JD7" i="65"/>
  <c r="JC7" i="65"/>
  <c r="JB7" i="65"/>
  <c r="JA7" i="65"/>
  <c r="IZ7" i="65"/>
  <c r="IY7" i="65"/>
  <c r="IX7" i="65"/>
  <c r="IW7" i="65"/>
  <c r="IV7" i="65"/>
  <c r="IU7" i="65"/>
  <c r="IT7" i="65"/>
  <c r="IS7" i="65"/>
  <c r="IR7" i="65"/>
  <c r="IQ7" i="65"/>
  <c r="IP7" i="65"/>
  <c r="IO7" i="65"/>
  <c r="IN7" i="65"/>
  <c r="IM7" i="65"/>
  <c r="IL7" i="65"/>
  <c r="IK7" i="65"/>
  <c r="IJ7" i="65"/>
  <c r="II7" i="65"/>
  <c r="IH7" i="65"/>
  <c r="IG7" i="65"/>
  <c r="IF7" i="65"/>
  <c r="IE7" i="65"/>
  <c r="ID7" i="65"/>
  <c r="IC7" i="65"/>
  <c r="IB7" i="65"/>
  <c r="IA7" i="65"/>
  <c r="HZ7" i="65"/>
  <c r="HY7" i="65"/>
  <c r="HX7" i="65"/>
  <c r="HW7" i="65"/>
  <c r="HV7" i="65"/>
  <c r="HU7" i="65"/>
  <c r="HT7" i="65"/>
  <c r="HS7" i="65"/>
  <c r="HR7" i="65"/>
  <c r="HQ7" i="65"/>
  <c r="HP7" i="65"/>
  <c r="HO7" i="65"/>
  <c r="HN7" i="65"/>
  <c r="HM7" i="65"/>
  <c r="HL7" i="65"/>
  <c r="HK7" i="65"/>
  <c r="HJ7" i="65"/>
  <c r="HI7" i="65"/>
  <c r="HH7" i="65"/>
  <c r="HG7" i="65"/>
  <c r="HF7" i="65"/>
  <c r="HE7" i="65"/>
  <c r="HD7" i="65"/>
  <c r="HC7" i="65"/>
  <c r="HB7" i="65"/>
  <c r="HA7" i="65"/>
  <c r="GZ7" i="65"/>
  <c r="GY7" i="65"/>
  <c r="GX7" i="65"/>
  <c r="GW7" i="65"/>
  <c r="GV7" i="65"/>
  <c r="GU7" i="65"/>
  <c r="GT7" i="65"/>
  <c r="GS7" i="65"/>
  <c r="GR7" i="65"/>
  <c r="GQ7" i="65"/>
  <c r="GP7" i="65"/>
  <c r="GO7" i="65"/>
  <c r="GN7" i="65"/>
  <c r="GM7" i="65"/>
  <c r="GL7" i="65"/>
  <c r="GK7" i="65"/>
  <c r="GJ7" i="65"/>
  <c r="GI7" i="65"/>
  <c r="GH7" i="65"/>
  <c r="GG7" i="65"/>
  <c r="GF7" i="65"/>
  <c r="GE7" i="65"/>
  <c r="GD7" i="65"/>
  <c r="GC7" i="65"/>
  <c r="GB7" i="65"/>
  <c r="GA7" i="65"/>
  <c r="FZ7" i="65"/>
  <c r="FY7" i="65"/>
  <c r="FX7" i="65"/>
  <c r="FW7" i="65"/>
  <c r="FV7" i="65"/>
  <c r="FU7" i="65"/>
  <c r="FT7" i="65"/>
  <c r="FS7" i="65"/>
  <c r="FR7" i="65"/>
  <c r="FQ7" i="65"/>
  <c r="FP7" i="65"/>
  <c r="FO7" i="65"/>
  <c r="C7" i="65"/>
  <c r="LW6" i="65"/>
  <c r="LV6" i="65"/>
  <c r="LU6" i="65"/>
  <c r="LT6" i="65"/>
  <c r="LS6" i="65"/>
  <c r="LR6" i="65"/>
  <c r="LQ6" i="65"/>
  <c r="LP6" i="65"/>
  <c r="LO6" i="65"/>
  <c r="LN6" i="65"/>
  <c r="LM6" i="65"/>
  <c r="LL6" i="65"/>
  <c r="LK6" i="65"/>
  <c r="LJ6" i="65"/>
  <c r="LI6" i="65"/>
  <c r="LH6" i="65"/>
  <c r="LG6" i="65"/>
  <c r="LF6" i="65"/>
  <c r="LE6" i="65"/>
  <c r="LD6" i="65"/>
  <c r="LC6" i="65"/>
  <c r="LB6" i="65"/>
  <c r="LA6" i="65"/>
  <c r="KZ6" i="65"/>
  <c r="KY6" i="65"/>
  <c r="KX6" i="65"/>
  <c r="KW6" i="65"/>
  <c r="KV6" i="65"/>
  <c r="KU6" i="65"/>
  <c r="KT6" i="65"/>
  <c r="KS6" i="65"/>
  <c r="KR6" i="65"/>
  <c r="KQ6" i="65"/>
  <c r="KP6" i="65"/>
  <c r="KO6" i="65"/>
  <c r="KN6" i="65"/>
  <c r="KM6" i="65"/>
  <c r="KL6" i="65"/>
  <c r="KK6" i="65"/>
  <c r="KJ6" i="65"/>
  <c r="KI6" i="65"/>
  <c r="KH6" i="65"/>
  <c r="KG6" i="65"/>
  <c r="KF6" i="65"/>
  <c r="KE6" i="65"/>
  <c r="KD6" i="65"/>
  <c r="KC6" i="65"/>
  <c r="KB6" i="65"/>
  <c r="KA6" i="65"/>
  <c r="JZ6" i="65"/>
  <c r="JY6" i="65"/>
  <c r="JX6" i="65"/>
  <c r="JW6" i="65"/>
  <c r="JV6" i="65"/>
  <c r="JU6" i="65"/>
  <c r="JT6" i="65"/>
  <c r="JS6" i="65"/>
  <c r="JR6" i="65"/>
  <c r="JQ6" i="65"/>
  <c r="JP6" i="65"/>
  <c r="JO6" i="65"/>
  <c r="JN6" i="65"/>
  <c r="JM6" i="65"/>
  <c r="JL6" i="65"/>
  <c r="JK6" i="65"/>
  <c r="JJ6" i="65"/>
  <c r="JI6" i="65"/>
  <c r="JH6" i="65"/>
  <c r="JG6" i="65"/>
  <c r="JF6" i="65"/>
  <c r="JE6" i="65"/>
  <c r="JD6" i="65"/>
  <c r="JC6" i="65"/>
  <c r="JB6" i="65"/>
  <c r="JA6" i="65"/>
  <c r="IZ6" i="65"/>
  <c r="IY6" i="65"/>
  <c r="IX6" i="65"/>
  <c r="IW6" i="65"/>
  <c r="IV6" i="65"/>
  <c r="IU6" i="65"/>
  <c r="IT6" i="65"/>
  <c r="IS6" i="65"/>
  <c r="IR6" i="65"/>
  <c r="IQ6" i="65"/>
  <c r="IP6" i="65"/>
  <c r="IO6" i="65"/>
  <c r="IN6" i="65"/>
  <c r="IM6" i="65"/>
  <c r="IL6" i="65"/>
  <c r="IK6" i="65"/>
  <c r="IJ6" i="65"/>
  <c r="II6" i="65"/>
  <c r="IH6" i="65"/>
  <c r="IG6" i="65"/>
  <c r="IF6" i="65"/>
  <c r="IE6" i="65"/>
  <c r="ID6" i="65"/>
  <c r="IC6" i="65"/>
  <c r="IB6" i="65"/>
  <c r="IA6" i="65"/>
  <c r="HZ6" i="65"/>
  <c r="HY6" i="65"/>
  <c r="HX6" i="65"/>
  <c r="HW6" i="65"/>
  <c r="HV6" i="65"/>
  <c r="HU6" i="65"/>
  <c r="HT6" i="65"/>
  <c r="HS6" i="65"/>
  <c r="HR6" i="65"/>
  <c r="HQ6" i="65"/>
  <c r="HP6" i="65"/>
  <c r="HO6" i="65"/>
  <c r="HN6" i="65"/>
  <c r="HM6" i="65"/>
  <c r="HL6" i="65"/>
  <c r="HK6" i="65"/>
  <c r="HJ6" i="65"/>
  <c r="HI6" i="65"/>
  <c r="HH6" i="65"/>
  <c r="HG6" i="65"/>
  <c r="HF6" i="65"/>
  <c r="HE6" i="65"/>
  <c r="HD6" i="65"/>
  <c r="HC6" i="65"/>
  <c r="HB6" i="65"/>
  <c r="HA6" i="65"/>
  <c r="GZ6" i="65"/>
  <c r="GY6" i="65"/>
  <c r="GX6" i="65"/>
  <c r="GW6" i="65"/>
  <c r="GV6" i="65"/>
  <c r="GU6" i="65"/>
  <c r="GT6" i="65"/>
  <c r="GS6" i="65"/>
  <c r="GR6" i="65"/>
  <c r="GQ6" i="65"/>
  <c r="GP6" i="65"/>
  <c r="GO6" i="65"/>
  <c r="GN6" i="65"/>
  <c r="GM6" i="65"/>
  <c r="GL6" i="65"/>
  <c r="GK6" i="65"/>
  <c r="GJ6" i="65"/>
  <c r="GI6" i="65"/>
  <c r="GH6" i="65"/>
  <c r="GG6" i="65"/>
  <c r="GF6" i="65"/>
  <c r="GE6" i="65"/>
  <c r="GD6" i="65"/>
  <c r="GC6" i="65"/>
  <c r="GB6" i="65"/>
  <c r="GA6" i="65"/>
  <c r="FZ6" i="65"/>
  <c r="FY6" i="65"/>
  <c r="FX6" i="65"/>
  <c r="FW6" i="65"/>
  <c r="FV6" i="65"/>
  <c r="FU6" i="65"/>
  <c r="FT6" i="65"/>
  <c r="FS6" i="65"/>
  <c r="FR6" i="65"/>
  <c r="FQ6" i="65"/>
  <c r="FP6" i="65"/>
  <c r="FO6" i="65"/>
  <c r="C6" i="65"/>
  <c r="LW5" i="65"/>
  <c r="LV5" i="65"/>
  <c r="LU5" i="65"/>
  <c r="LT5" i="65"/>
  <c r="LS5" i="65"/>
  <c r="LR5" i="65"/>
  <c r="LQ5" i="65"/>
  <c r="LP5" i="65"/>
  <c r="LO5" i="65"/>
  <c r="LN5" i="65"/>
  <c r="LM5" i="65"/>
  <c r="LL5" i="65"/>
  <c r="LK5" i="65"/>
  <c r="LJ5" i="65"/>
  <c r="LI5" i="65"/>
  <c r="LH5" i="65"/>
  <c r="LG5" i="65"/>
  <c r="LF5" i="65"/>
  <c r="LE5" i="65"/>
  <c r="LD5" i="65"/>
  <c r="LC5" i="65"/>
  <c r="LB5" i="65"/>
  <c r="LA5" i="65"/>
  <c r="KZ5" i="65"/>
  <c r="KY5" i="65"/>
  <c r="KX5" i="65"/>
  <c r="KW5" i="65"/>
  <c r="KV5" i="65"/>
  <c r="KU5" i="65"/>
  <c r="KT5" i="65"/>
  <c r="KS5" i="65"/>
  <c r="KR5" i="65"/>
  <c r="KQ5" i="65"/>
  <c r="KP5" i="65"/>
  <c r="KO5" i="65"/>
  <c r="KN5" i="65"/>
  <c r="KM5" i="65"/>
  <c r="KL5" i="65"/>
  <c r="KK5" i="65"/>
  <c r="KJ5" i="65"/>
  <c r="KI5" i="65"/>
  <c r="KH5" i="65"/>
  <c r="KG5" i="65"/>
  <c r="KF5" i="65"/>
  <c r="KE5" i="65"/>
  <c r="KD5" i="65"/>
  <c r="KC5" i="65"/>
  <c r="KB5" i="65"/>
  <c r="KA5" i="65"/>
  <c r="JZ5" i="65"/>
  <c r="JY5" i="65"/>
  <c r="JX5" i="65"/>
  <c r="JW5" i="65"/>
  <c r="JV5" i="65"/>
  <c r="JU5" i="65"/>
  <c r="JT5" i="65"/>
  <c r="JS5" i="65"/>
  <c r="JR5" i="65"/>
  <c r="JQ5" i="65"/>
  <c r="JP5" i="65"/>
  <c r="JO5" i="65"/>
  <c r="JN5" i="65"/>
  <c r="JM5" i="65"/>
  <c r="JL5" i="65"/>
  <c r="JK5" i="65"/>
  <c r="JJ5" i="65"/>
  <c r="JI5" i="65"/>
  <c r="JH5" i="65"/>
  <c r="JG5" i="65"/>
  <c r="JF5" i="65"/>
  <c r="JE5" i="65"/>
  <c r="JD5" i="65"/>
  <c r="JC5" i="65"/>
  <c r="JB5" i="65"/>
  <c r="JA5" i="65"/>
  <c r="IZ5" i="65"/>
  <c r="IY5" i="65"/>
  <c r="IX5" i="65"/>
  <c r="IW5" i="65"/>
  <c r="IV5" i="65"/>
  <c r="IU5" i="65"/>
  <c r="IT5" i="65"/>
  <c r="IS5" i="65"/>
  <c r="IR5" i="65"/>
  <c r="IQ5" i="65"/>
  <c r="IP5" i="65"/>
  <c r="IO5" i="65"/>
  <c r="IN5" i="65"/>
  <c r="IM5" i="65"/>
  <c r="IL5" i="65"/>
  <c r="IK5" i="65"/>
  <c r="IJ5" i="65"/>
  <c r="II5" i="65"/>
  <c r="IH5" i="65"/>
  <c r="IG5" i="65"/>
  <c r="IF5" i="65"/>
  <c r="IE5" i="65"/>
  <c r="ID5" i="65"/>
  <c r="IC5" i="65"/>
  <c r="IB5" i="65"/>
  <c r="IA5" i="65"/>
  <c r="HZ5" i="65"/>
  <c r="HY5" i="65"/>
  <c r="HX5" i="65"/>
  <c r="HW5" i="65"/>
  <c r="HV5" i="65"/>
  <c r="HU5" i="65"/>
  <c r="HT5" i="65"/>
  <c r="HS5" i="65"/>
  <c r="HR5" i="65"/>
  <c r="HQ5" i="65"/>
  <c r="HP5" i="65"/>
  <c r="HO5" i="65"/>
  <c r="HN5" i="65"/>
  <c r="HM5" i="65"/>
  <c r="HL5" i="65"/>
  <c r="HK5" i="65"/>
  <c r="HJ5" i="65"/>
  <c r="HI5" i="65"/>
  <c r="HH5" i="65"/>
  <c r="HG5" i="65"/>
  <c r="HF5" i="65"/>
  <c r="HE5" i="65"/>
  <c r="HD5" i="65"/>
  <c r="HC5" i="65"/>
  <c r="HB5" i="65"/>
  <c r="HA5" i="65"/>
  <c r="GZ5" i="65"/>
  <c r="GY5" i="65"/>
  <c r="GX5" i="65"/>
  <c r="GW5" i="65"/>
  <c r="GV5" i="65"/>
  <c r="GU5" i="65"/>
  <c r="GT5" i="65"/>
  <c r="GS5" i="65"/>
  <c r="GR5" i="65"/>
  <c r="GQ5" i="65"/>
  <c r="GP5" i="65"/>
  <c r="GO5" i="65"/>
  <c r="GN5" i="65"/>
  <c r="GM5" i="65"/>
  <c r="GL5" i="65"/>
  <c r="GK5" i="65"/>
  <c r="GJ5" i="65"/>
  <c r="GI5" i="65"/>
  <c r="GH5" i="65"/>
  <c r="GG5" i="65"/>
  <c r="GF5" i="65"/>
  <c r="GE5" i="65"/>
  <c r="GD5" i="65"/>
  <c r="GC5" i="65"/>
  <c r="GB5" i="65"/>
  <c r="GA5" i="65"/>
  <c r="FZ5" i="65"/>
  <c r="FY5" i="65"/>
  <c r="FX5" i="65"/>
  <c r="FW5" i="65"/>
  <c r="FV5" i="65"/>
  <c r="FU5" i="65"/>
  <c r="FT5" i="65"/>
  <c r="FS5" i="65"/>
  <c r="FR5" i="65"/>
  <c r="FQ5" i="65"/>
  <c r="FP5" i="65"/>
  <c r="FO5" i="65"/>
  <c r="C5" i="65"/>
  <c r="LW4" i="65"/>
  <c r="FN41" i="65" s="1"/>
  <c r="FN44" i="65" s="1"/>
  <c r="H176" i="41" s="1"/>
  <c r="LV4" i="65"/>
  <c r="FM41" i="65" s="1"/>
  <c r="FM44" i="65" s="1"/>
  <c r="H175" i="41" s="1"/>
  <c r="LU4" i="65"/>
  <c r="FL41" i="65" s="1"/>
  <c r="FL44" i="65" s="1"/>
  <c r="H174" i="41" s="1"/>
  <c r="LT4" i="65"/>
  <c r="FK41" i="65" s="1"/>
  <c r="FK44" i="65" s="1"/>
  <c r="H173" i="41" s="1"/>
  <c r="LS4" i="65"/>
  <c r="FJ41" i="65" s="1"/>
  <c r="FJ44" i="65" s="1"/>
  <c r="H172" i="41" s="1"/>
  <c r="LR4" i="65"/>
  <c r="FI41" i="65" s="1"/>
  <c r="FI44" i="65" s="1"/>
  <c r="H171" i="41" s="1"/>
  <c r="LQ4" i="65"/>
  <c r="FH41" i="65" s="1"/>
  <c r="FH44" i="65" s="1"/>
  <c r="H170" i="41" s="1"/>
  <c r="LP4" i="65"/>
  <c r="FG41" i="65" s="1"/>
  <c r="FG44" i="65" s="1"/>
  <c r="H169" i="41" s="1"/>
  <c r="LO4" i="65"/>
  <c r="FF41" i="65" s="1"/>
  <c r="FF44" i="65" s="1"/>
  <c r="H168" i="41" s="1"/>
  <c r="LN4" i="65"/>
  <c r="FE41" i="65" s="1"/>
  <c r="FE44" i="65" s="1"/>
  <c r="H167" i="41" s="1"/>
  <c r="LM4" i="65"/>
  <c r="FD41" i="65" s="1"/>
  <c r="FD44" i="65" s="1"/>
  <c r="H166" i="41" s="1"/>
  <c r="LL4" i="65"/>
  <c r="FC41" i="65" s="1"/>
  <c r="FC44" i="65" s="1"/>
  <c r="H165" i="41" s="1"/>
  <c r="LK4" i="65"/>
  <c r="FB41" i="65" s="1"/>
  <c r="FB44" i="65" s="1"/>
  <c r="H164" i="41" s="1"/>
  <c r="LJ4" i="65"/>
  <c r="FA41" i="65" s="1"/>
  <c r="FA44" i="65" s="1"/>
  <c r="H163" i="41" s="1"/>
  <c r="LI4" i="65"/>
  <c r="EZ41" i="65" s="1"/>
  <c r="EZ44" i="65" s="1"/>
  <c r="H162" i="41" s="1"/>
  <c r="LH4" i="65"/>
  <c r="EY41" i="65" s="1"/>
  <c r="EY44" i="65" s="1"/>
  <c r="H161" i="41" s="1"/>
  <c r="LG4" i="65"/>
  <c r="EX41" i="65" s="1"/>
  <c r="EX44" i="65" s="1"/>
  <c r="H160" i="41" s="1"/>
  <c r="LF4" i="65"/>
  <c r="EW41" i="65" s="1"/>
  <c r="EW44" i="65" s="1"/>
  <c r="H159" i="41" s="1"/>
  <c r="LE4" i="65"/>
  <c r="EV41" i="65" s="1"/>
  <c r="EV44" i="65" s="1"/>
  <c r="H158" i="41" s="1"/>
  <c r="LD4" i="65"/>
  <c r="EU41" i="65" s="1"/>
  <c r="EU44" i="65" s="1"/>
  <c r="H157" i="41" s="1"/>
  <c r="LC4" i="65"/>
  <c r="ET41" i="65" s="1"/>
  <c r="ET44" i="65" s="1"/>
  <c r="H156" i="41" s="1"/>
  <c r="LB4" i="65"/>
  <c r="ES41" i="65" s="1"/>
  <c r="ES44" i="65" s="1"/>
  <c r="H155" i="41" s="1"/>
  <c r="LA4" i="65"/>
  <c r="ER41" i="65" s="1"/>
  <c r="ER44" i="65" s="1"/>
  <c r="H154" i="41" s="1"/>
  <c r="KZ4" i="65"/>
  <c r="EQ41" i="65" s="1"/>
  <c r="EQ44" i="65" s="1"/>
  <c r="H153" i="41" s="1"/>
  <c r="KY4" i="65"/>
  <c r="EP41" i="65" s="1"/>
  <c r="EP44" i="65" s="1"/>
  <c r="H152" i="41" s="1"/>
  <c r="KX4" i="65"/>
  <c r="EO41" i="65" s="1"/>
  <c r="EO44" i="65" s="1"/>
  <c r="H151" i="41" s="1"/>
  <c r="KW4" i="65"/>
  <c r="EN41" i="65" s="1"/>
  <c r="EN44" i="65" s="1"/>
  <c r="H150" i="41" s="1"/>
  <c r="KV4" i="65"/>
  <c r="EM41" i="65" s="1"/>
  <c r="EM44" i="65" s="1"/>
  <c r="H149" i="41" s="1"/>
  <c r="KU4" i="65"/>
  <c r="EL41" i="65" s="1"/>
  <c r="EL44" i="65" s="1"/>
  <c r="H148" i="41" s="1"/>
  <c r="KT4" i="65"/>
  <c r="EK41" i="65" s="1"/>
  <c r="EK44" i="65" s="1"/>
  <c r="H147" i="41" s="1"/>
  <c r="KS4" i="65"/>
  <c r="EJ41" i="65" s="1"/>
  <c r="EJ44" i="65" s="1"/>
  <c r="H146" i="41" s="1"/>
  <c r="KR4" i="65"/>
  <c r="EI41" i="65" s="1"/>
  <c r="EI44" i="65" s="1"/>
  <c r="H145" i="41" s="1"/>
  <c r="KQ4" i="65"/>
  <c r="EH41" i="65" s="1"/>
  <c r="EH44" i="65" s="1"/>
  <c r="H144" i="41" s="1"/>
  <c r="KP4" i="65"/>
  <c r="EG41" i="65" s="1"/>
  <c r="EG44" i="65" s="1"/>
  <c r="H143" i="41" s="1"/>
  <c r="KO4" i="65"/>
  <c r="EF41" i="65" s="1"/>
  <c r="EF44" i="65" s="1"/>
  <c r="H142" i="41" s="1"/>
  <c r="KN4" i="65"/>
  <c r="EE41" i="65" s="1"/>
  <c r="EE44" i="65" s="1"/>
  <c r="H141" i="41" s="1"/>
  <c r="KM4" i="65"/>
  <c r="ED41" i="65" s="1"/>
  <c r="ED44" i="65" s="1"/>
  <c r="H140" i="41" s="1"/>
  <c r="KL4" i="65"/>
  <c r="EC41" i="65" s="1"/>
  <c r="EC44" i="65" s="1"/>
  <c r="H139" i="41" s="1"/>
  <c r="KK4" i="65"/>
  <c r="EB41" i="65" s="1"/>
  <c r="EB44" i="65" s="1"/>
  <c r="H138" i="41" s="1"/>
  <c r="KJ4" i="65"/>
  <c r="EA41" i="65" s="1"/>
  <c r="EA44" i="65" s="1"/>
  <c r="H137" i="41" s="1"/>
  <c r="KI4" i="65"/>
  <c r="DZ41" i="65" s="1"/>
  <c r="DZ44" i="65" s="1"/>
  <c r="H136" i="41" s="1"/>
  <c r="KH4" i="65"/>
  <c r="DY41" i="65" s="1"/>
  <c r="DY44" i="65" s="1"/>
  <c r="H135" i="41" s="1"/>
  <c r="KG4" i="65"/>
  <c r="DX41" i="65" s="1"/>
  <c r="DX44" i="65" s="1"/>
  <c r="H134" i="41" s="1"/>
  <c r="KF4" i="65"/>
  <c r="DW41" i="65" s="1"/>
  <c r="DW44" i="65" s="1"/>
  <c r="H133" i="41" s="1"/>
  <c r="KE4" i="65"/>
  <c r="DV41" i="65" s="1"/>
  <c r="DV44" i="65" s="1"/>
  <c r="H132" i="41" s="1"/>
  <c r="KD4" i="65"/>
  <c r="DU41" i="65" s="1"/>
  <c r="DU44" i="65" s="1"/>
  <c r="H131" i="41" s="1"/>
  <c r="KC4" i="65"/>
  <c r="DT41" i="65" s="1"/>
  <c r="DT44" i="65" s="1"/>
  <c r="H130" i="41" s="1"/>
  <c r="KB4" i="65"/>
  <c r="DS41" i="65" s="1"/>
  <c r="DS44" i="65" s="1"/>
  <c r="H129" i="41" s="1"/>
  <c r="KA4" i="65"/>
  <c r="DR41" i="65" s="1"/>
  <c r="DR44" i="65" s="1"/>
  <c r="H128" i="41" s="1"/>
  <c r="JZ4" i="65"/>
  <c r="DQ41" i="65" s="1"/>
  <c r="DQ44" i="65" s="1"/>
  <c r="H127" i="41" s="1"/>
  <c r="JY4" i="65"/>
  <c r="DP41" i="65" s="1"/>
  <c r="DP44" i="65" s="1"/>
  <c r="H126" i="41" s="1"/>
  <c r="JX4" i="65"/>
  <c r="DO41" i="65" s="1"/>
  <c r="DO44" i="65" s="1"/>
  <c r="H125" i="41" s="1"/>
  <c r="JW4" i="65"/>
  <c r="DN41" i="65" s="1"/>
  <c r="DN44" i="65" s="1"/>
  <c r="H124" i="41" s="1"/>
  <c r="JV4" i="65"/>
  <c r="DM41" i="65" s="1"/>
  <c r="DM44" i="65" s="1"/>
  <c r="H123" i="41" s="1"/>
  <c r="JU4" i="65"/>
  <c r="DL41" i="65" s="1"/>
  <c r="DL44" i="65" s="1"/>
  <c r="H122" i="41" s="1"/>
  <c r="JT4" i="65"/>
  <c r="DK41" i="65" s="1"/>
  <c r="DK44" i="65" s="1"/>
  <c r="H121" i="41" s="1"/>
  <c r="JS4" i="65"/>
  <c r="DJ41" i="65" s="1"/>
  <c r="DJ44" i="65" s="1"/>
  <c r="H120" i="41" s="1"/>
  <c r="JR4" i="65"/>
  <c r="DI41" i="65" s="1"/>
  <c r="DI44" i="65" s="1"/>
  <c r="H119" i="41" s="1"/>
  <c r="JQ4" i="65"/>
  <c r="JP4" i="65"/>
  <c r="JO4" i="65"/>
  <c r="DF41" i="65" s="1"/>
  <c r="DF44" i="65" s="1"/>
  <c r="H116" i="41" s="1"/>
  <c r="JN4" i="65"/>
  <c r="DE41" i="65" s="1"/>
  <c r="DE44" i="65" s="1"/>
  <c r="H115" i="41" s="1"/>
  <c r="JM4" i="65"/>
  <c r="DD41" i="65" s="1"/>
  <c r="DD44" i="65" s="1"/>
  <c r="H114" i="41" s="1"/>
  <c r="JL4" i="65"/>
  <c r="DC41" i="65" s="1"/>
  <c r="DC44" i="65" s="1"/>
  <c r="H113" i="41" s="1"/>
  <c r="JK4" i="65"/>
  <c r="DB41" i="65" s="1"/>
  <c r="DB44" i="65" s="1"/>
  <c r="H112" i="41" s="1"/>
  <c r="JJ4" i="65"/>
  <c r="DA41" i="65" s="1"/>
  <c r="DA44" i="65" s="1"/>
  <c r="H111" i="41" s="1"/>
  <c r="JI4" i="65"/>
  <c r="CZ41" i="65" s="1"/>
  <c r="CZ44" i="65" s="1"/>
  <c r="H110" i="41" s="1"/>
  <c r="JH4" i="65"/>
  <c r="CY41" i="65" s="1"/>
  <c r="CY44" i="65" s="1"/>
  <c r="H109" i="41" s="1"/>
  <c r="JG4" i="65"/>
  <c r="CX41" i="65" s="1"/>
  <c r="CX44" i="65" s="1"/>
  <c r="H108" i="41" s="1"/>
  <c r="JF4" i="65"/>
  <c r="CW41" i="65" s="1"/>
  <c r="CW44" i="65" s="1"/>
  <c r="H107" i="41" s="1"/>
  <c r="JE4" i="65"/>
  <c r="CV41" i="65" s="1"/>
  <c r="CV44" i="65" s="1"/>
  <c r="H106" i="41" s="1"/>
  <c r="JD4" i="65"/>
  <c r="CU41" i="65" s="1"/>
  <c r="CU44" i="65" s="1"/>
  <c r="H105" i="41" s="1"/>
  <c r="JC4" i="65"/>
  <c r="CT41" i="65" s="1"/>
  <c r="CT44" i="65" s="1"/>
  <c r="H104" i="41" s="1"/>
  <c r="JB4" i="65"/>
  <c r="CS41" i="65" s="1"/>
  <c r="CS44" i="65" s="1"/>
  <c r="H103" i="41" s="1"/>
  <c r="JA4" i="65"/>
  <c r="CR41" i="65" s="1"/>
  <c r="CR44" i="65" s="1"/>
  <c r="H102" i="41" s="1"/>
  <c r="IZ4" i="65"/>
  <c r="CQ41" i="65" s="1"/>
  <c r="CQ44" i="65" s="1"/>
  <c r="H101" i="41" s="1"/>
  <c r="IY4" i="65"/>
  <c r="CP41" i="65" s="1"/>
  <c r="CP44" i="65" s="1"/>
  <c r="H100" i="41" s="1"/>
  <c r="IX4" i="65"/>
  <c r="CO41" i="65" s="1"/>
  <c r="CO44" i="65" s="1"/>
  <c r="H99" i="41" s="1"/>
  <c r="IW4" i="65"/>
  <c r="CN41" i="65" s="1"/>
  <c r="CN44" i="65" s="1"/>
  <c r="H98" i="41" s="1"/>
  <c r="IV4" i="65"/>
  <c r="CM41" i="65" s="1"/>
  <c r="CM44" i="65" s="1"/>
  <c r="H97" i="41" s="1"/>
  <c r="IU4" i="65"/>
  <c r="CL41" i="65" s="1"/>
  <c r="CL44" i="65" s="1"/>
  <c r="H96" i="41" s="1"/>
  <c r="IT4" i="65"/>
  <c r="CK41" i="65" s="1"/>
  <c r="CK44" i="65" s="1"/>
  <c r="H95" i="41" s="1"/>
  <c r="IS4" i="65"/>
  <c r="CJ41" i="65" s="1"/>
  <c r="CJ44" i="65" s="1"/>
  <c r="H94" i="41" s="1"/>
  <c r="IR4" i="65"/>
  <c r="CI41" i="65" s="1"/>
  <c r="CI44" i="65" s="1"/>
  <c r="H93" i="41" s="1"/>
  <c r="IQ4" i="65"/>
  <c r="CH41" i="65" s="1"/>
  <c r="CH44" i="65" s="1"/>
  <c r="H92" i="41" s="1"/>
  <c r="IP4" i="65"/>
  <c r="CG41" i="65" s="1"/>
  <c r="CG44" i="65" s="1"/>
  <c r="H91" i="41" s="1"/>
  <c r="IO4" i="65"/>
  <c r="CF41" i="65" s="1"/>
  <c r="CF44" i="65" s="1"/>
  <c r="H90" i="41" s="1"/>
  <c r="IN4" i="65"/>
  <c r="CE41" i="65" s="1"/>
  <c r="CE44" i="65" s="1"/>
  <c r="H89" i="41" s="1"/>
  <c r="IM4" i="65"/>
  <c r="CD41" i="65" s="1"/>
  <c r="CD44" i="65" s="1"/>
  <c r="H88" i="41" s="1"/>
  <c r="IL4" i="65"/>
  <c r="CC41" i="65" s="1"/>
  <c r="CC44" i="65" s="1"/>
  <c r="H87" i="41" s="1"/>
  <c r="IK4" i="65"/>
  <c r="CB41" i="65" s="1"/>
  <c r="CB44" i="65" s="1"/>
  <c r="H86" i="41" s="1"/>
  <c r="IJ4" i="65"/>
  <c r="CA41" i="65" s="1"/>
  <c r="CA44" i="65" s="1"/>
  <c r="H85" i="41" s="1"/>
  <c r="II4" i="65"/>
  <c r="BZ41" i="65" s="1"/>
  <c r="BZ44" i="65" s="1"/>
  <c r="H84" i="41" s="1"/>
  <c r="IH4" i="65"/>
  <c r="BY41" i="65" s="1"/>
  <c r="BY44" i="65" s="1"/>
  <c r="H83" i="41" s="1"/>
  <c r="IG4" i="65"/>
  <c r="BX41" i="65" s="1"/>
  <c r="BX44" i="65" s="1"/>
  <c r="H82" i="41" s="1"/>
  <c r="IF4" i="65"/>
  <c r="BW41" i="65" s="1"/>
  <c r="BW44" i="65" s="1"/>
  <c r="H81" i="41" s="1"/>
  <c r="IE4" i="65"/>
  <c r="BV41" i="65" s="1"/>
  <c r="BV44" i="65" s="1"/>
  <c r="H80" i="41" s="1"/>
  <c r="ID4" i="65"/>
  <c r="BU41" i="65" s="1"/>
  <c r="BU44" i="65" s="1"/>
  <c r="H79" i="41" s="1"/>
  <c r="IC4" i="65"/>
  <c r="BT41" i="65" s="1"/>
  <c r="BT44" i="65" s="1"/>
  <c r="H78" i="41" s="1"/>
  <c r="IB4" i="65"/>
  <c r="BS41" i="65" s="1"/>
  <c r="BS44" i="65" s="1"/>
  <c r="H77" i="41" s="1"/>
  <c r="IA4" i="65"/>
  <c r="BR41" i="65" s="1"/>
  <c r="BR44" i="65" s="1"/>
  <c r="H76" i="41" s="1"/>
  <c r="HZ4" i="65"/>
  <c r="BQ41" i="65" s="1"/>
  <c r="BQ44" i="65" s="1"/>
  <c r="H75" i="41" s="1"/>
  <c r="HY4" i="65"/>
  <c r="BP41" i="65" s="1"/>
  <c r="BP44" i="65" s="1"/>
  <c r="H74" i="41" s="1"/>
  <c r="HX4" i="65"/>
  <c r="BO41" i="65" s="1"/>
  <c r="BO44" i="65" s="1"/>
  <c r="H73" i="41" s="1"/>
  <c r="HW4" i="65"/>
  <c r="BN41" i="65" s="1"/>
  <c r="BN44" i="65" s="1"/>
  <c r="H72" i="41" s="1"/>
  <c r="HV4" i="65"/>
  <c r="BM41" i="65" s="1"/>
  <c r="BM44" i="65" s="1"/>
  <c r="H71" i="41" s="1"/>
  <c r="HU4" i="65"/>
  <c r="BL41" i="65" s="1"/>
  <c r="BL44" i="65" s="1"/>
  <c r="H70" i="41" s="1"/>
  <c r="HT4" i="65"/>
  <c r="BK41" i="65" s="1"/>
  <c r="BK44" i="65" s="1"/>
  <c r="H69" i="41" s="1"/>
  <c r="HS4" i="65"/>
  <c r="BJ41" i="65" s="1"/>
  <c r="BJ44" i="65" s="1"/>
  <c r="H68" i="41" s="1"/>
  <c r="HR4" i="65"/>
  <c r="BI41" i="65" s="1"/>
  <c r="BI44" i="65" s="1"/>
  <c r="H67" i="41" s="1"/>
  <c r="HQ4" i="65"/>
  <c r="BH41" i="65" s="1"/>
  <c r="BH44" i="65" s="1"/>
  <c r="H66" i="41" s="1"/>
  <c r="HP4" i="65"/>
  <c r="BG41" i="65" s="1"/>
  <c r="BG44" i="65" s="1"/>
  <c r="H65" i="41" s="1"/>
  <c r="HO4" i="65"/>
  <c r="BF41" i="65" s="1"/>
  <c r="BF44" i="65" s="1"/>
  <c r="H64" i="41" s="1"/>
  <c r="HN4" i="65"/>
  <c r="BE41" i="65" s="1"/>
  <c r="BE44" i="65" s="1"/>
  <c r="H63" i="41" s="1"/>
  <c r="HM4" i="65"/>
  <c r="BD41" i="65" s="1"/>
  <c r="BD44" i="65" s="1"/>
  <c r="H62" i="41" s="1"/>
  <c r="HL4" i="65"/>
  <c r="BC41" i="65" s="1"/>
  <c r="BC44" i="65" s="1"/>
  <c r="H61" i="41" s="1"/>
  <c r="HK4" i="65"/>
  <c r="BB41" i="65" s="1"/>
  <c r="BB44" i="65" s="1"/>
  <c r="H60" i="41" s="1"/>
  <c r="HJ4" i="65"/>
  <c r="BA41" i="65" s="1"/>
  <c r="BA44" i="65" s="1"/>
  <c r="H59" i="41" s="1"/>
  <c r="HI4" i="65"/>
  <c r="AZ41" i="65" s="1"/>
  <c r="AZ44" i="65" s="1"/>
  <c r="H58" i="41" s="1"/>
  <c r="HH4" i="65"/>
  <c r="AY41" i="65" s="1"/>
  <c r="AY44" i="65" s="1"/>
  <c r="H57" i="41" s="1"/>
  <c r="HG4" i="65"/>
  <c r="AX41" i="65" s="1"/>
  <c r="AX44" i="65" s="1"/>
  <c r="H56" i="41" s="1"/>
  <c r="HF4" i="65"/>
  <c r="AW41" i="65" s="1"/>
  <c r="AW44" i="65" s="1"/>
  <c r="H55" i="41" s="1"/>
  <c r="HE4" i="65"/>
  <c r="AV41" i="65" s="1"/>
  <c r="AV44" i="65" s="1"/>
  <c r="H54" i="41" s="1"/>
  <c r="HD4" i="65"/>
  <c r="AU41" i="65" s="1"/>
  <c r="AU44" i="65" s="1"/>
  <c r="H53" i="41" s="1"/>
  <c r="HC4" i="65"/>
  <c r="AT41" i="65" s="1"/>
  <c r="AT44" i="65" s="1"/>
  <c r="H52" i="41" s="1"/>
  <c r="HB4" i="65"/>
  <c r="AS41" i="65" s="1"/>
  <c r="AS44" i="65" s="1"/>
  <c r="H51" i="41" s="1"/>
  <c r="HA4" i="65"/>
  <c r="AR41" i="65" s="1"/>
  <c r="AR44" i="65" s="1"/>
  <c r="H50" i="41" s="1"/>
  <c r="GZ4" i="65"/>
  <c r="AQ41" i="65" s="1"/>
  <c r="AQ44" i="65" s="1"/>
  <c r="H49" i="41" s="1"/>
  <c r="GY4" i="65"/>
  <c r="AP41" i="65" s="1"/>
  <c r="AP44" i="65" s="1"/>
  <c r="H48" i="41" s="1"/>
  <c r="GX4" i="65"/>
  <c r="AO41" i="65" s="1"/>
  <c r="AO44" i="65" s="1"/>
  <c r="H47" i="41" s="1"/>
  <c r="GW4" i="65"/>
  <c r="AN41" i="65" s="1"/>
  <c r="AN44" i="65" s="1"/>
  <c r="H46" i="41" s="1"/>
  <c r="GV4" i="65"/>
  <c r="AM41" i="65" s="1"/>
  <c r="AM44" i="65" s="1"/>
  <c r="H45" i="41" s="1"/>
  <c r="GU4" i="65"/>
  <c r="AL41" i="65" s="1"/>
  <c r="AL44" i="65" s="1"/>
  <c r="H44" i="41" s="1"/>
  <c r="GT4" i="65"/>
  <c r="AK41" i="65" s="1"/>
  <c r="AK44" i="65" s="1"/>
  <c r="H43" i="41" s="1"/>
  <c r="GS4" i="65"/>
  <c r="AJ41" i="65" s="1"/>
  <c r="AJ44" i="65" s="1"/>
  <c r="H42" i="41" s="1"/>
  <c r="GR4" i="65"/>
  <c r="AI41" i="65" s="1"/>
  <c r="AI44" i="65" s="1"/>
  <c r="H41" i="41" s="1"/>
  <c r="GQ4" i="65"/>
  <c r="AH41" i="65" s="1"/>
  <c r="AH44" i="65" s="1"/>
  <c r="H40" i="41" s="1"/>
  <c r="GP4" i="65"/>
  <c r="AG41" i="65" s="1"/>
  <c r="AG44" i="65" s="1"/>
  <c r="H39" i="41" s="1"/>
  <c r="GO4" i="65"/>
  <c r="AF41" i="65" s="1"/>
  <c r="AF44" i="65" s="1"/>
  <c r="H38" i="41" s="1"/>
  <c r="GN4" i="65"/>
  <c r="AE41" i="65" s="1"/>
  <c r="AE44" i="65" s="1"/>
  <c r="H37" i="41" s="1"/>
  <c r="GM4" i="65"/>
  <c r="AD41" i="65" s="1"/>
  <c r="AD44" i="65" s="1"/>
  <c r="H36" i="41" s="1"/>
  <c r="GL4" i="65"/>
  <c r="AC41" i="65" s="1"/>
  <c r="AC44" i="65" s="1"/>
  <c r="H35" i="41" s="1"/>
  <c r="GK4" i="65"/>
  <c r="AB41" i="65" s="1"/>
  <c r="AB44" i="65" s="1"/>
  <c r="H34" i="41" s="1"/>
  <c r="GJ4" i="65"/>
  <c r="AA41" i="65" s="1"/>
  <c r="AA44" i="65" s="1"/>
  <c r="H33" i="41" s="1"/>
  <c r="GI4" i="65"/>
  <c r="Z41" i="65" s="1"/>
  <c r="Z44" i="65" s="1"/>
  <c r="H32" i="41" s="1"/>
  <c r="GH4" i="65"/>
  <c r="Y41" i="65" s="1"/>
  <c r="Y44" i="65" s="1"/>
  <c r="H31" i="41" s="1"/>
  <c r="GG4" i="65"/>
  <c r="X41" i="65" s="1"/>
  <c r="X44" i="65" s="1"/>
  <c r="H30" i="41" s="1"/>
  <c r="GF4" i="65"/>
  <c r="W41" i="65" s="1"/>
  <c r="W44" i="65" s="1"/>
  <c r="H29" i="41" s="1"/>
  <c r="GE4" i="65"/>
  <c r="V41" i="65" s="1"/>
  <c r="V44" i="65" s="1"/>
  <c r="H28" i="41" s="1"/>
  <c r="GD4" i="65"/>
  <c r="U41" i="65" s="1"/>
  <c r="U44" i="65" s="1"/>
  <c r="H27" i="41" s="1"/>
  <c r="GC4" i="65"/>
  <c r="T41" i="65" s="1"/>
  <c r="T44" i="65" s="1"/>
  <c r="H26" i="41" s="1"/>
  <c r="GB4" i="65"/>
  <c r="S41" i="65" s="1"/>
  <c r="S44" i="65" s="1"/>
  <c r="H25" i="41" s="1"/>
  <c r="GA4" i="65"/>
  <c r="R41" i="65" s="1"/>
  <c r="R44" i="65" s="1"/>
  <c r="H24" i="41" s="1"/>
  <c r="FZ4" i="65"/>
  <c r="Q41" i="65" s="1"/>
  <c r="Q44" i="65" s="1"/>
  <c r="H23" i="41" s="1"/>
  <c r="FY4" i="65"/>
  <c r="P41" i="65" s="1"/>
  <c r="P44" i="65" s="1"/>
  <c r="H22" i="41" s="1"/>
  <c r="FX4" i="65"/>
  <c r="O41" i="65" s="1"/>
  <c r="O44" i="65" s="1"/>
  <c r="H21" i="41" s="1"/>
  <c r="FW4" i="65"/>
  <c r="N41" i="65" s="1"/>
  <c r="N44" i="65" s="1"/>
  <c r="H20" i="41" s="1"/>
  <c r="FV4" i="65"/>
  <c r="M41" i="65" s="1"/>
  <c r="M44" i="65" s="1"/>
  <c r="H19" i="41" s="1"/>
  <c r="FU4" i="65"/>
  <c r="L41" i="65" s="1"/>
  <c r="L44" i="65" s="1"/>
  <c r="H18" i="41" s="1"/>
  <c r="FT4" i="65"/>
  <c r="K41" i="65" s="1"/>
  <c r="K44" i="65" s="1"/>
  <c r="H17" i="41" s="1"/>
  <c r="FS4" i="65"/>
  <c r="J41" i="65" s="1"/>
  <c r="J44" i="65" s="1"/>
  <c r="H16" i="41" s="1"/>
  <c r="FR4" i="65"/>
  <c r="I41" i="65" s="1"/>
  <c r="I44" i="65" s="1"/>
  <c r="H15" i="41" s="1"/>
  <c r="FQ4" i="65"/>
  <c r="H41" i="65" s="1"/>
  <c r="H44" i="65" s="1"/>
  <c r="H14" i="41" s="1"/>
  <c r="FP4" i="65"/>
  <c r="G41" i="65" s="1"/>
  <c r="G44" i="65" s="1"/>
  <c r="H13" i="41" s="1"/>
  <c r="FO4" i="65"/>
  <c r="F41" i="65" s="1"/>
  <c r="F44" i="65" s="1"/>
  <c r="H12" i="41" s="1"/>
  <c r="F29" i="64"/>
  <c r="E29" i="64"/>
  <c r="G10" i="41" s="1"/>
  <c r="D29" i="64"/>
  <c r="B29" i="64"/>
  <c r="LW27" i="64"/>
  <c r="LV27" i="64"/>
  <c r="LU27" i="64"/>
  <c r="LT27" i="64"/>
  <c r="LS27" i="64"/>
  <c r="LR27" i="64"/>
  <c r="LQ27" i="64"/>
  <c r="LP27" i="64"/>
  <c r="LO27" i="64"/>
  <c r="LN27" i="64"/>
  <c r="LM27" i="64"/>
  <c r="LL27" i="64"/>
  <c r="LK27" i="64"/>
  <c r="LJ27" i="64"/>
  <c r="LI27" i="64"/>
  <c r="LH27" i="64"/>
  <c r="LG27" i="64"/>
  <c r="LF27" i="64"/>
  <c r="LE27" i="64"/>
  <c r="LD27" i="64"/>
  <c r="LC27" i="64"/>
  <c r="LB27" i="64"/>
  <c r="LA27" i="64"/>
  <c r="KZ27" i="64"/>
  <c r="KY27" i="64"/>
  <c r="KX27" i="64"/>
  <c r="KW27" i="64"/>
  <c r="KV27" i="64"/>
  <c r="KU27" i="64"/>
  <c r="KT27" i="64"/>
  <c r="KS27" i="64"/>
  <c r="KR27" i="64"/>
  <c r="KQ27" i="64"/>
  <c r="KP27" i="64"/>
  <c r="KO27" i="64"/>
  <c r="KN27" i="64"/>
  <c r="KM27" i="64"/>
  <c r="KL27" i="64"/>
  <c r="KK27" i="64"/>
  <c r="KJ27" i="64"/>
  <c r="KI27" i="64"/>
  <c r="KH27" i="64"/>
  <c r="KG27" i="64"/>
  <c r="KF27" i="64"/>
  <c r="KE27" i="64"/>
  <c r="KD27" i="64"/>
  <c r="KC27" i="64"/>
  <c r="KB27" i="64"/>
  <c r="KA27" i="64"/>
  <c r="JZ27" i="64"/>
  <c r="JY27" i="64"/>
  <c r="JX27" i="64"/>
  <c r="JW27" i="64"/>
  <c r="JV27" i="64"/>
  <c r="JU27" i="64"/>
  <c r="JT27" i="64"/>
  <c r="JS27" i="64"/>
  <c r="JR27" i="64"/>
  <c r="JQ27" i="64"/>
  <c r="JP27" i="64"/>
  <c r="JO27" i="64"/>
  <c r="JN27" i="64"/>
  <c r="JM27" i="64"/>
  <c r="JL27" i="64"/>
  <c r="JK27" i="64"/>
  <c r="JJ27" i="64"/>
  <c r="JI27" i="64"/>
  <c r="JH27" i="64"/>
  <c r="JG27" i="64"/>
  <c r="JF27" i="64"/>
  <c r="JE27" i="64"/>
  <c r="JD27" i="64"/>
  <c r="JC27" i="64"/>
  <c r="JB27" i="64"/>
  <c r="JA27" i="64"/>
  <c r="IZ27" i="64"/>
  <c r="IY27" i="64"/>
  <c r="IX27" i="64"/>
  <c r="IW27" i="64"/>
  <c r="IV27" i="64"/>
  <c r="IU27" i="64"/>
  <c r="IT27" i="64"/>
  <c r="IS27" i="64"/>
  <c r="IR27" i="64"/>
  <c r="IQ27" i="64"/>
  <c r="IP27" i="64"/>
  <c r="IO27" i="64"/>
  <c r="IN27" i="64"/>
  <c r="IM27" i="64"/>
  <c r="IL27" i="64"/>
  <c r="IK27" i="64"/>
  <c r="IJ27" i="64"/>
  <c r="II27" i="64"/>
  <c r="IH27" i="64"/>
  <c r="IG27" i="64"/>
  <c r="IF27" i="64"/>
  <c r="IE27" i="64"/>
  <c r="ID27" i="64"/>
  <c r="IC27" i="64"/>
  <c r="IB27" i="64"/>
  <c r="IA27" i="64"/>
  <c r="HZ27" i="64"/>
  <c r="HY27" i="64"/>
  <c r="HX27" i="64"/>
  <c r="HW27" i="64"/>
  <c r="HV27" i="64"/>
  <c r="HU27" i="64"/>
  <c r="HT27" i="64"/>
  <c r="HS27" i="64"/>
  <c r="HR27" i="64"/>
  <c r="HQ27" i="64"/>
  <c r="HP27" i="64"/>
  <c r="HO27" i="64"/>
  <c r="HN27" i="64"/>
  <c r="HM27" i="64"/>
  <c r="HL27" i="64"/>
  <c r="HK27" i="64"/>
  <c r="HJ27" i="64"/>
  <c r="HI27" i="64"/>
  <c r="HH27" i="64"/>
  <c r="HG27" i="64"/>
  <c r="HF27" i="64"/>
  <c r="HE27" i="64"/>
  <c r="HD27" i="64"/>
  <c r="HC27" i="64"/>
  <c r="HB27" i="64"/>
  <c r="HA27" i="64"/>
  <c r="GZ27" i="64"/>
  <c r="GY27" i="64"/>
  <c r="GX27" i="64"/>
  <c r="GW27" i="64"/>
  <c r="GV27" i="64"/>
  <c r="GU27" i="64"/>
  <c r="GT27" i="64"/>
  <c r="GS27" i="64"/>
  <c r="GR27" i="64"/>
  <c r="GQ27" i="64"/>
  <c r="GP27" i="64"/>
  <c r="GO27" i="64"/>
  <c r="GN27" i="64"/>
  <c r="GM27" i="64"/>
  <c r="GL27" i="64"/>
  <c r="GK27" i="64"/>
  <c r="GJ27" i="64"/>
  <c r="GI27" i="64"/>
  <c r="GH27" i="64"/>
  <c r="GG27" i="64"/>
  <c r="GF27" i="64"/>
  <c r="GE27" i="64"/>
  <c r="GD27" i="64"/>
  <c r="GC27" i="64"/>
  <c r="GB27" i="64"/>
  <c r="GA27" i="64"/>
  <c r="FZ27" i="64"/>
  <c r="FY27" i="64"/>
  <c r="FX27" i="64"/>
  <c r="FW27" i="64"/>
  <c r="FV27" i="64"/>
  <c r="FU27" i="64"/>
  <c r="FT27" i="64"/>
  <c r="FS27" i="64"/>
  <c r="FR27" i="64"/>
  <c r="FQ27" i="64"/>
  <c r="FP27" i="64"/>
  <c r="FO27" i="64"/>
  <c r="C27" i="64"/>
  <c r="LW26" i="64"/>
  <c r="LV26" i="64"/>
  <c r="LU26" i="64"/>
  <c r="LT26" i="64"/>
  <c r="LS26" i="64"/>
  <c r="LR26" i="64"/>
  <c r="LQ26" i="64"/>
  <c r="LP26" i="64"/>
  <c r="LO26" i="64"/>
  <c r="LN26" i="64"/>
  <c r="LM26" i="64"/>
  <c r="LL26" i="64"/>
  <c r="LK26" i="64"/>
  <c r="LJ26" i="64"/>
  <c r="LI26" i="64"/>
  <c r="LH26" i="64"/>
  <c r="LG26" i="64"/>
  <c r="LF26" i="64"/>
  <c r="LE26" i="64"/>
  <c r="LD26" i="64"/>
  <c r="LC26" i="64"/>
  <c r="LB26" i="64"/>
  <c r="LA26" i="64"/>
  <c r="KZ26" i="64"/>
  <c r="KY26" i="64"/>
  <c r="KX26" i="64"/>
  <c r="KW26" i="64"/>
  <c r="KV26" i="64"/>
  <c r="KU26" i="64"/>
  <c r="KT26" i="64"/>
  <c r="KS26" i="64"/>
  <c r="KR26" i="64"/>
  <c r="KQ26" i="64"/>
  <c r="KP26" i="64"/>
  <c r="KO26" i="64"/>
  <c r="KN26" i="64"/>
  <c r="KM26" i="64"/>
  <c r="KL26" i="64"/>
  <c r="KK26" i="64"/>
  <c r="KJ26" i="64"/>
  <c r="KI26" i="64"/>
  <c r="KH26" i="64"/>
  <c r="KG26" i="64"/>
  <c r="KF26" i="64"/>
  <c r="KE26" i="64"/>
  <c r="KD26" i="64"/>
  <c r="KC26" i="64"/>
  <c r="KB26" i="64"/>
  <c r="KA26" i="64"/>
  <c r="JZ26" i="64"/>
  <c r="JY26" i="64"/>
  <c r="JX26" i="64"/>
  <c r="JW26" i="64"/>
  <c r="JV26" i="64"/>
  <c r="JU26" i="64"/>
  <c r="JT26" i="64"/>
  <c r="JS26" i="64"/>
  <c r="JR26" i="64"/>
  <c r="JQ26" i="64"/>
  <c r="JP26" i="64"/>
  <c r="JO26" i="64"/>
  <c r="JN26" i="64"/>
  <c r="JM26" i="64"/>
  <c r="JL26" i="64"/>
  <c r="JK26" i="64"/>
  <c r="JJ26" i="64"/>
  <c r="JI26" i="64"/>
  <c r="JH26" i="64"/>
  <c r="JG26" i="64"/>
  <c r="JF26" i="64"/>
  <c r="JE26" i="64"/>
  <c r="JD26" i="64"/>
  <c r="JC26" i="64"/>
  <c r="JB26" i="64"/>
  <c r="JA26" i="64"/>
  <c r="IZ26" i="64"/>
  <c r="IY26" i="64"/>
  <c r="IX26" i="64"/>
  <c r="IW26" i="64"/>
  <c r="IV26" i="64"/>
  <c r="IU26" i="64"/>
  <c r="IT26" i="64"/>
  <c r="IS26" i="64"/>
  <c r="IR26" i="64"/>
  <c r="IQ26" i="64"/>
  <c r="IP26" i="64"/>
  <c r="IO26" i="64"/>
  <c r="IN26" i="64"/>
  <c r="IM26" i="64"/>
  <c r="IL26" i="64"/>
  <c r="IK26" i="64"/>
  <c r="IJ26" i="64"/>
  <c r="II26" i="64"/>
  <c r="IH26" i="64"/>
  <c r="IG26" i="64"/>
  <c r="IF26" i="64"/>
  <c r="IE26" i="64"/>
  <c r="ID26" i="64"/>
  <c r="IC26" i="64"/>
  <c r="IB26" i="64"/>
  <c r="IA26" i="64"/>
  <c r="HZ26" i="64"/>
  <c r="HY26" i="64"/>
  <c r="HX26" i="64"/>
  <c r="HW26" i="64"/>
  <c r="HV26" i="64"/>
  <c r="HU26" i="64"/>
  <c r="HT26" i="64"/>
  <c r="HS26" i="64"/>
  <c r="HR26" i="64"/>
  <c r="HQ26" i="64"/>
  <c r="HP26" i="64"/>
  <c r="HO26" i="64"/>
  <c r="HN26" i="64"/>
  <c r="HM26" i="64"/>
  <c r="HL26" i="64"/>
  <c r="HK26" i="64"/>
  <c r="HJ26" i="64"/>
  <c r="HI26" i="64"/>
  <c r="HH26" i="64"/>
  <c r="HG26" i="64"/>
  <c r="HF26" i="64"/>
  <c r="HE26" i="64"/>
  <c r="HD26" i="64"/>
  <c r="HC26" i="64"/>
  <c r="HB26" i="64"/>
  <c r="HA26" i="64"/>
  <c r="GZ26" i="64"/>
  <c r="GY26" i="64"/>
  <c r="GX26" i="64"/>
  <c r="GW26" i="64"/>
  <c r="GV26" i="64"/>
  <c r="GU26" i="64"/>
  <c r="GT26" i="64"/>
  <c r="GS26" i="64"/>
  <c r="GR26" i="64"/>
  <c r="GQ26" i="64"/>
  <c r="GP26" i="64"/>
  <c r="GO26" i="64"/>
  <c r="GN26" i="64"/>
  <c r="GM26" i="64"/>
  <c r="GL26" i="64"/>
  <c r="GK26" i="64"/>
  <c r="GJ26" i="64"/>
  <c r="GI26" i="64"/>
  <c r="GH26" i="64"/>
  <c r="GG26" i="64"/>
  <c r="GF26" i="64"/>
  <c r="GE26" i="64"/>
  <c r="GD26" i="64"/>
  <c r="GC26" i="64"/>
  <c r="GB26" i="64"/>
  <c r="GA26" i="64"/>
  <c r="FZ26" i="64"/>
  <c r="FY26" i="64"/>
  <c r="FX26" i="64"/>
  <c r="FW26" i="64"/>
  <c r="FV26" i="64"/>
  <c r="FU26" i="64"/>
  <c r="FT26" i="64"/>
  <c r="FS26" i="64"/>
  <c r="FR26" i="64"/>
  <c r="FQ26" i="64"/>
  <c r="FP26" i="64"/>
  <c r="FO26" i="64"/>
  <c r="C26" i="64"/>
  <c r="LW25" i="64"/>
  <c r="LV25" i="64"/>
  <c r="LU25" i="64"/>
  <c r="LT25" i="64"/>
  <c r="LS25" i="64"/>
  <c r="LR25" i="64"/>
  <c r="LQ25" i="64"/>
  <c r="LP25" i="64"/>
  <c r="LO25" i="64"/>
  <c r="LN25" i="64"/>
  <c r="LM25" i="64"/>
  <c r="LL25" i="64"/>
  <c r="LK25" i="64"/>
  <c r="LJ25" i="64"/>
  <c r="LI25" i="64"/>
  <c r="LH25" i="64"/>
  <c r="LG25" i="64"/>
  <c r="LF25" i="64"/>
  <c r="LE25" i="64"/>
  <c r="LD25" i="64"/>
  <c r="LC25" i="64"/>
  <c r="LB25" i="64"/>
  <c r="LA25" i="64"/>
  <c r="KZ25" i="64"/>
  <c r="KY25" i="64"/>
  <c r="KX25" i="64"/>
  <c r="KW25" i="64"/>
  <c r="KV25" i="64"/>
  <c r="KU25" i="64"/>
  <c r="KT25" i="64"/>
  <c r="KS25" i="64"/>
  <c r="KR25" i="64"/>
  <c r="KQ25" i="64"/>
  <c r="KP25" i="64"/>
  <c r="KO25" i="64"/>
  <c r="KN25" i="64"/>
  <c r="KM25" i="64"/>
  <c r="KL25" i="64"/>
  <c r="KK25" i="64"/>
  <c r="KJ25" i="64"/>
  <c r="KI25" i="64"/>
  <c r="KH25" i="64"/>
  <c r="KG25" i="64"/>
  <c r="KF25" i="64"/>
  <c r="KE25" i="64"/>
  <c r="KD25" i="64"/>
  <c r="KC25" i="64"/>
  <c r="KB25" i="64"/>
  <c r="KA25" i="64"/>
  <c r="JZ25" i="64"/>
  <c r="JY25" i="64"/>
  <c r="JX25" i="64"/>
  <c r="JW25" i="64"/>
  <c r="JV25" i="64"/>
  <c r="JU25" i="64"/>
  <c r="JT25" i="64"/>
  <c r="JS25" i="64"/>
  <c r="JR25" i="64"/>
  <c r="JQ25" i="64"/>
  <c r="JP25" i="64"/>
  <c r="JO25" i="64"/>
  <c r="JN25" i="64"/>
  <c r="JM25" i="64"/>
  <c r="JL25" i="64"/>
  <c r="JK25" i="64"/>
  <c r="JJ25" i="64"/>
  <c r="JI25" i="64"/>
  <c r="JH25" i="64"/>
  <c r="JG25" i="64"/>
  <c r="JF25" i="64"/>
  <c r="JE25" i="64"/>
  <c r="JD25" i="64"/>
  <c r="JC25" i="64"/>
  <c r="JB25" i="64"/>
  <c r="JA25" i="64"/>
  <c r="IZ25" i="64"/>
  <c r="IY25" i="64"/>
  <c r="IX25" i="64"/>
  <c r="IW25" i="64"/>
  <c r="IV25" i="64"/>
  <c r="IU25" i="64"/>
  <c r="IT25" i="64"/>
  <c r="IS25" i="64"/>
  <c r="IR25" i="64"/>
  <c r="IQ25" i="64"/>
  <c r="IP25" i="64"/>
  <c r="IO25" i="64"/>
  <c r="IN25" i="64"/>
  <c r="IM25" i="64"/>
  <c r="IL25" i="64"/>
  <c r="IK25" i="64"/>
  <c r="IJ25" i="64"/>
  <c r="II25" i="64"/>
  <c r="IH25" i="64"/>
  <c r="IG25" i="64"/>
  <c r="IF25" i="64"/>
  <c r="IE25" i="64"/>
  <c r="ID25" i="64"/>
  <c r="IC25" i="64"/>
  <c r="IB25" i="64"/>
  <c r="IA25" i="64"/>
  <c r="HZ25" i="64"/>
  <c r="HY25" i="64"/>
  <c r="HX25" i="64"/>
  <c r="HW25" i="64"/>
  <c r="HV25" i="64"/>
  <c r="HU25" i="64"/>
  <c r="HT25" i="64"/>
  <c r="HS25" i="64"/>
  <c r="HR25" i="64"/>
  <c r="HQ25" i="64"/>
  <c r="HP25" i="64"/>
  <c r="HO25" i="64"/>
  <c r="HN25" i="64"/>
  <c r="HM25" i="64"/>
  <c r="HL25" i="64"/>
  <c r="HK25" i="64"/>
  <c r="HJ25" i="64"/>
  <c r="HI25" i="64"/>
  <c r="HH25" i="64"/>
  <c r="HG25" i="64"/>
  <c r="HF25" i="64"/>
  <c r="HE25" i="64"/>
  <c r="HD25" i="64"/>
  <c r="HC25" i="64"/>
  <c r="HB25" i="64"/>
  <c r="HA25" i="64"/>
  <c r="GZ25" i="64"/>
  <c r="GY25" i="64"/>
  <c r="GX25" i="64"/>
  <c r="GW25" i="64"/>
  <c r="GV25" i="64"/>
  <c r="GU25" i="64"/>
  <c r="GT25" i="64"/>
  <c r="GS25" i="64"/>
  <c r="GR25" i="64"/>
  <c r="GQ25" i="64"/>
  <c r="GP25" i="64"/>
  <c r="GO25" i="64"/>
  <c r="GN25" i="64"/>
  <c r="GM25" i="64"/>
  <c r="GL25" i="64"/>
  <c r="GK25" i="64"/>
  <c r="GJ25" i="64"/>
  <c r="GI25" i="64"/>
  <c r="GH25" i="64"/>
  <c r="GG25" i="64"/>
  <c r="GF25" i="64"/>
  <c r="GE25" i="64"/>
  <c r="GD25" i="64"/>
  <c r="GC25" i="64"/>
  <c r="GB25" i="64"/>
  <c r="GA25" i="64"/>
  <c r="FZ25" i="64"/>
  <c r="FY25" i="64"/>
  <c r="FX25" i="64"/>
  <c r="FW25" i="64"/>
  <c r="FV25" i="64"/>
  <c r="FU25" i="64"/>
  <c r="FT25" i="64"/>
  <c r="FS25" i="64"/>
  <c r="FR25" i="64"/>
  <c r="FQ25" i="64"/>
  <c r="FP25" i="64"/>
  <c r="FO25" i="64"/>
  <c r="C25" i="64"/>
  <c r="LW24" i="64"/>
  <c r="LV24" i="64"/>
  <c r="LU24" i="64"/>
  <c r="LT24" i="64"/>
  <c r="LS24" i="64"/>
  <c r="LR24" i="64"/>
  <c r="LQ24" i="64"/>
  <c r="LP24" i="64"/>
  <c r="LO24" i="64"/>
  <c r="LN24" i="64"/>
  <c r="LM24" i="64"/>
  <c r="LL24" i="64"/>
  <c r="LK24" i="64"/>
  <c r="LJ24" i="64"/>
  <c r="LI24" i="64"/>
  <c r="LH24" i="64"/>
  <c r="LG24" i="64"/>
  <c r="LF24" i="64"/>
  <c r="LE24" i="64"/>
  <c r="LD24" i="64"/>
  <c r="LC24" i="64"/>
  <c r="LB24" i="64"/>
  <c r="LA24" i="64"/>
  <c r="KZ24" i="64"/>
  <c r="KY24" i="64"/>
  <c r="KX24" i="64"/>
  <c r="KW24" i="64"/>
  <c r="KV24" i="64"/>
  <c r="KU24" i="64"/>
  <c r="KT24" i="64"/>
  <c r="KS24" i="64"/>
  <c r="KR24" i="64"/>
  <c r="KQ24" i="64"/>
  <c r="KP24" i="64"/>
  <c r="KO24" i="64"/>
  <c r="KN24" i="64"/>
  <c r="KM24" i="64"/>
  <c r="KL24" i="64"/>
  <c r="KK24" i="64"/>
  <c r="KJ24" i="64"/>
  <c r="KI24" i="64"/>
  <c r="KH24" i="64"/>
  <c r="KG24" i="64"/>
  <c r="KF24" i="64"/>
  <c r="KE24" i="64"/>
  <c r="KD24" i="64"/>
  <c r="KC24" i="64"/>
  <c r="KB24" i="64"/>
  <c r="KA24" i="64"/>
  <c r="JZ24" i="64"/>
  <c r="JY24" i="64"/>
  <c r="JX24" i="64"/>
  <c r="JW24" i="64"/>
  <c r="JV24" i="64"/>
  <c r="JU24" i="64"/>
  <c r="JT24" i="64"/>
  <c r="JS24" i="64"/>
  <c r="JR24" i="64"/>
  <c r="JQ24" i="64"/>
  <c r="JP24" i="64"/>
  <c r="JO24" i="64"/>
  <c r="JN24" i="64"/>
  <c r="JM24" i="64"/>
  <c r="JL24" i="64"/>
  <c r="JK24" i="64"/>
  <c r="JJ24" i="64"/>
  <c r="JI24" i="64"/>
  <c r="JH24" i="64"/>
  <c r="JG24" i="64"/>
  <c r="JF24" i="64"/>
  <c r="JE24" i="64"/>
  <c r="JD24" i="64"/>
  <c r="JC24" i="64"/>
  <c r="JB24" i="64"/>
  <c r="JA24" i="64"/>
  <c r="IZ24" i="64"/>
  <c r="IY24" i="64"/>
  <c r="IX24" i="64"/>
  <c r="IW24" i="64"/>
  <c r="IV24" i="64"/>
  <c r="IU24" i="64"/>
  <c r="IT24" i="64"/>
  <c r="IS24" i="64"/>
  <c r="IR24" i="64"/>
  <c r="IQ24" i="64"/>
  <c r="IP24" i="64"/>
  <c r="IO24" i="64"/>
  <c r="IN24" i="64"/>
  <c r="IM24" i="64"/>
  <c r="IL24" i="64"/>
  <c r="IK24" i="64"/>
  <c r="IJ24" i="64"/>
  <c r="II24" i="64"/>
  <c r="IH24" i="64"/>
  <c r="IG24" i="64"/>
  <c r="IF24" i="64"/>
  <c r="IE24" i="64"/>
  <c r="ID24" i="64"/>
  <c r="IC24" i="64"/>
  <c r="IB24" i="64"/>
  <c r="IA24" i="64"/>
  <c r="HZ24" i="64"/>
  <c r="HY24" i="64"/>
  <c r="HX24" i="64"/>
  <c r="HW24" i="64"/>
  <c r="HV24" i="64"/>
  <c r="HU24" i="64"/>
  <c r="HT24" i="64"/>
  <c r="HS24" i="64"/>
  <c r="HR24" i="64"/>
  <c r="HQ24" i="64"/>
  <c r="HP24" i="64"/>
  <c r="HO24" i="64"/>
  <c r="HN24" i="64"/>
  <c r="HM24" i="64"/>
  <c r="HL24" i="64"/>
  <c r="HK24" i="64"/>
  <c r="HJ24" i="64"/>
  <c r="HI24" i="64"/>
  <c r="HH24" i="64"/>
  <c r="HG24" i="64"/>
  <c r="HF24" i="64"/>
  <c r="HE24" i="64"/>
  <c r="HD24" i="64"/>
  <c r="HC24" i="64"/>
  <c r="HB24" i="64"/>
  <c r="HA24" i="64"/>
  <c r="GZ24" i="64"/>
  <c r="GY24" i="64"/>
  <c r="GX24" i="64"/>
  <c r="GW24" i="64"/>
  <c r="GV24" i="64"/>
  <c r="GU24" i="64"/>
  <c r="GT24" i="64"/>
  <c r="GS24" i="64"/>
  <c r="GR24" i="64"/>
  <c r="GQ24" i="64"/>
  <c r="GP24" i="64"/>
  <c r="GO24" i="64"/>
  <c r="GN24" i="64"/>
  <c r="GM24" i="64"/>
  <c r="GL24" i="64"/>
  <c r="GK24" i="64"/>
  <c r="GJ24" i="64"/>
  <c r="GI24" i="64"/>
  <c r="GH24" i="64"/>
  <c r="GG24" i="64"/>
  <c r="GF24" i="64"/>
  <c r="GE24" i="64"/>
  <c r="GD24" i="64"/>
  <c r="GC24" i="64"/>
  <c r="GB24" i="64"/>
  <c r="GA24" i="64"/>
  <c r="FZ24" i="64"/>
  <c r="FY24" i="64"/>
  <c r="FX24" i="64"/>
  <c r="FW24" i="64"/>
  <c r="FV24" i="64"/>
  <c r="FU24" i="64"/>
  <c r="FT24" i="64"/>
  <c r="FS24" i="64"/>
  <c r="FR24" i="64"/>
  <c r="FQ24" i="64"/>
  <c r="FP24" i="64"/>
  <c r="FO24" i="64"/>
  <c r="C24" i="64"/>
  <c r="LW23" i="64"/>
  <c r="LV23" i="64"/>
  <c r="LU23" i="64"/>
  <c r="LT23" i="64"/>
  <c r="LS23" i="64"/>
  <c r="LR23" i="64"/>
  <c r="LQ23" i="64"/>
  <c r="LP23" i="64"/>
  <c r="LO23" i="64"/>
  <c r="LN23" i="64"/>
  <c r="LM23" i="64"/>
  <c r="LL23" i="64"/>
  <c r="LK23" i="64"/>
  <c r="LJ23" i="64"/>
  <c r="LI23" i="64"/>
  <c r="LH23" i="64"/>
  <c r="LG23" i="64"/>
  <c r="LF23" i="64"/>
  <c r="LE23" i="64"/>
  <c r="LD23" i="64"/>
  <c r="LC23" i="64"/>
  <c r="LB23" i="64"/>
  <c r="LA23" i="64"/>
  <c r="KZ23" i="64"/>
  <c r="KY23" i="64"/>
  <c r="KX23" i="64"/>
  <c r="KW23" i="64"/>
  <c r="KV23" i="64"/>
  <c r="KU23" i="64"/>
  <c r="KT23" i="64"/>
  <c r="KS23" i="64"/>
  <c r="KR23" i="64"/>
  <c r="KQ23" i="64"/>
  <c r="KP23" i="64"/>
  <c r="KO23" i="64"/>
  <c r="KN23" i="64"/>
  <c r="KM23" i="64"/>
  <c r="KL23" i="64"/>
  <c r="KK23" i="64"/>
  <c r="KJ23" i="64"/>
  <c r="KI23" i="64"/>
  <c r="KH23" i="64"/>
  <c r="KG23" i="64"/>
  <c r="KF23" i="64"/>
  <c r="KE23" i="64"/>
  <c r="KD23" i="64"/>
  <c r="KC23" i="64"/>
  <c r="KB23" i="64"/>
  <c r="KA23" i="64"/>
  <c r="JZ23" i="64"/>
  <c r="JY23" i="64"/>
  <c r="JX23" i="64"/>
  <c r="JW23" i="64"/>
  <c r="JV23" i="64"/>
  <c r="JU23" i="64"/>
  <c r="JT23" i="64"/>
  <c r="JS23" i="64"/>
  <c r="JR23" i="64"/>
  <c r="JQ23" i="64"/>
  <c r="JP23" i="64"/>
  <c r="JO23" i="64"/>
  <c r="JN23" i="64"/>
  <c r="JM23" i="64"/>
  <c r="JL23" i="64"/>
  <c r="JK23" i="64"/>
  <c r="JJ23" i="64"/>
  <c r="JI23" i="64"/>
  <c r="JH23" i="64"/>
  <c r="JG23" i="64"/>
  <c r="JF23" i="64"/>
  <c r="JE23" i="64"/>
  <c r="JD23" i="64"/>
  <c r="JC23" i="64"/>
  <c r="JB23" i="64"/>
  <c r="JA23" i="64"/>
  <c r="IZ23" i="64"/>
  <c r="IY23" i="64"/>
  <c r="IX23" i="64"/>
  <c r="IW23" i="64"/>
  <c r="IV23" i="64"/>
  <c r="IU23" i="64"/>
  <c r="IT23" i="64"/>
  <c r="IS23" i="64"/>
  <c r="IR23" i="64"/>
  <c r="IQ23" i="64"/>
  <c r="IP23" i="64"/>
  <c r="IO23" i="64"/>
  <c r="IN23" i="64"/>
  <c r="IM23" i="64"/>
  <c r="IL23" i="64"/>
  <c r="IK23" i="64"/>
  <c r="IJ23" i="64"/>
  <c r="II23" i="64"/>
  <c r="IH23" i="64"/>
  <c r="IG23" i="64"/>
  <c r="IF23" i="64"/>
  <c r="IE23" i="64"/>
  <c r="ID23" i="64"/>
  <c r="IC23" i="64"/>
  <c r="IB23" i="64"/>
  <c r="IA23" i="64"/>
  <c r="HZ23" i="64"/>
  <c r="HY23" i="64"/>
  <c r="HX23" i="64"/>
  <c r="HW23" i="64"/>
  <c r="HV23" i="64"/>
  <c r="HU23" i="64"/>
  <c r="HT23" i="64"/>
  <c r="HS23" i="64"/>
  <c r="HR23" i="64"/>
  <c r="HQ23" i="64"/>
  <c r="HP23" i="64"/>
  <c r="HO23" i="64"/>
  <c r="HN23" i="64"/>
  <c r="HM23" i="64"/>
  <c r="HL23" i="64"/>
  <c r="HK23" i="64"/>
  <c r="HJ23" i="64"/>
  <c r="HI23" i="64"/>
  <c r="HH23" i="64"/>
  <c r="HG23" i="64"/>
  <c r="HF23" i="64"/>
  <c r="HE23" i="64"/>
  <c r="HD23" i="64"/>
  <c r="HC23" i="64"/>
  <c r="HB23" i="64"/>
  <c r="HA23" i="64"/>
  <c r="GZ23" i="64"/>
  <c r="GY23" i="64"/>
  <c r="GX23" i="64"/>
  <c r="GW23" i="64"/>
  <c r="GV23" i="64"/>
  <c r="GU23" i="64"/>
  <c r="GT23" i="64"/>
  <c r="GS23" i="64"/>
  <c r="GR23" i="64"/>
  <c r="GQ23" i="64"/>
  <c r="GP23" i="64"/>
  <c r="GO23" i="64"/>
  <c r="GN23" i="64"/>
  <c r="GM23" i="64"/>
  <c r="GL23" i="64"/>
  <c r="GK23" i="64"/>
  <c r="GJ23" i="64"/>
  <c r="GI23" i="64"/>
  <c r="GH23" i="64"/>
  <c r="GG23" i="64"/>
  <c r="GF23" i="64"/>
  <c r="GE23" i="64"/>
  <c r="GD23" i="64"/>
  <c r="GC23" i="64"/>
  <c r="GB23" i="64"/>
  <c r="GA23" i="64"/>
  <c r="FZ23" i="64"/>
  <c r="FY23" i="64"/>
  <c r="FX23" i="64"/>
  <c r="FW23" i="64"/>
  <c r="FV23" i="64"/>
  <c r="FU23" i="64"/>
  <c r="FT23" i="64"/>
  <c r="FS23" i="64"/>
  <c r="FR23" i="64"/>
  <c r="FQ23" i="64"/>
  <c r="FP23" i="64"/>
  <c r="FO23" i="64"/>
  <c r="C23" i="64"/>
  <c r="LW22" i="64"/>
  <c r="LV22" i="64"/>
  <c r="LU22" i="64"/>
  <c r="LT22" i="64"/>
  <c r="LS22" i="64"/>
  <c r="LR22" i="64"/>
  <c r="LQ22" i="64"/>
  <c r="LP22" i="64"/>
  <c r="LO22" i="64"/>
  <c r="LN22" i="64"/>
  <c r="LM22" i="64"/>
  <c r="LL22" i="64"/>
  <c r="LK22" i="64"/>
  <c r="LJ22" i="64"/>
  <c r="LI22" i="64"/>
  <c r="LH22" i="64"/>
  <c r="LG22" i="64"/>
  <c r="LF22" i="64"/>
  <c r="LE22" i="64"/>
  <c r="LD22" i="64"/>
  <c r="LC22" i="64"/>
  <c r="LB22" i="64"/>
  <c r="LA22" i="64"/>
  <c r="KZ22" i="64"/>
  <c r="KY22" i="64"/>
  <c r="KX22" i="64"/>
  <c r="KW22" i="64"/>
  <c r="KV22" i="64"/>
  <c r="KU22" i="64"/>
  <c r="KT22" i="64"/>
  <c r="KS22" i="64"/>
  <c r="KR22" i="64"/>
  <c r="KQ22" i="64"/>
  <c r="KP22" i="64"/>
  <c r="KO22" i="64"/>
  <c r="KN22" i="64"/>
  <c r="KM22" i="64"/>
  <c r="KL22" i="64"/>
  <c r="KK22" i="64"/>
  <c r="KJ22" i="64"/>
  <c r="KI22" i="64"/>
  <c r="KH22" i="64"/>
  <c r="KG22" i="64"/>
  <c r="KF22" i="64"/>
  <c r="KE22" i="64"/>
  <c r="KD22" i="64"/>
  <c r="KC22" i="64"/>
  <c r="KB22" i="64"/>
  <c r="KA22" i="64"/>
  <c r="JZ22" i="64"/>
  <c r="JY22" i="64"/>
  <c r="JX22" i="64"/>
  <c r="JW22" i="64"/>
  <c r="JV22" i="64"/>
  <c r="JU22" i="64"/>
  <c r="JT22" i="64"/>
  <c r="JS22" i="64"/>
  <c r="JR22" i="64"/>
  <c r="JQ22" i="64"/>
  <c r="JP22" i="64"/>
  <c r="JO22" i="64"/>
  <c r="JN22" i="64"/>
  <c r="JM22" i="64"/>
  <c r="JL22" i="64"/>
  <c r="JK22" i="64"/>
  <c r="JJ22" i="64"/>
  <c r="JI22" i="64"/>
  <c r="JH22" i="64"/>
  <c r="JG22" i="64"/>
  <c r="JF22" i="64"/>
  <c r="JE22" i="64"/>
  <c r="JD22" i="64"/>
  <c r="JC22" i="64"/>
  <c r="JB22" i="64"/>
  <c r="JA22" i="64"/>
  <c r="IZ22" i="64"/>
  <c r="IY22" i="64"/>
  <c r="IX22" i="64"/>
  <c r="IW22" i="64"/>
  <c r="IV22" i="64"/>
  <c r="IU22" i="64"/>
  <c r="IT22" i="64"/>
  <c r="IS22" i="64"/>
  <c r="IR22" i="64"/>
  <c r="IQ22" i="64"/>
  <c r="IP22" i="64"/>
  <c r="IO22" i="64"/>
  <c r="IN22" i="64"/>
  <c r="IM22" i="64"/>
  <c r="IL22" i="64"/>
  <c r="IK22" i="64"/>
  <c r="IJ22" i="64"/>
  <c r="II22" i="64"/>
  <c r="IH22" i="64"/>
  <c r="IG22" i="64"/>
  <c r="IF22" i="64"/>
  <c r="IE22" i="64"/>
  <c r="ID22" i="64"/>
  <c r="IC22" i="64"/>
  <c r="IB22" i="64"/>
  <c r="IA22" i="64"/>
  <c r="HZ22" i="64"/>
  <c r="HY22" i="64"/>
  <c r="HX22" i="64"/>
  <c r="HW22" i="64"/>
  <c r="HV22" i="64"/>
  <c r="HU22" i="64"/>
  <c r="HT22" i="64"/>
  <c r="HS22" i="64"/>
  <c r="HR22" i="64"/>
  <c r="HQ22" i="64"/>
  <c r="HP22" i="64"/>
  <c r="HO22" i="64"/>
  <c r="HN22" i="64"/>
  <c r="HM22" i="64"/>
  <c r="HL22" i="64"/>
  <c r="HK22" i="64"/>
  <c r="HJ22" i="64"/>
  <c r="HI22" i="64"/>
  <c r="HH22" i="64"/>
  <c r="HG22" i="64"/>
  <c r="HF22" i="64"/>
  <c r="HE22" i="64"/>
  <c r="HD22" i="64"/>
  <c r="HC22" i="64"/>
  <c r="HB22" i="64"/>
  <c r="HA22" i="64"/>
  <c r="GZ22" i="64"/>
  <c r="GY22" i="64"/>
  <c r="GX22" i="64"/>
  <c r="GW22" i="64"/>
  <c r="GV22" i="64"/>
  <c r="GU22" i="64"/>
  <c r="GT22" i="64"/>
  <c r="GS22" i="64"/>
  <c r="GR22" i="64"/>
  <c r="GQ22" i="64"/>
  <c r="GP22" i="64"/>
  <c r="GO22" i="64"/>
  <c r="GN22" i="64"/>
  <c r="GM22" i="64"/>
  <c r="GL22" i="64"/>
  <c r="GK22" i="64"/>
  <c r="GJ22" i="64"/>
  <c r="GI22" i="64"/>
  <c r="GH22" i="64"/>
  <c r="GG22" i="64"/>
  <c r="GF22" i="64"/>
  <c r="GE22" i="64"/>
  <c r="GD22" i="64"/>
  <c r="GC22" i="64"/>
  <c r="GB22" i="64"/>
  <c r="GA22" i="64"/>
  <c r="FZ22" i="64"/>
  <c r="FY22" i="64"/>
  <c r="FX22" i="64"/>
  <c r="FW22" i="64"/>
  <c r="FV22" i="64"/>
  <c r="FU22" i="64"/>
  <c r="FT22" i="64"/>
  <c r="FS22" i="64"/>
  <c r="FR22" i="64"/>
  <c r="FQ22" i="64"/>
  <c r="FP22" i="64"/>
  <c r="FO22" i="64"/>
  <c r="C22" i="64"/>
  <c r="LW21" i="64"/>
  <c r="LV21" i="64"/>
  <c r="LU21" i="64"/>
  <c r="LT21" i="64"/>
  <c r="LS21" i="64"/>
  <c r="LR21" i="64"/>
  <c r="LQ21" i="64"/>
  <c r="LP21" i="64"/>
  <c r="LO21" i="64"/>
  <c r="LN21" i="64"/>
  <c r="LM21" i="64"/>
  <c r="LL21" i="64"/>
  <c r="LK21" i="64"/>
  <c r="LJ21" i="64"/>
  <c r="LI21" i="64"/>
  <c r="LH21" i="64"/>
  <c r="LG21" i="64"/>
  <c r="LF21" i="64"/>
  <c r="LE21" i="64"/>
  <c r="LD21" i="64"/>
  <c r="LC21" i="64"/>
  <c r="LB21" i="64"/>
  <c r="LA21" i="64"/>
  <c r="KZ21" i="64"/>
  <c r="KY21" i="64"/>
  <c r="KX21" i="64"/>
  <c r="KW21" i="64"/>
  <c r="KV21" i="64"/>
  <c r="KU21" i="64"/>
  <c r="KT21" i="64"/>
  <c r="KS21" i="64"/>
  <c r="KR21" i="64"/>
  <c r="KQ21" i="64"/>
  <c r="KP21" i="64"/>
  <c r="KO21" i="64"/>
  <c r="KN21" i="64"/>
  <c r="KM21" i="64"/>
  <c r="KL21" i="64"/>
  <c r="KK21" i="64"/>
  <c r="KJ21" i="64"/>
  <c r="KI21" i="64"/>
  <c r="KH21" i="64"/>
  <c r="KG21" i="64"/>
  <c r="KF21" i="64"/>
  <c r="KE21" i="64"/>
  <c r="KD21" i="64"/>
  <c r="KC21" i="64"/>
  <c r="KB21" i="64"/>
  <c r="KA21" i="64"/>
  <c r="JZ21" i="64"/>
  <c r="JY21" i="64"/>
  <c r="JX21" i="64"/>
  <c r="JW21" i="64"/>
  <c r="JV21" i="64"/>
  <c r="JU21" i="64"/>
  <c r="JT21" i="64"/>
  <c r="JS21" i="64"/>
  <c r="JR21" i="64"/>
  <c r="JQ21" i="64"/>
  <c r="JP21" i="64"/>
  <c r="JO21" i="64"/>
  <c r="JN21" i="64"/>
  <c r="JM21" i="64"/>
  <c r="JL21" i="64"/>
  <c r="JK21" i="64"/>
  <c r="JJ21" i="64"/>
  <c r="JI21" i="64"/>
  <c r="JH21" i="64"/>
  <c r="JG21" i="64"/>
  <c r="JF21" i="64"/>
  <c r="JE21" i="64"/>
  <c r="JD21" i="64"/>
  <c r="JC21" i="64"/>
  <c r="JB21" i="64"/>
  <c r="JA21" i="64"/>
  <c r="IZ21" i="64"/>
  <c r="IY21" i="64"/>
  <c r="IX21" i="64"/>
  <c r="IW21" i="64"/>
  <c r="IV21" i="64"/>
  <c r="IU21" i="64"/>
  <c r="IT21" i="64"/>
  <c r="IS21" i="64"/>
  <c r="IR21" i="64"/>
  <c r="IQ21" i="64"/>
  <c r="IP21" i="64"/>
  <c r="IO21" i="64"/>
  <c r="IN21" i="64"/>
  <c r="IM21" i="64"/>
  <c r="IL21" i="64"/>
  <c r="IK21" i="64"/>
  <c r="IJ21" i="64"/>
  <c r="II21" i="64"/>
  <c r="IH21" i="64"/>
  <c r="IG21" i="64"/>
  <c r="IF21" i="64"/>
  <c r="IE21" i="64"/>
  <c r="ID21" i="64"/>
  <c r="IC21" i="64"/>
  <c r="IB21" i="64"/>
  <c r="IA21" i="64"/>
  <c r="HZ21" i="64"/>
  <c r="HY21" i="64"/>
  <c r="HX21" i="64"/>
  <c r="HW21" i="64"/>
  <c r="HV21" i="64"/>
  <c r="HU21" i="64"/>
  <c r="HT21" i="64"/>
  <c r="HS21" i="64"/>
  <c r="HR21" i="64"/>
  <c r="HQ21" i="64"/>
  <c r="HP21" i="64"/>
  <c r="HO21" i="64"/>
  <c r="HN21" i="64"/>
  <c r="HM21" i="64"/>
  <c r="HL21" i="64"/>
  <c r="HK21" i="64"/>
  <c r="HJ21" i="64"/>
  <c r="HI21" i="64"/>
  <c r="HH21" i="64"/>
  <c r="HG21" i="64"/>
  <c r="HF21" i="64"/>
  <c r="HE21" i="64"/>
  <c r="HD21" i="64"/>
  <c r="HC21" i="64"/>
  <c r="HB21" i="64"/>
  <c r="HA21" i="64"/>
  <c r="GZ21" i="64"/>
  <c r="GY21" i="64"/>
  <c r="GX21" i="64"/>
  <c r="GW21" i="64"/>
  <c r="GV21" i="64"/>
  <c r="GU21" i="64"/>
  <c r="GT21" i="64"/>
  <c r="GS21" i="64"/>
  <c r="GR21" i="64"/>
  <c r="GQ21" i="64"/>
  <c r="GP21" i="64"/>
  <c r="GO21" i="64"/>
  <c r="GN21" i="64"/>
  <c r="GM21" i="64"/>
  <c r="GL21" i="64"/>
  <c r="GK21" i="64"/>
  <c r="GJ21" i="64"/>
  <c r="GI21" i="64"/>
  <c r="GH21" i="64"/>
  <c r="GG21" i="64"/>
  <c r="GF21" i="64"/>
  <c r="GE21" i="64"/>
  <c r="GD21" i="64"/>
  <c r="GC21" i="64"/>
  <c r="GB21" i="64"/>
  <c r="GA21" i="64"/>
  <c r="FZ21" i="64"/>
  <c r="FY21" i="64"/>
  <c r="FX21" i="64"/>
  <c r="FW21" i="64"/>
  <c r="FV21" i="64"/>
  <c r="FU21" i="64"/>
  <c r="FT21" i="64"/>
  <c r="FS21" i="64"/>
  <c r="FR21" i="64"/>
  <c r="FQ21" i="64"/>
  <c r="FP21" i="64"/>
  <c r="FO21" i="64"/>
  <c r="C21" i="64"/>
  <c r="LW20" i="64"/>
  <c r="LV20" i="64"/>
  <c r="LU20" i="64"/>
  <c r="LT20" i="64"/>
  <c r="LS20" i="64"/>
  <c r="LR20" i="64"/>
  <c r="LQ20" i="64"/>
  <c r="LP20" i="64"/>
  <c r="LO20" i="64"/>
  <c r="LN20" i="64"/>
  <c r="LM20" i="64"/>
  <c r="LL20" i="64"/>
  <c r="LK20" i="64"/>
  <c r="LJ20" i="64"/>
  <c r="LI20" i="64"/>
  <c r="LH20" i="64"/>
  <c r="LG20" i="64"/>
  <c r="LF20" i="64"/>
  <c r="LE20" i="64"/>
  <c r="LD20" i="64"/>
  <c r="LC20" i="64"/>
  <c r="LB20" i="64"/>
  <c r="LA20" i="64"/>
  <c r="KZ20" i="64"/>
  <c r="KY20" i="64"/>
  <c r="KX20" i="64"/>
  <c r="KW20" i="64"/>
  <c r="KV20" i="64"/>
  <c r="KU20" i="64"/>
  <c r="KT20" i="64"/>
  <c r="KS20" i="64"/>
  <c r="KR20" i="64"/>
  <c r="KQ20" i="64"/>
  <c r="KP20" i="64"/>
  <c r="KO20" i="64"/>
  <c r="KN20" i="64"/>
  <c r="KM20" i="64"/>
  <c r="KL20" i="64"/>
  <c r="KK20" i="64"/>
  <c r="KJ20" i="64"/>
  <c r="KI20" i="64"/>
  <c r="KH20" i="64"/>
  <c r="KG20" i="64"/>
  <c r="KF20" i="64"/>
  <c r="KE20" i="64"/>
  <c r="KD20" i="64"/>
  <c r="KC20" i="64"/>
  <c r="KB20" i="64"/>
  <c r="KA20" i="64"/>
  <c r="JZ20" i="64"/>
  <c r="JY20" i="64"/>
  <c r="JX20" i="64"/>
  <c r="JW20" i="64"/>
  <c r="JV20" i="64"/>
  <c r="JU20" i="64"/>
  <c r="JT20" i="64"/>
  <c r="JS20" i="64"/>
  <c r="JR20" i="64"/>
  <c r="JQ20" i="64"/>
  <c r="JP20" i="64"/>
  <c r="JO20" i="64"/>
  <c r="JN20" i="64"/>
  <c r="JM20" i="64"/>
  <c r="JL20" i="64"/>
  <c r="JK20" i="64"/>
  <c r="JJ20" i="64"/>
  <c r="JI20" i="64"/>
  <c r="JH20" i="64"/>
  <c r="JG20" i="64"/>
  <c r="JF20" i="64"/>
  <c r="JE20" i="64"/>
  <c r="JD20" i="64"/>
  <c r="JC20" i="64"/>
  <c r="JB20" i="64"/>
  <c r="JA20" i="64"/>
  <c r="IZ20" i="64"/>
  <c r="IY20" i="64"/>
  <c r="IX20" i="64"/>
  <c r="IW20" i="64"/>
  <c r="IV20" i="64"/>
  <c r="IU20" i="64"/>
  <c r="IT20" i="64"/>
  <c r="IS20" i="64"/>
  <c r="IR20" i="64"/>
  <c r="IQ20" i="64"/>
  <c r="IP20" i="64"/>
  <c r="IO20" i="64"/>
  <c r="IN20" i="64"/>
  <c r="IM20" i="64"/>
  <c r="IL20" i="64"/>
  <c r="IK20" i="64"/>
  <c r="IJ20" i="64"/>
  <c r="II20" i="64"/>
  <c r="IH20" i="64"/>
  <c r="IG20" i="64"/>
  <c r="IF20" i="64"/>
  <c r="IE20" i="64"/>
  <c r="ID20" i="64"/>
  <c r="IC20" i="64"/>
  <c r="IB20" i="64"/>
  <c r="IA20" i="64"/>
  <c r="HZ20" i="64"/>
  <c r="HY20" i="64"/>
  <c r="HX20" i="64"/>
  <c r="HW20" i="64"/>
  <c r="HV20" i="64"/>
  <c r="HU20" i="64"/>
  <c r="HT20" i="64"/>
  <c r="HS20" i="64"/>
  <c r="HR20" i="64"/>
  <c r="HQ20" i="64"/>
  <c r="HP20" i="64"/>
  <c r="HO20" i="64"/>
  <c r="HN20" i="64"/>
  <c r="HM20" i="64"/>
  <c r="HL20" i="64"/>
  <c r="HK20" i="64"/>
  <c r="HJ20" i="64"/>
  <c r="HI20" i="64"/>
  <c r="HH20" i="64"/>
  <c r="HG20" i="64"/>
  <c r="HF20" i="64"/>
  <c r="HE20" i="64"/>
  <c r="HD20" i="64"/>
  <c r="HC20" i="64"/>
  <c r="HB20" i="64"/>
  <c r="HA20" i="64"/>
  <c r="GZ20" i="64"/>
  <c r="GY20" i="64"/>
  <c r="GX20" i="64"/>
  <c r="GW20" i="64"/>
  <c r="GV20" i="64"/>
  <c r="GU20" i="64"/>
  <c r="GT20" i="64"/>
  <c r="GS20" i="64"/>
  <c r="GR20" i="64"/>
  <c r="GQ20" i="64"/>
  <c r="GP20" i="64"/>
  <c r="GO20" i="64"/>
  <c r="GN20" i="64"/>
  <c r="GM20" i="64"/>
  <c r="GL20" i="64"/>
  <c r="GK20" i="64"/>
  <c r="GJ20" i="64"/>
  <c r="GI20" i="64"/>
  <c r="GH20" i="64"/>
  <c r="GG20" i="64"/>
  <c r="GF20" i="64"/>
  <c r="GE20" i="64"/>
  <c r="GD20" i="64"/>
  <c r="GC20" i="64"/>
  <c r="GB20" i="64"/>
  <c r="GA20" i="64"/>
  <c r="FZ20" i="64"/>
  <c r="FY20" i="64"/>
  <c r="FX20" i="64"/>
  <c r="FW20" i="64"/>
  <c r="FV20" i="64"/>
  <c r="FU20" i="64"/>
  <c r="FT20" i="64"/>
  <c r="FS20" i="64"/>
  <c r="FR20" i="64"/>
  <c r="FQ20" i="64"/>
  <c r="FP20" i="64"/>
  <c r="FO20" i="64"/>
  <c r="C20" i="64"/>
  <c r="LW19" i="64"/>
  <c r="LV19" i="64"/>
  <c r="LU19" i="64"/>
  <c r="LT19" i="64"/>
  <c r="LS19" i="64"/>
  <c r="LR19" i="64"/>
  <c r="LQ19" i="64"/>
  <c r="LP19" i="64"/>
  <c r="LO19" i="64"/>
  <c r="LN19" i="64"/>
  <c r="LM19" i="64"/>
  <c r="LL19" i="64"/>
  <c r="LK19" i="64"/>
  <c r="LJ19" i="64"/>
  <c r="LI19" i="64"/>
  <c r="LH19" i="64"/>
  <c r="LG19" i="64"/>
  <c r="LF19" i="64"/>
  <c r="LE19" i="64"/>
  <c r="LD19" i="64"/>
  <c r="LC19" i="64"/>
  <c r="LB19" i="64"/>
  <c r="LA19" i="64"/>
  <c r="KZ19" i="64"/>
  <c r="KY19" i="64"/>
  <c r="KX19" i="64"/>
  <c r="KW19" i="64"/>
  <c r="KV19" i="64"/>
  <c r="KU19" i="64"/>
  <c r="KT19" i="64"/>
  <c r="KS19" i="64"/>
  <c r="KR19" i="64"/>
  <c r="KQ19" i="64"/>
  <c r="KP19" i="64"/>
  <c r="KO19" i="64"/>
  <c r="KN19" i="64"/>
  <c r="KM19" i="64"/>
  <c r="KL19" i="64"/>
  <c r="KK19" i="64"/>
  <c r="KJ19" i="64"/>
  <c r="KI19" i="64"/>
  <c r="KH19" i="64"/>
  <c r="KG19" i="64"/>
  <c r="KF19" i="64"/>
  <c r="KE19" i="64"/>
  <c r="KD19" i="64"/>
  <c r="KC19" i="64"/>
  <c r="KB19" i="64"/>
  <c r="KA19" i="64"/>
  <c r="JZ19" i="64"/>
  <c r="JY19" i="64"/>
  <c r="JX19" i="64"/>
  <c r="JW19" i="64"/>
  <c r="JV19" i="64"/>
  <c r="JU19" i="64"/>
  <c r="JT19" i="64"/>
  <c r="JS19" i="64"/>
  <c r="JR19" i="64"/>
  <c r="JQ19" i="64"/>
  <c r="JP19" i="64"/>
  <c r="JO19" i="64"/>
  <c r="JN19" i="64"/>
  <c r="JM19" i="64"/>
  <c r="JL19" i="64"/>
  <c r="JK19" i="64"/>
  <c r="JJ19" i="64"/>
  <c r="JI19" i="64"/>
  <c r="JH19" i="64"/>
  <c r="JG19" i="64"/>
  <c r="JF19" i="64"/>
  <c r="JE19" i="64"/>
  <c r="JD19" i="64"/>
  <c r="JC19" i="64"/>
  <c r="JB19" i="64"/>
  <c r="JA19" i="64"/>
  <c r="IZ19" i="64"/>
  <c r="IY19" i="64"/>
  <c r="IX19" i="64"/>
  <c r="IW19" i="64"/>
  <c r="IV19" i="64"/>
  <c r="IU19" i="64"/>
  <c r="IT19" i="64"/>
  <c r="IS19" i="64"/>
  <c r="IR19" i="64"/>
  <c r="IQ19" i="64"/>
  <c r="IP19" i="64"/>
  <c r="IO19" i="64"/>
  <c r="IN19" i="64"/>
  <c r="IM19" i="64"/>
  <c r="IL19" i="64"/>
  <c r="IK19" i="64"/>
  <c r="IJ19" i="64"/>
  <c r="II19" i="64"/>
  <c r="IH19" i="64"/>
  <c r="IG19" i="64"/>
  <c r="IF19" i="64"/>
  <c r="IE19" i="64"/>
  <c r="ID19" i="64"/>
  <c r="IC19" i="64"/>
  <c r="IB19" i="64"/>
  <c r="IA19" i="64"/>
  <c r="HZ19" i="64"/>
  <c r="HY19" i="64"/>
  <c r="HX19" i="64"/>
  <c r="HW19" i="64"/>
  <c r="HV19" i="64"/>
  <c r="HU19" i="64"/>
  <c r="HT19" i="64"/>
  <c r="HS19" i="64"/>
  <c r="HR19" i="64"/>
  <c r="HQ19" i="64"/>
  <c r="HP19" i="64"/>
  <c r="HO19" i="64"/>
  <c r="HN19" i="64"/>
  <c r="HM19" i="64"/>
  <c r="HL19" i="64"/>
  <c r="HK19" i="64"/>
  <c r="HJ19" i="64"/>
  <c r="HI19" i="64"/>
  <c r="HH19" i="64"/>
  <c r="HG19" i="64"/>
  <c r="HF19" i="64"/>
  <c r="HE19" i="64"/>
  <c r="HD19" i="64"/>
  <c r="HC19" i="64"/>
  <c r="HB19" i="64"/>
  <c r="HA19" i="64"/>
  <c r="GZ19" i="64"/>
  <c r="GY19" i="64"/>
  <c r="GX19" i="64"/>
  <c r="GW19" i="64"/>
  <c r="GV19" i="64"/>
  <c r="GU19" i="64"/>
  <c r="GT19" i="64"/>
  <c r="GS19" i="64"/>
  <c r="GR19" i="64"/>
  <c r="GQ19" i="64"/>
  <c r="GP19" i="64"/>
  <c r="GO19" i="64"/>
  <c r="GN19" i="64"/>
  <c r="GM19" i="64"/>
  <c r="GL19" i="64"/>
  <c r="GK19" i="64"/>
  <c r="GJ19" i="64"/>
  <c r="GI19" i="64"/>
  <c r="GH19" i="64"/>
  <c r="GG19" i="64"/>
  <c r="GF19" i="64"/>
  <c r="GE19" i="64"/>
  <c r="GD19" i="64"/>
  <c r="GC19" i="64"/>
  <c r="GB19" i="64"/>
  <c r="GA19" i="64"/>
  <c r="FZ19" i="64"/>
  <c r="FY19" i="64"/>
  <c r="FX19" i="64"/>
  <c r="FW19" i="64"/>
  <c r="FV19" i="64"/>
  <c r="FU19" i="64"/>
  <c r="FT19" i="64"/>
  <c r="FS19" i="64"/>
  <c r="FR19" i="64"/>
  <c r="FQ19" i="64"/>
  <c r="FP19" i="64"/>
  <c r="FO19" i="64"/>
  <c r="C19" i="64"/>
  <c r="LW18" i="64"/>
  <c r="LV18" i="64"/>
  <c r="LU18" i="64"/>
  <c r="LT18" i="64"/>
  <c r="LS18" i="64"/>
  <c r="LR18" i="64"/>
  <c r="LQ18" i="64"/>
  <c r="LP18" i="64"/>
  <c r="LO18" i="64"/>
  <c r="LN18" i="64"/>
  <c r="LM18" i="64"/>
  <c r="LL18" i="64"/>
  <c r="LK18" i="64"/>
  <c r="LJ18" i="64"/>
  <c r="LI18" i="64"/>
  <c r="LH18" i="64"/>
  <c r="LG18" i="64"/>
  <c r="LF18" i="64"/>
  <c r="LE18" i="64"/>
  <c r="LD18" i="64"/>
  <c r="LC18" i="64"/>
  <c r="LB18" i="64"/>
  <c r="LA18" i="64"/>
  <c r="KZ18" i="64"/>
  <c r="KY18" i="64"/>
  <c r="KX18" i="64"/>
  <c r="KW18" i="64"/>
  <c r="KV18" i="64"/>
  <c r="KU18" i="64"/>
  <c r="KT18" i="64"/>
  <c r="KS18" i="64"/>
  <c r="KR18" i="64"/>
  <c r="KQ18" i="64"/>
  <c r="KP18" i="64"/>
  <c r="KO18" i="64"/>
  <c r="KN18" i="64"/>
  <c r="KM18" i="64"/>
  <c r="KL18" i="64"/>
  <c r="KK18" i="64"/>
  <c r="KJ18" i="64"/>
  <c r="KI18" i="64"/>
  <c r="KH18" i="64"/>
  <c r="KG18" i="64"/>
  <c r="KF18" i="64"/>
  <c r="KE18" i="64"/>
  <c r="KD18" i="64"/>
  <c r="KC18" i="64"/>
  <c r="KB18" i="64"/>
  <c r="KA18" i="64"/>
  <c r="JZ18" i="64"/>
  <c r="JY18" i="64"/>
  <c r="JX18" i="64"/>
  <c r="JW18" i="64"/>
  <c r="JV18" i="64"/>
  <c r="JU18" i="64"/>
  <c r="JT18" i="64"/>
  <c r="JS18" i="64"/>
  <c r="JR18" i="64"/>
  <c r="JQ18" i="64"/>
  <c r="JP18" i="64"/>
  <c r="JO18" i="64"/>
  <c r="JN18" i="64"/>
  <c r="JM18" i="64"/>
  <c r="JL18" i="64"/>
  <c r="JK18" i="64"/>
  <c r="JJ18" i="64"/>
  <c r="JI18" i="64"/>
  <c r="JH18" i="64"/>
  <c r="JG18" i="64"/>
  <c r="JF18" i="64"/>
  <c r="JE18" i="64"/>
  <c r="JD18" i="64"/>
  <c r="JC18" i="64"/>
  <c r="JB18" i="64"/>
  <c r="JA18" i="64"/>
  <c r="IZ18" i="64"/>
  <c r="IY18" i="64"/>
  <c r="IX18" i="64"/>
  <c r="IW18" i="64"/>
  <c r="IV18" i="64"/>
  <c r="IU18" i="64"/>
  <c r="IT18" i="64"/>
  <c r="IS18" i="64"/>
  <c r="IR18" i="64"/>
  <c r="IQ18" i="64"/>
  <c r="IP18" i="64"/>
  <c r="IO18" i="64"/>
  <c r="IN18" i="64"/>
  <c r="IM18" i="64"/>
  <c r="IL18" i="64"/>
  <c r="IK18" i="64"/>
  <c r="IJ18" i="64"/>
  <c r="II18" i="64"/>
  <c r="IH18" i="64"/>
  <c r="IG18" i="64"/>
  <c r="IF18" i="64"/>
  <c r="IE18" i="64"/>
  <c r="ID18" i="64"/>
  <c r="IC18" i="64"/>
  <c r="IB18" i="64"/>
  <c r="IA18" i="64"/>
  <c r="HZ18" i="64"/>
  <c r="HY18" i="64"/>
  <c r="HX18" i="64"/>
  <c r="HW18" i="64"/>
  <c r="HV18" i="64"/>
  <c r="HU18" i="64"/>
  <c r="HT18" i="64"/>
  <c r="HS18" i="64"/>
  <c r="HR18" i="64"/>
  <c r="HQ18" i="64"/>
  <c r="HP18" i="64"/>
  <c r="HO18" i="64"/>
  <c r="HN18" i="64"/>
  <c r="HM18" i="64"/>
  <c r="HL18" i="64"/>
  <c r="HK18" i="64"/>
  <c r="HJ18" i="64"/>
  <c r="HI18" i="64"/>
  <c r="HH18" i="64"/>
  <c r="HG18" i="64"/>
  <c r="HF18" i="64"/>
  <c r="HE18" i="64"/>
  <c r="HD18" i="64"/>
  <c r="HC18" i="64"/>
  <c r="HB18" i="64"/>
  <c r="HA18" i="64"/>
  <c r="GZ18" i="64"/>
  <c r="GY18" i="64"/>
  <c r="GX18" i="64"/>
  <c r="GW18" i="64"/>
  <c r="GV18" i="64"/>
  <c r="GU18" i="64"/>
  <c r="GT18" i="64"/>
  <c r="GS18" i="64"/>
  <c r="GR18" i="64"/>
  <c r="GQ18" i="64"/>
  <c r="GP18" i="64"/>
  <c r="GO18" i="64"/>
  <c r="GN18" i="64"/>
  <c r="GM18" i="64"/>
  <c r="GL18" i="64"/>
  <c r="GK18" i="64"/>
  <c r="GJ18" i="64"/>
  <c r="GI18" i="64"/>
  <c r="GH18" i="64"/>
  <c r="GG18" i="64"/>
  <c r="GF18" i="64"/>
  <c r="GE18" i="64"/>
  <c r="GD18" i="64"/>
  <c r="GC18" i="64"/>
  <c r="GB18" i="64"/>
  <c r="GA18" i="64"/>
  <c r="FZ18" i="64"/>
  <c r="FY18" i="64"/>
  <c r="FX18" i="64"/>
  <c r="FW18" i="64"/>
  <c r="FV18" i="64"/>
  <c r="FU18" i="64"/>
  <c r="FT18" i="64"/>
  <c r="FS18" i="64"/>
  <c r="FR18" i="64"/>
  <c r="FQ18" i="64"/>
  <c r="FP18" i="64"/>
  <c r="FO18" i="64"/>
  <c r="C18" i="64"/>
  <c r="LW17" i="64"/>
  <c r="LV17" i="64"/>
  <c r="LU17" i="64"/>
  <c r="LT17" i="64"/>
  <c r="LS17" i="64"/>
  <c r="LR17" i="64"/>
  <c r="LQ17" i="64"/>
  <c r="LP17" i="64"/>
  <c r="LO17" i="64"/>
  <c r="LN17" i="64"/>
  <c r="LM17" i="64"/>
  <c r="LL17" i="64"/>
  <c r="LK17" i="64"/>
  <c r="LJ17" i="64"/>
  <c r="LI17" i="64"/>
  <c r="LH17" i="64"/>
  <c r="LG17" i="64"/>
  <c r="LF17" i="64"/>
  <c r="LE17" i="64"/>
  <c r="LD17" i="64"/>
  <c r="LC17" i="64"/>
  <c r="LB17" i="64"/>
  <c r="LA17" i="64"/>
  <c r="KZ17" i="64"/>
  <c r="KY17" i="64"/>
  <c r="KX17" i="64"/>
  <c r="KW17" i="64"/>
  <c r="KV17" i="64"/>
  <c r="KU17" i="64"/>
  <c r="KT17" i="64"/>
  <c r="KS17" i="64"/>
  <c r="KR17" i="64"/>
  <c r="KQ17" i="64"/>
  <c r="KP17" i="64"/>
  <c r="KO17" i="64"/>
  <c r="KN17" i="64"/>
  <c r="KM17" i="64"/>
  <c r="KL17" i="64"/>
  <c r="KK17" i="64"/>
  <c r="KJ17" i="64"/>
  <c r="KI17" i="64"/>
  <c r="KH17" i="64"/>
  <c r="KG17" i="64"/>
  <c r="KF17" i="64"/>
  <c r="KE17" i="64"/>
  <c r="KD17" i="64"/>
  <c r="KC17" i="64"/>
  <c r="KB17" i="64"/>
  <c r="KA17" i="64"/>
  <c r="JZ17" i="64"/>
  <c r="JY17" i="64"/>
  <c r="JX17" i="64"/>
  <c r="JW17" i="64"/>
  <c r="JV17" i="64"/>
  <c r="JU17" i="64"/>
  <c r="JT17" i="64"/>
  <c r="JS17" i="64"/>
  <c r="JR17" i="64"/>
  <c r="JQ17" i="64"/>
  <c r="JP17" i="64"/>
  <c r="JO17" i="64"/>
  <c r="JN17" i="64"/>
  <c r="JM17" i="64"/>
  <c r="JL17" i="64"/>
  <c r="JK17" i="64"/>
  <c r="JJ17" i="64"/>
  <c r="JI17" i="64"/>
  <c r="JH17" i="64"/>
  <c r="JG17" i="64"/>
  <c r="JF17" i="64"/>
  <c r="JE17" i="64"/>
  <c r="JD17" i="64"/>
  <c r="JC17" i="64"/>
  <c r="JB17" i="64"/>
  <c r="JA17" i="64"/>
  <c r="IZ17" i="64"/>
  <c r="IY17" i="64"/>
  <c r="IX17" i="64"/>
  <c r="IW17" i="64"/>
  <c r="IV17" i="64"/>
  <c r="IU17" i="64"/>
  <c r="IT17" i="64"/>
  <c r="IS17" i="64"/>
  <c r="IR17" i="64"/>
  <c r="IQ17" i="64"/>
  <c r="IP17" i="64"/>
  <c r="IO17" i="64"/>
  <c r="IN17" i="64"/>
  <c r="IM17" i="64"/>
  <c r="IL17" i="64"/>
  <c r="IK17" i="64"/>
  <c r="IJ17" i="64"/>
  <c r="II17" i="64"/>
  <c r="IH17" i="64"/>
  <c r="IG17" i="64"/>
  <c r="IF17" i="64"/>
  <c r="IE17" i="64"/>
  <c r="ID17" i="64"/>
  <c r="IC17" i="64"/>
  <c r="IB17" i="64"/>
  <c r="IA17" i="64"/>
  <c r="HZ17" i="64"/>
  <c r="HY17" i="64"/>
  <c r="HX17" i="64"/>
  <c r="HW17" i="64"/>
  <c r="HV17" i="64"/>
  <c r="HU17" i="64"/>
  <c r="HT17" i="64"/>
  <c r="HS17" i="64"/>
  <c r="HR17" i="64"/>
  <c r="HQ17" i="64"/>
  <c r="HP17" i="64"/>
  <c r="HO17" i="64"/>
  <c r="HN17" i="64"/>
  <c r="HM17" i="64"/>
  <c r="HL17" i="64"/>
  <c r="HK17" i="64"/>
  <c r="HJ17" i="64"/>
  <c r="HI17" i="64"/>
  <c r="HH17" i="64"/>
  <c r="HG17" i="64"/>
  <c r="HF17" i="64"/>
  <c r="HE17" i="64"/>
  <c r="HD17" i="64"/>
  <c r="HC17" i="64"/>
  <c r="HB17" i="64"/>
  <c r="HA17" i="64"/>
  <c r="GZ17" i="64"/>
  <c r="GY17" i="64"/>
  <c r="GX17" i="64"/>
  <c r="GW17" i="64"/>
  <c r="GV17" i="64"/>
  <c r="GU17" i="64"/>
  <c r="GT17" i="64"/>
  <c r="GS17" i="64"/>
  <c r="GR17" i="64"/>
  <c r="GQ17" i="64"/>
  <c r="GP17" i="64"/>
  <c r="GO17" i="64"/>
  <c r="GN17" i="64"/>
  <c r="GM17" i="64"/>
  <c r="GL17" i="64"/>
  <c r="GK17" i="64"/>
  <c r="GJ17" i="64"/>
  <c r="GI17" i="64"/>
  <c r="GH17" i="64"/>
  <c r="GG17" i="64"/>
  <c r="GF17" i="64"/>
  <c r="GE17" i="64"/>
  <c r="GD17" i="64"/>
  <c r="GC17" i="64"/>
  <c r="GB17" i="64"/>
  <c r="GA17" i="64"/>
  <c r="FZ17" i="64"/>
  <c r="FY17" i="64"/>
  <c r="FX17" i="64"/>
  <c r="FW17" i="64"/>
  <c r="FV17" i="64"/>
  <c r="FU17" i="64"/>
  <c r="FT17" i="64"/>
  <c r="FS17" i="64"/>
  <c r="FR17" i="64"/>
  <c r="FQ17" i="64"/>
  <c r="FP17" i="64"/>
  <c r="FO17" i="64"/>
  <c r="C17" i="64"/>
  <c r="LW16" i="64"/>
  <c r="LV16" i="64"/>
  <c r="LU16" i="64"/>
  <c r="LT16" i="64"/>
  <c r="LS16" i="64"/>
  <c r="LR16" i="64"/>
  <c r="LQ16" i="64"/>
  <c r="LP16" i="64"/>
  <c r="LO16" i="64"/>
  <c r="LN16" i="64"/>
  <c r="LM16" i="64"/>
  <c r="LL16" i="64"/>
  <c r="LK16" i="64"/>
  <c r="LJ16" i="64"/>
  <c r="LI16" i="64"/>
  <c r="LH16" i="64"/>
  <c r="LG16" i="64"/>
  <c r="LF16" i="64"/>
  <c r="LE16" i="64"/>
  <c r="LD16" i="64"/>
  <c r="LC16" i="64"/>
  <c r="LB16" i="64"/>
  <c r="LA16" i="64"/>
  <c r="KZ16" i="64"/>
  <c r="KY16" i="64"/>
  <c r="KX16" i="64"/>
  <c r="KW16" i="64"/>
  <c r="KV16" i="64"/>
  <c r="KU16" i="64"/>
  <c r="KT16" i="64"/>
  <c r="KS16" i="64"/>
  <c r="KR16" i="64"/>
  <c r="KQ16" i="64"/>
  <c r="KP16" i="64"/>
  <c r="KO16" i="64"/>
  <c r="KN16" i="64"/>
  <c r="KM16" i="64"/>
  <c r="KL16" i="64"/>
  <c r="KK16" i="64"/>
  <c r="KJ16" i="64"/>
  <c r="KI16" i="64"/>
  <c r="KH16" i="64"/>
  <c r="KG16" i="64"/>
  <c r="KF16" i="64"/>
  <c r="KE16" i="64"/>
  <c r="KD16" i="64"/>
  <c r="KC16" i="64"/>
  <c r="KB16" i="64"/>
  <c r="KA16" i="64"/>
  <c r="JZ16" i="64"/>
  <c r="JY16" i="64"/>
  <c r="JX16" i="64"/>
  <c r="JW16" i="64"/>
  <c r="JV16" i="64"/>
  <c r="JU16" i="64"/>
  <c r="JT16" i="64"/>
  <c r="JS16" i="64"/>
  <c r="JR16" i="64"/>
  <c r="JQ16" i="64"/>
  <c r="JP16" i="64"/>
  <c r="JO16" i="64"/>
  <c r="JN16" i="64"/>
  <c r="JM16" i="64"/>
  <c r="JL16" i="64"/>
  <c r="JK16" i="64"/>
  <c r="JJ16" i="64"/>
  <c r="JI16" i="64"/>
  <c r="JH16" i="64"/>
  <c r="JG16" i="64"/>
  <c r="JF16" i="64"/>
  <c r="JE16" i="64"/>
  <c r="JD16" i="64"/>
  <c r="JC16" i="64"/>
  <c r="JB16" i="64"/>
  <c r="JA16" i="64"/>
  <c r="IZ16" i="64"/>
  <c r="IY16" i="64"/>
  <c r="IX16" i="64"/>
  <c r="IW16" i="64"/>
  <c r="IV16" i="64"/>
  <c r="IU16" i="64"/>
  <c r="IT16" i="64"/>
  <c r="IS16" i="64"/>
  <c r="IR16" i="64"/>
  <c r="IQ16" i="64"/>
  <c r="IP16" i="64"/>
  <c r="IO16" i="64"/>
  <c r="IN16" i="64"/>
  <c r="IM16" i="64"/>
  <c r="IL16" i="64"/>
  <c r="IK16" i="64"/>
  <c r="IJ16" i="64"/>
  <c r="II16" i="64"/>
  <c r="IH16" i="64"/>
  <c r="IG16" i="64"/>
  <c r="IF16" i="64"/>
  <c r="IE16" i="64"/>
  <c r="ID16" i="64"/>
  <c r="IC16" i="64"/>
  <c r="IB16" i="64"/>
  <c r="IA16" i="64"/>
  <c r="HZ16" i="64"/>
  <c r="HY16" i="64"/>
  <c r="HX16" i="64"/>
  <c r="HW16" i="64"/>
  <c r="HV16" i="64"/>
  <c r="HU16" i="64"/>
  <c r="HT16" i="64"/>
  <c r="HS16" i="64"/>
  <c r="HR16" i="64"/>
  <c r="HQ16" i="64"/>
  <c r="HP16" i="64"/>
  <c r="HO16" i="64"/>
  <c r="HN16" i="64"/>
  <c r="HM16" i="64"/>
  <c r="HL16" i="64"/>
  <c r="HK16" i="64"/>
  <c r="HJ16" i="64"/>
  <c r="HI16" i="64"/>
  <c r="HH16" i="64"/>
  <c r="HG16" i="64"/>
  <c r="HF16" i="64"/>
  <c r="HE16" i="64"/>
  <c r="HD16" i="64"/>
  <c r="HC16" i="64"/>
  <c r="HB16" i="64"/>
  <c r="HA16" i="64"/>
  <c r="GZ16" i="64"/>
  <c r="GY16" i="64"/>
  <c r="GX16" i="64"/>
  <c r="GW16" i="64"/>
  <c r="GV16" i="64"/>
  <c r="GU16" i="64"/>
  <c r="GT16" i="64"/>
  <c r="GS16" i="64"/>
  <c r="GR16" i="64"/>
  <c r="GQ16" i="64"/>
  <c r="GP16" i="64"/>
  <c r="GO16" i="64"/>
  <c r="GN16" i="64"/>
  <c r="GM16" i="64"/>
  <c r="GL16" i="64"/>
  <c r="GK16" i="64"/>
  <c r="GJ16" i="64"/>
  <c r="GI16" i="64"/>
  <c r="GH16" i="64"/>
  <c r="GG16" i="64"/>
  <c r="GF16" i="64"/>
  <c r="GE16" i="64"/>
  <c r="GD16" i="64"/>
  <c r="GC16" i="64"/>
  <c r="GB16" i="64"/>
  <c r="GA16" i="64"/>
  <c r="FZ16" i="64"/>
  <c r="FY16" i="64"/>
  <c r="FX16" i="64"/>
  <c r="FW16" i="64"/>
  <c r="FV16" i="64"/>
  <c r="FU16" i="64"/>
  <c r="FT16" i="64"/>
  <c r="FS16" i="64"/>
  <c r="FR16" i="64"/>
  <c r="FQ16" i="64"/>
  <c r="FP16" i="64"/>
  <c r="FO16" i="64"/>
  <c r="C16" i="64"/>
  <c r="LW15" i="64"/>
  <c r="LV15" i="64"/>
  <c r="LU15" i="64"/>
  <c r="LT15" i="64"/>
  <c r="LS15" i="64"/>
  <c r="LR15" i="64"/>
  <c r="LQ15" i="64"/>
  <c r="LP15" i="64"/>
  <c r="LO15" i="64"/>
  <c r="LN15" i="64"/>
  <c r="LM15" i="64"/>
  <c r="LL15" i="64"/>
  <c r="LK15" i="64"/>
  <c r="LJ15" i="64"/>
  <c r="LI15" i="64"/>
  <c r="LH15" i="64"/>
  <c r="LG15" i="64"/>
  <c r="LF15" i="64"/>
  <c r="LE15" i="64"/>
  <c r="LD15" i="64"/>
  <c r="LC15" i="64"/>
  <c r="LB15" i="64"/>
  <c r="LA15" i="64"/>
  <c r="KZ15" i="64"/>
  <c r="KY15" i="64"/>
  <c r="KX15" i="64"/>
  <c r="KW15" i="64"/>
  <c r="KV15" i="64"/>
  <c r="KU15" i="64"/>
  <c r="KT15" i="64"/>
  <c r="KS15" i="64"/>
  <c r="KR15" i="64"/>
  <c r="KQ15" i="64"/>
  <c r="KP15" i="64"/>
  <c r="KO15" i="64"/>
  <c r="KN15" i="64"/>
  <c r="KM15" i="64"/>
  <c r="KL15" i="64"/>
  <c r="KK15" i="64"/>
  <c r="KJ15" i="64"/>
  <c r="KI15" i="64"/>
  <c r="KH15" i="64"/>
  <c r="KG15" i="64"/>
  <c r="KF15" i="64"/>
  <c r="KE15" i="64"/>
  <c r="KD15" i="64"/>
  <c r="KC15" i="64"/>
  <c r="KB15" i="64"/>
  <c r="KA15" i="64"/>
  <c r="JZ15" i="64"/>
  <c r="JY15" i="64"/>
  <c r="JX15" i="64"/>
  <c r="JW15" i="64"/>
  <c r="JV15" i="64"/>
  <c r="JU15" i="64"/>
  <c r="JT15" i="64"/>
  <c r="JS15" i="64"/>
  <c r="JR15" i="64"/>
  <c r="JQ15" i="64"/>
  <c r="JP15" i="64"/>
  <c r="JO15" i="64"/>
  <c r="JN15" i="64"/>
  <c r="JM15" i="64"/>
  <c r="JL15" i="64"/>
  <c r="JK15" i="64"/>
  <c r="JJ15" i="64"/>
  <c r="JI15" i="64"/>
  <c r="JH15" i="64"/>
  <c r="JG15" i="64"/>
  <c r="JF15" i="64"/>
  <c r="JE15" i="64"/>
  <c r="JD15" i="64"/>
  <c r="JC15" i="64"/>
  <c r="JB15" i="64"/>
  <c r="JA15" i="64"/>
  <c r="IZ15" i="64"/>
  <c r="IY15" i="64"/>
  <c r="IX15" i="64"/>
  <c r="IW15" i="64"/>
  <c r="IV15" i="64"/>
  <c r="IU15" i="64"/>
  <c r="IT15" i="64"/>
  <c r="IS15" i="64"/>
  <c r="IR15" i="64"/>
  <c r="IQ15" i="64"/>
  <c r="IP15" i="64"/>
  <c r="IO15" i="64"/>
  <c r="IN15" i="64"/>
  <c r="IM15" i="64"/>
  <c r="IL15" i="64"/>
  <c r="IK15" i="64"/>
  <c r="IJ15" i="64"/>
  <c r="II15" i="64"/>
  <c r="IH15" i="64"/>
  <c r="IG15" i="64"/>
  <c r="IF15" i="64"/>
  <c r="IE15" i="64"/>
  <c r="ID15" i="64"/>
  <c r="IC15" i="64"/>
  <c r="IB15" i="64"/>
  <c r="IA15" i="64"/>
  <c r="HZ15" i="64"/>
  <c r="HY15" i="64"/>
  <c r="HX15" i="64"/>
  <c r="HW15" i="64"/>
  <c r="HV15" i="64"/>
  <c r="HU15" i="64"/>
  <c r="HT15" i="64"/>
  <c r="HS15" i="64"/>
  <c r="HR15" i="64"/>
  <c r="HQ15" i="64"/>
  <c r="HP15" i="64"/>
  <c r="HO15" i="64"/>
  <c r="HN15" i="64"/>
  <c r="HM15" i="64"/>
  <c r="HL15" i="64"/>
  <c r="HK15" i="64"/>
  <c r="HJ15" i="64"/>
  <c r="HI15" i="64"/>
  <c r="HH15" i="64"/>
  <c r="HG15" i="64"/>
  <c r="HF15" i="64"/>
  <c r="HE15" i="64"/>
  <c r="HD15" i="64"/>
  <c r="HC15" i="64"/>
  <c r="HB15" i="64"/>
  <c r="HA15" i="64"/>
  <c r="GZ15" i="64"/>
  <c r="GY15" i="64"/>
  <c r="GX15" i="64"/>
  <c r="GW15" i="64"/>
  <c r="GV15" i="64"/>
  <c r="GU15" i="64"/>
  <c r="GT15" i="64"/>
  <c r="GS15" i="64"/>
  <c r="GR15" i="64"/>
  <c r="GQ15" i="64"/>
  <c r="GP15" i="64"/>
  <c r="GO15" i="64"/>
  <c r="GN15" i="64"/>
  <c r="GM15" i="64"/>
  <c r="GL15" i="64"/>
  <c r="GK15" i="64"/>
  <c r="GJ15" i="64"/>
  <c r="GI15" i="64"/>
  <c r="GH15" i="64"/>
  <c r="GG15" i="64"/>
  <c r="GF15" i="64"/>
  <c r="GE15" i="64"/>
  <c r="GD15" i="64"/>
  <c r="GC15" i="64"/>
  <c r="GB15" i="64"/>
  <c r="GA15" i="64"/>
  <c r="FZ15" i="64"/>
  <c r="FY15" i="64"/>
  <c r="FX15" i="64"/>
  <c r="FW15" i="64"/>
  <c r="FV15" i="64"/>
  <c r="FU15" i="64"/>
  <c r="FT15" i="64"/>
  <c r="FS15" i="64"/>
  <c r="FR15" i="64"/>
  <c r="FQ15" i="64"/>
  <c r="FP15" i="64"/>
  <c r="FO15" i="64"/>
  <c r="C15" i="64"/>
  <c r="LW14" i="64"/>
  <c r="LV14" i="64"/>
  <c r="LU14" i="64"/>
  <c r="LT14" i="64"/>
  <c r="LS14" i="64"/>
  <c r="LR14" i="64"/>
  <c r="LQ14" i="64"/>
  <c r="LP14" i="64"/>
  <c r="LO14" i="64"/>
  <c r="LN14" i="64"/>
  <c r="LM14" i="64"/>
  <c r="LL14" i="64"/>
  <c r="LK14" i="64"/>
  <c r="LJ14" i="64"/>
  <c r="LI14" i="64"/>
  <c r="LH14" i="64"/>
  <c r="LG14" i="64"/>
  <c r="LF14" i="64"/>
  <c r="LE14" i="64"/>
  <c r="LD14" i="64"/>
  <c r="LC14" i="64"/>
  <c r="LB14" i="64"/>
  <c r="LA14" i="64"/>
  <c r="KZ14" i="64"/>
  <c r="KY14" i="64"/>
  <c r="KX14" i="64"/>
  <c r="KW14" i="64"/>
  <c r="KV14" i="64"/>
  <c r="KU14" i="64"/>
  <c r="KT14" i="64"/>
  <c r="KS14" i="64"/>
  <c r="KR14" i="64"/>
  <c r="KQ14" i="64"/>
  <c r="KP14" i="64"/>
  <c r="KO14" i="64"/>
  <c r="KN14" i="64"/>
  <c r="KM14" i="64"/>
  <c r="KL14" i="64"/>
  <c r="KK14" i="64"/>
  <c r="KJ14" i="64"/>
  <c r="KI14" i="64"/>
  <c r="KH14" i="64"/>
  <c r="KG14" i="64"/>
  <c r="KF14" i="64"/>
  <c r="KE14" i="64"/>
  <c r="KD14" i="64"/>
  <c r="KC14" i="64"/>
  <c r="KB14" i="64"/>
  <c r="KA14" i="64"/>
  <c r="JZ14" i="64"/>
  <c r="JY14" i="64"/>
  <c r="JX14" i="64"/>
  <c r="JW14" i="64"/>
  <c r="JV14" i="64"/>
  <c r="JU14" i="64"/>
  <c r="JT14" i="64"/>
  <c r="JS14" i="64"/>
  <c r="JR14" i="64"/>
  <c r="JQ14" i="64"/>
  <c r="JP14" i="64"/>
  <c r="JO14" i="64"/>
  <c r="JN14" i="64"/>
  <c r="JM14" i="64"/>
  <c r="JL14" i="64"/>
  <c r="JK14" i="64"/>
  <c r="JJ14" i="64"/>
  <c r="JI14" i="64"/>
  <c r="JH14" i="64"/>
  <c r="JG14" i="64"/>
  <c r="JF14" i="64"/>
  <c r="JE14" i="64"/>
  <c r="JD14" i="64"/>
  <c r="JC14" i="64"/>
  <c r="JB14" i="64"/>
  <c r="JA14" i="64"/>
  <c r="IZ14" i="64"/>
  <c r="IY14" i="64"/>
  <c r="IX14" i="64"/>
  <c r="IW14" i="64"/>
  <c r="IV14" i="64"/>
  <c r="IU14" i="64"/>
  <c r="IT14" i="64"/>
  <c r="IS14" i="64"/>
  <c r="IR14" i="64"/>
  <c r="IQ14" i="64"/>
  <c r="IP14" i="64"/>
  <c r="IO14" i="64"/>
  <c r="IN14" i="64"/>
  <c r="IM14" i="64"/>
  <c r="IL14" i="64"/>
  <c r="IK14" i="64"/>
  <c r="IJ14" i="64"/>
  <c r="II14" i="64"/>
  <c r="IH14" i="64"/>
  <c r="IG14" i="64"/>
  <c r="IF14" i="64"/>
  <c r="IE14" i="64"/>
  <c r="ID14" i="64"/>
  <c r="IC14" i="64"/>
  <c r="IB14" i="64"/>
  <c r="IA14" i="64"/>
  <c r="HZ14" i="64"/>
  <c r="HY14" i="64"/>
  <c r="HX14" i="64"/>
  <c r="HW14" i="64"/>
  <c r="HV14" i="64"/>
  <c r="HU14" i="64"/>
  <c r="HT14" i="64"/>
  <c r="HS14" i="64"/>
  <c r="HR14" i="64"/>
  <c r="HQ14" i="64"/>
  <c r="HP14" i="64"/>
  <c r="HO14" i="64"/>
  <c r="HN14" i="64"/>
  <c r="HM14" i="64"/>
  <c r="HL14" i="64"/>
  <c r="HK14" i="64"/>
  <c r="HJ14" i="64"/>
  <c r="HI14" i="64"/>
  <c r="HH14" i="64"/>
  <c r="HG14" i="64"/>
  <c r="HF14" i="64"/>
  <c r="HE14" i="64"/>
  <c r="HD14" i="64"/>
  <c r="HC14" i="64"/>
  <c r="HB14" i="64"/>
  <c r="HA14" i="64"/>
  <c r="GZ14" i="64"/>
  <c r="GY14" i="64"/>
  <c r="GX14" i="64"/>
  <c r="GW14" i="64"/>
  <c r="GV14" i="64"/>
  <c r="GU14" i="64"/>
  <c r="GT14" i="64"/>
  <c r="GS14" i="64"/>
  <c r="GR14" i="64"/>
  <c r="GQ14" i="64"/>
  <c r="GP14" i="64"/>
  <c r="GO14" i="64"/>
  <c r="GN14" i="64"/>
  <c r="GM14" i="64"/>
  <c r="GL14" i="64"/>
  <c r="GK14" i="64"/>
  <c r="GJ14" i="64"/>
  <c r="GI14" i="64"/>
  <c r="GH14" i="64"/>
  <c r="GG14" i="64"/>
  <c r="GF14" i="64"/>
  <c r="GE14" i="64"/>
  <c r="GD14" i="64"/>
  <c r="GC14" i="64"/>
  <c r="GB14" i="64"/>
  <c r="GA14" i="64"/>
  <c r="FZ14" i="64"/>
  <c r="FY14" i="64"/>
  <c r="FX14" i="64"/>
  <c r="FW14" i="64"/>
  <c r="FV14" i="64"/>
  <c r="FU14" i="64"/>
  <c r="FT14" i="64"/>
  <c r="FS14" i="64"/>
  <c r="FR14" i="64"/>
  <c r="FQ14" i="64"/>
  <c r="FP14" i="64"/>
  <c r="FO14" i="64"/>
  <c r="C14" i="64"/>
  <c r="LW13" i="64"/>
  <c r="LV13" i="64"/>
  <c r="LU13" i="64"/>
  <c r="LT13" i="64"/>
  <c r="LS13" i="64"/>
  <c r="LR13" i="64"/>
  <c r="LQ13" i="64"/>
  <c r="LP13" i="64"/>
  <c r="LO13" i="64"/>
  <c r="LN13" i="64"/>
  <c r="LM13" i="64"/>
  <c r="LL13" i="64"/>
  <c r="LK13" i="64"/>
  <c r="LJ13" i="64"/>
  <c r="LI13" i="64"/>
  <c r="LH13" i="64"/>
  <c r="LG13" i="64"/>
  <c r="LF13" i="64"/>
  <c r="LE13" i="64"/>
  <c r="LD13" i="64"/>
  <c r="LC13" i="64"/>
  <c r="LB13" i="64"/>
  <c r="LA13" i="64"/>
  <c r="KZ13" i="64"/>
  <c r="KY13" i="64"/>
  <c r="KX13" i="64"/>
  <c r="KW13" i="64"/>
  <c r="KV13" i="64"/>
  <c r="KU13" i="64"/>
  <c r="KT13" i="64"/>
  <c r="KS13" i="64"/>
  <c r="KR13" i="64"/>
  <c r="KQ13" i="64"/>
  <c r="KP13" i="64"/>
  <c r="KO13" i="64"/>
  <c r="KN13" i="64"/>
  <c r="KM13" i="64"/>
  <c r="KL13" i="64"/>
  <c r="KK13" i="64"/>
  <c r="KJ13" i="64"/>
  <c r="KI13" i="64"/>
  <c r="KH13" i="64"/>
  <c r="KG13" i="64"/>
  <c r="KF13" i="64"/>
  <c r="KE13" i="64"/>
  <c r="KD13" i="64"/>
  <c r="KC13" i="64"/>
  <c r="KB13" i="64"/>
  <c r="KA13" i="64"/>
  <c r="JZ13" i="64"/>
  <c r="JY13" i="64"/>
  <c r="JX13" i="64"/>
  <c r="JW13" i="64"/>
  <c r="JV13" i="64"/>
  <c r="JU13" i="64"/>
  <c r="JT13" i="64"/>
  <c r="JS13" i="64"/>
  <c r="JR13" i="64"/>
  <c r="JQ13" i="64"/>
  <c r="JP13" i="64"/>
  <c r="JO13" i="64"/>
  <c r="JN13" i="64"/>
  <c r="JM13" i="64"/>
  <c r="JL13" i="64"/>
  <c r="JK13" i="64"/>
  <c r="JJ13" i="64"/>
  <c r="JI13" i="64"/>
  <c r="JH13" i="64"/>
  <c r="JG13" i="64"/>
  <c r="JF13" i="64"/>
  <c r="JE13" i="64"/>
  <c r="JD13" i="64"/>
  <c r="JC13" i="64"/>
  <c r="JB13" i="64"/>
  <c r="JA13" i="64"/>
  <c r="IZ13" i="64"/>
  <c r="IY13" i="64"/>
  <c r="IX13" i="64"/>
  <c r="IW13" i="64"/>
  <c r="IV13" i="64"/>
  <c r="IU13" i="64"/>
  <c r="IT13" i="64"/>
  <c r="IS13" i="64"/>
  <c r="IR13" i="64"/>
  <c r="IQ13" i="64"/>
  <c r="IP13" i="64"/>
  <c r="IO13" i="64"/>
  <c r="IN13" i="64"/>
  <c r="IM13" i="64"/>
  <c r="IL13" i="64"/>
  <c r="IK13" i="64"/>
  <c r="IJ13" i="64"/>
  <c r="II13" i="64"/>
  <c r="IH13" i="64"/>
  <c r="IG13" i="64"/>
  <c r="IF13" i="64"/>
  <c r="IE13" i="64"/>
  <c r="ID13" i="64"/>
  <c r="IC13" i="64"/>
  <c r="IB13" i="64"/>
  <c r="IA13" i="64"/>
  <c r="HZ13" i="64"/>
  <c r="HY13" i="64"/>
  <c r="HX13" i="64"/>
  <c r="HW13" i="64"/>
  <c r="HV13" i="64"/>
  <c r="HU13" i="64"/>
  <c r="HT13" i="64"/>
  <c r="HS13" i="64"/>
  <c r="HR13" i="64"/>
  <c r="HQ13" i="64"/>
  <c r="HP13" i="64"/>
  <c r="HO13" i="64"/>
  <c r="HN13" i="64"/>
  <c r="HM13" i="64"/>
  <c r="HL13" i="64"/>
  <c r="HK13" i="64"/>
  <c r="HJ13" i="64"/>
  <c r="HI13" i="64"/>
  <c r="HH13" i="64"/>
  <c r="HG13" i="64"/>
  <c r="HF13" i="64"/>
  <c r="HE13" i="64"/>
  <c r="HD13" i="64"/>
  <c r="HC13" i="64"/>
  <c r="HB13" i="64"/>
  <c r="HA13" i="64"/>
  <c r="GZ13" i="64"/>
  <c r="GY13" i="64"/>
  <c r="GX13" i="64"/>
  <c r="GW13" i="64"/>
  <c r="GV13" i="64"/>
  <c r="GU13" i="64"/>
  <c r="GT13" i="64"/>
  <c r="GS13" i="64"/>
  <c r="GR13" i="64"/>
  <c r="GQ13" i="64"/>
  <c r="GP13" i="64"/>
  <c r="GO13" i="64"/>
  <c r="GN13" i="64"/>
  <c r="GM13" i="64"/>
  <c r="GL13" i="64"/>
  <c r="GK13" i="64"/>
  <c r="GJ13" i="64"/>
  <c r="GI13" i="64"/>
  <c r="GH13" i="64"/>
  <c r="GG13" i="64"/>
  <c r="GF13" i="64"/>
  <c r="GE13" i="64"/>
  <c r="GD13" i="64"/>
  <c r="GC13" i="64"/>
  <c r="GB13" i="64"/>
  <c r="GA13" i="64"/>
  <c r="FZ13" i="64"/>
  <c r="FY13" i="64"/>
  <c r="FX13" i="64"/>
  <c r="FW13" i="64"/>
  <c r="FV13" i="64"/>
  <c r="FU13" i="64"/>
  <c r="FT13" i="64"/>
  <c r="FS13" i="64"/>
  <c r="FR13" i="64"/>
  <c r="FQ13" i="64"/>
  <c r="FP13" i="64"/>
  <c r="FO13" i="64"/>
  <c r="C13" i="64"/>
  <c r="LW12" i="64"/>
  <c r="LV12" i="64"/>
  <c r="LU12" i="64"/>
  <c r="LT12" i="64"/>
  <c r="LS12" i="64"/>
  <c r="LR12" i="64"/>
  <c r="LQ12" i="64"/>
  <c r="LP12" i="64"/>
  <c r="LO12" i="64"/>
  <c r="LN12" i="64"/>
  <c r="LM12" i="64"/>
  <c r="LL12" i="64"/>
  <c r="LK12" i="64"/>
  <c r="LJ12" i="64"/>
  <c r="LI12" i="64"/>
  <c r="LH12" i="64"/>
  <c r="LG12" i="64"/>
  <c r="LF12" i="64"/>
  <c r="LE12" i="64"/>
  <c r="LD12" i="64"/>
  <c r="LC12" i="64"/>
  <c r="LB12" i="64"/>
  <c r="LA12" i="64"/>
  <c r="KZ12" i="64"/>
  <c r="KY12" i="64"/>
  <c r="KX12" i="64"/>
  <c r="KW12" i="64"/>
  <c r="KV12" i="64"/>
  <c r="KU12" i="64"/>
  <c r="KT12" i="64"/>
  <c r="KS12" i="64"/>
  <c r="KR12" i="64"/>
  <c r="KQ12" i="64"/>
  <c r="KP12" i="64"/>
  <c r="KO12" i="64"/>
  <c r="KN12" i="64"/>
  <c r="KM12" i="64"/>
  <c r="KL12" i="64"/>
  <c r="KK12" i="64"/>
  <c r="KJ12" i="64"/>
  <c r="KI12" i="64"/>
  <c r="KH12" i="64"/>
  <c r="KG12" i="64"/>
  <c r="KF12" i="64"/>
  <c r="KE12" i="64"/>
  <c r="KD12" i="64"/>
  <c r="KC12" i="64"/>
  <c r="KB12" i="64"/>
  <c r="KA12" i="64"/>
  <c r="JZ12" i="64"/>
  <c r="JY12" i="64"/>
  <c r="JX12" i="64"/>
  <c r="JW12" i="64"/>
  <c r="JV12" i="64"/>
  <c r="JU12" i="64"/>
  <c r="JT12" i="64"/>
  <c r="JS12" i="64"/>
  <c r="JR12" i="64"/>
  <c r="JQ12" i="64"/>
  <c r="JP12" i="64"/>
  <c r="JO12" i="64"/>
  <c r="JN12" i="64"/>
  <c r="JM12" i="64"/>
  <c r="JL12" i="64"/>
  <c r="JK12" i="64"/>
  <c r="JJ12" i="64"/>
  <c r="JI12" i="64"/>
  <c r="JH12" i="64"/>
  <c r="JG12" i="64"/>
  <c r="JF12" i="64"/>
  <c r="JE12" i="64"/>
  <c r="JD12" i="64"/>
  <c r="JC12" i="64"/>
  <c r="JB12" i="64"/>
  <c r="JA12" i="64"/>
  <c r="IZ12" i="64"/>
  <c r="IY12" i="64"/>
  <c r="IX12" i="64"/>
  <c r="IW12" i="64"/>
  <c r="IV12" i="64"/>
  <c r="IU12" i="64"/>
  <c r="IT12" i="64"/>
  <c r="IS12" i="64"/>
  <c r="IR12" i="64"/>
  <c r="IQ12" i="64"/>
  <c r="IP12" i="64"/>
  <c r="IO12" i="64"/>
  <c r="IN12" i="64"/>
  <c r="IM12" i="64"/>
  <c r="IL12" i="64"/>
  <c r="IK12" i="64"/>
  <c r="IJ12" i="64"/>
  <c r="II12" i="64"/>
  <c r="IH12" i="64"/>
  <c r="IG12" i="64"/>
  <c r="IF12" i="64"/>
  <c r="IE12" i="64"/>
  <c r="ID12" i="64"/>
  <c r="IC12" i="64"/>
  <c r="IB12" i="64"/>
  <c r="IA12" i="64"/>
  <c r="HZ12" i="64"/>
  <c r="HY12" i="64"/>
  <c r="HX12" i="64"/>
  <c r="HW12" i="64"/>
  <c r="HV12" i="64"/>
  <c r="HU12" i="64"/>
  <c r="HT12" i="64"/>
  <c r="HS12" i="64"/>
  <c r="HR12" i="64"/>
  <c r="HQ12" i="64"/>
  <c r="HP12" i="64"/>
  <c r="HO12" i="64"/>
  <c r="HN12" i="64"/>
  <c r="HM12" i="64"/>
  <c r="HL12" i="64"/>
  <c r="HK12" i="64"/>
  <c r="HJ12" i="64"/>
  <c r="HI12" i="64"/>
  <c r="HH12" i="64"/>
  <c r="HG12" i="64"/>
  <c r="HF12" i="64"/>
  <c r="HE12" i="64"/>
  <c r="HD12" i="64"/>
  <c r="HC12" i="64"/>
  <c r="HB12" i="64"/>
  <c r="HA12" i="64"/>
  <c r="GZ12" i="64"/>
  <c r="GY12" i="64"/>
  <c r="GX12" i="64"/>
  <c r="GW12" i="64"/>
  <c r="GV12" i="64"/>
  <c r="GU12" i="64"/>
  <c r="GT12" i="64"/>
  <c r="GS12" i="64"/>
  <c r="GR12" i="64"/>
  <c r="GQ12" i="64"/>
  <c r="GP12" i="64"/>
  <c r="GO12" i="64"/>
  <c r="GN12" i="64"/>
  <c r="GM12" i="64"/>
  <c r="GL12" i="64"/>
  <c r="GK12" i="64"/>
  <c r="GJ12" i="64"/>
  <c r="GI12" i="64"/>
  <c r="GH12" i="64"/>
  <c r="GG12" i="64"/>
  <c r="GF12" i="64"/>
  <c r="GE12" i="64"/>
  <c r="GD12" i="64"/>
  <c r="GC12" i="64"/>
  <c r="GB12" i="64"/>
  <c r="GA12" i="64"/>
  <c r="FZ12" i="64"/>
  <c r="FY12" i="64"/>
  <c r="FX12" i="64"/>
  <c r="FW12" i="64"/>
  <c r="FV12" i="64"/>
  <c r="FU12" i="64"/>
  <c r="FT12" i="64"/>
  <c r="FS12" i="64"/>
  <c r="FR12" i="64"/>
  <c r="FQ12" i="64"/>
  <c r="FP12" i="64"/>
  <c r="FO12" i="64"/>
  <c r="C12" i="64"/>
  <c r="LW11" i="64"/>
  <c r="LV11" i="64"/>
  <c r="LU11" i="64"/>
  <c r="LT11" i="64"/>
  <c r="LS11" i="64"/>
  <c r="LR11" i="64"/>
  <c r="LQ11" i="64"/>
  <c r="LP11" i="64"/>
  <c r="LO11" i="64"/>
  <c r="LN11" i="64"/>
  <c r="LM11" i="64"/>
  <c r="LL11" i="64"/>
  <c r="LK11" i="64"/>
  <c r="LJ11" i="64"/>
  <c r="LI11" i="64"/>
  <c r="LH11" i="64"/>
  <c r="LG11" i="64"/>
  <c r="LF11" i="64"/>
  <c r="LE11" i="64"/>
  <c r="LD11" i="64"/>
  <c r="LC11" i="64"/>
  <c r="LB11" i="64"/>
  <c r="LA11" i="64"/>
  <c r="KZ11" i="64"/>
  <c r="KY11" i="64"/>
  <c r="KX11" i="64"/>
  <c r="KW11" i="64"/>
  <c r="KV11" i="64"/>
  <c r="KU11" i="64"/>
  <c r="KT11" i="64"/>
  <c r="KS11" i="64"/>
  <c r="KR11" i="64"/>
  <c r="KQ11" i="64"/>
  <c r="KP11" i="64"/>
  <c r="KO11" i="64"/>
  <c r="KN11" i="64"/>
  <c r="KM11" i="64"/>
  <c r="KL11" i="64"/>
  <c r="KK11" i="64"/>
  <c r="KJ11" i="64"/>
  <c r="KI11" i="64"/>
  <c r="KH11" i="64"/>
  <c r="KG11" i="64"/>
  <c r="KF11" i="64"/>
  <c r="KE11" i="64"/>
  <c r="KD11" i="64"/>
  <c r="KC11" i="64"/>
  <c r="KB11" i="64"/>
  <c r="KA11" i="64"/>
  <c r="JZ11" i="64"/>
  <c r="JY11" i="64"/>
  <c r="JX11" i="64"/>
  <c r="JW11" i="64"/>
  <c r="JV11" i="64"/>
  <c r="JU11" i="64"/>
  <c r="JT11" i="64"/>
  <c r="JS11" i="64"/>
  <c r="JR11" i="64"/>
  <c r="JQ11" i="64"/>
  <c r="JP11" i="64"/>
  <c r="JO11" i="64"/>
  <c r="JN11" i="64"/>
  <c r="JM11" i="64"/>
  <c r="JL11" i="64"/>
  <c r="JK11" i="64"/>
  <c r="JJ11" i="64"/>
  <c r="JI11" i="64"/>
  <c r="JH11" i="64"/>
  <c r="JG11" i="64"/>
  <c r="JF11" i="64"/>
  <c r="JE11" i="64"/>
  <c r="JD11" i="64"/>
  <c r="JC11" i="64"/>
  <c r="JB11" i="64"/>
  <c r="JA11" i="64"/>
  <c r="IZ11" i="64"/>
  <c r="IY11" i="64"/>
  <c r="IX11" i="64"/>
  <c r="IW11" i="64"/>
  <c r="IV11" i="64"/>
  <c r="IU11" i="64"/>
  <c r="IT11" i="64"/>
  <c r="IS11" i="64"/>
  <c r="IR11" i="64"/>
  <c r="IQ11" i="64"/>
  <c r="IP11" i="64"/>
  <c r="IO11" i="64"/>
  <c r="IN11" i="64"/>
  <c r="IM11" i="64"/>
  <c r="IL11" i="64"/>
  <c r="IK11" i="64"/>
  <c r="IJ11" i="64"/>
  <c r="II11" i="64"/>
  <c r="IH11" i="64"/>
  <c r="IG11" i="64"/>
  <c r="IF11" i="64"/>
  <c r="IE11" i="64"/>
  <c r="ID11" i="64"/>
  <c r="IC11" i="64"/>
  <c r="IB11" i="64"/>
  <c r="IA11" i="64"/>
  <c r="HZ11" i="64"/>
  <c r="HY11" i="64"/>
  <c r="HX11" i="64"/>
  <c r="HW11" i="64"/>
  <c r="HV11" i="64"/>
  <c r="HU11" i="64"/>
  <c r="HT11" i="64"/>
  <c r="HS11" i="64"/>
  <c r="HR11" i="64"/>
  <c r="HQ11" i="64"/>
  <c r="HP11" i="64"/>
  <c r="HO11" i="64"/>
  <c r="HN11" i="64"/>
  <c r="HM11" i="64"/>
  <c r="HL11" i="64"/>
  <c r="HK11" i="64"/>
  <c r="HJ11" i="64"/>
  <c r="HI11" i="64"/>
  <c r="HH11" i="64"/>
  <c r="HG11" i="64"/>
  <c r="HF11" i="64"/>
  <c r="HE11" i="64"/>
  <c r="HD11" i="64"/>
  <c r="HC11" i="64"/>
  <c r="HB11" i="64"/>
  <c r="HA11" i="64"/>
  <c r="GZ11" i="64"/>
  <c r="GY11" i="64"/>
  <c r="GX11" i="64"/>
  <c r="GW11" i="64"/>
  <c r="GV11" i="64"/>
  <c r="GU11" i="64"/>
  <c r="GT11" i="64"/>
  <c r="GS11" i="64"/>
  <c r="GR11" i="64"/>
  <c r="GQ11" i="64"/>
  <c r="GP11" i="64"/>
  <c r="GO11" i="64"/>
  <c r="GN11" i="64"/>
  <c r="GM11" i="64"/>
  <c r="GL11" i="64"/>
  <c r="GK11" i="64"/>
  <c r="GJ11" i="64"/>
  <c r="GI11" i="64"/>
  <c r="GH11" i="64"/>
  <c r="GG11" i="64"/>
  <c r="GF11" i="64"/>
  <c r="GE11" i="64"/>
  <c r="GD11" i="64"/>
  <c r="GC11" i="64"/>
  <c r="GB11" i="64"/>
  <c r="GA11" i="64"/>
  <c r="FZ11" i="64"/>
  <c r="FY11" i="64"/>
  <c r="FX11" i="64"/>
  <c r="FW11" i="64"/>
  <c r="FV11" i="64"/>
  <c r="FU11" i="64"/>
  <c r="FT11" i="64"/>
  <c r="FS11" i="64"/>
  <c r="FR11" i="64"/>
  <c r="FQ11" i="64"/>
  <c r="FP11" i="64"/>
  <c r="FO11" i="64"/>
  <c r="C11" i="64"/>
  <c r="LW10" i="64"/>
  <c r="LV10" i="64"/>
  <c r="LU10" i="64"/>
  <c r="LT10" i="64"/>
  <c r="LS10" i="64"/>
  <c r="LR10" i="64"/>
  <c r="LQ10" i="64"/>
  <c r="LP10" i="64"/>
  <c r="LO10" i="64"/>
  <c r="LN10" i="64"/>
  <c r="LM10" i="64"/>
  <c r="LL10" i="64"/>
  <c r="LK10" i="64"/>
  <c r="LJ10" i="64"/>
  <c r="LI10" i="64"/>
  <c r="LH10" i="64"/>
  <c r="LG10" i="64"/>
  <c r="LF10" i="64"/>
  <c r="LE10" i="64"/>
  <c r="LD10" i="64"/>
  <c r="LC10" i="64"/>
  <c r="LB10" i="64"/>
  <c r="LA10" i="64"/>
  <c r="KZ10" i="64"/>
  <c r="KY10" i="64"/>
  <c r="KX10" i="64"/>
  <c r="KW10" i="64"/>
  <c r="KV10" i="64"/>
  <c r="KU10" i="64"/>
  <c r="KT10" i="64"/>
  <c r="KS10" i="64"/>
  <c r="KR10" i="64"/>
  <c r="KQ10" i="64"/>
  <c r="KP10" i="64"/>
  <c r="KO10" i="64"/>
  <c r="KN10" i="64"/>
  <c r="KM10" i="64"/>
  <c r="KL10" i="64"/>
  <c r="KK10" i="64"/>
  <c r="KJ10" i="64"/>
  <c r="KI10" i="64"/>
  <c r="KH10" i="64"/>
  <c r="KG10" i="64"/>
  <c r="KF10" i="64"/>
  <c r="KE10" i="64"/>
  <c r="KD10" i="64"/>
  <c r="KC10" i="64"/>
  <c r="KB10" i="64"/>
  <c r="KA10" i="64"/>
  <c r="JZ10" i="64"/>
  <c r="JY10" i="64"/>
  <c r="JX10" i="64"/>
  <c r="JW10" i="64"/>
  <c r="JV10" i="64"/>
  <c r="JU10" i="64"/>
  <c r="JT10" i="64"/>
  <c r="JS10" i="64"/>
  <c r="JR10" i="64"/>
  <c r="JQ10" i="64"/>
  <c r="JP10" i="64"/>
  <c r="JO10" i="64"/>
  <c r="JN10" i="64"/>
  <c r="JM10" i="64"/>
  <c r="JL10" i="64"/>
  <c r="JK10" i="64"/>
  <c r="JJ10" i="64"/>
  <c r="JI10" i="64"/>
  <c r="JH10" i="64"/>
  <c r="JG10" i="64"/>
  <c r="JF10" i="64"/>
  <c r="JE10" i="64"/>
  <c r="JD10" i="64"/>
  <c r="JC10" i="64"/>
  <c r="JB10" i="64"/>
  <c r="JA10" i="64"/>
  <c r="IZ10" i="64"/>
  <c r="IY10" i="64"/>
  <c r="IX10" i="64"/>
  <c r="IW10" i="64"/>
  <c r="IV10" i="64"/>
  <c r="IU10" i="64"/>
  <c r="IT10" i="64"/>
  <c r="IS10" i="64"/>
  <c r="IR10" i="64"/>
  <c r="IQ10" i="64"/>
  <c r="IP10" i="64"/>
  <c r="IO10" i="64"/>
  <c r="IN10" i="64"/>
  <c r="IM10" i="64"/>
  <c r="IL10" i="64"/>
  <c r="IK10" i="64"/>
  <c r="IJ10" i="64"/>
  <c r="II10" i="64"/>
  <c r="IH10" i="64"/>
  <c r="IG10" i="64"/>
  <c r="IF10" i="64"/>
  <c r="IE10" i="64"/>
  <c r="ID10" i="64"/>
  <c r="IC10" i="64"/>
  <c r="IB10" i="64"/>
  <c r="IA10" i="64"/>
  <c r="HZ10" i="64"/>
  <c r="HY10" i="64"/>
  <c r="HX10" i="64"/>
  <c r="HW10" i="64"/>
  <c r="HV10" i="64"/>
  <c r="HU10" i="64"/>
  <c r="HT10" i="64"/>
  <c r="HS10" i="64"/>
  <c r="HR10" i="64"/>
  <c r="HQ10" i="64"/>
  <c r="HP10" i="64"/>
  <c r="HO10" i="64"/>
  <c r="HN10" i="64"/>
  <c r="HM10" i="64"/>
  <c r="HL10" i="64"/>
  <c r="HK10" i="64"/>
  <c r="HJ10" i="64"/>
  <c r="HI10" i="64"/>
  <c r="HH10" i="64"/>
  <c r="HG10" i="64"/>
  <c r="HF10" i="64"/>
  <c r="HE10" i="64"/>
  <c r="HD10" i="64"/>
  <c r="HC10" i="64"/>
  <c r="HB10" i="64"/>
  <c r="HA10" i="64"/>
  <c r="GZ10" i="64"/>
  <c r="GY10" i="64"/>
  <c r="GX10" i="64"/>
  <c r="GW10" i="64"/>
  <c r="GV10" i="64"/>
  <c r="GU10" i="64"/>
  <c r="GT10" i="64"/>
  <c r="GS10" i="64"/>
  <c r="GR10" i="64"/>
  <c r="GQ10" i="64"/>
  <c r="GP10" i="64"/>
  <c r="GO10" i="64"/>
  <c r="GN10" i="64"/>
  <c r="GM10" i="64"/>
  <c r="GL10" i="64"/>
  <c r="GK10" i="64"/>
  <c r="GJ10" i="64"/>
  <c r="GI10" i="64"/>
  <c r="GH10" i="64"/>
  <c r="GG10" i="64"/>
  <c r="GF10" i="64"/>
  <c r="GE10" i="64"/>
  <c r="GD10" i="64"/>
  <c r="GC10" i="64"/>
  <c r="GB10" i="64"/>
  <c r="GA10" i="64"/>
  <c r="FZ10" i="64"/>
  <c r="FY10" i="64"/>
  <c r="FX10" i="64"/>
  <c r="FW10" i="64"/>
  <c r="FV10" i="64"/>
  <c r="FU10" i="64"/>
  <c r="FT10" i="64"/>
  <c r="FS10" i="64"/>
  <c r="FR10" i="64"/>
  <c r="FQ10" i="64"/>
  <c r="FP10" i="64"/>
  <c r="FO10" i="64"/>
  <c r="C10" i="64"/>
  <c r="LW9" i="64"/>
  <c r="LV9" i="64"/>
  <c r="LU9" i="64"/>
  <c r="LT9" i="64"/>
  <c r="LS9" i="64"/>
  <c r="LR9" i="64"/>
  <c r="LQ9" i="64"/>
  <c r="LP9" i="64"/>
  <c r="LO9" i="64"/>
  <c r="LN9" i="64"/>
  <c r="LM9" i="64"/>
  <c r="LL9" i="64"/>
  <c r="LK9" i="64"/>
  <c r="LJ9" i="64"/>
  <c r="LI9" i="64"/>
  <c r="LH9" i="64"/>
  <c r="LG9" i="64"/>
  <c r="LF9" i="64"/>
  <c r="LE9" i="64"/>
  <c r="LD9" i="64"/>
  <c r="LC9" i="64"/>
  <c r="LB9" i="64"/>
  <c r="LA9" i="64"/>
  <c r="KZ9" i="64"/>
  <c r="KY9" i="64"/>
  <c r="KX9" i="64"/>
  <c r="KW9" i="64"/>
  <c r="KV9" i="64"/>
  <c r="KU9" i="64"/>
  <c r="KT9" i="64"/>
  <c r="KS9" i="64"/>
  <c r="KR9" i="64"/>
  <c r="KQ9" i="64"/>
  <c r="KP9" i="64"/>
  <c r="KO9" i="64"/>
  <c r="KN9" i="64"/>
  <c r="KM9" i="64"/>
  <c r="KL9" i="64"/>
  <c r="KK9" i="64"/>
  <c r="KJ9" i="64"/>
  <c r="KI9" i="64"/>
  <c r="KH9" i="64"/>
  <c r="KG9" i="64"/>
  <c r="KF9" i="64"/>
  <c r="KE9" i="64"/>
  <c r="KD9" i="64"/>
  <c r="KC9" i="64"/>
  <c r="KB9" i="64"/>
  <c r="KA9" i="64"/>
  <c r="JZ9" i="64"/>
  <c r="JY9" i="64"/>
  <c r="JX9" i="64"/>
  <c r="JW9" i="64"/>
  <c r="JV9" i="64"/>
  <c r="JU9" i="64"/>
  <c r="JT9" i="64"/>
  <c r="JS9" i="64"/>
  <c r="JR9" i="64"/>
  <c r="JQ9" i="64"/>
  <c r="JP9" i="64"/>
  <c r="JO9" i="64"/>
  <c r="JN9" i="64"/>
  <c r="JM9" i="64"/>
  <c r="JL9" i="64"/>
  <c r="JK9" i="64"/>
  <c r="JJ9" i="64"/>
  <c r="JI9" i="64"/>
  <c r="JH9" i="64"/>
  <c r="JG9" i="64"/>
  <c r="JF9" i="64"/>
  <c r="JE9" i="64"/>
  <c r="JD9" i="64"/>
  <c r="JC9" i="64"/>
  <c r="JB9" i="64"/>
  <c r="JA9" i="64"/>
  <c r="IZ9" i="64"/>
  <c r="IY9" i="64"/>
  <c r="IX9" i="64"/>
  <c r="IW9" i="64"/>
  <c r="IV9" i="64"/>
  <c r="IU9" i="64"/>
  <c r="IT9" i="64"/>
  <c r="IS9" i="64"/>
  <c r="IR9" i="64"/>
  <c r="IQ9" i="64"/>
  <c r="IP9" i="64"/>
  <c r="IO9" i="64"/>
  <c r="IN9" i="64"/>
  <c r="IM9" i="64"/>
  <c r="IL9" i="64"/>
  <c r="IK9" i="64"/>
  <c r="IJ9" i="64"/>
  <c r="II9" i="64"/>
  <c r="IH9" i="64"/>
  <c r="IG9" i="64"/>
  <c r="IF9" i="64"/>
  <c r="IE9" i="64"/>
  <c r="ID9" i="64"/>
  <c r="IC9" i="64"/>
  <c r="IB9" i="64"/>
  <c r="IA9" i="64"/>
  <c r="HZ9" i="64"/>
  <c r="HY9" i="64"/>
  <c r="HX9" i="64"/>
  <c r="HW9" i="64"/>
  <c r="HV9" i="64"/>
  <c r="HU9" i="64"/>
  <c r="HT9" i="64"/>
  <c r="HS9" i="64"/>
  <c r="HR9" i="64"/>
  <c r="HQ9" i="64"/>
  <c r="HP9" i="64"/>
  <c r="HO9" i="64"/>
  <c r="HN9" i="64"/>
  <c r="HM9" i="64"/>
  <c r="HL9" i="64"/>
  <c r="HK9" i="64"/>
  <c r="HJ9" i="64"/>
  <c r="HI9" i="64"/>
  <c r="HH9" i="64"/>
  <c r="HG9" i="64"/>
  <c r="HF9" i="64"/>
  <c r="HE9" i="64"/>
  <c r="HD9" i="64"/>
  <c r="HC9" i="64"/>
  <c r="HB9" i="64"/>
  <c r="HA9" i="64"/>
  <c r="GZ9" i="64"/>
  <c r="GY9" i="64"/>
  <c r="GX9" i="64"/>
  <c r="GW9" i="64"/>
  <c r="GV9" i="64"/>
  <c r="GU9" i="64"/>
  <c r="GT9" i="64"/>
  <c r="GS9" i="64"/>
  <c r="GR9" i="64"/>
  <c r="GQ9" i="64"/>
  <c r="GP9" i="64"/>
  <c r="GO9" i="64"/>
  <c r="GN9" i="64"/>
  <c r="GM9" i="64"/>
  <c r="GL9" i="64"/>
  <c r="GK9" i="64"/>
  <c r="GJ9" i="64"/>
  <c r="GI9" i="64"/>
  <c r="GH9" i="64"/>
  <c r="GG9" i="64"/>
  <c r="GF9" i="64"/>
  <c r="GE9" i="64"/>
  <c r="GD9" i="64"/>
  <c r="GC9" i="64"/>
  <c r="GB9" i="64"/>
  <c r="GA9" i="64"/>
  <c r="FZ9" i="64"/>
  <c r="FY9" i="64"/>
  <c r="FX9" i="64"/>
  <c r="FW9" i="64"/>
  <c r="FV9" i="64"/>
  <c r="FU9" i="64"/>
  <c r="FT9" i="64"/>
  <c r="FS9" i="64"/>
  <c r="FR9" i="64"/>
  <c r="FQ9" i="64"/>
  <c r="FP9" i="64"/>
  <c r="FO9" i="64"/>
  <c r="C9" i="64"/>
  <c r="LW8" i="64"/>
  <c r="LV8" i="64"/>
  <c r="LU8" i="64"/>
  <c r="LT8" i="64"/>
  <c r="LS8" i="64"/>
  <c r="LR8" i="64"/>
  <c r="LQ8" i="64"/>
  <c r="LP8" i="64"/>
  <c r="LO8" i="64"/>
  <c r="LN8" i="64"/>
  <c r="LM8" i="64"/>
  <c r="LL8" i="64"/>
  <c r="LK8" i="64"/>
  <c r="LJ8" i="64"/>
  <c r="LI8" i="64"/>
  <c r="LH8" i="64"/>
  <c r="LG8" i="64"/>
  <c r="LF8" i="64"/>
  <c r="LE8" i="64"/>
  <c r="LD8" i="64"/>
  <c r="LC8" i="64"/>
  <c r="LB8" i="64"/>
  <c r="LA8" i="64"/>
  <c r="KZ8" i="64"/>
  <c r="KY8" i="64"/>
  <c r="KX8" i="64"/>
  <c r="KW8" i="64"/>
  <c r="KV8" i="64"/>
  <c r="KU8" i="64"/>
  <c r="KT8" i="64"/>
  <c r="KS8" i="64"/>
  <c r="KR8" i="64"/>
  <c r="KQ8" i="64"/>
  <c r="KP8" i="64"/>
  <c r="KO8" i="64"/>
  <c r="KN8" i="64"/>
  <c r="KM8" i="64"/>
  <c r="KL8" i="64"/>
  <c r="KK8" i="64"/>
  <c r="KJ8" i="64"/>
  <c r="KI8" i="64"/>
  <c r="KH8" i="64"/>
  <c r="KG8" i="64"/>
  <c r="KF8" i="64"/>
  <c r="KE8" i="64"/>
  <c r="KD8" i="64"/>
  <c r="KC8" i="64"/>
  <c r="KB8" i="64"/>
  <c r="KA8" i="64"/>
  <c r="JZ8" i="64"/>
  <c r="JY8" i="64"/>
  <c r="JX8" i="64"/>
  <c r="JW8" i="64"/>
  <c r="JV8" i="64"/>
  <c r="JU8" i="64"/>
  <c r="JT8" i="64"/>
  <c r="JS8" i="64"/>
  <c r="JR8" i="64"/>
  <c r="JQ8" i="64"/>
  <c r="JP8" i="64"/>
  <c r="JO8" i="64"/>
  <c r="JN8" i="64"/>
  <c r="JM8" i="64"/>
  <c r="JL8" i="64"/>
  <c r="JK8" i="64"/>
  <c r="JJ8" i="64"/>
  <c r="JI8" i="64"/>
  <c r="JH8" i="64"/>
  <c r="JG8" i="64"/>
  <c r="JF8" i="64"/>
  <c r="JE8" i="64"/>
  <c r="JD8" i="64"/>
  <c r="JC8" i="64"/>
  <c r="JB8" i="64"/>
  <c r="JA8" i="64"/>
  <c r="IZ8" i="64"/>
  <c r="IY8" i="64"/>
  <c r="IX8" i="64"/>
  <c r="IW8" i="64"/>
  <c r="IV8" i="64"/>
  <c r="IU8" i="64"/>
  <c r="IT8" i="64"/>
  <c r="IS8" i="64"/>
  <c r="IR8" i="64"/>
  <c r="IQ8" i="64"/>
  <c r="IP8" i="64"/>
  <c r="IO8" i="64"/>
  <c r="IN8" i="64"/>
  <c r="IM8" i="64"/>
  <c r="IL8" i="64"/>
  <c r="IK8" i="64"/>
  <c r="IJ8" i="64"/>
  <c r="II8" i="64"/>
  <c r="IH8" i="64"/>
  <c r="IG8" i="64"/>
  <c r="IF8" i="64"/>
  <c r="IE8" i="64"/>
  <c r="ID8" i="64"/>
  <c r="IC8" i="64"/>
  <c r="IB8" i="64"/>
  <c r="IA8" i="64"/>
  <c r="HZ8" i="64"/>
  <c r="HY8" i="64"/>
  <c r="HX8" i="64"/>
  <c r="HW8" i="64"/>
  <c r="HV8" i="64"/>
  <c r="HU8" i="64"/>
  <c r="HT8" i="64"/>
  <c r="HS8" i="64"/>
  <c r="HR8" i="64"/>
  <c r="HQ8" i="64"/>
  <c r="HP8" i="64"/>
  <c r="HO8" i="64"/>
  <c r="HN8" i="64"/>
  <c r="HM8" i="64"/>
  <c r="HL8" i="64"/>
  <c r="HK8" i="64"/>
  <c r="HJ8" i="64"/>
  <c r="HI8" i="64"/>
  <c r="HH8" i="64"/>
  <c r="HG8" i="64"/>
  <c r="HF8" i="64"/>
  <c r="HE8" i="64"/>
  <c r="HD8" i="64"/>
  <c r="HC8" i="64"/>
  <c r="HB8" i="64"/>
  <c r="HA8" i="64"/>
  <c r="GZ8" i="64"/>
  <c r="GY8" i="64"/>
  <c r="GX8" i="64"/>
  <c r="GW8" i="64"/>
  <c r="GV8" i="64"/>
  <c r="GU8" i="64"/>
  <c r="GT8" i="64"/>
  <c r="GS8" i="64"/>
  <c r="GR8" i="64"/>
  <c r="GQ8" i="64"/>
  <c r="GP8" i="64"/>
  <c r="GO8" i="64"/>
  <c r="GN8" i="64"/>
  <c r="GM8" i="64"/>
  <c r="GL8" i="64"/>
  <c r="GK8" i="64"/>
  <c r="GJ8" i="64"/>
  <c r="GI8" i="64"/>
  <c r="GH8" i="64"/>
  <c r="GG8" i="64"/>
  <c r="GF8" i="64"/>
  <c r="GE8" i="64"/>
  <c r="GD8" i="64"/>
  <c r="GC8" i="64"/>
  <c r="GB8" i="64"/>
  <c r="GA8" i="64"/>
  <c r="FZ8" i="64"/>
  <c r="FY8" i="64"/>
  <c r="FX8" i="64"/>
  <c r="FW8" i="64"/>
  <c r="FV8" i="64"/>
  <c r="FU8" i="64"/>
  <c r="FT8" i="64"/>
  <c r="FS8" i="64"/>
  <c r="FR8" i="64"/>
  <c r="FQ8" i="64"/>
  <c r="FP8" i="64"/>
  <c r="FO8" i="64"/>
  <c r="C8" i="64"/>
  <c r="LW7" i="64"/>
  <c r="LV7" i="64"/>
  <c r="LU7" i="64"/>
  <c r="LT7" i="64"/>
  <c r="LS7" i="64"/>
  <c r="LR7" i="64"/>
  <c r="LQ7" i="64"/>
  <c r="LP7" i="64"/>
  <c r="LO7" i="64"/>
  <c r="LN7" i="64"/>
  <c r="LM7" i="64"/>
  <c r="LL7" i="64"/>
  <c r="LK7" i="64"/>
  <c r="LJ7" i="64"/>
  <c r="LI7" i="64"/>
  <c r="LH7" i="64"/>
  <c r="LG7" i="64"/>
  <c r="LF7" i="64"/>
  <c r="LE7" i="64"/>
  <c r="LD7" i="64"/>
  <c r="LC7" i="64"/>
  <c r="LB7" i="64"/>
  <c r="LA7" i="64"/>
  <c r="KZ7" i="64"/>
  <c r="KY7" i="64"/>
  <c r="KX7" i="64"/>
  <c r="KW7" i="64"/>
  <c r="KV7" i="64"/>
  <c r="KU7" i="64"/>
  <c r="KT7" i="64"/>
  <c r="KS7" i="64"/>
  <c r="KR7" i="64"/>
  <c r="KQ7" i="64"/>
  <c r="KP7" i="64"/>
  <c r="KO7" i="64"/>
  <c r="KN7" i="64"/>
  <c r="KM7" i="64"/>
  <c r="KL7" i="64"/>
  <c r="KK7" i="64"/>
  <c r="KJ7" i="64"/>
  <c r="KI7" i="64"/>
  <c r="KH7" i="64"/>
  <c r="KG7" i="64"/>
  <c r="KF7" i="64"/>
  <c r="KE7" i="64"/>
  <c r="KD7" i="64"/>
  <c r="KC7" i="64"/>
  <c r="KB7" i="64"/>
  <c r="KA7" i="64"/>
  <c r="JZ7" i="64"/>
  <c r="JY7" i="64"/>
  <c r="JX7" i="64"/>
  <c r="JW7" i="64"/>
  <c r="JV7" i="64"/>
  <c r="JU7" i="64"/>
  <c r="JT7" i="64"/>
  <c r="JS7" i="64"/>
  <c r="JR7" i="64"/>
  <c r="JQ7" i="64"/>
  <c r="JP7" i="64"/>
  <c r="JO7" i="64"/>
  <c r="JN7" i="64"/>
  <c r="JM7" i="64"/>
  <c r="JL7" i="64"/>
  <c r="JK7" i="64"/>
  <c r="JJ7" i="64"/>
  <c r="JI7" i="64"/>
  <c r="JH7" i="64"/>
  <c r="JG7" i="64"/>
  <c r="JF7" i="64"/>
  <c r="JE7" i="64"/>
  <c r="JD7" i="64"/>
  <c r="JC7" i="64"/>
  <c r="JB7" i="64"/>
  <c r="JA7" i="64"/>
  <c r="IZ7" i="64"/>
  <c r="IY7" i="64"/>
  <c r="IX7" i="64"/>
  <c r="IW7" i="64"/>
  <c r="IV7" i="64"/>
  <c r="IU7" i="64"/>
  <c r="IT7" i="64"/>
  <c r="IS7" i="64"/>
  <c r="IR7" i="64"/>
  <c r="IQ7" i="64"/>
  <c r="IP7" i="64"/>
  <c r="IO7" i="64"/>
  <c r="IN7" i="64"/>
  <c r="IM7" i="64"/>
  <c r="IL7" i="64"/>
  <c r="IK7" i="64"/>
  <c r="IJ7" i="64"/>
  <c r="II7" i="64"/>
  <c r="IH7" i="64"/>
  <c r="IG7" i="64"/>
  <c r="IF7" i="64"/>
  <c r="IE7" i="64"/>
  <c r="ID7" i="64"/>
  <c r="IC7" i="64"/>
  <c r="IB7" i="64"/>
  <c r="IA7" i="64"/>
  <c r="HZ7" i="64"/>
  <c r="HY7" i="64"/>
  <c r="HX7" i="64"/>
  <c r="HW7" i="64"/>
  <c r="HV7" i="64"/>
  <c r="HU7" i="64"/>
  <c r="HT7" i="64"/>
  <c r="HS7" i="64"/>
  <c r="HR7" i="64"/>
  <c r="HQ7" i="64"/>
  <c r="HP7" i="64"/>
  <c r="HO7" i="64"/>
  <c r="HN7" i="64"/>
  <c r="HM7" i="64"/>
  <c r="HL7" i="64"/>
  <c r="HK7" i="64"/>
  <c r="HJ7" i="64"/>
  <c r="HI7" i="64"/>
  <c r="HH7" i="64"/>
  <c r="HG7" i="64"/>
  <c r="HF7" i="64"/>
  <c r="HE7" i="64"/>
  <c r="HD7" i="64"/>
  <c r="HC7" i="64"/>
  <c r="HB7" i="64"/>
  <c r="HA7" i="64"/>
  <c r="GZ7" i="64"/>
  <c r="GY7" i="64"/>
  <c r="GX7" i="64"/>
  <c r="GW7" i="64"/>
  <c r="GV7" i="64"/>
  <c r="GU7" i="64"/>
  <c r="GT7" i="64"/>
  <c r="GS7" i="64"/>
  <c r="GR7" i="64"/>
  <c r="GQ7" i="64"/>
  <c r="GP7" i="64"/>
  <c r="GO7" i="64"/>
  <c r="GN7" i="64"/>
  <c r="GM7" i="64"/>
  <c r="GL7" i="64"/>
  <c r="GK7" i="64"/>
  <c r="GJ7" i="64"/>
  <c r="GI7" i="64"/>
  <c r="GH7" i="64"/>
  <c r="GG7" i="64"/>
  <c r="GF7" i="64"/>
  <c r="GE7" i="64"/>
  <c r="GD7" i="64"/>
  <c r="GC7" i="64"/>
  <c r="GB7" i="64"/>
  <c r="GA7" i="64"/>
  <c r="FZ7" i="64"/>
  <c r="FY7" i="64"/>
  <c r="FX7" i="64"/>
  <c r="FW7" i="64"/>
  <c r="FV7" i="64"/>
  <c r="FU7" i="64"/>
  <c r="FT7" i="64"/>
  <c r="FS7" i="64"/>
  <c r="FR7" i="64"/>
  <c r="FQ7" i="64"/>
  <c r="FP7" i="64"/>
  <c r="FO7" i="64"/>
  <c r="C7" i="64"/>
  <c r="LW6" i="64"/>
  <c r="LV6" i="64"/>
  <c r="LU6" i="64"/>
  <c r="LT6" i="64"/>
  <c r="LS6" i="64"/>
  <c r="LR6" i="64"/>
  <c r="LQ6" i="64"/>
  <c r="LP6" i="64"/>
  <c r="LO6" i="64"/>
  <c r="LN6" i="64"/>
  <c r="LM6" i="64"/>
  <c r="LL6" i="64"/>
  <c r="LK6" i="64"/>
  <c r="LJ6" i="64"/>
  <c r="LI6" i="64"/>
  <c r="LH6" i="64"/>
  <c r="LG6" i="64"/>
  <c r="LF6" i="64"/>
  <c r="LE6" i="64"/>
  <c r="LD6" i="64"/>
  <c r="LC6" i="64"/>
  <c r="LB6" i="64"/>
  <c r="LA6" i="64"/>
  <c r="KZ6" i="64"/>
  <c r="KY6" i="64"/>
  <c r="KX6" i="64"/>
  <c r="KW6" i="64"/>
  <c r="KV6" i="64"/>
  <c r="KU6" i="64"/>
  <c r="KT6" i="64"/>
  <c r="KS6" i="64"/>
  <c r="KR6" i="64"/>
  <c r="KQ6" i="64"/>
  <c r="KP6" i="64"/>
  <c r="KO6" i="64"/>
  <c r="KN6" i="64"/>
  <c r="KM6" i="64"/>
  <c r="KL6" i="64"/>
  <c r="KK6" i="64"/>
  <c r="KJ6" i="64"/>
  <c r="KI6" i="64"/>
  <c r="KH6" i="64"/>
  <c r="KG6" i="64"/>
  <c r="KF6" i="64"/>
  <c r="KE6" i="64"/>
  <c r="KD6" i="64"/>
  <c r="KC6" i="64"/>
  <c r="KB6" i="64"/>
  <c r="KA6" i="64"/>
  <c r="JZ6" i="64"/>
  <c r="JY6" i="64"/>
  <c r="JX6" i="64"/>
  <c r="JW6" i="64"/>
  <c r="JV6" i="64"/>
  <c r="JU6" i="64"/>
  <c r="JT6" i="64"/>
  <c r="JS6" i="64"/>
  <c r="JR6" i="64"/>
  <c r="JQ6" i="64"/>
  <c r="JP6" i="64"/>
  <c r="JO6" i="64"/>
  <c r="JN6" i="64"/>
  <c r="JM6" i="64"/>
  <c r="JL6" i="64"/>
  <c r="JK6" i="64"/>
  <c r="JJ6" i="64"/>
  <c r="JI6" i="64"/>
  <c r="JH6" i="64"/>
  <c r="JG6" i="64"/>
  <c r="JF6" i="64"/>
  <c r="JE6" i="64"/>
  <c r="JD6" i="64"/>
  <c r="JC6" i="64"/>
  <c r="JB6" i="64"/>
  <c r="JA6" i="64"/>
  <c r="IZ6" i="64"/>
  <c r="IY6" i="64"/>
  <c r="IX6" i="64"/>
  <c r="IW6" i="64"/>
  <c r="IV6" i="64"/>
  <c r="IU6" i="64"/>
  <c r="IT6" i="64"/>
  <c r="IS6" i="64"/>
  <c r="IR6" i="64"/>
  <c r="IQ6" i="64"/>
  <c r="IP6" i="64"/>
  <c r="IO6" i="64"/>
  <c r="IN6" i="64"/>
  <c r="IM6" i="64"/>
  <c r="IL6" i="64"/>
  <c r="IK6" i="64"/>
  <c r="IJ6" i="64"/>
  <c r="II6" i="64"/>
  <c r="IH6" i="64"/>
  <c r="IG6" i="64"/>
  <c r="IF6" i="64"/>
  <c r="IE6" i="64"/>
  <c r="ID6" i="64"/>
  <c r="IC6" i="64"/>
  <c r="IB6" i="64"/>
  <c r="IA6" i="64"/>
  <c r="HZ6" i="64"/>
  <c r="HY6" i="64"/>
  <c r="HX6" i="64"/>
  <c r="HW6" i="64"/>
  <c r="HV6" i="64"/>
  <c r="HU6" i="64"/>
  <c r="HT6" i="64"/>
  <c r="HS6" i="64"/>
  <c r="HR6" i="64"/>
  <c r="HQ6" i="64"/>
  <c r="HP6" i="64"/>
  <c r="HO6" i="64"/>
  <c r="HN6" i="64"/>
  <c r="HM6" i="64"/>
  <c r="HL6" i="64"/>
  <c r="HK6" i="64"/>
  <c r="HJ6" i="64"/>
  <c r="HI6" i="64"/>
  <c r="HH6" i="64"/>
  <c r="HG6" i="64"/>
  <c r="HF6" i="64"/>
  <c r="HE6" i="64"/>
  <c r="HD6" i="64"/>
  <c r="HC6" i="64"/>
  <c r="HB6" i="64"/>
  <c r="HA6" i="64"/>
  <c r="GZ6" i="64"/>
  <c r="GY6" i="64"/>
  <c r="GX6" i="64"/>
  <c r="GW6" i="64"/>
  <c r="GV6" i="64"/>
  <c r="GU6" i="64"/>
  <c r="GT6" i="64"/>
  <c r="GS6" i="64"/>
  <c r="GR6" i="64"/>
  <c r="GQ6" i="64"/>
  <c r="GP6" i="64"/>
  <c r="GO6" i="64"/>
  <c r="GN6" i="64"/>
  <c r="GM6" i="64"/>
  <c r="GL6" i="64"/>
  <c r="GK6" i="64"/>
  <c r="GJ6" i="64"/>
  <c r="GI6" i="64"/>
  <c r="GH6" i="64"/>
  <c r="GG6" i="64"/>
  <c r="GF6" i="64"/>
  <c r="GE6" i="64"/>
  <c r="GD6" i="64"/>
  <c r="GC6" i="64"/>
  <c r="GB6" i="64"/>
  <c r="GA6" i="64"/>
  <c r="FZ6" i="64"/>
  <c r="FY6" i="64"/>
  <c r="FX6" i="64"/>
  <c r="FW6" i="64"/>
  <c r="FV6" i="64"/>
  <c r="FU6" i="64"/>
  <c r="FT6" i="64"/>
  <c r="FS6" i="64"/>
  <c r="FR6" i="64"/>
  <c r="FQ6" i="64"/>
  <c r="FP6" i="64"/>
  <c r="FO6" i="64"/>
  <c r="C6" i="64"/>
  <c r="LW5" i="64"/>
  <c r="LV5" i="64"/>
  <c r="LU5" i="64"/>
  <c r="LT5" i="64"/>
  <c r="LS5" i="64"/>
  <c r="LR5" i="64"/>
  <c r="LQ5" i="64"/>
  <c r="LP5" i="64"/>
  <c r="LO5" i="64"/>
  <c r="LN5" i="64"/>
  <c r="LM5" i="64"/>
  <c r="LL5" i="64"/>
  <c r="LK5" i="64"/>
  <c r="LJ5" i="64"/>
  <c r="LI5" i="64"/>
  <c r="LH5" i="64"/>
  <c r="LG5" i="64"/>
  <c r="LF5" i="64"/>
  <c r="LE5" i="64"/>
  <c r="LD5" i="64"/>
  <c r="LC5" i="64"/>
  <c r="LB5" i="64"/>
  <c r="LA5" i="64"/>
  <c r="KZ5" i="64"/>
  <c r="KY5" i="64"/>
  <c r="KX5" i="64"/>
  <c r="KW5" i="64"/>
  <c r="KV5" i="64"/>
  <c r="KU5" i="64"/>
  <c r="KT5" i="64"/>
  <c r="KS5" i="64"/>
  <c r="KR5" i="64"/>
  <c r="KQ5" i="64"/>
  <c r="KP5" i="64"/>
  <c r="KO5" i="64"/>
  <c r="KN5" i="64"/>
  <c r="KM5" i="64"/>
  <c r="KL5" i="64"/>
  <c r="KK5" i="64"/>
  <c r="KJ5" i="64"/>
  <c r="KI5" i="64"/>
  <c r="KH5" i="64"/>
  <c r="KG5" i="64"/>
  <c r="KF5" i="64"/>
  <c r="KE5" i="64"/>
  <c r="KD5" i="64"/>
  <c r="KC5" i="64"/>
  <c r="KB5" i="64"/>
  <c r="KA5" i="64"/>
  <c r="JZ5" i="64"/>
  <c r="JY5" i="64"/>
  <c r="JX5" i="64"/>
  <c r="JW5" i="64"/>
  <c r="JV5" i="64"/>
  <c r="JU5" i="64"/>
  <c r="JT5" i="64"/>
  <c r="JS5" i="64"/>
  <c r="JR5" i="64"/>
  <c r="JQ5" i="64"/>
  <c r="JP5" i="64"/>
  <c r="JO5" i="64"/>
  <c r="JN5" i="64"/>
  <c r="JM5" i="64"/>
  <c r="JL5" i="64"/>
  <c r="JK5" i="64"/>
  <c r="JJ5" i="64"/>
  <c r="JI5" i="64"/>
  <c r="JH5" i="64"/>
  <c r="JG5" i="64"/>
  <c r="JF5" i="64"/>
  <c r="JE5" i="64"/>
  <c r="JD5" i="64"/>
  <c r="JC5" i="64"/>
  <c r="JB5" i="64"/>
  <c r="JA5" i="64"/>
  <c r="IZ5" i="64"/>
  <c r="IY5" i="64"/>
  <c r="IX5" i="64"/>
  <c r="IW5" i="64"/>
  <c r="IV5" i="64"/>
  <c r="IU5" i="64"/>
  <c r="IT5" i="64"/>
  <c r="IS5" i="64"/>
  <c r="IR5" i="64"/>
  <c r="IQ5" i="64"/>
  <c r="IP5" i="64"/>
  <c r="IO5" i="64"/>
  <c r="IN5" i="64"/>
  <c r="IM5" i="64"/>
  <c r="IL5" i="64"/>
  <c r="IK5" i="64"/>
  <c r="IJ5" i="64"/>
  <c r="II5" i="64"/>
  <c r="IH5" i="64"/>
  <c r="IG5" i="64"/>
  <c r="IF5" i="64"/>
  <c r="IE5" i="64"/>
  <c r="ID5" i="64"/>
  <c r="IC5" i="64"/>
  <c r="IB5" i="64"/>
  <c r="IA5" i="64"/>
  <c r="HZ5" i="64"/>
  <c r="HY5" i="64"/>
  <c r="HX5" i="64"/>
  <c r="HW5" i="64"/>
  <c r="HV5" i="64"/>
  <c r="HU5" i="64"/>
  <c r="HT5" i="64"/>
  <c r="HS5" i="64"/>
  <c r="HR5" i="64"/>
  <c r="HQ5" i="64"/>
  <c r="HP5" i="64"/>
  <c r="HO5" i="64"/>
  <c r="HN5" i="64"/>
  <c r="HM5" i="64"/>
  <c r="HL5" i="64"/>
  <c r="HK5" i="64"/>
  <c r="HJ5" i="64"/>
  <c r="HI5" i="64"/>
  <c r="HH5" i="64"/>
  <c r="HG5" i="64"/>
  <c r="HF5" i="64"/>
  <c r="HE5" i="64"/>
  <c r="HD5" i="64"/>
  <c r="HC5" i="64"/>
  <c r="HB5" i="64"/>
  <c r="HA5" i="64"/>
  <c r="GZ5" i="64"/>
  <c r="GY5" i="64"/>
  <c r="GX5" i="64"/>
  <c r="GW5" i="64"/>
  <c r="GV5" i="64"/>
  <c r="GU5" i="64"/>
  <c r="GT5" i="64"/>
  <c r="GS5" i="64"/>
  <c r="GR5" i="64"/>
  <c r="GQ5" i="64"/>
  <c r="GP5" i="64"/>
  <c r="GO5" i="64"/>
  <c r="GN5" i="64"/>
  <c r="GM5" i="64"/>
  <c r="GL5" i="64"/>
  <c r="GK5" i="64"/>
  <c r="GJ5" i="64"/>
  <c r="GI5" i="64"/>
  <c r="GH5" i="64"/>
  <c r="GG5" i="64"/>
  <c r="GF5" i="64"/>
  <c r="GE5" i="64"/>
  <c r="GD5" i="64"/>
  <c r="GC5" i="64"/>
  <c r="GB5" i="64"/>
  <c r="GA5" i="64"/>
  <c r="FZ5" i="64"/>
  <c r="FY5" i="64"/>
  <c r="FX5" i="64"/>
  <c r="FW5" i="64"/>
  <c r="FV5" i="64"/>
  <c r="FU5" i="64"/>
  <c r="FT5" i="64"/>
  <c r="FS5" i="64"/>
  <c r="FR5" i="64"/>
  <c r="FQ5" i="64"/>
  <c r="FP5" i="64"/>
  <c r="FO5" i="64"/>
  <c r="C5" i="64"/>
  <c r="LW4" i="64"/>
  <c r="FN41" i="64" s="1"/>
  <c r="FN44" i="64" s="1"/>
  <c r="G176" i="41" s="1"/>
  <c r="LV4" i="64"/>
  <c r="FM41" i="64" s="1"/>
  <c r="FM44" i="64" s="1"/>
  <c r="G175" i="41" s="1"/>
  <c r="LU4" i="64"/>
  <c r="FL41" i="64" s="1"/>
  <c r="FL44" i="64" s="1"/>
  <c r="G174" i="41" s="1"/>
  <c r="LT4" i="64"/>
  <c r="FK41" i="64" s="1"/>
  <c r="FK44" i="64" s="1"/>
  <c r="G173" i="41" s="1"/>
  <c r="LS4" i="64"/>
  <c r="FJ41" i="64" s="1"/>
  <c r="FJ44" i="64" s="1"/>
  <c r="G172" i="41" s="1"/>
  <c r="LR4" i="64"/>
  <c r="FI41" i="64" s="1"/>
  <c r="FI44" i="64" s="1"/>
  <c r="G171" i="41" s="1"/>
  <c r="LQ4" i="64"/>
  <c r="FH41" i="64" s="1"/>
  <c r="FH44" i="64" s="1"/>
  <c r="G170" i="41" s="1"/>
  <c r="LP4" i="64"/>
  <c r="FG41" i="64" s="1"/>
  <c r="FG44" i="64" s="1"/>
  <c r="G169" i="41" s="1"/>
  <c r="LO4" i="64"/>
  <c r="FF41" i="64" s="1"/>
  <c r="FF44" i="64" s="1"/>
  <c r="G168" i="41" s="1"/>
  <c r="LN4" i="64"/>
  <c r="FE41" i="64" s="1"/>
  <c r="FE44" i="64" s="1"/>
  <c r="G167" i="41" s="1"/>
  <c r="LM4" i="64"/>
  <c r="FD41" i="64" s="1"/>
  <c r="FD44" i="64" s="1"/>
  <c r="G166" i="41" s="1"/>
  <c r="LL4" i="64"/>
  <c r="FC41" i="64" s="1"/>
  <c r="FC44" i="64" s="1"/>
  <c r="G165" i="41" s="1"/>
  <c r="LK4" i="64"/>
  <c r="FB41" i="64" s="1"/>
  <c r="FB44" i="64" s="1"/>
  <c r="G164" i="41" s="1"/>
  <c r="LJ4" i="64"/>
  <c r="FA41" i="64" s="1"/>
  <c r="FA44" i="64" s="1"/>
  <c r="G163" i="41" s="1"/>
  <c r="LI4" i="64"/>
  <c r="EZ41" i="64" s="1"/>
  <c r="EZ44" i="64" s="1"/>
  <c r="G162" i="41" s="1"/>
  <c r="LH4" i="64"/>
  <c r="EY41" i="64" s="1"/>
  <c r="EY44" i="64" s="1"/>
  <c r="G161" i="41" s="1"/>
  <c r="LG4" i="64"/>
  <c r="EX41" i="64" s="1"/>
  <c r="EX44" i="64" s="1"/>
  <c r="G160" i="41" s="1"/>
  <c r="LF4" i="64"/>
  <c r="EW41" i="64" s="1"/>
  <c r="EW44" i="64" s="1"/>
  <c r="G159" i="41" s="1"/>
  <c r="LE4" i="64"/>
  <c r="EV41" i="64" s="1"/>
  <c r="EV44" i="64" s="1"/>
  <c r="G158" i="41" s="1"/>
  <c r="LD4" i="64"/>
  <c r="EU41" i="64" s="1"/>
  <c r="EU44" i="64" s="1"/>
  <c r="G157" i="41" s="1"/>
  <c r="LC4" i="64"/>
  <c r="ET41" i="64" s="1"/>
  <c r="ET44" i="64" s="1"/>
  <c r="G156" i="41" s="1"/>
  <c r="LB4" i="64"/>
  <c r="ES41" i="64" s="1"/>
  <c r="ES44" i="64" s="1"/>
  <c r="G155" i="41" s="1"/>
  <c r="LA4" i="64"/>
  <c r="ER41" i="64" s="1"/>
  <c r="ER44" i="64" s="1"/>
  <c r="G154" i="41" s="1"/>
  <c r="KZ4" i="64"/>
  <c r="EQ41" i="64" s="1"/>
  <c r="EQ44" i="64" s="1"/>
  <c r="G153" i="41" s="1"/>
  <c r="KY4" i="64"/>
  <c r="EP41" i="64" s="1"/>
  <c r="EP44" i="64" s="1"/>
  <c r="G152" i="41" s="1"/>
  <c r="KX4" i="64"/>
  <c r="EO41" i="64" s="1"/>
  <c r="EO44" i="64" s="1"/>
  <c r="G151" i="41" s="1"/>
  <c r="KW4" i="64"/>
  <c r="EN41" i="64" s="1"/>
  <c r="EN44" i="64" s="1"/>
  <c r="G150" i="41" s="1"/>
  <c r="KV4" i="64"/>
  <c r="EM41" i="64" s="1"/>
  <c r="EM44" i="64" s="1"/>
  <c r="G149" i="41" s="1"/>
  <c r="KU4" i="64"/>
  <c r="EL41" i="64" s="1"/>
  <c r="EL44" i="64" s="1"/>
  <c r="G148" i="41" s="1"/>
  <c r="KT4" i="64"/>
  <c r="EK41" i="64" s="1"/>
  <c r="EK44" i="64" s="1"/>
  <c r="G147" i="41" s="1"/>
  <c r="KS4" i="64"/>
  <c r="EJ41" i="64" s="1"/>
  <c r="EJ44" i="64" s="1"/>
  <c r="G146" i="41" s="1"/>
  <c r="KR4" i="64"/>
  <c r="EI41" i="64" s="1"/>
  <c r="EI44" i="64" s="1"/>
  <c r="G145" i="41" s="1"/>
  <c r="KQ4" i="64"/>
  <c r="EH41" i="64" s="1"/>
  <c r="EH44" i="64" s="1"/>
  <c r="G144" i="41" s="1"/>
  <c r="KP4" i="64"/>
  <c r="EG41" i="64" s="1"/>
  <c r="EG44" i="64" s="1"/>
  <c r="G143" i="41" s="1"/>
  <c r="KO4" i="64"/>
  <c r="EF41" i="64" s="1"/>
  <c r="EF44" i="64" s="1"/>
  <c r="G142" i="41" s="1"/>
  <c r="KN4" i="64"/>
  <c r="EE41" i="64" s="1"/>
  <c r="EE44" i="64" s="1"/>
  <c r="G141" i="41" s="1"/>
  <c r="KM4" i="64"/>
  <c r="ED41" i="64" s="1"/>
  <c r="ED44" i="64" s="1"/>
  <c r="G140" i="41" s="1"/>
  <c r="KL4" i="64"/>
  <c r="EC41" i="64" s="1"/>
  <c r="EC44" i="64" s="1"/>
  <c r="G139" i="41" s="1"/>
  <c r="KK4" i="64"/>
  <c r="EB41" i="64" s="1"/>
  <c r="EB44" i="64" s="1"/>
  <c r="G138" i="41" s="1"/>
  <c r="KJ4" i="64"/>
  <c r="EA41" i="64" s="1"/>
  <c r="EA44" i="64" s="1"/>
  <c r="G137" i="41" s="1"/>
  <c r="KI4" i="64"/>
  <c r="DZ41" i="64" s="1"/>
  <c r="DZ44" i="64" s="1"/>
  <c r="G136" i="41" s="1"/>
  <c r="KH4" i="64"/>
  <c r="DY41" i="64" s="1"/>
  <c r="DY44" i="64" s="1"/>
  <c r="G135" i="41" s="1"/>
  <c r="KG4" i="64"/>
  <c r="DX41" i="64" s="1"/>
  <c r="DX44" i="64" s="1"/>
  <c r="G134" i="41" s="1"/>
  <c r="KF4" i="64"/>
  <c r="DW41" i="64" s="1"/>
  <c r="DW44" i="64" s="1"/>
  <c r="G133" i="41" s="1"/>
  <c r="KE4" i="64"/>
  <c r="DV41" i="64" s="1"/>
  <c r="DV44" i="64" s="1"/>
  <c r="G132" i="41" s="1"/>
  <c r="KD4" i="64"/>
  <c r="DU41" i="64" s="1"/>
  <c r="DU44" i="64" s="1"/>
  <c r="G131" i="41" s="1"/>
  <c r="KC4" i="64"/>
  <c r="DT41" i="64" s="1"/>
  <c r="DT44" i="64" s="1"/>
  <c r="G130" i="41" s="1"/>
  <c r="KB4" i="64"/>
  <c r="DS41" i="64" s="1"/>
  <c r="DS44" i="64" s="1"/>
  <c r="G129" i="41" s="1"/>
  <c r="KA4" i="64"/>
  <c r="DR41" i="64" s="1"/>
  <c r="DR44" i="64" s="1"/>
  <c r="G128" i="41" s="1"/>
  <c r="JZ4" i="64"/>
  <c r="DQ41" i="64" s="1"/>
  <c r="DQ44" i="64" s="1"/>
  <c r="G127" i="41" s="1"/>
  <c r="JY4" i="64"/>
  <c r="DP41" i="64" s="1"/>
  <c r="DP44" i="64" s="1"/>
  <c r="G126" i="41" s="1"/>
  <c r="JX4" i="64"/>
  <c r="DO41" i="64" s="1"/>
  <c r="DO44" i="64" s="1"/>
  <c r="G125" i="41" s="1"/>
  <c r="JW4" i="64"/>
  <c r="DN41" i="64" s="1"/>
  <c r="DN44" i="64" s="1"/>
  <c r="G124" i="41" s="1"/>
  <c r="JV4" i="64"/>
  <c r="DM41" i="64" s="1"/>
  <c r="DM44" i="64" s="1"/>
  <c r="G123" i="41" s="1"/>
  <c r="JU4" i="64"/>
  <c r="DL41" i="64" s="1"/>
  <c r="DL44" i="64" s="1"/>
  <c r="G122" i="41" s="1"/>
  <c r="JT4" i="64"/>
  <c r="DK41" i="64" s="1"/>
  <c r="DK44" i="64" s="1"/>
  <c r="G121" i="41" s="1"/>
  <c r="JS4" i="64"/>
  <c r="DJ41" i="64" s="1"/>
  <c r="DJ44" i="64" s="1"/>
  <c r="G120" i="41" s="1"/>
  <c r="JR4" i="64"/>
  <c r="DI41" i="64" s="1"/>
  <c r="DI44" i="64" s="1"/>
  <c r="G119" i="41" s="1"/>
  <c r="JQ4" i="64"/>
  <c r="JP4" i="64"/>
  <c r="JO4" i="64"/>
  <c r="DF41" i="64" s="1"/>
  <c r="DF44" i="64" s="1"/>
  <c r="G116" i="41" s="1"/>
  <c r="JN4" i="64"/>
  <c r="DE41" i="64" s="1"/>
  <c r="DE44" i="64" s="1"/>
  <c r="G115" i="41" s="1"/>
  <c r="JM4" i="64"/>
  <c r="DD41" i="64" s="1"/>
  <c r="DD44" i="64" s="1"/>
  <c r="G114" i="41" s="1"/>
  <c r="JL4" i="64"/>
  <c r="DC41" i="64" s="1"/>
  <c r="DC44" i="64" s="1"/>
  <c r="G113" i="41" s="1"/>
  <c r="JK4" i="64"/>
  <c r="DB41" i="64" s="1"/>
  <c r="DB44" i="64" s="1"/>
  <c r="G112" i="41" s="1"/>
  <c r="JJ4" i="64"/>
  <c r="DA41" i="64" s="1"/>
  <c r="DA44" i="64" s="1"/>
  <c r="G111" i="41" s="1"/>
  <c r="JI4" i="64"/>
  <c r="CZ41" i="64" s="1"/>
  <c r="CZ44" i="64" s="1"/>
  <c r="G110" i="41" s="1"/>
  <c r="JH4" i="64"/>
  <c r="CY41" i="64" s="1"/>
  <c r="CY44" i="64" s="1"/>
  <c r="G109" i="41" s="1"/>
  <c r="JG4" i="64"/>
  <c r="CX41" i="64" s="1"/>
  <c r="CX44" i="64" s="1"/>
  <c r="G108" i="41" s="1"/>
  <c r="JF4" i="64"/>
  <c r="CW41" i="64" s="1"/>
  <c r="CW44" i="64" s="1"/>
  <c r="G107" i="41" s="1"/>
  <c r="JE4" i="64"/>
  <c r="CV41" i="64" s="1"/>
  <c r="CV44" i="64" s="1"/>
  <c r="G106" i="41" s="1"/>
  <c r="JD4" i="64"/>
  <c r="CU41" i="64" s="1"/>
  <c r="CU44" i="64" s="1"/>
  <c r="G105" i="41" s="1"/>
  <c r="JC4" i="64"/>
  <c r="CT41" i="64" s="1"/>
  <c r="CT44" i="64" s="1"/>
  <c r="G104" i="41" s="1"/>
  <c r="JB4" i="64"/>
  <c r="CS41" i="64" s="1"/>
  <c r="CS44" i="64" s="1"/>
  <c r="G103" i="41" s="1"/>
  <c r="JA4" i="64"/>
  <c r="CR41" i="64" s="1"/>
  <c r="CR44" i="64" s="1"/>
  <c r="G102" i="41" s="1"/>
  <c r="IZ4" i="64"/>
  <c r="CQ41" i="64" s="1"/>
  <c r="CQ44" i="64" s="1"/>
  <c r="G101" i="41" s="1"/>
  <c r="IY4" i="64"/>
  <c r="CP41" i="64" s="1"/>
  <c r="CP44" i="64" s="1"/>
  <c r="G100" i="41" s="1"/>
  <c r="IX4" i="64"/>
  <c r="CO41" i="64" s="1"/>
  <c r="CO44" i="64" s="1"/>
  <c r="G99" i="41" s="1"/>
  <c r="IW4" i="64"/>
  <c r="CN41" i="64" s="1"/>
  <c r="CN44" i="64" s="1"/>
  <c r="G98" i="41" s="1"/>
  <c r="IV4" i="64"/>
  <c r="CM41" i="64" s="1"/>
  <c r="CM44" i="64" s="1"/>
  <c r="G97" i="41" s="1"/>
  <c r="IU4" i="64"/>
  <c r="CL41" i="64" s="1"/>
  <c r="CL44" i="64" s="1"/>
  <c r="G96" i="41" s="1"/>
  <c r="IT4" i="64"/>
  <c r="CK41" i="64" s="1"/>
  <c r="CK44" i="64" s="1"/>
  <c r="G95" i="41" s="1"/>
  <c r="IS4" i="64"/>
  <c r="CJ41" i="64" s="1"/>
  <c r="CJ44" i="64" s="1"/>
  <c r="G94" i="41" s="1"/>
  <c r="IR4" i="64"/>
  <c r="CI41" i="64" s="1"/>
  <c r="CI44" i="64" s="1"/>
  <c r="G93" i="41" s="1"/>
  <c r="IQ4" i="64"/>
  <c r="CH41" i="64" s="1"/>
  <c r="CH44" i="64" s="1"/>
  <c r="G92" i="41" s="1"/>
  <c r="IP4" i="64"/>
  <c r="CG41" i="64" s="1"/>
  <c r="CG44" i="64" s="1"/>
  <c r="G91" i="41" s="1"/>
  <c r="IO4" i="64"/>
  <c r="CF41" i="64" s="1"/>
  <c r="CF44" i="64" s="1"/>
  <c r="G90" i="41" s="1"/>
  <c r="IN4" i="64"/>
  <c r="CE41" i="64" s="1"/>
  <c r="CE44" i="64" s="1"/>
  <c r="G89" i="41" s="1"/>
  <c r="IM4" i="64"/>
  <c r="CD41" i="64" s="1"/>
  <c r="CD44" i="64" s="1"/>
  <c r="G88" i="41" s="1"/>
  <c r="IL4" i="64"/>
  <c r="CC41" i="64" s="1"/>
  <c r="CC44" i="64" s="1"/>
  <c r="G87" i="41" s="1"/>
  <c r="IK4" i="64"/>
  <c r="CB41" i="64" s="1"/>
  <c r="CB44" i="64" s="1"/>
  <c r="G86" i="41" s="1"/>
  <c r="IJ4" i="64"/>
  <c r="CA41" i="64" s="1"/>
  <c r="CA44" i="64" s="1"/>
  <c r="G85" i="41" s="1"/>
  <c r="II4" i="64"/>
  <c r="BZ41" i="64" s="1"/>
  <c r="BZ44" i="64" s="1"/>
  <c r="G84" i="41" s="1"/>
  <c r="IH4" i="64"/>
  <c r="BY41" i="64" s="1"/>
  <c r="BY44" i="64" s="1"/>
  <c r="G83" i="41" s="1"/>
  <c r="IG4" i="64"/>
  <c r="BX41" i="64" s="1"/>
  <c r="BX44" i="64" s="1"/>
  <c r="G82" i="41" s="1"/>
  <c r="IF4" i="64"/>
  <c r="BW41" i="64" s="1"/>
  <c r="BW44" i="64" s="1"/>
  <c r="G81" i="41" s="1"/>
  <c r="IE4" i="64"/>
  <c r="BV41" i="64" s="1"/>
  <c r="BV44" i="64" s="1"/>
  <c r="G80" i="41" s="1"/>
  <c r="ID4" i="64"/>
  <c r="BU41" i="64" s="1"/>
  <c r="BU44" i="64" s="1"/>
  <c r="G79" i="41" s="1"/>
  <c r="IC4" i="64"/>
  <c r="BT41" i="64" s="1"/>
  <c r="BT44" i="64" s="1"/>
  <c r="G78" i="41" s="1"/>
  <c r="IB4" i="64"/>
  <c r="BS41" i="64" s="1"/>
  <c r="BS44" i="64" s="1"/>
  <c r="G77" i="41" s="1"/>
  <c r="IA4" i="64"/>
  <c r="BR41" i="64" s="1"/>
  <c r="BR44" i="64" s="1"/>
  <c r="G76" i="41" s="1"/>
  <c r="HZ4" i="64"/>
  <c r="BQ41" i="64" s="1"/>
  <c r="BQ44" i="64" s="1"/>
  <c r="G75" i="41" s="1"/>
  <c r="HY4" i="64"/>
  <c r="BP41" i="64" s="1"/>
  <c r="BP44" i="64" s="1"/>
  <c r="G74" i="41" s="1"/>
  <c r="HX4" i="64"/>
  <c r="BO41" i="64" s="1"/>
  <c r="BO44" i="64" s="1"/>
  <c r="G73" i="41" s="1"/>
  <c r="HW4" i="64"/>
  <c r="BN41" i="64" s="1"/>
  <c r="BN44" i="64" s="1"/>
  <c r="G72" i="41" s="1"/>
  <c r="HV4" i="64"/>
  <c r="BM41" i="64" s="1"/>
  <c r="BM44" i="64" s="1"/>
  <c r="G71" i="41" s="1"/>
  <c r="HU4" i="64"/>
  <c r="BL41" i="64" s="1"/>
  <c r="BL44" i="64" s="1"/>
  <c r="G70" i="41" s="1"/>
  <c r="HT4" i="64"/>
  <c r="BK41" i="64" s="1"/>
  <c r="BK44" i="64" s="1"/>
  <c r="G69" i="41" s="1"/>
  <c r="HS4" i="64"/>
  <c r="BJ41" i="64" s="1"/>
  <c r="BJ44" i="64" s="1"/>
  <c r="G68" i="41" s="1"/>
  <c r="HR4" i="64"/>
  <c r="BI41" i="64" s="1"/>
  <c r="BI44" i="64" s="1"/>
  <c r="G67" i="41" s="1"/>
  <c r="HQ4" i="64"/>
  <c r="BH41" i="64" s="1"/>
  <c r="BH44" i="64" s="1"/>
  <c r="G66" i="41" s="1"/>
  <c r="HP4" i="64"/>
  <c r="BG41" i="64" s="1"/>
  <c r="BG44" i="64" s="1"/>
  <c r="G65" i="41" s="1"/>
  <c r="HO4" i="64"/>
  <c r="BF41" i="64" s="1"/>
  <c r="BF44" i="64" s="1"/>
  <c r="G64" i="41" s="1"/>
  <c r="HN4" i="64"/>
  <c r="BE41" i="64" s="1"/>
  <c r="BE44" i="64" s="1"/>
  <c r="G63" i="41" s="1"/>
  <c r="HM4" i="64"/>
  <c r="BD41" i="64" s="1"/>
  <c r="BD44" i="64" s="1"/>
  <c r="G62" i="41" s="1"/>
  <c r="HL4" i="64"/>
  <c r="BC41" i="64" s="1"/>
  <c r="BC44" i="64" s="1"/>
  <c r="G61" i="41" s="1"/>
  <c r="HK4" i="64"/>
  <c r="BB41" i="64" s="1"/>
  <c r="BB44" i="64" s="1"/>
  <c r="G60" i="41" s="1"/>
  <c r="HJ4" i="64"/>
  <c r="BA41" i="64" s="1"/>
  <c r="BA44" i="64" s="1"/>
  <c r="G59" i="41" s="1"/>
  <c r="HI4" i="64"/>
  <c r="AZ41" i="64" s="1"/>
  <c r="AZ44" i="64" s="1"/>
  <c r="G58" i="41" s="1"/>
  <c r="HH4" i="64"/>
  <c r="AY41" i="64" s="1"/>
  <c r="AY44" i="64" s="1"/>
  <c r="G57" i="41" s="1"/>
  <c r="HG4" i="64"/>
  <c r="AX41" i="64" s="1"/>
  <c r="AX44" i="64" s="1"/>
  <c r="G56" i="41" s="1"/>
  <c r="HF4" i="64"/>
  <c r="AW41" i="64" s="1"/>
  <c r="AW44" i="64" s="1"/>
  <c r="G55" i="41" s="1"/>
  <c r="HE4" i="64"/>
  <c r="AV41" i="64" s="1"/>
  <c r="AV44" i="64" s="1"/>
  <c r="G54" i="41" s="1"/>
  <c r="HD4" i="64"/>
  <c r="AU41" i="64" s="1"/>
  <c r="AU44" i="64" s="1"/>
  <c r="G53" i="41" s="1"/>
  <c r="HC4" i="64"/>
  <c r="AT41" i="64" s="1"/>
  <c r="AT44" i="64" s="1"/>
  <c r="G52" i="41" s="1"/>
  <c r="HB4" i="64"/>
  <c r="AS41" i="64" s="1"/>
  <c r="AS44" i="64" s="1"/>
  <c r="G51" i="41" s="1"/>
  <c r="HA4" i="64"/>
  <c r="AR41" i="64" s="1"/>
  <c r="AR44" i="64" s="1"/>
  <c r="G50" i="41" s="1"/>
  <c r="GZ4" i="64"/>
  <c r="AQ41" i="64" s="1"/>
  <c r="AQ44" i="64" s="1"/>
  <c r="G49" i="41" s="1"/>
  <c r="GY4" i="64"/>
  <c r="AP41" i="64" s="1"/>
  <c r="AP44" i="64" s="1"/>
  <c r="G48" i="41" s="1"/>
  <c r="GX4" i="64"/>
  <c r="AO41" i="64" s="1"/>
  <c r="AO44" i="64" s="1"/>
  <c r="G47" i="41" s="1"/>
  <c r="GW4" i="64"/>
  <c r="AN41" i="64" s="1"/>
  <c r="AN44" i="64" s="1"/>
  <c r="G46" i="41" s="1"/>
  <c r="GV4" i="64"/>
  <c r="AM41" i="64" s="1"/>
  <c r="AM44" i="64" s="1"/>
  <c r="G45" i="41" s="1"/>
  <c r="GU4" i="64"/>
  <c r="AL41" i="64" s="1"/>
  <c r="AL44" i="64" s="1"/>
  <c r="G44" i="41" s="1"/>
  <c r="GT4" i="64"/>
  <c r="AK41" i="64" s="1"/>
  <c r="AK44" i="64" s="1"/>
  <c r="G43" i="41" s="1"/>
  <c r="GS4" i="64"/>
  <c r="AJ41" i="64" s="1"/>
  <c r="AJ44" i="64" s="1"/>
  <c r="G42" i="41" s="1"/>
  <c r="GR4" i="64"/>
  <c r="AI41" i="64" s="1"/>
  <c r="AI44" i="64" s="1"/>
  <c r="G41" i="41" s="1"/>
  <c r="GQ4" i="64"/>
  <c r="AH41" i="64" s="1"/>
  <c r="AH44" i="64" s="1"/>
  <c r="G40" i="41" s="1"/>
  <c r="GP4" i="64"/>
  <c r="AG41" i="64" s="1"/>
  <c r="AG44" i="64" s="1"/>
  <c r="G39" i="41" s="1"/>
  <c r="GO4" i="64"/>
  <c r="AF41" i="64" s="1"/>
  <c r="AF44" i="64" s="1"/>
  <c r="G38" i="41" s="1"/>
  <c r="GN4" i="64"/>
  <c r="AE41" i="64" s="1"/>
  <c r="AE44" i="64" s="1"/>
  <c r="G37" i="41" s="1"/>
  <c r="GM4" i="64"/>
  <c r="AD41" i="64" s="1"/>
  <c r="AD44" i="64" s="1"/>
  <c r="G36" i="41" s="1"/>
  <c r="GL4" i="64"/>
  <c r="AC41" i="64" s="1"/>
  <c r="AC44" i="64" s="1"/>
  <c r="G35" i="41" s="1"/>
  <c r="GK4" i="64"/>
  <c r="AB41" i="64" s="1"/>
  <c r="AB44" i="64" s="1"/>
  <c r="G34" i="41" s="1"/>
  <c r="GJ4" i="64"/>
  <c r="AA41" i="64" s="1"/>
  <c r="AA44" i="64" s="1"/>
  <c r="G33" i="41" s="1"/>
  <c r="GI4" i="64"/>
  <c r="Z41" i="64" s="1"/>
  <c r="Z44" i="64" s="1"/>
  <c r="G32" i="41" s="1"/>
  <c r="GH4" i="64"/>
  <c r="Y41" i="64" s="1"/>
  <c r="Y44" i="64" s="1"/>
  <c r="G31" i="41" s="1"/>
  <c r="GG4" i="64"/>
  <c r="X41" i="64" s="1"/>
  <c r="X44" i="64" s="1"/>
  <c r="G30" i="41" s="1"/>
  <c r="GF4" i="64"/>
  <c r="W41" i="64" s="1"/>
  <c r="W44" i="64" s="1"/>
  <c r="G29" i="41" s="1"/>
  <c r="GE4" i="64"/>
  <c r="V41" i="64" s="1"/>
  <c r="V44" i="64" s="1"/>
  <c r="G28" i="41" s="1"/>
  <c r="GD4" i="64"/>
  <c r="U41" i="64" s="1"/>
  <c r="U44" i="64" s="1"/>
  <c r="G27" i="41" s="1"/>
  <c r="GC4" i="64"/>
  <c r="T41" i="64" s="1"/>
  <c r="T44" i="64" s="1"/>
  <c r="G26" i="41" s="1"/>
  <c r="GB4" i="64"/>
  <c r="S41" i="64" s="1"/>
  <c r="S44" i="64" s="1"/>
  <c r="G25" i="41" s="1"/>
  <c r="GA4" i="64"/>
  <c r="R41" i="64" s="1"/>
  <c r="R44" i="64" s="1"/>
  <c r="G24" i="41" s="1"/>
  <c r="FZ4" i="64"/>
  <c r="Q41" i="64" s="1"/>
  <c r="Q44" i="64" s="1"/>
  <c r="G23" i="41" s="1"/>
  <c r="FY4" i="64"/>
  <c r="P41" i="64" s="1"/>
  <c r="P44" i="64" s="1"/>
  <c r="G22" i="41" s="1"/>
  <c r="FX4" i="64"/>
  <c r="O41" i="64" s="1"/>
  <c r="O44" i="64" s="1"/>
  <c r="G21" i="41" s="1"/>
  <c r="FW4" i="64"/>
  <c r="N41" i="64" s="1"/>
  <c r="N44" i="64" s="1"/>
  <c r="G20" i="41" s="1"/>
  <c r="FV4" i="64"/>
  <c r="M41" i="64" s="1"/>
  <c r="M44" i="64" s="1"/>
  <c r="G19" i="41" s="1"/>
  <c r="FU4" i="64"/>
  <c r="L41" i="64" s="1"/>
  <c r="L44" i="64" s="1"/>
  <c r="G18" i="41" s="1"/>
  <c r="FT4" i="64"/>
  <c r="K41" i="64" s="1"/>
  <c r="K44" i="64" s="1"/>
  <c r="G17" i="41" s="1"/>
  <c r="FS4" i="64"/>
  <c r="J41" i="64" s="1"/>
  <c r="J44" i="64" s="1"/>
  <c r="G16" i="41" s="1"/>
  <c r="FR4" i="64"/>
  <c r="I41" i="64" s="1"/>
  <c r="I44" i="64" s="1"/>
  <c r="G15" i="41" s="1"/>
  <c r="FQ4" i="64"/>
  <c r="H41" i="64" s="1"/>
  <c r="H44" i="64" s="1"/>
  <c r="G14" i="41" s="1"/>
  <c r="FP4" i="64"/>
  <c r="G41" i="64" s="1"/>
  <c r="G44" i="64" s="1"/>
  <c r="G13" i="41" s="1"/>
  <c r="FO4" i="64"/>
  <c r="F41" i="64" s="1"/>
  <c r="F44" i="64" s="1"/>
  <c r="G12" i="41" s="1"/>
  <c r="D34" i="63"/>
  <c r="D44" i="63" s="1"/>
  <c r="F29" i="63"/>
  <c r="E29" i="63"/>
  <c r="F10" i="41" s="1"/>
  <c r="D29" i="63"/>
  <c r="B29" i="63"/>
  <c r="LW28" i="63"/>
  <c r="LV28" i="63"/>
  <c r="LU28" i="63"/>
  <c r="LT28" i="63"/>
  <c r="LS28" i="63"/>
  <c r="LR28" i="63"/>
  <c r="LQ28" i="63"/>
  <c r="LP28" i="63"/>
  <c r="LO28" i="63"/>
  <c r="LN28" i="63"/>
  <c r="LM28" i="63"/>
  <c r="LL28" i="63"/>
  <c r="LK28" i="63"/>
  <c r="LJ28" i="63"/>
  <c r="LI28" i="63"/>
  <c r="LH28" i="63"/>
  <c r="LG28" i="63"/>
  <c r="LF28" i="63"/>
  <c r="LE28" i="63"/>
  <c r="LD28" i="63"/>
  <c r="LC28" i="63"/>
  <c r="LB28" i="63"/>
  <c r="LA28" i="63"/>
  <c r="KZ28" i="63"/>
  <c r="KY28" i="63"/>
  <c r="KX28" i="63"/>
  <c r="KW28" i="63"/>
  <c r="KV28" i="63"/>
  <c r="KU28" i="63"/>
  <c r="KT28" i="63"/>
  <c r="KS28" i="63"/>
  <c r="KR28" i="63"/>
  <c r="KQ28" i="63"/>
  <c r="KP28" i="63"/>
  <c r="KO28" i="63"/>
  <c r="KN28" i="63"/>
  <c r="KM28" i="63"/>
  <c r="KL28" i="63"/>
  <c r="KK28" i="63"/>
  <c r="KJ28" i="63"/>
  <c r="KI28" i="63"/>
  <c r="KH28" i="63"/>
  <c r="KG28" i="63"/>
  <c r="KF28" i="63"/>
  <c r="KE28" i="63"/>
  <c r="KD28" i="63"/>
  <c r="KC28" i="63"/>
  <c r="KB28" i="63"/>
  <c r="KA28" i="63"/>
  <c r="JZ28" i="63"/>
  <c r="JY28" i="63"/>
  <c r="JX28" i="63"/>
  <c r="JW28" i="63"/>
  <c r="JV28" i="63"/>
  <c r="JU28" i="63"/>
  <c r="JT28" i="63"/>
  <c r="JS28" i="63"/>
  <c r="JR28" i="63"/>
  <c r="JQ28" i="63"/>
  <c r="JP28" i="63"/>
  <c r="JO28" i="63"/>
  <c r="JN28" i="63"/>
  <c r="JM28" i="63"/>
  <c r="JL28" i="63"/>
  <c r="JK28" i="63"/>
  <c r="JJ28" i="63"/>
  <c r="JI28" i="63"/>
  <c r="JH28" i="63"/>
  <c r="JG28" i="63"/>
  <c r="JF28" i="63"/>
  <c r="JE28" i="63"/>
  <c r="JD28" i="63"/>
  <c r="JC28" i="63"/>
  <c r="JB28" i="63"/>
  <c r="JA28" i="63"/>
  <c r="IZ28" i="63"/>
  <c r="IY28" i="63"/>
  <c r="IX28" i="63"/>
  <c r="IW28" i="63"/>
  <c r="IV28" i="63"/>
  <c r="IU28" i="63"/>
  <c r="IT28" i="63"/>
  <c r="IS28" i="63"/>
  <c r="IR28" i="63"/>
  <c r="IQ28" i="63"/>
  <c r="IP28" i="63"/>
  <c r="IO28" i="63"/>
  <c r="IN28" i="63"/>
  <c r="IM28" i="63"/>
  <c r="IL28" i="63"/>
  <c r="IK28" i="63"/>
  <c r="IJ28" i="63"/>
  <c r="II28" i="63"/>
  <c r="IH28" i="63"/>
  <c r="IG28" i="63"/>
  <c r="IF28" i="63"/>
  <c r="IE28" i="63"/>
  <c r="ID28" i="63"/>
  <c r="IC28" i="63"/>
  <c r="IB28" i="63"/>
  <c r="IA28" i="63"/>
  <c r="HZ28" i="63"/>
  <c r="HY28" i="63"/>
  <c r="HX28" i="63"/>
  <c r="HW28" i="63"/>
  <c r="HV28" i="63"/>
  <c r="HU28" i="63"/>
  <c r="HT28" i="63"/>
  <c r="HS28" i="63"/>
  <c r="HR28" i="63"/>
  <c r="HQ28" i="63"/>
  <c r="HP28" i="63"/>
  <c r="HO28" i="63"/>
  <c r="HN28" i="63"/>
  <c r="HM28" i="63"/>
  <c r="HL28" i="63"/>
  <c r="HK28" i="63"/>
  <c r="HJ28" i="63"/>
  <c r="HI28" i="63"/>
  <c r="HH28" i="63"/>
  <c r="HG28" i="63"/>
  <c r="HF28" i="63"/>
  <c r="HE28" i="63"/>
  <c r="HD28" i="63"/>
  <c r="HC28" i="63"/>
  <c r="HB28" i="63"/>
  <c r="HA28" i="63"/>
  <c r="GZ28" i="63"/>
  <c r="GY28" i="63"/>
  <c r="GX28" i="63"/>
  <c r="GW28" i="63"/>
  <c r="GV28" i="63"/>
  <c r="GU28" i="63"/>
  <c r="GT28" i="63"/>
  <c r="GS28" i="63"/>
  <c r="GR28" i="63"/>
  <c r="GQ28" i="63"/>
  <c r="GP28" i="63"/>
  <c r="GO28" i="63"/>
  <c r="GN28" i="63"/>
  <c r="GM28" i="63"/>
  <c r="GL28" i="63"/>
  <c r="GK28" i="63"/>
  <c r="GJ28" i="63"/>
  <c r="GI28" i="63"/>
  <c r="GH28" i="63"/>
  <c r="GG28" i="63"/>
  <c r="GF28" i="63"/>
  <c r="GE28" i="63"/>
  <c r="GD28" i="63"/>
  <c r="GC28" i="63"/>
  <c r="GB28" i="63"/>
  <c r="GA28" i="63"/>
  <c r="FZ28" i="63"/>
  <c r="FY28" i="63"/>
  <c r="FX28" i="63"/>
  <c r="FW28" i="63"/>
  <c r="FV28" i="63"/>
  <c r="FU28" i="63"/>
  <c r="FT28" i="63"/>
  <c r="FS28" i="63"/>
  <c r="FR28" i="63"/>
  <c r="FQ28" i="63"/>
  <c r="FP28" i="63"/>
  <c r="FO28" i="63"/>
  <c r="C28" i="63"/>
  <c r="LW27" i="63"/>
  <c r="LV27" i="63"/>
  <c r="LU27" i="63"/>
  <c r="LT27" i="63"/>
  <c r="LS27" i="63"/>
  <c r="LR27" i="63"/>
  <c r="LQ27" i="63"/>
  <c r="LP27" i="63"/>
  <c r="LO27" i="63"/>
  <c r="LN27" i="63"/>
  <c r="LM27" i="63"/>
  <c r="LL27" i="63"/>
  <c r="LK27" i="63"/>
  <c r="LJ27" i="63"/>
  <c r="LI27" i="63"/>
  <c r="LH27" i="63"/>
  <c r="LG27" i="63"/>
  <c r="LF27" i="63"/>
  <c r="LE27" i="63"/>
  <c r="LD27" i="63"/>
  <c r="LC27" i="63"/>
  <c r="LB27" i="63"/>
  <c r="LA27" i="63"/>
  <c r="KZ27" i="63"/>
  <c r="KY27" i="63"/>
  <c r="KX27" i="63"/>
  <c r="KW27" i="63"/>
  <c r="KV27" i="63"/>
  <c r="KU27" i="63"/>
  <c r="KT27" i="63"/>
  <c r="KS27" i="63"/>
  <c r="KR27" i="63"/>
  <c r="KQ27" i="63"/>
  <c r="KP27" i="63"/>
  <c r="KO27" i="63"/>
  <c r="KN27" i="63"/>
  <c r="KM27" i="63"/>
  <c r="KL27" i="63"/>
  <c r="KK27" i="63"/>
  <c r="KJ27" i="63"/>
  <c r="KI27" i="63"/>
  <c r="KH27" i="63"/>
  <c r="KG27" i="63"/>
  <c r="KF27" i="63"/>
  <c r="KE27" i="63"/>
  <c r="KD27" i="63"/>
  <c r="KC27" i="63"/>
  <c r="KB27" i="63"/>
  <c r="KA27" i="63"/>
  <c r="JZ27" i="63"/>
  <c r="JY27" i="63"/>
  <c r="JX27" i="63"/>
  <c r="JW27" i="63"/>
  <c r="JV27" i="63"/>
  <c r="JU27" i="63"/>
  <c r="JT27" i="63"/>
  <c r="JS27" i="63"/>
  <c r="JR27" i="63"/>
  <c r="JQ27" i="63"/>
  <c r="JP27" i="63"/>
  <c r="JO27" i="63"/>
  <c r="JN27" i="63"/>
  <c r="JM27" i="63"/>
  <c r="JL27" i="63"/>
  <c r="JK27" i="63"/>
  <c r="JJ27" i="63"/>
  <c r="JI27" i="63"/>
  <c r="JH27" i="63"/>
  <c r="JG27" i="63"/>
  <c r="JF27" i="63"/>
  <c r="JE27" i="63"/>
  <c r="JD27" i="63"/>
  <c r="JC27" i="63"/>
  <c r="JB27" i="63"/>
  <c r="JA27" i="63"/>
  <c r="IZ27" i="63"/>
  <c r="IY27" i="63"/>
  <c r="IX27" i="63"/>
  <c r="IW27" i="63"/>
  <c r="IV27" i="63"/>
  <c r="IU27" i="63"/>
  <c r="IT27" i="63"/>
  <c r="IS27" i="63"/>
  <c r="IR27" i="63"/>
  <c r="IQ27" i="63"/>
  <c r="IP27" i="63"/>
  <c r="IO27" i="63"/>
  <c r="IN27" i="63"/>
  <c r="IM27" i="63"/>
  <c r="IL27" i="63"/>
  <c r="IK27" i="63"/>
  <c r="IJ27" i="63"/>
  <c r="II27" i="63"/>
  <c r="IH27" i="63"/>
  <c r="IG27" i="63"/>
  <c r="IF27" i="63"/>
  <c r="IE27" i="63"/>
  <c r="ID27" i="63"/>
  <c r="IC27" i="63"/>
  <c r="IB27" i="63"/>
  <c r="IA27" i="63"/>
  <c r="HZ27" i="63"/>
  <c r="HY27" i="63"/>
  <c r="HX27" i="63"/>
  <c r="HW27" i="63"/>
  <c r="HV27" i="63"/>
  <c r="HU27" i="63"/>
  <c r="HT27" i="63"/>
  <c r="HS27" i="63"/>
  <c r="HR27" i="63"/>
  <c r="HQ27" i="63"/>
  <c r="HP27" i="63"/>
  <c r="HO27" i="63"/>
  <c r="HN27" i="63"/>
  <c r="HM27" i="63"/>
  <c r="HL27" i="63"/>
  <c r="HK27" i="63"/>
  <c r="HJ27" i="63"/>
  <c r="HI27" i="63"/>
  <c r="HH27" i="63"/>
  <c r="HG27" i="63"/>
  <c r="HF27" i="63"/>
  <c r="HE27" i="63"/>
  <c r="HD27" i="63"/>
  <c r="HC27" i="63"/>
  <c r="HB27" i="63"/>
  <c r="HA27" i="63"/>
  <c r="GZ27" i="63"/>
  <c r="GY27" i="63"/>
  <c r="GX27" i="63"/>
  <c r="GW27" i="63"/>
  <c r="GV27" i="63"/>
  <c r="GU27" i="63"/>
  <c r="GT27" i="63"/>
  <c r="GS27" i="63"/>
  <c r="GR27" i="63"/>
  <c r="GQ27" i="63"/>
  <c r="GP27" i="63"/>
  <c r="GO27" i="63"/>
  <c r="GN27" i="63"/>
  <c r="GM27" i="63"/>
  <c r="GL27" i="63"/>
  <c r="GK27" i="63"/>
  <c r="GJ27" i="63"/>
  <c r="GI27" i="63"/>
  <c r="GH27" i="63"/>
  <c r="GG27" i="63"/>
  <c r="GF27" i="63"/>
  <c r="GE27" i="63"/>
  <c r="GD27" i="63"/>
  <c r="GC27" i="63"/>
  <c r="GB27" i="63"/>
  <c r="GA27" i="63"/>
  <c r="FZ27" i="63"/>
  <c r="FY27" i="63"/>
  <c r="FX27" i="63"/>
  <c r="FW27" i="63"/>
  <c r="FV27" i="63"/>
  <c r="FU27" i="63"/>
  <c r="FT27" i="63"/>
  <c r="FS27" i="63"/>
  <c r="FR27" i="63"/>
  <c r="FQ27" i="63"/>
  <c r="FP27" i="63"/>
  <c r="FO27" i="63"/>
  <c r="C27" i="63"/>
  <c r="LW26" i="63"/>
  <c r="LV26" i="63"/>
  <c r="LU26" i="63"/>
  <c r="LT26" i="63"/>
  <c r="LS26" i="63"/>
  <c r="LR26" i="63"/>
  <c r="LQ26" i="63"/>
  <c r="LP26" i="63"/>
  <c r="LO26" i="63"/>
  <c r="LN26" i="63"/>
  <c r="LM26" i="63"/>
  <c r="LL26" i="63"/>
  <c r="LK26" i="63"/>
  <c r="LJ26" i="63"/>
  <c r="LI26" i="63"/>
  <c r="LH26" i="63"/>
  <c r="LG26" i="63"/>
  <c r="LF26" i="63"/>
  <c r="LE26" i="63"/>
  <c r="LD26" i="63"/>
  <c r="LC26" i="63"/>
  <c r="LB26" i="63"/>
  <c r="LA26" i="63"/>
  <c r="KZ26" i="63"/>
  <c r="KY26" i="63"/>
  <c r="KX26" i="63"/>
  <c r="KW26" i="63"/>
  <c r="KV26" i="63"/>
  <c r="KU26" i="63"/>
  <c r="KT26" i="63"/>
  <c r="KS26" i="63"/>
  <c r="KR26" i="63"/>
  <c r="KQ26" i="63"/>
  <c r="KP26" i="63"/>
  <c r="KO26" i="63"/>
  <c r="KN26" i="63"/>
  <c r="KM26" i="63"/>
  <c r="KL26" i="63"/>
  <c r="KK26" i="63"/>
  <c r="KJ26" i="63"/>
  <c r="KI26" i="63"/>
  <c r="KH26" i="63"/>
  <c r="KG26" i="63"/>
  <c r="KF26" i="63"/>
  <c r="KE26" i="63"/>
  <c r="KD26" i="63"/>
  <c r="KC26" i="63"/>
  <c r="KB26" i="63"/>
  <c r="KA26" i="63"/>
  <c r="JZ26" i="63"/>
  <c r="JY26" i="63"/>
  <c r="JX26" i="63"/>
  <c r="JW26" i="63"/>
  <c r="JV26" i="63"/>
  <c r="JU26" i="63"/>
  <c r="JT26" i="63"/>
  <c r="JS26" i="63"/>
  <c r="JR26" i="63"/>
  <c r="JQ26" i="63"/>
  <c r="JP26" i="63"/>
  <c r="JO26" i="63"/>
  <c r="JN26" i="63"/>
  <c r="JM26" i="63"/>
  <c r="JL26" i="63"/>
  <c r="JK26" i="63"/>
  <c r="JJ26" i="63"/>
  <c r="JI26" i="63"/>
  <c r="JH26" i="63"/>
  <c r="JG26" i="63"/>
  <c r="JF26" i="63"/>
  <c r="JE26" i="63"/>
  <c r="JD26" i="63"/>
  <c r="JC26" i="63"/>
  <c r="JB26" i="63"/>
  <c r="JA26" i="63"/>
  <c r="IZ26" i="63"/>
  <c r="IY26" i="63"/>
  <c r="IX26" i="63"/>
  <c r="IW26" i="63"/>
  <c r="IV26" i="63"/>
  <c r="IU26" i="63"/>
  <c r="IT26" i="63"/>
  <c r="IS26" i="63"/>
  <c r="IR26" i="63"/>
  <c r="IQ26" i="63"/>
  <c r="IP26" i="63"/>
  <c r="IO26" i="63"/>
  <c r="IN26" i="63"/>
  <c r="IM26" i="63"/>
  <c r="IL26" i="63"/>
  <c r="IK26" i="63"/>
  <c r="IJ26" i="63"/>
  <c r="II26" i="63"/>
  <c r="IH26" i="63"/>
  <c r="IG26" i="63"/>
  <c r="IF26" i="63"/>
  <c r="IE26" i="63"/>
  <c r="ID26" i="63"/>
  <c r="IC26" i="63"/>
  <c r="IB26" i="63"/>
  <c r="IA26" i="63"/>
  <c r="HZ26" i="63"/>
  <c r="HY26" i="63"/>
  <c r="HX26" i="63"/>
  <c r="HW26" i="63"/>
  <c r="HV26" i="63"/>
  <c r="HU26" i="63"/>
  <c r="HT26" i="63"/>
  <c r="HS26" i="63"/>
  <c r="HR26" i="63"/>
  <c r="HQ26" i="63"/>
  <c r="HP26" i="63"/>
  <c r="HO26" i="63"/>
  <c r="HN26" i="63"/>
  <c r="HM26" i="63"/>
  <c r="HL26" i="63"/>
  <c r="HK26" i="63"/>
  <c r="HJ26" i="63"/>
  <c r="HI26" i="63"/>
  <c r="HH26" i="63"/>
  <c r="HG26" i="63"/>
  <c r="HF26" i="63"/>
  <c r="HE26" i="63"/>
  <c r="HD26" i="63"/>
  <c r="HC26" i="63"/>
  <c r="HB26" i="63"/>
  <c r="HA26" i="63"/>
  <c r="GZ26" i="63"/>
  <c r="GY26" i="63"/>
  <c r="GX26" i="63"/>
  <c r="GW26" i="63"/>
  <c r="GV26" i="63"/>
  <c r="GU26" i="63"/>
  <c r="GT26" i="63"/>
  <c r="GS26" i="63"/>
  <c r="GR26" i="63"/>
  <c r="GQ26" i="63"/>
  <c r="GP26" i="63"/>
  <c r="GO26" i="63"/>
  <c r="GN26" i="63"/>
  <c r="GM26" i="63"/>
  <c r="GL26" i="63"/>
  <c r="GK26" i="63"/>
  <c r="GJ26" i="63"/>
  <c r="GI26" i="63"/>
  <c r="GH26" i="63"/>
  <c r="GG26" i="63"/>
  <c r="GF26" i="63"/>
  <c r="GE26" i="63"/>
  <c r="GD26" i="63"/>
  <c r="GC26" i="63"/>
  <c r="GB26" i="63"/>
  <c r="GA26" i="63"/>
  <c r="FZ26" i="63"/>
  <c r="FY26" i="63"/>
  <c r="FX26" i="63"/>
  <c r="FW26" i="63"/>
  <c r="FV26" i="63"/>
  <c r="FU26" i="63"/>
  <c r="FT26" i="63"/>
  <c r="FS26" i="63"/>
  <c r="FR26" i="63"/>
  <c r="FQ26" i="63"/>
  <c r="FP26" i="63"/>
  <c r="FO26" i="63"/>
  <c r="C26" i="63"/>
  <c r="LW25" i="63"/>
  <c r="LV25" i="63"/>
  <c r="LU25" i="63"/>
  <c r="LT25" i="63"/>
  <c r="LS25" i="63"/>
  <c r="LR25" i="63"/>
  <c r="LQ25" i="63"/>
  <c r="LP25" i="63"/>
  <c r="LO25" i="63"/>
  <c r="LN25" i="63"/>
  <c r="LM25" i="63"/>
  <c r="LL25" i="63"/>
  <c r="LK25" i="63"/>
  <c r="LJ25" i="63"/>
  <c r="LI25" i="63"/>
  <c r="LH25" i="63"/>
  <c r="LG25" i="63"/>
  <c r="LF25" i="63"/>
  <c r="LE25" i="63"/>
  <c r="LD25" i="63"/>
  <c r="LC25" i="63"/>
  <c r="LB25" i="63"/>
  <c r="LA25" i="63"/>
  <c r="KZ25" i="63"/>
  <c r="KY25" i="63"/>
  <c r="KX25" i="63"/>
  <c r="KW25" i="63"/>
  <c r="KV25" i="63"/>
  <c r="KU25" i="63"/>
  <c r="KT25" i="63"/>
  <c r="KS25" i="63"/>
  <c r="KR25" i="63"/>
  <c r="KQ25" i="63"/>
  <c r="KP25" i="63"/>
  <c r="KO25" i="63"/>
  <c r="KN25" i="63"/>
  <c r="KM25" i="63"/>
  <c r="KL25" i="63"/>
  <c r="KK25" i="63"/>
  <c r="KJ25" i="63"/>
  <c r="KI25" i="63"/>
  <c r="KH25" i="63"/>
  <c r="KG25" i="63"/>
  <c r="KF25" i="63"/>
  <c r="KE25" i="63"/>
  <c r="KD25" i="63"/>
  <c r="KC25" i="63"/>
  <c r="KB25" i="63"/>
  <c r="KA25" i="63"/>
  <c r="JZ25" i="63"/>
  <c r="JY25" i="63"/>
  <c r="JX25" i="63"/>
  <c r="JW25" i="63"/>
  <c r="JV25" i="63"/>
  <c r="JU25" i="63"/>
  <c r="JT25" i="63"/>
  <c r="JS25" i="63"/>
  <c r="JR25" i="63"/>
  <c r="JQ25" i="63"/>
  <c r="JP25" i="63"/>
  <c r="JO25" i="63"/>
  <c r="JN25" i="63"/>
  <c r="JM25" i="63"/>
  <c r="JL25" i="63"/>
  <c r="JK25" i="63"/>
  <c r="JJ25" i="63"/>
  <c r="JI25" i="63"/>
  <c r="JH25" i="63"/>
  <c r="JG25" i="63"/>
  <c r="JF25" i="63"/>
  <c r="JE25" i="63"/>
  <c r="JD25" i="63"/>
  <c r="JC25" i="63"/>
  <c r="JB25" i="63"/>
  <c r="JA25" i="63"/>
  <c r="IZ25" i="63"/>
  <c r="IY25" i="63"/>
  <c r="IX25" i="63"/>
  <c r="IW25" i="63"/>
  <c r="IV25" i="63"/>
  <c r="IU25" i="63"/>
  <c r="IT25" i="63"/>
  <c r="IS25" i="63"/>
  <c r="IR25" i="63"/>
  <c r="IQ25" i="63"/>
  <c r="IP25" i="63"/>
  <c r="IO25" i="63"/>
  <c r="IN25" i="63"/>
  <c r="IM25" i="63"/>
  <c r="IL25" i="63"/>
  <c r="IK25" i="63"/>
  <c r="IJ25" i="63"/>
  <c r="II25" i="63"/>
  <c r="IH25" i="63"/>
  <c r="IG25" i="63"/>
  <c r="IF25" i="63"/>
  <c r="IE25" i="63"/>
  <c r="ID25" i="63"/>
  <c r="IC25" i="63"/>
  <c r="IB25" i="63"/>
  <c r="IA25" i="63"/>
  <c r="HZ25" i="63"/>
  <c r="HY25" i="63"/>
  <c r="HX25" i="63"/>
  <c r="HW25" i="63"/>
  <c r="HV25" i="63"/>
  <c r="HU25" i="63"/>
  <c r="HT25" i="63"/>
  <c r="HS25" i="63"/>
  <c r="HR25" i="63"/>
  <c r="HQ25" i="63"/>
  <c r="HP25" i="63"/>
  <c r="HO25" i="63"/>
  <c r="HN25" i="63"/>
  <c r="HM25" i="63"/>
  <c r="HL25" i="63"/>
  <c r="HK25" i="63"/>
  <c r="HJ25" i="63"/>
  <c r="HI25" i="63"/>
  <c r="HH25" i="63"/>
  <c r="HG25" i="63"/>
  <c r="HF25" i="63"/>
  <c r="HE25" i="63"/>
  <c r="HD25" i="63"/>
  <c r="HC25" i="63"/>
  <c r="HB25" i="63"/>
  <c r="HA25" i="63"/>
  <c r="GZ25" i="63"/>
  <c r="GY25" i="63"/>
  <c r="GX25" i="63"/>
  <c r="GW25" i="63"/>
  <c r="GV25" i="63"/>
  <c r="GU25" i="63"/>
  <c r="GT25" i="63"/>
  <c r="GS25" i="63"/>
  <c r="GR25" i="63"/>
  <c r="GQ25" i="63"/>
  <c r="GP25" i="63"/>
  <c r="GO25" i="63"/>
  <c r="GN25" i="63"/>
  <c r="GM25" i="63"/>
  <c r="GL25" i="63"/>
  <c r="GK25" i="63"/>
  <c r="GJ25" i="63"/>
  <c r="GI25" i="63"/>
  <c r="GH25" i="63"/>
  <c r="GG25" i="63"/>
  <c r="GF25" i="63"/>
  <c r="GE25" i="63"/>
  <c r="GD25" i="63"/>
  <c r="GC25" i="63"/>
  <c r="GB25" i="63"/>
  <c r="GA25" i="63"/>
  <c r="FZ25" i="63"/>
  <c r="FY25" i="63"/>
  <c r="FX25" i="63"/>
  <c r="FW25" i="63"/>
  <c r="FV25" i="63"/>
  <c r="FU25" i="63"/>
  <c r="FT25" i="63"/>
  <c r="FS25" i="63"/>
  <c r="FR25" i="63"/>
  <c r="FQ25" i="63"/>
  <c r="FP25" i="63"/>
  <c r="FO25" i="63"/>
  <c r="C25" i="63"/>
  <c r="LW24" i="63"/>
  <c r="LV24" i="63"/>
  <c r="LU24" i="63"/>
  <c r="LT24" i="63"/>
  <c r="LS24" i="63"/>
  <c r="LR24" i="63"/>
  <c r="LQ24" i="63"/>
  <c r="LP24" i="63"/>
  <c r="LO24" i="63"/>
  <c r="LN24" i="63"/>
  <c r="LM24" i="63"/>
  <c r="LL24" i="63"/>
  <c r="LK24" i="63"/>
  <c r="LJ24" i="63"/>
  <c r="LI24" i="63"/>
  <c r="LH24" i="63"/>
  <c r="LG24" i="63"/>
  <c r="LF24" i="63"/>
  <c r="LE24" i="63"/>
  <c r="LD24" i="63"/>
  <c r="LC24" i="63"/>
  <c r="LB24" i="63"/>
  <c r="LA24" i="63"/>
  <c r="KZ24" i="63"/>
  <c r="KY24" i="63"/>
  <c r="KX24" i="63"/>
  <c r="KW24" i="63"/>
  <c r="KV24" i="63"/>
  <c r="KU24" i="63"/>
  <c r="KT24" i="63"/>
  <c r="KS24" i="63"/>
  <c r="KR24" i="63"/>
  <c r="KQ24" i="63"/>
  <c r="KP24" i="63"/>
  <c r="KO24" i="63"/>
  <c r="KN24" i="63"/>
  <c r="KM24" i="63"/>
  <c r="KL24" i="63"/>
  <c r="KK24" i="63"/>
  <c r="KJ24" i="63"/>
  <c r="KI24" i="63"/>
  <c r="KH24" i="63"/>
  <c r="KG24" i="63"/>
  <c r="KF24" i="63"/>
  <c r="KE24" i="63"/>
  <c r="KD24" i="63"/>
  <c r="KC24" i="63"/>
  <c r="KB24" i="63"/>
  <c r="KA24" i="63"/>
  <c r="JZ24" i="63"/>
  <c r="JY24" i="63"/>
  <c r="JX24" i="63"/>
  <c r="JW24" i="63"/>
  <c r="JV24" i="63"/>
  <c r="JU24" i="63"/>
  <c r="JT24" i="63"/>
  <c r="JS24" i="63"/>
  <c r="JR24" i="63"/>
  <c r="JQ24" i="63"/>
  <c r="JP24" i="63"/>
  <c r="JO24" i="63"/>
  <c r="JN24" i="63"/>
  <c r="JM24" i="63"/>
  <c r="JL24" i="63"/>
  <c r="JK24" i="63"/>
  <c r="JJ24" i="63"/>
  <c r="JI24" i="63"/>
  <c r="JH24" i="63"/>
  <c r="JG24" i="63"/>
  <c r="JF24" i="63"/>
  <c r="JE24" i="63"/>
  <c r="JD24" i="63"/>
  <c r="JC24" i="63"/>
  <c r="JB24" i="63"/>
  <c r="JA24" i="63"/>
  <c r="IZ24" i="63"/>
  <c r="IY24" i="63"/>
  <c r="IX24" i="63"/>
  <c r="IW24" i="63"/>
  <c r="IV24" i="63"/>
  <c r="IU24" i="63"/>
  <c r="IT24" i="63"/>
  <c r="IS24" i="63"/>
  <c r="IR24" i="63"/>
  <c r="IQ24" i="63"/>
  <c r="IP24" i="63"/>
  <c r="IO24" i="63"/>
  <c r="IN24" i="63"/>
  <c r="IM24" i="63"/>
  <c r="IL24" i="63"/>
  <c r="IK24" i="63"/>
  <c r="IJ24" i="63"/>
  <c r="II24" i="63"/>
  <c r="IH24" i="63"/>
  <c r="IG24" i="63"/>
  <c r="IF24" i="63"/>
  <c r="IE24" i="63"/>
  <c r="ID24" i="63"/>
  <c r="IC24" i="63"/>
  <c r="IB24" i="63"/>
  <c r="IA24" i="63"/>
  <c r="HZ24" i="63"/>
  <c r="HY24" i="63"/>
  <c r="HX24" i="63"/>
  <c r="HW24" i="63"/>
  <c r="HV24" i="63"/>
  <c r="HU24" i="63"/>
  <c r="HT24" i="63"/>
  <c r="HS24" i="63"/>
  <c r="HR24" i="63"/>
  <c r="HQ24" i="63"/>
  <c r="HP24" i="63"/>
  <c r="HO24" i="63"/>
  <c r="HN24" i="63"/>
  <c r="HM24" i="63"/>
  <c r="HL24" i="63"/>
  <c r="HK24" i="63"/>
  <c r="HJ24" i="63"/>
  <c r="HI24" i="63"/>
  <c r="HH24" i="63"/>
  <c r="HG24" i="63"/>
  <c r="HF24" i="63"/>
  <c r="HE24" i="63"/>
  <c r="HD24" i="63"/>
  <c r="HC24" i="63"/>
  <c r="HB24" i="63"/>
  <c r="HA24" i="63"/>
  <c r="GZ24" i="63"/>
  <c r="GY24" i="63"/>
  <c r="GX24" i="63"/>
  <c r="GW24" i="63"/>
  <c r="GV24" i="63"/>
  <c r="GU24" i="63"/>
  <c r="GT24" i="63"/>
  <c r="GS24" i="63"/>
  <c r="GR24" i="63"/>
  <c r="GQ24" i="63"/>
  <c r="GP24" i="63"/>
  <c r="GO24" i="63"/>
  <c r="GN24" i="63"/>
  <c r="GM24" i="63"/>
  <c r="GL24" i="63"/>
  <c r="GK24" i="63"/>
  <c r="GJ24" i="63"/>
  <c r="GI24" i="63"/>
  <c r="GH24" i="63"/>
  <c r="GG24" i="63"/>
  <c r="GF24" i="63"/>
  <c r="GE24" i="63"/>
  <c r="GD24" i="63"/>
  <c r="GC24" i="63"/>
  <c r="GB24" i="63"/>
  <c r="GA24" i="63"/>
  <c r="FZ24" i="63"/>
  <c r="FY24" i="63"/>
  <c r="FX24" i="63"/>
  <c r="FW24" i="63"/>
  <c r="FV24" i="63"/>
  <c r="FU24" i="63"/>
  <c r="FT24" i="63"/>
  <c r="FS24" i="63"/>
  <c r="FR24" i="63"/>
  <c r="FQ24" i="63"/>
  <c r="FP24" i="63"/>
  <c r="FO24" i="63"/>
  <c r="C24" i="63"/>
  <c r="LW23" i="63"/>
  <c r="LV23" i="63"/>
  <c r="LU23" i="63"/>
  <c r="LT23" i="63"/>
  <c r="LS23" i="63"/>
  <c r="LR23" i="63"/>
  <c r="LQ23" i="63"/>
  <c r="LP23" i="63"/>
  <c r="LO23" i="63"/>
  <c r="LN23" i="63"/>
  <c r="LM23" i="63"/>
  <c r="LL23" i="63"/>
  <c r="LK23" i="63"/>
  <c r="LJ23" i="63"/>
  <c r="LI23" i="63"/>
  <c r="LH23" i="63"/>
  <c r="LG23" i="63"/>
  <c r="LF23" i="63"/>
  <c r="LE23" i="63"/>
  <c r="LD23" i="63"/>
  <c r="LC23" i="63"/>
  <c r="LB23" i="63"/>
  <c r="LA23" i="63"/>
  <c r="KZ23" i="63"/>
  <c r="KY23" i="63"/>
  <c r="KX23" i="63"/>
  <c r="KW23" i="63"/>
  <c r="KV23" i="63"/>
  <c r="KU23" i="63"/>
  <c r="KT23" i="63"/>
  <c r="KS23" i="63"/>
  <c r="KR23" i="63"/>
  <c r="KQ23" i="63"/>
  <c r="KP23" i="63"/>
  <c r="KO23" i="63"/>
  <c r="KN23" i="63"/>
  <c r="KM23" i="63"/>
  <c r="KL23" i="63"/>
  <c r="KK23" i="63"/>
  <c r="KJ23" i="63"/>
  <c r="KI23" i="63"/>
  <c r="KH23" i="63"/>
  <c r="KG23" i="63"/>
  <c r="KF23" i="63"/>
  <c r="KE23" i="63"/>
  <c r="KD23" i="63"/>
  <c r="KC23" i="63"/>
  <c r="KB23" i="63"/>
  <c r="KA23" i="63"/>
  <c r="JZ23" i="63"/>
  <c r="JY23" i="63"/>
  <c r="JX23" i="63"/>
  <c r="JW23" i="63"/>
  <c r="JV23" i="63"/>
  <c r="JU23" i="63"/>
  <c r="JT23" i="63"/>
  <c r="JS23" i="63"/>
  <c r="JR23" i="63"/>
  <c r="JQ23" i="63"/>
  <c r="JP23" i="63"/>
  <c r="JO23" i="63"/>
  <c r="JN23" i="63"/>
  <c r="JM23" i="63"/>
  <c r="JL23" i="63"/>
  <c r="JK23" i="63"/>
  <c r="JJ23" i="63"/>
  <c r="JI23" i="63"/>
  <c r="JH23" i="63"/>
  <c r="JG23" i="63"/>
  <c r="JF23" i="63"/>
  <c r="JE23" i="63"/>
  <c r="JD23" i="63"/>
  <c r="JC23" i="63"/>
  <c r="JB23" i="63"/>
  <c r="JA23" i="63"/>
  <c r="IZ23" i="63"/>
  <c r="IY23" i="63"/>
  <c r="IX23" i="63"/>
  <c r="IW23" i="63"/>
  <c r="IV23" i="63"/>
  <c r="IU23" i="63"/>
  <c r="IT23" i="63"/>
  <c r="IS23" i="63"/>
  <c r="IR23" i="63"/>
  <c r="IQ23" i="63"/>
  <c r="IP23" i="63"/>
  <c r="IO23" i="63"/>
  <c r="IN23" i="63"/>
  <c r="IM23" i="63"/>
  <c r="IL23" i="63"/>
  <c r="IK23" i="63"/>
  <c r="IJ23" i="63"/>
  <c r="II23" i="63"/>
  <c r="IH23" i="63"/>
  <c r="IG23" i="63"/>
  <c r="IF23" i="63"/>
  <c r="IE23" i="63"/>
  <c r="ID23" i="63"/>
  <c r="IC23" i="63"/>
  <c r="IB23" i="63"/>
  <c r="IA23" i="63"/>
  <c r="HZ23" i="63"/>
  <c r="HY23" i="63"/>
  <c r="HX23" i="63"/>
  <c r="HW23" i="63"/>
  <c r="HV23" i="63"/>
  <c r="HU23" i="63"/>
  <c r="HT23" i="63"/>
  <c r="HS23" i="63"/>
  <c r="HR23" i="63"/>
  <c r="HQ23" i="63"/>
  <c r="HP23" i="63"/>
  <c r="HO23" i="63"/>
  <c r="HN23" i="63"/>
  <c r="HM23" i="63"/>
  <c r="HL23" i="63"/>
  <c r="HK23" i="63"/>
  <c r="HJ23" i="63"/>
  <c r="HI23" i="63"/>
  <c r="HH23" i="63"/>
  <c r="HG23" i="63"/>
  <c r="HF23" i="63"/>
  <c r="HE23" i="63"/>
  <c r="HD23" i="63"/>
  <c r="HC23" i="63"/>
  <c r="HB23" i="63"/>
  <c r="HA23" i="63"/>
  <c r="GZ23" i="63"/>
  <c r="GY23" i="63"/>
  <c r="GX23" i="63"/>
  <c r="GW23" i="63"/>
  <c r="GV23" i="63"/>
  <c r="GU23" i="63"/>
  <c r="GT23" i="63"/>
  <c r="GS23" i="63"/>
  <c r="GR23" i="63"/>
  <c r="GQ23" i="63"/>
  <c r="GP23" i="63"/>
  <c r="GO23" i="63"/>
  <c r="GN23" i="63"/>
  <c r="GM23" i="63"/>
  <c r="GL23" i="63"/>
  <c r="GK23" i="63"/>
  <c r="GJ23" i="63"/>
  <c r="GI23" i="63"/>
  <c r="GH23" i="63"/>
  <c r="GG23" i="63"/>
  <c r="GF23" i="63"/>
  <c r="GE23" i="63"/>
  <c r="GD23" i="63"/>
  <c r="GC23" i="63"/>
  <c r="GB23" i="63"/>
  <c r="GA23" i="63"/>
  <c r="FZ23" i="63"/>
  <c r="FY23" i="63"/>
  <c r="FX23" i="63"/>
  <c r="FW23" i="63"/>
  <c r="FV23" i="63"/>
  <c r="FU23" i="63"/>
  <c r="FT23" i="63"/>
  <c r="FS23" i="63"/>
  <c r="FR23" i="63"/>
  <c r="FQ23" i="63"/>
  <c r="FP23" i="63"/>
  <c r="FO23" i="63"/>
  <c r="C23" i="63"/>
  <c r="LW22" i="63"/>
  <c r="LV22" i="63"/>
  <c r="LU22" i="63"/>
  <c r="LT22" i="63"/>
  <c r="LS22" i="63"/>
  <c r="LR22" i="63"/>
  <c r="LQ22" i="63"/>
  <c r="LP22" i="63"/>
  <c r="LO22" i="63"/>
  <c r="LN22" i="63"/>
  <c r="LM22" i="63"/>
  <c r="LL22" i="63"/>
  <c r="LK22" i="63"/>
  <c r="LJ22" i="63"/>
  <c r="LI22" i="63"/>
  <c r="LH22" i="63"/>
  <c r="LG22" i="63"/>
  <c r="LF22" i="63"/>
  <c r="LE22" i="63"/>
  <c r="LD22" i="63"/>
  <c r="LC22" i="63"/>
  <c r="LB22" i="63"/>
  <c r="LA22" i="63"/>
  <c r="KZ22" i="63"/>
  <c r="KY22" i="63"/>
  <c r="KX22" i="63"/>
  <c r="KW22" i="63"/>
  <c r="KV22" i="63"/>
  <c r="KU22" i="63"/>
  <c r="KT22" i="63"/>
  <c r="KS22" i="63"/>
  <c r="KR22" i="63"/>
  <c r="KQ22" i="63"/>
  <c r="KP22" i="63"/>
  <c r="KO22" i="63"/>
  <c r="KN22" i="63"/>
  <c r="KM22" i="63"/>
  <c r="KL22" i="63"/>
  <c r="KK22" i="63"/>
  <c r="KJ22" i="63"/>
  <c r="KI22" i="63"/>
  <c r="KH22" i="63"/>
  <c r="KG22" i="63"/>
  <c r="KF22" i="63"/>
  <c r="KE22" i="63"/>
  <c r="KD22" i="63"/>
  <c r="KC22" i="63"/>
  <c r="KB22" i="63"/>
  <c r="KA22" i="63"/>
  <c r="JZ22" i="63"/>
  <c r="JY22" i="63"/>
  <c r="JX22" i="63"/>
  <c r="JW22" i="63"/>
  <c r="JV22" i="63"/>
  <c r="JU22" i="63"/>
  <c r="JT22" i="63"/>
  <c r="JS22" i="63"/>
  <c r="JR22" i="63"/>
  <c r="JQ22" i="63"/>
  <c r="JP22" i="63"/>
  <c r="JO22" i="63"/>
  <c r="JN22" i="63"/>
  <c r="JM22" i="63"/>
  <c r="JL22" i="63"/>
  <c r="JK22" i="63"/>
  <c r="JJ22" i="63"/>
  <c r="JI22" i="63"/>
  <c r="JH22" i="63"/>
  <c r="JG22" i="63"/>
  <c r="JF22" i="63"/>
  <c r="JE22" i="63"/>
  <c r="JD22" i="63"/>
  <c r="JC22" i="63"/>
  <c r="JB22" i="63"/>
  <c r="JA22" i="63"/>
  <c r="IZ22" i="63"/>
  <c r="IY22" i="63"/>
  <c r="IX22" i="63"/>
  <c r="IW22" i="63"/>
  <c r="IV22" i="63"/>
  <c r="IU22" i="63"/>
  <c r="IT22" i="63"/>
  <c r="IS22" i="63"/>
  <c r="IR22" i="63"/>
  <c r="IQ22" i="63"/>
  <c r="IP22" i="63"/>
  <c r="IO22" i="63"/>
  <c r="IN22" i="63"/>
  <c r="IM22" i="63"/>
  <c r="IL22" i="63"/>
  <c r="IK22" i="63"/>
  <c r="IJ22" i="63"/>
  <c r="II22" i="63"/>
  <c r="IH22" i="63"/>
  <c r="IG22" i="63"/>
  <c r="IF22" i="63"/>
  <c r="IE22" i="63"/>
  <c r="ID22" i="63"/>
  <c r="IC22" i="63"/>
  <c r="IB22" i="63"/>
  <c r="IA22" i="63"/>
  <c r="HZ22" i="63"/>
  <c r="HY22" i="63"/>
  <c r="HX22" i="63"/>
  <c r="HW22" i="63"/>
  <c r="HV22" i="63"/>
  <c r="HU22" i="63"/>
  <c r="HT22" i="63"/>
  <c r="HS22" i="63"/>
  <c r="HR22" i="63"/>
  <c r="HQ22" i="63"/>
  <c r="HP22" i="63"/>
  <c r="HO22" i="63"/>
  <c r="HN22" i="63"/>
  <c r="HM22" i="63"/>
  <c r="HL22" i="63"/>
  <c r="HK22" i="63"/>
  <c r="HJ22" i="63"/>
  <c r="HI22" i="63"/>
  <c r="HH22" i="63"/>
  <c r="HG22" i="63"/>
  <c r="HF22" i="63"/>
  <c r="HE22" i="63"/>
  <c r="HD22" i="63"/>
  <c r="HC22" i="63"/>
  <c r="HB22" i="63"/>
  <c r="HA22" i="63"/>
  <c r="GZ22" i="63"/>
  <c r="GY22" i="63"/>
  <c r="GX22" i="63"/>
  <c r="GW22" i="63"/>
  <c r="GV22" i="63"/>
  <c r="GU22" i="63"/>
  <c r="GT22" i="63"/>
  <c r="GS22" i="63"/>
  <c r="GR22" i="63"/>
  <c r="GQ22" i="63"/>
  <c r="GP22" i="63"/>
  <c r="GO22" i="63"/>
  <c r="GN22" i="63"/>
  <c r="GM22" i="63"/>
  <c r="GL22" i="63"/>
  <c r="GK22" i="63"/>
  <c r="GJ22" i="63"/>
  <c r="GI22" i="63"/>
  <c r="GH22" i="63"/>
  <c r="GG22" i="63"/>
  <c r="GF22" i="63"/>
  <c r="GE22" i="63"/>
  <c r="GD22" i="63"/>
  <c r="GC22" i="63"/>
  <c r="GB22" i="63"/>
  <c r="GA22" i="63"/>
  <c r="FZ22" i="63"/>
  <c r="FY22" i="63"/>
  <c r="FX22" i="63"/>
  <c r="FW22" i="63"/>
  <c r="FV22" i="63"/>
  <c r="FU22" i="63"/>
  <c r="FT22" i="63"/>
  <c r="FS22" i="63"/>
  <c r="FR22" i="63"/>
  <c r="FQ22" i="63"/>
  <c r="FP22" i="63"/>
  <c r="FO22" i="63"/>
  <c r="C22" i="63"/>
  <c r="LW21" i="63"/>
  <c r="LV21" i="63"/>
  <c r="LU21" i="63"/>
  <c r="LT21" i="63"/>
  <c r="LS21" i="63"/>
  <c r="LR21" i="63"/>
  <c r="LQ21" i="63"/>
  <c r="LP21" i="63"/>
  <c r="LO21" i="63"/>
  <c r="LN21" i="63"/>
  <c r="LM21" i="63"/>
  <c r="LL21" i="63"/>
  <c r="LK21" i="63"/>
  <c r="LJ21" i="63"/>
  <c r="LI21" i="63"/>
  <c r="LH21" i="63"/>
  <c r="LG21" i="63"/>
  <c r="LF21" i="63"/>
  <c r="LE21" i="63"/>
  <c r="LD21" i="63"/>
  <c r="LC21" i="63"/>
  <c r="LB21" i="63"/>
  <c r="LA21" i="63"/>
  <c r="KZ21" i="63"/>
  <c r="KY21" i="63"/>
  <c r="KX21" i="63"/>
  <c r="KW21" i="63"/>
  <c r="KV21" i="63"/>
  <c r="KU21" i="63"/>
  <c r="KT21" i="63"/>
  <c r="KS21" i="63"/>
  <c r="KR21" i="63"/>
  <c r="KQ21" i="63"/>
  <c r="KP21" i="63"/>
  <c r="KO21" i="63"/>
  <c r="KN21" i="63"/>
  <c r="KM21" i="63"/>
  <c r="KL21" i="63"/>
  <c r="KK21" i="63"/>
  <c r="KJ21" i="63"/>
  <c r="KI21" i="63"/>
  <c r="KH21" i="63"/>
  <c r="KG21" i="63"/>
  <c r="KF21" i="63"/>
  <c r="KE21" i="63"/>
  <c r="KD21" i="63"/>
  <c r="KC21" i="63"/>
  <c r="KB21" i="63"/>
  <c r="KA21" i="63"/>
  <c r="JZ21" i="63"/>
  <c r="JY21" i="63"/>
  <c r="JX21" i="63"/>
  <c r="JW21" i="63"/>
  <c r="JV21" i="63"/>
  <c r="JU21" i="63"/>
  <c r="JT21" i="63"/>
  <c r="JS21" i="63"/>
  <c r="JR21" i="63"/>
  <c r="JQ21" i="63"/>
  <c r="JP21" i="63"/>
  <c r="JO21" i="63"/>
  <c r="JN21" i="63"/>
  <c r="JM21" i="63"/>
  <c r="JL21" i="63"/>
  <c r="JK21" i="63"/>
  <c r="JJ21" i="63"/>
  <c r="JI21" i="63"/>
  <c r="JH21" i="63"/>
  <c r="JG21" i="63"/>
  <c r="JF21" i="63"/>
  <c r="JE21" i="63"/>
  <c r="JD21" i="63"/>
  <c r="JC21" i="63"/>
  <c r="JB21" i="63"/>
  <c r="JA21" i="63"/>
  <c r="IZ21" i="63"/>
  <c r="IY21" i="63"/>
  <c r="IX21" i="63"/>
  <c r="IW21" i="63"/>
  <c r="IV21" i="63"/>
  <c r="IU21" i="63"/>
  <c r="IT21" i="63"/>
  <c r="IS21" i="63"/>
  <c r="IR21" i="63"/>
  <c r="IQ21" i="63"/>
  <c r="IP21" i="63"/>
  <c r="IO21" i="63"/>
  <c r="IN21" i="63"/>
  <c r="IM21" i="63"/>
  <c r="IL21" i="63"/>
  <c r="IK21" i="63"/>
  <c r="IJ21" i="63"/>
  <c r="II21" i="63"/>
  <c r="IH21" i="63"/>
  <c r="IG21" i="63"/>
  <c r="IF21" i="63"/>
  <c r="IE21" i="63"/>
  <c r="ID21" i="63"/>
  <c r="IC21" i="63"/>
  <c r="IB21" i="63"/>
  <c r="IA21" i="63"/>
  <c r="HZ21" i="63"/>
  <c r="HY21" i="63"/>
  <c r="HX21" i="63"/>
  <c r="HW21" i="63"/>
  <c r="HV21" i="63"/>
  <c r="HU21" i="63"/>
  <c r="HT21" i="63"/>
  <c r="HS21" i="63"/>
  <c r="HR21" i="63"/>
  <c r="HQ21" i="63"/>
  <c r="HP21" i="63"/>
  <c r="HO21" i="63"/>
  <c r="HN21" i="63"/>
  <c r="HM21" i="63"/>
  <c r="HL21" i="63"/>
  <c r="HK21" i="63"/>
  <c r="HJ21" i="63"/>
  <c r="HI21" i="63"/>
  <c r="HH21" i="63"/>
  <c r="HG21" i="63"/>
  <c r="HF21" i="63"/>
  <c r="HE21" i="63"/>
  <c r="HD21" i="63"/>
  <c r="HC21" i="63"/>
  <c r="HB21" i="63"/>
  <c r="HA21" i="63"/>
  <c r="GZ21" i="63"/>
  <c r="GY21" i="63"/>
  <c r="GX21" i="63"/>
  <c r="GW21" i="63"/>
  <c r="GV21" i="63"/>
  <c r="GU21" i="63"/>
  <c r="GT21" i="63"/>
  <c r="GS21" i="63"/>
  <c r="GR21" i="63"/>
  <c r="GQ21" i="63"/>
  <c r="GP21" i="63"/>
  <c r="GO21" i="63"/>
  <c r="GN21" i="63"/>
  <c r="GM21" i="63"/>
  <c r="GL21" i="63"/>
  <c r="GK21" i="63"/>
  <c r="GJ21" i="63"/>
  <c r="GI21" i="63"/>
  <c r="GH21" i="63"/>
  <c r="GG21" i="63"/>
  <c r="GF21" i="63"/>
  <c r="GE21" i="63"/>
  <c r="GD21" i="63"/>
  <c r="GC21" i="63"/>
  <c r="GB21" i="63"/>
  <c r="GA21" i="63"/>
  <c r="FZ21" i="63"/>
  <c r="FY21" i="63"/>
  <c r="FX21" i="63"/>
  <c r="FW21" i="63"/>
  <c r="FV21" i="63"/>
  <c r="FU21" i="63"/>
  <c r="FT21" i="63"/>
  <c r="FS21" i="63"/>
  <c r="FR21" i="63"/>
  <c r="FQ21" i="63"/>
  <c r="FP21" i="63"/>
  <c r="FO21" i="63"/>
  <c r="C21" i="63"/>
  <c r="LW20" i="63"/>
  <c r="LV20" i="63"/>
  <c r="LU20" i="63"/>
  <c r="LT20" i="63"/>
  <c r="LS20" i="63"/>
  <c r="LR20" i="63"/>
  <c r="LQ20" i="63"/>
  <c r="LP20" i="63"/>
  <c r="LO20" i="63"/>
  <c r="LN20" i="63"/>
  <c r="LM20" i="63"/>
  <c r="LL20" i="63"/>
  <c r="LK20" i="63"/>
  <c r="LJ20" i="63"/>
  <c r="LI20" i="63"/>
  <c r="LH20" i="63"/>
  <c r="LG20" i="63"/>
  <c r="LF20" i="63"/>
  <c r="LE20" i="63"/>
  <c r="LD20" i="63"/>
  <c r="LC20" i="63"/>
  <c r="LB20" i="63"/>
  <c r="LA20" i="63"/>
  <c r="KZ20" i="63"/>
  <c r="KY20" i="63"/>
  <c r="KX20" i="63"/>
  <c r="KW20" i="63"/>
  <c r="KV20" i="63"/>
  <c r="KU20" i="63"/>
  <c r="KT20" i="63"/>
  <c r="KS20" i="63"/>
  <c r="KR20" i="63"/>
  <c r="KQ20" i="63"/>
  <c r="KP20" i="63"/>
  <c r="KO20" i="63"/>
  <c r="KN20" i="63"/>
  <c r="KM20" i="63"/>
  <c r="KL20" i="63"/>
  <c r="KK20" i="63"/>
  <c r="KJ20" i="63"/>
  <c r="KI20" i="63"/>
  <c r="KH20" i="63"/>
  <c r="KG20" i="63"/>
  <c r="KF20" i="63"/>
  <c r="KE20" i="63"/>
  <c r="KD20" i="63"/>
  <c r="KC20" i="63"/>
  <c r="KB20" i="63"/>
  <c r="KA20" i="63"/>
  <c r="JZ20" i="63"/>
  <c r="JY20" i="63"/>
  <c r="JX20" i="63"/>
  <c r="JW20" i="63"/>
  <c r="JV20" i="63"/>
  <c r="JU20" i="63"/>
  <c r="JT20" i="63"/>
  <c r="JS20" i="63"/>
  <c r="JR20" i="63"/>
  <c r="JQ20" i="63"/>
  <c r="JP20" i="63"/>
  <c r="JO20" i="63"/>
  <c r="JN20" i="63"/>
  <c r="JM20" i="63"/>
  <c r="JL20" i="63"/>
  <c r="JK20" i="63"/>
  <c r="JJ20" i="63"/>
  <c r="JI20" i="63"/>
  <c r="JH20" i="63"/>
  <c r="JG20" i="63"/>
  <c r="JF20" i="63"/>
  <c r="JE20" i="63"/>
  <c r="JD20" i="63"/>
  <c r="JC20" i="63"/>
  <c r="JB20" i="63"/>
  <c r="JA20" i="63"/>
  <c r="IZ20" i="63"/>
  <c r="IY20" i="63"/>
  <c r="IX20" i="63"/>
  <c r="IW20" i="63"/>
  <c r="IV20" i="63"/>
  <c r="IU20" i="63"/>
  <c r="IT20" i="63"/>
  <c r="IS20" i="63"/>
  <c r="IR20" i="63"/>
  <c r="IQ20" i="63"/>
  <c r="IP20" i="63"/>
  <c r="IO20" i="63"/>
  <c r="IN20" i="63"/>
  <c r="IM20" i="63"/>
  <c r="IL20" i="63"/>
  <c r="IK20" i="63"/>
  <c r="IJ20" i="63"/>
  <c r="II20" i="63"/>
  <c r="IH20" i="63"/>
  <c r="IG20" i="63"/>
  <c r="IF20" i="63"/>
  <c r="IE20" i="63"/>
  <c r="ID20" i="63"/>
  <c r="IC20" i="63"/>
  <c r="IB20" i="63"/>
  <c r="IA20" i="63"/>
  <c r="HZ20" i="63"/>
  <c r="HY20" i="63"/>
  <c r="HX20" i="63"/>
  <c r="HW20" i="63"/>
  <c r="HV20" i="63"/>
  <c r="HU20" i="63"/>
  <c r="HT20" i="63"/>
  <c r="HS20" i="63"/>
  <c r="HR20" i="63"/>
  <c r="HQ20" i="63"/>
  <c r="HP20" i="63"/>
  <c r="HO20" i="63"/>
  <c r="HN20" i="63"/>
  <c r="HM20" i="63"/>
  <c r="HL20" i="63"/>
  <c r="HK20" i="63"/>
  <c r="HJ20" i="63"/>
  <c r="HI20" i="63"/>
  <c r="HH20" i="63"/>
  <c r="HG20" i="63"/>
  <c r="HF20" i="63"/>
  <c r="HE20" i="63"/>
  <c r="HD20" i="63"/>
  <c r="HC20" i="63"/>
  <c r="HB20" i="63"/>
  <c r="HA20" i="63"/>
  <c r="GZ20" i="63"/>
  <c r="GY20" i="63"/>
  <c r="GX20" i="63"/>
  <c r="GW20" i="63"/>
  <c r="GV20" i="63"/>
  <c r="GU20" i="63"/>
  <c r="GT20" i="63"/>
  <c r="GS20" i="63"/>
  <c r="GR20" i="63"/>
  <c r="GQ20" i="63"/>
  <c r="GP20" i="63"/>
  <c r="GO20" i="63"/>
  <c r="GN20" i="63"/>
  <c r="GM20" i="63"/>
  <c r="GL20" i="63"/>
  <c r="GK20" i="63"/>
  <c r="GJ20" i="63"/>
  <c r="GI20" i="63"/>
  <c r="GH20" i="63"/>
  <c r="GG20" i="63"/>
  <c r="GF20" i="63"/>
  <c r="GE20" i="63"/>
  <c r="GD20" i="63"/>
  <c r="GC20" i="63"/>
  <c r="GB20" i="63"/>
  <c r="GA20" i="63"/>
  <c r="FZ20" i="63"/>
  <c r="FY20" i="63"/>
  <c r="FX20" i="63"/>
  <c r="FW20" i="63"/>
  <c r="FV20" i="63"/>
  <c r="FU20" i="63"/>
  <c r="FT20" i="63"/>
  <c r="FS20" i="63"/>
  <c r="FR20" i="63"/>
  <c r="FQ20" i="63"/>
  <c r="FP20" i="63"/>
  <c r="FO20" i="63"/>
  <c r="C20" i="63"/>
  <c r="LW19" i="63"/>
  <c r="LV19" i="63"/>
  <c r="LU19" i="63"/>
  <c r="LT19" i="63"/>
  <c r="LS19" i="63"/>
  <c r="LR19" i="63"/>
  <c r="LQ19" i="63"/>
  <c r="LP19" i="63"/>
  <c r="LO19" i="63"/>
  <c r="LN19" i="63"/>
  <c r="LM19" i="63"/>
  <c r="LL19" i="63"/>
  <c r="LK19" i="63"/>
  <c r="LJ19" i="63"/>
  <c r="LI19" i="63"/>
  <c r="LH19" i="63"/>
  <c r="LG19" i="63"/>
  <c r="LF19" i="63"/>
  <c r="LE19" i="63"/>
  <c r="LD19" i="63"/>
  <c r="LC19" i="63"/>
  <c r="LB19" i="63"/>
  <c r="LA19" i="63"/>
  <c r="KZ19" i="63"/>
  <c r="KY19" i="63"/>
  <c r="KX19" i="63"/>
  <c r="KW19" i="63"/>
  <c r="KV19" i="63"/>
  <c r="KU19" i="63"/>
  <c r="KT19" i="63"/>
  <c r="KS19" i="63"/>
  <c r="KR19" i="63"/>
  <c r="KQ19" i="63"/>
  <c r="KP19" i="63"/>
  <c r="KO19" i="63"/>
  <c r="KN19" i="63"/>
  <c r="KM19" i="63"/>
  <c r="KL19" i="63"/>
  <c r="KK19" i="63"/>
  <c r="KJ19" i="63"/>
  <c r="KI19" i="63"/>
  <c r="KH19" i="63"/>
  <c r="KG19" i="63"/>
  <c r="KF19" i="63"/>
  <c r="KE19" i="63"/>
  <c r="KD19" i="63"/>
  <c r="KC19" i="63"/>
  <c r="KB19" i="63"/>
  <c r="KA19" i="63"/>
  <c r="JZ19" i="63"/>
  <c r="JY19" i="63"/>
  <c r="JX19" i="63"/>
  <c r="JW19" i="63"/>
  <c r="JV19" i="63"/>
  <c r="JU19" i="63"/>
  <c r="JT19" i="63"/>
  <c r="JS19" i="63"/>
  <c r="JR19" i="63"/>
  <c r="JQ19" i="63"/>
  <c r="JP19" i="63"/>
  <c r="JO19" i="63"/>
  <c r="JN19" i="63"/>
  <c r="JM19" i="63"/>
  <c r="JL19" i="63"/>
  <c r="JK19" i="63"/>
  <c r="JJ19" i="63"/>
  <c r="JI19" i="63"/>
  <c r="JH19" i="63"/>
  <c r="JG19" i="63"/>
  <c r="JF19" i="63"/>
  <c r="JE19" i="63"/>
  <c r="JD19" i="63"/>
  <c r="JC19" i="63"/>
  <c r="JB19" i="63"/>
  <c r="JA19" i="63"/>
  <c r="IZ19" i="63"/>
  <c r="IY19" i="63"/>
  <c r="IX19" i="63"/>
  <c r="IW19" i="63"/>
  <c r="IV19" i="63"/>
  <c r="IU19" i="63"/>
  <c r="IT19" i="63"/>
  <c r="IS19" i="63"/>
  <c r="IR19" i="63"/>
  <c r="IQ19" i="63"/>
  <c r="IP19" i="63"/>
  <c r="IO19" i="63"/>
  <c r="IN19" i="63"/>
  <c r="IM19" i="63"/>
  <c r="IL19" i="63"/>
  <c r="IK19" i="63"/>
  <c r="IJ19" i="63"/>
  <c r="II19" i="63"/>
  <c r="IH19" i="63"/>
  <c r="IG19" i="63"/>
  <c r="IF19" i="63"/>
  <c r="IE19" i="63"/>
  <c r="ID19" i="63"/>
  <c r="IC19" i="63"/>
  <c r="IB19" i="63"/>
  <c r="IA19" i="63"/>
  <c r="HZ19" i="63"/>
  <c r="HY19" i="63"/>
  <c r="HX19" i="63"/>
  <c r="HW19" i="63"/>
  <c r="HV19" i="63"/>
  <c r="HU19" i="63"/>
  <c r="HT19" i="63"/>
  <c r="HS19" i="63"/>
  <c r="HR19" i="63"/>
  <c r="HQ19" i="63"/>
  <c r="HP19" i="63"/>
  <c r="HO19" i="63"/>
  <c r="HN19" i="63"/>
  <c r="HM19" i="63"/>
  <c r="HL19" i="63"/>
  <c r="HK19" i="63"/>
  <c r="HJ19" i="63"/>
  <c r="HI19" i="63"/>
  <c r="HH19" i="63"/>
  <c r="HG19" i="63"/>
  <c r="HF19" i="63"/>
  <c r="HE19" i="63"/>
  <c r="HD19" i="63"/>
  <c r="HC19" i="63"/>
  <c r="HB19" i="63"/>
  <c r="HA19" i="63"/>
  <c r="GZ19" i="63"/>
  <c r="GY19" i="63"/>
  <c r="GX19" i="63"/>
  <c r="GW19" i="63"/>
  <c r="GV19" i="63"/>
  <c r="GU19" i="63"/>
  <c r="GT19" i="63"/>
  <c r="GS19" i="63"/>
  <c r="GR19" i="63"/>
  <c r="GQ19" i="63"/>
  <c r="GP19" i="63"/>
  <c r="GO19" i="63"/>
  <c r="GN19" i="63"/>
  <c r="GM19" i="63"/>
  <c r="GL19" i="63"/>
  <c r="GK19" i="63"/>
  <c r="GJ19" i="63"/>
  <c r="GI19" i="63"/>
  <c r="GH19" i="63"/>
  <c r="GG19" i="63"/>
  <c r="GF19" i="63"/>
  <c r="GE19" i="63"/>
  <c r="GD19" i="63"/>
  <c r="GC19" i="63"/>
  <c r="GB19" i="63"/>
  <c r="GA19" i="63"/>
  <c r="FZ19" i="63"/>
  <c r="FY19" i="63"/>
  <c r="FX19" i="63"/>
  <c r="FW19" i="63"/>
  <c r="FV19" i="63"/>
  <c r="FU19" i="63"/>
  <c r="FT19" i="63"/>
  <c r="FS19" i="63"/>
  <c r="FR19" i="63"/>
  <c r="FQ19" i="63"/>
  <c r="FP19" i="63"/>
  <c r="FO19" i="63"/>
  <c r="C19" i="63"/>
  <c r="LW18" i="63"/>
  <c r="LV18" i="63"/>
  <c r="LU18" i="63"/>
  <c r="LT18" i="63"/>
  <c r="LS18" i="63"/>
  <c r="LR18" i="63"/>
  <c r="LQ18" i="63"/>
  <c r="LP18" i="63"/>
  <c r="LO18" i="63"/>
  <c r="LN18" i="63"/>
  <c r="LM18" i="63"/>
  <c r="LL18" i="63"/>
  <c r="LK18" i="63"/>
  <c r="LJ18" i="63"/>
  <c r="LI18" i="63"/>
  <c r="LH18" i="63"/>
  <c r="LG18" i="63"/>
  <c r="LF18" i="63"/>
  <c r="LE18" i="63"/>
  <c r="LD18" i="63"/>
  <c r="LC18" i="63"/>
  <c r="LB18" i="63"/>
  <c r="LA18" i="63"/>
  <c r="KZ18" i="63"/>
  <c r="KY18" i="63"/>
  <c r="KX18" i="63"/>
  <c r="KW18" i="63"/>
  <c r="KV18" i="63"/>
  <c r="KU18" i="63"/>
  <c r="KT18" i="63"/>
  <c r="KS18" i="63"/>
  <c r="KR18" i="63"/>
  <c r="KQ18" i="63"/>
  <c r="KP18" i="63"/>
  <c r="KO18" i="63"/>
  <c r="KN18" i="63"/>
  <c r="KM18" i="63"/>
  <c r="KL18" i="63"/>
  <c r="KK18" i="63"/>
  <c r="KJ18" i="63"/>
  <c r="KI18" i="63"/>
  <c r="KH18" i="63"/>
  <c r="KG18" i="63"/>
  <c r="KF18" i="63"/>
  <c r="KE18" i="63"/>
  <c r="KD18" i="63"/>
  <c r="KC18" i="63"/>
  <c r="KB18" i="63"/>
  <c r="KA18" i="63"/>
  <c r="JZ18" i="63"/>
  <c r="JY18" i="63"/>
  <c r="JX18" i="63"/>
  <c r="JW18" i="63"/>
  <c r="JV18" i="63"/>
  <c r="JU18" i="63"/>
  <c r="JT18" i="63"/>
  <c r="JS18" i="63"/>
  <c r="JR18" i="63"/>
  <c r="JQ18" i="63"/>
  <c r="JP18" i="63"/>
  <c r="JO18" i="63"/>
  <c r="JN18" i="63"/>
  <c r="JM18" i="63"/>
  <c r="JL18" i="63"/>
  <c r="JK18" i="63"/>
  <c r="JJ18" i="63"/>
  <c r="JI18" i="63"/>
  <c r="JH18" i="63"/>
  <c r="JG18" i="63"/>
  <c r="JF18" i="63"/>
  <c r="JE18" i="63"/>
  <c r="JD18" i="63"/>
  <c r="JC18" i="63"/>
  <c r="JB18" i="63"/>
  <c r="JA18" i="63"/>
  <c r="IZ18" i="63"/>
  <c r="IY18" i="63"/>
  <c r="IX18" i="63"/>
  <c r="IW18" i="63"/>
  <c r="IV18" i="63"/>
  <c r="IU18" i="63"/>
  <c r="IT18" i="63"/>
  <c r="IS18" i="63"/>
  <c r="IR18" i="63"/>
  <c r="IQ18" i="63"/>
  <c r="IP18" i="63"/>
  <c r="IO18" i="63"/>
  <c r="IN18" i="63"/>
  <c r="IM18" i="63"/>
  <c r="IL18" i="63"/>
  <c r="IK18" i="63"/>
  <c r="IJ18" i="63"/>
  <c r="II18" i="63"/>
  <c r="IH18" i="63"/>
  <c r="IG18" i="63"/>
  <c r="IF18" i="63"/>
  <c r="IE18" i="63"/>
  <c r="ID18" i="63"/>
  <c r="IC18" i="63"/>
  <c r="IB18" i="63"/>
  <c r="IA18" i="63"/>
  <c r="HZ18" i="63"/>
  <c r="HY18" i="63"/>
  <c r="HX18" i="63"/>
  <c r="HW18" i="63"/>
  <c r="HV18" i="63"/>
  <c r="HU18" i="63"/>
  <c r="HT18" i="63"/>
  <c r="HS18" i="63"/>
  <c r="HR18" i="63"/>
  <c r="HQ18" i="63"/>
  <c r="HP18" i="63"/>
  <c r="HO18" i="63"/>
  <c r="HN18" i="63"/>
  <c r="HM18" i="63"/>
  <c r="HL18" i="63"/>
  <c r="HK18" i="63"/>
  <c r="HJ18" i="63"/>
  <c r="HI18" i="63"/>
  <c r="HH18" i="63"/>
  <c r="HG18" i="63"/>
  <c r="HF18" i="63"/>
  <c r="HE18" i="63"/>
  <c r="HD18" i="63"/>
  <c r="HC18" i="63"/>
  <c r="HB18" i="63"/>
  <c r="HA18" i="63"/>
  <c r="GZ18" i="63"/>
  <c r="GY18" i="63"/>
  <c r="GX18" i="63"/>
  <c r="GW18" i="63"/>
  <c r="GV18" i="63"/>
  <c r="GU18" i="63"/>
  <c r="GT18" i="63"/>
  <c r="GS18" i="63"/>
  <c r="GR18" i="63"/>
  <c r="GQ18" i="63"/>
  <c r="GP18" i="63"/>
  <c r="GO18" i="63"/>
  <c r="GN18" i="63"/>
  <c r="GM18" i="63"/>
  <c r="GL18" i="63"/>
  <c r="GK18" i="63"/>
  <c r="GJ18" i="63"/>
  <c r="GI18" i="63"/>
  <c r="GH18" i="63"/>
  <c r="GG18" i="63"/>
  <c r="GF18" i="63"/>
  <c r="GE18" i="63"/>
  <c r="GD18" i="63"/>
  <c r="GC18" i="63"/>
  <c r="GB18" i="63"/>
  <c r="GA18" i="63"/>
  <c r="FZ18" i="63"/>
  <c r="FY18" i="63"/>
  <c r="FX18" i="63"/>
  <c r="FW18" i="63"/>
  <c r="FV18" i="63"/>
  <c r="FU18" i="63"/>
  <c r="FT18" i="63"/>
  <c r="FS18" i="63"/>
  <c r="FR18" i="63"/>
  <c r="FQ18" i="63"/>
  <c r="FP18" i="63"/>
  <c r="FO18" i="63"/>
  <c r="C18" i="63"/>
  <c r="LW17" i="63"/>
  <c r="LV17" i="63"/>
  <c r="LU17" i="63"/>
  <c r="LT17" i="63"/>
  <c r="LS17" i="63"/>
  <c r="LR17" i="63"/>
  <c r="LQ17" i="63"/>
  <c r="LP17" i="63"/>
  <c r="LO17" i="63"/>
  <c r="LN17" i="63"/>
  <c r="LM17" i="63"/>
  <c r="LL17" i="63"/>
  <c r="LK17" i="63"/>
  <c r="LJ17" i="63"/>
  <c r="LI17" i="63"/>
  <c r="LH17" i="63"/>
  <c r="LG17" i="63"/>
  <c r="LF17" i="63"/>
  <c r="LE17" i="63"/>
  <c r="LD17" i="63"/>
  <c r="LC17" i="63"/>
  <c r="LB17" i="63"/>
  <c r="LA17" i="63"/>
  <c r="KZ17" i="63"/>
  <c r="KY17" i="63"/>
  <c r="KX17" i="63"/>
  <c r="KW17" i="63"/>
  <c r="KV17" i="63"/>
  <c r="KU17" i="63"/>
  <c r="KT17" i="63"/>
  <c r="KS17" i="63"/>
  <c r="KR17" i="63"/>
  <c r="KQ17" i="63"/>
  <c r="KP17" i="63"/>
  <c r="KO17" i="63"/>
  <c r="KN17" i="63"/>
  <c r="KM17" i="63"/>
  <c r="KL17" i="63"/>
  <c r="KK17" i="63"/>
  <c r="KJ17" i="63"/>
  <c r="KI17" i="63"/>
  <c r="KH17" i="63"/>
  <c r="KG17" i="63"/>
  <c r="KF17" i="63"/>
  <c r="KE17" i="63"/>
  <c r="KD17" i="63"/>
  <c r="KC17" i="63"/>
  <c r="KB17" i="63"/>
  <c r="KA17" i="63"/>
  <c r="JZ17" i="63"/>
  <c r="JY17" i="63"/>
  <c r="JX17" i="63"/>
  <c r="JW17" i="63"/>
  <c r="JV17" i="63"/>
  <c r="JU17" i="63"/>
  <c r="JT17" i="63"/>
  <c r="JS17" i="63"/>
  <c r="JR17" i="63"/>
  <c r="JQ17" i="63"/>
  <c r="JP17" i="63"/>
  <c r="JO17" i="63"/>
  <c r="JN17" i="63"/>
  <c r="JM17" i="63"/>
  <c r="JL17" i="63"/>
  <c r="JK17" i="63"/>
  <c r="JJ17" i="63"/>
  <c r="JI17" i="63"/>
  <c r="JH17" i="63"/>
  <c r="JG17" i="63"/>
  <c r="JF17" i="63"/>
  <c r="JE17" i="63"/>
  <c r="JD17" i="63"/>
  <c r="JC17" i="63"/>
  <c r="JB17" i="63"/>
  <c r="JA17" i="63"/>
  <c r="IZ17" i="63"/>
  <c r="IY17" i="63"/>
  <c r="IX17" i="63"/>
  <c r="IW17" i="63"/>
  <c r="IV17" i="63"/>
  <c r="IU17" i="63"/>
  <c r="IT17" i="63"/>
  <c r="IS17" i="63"/>
  <c r="IR17" i="63"/>
  <c r="IQ17" i="63"/>
  <c r="IP17" i="63"/>
  <c r="IO17" i="63"/>
  <c r="IN17" i="63"/>
  <c r="IM17" i="63"/>
  <c r="IL17" i="63"/>
  <c r="IK17" i="63"/>
  <c r="IJ17" i="63"/>
  <c r="II17" i="63"/>
  <c r="IH17" i="63"/>
  <c r="IG17" i="63"/>
  <c r="IF17" i="63"/>
  <c r="IE17" i="63"/>
  <c r="ID17" i="63"/>
  <c r="IC17" i="63"/>
  <c r="IB17" i="63"/>
  <c r="IA17" i="63"/>
  <c r="HZ17" i="63"/>
  <c r="HY17" i="63"/>
  <c r="HX17" i="63"/>
  <c r="HW17" i="63"/>
  <c r="HV17" i="63"/>
  <c r="HU17" i="63"/>
  <c r="HT17" i="63"/>
  <c r="HS17" i="63"/>
  <c r="HR17" i="63"/>
  <c r="HQ17" i="63"/>
  <c r="HP17" i="63"/>
  <c r="HO17" i="63"/>
  <c r="HN17" i="63"/>
  <c r="HM17" i="63"/>
  <c r="HL17" i="63"/>
  <c r="HK17" i="63"/>
  <c r="HJ17" i="63"/>
  <c r="HI17" i="63"/>
  <c r="HH17" i="63"/>
  <c r="HG17" i="63"/>
  <c r="HF17" i="63"/>
  <c r="HE17" i="63"/>
  <c r="HD17" i="63"/>
  <c r="HC17" i="63"/>
  <c r="HB17" i="63"/>
  <c r="HA17" i="63"/>
  <c r="GZ17" i="63"/>
  <c r="GY17" i="63"/>
  <c r="GX17" i="63"/>
  <c r="GW17" i="63"/>
  <c r="GV17" i="63"/>
  <c r="GU17" i="63"/>
  <c r="GT17" i="63"/>
  <c r="GS17" i="63"/>
  <c r="GR17" i="63"/>
  <c r="GQ17" i="63"/>
  <c r="GP17" i="63"/>
  <c r="GO17" i="63"/>
  <c r="GN17" i="63"/>
  <c r="GM17" i="63"/>
  <c r="GL17" i="63"/>
  <c r="GK17" i="63"/>
  <c r="GJ17" i="63"/>
  <c r="GI17" i="63"/>
  <c r="GH17" i="63"/>
  <c r="GG17" i="63"/>
  <c r="GF17" i="63"/>
  <c r="GE17" i="63"/>
  <c r="GD17" i="63"/>
  <c r="GC17" i="63"/>
  <c r="GB17" i="63"/>
  <c r="GA17" i="63"/>
  <c r="FZ17" i="63"/>
  <c r="FY17" i="63"/>
  <c r="FX17" i="63"/>
  <c r="FW17" i="63"/>
  <c r="FV17" i="63"/>
  <c r="FU17" i="63"/>
  <c r="FT17" i="63"/>
  <c r="FS17" i="63"/>
  <c r="FR17" i="63"/>
  <c r="FQ17" i="63"/>
  <c r="FP17" i="63"/>
  <c r="FO17" i="63"/>
  <c r="C17" i="63"/>
  <c r="LW16" i="63"/>
  <c r="LV16" i="63"/>
  <c r="LU16" i="63"/>
  <c r="LT16" i="63"/>
  <c r="LS16" i="63"/>
  <c r="LR16" i="63"/>
  <c r="LQ16" i="63"/>
  <c r="LP16" i="63"/>
  <c r="LO16" i="63"/>
  <c r="LN16" i="63"/>
  <c r="LM16" i="63"/>
  <c r="LL16" i="63"/>
  <c r="LK16" i="63"/>
  <c r="LJ16" i="63"/>
  <c r="LI16" i="63"/>
  <c r="LH16" i="63"/>
  <c r="LG16" i="63"/>
  <c r="LF16" i="63"/>
  <c r="LE16" i="63"/>
  <c r="LD16" i="63"/>
  <c r="LC16" i="63"/>
  <c r="LB16" i="63"/>
  <c r="LA16" i="63"/>
  <c r="KZ16" i="63"/>
  <c r="KY16" i="63"/>
  <c r="KX16" i="63"/>
  <c r="KW16" i="63"/>
  <c r="KV16" i="63"/>
  <c r="KU16" i="63"/>
  <c r="KT16" i="63"/>
  <c r="KS16" i="63"/>
  <c r="KR16" i="63"/>
  <c r="KQ16" i="63"/>
  <c r="KP16" i="63"/>
  <c r="KO16" i="63"/>
  <c r="KN16" i="63"/>
  <c r="KM16" i="63"/>
  <c r="KL16" i="63"/>
  <c r="KK16" i="63"/>
  <c r="KJ16" i="63"/>
  <c r="KI16" i="63"/>
  <c r="KH16" i="63"/>
  <c r="KG16" i="63"/>
  <c r="KF16" i="63"/>
  <c r="KE16" i="63"/>
  <c r="KD16" i="63"/>
  <c r="KC16" i="63"/>
  <c r="KB16" i="63"/>
  <c r="KA16" i="63"/>
  <c r="JZ16" i="63"/>
  <c r="JY16" i="63"/>
  <c r="JX16" i="63"/>
  <c r="JW16" i="63"/>
  <c r="JV16" i="63"/>
  <c r="JU16" i="63"/>
  <c r="JT16" i="63"/>
  <c r="JS16" i="63"/>
  <c r="JR16" i="63"/>
  <c r="JQ16" i="63"/>
  <c r="JP16" i="63"/>
  <c r="JO16" i="63"/>
  <c r="JN16" i="63"/>
  <c r="JM16" i="63"/>
  <c r="JL16" i="63"/>
  <c r="JK16" i="63"/>
  <c r="JJ16" i="63"/>
  <c r="JI16" i="63"/>
  <c r="JH16" i="63"/>
  <c r="JG16" i="63"/>
  <c r="JF16" i="63"/>
  <c r="JE16" i="63"/>
  <c r="JD16" i="63"/>
  <c r="JC16" i="63"/>
  <c r="JB16" i="63"/>
  <c r="JA16" i="63"/>
  <c r="IZ16" i="63"/>
  <c r="IY16" i="63"/>
  <c r="IX16" i="63"/>
  <c r="IW16" i="63"/>
  <c r="IV16" i="63"/>
  <c r="IU16" i="63"/>
  <c r="IT16" i="63"/>
  <c r="IS16" i="63"/>
  <c r="IR16" i="63"/>
  <c r="IQ16" i="63"/>
  <c r="IP16" i="63"/>
  <c r="IO16" i="63"/>
  <c r="IN16" i="63"/>
  <c r="IM16" i="63"/>
  <c r="IL16" i="63"/>
  <c r="IK16" i="63"/>
  <c r="IJ16" i="63"/>
  <c r="II16" i="63"/>
  <c r="IH16" i="63"/>
  <c r="IG16" i="63"/>
  <c r="IF16" i="63"/>
  <c r="IE16" i="63"/>
  <c r="ID16" i="63"/>
  <c r="IC16" i="63"/>
  <c r="IB16" i="63"/>
  <c r="IA16" i="63"/>
  <c r="HZ16" i="63"/>
  <c r="HY16" i="63"/>
  <c r="HX16" i="63"/>
  <c r="HW16" i="63"/>
  <c r="HV16" i="63"/>
  <c r="HU16" i="63"/>
  <c r="HT16" i="63"/>
  <c r="HS16" i="63"/>
  <c r="HR16" i="63"/>
  <c r="HQ16" i="63"/>
  <c r="HP16" i="63"/>
  <c r="HO16" i="63"/>
  <c r="HN16" i="63"/>
  <c r="HM16" i="63"/>
  <c r="HL16" i="63"/>
  <c r="HK16" i="63"/>
  <c r="HJ16" i="63"/>
  <c r="HI16" i="63"/>
  <c r="HH16" i="63"/>
  <c r="HG16" i="63"/>
  <c r="HF16" i="63"/>
  <c r="HE16" i="63"/>
  <c r="HD16" i="63"/>
  <c r="HC16" i="63"/>
  <c r="HB16" i="63"/>
  <c r="HA16" i="63"/>
  <c r="GZ16" i="63"/>
  <c r="GY16" i="63"/>
  <c r="GX16" i="63"/>
  <c r="GW16" i="63"/>
  <c r="GV16" i="63"/>
  <c r="GU16" i="63"/>
  <c r="GT16" i="63"/>
  <c r="GS16" i="63"/>
  <c r="GR16" i="63"/>
  <c r="GQ16" i="63"/>
  <c r="GP16" i="63"/>
  <c r="GO16" i="63"/>
  <c r="GN16" i="63"/>
  <c r="GM16" i="63"/>
  <c r="GL16" i="63"/>
  <c r="GK16" i="63"/>
  <c r="GJ16" i="63"/>
  <c r="GI16" i="63"/>
  <c r="GH16" i="63"/>
  <c r="GG16" i="63"/>
  <c r="GF16" i="63"/>
  <c r="GE16" i="63"/>
  <c r="GD16" i="63"/>
  <c r="GC16" i="63"/>
  <c r="GB16" i="63"/>
  <c r="GA16" i="63"/>
  <c r="FZ16" i="63"/>
  <c r="FY16" i="63"/>
  <c r="FX16" i="63"/>
  <c r="FW16" i="63"/>
  <c r="FV16" i="63"/>
  <c r="FU16" i="63"/>
  <c r="FT16" i="63"/>
  <c r="FS16" i="63"/>
  <c r="FR16" i="63"/>
  <c r="FQ16" i="63"/>
  <c r="FP16" i="63"/>
  <c r="FO16" i="63"/>
  <c r="C16" i="63"/>
  <c r="LW15" i="63"/>
  <c r="LV15" i="63"/>
  <c r="LU15" i="63"/>
  <c r="LT15" i="63"/>
  <c r="LS15" i="63"/>
  <c r="LR15" i="63"/>
  <c r="LQ15" i="63"/>
  <c r="LP15" i="63"/>
  <c r="LO15" i="63"/>
  <c r="LN15" i="63"/>
  <c r="LM15" i="63"/>
  <c r="LL15" i="63"/>
  <c r="LK15" i="63"/>
  <c r="LJ15" i="63"/>
  <c r="LI15" i="63"/>
  <c r="LH15" i="63"/>
  <c r="LG15" i="63"/>
  <c r="LF15" i="63"/>
  <c r="LE15" i="63"/>
  <c r="LD15" i="63"/>
  <c r="LC15" i="63"/>
  <c r="LB15" i="63"/>
  <c r="LA15" i="63"/>
  <c r="KZ15" i="63"/>
  <c r="KY15" i="63"/>
  <c r="KX15" i="63"/>
  <c r="KW15" i="63"/>
  <c r="KV15" i="63"/>
  <c r="KU15" i="63"/>
  <c r="KT15" i="63"/>
  <c r="KS15" i="63"/>
  <c r="KR15" i="63"/>
  <c r="KQ15" i="63"/>
  <c r="KP15" i="63"/>
  <c r="KO15" i="63"/>
  <c r="KN15" i="63"/>
  <c r="KM15" i="63"/>
  <c r="KL15" i="63"/>
  <c r="KK15" i="63"/>
  <c r="KJ15" i="63"/>
  <c r="KI15" i="63"/>
  <c r="KH15" i="63"/>
  <c r="KG15" i="63"/>
  <c r="KF15" i="63"/>
  <c r="KE15" i="63"/>
  <c r="KD15" i="63"/>
  <c r="KC15" i="63"/>
  <c r="KB15" i="63"/>
  <c r="KA15" i="63"/>
  <c r="JZ15" i="63"/>
  <c r="JY15" i="63"/>
  <c r="JX15" i="63"/>
  <c r="JW15" i="63"/>
  <c r="JV15" i="63"/>
  <c r="JU15" i="63"/>
  <c r="JT15" i="63"/>
  <c r="JS15" i="63"/>
  <c r="JR15" i="63"/>
  <c r="JQ15" i="63"/>
  <c r="JP15" i="63"/>
  <c r="JO15" i="63"/>
  <c r="JN15" i="63"/>
  <c r="JM15" i="63"/>
  <c r="JL15" i="63"/>
  <c r="JK15" i="63"/>
  <c r="JJ15" i="63"/>
  <c r="JI15" i="63"/>
  <c r="JH15" i="63"/>
  <c r="JG15" i="63"/>
  <c r="JF15" i="63"/>
  <c r="JE15" i="63"/>
  <c r="JD15" i="63"/>
  <c r="JC15" i="63"/>
  <c r="JB15" i="63"/>
  <c r="JA15" i="63"/>
  <c r="IZ15" i="63"/>
  <c r="IY15" i="63"/>
  <c r="IX15" i="63"/>
  <c r="IW15" i="63"/>
  <c r="IV15" i="63"/>
  <c r="IU15" i="63"/>
  <c r="IT15" i="63"/>
  <c r="IS15" i="63"/>
  <c r="IR15" i="63"/>
  <c r="IQ15" i="63"/>
  <c r="IP15" i="63"/>
  <c r="IO15" i="63"/>
  <c r="IN15" i="63"/>
  <c r="IM15" i="63"/>
  <c r="IL15" i="63"/>
  <c r="IK15" i="63"/>
  <c r="IJ15" i="63"/>
  <c r="II15" i="63"/>
  <c r="IH15" i="63"/>
  <c r="IG15" i="63"/>
  <c r="IF15" i="63"/>
  <c r="IE15" i="63"/>
  <c r="ID15" i="63"/>
  <c r="IC15" i="63"/>
  <c r="IB15" i="63"/>
  <c r="IA15" i="63"/>
  <c r="HZ15" i="63"/>
  <c r="HY15" i="63"/>
  <c r="HX15" i="63"/>
  <c r="HW15" i="63"/>
  <c r="HV15" i="63"/>
  <c r="HU15" i="63"/>
  <c r="HT15" i="63"/>
  <c r="HS15" i="63"/>
  <c r="HR15" i="63"/>
  <c r="HQ15" i="63"/>
  <c r="HP15" i="63"/>
  <c r="HO15" i="63"/>
  <c r="HN15" i="63"/>
  <c r="HM15" i="63"/>
  <c r="HL15" i="63"/>
  <c r="HK15" i="63"/>
  <c r="HJ15" i="63"/>
  <c r="HI15" i="63"/>
  <c r="HH15" i="63"/>
  <c r="HG15" i="63"/>
  <c r="HF15" i="63"/>
  <c r="HE15" i="63"/>
  <c r="HD15" i="63"/>
  <c r="HC15" i="63"/>
  <c r="HB15" i="63"/>
  <c r="HA15" i="63"/>
  <c r="GZ15" i="63"/>
  <c r="GY15" i="63"/>
  <c r="GX15" i="63"/>
  <c r="GW15" i="63"/>
  <c r="GV15" i="63"/>
  <c r="GU15" i="63"/>
  <c r="GT15" i="63"/>
  <c r="GS15" i="63"/>
  <c r="GR15" i="63"/>
  <c r="GQ15" i="63"/>
  <c r="GP15" i="63"/>
  <c r="GO15" i="63"/>
  <c r="GN15" i="63"/>
  <c r="GM15" i="63"/>
  <c r="GL15" i="63"/>
  <c r="GK15" i="63"/>
  <c r="GJ15" i="63"/>
  <c r="GI15" i="63"/>
  <c r="GH15" i="63"/>
  <c r="GG15" i="63"/>
  <c r="GF15" i="63"/>
  <c r="GE15" i="63"/>
  <c r="GD15" i="63"/>
  <c r="GC15" i="63"/>
  <c r="GB15" i="63"/>
  <c r="GA15" i="63"/>
  <c r="FZ15" i="63"/>
  <c r="FY15" i="63"/>
  <c r="FX15" i="63"/>
  <c r="FW15" i="63"/>
  <c r="FV15" i="63"/>
  <c r="FU15" i="63"/>
  <c r="FT15" i="63"/>
  <c r="FS15" i="63"/>
  <c r="FR15" i="63"/>
  <c r="FQ15" i="63"/>
  <c r="FP15" i="63"/>
  <c r="FO15" i="63"/>
  <c r="C15" i="63"/>
  <c r="LW14" i="63"/>
  <c r="LV14" i="63"/>
  <c r="LU14" i="63"/>
  <c r="LT14" i="63"/>
  <c r="LS14" i="63"/>
  <c r="LR14" i="63"/>
  <c r="LQ14" i="63"/>
  <c r="LP14" i="63"/>
  <c r="LO14" i="63"/>
  <c r="LN14" i="63"/>
  <c r="LM14" i="63"/>
  <c r="LL14" i="63"/>
  <c r="LK14" i="63"/>
  <c r="LJ14" i="63"/>
  <c r="LI14" i="63"/>
  <c r="LH14" i="63"/>
  <c r="LG14" i="63"/>
  <c r="LF14" i="63"/>
  <c r="LE14" i="63"/>
  <c r="LD14" i="63"/>
  <c r="LC14" i="63"/>
  <c r="LB14" i="63"/>
  <c r="LA14" i="63"/>
  <c r="KZ14" i="63"/>
  <c r="KY14" i="63"/>
  <c r="KX14" i="63"/>
  <c r="KW14" i="63"/>
  <c r="KV14" i="63"/>
  <c r="KU14" i="63"/>
  <c r="KT14" i="63"/>
  <c r="KS14" i="63"/>
  <c r="KR14" i="63"/>
  <c r="KQ14" i="63"/>
  <c r="KP14" i="63"/>
  <c r="KO14" i="63"/>
  <c r="KN14" i="63"/>
  <c r="KM14" i="63"/>
  <c r="KL14" i="63"/>
  <c r="KK14" i="63"/>
  <c r="KJ14" i="63"/>
  <c r="KI14" i="63"/>
  <c r="KH14" i="63"/>
  <c r="KG14" i="63"/>
  <c r="KF14" i="63"/>
  <c r="KE14" i="63"/>
  <c r="KD14" i="63"/>
  <c r="KC14" i="63"/>
  <c r="KB14" i="63"/>
  <c r="KA14" i="63"/>
  <c r="JZ14" i="63"/>
  <c r="JY14" i="63"/>
  <c r="JX14" i="63"/>
  <c r="JW14" i="63"/>
  <c r="JV14" i="63"/>
  <c r="JU14" i="63"/>
  <c r="JT14" i="63"/>
  <c r="JS14" i="63"/>
  <c r="JR14" i="63"/>
  <c r="JQ14" i="63"/>
  <c r="JP14" i="63"/>
  <c r="JO14" i="63"/>
  <c r="JN14" i="63"/>
  <c r="JM14" i="63"/>
  <c r="JL14" i="63"/>
  <c r="JK14" i="63"/>
  <c r="JJ14" i="63"/>
  <c r="JI14" i="63"/>
  <c r="JH14" i="63"/>
  <c r="JG14" i="63"/>
  <c r="JF14" i="63"/>
  <c r="JE14" i="63"/>
  <c r="JD14" i="63"/>
  <c r="JC14" i="63"/>
  <c r="JB14" i="63"/>
  <c r="JA14" i="63"/>
  <c r="IZ14" i="63"/>
  <c r="IY14" i="63"/>
  <c r="IX14" i="63"/>
  <c r="IW14" i="63"/>
  <c r="IV14" i="63"/>
  <c r="IU14" i="63"/>
  <c r="IT14" i="63"/>
  <c r="IS14" i="63"/>
  <c r="IR14" i="63"/>
  <c r="IQ14" i="63"/>
  <c r="IP14" i="63"/>
  <c r="IO14" i="63"/>
  <c r="IN14" i="63"/>
  <c r="IM14" i="63"/>
  <c r="IL14" i="63"/>
  <c r="IK14" i="63"/>
  <c r="IJ14" i="63"/>
  <c r="II14" i="63"/>
  <c r="IH14" i="63"/>
  <c r="IG14" i="63"/>
  <c r="IF14" i="63"/>
  <c r="IE14" i="63"/>
  <c r="ID14" i="63"/>
  <c r="IC14" i="63"/>
  <c r="IB14" i="63"/>
  <c r="IA14" i="63"/>
  <c r="HZ14" i="63"/>
  <c r="HY14" i="63"/>
  <c r="HX14" i="63"/>
  <c r="HW14" i="63"/>
  <c r="HV14" i="63"/>
  <c r="HU14" i="63"/>
  <c r="HT14" i="63"/>
  <c r="HS14" i="63"/>
  <c r="HR14" i="63"/>
  <c r="HQ14" i="63"/>
  <c r="HP14" i="63"/>
  <c r="HO14" i="63"/>
  <c r="HN14" i="63"/>
  <c r="HM14" i="63"/>
  <c r="HL14" i="63"/>
  <c r="HK14" i="63"/>
  <c r="HJ14" i="63"/>
  <c r="HI14" i="63"/>
  <c r="HH14" i="63"/>
  <c r="HG14" i="63"/>
  <c r="HF14" i="63"/>
  <c r="HE14" i="63"/>
  <c r="HD14" i="63"/>
  <c r="HC14" i="63"/>
  <c r="HB14" i="63"/>
  <c r="HA14" i="63"/>
  <c r="GZ14" i="63"/>
  <c r="GY14" i="63"/>
  <c r="GX14" i="63"/>
  <c r="GW14" i="63"/>
  <c r="GV14" i="63"/>
  <c r="GU14" i="63"/>
  <c r="GT14" i="63"/>
  <c r="GS14" i="63"/>
  <c r="GR14" i="63"/>
  <c r="GQ14" i="63"/>
  <c r="GP14" i="63"/>
  <c r="GO14" i="63"/>
  <c r="GN14" i="63"/>
  <c r="GM14" i="63"/>
  <c r="GL14" i="63"/>
  <c r="GK14" i="63"/>
  <c r="GJ14" i="63"/>
  <c r="GI14" i="63"/>
  <c r="GH14" i="63"/>
  <c r="GG14" i="63"/>
  <c r="GF14" i="63"/>
  <c r="GE14" i="63"/>
  <c r="GD14" i="63"/>
  <c r="GC14" i="63"/>
  <c r="GB14" i="63"/>
  <c r="GA14" i="63"/>
  <c r="FZ14" i="63"/>
  <c r="FY14" i="63"/>
  <c r="FX14" i="63"/>
  <c r="FW14" i="63"/>
  <c r="FV14" i="63"/>
  <c r="FU14" i="63"/>
  <c r="FT14" i="63"/>
  <c r="FS14" i="63"/>
  <c r="FR14" i="63"/>
  <c r="FQ14" i="63"/>
  <c r="FP14" i="63"/>
  <c r="FO14" i="63"/>
  <c r="C14" i="63"/>
  <c r="LW13" i="63"/>
  <c r="LV13" i="63"/>
  <c r="LU13" i="63"/>
  <c r="LT13" i="63"/>
  <c r="LS13" i="63"/>
  <c r="LR13" i="63"/>
  <c r="LQ13" i="63"/>
  <c r="LP13" i="63"/>
  <c r="LO13" i="63"/>
  <c r="LN13" i="63"/>
  <c r="LM13" i="63"/>
  <c r="LL13" i="63"/>
  <c r="LK13" i="63"/>
  <c r="LJ13" i="63"/>
  <c r="LI13" i="63"/>
  <c r="LH13" i="63"/>
  <c r="LG13" i="63"/>
  <c r="LF13" i="63"/>
  <c r="LE13" i="63"/>
  <c r="LD13" i="63"/>
  <c r="LC13" i="63"/>
  <c r="LB13" i="63"/>
  <c r="LA13" i="63"/>
  <c r="KZ13" i="63"/>
  <c r="KY13" i="63"/>
  <c r="KX13" i="63"/>
  <c r="KW13" i="63"/>
  <c r="KV13" i="63"/>
  <c r="KU13" i="63"/>
  <c r="KT13" i="63"/>
  <c r="KS13" i="63"/>
  <c r="KR13" i="63"/>
  <c r="KQ13" i="63"/>
  <c r="KP13" i="63"/>
  <c r="KO13" i="63"/>
  <c r="KN13" i="63"/>
  <c r="KM13" i="63"/>
  <c r="KL13" i="63"/>
  <c r="KK13" i="63"/>
  <c r="KJ13" i="63"/>
  <c r="KI13" i="63"/>
  <c r="KH13" i="63"/>
  <c r="KG13" i="63"/>
  <c r="KF13" i="63"/>
  <c r="KE13" i="63"/>
  <c r="KD13" i="63"/>
  <c r="KC13" i="63"/>
  <c r="KB13" i="63"/>
  <c r="KA13" i="63"/>
  <c r="JZ13" i="63"/>
  <c r="JY13" i="63"/>
  <c r="JX13" i="63"/>
  <c r="JW13" i="63"/>
  <c r="JV13" i="63"/>
  <c r="JU13" i="63"/>
  <c r="JT13" i="63"/>
  <c r="JS13" i="63"/>
  <c r="JR13" i="63"/>
  <c r="JQ13" i="63"/>
  <c r="JP13" i="63"/>
  <c r="JO13" i="63"/>
  <c r="JN13" i="63"/>
  <c r="JM13" i="63"/>
  <c r="JL13" i="63"/>
  <c r="JK13" i="63"/>
  <c r="JJ13" i="63"/>
  <c r="JI13" i="63"/>
  <c r="JH13" i="63"/>
  <c r="JG13" i="63"/>
  <c r="JF13" i="63"/>
  <c r="JE13" i="63"/>
  <c r="JD13" i="63"/>
  <c r="JC13" i="63"/>
  <c r="JB13" i="63"/>
  <c r="JA13" i="63"/>
  <c r="IZ13" i="63"/>
  <c r="IY13" i="63"/>
  <c r="IX13" i="63"/>
  <c r="IW13" i="63"/>
  <c r="IV13" i="63"/>
  <c r="IU13" i="63"/>
  <c r="IT13" i="63"/>
  <c r="IS13" i="63"/>
  <c r="IR13" i="63"/>
  <c r="IQ13" i="63"/>
  <c r="IP13" i="63"/>
  <c r="IO13" i="63"/>
  <c r="IN13" i="63"/>
  <c r="IM13" i="63"/>
  <c r="IL13" i="63"/>
  <c r="IK13" i="63"/>
  <c r="IJ13" i="63"/>
  <c r="II13" i="63"/>
  <c r="IH13" i="63"/>
  <c r="IG13" i="63"/>
  <c r="IF13" i="63"/>
  <c r="IE13" i="63"/>
  <c r="ID13" i="63"/>
  <c r="IC13" i="63"/>
  <c r="IB13" i="63"/>
  <c r="IA13" i="63"/>
  <c r="HZ13" i="63"/>
  <c r="HY13" i="63"/>
  <c r="HX13" i="63"/>
  <c r="HW13" i="63"/>
  <c r="HV13" i="63"/>
  <c r="HU13" i="63"/>
  <c r="HT13" i="63"/>
  <c r="HS13" i="63"/>
  <c r="HR13" i="63"/>
  <c r="HQ13" i="63"/>
  <c r="HP13" i="63"/>
  <c r="HO13" i="63"/>
  <c r="HN13" i="63"/>
  <c r="HM13" i="63"/>
  <c r="HL13" i="63"/>
  <c r="HK13" i="63"/>
  <c r="HJ13" i="63"/>
  <c r="HI13" i="63"/>
  <c r="HH13" i="63"/>
  <c r="HG13" i="63"/>
  <c r="HF13" i="63"/>
  <c r="HE13" i="63"/>
  <c r="HD13" i="63"/>
  <c r="HC13" i="63"/>
  <c r="HB13" i="63"/>
  <c r="HA13" i="63"/>
  <c r="GZ13" i="63"/>
  <c r="GY13" i="63"/>
  <c r="GX13" i="63"/>
  <c r="GW13" i="63"/>
  <c r="GV13" i="63"/>
  <c r="GU13" i="63"/>
  <c r="GT13" i="63"/>
  <c r="GS13" i="63"/>
  <c r="GR13" i="63"/>
  <c r="GQ13" i="63"/>
  <c r="GP13" i="63"/>
  <c r="GO13" i="63"/>
  <c r="GN13" i="63"/>
  <c r="GM13" i="63"/>
  <c r="GL13" i="63"/>
  <c r="GK13" i="63"/>
  <c r="GJ13" i="63"/>
  <c r="GI13" i="63"/>
  <c r="GH13" i="63"/>
  <c r="GG13" i="63"/>
  <c r="GF13" i="63"/>
  <c r="GE13" i="63"/>
  <c r="GD13" i="63"/>
  <c r="GC13" i="63"/>
  <c r="GB13" i="63"/>
  <c r="GA13" i="63"/>
  <c r="FZ13" i="63"/>
  <c r="FY13" i="63"/>
  <c r="FX13" i="63"/>
  <c r="FW13" i="63"/>
  <c r="FV13" i="63"/>
  <c r="FU13" i="63"/>
  <c r="FT13" i="63"/>
  <c r="FS13" i="63"/>
  <c r="FR13" i="63"/>
  <c r="FQ13" i="63"/>
  <c r="FP13" i="63"/>
  <c r="FO13" i="63"/>
  <c r="C13" i="63"/>
  <c r="LW12" i="63"/>
  <c r="LV12" i="63"/>
  <c r="LU12" i="63"/>
  <c r="LT12" i="63"/>
  <c r="LS12" i="63"/>
  <c r="LR12" i="63"/>
  <c r="LQ12" i="63"/>
  <c r="LP12" i="63"/>
  <c r="LO12" i="63"/>
  <c r="LN12" i="63"/>
  <c r="LM12" i="63"/>
  <c r="LL12" i="63"/>
  <c r="LK12" i="63"/>
  <c r="LJ12" i="63"/>
  <c r="LI12" i="63"/>
  <c r="LH12" i="63"/>
  <c r="LG12" i="63"/>
  <c r="LF12" i="63"/>
  <c r="LE12" i="63"/>
  <c r="LD12" i="63"/>
  <c r="LC12" i="63"/>
  <c r="LB12" i="63"/>
  <c r="LA12" i="63"/>
  <c r="KZ12" i="63"/>
  <c r="KY12" i="63"/>
  <c r="KX12" i="63"/>
  <c r="KW12" i="63"/>
  <c r="KV12" i="63"/>
  <c r="KU12" i="63"/>
  <c r="KT12" i="63"/>
  <c r="KS12" i="63"/>
  <c r="KR12" i="63"/>
  <c r="KQ12" i="63"/>
  <c r="KP12" i="63"/>
  <c r="KO12" i="63"/>
  <c r="KN12" i="63"/>
  <c r="KM12" i="63"/>
  <c r="KL12" i="63"/>
  <c r="KK12" i="63"/>
  <c r="KJ12" i="63"/>
  <c r="KI12" i="63"/>
  <c r="KH12" i="63"/>
  <c r="KG12" i="63"/>
  <c r="KF12" i="63"/>
  <c r="KE12" i="63"/>
  <c r="KD12" i="63"/>
  <c r="KC12" i="63"/>
  <c r="KB12" i="63"/>
  <c r="KA12" i="63"/>
  <c r="JZ12" i="63"/>
  <c r="JY12" i="63"/>
  <c r="JX12" i="63"/>
  <c r="JW12" i="63"/>
  <c r="JV12" i="63"/>
  <c r="JU12" i="63"/>
  <c r="JT12" i="63"/>
  <c r="JS12" i="63"/>
  <c r="JR12" i="63"/>
  <c r="JQ12" i="63"/>
  <c r="JP12" i="63"/>
  <c r="JO12" i="63"/>
  <c r="JN12" i="63"/>
  <c r="JM12" i="63"/>
  <c r="JL12" i="63"/>
  <c r="JK12" i="63"/>
  <c r="JJ12" i="63"/>
  <c r="JI12" i="63"/>
  <c r="JH12" i="63"/>
  <c r="JG12" i="63"/>
  <c r="JF12" i="63"/>
  <c r="JE12" i="63"/>
  <c r="JD12" i="63"/>
  <c r="JC12" i="63"/>
  <c r="JB12" i="63"/>
  <c r="JA12" i="63"/>
  <c r="IZ12" i="63"/>
  <c r="IY12" i="63"/>
  <c r="IX12" i="63"/>
  <c r="IW12" i="63"/>
  <c r="IV12" i="63"/>
  <c r="IU12" i="63"/>
  <c r="IT12" i="63"/>
  <c r="IS12" i="63"/>
  <c r="IR12" i="63"/>
  <c r="IQ12" i="63"/>
  <c r="IP12" i="63"/>
  <c r="IO12" i="63"/>
  <c r="IN12" i="63"/>
  <c r="IM12" i="63"/>
  <c r="IL12" i="63"/>
  <c r="IK12" i="63"/>
  <c r="IJ12" i="63"/>
  <c r="II12" i="63"/>
  <c r="IH12" i="63"/>
  <c r="IG12" i="63"/>
  <c r="IF12" i="63"/>
  <c r="IE12" i="63"/>
  <c r="ID12" i="63"/>
  <c r="IC12" i="63"/>
  <c r="IB12" i="63"/>
  <c r="IA12" i="63"/>
  <c r="HZ12" i="63"/>
  <c r="HY12" i="63"/>
  <c r="HX12" i="63"/>
  <c r="HW12" i="63"/>
  <c r="HV12" i="63"/>
  <c r="HU12" i="63"/>
  <c r="HT12" i="63"/>
  <c r="HS12" i="63"/>
  <c r="HR12" i="63"/>
  <c r="HQ12" i="63"/>
  <c r="HP12" i="63"/>
  <c r="HO12" i="63"/>
  <c r="HN12" i="63"/>
  <c r="HM12" i="63"/>
  <c r="HL12" i="63"/>
  <c r="HK12" i="63"/>
  <c r="HJ12" i="63"/>
  <c r="HI12" i="63"/>
  <c r="HH12" i="63"/>
  <c r="HG12" i="63"/>
  <c r="HF12" i="63"/>
  <c r="HE12" i="63"/>
  <c r="HD12" i="63"/>
  <c r="HC12" i="63"/>
  <c r="HB12" i="63"/>
  <c r="HA12" i="63"/>
  <c r="GZ12" i="63"/>
  <c r="GY12" i="63"/>
  <c r="GX12" i="63"/>
  <c r="GW12" i="63"/>
  <c r="GV12" i="63"/>
  <c r="GU12" i="63"/>
  <c r="GT12" i="63"/>
  <c r="GS12" i="63"/>
  <c r="GR12" i="63"/>
  <c r="GQ12" i="63"/>
  <c r="GP12" i="63"/>
  <c r="GO12" i="63"/>
  <c r="GN12" i="63"/>
  <c r="GM12" i="63"/>
  <c r="GL12" i="63"/>
  <c r="GK12" i="63"/>
  <c r="GJ12" i="63"/>
  <c r="GI12" i="63"/>
  <c r="GH12" i="63"/>
  <c r="GG12" i="63"/>
  <c r="GF12" i="63"/>
  <c r="GE12" i="63"/>
  <c r="GD12" i="63"/>
  <c r="GC12" i="63"/>
  <c r="GB12" i="63"/>
  <c r="GA12" i="63"/>
  <c r="FZ12" i="63"/>
  <c r="FY12" i="63"/>
  <c r="FX12" i="63"/>
  <c r="FW12" i="63"/>
  <c r="FV12" i="63"/>
  <c r="FU12" i="63"/>
  <c r="FT12" i="63"/>
  <c r="FS12" i="63"/>
  <c r="FR12" i="63"/>
  <c r="FQ12" i="63"/>
  <c r="FP12" i="63"/>
  <c r="FO12" i="63"/>
  <c r="C12" i="63"/>
  <c r="LW11" i="63"/>
  <c r="LV11" i="63"/>
  <c r="LU11" i="63"/>
  <c r="LT11" i="63"/>
  <c r="LS11" i="63"/>
  <c r="LR11" i="63"/>
  <c r="LQ11" i="63"/>
  <c r="LP11" i="63"/>
  <c r="LO11" i="63"/>
  <c r="LN11" i="63"/>
  <c r="LM11" i="63"/>
  <c r="LL11" i="63"/>
  <c r="LK11" i="63"/>
  <c r="LJ11" i="63"/>
  <c r="LI11" i="63"/>
  <c r="LH11" i="63"/>
  <c r="LG11" i="63"/>
  <c r="LF11" i="63"/>
  <c r="LE11" i="63"/>
  <c r="LD11" i="63"/>
  <c r="LC11" i="63"/>
  <c r="LB11" i="63"/>
  <c r="LA11" i="63"/>
  <c r="KZ11" i="63"/>
  <c r="KY11" i="63"/>
  <c r="KX11" i="63"/>
  <c r="KW11" i="63"/>
  <c r="KV11" i="63"/>
  <c r="KU11" i="63"/>
  <c r="KT11" i="63"/>
  <c r="KS11" i="63"/>
  <c r="KR11" i="63"/>
  <c r="KQ11" i="63"/>
  <c r="KP11" i="63"/>
  <c r="KO11" i="63"/>
  <c r="KN11" i="63"/>
  <c r="KM11" i="63"/>
  <c r="KL11" i="63"/>
  <c r="KK11" i="63"/>
  <c r="KJ11" i="63"/>
  <c r="KI11" i="63"/>
  <c r="KH11" i="63"/>
  <c r="KG11" i="63"/>
  <c r="KF11" i="63"/>
  <c r="KE11" i="63"/>
  <c r="KD11" i="63"/>
  <c r="KC11" i="63"/>
  <c r="KB11" i="63"/>
  <c r="KA11" i="63"/>
  <c r="JZ11" i="63"/>
  <c r="JY11" i="63"/>
  <c r="JX11" i="63"/>
  <c r="JW11" i="63"/>
  <c r="JV11" i="63"/>
  <c r="JU11" i="63"/>
  <c r="JT11" i="63"/>
  <c r="JS11" i="63"/>
  <c r="JR11" i="63"/>
  <c r="JQ11" i="63"/>
  <c r="JP11" i="63"/>
  <c r="JO11" i="63"/>
  <c r="JN11" i="63"/>
  <c r="JM11" i="63"/>
  <c r="JL11" i="63"/>
  <c r="JK11" i="63"/>
  <c r="JJ11" i="63"/>
  <c r="JI11" i="63"/>
  <c r="JH11" i="63"/>
  <c r="JG11" i="63"/>
  <c r="JF11" i="63"/>
  <c r="JE11" i="63"/>
  <c r="JD11" i="63"/>
  <c r="JC11" i="63"/>
  <c r="JB11" i="63"/>
  <c r="JA11" i="63"/>
  <c r="IZ11" i="63"/>
  <c r="IY11" i="63"/>
  <c r="IX11" i="63"/>
  <c r="IW11" i="63"/>
  <c r="IV11" i="63"/>
  <c r="IU11" i="63"/>
  <c r="IT11" i="63"/>
  <c r="IS11" i="63"/>
  <c r="IR11" i="63"/>
  <c r="IQ11" i="63"/>
  <c r="IP11" i="63"/>
  <c r="IO11" i="63"/>
  <c r="IN11" i="63"/>
  <c r="IM11" i="63"/>
  <c r="IL11" i="63"/>
  <c r="IK11" i="63"/>
  <c r="IJ11" i="63"/>
  <c r="II11" i="63"/>
  <c r="IH11" i="63"/>
  <c r="IG11" i="63"/>
  <c r="IF11" i="63"/>
  <c r="IE11" i="63"/>
  <c r="ID11" i="63"/>
  <c r="IC11" i="63"/>
  <c r="IB11" i="63"/>
  <c r="IA11" i="63"/>
  <c r="HZ11" i="63"/>
  <c r="HY11" i="63"/>
  <c r="HX11" i="63"/>
  <c r="HW11" i="63"/>
  <c r="HV11" i="63"/>
  <c r="HU11" i="63"/>
  <c r="HT11" i="63"/>
  <c r="HS11" i="63"/>
  <c r="HR11" i="63"/>
  <c r="HQ11" i="63"/>
  <c r="HP11" i="63"/>
  <c r="HO11" i="63"/>
  <c r="HN11" i="63"/>
  <c r="HM11" i="63"/>
  <c r="HL11" i="63"/>
  <c r="HK11" i="63"/>
  <c r="HJ11" i="63"/>
  <c r="HI11" i="63"/>
  <c r="HH11" i="63"/>
  <c r="HG11" i="63"/>
  <c r="HF11" i="63"/>
  <c r="HE11" i="63"/>
  <c r="HD11" i="63"/>
  <c r="HC11" i="63"/>
  <c r="HB11" i="63"/>
  <c r="HA11" i="63"/>
  <c r="GZ11" i="63"/>
  <c r="GY11" i="63"/>
  <c r="GX11" i="63"/>
  <c r="GW11" i="63"/>
  <c r="GV11" i="63"/>
  <c r="GU11" i="63"/>
  <c r="GT11" i="63"/>
  <c r="GS11" i="63"/>
  <c r="GR11" i="63"/>
  <c r="GQ11" i="63"/>
  <c r="GP11" i="63"/>
  <c r="GO11" i="63"/>
  <c r="GN11" i="63"/>
  <c r="GM11" i="63"/>
  <c r="GL11" i="63"/>
  <c r="GK11" i="63"/>
  <c r="GJ11" i="63"/>
  <c r="GI11" i="63"/>
  <c r="GH11" i="63"/>
  <c r="GG11" i="63"/>
  <c r="GF11" i="63"/>
  <c r="GE11" i="63"/>
  <c r="GD11" i="63"/>
  <c r="GC11" i="63"/>
  <c r="GB11" i="63"/>
  <c r="GA11" i="63"/>
  <c r="FZ11" i="63"/>
  <c r="FY11" i="63"/>
  <c r="FX11" i="63"/>
  <c r="FW11" i="63"/>
  <c r="FV11" i="63"/>
  <c r="FU11" i="63"/>
  <c r="FT11" i="63"/>
  <c r="FS11" i="63"/>
  <c r="FR11" i="63"/>
  <c r="FQ11" i="63"/>
  <c r="FP11" i="63"/>
  <c r="FO11" i="63"/>
  <c r="C11" i="63"/>
  <c r="LW10" i="63"/>
  <c r="LV10" i="63"/>
  <c r="LU10" i="63"/>
  <c r="LT10" i="63"/>
  <c r="LS10" i="63"/>
  <c r="LR10" i="63"/>
  <c r="LQ10" i="63"/>
  <c r="LP10" i="63"/>
  <c r="LO10" i="63"/>
  <c r="LN10" i="63"/>
  <c r="LM10" i="63"/>
  <c r="LL10" i="63"/>
  <c r="LK10" i="63"/>
  <c r="LJ10" i="63"/>
  <c r="LI10" i="63"/>
  <c r="LH10" i="63"/>
  <c r="LG10" i="63"/>
  <c r="LF10" i="63"/>
  <c r="LE10" i="63"/>
  <c r="LD10" i="63"/>
  <c r="LC10" i="63"/>
  <c r="LB10" i="63"/>
  <c r="LA10" i="63"/>
  <c r="KZ10" i="63"/>
  <c r="KY10" i="63"/>
  <c r="KX10" i="63"/>
  <c r="KW10" i="63"/>
  <c r="KV10" i="63"/>
  <c r="KU10" i="63"/>
  <c r="KT10" i="63"/>
  <c r="KS10" i="63"/>
  <c r="KR10" i="63"/>
  <c r="KQ10" i="63"/>
  <c r="KP10" i="63"/>
  <c r="KO10" i="63"/>
  <c r="KN10" i="63"/>
  <c r="KM10" i="63"/>
  <c r="KL10" i="63"/>
  <c r="KK10" i="63"/>
  <c r="KJ10" i="63"/>
  <c r="KI10" i="63"/>
  <c r="KH10" i="63"/>
  <c r="KG10" i="63"/>
  <c r="KF10" i="63"/>
  <c r="KE10" i="63"/>
  <c r="KD10" i="63"/>
  <c r="KC10" i="63"/>
  <c r="KB10" i="63"/>
  <c r="KA10" i="63"/>
  <c r="JZ10" i="63"/>
  <c r="JY10" i="63"/>
  <c r="JX10" i="63"/>
  <c r="JW10" i="63"/>
  <c r="JV10" i="63"/>
  <c r="JU10" i="63"/>
  <c r="JT10" i="63"/>
  <c r="JS10" i="63"/>
  <c r="JR10" i="63"/>
  <c r="JQ10" i="63"/>
  <c r="JP10" i="63"/>
  <c r="JO10" i="63"/>
  <c r="JN10" i="63"/>
  <c r="JM10" i="63"/>
  <c r="JL10" i="63"/>
  <c r="JK10" i="63"/>
  <c r="JJ10" i="63"/>
  <c r="JI10" i="63"/>
  <c r="JH10" i="63"/>
  <c r="JG10" i="63"/>
  <c r="JF10" i="63"/>
  <c r="JE10" i="63"/>
  <c r="JD10" i="63"/>
  <c r="JC10" i="63"/>
  <c r="JB10" i="63"/>
  <c r="JA10" i="63"/>
  <c r="IZ10" i="63"/>
  <c r="IY10" i="63"/>
  <c r="IX10" i="63"/>
  <c r="IW10" i="63"/>
  <c r="IV10" i="63"/>
  <c r="IU10" i="63"/>
  <c r="IT10" i="63"/>
  <c r="IS10" i="63"/>
  <c r="IR10" i="63"/>
  <c r="IQ10" i="63"/>
  <c r="IP10" i="63"/>
  <c r="IO10" i="63"/>
  <c r="IN10" i="63"/>
  <c r="IM10" i="63"/>
  <c r="IL10" i="63"/>
  <c r="IK10" i="63"/>
  <c r="IJ10" i="63"/>
  <c r="II10" i="63"/>
  <c r="IH10" i="63"/>
  <c r="IG10" i="63"/>
  <c r="IF10" i="63"/>
  <c r="IE10" i="63"/>
  <c r="ID10" i="63"/>
  <c r="IC10" i="63"/>
  <c r="IB10" i="63"/>
  <c r="IA10" i="63"/>
  <c r="HZ10" i="63"/>
  <c r="HY10" i="63"/>
  <c r="HX10" i="63"/>
  <c r="HW10" i="63"/>
  <c r="HV10" i="63"/>
  <c r="HU10" i="63"/>
  <c r="HT10" i="63"/>
  <c r="HS10" i="63"/>
  <c r="HR10" i="63"/>
  <c r="HQ10" i="63"/>
  <c r="HP10" i="63"/>
  <c r="HO10" i="63"/>
  <c r="HN10" i="63"/>
  <c r="HM10" i="63"/>
  <c r="HL10" i="63"/>
  <c r="HK10" i="63"/>
  <c r="HJ10" i="63"/>
  <c r="HI10" i="63"/>
  <c r="HH10" i="63"/>
  <c r="HG10" i="63"/>
  <c r="HF10" i="63"/>
  <c r="HE10" i="63"/>
  <c r="HD10" i="63"/>
  <c r="HC10" i="63"/>
  <c r="HB10" i="63"/>
  <c r="HA10" i="63"/>
  <c r="GZ10" i="63"/>
  <c r="GY10" i="63"/>
  <c r="GX10" i="63"/>
  <c r="GW10" i="63"/>
  <c r="GV10" i="63"/>
  <c r="GU10" i="63"/>
  <c r="GT10" i="63"/>
  <c r="GS10" i="63"/>
  <c r="GR10" i="63"/>
  <c r="GQ10" i="63"/>
  <c r="GP10" i="63"/>
  <c r="GO10" i="63"/>
  <c r="GN10" i="63"/>
  <c r="GM10" i="63"/>
  <c r="GL10" i="63"/>
  <c r="GK10" i="63"/>
  <c r="GJ10" i="63"/>
  <c r="GI10" i="63"/>
  <c r="GH10" i="63"/>
  <c r="GG10" i="63"/>
  <c r="GF10" i="63"/>
  <c r="GE10" i="63"/>
  <c r="GD10" i="63"/>
  <c r="GC10" i="63"/>
  <c r="GB10" i="63"/>
  <c r="GA10" i="63"/>
  <c r="FZ10" i="63"/>
  <c r="FY10" i="63"/>
  <c r="FX10" i="63"/>
  <c r="FW10" i="63"/>
  <c r="FV10" i="63"/>
  <c r="FU10" i="63"/>
  <c r="FT10" i="63"/>
  <c r="FS10" i="63"/>
  <c r="FR10" i="63"/>
  <c r="FQ10" i="63"/>
  <c r="FP10" i="63"/>
  <c r="FO10" i="63"/>
  <c r="C10" i="63"/>
  <c r="LW9" i="63"/>
  <c r="LV9" i="63"/>
  <c r="LU9" i="63"/>
  <c r="LT9" i="63"/>
  <c r="LS9" i="63"/>
  <c r="LR9" i="63"/>
  <c r="LQ9" i="63"/>
  <c r="LP9" i="63"/>
  <c r="LO9" i="63"/>
  <c r="LN9" i="63"/>
  <c r="LM9" i="63"/>
  <c r="LL9" i="63"/>
  <c r="LK9" i="63"/>
  <c r="LJ9" i="63"/>
  <c r="LI9" i="63"/>
  <c r="LH9" i="63"/>
  <c r="LG9" i="63"/>
  <c r="LF9" i="63"/>
  <c r="LE9" i="63"/>
  <c r="LD9" i="63"/>
  <c r="LC9" i="63"/>
  <c r="LB9" i="63"/>
  <c r="LA9" i="63"/>
  <c r="KZ9" i="63"/>
  <c r="KY9" i="63"/>
  <c r="KX9" i="63"/>
  <c r="KW9" i="63"/>
  <c r="KV9" i="63"/>
  <c r="KU9" i="63"/>
  <c r="KT9" i="63"/>
  <c r="KS9" i="63"/>
  <c r="KR9" i="63"/>
  <c r="KQ9" i="63"/>
  <c r="KP9" i="63"/>
  <c r="KO9" i="63"/>
  <c r="KN9" i="63"/>
  <c r="KM9" i="63"/>
  <c r="KL9" i="63"/>
  <c r="KK9" i="63"/>
  <c r="KJ9" i="63"/>
  <c r="KI9" i="63"/>
  <c r="KH9" i="63"/>
  <c r="KG9" i="63"/>
  <c r="KF9" i="63"/>
  <c r="KE9" i="63"/>
  <c r="KD9" i="63"/>
  <c r="KC9" i="63"/>
  <c r="KB9" i="63"/>
  <c r="KA9" i="63"/>
  <c r="JZ9" i="63"/>
  <c r="JY9" i="63"/>
  <c r="JX9" i="63"/>
  <c r="JW9" i="63"/>
  <c r="JV9" i="63"/>
  <c r="JU9" i="63"/>
  <c r="JT9" i="63"/>
  <c r="JS9" i="63"/>
  <c r="JR9" i="63"/>
  <c r="JQ9" i="63"/>
  <c r="JP9" i="63"/>
  <c r="JO9" i="63"/>
  <c r="JN9" i="63"/>
  <c r="JM9" i="63"/>
  <c r="JL9" i="63"/>
  <c r="JK9" i="63"/>
  <c r="JJ9" i="63"/>
  <c r="JI9" i="63"/>
  <c r="JH9" i="63"/>
  <c r="JG9" i="63"/>
  <c r="JF9" i="63"/>
  <c r="JE9" i="63"/>
  <c r="JD9" i="63"/>
  <c r="JC9" i="63"/>
  <c r="JB9" i="63"/>
  <c r="JA9" i="63"/>
  <c r="IZ9" i="63"/>
  <c r="IY9" i="63"/>
  <c r="IX9" i="63"/>
  <c r="IW9" i="63"/>
  <c r="IV9" i="63"/>
  <c r="IU9" i="63"/>
  <c r="IT9" i="63"/>
  <c r="IS9" i="63"/>
  <c r="IR9" i="63"/>
  <c r="IQ9" i="63"/>
  <c r="IP9" i="63"/>
  <c r="IO9" i="63"/>
  <c r="IN9" i="63"/>
  <c r="IM9" i="63"/>
  <c r="IL9" i="63"/>
  <c r="IK9" i="63"/>
  <c r="IJ9" i="63"/>
  <c r="II9" i="63"/>
  <c r="IH9" i="63"/>
  <c r="IG9" i="63"/>
  <c r="IF9" i="63"/>
  <c r="IE9" i="63"/>
  <c r="ID9" i="63"/>
  <c r="IC9" i="63"/>
  <c r="IB9" i="63"/>
  <c r="IA9" i="63"/>
  <c r="HZ9" i="63"/>
  <c r="HY9" i="63"/>
  <c r="HX9" i="63"/>
  <c r="HW9" i="63"/>
  <c r="HV9" i="63"/>
  <c r="HU9" i="63"/>
  <c r="HT9" i="63"/>
  <c r="HS9" i="63"/>
  <c r="HR9" i="63"/>
  <c r="HQ9" i="63"/>
  <c r="HP9" i="63"/>
  <c r="HO9" i="63"/>
  <c r="HN9" i="63"/>
  <c r="HM9" i="63"/>
  <c r="HL9" i="63"/>
  <c r="HK9" i="63"/>
  <c r="HJ9" i="63"/>
  <c r="HI9" i="63"/>
  <c r="HH9" i="63"/>
  <c r="HG9" i="63"/>
  <c r="HF9" i="63"/>
  <c r="HE9" i="63"/>
  <c r="HD9" i="63"/>
  <c r="HC9" i="63"/>
  <c r="HB9" i="63"/>
  <c r="HA9" i="63"/>
  <c r="GZ9" i="63"/>
  <c r="GY9" i="63"/>
  <c r="GX9" i="63"/>
  <c r="GW9" i="63"/>
  <c r="GV9" i="63"/>
  <c r="GU9" i="63"/>
  <c r="GT9" i="63"/>
  <c r="GS9" i="63"/>
  <c r="GR9" i="63"/>
  <c r="GQ9" i="63"/>
  <c r="GP9" i="63"/>
  <c r="GO9" i="63"/>
  <c r="GN9" i="63"/>
  <c r="GM9" i="63"/>
  <c r="GL9" i="63"/>
  <c r="GK9" i="63"/>
  <c r="GJ9" i="63"/>
  <c r="GI9" i="63"/>
  <c r="GH9" i="63"/>
  <c r="GG9" i="63"/>
  <c r="GF9" i="63"/>
  <c r="GE9" i="63"/>
  <c r="GD9" i="63"/>
  <c r="GC9" i="63"/>
  <c r="GB9" i="63"/>
  <c r="GA9" i="63"/>
  <c r="FZ9" i="63"/>
  <c r="FY9" i="63"/>
  <c r="FX9" i="63"/>
  <c r="FW9" i="63"/>
  <c r="FV9" i="63"/>
  <c r="FU9" i="63"/>
  <c r="FT9" i="63"/>
  <c r="FS9" i="63"/>
  <c r="FR9" i="63"/>
  <c r="FQ9" i="63"/>
  <c r="FP9" i="63"/>
  <c r="FO9" i="63"/>
  <c r="C9" i="63"/>
  <c r="LW8" i="63"/>
  <c r="LV8" i="63"/>
  <c r="LU8" i="63"/>
  <c r="LT8" i="63"/>
  <c r="LS8" i="63"/>
  <c r="LR8" i="63"/>
  <c r="LQ8" i="63"/>
  <c r="LP8" i="63"/>
  <c r="LO8" i="63"/>
  <c r="LN8" i="63"/>
  <c r="LM8" i="63"/>
  <c r="LL8" i="63"/>
  <c r="LK8" i="63"/>
  <c r="LJ8" i="63"/>
  <c r="LI8" i="63"/>
  <c r="LH8" i="63"/>
  <c r="LG8" i="63"/>
  <c r="LF8" i="63"/>
  <c r="LE8" i="63"/>
  <c r="LD8" i="63"/>
  <c r="LC8" i="63"/>
  <c r="LB8" i="63"/>
  <c r="LA8" i="63"/>
  <c r="KZ8" i="63"/>
  <c r="KY8" i="63"/>
  <c r="KX8" i="63"/>
  <c r="KW8" i="63"/>
  <c r="KV8" i="63"/>
  <c r="KU8" i="63"/>
  <c r="KT8" i="63"/>
  <c r="KS8" i="63"/>
  <c r="KR8" i="63"/>
  <c r="KQ8" i="63"/>
  <c r="KP8" i="63"/>
  <c r="KO8" i="63"/>
  <c r="KN8" i="63"/>
  <c r="KM8" i="63"/>
  <c r="KL8" i="63"/>
  <c r="KK8" i="63"/>
  <c r="KJ8" i="63"/>
  <c r="KI8" i="63"/>
  <c r="KH8" i="63"/>
  <c r="KG8" i="63"/>
  <c r="KF8" i="63"/>
  <c r="KE8" i="63"/>
  <c r="KD8" i="63"/>
  <c r="KC8" i="63"/>
  <c r="KB8" i="63"/>
  <c r="KA8" i="63"/>
  <c r="JZ8" i="63"/>
  <c r="JY8" i="63"/>
  <c r="JX8" i="63"/>
  <c r="JW8" i="63"/>
  <c r="JV8" i="63"/>
  <c r="JU8" i="63"/>
  <c r="JT8" i="63"/>
  <c r="JS8" i="63"/>
  <c r="JR8" i="63"/>
  <c r="JQ8" i="63"/>
  <c r="JP8" i="63"/>
  <c r="JO8" i="63"/>
  <c r="JN8" i="63"/>
  <c r="JM8" i="63"/>
  <c r="JL8" i="63"/>
  <c r="JK8" i="63"/>
  <c r="JJ8" i="63"/>
  <c r="JI8" i="63"/>
  <c r="JH8" i="63"/>
  <c r="JG8" i="63"/>
  <c r="JF8" i="63"/>
  <c r="JE8" i="63"/>
  <c r="JD8" i="63"/>
  <c r="JC8" i="63"/>
  <c r="JB8" i="63"/>
  <c r="JA8" i="63"/>
  <c r="IZ8" i="63"/>
  <c r="IY8" i="63"/>
  <c r="IX8" i="63"/>
  <c r="IW8" i="63"/>
  <c r="IV8" i="63"/>
  <c r="IU8" i="63"/>
  <c r="IT8" i="63"/>
  <c r="IS8" i="63"/>
  <c r="IR8" i="63"/>
  <c r="IQ8" i="63"/>
  <c r="IP8" i="63"/>
  <c r="IO8" i="63"/>
  <c r="IN8" i="63"/>
  <c r="IM8" i="63"/>
  <c r="IL8" i="63"/>
  <c r="IK8" i="63"/>
  <c r="IJ8" i="63"/>
  <c r="II8" i="63"/>
  <c r="IH8" i="63"/>
  <c r="IG8" i="63"/>
  <c r="IF8" i="63"/>
  <c r="IE8" i="63"/>
  <c r="ID8" i="63"/>
  <c r="IC8" i="63"/>
  <c r="IB8" i="63"/>
  <c r="IA8" i="63"/>
  <c r="HZ8" i="63"/>
  <c r="HY8" i="63"/>
  <c r="HX8" i="63"/>
  <c r="HW8" i="63"/>
  <c r="HV8" i="63"/>
  <c r="HU8" i="63"/>
  <c r="HT8" i="63"/>
  <c r="HS8" i="63"/>
  <c r="HR8" i="63"/>
  <c r="HQ8" i="63"/>
  <c r="HP8" i="63"/>
  <c r="HO8" i="63"/>
  <c r="HN8" i="63"/>
  <c r="HM8" i="63"/>
  <c r="HL8" i="63"/>
  <c r="HK8" i="63"/>
  <c r="HJ8" i="63"/>
  <c r="HI8" i="63"/>
  <c r="HH8" i="63"/>
  <c r="HG8" i="63"/>
  <c r="HF8" i="63"/>
  <c r="HE8" i="63"/>
  <c r="HD8" i="63"/>
  <c r="HC8" i="63"/>
  <c r="HB8" i="63"/>
  <c r="HA8" i="63"/>
  <c r="GZ8" i="63"/>
  <c r="GY8" i="63"/>
  <c r="GX8" i="63"/>
  <c r="GW8" i="63"/>
  <c r="GV8" i="63"/>
  <c r="GU8" i="63"/>
  <c r="GT8" i="63"/>
  <c r="GS8" i="63"/>
  <c r="GR8" i="63"/>
  <c r="GQ8" i="63"/>
  <c r="GP8" i="63"/>
  <c r="GO8" i="63"/>
  <c r="GN8" i="63"/>
  <c r="GM8" i="63"/>
  <c r="GL8" i="63"/>
  <c r="GK8" i="63"/>
  <c r="GJ8" i="63"/>
  <c r="GI8" i="63"/>
  <c r="GH8" i="63"/>
  <c r="GG8" i="63"/>
  <c r="GF8" i="63"/>
  <c r="GE8" i="63"/>
  <c r="GD8" i="63"/>
  <c r="GC8" i="63"/>
  <c r="GB8" i="63"/>
  <c r="GA8" i="63"/>
  <c r="FZ8" i="63"/>
  <c r="FY8" i="63"/>
  <c r="FX8" i="63"/>
  <c r="FW8" i="63"/>
  <c r="FV8" i="63"/>
  <c r="FU8" i="63"/>
  <c r="FT8" i="63"/>
  <c r="FS8" i="63"/>
  <c r="FR8" i="63"/>
  <c r="FQ8" i="63"/>
  <c r="FP8" i="63"/>
  <c r="FO8" i="63"/>
  <c r="C8" i="63"/>
  <c r="LW7" i="63"/>
  <c r="LV7" i="63"/>
  <c r="LU7" i="63"/>
  <c r="LT7" i="63"/>
  <c r="LS7" i="63"/>
  <c r="LR7" i="63"/>
  <c r="LQ7" i="63"/>
  <c r="LP7" i="63"/>
  <c r="LO7" i="63"/>
  <c r="LN7" i="63"/>
  <c r="LM7" i="63"/>
  <c r="LL7" i="63"/>
  <c r="LK7" i="63"/>
  <c r="LJ7" i="63"/>
  <c r="LI7" i="63"/>
  <c r="LH7" i="63"/>
  <c r="LG7" i="63"/>
  <c r="LF7" i="63"/>
  <c r="LE7" i="63"/>
  <c r="LD7" i="63"/>
  <c r="LC7" i="63"/>
  <c r="LB7" i="63"/>
  <c r="LA7" i="63"/>
  <c r="KZ7" i="63"/>
  <c r="KY7" i="63"/>
  <c r="KX7" i="63"/>
  <c r="KW7" i="63"/>
  <c r="KV7" i="63"/>
  <c r="KU7" i="63"/>
  <c r="KT7" i="63"/>
  <c r="KS7" i="63"/>
  <c r="KR7" i="63"/>
  <c r="KQ7" i="63"/>
  <c r="KP7" i="63"/>
  <c r="KO7" i="63"/>
  <c r="KN7" i="63"/>
  <c r="KM7" i="63"/>
  <c r="KL7" i="63"/>
  <c r="KK7" i="63"/>
  <c r="KJ7" i="63"/>
  <c r="KI7" i="63"/>
  <c r="KH7" i="63"/>
  <c r="KG7" i="63"/>
  <c r="KF7" i="63"/>
  <c r="KE7" i="63"/>
  <c r="KD7" i="63"/>
  <c r="KC7" i="63"/>
  <c r="KB7" i="63"/>
  <c r="KA7" i="63"/>
  <c r="JZ7" i="63"/>
  <c r="JY7" i="63"/>
  <c r="JX7" i="63"/>
  <c r="JW7" i="63"/>
  <c r="JV7" i="63"/>
  <c r="JU7" i="63"/>
  <c r="JT7" i="63"/>
  <c r="JS7" i="63"/>
  <c r="JR7" i="63"/>
  <c r="JQ7" i="63"/>
  <c r="JP7" i="63"/>
  <c r="JO7" i="63"/>
  <c r="JN7" i="63"/>
  <c r="JM7" i="63"/>
  <c r="JL7" i="63"/>
  <c r="JK7" i="63"/>
  <c r="JJ7" i="63"/>
  <c r="JI7" i="63"/>
  <c r="JH7" i="63"/>
  <c r="JG7" i="63"/>
  <c r="JF7" i="63"/>
  <c r="JE7" i="63"/>
  <c r="JD7" i="63"/>
  <c r="JC7" i="63"/>
  <c r="JB7" i="63"/>
  <c r="JA7" i="63"/>
  <c r="IZ7" i="63"/>
  <c r="IY7" i="63"/>
  <c r="IX7" i="63"/>
  <c r="IW7" i="63"/>
  <c r="IV7" i="63"/>
  <c r="IU7" i="63"/>
  <c r="IT7" i="63"/>
  <c r="IS7" i="63"/>
  <c r="IR7" i="63"/>
  <c r="IQ7" i="63"/>
  <c r="IP7" i="63"/>
  <c r="IO7" i="63"/>
  <c r="IN7" i="63"/>
  <c r="IM7" i="63"/>
  <c r="IL7" i="63"/>
  <c r="IK7" i="63"/>
  <c r="IJ7" i="63"/>
  <c r="II7" i="63"/>
  <c r="IH7" i="63"/>
  <c r="IG7" i="63"/>
  <c r="IF7" i="63"/>
  <c r="IE7" i="63"/>
  <c r="ID7" i="63"/>
  <c r="IC7" i="63"/>
  <c r="IB7" i="63"/>
  <c r="IA7" i="63"/>
  <c r="HZ7" i="63"/>
  <c r="HY7" i="63"/>
  <c r="HX7" i="63"/>
  <c r="HW7" i="63"/>
  <c r="HV7" i="63"/>
  <c r="HU7" i="63"/>
  <c r="HT7" i="63"/>
  <c r="HS7" i="63"/>
  <c r="HR7" i="63"/>
  <c r="HQ7" i="63"/>
  <c r="HP7" i="63"/>
  <c r="HO7" i="63"/>
  <c r="HN7" i="63"/>
  <c r="HM7" i="63"/>
  <c r="HL7" i="63"/>
  <c r="HK7" i="63"/>
  <c r="HJ7" i="63"/>
  <c r="HI7" i="63"/>
  <c r="HH7" i="63"/>
  <c r="HG7" i="63"/>
  <c r="HF7" i="63"/>
  <c r="HE7" i="63"/>
  <c r="HD7" i="63"/>
  <c r="HC7" i="63"/>
  <c r="HB7" i="63"/>
  <c r="HA7" i="63"/>
  <c r="GZ7" i="63"/>
  <c r="GY7" i="63"/>
  <c r="GX7" i="63"/>
  <c r="GW7" i="63"/>
  <c r="GV7" i="63"/>
  <c r="GU7" i="63"/>
  <c r="GT7" i="63"/>
  <c r="GS7" i="63"/>
  <c r="GR7" i="63"/>
  <c r="GQ7" i="63"/>
  <c r="GP7" i="63"/>
  <c r="GO7" i="63"/>
  <c r="GN7" i="63"/>
  <c r="GM7" i="63"/>
  <c r="GL7" i="63"/>
  <c r="GK7" i="63"/>
  <c r="GJ7" i="63"/>
  <c r="GI7" i="63"/>
  <c r="GH7" i="63"/>
  <c r="GG7" i="63"/>
  <c r="GF7" i="63"/>
  <c r="GE7" i="63"/>
  <c r="GD7" i="63"/>
  <c r="GC7" i="63"/>
  <c r="GB7" i="63"/>
  <c r="GA7" i="63"/>
  <c r="FZ7" i="63"/>
  <c r="FY7" i="63"/>
  <c r="FX7" i="63"/>
  <c r="FW7" i="63"/>
  <c r="FV7" i="63"/>
  <c r="FU7" i="63"/>
  <c r="FT7" i="63"/>
  <c r="FS7" i="63"/>
  <c r="FR7" i="63"/>
  <c r="FQ7" i="63"/>
  <c r="FP7" i="63"/>
  <c r="FO7" i="63"/>
  <c r="C7" i="63"/>
  <c r="LW6" i="63"/>
  <c r="LV6" i="63"/>
  <c r="LU6" i="63"/>
  <c r="LT6" i="63"/>
  <c r="LS6" i="63"/>
  <c r="LR6" i="63"/>
  <c r="LQ6" i="63"/>
  <c r="LP6" i="63"/>
  <c r="LO6" i="63"/>
  <c r="LN6" i="63"/>
  <c r="LM6" i="63"/>
  <c r="LL6" i="63"/>
  <c r="LK6" i="63"/>
  <c r="LJ6" i="63"/>
  <c r="LI6" i="63"/>
  <c r="LH6" i="63"/>
  <c r="LG6" i="63"/>
  <c r="LF6" i="63"/>
  <c r="LE6" i="63"/>
  <c r="LD6" i="63"/>
  <c r="LC6" i="63"/>
  <c r="LB6" i="63"/>
  <c r="LA6" i="63"/>
  <c r="KZ6" i="63"/>
  <c r="KY6" i="63"/>
  <c r="KX6" i="63"/>
  <c r="KW6" i="63"/>
  <c r="KV6" i="63"/>
  <c r="KU6" i="63"/>
  <c r="KT6" i="63"/>
  <c r="KS6" i="63"/>
  <c r="KR6" i="63"/>
  <c r="KQ6" i="63"/>
  <c r="KP6" i="63"/>
  <c r="KO6" i="63"/>
  <c r="KN6" i="63"/>
  <c r="KM6" i="63"/>
  <c r="KL6" i="63"/>
  <c r="KK6" i="63"/>
  <c r="KJ6" i="63"/>
  <c r="KI6" i="63"/>
  <c r="KH6" i="63"/>
  <c r="KG6" i="63"/>
  <c r="KF6" i="63"/>
  <c r="KE6" i="63"/>
  <c r="KD6" i="63"/>
  <c r="KC6" i="63"/>
  <c r="KB6" i="63"/>
  <c r="KA6" i="63"/>
  <c r="JZ6" i="63"/>
  <c r="JY6" i="63"/>
  <c r="JX6" i="63"/>
  <c r="JW6" i="63"/>
  <c r="JV6" i="63"/>
  <c r="JU6" i="63"/>
  <c r="JT6" i="63"/>
  <c r="JS6" i="63"/>
  <c r="JR6" i="63"/>
  <c r="JQ6" i="63"/>
  <c r="JP6" i="63"/>
  <c r="JO6" i="63"/>
  <c r="JN6" i="63"/>
  <c r="JM6" i="63"/>
  <c r="JL6" i="63"/>
  <c r="JK6" i="63"/>
  <c r="JJ6" i="63"/>
  <c r="JI6" i="63"/>
  <c r="JH6" i="63"/>
  <c r="JG6" i="63"/>
  <c r="JF6" i="63"/>
  <c r="JE6" i="63"/>
  <c r="JD6" i="63"/>
  <c r="JC6" i="63"/>
  <c r="JB6" i="63"/>
  <c r="JA6" i="63"/>
  <c r="IZ6" i="63"/>
  <c r="IY6" i="63"/>
  <c r="IX6" i="63"/>
  <c r="IW6" i="63"/>
  <c r="IV6" i="63"/>
  <c r="IU6" i="63"/>
  <c r="IT6" i="63"/>
  <c r="IS6" i="63"/>
  <c r="IR6" i="63"/>
  <c r="IQ6" i="63"/>
  <c r="IP6" i="63"/>
  <c r="IO6" i="63"/>
  <c r="IN6" i="63"/>
  <c r="IM6" i="63"/>
  <c r="IL6" i="63"/>
  <c r="IK6" i="63"/>
  <c r="IJ6" i="63"/>
  <c r="II6" i="63"/>
  <c r="IH6" i="63"/>
  <c r="IG6" i="63"/>
  <c r="IF6" i="63"/>
  <c r="IE6" i="63"/>
  <c r="ID6" i="63"/>
  <c r="IC6" i="63"/>
  <c r="IB6" i="63"/>
  <c r="IA6" i="63"/>
  <c r="HZ6" i="63"/>
  <c r="HY6" i="63"/>
  <c r="HX6" i="63"/>
  <c r="HW6" i="63"/>
  <c r="HV6" i="63"/>
  <c r="HU6" i="63"/>
  <c r="HT6" i="63"/>
  <c r="HS6" i="63"/>
  <c r="HR6" i="63"/>
  <c r="HQ6" i="63"/>
  <c r="HP6" i="63"/>
  <c r="HO6" i="63"/>
  <c r="HN6" i="63"/>
  <c r="HM6" i="63"/>
  <c r="HL6" i="63"/>
  <c r="HK6" i="63"/>
  <c r="HJ6" i="63"/>
  <c r="HI6" i="63"/>
  <c r="HH6" i="63"/>
  <c r="HG6" i="63"/>
  <c r="HF6" i="63"/>
  <c r="HE6" i="63"/>
  <c r="HD6" i="63"/>
  <c r="HC6" i="63"/>
  <c r="HB6" i="63"/>
  <c r="HA6" i="63"/>
  <c r="GZ6" i="63"/>
  <c r="GY6" i="63"/>
  <c r="GX6" i="63"/>
  <c r="GW6" i="63"/>
  <c r="GV6" i="63"/>
  <c r="GU6" i="63"/>
  <c r="GT6" i="63"/>
  <c r="GS6" i="63"/>
  <c r="GR6" i="63"/>
  <c r="GQ6" i="63"/>
  <c r="GP6" i="63"/>
  <c r="GO6" i="63"/>
  <c r="GN6" i="63"/>
  <c r="GM6" i="63"/>
  <c r="GL6" i="63"/>
  <c r="GK6" i="63"/>
  <c r="GJ6" i="63"/>
  <c r="GI6" i="63"/>
  <c r="GH6" i="63"/>
  <c r="GG6" i="63"/>
  <c r="GF6" i="63"/>
  <c r="GE6" i="63"/>
  <c r="GD6" i="63"/>
  <c r="GC6" i="63"/>
  <c r="GB6" i="63"/>
  <c r="GA6" i="63"/>
  <c r="FZ6" i="63"/>
  <c r="FY6" i="63"/>
  <c r="FX6" i="63"/>
  <c r="FW6" i="63"/>
  <c r="FV6" i="63"/>
  <c r="FU6" i="63"/>
  <c r="FT6" i="63"/>
  <c r="FS6" i="63"/>
  <c r="FR6" i="63"/>
  <c r="FQ6" i="63"/>
  <c r="FP6" i="63"/>
  <c r="FO6" i="63"/>
  <c r="LW5" i="63"/>
  <c r="LV5" i="63"/>
  <c r="LU5" i="63"/>
  <c r="LT5" i="63"/>
  <c r="LS5" i="63"/>
  <c r="LR5" i="63"/>
  <c r="LQ5" i="63"/>
  <c r="LP5" i="63"/>
  <c r="LO5" i="63"/>
  <c r="LN5" i="63"/>
  <c r="LM5" i="63"/>
  <c r="LL5" i="63"/>
  <c r="LK5" i="63"/>
  <c r="LJ5" i="63"/>
  <c r="LI5" i="63"/>
  <c r="LH5" i="63"/>
  <c r="LG5" i="63"/>
  <c r="LF5" i="63"/>
  <c r="LE5" i="63"/>
  <c r="LD5" i="63"/>
  <c r="LC5" i="63"/>
  <c r="LB5" i="63"/>
  <c r="LA5" i="63"/>
  <c r="KZ5" i="63"/>
  <c r="KY5" i="63"/>
  <c r="KX5" i="63"/>
  <c r="KW5" i="63"/>
  <c r="KV5" i="63"/>
  <c r="KU5" i="63"/>
  <c r="KT5" i="63"/>
  <c r="KS5" i="63"/>
  <c r="KR5" i="63"/>
  <c r="KQ5" i="63"/>
  <c r="KP5" i="63"/>
  <c r="KO5" i="63"/>
  <c r="KN5" i="63"/>
  <c r="KM5" i="63"/>
  <c r="KL5" i="63"/>
  <c r="KK5" i="63"/>
  <c r="KJ5" i="63"/>
  <c r="KI5" i="63"/>
  <c r="KH5" i="63"/>
  <c r="KG5" i="63"/>
  <c r="KF5" i="63"/>
  <c r="KE5" i="63"/>
  <c r="KD5" i="63"/>
  <c r="KC5" i="63"/>
  <c r="KB5" i="63"/>
  <c r="KA5" i="63"/>
  <c r="JZ5" i="63"/>
  <c r="JY5" i="63"/>
  <c r="JX5" i="63"/>
  <c r="JW5" i="63"/>
  <c r="JV5" i="63"/>
  <c r="JU5" i="63"/>
  <c r="JT5" i="63"/>
  <c r="JS5" i="63"/>
  <c r="JR5" i="63"/>
  <c r="JQ5" i="63"/>
  <c r="JP5" i="63"/>
  <c r="JO5" i="63"/>
  <c r="JN5" i="63"/>
  <c r="JM5" i="63"/>
  <c r="JL5" i="63"/>
  <c r="JK5" i="63"/>
  <c r="JJ5" i="63"/>
  <c r="JI5" i="63"/>
  <c r="JH5" i="63"/>
  <c r="JG5" i="63"/>
  <c r="JF5" i="63"/>
  <c r="JE5" i="63"/>
  <c r="JD5" i="63"/>
  <c r="JC5" i="63"/>
  <c r="JB5" i="63"/>
  <c r="JA5" i="63"/>
  <c r="IZ5" i="63"/>
  <c r="IY5" i="63"/>
  <c r="IX5" i="63"/>
  <c r="IW5" i="63"/>
  <c r="IV5" i="63"/>
  <c r="IU5" i="63"/>
  <c r="IT5" i="63"/>
  <c r="IS5" i="63"/>
  <c r="IR5" i="63"/>
  <c r="IQ5" i="63"/>
  <c r="IP5" i="63"/>
  <c r="IO5" i="63"/>
  <c r="IN5" i="63"/>
  <c r="IM5" i="63"/>
  <c r="IL5" i="63"/>
  <c r="IK5" i="63"/>
  <c r="IJ5" i="63"/>
  <c r="II5" i="63"/>
  <c r="IH5" i="63"/>
  <c r="IG5" i="63"/>
  <c r="IF5" i="63"/>
  <c r="IE5" i="63"/>
  <c r="ID5" i="63"/>
  <c r="IC5" i="63"/>
  <c r="IB5" i="63"/>
  <c r="IA5" i="63"/>
  <c r="HZ5" i="63"/>
  <c r="HY5" i="63"/>
  <c r="HX5" i="63"/>
  <c r="HW5" i="63"/>
  <c r="HV5" i="63"/>
  <c r="HU5" i="63"/>
  <c r="HT5" i="63"/>
  <c r="HS5" i="63"/>
  <c r="HR5" i="63"/>
  <c r="HQ5" i="63"/>
  <c r="HP5" i="63"/>
  <c r="HO5" i="63"/>
  <c r="HN5" i="63"/>
  <c r="HM5" i="63"/>
  <c r="HL5" i="63"/>
  <c r="HK5" i="63"/>
  <c r="HJ5" i="63"/>
  <c r="HI5" i="63"/>
  <c r="HH5" i="63"/>
  <c r="HG5" i="63"/>
  <c r="HF5" i="63"/>
  <c r="HE5" i="63"/>
  <c r="HD5" i="63"/>
  <c r="HC5" i="63"/>
  <c r="HB5" i="63"/>
  <c r="HA5" i="63"/>
  <c r="GZ5" i="63"/>
  <c r="GY5" i="63"/>
  <c r="GX5" i="63"/>
  <c r="GW5" i="63"/>
  <c r="GV5" i="63"/>
  <c r="GU5" i="63"/>
  <c r="GT5" i="63"/>
  <c r="GS5" i="63"/>
  <c r="GR5" i="63"/>
  <c r="GQ5" i="63"/>
  <c r="GP5" i="63"/>
  <c r="GO5" i="63"/>
  <c r="GN5" i="63"/>
  <c r="GM5" i="63"/>
  <c r="GL5" i="63"/>
  <c r="GK5" i="63"/>
  <c r="GJ5" i="63"/>
  <c r="GI5" i="63"/>
  <c r="GH5" i="63"/>
  <c r="GG5" i="63"/>
  <c r="GF5" i="63"/>
  <c r="GE5" i="63"/>
  <c r="GD5" i="63"/>
  <c r="GC5" i="63"/>
  <c r="GB5" i="63"/>
  <c r="GA5" i="63"/>
  <c r="FZ5" i="63"/>
  <c r="FY5" i="63"/>
  <c r="FX5" i="63"/>
  <c r="FW5" i="63"/>
  <c r="FV5" i="63"/>
  <c r="FU5" i="63"/>
  <c r="FT5" i="63"/>
  <c r="FS5" i="63"/>
  <c r="FR5" i="63"/>
  <c r="FQ5" i="63"/>
  <c r="FP5" i="63"/>
  <c r="FO5" i="63"/>
  <c r="LW4" i="63"/>
  <c r="LV4" i="63"/>
  <c r="LU4" i="63"/>
  <c r="LT4" i="63"/>
  <c r="LS4" i="63"/>
  <c r="LR4" i="63"/>
  <c r="LQ4" i="63"/>
  <c r="LP4" i="63"/>
  <c r="LO4" i="63"/>
  <c r="LN4" i="63"/>
  <c r="LM4" i="63"/>
  <c r="LL4" i="63"/>
  <c r="LK4" i="63"/>
  <c r="LJ4" i="63"/>
  <c r="LI4" i="63"/>
  <c r="LH4" i="63"/>
  <c r="LG4" i="63"/>
  <c r="LF4" i="63"/>
  <c r="LE4" i="63"/>
  <c r="LD4" i="63"/>
  <c r="LC4" i="63"/>
  <c r="LB4" i="63"/>
  <c r="LA4" i="63"/>
  <c r="KZ4" i="63"/>
  <c r="KY4" i="63"/>
  <c r="KX4" i="63"/>
  <c r="KW4" i="63"/>
  <c r="KV4" i="63"/>
  <c r="KU4" i="63"/>
  <c r="KT4" i="63"/>
  <c r="KS4" i="63"/>
  <c r="KR4" i="63"/>
  <c r="KQ4" i="63"/>
  <c r="KP4" i="63"/>
  <c r="KO4" i="63"/>
  <c r="KN4" i="63"/>
  <c r="KM4" i="63"/>
  <c r="KL4" i="63"/>
  <c r="KK4" i="63"/>
  <c r="KJ4" i="63"/>
  <c r="KI4" i="63"/>
  <c r="KH4" i="63"/>
  <c r="KG4" i="63"/>
  <c r="KF4" i="63"/>
  <c r="KE4" i="63"/>
  <c r="KD4" i="63"/>
  <c r="KC4" i="63"/>
  <c r="KB4" i="63"/>
  <c r="KA4" i="63"/>
  <c r="JZ4" i="63"/>
  <c r="JY4" i="63"/>
  <c r="JX4" i="63"/>
  <c r="JW4" i="63"/>
  <c r="JV4" i="63"/>
  <c r="JU4" i="63"/>
  <c r="JT4" i="63"/>
  <c r="JS4" i="63"/>
  <c r="JR4" i="63"/>
  <c r="JQ4" i="63"/>
  <c r="JP4" i="63"/>
  <c r="JO4" i="63"/>
  <c r="JN4" i="63"/>
  <c r="JM4" i="63"/>
  <c r="JL4" i="63"/>
  <c r="JK4" i="63"/>
  <c r="JJ4" i="63"/>
  <c r="JI4" i="63"/>
  <c r="JH4" i="63"/>
  <c r="JG4" i="63"/>
  <c r="JF4" i="63"/>
  <c r="JE4" i="63"/>
  <c r="JD4" i="63"/>
  <c r="JC4" i="63"/>
  <c r="JB4" i="63"/>
  <c r="JA4" i="63"/>
  <c r="IZ4" i="63"/>
  <c r="IY4" i="63"/>
  <c r="IX4" i="63"/>
  <c r="IW4" i="63"/>
  <c r="IV4" i="63"/>
  <c r="IU4" i="63"/>
  <c r="IT4" i="63"/>
  <c r="IS4" i="63"/>
  <c r="IR4" i="63"/>
  <c r="IQ4" i="63"/>
  <c r="IP4" i="63"/>
  <c r="IO4" i="63"/>
  <c r="IN4" i="63"/>
  <c r="IM4" i="63"/>
  <c r="IL4" i="63"/>
  <c r="IK4" i="63"/>
  <c r="IJ4" i="63"/>
  <c r="II4" i="63"/>
  <c r="IH4" i="63"/>
  <c r="IG4" i="63"/>
  <c r="IF4" i="63"/>
  <c r="IE4" i="63"/>
  <c r="ID4" i="63"/>
  <c r="IC4" i="63"/>
  <c r="IB4" i="63"/>
  <c r="IA4" i="63"/>
  <c r="HZ4" i="63"/>
  <c r="HY4" i="63"/>
  <c r="HX4" i="63"/>
  <c r="HW4" i="63"/>
  <c r="HV4" i="63"/>
  <c r="HU4" i="63"/>
  <c r="HT4" i="63"/>
  <c r="HS4" i="63"/>
  <c r="HR4" i="63"/>
  <c r="HQ4" i="63"/>
  <c r="HP4" i="63"/>
  <c r="HO4" i="63"/>
  <c r="HN4" i="63"/>
  <c r="HM4" i="63"/>
  <c r="HL4" i="63"/>
  <c r="HK4" i="63"/>
  <c r="HJ4" i="63"/>
  <c r="HI4" i="63"/>
  <c r="HH4" i="63"/>
  <c r="HG4" i="63"/>
  <c r="HF4" i="63"/>
  <c r="HE4" i="63"/>
  <c r="HD4" i="63"/>
  <c r="HC4" i="63"/>
  <c r="HB4" i="63"/>
  <c r="HA4" i="63"/>
  <c r="GZ4" i="63"/>
  <c r="GY4" i="63"/>
  <c r="GX4" i="63"/>
  <c r="GW4" i="63"/>
  <c r="GV4" i="63"/>
  <c r="GU4" i="63"/>
  <c r="GT4" i="63"/>
  <c r="GS4" i="63"/>
  <c r="GR4" i="63"/>
  <c r="GQ4" i="63"/>
  <c r="GP4" i="63"/>
  <c r="GO4" i="63"/>
  <c r="GN4" i="63"/>
  <c r="GM4" i="63"/>
  <c r="GL4" i="63"/>
  <c r="GK4" i="63"/>
  <c r="GJ4" i="63"/>
  <c r="GI4" i="63"/>
  <c r="GH4" i="63"/>
  <c r="GG4" i="63"/>
  <c r="GF4" i="63"/>
  <c r="GE4" i="63"/>
  <c r="GD4" i="63"/>
  <c r="GC4" i="63"/>
  <c r="GB4" i="63"/>
  <c r="GA4" i="63"/>
  <c r="FZ4" i="63"/>
  <c r="FY4" i="63"/>
  <c r="FX4" i="63"/>
  <c r="FW4" i="63"/>
  <c r="FV4" i="63"/>
  <c r="FU4" i="63"/>
  <c r="FT4" i="63"/>
  <c r="FS4" i="63"/>
  <c r="FR4" i="63"/>
  <c r="FQ4" i="63"/>
  <c r="FP4" i="63"/>
  <c r="FO4" i="63"/>
  <c r="F29" i="62"/>
  <c r="E29" i="62"/>
  <c r="E10" i="41" s="1"/>
  <c r="D29" i="62"/>
  <c r="B29" i="62"/>
  <c r="LW4" i="62"/>
  <c r="LV4" i="62"/>
  <c r="LU4" i="62"/>
  <c r="LT4" i="62"/>
  <c r="LS4" i="62"/>
  <c r="LR4" i="62"/>
  <c r="LQ4" i="62"/>
  <c r="LP4" i="62"/>
  <c r="LO4" i="62"/>
  <c r="LN4" i="62"/>
  <c r="LM4" i="62"/>
  <c r="LL4" i="62"/>
  <c r="LK4" i="62"/>
  <c r="LJ4" i="62"/>
  <c r="LI4" i="62"/>
  <c r="LH4" i="62"/>
  <c r="LG4" i="62"/>
  <c r="LF4" i="62"/>
  <c r="LE4" i="62"/>
  <c r="LD4" i="62"/>
  <c r="LC4" i="62"/>
  <c r="LB4" i="62"/>
  <c r="LA4" i="62"/>
  <c r="KZ4" i="62"/>
  <c r="KY4" i="62"/>
  <c r="KX4" i="62"/>
  <c r="KW4" i="62"/>
  <c r="KV4" i="62"/>
  <c r="KU4" i="62"/>
  <c r="KT4" i="62"/>
  <c r="KS4" i="62"/>
  <c r="KR4" i="62"/>
  <c r="KQ4" i="62"/>
  <c r="KP4" i="62"/>
  <c r="KO4" i="62"/>
  <c r="KN4" i="62"/>
  <c r="KM4" i="62"/>
  <c r="KL4" i="62"/>
  <c r="KK4" i="62"/>
  <c r="KJ4" i="62"/>
  <c r="KI4" i="62"/>
  <c r="KH4" i="62"/>
  <c r="KG4" i="62"/>
  <c r="KF4" i="62"/>
  <c r="KE4" i="62"/>
  <c r="KD4" i="62"/>
  <c r="KC4" i="62"/>
  <c r="KB4" i="62"/>
  <c r="KA4" i="62"/>
  <c r="JZ4" i="62"/>
  <c r="JY4" i="62"/>
  <c r="JX4" i="62"/>
  <c r="JW4" i="62"/>
  <c r="JV4" i="62"/>
  <c r="JU4" i="62"/>
  <c r="JT4" i="62"/>
  <c r="JS4" i="62"/>
  <c r="JR4" i="62"/>
  <c r="JQ4" i="62"/>
  <c r="JP4" i="62"/>
  <c r="JO4" i="62"/>
  <c r="JN4" i="62"/>
  <c r="JM4" i="62"/>
  <c r="JL4" i="62"/>
  <c r="JK4" i="62"/>
  <c r="JJ4" i="62"/>
  <c r="JI4" i="62"/>
  <c r="JH4" i="62"/>
  <c r="JG4" i="62"/>
  <c r="JF4" i="62"/>
  <c r="JE4" i="62"/>
  <c r="JD4" i="62"/>
  <c r="JC4" i="62"/>
  <c r="JB4" i="62"/>
  <c r="JA4" i="62"/>
  <c r="IZ4" i="62"/>
  <c r="IY4" i="62"/>
  <c r="IX4" i="62"/>
  <c r="IW4" i="62"/>
  <c r="IV4" i="62"/>
  <c r="IU4" i="62"/>
  <c r="IT4" i="62"/>
  <c r="IS4" i="62"/>
  <c r="IR4" i="62"/>
  <c r="IQ4" i="62"/>
  <c r="IP4" i="62"/>
  <c r="IO4" i="62"/>
  <c r="IN4" i="62"/>
  <c r="IM4" i="62"/>
  <c r="IL4" i="62"/>
  <c r="IK4" i="62"/>
  <c r="IJ4" i="62"/>
  <c r="II4" i="62"/>
  <c r="IH4" i="62"/>
  <c r="IG4" i="62"/>
  <c r="IF4" i="62"/>
  <c r="IE4" i="62"/>
  <c r="ID4" i="62"/>
  <c r="IC4" i="62"/>
  <c r="IB4" i="62"/>
  <c r="IA4" i="62"/>
  <c r="HZ4" i="62"/>
  <c r="HY4" i="62"/>
  <c r="HX4" i="62"/>
  <c r="HW4" i="62"/>
  <c r="HV4" i="62"/>
  <c r="HU4" i="62"/>
  <c r="HT4" i="62"/>
  <c r="HS4" i="62"/>
  <c r="HR4" i="62"/>
  <c r="HQ4" i="62"/>
  <c r="HP4" i="62"/>
  <c r="HO4" i="62"/>
  <c r="HN4" i="62"/>
  <c r="HM4" i="62"/>
  <c r="HL4" i="62"/>
  <c r="HK4" i="62"/>
  <c r="HJ4" i="62"/>
  <c r="HI4" i="62"/>
  <c r="HH4" i="62"/>
  <c r="HG4" i="62"/>
  <c r="HF4" i="62"/>
  <c r="HE4" i="62"/>
  <c r="HD4" i="62"/>
  <c r="HC4" i="62"/>
  <c r="HB4" i="62"/>
  <c r="HA4" i="62"/>
  <c r="GZ4" i="62"/>
  <c r="GY4" i="62"/>
  <c r="GX4" i="62"/>
  <c r="GW4" i="62"/>
  <c r="GV4" i="62"/>
  <c r="GU4" i="62"/>
  <c r="GT4" i="62"/>
  <c r="GS4" i="62"/>
  <c r="GR4" i="62"/>
  <c r="GQ4" i="62"/>
  <c r="GP4" i="62"/>
  <c r="GO4" i="62"/>
  <c r="GN4" i="62"/>
  <c r="GM4" i="62"/>
  <c r="GL4" i="62"/>
  <c r="GK4" i="62"/>
  <c r="GJ4" i="62"/>
  <c r="GI4" i="62"/>
  <c r="GH4" i="62"/>
  <c r="GG4" i="62"/>
  <c r="GF4" i="62"/>
  <c r="GE4" i="62"/>
  <c r="GD4" i="62"/>
  <c r="GC4" i="62"/>
  <c r="GB4" i="62"/>
  <c r="GA4" i="62"/>
  <c r="FZ4" i="62"/>
  <c r="FY4" i="62"/>
  <c r="FX4" i="62"/>
  <c r="FW4" i="62"/>
  <c r="FV4" i="62"/>
  <c r="FU4" i="62"/>
  <c r="FT4" i="62"/>
  <c r="FS4" i="62"/>
  <c r="FR4" i="62"/>
  <c r="FQ4" i="62"/>
  <c r="FP4" i="62"/>
  <c r="FO4" i="62"/>
  <c r="F34" i="62" s="1"/>
  <c r="F44" i="62" s="1"/>
  <c r="E12" i="41" s="1"/>
  <c r="FP4" i="39"/>
  <c r="G34" i="39" s="1"/>
  <c r="G44" i="39" s="1"/>
  <c r="D13" i="41" s="1"/>
  <c r="FQ4" i="39"/>
  <c r="H34" i="39" s="1"/>
  <c r="H44" i="39" s="1"/>
  <c r="D14" i="41" s="1"/>
  <c r="FR4" i="39"/>
  <c r="I34" i="39" s="1"/>
  <c r="I44" i="39" s="1"/>
  <c r="D15" i="41" s="1"/>
  <c r="FS4" i="39"/>
  <c r="J34" i="39" s="1"/>
  <c r="J44" i="39" s="1"/>
  <c r="D16" i="41" s="1"/>
  <c r="FT4" i="39"/>
  <c r="K34" i="39" s="1"/>
  <c r="K44" i="39" s="1"/>
  <c r="D17" i="41" s="1"/>
  <c r="FU4" i="39"/>
  <c r="L34" i="39" s="1"/>
  <c r="L44" i="39" s="1"/>
  <c r="D18" i="41" s="1"/>
  <c r="FV4" i="39"/>
  <c r="M34" i="39" s="1"/>
  <c r="M44" i="39" s="1"/>
  <c r="D19" i="41" s="1"/>
  <c r="FW4" i="39"/>
  <c r="N34" i="39" s="1"/>
  <c r="N44" i="39" s="1"/>
  <c r="D20" i="41" s="1"/>
  <c r="FX4" i="39"/>
  <c r="O34" i="39" s="1"/>
  <c r="O44" i="39" s="1"/>
  <c r="D21" i="41" s="1"/>
  <c r="FY4" i="39"/>
  <c r="P34" i="39" s="1"/>
  <c r="P44" i="39" s="1"/>
  <c r="D22" i="41" s="1"/>
  <c r="FZ4" i="39"/>
  <c r="Q34" i="39" s="1"/>
  <c r="Q44" i="39" s="1"/>
  <c r="D23" i="41" s="1"/>
  <c r="GA4" i="39"/>
  <c r="R34" i="39" s="1"/>
  <c r="R44" i="39" s="1"/>
  <c r="D24" i="41" s="1"/>
  <c r="GB4" i="39"/>
  <c r="S34" i="39" s="1"/>
  <c r="S44" i="39" s="1"/>
  <c r="D25" i="41" s="1"/>
  <c r="GC4" i="39"/>
  <c r="T34" i="39" s="1"/>
  <c r="T44" i="39" s="1"/>
  <c r="D26" i="41" s="1"/>
  <c r="GD4" i="39"/>
  <c r="U34" i="39" s="1"/>
  <c r="U44" i="39" s="1"/>
  <c r="D27" i="41" s="1"/>
  <c r="GE4" i="39"/>
  <c r="V34" i="39" s="1"/>
  <c r="V44" i="39" s="1"/>
  <c r="D28" i="41" s="1"/>
  <c r="GF4" i="39"/>
  <c r="W34" i="39" s="1"/>
  <c r="W44" i="39" s="1"/>
  <c r="D29" i="41" s="1"/>
  <c r="GG4" i="39"/>
  <c r="X34" i="39" s="1"/>
  <c r="X44" i="39" s="1"/>
  <c r="D30" i="41" s="1"/>
  <c r="GH4" i="39"/>
  <c r="Y34" i="39" s="1"/>
  <c r="Y44" i="39" s="1"/>
  <c r="D31" i="41" s="1"/>
  <c r="GI4" i="39"/>
  <c r="Z34" i="39" s="1"/>
  <c r="Z44" i="39" s="1"/>
  <c r="D32" i="41" s="1"/>
  <c r="GJ4" i="39"/>
  <c r="AA34" i="39" s="1"/>
  <c r="AA44" i="39" s="1"/>
  <c r="D33" i="41" s="1"/>
  <c r="GK4" i="39"/>
  <c r="AB34" i="39" s="1"/>
  <c r="AB44" i="39" s="1"/>
  <c r="D34" i="41" s="1"/>
  <c r="GL4" i="39"/>
  <c r="AC34" i="39" s="1"/>
  <c r="AC44" i="39" s="1"/>
  <c r="D35" i="41" s="1"/>
  <c r="GM4" i="39"/>
  <c r="AD34" i="39" s="1"/>
  <c r="AD44" i="39" s="1"/>
  <c r="D36" i="41" s="1"/>
  <c r="GN4" i="39"/>
  <c r="AE34" i="39" s="1"/>
  <c r="AE44" i="39" s="1"/>
  <c r="D37" i="41" s="1"/>
  <c r="GO4" i="39"/>
  <c r="AF34" i="39" s="1"/>
  <c r="AF44" i="39" s="1"/>
  <c r="D38" i="41" s="1"/>
  <c r="GP4" i="39"/>
  <c r="AG34" i="39" s="1"/>
  <c r="AG44" i="39" s="1"/>
  <c r="D39" i="41" s="1"/>
  <c r="GQ4" i="39"/>
  <c r="AH34" i="39" s="1"/>
  <c r="AH44" i="39" s="1"/>
  <c r="D40" i="41" s="1"/>
  <c r="GR4" i="39"/>
  <c r="AI34" i="39" s="1"/>
  <c r="AI44" i="39" s="1"/>
  <c r="D41" i="41" s="1"/>
  <c r="GS4" i="39"/>
  <c r="AJ34" i="39" s="1"/>
  <c r="AJ44" i="39" s="1"/>
  <c r="D42" i="41" s="1"/>
  <c r="GT4" i="39"/>
  <c r="AK34" i="39" s="1"/>
  <c r="AK44" i="39" s="1"/>
  <c r="D43" i="41" s="1"/>
  <c r="GU4" i="39"/>
  <c r="AL34" i="39" s="1"/>
  <c r="AL44" i="39" s="1"/>
  <c r="D44" i="41" s="1"/>
  <c r="GV4" i="39"/>
  <c r="AM34" i="39" s="1"/>
  <c r="AM44" i="39" s="1"/>
  <c r="D45" i="41" s="1"/>
  <c r="GW4" i="39"/>
  <c r="AN34" i="39" s="1"/>
  <c r="AN44" i="39" s="1"/>
  <c r="D46" i="41" s="1"/>
  <c r="GX4" i="39"/>
  <c r="AO34" i="39" s="1"/>
  <c r="AO44" i="39" s="1"/>
  <c r="D47" i="41" s="1"/>
  <c r="GY4" i="39"/>
  <c r="AP34" i="39" s="1"/>
  <c r="AP44" i="39" s="1"/>
  <c r="D48" i="41" s="1"/>
  <c r="GZ4" i="39"/>
  <c r="AQ34" i="39" s="1"/>
  <c r="AQ44" i="39" s="1"/>
  <c r="D49" i="41" s="1"/>
  <c r="HA4" i="39"/>
  <c r="AR34" i="39" s="1"/>
  <c r="AR44" i="39" s="1"/>
  <c r="D50" i="41" s="1"/>
  <c r="HB4" i="39"/>
  <c r="AS34" i="39" s="1"/>
  <c r="AS44" i="39" s="1"/>
  <c r="D51" i="41" s="1"/>
  <c r="HC4" i="39"/>
  <c r="AT34" i="39" s="1"/>
  <c r="AT44" i="39" s="1"/>
  <c r="D52" i="41" s="1"/>
  <c r="HD4" i="39"/>
  <c r="AU34" i="39" s="1"/>
  <c r="AU44" i="39" s="1"/>
  <c r="D53" i="41" s="1"/>
  <c r="HE4" i="39"/>
  <c r="AV34" i="39" s="1"/>
  <c r="AV44" i="39" s="1"/>
  <c r="D54" i="41" s="1"/>
  <c r="HF4" i="39"/>
  <c r="AW34" i="39" s="1"/>
  <c r="AW44" i="39" s="1"/>
  <c r="D55" i="41" s="1"/>
  <c r="HG4" i="39"/>
  <c r="AX34" i="39" s="1"/>
  <c r="AX44" i="39" s="1"/>
  <c r="D56" i="41" s="1"/>
  <c r="HH4" i="39"/>
  <c r="AY34" i="39" s="1"/>
  <c r="AY44" i="39" s="1"/>
  <c r="D57" i="41" s="1"/>
  <c r="HI4" i="39"/>
  <c r="AZ34" i="39" s="1"/>
  <c r="AZ44" i="39" s="1"/>
  <c r="D58" i="41" s="1"/>
  <c r="HJ4" i="39"/>
  <c r="BA34" i="39" s="1"/>
  <c r="BA44" i="39" s="1"/>
  <c r="D59" i="41" s="1"/>
  <c r="HK4" i="39"/>
  <c r="BB34" i="39" s="1"/>
  <c r="BB44" i="39" s="1"/>
  <c r="D60" i="41" s="1"/>
  <c r="HL4" i="39"/>
  <c r="BC34" i="39" s="1"/>
  <c r="BC44" i="39" s="1"/>
  <c r="D61" i="41" s="1"/>
  <c r="HM4" i="39"/>
  <c r="BD34" i="39" s="1"/>
  <c r="BD44" i="39" s="1"/>
  <c r="D62" i="41" s="1"/>
  <c r="HN4" i="39"/>
  <c r="BE34" i="39" s="1"/>
  <c r="BE44" i="39" s="1"/>
  <c r="D63" i="41" s="1"/>
  <c r="HO4" i="39"/>
  <c r="BF34" i="39" s="1"/>
  <c r="BF44" i="39" s="1"/>
  <c r="D64" i="41" s="1"/>
  <c r="HP4" i="39"/>
  <c r="BG34" i="39" s="1"/>
  <c r="BG44" i="39" s="1"/>
  <c r="D65" i="41" s="1"/>
  <c r="HQ4" i="39"/>
  <c r="BH34" i="39" s="1"/>
  <c r="BH44" i="39" s="1"/>
  <c r="D66" i="41" s="1"/>
  <c r="HR4" i="39"/>
  <c r="BI34" i="39" s="1"/>
  <c r="BI44" i="39" s="1"/>
  <c r="D67" i="41" s="1"/>
  <c r="HS4" i="39"/>
  <c r="BJ34" i="39" s="1"/>
  <c r="BJ44" i="39" s="1"/>
  <c r="D68" i="41" s="1"/>
  <c r="HT4" i="39"/>
  <c r="BK34" i="39" s="1"/>
  <c r="BK44" i="39" s="1"/>
  <c r="D69" i="41" s="1"/>
  <c r="HU4" i="39"/>
  <c r="BL34" i="39" s="1"/>
  <c r="BL44" i="39" s="1"/>
  <c r="D70" i="41" s="1"/>
  <c r="HV4" i="39"/>
  <c r="BM34" i="39" s="1"/>
  <c r="BM44" i="39" s="1"/>
  <c r="D71" i="41" s="1"/>
  <c r="HW4" i="39"/>
  <c r="BN34" i="39" s="1"/>
  <c r="BN44" i="39" s="1"/>
  <c r="D72" i="41" s="1"/>
  <c r="HX4" i="39"/>
  <c r="BO34" i="39" s="1"/>
  <c r="BO44" i="39" s="1"/>
  <c r="D73" i="41" s="1"/>
  <c r="HY4" i="39"/>
  <c r="BP34" i="39" s="1"/>
  <c r="BP44" i="39" s="1"/>
  <c r="D74" i="41" s="1"/>
  <c r="HZ4" i="39"/>
  <c r="BQ34" i="39" s="1"/>
  <c r="BQ44" i="39" s="1"/>
  <c r="D75" i="41" s="1"/>
  <c r="IA4" i="39"/>
  <c r="BR34" i="39" s="1"/>
  <c r="BR44" i="39" s="1"/>
  <c r="D76" i="41" s="1"/>
  <c r="IB4" i="39"/>
  <c r="BS34" i="39" s="1"/>
  <c r="BS44" i="39" s="1"/>
  <c r="D77" i="41" s="1"/>
  <c r="IC4" i="39"/>
  <c r="BT34" i="39" s="1"/>
  <c r="BT44" i="39" s="1"/>
  <c r="D78" i="41" s="1"/>
  <c r="ID4" i="39"/>
  <c r="BU34" i="39" s="1"/>
  <c r="BU44" i="39" s="1"/>
  <c r="D79" i="41" s="1"/>
  <c r="IE4" i="39"/>
  <c r="BV34" i="39" s="1"/>
  <c r="BV44" i="39" s="1"/>
  <c r="D80" i="41" s="1"/>
  <c r="IF4" i="39"/>
  <c r="BW34" i="39" s="1"/>
  <c r="BW44" i="39" s="1"/>
  <c r="D81" i="41" s="1"/>
  <c r="IG4" i="39"/>
  <c r="BX34" i="39" s="1"/>
  <c r="BX44" i="39" s="1"/>
  <c r="D82" i="41" s="1"/>
  <c r="IH4" i="39"/>
  <c r="BY34" i="39" s="1"/>
  <c r="BY44" i="39" s="1"/>
  <c r="D83" i="41" s="1"/>
  <c r="II4" i="39"/>
  <c r="BZ34" i="39" s="1"/>
  <c r="BZ44" i="39" s="1"/>
  <c r="D84" i="41" s="1"/>
  <c r="IJ4" i="39"/>
  <c r="CA34" i="39" s="1"/>
  <c r="CA44" i="39" s="1"/>
  <c r="D85" i="41" s="1"/>
  <c r="IK4" i="39"/>
  <c r="CB34" i="39" s="1"/>
  <c r="CB44" i="39" s="1"/>
  <c r="D86" i="41" s="1"/>
  <c r="IL4" i="39"/>
  <c r="CC34" i="39" s="1"/>
  <c r="CC44" i="39" s="1"/>
  <c r="D87" i="41" s="1"/>
  <c r="IM4" i="39"/>
  <c r="CD34" i="39" s="1"/>
  <c r="CD44" i="39" s="1"/>
  <c r="D88" i="41" s="1"/>
  <c r="IN4" i="39"/>
  <c r="CE34" i="39" s="1"/>
  <c r="CE44" i="39" s="1"/>
  <c r="D89" i="41" s="1"/>
  <c r="IO4" i="39"/>
  <c r="CF34" i="39" s="1"/>
  <c r="CF44" i="39" s="1"/>
  <c r="D90" i="41" s="1"/>
  <c r="IP4" i="39"/>
  <c r="CG34" i="39" s="1"/>
  <c r="CG44" i="39" s="1"/>
  <c r="D91" i="41" s="1"/>
  <c r="IQ4" i="39"/>
  <c r="CH34" i="39" s="1"/>
  <c r="CH44" i="39" s="1"/>
  <c r="D92" i="41" s="1"/>
  <c r="IR4" i="39"/>
  <c r="CI34" i="39" s="1"/>
  <c r="CI44" i="39" s="1"/>
  <c r="D93" i="41" s="1"/>
  <c r="IS4" i="39"/>
  <c r="CJ34" i="39" s="1"/>
  <c r="CJ44" i="39" s="1"/>
  <c r="D94" i="41" s="1"/>
  <c r="IT4" i="39"/>
  <c r="CK34" i="39" s="1"/>
  <c r="CK44" i="39" s="1"/>
  <c r="D95" i="41" s="1"/>
  <c r="IU4" i="39"/>
  <c r="CL34" i="39" s="1"/>
  <c r="CL44" i="39" s="1"/>
  <c r="D96" i="41" s="1"/>
  <c r="IV4" i="39"/>
  <c r="CM34" i="39" s="1"/>
  <c r="CM44" i="39" s="1"/>
  <c r="D97" i="41" s="1"/>
  <c r="IW4" i="39"/>
  <c r="CN34" i="39" s="1"/>
  <c r="CN44" i="39" s="1"/>
  <c r="D98" i="41" s="1"/>
  <c r="IX4" i="39"/>
  <c r="CO34" i="39" s="1"/>
  <c r="CO44" i="39" s="1"/>
  <c r="D99" i="41" s="1"/>
  <c r="IY4" i="39"/>
  <c r="CP34" i="39" s="1"/>
  <c r="CP44" i="39" s="1"/>
  <c r="D100" i="41" s="1"/>
  <c r="IZ4" i="39"/>
  <c r="CQ34" i="39" s="1"/>
  <c r="CQ44" i="39" s="1"/>
  <c r="D101" i="41" s="1"/>
  <c r="JA4" i="39"/>
  <c r="CR34" i="39" s="1"/>
  <c r="CR44" i="39" s="1"/>
  <c r="D102" i="41" s="1"/>
  <c r="JB4" i="39"/>
  <c r="CS34" i="39" s="1"/>
  <c r="CS44" i="39" s="1"/>
  <c r="D103" i="41" s="1"/>
  <c r="JC4" i="39"/>
  <c r="CT34" i="39" s="1"/>
  <c r="CT44" i="39" s="1"/>
  <c r="D104" i="41" s="1"/>
  <c r="JD4" i="39"/>
  <c r="CU34" i="39" s="1"/>
  <c r="CU44" i="39" s="1"/>
  <c r="D105" i="41" s="1"/>
  <c r="JE4" i="39"/>
  <c r="CV34" i="39" s="1"/>
  <c r="CV44" i="39" s="1"/>
  <c r="D106" i="41" s="1"/>
  <c r="JF4" i="39"/>
  <c r="CW34" i="39" s="1"/>
  <c r="CW44" i="39" s="1"/>
  <c r="D107" i="41" s="1"/>
  <c r="JG4" i="39"/>
  <c r="CX34" i="39" s="1"/>
  <c r="CX44" i="39" s="1"/>
  <c r="D108" i="41" s="1"/>
  <c r="JH4" i="39"/>
  <c r="CY34" i="39" s="1"/>
  <c r="CY44" i="39" s="1"/>
  <c r="D109" i="41" s="1"/>
  <c r="JI4" i="39"/>
  <c r="CZ34" i="39" s="1"/>
  <c r="CZ44" i="39" s="1"/>
  <c r="D110" i="41" s="1"/>
  <c r="JJ4" i="39"/>
  <c r="DA34" i="39" s="1"/>
  <c r="DA44" i="39" s="1"/>
  <c r="D111" i="41" s="1"/>
  <c r="JK4" i="39"/>
  <c r="DB34" i="39" s="1"/>
  <c r="DB44" i="39" s="1"/>
  <c r="D112" i="41" s="1"/>
  <c r="JL4" i="39"/>
  <c r="DC34" i="39" s="1"/>
  <c r="DC44" i="39" s="1"/>
  <c r="D113" i="41" s="1"/>
  <c r="JM4" i="39"/>
  <c r="DD34" i="39" s="1"/>
  <c r="DD44" i="39" s="1"/>
  <c r="D114" i="41" s="1"/>
  <c r="JN4" i="39"/>
  <c r="DE34" i="39" s="1"/>
  <c r="DE44" i="39" s="1"/>
  <c r="D115" i="41" s="1"/>
  <c r="JO4" i="39"/>
  <c r="DF34" i="39" s="1"/>
  <c r="DF44" i="39" s="1"/>
  <c r="D116" i="41" s="1"/>
  <c r="JP4" i="39"/>
  <c r="JQ4" i="39"/>
  <c r="JR4" i="39"/>
  <c r="DI34" i="39" s="1"/>
  <c r="DI44" i="39" s="1"/>
  <c r="D119" i="41" s="1"/>
  <c r="JS4" i="39"/>
  <c r="DJ34" i="39" s="1"/>
  <c r="DJ44" i="39" s="1"/>
  <c r="D120" i="41" s="1"/>
  <c r="JT4" i="39"/>
  <c r="DK34" i="39" s="1"/>
  <c r="DK44" i="39" s="1"/>
  <c r="D121" i="41" s="1"/>
  <c r="JU4" i="39"/>
  <c r="DL34" i="39" s="1"/>
  <c r="DL44" i="39" s="1"/>
  <c r="D122" i="41" s="1"/>
  <c r="JV4" i="39"/>
  <c r="DM34" i="39" s="1"/>
  <c r="DM44" i="39" s="1"/>
  <c r="D123" i="41" s="1"/>
  <c r="JW4" i="39"/>
  <c r="DN34" i="39" s="1"/>
  <c r="DN44" i="39" s="1"/>
  <c r="D124" i="41" s="1"/>
  <c r="JX4" i="39"/>
  <c r="DO34" i="39" s="1"/>
  <c r="DO44" i="39" s="1"/>
  <c r="D125" i="41" s="1"/>
  <c r="JY4" i="39"/>
  <c r="DP34" i="39" s="1"/>
  <c r="DP44" i="39" s="1"/>
  <c r="D126" i="41" s="1"/>
  <c r="JZ4" i="39"/>
  <c r="DQ34" i="39" s="1"/>
  <c r="DQ44" i="39" s="1"/>
  <c r="D127" i="41" s="1"/>
  <c r="KA4" i="39"/>
  <c r="DR34" i="39" s="1"/>
  <c r="DR44" i="39" s="1"/>
  <c r="D128" i="41" s="1"/>
  <c r="KB4" i="39"/>
  <c r="DS34" i="39" s="1"/>
  <c r="DS44" i="39" s="1"/>
  <c r="D129" i="41" s="1"/>
  <c r="KC4" i="39"/>
  <c r="DT34" i="39" s="1"/>
  <c r="DT44" i="39" s="1"/>
  <c r="D130" i="41" s="1"/>
  <c r="KD4" i="39"/>
  <c r="DU34" i="39" s="1"/>
  <c r="DU44" i="39" s="1"/>
  <c r="D131" i="41" s="1"/>
  <c r="KE4" i="39"/>
  <c r="DV34" i="39" s="1"/>
  <c r="DV44" i="39" s="1"/>
  <c r="D132" i="41" s="1"/>
  <c r="KF4" i="39"/>
  <c r="DW34" i="39" s="1"/>
  <c r="DW44" i="39" s="1"/>
  <c r="D133" i="41" s="1"/>
  <c r="KG4" i="39"/>
  <c r="DX34" i="39" s="1"/>
  <c r="DX44" i="39" s="1"/>
  <c r="D134" i="41" s="1"/>
  <c r="KH4" i="39"/>
  <c r="DY34" i="39" s="1"/>
  <c r="DY44" i="39" s="1"/>
  <c r="D135" i="41" s="1"/>
  <c r="KI4" i="39"/>
  <c r="DZ34" i="39" s="1"/>
  <c r="DZ44" i="39" s="1"/>
  <c r="D136" i="41" s="1"/>
  <c r="KJ4" i="39"/>
  <c r="EA34" i="39" s="1"/>
  <c r="EA44" i="39" s="1"/>
  <c r="D137" i="41" s="1"/>
  <c r="KK4" i="39"/>
  <c r="EB34" i="39" s="1"/>
  <c r="EB44" i="39" s="1"/>
  <c r="D138" i="41" s="1"/>
  <c r="KL4" i="39"/>
  <c r="EC34" i="39" s="1"/>
  <c r="EC44" i="39" s="1"/>
  <c r="D139" i="41" s="1"/>
  <c r="KM4" i="39"/>
  <c r="ED34" i="39" s="1"/>
  <c r="ED44" i="39" s="1"/>
  <c r="D140" i="41" s="1"/>
  <c r="KN4" i="39"/>
  <c r="EE34" i="39" s="1"/>
  <c r="EE44" i="39" s="1"/>
  <c r="D141" i="41" s="1"/>
  <c r="KO4" i="39"/>
  <c r="EF34" i="39" s="1"/>
  <c r="EF44" i="39" s="1"/>
  <c r="D142" i="41" s="1"/>
  <c r="KP4" i="39"/>
  <c r="EG34" i="39" s="1"/>
  <c r="EG44" i="39" s="1"/>
  <c r="D143" i="41" s="1"/>
  <c r="KQ4" i="39"/>
  <c r="EH34" i="39" s="1"/>
  <c r="EH44" i="39" s="1"/>
  <c r="D144" i="41" s="1"/>
  <c r="KR4" i="39"/>
  <c r="EI34" i="39" s="1"/>
  <c r="EI44" i="39" s="1"/>
  <c r="D145" i="41" s="1"/>
  <c r="KS4" i="39"/>
  <c r="EJ34" i="39" s="1"/>
  <c r="EJ44" i="39" s="1"/>
  <c r="D146" i="41" s="1"/>
  <c r="KT4" i="39"/>
  <c r="EK34" i="39" s="1"/>
  <c r="EK44" i="39" s="1"/>
  <c r="D147" i="41" s="1"/>
  <c r="KU4" i="39"/>
  <c r="EL34" i="39" s="1"/>
  <c r="EL44" i="39" s="1"/>
  <c r="D148" i="41" s="1"/>
  <c r="KV4" i="39"/>
  <c r="EM34" i="39" s="1"/>
  <c r="EM44" i="39" s="1"/>
  <c r="D149" i="41" s="1"/>
  <c r="KW4" i="39"/>
  <c r="EN34" i="39" s="1"/>
  <c r="EN44" i="39" s="1"/>
  <c r="D150" i="41" s="1"/>
  <c r="KX4" i="39"/>
  <c r="EO34" i="39" s="1"/>
  <c r="EO44" i="39" s="1"/>
  <c r="D151" i="41" s="1"/>
  <c r="KY4" i="39"/>
  <c r="EP34" i="39" s="1"/>
  <c r="EP44" i="39" s="1"/>
  <c r="D152" i="41" s="1"/>
  <c r="KZ4" i="39"/>
  <c r="EQ34" i="39" s="1"/>
  <c r="EQ44" i="39" s="1"/>
  <c r="D153" i="41" s="1"/>
  <c r="LA4" i="39"/>
  <c r="ER34" i="39" s="1"/>
  <c r="ER44" i="39" s="1"/>
  <c r="D154" i="41" s="1"/>
  <c r="LB4" i="39"/>
  <c r="ES34" i="39" s="1"/>
  <c r="ES44" i="39" s="1"/>
  <c r="D155" i="41" s="1"/>
  <c r="LC4" i="39"/>
  <c r="ET34" i="39" s="1"/>
  <c r="ET44" i="39" s="1"/>
  <c r="D156" i="41" s="1"/>
  <c r="LD4" i="39"/>
  <c r="EU34" i="39" s="1"/>
  <c r="EU44" i="39" s="1"/>
  <c r="D157" i="41" s="1"/>
  <c r="LE4" i="39"/>
  <c r="EV34" i="39" s="1"/>
  <c r="EV44" i="39" s="1"/>
  <c r="D158" i="41" s="1"/>
  <c r="LF4" i="39"/>
  <c r="EW34" i="39" s="1"/>
  <c r="EW44" i="39" s="1"/>
  <c r="D159" i="41" s="1"/>
  <c r="LG4" i="39"/>
  <c r="EX34" i="39" s="1"/>
  <c r="EX44" i="39" s="1"/>
  <c r="D160" i="41" s="1"/>
  <c r="LH4" i="39"/>
  <c r="EY34" i="39" s="1"/>
  <c r="EY44" i="39" s="1"/>
  <c r="D161" i="41" s="1"/>
  <c r="LI4" i="39"/>
  <c r="EZ34" i="39" s="1"/>
  <c r="EZ44" i="39" s="1"/>
  <c r="D162" i="41" s="1"/>
  <c r="LJ4" i="39"/>
  <c r="FA34" i="39" s="1"/>
  <c r="FA44" i="39" s="1"/>
  <c r="D163" i="41" s="1"/>
  <c r="LK4" i="39"/>
  <c r="FB34" i="39" s="1"/>
  <c r="FB44" i="39" s="1"/>
  <c r="D164" i="41" s="1"/>
  <c r="LL4" i="39"/>
  <c r="FC34" i="39" s="1"/>
  <c r="FC44" i="39" s="1"/>
  <c r="D165" i="41" s="1"/>
  <c r="LM4" i="39"/>
  <c r="FD34" i="39" s="1"/>
  <c r="FD44" i="39" s="1"/>
  <c r="D166" i="41" s="1"/>
  <c r="LN4" i="39"/>
  <c r="FE34" i="39" s="1"/>
  <c r="FE44" i="39" s="1"/>
  <c r="D167" i="41" s="1"/>
  <c r="LO4" i="39"/>
  <c r="FF34" i="39" s="1"/>
  <c r="FF44" i="39" s="1"/>
  <c r="D168" i="41" s="1"/>
  <c r="LP4" i="39"/>
  <c r="FG34" i="39" s="1"/>
  <c r="FG44" i="39" s="1"/>
  <c r="D169" i="41" s="1"/>
  <c r="LQ4" i="39"/>
  <c r="FH34" i="39" s="1"/>
  <c r="FH44" i="39" s="1"/>
  <c r="D170" i="41" s="1"/>
  <c r="LR4" i="39"/>
  <c r="FI34" i="39" s="1"/>
  <c r="FI44" i="39" s="1"/>
  <c r="D171" i="41" s="1"/>
  <c r="LS4" i="39"/>
  <c r="FJ34" i="39" s="1"/>
  <c r="FJ44" i="39" s="1"/>
  <c r="D172" i="41" s="1"/>
  <c r="LT4" i="39"/>
  <c r="FK34" i="39" s="1"/>
  <c r="FK44" i="39" s="1"/>
  <c r="D173" i="41" s="1"/>
  <c r="LU4" i="39"/>
  <c r="FL34" i="39" s="1"/>
  <c r="FL44" i="39" s="1"/>
  <c r="D174" i="41" s="1"/>
  <c r="LV4" i="39"/>
  <c r="FM34" i="39" s="1"/>
  <c r="FM44" i="39" s="1"/>
  <c r="D175" i="41" s="1"/>
  <c r="LW4" i="39"/>
  <c r="FN34" i="39" s="1"/>
  <c r="FN44" i="39" s="1"/>
  <c r="D176" i="41" s="1"/>
  <c r="FP5" i="39"/>
  <c r="FQ5" i="39"/>
  <c r="FR5" i="39"/>
  <c r="FS5" i="39"/>
  <c r="FT5" i="39"/>
  <c r="FU5" i="39"/>
  <c r="FV5" i="39"/>
  <c r="FW5" i="39"/>
  <c r="FX5" i="39"/>
  <c r="FY5" i="39"/>
  <c r="FZ5" i="39"/>
  <c r="GA5" i="39"/>
  <c r="GB5" i="39"/>
  <c r="GC5" i="39"/>
  <c r="GD5" i="39"/>
  <c r="GE5" i="39"/>
  <c r="GF5" i="39"/>
  <c r="GG5" i="39"/>
  <c r="GH5" i="39"/>
  <c r="GI5" i="39"/>
  <c r="GJ5" i="39"/>
  <c r="GK5" i="39"/>
  <c r="GL5" i="39"/>
  <c r="GM5" i="39"/>
  <c r="GN5" i="39"/>
  <c r="GO5" i="39"/>
  <c r="GP5" i="39"/>
  <c r="GQ5" i="39"/>
  <c r="GR5" i="39"/>
  <c r="GS5" i="39"/>
  <c r="GT5" i="39"/>
  <c r="GU5" i="39"/>
  <c r="GV5" i="39"/>
  <c r="GW5" i="39"/>
  <c r="GX5" i="39"/>
  <c r="GY5" i="39"/>
  <c r="GZ5" i="39"/>
  <c r="HA5" i="39"/>
  <c r="HB5" i="39"/>
  <c r="HC5" i="39"/>
  <c r="HD5" i="39"/>
  <c r="HE5" i="39"/>
  <c r="HF5" i="39"/>
  <c r="HG5" i="39"/>
  <c r="HH5" i="39"/>
  <c r="HI5" i="39"/>
  <c r="HJ5" i="39"/>
  <c r="HK5" i="39"/>
  <c r="HL5" i="39"/>
  <c r="HM5" i="39"/>
  <c r="HN5" i="39"/>
  <c r="HO5" i="39"/>
  <c r="HP5" i="39"/>
  <c r="HQ5" i="39"/>
  <c r="HR5" i="39"/>
  <c r="HS5" i="39"/>
  <c r="HT5" i="39"/>
  <c r="HU5" i="39"/>
  <c r="HV5" i="39"/>
  <c r="HW5" i="39"/>
  <c r="HX5" i="39"/>
  <c r="HY5" i="39"/>
  <c r="HZ5" i="39"/>
  <c r="IA5" i="39"/>
  <c r="IB5" i="39"/>
  <c r="IC5" i="39"/>
  <c r="ID5" i="39"/>
  <c r="IE5" i="39"/>
  <c r="IF5" i="39"/>
  <c r="IG5" i="39"/>
  <c r="IH5" i="39"/>
  <c r="II5" i="39"/>
  <c r="IJ5" i="39"/>
  <c r="IK5" i="39"/>
  <c r="IL5" i="39"/>
  <c r="IM5" i="39"/>
  <c r="IN5" i="39"/>
  <c r="IO5" i="39"/>
  <c r="IP5" i="39"/>
  <c r="IQ5" i="39"/>
  <c r="IR5" i="39"/>
  <c r="IS5" i="39"/>
  <c r="IT5" i="39"/>
  <c r="IU5" i="39"/>
  <c r="IV5" i="39"/>
  <c r="IW5" i="39"/>
  <c r="IX5" i="39"/>
  <c r="IY5" i="39"/>
  <c r="IZ5" i="39"/>
  <c r="JA5" i="39"/>
  <c r="JB5" i="39"/>
  <c r="JC5" i="39"/>
  <c r="JD5" i="39"/>
  <c r="JE5" i="39"/>
  <c r="JF5" i="39"/>
  <c r="JG5" i="39"/>
  <c r="JH5" i="39"/>
  <c r="JI5" i="39"/>
  <c r="JJ5" i="39"/>
  <c r="JK5" i="39"/>
  <c r="JL5" i="39"/>
  <c r="JM5" i="39"/>
  <c r="JN5" i="39"/>
  <c r="JO5" i="39"/>
  <c r="JP5" i="39"/>
  <c r="JQ5" i="39"/>
  <c r="JR5" i="39"/>
  <c r="JS5" i="39"/>
  <c r="JT5" i="39"/>
  <c r="JU5" i="39"/>
  <c r="JV5" i="39"/>
  <c r="JW5" i="39"/>
  <c r="JX5" i="39"/>
  <c r="JY5" i="39"/>
  <c r="JZ5" i="39"/>
  <c r="KA5" i="39"/>
  <c r="KB5" i="39"/>
  <c r="KC5" i="39"/>
  <c r="KD5" i="39"/>
  <c r="KE5" i="39"/>
  <c r="KF5" i="39"/>
  <c r="KG5" i="39"/>
  <c r="KH5" i="39"/>
  <c r="KI5" i="39"/>
  <c r="KJ5" i="39"/>
  <c r="KK5" i="39"/>
  <c r="KL5" i="39"/>
  <c r="KM5" i="39"/>
  <c r="KN5" i="39"/>
  <c r="KO5" i="39"/>
  <c r="KP5" i="39"/>
  <c r="KQ5" i="39"/>
  <c r="KR5" i="39"/>
  <c r="KS5" i="39"/>
  <c r="KT5" i="39"/>
  <c r="KU5" i="39"/>
  <c r="KV5" i="39"/>
  <c r="KW5" i="39"/>
  <c r="KX5" i="39"/>
  <c r="KY5" i="39"/>
  <c r="KZ5" i="39"/>
  <c r="LA5" i="39"/>
  <c r="LB5" i="39"/>
  <c r="LC5" i="39"/>
  <c r="LD5" i="39"/>
  <c r="LE5" i="39"/>
  <c r="LF5" i="39"/>
  <c r="LG5" i="39"/>
  <c r="LH5" i="39"/>
  <c r="LI5" i="39"/>
  <c r="LJ5" i="39"/>
  <c r="LK5" i="39"/>
  <c r="LL5" i="39"/>
  <c r="LM5" i="39"/>
  <c r="LN5" i="39"/>
  <c r="LO5" i="39"/>
  <c r="LP5" i="39"/>
  <c r="LQ5" i="39"/>
  <c r="LR5" i="39"/>
  <c r="LS5" i="39"/>
  <c r="LT5" i="39"/>
  <c r="LU5" i="39"/>
  <c r="LV5" i="39"/>
  <c r="LW5" i="39"/>
  <c r="FP6" i="39"/>
  <c r="FQ6" i="39"/>
  <c r="FR6" i="39"/>
  <c r="FS6" i="39"/>
  <c r="FT6" i="39"/>
  <c r="FU6" i="39"/>
  <c r="FV6" i="39"/>
  <c r="FW6" i="39"/>
  <c r="FX6" i="39"/>
  <c r="FY6" i="39"/>
  <c r="FZ6" i="39"/>
  <c r="GA6" i="39"/>
  <c r="GB6" i="39"/>
  <c r="GC6" i="39"/>
  <c r="GD6" i="39"/>
  <c r="GE6" i="39"/>
  <c r="GF6" i="39"/>
  <c r="GG6" i="39"/>
  <c r="GH6" i="39"/>
  <c r="GI6" i="39"/>
  <c r="GJ6" i="39"/>
  <c r="GK6" i="39"/>
  <c r="GL6" i="39"/>
  <c r="GM6" i="39"/>
  <c r="GN6" i="39"/>
  <c r="GO6" i="39"/>
  <c r="GP6" i="39"/>
  <c r="GQ6" i="39"/>
  <c r="GR6" i="39"/>
  <c r="GS6" i="39"/>
  <c r="GT6" i="39"/>
  <c r="GU6" i="39"/>
  <c r="GV6" i="39"/>
  <c r="GW6" i="39"/>
  <c r="GX6" i="39"/>
  <c r="GY6" i="39"/>
  <c r="GZ6" i="39"/>
  <c r="HA6" i="39"/>
  <c r="HB6" i="39"/>
  <c r="HC6" i="39"/>
  <c r="HD6" i="39"/>
  <c r="HE6" i="39"/>
  <c r="HF6" i="39"/>
  <c r="HG6" i="39"/>
  <c r="HH6" i="39"/>
  <c r="HI6" i="39"/>
  <c r="HJ6" i="39"/>
  <c r="HK6" i="39"/>
  <c r="HL6" i="39"/>
  <c r="HM6" i="39"/>
  <c r="HN6" i="39"/>
  <c r="HO6" i="39"/>
  <c r="HP6" i="39"/>
  <c r="HQ6" i="39"/>
  <c r="HR6" i="39"/>
  <c r="HS6" i="39"/>
  <c r="HT6" i="39"/>
  <c r="HU6" i="39"/>
  <c r="HV6" i="39"/>
  <c r="HW6" i="39"/>
  <c r="HX6" i="39"/>
  <c r="HY6" i="39"/>
  <c r="HZ6" i="39"/>
  <c r="IA6" i="39"/>
  <c r="IB6" i="39"/>
  <c r="IC6" i="39"/>
  <c r="ID6" i="39"/>
  <c r="IE6" i="39"/>
  <c r="IF6" i="39"/>
  <c r="IG6" i="39"/>
  <c r="IH6" i="39"/>
  <c r="II6" i="39"/>
  <c r="IJ6" i="39"/>
  <c r="IK6" i="39"/>
  <c r="IL6" i="39"/>
  <c r="IM6" i="39"/>
  <c r="IN6" i="39"/>
  <c r="IO6" i="39"/>
  <c r="IP6" i="39"/>
  <c r="IQ6" i="39"/>
  <c r="IR6" i="39"/>
  <c r="IS6" i="39"/>
  <c r="IT6" i="39"/>
  <c r="IU6" i="39"/>
  <c r="IV6" i="39"/>
  <c r="IW6" i="39"/>
  <c r="IX6" i="39"/>
  <c r="IY6" i="39"/>
  <c r="IZ6" i="39"/>
  <c r="JA6" i="39"/>
  <c r="JB6" i="39"/>
  <c r="JC6" i="39"/>
  <c r="JD6" i="39"/>
  <c r="JE6" i="39"/>
  <c r="JF6" i="39"/>
  <c r="JG6" i="39"/>
  <c r="JH6" i="39"/>
  <c r="JI6" i="39"/>
  <c r="JJ6" i="39"/>
  <c r="JK6" i="39"/>
  <c r="JL6" i="39"/>
  <c r="JM6" i="39"/>
  <c r="JN6" i="39"/>
  <c r="JO6" i="39"/>
  <c r="JP6" i="39"/>
  <c r="JQ6" i="39"/>
  <c r="JR6" i="39"/>
  <c r="JS6" i="39"/>
  <c r="JT6" i="39"/>
  <c r="JU6" i="39"/>
  <c r="JV6" i="39"/>
  <c r="JW6" i="39"/>
  <c r="JX6" i="39"/>
  <c r="JY6" i="39"/>
  <c r="JZ6" i="39"/>
  <c r="KA6" i="39"/>
  <c r="KB6" i="39"/>
  <c r="KC6" i="39"/>
  <c r="KD6" i="39"/>
  <c r="KE6" i="39"/>
  <c r="KF6" i="39"/>
  <c r="KG6" i="39"/>
  <c r="KH6" i="39"/>
  <c r="KI6" i="39"/>
  <c r="KJ6" i="39"/>
  <c r="KK6" i="39"/>
  <c r="KL6" i="39"/>
  <c r="KM6" i="39"/>
  <c r="KN6" i="39"/>
  <c r="KO6" i="39"/>
  <c r="KP6" i="39"/>
  <c r="KQ6" i="39"/>
  <c r="KR6" i="39"/>
  <c r="KS6" i="39"/>
  <c r="KT6" i="39"/>
  <c r="KU6" i="39"/>
  <c r="KV6" i="39"/>
  <c r="KW6" i="39"/>
  <c r="KX6" i="39"/>
  <c r="KY6" i="39"/>
  <c r="KZ6" i="39"/>
  <c r="LA6" i="39"/>
  <c r="LB6" i="39"/>
  <c r="LC6" i="39"/>
  <c r="LD6" i="39"/>
  <c r="LE6" i="39"/>
  <c r="LF6" i="39"/>
  <c r="LG6" i="39"/>
  <c r="LH6" i="39"/>
  <c r="LI6" i="39"/>
  <c r="LJ6" i="39"/>
  <c r="LK6" i="39"/>
  <c r="LL6" i="39"/>
  <c r="LM6" i="39"/>
  <c r="LN6" i="39"/>
  <c r="LO6" i="39"/>
  <c r="LP6" i="39"/>
  <c r="LQ6" i="39"/>
  <c r="LR6" i="39"/>
  <c r="LS6" i="39"/>
  <c r="LT6" i="39"/>
  <c r="LU6" i="39"/>
  <c r="LV6" i="39"/>
  <c r="LW6" i="39"/>
  <c r="FP7" i="39"/>
  <c r="FQ7" i="39"/>
  <c r="FR7" i="39"/>
  <c r="FS7" i="39"/>
  <c r="FT7" i="39"/>
  <c r="FU7" i="39"/>
  <c r="FV7" i="39"/>
  <c r="FW7" i="39"/>
  <c r="FX7" i="39"/>
  <c r="FY7" i="39"/>
  <c r="FZ7" i="39"/>
  <c r="GA7" i="39"/>
  <c r="GB7" i="39"/>
  <c r="GC7" i="39"/>
  <c r="GD7" i="39"/>
  <c r="GE7" i="39"/>
  <c r="GF7" i="39"/>
  <c r="GG7" i="39"/>
  <c r="GH7" i="39"/>
  <c r="GI7" i="39"/>
  <c r="GJ7" i="39"/>
  <c r="GK7" i="39"/>
  <c r="GL7" i="39"/>
  <c r="GM7" i="39"/>
  <c r="GN7" i="39"/>
  <c r="GO7" i="39"/>
  <c r="GP7" i="39"/>
  <c r="GQ7" i="39"/>
  <c r="GR7" i="39"/>
  <c r="GS7" i="39"/>
  <c r="GT7" i="39"/>
  <c r="GU7" i="39"/>
  <c r="GV7" i="39"/>
  <c r="GW7" i="39"/>
  <c r="GX7" i="39"/>
  <c r="GY7" i="39"/>
  <c r="GZ7" i="39"/>
  <c r="HA7" i="39"/>
  <c r="HB7" i="39"/>
  <c r="HC7" i="39"/>
  <c r="HD7" i="39"/>
  <c r="HE7" i="39"/>
  <c r="HF7" i="39"/>
  <c r="HG7" i="39"/>
  <c r="HH7" i="39"/>
  <c r="HI7" i="39"/>
  <c r="HJ7" i="39"/>
  <c r="HK7" i="39"/>
  <c r="HL7" i="39"/>
  <c r="HM7" i="39"/>
  <c r="HN7" i="39"/>
  <c r="HO7" i="39"/>
  <c r="HP7" i="39"/>
  <c r="HQ7" i="39"/>
  <c r="HR7" i="39"/>
  <c r="HS7" i="39"/>
  <c r="HT7" i="39"/>
  <c r="HU7" i="39"/>
  <c r="HV7" i="39"/>
  <c r="HW7" i="39"/>
  <c r="HX7" i="39"/>
  <c r="HY7" i="39"/>
  <c r="HZ7" i="39"/>
  <c r="IA7" i="39"/>
  <c r="IB7" i="39"/>
  <c r="IC7" i="39"/>
  <c r="ID7" i="39"/>
  <c r="IE7" i="39"/>
  <c r="IF7" i="39"/>
  <c r="IG7" i="39"/>
  <c r="IH7" i="39"/>
  <c r="II7" i="39"/>
  <c r="IJ7" i="39"/>
  <c r="IK7" i="39"/>
  <c r="IL7" i="39"/>
  <c r="IM7" i="39"/>
  <c r="IN7" i="39"/>
  <c r="IO7" i="39"/>
  <c r="IP7" i="39"/>
  <c r="IQ7" i="39"/>
  <c r="IR7" i="39"/>
  <c r="IS7" i="39"/>
  <c r="IT7" i="39"/>
  <c r="IU7" i="39"/>
  <c r="IV7" i="39"/>
  <c r="IW7" i="39"/>
  <c r="IX7" i="39"/>
  <c r="IY7" i="39"/>
  <c r="IZ7" i="39"/>
  <c r="JA7" i="39"/>
  <c r="JB7" i="39"/>
  <c r="JC7" i="39"/>
  <c r="JD7" i="39"/>
  <c r="JE7" i="39"/>
  <c r="JF7" i="39"/>
  <c r="JG7" i="39"/>
  <c r="JH7" i="39"/>
  <c r="JI7" i="39"/>
  <c r="JJ7" i="39"/>
  <c r="JK7" i="39"/>
  <c r="JL7" i="39"/>
  <c r="JM7" i="39"/>
  <c r="JN7" i="39"/>
  <c r="JO7" i="39"/>
  <c r="JP7" i="39"/>
  <c r="JQ7" i="39"/>
  <c r="JR7" i="39"/>
  <c r="JS7" i="39"/>
  <c r="JT7" i="39"/>
  <c r="JU7" i="39"/>
  <c r="JV7" i="39"/>
  <c r="JW7" i="39"/>
  <c r="JX7" i="39"/>
  <c r="JY7" i="39"/>
  <c r="JZ7" i="39"/>
  <c r="KA7" i="39"/>
  <c r="KB7" i="39"/>
  <c r="KC7" i="39"/>
  <c r="KD7" i="39"/>
  <c r="KE7" i="39"/>
  <c r="KF7" i="39"/>
  <c r="KG7" i="39"/>
  <c r="KH7" i="39"/>
  <c r="KI7" i="39"/>
  <c r="KJ7" i="39"/>
  <c r="KK7" i="39"/>
  <c r="KL7" i="39"/>
  <c r="KM7" i="39"/>
  <c r="KN7" i="39"/>
  <c r="KO7" i="39"/>
  <c r="KP7" i="39"/>
  <c r="KQ7" i="39"/>
  <c r="KR7" i="39"/>
  <c r="KS7" i="39"/>
  <c r="KT7" i="39"/>
  <c r="KU7" i="39"/>
  <c r="KV7" i="39"/>
  <c r="KW7" i="39"/>
  <c r="KX7" i="39"/>
  <c r="KY7" i="39"/>
  <c r="KZ7" i="39"/>
  <c r="LA7" i="39"/>
  <c r="LB7" i="39"/>
  <c r="LC7" i="39"/>
  <c r="LD7" i="39"/>
  <c r="LE7" i="39"/>
  <c r="LF7" i="39"/>
  <c r="LG7" i="39"/>
  <c r="LH7" i="39"/>
  <c r="LI7" i="39"/>
  <c r="LJ7" i="39"/>
  <c r="LK7" i="39"/>
  <c r="LL7" i="39"/>
  <c r="LM7" i="39"/>
  <c r="LN7" i="39"/>
  <c r="LO7" i="39"/>
  <c r="LP7" i="39"/>
  <c r="LQ7" i="39"/>
  <c r="LR7" i="39"/>
  <c r="LS7" i="39"/>
  <c r="LT7" i="39"/>
  <c r="LU7" i="39"/>
  <c r="LV7" i="39"/>
  <c r="LW7" i="39"/>
  <c r="FP8" i="39"/>
  <c r="FQ8" i="39"/>
  <c r="FR8" i="39"/>
  <c r="FS8" i="39"/>
  <c r="FT8" i="39"/>
  <c r="FU8" i="39"/>
  <c r="FV8" i="39"/>
  <c r="FW8" i="39"/>
  <c r="FX8" i="39"/>
  <c r="FY8" i="39"/>
  <c r="FZ8" i="39"/>
  <c r="GA8" i="39"/>
  <c r="GB8" i="39"/>
  <c r="GC8" i="39"/>
  <c r="GD8" i="39"/>
  <c r="GE8" i="39"/>
  <c r="GF8" i="39"/>
  <c r="GG8" i="39"/>
  <c r="GH8" i="39"/>
  <c r="GI8" i="39"/>
  <c r="GJ8" i="39"/>
  <c r="GK8" i="39"/>
  <c r="GL8" i="39"/>
  <c r="GM8" i="39"/>
  <c r="GN8" i="39"/>
  <c r="GO8" i="39"/>
  <c r="GP8" i="39"/>
  <c r="GQ8" i="39"/>
  <c r="GR8" i="39"/>
  <c r="GS8" i="39"/>
  <c r="GT8" i="39"/>
  <c r="GU8" i="39"/>
  <c r="GV8" i="39"/>
  <c r="GW8" i="39"/>
  <c r="GX8" i="39"/>
  <c r="GY8" i="39"/>
  <c r="GZ8" i="39"/>
  <c r="HA8" i="39"/>
  <c r="HB8" i="39"/>
  <c r="HC8" i="39"/>
  <c r="HD8" i="39"/>
  <c r="HE8" i="39"/>
  <c r="HF8" i="39"/>
  <c r="HG8" i="39"/>
  <c r="HH8" i="39"/>
  <c r="HI8" i="39"/>
  <c r="HJ8" i="39"/>
  <c r="HK8" i="39"/>
  <c r="HL8" i="39"/>
  <c r="HM8" i="39"/>
  <c r="HN8" i="39"/>
  <c r="HO8" i="39"/>
  <c r="HP8" i="39"/>
  <c r="HQ8" i="39"/>
  <c r="HR8" i="39"/>
  <c r="HS8" i="39"/>
  <c r="HT8" i="39"/>
  <c r="HU8" i="39"/>
  <c r="HV8" i="39"/>
  <c r="HW8" i="39"/>
  <c r="HX8" i="39"/>
  <c r="HY8" i="39"/>
  <c r="HZ8" i="39"/>
  <c r="IA8" i="39"/>
  <c r="IB8" i="39"/>
  <c r="IC8" i="39"/>
  <c r="ID8" i="39"/>
  <c r="IE8" i="39"/>
  <c r="IF8" i="39"/>
  <c r="IG8" i="39"/>
  <c r="IH8" i="39"/>
  <c r="II8" i="39"/>
  <c r="IJ8" i="39"/>
  <c r="IK8" i="39"/>
  <c r="IL8" i="39"/>
  <c r="IM8" i="39"/>
  <c r="IN8" i="39"/>
  <c r="IO8" i="39"/>
  <c r="IP8" i="39"/>
  <c r="IQ8" i="39"/>
  <c r="IR8" i="39"/>
  <c r="IS8" i="39"/>
  <c r="IT8" i="39"/>
  <c r="IU8" i="39"/>
  <c r="IV8" i="39"/>
  <c r="IW8" i="39"/>
  <c r="IX8" i="39"/>
  <c r="IY8" i="39"/>
  <c r="IZ8" i="39"/>
  <c r="JA8" i="39"/>
  <c r="JB8" i="39"/>
  <c r="JC8" i="39"/>
  <c r="JD8" i="39"/>
  <c r="JE8" i="39"/>
  <c r="JF8" i="39"/>
  <c r="JG8" i="39"/>
  <c r="JH8" i="39"/>
  <c r="JI8" i="39"/>
  <c r="JJ8" i="39"/>
  <c r="JK8" i="39"/>
  <c r="JL8" i="39"/>
  <c r="JM8" i="39"/>
  <c r="JN8" i="39"/>
  <c r="JO8" i="39"/>
  <c r="JP8" i="39"/>
  <c r="JQ8" i="39"/>
  <c r="JR8" i="39"/>
  <c r="JS8" i="39"/>
  <c r="JT8" i="39"/>
  <c r="JU8" i="39"/>
  <c r="JV8" i="39"/>
  <c r="JW8" i="39"/>
  <c r="JX8" i="39"/>
  <c r="JY8" i="39"/>
  <c r="JZ8" i="39"/>
  <c r="KA8" i="39"/>
  <c r="KB8" i="39"/>
  <c r="KC8" i="39"/>
  <c r="KD8" i="39"/>
  <c r="KE8" i="39"/>
  <c r="KF8" i="39"/>
  <c r="KG8" i="39"/>
  <c r="KH8" i="39"/>
  <c r="KI8" i="39"/>
  <c r="KJ8" i="39"/>
  <c r="KK8" i="39"/>
  <c r="KL8" i="39"/>
  <c r="KM8" i="39"/>
  <c r="KN8" i="39"/>
  <c r="KO8" i="39"/>
  <c r="KP8" i="39"/>
  <c r="KQ8" i="39"/>
  <c r="KR8" i="39"/>
  <c r="KS8" i="39"/>
  <c r="KT8" i="39"/>
  <c r="KU8" i="39"/>
  <c r="KV8" i="39"/>
  <c r="KW8" i="39"/>
  <c r="KX8" i="39"/>
  <c r="KY8" i="39"/>
  <c r="KZ8" i="39"/>
  <c r="LA8" i="39"/>
  <c r="LB8" i="39"/>
  <c r="LC8" i="39"/>
  <c r="LD8" i="39"/>
  <c r="LE8" i="39"/>
  <c r="LF8" i="39"/>
  <c r="LG8" i="39"/>
  <c r="LH8" i="39"/>
  <c r="LI8" i="39"/>
  <c r="LJ8" i="39"/>
  <c r="LK8" i="39"/>
  <c r="LL8" i="39"/>
  <c r="LM8" i="39"/>
  <c r="LN8" i="39"/>
  <c r="LO8" i="39"/>
  <c r="LP8" i="39"/>
  <c r="LQ8" i="39"/>
  <c r="LR8" i="39"/>
  <c r="LS8" i="39"/>
  <c r="LT8" i="39"/>
  <c r="LU8" i="39"/>
  <c r="LV8" i="39"/>
  <c r="LW8" i="39"/>
  <c r="FP9" i="39"/>
  <c r="FQ9" i="39"/>
  <c r="FR9" i="39"/>
  <c r="FS9" i="39"/>
  <c r="FT9" i="39"/>
  <c r="FU9" i="39"/>
  <c r="FV9" i="39"/>
  <c r="FW9" i="39"/>
  <c r="FX9" i="39"/>
  <c r="FY9" i="39"/>
  <c r="FZ9" i="39"/>
  <c r="GA9" i="39"/>
  <c r="GB9" i="39"/>
  <c r="GC9" i="39"/>
  <c r="GD9" i="39"/>
  <c r="GE9" i="39"/>
  <c r="GF9" i="39"/>
  <c r="GG9" i="39"/>
  <c r="GH9" i="39"/>
  <c r="GI9" i="39"/>
  <c r="GJ9" i="39"/>
  <c r="GK9" i="39"/>
  <c r="GL9" i="39"/>
  <c r="GM9" i="39"/>
  <c r="GN9" i="39"/>
  <c r="GO9" i="39"/>
  <c r="GP9" i="39"/>
  <c r="GQ9" i="39"/>
  <c r="GR9" i="39"/>
  <c r="GS9" i="39"/>
  <c r="GT9" i="39"/>
  <c r="GU9" i="39"/>
  <c r="GV9" i="39"/>
  <c r="GW9" i="39"/>
  <c r="GX9" i="39"/>
  <c r="GY9" i="39"/>
  <c r="GZ9" i="39"/>
  <c r="HA9" i="39"/>
  <c r="HB9" i="39"/>
  <c r="HC9" i="39"/>
  <c r="HD9" i="39"/>
  <c r="HE9" i="39"/>
  <c r="HF9" i="39"/>
  <c r="HG9" i="39"/>
  <c r="HH9" i="39"/>
  <c r="HI9" i="39"/>
  <c r="HJ9" i="39"/>
  <c r="HK9" i="39"/>
  <c r="HL9" i="39"/>
  <c r="HM9" i="39"/>
  <c r="HN9" i="39"/>
  <c r="HO9" i="39"/>
  <c r="HP9" i="39"/>
  <c r="HQ9" i="39"/>
  <c r="HR9" i="39"/>
  <c r="HS9" i="39"/>
  <c r="HT9" i="39"/>
  <c r="HU9" i="39"/>
  <c r="HV9" i="39"/>
  <c r="HW9" i="39"/>
  <c r="HX9" i="39"/>
  <c r="HY9" i="39"/>
  <c r="HZ9" i="39"/>
  <c r="IA9" i="39"/>
  <c r="IB9" i="39"/>
  <c r="IC9" i="39"/>
  <c r="ID9" i="39"/>
  <c r="IE9" i="39"/>
  <c r="IF9" i="39"/>
  <c r="IG9" i="39"/>
  <c r="IH9" i="39"/>
  <c r="II9" i="39"/>
  <c r="IJ9" i="39"/>
  <c r="IK9" i="39"/>
  <c r="IL9" i="39"/>
  <c r="IM9" i="39"/>
  <c r="IN9" i="39"/>
  <c r="IO9" i="39"/>
  <c r="IP9" i="39"/>
  <c r="IQ9" i="39"/>
  <c r="IR9" i="39"/>
  <c r="IS9" i="39"/>
  <c r="IT9" i="39"/>
  <c r="IU9" i="39"/>
  <c r="IV9" i="39"/>
  <c r="IW9" i="39"/>
  <c r="IX9" i="39"/>
  <c r="IY9" i="39"/>
  <c r="IZ9" i="39"/>
  <c r="JA9" i="39"/>
  <c r="JB9" i="39"/>
  <c r="JC9" i="39"/>
  <c r="JD9" i="39"/>
  <c r="JE9" i="39"/>
  <c r="JF9" i="39"/>
  <c r="JG9" i="39"/>
  <c r="JH9" i="39"/>
  <c r="JI9" i="39"/>
  <c r="JJ9" i="39"/>
  <c r="JK9" i="39"/>
  <c r="JL9" i="39"/>
  <c r="JM9" i="39"/>
  <c r="JN9" i="39"/>
  <c r="JO9" i="39"/>
  <c r="JP9" i="39"/>
  <c r="JQ9" i="39"/>
  <c r="JR9" i="39"/>
  <c r="JS9" i="39"/>
  <c r="JT9" i="39"/>
  <c r="JU9" i="39"/>
  <c r="JV9" i="39"/>
  <c r="JW9" i="39"/>
  <c r="JX9" i="39"/>
  <c r="JY9" i="39"/>
  <c r="JZ9" i="39"/>
  <c r="KA9" i="39"/>
  <c r="KB9" i="39"/>
  <c r="KC9" i="39"/>
  <c r="KD9" i="39"/>
  <c r="KE9" i="39"/>
  <c r="KF9" i="39"/>
  <c r="KG9" i="39"/>
  <c r="KH9" i="39"/>
  <c r="KI9" i="39"/>
  <c r="KJ9" i="39"/>
  <c r="KK9" i="39"/>
  <c r="KL9" i="39"/>
  <c r="KM9" i="39"/>
  <c r="KN9" i="39"/>
  <c r="KO9" i="39"/>
  <c r="KP9" i="39"/>
  <c r="KQ9" i="39"/>
  <c r="KR9" i="39"/>
  <c r="KS9" i="39"/>
  <c r="KT9" i="39"/>
  <c r="KU9" i="39"/>
  <c r="KV9" i="39"/>
  <c r="KW9" i="39"/>
  <c r="KX9" i="39"/>
  <c r="KY9" i="39"/>
  <c r="KZ9" i="39"/>
  <c r="LA9" i="39"/>
  <c r="LB9" i="39"/>
  <c r="LC9" i="39"/>
  <c r="LD9" i="39"/>
  <c r="LE9" i="39"/>
  <c r="LF9" i="39"/>
  <c r="LG9" i="39"/>
  <c r="LH9" i="39"/>
  <c r="LI9" i="39"/>
  <c r="LJ9" i="39"/>
  <c r="LK9" i="39"/>
  <c r="LL9" i="39"/>
  <c r="LM9" i="39"/>
  <c r="LN9" i="39"/>
  <c r="LO9" i="39"/>
  <c r="LP9" i="39"/>
  <c r="LQ9" i="39"/>
  <c r="LR9" i="39"/>
  <c r="LS9" i="39"/>
  <c r="LT9" i="39"/>
  <c r="LU9" i="39"/>
  <c r="LV9" i="39"/>
  <c r="LW9" i="39"/>
  <c r="FP10" i="39"/>
  <c r="FQ10" i="39"/>
  <c r="FR10" i="39"/>
  <c r="FS10" i="39"/>
  <c r="FT10" i="39"/>
  <c r="FU10" i="39"/>
  <c r="FV10" i="39"/>
  <c r="FW10" i="39"/>
  <c r="FX10" i="39"/>
  <c r="FY10" i="39"/>
  <c r="FZ10" i="39"/>
  <c r="GA10" i="39"/>
  <c r="GB10" i="39"/>
  <c r="GC10" i="39"/>
  <c r="GD10" i="39"/>
  <c r="GE10" i="39"/>
  <c r="GF10" i="39"/>
  <c r="GG10" i="39"/>
  <c r="GH10" i="39"/>
  <c r="GI10" i="39"/>
  <c r="GJ10" i="39"/>
  <c r="GK10" i="39"/>
  <c r="GL10" i="39"/>
  <c r="GM10" i="39"/>
  <c r="GN10" i="39"/>
  <c r="GO10" i="39"/>
  <c r="GP10" i="39"/>
  <c r="GQ10" i="39"/>
  <c r="GR10" i="39"/>
  <c r="GS10" i="39"/>
  <c r="GT10" i="39"/>
  <c r="GU10" i="39"/>
  <c r="GV10" i="39"/>
  <c r="GW10" i="39"/>
  <c r="GX10" i="39"/>
  <c r="GY10" i="39"/>
  <c r="GZ10" i="39"/>
  <c r="HA10" i="39"/>
  <c r="HB10" i="39"/>
  <c r="HC10" i="39"/>
  <c r="HD10" i="39"/>
  <c r="HE10" i="39"/>
  <c r="HF10" i="39"/>
  <c r="HG10" i="39"/>
  <c r="HH10" i="39"/>
  <c r="HI10" i="39"/>
  <c r="HJ10" i="39"/>
  <c r="HK10" i="39"/>
  <c r="HL10" i="39"/>
  <c r="HM10" i="39"/>
  <c r="HN10" i="39"/>
  <c r="HO10" i="39"/>
  <c r="HP10" i="39"/>
  <c r="HQ10" i="39"/>
  <c r="HR10" i="39"/>
  <c r="HS10" i="39"/>
  <c r="HT10" i="39"/>
  <c r="HU10" i="39"/>
  <c r="HV10" i="39"/>
  <c r="HW10" i="39"/>
  <c r="HX10" i="39"/>
  <c r="HY10" i="39"/>
  <c r="HZ10" i="39"/>
  <c r="IA10" i="39"/>
  <c r="IB10" i="39"/>
  <c r="IC10" i="39"/>
  <c r="ID10" i="39"/>
  <c r="IE10" i="39"/>
  <c r="IF10" i="39"/>
  <c r="IG10" i="39"/>
  <c r="IH10" i="39"/>
  <c r="II10" i="39"/>
  <c r="IJ10" i="39"/>
  <c r="IK10" i="39"/>
  <c r="IL10" i="39"/>
  <c r="IM10" i="39"/>
  <c r="IN10" i="39"/>
  <c r="IO10" i="39"/>
  <c r="IP10" i="39"/>
  <c r="IQ10" i="39"/>
  <c r="IR10" i="39"/>
  <c r="IS10" i="39"/>
  <c r="IT10" i="39"/>
  <c r="IU10" i="39"/>
  <c r="IV10" i="39"/>
  <c r="IW10" i="39"/>
  <c r="IX10" i="39"/>
  <c r="IY10" i="39"/>
  <c r="IZ10" i="39"/>
  <c r="JA10" i="39"/>
  <c r="JB10" i="39"/>
  <c r="JC10" i="39"/>
  <c r="JD10" i="39"/>
  <c r="JE10" i="39"/>
  <c r="JF10" i="39"/>
  <c r="JG10" i="39"/>
  <c r="JH10" i="39"/>
  <c r="JI10" i="39"/>
  <c r="JJ10" i="39"/>
  <c r="JK10" i="39"/>
  <c r="JL10" i="39"/>
  <c r="JM10" i="39"/>
  <c r="JN10" i="39"/>
  <c r="JO10" i="39"/>
  <c r="JP10" i="39"/>
  <c r="JQ10" i="39"/>
  <c r="JR10" i="39"/>
  <c r="JS10" i="39"/>
  <c r="JT10" i="39"/>
  <c r="JU10" i="39"/>
  <c r="JV10" i="39"/>
  <c r="JW10" i="39"/>
  <c r="JX10" i="39"/>
  <c r="JY10" i="39"/>
  <c r="JZ10" i="39"/>
  <c r="KA10" i="39"/>
  <c r="KB10" i="39"/>
  <c r="KC10" i="39"/>
  <c r="KD10" i="39"/>
  <c r="KE10" i="39"/>
  <c r="KF10" i="39"/>
  <c r="KG10" i="39"/>
  <c r="KH10" i="39"/>
  <c r="KI10" i="39"/>
  <c r="KJ10" i="39"/>
  <c r="KK10" i="39"/>
  <c r="KL10" i="39"/>
  <c r="KM10" i="39"/>
  <c r="KN10" i="39"/>
  <c r="KO10" i="39"/>
  <c r="KP10" i="39"/>
  <c r="KQ10" i="39"/>
  <c r="KR10" i="39"/>
  <c r="KS10" i="39"/>
  <c r="KT10" i="39"/>
  <c r="KU10" i="39"/>
  <c r="KV10" i="39"/>
  <c r="KW10" i="39"/>
  <c r="KX10" i="39"/>
  <c r="KY10" i="39"/>
  <c r="KZ10" i="39"/>
  <c r="LA10" i="39"/>
  <c r="LB10" i="39"/>
  <c r="LC10" i="39"/>
  <c r="LD10" i="39"/>
  <c r="LE10" i="39"/>
  <c r="LF10" i="39"/>
  <c r="LG10" i="39"/>
  <c r="LH10" i="39"/>
  <c r="LI10" i="39"/>
  <c r="LJ10" i="39"/>
  <c r="LK10" i="39"/>
  <c r="LL10" i="39"/>
  <c r="LM10" i="39"/>
  <c r="LN10" i="39"/>
  <c r="LO10" i="39"/>
  <c r="LP10" i="39"/>
  <c r="LQ10" i="39"/>
  <c r="LR10" i="39"/>
  <c r="LS10" i="39"/>
  <c r="LT10" i="39"/>
  <c r="LU10" i="39"/>
  <c r="LV10" i="39"/>
  <c r="LW10" i="39"/>
  <c r="FP11" i="39"/>
  <c r="FQ11" i="39"/>
  <c r="FR11" i="39"/>
  <c r="FS11" i="39"/>
  <c r="FT11" i="39"/>
  <c r="FU11" i="39"/>
  <c r="FV11" i="39"/>
  <c r="FW11" i="39"/>
  <c r="FX11" i="39"/>
  <c r="FY11" i="39"/>
  <c r="FZ11" i="39"/>
  <c r="GA11" i="39"/>
  <c r="GB11" i="39"/>
  <c r="GC11" i="39"/>
  <c r="GD11" i="39"/>
  <c r="GE11" i="39"/>
  <c r="GF11" i="39"/>
  <c r="GG11" i="39"/>
  <c r="GH11" i="39"/>
  <c r="GI11" i="39"/>
  <c r="GJ11" i="39"/>
  <c r="GK11" i="39"/>
  <c r="GL11" i="39"/>
  <c r="GM11" i="39"/>
  <c r="GN11" i="39"/>
  <c r="GO11" i="39"/>
  <c r="GP11" i="39"/>
  <c r="GQ11" i="39"/>
  <c r="GR11" i="39"/>
  <c r="GS11" i="39"/>
  <c r="GT11" i="39"/>
  <c r="GU11" i="39"/>
  <c r="GV11" i="39"/>
  <c r="GW11" i="39"/>
  <c r="GX11" i="39"/>
  <c r="GY11" i="39"/>
  <c r="GZ11" i="39"/>
  <c r="HA11" i="39"/>
  <c r="HB11" i="39"/>
  <c r="HC11" i="39"/>
  <c r="HD11" i="39"/>
  <c r="HE11" i="39"/>
  <c r="HF11" i="39"/>
  <c r="HG11" i="39"/>
  <c r="HH11" i="39"/>
  <c r="HI11" i="39"/>
  <c r="HJ11" i="39"/>
  <c r="HK11" i="39"/>
  <c r="HL11" i="39"/>
  <c r="HM11" i="39"/>
  <c r="HN11" i="39"/>
  <c r="HO11" i="39"/>
  <c r="HP11" i="39"/>
  <c r="HQ11" i="39"/>
  <c r="HR11" i="39"/>
  <c r="HS11" i="39"/>
  <c r="HT11" i="39"/>
  <c r="HU11" i="39"/>
  <c r="HV11" i="39"/>
  <c r="HW11" i="39"/>
  <c r="HX11" i="39"/>
  <c r="HY11" i="39"/>
  <c r="HZ11" i="39"/>
  <c r="IA11" i="39"/>
  <c r="IB11" i="39"/>
  <c r="IC11" i="39"/>
  <c r="ID11" i="39"/>
  <c r="IE11" i="39"/>
  <c r="IF11" i="39"/>
  <c r="IG11" i="39"/>
  <c r="IH11" i="39"/>
  <c r="II11" i="39"/>
  <c r="IJ11" i="39"/>
  <c r="IK11" i="39"/>
  <c r="IL11" i="39"/>
  <c r="IM11" i="39"/>
  <c r="IN11" i="39"/>
  <c r="IO11" i="39"/>
  <c r="IP11" i="39"/>
  <c r="IQ11" i="39"/>
  <c r="IR11" i="39"/>
  <c r="IS11" i="39"/>
  <c r="IT11" i="39"/>
  <c r="IU11" i="39"/>
  <c r="IV11" i="39"/>
  <c r="IW11" i="39"/>
  <c r="IX11" i="39"/>
  <c r="IY11" i="39"/>
  <c r="IZ11" i="39"/>
  <c r="JA11" i="39"/>
  <c r="JB11" i="39"/>
  <c r="JC11" i="39"/>
  <c r="JD11" i="39"/>
  <c r="JE11" i="39"/>
  <c r="JF11" i="39"/>
  <c r="JG11" i="39"/>
  <c r="JH11" i="39"/>
  <c r="JI11" i="39"/>
  <c r="JJ11" i="39"/>
  <c r="JK11" i="39"/>
  <c r="JL11" i="39"/>
  <c r="JM11" i="39"/>
  <c r="JN11" i="39"/>
  <c r="JO11" i="39"/>
  <c r="JP11" i="39"/>
  <c r="JQ11" i="39"/>
  <c r="JR11" i="39"/>
  <c r="JS11" i="39"/>
  <c r="JT11" i="39"/>
  <c r="JU11" i="39"/>
  <c r="JV11" i="39"/>
  <c r="JW11" i="39"/>
  <c r="JX11" i="39"/>
  <c r="JY11" i="39"/>
  <c r="JZ11" i="39"/>
  <c r="KA11" i="39"/>
  <c r="KB11" i="39"/>
  <c r="KC11" i="39"/>
  <c r="KD11" i="39"/>
  <c r="KE11" i="39"/>
  <c r="KF11" i="39"/>
  <c r="KG11" i="39"/>
  <c r="KH11" i="39"/>
  <c r="KI11" i="39"/>
  <c r="KJ11" i="39"/>
  <c r="KK11" i="39"/>
  <c r="KL11" i="39"/>
  <c r="KM11" i="39"/>
  <c r="KN11" i="39"/>
  <c r="KO11" i="39"/>
  <c r="KP11" i="39"/>
  <c r="KQ11" i="39"/>
  <c r="KR11" i="39"/>
  <c r="KS11" i="39"/>
  <c r="KT11" i="39"/>
  <c r="KU11" i="39"/>
  <c r="KV11" i="39"/>
  <c r="KW11" i="39"/>
  <c r="KX11" i="39"/>
  <c r="KY11" i="39"/>
  <c r="KZ11" i="39"/>
  <c r="LA11" i="39"/>
  <c r="LB11" i="39"/>
  <c r="LC11" i="39"/>
  <c r="LD11" i="39"/>
  <c r="LE11" i="39"/>
  <c r="LF11" i="39"/>
  <c r="LG11" i="39"/>
  <c r="LH11" i="39"/>
  <c r="LI11" i="39"/>
  <c r="LJ11" i="39"/>
  <c r="LK11" i="39"/>
  <c r="LL11" i="39"/>
  <c r="LM11" i="39"/>
  <c r="LN11" i="39"/>
  <c r="LO11" i="39"/>
  <c r="LP11" i="39"/>
  <c r="LQ11" i="39"/>
  <c r="LR11" i="39"/>
  <c r="LS11" i="39"/>
  <c r="LT11" i="39"/>
  <c r="LU11" i="39"/>
  <c r="LV11" i="39"/>
  <c r="LW11" i="39"/>
  <c r="FP12" i="39"/>
  <c r="FQ12" i="39"/>
  <c r="FR12" i="39"/>
  <c r="FS12" i="39"/>
  <c r="FT12" i="39"/>
  <c r="FU12" i="39"/>
  <c r="FV12" i="39"/>
  <c r="FW12" i="39"/>
  <c r="FX12" i="39"/>
  <c r="FY12" i="39"/>
  <c r="FZ12" i="39"/>
  <c r="GA12" i="39"/>
  <c r="GB12" i="39"/>
  <c r="GC12" i="39"/>
  <c r="GD12" i="39"/>
  <c r="GE12" i="39"/>
  <c r="GF12" i="39"/>
  <c r="GG12" i="39"/>
  <c r="GH12" i="39"/>
  <c r="GI12" i="39"/>
  <c r="GJ12" i="39"/>
  <c r="GK12" i="39"/>
  <c r="GL12" i="39"/>
  <c r="GM12" i="39"/>
  <c r="GN12" i="39"/>
  <c r="GO12" i="39"/>
  <c r="GP12" i="39"/>
  <c r="GQ12" i="39"/>
  <c r="GR12" i="39"/>
  <c r="GS12" i="39"/>
  <c r="GT12" i="39"/>
  <c r="GU12" i="39"/>
  <c r="GV12" i="39"/>
  <c r="GW12" i="39"/>
  <c r="GX12" i="39"/>
  <c r="GY12" i="39"/>
  <c r="GZ12" i="39"/>
  <c r="HA12" i="39"/>
  <c r="HB12" i="39"/>
  <c r="HC12" i="39"/>
  <c r="HD12" i="39"/>
  <c r="HE12" i="39"/>
  <c r="HF12" i="39"/>
  <c r="HG12" i="39"/>
  <c r="HH12" i="39"/>
  <c r="HI12" i="39"/>
  <c r="HJ12" i="39"/>
  <c r="HK12" i="39"/>
  <c r="HL12" i="39"/>
  <c r="HM12" i="39"/>
  <c r="HN12" i="39"/>
  <c r="HO12" i="39"/>
  <c r="HP12" i="39"/>
  <c r="HQ12" i="39"/>
  <c r="HR12" i="39"/>
  <c r="HS12" i="39"/>
  <c r="HT12" i="39"/>
  <c r="HU12" i="39"/>
  <c r="HV12" i="39"/>
  <c r="HW12" i="39"/>
  <c r="HX12" i="39"/>
  <c r="HY12" i="39"/>
  <c r="HZ12" i="39"/>
  <c r="IA12" i="39"/>
  <c r="IB12" i="39"/>
  <c r="IC12" i="39"/>
  <c r="ID12" i="39"/>
  <c r="IE12" i="39"/>
  <c r="IF12" i="39"/>
  <c r="IG12" i="39"/>
  <c r="IH12" i="39"/>
  <c r="II12" i="39"/>
  <c r="IJ12" i="39"/>
  <c r="IK12" i="39"/>
  <c r="IL12" i="39"/>
  <c r="IM12" i="39"/>
  <c r="IN12" i="39"/>
  <c r="IO12" i="39"/>
  <c r="IP12" i="39"/>
  <c r="IQ12" i="39"/>
  <c r="IR12" i="39"/>
  <c r="IS12" i="39"/>
  <c r="IT12" i="39"/>
  <c r="IU12" i="39"/>
  <c r="IV12" i="39"/>
  <c r="IW12" i="39"/>
  <c r="IX12" i="39"/>
  <c r="IY12" i="39"/>
  <c r="IZ12" i="39"/>
  <c r="JA12" i="39"/>
  <c r="JB12" i="39"/>
  <c r="JC12" i="39"/>
  <c r="JD12" i="39"/>
  <c r="JE12" i="39"/>
  <c r="JF12" i="39"/>
  <c r="JG12" i="39"/>
  <c r="JH12" i="39"/>
  <c r="JI12" i="39"/>
  <c r="JJ12" i="39"/>
  <c r="JK12" i="39"/>
  <c r="JL12" i="39"/>
  <c r="JM12" i="39"/>
  <c r="JN12" i="39"/>
  <c r="JO12" i="39"/>
  <c r="JP12" i="39"/>
  <c r="JQ12" i="39"/>
  <c r="JR12" i="39"/>
  <c r="JS12" i="39"/>
  <c r="JT12" i="39"/>
  <c r="JU12" i="39"/>
  <c r="JV12" i="39"/>
  <c r="JW12" i="39"/>
  <c r="JX12" i="39"/>
  <c r="JY12" i="39"/>
  <c r="JZ12" i="39"/>
  <c r="KA12" i="39"/>
  <c r="KB12" i="39"/>
  <c r="KC12" i="39"/>
  <c r="KD12" i="39"/>
  <c r="KE12" i="39"/>
  <c r="KF12" i="39"/>
  <c r="KG12" i="39"/>
  <c r="KH12" i="39"/>
  <c r="KI12" i="39"/>
  <c r="KJ12" i="39"/>
  <c r="KK12" i="39"/>
  <c r="KL12" i="39"/>
  <c r="KM12" i="39"/>
  <c r="KN12" i="39"/>
  <c r="KO12" i="39"/>
  <c r="KP12" i="39"/>
  <c r="KQ12" i="39"/>
  <c r="KR12" i="39"/>
  <c r="KS12" i="39"/>
  <c r="KT12" i="39"/>
  <c r="KU12" i="39"/>
  <c r="KV12" i="39"/>
  <c r="KW12" i="39"/>
  <c r="KX12" i="39"/>
  <c r="KY12" i="39"/>
  <c r="KZ12" i="39"/>
  <c r="LA12" i="39"/>
  <c r="LB12" i="39"/>
  <c r="LC12" i="39"/>
  <c r="LD12" i="39"/>
  <c r="LE12" i="39"/>
  <c r="LF12" i="39"/>
  <c r="LG12" i="39"/>
  <c r="LH12" i="39"/>
  <c r="LI12" i="39"/>
  <c r="LJ12" i="39"/>
  <c r="LK12" i="39"/>
  <c r="LL12" i="39"/>
  <c r="LM12" i="39"/>
  <c r="LN12" i="39"/>
  <c r="LO12" i="39"/>
  <c r="LP12" i="39"/>
  <c r="LQ12" i="39"/>
  <c r="LR12" i="39"/>
  <c r="LS12" i="39"/>
  <c r="LT12" i="39"/>
  <c r="LU12" i="39"/>
  <c r="LV12" i="39"/>
  <c r="LW12" i="39"/>
  <c r="FP13" i="39"/>
  <c r="FQ13" i="39"/>
  <c r="FR13" i="39"/>
  <c r="FS13" i="39"/>
  <c r="FT13" i="39"/>
  <c r="FU13" i="39"/>
  <c r="FV13" i="39"/>
  <c r="FW13" i="39"/>
  <c r="FX13" i="39"/>
  <c r="FY13" i="39"/>
  <c r="FZ13" i="39"/>
  <c r="GA13" i="39"/>
  <c r="GB13" i="39"/>
  <c r="GC13" i="39"/>
  <c r="GD13" i="39"/>
  <c r="GE13" i="39"/>
  <c r="GF13" i="39"/>
  <c r="GG13" i="39"/>
  <c r="GH13" i="39"/>
  <c r="GI13" i="39"/>
  <c r="GJ13" i="39"/>
  <c r="GK13" i="39"/>
  <c r="GL13" i="39"/>
  <c r="GM13" i="39"/>
  <c r="GN13" i="39"/>
  <c r="GO13" i="39"/>
  <c r="GP13" i="39"/>
  <c r="GQ13" i="39"/>
  <c r="GR13" i="39"/>
  <c r="GS13" i="39"/>
  <c r="GT13" i="39"/>
  <c r="GU13" i="39"/>
  <c r="GV13" i="39"/>
  <c r="GW13" i="39"/>
  <c r="GX13" i="39"/>
  <c r="GY13" i="39"/>
  <c r="GZ13" i="39"/>
  <c r="HA13" i="39"/>
  <c r="HB13" i="39"/>
  <c r="HC13" i="39"/>
  <c r="HD13" i="39"/>
  <c r="HE13" i="39"/>
  <c r="HF13" i="39"/>
  <c r="HG13" i="39"/>
  <c r="HH13" i="39"/>
  <c r="HI13" i="39"/>
  <c r="HJ13" i="39"/>
  <c r="HK13" i="39"/>
  <c r="HL13" i="39"/>
  <c r="HM13" i="39"/>
  <c r="HN13" i="39"/>
  <c r="HO13" i="39"/>
  <c r="HP13" i="39"/>
  <c r="HQ13" i="39"/>
  <c r="HR13" i="39"/>
  <c r="HS13" i="39"/>
  <c r="HT13" i="39"/>
  <c r="HU13" i="39"/>
  <c r="HV13" i="39"/>
  <c r="HW13" i="39"/>
  <c r="HX13" i="39"/>
  <c r="HY13" i="39"/>
  <c r="HZ13" i="39"/>
  <c r="IA13" i="39"/>
  <c r="IB13" i="39"/>
  <c r="IC13" i="39"/>
  <c r="ID13" i="39"/>
  <c r="IE13" i="39"/>
  <c r="IF13" i="39"/>
  <c r="IG13" i="39"/>
  <c r="IH13" i="39"/>
  <c r="II13" i="39"/>
  <c r="IJ13" i="39"/>
  <c r="IK13" i="39"/>
  <c r="IL13" i="39"/>
  <c r="IM13" i="39"/>
  <c r="IN13" i="39"/>
  <c r="IO13" i="39"/>
  <c r="IP13" i="39"/>
  <c r="IQ13" i="39"/>
  <c r="IR13" i="39"/>
  <c r="IS13" i="39"/>
  <c r="IT13" i="39"/>
  <c r="IU13" i="39"/>
  <c r="IV13" i="39"/>
  <c r="IW13" i="39"/>
  <c r="IX13" i="39"/>
  <c r="IY13" i="39"/>
  <c r="IZ13" i="39"/>
  <c r="JA13" i="39"/>
  <c r="JB13" i="39"/>
  <c r="JC13" i="39"/>
  <c r="JD13" i="39"/>
  <c r="JE13" i="39"/>
  <c r="JF13" i="39"/>
  <c r="JG13" i="39"/>
  <c r="JH13" i="39"/>
  <c r="JI13" i="39"/>
  <c r="JJ13" i="39"/>
  <c r="JK13" i="39"/>
  <c r="JL13" i="39"/>
  <c r="JM13" i="39"/>
  <c r="JN13" i="39"/>
  <c r="JO13" i="39"/>
  <c r="JP13" i="39"/>
  <c r="JQ13" i="39"/>
  <c r="JR13" i="39"/>
  <c r="JS13" i="39"/>
  <c r="JT13" i="39"/>
  <c r="JU13" i="39"/>
  <c r="JV13" i="39"/>
  <c r="JW13" i="39"/>
  <c r="JX13" i="39"/>
  <c r="JY13" i="39"/>
  <c r="JZ13" i="39"/>
  <c r="KA13" i="39"/>
  <c r="KB13" i="39"/>
  <c r="KC13" i="39"/>
  <c r="KD13" i="39"/>
  <c r="KE13" i="39"/>
  <c r="KF13" i="39"/>
  <c r="KG13" i="39"/>
  <c r="KH13" i="39"/>
  <c r="KI13" i="39"/>
  <c r="KJ13" i="39"/>
  <c r="KK13" i="39"/>
  <c r="KL13" i="39"/>
  <c r="KM13" i="39"/>
  <c r="KN13" i="39"/>
  <c r="KO13" i="39"/>
  <c r="KP13" i="39"/>
  <c r="KQ13" i="39"/>
  <c r="KR13" i="39"/>
  <c r="KS13" i="39"/>
  <c r="KT13" i="39"/>
  <c r="KU13" i="39"/>
  <c r="KV13" i="39"/>
  <c r="KW13" i="39"/>
  <c r="KX13" i="39"/>
  <c r="KY13" i="39"/>
  <c r="KZ13" i="39"/>
  <c r="LA13" i="39"/>
  <c r="LB13" i="39"/>
  <c r="LC13" i="39"/>
  <c r="LD13" i="39"/>
  <c r="LE13" i="39"/>
  <c r="LF13" i="39"/>
  <c r="LG13" i="39"/>
  <c r="LH13" i="39"/>
  <c r="LI13" i="39"/>
  <c r="LJ13" i="39"/>
  <c r="LK13" i="39"/>
  <c r="LL13" i="39"/>
  <c r="LM13" i="39"/>
  <c r="LN13" i="39"/>
  <c r="LO13" i="39"/>
  <c r="LP13" i="39"/>
  <c r="LQ13" i="39"/>
  <c r="LR13" i="39"/>
  <c r="LS13" i="39"/>
  <c r="LT13" i="39"/>
  <c r="LU13" i="39"/>
  <c r="LV13" i="39"/>
  <c r="LW13" i="39"/>
  <c r="FP14" i="39"/>
  <c r="FQ14" i="39"/>
  <c r="FR14" i="39"/>
  <c r="FS14" i="39"/>
  <c r="FT14" i="39"/>
  <c r="FU14" i="39"/>
  <c r="FV14" i="39"/>
  <c r="FW14" i="39"/>
  <c r="FX14" i="39"/>
  <c r="FY14" i="39"/>
  <c r="FZ14" i="39"/>
  <c r="GA14" i="39"/>
  <c r="GB14" i="39"/>
  <c r="GC14" i="39"/>
  <c r="GD14" i="39"/>
  <c r="GE14" i="39"/>
  <c r="GF14" i="39"/>
  <c r="GG14" i="39"/>
  <c r="GH14" i="39"/>
  <c r="GI14" i="39"/>
  <c r="GJ14" i="39"/>
  <c r="GK14" i="39"/>
  <c r="GL14" i="39"/>
  <c r="GM14" i="39"/>
  <c r="GN14" i="39"/>
  <c r="GO14" i="39"/>
  <c r="GP14" i="39"/>
  <c r="GQ14" i="39"/>
  <c r="GR14" i="39"/>
  <c r="GS14" i="39"/>
  <c r="GT14" i="39"/>
  <c r="GU14" i="39"/>
  <c r="GV14" i="39"/>
  <c r="GW14" i="39"/>
  <c r="GX14" i="39"/>
  <c r="GY14" i="39"/>
  <c r="GZ14" i="39"/>
  <c r="HA14" i="39"/>
  <c r="HB14" i="39"/>
  <c r="HC14" i="39"/>
  <c r="HD14" i="39"/>
  <c r="HE14" i="39"/>
  <c r="HF14" i="39"/>
  <c r="HG14" i="39"/>
  <c r="HH14" i="39"/>
  <c r="HI14" i="39"/>
  <c r="HJ14" i="39"/>
  <c r="HK14" i="39"/>
  <c r="HL14" i="39"/>
  <c r="HM14" i="39"/>
  <c r="HN14" i="39"/>
  <c r="HO14" i="39"/>
  <c r="HP14" i="39"/>
  <c r="HQ14" i="39"/>
  <c r="HR14" i="39"/>
  <c r="HS14" i="39"/>
  <c r="HT14" i="39"/>
  <c r="HU14" i="39"/>
  <c r="HV14" i="39"/>
  <c r="HW14" i="39"/>
  <c r="HX14" i="39"/>
  <c r="HY14" i="39"/>
  <c r="HZ14" i="39"/>
  <c r="IA14" i="39"/>
  <c r="IB14" i="39"/>
  <c r="IC14" i="39"/>
  <c r="ID14" i="39"/>
  <c r="IE14" i="39"/>
  <c r="IF14" i="39"/>
  <c r="IG14" i="39"/>
  <c r="IH14" i="39"/>
  <c r="II14" i="39"/>
  <c r="IJ14" i="39"/>
  <c r="IK14" i="39"/>
  <c r="IL14" i="39"/>
  <c r="IM14" i="39"/>
  <c r="IN14" i="39"/>
  <c r="IO14" i="39"/>
  <c r="IP14" i="39"/>
  <c r="IQ14" i="39"/>
  <c r="IR14" i="39"/>
  <c r="IS14" i="39"/>
  <c r="IT14" i="39"/>
  <c r="IU14" i="39"/>
  <c r="IV14" i="39"/>
  <c r="IW14" i="39"/>
  <c r="IX14" i="39"/>
  <c r="IY14" i="39"/>
  <c r="IZ14" i="39"/>
  <c r="JA14" i="39"/>
  <c r="JB14" i="39"/>
  <c r="JC14" i="39"/>
  <c r="JD14" i="39"/>
  <c r="JE14" i="39"/>
  <c r="JF14" i="39"/>
  <c r="JG14" i="39"/>
  <c r="JH14" i="39"/>
  <c r="JI14" i="39"/>
  <c r="JJ14" i="39"/>
  <c r="JK14" i="39"/>
  <c r="JL14" i="39"/>
  <c r="JM14" i="39"/>
  <c r="JN14" i="39"/>
  <c r="JO14" i="39"/>
  <c r="JP14" i="39"/>
  <c r="JQ14" i="39"/>
  <c r="JR14" i="39"/>
  <c r="JS14" i="39"/>
  <c r="JT14" i="39"/>
  <c r="JU14" i="39"/>
  <c r="JV14" i="39"/>
  <c r="JW14" i="39"/>
  <c r="JX14" i="39"/>
  <c r="JY14" i="39"/>
  <c r="JZ14" i="39"/>
  <c r="KA14" i="39"/>
  <c r="KB14" i="39"/>
  <c r="KC14" i="39"/>
  <c r="KD14" i="39"/>
  <c r="KE14" i="39"/>
  <c r="KF14" i="39"/>
  <c r="KG14" i="39"/>
  <c r="KH14" i="39"/>
  <c r="KI14" i="39"/>
  <c r="KJ14" i="39"/>
  <c r="KK14" i="39"/>
  <c r="KL14" i="39"/>
  <c r="KM14" i="39"/>
  <c r="KN14" i="39"/>
  <c r="KO14" i="39"/>
  <c r="KP14" i="39"/>
  <c r="KQ14" i="39"/>
  <c r="KR14" i="39"/>
  <c r="KS14" i="39"/>
  <c r="KT14" i="39"/>
  <c r="KU14" i="39"/>
  <c r="KV14" i="39"/>
  <c r="KW14" i="39"/>
  <c r="KX14" i="39"/>
  <c r="KY14" i="39"/>
  <c r="KZ14" i="39"/>
  <c r="LA14" i="39"/>
  <c r="LB14" i="39"/>
  <c r="LC14" i="39"/>
  <c r="LD14" i="39"/>
  <c r="LE14" i="39"/>
  <c r="LF14" i="39"/>
  <c r="LG14" i="39"/>
  <c r="LH14" i="39"/>
  <c r="LI14" i="39"/>
  <c r="LJ14" i="39"/>
  <c r="LK14" i="39"/>
  <c r="LL14" i="39"/>
  <c r="LM14" i="39"/>
  <c r="LN14" i="39"/>
  <c r="LO14" i="39"/>
  <c r="LP14" i="39"/>
  <c r="LQ14" i="39"/>
  <c r="LR14" i="39"/>
  <c r="LS14" i="39"/>
  <c r="LT14" i="39"/>
  <c r="LU14" i="39"/>
  <c r="LV14" i="39"/>
  <c r="LW14" i="39"/>
  <c r="FP15" i="39"/>
  <c r="FQ15" i="39"/>
  <c r="FR15" i="39"/>
  <c r="FS15" i="39"/>
  <c r="FT15" i="39"/>
  <c r="FU15" i="39"/>
  <c r="FV15" i="39"/>
  <c r="FW15" i="39"/>
  <c r="FX15" i="39"/>
  <c r="FY15" i="39"/>
  <c r="FZ15" i="39"/>
  <c r="GA15" i="39"/>
  <c r="GB15" i="39"/>
  <c r="GC15" i="39"/>
  <c r="GD15" i="39"/>
  <c r="GE15" i="39"/>
  <c r="GF15" i="39"/>
  <c r="GG15" i="39"/>
  <c r="GH15" i="39"/>
  <c r="GI15" i="39"/>
  <c r="GJ15" i="39"/>
  <c r="GK15" i="39"/>
  <c r="GL15" i="39"/>
  <c r="GM15" i="39"/>
  <c r="GN15" i="39"/>
  <c r="GO15" i="39"/>
  <c r="GP15" i="39"/>
  <c r="GQ15" i="39"/>
  <c r="GR15" i="39"/>
  <c r="GS15" i="39"/>
  <c r="GT15" i="39"/>
  <c r="GU15" i="39"/>
  <c r="GV15" i="39"/>
  <c r="GW15" i="39"/>
  <c r="GX15" i="39"/>
  <c r="GY15" i="39"/>
  <c r="GZ15" i="39"/>
  <c r="HA15" i="39"/>
  <c r="HB15" i="39"/>
  <c r="HC15" i="39"/>
  <c r="HD15" i="39"/>
  <c r="HE15" i="39"/>
  <c r="HF15" i="39"/>
  <c r="HG15" i="39"/>
  <c r="HH15" i="39"/>
  <c r="HI15" i="39"/>
  <c r="HJ15" i="39"/>
  <c r="HK15" i="39"/>
  <c r="HL15" i="39"/>
  <c r="HM15" i="39"/>
  <c r="HN15" i="39"/>
  <c r="HO15" i="39"/>
  <c r="HP15" i="39"/>
  <c r="HQ15" i="39"/>
  <c r="HR15" i="39"/>
  <c r="HS15" i="39"/>
  <c r="HT15" i="39"/>
  <c r="HU15" i="39"/>
  <c r="HV15" i="39"/>
  <c r="HW15" i="39"/>
  <c r="HX15" i="39"/>
  <c r="HY15" i="39"/>
  <c r="HZ15" i="39"/>
  <c r="IA15" i="39"/>
  <c r="IB15" i="39"/>
  <c r="IC15" i="39"/>
  <c r="ID15" i="39"/>
  <c r="IE15" i="39"/>
  <c r="IF15" i="39"/>
  <c r="IG15" i="39"/>
  <c r="IH15" i="39"/>
  <c r="II15" i="39"/>
  <c r="IJ15" i="39"/>
  <c r="IK15" i="39"/>
  <c r="IL15" i="39"/>
  <c r="IM15" i="39"/>
  <c r="IN15" i="39"/>
  <c r="IO15" i="39"/>
  <c r="IP15" i="39"/>
  <c r="IQ15" i="39"/>
  <c r="IR15" i="39"/>
  <c r="IS15" i="39"/>
  <c r="IT15" i="39"/>
  <c r="IU15" i="39"/>
  <c r="IV15" i="39"/>
  <c r="IW15" i="39"/>
  <c r="IX15" i="39"/>
  <c r="IY15" i="39"/>
  <c r="IZ15" i="39"/>
  <c r="JA15" i="39"/>
  <c r="JB15" i="39"/>
  <c r="JC15" i="39"/>
  <c r="JD15" i="39"/>
  <c r="JE15" i="39"/>
  <c r="JF15" i="39"/>
  <c r="JG15" i="39"/>
  <c r="JH15" i="39"/>
  <c r="JI15" i="39"/>
  <c r="JJ15" i="39"/>
  <c r="JK15" i="39"/>
  <c r="JL15" i="39"/>
  <c r="JM15" i="39"/>
  <c r="JN15" i="39"/>
  <c r="JO15" i="39"/>
  <c r="JP15" i="39"/>
  <c r="JQ15" i="39"/>
  <c r="JR15" i="39"/>
  <c r="JS15" i="39"/>
  <c r="JT15" i="39"/>
  <c r="JU15" i="39"/>
  <c r="JV15" i="39"/>
  <c r="JW15" i="39"/>
  <c r="JX15" i="39"/>
  <c r="JY15" i="39"/>
  <c r="JZ15" i="39"/>
  <c r="KA15" i="39"/>
  <c r="KB15" i="39"/>
  <c r="KC15" i="39"/>
  <c r="KD15" i="39"/>
  <c r="KE15" i="39"/>
  <c r="KF15" i="39"/>
  <c r="KG15" i="39"/>
  <c r="KH15" i="39"/>
  <c r="KI15" i="39"/>
  <c r="KJ15" i="39"/>
  <c r="KK15" i="39"/>
  <c r="KL15" i="39"/>
  <c r="KM15" i="39"/>
  <c r="KN15" i="39"/>
  <c r="KO15" i="39"/>
  <c r="KP15" i="39"/>
  <c r="KQ15" i="39"/>
  <c r="KR15" i="39"/>
  <c r="KS15" i="39"/>
  <c r="KT15" i="39"/>
  <c r="KU15" i="39"/>
  <c r="KV15" i="39"/>
  <c r="KW15" i="39"/>
  <c r="KX15" i="39"/>
  <c r="KY15" i="39"/>
  <c r="KZ15" i="39"/>
  <c r="LA15" i="39"/>
  <c r="LB15" i="39"/>
  <c r="LC15" i="39"/>
  <c r="LD15" i="39"/>
  <c r="LE15" i="39"/>
  <c r="LF15" i="39"/>
  <c r="LG15" i="39"/>
  <c r="LH15" i="39"/>
  <c r="LI15" i="39"/>
  <c r="LJ15" i="39"/>
  <c r="LK15" i="39"/>
  <c r="LL15" i="39"/>
  <c r="LM15" i="39"/>
  <c r="LN15" i="39"/>
  <c r="LO15" i="39"/>
  <c r="LP15" i="39"/>
  <c r="LQ15" i="39"/>
  <c r="LR15" i="39"/>
  <c r="LS15" i="39"/>
  <c r="LT15" i="39"/>
  <c r="LU15" i="39"/>
  <c r="LV15" i="39"/>
  <c r="LW15" i="39"/>
  <c r="FP16" i="39"/>
  <c r="FQ16" i="39"/>
  <c r="FR16" i="39"/>
  <c r="FS16" i="39"/>
  <c r="FT16" i="39"/>
  <c r="FU16" i="39"/>
  <c r="FV16" i="39"/>
  <c r="FW16" i="39"/>
  <c r="FX16" i="39"/>
  <c r="FY16" i="39"/>
  <c r="FZ16" i="39"/>
  <c r="GA16" i="39"/>
  <c r="GB16" i="39"/>
  <c r="GC16" i="39"/>
  <c r="GD16" i="39"/>
  <c r="GE16" i="39"/>
  <c r="GF16" i="39"/>
  <c r="GG16" i="39"/>
  <c r="GH16" i="39"/>
  <c r="GI16" i="39"/>
  <c r="GJ16" i="39"/>
  <c r="GK16" i="39"/>
  <c r="GL16" i="39"/>
  <c r="GM16" i="39"/>
  <c r="GN16" i="39"/>
  <c r="GO16" i="39"/>
  <c r="GP16" i="39"/>
  <c r="GQ16" i="39"/>
  <c r="GR16" i="39"/>
  <c r="GS16" i="39"/>
  <c r="GT16" i="39"/>
  <c r="GU16" i="39"/>
  <c r="GV16" i="39"/>
  <c r="GW16" i="39"/>
  <c r="GX16" i="39"/>
  <c r="GY16" i="39"/>
  <c r="GZ16" i="39"/>
  <c r="HA16" i="39"/>
  <c r="HB16" i="39"/>
  <c r="HC16" i="39"/>
  <c r="HD16" i="39"/>
  <c r="HE16" i="39"/>
  <c r="HF16" i="39"/>
  <c r="HG16" i="39"/>
  <c r="HH16" i="39"/>
  <c r="HI16" i="39"/>
  <c r="HJ16" i="39"/>
  <c r="HK16" i="39"/>
  <c r="HL16" i="39"/>
  <c r="HM16" i="39"/>
  <c r="HN16" i="39"/>
  <c r="HO16" i="39"/>
  <c r="HP16" i="39"/>
  <c r="HQ16" i="39"/>
  <c r="HR16" i="39"/>
  <c r="HS16" i="39"/>
  <c r="HT16" i="39"/>
  <c r="HU16" i="39"/>
  <c r="HV16" i="39"/>
  <c r="HW16" i="39"/>
  <c r="HX16" i="39"/>
  <c r="HY16" i="39"/>
  <c r="HZ16" i="39"/>
  <c r="IA16" i="39"/>
  <c r="IB16" i="39"/>
  <c r="IC16" i="39"/>
  <c r="ID16" i="39"/>
  <c r="IE16" i="39"/>
  <c r="IF16" i="39"/>
  <c r="IG16" i="39"/>
  <c r="IH16" i="39"/>
  <c r="II16" i="39"/>
  <c r="IJ16" i="39"/>
  <c r="IK16" i="39"/>
  <c r="IL16" i="39"/>
  <c r="IM16" i="39"/>
  <c r="IN16" i="39"/>
  <c r="IO16" i="39"/>
  <c r="IP16" i="39"/>
  <c r="IQ16" i="39"/>
  <c r="IR16" i="39"/>
  <c r="IS16" i="39"/>
  <c r="IT16" i="39"/>
  <c r="IU16" i="39"/>
  <c r="IV16" i="39"/>
  <c r="IW16" i="39"/>
  <c r="IX16" i="39"/>
  <c r="IY16" i="39"/>
  <c r="IZ16" i="39"/>
  <c r="JA16" i="39"/>
  <c r="JB16" i="39"/>
  <c r="JC16" i="39"/>
  <c r="JD16" i="39"/>
  <c r="JE16" i="39"/>
  <c r="JF16" i="39"/>
  <c r="JG16" i="39"/>
  <c r="JH16" i="39"/>
  <c r="JI16" i="39"/>
  <c r="JJ16" i="39"/>
  <c r="JK16" i="39"/>
  <c r="JL16" i="39"/>
  <c r="JM16" i="39"/>
  <c r="JN16" i="39"/>
  <c r="JO16" i="39"/>
  <c r="JP16" i="39"/>
  <c r="JQ16" i="39"/>
  <c r="JR16" i="39"/>
  <c r="JS16" i="39"/>
  <c r="JT16" i="39"/>
  <c r="JU16" i="39"/>
  <c r="JV16" i="39"/>
  <c r="JW16" i="39"/>
  <c r="JX16" i="39"/>
  <c r="JY16" i="39"/>
  <c r="JZ16" i="39"/>
  <c r="KA16" i="39"/>
  <c r="KB16" i="39"/>
  <c r="KC16" i="39"/>
  <c r="KD16" i="39"/>
  <c r="KE16" i="39"/>
  <c r="KF16" i="39"/>
  <c r="KG16" i="39"/>
  <c r="KH16" i="39"/>
  <c r="KI16" i="39"/>
  <c r="KJ16" i="39"/>
  <c r="KK16" i="39"/>
  <c r="KL16" i="39"/>
  <c r="KM16" i="39"/>
  <c r="KN16" i="39"/>
  <c r="KO16" i="39"/>
  <c r="KP16" i="39"/>
  <c r="KQ16" i="39"/>
  <c r="KR16" i="39"/>
  <c r="KS16" i="39"/>
  <c r="KT16" i="39"/>
  <c r="KU16" i="39"/>
  <c r="KV16" i="39"/>
  <c r="KW16" i="39"/>
  <c r="KX16" i="39"/>
  <c r="KY16" i="39"/>
  <c r="KZ16" i="39"/>
  <c r="LA16" i="39"/>
  <c r="LB16" i="39"/>
  <c r="LC16" i="39"/>
  <c r="LD16" i="39"/>
  <c r="LE16" i="39"/>
  <c r="LF16" i="39"/>
  <c r="LG16" i="39"/>
  <c r="LH16" i="39"/>
  <c r="LI16" i="39"/>
  <c r="LJ16" i="39"/>
  <c r="LK16" i="39"/>
  <c r="LL16" i="39"/>
  <c r="LM16" i="39"/>
  <c r="LN16" i="39"/>
  <c r="LO16" i="39"/>
  <c r="LP16" i="39"/>
  <c r="LQ16" i="39"/>
  <c r="LR16" i="39"/>
  <c r="LS16" i="39"/>
  <c r="LT16" i="39"/>
  <c r="LU16" i="39"/>
  <c r="LV16" i="39"/>
  <c r="LW16" i="39"/>
  <c r="FP17" i="39"/>
  <c r="FQ17" i="39"/>
  <c r="FR17" i="39"/>
  <c r="FS17" i="39"/>
  <c r="FT17" i="39"/>
  <c r="FU17" i="39"/>
  <c r="FV17" i="39"/>
  <c r="FW17" i="39"/>
  <c r="FX17" i="39"/>
  <c r="FY17" i="39"/>
  <c r="FZ17" i="39"/>
  <c r="GA17" i="39"/>
  <c r="GB17" i="39"/>
  <c r="GC17" i="39"/>
  <c r="GD17" i="39"/>
  <c r="GE17" i="39"/>
  <c r="GF17" i="39"/>
  <c r="GG17" i="39"/>
  <c r="GH17" i="39"/>
  <c r="GI17" i="39"/>
  <c r="GJ17" i="39"/>
  <c r="GK17" i="39"/>
  <c r="GL17" i="39"/>
  <c r="GM17" i="39"/>
  <c r="GN17" i="39"/>
  <c r="GO17" i="39"/>
  <c r="GP17" i="39"/>
  <c r="GQ17" i="39"/>
  <c r="GR17" i="39"/>
  <c r="GS17" i="39"/>
  <c r="GT17" i="39"/>
  <c r="GU17" i="39"/>
  <c r="GV17" i="39"/>
  <c r="GW17" i="39"/>
  <c r="GX17" i="39"/>
  <c r="GY17" i="39"/>
  <c r="GZ17" i="39"/>
  <c r="HA17" i="39"/>
  <c r="HB17" i="39"/>
  <c r="HC17" i="39"/>
  <c r="HD17" i="39"/>
  <c r="HE17" i="39"/>
  <c r="HF17" i="39"/>
  <c r="HG17" i="39"/>
  <c r="HH17" i="39"/>
  <c r="HI17" i="39"/>
  <c r="HJ17" i="39"/>
  <c r="HK17" i="39"/>
  <c r="HL17" i="39"/>
  <c r="HM17" i="39"/>
  <c r="HN17" i="39"/>
  <c r="HO17" i="39"/>
  <c r="HP17" i="39"/>
  <c r="HQ17" i="39"/>
  <c r="HR17" i="39"/>
  <c r="HS17" i="39"/>
  <c r="HT17" i="39"/>
  <c r="HU17" i="39"/>
  <c r="HV17" i="39"/>
  <c r="HW17" i="39"/>
  <c r="HX17" i="39"/>
  <c r="HY17" i="39"/>
  <c r="HZ17" i="39"/>
  <c r="IA17" i="39"/>
  <c r="IB17" i="39"/>
  <c r="IC17" i="39"/>
  <c r="ID17" i="39"/>
  <c r="IE17" i="39"/>
  <c r="IF17" i="39"/>
  <c r="IG17" i="39"/>
  <c r="IH17" i="39"/>
  <c r="II17" i="39"/>
  <c r="IJ17" i="39"/>
  <c r="IK17" i="39"/>
  <c r="IL17" i="39"/>
  <c r="IM17" i="39"/>
  <c r="IN17" i="39"/>
  <c r="IO17" i="39"/>
  <c r="IP17" i="39"/>
  <c r="IQ17" i="39"/>
  <c r="IR17" i="39"/>
  <c r="IS17" i="39"/>
  <c r="IT17" i="39"/>
  <c r="IU17" i="39"/>
  <c r="IV17" i="39"/>
  <c r="IW17" i="39"/>
  <c r="IX17" i="39"/>
  <c r="IY17" i="39"/>
  <c r="IZ17" i="39"/>
  <c r="JA17" i="39"/>
  <c r="JB17" i="39"/>
  <c r="JC17" i="39"/>
  <c r="JD17" i="39"/>
  <c r="JE17" i="39"/>
  <c r="JF17" i="39"/>
  <c r="JG17" i="39"/>
  <c r="JH17" i="39"/>
  <c r="JI17" i="39"/>
  <c r="JJ17" i="39"/>
  <c r="JK17" i="39"/>
  <c r="JL17" i="39"/>
  <c r="JM17" i="39"/>
  <c r="JN17" i="39"/>
  <c r="JO17" i="39"/>
  <c r="JP17" i="39"/>
  <c r="JQ17" i="39"/>
  <c r="JR17" i="39"/>
  <c r="JS17" i="39"/>
  <c r="JT17" i="39"/>
  <c r="JU17" i="39"/>
  <c r="JV17" i="39"/>
  <c r="JW17" i="39"/>
  <c r="JX17" i="39"/>
  <c r="JY17" i="39"/>
  <c r="JZ17" i="39"/>
  <c r="KA17" i="39"/>
  <c r="KB17" i="39"/>
  <c r="KC17" i="39"/>
  <c r="KD17" i="39"/>
  <c r="KE17" i="39"/>
  <c r="KF17" i="39"/>
  <c r="KG17" i="39"/>
  <c r="KH17" i="39"/>
  <c r="KI17" i="39"/>
  <c r="KJ17" i="39"/>
  <c r="KK17" i="39"/>
  <c r="KL17" i="39"/>
  <c r="KM17" i="39"/>
  <c r="KN17" i="39"/>
  <c r="KO17" i="39"/>
  <c r="KP17" i="39"/>
  <c r="KQ17" i="39"/>
  <c r="KR17" i="39"/>
  <c r="KS17" i="39"/>
  <c r="KT17" i="39"/>
  <c r="KU17" i="39"/>
  <c r="KV17" i="39"/>
  <c r="KW17" i="39"/>
  <c r="KX17" i="39"/>
  <c r="KY17" i="39"/>
  <c r="KZ17" i="39"/>
  <c r="LA17" i="39"/>
  <c r="LB17" i="39"/>
  <c r="LC17" i="39"/>
  <c r="LD17" i="39"/>
  <c r="LE17" i="39"/>
  <c r="LF17" i="39"/>
  <c r="LG17" i="39"/>
  <c r="LH17" i="39"/>
  <c r="LI17" i="39"/>
  <c r="LJ17" i="39"/>
  <c r="LK17" i="39"/>
  <c r="LL17" i="39"/>
  <c r="LM17" i="39"/>
  <c r="LN17" i="39"/>
  <c r="LO17" i="39"/>
  <c r="LP17" i="39"/>
  <c r="LQ17" i="39"/>
  <c r="LR17" i="39"/>
  <c r="LS17" i="39"/>
  <c r="LT17" i="39"/>
  <c r="LU17" i="39"/>
  <c r="LV17" i="39"/>
  <c r="LW17" i="39"/>
  <c r="FP18" i="39"/>
  <c r="FQ18" i="39"/>
  <c r="FR18" i="39"/>
  <c r="FS18" i="39"/>
  <c r="FT18" i="39"/>
  <c r="FU18" i="39"/>
  <c r="FV18" i="39"/>
  <c r="FW18" i="39"/>
  <c r="FX18" i="39"/>
  <c r="FY18" i="39"/>
  <c r="FZ18" i="39"/>
  <c r="GA18" i="39"/>
  <c r="GB18" i="39"/>
  <c r="GC18" i="39"/>
  <c r="GD18" i="39"/>
  <c r="GE18" i="39"/>
  <c r="GF18" i="39"/>
  <c r="GG18" i="39"/>
  <c r="GH18" i="39"/>
  <c r="GI18" i="39"/>
  <c r="GJ18" i="39"/>
  <c r="GK18" i="39"/>
  <c r="GL18" i="39"/>
  <c r="GM18" i="39"/>
  <c r="GN18" i="39"/>
  <c r="GO18" i="39"/>
  <c r="GP18" i="39"/>
  <c r="GQ18" i="39"/>
  <c r="GR18" i="39"/>
  <c r="GS18" i="39"/>
  <c r="GT18" i="39"/>
  <c r="GU18" i="39"/>
  <c r="GV18" i="39"/>
  <c r="GW18" i="39"/>
  <c r="GX18" i="39"/>
  <c r="GY18" i="39"/>
  <c r="GZ18" i="39"/>
  <c r="HA18" i="39"/>
  <c r="HB18" i="39"/>
  <c r="HC18" i="39"/>
  <c r="HD18" i="39"/>
  <c r="HE18" i="39"/>
  <c r="HF18" i="39"/>
  <c r="HG18" i="39"/>
  <c r="HH18" i="39"/>
  <c r="HI18" i="39"/>
  <c r="HJ18" i="39"/>
  <c r="HK18" i="39"/>
  <c r="HL18" i="39"/>
  <c r="HM18" i="39"/>
  <c r="HN18" i="39"/>
  <c r="HO18" i="39"/>
  <c r="HP18" i="39"/>
  <c r="HQ18" i="39"/>
  <c r="HR18" i="39"/>
  <c r="HS18" i="39"/>
  <c r="HT18" i="39"/>
  <c r="HU18" i="39"/>
  <c r="HV18" i="39"/>
  <c r="HW18" i="39"/>
  <c r="HX18" i="39"/>
  <c r="HY18" i="39"/>
  <c r="HZ18" i="39"/>
  <c r="IA18" i="39"/>
  <c r="IB18" i="39"/>
  <c r="IC18" i="39"/>
  <c r="ID18" i="39"/>
  <c r="IE18" i="39"/>
  <c r="IF18" i="39"/>
  <c r="IG18" i="39"/>
  <c r="IH18" i="39"/>
  <c r="II18" i="39"/>
  <c r="IJ18" i="39"/>
  <c r="IK18" i="39"/>
  <c r="IL18" i="39"/>
  <c r="IM18" i="39"/>
  <c r="IN18" i="39"/>
  <c r="IO18" i="39"/>
  <c r="IP18" i="39"/>
  <c r="IQ18" i="39"/>
  <c r="IR18" i="39"/>
  <c r="IS18" i="39"/>
  <c r="IT18" i="39"/>
  <c r="IU18" i="39"/>
  <c r="IV18" i="39"/>
  <c r="IW18" i="39"/>
  <c r="IX18" i="39"/>
  <c r="IY18" i="39"/>
  <c r="IZ18" i="39"/>
  <c r="JA18" i="39"/>
  <c r="JB18" i="39"/>
  <c r="JC18" i="39"/>
  <c r="JD18" i="39"/>
  <c r="JE18" i="39"/>
  <c r="JF18" i="39"/>
  <c r="JG18" i="39"/>
  <c r="JH18" i="39"/>
  <c r="JI18" i="39"/>
  <c r="JJ18" i="39"/>
  <c r="JK18" i="39"/>
  <c r="JL18" i="39"/>
  <c r="JM18" i="39"/>
  <c r="JN18" i="39"/>
  <c r="JO18" i="39"/>
  <c r="JP18" i="39"/>
  <c r="JQ18" i="39"/>
  <c r="JR18" i="39"/>
  <c r="JS18" i="39"/>
  <c r="JT18" i="39"/>
  <c r="JU18" i="39"/>
  <c r="JV18" i="39"/>
  <c r="JW18" i="39"/>
  <c r="JX18" i="39"/>
  <c r="JY18" i="39"/>
  <c r="JZ18" i="39"/>
  <c r="KA18" i="39"/>
  <c r="KB18" i="39"/>
  <c r="KC18" i="39"/>
  <c r="KD18" i="39"/>
  <c r="KE18" i="39"/>
  <c r="KF18" i="39"/>
  <c r="KG18" i="39"/>
  <c r="KH18" i="39"/>
  <c r="KI18" i="39"/>
  <c r="KJ18" i="39"/>
  <c r="KK18" i="39"/>
  <c r="KL18" i="39"/>
  <c r="KM18" i="39"/>
  <c r="KN18" i="39"/>
  <c r="KO18" i="39"/>
  <c r="KP18" i="39"/>
  <c r="KQ18" i="39"/>
  <c r="KR18" i="39"/>
  <c r="KS18" i="39"/>
  <c r="KT18" i="39"/>
  <c r="KU18" i="39"/>
  <c r="KV18" i="39"/>
  <c r="KW18" i="39"/>
  <c r="KX18" i="39"/>
  <c r="KY18" i="39"/>
  <c r="KZ18" i="39"/>
  <c r="LA18" i="39"/>
  <c r="LB18" i="39"/>
  <c r="LC18" i="39"/>
  <c r="LD18" i="39"/>
  <c r="LE18" i="39"/>
  <c r="LF18" i="39"/>
  <c r="LG18" i="39"/>
  <c r="LH18" i="39"/>
  <c r="LI18" i="39"/>
  <c r="LJ18" i="39"/>
  <c r="LK18" i="39"/>
  <c r="LL18" i="39"/>
  <c r="LM18" i="39"/>
  <c r="LN18" i="39"/>
  <c r="LO18" i="39"/>
  <c r="LP18" i="39"/>
  <c r="LQ18" i="39"/>
  <c r="LR18" i="39"/>
  <c r="LS18" i="39"/>
  <c r="LT18" i="39"/>
  <c r="LU18" i="39"/>
  <c r="LV18" i="39"/>
  <c r="LW18" i="39"/>
  <c r="FP19" i="39"/>
  <c r="FQ19" i="39"/>
  <c r="FR19" i="39"/>
  <c r="FS19" i="39"/>
  <c r="FT19" i="39"/>
  <c r="FU19" i="39"/>
  <c r="FV19" i="39"/>
  <c r="FW19" i="39"/>
  <c r="FX19" i="39"/>
  <c r="FY19" i="39"/>
  <c r="FZ19" i="39"/>
  <c r="GA19" i="39"/>
  <c r="GB19" i="39"/>
  <c r="GC19" i="39"/>
  <c r="GD19" i="39"/>
  <c r="GE19" i="39"/>
  <c r="GF19" i="39"/>
  <c r="GG19" i="39"/>
  <c r="GH19" i="39"/>
  <c r="GI19" i="39"/>
  <c r="GJ19" i="39"/>
  <c r="GK19" i="39"/>
  <c r="GL19" i="39"/>
  <c r="GM19" i="39"/>
  <c r="GN19" i="39"/>
  <c r="GO19" i="39"/>
  <c r="GP19" i="39"/>
  <c r="GQ19" i="39"/>
  <c r="GR19" i="39"/>
  <c r="GS19" i="39"/>
  <c r="GT19" i="39"/>
  <c r="GU19" i="39"/>
  <c r="GV19" i="39"/>
  <c r="GW19" i="39"/>
  <c r="GX19" i="39"/>
  <c r="GY19" i="39"/>
  <c r="GZ19" i="39"/>
  <c r="HA19" i="39"/>
  <c r="HB19" i="39"/>
  <c r="HC19" i="39"/>
  <c r="HD19" i="39"/>
  <c r="HE19" i="39"/>
  <c r="HF19" i="39"/>
  <c r="HG19" i="39"/>
  <c r="HH19" i="39"/>
  <c r="HI19" i="39"/>
  <c r="HJ19" i="39"/>
  <c r="HK19" i="39"/>
  <c r="HL19" i="39"/>
  <c r="HM19" i="39"/>
  <c r="HN19" i="39"/>
  <c r="HO19" i="39"/>
  <c r="HP19" i="39"/>
  <c r="HQ19" i="39"/>
  <c r="HR19" i="39"/>
  <c r="HS19" i="39"/>
  <c r="HT19" i="39"/>
  <c r="HU19" i="39"/>
  <c r="HV19" i="39"/>
  <c r="HW19" i="39"/>
  <c r="HX19" i="39"/>
  <c r="HY19" i="39"/>
  <c r="HZ19" i="39"/>
  <c r="IA19" i="39"/>
  <c r="IB19" i="39"/>
  <c r="IC19" i="39"/>
  <c r="ID19" i="39"/>
  <c r="IE19" i="39"/>
  <c r="IF19" i="39"/>
  <c r="IG19" i="39"/>
  <c r="IH19" i="39"/>
  <c r="II19" i="39"/>
  <c r="IJ19" i="39"/>
  <c r="IK19" i="39"/>
  <c r="IL19" i="39"/>
  <c r="IM19" i="39"/>
  <c r="IN19" i="39"/>
  <c r="IO19" i="39"/>
  <c r="IP19" i="39"/>
  <c r="IQ19" i="39"/>
  <c r="IR19" i="39"/>
  <c r="IS19" i="39"/>
  <c r="IT19" i="39"/>
  <c r="IU19" i="39"/>
  <c r="IV19" i="39"/>
  <c r="IW19" i="39"/>
  <c r="IX19" i="39"/>
  <c r="IY19" i="39"/>
  <c r="IZ19" i="39"/>
  <c r="JA19" i="39"/>
  <c r="JB19" i="39"/>
  <c r="JC19" i="39"/>
  <c r="JD19" i="39"/>
  <c r="JE19" i="39"/>
  <c r="JF19" i="39"/>
  <c r="JG19" i="39"/>
  <c r="JH19" i="39"/>
  <c r="JI19" i="39"/>
  <c r="JJ19" i="39"/>
  <c r="JK19" i="39"/>
  <c r="JL19" i="39"/>
  <c r="JM19" i="39"/>
  <c r="JN19" i="39"/>
  <c r="JO19" i="39"/>
  <c r="JP19" i="39"/>
  <c r="JQ19" i="39"/>
  <c r="JR19" i="39"/>
  <c r="JS19" i="39"/>
  <c r="JT19" i="39"/>
  <c r="JU19" i="39"/>
  <c r="JV19" i="39"/>
  <c r="JW19" i="39"/>
  <c r="JX19" i="39"/>
  <c r="JY19" i="39"/>
  <c r="JZ19" i="39"/>
  <c r="KA19" i="39"/>
  <c r="KB19" i="39"/>
  <c r="KC19" i="39"/>
  <c r="KD19" i="39"/>
  <c r="KE19" i="39"/>
  <c r="KF19" i="39"/>
  <c r="KG19" i="39"/>
  <c r="KH19" i="39"/>
  <c r="KI19" i="39"/>
  <c r="KJ19" i="39"/>
  <c r="KK19" i="39"/>
  <c r="KL19" i="39"/>
  <c r="KM19" i="39"/>
  <c r="KN19" i="39"/>
  <c r="KO19" i="39"/>
  <c r="KP19" i="39"/>
  <c r="KQ19" i="39"/>
  <c r="KR19" i="39"/>
  <c r="KS19" i="39"/>
  <c r="KT19" i="39"/>
  <c r="KU19" i="39"/>
  <c r="KV19" i="39"/>
  <c r="KW19" i="39"/>
  <c r="KX19" i="39"/>
  <c r="KY19" i="39"/>
  <c r="KZ19" i="39"/>
  <c r="LA19" i="39"/>
  <c r="LB19" i="39"/>
  <c r="LC19" i="39"/>
  <c r="LD19" i="39"/>
  <c r="LE19" i="39"/>
  <c r="LF19" i="39"/>
  <c r="LG19" i="39"/>
  <c r="LH19" i="39"/>
  <c r="LI19" i="39"/>
  <c r="LJ19" i="39"/>
  <c r="LK19" i="39"/>
  <c r="LL19" i="39"/>
  <c r="LM19" i="39"/>
  <c r="LN19" i="39"/>
  <c r="LO19" i="39"/>
  <c r="LP19" i="39"/>
  <c r="LQ19" i="39"/>
  <c r="LR19" i="39"/>
  <c r="LS19" i="39"/>
  <c r="LT19" i="39"/>
  <c r="LU19" i="39"/>
  <c r="LV19" i="39"/>
  <c r="LW19" i="39"/>
  <c r="FP20" i="39"/>
  <c r="FQ20" i="39"/>
  <c r="FR20" i="39"/>
  <c r="FS20" i="39"/>
  <c r="FT20" i="39"/>
  <c r="FU20" i="39"/>
  <c r="FV20" i="39"/>
  <c r="FW20" i="39"/>
  <c r="FX20" i="39"/>
  <c r="FY20" i="39"/>
  <c r="FZ20" i="39"/>
  <c r="GA20" i="39"/>
  <c r="GB20" i="39"/>
  <c r="GC20" i="39"/>
  <c r="GD20" i="39"/>
  <c r="GE20" i="39"/>
  <c r="GF20" i="39"/>
  <c r="GG20" i="39"/>
  <c r="GH20" i="39"/>
  <c r="GI20" i="39"/>
  <c r="GJ20" i="39"/>
  <c r="GK20" i="39"/>
  <c r="GL20" i="39"/>
  <c r="GM20" i="39"/>
  <c r="GN20" i="39"/>
  <c r="GO20" i="39"/>
  <c r="GP20" i="39"/>
  <c r="GQ20" i="39"/>
  <c r="GR20" i="39"/>
  <c r="GS20" i="39"/>
  <c r="GT20" i="39"/>
  <c r="GU20" i="39"/>
  <c r="GV20" i="39"/>
  <c r="GW20" i="39"/>
  <c r="GX20" i="39"/>
  <c r="GY20" i="39"/>
  <c r="GZ20" i="39"/>
  <c r="HA20" i="39"/>
  <c r="HB20" i="39"/>
  <c r="HC20" i="39"/>
  <c r="HD20" i="39"/>
  <c r="HE20" i="39"/>
  <c r="HF20" i="39"/>
  <c r="HG20" i="39"/>
  <c r="HH20" i="39"/>
  <c r="HI20" i="39"/>
  <c r="HJ20" i="39"/>
  <c r="HK20" i="39"/>
  <c r="HL20" i="39"/>
  <c r="HM20" i="39"/>
  <c r="HN20" i="39"/>
  <c r="HO20" i="39"/>
  <c r="HP20" i="39"/>
  <c r="HQ20" i="39"/>
  <c r="HR20" i="39"/>
  <c r="HS20" i="39"/>
  <c r="HT20" i="39"/>
  <c r="HU20" i="39"/>
  <c r="HV20" i="39"/>
  <c r="HW20" i="39"/>
  <c r="HX20" i="39"/>
  <c r="HY20" i="39"/>
  <c r="HZ20" i="39"/>
  <c r="IA20" i="39"/>
  <c r="IB20" i="39"/>
  <c r="IC20" i="39"/>
  <c r="ID20" i="39"/>
  <c r="IE20" i="39"/>
  <c r="IF20" i="39"/>
  <c r="IG20" i="39"/>
  <c r="IH20" i="39"/>
  <c r="II20" i="39"/>
  <c r="IJ20" i="39"/>
  <c r="IK20" i="39"/>
  <c r="IL20" i="39"/>
  <c r="IM20" i="39"/>
  <c r="IN20" i="39"/>
  <c r="IO20" i="39"/>
  <c r="IP20" i="39"/>
  <c r="IQ20" i="39"/>
  <c r="IR20" i="39"/>
  <c r="IS20" i="39"/>
  <c r="IT20" i="39"/>
  <c r="IU20" i="39"/>
  <c r="IV20" i="39"/>
  <c r="IW20" i="39"/>
  <c r="IX20" i="39"/>
  <c r="IY20" i="39"/>
  <c r="IZ20" i="39"/>
  <c r="JA20" i="39"/>
  <c r="JB20" i="39"/>
  <c r="JC20" i="39"/>
  <c r="JD20" i="39"/>
  <c r="JE20" i="39"/>
  <c r="JF20" i="39"/>
  <c r="JG20" i="39"/>
  <c r="JH20" i="39"/>
  <c r="JI20" i="39"/>
  <c r="JJ20" i="39"/>
  <c r="JK20" i="39"/>
  <c r="JL20" i="39"/>
  <c r="JM20" i="39"/>
  <c r="JN20" i="39"/>
  <c r="JO20" i="39"/>
  <c r="JP20" i="39"/>
  <c r="JQ20" i="39"/>
  <c r="JR20" i="39"/>
  <c r="JS20" i="39"/>
  <c r="JT20" i="39"/>
  <c r="JU20" i="39"/>
  <c r="JV20" i="39"/>
  <c r="JW20" i="39"/>
  <c r="JX20" i="39"/>
  <c r="JY20" i="39"/>
  <c r="JZ20" i="39"/>
  <c r="KA20" i="39"/>
  <c r="KB20" i="39"/>
  <c r="KC20" i="39"/>
  <c r="KD20" i="39"/>
  <c r="KE20" i="39"/>
  <c r="KF20" i="39"/>
  <c r="KG20" i="39"/>
  <c r="KH20" i="39"/>
  <c r="KI20" i="39"/>
  <c r="KJ20" i="39"/>
  <c r="KK20" i="39"/>
  <c r="KL20" i="39"/>
  <c r="KM20" i="39"/>
  <c r="KN20" i="39"/>
  <c r="KO20" i="39"/>
  <c r="KP20" i="39"/>
  <c r="KQ20" i="39"/>
  <c r="KR20" i="39"/>
  <c r="KS20" i="39"/>
  <c r="KT20" i="39"/>
  <c r="KU20" i="39"/>
  <c r="KV20" i="39"/>
  <c r="KW20" i="39"/>
  <c r="KX20" i="39"/>
  <c r="KY20" i="39"/>
  <c r="KZ20" i="39"/>
  <c r="LA20" i="39"/>
  <c r="LB20" i="39"/>
  <c r="LC20" i="39"/>
  <c r="LD20" i="39"/>
  <c r="LE20" i="39"/>
  <c r="LF20" i="39"/>
  <c r="LG20" i="39"/>
  <c r="LH20" i="39"/>
  <c r="LI20" i="39"/>
  <c r="LJ20" i="39"/>
  <c r="LK20" i="39"/>
  <c r="LL20" i="39"/>
  <c r="LM20" i="39"/>
  <c r="LN20" i="39"/>
  <c r="LO20" i="39"/>
  <c r="LP20" i="39"/>
  <c r="LQ20" i="39"/>
  <c r="LR20" i="39"/>
  <c r="LS20" i="39"/>
  <c r="LT20" i="39"/>
  <c r="LU20" i="39"/>
  <c r="LV20" i="39"/>
  <c r="LW20" i="39"/>
  <c r="FP21" i="39"/>
  <c r="FQ21" i="39"/>
  <c r="FR21" i="39"/>
  <c r="FS21" i="39"/>
  <c r="FT21" i="39"/>
  <c r="FU21" i="39"/>
  <c r="FV21" i="39"/>
  <c r="FW21" i="39"/>
  <c r="FX21" i="39"/>
  <c r="FY21" i="39"/>
  <c r="FZ21" i="39"/>
  <c r="GA21" i="39"/>
  <c r="GB21" i="39"/>
  <c r="GC21" i="39"/>
  <c r="GD21" i="39"/>
  <c r="GE21" i="39"/>
  <c r="GF21" i="39"/>
  <c r="GG21" i="39"/>
  <c r="GH21" i="39"/>
  <c r="GI21" i="39"/>
  <c r="GJ21" i="39"/>
  <c r="GK21" i="39"/>
  <c r="GL21" i="39"/>
  <c r="GM21" i="39"/>
  <c r="GN21" i="39"/>
  <c r="GO21" i="39"/>
  <c r="GP21" i="39"/>
  <c r="GQ21" i="39"/>
  <c r="GR21" i="39"/>
  <c r="GS21" i="39"/>
  <c r="GT21" i="39"/>
  <c r="GU21" i="39"/>
  <c r="GV21" i="39"/>
  <c r="GW21" i="39"/>
  <c r="GX21" i="39"/>
  <c r="GY21" i="39"/>
  <c r="GZ21" i="39"/>
  <c r="HA21" i="39"/>
  <c r="HB21" i="39"/>
  <c r="HC21" i="39"/>
  <c r="HD21" i="39"/>
  <c r="HE21" i="39"/>
  <c r="HF21" i="39"/>
  <c r="HG21" i="39"/>
  <c r="HH21" i="39"/>
  <c r="HI21" i="39"/>
  <c r="HJ21" i="39"/>
  <c r="HK21" i="39"/>
  <c r="HL21" i="39"/>
  <c r="HM21" i="39"/>
  <c r="HN21" i="39"/>
  <c r="HO21" i="39"/>
  <c r="HP21" i="39"/>
  <c r="HQ21" i="39"/>
  <c r="HR21" i="39"/>
  <c r="HS21" i="39"/>
  <c r="HT21" i="39"/>
  <c r="HU21" i="39"/>
  <c r="HV21" i="39"/>
  <c r="HW21" i="39"/>
  <c r="HX21" i="39"/>
  <c r="HY21" i="39"/>
  <c r="HZ21" i="39"/>
  <c r="IA21" i="39"/>
  <c r="IB21" i="39"/>
  <c r="IC21" i="39"/>
  <c r="ID21" i="39"/>
  <c r="IE21" i="39"/>
  <c r="IF21" i="39"/>
  <c r="IG21" i="39"/>
  <c r="IH21" i="39"/>
  <c r="II21" i="39"/>
  <c r="IJ21" i="39"/>
  <c r="IK21" i="39"/>
  <c r="IL21" i="39"/>
  <c r="IM21" i="39"/>
  <c r="IN21" i="39"/>
  <c r="IO21" i="39"/>
  <c r="IP21" i="39"/>
  <c r="IQ21" i="39"/>
  <c r="IR21" i="39"/>
  <c r="IS21" i="39"/>
  <c r="IT21" i="39"/>
  <c r="IU21" i="39"/>
  <c r="IV21" i="39"/>
  <c r="IW21" i="39"/>
  <c r="IX21" i="39"/>
  <c r="IY21" i="39"/>
  <c r="IZ21" i="39"/>
  <c r="JA21" i="39"/>
  <c r="JB21" i="39"/>
  <c r="JC21" i="39"/>
  <c r="JD21" i="39"/>
  <c r="JE21" i="39"/>
  <c r="JF21" i="39"/>
  <c r="JG21" i="39"/>
  <c r="JH21" i="39"/>
  <c r="JI21" i="39"/>
  <c r="JJ21" i="39"/>
  <c r="JK21" i="39"/>
  <c r="JL21" i="39"/>
  <c r="JM21" i="39"/>
  <c r="JN21" i="39"/>
  <c r="JO21" i="39"/>
  <c r="JP21" i="39"/>
  <c r="JQ21" i="39"/>
  <c r="JR21" i="39"/>
  <c r="JS21" i="39"/>
  <c r="JT21" i="39"/>
  <c r="JU21" i="39"/>
  <c r="JV21" i="39"/>
  <c r="JW21" i="39"/>
  <c r="JX21" i="39"/>
  <c r="JY21" i="39"/>
  <c r="JZ21" i="39"/>
  <c r="KA21" i="39"/>
  <c r="KB21" i="39"/>
  <c r="KC21" i="39"/>
  <c r="KD21" i="39"/>
  <c r="KE21" i="39"/>
  <c r="KF21" i="39"/>
  <c r="KG21" i="39"/>
  <c r="KH21" i="39"/>
  <c r="KI21" i="39"/>
  <c r="KJ21" i="39"/>
  <c r="KK21" i="39"/>
  <c r="KL21" i="39"/>
  <c r="KM21" i="39"/>
  <c r="KN21" i="39"/>
  <c r="KO21" i="39"/>
  <c r="KP21" i="39"/>
  <c r="KQ21" i="39"/>
  <c r="KR21" i="39"/>
  <c r="KS21" i="39"/>
  <c r="KT21" i="39"/>
  <c r="KU21" i="39"/>
  <c r="KV21" i="39"/>
  <c r="KW21" i="39"/>
  <c r="KX21" i="39"/>
  <c r="KY21" i="39"/>
  <c r="KZ21" i="39"/>
  <c r="LA21" i="39"/>
  <c r="LB21" i="39"/>
  <c r="LC21" i="39"/>
  <c r="LD21" i="39"/>
  <c r="LE21" i="39"/>
  <c r="LF21" i="39"/>
  <c r="LG21" i="39"/>
  <c r="LH21" i="39"/>
  <c r="LI21" i="39"/>
  <c r="LJ21" i="39"/>
  <c r="LK21" i="39"/>
  <c r="LL21" i="39"/>
  <c r="LM21" i="39"/>
  <c r="LN21" i="39"/>
  <c r="LO21" i="39"/>
  <c r="LP21" i="39"/>
  <c r="LQ21" i="39"/>
  <c r="LR21" i="39"/>
  <c r="LS21" i="39"/>
  <c r="LT21" i="39"/>
  <c r="LU21" i="39"/>
  <c r="LV21" i="39"/>
  <c r="LW21" i="39"/>
  <c r="FP22" i="39"/>
  <c r="FQ22" i="39"/>
  <c r="FR22" i="39"/>
  <c r="FS22" i="39"/>
  <c r="FT22" i="39"/>
  <c r="FU22" i="39"/>
  <c r="FV22" i="39"/>
  <c r="FW22" i="39"/>
  <c r="FX22" i="39"/>
  <c r="FY22" i="39"/>
  <c r="FZ22" i="39"/>
  <c r="GA22" i="39"/>
  <c r="GB22" i="39"/>
  <c r="GC22" i="39"/>
  <c r="GD22" i="39"/>
  <c r="GE22" i="39"/>
  <c r="GF22" i="39"/>
  <c r="GG22" i="39"/>
  <c r="GH22" i="39"/>
  <c r="GI22" i="39"/>
  <c r="GJ22" i="39"/>
  <c r="GK22" i="39"/>
  <c r="GL22" i="39"/>
  <c r="GM22" i="39"/>
  <c r="GN22" i="39"/>
  <c r="GO22" i="39"/>
  <c r="GP22" i="39"/>
  <c r="GQ22" i="39"/>
  <c r="GR22" i="39"/>
  <c r="GS22" i="39"/>
  <c r="GT22" i="39"/>
  <c r="GU22" i="39"/>
  <c r="GV22" i="39"/>
  <c r="GW22" i="39"/>
  <c r="GX22" i="39"/>
  <c r="GY22" i="39"/>
  <c r="GZ22" i="39"/>
  <c r="HA22" i="39"/>
  <c r="HB22" i="39"/>
  <c r="HC22" i="39"/>
  <c r="HD22" i="39"/>
  <c r="HE22" i="39"/>
  <c r="HF22" i="39"/>
  <c r="HG22" i="39"/>
  <c r="HH22" i="39"/>
  <c r="HI22" i="39"/>
  <c r="HJ22" i="39"/>
  <c r="HK22" i="39"/>
  <c r="HL22" i="39"/>
  <c r="HM22" i="39"/>
  <c r="HN22" i="39"/>
  <c r="HO22" i="39"/>
  <c r="HP22" i="39"/>
  <c r="HQ22" i="39"/>
  <c r="HR22" i="39"/>
  <c r="HS22" i="39"/>
  <c r="HT22" i="39"/>
  <c r="HU22" i="39"/>
  <c r="HV22" i="39"/>
  <c r="HW22" i="39"/>
  <c r="HX22" i="39"/>
  <c r="HY22" i="39"/>
  <c r="HZ22" i="39"/>
  <c r="IA22" i="39"/>
  <c r="IB22" i="39"/>
  <c r="IC22" i="39"/>
  <c r="ID22" i="39"/>
  <c r="IE22" i="39"/>
  <c r="IF22" i="39"/>
  <c r="IG22" i="39"/>
  <c r="IH22" i="39"/>
  <c r="II22" i="39"/>
  <c r="IJ22" i="39"/>
  <c r="IK22" i="39"/>
  <c r="IL22" i="39"/>
  <c r="IM22" i="39"/>
  <c r="IN22" i="39"/>
  <c r="IO22" i="39"/>
  <c r="IP22" i="39"/>
  <c r="IQ22" i="39"/>
  <c r="IR22" i="39"/>
  <c r="IS22" i="39"/>
  <c r="IT22" i="39"/>
  <c r="IU22" i="39"/>
  <c r="IV22" i="39"/>
  <c r="IW22" i="39"/>
  <c r="IX22" i="39"/>
  <c r="IY22" i="39"/>
  <c r="IZ22" i="39"/>
  <c r="JA22" i="39"/>
  <c r="JB22" i="39"/>
  <c r="JC22" i="39"/>
  <c r="JD22" i="39"/>
  <c r="JE22" i="39"/>
  <c r="JF22" i="39"/>
  <c r="JG22" i="39"/>
  <c r="JH22" i="39"/>
  <c r="JI22" i="39"/>
  <c r="JJ22" i="39"/>
  <c r="JK22" i="39"/>
  <c r="JL22" i="39"/>
  <c r="JM22" i="39"/>
  <c r="JN22" i="39"/>
  <c r="JO22" i="39"/>
  <c r="JP22" i="39"/>
  <c r="JQ22" i="39"/>
  <c r="JR22" i="39"/>
  <c r="JS22" i="39"/>
  <c r="JT22" i="39"/>
  <c r="JU22" i="39"/>
  <c r="JV22" i="39"/>
  <c r="JW22" i="39"/>
  <c r="JX22" i="39"/>
  <c r="JY22" i="39"/>
  <c r="JZ22" i="39"/>
  <c r="KA22" i="39"/>
  <c r="KB22" i="39"/>
  <c r="KC22" i="39"/>
  <c r="KD22" i="39"/>
  <c r="KE22" i="39"/>
  <c r="KF22" i="39"/>
  <c r="KG22" i="39"/>
  <c r="KH22" i="39"/>
  <c r="KI22" i="39"/>
  <c r="KJ22" i="39"/>
  <c r="KK22" i="39"/>
  <c r="KL22" i="39"/>
  <c r="KM22" i="39"/>
  <c r="KN22" i="39"/>
  <c r="KO22" i="39"/>
  <c r="KP22" i="39"/>
  <c r="KQ22" i="39"/>
  <c r="KR22" i="39"/>
  <c r="KS22" i="39"/>
  <c r="KT22" i="39"/>
  <c r="KU22" i="39"/>
  <c r="KV22" i="39"/>
  <c r="KW22" i="39"/>
  <c r="KX22" i="39"/>
  <c r="KY22" i="39"/>
  <c r="KZ22" i="39"/>
  <c r="LA22" i="39"/>
  <c r="LB22" i="39"/>
  <c r="LC22" i="39"/>
  <c r="LD22" i="39"/>
  <c r="LE22" i="39"/>
  <c r="LF22" i="39"/>
  <c r="LG22" i="39"/>
  <c r="LH22" i="39"/>
  <c r="LI22" i="39"/>
  <c r="LJ22" i="39"/>
  <c r="LK22" i="39"/>
  <c r="LL22" i="39"/>
  <c r="LM22" i="39"/>
  <c r="LN22" i="39"/>
  <c r="LO22" i="39"/>
  <c r="LP22" i="39"/>
  <c r="LQ22" i="39"/>
  <c r="LR22" i="39"/>
  <c r="LS22" i="39"/>
  <c r="LT22" i="39"/>
  <c r="LU22" i="39"/>
  <c r="LV22" i="39"/>
  <c r="LW22" i="39"/>
  <c r="FP23" i="39"/>
  <c r="FQ23" i="39"/>
  <c r="FR23" i="39"/>
  <c r="FS23" i="39"/>
  <c r="FT23" i="39"/>
  <c r="FU23" i="39"/>
  <c r="FV23" i="39"/>
  <c r="FW23" i="39"/>
  <c r="FX23" i="39"/>
  <c r="FY23" i="39"/>
  <c r="FZ23" i="39"/>
  <c r="GA23" i="39"/>
  <c r="GB23" i="39"/>
  <c r="GC23" i="39"/>
  <c r="GD23" i="39"/>
  <c r="GE23" i="39"/>
  <c r="GF23" i="39"/>
  <c r="GG23" i="39"/>
  <c r="GH23" i="39"/>
  <c r="GI23" i="39"/>
  <c r="GJ23" i="39"/>
  <c r="GK23" i="39"/>
  <c r="GL23" i="39"/>
  <c r="GM23" i="39"/>
  <c r="GN23" i="39"/>
  <c r="GO23" i="39"/>
  <c r="GP23" i="39"/>
  <c r="GQ23" i="39"/>
  <c r="GR23" i="39"/>
  <c r="GS23" i="39"/>
  <c r="GT23" i="39"/>
  <c r="GU23" i="39"/>
  <c r="GV23" i="39"/>
  <c r="GW23" i="39"/>
  <c r="GX23" i="39"/>
  <c r="GY23" i="39"/>
  <c r="GZ23" i="39"/>
  <c r="HA23" i="39"/>
  <c r="HB23" i="39"/>
  <c r="HC23" i="39"/>
  <c r="HD23" i="39"/>
  <c r="HE23" i="39"/>
  <c r="HF23" i="39"/>
  <c r="HG23" i="39"/>
  <c r="HH23" i="39"/>
  <c r="HI23" i="39"/>
  <c r="HJ23" i="39"/>
  <c r="HK23" i="39"/>
  <c r="HL23" i="39"/>
  <c r="HM23" i="39"/>
  <c r="HN23" i="39"/>
  <c r="HO23" i="39"/>
  <c r="HP23" i="39"/>
  <c r="HQ23" i="39"/>
  <c r="HR23" i="39"/>
  <c r="HS23" i="39"/>
  <c r="HT23" i="39"/>
  <c r="HU23" i="39"/>
  <c r="HV23" i="39"/>
  <c r="HW23" i="39"/>
  <c r="HX23" i="39"/>
  <c r="HY23" i="39"/>
  <c r="HZ23" i="39"/>
  <c r="IA23" i="39"/>
  <c r="IB23" i="39"/>
  <c r="IC23" i="39"/>
  <c r="ID23" i="39"/>
  <c r="IE23" i="39"/>
  <c r="IF23" i="39"/>
  <c r="IG23" i="39"/>
  <c r="IH23" i="39"/>
  <c r="II23" i="39"/>
  <c r="IJ23" i="39"/>
  <c r="IK23" i="39"/>
  <c r="IL23" i="39"/>
  <c r="IM23" i="39"/>
  <c r="IN23" i="39"/>
  <c r="IO23" i="39"/>
  <c r="IP23" i="39"/>
  <c r="IQ23" i="39"/>
  <c r="IR23" i="39"/>
  <c r="IS23" i="39"/>
  <c r="IT23" i="39"/>
  <c r="IU23" i="39"/>
  <c r="IV23" i="39"/>
  <c r="IW23" i="39"/>
  <c r="IX23" i="39"/>
  <c r="IY23" i="39"/>
  <c r="IZ23" i="39"/>
  <c r="JA23" i="39"/>
  <c r="JB23" i="39"/>
  <c r="JC23" i="39"/>
  <c r="JD23" i="39"/>
  <c r="JE23" i="39"/>
  <c r="JF23" i="39"/>
  <c r="JG23" i="39"/>
  <c r="JH23" i="39"/>
  <c r="JI23" i="39"/>
  <c r="JJ23" i="39"/>
  <c r="JK23" i="39"/>
  <c r="JL23" i="39"/>
  <c r="JM23" i="39"/>
  <c r="JN23" i="39"/>
  <c r="JO23" i="39"/>
  <c r="JP23" i="39"/>
  <c r="JQ23" i="39"/>
  <c r="JR23" i="39"/>
  <c r="JS23" i="39"/>
  <c r="JT23" i="39"/>
  <c r="JU23" i="39"/>
  <c r="JV23" i="39"/>
  <c r="JW23" i="39"/>
  <c r="JX23" i="39"/>
  <c r="JY23" i="39"/>
  <c r="JZ23" i="39"/>
  <c r="KA23" i="39"/>
  <c r="KB23" i="39"/>
  <c r="KC23" i="39"/>
  <c r="KD23" i="39"/>
  <c r="KE23" i="39"/>
  <c r="KF23" i="39"/>
  <c r="KG23" i="39"/>
  <c r="KH23" i="39"/>
  <c r="KI23" i="39"/>
  <c r="KJ23" i="39"/>
  <c r="KK23" i="39"/>
  <c r="KL23" i="39"/>
  <c r="KM23" i="39"/>
  <c r="KN23" i="39"/>
  <c r="KO23" i="39"/>
  <c r="KP23" i="39"/>
  <c r="KQ23" i="39"/>
  <c r="KR23" i="39"/>
  <c r="KS23" i="39"/>
  <c r="KT23" i="39"/>
  <c r="KU23" i="39"/>
  <c r="KV23" i="39"/>
  <c r="KW23" i="39"/>
  <c r="KX23" i="39"/>
  <c r="KY23" i="39"/>
  <c r="KZ23" i="39"/>
  <c r="LA23" i="39"/>
  <c r="LB23" i="39"/>
  <c r="LC23" i="39"/>
  <c r="LD23" i="39"/>
  <c r="LE23" i="39"/>
  <c r="LF23" i="39"/>
  <c r="LG23" i="39"/>
  <c r="LH23" i="39"/>
  <c r="LI23" i="39"/>
  <c r="LJ23" i="39"/>
  <c r="LK23" i="39"/>
  <c r="LL23" i="39"/>
  <c r="LM23" i="39"/>
  <c r="LN23" i="39"/>
  <c r="LO23" i="39"/>
  <c r="LP23" i="39"/>
  <c r="LQ23" i="39"/>
  <c r="LR23" i="39"/>
  <c r="LS23" i="39"/>
  <c r="LT23" i="39"/>
  <c r="LU23" i="39"/>
  <c r="LV23" i="39"/>
  <c r="LW23" i="39"/>
  <c r="FP24" i="39"/>
  <c r="FQ24" i="39"/>
  <c r="FR24" i="39"/>
  <c r="FS24" i="39"/>
  <c r="FT24" i="39"/>
  <c r="FU24" i="39"/>
  <c r="FV24" i="39"/>
  <c r="FW24" i="39"/>
  <c r="FX24" i="39"/>
  <c r="FY24" i="39"/>
  <c r="FZ24" i="39"/>
  <c r="GA24" i="39"/>
  <c r="GB24" i="39"/>
  <c r="GC24" i="39"/>
  <c r="GD24" i="39"/>
  <c r="GE24" i="39"/>
  <c r="GF24" i="39"/>
  <c r="GG24" i="39"/>
  <c r="GH24" i="39"/>
  <c r="GI24" i="39"/>
  <c r="GJ24" i="39"/>
  <c r="GK24" i="39"/>
  <c r="GL24" i="39"/>
  <c r="GM24" i="39"/>
  <c r="GN24" i="39"/>
  <c r="GO24" i="39"/>
  <c r="GP24" i="39"/>
  <c r="GQ24" i="39"/>
  <c r="GR24" i="39"/>
  <c r="GS24" i="39"/>
  <c r="GT24" i="39"/>
  <c r="GU24" i="39"/>
  <c r="GV24" i="39"/>
  <c r="GW24" i="39"/>
  <c r="GX24" i="39"/>
  <c r="GY24" i="39"/>
  <c r="GZ24" i="39"/>
  <c r="HA24" i="39"/>
  <c r="HB24" i="39"/>
  <c r="HC24" i="39"/>
  <c r="HD24" i="39"/>
  <c r="HE24" i="39"/>
  <c r="HF24" i="39"/>
  <c r="HG24" i="39"/>
  <c r="HH24" i="39"/>
  <c r="HI24" i="39"/>
  <c r="HJ24" i="39"/>
  <c r="HK24" i="39"/>
  <c r="HL24" i="39"/>
  <c r="HM24" i="39"/>
  <c r="HN24" i="39"/>
  <c r="HO24" i="39"/>
  <c r="HP24" i="39"/>
  <c r="HQ24" i="39"/>
  <c r="HR24" i="39"/>
  <c r="HS24" i="39"/>
  <c r="HT24" i="39"/>
  <c r="HU24" i="39"/>
  <c r="HV24" i="39"/>
  <c r="HW24" i="39"/>
  <c r="HX24" i="39"/>
  <c r="HY24" i="39"/>
  <c r="HZ24" i="39"/>
  <c r="IA24" i="39"/>
  <c r="IB24" i="39"/>
  <c r="IC24" i="39"/>
  <c r="ID24" i="39"/>
  <c r="IE24" i="39"/>
  <c r="IF24" i="39"/>
  <c r="IG24" i="39"/>
  <c r="IH24" i="39"/>
  <c r="II24" i="39"/>
  <c r="IJ24" i="39"/>
  <c r="IK24" i="39"/>
  <c r="IL24" i="39"/>
  <c r="IM24" i="39"/>
  <c r="IN24" i="39"/>
  <c r="IO24" i="39"/>
  <c r="IP24" i="39"/>
  <c r="IQ24" i="39"/>
  <c r="IR24" i="39"/>
  <c r="IS24" i="39"/>
  <c r="IT24" i="39"/>
  <c r="IU24" i="39"/>
  <c r="IV24" i="39"/>
  <c r="IW24" i="39"/>
  <c r="IX24" i="39"/>
  <c r="IY24" i="39"/>
  <c r="IZ24" i="39"/>
  <c r="JA24" i="39"/>
  <c r="JB24" i="39"/>
  <c r="JC24" i="39"/>
  <c r="JD24" i="39"/>
  <c r="JE24" i="39"/>
  <c r="JF24" i="39"/>
  <c r="JG24" i="39"/>
  <c r="JH24" i="39"/>
  <c r="JI24" i="39"/>
  <c r="JJ24" i="39"/>
  <c r="JK24" i="39"/>
  <c r="JL24" i="39"/>
  <c r="JM24" i="39"/>
  <c r="JN24" i="39"/>
  <c r="JO24" i="39"/>
  <c r="JP24" i="39"/>
  <c r="JQ24" i="39"/>
  <c r="JR24" i="39"/>
  <c r="JS24" i="39"/>
  <c r="JT24" i="39"/>
  <c r="JU24" i="39"/>
  <c r="JV24" i="39"/>
  <c r="JW24" i="39"/>
  <c r="JX24" i="39"/>
  <c r="JY24" i="39"/>
  <c r="JZ24" i="39"/>
  <c r="KA24" i="39"/>
  <c r="KB24" i="39"/>
  <c r="KC24" i="39"/>
  <c r="KD24" i="39"/>
  <c r="KE24" i="39"/>
  <c r="KF24" i="39"/>
  <c r="KG24" i="39"/>
  <c r="KH24" i="39"/>
  <c r="KI24" i="39"/>
  <c r="KJ24" i="39"/>
  <c r="KK24" i="39"/>
  <c r="KL24" i="39"/>
  <c r="KM24" i="39"/>
  <c r="KN24" i="39"/>
  <c r="KO24" i="39"/>
  <c r="KP24" i="39"/>
  <c r="KQ24" i="39"/>
  <c r="KR24" i="39"/>
  <c r="KS24" i="39"/>
  <c r="KT24" i="39"/>
  <c r="KU24" i="39"/>
  <c r="KV24" i="39"/>
  <c r="KW24" i="39"/>
  <c r="KX24" i="39"/>
  <c r="KY24" i="39"/>
  <c r="KZ24" i="39"/>
  <c r="LA24" i="39"/>
  <c r="LB24" i="39"/>
  <c r="LC24" i="39"/>
  <c r="LD24" i="39"/>
  <c r="LE24" i="39"/>
  <c r="LF24" i="39"/>
  <c r="LG24" i="39"/>
  <c r="LH24" i="39"/>
  <c r="LI24" i="39"/>
  <c r="LJ24" i="39"/>
  <c r="LK24" i="39"/>
  <c r="LL24" i="39"/>
  <c r="LM24" i="39"/>
  <c r="LN24" i="39"/>
  <c r="LO24" i="39"/>
  <c r="LP24" i="39"/>
  <c r="LQ24" i="39"/>
  <c r="LR24" i="39"/>
  <c r="LS24" i="39"/>
  <c r="LT24" i="39"/>
  <c r="LU24" i="39"/>
  <c r="LV24" i="39"/>
  <c r="LW24" i="39"/>
  <c r="FP25" i="39"/>
  <c r="FQ25" i="39"/>
  <c r="FR25" i="39"/>
  <c r="FS25" i="39"/>
  <c r="FT25" i="39"/>
  <c r="FU25" i="39"/>
  <c r="FV25" i="39"/>
  <c r="FW25" i="39"/>
  <c r="FX25" i="39"/>
  <c r="FY25" i="39"/>
  <c r="FZ25" i="39"/>
  <c r="GA25" i="39"/>
  <c r="GB25" i="39"/>
  <c r="GC25" i="39"/>
  <c r="GD25" i="39"/>
  <c r="GE25" i="39"/>
  <c r="GF25" i="39"/>
  <c r="GG25" i="39"/>
  <c r="GH25" i="39"/>
  <c r="GI25" i="39"/>
  <c r="GJ25" i="39"/>
  <c r="GK25" i="39"/>
  <c r="GL25" i="39"/>
  <c r="GM25" i="39"/>
  <c r="GN25" i="39"/>
  <c r="GO25" i="39"/>
  <c r="GP25" i="39"/>
  <c r="GQ25" i="39"/>
  <c r="GR25" i="39"/>
  <c r="GS25" i="39"/>
  <c r="GT25" i="39"/>
  <c r="GU25" i="39"/>
  <c r="GV25" i="39"/>
  <c r="GW25" i="39"/>
  <c r="GX25" i="39"/>
  <c r="GY25" i="39"/>
  <c r="GZ25" i="39"/>
  <c r="HA25" i="39"/>
  <c r="HB25" i="39"/>
  <c r="HC25" i="39"/>
  <c r="HD25" i="39"/>
  <c r="HE25" i="39"/>
  <c r="HF25" i="39"/>
  <c r="HG25" i="39"/>
  <c r="HH25" i="39"/>
  <c r="HI25" i="39"/>
  <c r="HJ25" i="39"/>
  <c r="HK25" i="39"/>
  <c r="HL25" i="39"/>
  <c r="HM25" i="39"/>
  <c r="HN25" i="39"/>
  <c r="HO25" i="39"/>
  <c r="HP25" i="39"/>
  <c r="HQ25" i="39"/>
  <c r="HR25" i="39"/>
  <c r="HS25" i="39"/>
  <c r="HT25" i="39"/>
  <c r="HU25" i="39"/>
  <c r="HV25" i="39"/>
  <c r="HW25" i="39"/>
  <c r="HX25" i="39"/>
  <c r="HY25" i="39"/>
  <c r="HZ25" i="39"/>
  <c r="IA25" i="39"/>
  <c r="IB25" i="39"/>
  <c r="IC25" i="39"/>
  <c r="ID25" i="39"/>
  <c r="IE25" i="39"/>
  <c r="IF25" i="39"/>
  <c r="IG25" i="39"/>
  <c r="IH25" i="39"/>
  <c r="II25" i="39"/>
  <c r="IJ25" i="39"/>
  <c r="IK25" i="39"/>
  <c r="IL25" i="39"/>
  <c r="IM25" i="39"/>
  <c r="IN25" i="39"/>
  <c r="IO25" i="39"/>
  <c r="IP25" i="39"/>
  <c r="IQ25" i="39"/>
  <c r="IR25" i="39"/>
  <c r="IS25" i="39"/>
  <c r="IT25" i="39"/>
  <c r="IU25" i="39"/>
  <c r="IV25" i="39"/>
  <c r="IW25" i="39"/>
  <c r="IX25" i="39"/>
  <c r="IY25" i="39"/>
  <c r="IZ25" i="39"/>
  <c r="JA25" i="39"/>
  <c r="JB25" i="39"/>
  <c r="JC25" i="39"/>
  <c r="JD25" i="39"/>
  <c r="JE25" i="39"/>
  <c r="JF25" i="39"/>
  <c r="JG25" i="39"/>
  <c r="JH25" i="39"/>
  <c r="JI25" i="39"/>
  <c r="JJ25" i="39"/>
  <c r="JK25" i="39"/>
  <c r="JL25" i="39"/>
  <c r="JM25" i="39"/>
  <c r="JN25" i="39"/>
  <c r="JO25" i="39"/>
  <c r="JP25" i="39"/>
  <c r="JQ25" i="39"/>
  <c r="JR25" i="39"/>
  <c r="JS25" i="39"/>
  <c r="JT25" i="39"/>
  <c r="JU25" i="39"/>
  <c r="JV25" i="39"/>
  <c r="JW25" i="39"/>
  <c r="JX25" i="39"/>
  <c r="JY25" i="39"/>
  <c r="JZ25" i="39"/>
  <c r="KA25" i="39"/>
  <c r="KB25" i="39"/>
  <c r="KC25" i="39"/>
  <c r="KD25" i="39"/>
  <c r="KE25" i="39"/>
  <c r="KF25" i="39"/>
  <c r="KG25" i="39"/>
  <c r="KH25" i="39"/>
  <c r="KI25" i="39"/>
  <c r="KJ25" i="39"/>
  <c r="KK25" i="39"/>
  <c r="KL25" i="39"/>
  <c r="KM25" i="39"/>
  <c r="KN25" i="39"/>
  <c r="KO25" i="39"/>
  <c r="KP25" i="39"/>
  <c r="KQ25" i="39"/>
  <c r="KR25" i="39"/>
  <c r="KS25" i="39"/>
  <c r="KT25" i="39"/>
  <c r="KU25" i="39"/>
  <c r="KV25" i="39"/>
  <c r="KW25" i="39"/>
  <c r="KX25" i="39"/>
  <c r="KY25" i="39"/>
  <c r="KZ25" i="39"/>
  <c r="LA25" i="39"/>
  <c r="LB25" i="39"/>
  <c r="LC25" i="39"/>
  <c r="LD25" i="39"/>
  <c r="LE25" i="39"/>
  <c r="LF25" i="39"/>
  <c r="LG25" i="39"/>
  <c r="LH25" i="39"/>
  <c r="LI25" i="39"/>
  <c r="LJ25" i="39"/>
  <c r="LK25" i="39"/>
  <c r="LL25" i="39"/>
  <c r="LM25" i="39"/>
  <c r="LN25" i="39"/>
  <c r="LO25" i="39"/>
  <c r="LP25" i="39"/>
  <c r="LQ25" i="39"/>
  <c r="LR25" i="39"/>
  <c r="LS25" i="39"/>
  <c r="LT25" i="39"/>
  <c r="LU25" i="39"/>
  <c r="LV25" i="39"/>
  <c r="LW25" i="39"/>
  <c r="FP26" i="39"/>
  <c r="FQ26" i="39"/>
  <c r="FR26" i="39"/>
  <c r="FS26" i="39"/>
  <c r="FT26" i="39"/>
  <c r="FU26" i="39"/>
  <c r="FV26" i="39"/>
  <c r="FW26" i="39"/>
  <c r="FX26" i="39"/>
  <c r="FY26" i="39"/>
  <c r="FZ26" i="39"/>
  <c r="GA26" i="39"/>
  <c r="GB26" i="39"/>
  <c r="GC26" i="39"/>
  <c r="GD26" i="39"/>
  <c r="GE26" i="39"/>
  <c r="GF26" i="39"/>
  <c r="GG26" i="39"/>
  <c r="GH26" i="39"/>
  <c r="GI26" i="39"/>
  <c r="GJ26" i="39"/>
  <c r="GK26" i="39"/>
  <c r="GL26" i="39"/>
  <c r="GM26" i="39"/>
  <c r="GN26" i="39"/>
  <c r="GO26" i="39"/>
  <c r="GP26" i="39"/>
  <c r="GQ26" i="39"/>
  <c r="GR26" i="39"/>
  <c r="GS26" i="39"/>
  <c r="GT26" i="39"/>
  <c r="GU26" i="39"/>
  <c r="GV26" i="39"/>
  <c r="GW26" i="39"/>
  <c r="GX26" i="39"/>
  <c r="GY26" i="39"/>
  <c r="GZ26" i="39"/>
  <c r="HA26" i="39"/>
  <c r="HB26" i="39"/>
  <c r="HC26" i="39"/>
  <c r="HD26" i="39"/>
  <c r="HE26" i="39"/>
  <c r="HF26" i="39"/>
  <c r="HG26" i="39"/>
  <c r="HH26" i="39"/>
  <c r="HI26" i="39"/>
  <c r="HJ26" i="39"/>
  <c r="HK26" i="39"/>
  <c r="HL26" i="39"/>
  <c r="HM26" i="39"/>
  <c r="HN26" i="39"/>
  <c r="HO26" i="39"/>
  <c r="HP26" i="39"/>
  <c r="HQ26" i="39"/>
  <c r="HR26" i="39"/>
  <c r="HS26" i="39"/>
  <c r="HT26" i="39"/>
  <c r="HU26" i="39"/>
  <c r="HV26" i="39"/>
  <c r="HW26" i="39"/>
  <c r="HX26" i="39"/>
  <c r="HY26" i="39"/>
  <c r="HZ26" i="39"/>
  <c r="IA26" i="39"/>
  <c r="IB26" i="39"/>
  <c r="IC26" i="39"/>
  <c r="ID26" i="39"/>
  <c r="IE26" i="39"/>
  <c r="IF26" i="39"/>
  <c r="IG26" i="39"/>
  <c r="IH26" i="39"/>
  <c r="II26" i="39"/>
  <c r="IJ26" i="39"/>
  <c r="IK26" i="39"/>
  <c r="IL26" i="39"/>
  <c r="IM26" i="39"/>
  <c r="IN26" i="39"/>
  <c r="IO26" i="39"/>
  <c r="IP26" i="39"/>
  <c r="IQ26" i="39"/>
  <c r="IR26" i="39"/>
  <c r="IS26" i="39"/>
  <c r="IT26" i="39"/>
  <c r="IU26" i="39"/>
  <c r="IV26" i="39"/>
  <c r="IW26" i="39"/>
  <c r="IX26" i="39"/>
  <c r="IY26" i="39"/>
  <c r="IZ26" i="39"/>
  <c r="JA26" i="39"/>
  <c r="JB26" i="39"/>
  <c r="JC26" i="39"/>
  <c r="JD26" i="39"/>
  <c r="JE26" i="39"/>
  <c r="JF26" i="39"/>
  <c r="JG26" i="39"/>
  <c r="JH26" i="39"/>
  <c r="JI26" i="39"/>
  <c r="JJ26" i="39"/>
  <c r="JK26" i="39"/>
  <c r="JL26" i="39"/>
  <c r="JM26" i="39"/>
  <c r="JN26" i="39"/>
  <c r="JO26" i="39"/>
  <c r="JP26" i="39"/>
  <c r="JQ26" i="39"/>
  <c r="JR26" i="39"/>
  <c r="JS26" i="39"/>
  <c r="JT26" i="39"/>
  <c r="JU26" i="39"/>
  <c r="JV26" i="39"/>
  <c r="JW26" i="39"/>
  <c r="JX26" i="39"/>
  <c r="JY26" i="39"/>
  <c r="JZ26" i="39"/>
  <c r="KA26" i="39"/>
  <c r="KB26" i="39"/>
  <c r="KC26" i="39"/>
  <c r="KD26" i="39"/>
  <c r="KE26" i="39"/>
  <c r="KF26" i="39"/>
  <c r="KG26" i="39"/>
  <c r="KH26" i="39"/>
  <c r="KI26" i="39"/>
  <c r="KJ26" i="39"/>
  <c r="KK26" i="39"/>
  <c r="KL26" i="39"/>
  <c r="KM26" i="39"/>
  <c r="KN26" i="39"/>
  <c r="KO26" i="39"/>
  <c r="KP26" i="39"/>
  <c r="KQ26" i="39"/>
  <c r="KR26" i="39"/>
  <c r="KS26" i="39"/>
  <c r="KT26" i="39"/>
  <c r="KU26" i="39"/>
  <c r="KV26" i="39"/>
  <c r="KW26" i="39"/>
  <c r="KX26" i="39"/>
  <c r="KY26" i="39"/>
  <c r="KZ26" i="39"/>
  <c r="LA26" i="39"/>
  <c r="LB26" i="39"/>
  <c r="LC26" i="39"/>
  <c r="LD26" i="39"/>
  <c r="LE26" i="39"/>
  <c r="LF26" i="39"/>
  <c r="LG26" i="39"/>
  <c r="LH26" i="39"/>
  <c r="LI26" i="39"/>
  <c r="LJ26" i="39"/>
  <c r="LK26" i="39"/>
  <c r="LL26" i="39"/>
  <c r="LM26" i="39"/>
  <c r="LN26" i="39"/>
  <c r="LO26" i="39"/>
  <c r="LP26" i="39"/>
  <c r="LQ26" i="39"/>
  <c r="LR26" i="39"/>
  <c r="LS26" i="39"/>
  <c r="LT26" i="39"/>
  <c r="LU26" i="39"/>
  <c r="LV26" i="39"/>
  <c r="LW26" i="39"/>
  <c r="FP27" i="39"/>
  <c r="FQ27" i="39"/>
  <c r="FR27" i="39"/>
  <c r="FS27" i="39"/>
  <c r="FT27" i="39"/>
  <c r="FU27" i="39"/>
  <c r="FV27" i="39"/>
  <c r="FW27" i="39"/>
  <c r="FX27" i="39"/>
  <c r="FY27" i="39"/>
  <c r="FZ27" i="39"/>
  <c r="GA27" i="39"/>
  <c r="GB27" i="39"/>
  <c r="GC27" i="39"/>
  <c r="GD27" i="39"/>
  <c r="GE27" i="39"/>
  <c r="GF27" i="39"/>
  <c r="GG27" i="39"/>
  <c r="GH27" i="39"/>
  <c r="GI27" i="39"/>
  <c r="GJ27" i="39"/>
  <c r="GK27" i="39"/>
  <c r="GL27" i="39"/>
  <c r="GM27" i="39"/>
  <c r="GN27" i="39"/>
  <c r="GO27" i="39"/>
  <c r="GP27" i="39"/>
  <c r="GQ27" i="39"/>
  <c r="GR27" i="39"/>
  <c r="GS27" i="39"/>
  <c r="GT27" i="39"/>
  <c r="GU27" i="39"/>
  <c r="GV27" i="39"/>
  <c r="GW27" i="39"/>
  <c r="GX27" i="39"/>
  <c r="GY27" i="39"/>
  <c r="GZ27" i="39"/>
  <c r="HA27" i="39"/>
  <c r="HB27" i="39"/>
  <c r="HC27" i="39"/>
  <c r="HD27" i="39"/>
  <c r="HE27" i="39"/>
  <c r="HF27" i="39"/>
  <c r="HG27" i="39"/>
  <c r="HH27" i="39"/>
  <c r="HI27" i="39"/>
  <c r="HJ27" i="39"/>
  <c r="HK27" i="39"/>
  <c r="HL27" i="39"/>
  <c r="HM27" i="39"/>
  <c r="HN27" i="39"/>
  <c r="HO27" i="39"/>
  <c r="HP27" i="39"/>
  <c r="HQ27" i="39"/>
  <c r="HR27" i="39"/>
  <c r="HS27" i="39"/>
  <c r="HT27" i="39"/>
  <c r="HU27" i="39"/>
  <c r="HV27" i="39"/>
  <c r="HW27" i="39"/>
  <c r="HX27" i="39"/>
  <c r="HY27" i="39"/>
  <c r="HZ27" i="39"/>
  <c r="IA27" i="39"/>
  <c r="IB27" i="39"/>
  <c r="IC27" i="39"/>
  <c r="ID27" i="39"/>
  <c r="IE27" i="39"/>
  <c r="IF27" i="39"/>
  <c r="IG27" i="39"/>
  <c r="IH27" i="39"/>
  <c r="II27" i="39"/>
  <c r="IJ27" i="39"/>
  <c r="IK27" i="39"/>
  <c r="IL27" i="39"/>
  <c r="IM27" i="39"/>
  <c r="IN27" i="39"/>
  <c r="IO27" i="39"/>
  <c r="IP27" i="39"/>
  <c r="IQ27" i="39"/>
  <c r="IR27" i="39"/>
  <c r="IS27" i="39"/>
  <c r="IT27" i="39"/>
  <c r="IU27" i="39"/>
  <c r="IV27" i="39"/>
  <c r="IW27" i="39"/>
  <c r="IX27" i="39"/>
  <c r="IY27" i="39"/>
  <c r="IZ27" i="39"/>
  <c r="JA27" i="39"/>
  <c r="JB27" i="39"/>
  <c r="JC27" i="39"/>
  <c r="JD27" i="39"/>
  <c r="JE27" i="39"/>
  <c r="JF27" i="39"/>
  <c r="JG27" i="39"/>
  <c r="JH27" i="39"/>
  <c r="JI27" i="39"/>
  <c r="JJ27" i="39"/>
  <c r="JK27" i="39"/>
  <c r="JL27" i="39"/>
  <c r="JM27" i="39"/>
  <c r="JN27" i="39"/>
  <c r="JO27" i="39"/>
  <c r="JP27" i="39"/>
  <c r="JQ27" i="39"/>
  <c r="JR27" i="39"/>
  <c r="JS27" i="39"/>
  <c r="JT27" i="39"/>
  <c r="JU27" i="39"/>
  <c r="JV27" i="39"/>
  <c r="JW27" i="39"/>
  <c r="JX27" i="39"/>
  <c r="JY27" i="39"/>
  <c r="JZ27" i="39"/>
  <c r="KA27" i="39"/>
  <c r="KB27" i="39"/>
  <c r="KC27" i="39"/>
  <c r="KD27" i="39"/>
  <c r="KE27" i="39"/>
  <c r="KF27" i="39"/>
  <c r="KG27" i="39"/>
  <c r="KH27" i="39"/>
  <c r="KI27" i="39"/>
  <c r="KJ27" i="39"/>
  <c r="KK27" i="39"/>
  <c r="KL27" i="39"/>
  <c r="KM27" i="39"/>
  <c r="KN27" i="39"/>
  <c r="KO27" i="39"/>
  <c r="KP27" i="39"/>
  <c r="KQ27" i="39"/>
  <c r="KR27" i="39"/>
  <c r="KS27" i="39"/>
  <c r="KT27" i="39"/>
  <c r="KU27" i="39"/>
  <c r="KV27" i="39"/>
  <c r="KW27" i="39"/>
  <c r="KX27" i="39"/>
  <c r="KY27" i="39"/>
  <c r="KZ27" i="39"/>
  <c r="LA27" i="39"/>
  <c r="LB27" i="39"/>
  <c r="LC27" i="39"/>
  <c r="LD27" i="39"/>
  <c r="LE27" i="39"/>
  <c r="LF27" i="39"/>
  <c r="LG27" i="39"/>
  <c r="LH27" i="39"/>
  <c r="LI27" i="39"/>
  <c r="LJ27" i="39"/>
  <c r="LK27" i="39"/>
  <c r="LL27" i="39"/>
  <c r="LM27" i="39"/>
  <c r="LN27" i="39"/>
  <c r="LO27" i="39"/>
  <c r="LP27" i="39"/>
  <c r="LQ27" i="39"/>
  <c r="LR27" i="39"/>
  <c r="LS27" i="39"/>
  <c r="LT27" i="39"/>
  <c r="LU27" i="39"/>
  <c r="LV27" i="39"/>
  <c r="LW27" i="39"/>
  <c r="FP28" i="39"/>
  <c r="FQ28" i="39"/>
  <c r="FR28" i="39"/>
  <c r="FS28" i="39"/>
  <c r="FT28" i="39"/>
  <c r="FU28" i="39"/>
  <c r="FV28" i="39"/>
  <c r="FW28" i="39"/>
  <c r="FX28" i="39"/>
  <c r="FY28" i="39"/>
  <c r="FZ28" i="39"/>
  <c r="GA28" i="39"/>
  <c r="GB28" i="39"/>
  <c r="GC28" i="39"/>
  <c r="GD28" i="39"/>
  <c r="GE28" i="39"/>
  <c r="GF28" i="39"/>
  <c r="GG28" i="39"/>
  <c r="GH28" i="39"/>
  <c r="GI28" i="39"/>
  <c r="GJ28" i="39"/>
  <c r="GK28" i="39"/>
  <c r="GL28" i="39"/>
  <c r="GM28" i="39"/>
  <c r="GN28" i="39"/>
  <c r="GO28" i="39"/>
  <c r="GP28" i="39"/>
  <c r="GQ28" i="39"/>
  <c r="GR28" i="39"/>
  <c r="GS28" i="39"/>
  <c r="GT28" i="39"/>
  <c r="GU28" i="39"/>
  <c r="GV28" i="39"/>
  <c r="GW28" i="39"/>
  <c r="GX28" i="39"/>
  <c r="GY28" i="39"/>
  <c r="GZ28" i="39"/>
  <c r="HA28" i="39"/>
  <c r="HB28" i="39"/>
  <c r="HC28" i="39"/>
  <c r="HD28" i="39"/>
  <c r="HE28" i="39"/>
  <c r="HF28" i="39"/>
  <c r="HG28" i="39"/>
  <c r="HH28" i="39"/>
  <c r="HI28" i="39"/>
  <c r="HJ28" i="39"/>
  <c r="HK28" i="39"/>
  <c r="HL28" i="39"/>
  <c r="HM28" i="39"/>
  <c r="HN28" i="39"/>
  <c r="HO28" i="39"/>
  <c r="HP28" i="39"/>
  <c r="HQ28" i="39"/>
  <c r="HR28" i="39"/>
  <c r="HS28" i="39"/>
  <c r="HT28" i="39"/>
  <c r="HU28" i="39"/>
  <c r="HV28" i="39"/>
  <c r="HW28" i="39"/>
  <c r="HX28" i="39"/>
  <c r="HY28" i="39"/>
  <c r="HZ28" i="39"/>
  <c r="IA28" i="39"/>
  <c r="IB28" i="39"/>
  <c r="IC28" i="39"/>
  <c r="ID28" i="39"/>
  <c r="IE28" i="39"/>
  <c r="IF28" i="39"/>
  <c r="IG28" i="39"/>
  <c r="IH28" i="39"/>
  <c r="II28" i="39"/>
  <c r="IJ28" i="39"/>
  <c r="IK28" i="39"/>
  <c r="IL28" i="39"/>
  <c r="IM28" i="39"/>
  <c r="IN28" i="39"/>
  <c r="IO28" i="39"/>
  <c r="IP28" i="39"/>
  <c r="IQ28" i="39"/>
  <c r="IR28" i="39"/>
  <c r="IS28" i="39"/>
  <c r="IT28" i="39"/>
  <c r="IU28" i="39"/>
  <c r="IV28" i="39"/>
  <c r="IW28" i="39"/>
  <c r="IX28" i="39"/>
  <c r="IY28" i="39"/>
  <c r="IZ28" i="39"/>
  <c r="JA28" i="39"/>
  <c r="JB28" i="39"/>
  <c r="JC28" i="39"/>
  <c r="JD28" i="39"/>
  <c r="JE28" i="39"/>
  <c r="JF28" i="39"/>
  <c r="JG28" i="39"/>
  <c r="JH28" i="39"/>
  <c r="JI28" i="39"/>
  <c r="JJ28" i="39"/>
  <c r="JK28" i="39"/>
  <c r="JL28" i="39"/>
  <c r="JM28" i="39"/>
  <c r="JN28" i="39"/>
  <c r="JO28" i="39"/>
  <c r="JP28" i="39"/>
  <c r="JQ28" i="39"/>
  <c r="JR28" i="39"/>
  <c r="JS28" i="39"/>
  <c r="JT28" i="39"/>
  <c r="JU28" i="39"/>
  <c r="JV28" i="39"/>
  <c r="JW28" i="39"/>
  <c r="JX28" i="39"/>
  <c r="JY28" i="39"/>
  <c r="JZ28" i="39"/>
  <c r="KA28" i="39"/>
  <c r="KB28" i="39"/>
  <c r="KC28" i="39"/>
  <c r="KD28" i="39"/>
  <c r="KE28" i="39"/>
  <c r="KF28" i="39"/>
  <c r="KG28" i="39"/>
  <c r="KH28" i="39"/>
  <c r="KI28" i="39"/>
  <c r="KJ28" i="39"/>
  <c r="KK28" i="39"/>
  <c r="KL28" i="39"/>
  <c r="KM28" i="39"/>
  <c r="KN28" i="39"/>
  <c r="KO28" i="39"/>
  <c r="KP28" i="39"/>
  <c r="KQ28" i="39"/>
  <c r="KR28" i="39"/>
  <c r="KS28" i="39"/>
  <c r="KT28" i="39"/>
  <c r="KU28" i="39"/>
  <c r="KV28" i="39"/>
  <c r="KW28" i="39"/>
  <c r="KX28" i="39"/>
  <c r="KY28" i="39"/>
  <c r="KZ28" i="39"/>
  <c r="LA28" i="39"/>
  <c r="LB28" i="39"/>
  <c r="LC28" i="39"/>
  <c r="LD28" i="39"/>
  <c r="LE28" i="39"/>
  <c r="LF28" i="39"/>
  <c r="LG28" i="39"/>
  <c r="LH28" i="39"/>
  <c r="LI28" i="39"/>
  <c r="LJ28" i="39"/>
  <c r="LK28" i="39"/>
  <c r="LL28" i="39"/>
  <c r="LM28" i="39"/>
  <c r="LN28" i="39"/>
  <c r="LO28" i="39"/>
  <c r="LP28" i="39"/>
  <c r="LQ28" i="39"/>
  <c r="LR28" i="39"/>
  <c r="LS28" i="39"/>
  <c r="LT28" i="39"/>
  <c r="LU28" i="39"/>
  <c r="LV28" i="39"/>
  <c r="LW28" i="39"/>
  <c r="FO4" i="39"/>
  <c r="F34" i="39" s="1"/>
  <c r="F44" i="39" s="1"/>
  <c r="D12" i="41" s="1"/>
  <c r="FO5" i="39"/>
  <c r="FO6" i="39"/>
  <c r="FO7" i="39"/>
  <c r="FO8" i="39"/>
  <c r="FO9" i="39"/>
  <c r="FO10" i="39"/>
  <c r="FO11" i="39"/>
  <c r="FO12" i="39"/>
  <c r="FO13" i="39"/>
  <c r="FO14" i="39"/>
  <c r="FO15" i="39"/>
  <c r="FO16" i="39"/>
  <c r="FO17" i="39"/>
  <c r="FO18" i="39"/>
  <c r="FO19" i="39"/>
  <c r="FO20" i="39"/>
  <c r="FO21" i="39"/>
  <c r="FO22" i="39"/>
  <c r="FO23" i="39"/>
  <c r="FO24" i="39"/>
  <c r="FO25" i="39"/>
  <c r="FO26" i="39"/>
  <c r="FO27" i="39"/>
  <c r="FO28" i="39"/>
  <c r="D9" i="41"/>
  <c r="D29" i="39"/>
  <c r="DH34" i="39" l="1"/>
  <c r="DH44" i="39" s="1"/>
  <c r="D118" i="41" s="1"/>
  <c r="DG34" i="39"/>
  <c r="DG44" i="39" s="1"/>
  <c r="D117" i="41" s="1"/>
  <c r="DH180" i="41"/>
  <c r="K180" i="41"/>
  <c r="K34" i="62"/>
  <c r="K44" i="62" s="1"/>
  <c r="E17" i="41" s="1"/>
  <c r="S180" i="41"/>
  <c r="S34" i="62"/>
  <c r="S44" i="62" s="1"/>
  <c r="E25" i="41" s="1"/>
  <c r="AA180" i="41"/>
  <c r="AA34" i="62"/>
  <c r="AA44" i="62" s="1"/>
  <c r="E33" i="41" s="1"/>
  <c r="AI180" i="41"/>
  <c r="AI34" i="62"/>
  <c r="AI44" i="62" s="1"/>
  <c r="E41" i="41" s="1"/>
  <c r="AQ180" i="41"/>
  <c r="AQ34" i="62"/>
  <c r="AQ44" i="62" s="1"/>
  <c r="E49" i="41" s="1"/>
  <c r="AY180" i="41"/>
  <c r="AY34" i="62"/>
  <c r="AY44" i="62" s="1"/>
  <c r="E57" i="41" s="1"/>
  <c r="BG180" i="41"/>
  <c r="BG34" i="62"/>
  <c r="BG44" i="62" s="1"/>
  <c r="E65" i="41" s="1"/>
  <c r="BO180" i="41"/>
  <c r="BO34" i="62"/>
  <c r="BO44" i="62" s="1"/>
  <c r="E73" i="41" s="1"/>
  <c r="BW180" i="41"/>
  <c r="BW34" i="62"/>
  <c r="BW44" i="62" s="1"/>
  <c r="E81" i="41" s="1"/>
  <c r="CE180" i="41"/>
  <c r="CE34" i="62"/>
  <c r="CE44" i="62" s="1"/>
  <c r="E89" i="41" s="1"/>
  <c r="CM180" i="41"/>
  <c r="CM34" i="62"/>
  <c r="CM44" i="62" s="1"/>
  <c r="E97" i="41" s="1"/>
  <c r="CU180" i="41"/>
  <c r="CU34" i="62"/>
  <c r="CU44" i="62" s="1"/>
  <c r="E105" i="41" s="1"/>
  <c r="DC180" i="41"/>
  <c r="DC34" i="62"/>
  <c r="DC44" i="62" s="1"/>
  <c r="E113" i="41" s="1"/>
  <c r="DK180" i="41"/>
  <c r="DK34" i="62"/>
  <c r="DK44" i="62" s="1"/>
  <c r="E121" i="41" s="1"/>
  <c r="DS180" i="41"/>
  <c r="DS34" i="62"/>
  <c r="DS44" i="62" s="1"/>
  <c r="E129" i="41" s="1"/>
  <c r="EA180" i="41"/>
  <c r="EA34" i="62"/>
  <c r="EA44" i="62" s="1"/>
  <c r="E137" i="41" s="1"/>
  <c r="EI180" i="41"/>
  <c r="EI34" i="62"/>
  <c r="EI44" i="62" s="1"/>
  <c r="E145" i="41" s="1"/>
  <c r="EQ180" i="41"/>
  <c r="EQ34" i="62"/>
  <c r="EQ44" i="62" s="1"/>
  <c r="E153" i="41" s="1"/>
  <c r="EY180" i="41"/>
  <c r="EY34" i="62"/>
  <c r="EY44" i="62" s="1"/>
  <c r="E161" i="41" s="1"/>
  <c r="FG180" i="41"/>
  <c r="FG34" i="62"/>
  <c r="FG44" i="62" s="1"/>
  <c r="E169" i="41" s="1"/>
  <c r="L180" i="41"/>
  <c r="L34" i="62"/>
  <c r="L44" i="62" s="1"/>
  <c r="E18" i="41" s="1"/>
  <c r="T180" i="41"/>
  <c r="T34" i="62"/>
  <c r="T44" i="62" s="1"/>
  <c r="E26" i="41" s="1"/>
  <c r="AB180" i="41"/>
  <c r="AB34" i="62"/>
  <c r="AB44" i="62" s="1"/>
  <c r="E34" i="41" s="1"/>
  <c r="AJ180" i="41"/>
  <c r="AJ34" i="62"/>
  <c r="AJ44" i="62" s="1"/>
  <c r="E42" i="41" s="1"/>
  <c r="AR180" i="41"/>
  <c r="AR34" i="62"/>
  <c r="AR44" i="62" s="1"/>
  <c r="E50" i="41" s="1"/>
  <c r="AZ180" i="41"/>
  <c r="AZ34" i="62"/>
  <c r="AZ44" i="62" s="1"/>
  <c r="E58" i="41" s="1"/>
  <c r="BH180" i="41"/>
  <c r="BH34" i="62"/>
  <c r="BH44" i="62" s="1"/>
  <c r="E66" i="41" s="1"/>
  <c r="BP180" i="41"/>
  <c r="BP34" i="62"/>
  <c r="BP44" i="62" s="1"/>
  <c r="E74" i="41" s="1"/>
  <c r="BX180" i="41"/>
  <c r="BX34" i="62"/>
  <c r="BX44" i="62" s="1"/>
  <c r="E82" i="41" s="1"/>
  <c r="CF180" i="41"/>
  <c r="CF34" i="62"/>
  <c r="CF44" i="62" s="1"/>
  <c r="E90" i="41" s="1"/>
  <c r="CN180" i="41"/>
  <c r="CN34" i="62"/>
  <c r="CN44" i="62" s="1"/>
  <c r="E98" i="41" s="1"/>
  <c r="CV180" i="41"/>
  <c r="CV34" i="62"/>
  <c r="CV44" i="62" s="1"/>
  <c r="E106" i="41" s="1"/>
  <c r="DD180" i="41"/>
  <c r="DD34" i="62"/>
  <c r="DD44" i="62" s="1"/>
  <c r="E114" i="41" s="1"/>
  <c r="DL180" i="41"/>
  <c r="DL34" i="62"/>
  <c r="DL44" i="62" s="1"/>
  <c r="E122" i="41" s="1"/>
  <c r="DT180" i="41"/>
  <c r="DT34" i="62"/>
  <c r="DT44" i="62" s="1"/>
  <c r="E130" i="41" s="1"/>
  <c r="EB180" i="41"/>
  <c r="EB34" i="62"/>
  <c r="EB44" i="62" s="1"/>
  <c r="E138" i="41" s="1"/>
  <c r="EJ180" i="41"/>
  <c r="EJ34" i="62"/>
  <c r="EJ44" i="62" s="1"/>
  <c r="E146" i="41" s="1"/>
  <c r="ER180" i="41"/>
  <c r="ER34" i="62"/>
  <c r="ER44" i="62" s="1"/>
  <c r="E154" i="41" s="1"/>
  <c r="EZ180" i="41"/>
  <c r="EZ34" i="62"/>
  <c r="EZ44" i="62" s="1"/>
  <c r="E162" i="41" s="1"/>
  <c r="FH180" i="41"/>
  <c r="FH34" i="62"/>
  <c r="FH44" i="62" s="1"/>
  <c r="E170" i="41" s="1"/>
  <c r="U34" i="62"/>
  <c r="U44" i="62" s="1"/>
  <c r="E27" i="41" s="1"/>
  <c r="U180" i="41"/>
  <c r="AK34" i="62"/>
  <c r="AK44" i="62" s="1"/>
  <c r="E43" i="41" s="1"/>
  <c r="AK180" i="41"/>
  <c r="BA34" i="62"/>
  <c r="BA44" i="62" s="1"/>
  <c r="E59" i="41" s="1"/>
  <c r="BA180" i="41"/>
  <c r="BQ34" i="62"/>
  <c r="BQ44" i="62" s="1"/>
  <c r="E75" i="41" s="1"/>
  <c r="BQ180" i="41"/>
  <c r="CG34" i="62"/>
  <c r="CG44" i="62" s="1"/>
  <c r="E91" i="41" s="1"/>
  <c r="CG180" i="41"/>
  <c r="CW34" i="62"/>
  <c r="CW44" i="62" s="1"/>
  <c r="E107" i="41" s="1"/>
  <c r="CW180" i="41"/>
  <c r="DM34" i="62"/>
  <c r="DM44" i="62" s="1"/>
  <c r="E123" i="41" s="1"/>
  <c r="DM180" i="41"/>
  <c r="EK34" i="62"/>
  <c r="EK44" i="62" s="1"/>
  <c r="E147" i="41" s="1"/>
  <c r="EK180" i="41"/>
  <c r="FA34" i="62"/>
  <c r="FA44" i="62" s="1"/>
  <c r="E163" i="41" s="1"/>
  <c r="FA180" i="41"/>
  <c r="N34" i="62"/>
  <c r="N44" i="62" s="1"/>
  <c r="E20" i="41" s="1"/>
  <c r="N180" i="41"/>
  <c r="V34" i="62"/>
  <c r="V44" i="62" s="1"/>
  <c r="E28" i="41" s="1"/>
  <c r="V180" i="41"/>
  <c r="AD34" i="62"/>
  <c r="AD44" i="62" s="1"/>
  <c r="E36" i="41" s="1"/>
  <c r="AD180" i="41"/>
  <c r="AL34" i="62"/>
  <c r="AL44" i="62" s="1"/>
  <c r="E44" i="41" s="1"/>
  <c r="AL180" i="41"/>
  <c r="AT34" i="62"/>
  <c r="AT44" i="62" s="1"/>
  <c r="E52" i="41" s="1"/>
  <c r="AT180" i="41"/>
  <c r="BB34" i="62"/>
  <c r="BB44" i="62" s="1"/>
  <c r="E60" i="41" s="1"/>
  <c r="BB180" i="41"/>
  <c r="BJ34" i="62"/>
  <c r="BJ44" i="62" s="1"/>
  <c r="E68" i="41" s="1"/>
  <c r="BJ180" i="41"/>
  <c r="BR34" i="62"/>
  <c r="BR44" i="62" s="1"/>
  <c r="E76" i="41" s="1"/>
  <c r="BR180" i="41"/>
  <c r="BZ34" i="62"/>
  <c r="BZ44" i="62" s="1"/>
  <c r="E84" i="41" s="1"/>
  <c r="BZ180" i="41"/>
  <c r="CH34" i="62"/>
  <c r="CH44" i="62" s="1"/>
  <c r="E92" i="41" s="1"/>
  <c r="CH180" i="41"/>
  <c r="CP34" i="62"/>
  <c r="CP44" i="62" s="1"/>
  <c r="E100" i="41" s="1"/>
  <c r="CP180" i="41"/>
  <c r="CX34" i="62"/>
  <c r="CX44" i="62" s="1"/>
  <c r="E108" i="41" s="1"/>
  <c r="CX180" i="41"/>
  <c r="DF34" i="62"/>
  <c r="DF44" i="62" s="1"/>
  <c r="E116" i="41" s="1"/>
  <c r="DF180" i="41"/>
  <c r="DN34" i="62"/>
  <c r="DN44" i="62" s="1"/>
  <c r="E124" i="41" s="1"/>
  <c r="DN180" i="41"/>
  <c r="DV34" i="62"/>
  <c r="DV44" i="62" s="1"/>
  <c r="E132" i="41" s="1"/>
  <c r="DV180" i="41"/>
  <c r="ED34" i="62"/>
  <c r="ED44" i="62" s="1"/>
  <c r="E140" i="41" s="1"/>
  <c r="ED180" i="41"/>
  <c r="EL34" i="62"/>
  <c r="EL44" i="62" s="1"/>
  <c r="E148" i="41" s="1"/>
  <c r="EL180" i="41"/>
  <c r="ET34" i="62"/>
  <c r="ET44" i="62" s="1"/>
  <c r="E156" i="41" s="1"/>
  <c r="ET180" i="41"/>
  <c r="FB34" i="62"/>
  <c r="FB44" i="62" s="1"/>
  <c r="E164" i="41" s="1"/>
  <c r="FB180" i="41"/>
  <c r="FJ34" i="62"/>
  <c r="FJ44" i="62" s="1"/>
  <c r="E172" i="41" s="1"/>
  <c r="FJ180" i="41"/>
  <c r="M34" i="62"/>
  <c r="M44" i="62" s="1"/>
  <c r="E19" i="41" s="1"/>
  <c r="M180" i="41"/>
  <c r="AC34" i="62"/>
  <c r="AC44" i="62" s="1"/>
  <c r="E35" i="41" s="1"/>
  <c r="AC180" i="41"/>
  <c r="AS34" i="62"/>
  <c r="AS44" i="62" s="1"/>
  <c r="E51" i="41" s="1"/>
  <c r="AS180" i="41"/>
  <c r="BI34" i="62"/>
  <c r="BI44" i="62" s="1"/>
  <c r="E67" i="41" s="1"/>
  <c r="BI180" i="41"/>
  <c r="BY34" i="62"/>
  <c r="BY44" i="62" s="1"/>
  <c r="E83" i="41" s="1"/>
  <c r="BY180" i="41"/>
  <c r="CO34" i="62"/>
  <c r="CO44" i="62" s="1"/>
  <c r="E99" i="41" s="1"/>
  <c r="CO180" i="41"/>
  <c r="DE34" i="62"/>
  <c r="DE44" i="62" s="1"/>
  <c r="E115" i="41" s="1"/>
  <c r="DE180" i="41"/>
  <c r="DU34" i="62"/>
  <c r="DU44" i="62" s="1"/>
  <c r="E131" i="41" s="1"/>
  <c r="DU180" i="41"/>
  <c r="EC34" i="62"/>
  <c r="EC44" i="62" s="1"/>
  <c r="E139" i="41" s="1"/>
  <c r="EC180" i="41"/>
  <c r="ES34" i="62"/>
  <c r="ES44" i="62" s="1"/>
  <c r="E155" i="41" s="1"/>
  <c r="ES180" i="41"/>
  <c r="FI34" i="62"/>
  <c r="FI44" i="62" s="1"/>
  <c r="E171" i="41" s="1"/>
  <c r="FI180" i="41"/>
  <c r="G180" i="41"/>
  <c r="G34" i="62"/>
  <c r="G44" i="62" s="1"/>
  <c r="E13" i="41" s="1"/>
  <c r="O180" i="41"/>
  <c r="O34" i="62"/>
  <c r="O44" i="62" s="1"/>
  <c r="E21" i="41" s="1"/>
  <c r="W180" i="41"/>
  <c r="W34" i="62"/>
  <c r="W44" i="62" s="1"/>
  <c r="E29" i="41" s="1"/>
  <c r="AE180" i="41"/>
  <c r="AE34" i="62"/>
  <c r="AE44" i="62" s="1"/>
  <c r="E37" i="41" s="1"/>
  <c r="AM180" i="41"/>
  <c r="AM34" i="62"/>
  <c r="AM44" i="62" s="1"/>
  <c r="E45" i="41" s="1"/>
  <c r="AU180" i="41"/>
  <c r="AU34" i="62"/>
  <c r="AU44" i="62" s="1"/>
  <c r="E53" i="41" s="1"/>
  <c r="BC180" i="41"/>
  <c r="BC34" i="62"/>
  <c r="BC44" i="62" s="1"/>
  <c r="E61" i="41" s="1"/>
  <c r="BK180" i="41"/>
  <c r="BK34" i="62"/>
  <c r="BK44" i="62" s="1"/>
  <c r="E69" i="41" s="1"/>
  <c r="BS180" i="41"/>
  <c r="BS34" i="62"/>
  <c r="BS44" i="62" s="1"/>
  <c r="E77" i="41" s="1"/>
  <c r="CA180" i="41"/>
  <c r="CA34" i="62"/>
  <c r="CA44" i="62" s="1"/>
  <c r="E85" i="41" s="1"/>
  <c r="CI180" i="41"/>
  <c r="CI34" i="62"/>
  <c r="CI44" i="62" s="1"/>
  <c r="E93" i="41" s="1"/>
  <c r="CQ180" i="41"/>
  <c r="CQ34" i="62"/>
  <c r="CQ44" i="62" s="1"/>
  <c r="E101" i="41" s="1"/>
  <c r="CY180" i="41"/>
  <c r="CY34" i="62"/>
  <c r="CY44" i="62" s="1"/>
  <c r="E109" i="41" s="1"/>
  <c r="DG180" i="41"/>
  <c r="DH34" i="62"/>
  <c r="DH44" i="62" s="1"/>
  <c r="E118" i="41" s="1"/>
  <c r="DG34" i="62"/>
  <c r="DG44" i="62" s="1"/>
  <c r="E117" i="41" s="1"/>
  <c r="DO180" i="41"/>
  <c r="DO34" i="62"/>
  <c r="DO44" i="62" s="1"/>
  <c r="E125" i="41" s="1"/>
  <c r="DW180" i="41"/>
  <c r="DW34" i="62"/>
  <c r="DW44" i="62" s="1"/>
  <c r="E133" i="41" s="1"/>
  <c r="EE180" i="41"/>
  <c r="EE34" i="62"/>
  <c r="EE44" i="62" s="1"/>
  <c r="E141" i="41" s="1"/>
  <c r="EM180" i="41"/>
  <c r="EM34" i="62"/>
  <c r="EM44" i="62" s="1"/>
  <c r="E149" i="41" s="1"/>
  <c r="EU180" i="41"/>
  <c r="EU34" i="62"/>
  <c r="EU44" i="62" s="1"/>
  <c r="E157" i="41" s="1"/>
  <c r="FC180" i="41"/>
  <c r="FC34" i="62"/>
  <c r="FC44" i="62" s="1"/>
  <c r="E165" i="41" s="1"/>
  <c r="FK180" i="41"/>
  <c r="FK34" i="62"/>
  <c r="FK44" i="62" s="1"/>
  <c r="E173" i="41" s="1"/>
  <c r="H180" i="41"/>
  <c r="H34" i="62"/>
  <c r="H44" i="62" s="1"/>
  <c r="E14" i="41" s="1"/>
  <c r="P180" i="41"/>
  <c r="P34" i="62"/>
  <c r="P44" i="62" s="1"/>
  <c r="E22" i="41" s="1"/>
  <c r="X180" i="41"/>
  <c r="X34" i="62"/>
  <c r="X44" i="62" s="1"/>
  <c r="E30" i="41" s="1"/>
  <c r="AF180" i="41"/>
  <c r="AF34" i="62"/>
  <c r="AF44" i="62" s="1"/>
  <c r="E38" i="41" s="1"/>
  <c r="AN180" i="41"/>
  <c r="AN34" i="62"/>
  <c r="AN44" i="62" s="1"/>
  <c r="E46" i="41" s="1"/>
  <c r="AV180" i="41"/>
  <c r="AV34" i="62"/>
  <c r="AV44" i="62" s="1"/>
  <c r="E54" i="41" s="1"/>
  <c r="BD180" i="41"/>
  <c r="BD34" i="62"/>
  <c r="BD44" i="62" s="1"/>
  <c r="E62" i="41" s="1"/>
  <c r="BL180" i="41"/>
  <c r="BL34" i="62"/>
  <c r="BL44" i="62" s="1"/>
  <c r="E70" i="41" s="1"/>
  <c r="BT180" i="41"/>
  <c r="BT34" i="62"/>
  <c r="BT44" i="62" s="1"/>
  <c r="E78" i="41" s="1"/>
  <c r="CB180" i="41"/>
  <c r="CB34" i="62"/>
  <c r="CB44" i="62" s="1"/>
  <c r="E86" i="41" s="1"/>
  <c r="CJ180" i="41"/>
  <c r="CJ34" i="62"/>
  <c r="CJ44" i="62" s="1"/>
  <c r="E94" i="41" s="1"/>
  <c r="CR180" i="41"/>
  <c r="CR34" i="62"/>
  <c r="CR44" i="62" s="1"/>
  <c r="E102" i="41" s="1"/>
  <c r="CZ180" i="41"/>
  <c r="CZ34" i="62"/>
  <c r="CZ44" i="62" s="1"/>
  <c r="E110" i="41" s="1"/>
  <c r="DP180" i="41"/>
  <c r="DP34" i="62"/>
  <c r="DP44" i="62" s="1"/>
  <c r="E126" i="41" s="1"/>
  <c r="EF180" i="41"/>
  <c r="EF34" i="62"/>
  <c r="EF44" i="62" s="1"/>
  <c r="E142" i="41" s="1"/>
  <c r="EN180" i="41"/>
  <c r="EN34" i="62"/>
  <c r="EN44" i="62" s="1"/>
  <c r="E150" i="41" s="1"/>
  <c r="EV180" i="41"/>
  <c r="EV34" i="62"/>
  <c r="EV44" i="62" s="1"/>
  <c r="E158" i="41" s="1"/>
  <c r="FL180" i="41"/>
  <c r="FL34" i="62"/>
  <c r="FL44" i="62" s="1"/>
  <c r="E174" i="41" s="1"/>
  <c r="DX180" i="41"/>
  <c r="DX34" i="62"/>
  <c r="DX44" i="62" s="1"/>
  <c r="E134" i="41" s="1"/>
  <c r="FD180" i="41"/>
  <c r="FD34" i="62"/>
  <c r="FD44" i="62" s="1"/>
  <c r="E166" i="41" s="1"/>
  <c r="I34" i="62"/>
  <c r="I44" i="62" s="1"/>
  <c r="E15" i="41" s="1"/>
  <c r="I180" i="41"/>
  <c r="Q34" i="62"/>
  <c r="Q44" i="62" s="1"/>
  <c r="E23" i="41" s="1"/>
  <c r="Q180" i="41"/>
  <c r="Y34" i="62"/>
  <c r="Y44" i="62" s="1"/>
  <c r="E31" i="41" s="1"/>
  <c r="Y180" i="41"/>
  <c r="AG34" i="62"/>
  <c r="AG44" i="62" s="1"/>
  <c r="E39" i="41" s="1"/>
  <c r="AG180" i="41"/>
  <c r="AO180" i="41"/>
  <c r="AO34" i="62"/>
  <c r="AO44" i="62" s="1"/>
  <c r="E47" i="41" s="1"/>
  <c r="AW180" i="41"/>
  <c r="AW34" i="62"/>
  <c r="AW44" i="62" s="1"/>
  <c r="E55" i="41" s="1"/>
  <c r="BE180" i="41"/>
  <c r="BE34" i="62"/>
  <c r="BE44" i="62" s="1"/>
  <c r="E63" i="41" s="1"/>
  <c r="BM180" i="41"/>
  <c r="BM34" i="62"/>
  <c r="BM44" i="62" s="1"/>
  <c r="E71" i="41" s="1"/>
  <c r="BU180" i="41"/>
  <c r="BU34" i="62"/>
  <c r="BU44" i="62" s="1"/>
  <c r="E79" i="41" s="1"/>
  <c r="CC180" i="41"/>
  <c r="CC34" i="62"/>
  <c r="CC44" i="62" s="1"/>
  <c r="E87" i="41" s="1"/>
  <c r="CK180" i="41"/>
  <c r="CK34" i="62"/>
  <c r="CK44" i="62" s="1"/>
  <c r="E95" i="41" s="1"/>
  <c r="CS180" i="41"/>
  <c r="CS34" i="62"/>
  <c r="CS44" i="62" s="1"/>
  <c r="E103" i="41" s="1"/>
  <c r="DA180" i="41"/>
  <c r="DA34" i="62"/>
  <c r="DA44" i="62" s="1"/>
  <c r="E111" i="41" s="1"/>
  <c r="DI180" i="41"/>
  <c r="DI34" i="62"/>
  <c r="DI44" i="62" s="1"/>
  <c r="E119" i="41" s="1"/>
  <c r="DQ180" i="41"/>
  <c r="DQ34" i="62"/>
  <c r="DQ44" i="62" s="1"/>
  <c r="E127" i="41" s="1"/>
  <c r="DY180" i="41"/>
  <c r="DY34" i="62"/>
  <c r="DY44" i="62" s="1"/>
  <c r="E135" i="41" s="1"/>
  <c r="EG180" i="41"/>
  <c r="EG34" i="62"/>
  <c r="EG44" i="62" s="1"/>
  <c r="E143" i="41" s="1"/>
  <c r="EO180" i="41"/>
  <c r="EO34" i="62"/>
  <c r="EO44" i="62" s="1"/>
  <c r="E151" i="41" s="1"/>
  <c r="EW180" i="41"/>
  <c r="EW34" i="62"/>
  <c r="EW44" i="62" s="1"/>
  <c r="E159" i="41" s="1"/>
  <c r="FE180" i="41"/>
  <c r="FE34" i="62"/>
  <c r="FE44" i="62" s="1"/>
  <c r="E167" i="41" s="1"/>
  <c r="FM180" i="41"/>
  <c r="FM34" i="62"/>
  <c r="FM44" i="62" s="1"/>
  <c r="E175" i="41" s="1"/>
  <c r="J180" i="41"/>
  <c r="J34" i="62"/>
  <c r="J44" i="62" s="1"/>
  <c r="E16" i="41" s="1"/>
  <c r="R180" i="41"/>
  <c r="R34" i="62"/>
  <c r="R44" i="62" s="1"/>
  <c r="E24" i="41" s="1"/>
  <c r="Z180" i="41"/>
  <c r="Z34" i="62"/>
  <c r="Z44" i="62" s="1"/>
  <c r="E32" i="41" s="1"/>
  <c r="AH180" i="41"/>
  <c r="AH34" i="62"/>
  <c r="AH44" i="62" s="1"/>
  <c r="E40" i="41" s="1"/>
  <c r="AP180" i="41"/>
  <c r="AP34" i="62"/>
  <c r="AP44" i="62" s="1"/>
  <c r="E48" i="41" s="1"/>
  <c r="AX180" i="41"/>
  <c r="AX34" i="62"/>
  <c r="AX44" i="62" s="1"/>
  <c r="E56" i="41" s="1"/>
  <c r="BF180" i="41"/>
  <c r="BF34" i="62"/>
  <c r="BF44" i="62" s="1"/>
  <c r="E64" i="41" s="1"/>
  <c r="BN180" i="41"/>
  <c r="BN34" i="62"/>
  <c r="BN44" i="62" s="1"/>
  <c r="E72" i="41" s="1"/>
  <c r="BV180" i="41"/>
  <c r="BV34" i="62"/>
  <c r="BV44" i="62" s="1"/>
  <c r="E80" i="41" s="1"/>
  <c r="CD180" i="41"/>
  <c r="CD34" i="62"/>
  <c r="CD44" i="62" s="1"/>
  <c r="E88" i="41" s="1"/>
  <c r="CL180" i="41"/>
  <c r="CL34" i="62"/>
  <c r="CL44" i="62" s="1"/>
  <c r="E96" i="41" s="1"/>
  <c r="CT180" i="41"/>
  <c r="CT34" i="62"/>
  <c r="CT44" i="62" s="1"/>
  <c r="E104" i="41" s="1"/>
  <c r="DB180" i="41"/>
  <c r="DB34" i="62"/>
  <c r="DB44" i="62" s="1"/>
  <c r="E112" i="41" s="1"/>
  <c r="DJ180" i="41"/>
  <c r="DJ34" i="62"/>
  <c r="DJ44" i="62" s="1"/>
  <c r="E120" i="41" s="1"/>
  <c r="DR180" i="41"/>
  <c r="DR34" i="62"/>
  <c r="DR44" i="62" s="1"/>
  <c r="E128" i="41" s="1"/>
  <c r="DZ180" i="41"/>
  <c r="DZ34" i="62"/>
  <c r="DZ44" i="62" s="1"/>
  <c r="E136" i="41" s="1"/>
  <c r="EH180" i="41"/>
  <c r="EH34" i="62"/>
  <c r="EH44" i="62" s="1"/>
  <c r="E144" i="41" s="1"/>
  <c r="EP180" i="41"/>
  <c r="EP34" i="62"/>
  <c r="EP44" i="62" s="1"/>
  <c r="E152" i="41" s="1"/>
  <c r="EX180" i="41"/>
  <c r="EX34" i="62"/>
  <c r="EX44" i="62" s="1"/>
  <c r="E160" i="41" s="1"/>
  <c r="FF180" i="41"/>
  <c r="FF34" i="62"/>
  <c r="FF44" i="62" s="1"/>
  <c r="E168" i="41" s="1"/>
  <c r="FN180" i="41"/>
  <c r="FN34" i="62"/>
  <c r="FN44" i="62" s="1"/>
  <c r="E176" i="41" s="1"/>
  <c r="DH41" i="65"/>
  <c r="DH44" i="65" s="1"/>
  <c r="H118" i="41" s="1"/>
  <c r="DG41" i="65"/>
  <c r="DG44" i="65" s="1"/>
  <c r="H117" i="41" s="1"/>
  <c r="DH187" i="41"/>
  <c r="DG41" i="64"/>
  <c r="DG44" i="64" s="1"/>
  <c r="G117" i="41" s="1"/>
  <c r="DH41" i="64"/>
  <c r="DH44" i="64" s="1"/>
  <c r="G118" i="41" s="1"/>
  <c r="L187" i="41"/>
  <c r="L41" i="63"/>
  <c r="AJ187" i="41"/>
  <c r="AJ41" i="63"/>
  <c r="BP41" i="63"/>
  <c r="BP187" i="41"/>
  <c r="CV41" i="63"/>
  <c r="CV44" i="63" s="1"/>
  <c r="F106" i="41" s="1"/>
  <c r="CV187" i="41"/>
  <c r="EZ187" i="41"/>
  <c r="EZ41" i="63"/>
  <c r="M41" i="63"/>
  <c r="M44" i="63" s="1"/>
  <c r="F19" i="41" s="1"/>
  <c r="M187" i="41"/>
  <c r="U187" i="41"/>
  <c r="U41" i="63"/>
  <c r="AC187" i="41"/>
  <c r="AC41" i="63"/>
  <c r="AC44" i="63" s="1"/>
  <c r="F35" i="41" s="1"/>
  <c r="AK187" i="41"/>
  <c r="AK41" i="63"/>
  <c r="AS187" i="41"/>
  <c r="AS41" i="63"/>
  <c r="BA187" i="41"/>
  <c r="BA41" i="63"/>
  <c r="BI187" i="41"/>
  <c r="BI41" i="63"/>
  <c r="BI44" i="63" s="1"/>
  <c r="F67" i="41" s="1"/>
  <c r="BQ187" i="41"/>
  <c r="BQ41" i="63"/>
  <c r="BY187" i="41"/>
  <c r="BY41" i="63"/>
  <c r="CG187" i="41"/>
  <c r="CG41" i="63"/>
  <c r="CO187" i="41"/>
  <c r="CO41" i="63"/>
  <c r="CO44" i="63" s="1"/>
  <c r="F99" i="41" s="1"/>
  <c r="CW187" i="41"/>
  <c r="CW41" i="63"/>
  <c r="DE187" i="41"/>
  <c r="DE41" i="63"/>
  <c r="DM187" i="41"/>
  <c r="DM41" i="63"/>
  <c r="DU187" i="41"/>
  <c r="DU41" i="63"/>
  <c r="DU44" i="63" s="1"/>
  <c r="F131" i="41" s="1"/>
  <c r="EC187" i="41"/>
  <c r="EC41" i="63"/>
  <c r="EK187" i="41"/>
  <c r="EK41" i="63"/>
  <c r="ES187" i="41"/>
  <c r="ES41" i="63"/>
  <c r="FA187" i="41"/>
  <c r="FA41" i="63"/>
  <c r="FA44" i="63" s="1"/>
  <c r="F163" i="41" s="1"/>
  <c r="FI187" i="41"/>
  <c r="FI41" i="63"/>
  <c r="T41" i="63"/>
  <c r="T187" i="41"/>
  <c r="AZ41" i="63"/>
  <c r="AZ44" i="63" s="1"/>
  <c r="F58" i="41" s="1"/>
  <c r="AZ187" i="41"/>
  <c r="CF187" i="41"/>
  <c r="CF41" i="63"/>
  <c r="CF44" i="63" s="1"/>
  <c r="F90" i="41" s="1"/>
  <c r="DL187" i="41"/>
  <c r="DL41" i="63"/>
  <c r="FH187" i="41"/>
  <c r="FH41" i="63"/>
  <c r="FH44" i="63" s="1"/>
  <c r="F170" i="41" s="1"/>
  <c r="F41" i="63"/>
  <c r="F44" i="63" s="1"/>
  <c r="F12" i="41" s="1"/>
  <c r="F187" i="41"/>
  <c r="N187" i="41"/>
  <c r="N41" i="63"/>
  <c r="N44" i="63" s="1"/>
  <c r="F20" i="41" s="1"/>
  <c r="V187" i="41"/>
  <c r="V41" i="63"/>
  <c r="AD187" i="41"/>
  <c r="AD41" i="63"/>
  <c r="AL187" i="41"/>
  <c r="AL41" i="63"/>
  <c r="AT187" i="41"/>
  <c r="AT41" i="63"/>
  <c r="AT44" i="63" s="1"/>
  <c r="F52" i="41" s="1"/>
  <c r="BB187" i="41"/>
  <c r="BB41" i="63"/>
  <c r="BJ187" i="41"/>
  <c r="BJ41" i="63"/>
  <c r="BR187" i="41"/>
  <c r="BR41" i="63"/>
  <c r="BZ187" i="41"/>
  <c r="BZ41" i="63"/>
  <c r="BZ44" i="63" s="1"/>
  <c r="F84" i="41" s="1"/>
  <c r="CH187" i="41"/>
  <c r="CH41" i="63"/>
  <c r="CP187" i="41"/>
  <c r="CP41" i="63"/>
  <c r="CX187" i="41"/>
  <c r="CX41" i="63"/>
  <c r="DF187" i="41"/>
  <c r="DF41" i="63"/>
  <c r="DF44" i="63" s="1"/>
  <c r="F116" i="41" s="1"/>
  <c r="DN187" i="41"/>
  <c r="DN41" i="63"/>
  <c r="DV187" i="41"/>
  <c r="DV41" i="63"/>
  <c r="ED187" i="41"/>
  <c r="ED41" i="63"/>
  <c r="EL187" i="41"/>
  <c r="EL41" i="63"/>
  <c r="EL44" i="63" s="1"/>
  <c r="F148" i="41" s="1"/>
  <c r="ET187" i="41"/>
  <c r="ET41" i="63"/>
  <c r="FB187" i="41"/>
  <c r="FB41" i="63"/>
  <c r="FJ187" i="41"/>
  <c r="FJ41" i="63"/>
  <c r="G41" i="63"/>
  <c r="G44" i="63" s="1"/>
  <c r="F13" i="41" s="1"/>
  <c r="G187" i="41"/>
  <c r="O187" i="41"/>
  <c r="O41" i="63"/>
  <c r="W41" i="63"/>
  <c r="W44" i="63" s="1"/>
  <c r="F29" i="41" s="1"/>
  <c r="W187" i="41"/>
  <c r="AE41" i="63"/>
  <c r="AE44" i="63" s="1"/>
  <c r="F37" i="41" s="1"/>
  <c r="AE187" i="41"/>
  <c r="AM187" i="41"/>
  <c r="AM41" i="63"/>
  <c r="AM44" i="63" s="1"/>
  <c r="F45" i="41" s="1"/>
  <c r="AU41" i="63"/>
  <c r="AU44" i="63" s="1"/>
  <c r="F53" i="41" s="1"/>
  <c r="AU187" i="41"/>
  <c r="BC41" i="63"/>
  <c r="BC44" i="63" s="1"/>
  <c r="F61" i="41" s="1"/>
  <c r="BC187" i="41"/>
  <c r="BK41" i="63"/>
  <c r="BK44" i="63" s="1"/>
  <c r="F69" i="41" s="1"/>
  <c r="BK187" i="41"/>
  <c r="BS41" i="63"/>
  <c r="BS44" i="63" s="1"/>
  <c r="F77" i="41" s="1"/>
  <c r="BS187" i="41"/>
  <c r="CA187" i="41"/>
  <c r="CA41" i="63"/>
  <c r="CI41" i="63"/>
  <c r="CI44" i="63" s="1"/>
  <c r="F93" i="41" s="1"/>
  <c r="CI187" i="41"/>
  <c r="CQ41" i="63"/>
  <c r="CQ44" i="63" s="1"/>
  <c r="F101" i="41" s="1"/>
  <c r="CQ187" i="41"/>
  <c r="CY187" i="41"/>
  <c r="CY41" i="63"/>
  <c r="CY44" i="63" s="1"/>
  <c r="F109" i="41" s="1"/>
  <c r="DG41" i="63"/>
  <c r="DG44" i="63" s="1"/>
  <c r="F117" i="41" s="1"/>
  <c r="DH41" i="63"/>
  <c r="DG187" i="41"/>
  <c r="DO187" i="41"/>
  <c r="DO41" i="63"/>
  <c r="DO44" i="63" s="1"/>
  <c r="F125" i="41" s="1"/>
  <c r="DW41" i="63"/>
  <c r="DW187" i="41"/>
  <c r="EE41" i="63"/>
  <c r="EE44" i="63" s="1"/>
  <c r="F141" i="41" s="1"/>
  <c r="EE187" i="41"/>
  <c r="EM41" i="63"/>
  <c r="EM187" i="41"/>
  <c r="EU41" i="63"/>
  <c r="EU187" i="41"/>
  <c r="FC41" i="63"/>
  <c r="FC187" i="41"/>
  <c r="FK41" i="63"/>
  <c r="FK44" i="63" s="1"/>
  <c r="F173" i="41" s="1"/>
  <c r="FK187" i="41"/>
  <c r="AR41" i="63"/>
  <c r="AR44" i="63" s="1"/>
  <c r="F50" i="41" s="1"/>
  <c r="AR187" i="41"/>
  <c r="BX41" i="63"/>
  <c r="BX187" i="41"/>
  <c r="DD187" i="41"/>
  <c r="DD41" i="63"/>
  <c r="DD44" i="63" s="1"/>
  <c r="F114" i="41" s="1"/>
  <c r="ER187" i="41"/>
  <c r="ER41" i="63"/>
  <c r="ER44" i="63" s="1"/>
  <c r="F154" i="41" s="1"/>
  <c r="H41" i="63"/>
  <c r="H187" i="41"/>
  <c r="P41" i="63"/>
  <c r="P187" i="41"/>
  <c r="X41" i="63"/>
  <c r="X187" i="41"/>
  <c r="AF41" i="63"/>
  <c r="AF44" i="63" s="1"/>
  <c r="F38" i="41" s="1"/>
  <c r="AF187" i="41"/>
  <c r="AN41" i="63"/>
  <c r="AN187" i="41"/>
  <c r="AV41" i="63"/>
  <c r="AV44" i="63" s="1"/>
  <c r="F54" i="41" s="1"/>
  <c r="AV187" i="41"/>
  <c r="BD41" i="63"/>
  <c r="BD44" i="63" s="1"/>
  <c r="F62" i="41" s="1"/>
  <c r="BD187" i="41"/>
  <c r="BL41" i="63"/>
  <c r="BL44" i="63" s="1"/>
  <c r="F70" i="41" s="1"/>
  <c r="BL187" i="41"/>
  <c r="BT187" i="41"/>
  <c r="BT41" i="63"/>
  <c r="BT44" i="63" s="1"/>
  <c r="F78" i="41" s="1"/>
  <c r="CB41" i="63"/>
  <c r="CB187" i="41"/>
  <c r="CJ187" i="41"/>
  <c r="CJ41" i="63"/>
  <c r="CJ44" i="63" s="1"/>
  <c r="F94" i="41" s="1"/>
  <c r="CR187" i="41"/>
  <c r="CR41" i="63"/>
  <c r="CR44" i="63" s="1"/>
  <c r="F102" i="41" s="1"/>
  <c r="CZ41" i="63"/>
  <c r="CZ187" i="41"/>
  <c r="DP41" i="63"/>
  <c r="DP187" i="41"/>
  <c r="DX41" i="63"/>
  <c r="DX187" i="41"/>
  <c r="EF41" i="63"/>
  <c r="EF44" i="63" s="1"/>
  <c r="F142" i="41" s="1"/>
  <c r="EF187" i="41"/>
  <c r="EN41" i="63"/>
  <c r="EN44" i="63" s="1"/>
  <c r="F150" i="41" s="1"/>
  <c r="EN187" i="41"/>
  <c r="EV187" i="41"/>
  <c r="EV41" i="63"/>
  <c r="EV44" i="63" s="1"/>
  <c r="F158" i="41" s="1"/>
  <c r="FD187" i="41"/>
  <c r="FD41" i="63"/>
  <c r="FD44" i="63" s="1"/>
  <c r="F166" i="41" s="1"/>
  <c r="FL187" i="41"/>
  <c r="FL41" i="63"/>
  <c r="FL44" i="63" s="1"/>
  <c r="F174" i="41" s="1"/>
  <c r="EB187" i="41"/>
  <c r="EB41" i="63"/>
  <c r="EB44" i="63" s="1"/>
  <c r="F138" i="41" s="1"/>
  <c r="I41" i="63"/>
  <c r="I44" i="63" s="1"/>
  <c r="F15" i="41" s="1"/>
  <c r="I187" i="41"/>
  <c r="Q187" i="41"/>
  <c r="Q41" i="63"/>
  <c r="Q44" i="63" s="1"/>
  <c r="F23" i="41" s="1"/>
  <c r="Y187" i="41"/>
  <c r="Y41" i="63"/>
  <c r="Y44" i="63" s="1"/>
  <c r="F31" i="41" s="1"/>
  <c r="AG187" i="41"/>
  <c r="AG41" i="63"/>
  <c r="AG44" i="63" s="1"/>
  <c r="F39" i="41" s="1"/>
  <c r="AO187" i="41"/>
  <c r="AO41" i="63"/>
  <c r="AO44" i="63" s="1"/>
  <c r="F47" i="41" s="1"/>
  <c r="AW187" i="41"/>
  <c r="AW41" i="63"/>
  <c r="AW44" i="63" s="1"/>
  <c r="F55" i="41" s="1"/>
  <c r="BE187" i="41"/>
  <c r="BE41" i="63"/>
  <c r="BE44" i="63" s="1"/>
  <c r="F63" i="41" s="1"/>
  <c r="BM187" i="41"/>
  <c r="BM41" i="63"/>
  <c r="BM44" i="63" s="1"/>
  <c r="F71" i="41" s="1"/>
  <c r="BU187" i="41"/>
  <c r="BU41" i="63"/>
  <c r="BU44" i="63" s="1"/>
  <c r="F79" i="41" s="1"/>
  <c r="CC187" i="41"/>
  <c r="CC41" i="63"/>
  <c r="CC44" i="63" s="1"/>
  <c r="F87" i="41" s="1"/>
  <c r="CK187" i="41"/>
  <c r="CK41" i="63"/>
  <c r="CK44" i="63" s="1"/>
  <c r="F95" i="41" s="1"/>
  <c r="CS187" i="41"/>
  <c r="CS41" i="63"/>
  <c r="CS44" i="63" s="1"/>
  <c r="F103" i="41" s="1"/>
  <c r="DA187" i="41"/>
  <c r="DA41" i="63"/>
  <c r="DA44" i="63" s="1"/>
  <c r="F111" i="41" s="1"/>
  <c r="DI187" i="41"/>
  <c r="DI41" i="63"/>
  <c r="DI44" i="63" s="1"/>
  <c r="F119" i="41" s="1"/>
  <c r="DQ187" i="41"/>
  <c r="DQ41" i="63"/>
  <c r="DQ44" i="63" s="1"/>
  <c r="F127" i="41" s="1"/>
  <c r="DY187" i="41"/>
  <c r="DY41" i="63"/>
  <c r="DY44" i="63" s="1"/>
  <c r="F135" i="41" s="1"/>
  <c r="N135" i="41" s="1"/>
  <c r="O135" i="41" s="1"/>
  <c r="EG187" i="41"/>
  <c r="EG41" i="63"/>
  <c r="EG44" i="63" s="1"/>
  <c r="F143" i="41" s="1"/>
  <c r="EO187" i="41"/>
  <c r="EO41" i="63"/>
  <c r="EO44" i="63" s="1"/>
  <c r="F151" i="41" s="1"/>
  <c r="N151" i="41" s="1"/>
  <c r="O151" i="41" s="1"/>
  <c r="EW187" i="41"/>
  <c r="EW41" i="63"/>
  <c r="EW44" i="63" s="1"/>
  <c r="F159" i="41" s="1"/>
  <c r="FE187" i="41"/>
  <c r="FE41" i="63"/>
  <c r="FE44" i="63" s="1"/>
  <c r="F167" i="41" s="1"/>
  <c r="FM187" i="41"/>
  <c r="FM41" i="63"/>
  <c r="FM44" i="63" s="1"/>
  <c r="F175" i="41" s="1"/>
  <c r="AB41" i="63"/>
  <c r="AB187" i="41"/>
  <c r="BH41" i="63"/>
  <c r="BH44" i="63" s="1"/>
  <c r="F66" i="41" s="1"/>
  <c r="BH187" i="41"/>
  <c r="CN187" i="41"/>
  <c r="CN41" i="63"/>
  <c r="CN44" i="63" s="1"/>
  <c r="F98" i="41" s="1"/>
  <c r="DT41" i="63"/>
  <c r="DT187" i="41"/>
  <c r="EJ41" i="63"/>
  <c r="EJ44" i="63" s="1"/>
  <c r="F146" i="41" s="1"/>
  <c r="EJ187" i="41"/>
  <c r="J187" i="41"/>
  <c r="J41" i="63"/>
  <c r="J44" i="63" s="1"/>
  <c r="F16" i="41" s="1"/>
  <c r="R187" i="41"/>
  <c r="R41" i="63"/>
  <c r="R44" i="63" s="1"/>
  <c r="F24" i="41" s="1"/>
  <c r="Z187" i="41"/>
  <c r="Z41" i="63"/>
  <c r="Z44" i="63" s="1"/>
  <c r="F32" i="41" s="1"/>
  <c r="AH187" i="41"/>
  <c r="AH41" i="63"/>
  <c r="AH44" i="63" s="1"/>
  <c r="F40" i="41" s="1"/>
  <c r="AP187" i="41"/>
  <c r="AP41" i="63"/>
  <c r="AP44" i="63" s="1"/>
  <c r="F48" i="41" s="1"/>
  <c r="AX187" i="41"/>
  <c r="AX41" i="63"/>
  <c r="AX44" i="63" s="1"/>
  <c r="F56" i="41" s="1"/>
  <c r="BF187" i="41"/>
  <c r="BF41" i="63"/>
  <c r="BF44" i="63" s="1"/>
  <c r="F64" i="41" s="1"/>
  <c r="BN187" i="41"/>
  <c r="BN41" i="63"/>
  <c r="BN44" i="63" s="1"/>
  <c r="F72" i="41" s="1"/>
  <c r="BV187" i="41"/>
  <c r="BV41" i="63"/>
  <c r="BV44" i="63" s="1"/>
  <c r="F80" i="41" s="1"/>
  <c r="CD187" i="41"/>
  <c r="CD41" i="63"/>
  <c r="CD44" i="63" s="1"/>
  <c r="F88" i="41" s="1"/>
  <c r="CL187" i="41"/>
  <c r="CL41" i="63"/>
  <c r="CL44" i="63" s="1"/>
  <c r="F96" i="41" s="1"/>
  <c r="CT187" i="41"/>
  <c r="CT41" i="63"/>
  <c r="CT44" i="63" s="1"/>
  <c r="F104" i="41" s="1"/>
  <c r="DB187" i="41"/>
  <c r="DB41" i="63"/>
  <c r="DB44" i="63" s="1"/>
  <c r="F112" i="41" s="1"/>
  <c r="DJ187" i="41"/>
  <c r="DJ41" i="63"/>
  <c r="DJ44" i="63" s="1"/>
  <c r="F120" i="41" s="1"/>
  <c r="DR187" i="41"/>
  <c r="DR41" i="63"/>
  <c r="DR44" i="63" s="1"/>
  <c r="F128" i="41" s="1"/>
  <c r="DZ187" i="41"/>
  <c r="DZ41" i="63"/>
  <c r="DZ44" i="63" s="1"/>
  <c r="F136" i="41" s="1"/>
  <c r="EH187" i="41"/>
  <c r="EH41" i="63"/>
  <c r="EH44" i="63" s="1"/>
  <c r="F144" i="41" s="1"/>
  <c r="N144" i="41" s="1"/>
  <c r="O144" i="41" s="1"/>
  <c r="EP187" i="41"/>
  <c r="EP41" i="63"/>
  <c r="EP44" i="63" s="1"/>
  <c r="F152" i="41" s="1"/>
  <c r="EX187" i="41"/>
  <c r="EX41" i="63"/>
  <c r="EX44" i="63" s="1"/>
  <c r="F160" i="41" s="1"/>
  <c r="FF187" i="41"/>
  <c r="FF41" i="63"/>
  <c r="FF44" i="63" s="1"/>
  <c r="F168" i="41" s="1"/>
  <c r="FN187" i="41"/>
  <c r="FN41" i="63"/>
  <c r="FN44" i="63" s="1"/>
  <c r="F176" i="41" s="1"/>
  <c r="K41" i="63"/>
  <c r="K44" i="63" s="1"/>
  <c r="F17" i="41" s="1"/>
  <c r="K187" i="41"/>
  <c r="S41" i="63"/>
  <c r="S187" i="41"/>
  <c r="AA187" i="41"/>
  <c r="AA41" i="63"/>
  <c r="AA44" i="63" s="1"/>
  <c r="F33" i="41" s="1"/>
  <c r="AI41" i="63"/>
  <c r="AI44" i="63" s="1"/>
  <c r="F41" i="41" s="1"/>
  <c r="AI187" i="41"/>
  <c r="AQ41" i="63"/>
  <c r="AQ44" i="63" s="1"/>
  <c r="F49" i="41" s="1"/>
  <c r="AQ187" i="41"/>
  <c r="AY41" i="63"/>
  <c r="AY44" i="63" s="1"/>
  <c r="F57" i="41" s="1"/>
  <c r="AY187" i="41"/>
  <c r="BG187" i="41"/>
  <c r="BG41" i="63"/>
  <c r="BG44" i="63" s="1"/>
  <c r="F65" i="41" s="1"/>
  <c r="BO41" i="63"/>
  <c r="BO44" i="63" s="1"/>
  <c r="F73" i="41" s="1"/>
  <c r="BO187" i="41"/>
  <c r="BW41" i="63"/>
  <c r="BW187" i="41"/>
  <c r="CE41" i="63"/>
  <c r="CE44" i="63" s="1"/>
  <c r="F89" i="41" s="1"/>
  <c r="CE187" i="41"/>
  <c r="CM187" i="41"/>
  <c r="CM41" i="63"/>
  <c r="CM44" i="63" s="1"/>
  <c r="F97" i="41" s="1"/>
  <c r="CU41" i="63"/>
  <c r="CU44" i="63" s="1"/>
  <c r="F105" i="41" s="1"/>
  <c r="CU187" i="41"/>
  <c r="DC187" i="41"/>
  <c r="DC41" i="63"/>
  <c r="DC44" i="63" s="1"/>
  <c r="F113" i="41" s="1"/>
  <c r="DK187" i="41"/>
  <c r="DK41" i="63"/>
  <c r="DK44" i="63" s="1"/>
  <c r="F121" i="41" s="1"/>
  <c r="DS41" i="63"/>
  <c r="DS187" i="41"/>
  <c r="EA41" i="63"/>
  <c r="EA44" i="63" s="1"/>
  <c r="F137" i="41" s="1"/>
  <c r="EA187" i="41"/>
  <c r="EI41" i="63"/>
  <c r="EI44" i="63" s="1"/>
  <c r="F145" i="41" s="1"/>
  <c r="EI187" i="41"/>
  <c r="EQ41" i="63"/>
  <c r="EQ44" i="63" s="1"/>
  <c r="F153" i="41" s="1"/>
  <c r="EQ187" i="41"/>
  <c r="EY187" i="41"/>
  <c r="EY41" i="63"/>
  <c r="EY44" i="63" s="1"/>
  <c r="F161" i="41" s="1"/>
  <c r="FG41" i="63"/>
  <c r="FG44" i="63" s="1"/>
  <c r="F169" i="41" s="1"/>
  <c r="FG187" i="41"/>
  <c r="G44" i="70"/>
  <c r="M13" i="41" s="1"/>
  <c r="FT29" i="70"/>
  <c r="GB29" i="70"/>
  <c r="GJ29" i="70"/>
  <c r="GR29" i="70"/>
  <c r="GZ29" i="70"/>
  <c r="HH29" i="70"/>
  <c r="HP29" i="70"/>
  <c r="HX29" i="70"/>
  <c r="IF29" i="70"/>
  <c r="IN29" i="70"/>
  <c r="IV29" i="70"/>
  <c r="JD29" i="70"/>
  <c r="JL29" i="70"/>
  <c r="JT29" i="70"/>
  <c r="KB29" i="70"/>
  <c r="KJ29" i="70"/>
  <c r="KR29" i="70"/>
  <c r="KZ29" i="70"/>
  <c r="LH29" i="70"/>
  <c r="LP29" i="70"/>
  <c r="GD29" i="69"/>
  <c r="GL29" i="69"/>
  <c r="HB29" i="69"/>
  <c r="HJ29" i="69"/>
  <c r="HR29" i="69"/>
  <c r="HZ29" i="69"/>
  <c r="IH29" i="69"/>
  <c r="IX29" i="69"/>
  <c r="JN29" i="69"/>
  <c r="JV29" i="69"/>
  <c r="KD29" i="69"/>
  <c r="KL29" i="69"/>
  <c r="KT29" i="69"/>
  <c r="LB29" i="69"/>
  <c r="LJ29" i="69"/>
  <c r="LR29" i="69"/>
  <c r="FO29" i="69"/>
  <c r="FW29" i="69"/>
  <c r="GE29" i="69"/>
  <c r="GM29" i="69"/>
  <c r="GU29" i="69"/>
  <c r="HC29" i="69"/>
  <c r="HK29" i="69"/>
  <c r="HS29" i="69"/>
  <c r="IA29" i="69"/>
  <c r="II29" i="69"/>
  <c r="IQ29" i="69"/>
  <c r="IY29" i="69"/>
  <c r="JG29" i="69"/>
  <c r="JO29" i="69"/>
  <c r="JW29" i="69"/>
  <c r="KE29" i="69"/>
  <c r="KM29" i="69"/>
  <c r="KU29" i="69"/>
  <c r="LC29" i="69"/>
  <c r="LK29" i="69"/>
  <c r="LS29" i="69"/>
  <c r="IP29" i="69"/>
  <c r="FV29" i="69"/>
  <c r="GT29" i="69"/>
  <c r="JF29" i="69"/>
  <c r="FP29" i="68"/>
  <c r="FX29" i="68"/>
  <c r="GF29" i="68"/>
  <c r="GN29" i="68"/>
  <c r="GV29" i="68"/>
  <c r="HD29" i="68"/>
  <c r="HL29" i="68"/>
  <c r="HT29" i="68"/>
  <c r="IB29" i="68"/>
  <c r="IJ29" i="68"/>
  <c r="IR29" i="68"/>
  <c r="IZ29" i="68"/>
  <c r="JH29" i="68"/>
  <c r="JP29" i="68"/>
  <c r="JX29" i="68"/>
  <c r="KF29" i="68"/>
  <c r="KN29" i="68"/>
  <c r="KV29" i="68"/>
  <c r="LD29" i="68"/>
  <c r="LL29" i="68"/>
  <c r="LT29" i="68"/>
  <c r="FQ29" i="68"/>
  <c r="GO29" i="68"/>
  <c r="IC29" i="68"/>
  <c r="JQ29" i="68"/>
  <c r="KW29" i="68"/>
  <c r="LE29" i="68"/>
  <c r="FY29" i="68"/>
  <c r="GW29" i="68"/>
  <c r="IK29" i="68"/>
  <c r="JI29" i="68"/>
  <c r="KG29" i="68"/>
  <c r="LM29" i="68"/>
  <c r="HM29" i="68"/>
  <c r="JA29" i="68"/>
  <c r="GG29" i="68"/>
  <c r="HE29" i="68"/>
  <c r="IS29" i="68"/>
  <c r="JY29" i="68"/>
  <c r="KO29" i="68"/>
  <c r="LU29" i="68"/>
  <c r="HU29" i="68"/>
  <c r="FJ44" i="67"/>
  <c r="J172" i="41" s="1"/>
  <c r="EZ44" i="67"/>
  <c r="FR29" i="67"/>
  <c r="FZ29" i="67"/>
  <c r="GH29" i="67"/>
  <c r="GP29" i="67"/>
  <c r="GX29" i="67"/>
  <c r="HF29" i="67"/>
  <c r="HN29" i="67"/>
  <c r="HV29" i="67"/>
  <c r="ID29" i="67"/>
  <c r="IL29" i="67"/>
  <c r="IT29" i="67"/>
  <c r="JB29" i="67"/>
  <c r="JJ29" i="67"/>
  <c r="JR29" i="67"/>
  <c r="JZ29" i="67"/>
  <c r="KH29" i="67"/>
  <c r="KP29" i="67"/>
  <c r="KX29" i="67"/>
  <c r="LF29" i="67"/>
  <c r="LN29" i="67"/>
  <c r="LV29" i="67"/>
  <c r="FS29" i="67"/>
  <c r="GA29" i="67"/>
  <c r="GI29" i="67"/>
  <c r="GQ29" i="67"/>
  <c r="GY29" i="67"/>
  <c r="HG29" i="67"/>
  <c r="HO29" i="67"/>
  <c r="HW29" i="67"/>
  <c r="IE29" i="67"/>
  <c r="IM29" i="67"/>
  <c r="IU29" i="67"/>
  <c r="JC29" i="67"/>
  <c r="JK29" i="67"/>
  <c r="JS29" i="67"/>
  <c r="KA29" i="67"/>
  <c r="KI29" i="67"/>
  <c r="KQ29" i="67"/>
  <c r="KY29" i="67"/>
  <c r="LG29" i="67"/>
  <c r="LO29" i="67"/>
  <c r="LW29" i="67"/>
  <c r="GB29" i="66"/>
  <c r="GR29" i="66"/>
  <c r="GZ29" i="66"/>
  <c r="HH29" i="66"/>
  <c r="HP29" i="66"/>
  <c r="HX29" i="66"/>
  <c r="IF29" i="66"/>
  <c r="IN29" i="66"/>
  <c r="IV29" i="66"/>
  <c r="JD29" i="66"/>
  <c r="JL29" i="66"/>
  <c r="JT29" i="66"/>
  <c r="KB29" i="66"/>
  <c r="KJ29" i="66"/>
  <c r="KR29" i="66"/>
  <c r="KZ29" i="66"/>
  <c r="LH29" i="66"/>
  <c r="LP29" i="66"/>
  <c r="FT29" i="66"/>
  <c r="GJ29" i="66"/>
  <c r="GC29" i="66"/>
  <c r="GS29" i="66"/>
  <c r="HI29" i="66"/>
  <c r="HQ29" i="66"/>
  <c r="HY29" i="66"/>
  <c r="IG29" i="66"/>
  <c r="IW29" i="66"/>
  <c r="JE29" i="66"/>
  <c r="JM29" i="66"/>
  <c r="JU29" i="66"/>
  <c r="KC29" i="66"/>
  <c r="KK29" i="66"/>
  <c r="KS29" i="66"/>
  <c r="LA29" i="66"/>
  <c r="LI29" i="66"/>
  <c r="LQ29" i="66"/>
  <c r="FU29" i="66"/>
  <c r="GK29" i="66"/>
  <c r="HA29" i="66"/>
  <c r="IO29" i="66"/>
  <c r="FT29" i="62"/>
  <c r="GB29" i="62"/>
  <c r="GJ29" i="62"/>
  <c r="GR29" i="62"/>
  <c r="GZ29" i="62"/>
  <c r="HH29" i="62"/>
  <c r="HP29" i="62"/>
  <c r="HX29" i="62"/>
  <c r="IF29" i="62"/>
  <c r="IN29" i="62"/>
  <c r="IV29" i="62"/>
  <c r="JD29" i="62"/>
  <c r="JL29" i="62"/>
  <c r="JT29" i="62"/>
  <c r="KB29" i="62"/>
  <c r="KJ29" i="62"/>
  <c r="KR29" i="62"/>
  <c r="KZ29" i="62"/>
  <c r="LH29" i="62"/>
  <c r="LP29" i="62"/>
  <c r="L44" i="63"/>
  <c r="F18" i="41" s="1"/>
  <c r="T44" i="63"/>
  <c r="F26" i="41" s="1"/>
  <c r="AB44" i="63"/>
  <c r="F34" i="41" s="1"/>
  <c r="AJ44" i="63"/>
  <c r="F42" i="41" s="1"/>
  <c r="BP44" i="63"/>
  <c r="F74" i="41" s="1"/>
  <c r="BX44" i="63"/>
  <c r="F82" i="41" s="1"/>
  <c r="DL44" i="63"/>
  <c r="F122" i="41" s="1"/>
  <c r="DT44" i="63"/>
  <c r="F130" i="41" s="1"/>
  <c r="EZ44" i="63"/>
  <c r="F162" i="41" s="1"/>
  <c r="S44" i="63"/>
  <c r="F25" i="41" s="1"/>
  <c r="BW44" i="63"/>
  <c r="F81" i="41" s="1"/>
  <c r="H44" i="63"/>
  <c r="F14" i="41" s="1"/>
  <c r="P44" i="63"/>
  <c r="F22" i="41" s="1"/>
  <c r="X44" i="63"/>
  <c r="F30" i="41" s="1"/>
  <c r="AN44" i="63"/>
  <c r="F46" i="41" s="1"/>
  <c r="CB44" i="63"/>
  <c r="F86" i="41" s="1"/>
  <c r="CZ44" i="63"/>
  <c r="F110" i="41" s="1"/>
  <c r="DH44" i="63"/>
  <c r="F118" i="41" s="1"/>
  <c r="DP44" i="63"/>
  <c r="F126" i="41" s="1"/>
  <c r="DX44" i="63"/>
  <c r="F134" i="41" s="1"/>
  <c r="FR29" i="63"/>
  <c r="GP29" i="63"/>
  <c r="HF29" i="63"/>
  <c r="HV29" i="63"/>
  <c r="IL29" i="63"/>
  <c r="JB29" i="63"/>
  <c r="JZ29" i="63"/>
  <c r="KP29" i="63"/>
  <c r="LN29" i="63"/>
  <c r="U44" i="63"/>
  <c r="F27" i="41" s="1"/>
  <c r="AK44" i="63"/>
  <c r="F43" i="41" s="1"/>
  <c r="AS44" i="63"/>
  <c r="F51" i="41" s="1"/>
  <c r="BA44" i="63"/>
  <c r="F59" i="41" s="1"/>
  <c r="BQ44" i="63"/>
  <c r="F75" i="41" s="1"/>
  <c r="BY44" i="63"/>
  <c r="F83" i="41" s="1"/>
  <c r="CG44" i="63"/>
  <c r="F91" i="41" s="1"/>
  <c r="CW44" i="63"/>
  <c r="F107" i="41" s="1"/>
  <c r="DE44" i="63"/>
  <c r="F115" i="41" s="1"/>
  <c r="DM44" i="63"/>
  <c r="F123" i="41" s="1"/>
  <c r="EC44" i="63"/>
  <c r="F139" i="41" s="1"/>
  <c r="N139" i="41" s="1"/>
  <c r="O139" i="41" s="1"/>
  <c r="EK44" i="63"/>
  <c r="F147" i="41" s="1"/>
  <c r="ES44" i="63"/>
  <c r="F155" i="41" s="1"/>
  <c r="FI44" i="63"/>
  <c r="F171" i="41" s="1"/>
  <c r="FZ29" i="63"/>
  <c r="GH29" i="63"/>
  <c r="GX29" i="63"/>
  <c r="HN29" i="63"/>
  <c r="ID29" i="63"/>
  <c r="IT29" i="63"/>
  <c r="JJ29" i="63"/>
  <c r="JR29" i="63"/>
  <c r="KH29" i="63"/>
  <c r="LF29" i="63"/>
  <c r="LV29" i="63"/>
  <c r="V44" i="63"/>
  <c r="F28" i="41" s="1"/>
  <c r="AD44" i="63"/>
  <c r="F36" i="41" s="1"/>
  <c r="AL44" i="63"/>
  <c r="F44" i="41" s="1"/>
  <c r="BB44" i="63"/>
  <c r="F60" i="41" s="1"/>
  <c r="BJ44" i="63"/>
  <c r="F68" i="41" s="1"/>
  <c r="BR44" i="63"/>
  <c r="F76" i="41" s="1"/>
  <c r="CH44" i="63"/>
  <c r="F92" i="41" s="1"/>
  <c r="CP44" i="63"/>
  <c r="F100" i="41" s="1"/>
  <c r="CX44" i="63"/>
  <c r="F108" i="41" s="1"/>
  <c r="DN44" i="63"/>
  <c r="F124" i="41" s="1"/>
  <c r="DV44" i="63"/>
  <c r="F132" i="41" s="1"/>
  <c r="ED44" i="63"/>
  <c r="F140" i="41" s="1"/>
  <c r="ET44" i="63"/>
  <c r="F156" i="41" s="1"/>
  <c r="FB44" i="63"/>
  <c r="F164" i="41" s="1"/>
  <c r="FJ44" i="63"/>
  <c r="F172" i="41" s="1"/>
  <c r="KX29" i="63"/>
  <c r="O44" i="63"/>
  <c r="F21" i="41" s="1"/>
  <c r="CA44" i="63"/>
  <c r="F85" i="41" s="1"/>
  <c r="DW44" i="63"/>
  <c r="F133" i="41" s="1"/>
  <c r="EM44" i="63"/>
  <c r="F149" i="41" s="1"/>
  <c r="EU44" i="63"/>
  <c r="F157" i="41" s="1"/>
  <c r="FC44" i="63"/>
  <c r="F165" i="41" s="1"/>
  <c r="FP29" i="64"/>
  <c r="FX29" i="64"/>
  <c r="GF29" i="64"/>
  <c r="GN29" i="64"/>
  <c r="GV29" i="64"/>
  <c r="HD29" i="64"/>
  <c r="HL29" i="64"/>
  <c r="HT29" i="64"/>
  <c r="IB29" i="64"/>
  <c r="IJ29" i="64"/>
  <c r="IR29" i="64"/>
  <c r="IZ29" i="64"/>
  <c r="JH29" i="64"/>
  <c r="JP29" i="64"/>
  <c r="JX29" i="64"/>
  <c r="KF29" i="64"/>
  <c r="KN29" i="64"/>
  <c r="KV29" i="64"/>
  <c r="LD29" i="64"/>
  <c r="LL29" i="64"/>
  <c r="LT29" i="64"/>
  <c r="FV29" i="65"/>
  <c r="GD29" i="65"/>
  <c r="GL29" i="65"/>
  <c r="GT29" i="65"/>
  <c r="HB29" i="65"/>
  <c r="HJ29" i="65"/>
  <c r="HR29" i="65"/>
  <c r="HZ29" i="65"/>
  <c r="IH29" i="65"/>
  <c r="IP29" i="65"/>
  <c r="IX29" i="65"/>
  <c r="JF29" i="65"/>
  <c r="JN29" i="65"/>
  <c r="JV29" i="65"/>
  <c r="KD29" i="65"/>
  <c r="KL29" i="65"/>
  <c r="KT29" i="65"/>
  <c r="LB29" i="65"/>
  <c r="LJ29" i="65"/>
  <c r="LR29" i="65"/>
  <c r="GE29" i="65"/>
  <c r="HS29" i="65"/>
  <c r="JG29" i="65"/>
  <c r="KM29" i="65"/>
  <c r="GU29" i="65"/>
  <c r="IA29" i="65"/>
  <c r="JO29" i="65"/>
  <c r="KU29" i="65"/>
  <c r="GM29" i="65"/>
  <c r="IY29" i="65"/>
  <c r="LC29" i="65"/>
  <c r="FW29" i="65"/>
  <c r="HK29" i="65"/>
  <c r="IQ29" i="65"/>
  <c r="KE29" i="65"/>
  <c r="LS29" i="65"/>
  <c r="FO29" i="65"/>
  <c r="HC29" i="65"/>
  <c r="II29" i="65"/>
  <c r="JW29" i="65"/>
  <c r="LK29" i="65"/>
  <c r="DS44" i="63"/>
  <c r="F129" i="41" s="1"/>
  <c r="FQ29" i="64"/>
  <c r="FY29" i="64"/>
  <c r="GG29" i="64"/>
  <c r="GO29" i="64"/>
  <c r="GW29" i="64"/>
  <c r="HE29" i="64"/>
  <c r="HM29" i="64"/>
  <c r="HU29" i="64"/>
  <c r="IC29" i="64"/>
  <c r="IK29" i="64"/>
  <c r="IS29" i="64"/>
  <c r="JA29" i="64"/>
  <c r="JI29" i="64"/>
  <c r="JQ29" i="64"/>
  <c r="JY29" i="64"/>
  <c r="KG29" i="64"/>
  <c r="KO29" i="64"/>
  <c r="KW29" i="64"/>
  <c r="LE29" i="64"/>
  <c r="LM29" i="64"/>
  <c r="LU29" i="64"/>
  <c r="FU29" i="70"/>
  <c r="GC29" i="70"/>
  <c r="GK29" i="70"/>
  <c r="GS29" i="70"/>
  <c r="HA29" i="70"/>
  <c r="HI29" i="70"/>
  <c r="HQ29" i="70"/>
  <c r="HY29" i="70"/>
  <c r="IG29" i="70"/>
  <c r="IO29" i="70"/>
  <c r="IW29" i="70"/>
  <c r="JE29" i="70"/>
  <c r="JM29" i="70"/>
  <c r="JU29" i="70"/>
  <c r="KC29" i="70"/>
  <c r="KK29" i="70"/>
  <c r="KS29" i="70"/>
  <c r="LA29" i="70"/>
  <c r="LI29" i="70"/>
  <c r="LQ29" i="70"/>
  <c r="FU29" i="62"/>
  <c r="HI29" i="62"/>
  <c r="JM29" i="62"/>
  <c r="LA29" i="62"/>
  <c r="HA29" i="62"/>
  <c r="IG29" i="62"/>
  <c r="JU29" i="62"/>
  <c r="LI29" i="62"/>
  <c r="GK29" i="62"/>
  <c r="HY29" i="62"/>
  <c r="IW29" i="62"/>
  <c r="KS29" i="62"/>
  <c r="GC29" i="62"/>
  <c r="HQ29" i="62"/>
  <c r="JE29" i="62"/>
  <c r="KK29" i="62"/>
  <c r="GS29" i="62"/>
  <c r="IO29" i="62"/>
  <c r="KC29" i="62"/>
  <c r="LQ29" i="62"/>
  <c r="F180" i="41"/>
  <c r="FS29" i="63"/>
  <c r="HG29" i="63"/>
  <c r="IE29" i="63"/>
  <c r="JS29" i="63"/>
  <c r="LW29" i="63"/>
  <c r="GY29" i="63"/>
  <c r="IM29" i="63"/>
  <c r="KI29" i="63"/>
  <c r="LG29" i="63"/>
  <c r="GI29" i="63"/>
  <c r="HW29" i="63"/>
  <c r="JK29" i="63"/>
  <c r="GA29" i="63"/>
  <c r="HO29" i="63"/>
  <c r="JC29" i="63"/>
  <c r="KA29" i="63"/>
  <c r="KY29" i="63"/>
  <c r="GQ29" i="63"/>
  <c r="IU29" i="63"/>
  <c r="KQ29" i="63"/>
  <c r="LO29" i="63"/>
  <c r="C190" i="41"/>
  <c r="FO29" i="39"/>
  <c r="JI29" i="39"/>
  <c r="JY29" i="39"/>
  <c r="IC29" i="39"/>
  <c r="LE29" i="39"/>
  <c r="JA29" i="39"/>
  <c r="HM29" i="39"/>
  <c r="GG29" i="39"/>
  <c r="KW29" i="39"/>
  <c r="IS29" i="39"/>
  <c r="HE29" i="39"/>
  <c r="FY29" i="39"/>
  <c r="KO29" i="39"/>
  <c r="GW29" i="39"/>
  <c r="LM29" i="39"/>
  <c r="JQ29" i="39"/>
  <c r="IK29" i="39"/>
  <c r="GO29" i="39"/>
  <c r="FQ29" i="39"/>
  <c r="LU29" i="39"/>
  <c r="KG29" i="39"/>
  <c r="HU29" i="39"/>
  <c r="LW29" i="39"/>
  <c r="LO29" i="39"/>
  <c r="LG29" i="39"/>
  <c r="KY29" i="39"/>
  <c r="KQ29" i="39"/>
  <c r="KI29" i="39"/>
  <c r="KA29" i="39"/>
  <c r="JS29" i="39"/>
  <c r="JK29" i="39"/>
  <c r="JC29" i="39"/>
  <c r="IU29" i="39"/>
  <c r="IM29" i="39"/>
  <c r="IE29" i="39"/>
  <c r="HW29" i="39"/>
  <c r="HO29" i="39"/>
  <c r="HG29" i="39"/>
  <c r="GY29" i="39"/>
  <c r="GQ29" i="39"/>
  <c r="GI29" i="39"/>
  <c r="GA29" i="39"/>
  <c r="FS29" i="39"/>
  <c r="FR29" i="62"/>
  <c r="FZ29" i="62"/>
  <c r="GH29" i="62"/>
  <c r="GP29" i="62"/>
  <c r="GX29" i="62"/>
  <c r="HF29" i="62"/>
  <c r="HN29" i="62"/>
  <c r="HV29" i="62"/>
  <c r="ID29" i="62"/>
  <c r="IL29" i="62"/>
  <c r="IT29" i="62"/>
  <c r="JB29" i="62"/>
  <c r="JJ29" i="62"/>
  <c r="JR29" i="62"/>
  <c r="JZ29" i="62"/>
  <c r="KH29" i="62"/>
  <c r="KP29" i="62"/>
  <c r="KX29" i="62"/>
  <c r="LF29" i="62"/>
  <c r="LN29" i="62"/>
  <c r="LV29" i="62"/>
  <c r="FP29" i="63"/>
  <c r="FX29" i="63"/>
  <c r="GF29" i="63"/>
  <c r="GN29" i="63"/>
  <c r="GV29" i="63"/>
  <c r="HD29" i="63"/>
  <c r="HL29" i="63"/>
  <c r="HT29" i="63"/>
  <c r="IB29" i="63"/>
  <c r="IJ29" i="63"/>
  <c r="IR29" i="63"/>
  <c r="IZ29" i="63"/>
  <c r="JH29" i="63"/>
  <c r="JP29" i="63"/>
  <c r="JX29" i="63"/>
  <c r="KF29" i="63"/>
  <c r="KN29" i="63"/>
  <c r="KV29" i="63"/>
  <c r="LD29" i="63"/>
  <c r="LL29" i="63"/>
  <c r="LT29" i="63"/>
  <c r="FV29" i="64"/>
  <c r="GD29" i="64"/>
  <c r="GL29" i="64"/>
  <c r="GT29" i="64"/>
  <c r="HB29" i="64"/>
  <c r="HJ29" i="64"/>
  <c r="HR29" i="64"/>
  <c r="HZ29" i="64"/>
  <c r="IH29" i="64"/>
  <c r="IP29" i="64"/>
  <c r="IX29" i="64"/>
  <c r="JF29" i="64"/>
  <c r="JN29" i="64"/>
  <c r="JV29" i="64"/>
  <c r="KD29" i="64"/>
  <c r="KL29" i="64"/>
  <c r="KT29" i="64"/>
  <c r="LB29" i="64"/>
  <c r="LJ29" i="64"/>
  <c r="LR29" i="64"/>
  <c r="FT29" i="65"/>
  <c r="GB29" i="65"/>
  <c r="GJ29" i="65"/>
  <c r="GR29" i="65"/>
  <c r="GZ29" i="65"/>
  <c r="HH29" i="65"/>
  <c r="HP29" i="65"/>
  <c r="HX29" i="65"/>
  <c r="IF29" i="65"/>
  <c r="IN29" i="65"/>
  <c r="IV29" i="65"/>
  <c r="JD29" i="65"/>
  <c r="JL29" i="65"/>
  <c r="JT29" i="65"/>
  <c r="KB29" i="65"/>
  <c r="KJ29" i="65"/>
  <c r="KR29" i="65"/>
  <c r="KZ29" i="65"/>
  <c r="LH29" i="65"/>
  <c r="LP29" i="65"/>
  <c r="FR29" i="66"/>
  <c r="FZ29" i="66"/>
  <c r="GH29" i="66"/>
  <c r="GP29" i="66"/>
  <c r="GX29" i="66"/>
  <c r="HF29" i="66"/>
  <c r="HN29" i="66"/>
  <c r="HV29" i="66"/>
  <c r="ID29" i="66"/>
  <c r="IL29" i="66"/>
  <c r="IT29" i="66"/>
  <c r="JB29" i="66"/>
  <c r="JJ29" i="66"/>
  <c r="JR29" i="66"/>
  <c r="JZ29" i="66"/>
  <c r="KH29" i="66"/>
  <c r="KP29" i="66"/>
  <c r="KX29" i="66"/>
  <c r="LF29" i="66"/>
  <c r="LN29" i="66"/>
  <c r="LV29" i="66"/>
  <c r="FP29" i="67"/>
  <c r="FX29" i="67"/>
  <c r="GF29" i="67"/>
  <c r="GN29" i="67"/>
  <c r="GV29" i="67"/>
  <c r="HD29" i="67"/>
  <c r="HL29" i="67"/>
  <c r="HT29" i="67"/>
  <c r="IB29" i="67"/>
  <c r="IJ29" i="67"/>
  <c r="IR29" i="67"/>
  <c r="IZ29" i="67"/>
  <c r="JH29" i="67"/>
  <c r="JP29" i="67"/>
  <c r="JX29" i="67"/>
  <c r="KF29" i="67"/>
  <c r="KN29" i="67"/>
  <c r="KV29" i="67"/>
  <c r="LD29" i="67"/>
  <c r="LL29" i="67"/>
  <c r="LT29" i="67"/>
  <c r="FV29" i="68"/>
  <c r="GD29" i="68"/>
  <c r="GL29" i="68"/>
  <c r="GT29" i="68"/>
  <c r="HB29" i="68"/>
  <c r="HJ29" i="68"/>
  <c r="HR29" i="68"/>
  <c r="HZ29" i="68"/>
  <c r="IH29" i="68"/>
  <c r="IP29" i="68"/>
  <c r="IX29" i="68"/>
  <c r="JF29" i="68"/>
  <c r="JN29" i="68"/>
  <c r="JV29" i="68"/>
  <c r="KD29" i="68"/>
  <c r="KL29" i="68"/>
  <c r="KT29" i="68"/>
  <c r="LB29" i="68"/>
  <c r="LJ29" i="68"/>
  <c r="LR29" i="68"/>
  <c r="LV29" i="39"/>
  <c r="LN29" i="39"/>
  <c r="LF29" i="39"/>
  <c r="KX29" i="39"/>
  <c r="KP29" i="39"/>
  <c r="KH29" i="39"/>
  <c r="JZ29" i="39"/>
  <c r="JR29" i="39"/>
  <c r="JJ29" i="39"/>
  <c r="JB29" i="39"/>
  <c r="IT29" i="39"/>
  <c r="IL29" i="39"/>
  <c r="ID29" i="39"/>
  <c r="HV29" i="39"/>
  <c r="HN29" i="39"/>
  <c r="HF29" i="39"/>
  <c r="GX29" i="39"/>
  <c r="GP29" i="39"/>
  <c r="GH29" i="39"/>
  <c r="FZ29" i="39"/>
  <c r="FR29" i="39"/>
  <c r="FS29" i="62"/>
  <c r="GA29" i="62"/>
  <c r="GI29" i="62"/>
  <c r="GQ29" i="62"/>
  <c r="GY29" i="62"/>
  <c r="HG29" i="62"/>
  <c r="HO29" i="62"/>
  <c r="HW29" i="62"/>
  <c r="IE29" i="62"/>
  <c r="IM29" i="62"/>
  <c r="IU29" i="62"/>
  <c r="JC29" i="62"/>
  <c r="JK29" i="62"/>
  <c r="JS29" i="62"/>
  <c r="KA29" i="62"/>
  <c r="KI29" i="62"/>
  <c r="KQ29" i="62"/>
  <c r="KY29" i="62"/>
  <c r="LG29" i="62"/>
  <c r="LO29" i="62"/>
  <c r="LW29" i="62"/>
  <c r="FQ29" i="63"/>
  <c r="FY29" i="63"/>
  <c r="GG29" i="63"/>
  <c r="GO29" i="63"/>
  <c r="GW29" i="63"/>
  <c r="HE29" i="63"/>
  <c r="HM29" i="63"/>
  <c r="HU29" i="63"/>
  <c r="IC29" i="63"/>
  <c r="IK29" i="63"/>
  <c r="IS29" i="63"/>
  <c r="JA29" i="63"/>
  <c r="JI29" i="63"/>
  <c r="JQ29" i="63"/>
  <c r="JY29" i="63"/>
  <c r="KG29" i="63"/>
  <c r="KO29" i="63"/>
  <c r="KW29" i="63"/>
  <c r="LE29" i="63"/>
  <c r="LM29" i="63"/>
  <c r="LU29" i="63"/>
  <c r="FO29" i="64"/>
  <c r="FW29" i="64"/>
  <c r="GE29" i="64"/>
  <c r="GM29" i="64"/>
  <c r="GU29" i="64"/>
  <c r="HC29" i="64"/>
  <c r="HK29" i="64"/>
  <c r="HS29" i="64"/>
  <c r="IA29" i="64"/>
  <c r="II29" i="64"/>
  <c r="IQ29" i="64"/>
  <c r="IY29" i="64"/>
  <c r="JG29" i="64"/>
  <c r="JO29" i="64"/>
  <c r="JW29" i="64"/>
  <c r="KE29" i="64"/>
  <c r="KM29" i="64"/>
  <c r="KU29" i="64"/>
  <c r="LC29" i="64"/>
  <c r="LK29" i="64"/>
  <c r="LS29" i="64"/>
  <c r="FU29" i="65"/>
  <c r="GC29" i="65"/>
  <c r="GK29" i="65"/>
  <c r="GS29" i="65"/>
  <c r="HA29" i="65"/>
  <c r="HI29" i="65"/>
  <c r="HQ29" i="65"/>
  <c r="HY29" i="65"/>
  <c r="IG29" i="65"/>
  <c r="IO29" i="65"/>
  <c r="IW29" i="65"/>
  <c r="JE29" i="65"/>
  <c r="JM29" i="65"/>
  <c r="JU29" i="65"/>
  <c r="KC29" i="65"/>
  <c r="KK29" i="65"/>
  <c r="KS29" i="65"/>
  <c r="LA29" i="65"/>
  <c r="LI29" i="65"/>
  <c r="LQ29" i="65"/>
  <c r="FS29" i="66"/>
  <c r="GA29" i="66"/>
  <c r="GI29" i="66"/>
  <c r="GQ29" i="66"/>
  <c r="GY29" i="66"/>
  <c r="HG29" i="66"/>
  <c r="HO29" i="66"/>
  <c r="HW29" i="66"/>
  <c r="IE29" i="66"/>
  <c r="IM29" i="66"/>
  <c r="IU29" i="66"/>
  <c r="JC29" i="66"/>
  <c r="JK29" i="66"/>
  <c r="JS29" i="66"/>
  <c r="KA29" i="66"/>
  <c r="KI29" i="66"/>
  <c r="KQ29" i="66"/>
  <c r="KY29" i="66"/>
  <c r="LG29" i="66"/>
  <c r="LO29" i="66"/>
  <c r="LW29" i="66"/>
  <c r="FQ29" i="67"/>
  <c r="FY29" i="67"/>
  <c r="GG29" i="67"/>
  <c r="GO29" i="67"/>
  <c r="GW29" i="67"/>
  <c r="HE29" i="67"/>
  <c r="HM29" i="67"/>
  <c r="HU29" i="67"/>
  <c r="IC29" i="67"/>
  <c r="IK29" i="67"/>
  <c r="IS29" i="67"/>
  <c r="JA29" i="67"/>
  <c r="JI29" i="67"/>
  <c r="JQ29" i="67"/>
  <c r="JY29" i="67"/>
  <c r="KG29" i="67"/>
  <c r="KO29" i="67"/>
  <c r="KW29" i="67"/>
  <c r="LE29" i="67"/>
  <c r="LM29" i="67"/>
  <c r="LU29" i="67"/>
  <c r="FO29" i="68"/>
  <c r="FW29" i="68"/>
  <c r="GE29" i="68"/>
  <c r="GM29" i="68"/>
  <c r="GU29" i="68"/>
  <c r="HC29" i="68"/>
  <c r="HK29" i="68"/>
  <c r="HS29" i="68"/>
  <c r="IA29" i="68"/>
  <c r="II29" i="68"/>
  <c r="IQ29" i="68"/>
  <c r="IY29" i="68"/>
  <c r="JG29" i="68"/>
  <c r="JO29" i="68"/>
  <c r="JW29" i="68"/>
  <c r="KE29" i="68"/>
  <c r="KM29" i="68"/>
  <c r="KU29" i="68"/>
  <c r="LC29" i="68"/>
  <c r="LK29" i="68"/>
  <c r="LS29" i="68"/>
  <c r="LD29" i="39"/>
  <c r="JX29" i="39"/>
  <c r="IR29" i="39"/>
  <c r="HT29" i="39"/>
  <c r="GN29" i="39"/>
  <c r="FP29" i="39"/>
  <c r="LT29" i="39"/>
  <c r="KV29" i="39"/>
  <c r="KF29" i="39"/>
  <c r="JH29" i="39"/>
  <c r="IJ29" i="39"/>
  <c r="HL29" i="39"/>
  <c r="GV29" i="39"/>
  <c r="FX29" i="39"/>
  <c r="LS29" i="39"/>
  <c r="LK29" i="39"/>
  <c r="LC29" i="39"/>
  <c r="KU29" i="39"/>
  <c r="KM29" i="39"/>
  <c r="KE29" i="39"/>
  <c r="JW29" i="39"/>
  <c r="JO29" i="39"/>
  <c r="JG29" i="39"/>
  <c r="IY29" i="39"/>
  <c r="IQ29" i="39"/>
  <c r="II29" i="39"/>
  <c r="IA29" i="39"/>
  <c r="HS29" i="39"/>
  <c r="HK29" i="39"/>
  <c r="HC29" i="39"/>
  <c r="GU29" i="39"/>
  <c r="GM29" i="39"/>
  <c r="GE29" i="39"/>
  <c r="FW29" i="39"/>
  <c r="FV29" i="62"/>
  <c r="GD29" i="62"/>
  <c r="GL29" i="62"/>
  <c r="GT29" i="62"/>
  <c r="HB29" i="62"/>
  <c r="HJ29" i="62"/>
  <c r="HR29" i="62"/>
  <c r="HZ29" i="62"/>
  <c r="IH29" i="62"/>
  <c r="IP29" i="62"/>
  <c r="IX29" i="62"/>
  <c r="JF29" i="62"/>
  <c r="JN29" i="62"/>
  <c r="JV29" i="62"/>
  <c r="KD29" i="62"/>
  <c r="KL29" i="62"/>
  <c r="KT29" i="62"/>
  <c r="LB29" i="62"/>
  <c r="LJ29" i="62"/>
  <c r="LR29" i="62"/>
  <c r="FT29" i="63"/>
  <c r="GB29" i="63"/>
  <c r="GJ29" i="63"/>
  <c r="GR29" i="63"/>
  <c r="GZ29" i="63"/>
  <c r="HH29" i="63"/>
  <c r="HP29" i="63"/>
  <c r="HX29" i="63"/>
  <c r="IF29" i="63"/>
  <c r="IN29" i="63"/>
  <c r="IV29" i="63"/>
  <c r="JD29" i="63"/>
  <c r="JL29" i="63"/>
  <c r="JT29" i="63"/>
  <c r="KB29" i="63"/>
  <c r="KJ29" i="63"/>
  <c r="KR29" i="63"/>
  <c r="KZ29" i="63"/>
  <c r="LH29" i="63"/>
  <c r="LP29" i="63"/>
  <c r="FR29" i="64"/>
  <c r="FZ29" i="64"/>
  <c r="GH29" i="64"/>
  <c r="GP29" i="64"/>
  <c r="GX29" i="64"/>
  <c r="HF29" i="64"/>
  <c r="HN29" i="64"/>
  <c r="HV29" i="64"/>
  <c r="ID29" i="64"/>
  <c r="IL29" i="64"/>
  <c r="IT29" i="64"/>
  <c r="JB29" i="64"/>
  <c r="JJ29" i="64"/>
  <c r="JR29" i="64"/>
  <c r="JZ29" i="64"/>
  <c r="KH29" i="64"/>
  <c r="KP29" i="64"/>
  <c r="KX29" i="64"/>
  <c r="LF29" i="64"/>
  <c r="LN29" i="64"/>
  <c r="LV29" i="64"/>
  <c r="FP29" i="65"/>
  <c r="FX29" i="65"/>
  <c r="GF29" i="65"/>
  <c r="GN29" i="65"/>
  <c r="GV29" i="65"/>
  <c r="HD29" i="65"/>
  <c r="HL29" i="65"/>
  <c r="HT29" i="65"/>
  <c r="IB29" i="65"/>
  <c r="IJ29" i="65"/>
  <c r="IR29" i="65"/>
  <c r="IZ29" i="65"/>
  <c r="JH29" i="65"/>
  <c r="JP29" i="65"/>
  <c r="JX29" i="65"/>
  <c r="KF29" i="65"/>
  <c r="KN29" i="65"/>
  <c r="KV29" i="65"/>
  <c r="LD29" i="65"/>
  <c r="LL29" i="65"/>
  <c r="LT29" i="65"/>
  <c r="FV29" i="66"/>
  <c r="GD29" i="66"/>
  <c r="GL29" i="66"/>
  <c r="GT29" i="66"/>
  <c r="HB29" i="66"/>
  <c r="HJ29" i="66"/>
  <c r="HR29" i="66"/>
  <c r="HZ29" i="66"/>
  <c r="IH29" i="66"/>
  <c r="IP29" i="66"/>
  <c r="IX29" i="66"/>
  <c r="JF29" i="66"/>
  <c r="JN29" i="66"/>
  <c r="JV29" i="66"/>
  <c r="KD29" i="66"/>
  <c r="KL29" i="66"/>
  <c r="KT29" i="66"/>
  <c r="LB29" i="66"/>
  <c r="LJ29" i="66"/>
  <c r="LR29" i="66"/>
  <c r="FT29" i="67"/>
  <c r="GB29" i="67"/>
  <c r="GJ29" i="67"/>
  <c r="GR29" i="67"/>
  <c r="GZ29" i="67"/>
  <c r="HH29" i="67"/>
  <c r="HP29" i="67"/>
  <c r="HX29" i="67"/>
  <c r="IF29" i="67"/>
  <c r="IN29" i="67"/>
  <c r="IV29" i="67"/>
  <c r="JD29" i="67"/>
  <c r="JL29" i="67"/>
  <c r="JT29" i="67"/>
  <c r="KB29" i="67"/>
  <c r="KJ29" i="67"/>
  <c r="KR29" i="67"/>
  <c r="KZ29" i="67"/>
  <c r="LH29" i="67"/>
  <c r="LP29" i="67"/>
  <c r="FR29" i="68"/>
  <c r="FZ29" i="68"/>
  <c r="GH29" i="68"/>
  <c r="GP29" i="68"/>
  <c r="GX29" i="68"/>
  <c r="HF29" i="68"/>
  <c r="HN29" i="68"/>
  <c r="HV29" i="68"/>
  <c r="ID29" i="68"/>
  <c r="IL29" i="68"/>
  <c r="IT29" i="68"/>
  <c r="JB29" i="68"/>
  <c r="JJ29" i="68"/>
  <c r="JR29" i="68"/>
  <c r="JZ29" i="68"/>
  <c r="KH29" i="68"/>
  <c r="KP29" i="68"/>
  <c r="KX29" i="68"/>
  <c r="LF29" i="68"/>
  <c r="LN29" i="68"/>
  <c r="LV29" i="68"/>
  <c r="LL29" i="39"/>
  <c r="KN29" i="39"/>
  <c r="JP29" i="39"/>
  <c r="IZ29" i="39"/>
  <c r="IB29" i="39"/>
  <c r="HD29" i="39"/>
  <c r="GF29" i="39"/>
  <c r="LR29" i="39"/>
  <c r="LJ29" i="39"/>
  <c r="LB29" i="39"/>
  <c r="KT29" i="39"/>
  <c r="KL29" i="39"/>
  <c r="KD29" i="39"/>
  <c r="JV29" i="39"/>
  <c r="JN29" i="39"/>
  <c r="JF29" i="39"/>
  <c r="IX29" i="39"/>
  <c r="IP29" i="39"/>
  <c r="IH29" i="39"/>
  <c r="HZ29" i="39"/>
  <c r="HR29" i="39"/>
  <c r="HJ29" i="39"/>
  <c r="HB29" i="39"/>
  <c r="GT29" i="39"/>
  <c r="GL29" i="39"/>
  <c r="GD29" i="39"/>
  <c r="FV29" i="39"/>
  <c r="FO29" i="62"/>
  <c r="FW29" i="62"/>
  <c r="GE29" i="62"/>
  <c r="GM29" i="62"/>
  <c r="GU29" i="62"/>
  <c r="HC29" i="62"/>
  <c r="HK29" i="62"/>
  <c r="HS29" i="62"/>
  <c r="IA29" i="62"/>
  <c r="II29" i="62"/>
  <c r="IQ29" i="62"/>
  <c r="IY29" i="62"/>
  <c r="JG29" i="62"/>
  <c r="JO29" i="62"/>
  <c r="JW29" i="62"/>
  <c r="KE29" i="62"/>
  <c r="KM29" i="62"/>
  <c r="KU29" i="62"/>
  <c r="LC29" i="62"/>
  <c r="LK29" i="62"/>
  <c r="LS29" i="62"/>
  <c r="FU29" i="63"/>
  <c r="GC29" i="63"/>
  <c r="GK29" i="63"/>
  <c r="GS29" i="63"/>
  <c r="HA29" i="63"/>
  <c r="HI29" i="63"/>
  <c r="HQ29" i="63"/>
  <c r="HY29" i="63"/>
  <c r="IG29" i="63"/>
  <c r="IO29" i="63"/>
  <c r="IW29" i="63"/>
  <c r="JE29" i="63"/>
  <c r="JM29" i="63"/>
  <c r="JU29" i="63"/>
  <c r="KC29" i="63"/>
  <c r="KK29" i="63"/>
  <c r="KS29" i="63"/>
  <c r="LA29" i="63"/>
  <c r="LI29" i="63"/>
  <c r="LQ29" i="63"/>
  <c r="FS29" i="64"/>
  <c r="GA29" i="64"/>
  <c r="GI29" i="64"/>
  <c r="GQ29" i="64"/>
  <c r="GY29" i="64"/>
  <c r="HG29" i="64"/>
  <c r="HO29" i="64"/>
  <c r="HW29" i="64"/>
  <c r="IE29" i="64"/>
  <c r="IM29" i="64"/>
  <c r="IU29" i="64"/>
  <c r="JC29" i="64"/>
  <c r="JK29" i="64"/>
  <c r="JS29" i="64"/>
  <c r="KA29" i="64"/>
  <c r="KI29" i="64"/>
  <c r="KQ29" i="64"/>
  <c r="KY29" i="64"/>
  <c r="LG29" i="64"/>
  <c r="LO29" i="64"/>
  <c r="LW29" i="64"/>
  <c r="FQ29" i="65"/>
  <c r="FY29" i="65"/>
  <c r="GG29" i="65"/>
  <c r="GO29" i="65"/>
  <c r="GW29" i="65"/>
  <c r="HE29" i="65"/>
  <c r="HM29" i="65"/>
  <c r="HU29" i="65"/>
  <c r="IC29" i="65"/>
  <c r="IK29" i="65"/>
  <c r="IS29" i="65"/>
  <c r="JA29" i="65"/>
  <c r="JI29" i="65"/>
  <c r="JQ29" i="65"/>
  <c r="JY29" i="65"/>
  <c r="KG29" i="65"/>
  <c r="KO29" i="65"/>
  <c r="KW29" i="65"/>
  <c r="LE29" i="65"/>
  <c r="LM29" i="65"/>
  <c r="LU29" i="65"/>
  <c r="FO29" i="66"/>
  <c r="FW29" i="66"/>
  <c r="GE29" i="66"/>
  <c r="GM29" i="66"/>
  <c r="GU29" i="66"/>
  <c r="HC29" i="66"/>
  <c r="HK29" i="66"/>
  <c r="HS29" i="66"/>
  <c r="IA29" i="66"/>
  <c r="II29" i="66"/>
  <c r="IQ29" i="66"/>
  <c r="IY29" i="66"/>
  <c r="JG29" i="66"/>
  <c r="JO29" i="66"/>
  <c r="JW29" i="66"/>
  <c r="KE29" i="66"/>
  <c r="KM29" i="66"/>
  <c r="KU29" i="66"/>
  <c r="LC29" i="66"/>
  <c r="LK29" i="66"/>
  <c r="LS29" i="66"/>
  <c r="FU29" i="67"/>
  <c r="GC29" i="67"/>
  <c r="GK29" i="67"/>
  <c r="GS29" i="67"/>
  <c r="HA29" i="67"/>
  <c r="HI29" i="67"/>
  <c r="HQ29" i="67"/>
  <c r="HY29" i="67"/>
  <c r="IG29" i="67"/>
  <c r="IO29" i="67"/>
  <c r="IW29" i="67"/>
  <c r="JE29" i="67"/>
  <c r="JM29" i="67"/>
  <c r="JU29" i="67"/>
  <c r="KC29" i="67"/>
  <c r="KK29" i="67"/>
  <c r="KS29" i="67"/>
  <c r="LA29" i="67"/>
  <c r="LI29" i="67"/>
  <c r="LQ29" i="67"/>
  <c r="FS29" i="68"/>
  <c r="GA29" i="68"/>
  <c r="GI29" i="68"/>
  <c r="GQ29" i="68"/>
  <c r="GY29" i="68"/>
  <c r="HG29" i="68"/>
  <c r="HO29" i="68"/>
  <c r="HW29" i="68"/>
  <c r="IE29" i="68"/>
  <c r="IM29" i="68"/>
  <c r="IU29" i="68"/>
  <c r="JC29" i="68"/>
  <c r="JK29" i="68"/>
  <c r="JS29" i="68"/>
  <c r="KA29" i="68"/>
  <c r="KI29" i="68"/>
  <c r="KQ29" i="68"/>
  <c r="KY29" i="68"/>
  <c r="LG29" i="68"/>
  <c r="LO29" i="68"/>
  <c r="LW29" i="68"/>
  <c r="LQ29" i="39"/>
  <c r="LI29" i="39"/>
  <c r="LA29" i="39"/>
  <c r="KS29" i="39"/>
  <c r="KK29" i="39"/>
  <c r="KC29" i="39"/>
  <c r="JU29" i="39"/>
  <c r="JM29" i="39"/>
  <c r="JE29" i="39"/>
  <c r="IW29" i="39"/>
  <c r="IO29" i="39"/>
  <c r="IG29" i="39"/>
  <c r="HY29" i="39"/>
  <c r="HQ29" i="39"/>
  <c r="HI29" i="39"/>
  <c r="HA29" i="39"/>
  <c r="GS29" i="39"/>
  <c r="GK29" i="39"/>
  <c r="GC29" i="39"/>
  <c r="FU29" i="39"/>
  <c r="FP29" i="62"/>
  <c r="FX29" i="62"/>
  <c r="GF29" i="62"/>
  <c r="GN29" i="62"/>
  <c r="GV29" i="62"/>
  <c r="HD29" i="62"/>
  <c r="HL29" i="62"/>
  <c r="HT29" i="62"/>
  <c r="IB29" i="62"/>
  <c r="IJ29" i="62"/>
  <c r="IR29" i="62"/>
  <c r="IZ29" i="62"/>
  <c r="JH29" i="62"/>
  <c r="JP29" i="62"/>
  <c r="JX29" i="62"/>
  <c r="KF29" i="62"/>
  <c r="KN29" i="62"/>
  <c r="KV29" i="62"/>
  <c r="LD29" i="62"/>
  <c r="LL29" i="62"/>
  <c r="LT29" i="62"/>
  <c r="FV29" i="63"/>
  <c r="GD29" i="63"/>
  <c r="GL29" i="63"/>
  <c r="GT29" i="63"/>
  <c r="HB29" i="63"/>
  <c r="HJ29" i="63"/>
  <c r="HR29" i="63"/>
  <c r="HZ29" i="63"/>
  <c r="IH29" i="63"/>
  <c r="IP29" i="63"/>
  <c r="IX29" i="63"/>
  <c r="JF29" i="63"/>
  <c r="JN29" i="63"/>
  <c r="JV29" i="63"/>
  <c r="KD29" i="63"/>
  <c r="KL29" i="63"/>
  <c r="KT29" i="63"/>
  <c r="LB29" i="63"/>
  <c r="LJ29" i="63"/>
  <c r="LR29" i="63"/>
  <c r="FT29" i="64"/>
  <c r="GB29" i="64"/>
  <c r="GJ29" i="64"/>
  <c r="GR29" i="64"/>
  <c r="GZ29" i="64"/>
  <c r="HH29" i="64"/>
  <c r="HP29" i="64"/>
  <c r="HX29" i="64"/>
  <c r="IF29" i="64"/>
  <c r="IN29" i="64"/>
  <c r="IV29" i="64"/>
  <c r="JD29" i="64"/>
  <c r="JL29" i="64"/>
  <c r="JT29" i="64"/>
  <c r="KB29" i="64"/>
  <c r="KJ29" i="64"/>
  <c r="KR29" i="64"/>
  <c r="KZ29" i="64"/>
  <c r="LH29" i="64"/>
  <c r="LP29" i="64"/>
  <c r="FR29" i="65"/>
  <c r="FZ29" i="65"/>
  <c r="GH29" i="65"/>
  <c r="GP29" i="65"/>
  <c r="GX29" i="65"/>
  <c r="HF29" i="65"/>
  <c r="HN29" i="65"/>
  <c r="HV29" i="65"/>
  <c r="ID29" i="65"/>
  <c r="IL29" i="65"/>
  <c r="IT29" i="65"/>
  <c r="JB29" i="65"/>
  <c r="JJ29" i="65"/>
  <c r="JR29" i="65"/>
  <c r="JZ29" i="65"/>
  <c r="KH29" i="65"/>
  <c r="KP29" i="65"/>
  <c r="KX29" i="65"/>
  <c r="LF29" i="65"/>
  <c r="LN29" i="65"/>
  <c r="LV29" i="65"/>
  <c r="FP29" i="66"/>
  <c r="FX29" i="66"/>
  <c r="GF29" i="66"/>
  <c r="GN29" i="66"/>
  <c r="GV29" i="66"/>
  <c r="HD29" i="66"/>
  <c r="HL29" i="66"/>
  <c r="HT29" i="66"/>
  <c r="IB29" i="66"/>
  <c r="IJ29" i="66"/>
  <c r="IR29" i="66"/>
  <c r="IZ29" i="66"/>
  <c r="JH29" i="66"/>
  <c r="JP29" i="66"/>
  <c r="JX29" i="66"/>
  <c r="KF29" i="66"/>
  <c r="KN29" i="66"/>
  <c r="KV29" i="66"/>
  <c r="LD29" i="66"/>
  <c r="LL29" i="66"/>
  <c r="LT29" i="66"/>
  <c r="FV29" i="67"/>
  <c r="GD29" i="67"/>
  <c r="GL29" i="67"/>
  <c r="GT29" i="67"/>
  <c r="HB29" i="67"/>
  <c r="HJ29" i="67"/>
  <c r="HR29" i="67"/>
  <c r="HZ29" i="67"/>
  <c r="IH29" i="67"/>
  <c r="IP29" i="67"/>
  <c r="IX29" i="67"/>
  <c r="JF29" i="67"/>
  <c r="JN29" i="67"/>
  <c r="JV29" i="67"/>
  <c r="KD29" i="67"/>
  <c r="KL29" i="67"/>
  <c r="KT29" i="67"/>
  <c r="LB29" i="67"/>
  <c r="LJ29" i="67"/>
  <c r="LR29" i="67"/>
  <c r="FT29" i="68"/>
  <c r="GB29" i="68"/>
  <c r="GJ29" i="68"/>
  <c r="GR29" i="68"/>
  <c r="GZ29" i="68"/>
  <c r="HH29" i="68"/>
  <c r="HP29" i="68"/>
  <c r="HX29" i="68"/>
  <c r="IF29" i="68"/>
  <c r="IN29" i="68"/>
  <c r="IV29" i="68"/>
  <c r="JD29" i="68"/>
  <c r="JL29" i="68"/>
  <c r="JT29" i="68"/>
  <c r="KB29" i="68"/>
  <c r="KJ29" i="68"/>
  <c r="KR29" i="68"/>
  <c r="KZ29" i="68"/>
  <c r="LH29" i="68"/>
  <c r="LP29" i="68"/>
  <c r="LP29" i="39"/>
  <c r="LH29" i="39"/>
  <c r="KZ29" i="39"/>
  <c r="KR29" i="39"/>
  <c r="KJ29" i="39"/>
  <c r="KB29" i="39"/>
  <c r="JT29" i="39"/>
  <c r="JL29" i="39"/>
  <c r="JD29" i="39"/>
  <c r="IV29" i="39"/>
  <c r="IN29" i="39"/>
  <c r="IF29" i="39"/>
  <c r="HX29" i="39"/>
  <c r="HP29" i="39"/>
  <c r="HH29" i="39"/>
  <c r="GZ29" i="39"/>
  <c r="GR29" i="39"/>
  <c r="GJ29" i="39"/>
  <c r="GB29" i="39"/>
  <c r="FT29" i="39"/>
  <c r="FQ29" i="62"/>
  <c r="FY29" i="62"/>
  <c r="GG29" i="62"/>
  <c r="GO29" i="62"/>
  <c r="GW29" i="62"/>
  <c r="HE29" i="62"/>
  <c r="HM29" i="62"/>
  <c r="HU29" i="62"/>
  <c r="IC29" i="62"/>
  <c r="IK29" i="62"/>
  <c r="IS29" i="62"/>
  <c r="JA29" i="62"/>
  <c r="JI29" i="62"/>
  <c r="JQ29" i="62"/>
  <c r="JY29" i="62"/>
  <c r="KG29" i="62"/>
  <c r="KO29" i="62"/>
  <c r="KW29" i="62"/>
  <c r="LE29" i="62"/>
  <c r="LM29" i="62"/>
  <c r="LU29" i="62"/>
  <c r="FO29" i="63"/>
  <c r="FW29" i="63"/>
  <c r="GE29" i="63"/>
  <c r="GM29" i="63"/>
  <c r="GU29" i="63"/>
  <c r="HC29" i="63"/>
  <c r="HK29" i="63"/>
  <c r="HS29" i="63"/>
  <c r="IA29" i="63"/>
  <c r="II29" i="63"/>
  <c r="IQ29" i="63"/>
  <c r="IY29" i="63"/>
  <c r="JG29" i="63"/>
  <c r="JO29" i="63"/>
  <c r="JW29" i="63"/>
  <c r="KE29" i="63"/>
  <c r="KM29" i="63"/>
  <c r="KU29" i="63"/>
  <c r="LC29" i="63"/>
  <c r="LK29" i="63"/>
  <c r="LS29" i="63"/>
  <c r="FU29" i="64"/>
  <c r="GC29" i="64"/>
  <c r="GK29" i="64"/>
  <c r="GS29" i="64"/>
  <c r="HA29" i="64"/>
  <c r="HI29" i="64"/>
  <c r="HQ29" i="64"/>
  <c r="HY29" i="64"/>
  <c r="IG29" i="64"/>
  <c r="IO29" i="64"/>
  <c r="IW29" i="64"/>
  <c r="JE29" i="64"/>
  <c r="JM29" i="64"/>
  <c r="JU29" i="64"/>
  <c r="KC29" i="64"/>
  <c r="KK29" i="64"/>
  <c r="KS29" i="64"/>
  <c r="LA29" i="64"/>
  <c r="LI29" i="64"/>
  <c r="LQ29" i="64"/>
  <c r="FS29" i="65"/>
  <c r="GA29" i="65"/>
  <c r="GI29" i="65"/>
  <c r="GQ29" i="65"/>
  <c r="GY29" i="65"/>
  <c r="HG29" i="65"/>
  <c r="HO29" i="65"/>
  <c r="HW29" i="65"/>
  <c r="IE29" i="65"/>
  <c r="IM29" i="65"/>
  <c r="IU29" i="65"/>
  <c r="JC29" i="65"/>
  <c r="JK29" i="65"/>
  <c r="JS29" i="65"/>
  <c r="KA29" i="65"/>
  <c r="KI29" i="65"/>
  <c r="KQ29" i="65"/>
  <c r="KY29" i="65"/>
  <c r="LG29" i="65"/>
  <c r="LO29" i="65"/>
  <c r="LW29" i="65"/>
  <c r="FQ29" i="66"/>
  <c r="FY29" i="66"/>
  <c r="GG29" i="66"/>
  <c r="GO29" i="66"/>
  <c r="GW29" i="66"/>
  <c r="HE29" i="66"/>
  <c r="HM29" i="66"/>
  <c r="HU29" i="66"/>
  <c r="IC29" i="66"/>
  <c r="IK29" i="66"/>
  <c r="IS29" i="66"/>
  <c r="JA29" i="66"/>
  <c r="JI29" i="66"/>
  <c r="JQ29" i="66"/>
  <c r="JY29" i="66"/>
  <c r="KG29" i="66"/>
  <c r="KO29" i="66"/>
  <c r="KW29" i="66"/>
  <c r="LE29" i="66"/>
  <c r="LM29" i="66"/>
  <c r="LU29" i="66"/>
  <c r="FO29" i="67"/>
  <c r="FW29" i="67"/>
  <c r="GE29" i="67"/>
  <c r="GM29" i="67"/>
  <c r="GU29" i="67"/>
  <c r="HC29" i="67"/>
  <c r="HK29" i="67"/>
  <c r="HS29" i="67"/>
  <c r="IA29" i="67"/>
  <c r="II29" i="67"/>
  <c r="IQ29" i="67"/>
  <c r="IY29" i="67"/>
  <c r="JG29" i="67"/>
  <c r="JO29" i="67"/>
  <c r="JW29" i="67"/>
  <c r="KE29" i="67"/>
  <c r="KM29" i="67"/>
  <c r="KU29" i="67"/>
  <c r="LC29" i="67"/>
  <c r="LK29" i="67"/>
  <c r="LS29" i="67"/>
  <c r="FU29" i="68"/>
  <c r="GC29" i="68"/>
  <c r="GK29" i="68"/>
  <c r="GS29" i="68"/>
  <c r="HA29" i="68"/>
  <c r="HI29" i="68"/>
  <c r="FT29" i="69"/>
  <c r="GB29" i="69"/>
  <c r="GJ29" i="69"/>
  <c r="GR29" i="69"/>
  <c r="GZ29" i="69"/>
  <c r="HH29" i="69"/>
  <c r="HP29" i="69"/>
  <c r="HX29" i="69"/>
  <c r="IF29" i="69"/>
  <c r="IN29" i="69"/>
  <c r="IV29" i="69"/>
  <c r="JD29" i="69"/>
  <c r="JL29" i="69"/>
  <c r="JT29" i="69"/>
  <c r="KB29" i="69"/>
  <c r="KJ29" i="69"/>
  <c r="KR29" i="69"/>
  <c r="KZ29" i="69"/>
  <c r="LH29" i="69"/>
  <c r="LP29" i="69"/>
  <c r="FR29" i="70"/>
  <c r="FZ29" i="70"/>
  <c r="GH29" i="70"/>
  <c r="GP29" i="70"/>
  <c r="GX29" i="70"/>
  <c r="HF29" i="70"/>
  <c r="HN29" i="70"/>
  <c r="HV29" i="70"/>
  <c r="ID29" i="70"/>
  <c r="IL29" i="70"/>
  <c r="IT29" i="70"/>
  <c r="JB29" i="70"/>
  <c r="JJ29" i="70"/>
  <c r="JR29" i="70"/>
  <c r="JZ29" i="70"/>
  <c r="KH29" i="70"/>
  <c r="KP29" i="70"/>
  <c r="KX29" i="70"/>
  <c r="LF29" i="70"/>
  <c r="LN29" i="70"/>
  <c r="LV29" i="70"/>
  <c r="FU29" i="69"/>
  <c r="GC29" i="69"/>
  <c r="GK29" i="69"/>
  <c r="GS29" i="69"/>
  <c r="HA29" i="69"/>
  <c r="HI29" i="69"/>
  <c r="HQ29" i="69"/>
  <c r="HY29" i="69"/>
  <c r="IG29" i="69"/>
  <c r="IO29" i="69"/>
  <c r="IW29" i="69"/>
  <c r="JE29" i="69"/>
  <c r="JM29" i="69"/>
  <c r="JU29" i="69"/>
  <c r="KC29" i="69"/>
  <c r="KK29" i="69"/>
  <c r="KS29" i="69"/>
  <c r="LA29" i="69"/>
  <c r="LI29" i="69"/>
  <c r="LQ29" i="69"/>
  <c r="FS29" i="70"/>
  <c r="GA29" i="70"/>
  <c r="GI29" i="70"/>
  <c r="GQ29" i="70"/>
  <c r="GY29" i="70"/>
  <c r="HG29" i="70"/>
  <c r="HO29" i="70"/>
  <c r="HW29" i="70"/>
  <c r="IE29" i="70"/>
  <c r="IM29" i="70"/>
  <c r="IU29" i="70"/>
  <c r="JC29" i="70"/>
  <c r="JK29" i="70"/>
  <c r="JS29" i="70"/>
  <c r="KA29" i="70"/>
  <c r="KI29" i="70"/>
  <c r="KQ29" i="70"/>
  <c r="KY29" i="70"/>
  <c r="LG29" i="70"/>
  <c r="LO29" i="70"/>
  <c r="LW29" i="70"/>
  <c r="FP29" i="69"/>
  <c r="FX29" i="69"/>
  <c r="GF29" i="69"/>
  <c r="GN29" i="69"/>
  <c r="GV29" i="69"/>
  <c r="HD29" i="69"/>
  <c r="HL29" i="69"/>
  <c r="HT29" i="69"/>
  <c r="IB29" i="69"/>
  <c r="IJ29" i="69"/>
  <c r="IR29" i="69"/>
  <c r="IZ29" i="69"/>
  <c r="JH29" i="69"/>
  <c r="JP29" i="69"/>
  <c r="JX29" i="69"/>
  <c r="KF29" i="69"/>
  <c r="KN29" i="69"/>
  <c r="KV29" i="69"/>
  <c r="LD29" i="69"/>
  <c r="LL29" i="69"/>
  <c r="LT29" i="69"/>
  <c r="FV29" i="70"/>
  <c r="GD29" i="70"/>
  <c r="GL29" i="70"/>
  <c r="GT29" i="70"/>
  <c r="HB29" i="70"/>
  <c r="HJ29" i="70"/>
  <c r="HR29" i="70"/>
  <c r="HZ29" i="70"/>
  <c r="IH29" i="70"/>
  <c r="IP29" i="70"/>
  <c r="IX29" i="70"/>
  <c r="JF29" i="70"/>
  <c r="JN29" i="70"/>
  <c r="JV29" i="70"/>
  <c r="KD29" i="70"/>
  <c r="KL29" i="70"/>
  <c r="KT29" i="70"/>
  <c r="LB29" i="70"/>
  <c r="LJ29" i="70"/>
  <c r="LR29" i="70"/>
  <c r="FQ29" i="69"/>
  <c r="FY29" i="69"/>
  <c r="GG29" i="69"/>
  <c r="GO29" i="69"/>
  <c r="GW29" i="69"/>
  <c r="HE29" i="69"/>
  <c r="HM29" i="69"/>
  <c r="HU29" i="69"/>
  <c r="IC29" i="69"/>
  <c r="IK29" i="69"/>
  <c r="IS29" i="69"/>
  <c r="JA29" i="69"/>
  <c r="JI29" i="69"/>
  <c r="JQ29" i="69"/>
  <c r="JY29" i="69"/>
  <c r="KG29" i="69"/>
  <c r="KO29" i="69"/>
  <c r="KW29" i="69"/>
  <c r="LE29" i="69"/>
  <c r="LM29" i="69"/>
  <c r="LU29" i="69"/>
  <c r="FO29" i="70"/>
  <c r="FW29" i="70"/>
  <c r="GE29" i="70"/>
  <c r="GM29" i="70"/>
  <c r="GU29" i="70"/>
  <c r="HC29" i="70"/>
  <c r="HK29" i="70"/>
  <c r="HS29" i="70"/>
  <c r="IA29" i="70"/>
  <c r="II29" i="70"/>
  <c r="IQ29" i="70"/>
  <c r="IY29" i="70"/>
  <c r="JG29" i="70"/>
  <c r="JO29" i="70"/>
  <c r="JW29" i="70"/>
  <c r="KE29" i="70"/>
  <c r="KM29" i="70"/>
  <c r="KU29" i="70"/>
  <c r="LC29" i="70"/>
  <c r="LK29" i="70"/>
  <c r="LS29" i="70"/>
  <c r="FR29" i="69"/>
  <c r="FZ29" i="69"/>
  <c r="GH29" i="69"/>
  <c r="GP29" i="69"/>
  <c r="GX29" i="69"/>
  <c r="HF29" i="69"/>
  <c r="HN29" i="69"/>
  <c r="HV29" i="69"/>
  <c r="ID29" i="69"/>
  <c r="IL29" i="69"/>
  <c r="IT29" i="69"/>
  <c r="JB29" i="69"/>
  <c r="JJ29" i="69"/>
  <c r="JR29" i="69"/>
  <c r="JZ29" i="69"/>
  <c r="KH29" i="69"/>
  <c r="KP29" i="69"/>
  <c r="KX29" i="69"/>
  <c r="LF29" i="69"/>
  <c r="LN29" i="69"/>
  <c r="LV29" i="69"/>
  <c r="FP29" i="70"/>
  <c r="FX29" i="70"/>
  <c r="GF29" i="70"/>
  <c r="GN29" i="70"/>
  <c r="GV29" i="70"/>
  <c r="HD29" i="70"/>
  <c r="HL29" i="70"/>
  <c r="HT29" i="70"/>
  <c r="IB29" i="70"/>
  <c r="IJ29" i="70"/>
  <c r="IR29" i="70"/>
  <c r="IZ29" i="70"/>
  <c r="JH29" i="70"/>
  <c r="JP29" i="70"/>
  <c r="JX29" i="70"/>
  <c r="KF29" i="70"/>
  <c r="KN29" i="70"/>
  <c r="KV29" i="70"/>
  <c r="LD29" i="70"/>
  <c r="LL29" i="70"/>
  <c r="LT29" i="70"/>
  <c r="HQ29" i="68"/>
  <c r="HY29" i="68"/>
  <c r="IG29" i="68"/>
  <c r="IO29" i="68"/>
  <c r="IW29" i="68"/>
  <c r="JE29" i="68"/>
  <c r="JM29" i="68"/>
  <c r="JU29" i="68"/>
  <c r="KC29" i="68"/>
  <c r="KK29" i="68"/>
  <c r="KS29" i="68"/>
  <c r="LA29" i="68"/>
  <c r="LI29" i="68"/>
  <c r="LQ29" i="68"/>
  <c r="FS29" i="69"/>
  <c r="GA29" i="69"/>
  <c r="GI29" i="69"/>
  <c r="GQ29" i="69"/>
  <c r="GY29" i="69"/>
  <c r="HG29" i="69"/>
  <c r="HO29" i="69"/>
  <c r="HW29" i="69"/>
  <c r="IE29" i="69"/>
  <c r="IM29" i="69"/>
  <c r="IU29" i="69"/>
  <c r="JC29" i="69"/>
  <c r="JK29" i="69"/>
  <c r="JS29" i="69"/>
  <c r="KA29" i="69"/>
  <c r="KI29" i="69"/>
  <c r="KQ29" i="69"/>
  <c r="KY29" i="69"/>
  <c r="LG29" i="69"/>
  <c r="LO29" i="69"/>
  <c r="LW29" i="69"/>
  <c r="FQ29" i="70"/>
  <c r="FY29" i="70"/>
  <c r="GG29" i="70"/>
  <c r="GO29" i="70"/>
  <c r="GW29" i="70"/>
  <c r="HE29" i="70"/>
  <c r="HM29" i="70"/>
  <c r="HU29" i="70"/>
  <c r="IC29" i="70"/>
  <c r="IK29" i="70"/>
  <c r="IS29" i="70"/>
  <c r="JA29" i="70"/>
  <c r="JI29" i="70"/>
  <c r="JQ29" i="70"/>
  <c r="JY29" i="70"/>
  <c r="KG29" i="70"/>
  <c r="KO29" i="70"/>
  <c r="KW29" i="70"/>
  <c r="LE29" i="70"/>
  <c r="LM29" i="70"/>
  <c r="LU29" i="70"/>
  <c r="D190" i="41"/>
  <c r="E190" i="41"/>
  <c r="I190" i="41" l="1"/>
  <c r="CI190" i="41"/>
  <c r="BC190" i="41"/>
  <c r="W190" i="41"/>
  <c r="EZ190" i="41"/>
  <c r="DT190" i="41"/>
  <c r="CN190" i="41"/>
  <c r="BH190" i="41"/>
  <c r="AB190" i="41"/>
  <c r="EY190" i="41"/>
  <c r="DS190" i="41"/>
  <c r="CM190" i="41"/>
  <c r="BG190" i="41"/>
  <c r="AA190" i="41"/>
  <c r="FF190" i="41"/>
  <c r="DZ190" i="41"/>
  <c r="CT190" i="41"/>
  <c r="BN190" i="41"/>
  <c r="AH190" i="41"/>
  <c r="FM190" i="41"/>
  <c r="EG190" i="41"/>
  <c r="DA190" i="41"/>
  <c r="BU190" i="41"/>
  <c r="AO190" i="41"/>
  <c r="EV190" i="41"/>
  <c r="CZ190" i="41"/>
  <c r="BT190" i="41"/>
  <c r="AN190" i="41"/>
  <c r="H190" i="41"/>
  <c r="EM190" i="41"/>
  <c r="EC190" i="41"/>
  <c r="BY190" i="41"/>
  <c r="M190" i="41"/>
  <c r="EL190" i="41"/>
  <c r="DF190" i="41"/>
  <c r="BZ190" i="41"/>
  <c r="AT190" i="41"/>
  <c r="N190" i="41"/>
  <c r="CW190" i="41"/>
  <c r="AK190" i="41"/>
  <c r="AG190" i="41"/>
  <c r="DG190" i="41"/>
  <c r="CA190" i="41"/>
  <c r="AU190" i="41"/>
  <c r="O190" i="41"/>
  <c r="ER190" i="41"/>
  <c r="DL190" i="41"/>
  <c r="CF190" i="41"/>
  <c r="AZ190" i="41"/>
  <c r="T190" i="41"/>
  <c r="EQ190" i="41"/>
  <c r="DK190" i="41"/>
  <c r="CE190" i="41"/>
  <c r="AY190" i="41"/>
  <c r="S190" i="41"/>
  <c r="EX190" i="41"/>
  <c r="DR190" i="41"/>
  <c r="CL190" i="41"/>
  <c r="BF190" i="41"/>
  <c r="Z190" i="41"/>
  <c r="FE190" i="41"/>
  <c r="DY190" i="41"/>
  <c r="CS190" i="41"/>
  <c r="BM190" i="41"/>
  <c r="FD190" i="41"/>
  <c r="EN190" i="41"/>
  <c r="CR190" i="41"/>
  <c r="BL190" i="41"/>
  <c r="AF190" i="41"/>
  <c r="FK190" i="41"/>
  <c r="EE190" i="41"/>
  <c r="DU190" i="41"/>
  <c r="BI190" i="41"/>
  <c r="FJ190" i="41"/>
  <c r="ED190" i="41"/>
  <c r="CX190" i="41"/>
  <c r="BR190" i="41"/>
  <c r="AL190" i="41"/>
  <c r="FA190" i="41"/>
  <c r="CG190" i="41"/>
  <c r="U190" i="41"/>
  <c r="Y190" i="41"/>
  <c r="CY190" i="41"/>
  <c r="BS190" i="41"/>
  <c r="AM190" i="41"/>
  <c r="G190" i="41"/>
  <c r="EJ190" i="41"/>
  <c r="DD190" i="41"/>
  <c r="BX190" i="41"/>
  <c r="AR190" i="41"/>
  <c r="L190" i="41"/>
  <c r="EI190" i="41"/>
  <c r="DC190" i="41"/>
  <c r="BW190" i="41"/>
  <c r="AQ190" i="41"/>
  <c r="K190" i="41"/>
  <c r="EP190" i="41"/>
  <c r="DJ190" i="41"/>
  <c r="CD190" i="41"/>
  <c r="AX190" i="41"/>
  <c r="R190" i="41"/>
  <c r="EW190" i="41"/>
  <c r="DQ190" i="41"/>
  <c r="CK190" i="41"/>
  <c r="BE190" i="41"/>
  <c r="DX190" i="41"/>
  <c r="EF190" i="41"/>
  <c r="CJ190" i="41"/>
  <c r="BD190" i="41"/>
  <c r="X190" i="41"/>
  <c r="FC190" i="41"/>
  <c r="DW190" i="41"/>
  <c r="FI190" i="41"/>
  <c r="DE190" i="41"/>
  <c r="AS190" i="41"/>
  <c r="FB190" i="41"/>
  <c r="DV190" i="41"/>
  <c r="CP190" i="41"/>
  <c r="BJ190" i="41"/>
  <c r="AD190" i="41"/>
  <c r="EK190" i="41"/>
  <c r="BQ190" i="41"/>
  <c r="DH190" i="41"/>
  <c r="Q190" i="41"/>
  <c r="CQ190" i="41"/>
  <c r="BK190" i="41"/>
  <c r="AE190" i="41"/>
  <c r="FH190" i="41"/>
  <c r="EB190" i="41"/>
  <c r="CV190" i="41"/>
  <c r="BP190" i="41"/>
  <c r="AJ190" i="41"/>
  <c r="FG190" i="41"/>
  <c r="EA190" i="41"/>
  <c r="CU190" i="41"/>
  <c r="BO190" i="41"/>
  <c r="AI190" i="41"/>
  <c r="FN190" i="41"/>
  <c r="EH190" i="41"/>
  <c r="DB190" i="41"/>
  <c r="BV190" i="41"/>
  <c r="AP190" i="41"/>
  <c r="J190" i="41"/>
  <c r="EO190" i="41"/>
  <c r="DI190" i="41"/>
  <c r="CC190" i="41"/>
  <c r="AW190" i="41"/>
  <c r="FL190" i="41"/>
  <c r="DP190" i="41"/>
  <c r="CB190" i="41"/>
  <c r="AV190" i="41"/>
  <c r="P190" i="41"/>
  <c r="EU190" i="41"/>
  <c r="DO190" i="41"/>
  <c r="ES190" i="41"/>
  <c r="CO190" i="41"/>
  <c r="AC190" i="41"/>
  <c r="ET190" i="41"/>
  <c r="DN190" i="41"/>
  <c r="CH190" i="41"/>
  <c r="BB190" i="41"/>
  <c r="V190" i="41"/>
  <c r="DM190" i="41"/>
  <c r="BA190" i="41"/>
  <c r="N136" i="41"/>
  <c r="O136" i="41" s="1"/>
  <c r="N168" i="41"/>
  <c r="O168" i="41" s="1"/>
  <c r="F190" i="41"/>
  <c r="J162" i="41"/>
  <c r="N162" i="41" s="1"/>
  <c r="O162" i="41" s="1"/>
  <c r="N150" i="41"/>
  <c r="O150" i="41" s="1"/>
  <c r="N147" i="41"/>
  <c r="O147" i="41" s="1"/>
  <c r="N163" i="41"/>
  <c r="O163" i="41" s="1"/>
  <c r="N140" i="41"/>
  <c r="O140" i="41" s="1"/>
  <c r="N149" i="41"/>
  <c r="O149" i="41" s="1"/>
  <c r="N142" i="41"/>
  <c r="O142" i="41" s="1"/>
  <c r="N141" i="41"/>
  <c r="O141" i="41" s="1"/>
  <c r="N166" i="41"/>
  <c r="O166" i="41" s="1"/>
  <c r="N164" i="41"/>
  <c r="O164" i="41" s="1"/>
  <c r="N145" i="41"/>
  <c r="O145" i="41" s="1"/>
  <c r="N165" i="41"/>
  <c r="O165" i="41" s="1"/>
  <c r="N146" i="41"/>
  <c r="O146" i="41" s="1"/>
  <c r="N143" i="41"/>
  <c r="O143" i="41" s="1"/>
  <c r="N137" i="41"/>
  <c r="O137" i="41" s="1"/>
  <c r="N148" i="41"/>
  <c r="O148" i="41" s="1"/>
  <c r="N167" i="41"/>
  <c r="O167" i="41" s="1"/>
  <c r="N138" i="41"/>
  <c r="O138" i="41" s="1"/>
  <c r="N161" i="41"/>
  <c r="O161" i="41" s="1"/>
  <c r="C24" i="39"/>
  <c r="C25" i="39"/>
  <c r="C26" i="39"/>
  <c r="C27" i="39"/>
  <c r="C28" i="39"/>
  <c r="C14" i="39"/>
  <c r="C15" i="39"/>
  <c r="C16" i="39"/>
  <c r="C17" i="39"/>
  <c r="C18" i="39"/>
  <c r="C19" i="39"/>
  <c r="C20" i="39"/>
  <c r="C21" i="39"/>
  <c r="C22" i="39"/>
  <c r="C23" i="39"/>
  <c r="B29" i="39" l="1"/>
  <c r="F29" i="39"/>
  <c r="N23" i="41" l="1"/>
  <c r="O23" i="41" s="1"/>
  <c r="C13" i="39"/>
  <c r="C12" i="39"/>
  <c r="C11" i="39"/>
  <c r="C10" i="39"/>
  <c r="C9" i="39"/>
  <c r="C8" i="39"/>
  <c r="C7" i="39"/>
  <c r="C6" i="39"/>
  <c r="C5" i="39"/>
  <c r="N27" i="41" l="1"/>
  <c r="O27" i="41" s="1"/>
  <c r="N39" i="41"/>
  <c r="O39" i="41" s="1"/>
  <c r="N51" i="41"/>
  <c r="O51" i="41" s="1"/>
  <c r="N47" i="41"/>
  <c r="O47" i="41" s="1"/>
  <c r="N43" i="41"/>
  <c r="O43" i="41" s="1"/>
  <c r="N31" i="41"/>
  <c r="O31" i="41" s="1"/>
  <c r="N41" i="41" l="1"/>
  <c r="O41" i="41" s="1"/>
  <c r="N81" i="41"/>
  <c r="O81" i="41" s="1"/>
  <c r="N113" i="41"/>
  <c r="O113" i="41" s="1"/>
  <c r="N155" i="41"/>
  <c r="O155" i="41" s="1"/>
  <c r="N44" i="41"/>
  <c r="O44" i="41" s="1"/>
  <c r="N80" i="41"/>
  <c r="O80" i="41" s="1"/>
  <c r="N112" i="41"/>
  <c r="O112" i="41" s="1"/>
  <c r="N154" i="41"/>
  <c r="O154" i="41" s="1"/>
  <c r="N34" i="41"/>
  <c r="O34" i="41" s="1"/>
  <c r="N122" i="41"/>
  <c r="O122" i="41" s="1"/>
  <c r="N172" i="41"/>
  <c r="O172" i="41" s="1"/>
  <c r="N22" i="41"/>
  <c r="O22" i="41" s="1"/>
  <c r="N61" i="41"/>
  <c r="O61" i="41" s="1"/>
  <c r="N93" i="41"/>
  <c r="O93" i="41" s="1"/>
  <c r="N125" i="41"/>
  <c r="O125" i="41" s="1"/>
  <c r="N175" i="41"/>
  <c r="O175" i="41" s="1"/>
  <c r="N60" i="41"/>
  <c r="O60" i="41" s="1"/>
  <c r="N92" i="41"/>
  <c r="O92" i="41" s="1"/>
  <c r="N124" i="41"/>
  <c r="O124" i="41" s="1"/>
  <c r="N174" i="41"/>
  <c r="O174" i="41" s="1"/>
  <c r="N55" i="41"/>
  <c r="O55" i="41" s="1"/>
  <c r="N87" i="41"/>
  <c r="O87" i="41" s="1"/>
  <c r="N119" i="41"/>
  <c r="O119" i="41" s="1"/>
  <c r="N169" i="41"/>
  <c r="O169" i="41" s="1"/>
  <c r="N54" i="41"/>
  <c r="O54" i="41" s="1"/>
  <c r="N86" i="41"/>
  <c r="O86" i="41" s="1"/>
  <c r="N118" i="41"/>
  <c r="O118" i="41" s="1"/>
  <c r="N160" i="41"/>
  <c r="O160" i="41" s="1"/>
  <c r="N49" i="41"/>
  <c r="O49" i="41" s="1"/>
  <c r="N83" i="41"/>
  <c r="O83" i="41" s="1"/>
  <c r="N46" i="41"/>
  <c r="O46" i="41" s="1"/>
  <c r="N30" i="41"/>
  <c r="O30" i="41" s="1"/>
  <c r="N65" i="41"/>
  <c r="O65" i="41" s="1"/>
  <c r="N97" i="41"/>
  <c r="O97" i="41" s="1"/>
  <c r="N33" i="41"/>
  <c r="O33" i="41" s="1"/>
  <c r="N64" i="41"/>
  <c r="O64" i="41" s="1"/>
  <c r="N96" i="41"/>
  <c r="O96" i="41" s="1"/>
  <c r="N99" i="41"/>
  <c r="O99" i="41" s="1"/>
  <c r="N82" i="41"/>
  <c r="O82" i="41" s="1"/>
  <c r="N74" i="41"/>
  <c r="O74" i="41" s="1"/>
  <c r="N35" i="41"/>
  <c r="O35" i="41" s="1"/>
  <c r="N77" i="41"/>
  <c r="O77" i="41" s="1"/>
  <c r="N109" i="41"/>
  <c r="O109" i="41" s="1"/>
  <c r="N134" i="41"/>
  <c r="O134" i="41" s="1"/>
  <c r="N36" i="41"/>
  <c r="O36" i="41" s="1"/>
  <c r="N76" i="41"/>
  <c r="O76" i="41" s="1"/>
  <c r="N108" i="41"/>
  <c r="O108" i="41" s="1"/>
  <c r="N133" i="41"/>
  <c r="O133" i="41" s="1"/>
  <c r="N48" i="41"/>
  <c r="O48" i="41" s="1"/>
  <c r="N71" i="41"/>
  <c r="O71" i="41" s="1"/>
  <c r="N103" i="41"/>
  <c r="O103" i="41" s="1"/>
  <c r="N128" i="41"/>
  <c r="O128" i="41" s="1"/>
  <c r="N28" i="41"/>
  <c r="O28" i="41" s="1"/>
  <c r="N70" i="41"/>
  <c r="O70" i="41" s="1"/>
  <c r="N102" i="41"/>
  <c r="O102" i="41" s="1"/>
  <c r="N127" i="41"/>
  <c r="O127" i="41" s="1"/>
  <c r="N38" i="41"/>
  <c r="O38" i="41" s="1"/>
  <c r="N67" i="41"/>
  <c r="O67" i="41" s="1"/>
  <c r="N107" i="41"/>
  <c r="O107" i="41" s="1"/>
  <c r="N132" i="41"/>
  <c r="O132" i="41" s="1"/>
  <c r="N90" i="41"/>
  <c r="O90" i="41" s="1"/>
  <c r="N50" i="41"/>
  <c r="O50" i="41" s="1"/>
  <c r="N73" i="41"/>
  <c r="O73" i="41" s="1"/>
  <c r="N105" i="41"/>
  <c r="O105" i="41" s="1"/>
  <c r="N130" i="41"/>
  <c r="O130" i="41" s="1"/>
  <c r="N32" i="41"/>
  <c r="O32" i="41" s="1"/>
  <c r="N72" i="41"/>
  <c r="O72" i="41" s="1"/>
  <c r="N104" i="41"/>
  <c r="O104" i="41" s="1"/>
  <c r="N129" i="41"/>
  <c r="O129" i="41" s="1"/>
  <c r="N123" i="41"/>
  <c r="O123" i="41" s="1"/>
  <c r="N173" i="41"/>
  <c r="O173" i="41" s="1"/>
  <c r="N106" i="41"/>
  <c r="O106" i="41" s="1"/>
  <c r="N131" i="41"/>
  <c r="O131" i="41" s="1"/>
  <c r="N98" i="41"/>
  <c r="O98" i="41" s="1"/>
  <c r="N53" i="41"/>
  <c r="O53" i="41" s="1"/>
  <c r="N85" i="41"/>
  <c r="O85" i="41" s="1"/>
  <c r="N117" i="41"/>
  <c r="O117" i="41" s="1"/>
  <c r="N159" i="41"/>
  <c r="O159" i="41" s="1"/>
  <c r="N52" i="41"/>
  <c r="O52" i="41" s="1"/>
  <c r="N84" i="41"/>
  <c r="O84" i="41" s="1"/>
  <c r="N116" i="41"/>
  <c r="O116" i="41" s="1"/>
  <c r="N158" i="41"/>
  <c r="O158" i="41" s="1"/>
  <c r="N37" i="41"/>
  <c r="O37" i="41" s="1"/>
  <c r="N79" i="41"/>
  <c r="O79" i="41" s="1"/>
  <c r="N111" i="41"/>
  <c r="O111" i="41" s="1"/>
  <c r="N153" i="41"/>
  <c r="O153" i="41" s="1"/>
  <c r="N42" i="41"/>
  <c r="O42" i="41" s="1"/>
  <c r="N78" i="41"/>
  <c r="O78" i="41" s="1"/>
  <c r="N110" i="41"/>
  <c r="O110" i="41" s="1"/>
  <c r="N152" i="41"/>
  <c r="O152" i="41" s="1"/>
  <c r="N29" i="41"/>
  <c r="O29" i="41" s="1"/>
  <c r="N75" i="41"/>
  <c r="O75" i="41" s="1"/>
  <c r="N45" i="41"/>
  <c r="O45" i="41" s="1"/>
  <c r="N114" i="41"/>
  <c r="O114" i="41" s="1"/>
  <c r="N156" i="41"/>
  <c r="O156" i="41" s="1"/>
  <c r="N57" i="41"/>
  <c r="O57" i="41" s="1"/>
  <c r="N89" i="41"/>
  <c r="O89" i="41" s="1"/>
  <c r="N121" i="41"/>
  <c r="O121" i="41" s="1"/>
  <c r="N171" i="41"/>
  <c r="O171" i="41" s="1"/>
  <c r="N56" i="41"/>
  <c r="O56" i="41" s="1"/>
  <c r="N88" i="41"/>
  <c r="O88" i="41" s="1"/>
  <c r="N120" i="41"/>
  <c r="O120" i="41" s="1"/>
  <c r="N170" i="41"/>
  <c r="O170" i="41" s="1"/>
  <c r="N58" i="41"/>
  <c r="O58" i="41" s="1"/>
  <c r="N115" i="41"/>
  <c r="O115" i="41" s="1"/>
  <c r="N157" i="41"/>
  <c r="O157" i="41" s="1"/>
  <c r="N40" i="41"/>
  <c r="O40" i="41" s="1"/>
  <c r="N69" i="41"/>
  <c r="O69" i="41" s="1"/>
  <c r="N101" i="41"/>
  <c r="O101" i="41" s="1"/>
  <c r="N24" i="41"/>
  <c r="O24" i="41" s="1"/>
  <c r="N68" i="41"/>
  <c r="O68" i="41" s="1"/>
  <c r="N100" i="41"/>
  <c r="O100" i="41" s="1"/>
  <c r="N26" i="41"/>
  <c r="O26" i="41" s="1"/>
  <c r="N63" i="41"/>
  <c r="O63" i="41" s="1"/>
  <c r="N95" i="41"/>
  <c r="O95" i="41" s="1"/>
  <c r="N25" i="41"/>
  <c r="O25" i="41" s="1"/>
  <c r="N62" i="41"/>
  <c r="O62" i="41" s="1"/>
  <c r="N94" i="41"/>
  <c r="O94" i="41" s="1"/>
  <c r="N126" i="41"/>
  <c r="O126" i="41" s="1"/>
  <c r="N176" i="41"/>
  <c r="O176" i="41" s="1"/>
  <c r="N59" i="41"/>
  <c r="O59" i="41" s="1"/>
  <c r="N91" i="41"/>
  <c r="O91" i="41" s="1"/>
  <c r="N66" i="41"/>
  <c r="O66" i="41" s="1"/>
  <c r="E29" i="39"/>
  <c r="D10" i="41" s="1"/>
  <c r="N10" i="41" l="1"/>
  <c r="N19" i="41" l="1"/>
  <c r="O19" i="41" s="1"/>
  <c r="N18" i="41"/>
  <c r="O18" i="41" s="1"/>
  <c r="N15" i="41"/>
  <c r="O15" i="41" s="1"/>
  <c r="N16" i="41"/>
  <c r="O16" i="41" s="1"/>
  <c r="N21" i="41"/>
  <c r="O21" i="41" s="1"/>
  <c r="N17" i="41"/>
  <c r="O17" i="41" s="1"/>
  <c r="N13" i="41"/>
  <c r="O13" i="41" s="1"/>
  <c r="N14" i="41"/>
  <c r="O14" i="41" s="1"/>
  <c r="N20" i="41"/>
  <c r="O20" i="41" s="1"/>
  <c r="N12" i="41"/>
  <c r="S14" i="41" l="1"/>
  <c r="O12" i="41"/>
  <c r="T16" i="41" s="1"/>
  <c r="S13" i="41" a="1"/>
  <c r="S13" i="41" s="1"/>
  <c r="S12" i="41"/>
  <c r="T20" i="41" l="1"/>
  <c r="T23" i="41"/>
  <c r="T18" i="41"/>
  <c r="T19" i="41"/>
  <c r="T21" i="41"/>
  <c r="T17" i="41"/>
  <c r="T22" i="41"/>
  <c r="T24" i="41" l="1"/>
  <c r="U20" i="41" l="1"/>
  <c r="U16" i="41"/>
  <c r="U17" i="41"/>
  <c r="U21" i="41"/>
  <c r="U18" i="41"/>
  <c r="U22" i="41"/>
  <c r="U19" i="41"/>
  <c r="U23" i="41"/>
  <c r="U24" i="41" l="1"/>
</calcChain>
</file>

<file path=xl/comments1.xml><?xml version="1.0" encoding="utf-8"?>
<comments xmlns="http://schemas.openxmlformats.org/spreadsheetml/2006/main">
  <authors>
    <author>IT2016</author>
    <author>admin</author>
  </authors>
  <commentList>
    <comment ref="C1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1) คีย์ชื่องาน/กิจกรรม/แบบประเมิน</t>
        </r>
      </text>
    </comment>
    <comment ref="B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2) คีย์เลข LO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3) คีย์คะแนนเต็ม</t>
        </r>
      </text>
    </comment>
    <comment ref="E4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4) คีย์ % </t>
        </r>
      </text>
    </comment>
    <comment ref="F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5) คีย์คะแนน</t>
        </r>
      </text>
    </comment>
  </commentList>
</comments>
</file>

<file path=xl/comments10.xml><?xml version="1.0" encoding="utf-8"?>
<comments xmlns="http://schemas.openxmlformats.org/spreadsheetml/2006/main">
  <authors>
    <author>IT2016</author>
    <author>admin</author>
  </authors>
  <commentList>
    <comment ref="C1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1) คีย์ชื่องาน/กิจกรรม/แบบประเมิน</t>
        </r>
      </text>
    </comment>
    <comment ref="B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2) คีย์เลข LO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3) คีย์คะแนนเต็ม</t>
        </r>
      </text>
    </comment>
    <comment ref="E4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4) คีย์ % </t>
        </r>
      </text>
    </comment>
    <comment ref="F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5) คีย์คะแนน</t>
        </r>
      </text>
    </comment>
  </commentList>
</comments>
</file>

<file path=xl/comments2.xml><?xml version="1.0" encoding="utf-8"?>
<comments xmlns="http://schemas.openxmlformats.org/spreadsheetml/2006/main">
  <authors>
    <author>IT2016</author>
    <author>admin</author>
  </authors>
  <commentList>
    <comment ref="C1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1) คีย์ชื่องาน/กิจกรรม/แบบประเมิน</t>
        </r>
      </text>
    </comment>
    <comment ref="B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2) คีย์เลข LO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3) คีย์คะแนนเต็ม</t>
        </r>
      </text>
    </comment>
    <comment ref="E4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4) คีย์ % </t>
        </r>
      </text>
    </comment>
    <comment ref="F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5) คีย์คะแนน</t>
        </r>
      </text>
    </comment>
  </commentList>
</comments>
</file>

<file path=xl/comments3.xml><?xml version="1.0" encoding="utf-8"?>
<comments xmlns="http://schemas.openxmlformats.org/spreadsheetml/2006/main">
  <authors>
    <author>IT2016</author>
    <author>admin</author>
  </authors>
  <commentList>
    <comment ref="C1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1) คีย์ชื่องาน/กิจกรรม/แบบประเมิน</t>
        </r>
      </text>
    </comment>
    <comment ref="B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2) คีย์เลข LO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3) คีย์คะแนนเต็ม</t>
        </r>
      </text>
    </comment>
    <comment ref="E4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4) คีย์ % </t>
        </r>
      </text>
    </comment>
    <comment ref="F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5) คีย์คะแนน</t>
        </r>
      </text>
    </comment>
  </commentList>
</comments>
</file>

<file path=xl/comments4.xml><?xml version="1.0" encoding="utf-8"?>
<comments xmlns="http://schemas.openxmlformats.org/spreadsheetml/2006/main">
  <authors>
    <author>IT2016</author>
    <author>admin</author>
  </authors>
  <commentList>
    <comment ref="C1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1) คีย์ชื่องาน/กิจกรรม/แบบประเมิน</t>
        </r>
      </text>
    </comment>
    <comment ref="B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2) คีย์เลข LO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3) คีย์คะแนนเต็ม</t>
        </r>
      </text>
    </comment>
    <comment ref="E4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4) คีย์ % </t>
        </r>
      </text>
    </comment>
    <comment ref="F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5) คีย์คะแนน</t>
        </r>
      </text>
    </comment>
  </commentList>
</comments>
</file>

<file path=xl/comments5.xml><?xml version="1.0" encoding="utf-8"?>
<comments xmlns="http://schemas.openxmlformats.org/spreadsheetml/2006/main">
  <authors>
    <author>IT2016</author>
    <author>admin</author>
  </authors>
  <commentList>
    <comment ref="C1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1) คีย์ชื่องาน/กิจกรรม/แบบประเมิน</t>
        </r>
      </text>
    </comment>
    <comment ref="B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2) คีย์เลข LO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3) คีย์คะแนนเต็ม</t>
        </r>
      </text>
    </comment>
    <comment ref="E4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4) คีย์ % </t>
        </r>
      </text>
    </comment>
    <comment ref="F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5) คีย์คะแนน</t>
        </r>
      </text>
    </comment>
  </commentList>
</comments>
</file>

<file path=xl/comments6.xml><?xml version="1.0" encoding="utf-8"?>
<comments xmlns="http://schemas.openxmlformats.org/spreadsheetml/2006/main">
  <authors>
    <author>IT2016</author>
    <author>admin</author>
  </authors>
  <commentList>
    <comment ref="C1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1) คีย์ชื่องาน/กิจกรรม/แบบประเมิน</t>
        </r>
      </text>
    </comment>
    <comment ref="B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2) คีย์เลข LO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3) คีย์คะแนนเต็ม</t>
        </r>
      </text>
    </comment>
    <comment ref="E4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4) คีย์ % </t>
        </r>
      </text>
    </comment>
    <comment ref="F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5) คีย์คะแนน</t>
        </r>
      </text>
    </comment>
  </commentList>
</comments>
</file>

<file path=xl/comments7.xml><?xml version="1.0" encoding="utf-8"?>
<comments xmlns="http://schemas.openxmlformats.org/spreadsheetml/2006/main">
  <authors>
    <author>IT2016</author>
    <author>admin</author>
  </authors>
  <commentList>
    <comment ref="C1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1) คีย์ชื่องาน/กิจกรรม/แบบประเมิน</t>
        </r>
      </text>
    </comment>
    <comment ref="B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2) คีย์เลข LO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3) คีย์คะแนนเต็ม</t>
        </r>
      </text>
    </comment>
    <comment ref="E4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4) คีย์ % </t>
        </r>
      </text>
    </comment>
    <comment ref="F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5) คีย์คะแนน</t>
        </r>
      </text>
    </comment>
  </commentList>
</comments>
</file>

<file path=xl/comments8.xml><?xml version="1.0" encoding="utf-8"?>
<comments xmlns="http://schemas.openxmlformats.org/spreadsheetml/2006/main">
  <authors>
    <author>IT2016</author>
    <author>admin</author>
  </authors>
  <commentList>
    <comment ref="C1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1) คีย์ชื่องาน/กิจกรรม/แบบประเมิน</t>
        </r>
      </text>
    </comment>
    <comment ref="B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2) คีย์เลข LO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3) คีย์คะแนนเต็ม</t>
        </r>
      </text>
    </comment>
    <comment ref="E4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4) คีย์ % </t>
        </r>
      </text>
    </comment>
    <comment ref="F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5) คีย์คะแนน</t>
        </r>
      </text>
    </comment>
  </commentList>
</comments>
</file>

<file path=xl/comments9.xml><?xml version="1.0" encoding="utf-8"?>
<comments xmlns="http://schemas.openxmlformats.org/spreadsheetml/2006/main">
  <authors>
    <author>IT2016</author>
    <author>admin</author>
  </authors>
  <commentList>
    <comment ref="C1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1) คีย์ชื่องาน/กิจกรรม/แบบประเมิน</t>
        </r>
      </text>
    </comment>
    <comment ref="B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2) คีย์เลข LO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3) คีย์คะแนนเต็ม</t>
        </r>
      </text>
    </comment>
    <comment ref="E4" authorId="0" shapeId="0">
      <text>
        <r>
          <rPr>
            <b/>
            <sz val="9"/>
            <color indexed="81"/>
            <rFont val="Tahoma"/>
            <family val="2"/>
          </rPr>
          <t>IT2016:</t>
        </r>
        <r>
          <rPr>
            <sz val="9"/>
            <color indexed="81"/>
            <rFont val="Tahoma"/>
            <family val="2"/>
          </rPr>
          <t xml:space="preserve">
4) คีย์ % </t>
        </r>
      </text>
    </comment>
    <comment ref="F4" authorId="1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5) คีย์คะแนน</t>
        </r>
      </text>
    </comment>
  </commentList>
</comments>
</file>

<file path=xl/sharedStrings.xml><?xml version="1.0" encoding="utf-8"?>
<sst xmlns="http://schemas.openxmlformats.org/spreadsheetml/2006/main" count="6019" uniqueCount="627">
  <si>
    <t>2</t>
  </si>
  <si>
    <t>3</t>
  </si>
  <si>
    <t>1</t>
  </si>
  <si>
    <t>จุลชีววิทยาและปรสิตวิทยา</t>
  </si>
  <si>
    <t>4</t>
  </si>
  <si>
    <t>ภาษาอังกฤษเชิงวิชาการ</t>
  </si>
  <si>
    <t>subj_code</t>
  </si>
  <si>
    <t>credit</t>
  </si>
  <si>
    <t>subj_nameT</t>
  </si>
  <si>
    <t>course</t>
  </si>
  <si>
    <t>ที่</t>
  </si>
  <si>
    <t>รวม</t>
  </si>
  <si>
    <t>บุคลากรและงานที่เกี่ยวข้อง</t>
  </si>
  <si>
    <t>ประวัติการปรับปรุง/แก้ไข (Revision history)</t>
  </si>
  <si>
    <t>วันที่</t>
  </si>
  <si>
    <t>version</t>
  </si>
  <si>
    <t>ปัญหา/ความต้องการ</t>
  </si>
  <si>
    <t>รายละเอียดการปรับปรุง/แก้ไข</t>
  </si>
  <si>
    <t>หมายเหตุ</t>
  </si>
  <si>
    <t>v1.0</t>
  </si>
  <si>
    <t>1.การตรวจสอบการวัดและประเมินผลการเรียนรู้ (LO) ในแต่ละรายวิชาไม่เป็นระบบ เนื่องจากในบางรายวิชามีการกำหนด LO จำนวนหลายข้อ จนทำให้บางครั้งพบว่ามีการวัดและประเมิน LO ไม่ครบตามที่กำหนด</t>
  </si>
  <si>
    <t>2.หัวข้อการวัดและประเมิน LO ที่ถูกเลือกตอบรายด้านได้อย่างไร ?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</si>
  <si>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</si>
  <si>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</si>
  <si>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</si>
  <si>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</si>
  <si>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</si>
  <si>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</si>
  <si>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</si>
  <si>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</si>
  <si>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</si>
  <si>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</si>
  <si>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</si>
  <si>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</si>
  <si>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</si>
  <si>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</si>
  <si>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</si>
  <si>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</si>
  <si>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</si>
  <si>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</si>
  <si>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</si>
  <si>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</si>
  <si>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</si>
  <si>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</si>
  <si>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</si>
  <si>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</si>
  <si>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</si>
  <si>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</si>
  <si>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</si>
  <si>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</si>
  <si>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</si>
  <si>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</si>
  <si>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</si>
  <si>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</si>
  <si>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</si>
  <si>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</si>
  <si>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</si>
  <si>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</si>
  <si>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</si>
  <si>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</si>
  <si>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</si>
  <si>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>S40</t>
  </si>
  <si>
    <t>S41</t>
  </si>
  <si>
    <t>S42</t>
  </si>
  <si>
    <t>S43</t>
  </si>
  <si>
    <t>S44</t>
  </si>
  <si>
    <t>S45</t>
  </si>
  <si>
    <t>S46</t>
  </si>
  <si>
    <t>S47</t>
  </si>
  <si>
    <t>S48</t>
  </si>
  <si>
    <t>S49</t>
  </si>
  <si>
    <t>S50</t>
  </si>
  <si>
    <t>S51</t>
  </si>
  <si>
    <t>S52</t>
  </si>
  <si>
    <t>S53</t>
  </si>
  <si>
    <t>S54</t>
  </si>
  <si>
    <t>S55</t>
  </si>
  <si>
    <t>S56</t>
  </si>
  <si>
    <t>S57</t>
  </si>
  <si>
    <t>S58</t>
  </si>
  <si>
    <t>S59</t>
  </si>
  <si>
    <t>S60</t>
  </si>
  <si>
    <t>S61</t>
  </si>
  <si>
    <t>S62</t>
  </si>
  <si>
    <t>S63</t>
  </si>
  <si>
    <t>S64</t>
  </si>
  <si>
    <t>S65</t>
  </si>
  <si>
    <t>S66</t>
  </si>
  <si>
    <t>S67</t>
  </si>
  <si>
    <t>S68</t>
  </si>
  <si>
    <t>S69</t>
  </si>
  <si>
    <t>S70</t>
  </si>
  <si>
    <t>S71</t>
  </si>
  <si>
    <t>S72</t>
  </si>
  <si>
    <t>S73</t>
  </si>
  <si>
    <t>S74</t>
  </si>
  <si>
    <t>S75</t>
  </si>
  <si>
    <t>S76</t>
  </si>
  <si>
    <t>S77</t>
  </si>
  <si>
    <t>S78</t>
  </si>
  <si>
    <t>S79</t>
  </si>
  <si>
    <t>S80</t>
  </si>
  <si>
    <t>S81</t>
  </si>
  <si>
    <t>S82</t>
  </si>
  <si>
    <t>S83</t>
  </si>
  <si>
    <t>S84</t>
  </si>
  <si>
    <t>S85</t>
  </si>
  <si>
    <t>S86</t>
  </si>
  <si>
    <t>S87</t>
  </si>
  <si>
    <t>S88</t>
  </si>
  <si>
    <t>S89</t>
  </si>
  <si>
    <t>S90</t>
  </si>
  <si>
    <t>S91</t>
  </si>
  <si>
    <t>S92</t>
  </si>
  <si>
    <t>S93</t>
  </si>
  <si>
    <t>S94</t>
  </si>
  <si>
    <t>S95</t>
  </si>
  <si>
    <t>S96</t>
  </si>
  <si>
    <t>S97</t>
  </si>
  <si>
    <t>S98</t>
  </si>
  <si>
    <t>S99</t>
  </si>
  <si>
    <t>S100</t>
  </si>
  <si>
    <t>S101</t>
  </si>
  <si>
    <t>S102</t>
  </si>
  <si>
    <t>S103</t>
  </si>
  <si>
    <t>S104</t>
  </si>
  <si>
    <t>S105</t>
  </si>
  <si>
    <t>S106</t>
  </si>
  <si>
    <t>S107</t>
  </si>
  <si>
    <t>S108</t>
  </si>
  <si>
    <t>S109</t>
  </si>
  <si>
    <t>S110</t>
  </si>
  <si>
    <t>S111</t>
  </si>
  <si>
    <t>S112</t>
  </si>
  <si>
    <t>S113</t>
  </si>
  <si>
    <t>S114</t>
  </si>
  <si>
    <t>S115</t>
  </si>
  <si>
    <t>No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</si>
  <si>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</si>
  <si>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</si>
  <si>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</si>
  <si>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</si>
  <si>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</si>
  <si>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</si>
  <si>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</si>
  <si>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</si>
  <si>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</si>
  <si>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</si>
  <si>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</si>
  <si>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</si>
  <si>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</si>
  <si>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</si>
  <si>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</si>
  <si>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</si>
  <si>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</si>
  <si>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</si>
  <si>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</si>
  <si>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</si>
  <si>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</si>
  <si>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</si>
  <si>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</si>
  <si>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</si>
  <si>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</si>
  <si>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</si>
  <si>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</si>
  <si>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</si>
  <si>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</si>
  <si>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</si>
  <si>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</si>
  <si>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</si>
  <si>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</si>
  <si>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</si>
  <si>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</si>
  <si>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</si>
  <si>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</si>
  <si>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</si>
  <si>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</si>
  <si>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</si>
  <si>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</si>
  <si>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</si>
  <si>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</si>
  <si>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</si>
  <si>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</si>
  <si>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</si>
  <si>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</si>
  <si>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</si>
  <si>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</si>
  <si>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</si>
  <si>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</si>
  <si>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</si>
  <si>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</si>
  <si>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</si>
  <si>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</si>
  <si>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</si>
  <si>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</si>
  <si>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</si>
  <si>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</si>
  <si>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</si>
  <si>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</si>
  <si>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</si>
  <si>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</si>
  <si>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</si>
  <si>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</si>
  <si>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</si>
  <si>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</si>
  <si>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</si>
  <si>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</si>
  <si>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</si>
  <si>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</si>
  <si>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</si>
  <si>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</si>
  <si>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</si>
  <si>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</si>
  <si>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</si>
  <si>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</si>
  <si>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</si>
  <si>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</si>
  <si>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</si>
  <si>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</si>
  <si>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</si>
  <si>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</si>
  <si>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</si>
  <si>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</si>
  <si>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</si>
  <si>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</si>
  <si>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</si>
  <si>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</si>
  <si>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</si>
  <si>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</si>
  <si>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</si>
  <si>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</si>
  <si>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</si>
  <si>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</si>
  <si>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</si>
  <si>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</si>
  <si>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</si>
  <si>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</si>
  <si>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</si>
  <si>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</si>
  <si>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</si>
  <si>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</si>
  <si>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</si>
  <si>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</si>
  <si>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</si>
  <si>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</si>
  <si>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</si>
  <si>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</si>
  <si>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</si>
  <si>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</si>
  <si>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คิดเป็น
(%รวม)</t>
  </si>
  <si>
    <r>
      <t xml:space="preserve">3.สนับสนุนทางเทคนิคโดย </t>
    </r>
    <r>
      <rPr>
        <b/>
        <sz val="14"/>
        <color rgb="FF00B050"/>
        <rFont val="TH SarabunPSK"/>
        <family val="2"/>
      </rPr>
      <t>นายเอกชัย หมื่นขัติย์ งานเทคโนโลยีสารสนเทศ</t>
    </r>
  </si>
  <si>
    <t>รายชื่อ (ชื่อ-สกุล)</t>
  </si>
  <si>
    <t>คิดเป็น (%)</t>
  </si>
  <si>
    <t>เกรด
(อิงเกณฑ์)</t>
  </si>
  <si>
    <t>ลำดับที่</t>
  </si>
  <si>
    <t>เลขที่</t>
  </si>
  <si>
    <t>A</t>
  </si>
  <si>
    <t>B+</t>
  </si>
  <si>
    <t>B</t>
  </si>
  <si>
    <t>C+</t>
  </si>
  <si>
    <t>C</t>
  </si>
  <si>
    <t>D+</t>
  </si>
  <si>
    <t>D</t>
  </si>
  <si>
    <t>F</t>
  </si>
  <si>
    <t>Task1</t>
  </si>
  <si>
    <t>Task2</t>
  </si>
  <si>
    <t>Task3</t>
  </si>
  <si>
    <t>Task4</t>
  </si>
  <si>
    <t>Task5</t>
  </si>
  <si>
    <t>Task6</t>
  </si>
  <si>
    <t>Task7</t>
  </si>
  <si>
    <t>Task8</t>
  </si>
  <si>
    <t>Task9</t>
  </si>
  <si>
    <t>Task10</t>
  </si>
  <si>
    <t>Total</t>
  </si>
  <si>
    <t>Grade</t>
  </si>
  <si>
    <t>STD_no</t>
  </si>
  <si>
    <t>Name</t>
  </si>
  <si>
    <t>-  100</t>
  </si>
  <si>
    <t>-  49</t>
  </si>
  <si>
    <t>-  79</t>
  </si>
  <si>
    <t>-  74</t>
  </si>
  <si>
    <t>-  69</t>
  </si>
  <si>
    <t>-  59</t>
  </si>
  <si>
    <t>-  54</t>
  </si>
  <si>
    <t>-  64</t>
  </si>
  <si>
    <t>เครื่องมือวัดและ
ประเมินผลการเรียนรู้</t>
  </si>
  <si>
    <t>- การสรุปรายงานผลการวัดและประเมิน LO (Worksheet "สรุป") จะใช้สูตร/ฟังก์ชั่น HLOOKUP,IF, COUNTIF, SUM เป็นต้น โดยจะดึงข้อมูลมาของแต่ละชิ้นงาน จาก Worksheet "1.Task-10.Task" เพื่อนำมารวมคะแนนทั้งหมดของนักศึกษา และคิดเกรดแบบอิงเกณฑ์</t>
  </si>
  <si>
    <t>- ใช้กับหลักสูตรพยาบาลศาสตรบัณฑิต พ.ศ.2555</t>
  </si>
  <si>
    <t>- ไม่รองรับการพิมพ์แจ้งกลับนักศึกษาเป็นรายบุคคลได้</t>
  </si>
  <si>
    <t>- การวางรูปแบบและจัดเก็บข้อมูลรายวิชา และการวัดและประเมินผลการเรียนรู้ (LO) ตามมาตรฐานคุณวุฒิระดับปริญญาตรี สาขาพยาบาลศาสตร์ ในรูปแบบของตารางฐานข้อมูล (Table) ในโปรแกรม Excel</t>
  </si>
  <si>
    <t xml:space="preserve">- การคัดเลือก LO มาใช้ในแต่ละชิ้นงาน (จาก Worksheet "1.Task-10.Task")   คีย์ชื่อชิ้นงาน คีย์ % รวมรายด้าน คีย์คะแนนสูงสุด  และคีย์คะแนนตามลำดับที่ของนักศึกษา </t>
  </si>
  <si>
    <t>สูงสุด (Max)</t>
  </si>
  <si>
    <t>ค่าเฉลี่ย (AVG)</t>
  </si>
  <si>
    <r>
      <t xml:space="preserve">2) สรุปการวัดและประเมินผลการเรียนรู้ </t>
    </r>
    <r>
      <rPr>
        <b/>
        <sz val="16"/>
        <color rgb="FFFF0000"/>
        <rFont val="TH SarabunPSK"/>
        <family val="2"/>
      </rPr>
      <t>โดยรวม</t>
    </r>
  </si>
  <si>
    <r>
      <t>3) สรุปผลคะแนน (</t>
    </r>
    <r>
      <rPr>
        <b/>
        <sz val="16"/>
        <color rgb="FFFF0000"/>
        <rFont val="TH SarabunPSK"/>
        <family val="2"/>
      </rPr>
      <t>ตัดเกรดอิงเกณฑ์</t>
    </r>
    <r>
      <rPr>
        <b/>
        <sz val="16"/>
        <color rgb="FF0000FF"/>
        <rFont val="TH SarabunPSK"/>
        <family val="2"/>
      </rPr>
      <t>)</t>
    </r>
  </si>
  <si>
    <t>มโนมติ ทฤษฎี และกระบวนการพยาบาล</t>
  </si>
  <si>
    <t>การพยาบาลเด็กและวัยรุ่น</t>
  </si>
  <si>
    <t>การพยาบาลผู้สูงอายุ</t>
  </si>
  <si>
    <t>ปฏิบัติการพยาบาลเด็กและวัยรุ่น 1</t>
  </si>
  <si>
    <t>ปฏิบัติการพยาบาลเด็กและวัยรุ่น 2</t>
  </si>
  <si>
    <t>การพัฒนาบุคลิกภาพและวุฒิภาวะทางอารมณ์</t>
  </si>
  <si>
    <t>ภูมิปัญญาไทยกับการดูแลสุขภาพ</t>
  </si>
  <si>
    <t>พืชสมุนไพร</t>
  </si>
  <si>
    <t>การศึกษาอิสระ</t>
  </si>
  <si>
    <r>
      <t xml:space="preserve">1) คีย์รหัสรายวิชาทีเซลล์ </t>
    </r>
    <r>
      <rPr>
        <b/>
        <sz val="16"/>
        <color rgb="FFFF0000"/>
        <rFont val="TH SarabunPSK"/>
        <family val="2"/>
      </rPr>
      <t>A4</t>
    </r>
  </si>
  <si>
    <t>คะแนนเต็ม</t>
  </si>
  <si>
    <t>%</t>
  </si>
  <si>
    <t>งาน/กิจกรรม/แบบประเมิน :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</si>
  <si>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</si>
  <si>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</si>
  <si>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</si>
  <si>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</si>
  <si>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</si>
  <si>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</si>
  <si>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</si>
  <si>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</si>
  <si>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</si>
  <si>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</si>
  <si>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</si>
  <si>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</si>
  <si>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</si>
  <si>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</si>
  <si>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</si>
  <si>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</si>
  <si>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</si>
  <si>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</si>
  <si>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</si>
  <si>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</si>
  <si>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</si>
  <si>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</si>
  <si>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</si>
  <si>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</si>
  <si>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</si>
  <si>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</si>
  <si>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</si>
  <si>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</si>
  <si>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</si>
  <si>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</si>
  <si>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</si>
  <si>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</si>
  <si>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</si>
  <si>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</si>
  <si>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</si>
  <si>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</si>
  <si>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</si>
  <si>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</si>
  <si>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</si>
  <si>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</si>
  <si>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</si>
  <si>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</si>
  <si>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</si>
  <si>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</si>
  <si>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</si>
  <si>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</si>
  <si>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</si>
  <si>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</si>
  <si>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</si>
  <si>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</si>
  <si>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S116</t>
  </si>
  <si>
    <t>S117</t>
  </si>
  <si>
    <t>S118</t>
  </si>
  <si>
    <t>S119</t>
  </si>
  <si>
    <t>S120</t>
  </si>
  <si>
    <t>S121</t>
  </si>
  <si>
    <t>S122</t>
  </si>
  <si>
    <t>S123</t>
  </si>
  <si>
    <t>S124</t>
  </si>
  <si>
    <t>S125</t>
  </si>
  <si>
    <t>S126</t>
  </si>
  <si>
    <t>S127</t>
  </si>
  <si>
    <t>S128</t>
  </si>
  <si>
    <t>S129</t>
  </si>
  <si>
    <t>S130</t>
  </si>
  <si>
    <t>S131</t>
  </si>
  <si>
    <t>S132</t>
  </si>
  <si>
    <t>S133</t>
  </si>
  <si>
    <t>S134</t>
  </si>
  <si>
    <t>S135</t>
  </si>
  <si>
    <t>S136</t>
  </si>
  <si>
    <t>S137</t>
  </si>
  <si>
    <t>S138</t>
  </si>
  <si>
    <t>S139</t>
  </si>
  <si>
    <t>S140</t>
  </si>
  <si>
    <t>S141</t>
  </si>
  <si>
    <t>S142</t>
  </si>
  <si>
    <t>S143</t>
  </si>
  <si>
    <t>S144</t>
  </si>
  <si>
    <t>S145</t>
  </si>
  <si>
    <t>S146</t>
  </si>
  <si>
    <t>S147</t>
  </si>
  <si>
    <t>S148</t>
  </si>
  <si>
    <t>S149</t>
  </si>
  <si>
    <t>S150</t>
  </si>
  <si>
    <t>S151</t>
  </si>
  <si>
    <t>S152</t>
  </si>
  <si>
    <t>S153</t>
  </si>
  <si>
    <t>S154</t>
  </si>
  <si>
    <t>S155</t>
  </si>
  <si>
    <t>S156</t>
  </si>
  <si>
    <t>S157</t>
  </si>
  <si>
    <t>S158</t>
  </si>
  <si>
    <t>S159</t>
  </si>
  <si>
    <t>S160</t>
  </si>
  <si>
    <t>S161</t>
  </si>
  <si>
    <t>S162</t>
  </si>
  <si>
    <t>S163</t>
  </si>
  <si>
    <t>S164</t>
  </si>
  <si>
    <t>S165</t>
  </si>
  <si>
    <t>คะแนนเต็ม
(รวม)</t>
  </si>
  <si>
    <t>6) สรุปการวัดและประเมินผลการเรียนรู้ จำแนกรายด้าน</t>
  </si>
  <si>
    <t>3) สรุปการวัดและประเมินผลการเรียนรู้ จำแนกรายด้าน</t>
  </si>
  <si>
    <t>v2.0</t>
  </si>
  <si>
    <t>1.สรุปรวม LO ทั้งหมดจำแนกตามรายด้าน</t>
  </si>
  <si>
    <t>- ใช้กับหลักสูตรพยาบาลศาสตรบัณฑิต พ.ศ.2555 &amp; พ.ศ.2560</t>
  </si>
  <si>
    <r>
      <t xml:space="preserve">การวัดและประเมินผลการเรียนรู้ตามมาตรฐานคุณวุฒิระดับปริญญาตรี สาขาพยาบาลศาสตร์ </t>
    </r>
    <r>
      <rPr>
        <b/>
        <sz val="18"/>
        <color rgb="FFFF0000"/>
        <rFont val="TH SarabunPSK"/>
        <family val="2"/>
      </rPr>
      <t xml:space="preserve">(หลักสูตรพยบ.2565) </t>
    </r>
    <r>
      <rPr>
        <b/>
        <sz val="18"/>
        <color rgb="FF0000FF"/>
        <rFont val="TH SarabunPSK"/>
        <family val="2"/>
      </rPr>
      <t>วิทยาลัยพยาบาลบรมราชชนนี พะเยา</t>
    </r>
  </si>
  <si>
    <t>GE 302</t>
  </si>
  <si>
    <t>การรู้ดิจิทัล</t>
  </si>
  <si>
    <t>R</t>
  </si>
  <si>
    <t>subPLO1</t>
  </si>
  <si>
    <t>subPLO2</t>
  </si>
  <si>
    <t>subPLO3</t>
  </si>
  <si>
    <t>subPLO4</t>
  </si>
  <si>
    <t>subPLO5</t>
  </si>
  <si>
    <t>subPLO6</t>
  </si>
  <si>
    <t>subPLO7</t>
  </si>
  <si>
    <t>subPLO8</t>
  </si>
  <si>
    <t>subPLO9</t>
  </si>
  <si>
    <t>subPLO10</t>
  </si>
  <si>
    <t>subPLO11</t>
  </si>
  <si>
    <t>subPLO12</t>
  </si>
  <si>
    <t>subPLO13</t>
  </si>
  <si>
    <t>subPLO14</t>
  </si>
  <si>
    <t>subPLO15</t>
  </si>
  <si>
    <t>I</t>
  </si>
  <si>
    <r>
      <rPr>
        <b/>
        <sz val="14"/>
        <color theme="1"/>
        <rFont val="TH SarabunPSK"/>
        <family val="2"/>
      </rPr>
      <t>PLO2</t>
    </r>
    <r>
      <rPr>
        <sz val="14"/>
        <color theme="1"/>
        <rFont val="TH SarabunPSK"/>
        <family val="2"/>
      </rPr>
      <t xml:space="preserve"> ปฏิบัติการพยาบาลและการผดุงครรภ์แบบองค์รวมด้วยหัวใจความเป็นมนุษย์โดยใช้ กระบวนการพยาบาล บนหลักฐานเชิงประจักษ์ คํานึงถึงความปลอดภัย การใช้ยาอย่างสมเหตุผล ความ หลากหลายทางวัฒนธรรมภายใต้กฎหมายและจรรยาบรรณวิชาชีพ</t>
    </r>
  </si>
  <si>
    <r>
      <rPr>
        <b/>
        <sz val="14"/>
        <color theme="1"/>
        <rFont val="TH SarabunPSK"/>
        <family val="2"/>
      </rPr>
      <t xml:space="preserve">PLO3 </t>
    </r>
    <r>
      <rPr>
        <sz val="14"/>
        <color theme="1"/>
        <rFont val="TH SarabunPSK"/>
        <family val="2"/>
      </rPr>
      <t>แสดงออกถึงพฤติกรรมด้านคุณธรรม จริยธรรม จรรยาบรรณวิชาชีพ เจตคติที่ดีต่อวิชาชีพและสิทธิของพยาบาล</t>
    </r>
  </si>
  <si>
    <r>
      <rPr>
        <b/>
        <sz val="14"/>
        <color theme="1"/>
        <rFont val="TH SarabunPSK"/>
        <family val="2"/>
      </rPr>
      <t>PLO4</t>
    </r>
    <r>
      <rPr>
        <sz val="14"/>
        <color theme="1"/>
        <rFont val="TH SarabunPSK"/>
        <family val="2"/>
      </rPr>
      <t xml:space="preserve"> แสดงออกถึงทักษะการคิดขั้นสูง ในการตัดสินใจแก้ปัญหา การคิดอย่างมีวิจารณญาณและสร้างสรรค์</t>
    </r>
  </si>
  <si>
    <r>
      <rPr>
        <b/>
        <sz val="14"/>
        <color theme="1"/>
        <rFont val="TH SarabunPSK"/>
        <family val="2"/>
      </rPr>
      <t>PLO5</t>
    </r>
    <r>
      <rPr>
        <sz val="14"/>
        <color theme="1"/>
        <rFont val="TH SarabunPSK"/>
        <family val="2"/>
      </rPr>
      <t xml:space="preserve"> ประยุกต์ความรู้ระเบียบวิธีวิจัยในการปฏิบัติการพยาบาล การผดุงครรภ์ และร่วมออกแบบหรือพัฒนานวัตกรรมการดูแลสุขภาพ</t>
    </r>
  </si>
  <si>
    <r>
      <rPr>
        <b/>
        <sz val="14"/>
        <color theme="1"/>
        <rFont val="TH SarabunPSK"/>
        <family val="2"/>
      </rPr>
      <t>PLO6</t>
    </r>
    <r>
      <rPr>
        <sz val="14"/>
        <color theme="1"/>
        <rFont val="TH SarabunPSK"/>
        <family val="2"/>
      </rPr>
      <t xml:space="preserve"> แสดงออกถึงการมีภาวะผู้นํา และสามารถบริหารจัดการสุขภาวะชุมชน</t>
    </r>
  </si>
  <si>
    <r>
      <rPr>
        <b/>
        <sz val="14"/>
        <color theme="1"/>
        <rFont val="TH SarabunPSK"/>
        <family val="2"/>
      </rPr>
      <t>PLO7</t>
    </r>
    <r>
      <rPr>
        <sz val="14"/>
        <color theme="1"/>
        <rFont val="TH SarabunPSK"/>
        <family val="2"/>
      </rPr>
      <t xml:space="preserve"> ใช้ภาษาในการสื่อสารได้อย่างเหมาะสมและเป็นสากล</t>
    </r>
  </si>
  <si>
    <r>
      <rPr>
        <b/>
        <sz val="14"/>
        <color theme="1"/>
        <rFont val="TH SarabunPSK"/>
        <family val="2"/>
      </rPr>
      <t>PLO8</t>
    </r>
    <r>
      <rPr>
        <sz val="14"/>
        <color theme="1"/>
        <rFont val="TH SarabunPSK"/>
        <family val="2"/>
      </rPr>
      <t xml:space="preserve"> ใช้สื่อสารสนเทศและเทคโนโลยีดิจิทัล ที่เหมาะสมในการเรียนรู้และปฏิบัติการพยาบาลและการผดุงครรภ์</t>
    </r>
  </si>
  <si>
    <r>
      <rPr>
        <b/>
        <sz val="14"/>
        <color theme="1"/>
        <rFont val="TH SarabunPSK"/>
        <family val="2"/>
      </rPr>
      <t>PLO9</t>
    </r>
    <r>
      <rPr>
        <sz val="14"/>
        <color theme="1"/>
        <rFont val="TH SarabunPSK"/>
        <family val="2"/>
      </rPr>
      <t xml:space="preserve"> แสดงออกถึงการมีทักษะชีวิต โดยยึดหลักปรัชญาเศรษฐกิจพอเพียง เพื่อพัฒนาตนเอง วิชาชีพ และสังคม</t>
    </r>
  </si>
  <si>
    <r>
      <rPr>
        <b/>
        <sz val="14"/>
        <color theme="1"/>
        <rFont val="TH SarabunPSK"/>
        <family val="2"/>
      </rPr>
      <t xml:space="preserve">PLO10 </t>
    </r>
    <r>
      <rPr>
        <sz val="14"/>
        <color theme="1"/>
        <rFont val="TH SarabunPSK"/>
        <family val="2"/>
      </rPr>
      <t>ประยุกต์แนวคิดการเป็นผู้ประกอบการด้านสุขภาพได้อย่างเหมาะสม</t>
    </r>
  </si>
  <si>
    <r>
      <t xml:space="preserve">1.ออกแบบและพัฒนาโปรแกรมโดย  </t>
    </r>
    <r>
      <rPr>
        <b/>
        <sz val="14"/>
        <color rgb="FF00B050"/>
        <rFont val="TH SarabunPSK"/>
        <family val="2"/>
      </rPr>
      <t>นางสุทธินี มหามิตร วงค์แสน</t>
    </r>
  </si>
  <si>
    <r>
      <t xml:space="preserve">                </t>
    </r>
    <r>
      <rPr>
        <b/>
        <sz val="14"/>
        <color rgb="FF00B050"/>
        <rFont val="TH SarabunPSK"/>
        <family val="2"/>
      </rPr>
      <t>คณะกรรมการวิชาการ ปีการศึกษา 2565</t>
    </r>
  </si>
  <si>
    <r>
      <t xml:space="preserve">2.ข้อมูลโดย </t>
    </r>
    <r>
      <rPr>
        <b/>
        <sz val="14"/>
        <color rgb="FF00B050"/>
        <rFont val="TH SarabunPSK"/>
        <family val="2"/>
      </rPr>
      <t>ดร.ชุลีพร  ภูโสภา  รองผู้อำนวยการฝ่ายวิชาการ</t>
    </r>
  </si>
  <si>
    <r>
      <t xml:space="preserve">                </t>
    </r>
    <r>
      <rPr>
        <b/>
        <sz val="14"/>
        <color rgb="FF00B050"/>
        <rFont val="TH SarabunPSK"/>
        <family val="2"/>
      </rPr>
      <t>ดร.บำเพ็ญ  คำดี  หัวหน้างานหลักสูตรและการเรียนการสอน</t>
    </r>
  </si>
  <si>
    <t>v3.0</t>
  </si>
  <si>
    <t>- ใช้กับหลักสูตรพยาบาลศาสตรบัณฑิต พ.ศ.2565</t>
  </si>
  <si>
    <t>1.มีการปรับปรุงหลักสูตรพยาบาลศาสตรบัณฑิต พ.ศ.2565 โดยแยกตาม PLOs ของแต่ละรายวิชา</t>
  </si>
  <si>
    <t>จำนวน SubPLOs
(ข้อ)</t>
  </si>
  <si>
    <t>SubPLOs</t>
  </si>
  <si>
    <t>SubPLOs_name</t>
  </si>
  <si>
    <t>พยบ.พ.ศ.2565</t>
  </si>
  <si>
    <t>PLO_no</t>
  </si>
  <si>
    <t>PLO_name</t>
  </si>
  <si>
    <t>STD_year</t>
  </si>
  <si>
    <t>GE 101</t>
  </si>
  <si>
    <t>ภาษาไทยเชิงวิชาการ</t>
  </si>
  <si>
    <t>3(2-2-5)</t>
  </si>
  <si>
    <t>GE 102</t>
  </si>
  <si>
    <t>ภาษาอังกฤษเพื่อการสื่อสาร</t>
  </si>
  <si>
    <t xml:space="preserve">GE 201 </t>
  </si>
  <si>
    <t xml:space="preserve">เราคือสบช. </t>
  </si>
  <si>
    <t>GE 209</t>
  </si>
  <si>
    <t xml:space="preserve">พลเมืองวิวัฒน์ </t>
  </si>
  <si>
    <t>GE 301</t>
  </si>
  <si>
    <t>ผู้ประกอบการในยุคดิจิทัล</t>
  </si>
  <si>
    <t>GE 305</t>
  </si>
  <si>
    <t xml:space="preserve">วิทยาศาสตร์และคณิตศาสตร์ในชีวิตประจำวัน </t>
  </si>
  <si>
    <t>3(3-0-6)</t>
  </si>
  <si>
    <t>0124300101</t>
  </si>
  <si>
    <t>2(2-0-4)</t>
  </si>
  <si>
    <t>0124300102</t>
  </si>
  <si>
    <t xml:space="preserve">กายวิภาคศาสตร์และสรีรวิทยา </t>
  </si>
  <si>
    <t>0124300103</t>
  </si>
  <si>
    <t>ชีวเคมีและโภชนศาสตร์</t>
  </si>
  <si>
    <t>0124300104</t>
  </si>
  <si>
    <t>จิตวิทยาพัฒนาการและกระบวนการคิด</t>
  </si>
  <si>
    <t>2(1-2-3)</t>
  </si>
  <si>
    <t>GE 103</t>
  </si>
  <si>
    <t>GE 104</t>
  </si>
  <si>
    <t>ภาษาอังกฤษเพื่อการอ่านและการเขียนเชิงวิชาการ</t>
  </si>
  <si>
    <t>0124300206</t>
  </si>
  <si>
    <t xml:space="preserve">พยาธิสรีรวิทยา </t>
  </si>
  <si>
    <t>0124300205</t>
  </si>
  <si>
    <t xml:space="preserve">เภสัชวิทยา </t>
  </si>
  <si>
    <t>0124300207</t>
  </si>
  <si>
    <t xml:space="preserve">กฎหมาย จริยศาสตร์และจรรยาบรรณวิชาชีพการพยาบาล </t>
  </si>
  <si>
    <t>0124300208</t>
  </si>
  <si>
    <t>0124300209</t>
  </si>
  <si>
    <t>การพยาบาลขั้นพื้นฐาน</t>
  </si>
  <si>
    <t>0124300210</t>
  </si>
  <si>
    <t>การพยาบาลผู้ใหญ่และผู้สูงอายุ 1</t>
  </si>
  <si>
    <t>0124300211</t>
  </si>
  <si>
    <t>0124300212</t>
  </si>
  <si>
    <t>0124300222</t>
  </si>
  <si>
    <t xml:space="preserve">ปฏิบัติการพยาบาลขั้นพื้นฐาน           </t>
  </si>
  <si>
    <t>4(0-12-4)</t>
  </si>
  <si>
    <t>0124300223</t>
  </si>
  <si>
    <t>ปฏิบัติการพยาบาลผู้ใหญ่และผู้สูงอายุ 1</t>
  </si>
  <si>
    <t>3(0-9-3)</t>
  </si>
  <si>
    <t>0124300224</t>
  </si>
  <si>
    <t>2(0-6-2)</t>
  </si>
  <si>
    <t>0124300313</t>
  </si>
  <si>
    <t xml:space="preserve">การพยาบาลสุขภาพชุมชน </t>
  </si>
  <si>
    <t>0124300314</t>
  </si>
  <si>
    <t>การพยาบาลผู้ใหญ่และผู้สูงอายุ 2</t>
  </si>
  <si>
    <t>0124300315</t>
  </si>
  <si>
    <t>วิจัยและนวัตกรรมทางการพยาบาล</t>
  </si>
  <si>
    <t>3(1-4-4)</t>
  </si>
  <si>
    <t>0124300316</t>
  </si>
  <si>
    <t>การพยาบาลมารดา ทารก และการผดุงครรภ์ 1</t>
  </si>
  <si>
    <t>0124300317</t>
  </si>
  <si>
    <t xml:space="preserve">การพยาบาลสุขภาพจิตและจิตเวช </t>
  </si>
  <si>
    <t>0124300326</t>
  </si>
  <si>
    <t xml:space="preserve">ปฏิบัติการพยาบาลสุขภาพชุมชน </t>
  </si>
  <si>
    <t>0124300325</t>
  </si>
  <si>
    <t>0124300327</t>
  </si>
  <si>
    <t>ปฏิบัติการพยาบาลผู้ใหญ่และผู้สูงอายุ  2</t>
  </si>
  <si>
    <t>0124300328</t>
  </si>
  <si>
    <t xml:space="preserve">ปฏิบัติการพยาบาลผู้สูงอายุ </t>
  </si>
  <si>
    <t>ปฏิบัติการพยาบาลมารดา ทารก และการผดุงครรภ์ 1</t>
  </si>
  <si>
    <t>0124300330</t>
  </si>
  <si>
    <t xml:space="preserve">ปฏิบัติการพยาบาลสุขภาพจิตและจิตเวช </t>
  </si>
  <si>
    <t>GE 105</t>
  </si>
  <si>
    <t>ภาษาอังกฤษก้าวหน้า</t>
  </si>
  <si>
    <t>0124300418</t>
  </si>
  <si>
    <t>การพยาบาลมารดา ทารก และการผดุงครรภ์ 2</t>
  </si>
  <si>
    <t>0124300419</t>
  </si>
  <si>
    <t>การพยาบาลและการบริหารจัดการสุขภาวะชุมชน</t>
  </si>
  <si>
    <t>0124300420</t>
  </si>
  <si>
    <t xml:space="preserve">การรักษาโรคเบื้องต้นสำหรับพยาบาล   </t>
  </si>
  <si>
    <t>การบริหารและการจัดการคุณภาพทางการพยาบาล</t>
  </si>
  <si>
    <t>0124300431</t>
  </si>
  <si>
    <t xml:space="preserve">ปฏิบัติการพยาบาลมารดา ทารกและการผดุงครรภ์ 2 </t>
  </si>
  <si>
    <t>0124300432</t>
  </si>
  <si>
    <t xml:space="preserve">ปฏิบัติการพยาบาลและการบริหารจัดการสุขภาวะชุมชน  </t>
  </si>
  <si>
    <t>0124300433</t>
  </si>
  <si>
    <t xml:space="preserve">ปฏิบัติการรักษาโรคเบื้องต้นสำหรับพยาบาล  </t>
  </si>
  <si>
    <t>0124300434</t>
  </si>
  <si>
    <t xml:space="preserve">ปฏิบัติการบริหารและการจัดการคุณภาพทางการพยาบาล </t>
  </si>
  <si>
    <t>0124300035</t>
  </si>
  <si>
    <t>0124300036</t>
  </si>
  <si>
    <t>0124300037</t>
  </si>
  <si>
    <t>0124300038</t>
  </si>
  <si>
    <t>2(0-4-2)</t>
  </si>
  <si>
    <t>0124300039</t>
  </si>
  <si>
    <t>การออกกำลังกายเพื่อสร้างเสริมสุขภาพ</t>
  </si>
  <si>
    <t>0124300040</t>
  </si>
  <si>
    <t>ภาษาจีนในชีวิตประจำวัน</t>
  </si>
  <si>
    <t>0124300041</t>
  </si>
  <si>
    <t>ปรัชญาเศรษฐกิจพอเพียงในวิถีชีวิตใหม่</t>
  </si>
  <si>
    <t>0124300042</t>
  </si>
  <si>
    <t>พลวัตกลุ่มและการทำงานเป็นทีม</t>
  </si>
  <si>
    <t>0124300043</t>
  </si>
  <si>
    <t>สุนทรียศาสตร์</t>
  </si>
  <si>
    <t>SubPLO1</t>
  </si>
  <si>
    <t>SubPLO1-L</t>
  </si>
  <si>
    <t>SubPLO12</t>
  </si>
  <si>
    <t>SubPLO2</t>
  </si>
  <si>
    <t>SubPLO2-L</t>
  </si>
  <si>
    <t>SubPLO3</t>
  </si>
  <si>
    <t>SubPLO3-L</t>
  </si>
  <si>
    <t>SubPLO4</t>
  </si>
  <si>
    <t>SubPLO4-L</t>
  </si>
  <si>
    <t>SubPLO5</t>
  </si>
  <si>
    <t>SubPLO5-L</t>
  </si>
  <si>
    <t>SubPLO6</t>
  </si>
  <si>
    <t>SubPLO6-L</t>
  </si>
  <si>
    <t>SubPLO7</t>
  </si>
  <si>
    <t>SubPLO7-L</t>
  </si>
  <si>
    <t>SubPLO8</t>
  </si>
  <si>
    <t>SubPLO8-L</t>
  </si>
  <si>
    <t>SubPLO9</t>
  </si>
  <si>
    <t>SubPLO9-L</t>
  </si>
  <si>
    <t>SubPLO10</t>
  </si>
  <si>
    <t>SubPLO10-L</t>
  </si>
  <si>
    <t>SubPLO11</t>
  </si>
  <si>
    <t>SubPLO11-L</t>
  </si>
  <si>
    <t>SubPLO12-L</t>
  </si>
  <si>
    <t>SubPLO13</t>
  </si>
  <si>
    <t>SubPLO13-L</t>
  </si>
  <si>
    <t>SubPLO14</t>
  </si>
  <si>
    <t>SubPLO14-L</t>
  </si>
  <si>
    <t>SubPLO15</t>
  </si>
  <si>
    <t>SubPLO15-L</t>
  </si>
  <si>
    <t>M</t>
  </si>
  <si>
    <t>P</t>
  </si>
  <si>
    <t>แสดงออกถึงการมีภาวะผู้นํา และสามารถบริหารจัดการสุขภาวะชุมชน</t>
  </si>
  <si>
    <t>ใช้ภาษาในการสื่อสารได้อย่างเหมาะสมและเป็นสากล</t>
  </si>
  <si>
    <t>ประยุกต์แนวคิดการเป็นผู้ประกอบการด้านสุขภาพได้อย่างเหมาะสม</t>
  </si>
  <si>
    <t>ใช้ความรู้ทางการพยาบาลในการดูแลผู้รับบริการแบบองค์รวมด้วยหัวใจความเป็นมนุษย์ ตามเกณฑ์มาตรฐานและจรรยาบรรณวิชาชีพ</t>
  </si>
  <si>
    <t xml:space="preserve">ใช้ความรู้ทางการผดุงครรภ์ในการดูแลผู้รับบริการแบบองค์รวมด้วยหัวใจความเป็นมนุษย์ ตามเกณฑ์มาตรฐานและจรรยาบรรณวิชาชีพ </t>
  </si>
  <si>
    <t>ใช้ความรู้ศาสตร์พื้นฐาน วิชาชีพที่เกี่ยวข้องในการดูแลผู้รับบริการ</t>
  </si>
  <si>
    <t>ปฏิบัติการผดุงครรภ์ โดยใช้กระบวนการพยาบาลแบบองค์รวมด้วยหัวใจความเป็นมนุษย์บนหลักฐานเชิงประจักษ์ คำนึงถึงความปลอดภัย การใช้ยาอย่างสมเหตุผล ความหลากหลายทางวัฒนธรรม ภายใต้กฎหมายและจรรยาบรรณวิชาชีพ</t>
  </si>
  <si>
    <t>ปฏิบัติการพยาบาล โดยใช้กระบวนการพยาบาลแบบองค์รวมด้วยหัวใจความเป็นมนุษย์บนหลักฐานเชิงประจักษ์ คำนึงถึงความปลอดภัย การใช้ยาอย่างสมเหตุผล ความหลากหลายทางวัฒนธรรม ภายใต้กฎหมายและจรรยาบรรณวิชาชีพ</t>
  </si>
  <si>
    <t>ตัดสินใจแก้ปัญหาโดยใช้ทางเลือกที่หลากหลาย (SS35 คิดแก้ปัญหา)</t>
  </si>
  <si>
    <t>แสดงความคิดเห็นโดยใช้หลักเหตุผลใตร่ตรองอย่างรอบด้านบนหลักฐานเชิงประจักษ์  (SS1 การคิดอย่างมีวิจารณญาณ)</t>
  </si>
  <si>
    <t>สร้างสรรค์แนวทางการแก้ปัญหาในสถานการณ์ที่หลากหลาย (SS4 คิดอย่างสร้างสรรค์)</t>
  </si>
  <si>
    <t>อธิบายแนวคิด หลักการ กระบวนการวิจัย และสร้างนวัตกรรมทางการพยาบาล</t>
  </si>
  <si>
    <t>นำผลการวิจัยไปใช้ในการปฏิบัติการพยาบาลและการผดุงครรภ์</t>
  </si>
  <si>
    <t>ร่วมพัฒนา/ร่วมสร้างวิจัยหรือนวัตกรรมทางการพยาบาล</t>
  </si>
  <si>
    <t>ประสานความร่วมมือและนำทีมงานให้ทำงานบรรลุเป้าหมาย</t>
  </si>
  <si>
    <t>กล้าแสดงออกในสิ่งที่ถูกต้องตามสิทธิของตนเองเพื่อให้การทำงานบรรลุเป้าหมายโดยไม่ละเมิดสิทธิผู้อื่น</t>
  </si>
  <si>
    <t>บริหารจัดการสุขภาวะชุมชนได้</t>
  </si>
  <si>
    <t>จับใจความ และถ่ายทอดในชีวิตประจำวัน</t>
  </si>
  <si>
    <t>จับใจความและถ่ายทอดสาระสำคัญของเนื้อหาวิชาการ</t>
  </si>
  <si>
    <t>จับใจความและถ่ายทอดสาระสำคัญของเนื้อหาวิชาการ/ วิชาชีพและเผยแพร่ต่อสาธารณชน</t>
  </si>
  <si>
    <t>เลือกสื่อ สารสนเทศและเทคโนโลยีดิจิตัลอย่างมีจริยธรรมเพื่อการเรียนรู้อย่างเท่าทัน</t>
  </si>
  <si>
    <t>สืบค้นและใช้ข้อมูลสารสนเทศเพื่อการพยาบาลและการผดุงครรภ์ได้สอดคล้องกับสภาพปัญหาของผู้รับบริการโดยมีการอ้างอิงแหล่งที่มา</t>
  </si>
  <si>
    <t>วิเคราะห์จุดเด่นจุดด้อยของตนเองได้เพื่อนำไปสู่การพัฒนาตนเองที่ทันต่อสภาพการณ์ที่เปลี่ยนแปลง</t>
  </si>
  <si>
    <t xml:space="preserve">ใช้หลักปรัชญาเศรษฐกิจพอเพียงในการดำเนินชีวิตและการทำงาน  </t>
  </si>
  <si>
    <t>อธิบายแนวคิดการเป็นผู้ประกอบการ</t>
  </si>
  <si>
    <t>ใช้แนวคิดการเป็นผู้ประกอบการด้านสุขภาพในการปฏิบัติงานได้อย่างเหมาะสม</t>
  </si>
  <si>
    <t>ระดับของ SubPLOs</t>
  </si>
  <si>
    <r>
      <rPr>
        <b/>
        <sz val="14"/>
        <color theme="1"/>
        <rFont val="TH SarabunPSK"/>
        <family val="2"/>
      </rPr>
      <t>PLO1</t>
    </r>
    <r>
      <rPr>
        <sz val="14"/>
        <color theme="1"/>
        <rFont val="TH SarabunPSK"/>
        <family val="2"/>
      </rPr>
      <t xml:space="preserve"> ประยุกต์ความรู้ทางการพยาบาลการผดุงครรภ์และบูรณาการศาสตร์ที่เกี่ยวข้องในการ ให้บริการสุขภาพทุกช่วงวัย ในภาวะปกติและเจ็บป่วย</t>
    </r>
  </si>
  <si>
    <t>ต่ำสุด (Min)</t>
  </si>
  <si>
    <t>แสดงออกถึงพฤติกรรม ด้านคุณธรรม ตามอัตลักษณ์ คุณธรรมของสถาบันพระบรมราชชนก : มีวินัย หน้าที่ สามัคคี เสียสละ สัจจะ กตเวที</t>
  </si>
  <si>
    <t>ปฏิบัติการพยาบาลและการผดุงครรภ์แบบองค์รวมด้วยหัวใจความเป็นมนุษย์โดยใช้กระบวนการพยาบาลบนหลักฐานเชิงประจักษ์ คํานึงถึงความปลอดภัย การใช้ยาอย่างสมเหตุผล ความหลากหลายทางวัฒนธรรมภายใต้กฎหมายและจรรยาบรรณวิชาชีพ</t>
  </si>
  <si>
    <t>ประยุกต์ความรู้ทางการพยาบาลการผดุงครรภ์และบูรณาการศาสตร์ที่เกี่ยวข้องในการให้บริการสุขภาพทุกช่วงวัยในภาวะปกติและเจ็บป่วย</t>
  </si>
  <si>
    <t>แสดงออกถึงพฤติกรรมด้านคุณธรรมจริยธรรม จรรยาบรรณวิชาชีพ เจตคติที่ดีต่อวิชาชีพและสิทธิของพยาบาล</t>
  </si>
  <si>
    <t>แสดงออกถึงทักษะการคิดขั้นสูงในการตัดสินใจแก้ปัญหา การคิดอย่างมีวิจารณญาณและสร้างสรรค์</t>
  </si>
  <si>
    <t>ประยุกต์ความรู้ระเบียบวิธีวิจัยในการปฏิบัติการพยาบาลการผดุงครรภ์ และร่วมออกแบบหรือพัฒนานวัตกรรมการดูแลสุขภาพ</t>
  </si>
  <si>
    <t>ใช้สื่อสารสนเทศและเทคโนโลยีดิจิทัลที่เหมาะสมในการเรียนรู้และปฏิบัติการพยาบาลและการผดุงครรภ์</t>
  </si>
  <si>
    <t>แสดงออกถึงการมีทักษะชีวิตโดยยึดหลักปรัชญาเศรษฐกิจพอเพียง เพื่อพัฒนาตนเอง วิชาชีพ และสังคม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</si>
</sst>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87" formatCode="0.00;;;@"/>
    <numFmt numFmtId="188" formatCode="[$-107041E]d\ mmmm\ yyyy;@"/>
    <numFmt numFmtId="189" formatCode="0.0"/>
    <numFmt numFmtId="190" formatCode="0;;;@"/>
  </numFmts>
  <fonts count="19" x14ac:knownFonts="1"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sz val="14"/>
      <color rgb="FF0000FF"/>
      <name val="TH SarabunPSK"/>
      <family val="2"/>
    </font>
    <font>
      <b/>
      <sz val="18"/>
      <color rgb="FF0000FF"/>
      <name val="TH SarabunPS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color rgb="FF0000FF"/>
      <name val="TH SarabunPSK"/>
      <family val="2"/>
    </font>
    <font>
      <b/>
      <u/>
      <sz val="16"/>
      <color theme="9" tint="-0.249977111117893"/>
      <name val="TH SarabunPSK"/>
      <family val="2"/>
    </font>
    <font>
      <b/>
      <sz val="14"/>
      <color rgb="FF00B050"/>
      <name val="TH SarabunPSK"/>
      <family val="2"/>
    </font>
    <font>
      <b/>
      <sz val="12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4"/>
      <color theme="1"/>
      <name val="TH SarabunPSK"/>
    </font>
    <font>
      <b/>
      <sz val="18"/>
      <color rgb="FFFF0000"/>
      <name val="TH SarabunPSK"/>
      <family val="2"/>
    </font>
    <font>
      <u/>
      <sz val="11"/>
      <color theme="10"/>
      <name val="Tahoma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D9FFB3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A3"/>
        <bgColor indexed="64"/>
      </patternFill>
    </fill>
    <fill>
      <patternFill patternType="solid">
        <fgColor rgb="FFC9E7A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BF7"/>
        <bgColor indexed="64"/>
      </patternFill>
    </fill>
    <fill>
      <patternFill patternType="solid">
        <fgColor rgb="FFFDE6D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99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9" tint="-0.249977111117893"/>
      </left>
      <right style="hair">
        <color theme="9" tint="-0.249977111117893"/>
      </right>
      <top style="hair">
        <color theme="9" tint="-0.249977111117893"/>
      </top>
      <bottom style="hair">
        <color theme="9" tint="-0.249977111117893"/>
      </bottom>
      <diagonal/>
    </border>
    <border>
      <left style="hair">
        <color theme="9" tint="-0.249977111117893"/>
      </left>
      <right/>
      <top style="hair">
        <color theme="9" tint="-0.249977111117893"/>
      </top>
      <bottom style="hair">
        <color theme="9" tint="-0.249977111117893"/>
      </bottom>
      <diagonal/>
    </border>
    <border>
      <left style="hair">
        <color theme="9" tint="-0.249977111117893"/>
      </left>
      <right style="hair">
        <color theme="9" tint="-0.249977111117893"/>
      </right>
      <top style="hair">
        <color theme="9" tint="-0.249977111117893"/>
      </top>
      <bottom/>
      <diagonal/>
    </border>
    <border>
      <left style="hair">
        <color theme="9" tint="-0.249977111117893"/>
      </left>
      <right style="hair">
        <color theme="9" tint="-0.249977111117893"/>
      </right>
      <top/>
      <bottom style="hair">
        <color theme="9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theme="9" tint="-0.249977111117893"/>
      </left>
      <right style="hair">
        <color theme="9" tint="-0.249977111117893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174">
    <xf numFmtId="0" fontId="0" fillId="0" borderId="0" xfId="0"/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top" wrapText="1"/>
    </xf>
    <xf numFmtId="0" fontId="3" fillId="0" borderId="0" xfId="0" applyFont="1" applyAlignment="1">
      <alignment vertical="top"/>
    </xf>
    <xf numFmtId="0" fontId="2" fillId="3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left" vertical="top"/>
    </xf>
    <xf numFmtId="0" fontId="8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0" fillId="7" borderId="2" xfId="0" applyFont="1" applyFill="1" applyBorder="1" applyAlignment="1">
      <alignment horizontal="center" vertical="top" wrapText="1"/>
    </xf>
    <xf numFmtId="0" fontId="10" fillId="7" borderId="3" xfId="0" applyFont="1" applyFill="1" applyBorder="1" applyAlignment="1">
      <alignment vertical="top" wrapText="1"/>
    </xf>
    <xf numFmtId="0" fontId="1" fillId="0" borderId="3" xfId="0" quotePrefix="1" applyFont="1" applyBorder="1" applyAlignment="1">
      <alignment vertical="top" wrapText="1"/>
    </xf>
    <xf numFmtId="0" fontId="1" fillId="0" borderId="2" xfId="0" applyFont="1" applyBorder="1" applyAlignment="1">
      <alignment horizontal="left" vertical="top"/>
    </xf>
    <xf numFmtId="188" fontId="1" fillId="0" borderId="2" xfId="0" applyNumberFormat="1" applyFont="1" applyBorder="1" applyAlignment="1">
      <alignment horizontal="center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vertical="top"/>
    </xf>
    <xf numFmtId="0" fontId="1" fillId="0" borderId="2" xfId="0" quotePrefix="1" applyFont="1" applyBorder="1" applyAlignment="1">
      <alignment horizontal="left" vertical="top" wrapText="1"/>
    </xf>
    <xf numFmtId="189" fontId="1" fillId="0" borderId="2" xfId="0" applyNumberFormat="1" applyFont="1" applyBorder="1" applyAlignment="1">
      <alignment horizontal="left" vertical="top" wrapText="1"/>
    </xf>
    <xf numFmtId="0" fontId="2" fillId="6" borderId="1" xfId="0" applyNumberFormat="1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/>
    </xf>
    <xf numFmtId="0" fontId="1" fillId="0" borderId="0" xfId="0" applyFont="1" applyFill="1" applyBorder="1" applyAlignment="1">
      <alignment horizontal="center" vertical="top"/>
    </xf>
    <xf numFmtId="0" fontId="1" fillId="0" borderId="8" xfId="0" applyFont="1" applyBorder="1" applyAlignment="1">
      <alignment horizontal="center" vertical="top"/>
    </xf>
    <xf numFmtId="0" fontId="2" fillId="6" borderId="7" xfId="0" applyNumberFormat="1" applyFont="1" applyFill="1" applyBorder="1" applyAlignment="1">
      <alignment horizontal="center" vertical="top"/>
    </xf>
    <xf numFmtId="0" fontId="1" fillId="0" borderId="7" xfId="0" applyFont="1" applyBorder="1" applyAlignment="1">
      <alignment vertical="top" wrapText="1"/>
    </xf>
    <xf numFmtId="0" fontId="1" fillId="0" borderId="7" xfId="0" applyFont="1" applyBorder="1" applyAlignment="1">
      <alignment horizontal="center" vertical="top"/>
    </xf>
    <xf numFmtId="0" fontId="11" fillId="3" borderId="9" xfId="0" applyFont="1" applyFill="1" applyBorder="1" applyAlignment="1">
      <alignment horizontal="center" vertical="top"/>
    </xf>
    <xf numFmtId="0" fontId="11" fillId="8" borderId="10" xfId="0" applyFont="1" applyFill="1" applyBorder="1" applyAlignment="1">
      <alignment horizontal="center" vertical="top"/>
    </xf>
    <xf numFmtId="0" fontId="11" fillId="3" borderId="10" xfId="0" applyFont="1" applyFill="1" applyBorder="1" applyAlignment="1">
      <alignment vertical="top" wrapText="1"/>
    </xf>
    <xf numFmtId="0" fontId="11" fillId="3" borderId="10" xfId="0" applyFont="1" applyFill="1" applyBorder="1" applyAlignment="1">
      <alignment horizontal="center" vertical="top"/>
    </xf>
    <xf numFmtId="0" fontId="12" fillId="0" borderId="0" xfId="0" applyFont="1" applyAlignment="1">
      <alignment vertical="top"/>
    </xf>
    <xf numFmtId="0" fontId="2" fillId="6" borderId="1" xfId="0" quotePrefix="1" applyNumberFormat="1" applyFont="1" applyFill="1" applyBorder="1" applyAlignment="1">
      <alignment horizontal="center" vertical="top"/>
    </xf>
    <xf numFmtId="0" fontId="2" fillId="0" borderId="0" xfId="0" applyFont="1" applyAlignment="1">
      <alignment vertical="top"/>
    </xf>
    <xf numFmtId="0" fontId="2" fillId="0" borderId="0" xfId="0" applyNumberFormat="1" applyFont="1" applyFill="1" applyBorder="1" applyAlignment="1">
      <alignment horizontal="center" vertical="top"/>
    </xf>
    <xf numFmtId="0" fontId="1" fillId="0" borderId="0" xfId="0" applyFont="1" applyFill="1" applyBorder="1" applyAlignment="1">
      <alignment vertical="top" wrapText="1"/>
    </xf>
    <xf numFmtId="2" fontId="2" fillId="0" borderId="0" xfId="0" applyNumberFormat="1" applyFont="1" applyFill="1" applyBorder="1" applyAlignment="1">
      <alignment horizontal="center" vertical="top"/>
    </xf>
    <xf numFmtId="2" fontId="1" fillId="0" borderId="0" xfId="0" applyNumberFormat="1" applyFont="1" applyFill="1" applyBorder="1" applyAlignment="1">
      <alignment horizontal="center" vertical="top"/>
    </xf>
    <xf numFmtId="0" fontId="1" fillId="0" borderId="0" xfId="0" applyFont="1" applyFill="1" applyAlignment="1">
      <alignment vertical="top"/>
    </xf>
    <xf numFmtId="0" fontId="2" fillId="10" borderId="1" xfId="0" applyFont="1" applyFill="1" applyBorder="1" applyAlignment="1">
      <alignment horizontal="center" vertical="top"/>
    </xf>
    <xf numFmtId="187" fontId="1" fillId="0" borderId="1" xfId="0" applyNumberFormat="1" applyFont="1" applyBorder="1" applyAlignment="1">
      <alignment horizontal="center" vertical="top"/>
    </xf>
    <xf numFmtId="0" fontId="2" fillId="10" borderId="1" xfId="0" applyFont="1" applyFill="1" applyBorder="1" applyAlignment="1">
      <alignment horizontal="center" vertical="top"/>
    </xf>
    <xf numFmtId="0" fontId="2" fillId="6" borderId="1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4" fillId="0" borderId="0" xfId="0" applyFont="1" applyAlignment="1">
      <alignment vertical="top"/>
    </xf>
    <xf numFmtId="187" fontId="2" fillId="5" borderId="1" xfId="0" applyNumberFormat="1" applyFont="1" applyFill="1" applyBorder="1" applyAlignment="1">
      <alignment horizontal="center" vertical="top"/>
    </xf>
    <xf numFmtId="0" fontId="15" fillId="9" borderId="14" xfId="0" applyFont="1" applyFill="1" applyBorder="1" applyAlignment="1">
      <alignment horizontal="center" vertical="top"/>
    </xf>
    <xf numFmtId="0" fontId="15" fillId="9" borderId="0" xfId="0" applyFont="1" applyFill="1" applyBorder="1" applyAlignment="1">
      <alignment horizontal="center" vertical="top"/>
    </xf>
    <xf numFmtId="0" fontId="15" fillId="9" borderId="13" xfId="0" applyFont="1" applyFill="1" applyBorder="1" applyAlignment="1">
      <alignment horizontal="center" vertical="top"/>
    </xf>
    <xf numFmtId="0" fontId="15" fillId="9" borderId="7" xfId="0" quotePrefix="1" applyFont="1" applyFill="1" applyBorder="1" applyAlignment="1">
      <alignment horizontal="center" vertical="top"/>
    </xf>
    <xf numFmtId="0" fontId="15" fillId="9" borderId="16" xfId="0" quotePrefix="1" applyFont="1" applyFill="1" applyBorder="1" applyAlignment="1">
      <alignment horizontal="center" vertical="top"/>
    </xf>
    <xf numFmtId="0" fontId="15" fillId="9" borderId="10" xfId="0" quotePrefix="1" applyFont="1" applyFill="1" applyBorder="1" applyAlignment="1">
      <alignment horizontal="center" vertical="top"/>
    </xf>
    <xf numFmtId="0" fontId="4" fillId="0" borderId="0" xfId="0" applyFont="1" applyAlignment="1">
      <alignment vertical="top" wrapText="1"/>
    </xf>
    <xf numFmtId="0" fontId="13" fillId="0" borderId="13" xfId="0" applyFont="1" applyBorder="1" applyAlignment="1">
      <alignment vertical="top"/>
    </xf>
    <xf numFmtId="0" fontId="11" fillId="0" borderId="0" xfId="0" applyFont="1" applyAlignment="1">
      <alignment vertical="top"/>
    </xf>
    <xf numFmtId="0" fontId="15" fillId="2" borderId="7" xfId="0" applyFont="1" applyFill="1" applyBorder="1" applyAlignment="1">
      <alignment horizontal="center" vertical="top"/>
    </xf>
    <xf numFmtId="0" fontId="15" fillId="2" borderId="16" xfId="0" applyFont="1" applyFill="1" applyBorder="1" applyAlignment="1">
      <alignment horizontal="center" vertical="top"/>
    </xf>
    <xf numFmtId="0" fontId="15" fillId="2" borderId="10" xfId="0" applyFont="1" applyFill="1" applyBorder="1" applyAlignment="1">
      <alignment horizontal="center" vertical="top"/>
    </xf>
    <xf numFmtId="0" fontId="1" fillId="0" borderId="2" xfId="0" quotePrefix="1" applyFont="1" applyBorder="1" applyAlignment="1">
      <alignment vertical="top" wrapText="1"/>
    </xf>
    <xf numFmtId="0" fontId="7" fillId="0" borderId="0" xfId="0" applyFont="1" applyAlignment="1">
      <alignment vertical="top"/>
    </xf>
    <xf numFmtId="0" fontId="14" fillId="0" borderId="0" xfId="0" applyFont="1" applyAlignment="1">
      <alignment horizontal="center" vertical="top"/>
    </xf>
    <xf numFmtId="0" fontId="14" fillId="0" borderId="0" xfId="0" applyFont="1" applyAlignment="1">
      <alignment vertical="top" wrapText="1"/>
    </xf>
    <xf numFmtId="0" fontId="15" fillId="3" borderId="1" xfId="0" applyFont="1" applyFill="1" applyBorder="1" applyAlignment="1">
      <alignment horizontal="center" vertical="top"/>
    </xf>
    <xf numFmtId="0" fontId="15" fillId="5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/>
    </xf>
    <xf numFmtId="0" fontId="15" fillId="9" borderId="7" xfId="0" applyFont="1" applyFill="1" applyBorder="1" applyAlignment="1">
      <alignment horizontal="center" vertical="top" wrapText="1"/>
    </xf>
    <xf numFmtId="0" fontId="15" fillId="9" borderId="9" xfId="0" applyFont="1" applyFill="1" applyBorder="1" applyAlignment="1">
      <alignment horizontal="center" vertical="top"/>
    </xf>
    <xf numFmtId="0" fontId="15" fillId="9" borderId="10" xfId="0" applyFont="1" applyFill="1" applyBorder="1" applyAlignment="1">
      <alignment horizontal="center" vertical="top" wrapText="1"/>
    </xf>
    <xf numFmtId="0" fontId="15" fillId="9" borderId="1" xfId="0" applyFont="1" applyFill="1" applyBorder="1" applyAlignment="1">
      <alignment horizontal="center" vertical="top" wrapText="1"/>
    </xf>
    <xf numFmtId="2" fontId="15" fillId="9" borderId="1" xfId="0" applyNumberFormat="1" applyFont="1" applyFill="1" applyBorder="1" applyAlignment="1">
      <alignment horizontal="center" vertical="center"/>
    </xf>
    <xf numFmtId="2" fontId="15" fillId="6" borderId="1" xfId="0" applyNumberFormat="1" applyFont="1" applyFill="1" applyBorder="1" applyAlignment="1">
      <alignment horizontal="center" vertical="top" wrapText="1"/>
    </xf>
    <xf numFmtId="0" fontId="15" fillId="11" borderId="11" xfId="0" applyFont="1" applyFill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/>
    </xf>
    <xf numFmtId="0" fontId="14" fillId="0" borderId="1" xfId="0" applyFont="1" applyBorder="1" applyAlignment="1">
      <alignment horizontal="left" vertical="top" wrapText="1"/>
    </xf>
    <xf numFmtId="187" fontId="14" fillId="0" borderId="1" xfId="0" applyNumberFormat="1" applyFont="1" applyBorder="1" applyAlignment="1">
      <alignment horizontal="center" vertical="top"/>
    </xf>
    <xf numFmtId="187" fontId="15" fillId="9" borderId="1" xfId="0" applyNumberFormat="1" applyFont="1" applyFill="1" applyBorder="1" applyAlignment="1">
      <alignment horizontal="center" vertical="top"/>
    </xf>
    <xf numFmtId="0" fontId="15" fillId="13" borderId="6" xfId="0" applyFont="1" applyFill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14" fillId="0" borderId="12" xfId="0" applyFont="1" applyBorder="1" applyAlignment="1">
      <alignment horizontal="center" vertical="top"/>
    </xf>
    <xf numFmtId="0" fontId="14" fillId="0" borderId="7" xfId="0" applyFont="1" applyBorder="1" applyAlignment="1">
      <alignment horizontal="center" vertical="top"/>
    </xf>
    <xf numFmtId="0" fontId="14" fillId="0" borderId="7" xfId="0" applyFont="1" applyBorder="1" applyAlignment="1">
      <alignment horizontal="left" vertical="top" wrapText="1"/>
    </xf>
    <xf numFmtId="187" fontId="14" fillId="0" borderId="7" xfId="0" applyNumberFormat="1" applyFont="1" applyBorder="1" applyAlignment="1">
      <alignment horizontal="center" vertical="top"/>
    </xf>
    <xf numFmtId="187" fontId="15" fillId="9" borderId="7" xfId="0" applyNumberFormat="1" applyFont="1" applyFill="1" applyBorder="1" applyAlignment="1">
      <alignment horizontal="center" vertical="top"/>
    </xf>
    <xf numFmtId="187" fontId="14" fillId="0" borderId="0" xfId="0" applyNumberFormat="1" applyFont="1" applyAlignment="1">
      <alignment vertical="top"/>
    </xf>
    <xf numFmtId="190" fontId="1" fillId="0" borderId="1" xfId="0" applyNumberFormat="1" applyFont="1" applyBorder="1" applyAlignment="1">
      <alignment horizontal="center" vertical="top" wrapText="1"/>
    </xf>
    <xf numFmtId="190" fontId="15" fillId="5" borderId="1" xfId="0" applyNumberFormat="1" applyFont="1" applyFill="1" applyBorder="1" applyAlignment="1">
      <alignment horizontal="center" vertical="top"/>
    </xf>
    <xf numFmtId="190" fontId="15" fillId="10" borderId="17" xfId="0" applyNumberFormat="1" applyFont="1" applyFill="1" applyBorder="1" applyAlignment="1">
      <alignment horizontal="center" vertical="top"/>
    </xf>
    <xf numFmtId="187" fontId="15" fillId="12" borderId="7" xfId="0" applyNumberFormat="1" applyFont="1" applyFill="1" applyBorder="1" applyAlignment="1">
      <alignment horizontal="center" vertical="top"/>
    </xf>
    <xf numFmtId="187" fontId="15" fillId="10" borderId="17" xfId="0" applyNumberFormat="1" applyFont="1" applyFill="1" applyBorder="1" applyAlignment="1">
      <alignment horizontal="center" vertical="top"/>
    </xf>
    <xf numFmtId="187" fontId="15" fillId="9" borderId="7" xfId="0" applyNumberFormat="1" applyFont="1" applyFill="1" applyBorder="1" applyAlignment="1">
      <alignment horizontal="center" vertical="center"/>
    </xf>
    <xf numFmtId="187" fontId="15" fillId="6" borderId="7" xfId="0" applyNumberFormat="1" applyFont="1" applyFill="1" applyBorder="1" applyAlignment="1">
      <alignment horizontal="center" vertical="top" wrapText="1"/>
    </xf>
    <xf numFmtId="0" fontId="15" fillId="0" borderId="19" xfId="0" applyFont="1" applyBorder="1" applyAlignment="1">
      <alignment vertical="top"/>
    </xf>
    <xf numFmtId="0" fontId="14" fillId="0" borderId="12" xfId="0" applyFont="1" applyBorder="1" applyAlignment="1">
      <alignment vertical="top"/>
    </xf>
    <xf numFmtId="0" fontId="15" fillId="0" borderId="11" xfId="0" applyFont="1" applyBorder="1" applyAlignment="1">
      <alignment vertical="top"/>
    </xf>
    <xf numFmtId="0" fontId="14" fillId="0" borderId="9" xfId="0" applyFont="1" applyBorder="1" applyAlignment="1">
      <alignment vertical="top"/>
    </xf>
    <xf numFmtId="0" fontId="15" fillId="0" borderId="6" xfId="0" applyFont="1" applyBorder="1" applyAlignment="1">
      <alignment vertical="top"/>
    </xf>
    <xf numFmtId="0" fontId="14" fillId="0" borderId="8" xfId="0" applyFont="1" applyBorder="1" applyAlignment="1">
      <alignment vertical="top"/>
    </xf>
    <xf numFmtId="190" fontId="15" fillId="3" borderId="1" xfId="0" applyNumberFormat="1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10" borderId="1" xfId="0" applyFont="1" applyFill="1" applyBorder="1" applyAlignment="1">
      <alignment horizontal="center" vertical="top" wrapText="1"/>
    </xf>
    <xf numFmtId="0" fontId="1" fillId="10" borderId="7" xfId="0" applyFont="1" applyFill="1" applyBorder="1" applyAlignment="1">
      <alignment horizontal="center" vertical="top" wrapText="1"/>
    </xf>
    <xf numFmtId="0" fontId="11" fillId="11" borderId="10" xfId="0" applyFont="1" applyFill="1" applyBorder="1" applyAlignment="1">
      <alignment horizontal="center" vertical="top"/>
    </xf>
    <xf numFmtId="0" fontId="11" fillId="15" borderId="10" xfId="0" applyFont="1" applyFill="1" applyBorder="1" applyAlignment="1">
      <alignment horizontal="center" vertical="top"/>
    </xf>
    <xf numFmtId="2" fontId="2" fillId="14" borderId="1" xfId="0" applyNumberFormat="1" applyFont="1" applyFill="1" applyBorder="1" applyAlignment="1">
      <alignment horizontal="center" vertical="top"/>
    </xf>
    <xf numFmtId="2" fontId="2" fillId="14" borderId="7" xfId="0" applyNumberFormat="1" applyFont="1" applyFill="1" applyBorder="1" applyAlignment="1">
      <alignment horizontal="center" vertical="top"/>
    </xf>
    <xf numFmtId="187" fontId="2" fillId="15" borderId="1" xfId="0" applyNumberFormat="1" applyFont="1" applyFill="1" applyBorder="1" applyAlignment="1">
      <alignment horizontal="center" vertical="top"/>
    </xf>
    <xf numFmtId="190" fontId="2" fillId="8" borderId="1" xfId="0" applyNumberFormat="1" applyFont="1" applyFill="1" applyBorder="1" applyAlignment="1">
      <alignment horizontal="center" vertical="top"/>
    </xf>
    <xf numFmtId="0" fontId="14" fillId="0" borderId="0" xfId="0" applyFont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18" fillId="2" borderId="1" xfId="1" applyFill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5" fillId="16" borderId="0" xfId="0" applyFont="1" applyFill="1" applyAlignment="1">
      <alignment vertical="center"/>
    </xf>
    <xf numFmtId="187" fontId="1" fillId="9" borderId="1" xfId="0" applyNumberFormat="1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/>
    </xf>
    <xf numFmtId="187" fontId="2" fillId="2" borderId="1" xfId="0" applyNumberFormat="1" applyFont="1" applyFill="1" applyBorder="1" applyAlignment="1">
      <alignment horizontal="center" vertical="top"/>
    </xf>
    <xf numFmtId="0" fontId="2" fillId="2" borderId="1" xfId="0" applyFont="1" applyFill="1" applyBorder="1" applyAlignment="1">
      <alignment vertical="top"/>
    </xf>
    <xf numFmtId="0" fontId="2" fillId="2" borderId="1" xfId="0" applyFont="1" applyFill="1" applyBorder="1" applyAlignment="1">
      <alignment horizontal="center" vertical="top"/>
    </xf>
    <xf numFmtId="190" fontId="2" fillId="2" borderId="1" xfId="0" applyNumberFormat="1" applyFont="1" applyFill="1" applyBorder="1" applyAlignment="1">
      <alignment horizontal="center" vertical="top" wrapText="1"/>
    </xf>
    <xf numFmtId="187" fontId="2" fillId="2" borderId="1" xfId="0" applyNumberFormat="1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vertical="top" wrapText="1"/>
    </xf>
    <xf numFmtId="187" fontId="14" fillId="0" borderId="6" xfId="0" applyNumberFormat="1" applyFont="1" applyBorder="1" applyAlignment="1">
      <alignment horizontal="center" vertical="top"/>
    </xf>
    <xf numFmtId="0" fontId="15" fillId="13" borderId="15" xfId="0" applyNumberFormat="1" applyFont="1" applyFill="1" applyBorder="1" applyAlignment="1">
      <alignment horizontal="center" vertical="top"/>
    </xf>
    <xf numFmtId="0" fontId="15" fillId="3" borderId="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/>
    </xf>
    <xf numFmtId="190" fontId="1" fillId="0" borderId="1" xfId="0" applyNumberFormat="1" applyFont="1" applyBorder="1" applyAlignment="1">
      <alignment horizontal="center" vertical="center" wrapText="1"/>
    </xf>
    <xf numFmtId="187" fontId="2" fillId="5" borderId="1" xfId="0" applyNumberFormat="1" applyFont="1" applyFill="1" applyBorder="1" applyAlignment="1">
      <alignment horizontal="center" vertical="center"/>
    </xf>
    <xf numFmtId="187" fontId="1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left" vertical="top" wrapText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6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6" fillId="0" borderId="0" xfId="0" applyFont="1" applyAlignment="1">
      <alignment vertical="top"/>
    </xf>
    <xf numFmtId="0" fontId="1" fillId="0" borderId="0" xfId="0" applyFont="1" applyAlignment="1">
      <alignment horizontal="right" vertical="top"/>
    </xf>
    <xf numFmtId="0" fontId="16" fillId="0" borderId="0" xfId="0" applyFont="1" applyAlignment="1">
      <alignment horizontal="right" vertical="top"/>
    </xf>
    <xf numFmtId="0" fontId="2" fillId="0" borderId="0" xfId="0" applyFont="1" applyAlignment="1">
      <alignment horizontal="center" vertical="top"/>
    </xf>
    <xf numFmtId="0" fontId="12" fillId="0" borderId="0" xfId="0" applyFont="1" applyAlignment="1">
      <alignment horizontal="center" vertical="top"/>
    </xf>
    <xf numFmtId="2" fontId="1" fillId="0" borderId="1" xfId="0" applyNumberFormat="1" applyFont="1" applyBorder="1" applyAlignment="1">
      <alignment horizontal="center" vertical="top"/>
    </xf>
    <xf numFmtId="0" fontId="3" fillId="0" borderId="0" xfId="0" applyFont="1" applyAlignment="1">
      <alignment horizontal="left" vertical="top"/>
    </xf>
    <xf numFmtId="188" fontId="1" fillId="0" borderId="4" xfId="0" applyNumberFormat="1" applyFont="1" applyBorder="1" applyAlignment="1">
      <alignment horizontal="center" vertical="top"/>
    </xf>
    <xf numFmtId="188" fontId="1" fillId="0" borderId="18" xfId="0" applyNumberFormat="1" applyFont="1" applyBorder="1" applyAlignment="1">
      <alignment horizontal="center" vertical="top"/>
    </xf>
    <xf numFmtId="188" fontId="1" fillId="0" borderId="5" xfId="0" applyNumberFormat="1" applyFont="1" applyBorder="1" applyAlignment="1">
      <alignment horizontal="center" vertical="top"/>
    </xf>
    <xf numFmtId="189" fontId="1" fillId="0" borderId="4" xfId="0" applyNumberFormat="1" applyFont="1" applyBorder="1" applyAlignment="1">
      <alignment horizontal="center" vertical="top"/>
    </xf>
    <xf numFmtId="189" fontId="1" fillId="0" borderId="18" xfId="0" applyNumberFormat="1" applyFont="1" applyBorder="1" applyAlignment="1">
      <alignment horizontal="center" vertical="top"/>
    </xf>
    <xf numFmtId="189" fontId="1" fillId="0" borderId="5" xfId="0" applyNumberFormat="1" applyFont="1" applyBorder="1" applyAlignment="1">
      <alignment horizontal="center" vertical="top"/>
    </xf>
    <xf numFmtId="0" fontId="4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/>
    </xf>
    <xf numFmtId="0" fontId="15" fillId="5" borderId="10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top" wrapText="1"/>
    </xf>
    <xf numFmtId="0" fontId="15" fillId="3" borderId="16" xfId="0" applyFont="1" applyFill="1" applyBorder="1" applyAlignment="1">
      <alignment horizontal="center" vertical="top" wrapText="1"/>
    </xf>
    <xf numFmtId="0" fontId="15" fillId="11" borderId="7" xfId="0" applyFont="1" applyFill="1" applyBorder="1" applyAlignment="1">
      <alignment horizontal="center" vertical="top" wrapText="1"/>
    </xf>
    <xf numFmtId="0" fontId="15" fillId="11" borderId="16" xfId="0" applyFont="1" applyFill="1" applyBorder="1" applyAlignment="1">
      <alignment horizontal="center" vertical="top" wrapText="1"/>
    </xf>
    <xf numFmtId="0" fontId="15" fillId="6" borderId="1" xfId="0" quotePrefix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346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4"/>
        <color auto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2" formatCode="0.00"/>
      <fill>
        <patternFill patternType="solid">
          <fgColor indexed="64"/>
          <bgColor theme="8" tint="0.79998168889431442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fill>
        <patternFill patternType="solid">
          <fgColor indexed="64"/>
          <bgColor rgb="FFD9FFB3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numFmt numFmtId="0" formatCode="General"/>
      <fill>
        <patternFill patternType="solid">
          <fgColor indexed="64"/>
          <bgColor rgb="FFFFFFA3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H SarabunPSK"/>
        <scheme val="none"/>
      </font>
      <fill>
        <patternFill patternType="solid">
          <fgColor rgb="FF000000"/>
          <bgColor rgb="FFFFFFD5"/>
        </patternFill>
      </fill>
      <alignment horizontal="center" vertical="top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2" formatCode="0.00"/>
      <fill>
        <patternFill patternType="solid">
          <fgColor indexed="64"/>
          <bgColor theme="8" tint="0.79998168889431442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0" formatCode="General"/>
      <fill>
        <patternFill patternType="solid">
          <fgColor indexed="64"/>
          <bgColor rgb="FFFFFFA3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H SarabunPSK"/>
        <scheme val="none"/>
      </font>
      <fill>
        <patternFill patternType="solid">
          <fgColor rgb="FF000000"/>
          <bgColor rgb="FFFFFFD5"/>
        </patternFill>
      </fill>
      <alignment horizontal="center" vertical="top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2" formatCode="0.00"/>
      <fill>
        <patternFill patternType="solid">
          <fgColor indexed="64"/>
          <bgColor theme="8" tint="0.79998168889431442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0" formatCode="General"/>
      <fill>
        <patternFill patternType="solid">
          <fgColor indexed="64"/>
          <bgColor rgb="FFFFFFA3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H SarabunPSK"/>
        <scheme val="none"/>
      </font>
      <fill>
        <patternFill patternType="solid">
          <fgColor rgb="FF000000"/>
          <bgColor rgb="FFFFFFD5"/>
        </patternFill>
      </fill>
      <alignment horizontal="center" vertical="top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2" formatCode="0.00"/>
      <fill>
        <patternFill patternType="solid">
          <fgColor indexed="64"/>
          <bgColor theme="8" tint="0.79998168889431442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0" formatCode="General"/>
      <fill>
        <patternFill patternType="solid">
          <fgColor indexed="64"/>
          <bgColor rgb="FFFFFFA3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H SarabunPSK"/>
        <scheme val="none"/>
      </font>
      <fill>
        <patternFill patternType="solid">
          <fgColor rgb="FF000000"/>
          <bgColor rgb="FFFFFFD5"/>
        </patternFill>
      </fill>
      <alignment horizontal="center" vertical="top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2" formatCode="0.00"/>
      <fill>
        <patternFill patternType="solid">
          <fgColor indexed="64"/>
          <bgColor theme="8" tint="0.79998168889431442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0" formatCode="General"/>
      <fill>
        <patternFill patternType="solid">
          <fgColor indexed="64"/>
          <bgColor rgb="FFFFFFA3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H SarabunPSK"/>
        <scheme val="none"/>
      </font>
      <fill>
        <patternFill patternType="solid">
          <fgColor rgb="FF000000"/>
          <bgColor rgb="FFFFFFD5"/>
        </patternFill>
      </fill>
      <alignment horizontal="center" vertical="top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2" formatCode="0.00"/>
      <fill>
        <patternFill patternType="solid">
          <fgColor indexed="64"/>
          <bgColor theme="8" tint="0.79998168889431442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0" formatCode="General"/>
      <fill>
        <patternFill patternType="solid">
          <fgColor indexed="64"/>
          <bgColor rgb="FFFFFFA3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H SarabunPSK"/>
        <scheme val="none"/>
      </font>
      <fill>
        <patternFill patternType="solid">
          <fgColor rgb="FF000000"/>
          <bgColor rgb="FFFFFFD5"/>
        </patternFill>
      </fill>
      <alignment horizontal="center" vertical="top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2" formatCode="0.00"/>
      <fill>
        <patternFill patternType="solid">
          <fgColor indexed="64"/>
          <bgColor theme="8" tint="0.79998168889431442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0" formatCode="General"/>
      <fill>
        <patternFill patternType="solid">
          <fgColor indexed="64"/>
          <bgColor rgb="FFFFFFA3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H SarabunPSK"/>
        <scheme val="none"/>
      </font>
      <fill>
        <patternFill patternType="solid">
          <fgColor rgb="FF000000"/>
          <bgColor rgb="FFFFFFD5"/>
        </patternFill>
      </fill>
      <alignment horizontal="center" vertical="top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2" formatCode="0.00"/>
      <fill>
        <patternFill patternType="solid">
          <fgColor indexed="64"/>
          <bgColor theme="8" tint="0.79998168889431442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0" formatCode="General"/>
      <fill>
        <patternFill patternType="solid">
          <fgColor indexed="64"/>
          <bgColor rgb="FFFFFFA3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H SarabunPSK"/>
        <scheme val="none"/>
      </font>
      <fill>
        <patternFill patternType="solid">
          <fgColor rgb="FF000000"/>
          <bgColor rgb="FFFFFFD5"/>
        </patternFill>
      </fill>
      <alignment horizontal="center" vertical="top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2" formatCode="0.00"/>
      <fill>
        <patternFill patternType="solid">
          <fgColor indexed="64"/>
          <bgColor theme="8" tint="0.79998168889431442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0" formatCode="General"/>
      <fill>
        <patternFill patternType="solid">
          <fgColor indexed="64"/>
          <bgColor rgb="FFFFFFA3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TH SarabunPSK"/>
        <scheme val="none"/>
      </font>
      <fill>
        <patternFill patternType="solid">
          <fgColor rgb="FF000000"/>
          <bgColor rgb="FFFFFFD5"/>
        </patternFill>
      </fill>
      <alignment horizontal="center" vertical="top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2" formatCode="0.00"/>
      <fill>
        <patternFill patternType="solid">
          <fgColor indexed="64"/>
          <bgColor theme="8" tint="0.79998168889431442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numFmt numFmtId="0" formatCode="General"/>
      <fill>
        <patternFill patternType="solid">
          <fgColor indexed="64"/>
          <bgColor rgb="FFFFFFA3"/>
        </patternFill>
      </fill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TH SarabunPSK"/>
        <scheme val="none"/>
      </font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TH SarabunPSK"/>
        <scheme val="none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0" formatCode="General"/>
      <fill>
        <patternFill patternType="solid">
          <fgColor indexed="64"/>
          <bgColor rgb="FFFDE6D3"/>
        </patternFill>
      </fill>
      <alignment horizontal="center" vertical="top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0.00;;;@"/>
      <fill>
        <patternFill patternType="solid">
          <fgColor indexed="64"/>
          <bgColor rgb="FFFFFFD5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0.00;;;@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0.00;;;@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0.00;;;@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0.00;;;@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0.00;;;@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0.00;;;@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0.00;;;@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0.00;;;@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0.00;;;@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87" formatCode="0.00;;;@"/>
      <alignment horizontal="center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top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2" formatCode="0.00"/>
      <alignment horizontal="center" vertical="top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2" formatCode="0.00"/>
      <fill>
        <patternFill patternType="solid">
          <fgColor indexed="64"/>
          <bgColor rgb="FFFFFFD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FFA3"/>
      <color rgb="FFD9FFB3"/>
      <color rgb="FF0000FF"/>
      <color rgb="FFCCFF99"/>
      <color rgb="FFFFFFD5"/>
      <color rgb="FFFFFBF7"/>
      <color rgb="FFFDE6D3"/>
      <color rgb="FFFFFFD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19050</xdr:rowOff>
    </xdr:from>
    <xdr:to>
      <xdr:col>4</xdr:col>
      <xdr:colOff>1333500</xdr:colOff>
      <xdr:row>1</xdr:row>
      <xdr:rowOff>161925</xdr:rowOff>
    </xdr:to>
    <xdr:sp macro="" textlink="">
      <xdr:nvSpPr>
        <xdr:cNvPr id="2" name="TextBox 1"/>
        <xdr:cNvSpPr txBox="1"/>
      </xdr:nvSpPr>
      <xdr:spPr>
        <a:xfrm>
          <a:off x="95250" y="19050"/>
          <a:ext cx="8572500" cy="409575"/>
        </a:xfrm>
        <a:prstGeom prst="rect">
          <a:avLst/>
        </a:prstGeom>
        <a:solidFill>
          <a:schemeClr val="bg2"/>
        </a:solidFill>
        <a:ln w="12700">
          <a:solidFill>
            <a:schemeClr val="accent6"/>
          </a:solidFill>
          <a:prstDash val="dashDot"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Overflow="clip" horzOverflow="clip" vert="horz" wrap="non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th-TH" sz="2000" b="1" i="0" u="none" strike="noStrike">
              <a:solidFill>
                <a:srgbClr val="0000FF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การพัฒนาโปรแกรมวัดและประเมิน </a:t>
          </a:r>
          <a:r>
            <a:rPr lang="en-US" sz="2000" b="1" i="0" u="none" strike="noStrike">
              <a:solidFill>
                <a:srgbClr val="0000FF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PLOs </a:t>
          </a:r>
          <a:r>
            <a:rPr lang="en-US" sz="2000" b="1" i="0" u="none" strike="noStrike">
              <a:solidFill>
                <a:srgbClr val="FF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(</a:t>
          </a:r>
          <a:r>
            <a:rPr lang="th-TH" sz="2000" b="1" i="0" u="none" strike="noStrike">
              <a:solidFill>
                <a:srgbClr val="FF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หลักสูตรพยบ.</a:t>
          </a:r>
          <a:r>
            <a:rPr lang="en-US" sz="2000" b="1" i="0" u="none" strike="noStrike">
              <a:solidFill>
                <a:srgbClr val="FF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2565)</a:t>
          </a:r>
          <a:r>
            <a:rPr lang="en-US" sz="2000" b="1" i="0" u="none" strike="noStrike" baseline="0">
              <a:solidFill>
                <a:srgbClr val="0000FF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2000" b="1" i="0" u="none" strike="noStrike">
              <a:solidFill>
                <a:srgbClr val="0000FF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โดยใช้โปรแกรม </a:t>
          </a:r>
          <a:r>
            <a:rPr lang="en-US" sz="2000" b="1" i="0" u="none" strike="noStrike">
              <a:solidFill>
                <a:srgbClr val="0000FF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Excel  </a:t>
          </a:r>
          <a:r>
            <a:rPr lang="th-TH" sz="2000" b="1" i="0" u="none" strike="noStrike">
              <a:solidFill>
                <a:srgbClr val="0000FF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วิทยาลัยพยาบาลบรมราชชนนี พะเยา</a:t>
          </a:r>
          <a:r>
            <a:rPr lang="th-TH" sz="2000" b="1">
              <a:solidFill>
                <a:srgbClr val="0000FF"/>
              </a:solidFill>
              <a:latin typeface="TH SarabunPSK" pitchFamily="34" charset="-34"/>
              <a:cs typeface="TH SarabunPSK" pitchFamily="34" charset="-34"/>
            </a:rPr>
            <a:t> </a:t>
          </a:r>
          <a:endParaRPr lang="en-GB" sz="1800" b="1">
            <a:solidFill>
              <a:srgbClr val="0000FF"/>
            </a:solidFill>
            <a:effectLst/>
            <a:latin typeface="TH SarabunPSK" pitchFamily="34" charset="-34"/>
            <a:ea typeface="Calibri"/>
            <a:cs typeface="TH SarabunPSK" pitchFamily="34" charset="-34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id="64" name="tbl_grade" displayName="tbl_grade" ref="A11:O176" totalsRowShown="0" headerRowDxfId="3459" dataDxfId="3457" headerRowBorderDxfId="3458" tableBorderDxfId="3456" totalsRowBorderDxfId="3455">
  <autoFilter ref="A11:O176"/>
  <sortState ref="A12:O176">
    <sortCondition ref="A12:A176"/>
  </sortState>
  <tableColumns count="15">
    <tableColumn id="1" name="No" dataDxfId="3454"/>
    <tableColumn id="2" name="STD_no" dataDxfId="3453"/>
    <tableColumn id="3" name="Name" dataDxfId="3452"/>
    <tableColumn id="4" name="Task1" dataDxfId="3451">
      <calculatedColumnFormula>HLOOKUP("S"&amp;A12,Score_task1,12,0)</calculatedColumnFormula>
    </tableColumn>
    <tableColumn id="5" name="Task2" dataDxfId="3450">
      <calculatedColumnFormula>HLOOKUP("S"&amp;A12,Score_task2,12,0)</calculatedColumnFormula>
    </tableColumn>
    <tableColumn id="6" name="Task3" dataDxfId="3449">
      <calculatedColumnFormula>HLOOKUP("S"&amp;A12,Score_task3,12,0)</calculatedColumnFormula>
    </tableColumn>
    <tableColumn id="7" name="Task4" dataDxfId="3448">
      <calculatedColumnFormula>HLOOKUP("S"&amp;A12,Score_task4,12,0)</calculatedColumnFormula>
    </tableColumn>
    <tableColumn id="8" name="Task5" dataDxfId="3447">
      <calculatedColumnFormula>HLOOKUP("S"&amp;A12,Score_task5,12,0)</calculatedColumnFormula>
    </tableColumn>
    <tableColumn id="9" name="Task6" dataDxfId="3446">
      <calculatedColumnFormula>HLOOKUP("S"&amp;A12,Score_task6,12,0)</calculatedColumnFormula>
    </tableColumn>
    <tableColumn id="10" name="Task7" dataDxfId="3445">
      <calculatedColumnFormula>HLOOKUP("S"&amp;A12,Score_task7,12,0)</calculatedColumnFormula>
    </tableColumn>
    <tableColumn id="11" name="Task8" dataDxfId="3444">
      <calculatedColumnFormula>HLOOKUP("S"&amp;A12,Score_task8,12,0)</calculatedColumnFormula>
    </tableColumn>
    <tableColumn id="12" name="Task9" dataDxfId="3443">
      <calculatedColumnFormula>HLOOKUP("S"&amp;A12,Score_task9,12,0)</calculatedColumnFormula>
    </tableColumn>
    <tableColumn id="13" name="Task10" dataDxfId="3442">
      <calculatedColumnFormula>HLOOKUP("S"&amp;A12,Score_task10,12,0)</calculatedColumnFormula>
    </tableColumn>
    <tableColumn id="14" name="Total" dataDxfId="3441">
      <calculatedColumnFormula>SUM(D12:M12)</calculatedColumnFormula>
    </tableColumn>
    <tableColumn id="15" name="Grade" dataDxfId="3440">
      <calculatedColumnFormula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calculatedColumnFormula>
    </tableColumn>
  </tableColumns>
  <tableStyleInfo name="TableStyleMedium4" showFirstColumn="0" showLastColumn="0" showRowStripes="1" showColumnStripes="0"/>
</table>
</file>

<file path=xl/tables/table10.xml><?xml version="1.0" encoding="utf-8"?>
<table xmlns="http://schemas.openxmlformats.org/spreadsheetml/2006/main" id="12" name="tbl_task9" displayName="tbl_task9" ref="A3:LW28" totalsRowShown="0" headerRowDxfId="719" dataDxfId="717" headerRowBorderDxfId="718" tableBorderDxfId="716" totalsRowBorderDxfId="715">
  <tableColumns count="335">
    <tableColumn id="1" name="No" dataDxfId="714"/>
    <tableColumn id="2" name="SubPLOs" dataDxfId="713"/>
    <tableColumn id="3" name="SubPLOs_name" dataDxfId="712">
      <calculatedColumnFormula>IF(ISBLANK(B4),"",VLOOKUP(B4,tbl_PLOs[],2,0))</calculatedColumnFormula>
    </tableColumn>
    <tableColumn id="235" name="คะแนนเต็ม" dataDxfId="711"/>
    <tableColumn id="4" name="%" dataDxfId="710">
      <calculatedColumnFormula>IF(OR(ISBLANK(#REF!),ISBLANK(tbl_task9[[#This Row],[SubPLOs]])),"",#REF!/$B$29)</calculatedColumnFormula>
    </tableColumn>
    <tableColumn id="5" name="1" dataDxfId="709"/>
    <tableColumn id="6" name="2" dataDxfId="708"/>
    <tableColumn id="7" name="3" dataDxfId="707"/>
    <tableColumn id="8" name="4" dataDxfId="706"/>
    <tableColumn id="9" name="5" dataDxfId="705"/>
    <tableColumn id="10" name="6" dataDxfId="704"/>
    <tableColumn id="11" name="7" dataDxfId="703"/>
    <tableColumn id="12" name="8" dataDxfId="702"/>
    <tableColumn id="13" name="9" dataDxfId="701"/>
    <tableColumn id="14" name="10" dataDxfId="700"/>
    <tableColumn id="15" name="11" dataDxfId="699"/>
    <tableColumn id="16" name="12" dataDxfId="698"/>
    <tableColumn id="17" name="13" dataDxfId="697"/>
    <tableColumn id="18" name="14" dataDxfId="696"/>
    <tableColumn id="19" name="15" dataDxfId="695"/>
    <tableColumn id="20" name="16" dataDxfId="694"/>
    <tableColumn id="21" name="17" dataDxfId="693"/>
    <tableColumn id="22" name="18" dataDxfId="692"/>
    <tableColumn id="23" name="19" dataDxfId="691"/>
    <tableColumn id="24" name="20" dataDxfId="690"/>
    <tableColumn id="25" name="21" dataDxfId="689"/>
    <tableColumn id="26" name="22" dataDxfId="688"/>
    <tableColumn id="27" name="23" dataDxfId="687"/>
    <tableColumn id="28" name="24" dataDxfId="686"/>
    <tableColumn id="29" name="25" dataDxfId="685"/>
    <tableColumn id="30" name="26" dataDxfId="684"/>
    <tableColumn id="31" name="27" dataDxfId="683"/>
    <tableColumn id="32" name="28" dataDxfId="682"/>
    <tableColumn id="33" name="29" dataDxfId="681"/>
    <tableColumn id="34" name="30" dataDxfId="680"/>
    <tableColumn id="35" name="31" dataDxfId="679"/>
    <tableColumn id="36" name="32" dataDxfId="678"/>
    <tableColumn id="37" name="33" dataDxfId="677"/>
    <tableColumn id="38" name="34" dataDxfId="676"/>
    <tableColumn id="39" name="35" dataDxfId="675"/>
    <tableColumn id="40" name="36" dataDxfId="674"/>
    <tableColumn id="41" name="37" dataDxfId="673"/>
    <tableColumn id="42" name="38" dataDxfId="672"/>
    <tableColumn id="43" name="39" dataDxfId="671"/>
    <tableColumn id="44" name="40" dataDxfId="670"/>
    <tableColumn id="45" name="41" dataDxfId="669"/>
    <tableColumn id="46" name="42" dataDxfId="668"/>
    <tableColumn id="47" name="43" dataDxfId="667"/>
    <tableColumn id="48" name="44" dataDxfId="666"/>
    <tableColumn id="49" name="45" dataDxfId="665"/>
    <tableColumn id="50" name="46" dataDxfId="664"/>
    <tableColumn id="51" name="47" dataDxfId="663"/>
    <tableColumn id="52" name="48" dataDxfId="662"/>
    <tableColumn id="53" name="49" dataDxfId="661"/>
    <tableColumn id="54" name="50" dataDxfId="660"/>
    <tableColumn id="55" name="51" dataDxfId="659"/>
    <tableColumn id="56" name="52" dataDxfId="658"/>
    <tableColumn id="57" name="53" dataDxfId="657"/>
    <tableColumn id="58" name="54" dataDxfId="656"/>
    <tableColumn id="59" name="55" dataDxfId="655"/>
    <tableColumn id="60" name="56" dataDxfId="654"/>
    <tableColumn id="61" name="57" dataDxfId="653"/>
    <tableColumn id="62" name="58" dataDxfId="652"/>
    <tableColumn id="63" name="59" dataDxfId="651"/>
    <tableColumn id="64" name="60" dataDxfId="650"/>
    <tableColumn id="65" name="61" dataDxfId="649"/>
    <tableColumn id="66" name="62" dataDxfId="648"/>
    <tableColumn id="67" name="63" dataDxfId="647"/>
    <tableColumn id="68" name="64" dataDxfId="646"/>
    <tableColumn id="69" name="65" dataDxfId="645"/>
    <tableColumn id="70" name="66" dataDxfId="644"/>
    <tableColumn id="71" name="67" dataDxfId="643"/>
    <tableColumn id="72" name="68" dataDxfId="642"/>
    <tableColumn id="73" name="69" dataDxfId="641"/>
    <tableColumn id="74" name="70" dataDxfId="640"/>
    <tableColumn id="75" name="71" dataDxfId="639"/>
    <tableColumn id="76" name="72" dataDxfId="638"/>
    <tableColumn id="77" name="73" dataDxfId="637"/>
    <tableColumn id="78" name="74" dataDxfId="636"/>
    <tableColumn id="79" name="75" dataDxfId="635"/>
    <tableColumn id="80" name="76" dataDxfId="634"/>
    <tableColumn id="81" name="77" dataDxfId="633"/>
    <tableColumn id="82" name="78" dataDxfId="632"/>
    <tableColumn id="83" name="79" dataDxfId="631"/>
    <tableColumn id="84" name="80" dataDxfId="630"/>
    <tableColumn id="85" name="81" dataDxfId="629"/>
    <tableColumn id="86" name="82" dataDxfId="628"/>
    <tableColumn id="87" name="83" dataDxfId="627"/>
    <tableColumn id="88" name="84" dataDxfId="626"/>
    <tableColumn id="89" name="85" dataDxfId="625"/>
    <tableColumn id="90" name="86" dataDxfId="624"/>
    <tableColumn id="91" name="87" dataDxfId="623"/>
    <tableColumn id="92" name="88" dataDxfId="622"/>
    <tableColumn id="93" name="89" dataDxfId="621"/>
    <tableColumn id="94" name="90" dataDxfId="620"/>
    <tableColumn id="236" name="91" dataDxfId="619"/>
    <tableColumn id="237" name="92" dataDxfId="618"/>
    <tableColumn id="238" name="93" dataDxfId="617"/>
    <tableColumn id="239" name="94" dataDxfId="616"/>
    <tableColumn id="240" name="95" dataDxfId="615"/>
    <tableColumn id="241" name="96" dataDxfId="614"/>
    <tableColumn id="242" name="97" dataDxfId="613"/>
    <tableColumn id="243" name="98" dataDxfId="612"/>
    <tableColumn id="244" name="99" dataDxfId="611"/>
    <tableColumn id="245" name="100" dataDxfId="610"/>
    <tableColumn id="246" name="101" dataDxfId="609"/>
    <tableColumn id="247" name="102" dataDxfId="608"/>
    <tableColumn id="248" name="103" dataDxfId="607"/>
    <tableColumn id="249" name="104" dataDxfId="606"/>
    <tableColumn id="250" name="105" dataDxfId="605"/>
    <tableColumn id="251" name="106" dataDxfId="604"/>
    <tableColumn id="252" name="107" dataDxfId="603"/>
    <tableColumn id="253" name="108" dataDxfId="602"/>
    <tableColumn id="254" name="109" dataDxfId="601"/>
    <tableColumn id="255" name="110" dataDxfId="600"/>
    <tableColumn id="256" name="111" dataDxfId="599"/>
    <tableColumn id="257" name="112" dataDxfId="598"/>
    <tableColumn id="258" name="113" dataDxfId="597"/>
    <tableColumn id="259" name="114" dataDxfId="596"/>
    <tableColumn id="260" name="115" dataDxfId="595"/>
    <tableColumn id="95" name="116" dataDxfId="594"/>
    <tableColumn id="96" name="117" dataDxfId="593"/>
    <tableColumn id="97" name="118" dataDxfId="592"/>
    <tableColumn id="98" name="119" dataDxfId="591"/>
    <tableColumn id="99" name="120" dataDxfId="590"/>
    <tableColumn id="100" name="121" dataDxfId="589"/>
    <tableColumn id="101" name="122" dataDxfId="588"/>
    <tableColumn id="102" name="123" dataDxfId="587"/>
    <tableColumn id="261" name="124" dataDxfId="586"/>
    <tableColumn id="262" name="125" dataDxfId="585"/>
    <tableColumn id="263" name="126" dataDxfId="584"/>
    <tableColumn id="264" name="127" dataDxfId="583"/>
    <tableColumn id="265" name="128" dataDxfId="582"/>
    <tableColumn id="266" name="129" dataDxfId="581"/>
    <tableColumn id="267" name="130" dataDxfId="580"/>
    <tableColumn id="268" name="131" dataDxfId="579"/>
    <tableColumn id="269" name="132" dataDxfId="578"/>
    <tableColumn id="270" name="133" dataDxfId="577"/>
    <tableColumn id="271" name="134" dataDxfId="576"/>
    <tableColumn id="272" name="135" dataDxfId="575"/>
    <tableColumn id="273" name="136" dataDxfId="574"/>
    <tableColumn id="274" name="137" dataDxfId="573"/>
    <tableColumn id="275" name="138" dataDxfId="572"/>
    <tableColumn id="276" name="139" dataDxfId="571"/>
    <tableColumn id="277" name="140" dataDxfId="570"/>
    <tableColumn id="103" name="141" dataDxfId="569"/>
    <tableColumn id="104" name="142" dataDxfId="568"/>
    <tableColumn id="105" name="143" dataDxfId="567"/>
    <tableColumn id="106" name="144" dataDxfId="566"/>
    <tableColumn id="107" name="145" dataDxfId="565"/>
    <tableColumn id="108" name="146" dataDxfId="564"/>
    <tableColumn id="109" name="147" dataDxfId="563"/>
    <tableColumn id="110" name="148" dataDxfId="562"/>
    <tableColumn id="111" name="149" dataDxfId="561"/>
    <tableColumn id="278" name="150" dataDxfId="560"/>
    <tableColumn id="279" name="151" dataDxfId="559"/>
    <tableColumn id="280" name="152" dataDxfId="558"/>
    <tableColumn id="281" name="153" dataDxfId="557"/>
    <tableColumn id="282" name="154" dataDxfId="556"/>
    <tableColumn id="283" name="155" dataDxfId="555"/>
    <tableColumn id="284" name="156" dataDxfId="554"/>
    <tableColumn id="285" name="157" dataDxfId="553"/>
    <tableColumn id="112" name="158" dataDxfId="552"/>
    <tableColumn id="113" name="159" dataDxfId="551"/>
    <tableColumn id="114" name="160" dataDxfId="550"/>
    <tableColumn id="115" name="161" dataDxfId="549"/>
    <tableColumn id="116" name="162" dataDxfId="548"/>
    <tableColumn id="117" name="163" dataDxfId="547"/>
    <tableColumn id="118" name="164" dataDxfId="546"/>
    <tableColumn id="119" name="165" dataDxfId="545"/>
    <tableColumn id="120" name="S1" dataDxfId="544">
      <calculatedColumnFormula>IF(ISBLANK(tbl_task9[[คะแนนเต็ม]:[คะแนนเต็ม]]),"",(tbl_task9[1]/tbl_task9[[คะแนนเต็ม]:[คะแนนเต็ม]])*tbl_task9[[%]:[%]])</calculatedColumnFormula>
    </tableColumn>
    <tableColumn id="121" name="S2" dataDxfId="543">
      <calculatedColumnFormula>IF(ISBLANK(tbl_task9[[คะแนนเต็ม]:[คะแนนเต็ม]]),"",(tbl_task9[2]/tbl_task9[[คะแนนเต็ม]:[คะแนนเต็ม]])*tbl_task9[[%]:[%]])</calculatedColumnFormula>
    </tableColumn>
    <tableColumn id="122" name="S3" dataDxfId="542">
      <calculatedColumnFormula>IF(ISBLANK(tbl_task9[[คะแนนเต็ม]:[คะแนนเต็ม]]),"",(tbl_task9[3]/tbl_task9[[คะแนนเต็ม]:[คะแนนเต็ม]])*tbl_task9[[%]:[%]])</calculatedColumnFormula>
    </tableColumn>
    <tableColumn id="123" name="S4" dataDxfId="541">
      <calculatedColumnFormula>IF(ISBLANK(tbl_task9[[คะแนนเต็ม]:[คะแนนเต็ม]]),"",(tbl_task9[4]/tbl_task9[[คะแนนเต็ม]:[คะแนนเต็ม]])*tbl_task9[[%]:[%]])</calculatedColumnFormula>
    </tableColumn>
    <tableColumn id="124" name="S5" dataDxfId="540">
      <calculatedColumnFormula>IF(ISBLANK(tbl_task9[[คะแนนเต็ม]:[คะแนนเต็ม]]),"",(tbl_task9[5]/tbl_task9[[คะแนนเต็ม]:[คะแนนเต็ม]])*tbl_task9[[%]:[%]])</calculatedColumnFormula>
    </tableColumn>
    <tableColumn id="125" name="S6" dataDxfId="539">
      <calculatedColumnFormula>IF(ISBLANK(tbl_task9[[คะแนนเต็ม]:[คะแนนเต็ม]]),"",(tbl_task9[6]/tbl_task9[[คะแนนเต็ม]:[คะแนนเต็ม]])*tbl_task9[[%]:[%]])</calculatedColumnFormula>
    </tableColumn>
    <tableColumn id="126" name="S7" dataDxfId="538">
      <calculatedColumnFormula>IF(ISBLANK(tbl_task9[[คะแนนเต็ม]:[คะแนนเต็ม]]),"",(tbl_task9[7]/tbl_task9[[คะแนนเต็ม]:[คะแนนเต็ม]])*tbl_task9[[%]:[%]])</calculatedColumnFormula>
    </tableColumn>
    <tableColumn id="127" name="S8" dataDxfId="537">
      <calculatedColumnFormula>IF(ISBLANK(tbl_task9[[คะแนนเต็ม]:[คะแนนเต็ม]]),"",(tbl_task9[8]/tbl_task9[[คะแนนเต็ม]:[คะแนนเต็ม]])*tbl_task9[[%]:[%]])</calculatedColumnFormula>
    </tableColumn>
    <tableColumn id="128" name="S9" dataDxfId="536">
      <calculatedColumnFormula>IF(ISBLANK(tbl_task9[[คะแนนเต็ม]:[คะแนนเต็ม]]),"",(tbl_task9[9]/tbl_task9[[คะแนนเต็ม]:[คะแนนเต็ม]])*tbl_task9[[%]:[%]])</calculatedColumnFormula>
    </tableColumn>
    <tableColumn id="129" name="S10" dataDxfId="535">
      <calculatedColumnFormula>IF(ISBLANK(tbl_task9[[คะแนนเต็ม]:[คะแนนเต็ม]]),"",(tbl_task9[10]/tbl_task9[[คะแนนเต็ม]:[คะแนนเต็ม]])*tbl_task9[[%]:[%]])</calculatedColumnFormula>
    </tableColumn>
    <tableColumn id="130" name="S11" dataDxfId="534">
      <calculatedColumnFormula>IF(ISBLANK(tbl_task9[[คะแนนเต็ม]:[คะแนนเต็ม]]),"",(tbl_task9[11]/tbl_task9[[คะแนนเต็ม]:[คะแนนเต็ม]])*tbl_task9[[%]:[%]])</calculatedColumnFormula>
    </tableColumn>
    <tableColumn id="131" name="S12" dataDxfId="533">
      <calculatedColumnFormula>IF(ISBLANK(tbl_task9[[คะแนนเต็ม]:[คะแนนเต็ม]]),"",(tbl_task9[12]/tbl_task9[[คะแนนเต็ม]:[คะแนนเต็ม]])*tbl_task9[[%]:[%]])</calculatedColumnFormula>
    </tableColumn>
    <tableColumn id="132" name="S13" dataDxfId="532">
      <calculatedColumnFormula>IF(ISBLANK(tbl_task9[[คะแนนเต็ม]:[คะแนนเต็ม]]),"",(tbl_task9[13]/tbl_task9[[คะแนนเต็ม]:[คะแนนเต็ม]])*tbl_task9[[%]:[%]])</calculatedColumnFormula>
    </tableColumn>
    <tableColumn id="133" name="S14" dataDxfId="531">
      <calculatedColumnFormula>IF(ISBLANK(tbl_task9[[คะแนนเต็ม]:[คะแนนเต็ม]]),"",(tbl_task9[14]/tbl_task9[[คะแนนเต็ม]:[คะแนนเต็ม]])*tbl_task9[[%]:[%]])</calculatedColumnFormula>
    </tableColumn>
    <tableColumn id="134" name="S15" dataDxfId="530">
      <calculatedColumnFormula>IF(ISBLANK(tbl_task9[[คะแนนเต็ม]:[คะแนนเต็ม]]),"",(tbl_task9[15]/tbl_task9[[คะแนนเต็ม]:[คะแนนเต็ม]])*tbl_task9[[%]:[%]])</calculatedColumnFormula>
    </tableColumn>
    <tableColumn id="135" name="S16" dataDxfId="529">
      <calculatedColumnFormula>IF(ISBLANK(tbl_task9[[คะแนนเต็ม]:[คะแนนเต็ม]]),"",(tbl_task9[16]/tbl_task9[[คะแนนเต็ม]:[คะแนนเต็ม]])*tbl_task9[[%]:[%]])</calculatedColumnFormula>
    </tableColumn>
    <tableColumn id="136" name="S17" dataDxfId="528">
      <calculatedColumnFormula>IF(ISBLANK(tbl_task9[[คะแนนเต็ม]:[คะแนนเต็ม]]),"",(tbl_task9[17]/tbl_task9[[คะแนนเต็ม]:[คะแนนเต็ม]])*tbl_task9[[%]:[%]])</calculatedColumnFormula>
    </tableColumn>
    <tableColumn id="137" name="S18" dataDxfId="527">
      <calculatedColumnFormula>IF(ISBLANK(tbl_task9[[คะแนนเต็ม]:[คะแนนเต็ม]]),"",(tbl_task9[18]/tbl_task9[[คะแนนเต็ม]:[คะแนนเต็ม]])*tbl_task9[[%]:[%]])</calculatedColumnFormula>
    </tableColumn>
    <tableColumn id="138" name="S19" dataDxfId="526">
      <calculatedColumnFormula>IF(ISBLANK(tbl_task9[[คะแนนเต็ม]:[คะแนนเต็ม]]),"",(tbl_task9[19]/tbl_task9[[คะแนนเต็ม]:[คะแนนเต็ม]])*tbl_task9[[%]:[%]])</calculatedColumnFormula>
    </tableColumn>
    <tableColumn id="139" name="S20" dataDxfId="525">
      <calculatedColumnFormula>IF(ISBLANK(tbl_task9[[คะแนนเต็ม]:[คะแนนเต็ม]]),"",(tbl_task9[20]/tbl_task9[[คะแนนเต็ม]:[คะแนนเต็ม]])*tbl_task9[[%]:[%]])</calculatedColumnFormula>
    </tableColumn>
    <tableColumn id="140" name="S21" dataDxfId="524">
      <calculatedColumnFormula>IF(ISBLANK(tbl_task9[[คะแนนเต็ม]:[คะแนนเต็ม]]),"",(tbl_task9[21]/tbl_task9[[คะแนนเต็ม]:[คะแนนเต็ม]])*tbl_task9[[%]:[%]])</calculatedColumnFormula>
    </tableColumn>
    <tableColumn id="141" name="S22" dataDxfId="523">
      <calculatedColumnFormula>IF(ISBLANK(tbl_task9[[คะแนนเต็ม]:[คะแนนเต็ม]]),"",(tbl_task9[22]/tbl_task9[[คะแนนเต็ม]:[คะแนนเต็ม]])*tbl_task9[[%]:[%]])</calculatedColumnFormula>
    </tableColumn>
    <tableColumn id="142" name="S23" dataDxfId="522">
      <calculatedColumnFormula>IF(ISBLANK(tbl_task9[[คะแนนเต็ม]:[คะแนนเต็ม]]),"",(tbl_task9[23]/tbl_task9[[คะแนนเต็ม]:[คะแนนเต็ม]])*tbl_task9[[%]:[%]])</calculatedColumnFormula>
    </tableColumn>
    <tableColumn id="143" name="S24" dataDxfId="521">
      <calculatedColumnFormula>IF(ISBLANK(tbl_task9[[คะแนนเต็ม]:[คะแนนเต็ม]]),"",(tbl_task9[24]/tbl_task9[[คะแนนเต็ม]:[คะแนนเต็ม]])*tbl_task9[[%]:[%]])</calculatedColumnFormula>
    </tableColumn>
    <tableColumn id="144" name="S25" dataDxfId="520">
      <calculatedColumnFormula>IF(ISBLANK(tbl_task9[[คะแนนเต็ม]:[คะแนนเต็ม]]),"",(tbl_task9[25]/tbl_task9[[คะแนนเต็ม]:[คะแนนเต็ม]])*tbl_task9[[%]:[%]])</calculatedColumnFormula>
    </tableColumn>
    <tableColumn id="145" name="S26" dataDxfId="519">
      <calculatedColumnFormula>IF(ISBLANK(tbl_task9[[คะแนนเต็ม]:[คะแนนเต็ม]]),"",(tbl_task9[26]/tbl_task9[[คะแนนเต็ม]:[คะแนนเต็ม]])*tbl_task9[[%]:[%]])</calculatedColumnFormula>
    </tableColumn>
    <tableColumn id="146" name="S27" dataDxfId="518">
      <calculatedColumnFormula>IF(ISBLANK(tbl_task9[[คะแนนเต็ม]:[คะแนนเต็ม]]),"",(tbl_task9[27]/tbl_task9[[คะแนนเต็ม]:[คะแนนเต็ม]])*tbl_task9[[%]:[%]])</calculatedColumnFormula>
    </tableColumn>
    <tableColumn id="147" name="S28" dataDxfId="517">
      <calculatedColumnFormula>IF(ISBLANK(tbl_task9[[คะแนนเต็ม]:[คะแนนเต็ม]]),"",(tbl_task9[28]/tbl_task9[[คะแนนเต็ม]:[คะแนนเต็ม]])*tbl_task9[[%]:[%]])</calculatedColumnFormula>
    </tableColumn>
    <tableColumn id="148" name="S29" dataDxfId="516">
      <calculatedColumnFormula>IF(ISBLANK(tbl_task9[[คะแนนเต็ม]:[คะแนนเต็ม]]),"",(tbl_task9[29]/tbl_task9[[คะแนนเต็ม]:[คะแนนเต็ม]])*tbl_task9[[%]:[%]])</calculatedColumnFormula>
    </tableColumn>
    <tableColumn id="149" name="S30" dataDxfId="515">
      <calculatedColumnFormula>IF(ISBLANK(tbl_task9[[คะแนนเต็ม]:[คะแนนเต็ม]]),"",(tbl_task9[30]/tbl_task9[[คะแนนเต็ม]:[คะแนนเต็ม]])*tbl_task9[[%]:[%]])</calculatedColumnFormula>
    </tableColumn>
    <tableColumn id="150" name="S31" dataDxfId="514">
      <calculatedColumnFormula>IF(ISBLANK(tbl_task9[[คะแนนเต็ม]:[คะแนนเต็ม]]),"",(tbl_task9[31]/tbl_task9[[คะแนนเต็ม]:[คะแนนเต็ม]])*tbl_task9[[%]:[%]])</calculatedColumnFormula>
    </tableColumn>
    <tableColumn id="151" name="S32" dataDxfId="513">
      <calculatedColumnFormula>IF(ISBLANK(tbl_task9[[คะแนนเต็ม]:[คะแนนเต็ม]]),"",(tbl_task9[32]/tbl_task9[[คะแนนเต็ม]:[คะแนนเต็ม]])*tbl_task9[[%]:[%]])</calculatedColumnFormula>
    </tableColumn>
    <tableColumn id="152" name="S33" dataDxfId="512">
      <calculatedColumnFormula>IF(ISBLANK(tbl_task9[[คะแนนเต็ม]:[คะแนนเต็ม]]),"",(tbl_task9[33]/tbl_task9[[คะแนนเต็ม]:[คะแนนเต็ม]])*tbl_task9[[%]:[%]])</calculatedColumnFormula>
    </tableColumn>
    <tableColumn id="153" name="S34" dataDxfId="511">
      <calculatedColumnFormula>IF(ISBLANK(tbl_task9[[คะแนนเต็ม]:[คะแนนเต็ม]]),"",(tbl_task9[34]/tbl_task9[[คะแนนเต็ม]:[คะแนนเต็ม]])*tbl_task9[[%]:[%]])</calculatedColumnFormula>
    </tableColumn>
    <tableColumn id="154" name="S35" dataDxfId="510">
      <calculatedColumnFormula>IF(ISBLANK(tbl_task9[[คะแนนเต็ม]:[คะแนนเต็ม]]),"",(tbl_task9[35]/tbl_task9[[คะแนนเต็ม]:[คะแนนเต็ม]])*tbl_task9[[%]:[%]])</calculatedColumnFormula>
    </tableColumn>
    <tableColumn id="155" name="S36" dataDxfId="509">
      <calculatedColumnFormula>IF(ISBLANK(tbl_task9[[คะแนนเต็ม]:[คะแนนเต็ม]]),"",(tbl_task9[36]/tbl_task9[[คะแนนเต็ม]:[คะแนนเต็ม]])*tbl_task9[[%]:[%]])</calculatedColumnFormula>
    </tableColumn>
    <tableColumn id="156" name="S37" dataDxfId="508">
      <calculatedColumnFormula>IF(ISBLANK(tbl_task9[[คะแนนเต็ม]:[คะแนนเต็ม]]),"",(tbl_task9[37]/tbl_task9[[คะแนนเต็ม]:[คะแนนเต็ม]])*tbl_task9[[%]:[%]])</calculatedColumnFormula>
    </tableColumn>
    <tableColumn id="157" name="S38" dataDxfId="507">
      <calculatedColumnFormula>IF(ISBLANK(tbl_task9[[คะแนนเต็ม]:[คะแนนเต็ม]]),"",(tbl_task9[38]/tbl_task9[[คะแนนเต็ม]:[คะแนนเต็ม]])*tbl_task9[[%]:[%]])</calculatedColumnFormula>
    </tableColumn>
    <tableColumn id="158" name="S39" dataDxfId="506">
      <calculatedColumnFormula>IF(ISBLANK(tbl_task9[[คะแนนเต็ม]:[คะแนนเต็ม]]),"",(tbl_task9[39]/tbl_task9[[คะแนนเต็ม]:[คะแนนเต็ม]])*tbl_task9[[%]:[%]])</calculatedColumnFormula>
    </tableColumn>
    <tableColumn id="159" name="S40" dataDxfId="505">
      <calculatedColumnFormula>IF(ISBLANK(tbl_task9[[คะแนนเต็ม]:[คะแนนเต็ม]]),"",(tbl_task9[40]/tbl_task9[[คะแนนเต็ม]:[คะแนนเต็ม]])*tbl_task9[[%]:[%]])</calculatedColumnFormula>
    </tableColumn>
    <tableColumn id="160" name="S41" dataDxfId="504">
      <calculatedColumnFormula>IF(ISBLANK(tbl_task9[[คะแนนเต็ม]:[คะแนนเต็ม]]),"",(tbl_task9[41]/tbl_task9[[คะแนนเต็ม]:[คะแนนเต็ม]])*tbl_task9[[%]:[%]])</calculatedColumnFormula>
    </tableColumn>
    <tableColumn id="161" name="S42" dataDxfId="503">
      <calculatedColumnFormula>IF(ISBLANK(tbl_task9[[คะแนนเต็ม]:[คะแนนเต็ม]]),"",(tbl_task9[42]/tbl_task9[[คะแนนเต็ม]:[คะแนนเต็ม]])*tbl_task9[[%]:[%]])</calculatedColumnFormula>
    </tableColumn>
    <tableColumn id="162" name="S43" dataDxfId="502">
      <calculatedColumnFormula>IF(ISBLANK(tbl_task9[[คะแนนเต็ม]:[คะแนนเต็ม]]),"",(tbl_task9[43]/tbl_task9[[คะแนนเต็ม]:[คะแนนเต็ม]])*tbl_task9[[%]:[%]])</calculatedColumnFormula>
    </tableColumn>
    <tableColumn id="163" name="S44" dataDxfId="501">
      <calculatedColumnFormula>IF(ISBLANK(tbl_task9[[คะแนนเต็ม]:[คะแนนเต็ม]]),"",(tbl_task9[44]/tbl_task9[[คะแนนเต็ม]:[คะแนนเต็ม]])*tbl_task9[[%]:[%]])</calculatedColumnFormula>
    </tableColumn>
    <tableColumn id="164" name="S45" dataDxfId="500">
      <calculatedColumnFormula>IF(ISBLANK(tbl_task9[[คะแนนเต็ม]:[คะแนนเต็ม]]),"",(tbl_task9[45]/tbl_task9[[คะแนนเต็ม]:[คะแนนเต็ม]])*tbl_task9[[%]:[%]])</calculatedColumnFormula>
    </tableColumn>
    <tableColumn id="165" name="S46" dataDxfId="499">
      <calculatedColumnFormula>IF(ISBLANK(tbl_task9[[คะแนนเต็ม]:[คะแนนเต็ม]]),"",(tbl_task9[46]/tbl_task9[[คะแนนเต็ม]:[คะแนนเต็ม]])*tbl_task9[[%]:[%]])</calculatedColumnFormula>
    </tableColumn>
    <tableColumn id="166" name="S47" dataDxfId="498">
      <calculatedColumnFormula>IF(ISBLANK(tbl_task9[[คะแนนเต็ม]:[คะแนนเต็ม]]),"",(tbl_task9[47]/tbl_task9[[คะแนนเต็ม]:[คะแนนเต็ม]])*tbl_task9[[%]:[%]])</calculatedColumnFormula>
    </tableColumn>
    <tableColumn id="167" name="S48" dataDxfId="497">
      <calculatedColumnFormula>IF(ISBLANK(tbl_task9[[คะแนนเต็ม]:[คะแนนเต็ม]]),"",(tbl_task9[48]/tbl_task9[[คะแนนเต็ม]:[คะแนนเต็ม]])*tbl_task9[[%]:[%]])</calculatedColumnFormula>
    </tableColumn>
    <tableColumn id="168" name="S49" dataDxfId="496">
      <calculatedColumnFormula>IF(ISBLANK(tbl_task9[[คะแนนเต็ม]:[คะแนนเต็ม]]),"",(tbl_task9[49]/tbl_task9[[คะแนนเต็ม]:[คะแนนเต็ม]])*tbl_task9[[%]:[%]])</calculatedColumnFormula>
    </tableColumn>
    <tableColumn id="169" name="S50" dataDxfId="495">
      <calculatedColumnFormula>IF(ISBLANK(tbl_task9[[คะแนนเต็ม]:[คะแนนเต็ม]]),"",(tbl_task9[50]/tbl_task9[[คะแนนเต็ม]:[คะแนนเต็ม]])*tbl_task9[[%]:[%]])</calculatedColumnFormula>
    </tableColumn>
    <tableColumn id="170" name="S51" dataDxfId="494">
      <calculatedColumnFormula>IF(ISBLANK(tbl_task9[[คะแนนเต็ม]:[คะแนนเต็ม]]),"",(tbl_task9[51]/tbl_task9[[คะแนนเต็ม]:[คะแนนเต็ม]])*tbl_task9[[%]:[%]])</calculatedColumnFormula>
    </tableColumn>
    <tableColumn id="171" name="S52" dataDxfId="493">
      <calculatedColumnFormula>IF(ISBLANK(tbl_task9[[คะแนนเต็ม]:[คะแนนเต็ม]]),"",(tbl_task9[52]/tbl_task9[[คะแนนเต็ม]:[คะแนนเต็ม]])*tbl_task9[[%]:[%]])</calculatedColumnFormula>
    </tableColumn>
    <tableColumn id="172" name="S53" dataDxfId="492">
      <calculatedColumnFormula>IF(ISBLANK(tbl_task9[[คะแนนเต็ม]:[คะแนนเต็ม]]),"",(tbl_task9[53]/tbl_task9[[คะแนนเต็ม]:[คะแนนเต็ม]])*tbl_task9[[%]:[%]])</calculatedColumnFormula>
    </tableColumn>
    <tableColumn id="173" name="S54" dataDxfId="491">
      <calculatedColumnFormula>IF(ISBLANK(tbl_task9[[คะแนนเต็ม]:[คะแนนเต็ม]]),"",(tbl_task9[54]/tbl_task9[[คะแนนเต็ม]:[คะแนนเต็ม]])*tbl_task9[[%]:[%]])</calculatedColumnFormula>
    </tableColumn>
    <tableColumn id="174" name="S55" dataDxfId="490">
      <calculatedColumnFormula>IF(ISBLANK(tbl_task9[[คะแนนเต็ม]:[คะแนนเต็ม]]),"",(tbl_task9[55]/tbl_task9[[คะแนนเต็ม]:[คะแนนเต็ม]])*tbl_task9[[%]:[%]])</calculatedColumnFormula>
    </tableColumn>
    <tableColumn id="175" name="S56" dataDxfId="489">
      <calculatedColumnFormula>IF(ISBLANK(tbl_task9[[คะแนนเต็ม]:[คะแนนเต็ม]]),"",(tbl_task9[56]/tbl_task9[[คะแนนเต็ม]:[คะแนนเต็ม]])*tbl_task9[[%]:[%]])</calculatedColumnFormula>
    </tableColumn>
    <tableColumn id="176" name="S57" dataDxfId="488">
      <calculatedColumnFormula>IF(ISBLANK(tbl_task9[[คะแนนเต็ม]:[คะแนนเต็ม]]),"",(tbl_task9[57]/tbl_task9[[คะแนนเต็ม]:[คะแนนเต็ม]])*tbl_task9[[%]:[%]])</calculatedColumnFormula>
    </tableColumn>
    <tableColumn id="177" name="S58" dataDxfId="487">
      <calculatedColumnFormula>IF(ISBLANK(tbl_task9[[คะแนนเต็ม]:[คะแนนเต็ม]]),"",(tbl_task9[58]/tbl_task9[[คะแนนเต็ม]:[คะแนนเต็ม]])*tbl_task9[[%]:[%]])</calculatedColumnFormula>
    </tableColumn>
    <tableColumn id="178" name="S59" dataDxfId="486">
      <calculatedColumnFormula>IF(ISBLANK(tbl_task9[[คะแนนเต็ม]:[คะแนนเต็ม]]),"",(tbl_task9[59]/tbl_task9[[คะแนนเต็ม]:[คะแนนเต็ม]])*tbl_task9[[%]:[%]])</calculatedColumnFormula>
    </tableColumn>
    <tableColumn id="179" name="S60" dataDxfId="485">
      <calculatedColumnFormula>IF(ISBLANK(tbl_task9[[คะแนนเต็ม]:[คะแนนเต็ม]]),"",(tbl_task9[60]/tbl_task9[[คะแนนเต็ม]:[คะแนนเต็ม]])*tbl_task9[[%]:[%]])</calculatedColumnFormula>
    </tableColumn>
    <tableColumn id="180" name="S61" dataDxfId="484">
      <calculatedColumnFormula>IF(ISBLANK(tbl_task9[[คะแนนเต็ม]:[คะแนนเต็ม]]),"",(tbl_task9[61]/tbl_task9[[คะแนนเต็ม]:[คะแนนเต็ม]])*tbl_task9[[%]:[%]])</calculatedColumnFormula>
    </tableColumn>
    <tableColumn id="181" name="S62" dataDxfId="483">
      <calculatedColumnFormula>IF(ISBLANK(tbl_task9[[คะแนนเต็ม]:[คะแนนเต็ม]]),"",(tbl_task9[62]/tbl_task9[[คะแนนเต็ม]:[คะแนนเต็ม]])*tbl_task9[[%]:[%]])</calculatedColumnFormula>
    </tableColumn>
    <tableColumn id="182" name="S63" dataDxfId="482">
      <calculatedColumnFormula>IF(ISBLANK(tbl_task9[[คะแนนเต็ม]:[คะแนนเต็ม]]),"",(tbl_task9[63]/tbl_task9[[คะแนนเต็ม]:[คะแนนเต็ม]])*tbl_task9[[%]:[%]])</calculatedColumnFormula>
    </tableColumn>
    <tableColumn id="183" name="S64" dataDxfId="481">
      <calculatedColumnFormula>IF(ISBLANK(tbl_task9[[คะแนนเต็ม]:[คะแนนเต็ม]]),"",(tbl_task9[64]/tbl_task9[[คะแนนเต็ม]:[คะแนนเต็ม]])*tbl_task9[[%]:[%]])</calculatedColumnFormula>
    </tableColumn>
    <tableColumn id="184" name="S65" dataDxfId="480">
      <calculatedColumnFormula>IF(ISBLANK(tbl_task9[[คะแนนเต็ม]:[คะแนนเต็ม]]),"",(tbl_task9[65]/tbl_task9[[คะแนนเต็ม]:[คะแนนเต็ม]])*tbl_task9[[%]:[%]])</calculatedColumnFormula>
    </tableColumn>
    <tableColumn id="185" name="S66" dataDxfId="479">
      <calculatedColumnFormula>IF(ISBLANK(tbl_task9[[คะแนนเต็ม]:[คะแนนเต็ม]]),"",(tbl_task9[66]/tbl_task9[[คะแนนเต็ม]:[คะแนนเต็ม]])*tbl_task9[[%]:[%]])</calculatedColumnFormula>
    </tableColumn>
    <tableColumn id="186" name="S67" dataDxfId="478">
      <calculatedColumnFormula>IF(ISBLANK(tbl_task9[[คะแนนเต็ม]:[คะแนนเต็ม]]),"",(tbl_task9[67]/tbl_task9[[คะแนนเต็ม]:[คะแนนเต็ม]])*tbl_task9[[%]:[%]])</calculatedColumnFormula>
    </tableColumn>
    <tableColumn id="187" name="S68" dataDxfId="477">
      <calculatedColumnFormula>IF(ISBLANK(tbl_task9[[คะแนนเต็ม]:[คะแนนเต็ม]]),"",(tbl_task9[68]/tbl_task9[[คะแนนเต็ม]:[คะแนนเต็ม]])*tbl_task9[[%]:[%]])</calculatedColumnFormula>
    </tableColumn>
    <tableColumn id="188" name="S69" dataDxfId="476">
      <calculatedColumnFormula>IF(ISBLANK(tbl_task9[[คะแนนเต็ม]:[คะแนนเต็ม]]),"",(tbl_task9[69]/tbl_task9[[คะแนนเต็ม]:[คะแนนเต็ม]])*tbl_task9[[%]:[%]])</calculatedColumnFormula>
    </tableColumn>
    <tableColumn id="189" name="S70" dataDxfId="475">
      <calculatedColumnFormula>IF(ISBLANK(tbl_task9[[คะแนนเต็ม]:[คะแนนเต็ม]]),"",(tbl_task9[70]/tbl_task9[[คะแนนเต็ม]:[คะแนนเต็ม]])*tbl_task9[[%]:[%]])</calculatedColumnFormula>
    </tableColumn>
    <tableColumn id="190" name="S71" dataDxfId="474">
      <calculatedColumnFormula>IF(ISBLANK(tbl_task9[[คะแนนเต็ม]:[คะแนนเต็ม]]),"",(tbl_task9[71]/tbl_task9[[คะแนนเต็ม]:[คะแนนเต็ม]])*tbl_task9[[%]:[%]])</calculatedColumnFormula>
    </tableColumn>
    <tableColumn id="191" name="S72" dataDxfId="473">
      <calculatedColumnFormula>IF(ISBLANK(tbl_task9[[คะแนนเต็ม]:[คะแนนเต็ม]]),"",(tbl_task9[72]/tbl_task9[[คะแนนเต็ม]:[คะแนนเต็ม]])*tbl_task9[[%]:[%]])</calculatedColumnFormula>
    </tableColumn>
    <tableColumn id="192" name="S73" dataDxfId="472">
      <calculatedColumnFormula>IF(ISBLANK(tbl_task9[[คะแนนเต็ม]:[คะแนนเต็ม]]),"",(tbl_task9[73]/tbl_task9[[คะแนนเต็ม]:[คะแนนเต็ม]])*tbl_task9[[%]:[%]])</calculatedColumnFormula>
    </tableColumn>
    <tableColumn id="193" name="S74" dataDxfId="471">
      <calculatedColumnFormula>IF(ISBLANK(tbl_task9[[คะแนนเต็ม]:[คะแนนเต็ม]]),"",(tbl_task9[74]/tbl_task9[[คะแนนเต็ม]:[คะแนนเต็ม]])*tbl_task9[[%]:[%]])</calculatedColumnFormula>
    </tableColumn>
    <tableColumn id="194" name="S75" dataDxfId="470">
      <calculatedColumnFormula>IF(ISBLANK(tbl_task9[[คะแนนเต็ม]:[คะแนนเต็ม]]),"",(tbl_task9[75]/tbl_task9[[คะแนนเต็ม]:[คะแนนเต็ม]])*tbl_task9[[%]:[%]])</calculatedColumnFormula>
    </tableColumn>
    <tableColumn id="195" name="S76" dataDxfId="469">
      <calculatedColumnFormula>IF(ISBLANK(tbl_task9[[คะแนนเต็ม]:[คะแนนเต็ม]]),"",(tbl_task9[76]/tbl_task9[[คะแนนเต็ม]:[คะแนนเต็ม]])*tbl_task9[[%]:[%]])</calculatedColumnFormula>
    </tableColumn>
    <tableColumn id="196" name="S77" dataDxfId="468">
      <calculatedColumnFormula>IF(ISBLANK(tbl_task9[[คะแนนเต็ม]:[คะแนนเต็ม]]),"",(tbl_task9[77]/tbl_task9[[คะแนนเต็ม]:[คะแนนเต็ม]])*tbl_task9[[%]:[%]])</calculatedColumnFormula>
    </tableColumn>
    <tableColumn id="197" name="S78" dataDxfId="467">
      <calculatedColumnFormula>IF(ISBLANK(tbl_task9[[คะแนนเต็ม]:[คะแนนเต็ม]]),"",(tbl_task9[78]/tbl_task9[[คะแนนเต็ม]:[คะแนนเต็ม]])*tbl_task9[[%]:[%]])</calculatedColumnFormula>
    </tableColumn>
    <tableColumn id="198" name="S79" dataDxfId="466">
      <calculatedColumnFormula>IF(ISBLANK(tbl_task9[[คะแนนเต็ม]:[คะแนนเต็ม]]),"",(tbl_task9[79]/tbl_task9[[คะแนนเต็ม]:[คะแนนเต็ม]])*tbl_task9[[%]:[%]])</calculatedColumnFormula>
    </tableColumn>
    <tableColumn id="199" name="S80" dataDxfId="465">
      <calculatedColumnFormula>IF(ISBLANK(tbl_task9[[คะแนนเต็ม]:[คะแนนเต็ม]]),"",(tbl_task9[80]/tbl_task9[[คะแนนเต็ม]:[คะแนนเต็ม]])*tbl_task9[[%]:[%]])</calculatedColumnFormula>
    </tableColumn>
    <tableColumn id="200" name="S81" dataDxfId="464">
      <calculatedColumnFormula>IF(ISBLANK(tbl_task9[[คะแนนเต็ม]:[คะแนนเต็ม]]),"",(tbl_task9[81]/tbl_task9[[คะแนนเต็ม]:[คะแนนเต็ม]])*tbl_task9[[%]:[%]])</calculatedColumnFormula>
    </tableColumn>
    <tableColumn id="201" name="S82" dataDxfId="463">
      <calculatedColumnFormula>IF(ISBLANK(tbl_task9[[คะแนนเต็ม]:[คะแนนเต็ม]]),"",(tbl_task9[82]/tbl_task9[[คะแนนเต็ม]:[คะแนนเต็ม]])*tbl_task9[[%]:[%]])</calculatedColumnFormula>
    </tableColumn>
    <tableColumn id="202" name="S83" dataDxfId="462">
      <calculatedColumnFormula>IF(ISBLANK(tbl_task9[[คะแนนเต็ม]:[คะแนนเต็ม]]),"",(tbl_task9[83]/tbl_task9[[คะแนนเต็ม]:[คะแนนเต็ม]])*tbl_task9[[%]:[%]])</calculatedColumnFormula>
    </tableColumn>
    <tableColumn id="203" name="S84" dataDxfId="461">
      <calculatedColumnFormula>IF(ISBLANK(tbl_task9[[คะแนนเต็ม]:[คะแนนเต็ม]]),"",(tbl_task9[84]/tbl_task9[[คะแนนเต็ม]:[คะแนนเต็ม]])*tbl_task9[[%]:[%]])</calculatedColumnFormula>
    </tableColumn>
    <tableColumn id="204" name="S85" dataDxfId="460">
      <calculatedColumnFormula>IF(ISBLANK(tbl_task9[[คะแนนเต็ม]:[คะแนนเต็ม]]),"",(tbl_task9[85]/tbl_task9[[คะแนนเต็ม]:[คะแนนเต็ม]])*tbl_task9[[%]:[%]])</calculatedColumnFormula>
    </tableColumn>
    <tableColumn id="286" name="S86" dataDxfId="459">
      <calculatedColumnFormula>IF(ISBLANK(tbl_task9[[คะแนนเต็ม]:[คะแนนเต็ม]]),"",(tbl_task9[86]/tbl_task9[[คะแนนเต็ม]:[คะแนนเต็ม]])*tbl_task9[[%]:[%]])</calculatedColumnFormula>
    </tableColumn>
    <tableColumn id="287" name="S87" dataDxfId="458">
      <calculatedColumnFormula>IF(ISBLANK(tbl_task9[[คะแนนเต็ม]:[คะแนนเต็ม]]),"",(tbl_task9[87]/tbl_task9[[คะแนนเต็ม]:[คะแนนเต็ม]])*tbl_task9[[%]:[%]])</calculatedColumnFormula>
    </tableColumn>
    <tableColumn id="288" name="S88" dataDxfId="457">
      <calculatedColumnFormula>IF(ISBLANK(tbl_task9[[คะแนนเต็ม]:[คะแนนเต็ม]]),"",(tbl_task9[88]/tbl_task9[[คะแนนเต็ม]:[คะแนนเต็ม]])*tbl_task9[[%]:[%]])</calculatedColumnFormula>
    </tableColumn>
    <tableColumn id="289" name="S89" dataDxfId="456">
      <calculatedColumnFormula>IF(ISBLANK(tbl_task9[[คะแนนเต็ม]:[คะแนนเต็ม]]),"",(tbl_task9[89]/tbl_task9[[คะแนนเต็ม]:[คะแนนเต็ม]])*tbl_task9[[%]:[%]])</calculatedColumnFormula>
    </tableColumn>
    <tableColumn id="290" name="S90" dataDxfId="455">
      <calculatedColumnFormula>IF(ISBLANK(tbl_task9[[คะแนนเต็ม]:[คะแนนเต็ม]]),"",(tbl_task9[90]/tbl_task9[[คะแนนเต็ม]:[คะแนนเต็ม]])*tbl_task9[[%]:[%]])</calculatedColumnFormula>
    </tableColumn>
    <tableColumn id="291" name="S91" dataDxfId="454">
      <calculatedColumnFormula>IF(ISBLANK(tbl_task9[[คะแนนเต็ม]:[คะแนนเต็ม]]),"",(tbl_task9[91]/tbl_task9[[คะแนนเต็ม]:[คะแนนเต็ม]])*tbl_task9[[%]:[%]])</calculatedColumnFormula>
    </tableColumn>
    <tableColumn id="292" name="S92" dataDxfId="453">
      <calculatedColumnFormula>IF(ISBLANK(tbl_task9[[คะแนนเต็ม]:[คะแนนเต็ม]]),"",(tbl_task9[92]/tbl_task9[[คะแนนเต็ม]:[คะแนนเต็ม]])*tbl_task9[[%]:[%]])</calculatedColumnFormula>
    </tableColumn>
    <tableColumn id="293" name="S93" dataDxfId="452">
      <calculatedColumnFormula>IF(ISBLANK(tbl_task9[[คะแนนเต็ม]:[คะแนนเต็ม]]),"",(tbl_task9[93]/tbl_task9[[คะแนนเต็ม]:[คะแนนเต็ม]])*tbl_task9[[%]:[%]])</calculatedColumnFormula>
    </tableColumn>
    <tableColumn id="294" name="S94" dataDxfId="451">
      <calculatedColumnFormula>IF(ISBLANK(tbl_task9[[คะแนนเต็ม]:[คะแนนเต็ม]]),"",(tbl_task9[94]/tbl_task9[[คะแนนเต็ม]:[คะแนนเต็ม]])*tbl_task9[[%]:[%]])</calculatedColumnFormula>
    </tableColumn>
    <tableColumn id="295" name="S95" dataDxfId="450">
      <calculatedColumnFormula>IF(ISBLANK(tbl_task9[[คะแนนเต็ม]:[คะแนนเต็ม]]),"",(tbl_task9[95]/tbl_task9[[คะแนนเต็ม]:[คะแนนเต็ม]])*tbl_task9[[%]:[%]])</calculatedColumnFormula>
    </tableColumn>
    <tableColumn id="296" name="S96" dataDxfId="449">
      <calculatedColumnFormula>IF(ISBLANK(tbl_task9[[คะแนนเต็ม]:[คะแนนเต็ม]]),"",(tbl_task9[96]/tbl_task9[[คะแนนเต็ม]:[คะแนนเต็ม]])*tbl_task9[[%]:[%]])</calculatedColumnFormula>
    </tableColumn>
    <tableColumn id="297" name="S97" dataDxfId="448">
      <calculatedColumnFormula>IF(ISBLANK(tbl_task9[[คะแนนเต็ม]:[คะแนนเต็ม]]),"",(tbl_task9[97]/tbl_task9[[คะแนนเต็ม]:[คะแนนเต็ม]])*tbl_task9[[%]:[%]])</calculatedColumnFormula>
    </tableColumn>
    <tableColumn id="298" name="S98" dataDxfId="447">
      <calculatedColumnFormula>IF(ISBLANK(tbl_task9[[คะแนนเต็ม]:[คะแนนเต็ม]]),"",(tbl_task9[98]/tbl_task9[[คะแนนเต็ม]:[คะแนนเต็ม]])*tbl_task9[[%]:[%]])</calculatedColumnFormula>
    </tableColumn>
    <tableColumn id="299" name="S99" dataDxfId="446">
      <calculatedColumnFormula>IF(ISBLANK(tbl_task9[[คะแนนเต็ม]:[คะแนนเต็ม]]),"",(tbl_task9[99]/tbl_task9[[คะแนนเต็ม]:[คะแนนเต็ม]])*tbl_task9[[%]:[%]])</calculatedColumnFormula>
    </tableColumn>
    <tableColumn id="300" name="S100" dataDxfId="445">
      <calculatedColumnFormula>IF(ISBLANK(tbl_task9[[คะแนนเต็ม]:[คะแนนเต็ม]]),"",(tbl_task9[100]/tbl_task9[[คะแนนเต็ม]:[คะแนนเต็ม]])*tbl_task9[[%]:[%]])</calculatedColumnFormula>
    </tableColumn>
    <tableColumn id="301" name="S101" dataDxfId="444">
      <calculatedColumnFormula>IF(ISBLANK(tbl_task9[[คะแนนเต็ม]:[คะแนนเต็ม]]),"",(tbl_task9[101]/tbl_task9[[คะแนนเต็ม]:[คะแนนเต็ม]])*tbl_task9[[%]:[%]])</calculatedColumnFormula>
    </tableColumn>
    <tableColumn id="302" name="S102" dataDxfId="443">
      <calculatedColumnFormula>IF(ISBLANK(tbl_task9[[คะแนนเต็ม]:[คะแนนเต็ม]]),"",(tbl_task9[102]/tbl_task9[[คะแนนเต็ม]:[คะแนนเต็ม]])*tbl_task9[[%]:[%]])</calculatedColumnFormula>
    </tableColumn>
    <tableColumn id="303" name="S103" dataDxfId="442">
      <calculatedColumnFormula>IF(ISBLANK(tbl_task9[[คะแนนเต็ม]:[คะแนนเต็ม]]),"",(tbl_task9[103]/tbl_task9[[คะแนนเต็ม]:[คะแนนเต็ม]])*tbl_task9[[%]:[%]])</calculatedColumnFormula>
    </tableColumn>
    <tableColumn id="304" name="S104" dataDxfId="441">
      <calculatedColumnFormula>IF(ISBLANK(tbl_task9[[คะแนนเต็ม]:[คะแนนเต็ม]]),"",(tbl_task9[104]/tbl_task9[[คะแนนเต็ม]:[คะแนนเต็ม]])*tbl_task9[[%]:[%]])</calculatedColumnFormula>
    </tableColumn>
    <tableColumn id="305" name="S105" dataDxfId="440">
      <calculatedColumnFormula>IF(ISBLANK(tbl_task9[[คะแนนเต็ม]:[คะแนนเต็ม]]),"",(tbl_task9[105]/tbl_task9[[คะแนนเต็ม]:[คะแนนเต็ม]])*tbl_task9[[%]:[%]])</calculatedColumnFormula>
    </tableColumn>
    <tableColumn id="306" name="S106" dataDxfId="439">
      <calculatedColumnFormula>IF(ISBLANK(tbl_task9[[คะแนนเต็ม]:[คะแนนเต็ม]]),"",(tbl_task9[106]/tbl_task9[[คะแนนเต็ม]:[คะแนนเต็ม]])*tbl_task9[[%]:[%]])</calculatedColumnFormula>
    </tableColumn>
    <tableColumn id="307" name="S107" dataDxfId="438">
      <calculatedColumnFormula>IF(ISBLANK(tbl_task9[[คะแนนเต็ม]:[คะแนนเต็ม]]),"",(tbl_task9[107]/tbl_task9[[คะแนนเต็ม]:[คะแนนเต็ม]])*tbl_task9[[%]:[%]])</calculatedColumnFormula>
    </tableColumn>
    <tableColumn id="308" name="S108" dataDxfId="437">
      <calculatedColumnFormula>IF(ISBLANK(tbl_task9[[คะแนนเต็ม]:[คะแนนเต็ม]]),"",(tbl_task9[108]/tbl_task9[[คะแนนเต็ม]:[คะแนนเต็ม]])*tbl_task9[[%]:[%]])</calculatedColumnFormula>
    </tableColumn>
    <tableColumn id="309" name="S109" dataDxfId="436">
      <calculatedColumnFormula>IF(ISBLANK(tbl_task9[[คะแนนเต็ม]:[คะแนนเต็ม]]),"",(tbl_task9[109]/tbl_task9[[คะแนนเต็ม]:[คะแนนเต็ม]])*tbl_task9[[%]:[%]])</calculatedColumnFormula>
    </tableColumn>
    <tableColumn id="310" name="S110" dataDxfId="435">
      <calculatedColumnFormula>IF(ISBLANK(tbl_task9[[คะแนนเต็ม]:[คะแนนเต็ม]]),"",(tbl_task9[110]/tbl_task9[[คะแนนเต็ม]:[คะแนนเต็ม]])*tbl_task9[[%]:[%]])</calculatedColumnFormula>
    </tableColumn>
    <tableColumn id="311" name="S111" dataDxfId="434">
      <calculatedColumnFormula>IF(ISBLANK(tbl_task9[[คะแนนเต็ม]:[คะแนนเต็ม]]),"",(tbl_task9[111]/tbl_task9[[คะแนนเต็ม]:[คะแนนเต็ม]])*tbl_task9[[%]:[%]])</calculatedColumnFormula>
    </tableColumn>
    <tableColumn id="312" name="S112" dataDxfId="433">
      <calculatedColumnFormula>IF(ISBLANK(tbl_task9[[คะแนนเต็ม]:[คะแนนเต็ม]]),"",(tbl_task9[112]/tbl_task9[[คะแนนเต็ม]:[คะแนนเต็ม]])*tbl_task9[[%]:[%]])</calculatedColumnFormula>
    </tableColumn>
    <tableColumn id="313" name="S113" dataDxfId="432">
      <calculatedColumnFormula>IF(ISBLANK(tbl_task9[[คะแนนเต็ม]:[คะแนนเต็ม]]),"",(tbl_task9[113]/tbl_task9[[คะแนนเต็ม]:[คะแนนเต็ม]])*tbl_task9[[%]:[%]])</calculatedColumnFormula>
    </tableColumn>
    <tableColumn id="314" name="S114" dataDxfId="431">
      <calculatedColumnFormula>IF(ISBLANK(tbl_task9[[คะแนนเต็ม]:[คะแนนเต็ม]]),"",(tbl_task9[114]/tbl_task9[[คะแนนเต็ม]:[คะแนนเต็ม]])*tbl_task9[[%]:[%]])</calculatedColumnFormula>
    </tableColumn>
    <tableColumn id="315" name="S115" dataDxfId="430">
      <calculatedColumnFormula>IF(ISBLANK(tbl_task9[[คะแนนเต็ม]:[คะแนนเต็ม]]),"",(tbl_task9[115]/tbl_task9[[คะแนนเต็ม]:[คะแนนเต็ม]])*tbl_task9[[%]:[%]])</calculatedColumnFormula>
    </tableColumn>
    <tableColumn id="205" name="S116" dataDxfId="429">
      <calculatedColumnFormula>IF(ISBLANK(tbl_task9[[คะแนนเต็ม]:[คะแนนเต็ม]]),"",(tbl_task9[116]/tbl_task9[[คะแนนเต็ม]:[คะแนนเต็ม]])*tbl_task9[[%]:[%]])</calculatedColumnFormula>
    </tableColumn>
    <tableColumn id="206" name="S117" dataDxfId="428">
      <calculatedColumnFormula>IF(ISBLANK(tbl_task9[[คะแนนเต็ม]:[คะแนนเต็ม]]),"",(tbl_task9[117]/tbl_task9[[คะแนนเต็ม]:[คะแนนเต็ม]])*tbl_task9[[%]:[%]])</calculatedColumnFormula>
    </tableColumn>
    <tableColumn id="207" name="S118" dataDxfId="427">
      <calculatedColumnFormula>IF(ISBLANK(tbl_task9[[คะแนนเต็ม]:[คะแนนเต็ม]]),"",(tbl_task9[118]/tbl_task9[[คะแนนเต็ม]:[คะแนนเต็ม]])*tbl_task9[[%]:[%]])</calculatedColumnFormula>
    </tableColumn>
    <tableColumn id="208" name="S119" dataDxfId="426">
      <calculatedColumnFormula>IF(ISBLANK(tbl_task9[[คะแนนเต็ม]:[คะแนนเต็ม]]),"",(tbl_task9[119]/tbl_task9[[คะแนนเต็ม]:[คะแนนเต็ม]])*tbl_task9[[%]:[%]])</calculatedColumnFormula>
    </tableColumn>
    <tableColumn id="209" name="S120" dataDxfId="425">
      <calculatedColumnFormula>IF(ISBLANK(tbl_task9[[คะแนนเต็ม]:[คะแนนเต็ม]]),"",(tbl_task9[120]/tbl_task9[[คะแนนเต็ม]:[คะแนนเต็ม]])*tbl_task9[[%]:[%]])</calculatedColumnFormula>
    </tableColumn>
    <tableColumn id="210" name="S121" dataDxfId="424">
      <calculatedColumnFormula>IF(ISBLANK(tbl_task9[[คะแนนเต็ม]:[คะแนนเต็ม]]),"",(tbl_task9[121]/tbl_task9[[คะแนนเต็ม]:[คะแนนเต็ม]])*tbl_task9[[%]:[%]])</calculatedColumnFormula>
    </tableColumn>
    <tableColumn id="211" name="S122" dataDxfId="423">
      <calculatedColumnFormula>IF(ISBLANK(tbl_task9[[คะแนนเต็ม]:[คะแนนเต็ม]]),"",(tbl_task9[122]/tbl_task9[[คะแนนเต็ม]:[คะแนนเต็ม]])*tbl_task9[[%]:[%]])</calculatedColumnFormula>
    </tableColumn>
    <tableColumn id="316" name="S123" dataDxfId="422">
      <calculatedColumnFormula>IF(ISBLANK(tbl_task9[[คะแนนเต็ม]:[คะแนนเต็ม]]),"",(tbl_task9[123]/tbl_task9[[คะแนนเต็ม]:[คะแนนเต็ม]])*tbl_task9[[%]:[%]])</calculatedColumnFormula>
    </tableColumn>
    <tableColumn id="317" name="S124" dataDxfId="421">
      <calculatedColumnFormula>IF(ISBLANK(tbl_task9[[คะแนนเต็ม]:[คะแนนเต็ม]]),"",(tbl_task9[124]/tbl_task9[[คะแนนเต็ม]:[คะแนนเต็ม]])*tbl_task9[[%]:[%]])</calculatedColumnFormula>
    </tableColumn>
    <tableColumn id="318" name="S125" dataDxfId="420">
      <calculatedColumnFormula>IF(ISBLANK(tbl_task9[[คะแนนเต็ม]:[คะแนนเต็ม]]),"",(tbl_task9[125]/tbl_task9[[คะแนนเต็ม]:[คะแนนเต็ม]])*tbl_task9[[%]:[%]])</calculatedColumnFormula>
    </tableColumn>
    <tableColumn id="319" name="S126" dataDxfId="419">
      <calculatedColumnFormula>IF(ISBLANK(tbl_task9[[คะแนนเต็ม]:[คะแนนเต็ม]]),"",(tbl_task9[126]/tbl_task9[[คะแนนเต็ม]:[คะแนนเต็ม]])*tbl_task9[[%]:[%]])</calculatedColumnFormula>
    </tableColumn>
    <tableColumn id="320" name="S127" dataDxfId="418">
      <calculatedColumnFormula>IF(ISBLANK(tbl_task9[[คะแนนเต็ม]:[คะแนนเต็ม]]),"",(tbl_task9[127]/tbl_task9[[คะแนนเต็ม]:[คะแนนเต็ม]])*tbl_task9[[%]:[%]])</calculatedColumnFormula>
    </tableColumn>
    <tableColumn id="321" name="S128" dataDxfId="417">
      <calculatedColumnFormula>IF(ISBLANK(tbl_task9[[คะแนนเต็ม]:[คะแนนเต็ม]]),"",(tbl_task9[128]/tbl_task9[[คะแนนเต็ม]:[คะแนนเต็ม]])*tbl_task9[[%]:[%]])</calculatedColumnFormula>
    </tableColumn>
    <tableColumn id="322" name="S129" dataDxfId="416">
      <calculatedColumnFormula>IF(ISBLANK(tbl_task9[[คะแนนเต็ม]:[คะแนนเต็ม]]),"",(tbl_task9[129]/tbl_task9[[คะแนนเต็ม]:[คะแนนเต็ม]])*tbl_task9[[%]:[%]])</calculatedColumnFormula>
    </tableColumn>
    <tableColumn id="212" name="S130" dataDxfId="415">
      <calculatedColumnFormula>IF(ISBLANK(tbl_task9[[คะแนนเต็ม]:[คะแนนเต็ม]]),"",(tbl_task9[130]/tbl_task9[[คะแนนเต็ม]:[คะแนนเต็ม]])*tbl_task9[[%]:[%]])</calculatedColumnFormula>
    </tableColumn>
    <tableColumn id="213" name="S131" dataDxfId="414">
      <calculatedColumnFormula>IF(ISBLANK(tbl_task9[[คะแนนเต็ม]:[คะแนนเต็ม]]),"",(tbl_task9[131]/tbl_task9[[คะแนนเต็ม]:[คะแนนเต็ม]])*tbl_task9[[%]:[%]])</calculatedColumnFormula>
    </tableColumn>
    <tableColumn id="214" name="S132" dataDxfId="413">
      <calculatedColumnFormula>IF(ISBLANK(tbl_task9[[คะแนนเต็ม]:[คะแนนเต็ม]]),"",(tbl_task9[132]/tbl_task9[[คะแนนเต็ม]:[คะแนนเต็ม]])*tbl_task9[[%]:[%]])</calculatedColumnFormula>
    </tableColumn>
    <tableColumn id="215" name="S133" dataDxfId="412">
      <calculatedColumnFormula>IF(ISBLANK(tbl_task9[[คะแนนเต็ม]:[คะแนนเต็ม]]),"",(tbl_task9[133]/tbl_task9[[คะแนนเต็ม]:[คะแนนเต็ม]])*tbl_task9[[%]:[%]])</calculatedColumnFormula>
    </tableColumn>
    <tableColumn id="216" name="S134" dataDxfId="411">
      <calculatedColumnFormula>IF(ISBLANK(tbl_task9[[คะแนนเต็ม]:[คะแนนเต็ม]]),"",(tbl_task9[134]/tbl_task9[[คะแนนเต็ม]:[คะแนนเต็ม]])*tbl_task9[[%]:[%]])</calculatedColumnFormula>
    </tableColumn>
    <tableColumn id="217" name="S135" dataDxfId="410">
      <calculatedColumnFormula>IF(ISBLANK(tbl_task9[[คะแนนเต็ม]:[คะแนนเต็ม]]),"",(tbl_task9[135]/tbl_task9[[คะแนนเต็ม]:[คะแนนเต็ม]])*tbl_task9[[%]:[%]])</calculatedColumnFormula>
    </tableColumn>
    <tableColumn id="218" name="S136" dataDxfId="409">
      <calculatedColumnFormula>IF(ISBLANK(tbl_task9[[คะแนนเต็ม]:[คะแนนเต็ม]]),"",(tbl_task9[136]/tbl_task9[[คะแนนเต็ม]:[คะแนนเต็ม]])*tbl_task9[[%]:[%]])</calculatedColumnFormula>
    </tableColumn>
    <tableColumn id="219" name="S137" dataDxfId="408">
      <calculatedColumnFormula>IF(ISBLANK(tbl_task9[[คะแนนเต็ม]:[คะแนนเต็ม]]),"",(tbl_task9[137]/tbl_task9[[คะแนนเต็ม]:[คะแนนเต็ม]])*tbl_task9[[%]:[%]])</calculatedColumnFormula>
    </tableColumn>
    <tableColumn id="220" name="S138" dataDxfId="407">
      <calculatedColumnFormula>IF(ISBLANK(tbl_task9[[คะแนนเต็ม]:[คะแนนเต็ม]]),"",(tbl_task9[138]/tbl_task9[[คะแนนเต็ม]:[คะแนนเต็ม]])*tbl_task9[[%]:[%]])</calculatedColumnFormula>
    </tableColumn>
    <tableColumn id="221" name="S139" dataDxfId="406">
      <calculatedColumnFormula>IF(ISBLANK(tbl_task9[[คะแนนเต็ม]:[คะแนนเต็ม]]),"",(tbl_task9[139]/tbl_task9[[คะแนนเต็ม]:[คะแนนเต็ม]])*tbl_task9[[%]:[%]])</calculatedColumnFormula>
    </tableColumn>
    <tableColumn id="222" name="S140" dataDxfId="405">
      <calculatedColumnFormula>IF(ISBLANK(tbl_task9[[คะแนนเต็ม]:[คะแนนเต็ม]]),"",(tbl_task9[140]/tbl_task9[[คะแนนเต็ม]:[คะแนนเต็ม]])*tbl_task9[[%]:[%]])</calculatedColumnFormula>
    </tableColumn>
    <tableColumn id="223" name="S141" dataDxfId="404">
      <calculatedColumnFormula>IF(ISBLANK(tbl_task9[[คะแนนเต็ม]:[คะแนนเต็ม]]),"",(tbl_task9[141]/tbl_task9[[คะแนนเต็ม]:[คะแนนเต็ม]])*tbl_task9[[%]:[%]])</calculatedColumnFormula>
    </tableColumn>
    <tableColumn id="323" name="S142" dataDxfId="403">
      <calculatedColumnFormula>IF(ISBLANK(tbl_task9[[คะแนนเต็ม]:[คะแนนเต็ม]]),"",(tbl_task9[142]/tbl_task9[[คะแนนเต็ม]:[คะแนนเต็ม]])*tbl_task9[[%]:[%]])</calculatedColumnFormula>
    </tableColumn>
    <tableColumn id="324" name="S143" dataDxfId="402">
      <calculatedColumnFormula>IF(ISBLANK(tbl_task9[[คะแนนเต็ม]:[คะแนนเต็ม]]),"",(tbl_task9[143]/tbl_task9[[คะแนนเต็ม]:[คะแนนเต็ม]])*tbl_task9[[%]:[%]])</calculatedColumnFormula>
    </tableColumn>
    <tableColumn id="325" name="S144" dataDxfId="401">
      <calculatedColumnFormula>IF(ISBLANK(tbl_task9[[คะแนนเต็ม]:[คะแนนเต็ม]]),"",(tbl_task9[144]/tbl_task9[[คะแนนเต็ม]:[คะแนนเต็ม]])*tbl_task9[[%]:[%]])</calculatedColumnFormula>
    </tableColumn>
    <tableColumn id="326" name="S145" dataDxfId="400">
      <calculatedColumnFormula>IF(ISBLANK(tbl_task9[[คะแนนเต็ม]:[คะแนนเต็ม]]),"",(tbl_task9[145]/tbl_task9[[คะแนนเต็ม]:[คะแนนเต็ม]])*tbl_task9[[%]:[%]])</calculatedColumnFormula>
    </tableColumn>
    <tableColumn id="327" name="S146" dataDxfId="399">
      <calculatedColumnFormula>IF(ISBLANK(tbl_task9[[คะแนนเต็ม]:[คะแนนเต็ม]]),"",(tbl_task9[146]/tbl_task9[[คะแนนเต็ม]:[คะแนนเต็ม]])*tbl_task9[[%]:[%]])</calculatedColumnFormula>
    </tableColumn>
    <tableColumn id="328" name="S147" dataDxfId="398">
      <calculatedColumnFormula>IF(ISBLANK(tbl_task9[[คะแนนเต็ม]:[คะแนนเต็ม]]),"",(tbl_task9[147]/tbl_task9[[คะแนนเต็ม]:[คะแนนเต็ม]])*tbl_task9[[%]:[%]])</calculatedColumnFormula>
    </tableColumn>
    <tableColumn id="329" name="S148" dataDxfId="397">
      <calculatedColumnFormula>IF(ISBLANK(tbl_task9[[คะแนนเต็ม]:[คะแนนเต็ม]]),"",(tbl_task9[148]/tbl_task9[[คะแนนเต็ม]:[คะแนนเต็ม]])*tbl_task9[[%]:[%]])</calculatedColumnFormula>
    </tableColumn>
    <tableColumn id="330" name="S149" dataDxfId="396">
      <calculatedColumnFormula>IF(ISBLANK(tbl_task9[[คะแนนเต็ม]:[คะแนนเต็ม]]),"",(tbl_task9[149]/tbl_task9[[คะแนนเต็ม]:[คะแนนเต็ม]])*tbl_task9[[%]:[%]])</calculatedColumnFormula>
    </tableColumn>
    <tableColumn id="331" name="S150" dataDxfId="395">
      <calculatedColumnFormula>IF(ISBLANK(tbl_task9[[คะแนนเต็ม]:[คะแนนเต็ม]]),"",(tbl_task9[150]/tbl_task9[[คะแนนเต็ม]:[คะแนนเต็ม]])*tbl_task9[[%]:[%]])</calculatedColumnFormula>
    </tableColumn>
    <tableColumn id="332" name="S151" dataDxfId="394">
      <calculatedColumnFormula>IF(ISBLANK(tbl_task9[[คะแนนเต็ม]:[คะแนนเต็ม]]),"",(tbl_task9[151]/tbl_task9[[คะแนนเต็ม]:[คะแนนเต็ม]])*tbl_task9[[%]:[%]])</calculatedColumnFormula>
    </tableColumn>
    <tableColumn id="333" name="S152" dataDxfId="393">
      <calculatedColumnFormula>IF(ISBLANK(tbl_task9[[คะแนนเต็ม]:[คะแนนเต็ม]]),"",(tbl_task9[152]/tbl_task9[[คะแนนเต็ม]:[คะแนนเต็ม]])*tbl_task9[[%]:[%]])</calculatedColumnFormula>
    </tableColumn>
    <tableColumn id="224" name="S153" dataDxfId="392">
      <calculatedColumnFormula>IF(ISBLANK(tbl_task9[[คะแนนเต็ม]:[คะแนนเต็ม]]),"",(tbl_task9[153]/tbl_task9[[คะแนนเต็ม]:[คะแนนเต็ม]])*tbl_task9[[%]:[%]])</calculatedColumnFormula>
    </tableColumn>
    <tableColumn id="225" name="S154" dataDxfId="391">
      <calculatedColumnFormula>IF(ISBLANK(tbl_task9[[คะแนนเต็ม]:[คะแนนเต็ม]]),"",(tbl_task9[154]/tbl_task9[[คะแนนเต็ม]:[คะแนนเต็ม]])*tbl_task9[[%]:[%]])</calculatedColumnFormula>
    </tableColumn>
    <tableColumn id="226" name="S155" dataDxfId="390">
      <calculatedColumnFormula>IF(ISBLANK(tbl_task9[[คะแนนเต็ม]:[คะแนนเต็ม]]),"",(tbl_task9[155]/tbl_task9[[คะแนนเต็ม]:[คะแนนเต็ม]])*tbl_task9[[%]:[%]])</calculatedColumnFormula>
    </tableColumn>
    <tableColumn id="227" name="S156" dataDxfId="389">
      <calculatedColumnFormula>IF(ISBLANK(tbl_task9[[คะแนนเต็ม]:[คะแนนเต็ม]]),"",(tbl_task9[156]/tbl_task9[[คะแนนเต็ม]:[คะแนนเต็ม]])*tbl_task9[[%]:[%]])</calculatedColumnFormula>
    </tableColumn>
    <tableColumn id="228" name="S157" dataDxfId="388">
      <calculatedColumnFormula>IF(ISBLANK(tbl_task9[[คะแนนเต็ม]:[คะแนนเต็ม]]),"",(tbl_task9[157]/tbl_task9[[คะแนนเต็ม]:[คะแนนเต็ม]])*tbl_task9[[%]:[%]])</calculatedColumnFormula>
    </tableColumn>
    <tableColumn id="229" name="S158" dataDxfId="387">
      <calculatedColumnFormula>IF(ISBLANK(tbl_task9[[คะแนนเต็ม]:[คะแนนเต็ม]]),"",(tbl_task9[158]/tbl_task9[[คะแนนเต็ม]:[คะแนนเต็ม]])*tbl_task9[[%]:[%]])</calculatedColumnFormula>
    </tableColumn>
    <tableColumn id="230" name="S159" dataDxfId="386">
      <calculatedColumnFormula>IF(ISBLANK(tbl_task9[[คะแนนเต็ม]:[คะแนนเต็ม]]),"",(tbl_task9[159]/tbl_task9[[คะแนนเต็ม]:[คะแนนเต็ม]])*tbl_task9[[%]:[%]])</calculatedColumnFormula>
    </tableColumn>
    <tableColumn id="231" name="S160" dataDxfId="385">
      <calculatedColumnFormula>IF(ISBLANK(tbl_task9[[คะแนนเต็ม]:[คะแนนเต็ม]]),"",(tbl_task9[160]/tbl_task9[[คะแนนเต็ม]:[คะแนนเต็ม]])*tbl_task9[[%]:[%]])</calculatedColumnFormula>
    </tableColumn>
    <tableColumn id="232" name="S161" dataDxfId="384">
      <calculatedColumnFormula>IF(ISBLANK(tbl_task9[[คะแนนเต็ม]:[คะแนนเต็ม]]),"",(tbl_task9[161]/tbl_task9[[คะแนนเต็ม]:[คะแนนเต็ม]])*tbl_task9[[%]:[%]])</calculatedColumnFormula>
    </tableColumn>
    <tableColumn id="334" name="S162" dataDxfId="383">
      <calculatedColumnFormula>IF(ISBLANK(tbl_task9[[คะแนนเต็ม]:[คะแนนเต็ม]]),"",(tbl_task9[162]/tbl_task9[[คะแนนเต็ม]:[คะแนนเต็ม]])*tbl_task9[[%]:[%]])</calculatedColumnFormula>
    </tableColumn>
    <tableColumn id="335" name="S163" dataDxfId="382">
      <calculatedColumnFormula>IF(ISBLANK(tbl_task9[[คะแนนเต็ม]:[คะแนนเต็ม]]),"",(tbl_task9[163]/tbl_task9[[คะแนนเต็ม]:[คะแนนเต็ม]])*tbl_task9[[%]:[%]])</calculatedColumnFormula>
    </tableColumn>
    <tableColumn id="233" name="S164" dataDxfId="381">
      <calculatedColumnFormula>IF(ISBLANK(tbl_task9[[คะแนนเต็ม]:[คะแนนเต็ม]]),"",(tbl_task9[164]/tbl_task9[[คะแนนเต็ม]:[คะแนนเต็ม]])*tbl_task9[[%]:[%]])</calculatedColumnFormula>
    </tableColumn>
    <tableColumn id="234" name="S165" dataDxfId="380">
      <calculatedColumnFormula>IF(ISBLANK(tbl_task9[[คะแนนเต็ม]:[คะแนนเต็ม]]),"",(tbl_task9[165]/tbl_task9[[คะแนนเต็ม]:[คะแนนเต็ม]])*tbl_task9[[%]:[%]])</calculatedColumnFormula>
    </tableColumn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id="13" name="tbl_task10" displayName="tbl_task10" ref="A3:LW28" totalsRowShown="0" headerRowDxfId="379" dataDxfId="377" headerRowBorderDxfId="378" tableBorderDxfId="376" totalsRowBorderDxfId="375">
  <tableColumns count="335">
    <tableColumn id="1" name="No" dataDxfId="374"/>
    <tableColumn id="2" name="SubPLOs" dataDxfId="373"/>
    <tableColumn id="3" name="SubPLOs_name" dataDxfId="372"/>
    <tableColumn id="235" name="คะแนนเต็ม" dataDxfId="371"/>
    <tableColumn id="4" name="%" dataDxfId="370">
      <calculatedColumnFormula>IF(OR(ISBLANK(#REF!),ISBLANK(tbl_task10[[#This Row],[SubPLOs]])),"",#REF!/$B$29)</calculatedColumnFormula>
    </tableColumn>
    <tableColumn id="5" name="1" dataDxfId="369"/>
    <tableColumn id="6" name="2" dataDxfId="368"/>
    <tableColumn id="7" name="3" dataDxfId="367"/>
    <tableColumn id="8" name="4" dataDxfId="366"/>
    <tableColumn id="9" name="5" dataDxfId="365"/>
    <tableColumn id="10" name="6" dataDxfId="364"/>
    <tableColumn id="11" name="7" dataDxfId="363"/>
    <tableColumn id="12" name="8" dataDxfId="362"/>
    <tableColumn id="13" name="9" dataDxfId="361"/>
    <tableColumn id="14" name="10" dataDxfId="360"/>
    <tableColumn id="15" name="11" dataDxfId="359"/>
    <tableColumn id="16" name="12" dataDxfId="358"/>
    <tableColumn id="17" name="13" dataDxfId="357"/>
    <tableColumn id="18" name="14" dataDxfId="356"/>
    <tableColumn id="19" name="15" dataDxfId="355"/>
    <tableColumn id="20" name="16" dataDxfId="354"/>
    <tableColumn id="21" name="17" dataDxfId="353"/>
    <tableColumn id="22" name="18" dataDxfId="352"/>
    <tableColumn id="23" name="19" dataDxfId="351"/>
    <tableColumn id="24" name="20" dataDxfId="350"/>
    <tableColumn id="25" name="21" dataDxfId="349"/>
    <tableColumn id="26" name="22" dataDxfId="348"/>
    <tableColumn id="27" name="23" dataDxfId="347"/>
    <tableColumn id="28" name="24" dataDxfId="346"/>
    <tableColumn id="29" name="25" dataDxfId="345"/>
    <tableColumn id="30" name="26" dataDxfId="344"/>
    <tableColumn id="31" name="27" dataDxfId="343"/>
    <tableColumn id="32" name="28" dataDxfId="342"/>
    <tableColumn id="33" name="29" dataDxfId="341"/>
    <tableColumn id="34" name="30" dataDxfId="340"/>
    <tableColumn id="35" name="31" dataDxfId="339"/>
    <tableColumn id="36" name="32" dataDxfId="338"/>
    <tableColumn id="37" name="33" dataDxfId="337"/>
    <tableColumn id="38" name="34" dataDxfId="336"/>
    <tableColumn id="39" name="35" dataDxfId="335"/>
    <tableColumn id="40" name="36" dataDxfId="334"/>
    <tableColumn id="41" name="37" dataDxfId="333"/>
    <tableColumn id="42" name="38" dataDxfId="332"/>
    <tableColumn id="43" name="39" dataDxfId="331"/>
    <tableColumn id="44" name="40" dataDxfId="330"/>
    <tableColumn id="45" name="41" dataDxfId="329"/>
    <tableColumn id="46" name="42" dataDxfId="328"/>
    <tableColumn id="47" name="43" dataDxfId="327"/>
    <tableColumn id="48" name="44" dataDxfId="326"/>
    <tableColumn id="49" name="45" dataDxfId="325"/>
    <tableColumn id="50" name="46" dataDxfId="324"/>
    <tableColumn id="51" name="47" dataDxfId="323"/>
    <tableColumn id="52" name="48" dataDxfId="322"/>
    <tableColumn id="53" name="49" dataDxfId="321"/>
    <tableColumn id="54" name="50" dataDxfId="320"/>
    <tableColumn id="55" name="51" dataDxfId="319"/>
    <tableColumn id="56" name="52" dataDxfId="318"/>
    <tableColumn id="57" name="53" dataDxfId="317"/>
    <tableColumn id="58" name="54" dataDxfId="316"/>
    <tableColumn id="59" name="55" dataDxfId="315"/>
    <tableColumn id="60" name="56" dataDxfId="314"/>
    <tableColumn id="61" name="57" dataDxfId="313"/>
    <tableColumn id="62" name="58" dataDxfId="312"/>
    <tableColumn id="63" name="59" dataDxfId="311"/>
    <tableColumn id="64" name="60" dataDxfId="310"/>
    <tableColumn id="65" name="61" dataDxfId="309"/>
    <tableColumn id="66" name="62" dataDxfId="308"/>
    <tableColumn id="67" name="63" dataDxfId="307"/>
    <tableColumn id="68" name="64" dataDxfId="306"/>
    <tableColumn id="69" name="65" dataDxfId="305"/>
    <tableColumn id="70" name="66" dataDxfId="304"/>
    <tableColumn id="71" name="67" dataDxfId="303"/>
    <tableColumn id="72" name="68" dataDxfId="302"/>
    <tableColumn id="73" name="69" dataDxfId="301"/>
    <tableColumn id="74" name="70" dataDxfId="300"/>
    <tableColumn id="75" name="71" dataDxfId="299"/>
    <tableColumn id="76" name="72" dataDxfId="298"/>
    <tableColumn id="77" name="73" dataDxfId="297"/>
    <tableColumn id="78" name="74" dataDxfId="296"/>
    <tableColumn id="79" name="75" dataDxfId="295"/>
    <tableColumn id="80" name="76" dataDxfId="294"/>
    <tableColumn id="81" name="77" dataDxfId="293"/>
    <tableColumn id="82" name="78" dataDxfId="292"/>
    <tableColumn id="83" name="79" dataDxfId="291"/>
    <tableColumn id="84" name="80" dataDxfId="290"/>
    <tableColumn id="85" name="81" dataDxfId="289"/>
    <tableColumn id="86" name="82" dataDxfId="288"/>
    <tableColumn id="87" name="83" dataDxfId="287"/>
    <tableColumn id="88" name="84" dataDxfId="286"/>
    <tableColumn id="89" name="85" dataDxfId="285"/>
    <tableColumn id="90" name="86" dataDxfId="284"/>
    <tableColumn id="91" name="87" dataDxfId="283"/>
    <tableColumn id="92" name="88" dataDxfId="282"/>
    <tableColumn id="93" name="89" dataDxfId="281"/>
    <tableColumn id="94" name="90" dataDxfId="280"/>
    <tableColumn id="236" name="91" dataDxfId="279"/>
    <tableColumn id="237" name="92" dataDxfId="278"/>
    <tableColumn id="238" name="93" dataDxfId="277"/>
    <tableColumn id="239" name="94" dataDxfId="276"/>
    <tableColumn id="240" name="95" dataDxfId="275"/>
    <tableColumn id="241" name="96" dataDxfId="274"/>
    <tableColumn id="242" name="97" dataDxfId="273"/>
    <tableColumn id="243" name="98" dataDxfId="272"/>
    <tableColumn id="244" name="99" dataDxfId="271"/>
    <tableColumn id="245" name="100" dataDxfId="270"/>
    <tableColumn id="246" name="101" dataDxfId="269"/>
    <tableColumn id="247" name="102" dataDxfId="268"/>
    <tableColumn id="248" name="103" dataDxfId="267"/>
    <tableColumn id="249" name="104" dataDxfId="266"/>
    <tableColumn id="250" name="105" dataDxfId="265"/>
    <tableColumn id="251" name="106" dataDxfId="264"/>
    <tableColumn id="252" name="107" dataDxfId="263"/>
    <tableColumn id="253" name="108" dataDxfId="262"/>
    <tableColumn id="254" name="109" dataDxfId="261"/>
    <tableColumn id="255" name="110" dataDxfId="260"/>
    <tableColumn id="256" name="111" dataDxfId="259"/>
    <tableColumn id="257" name="112" dataDxfId="258"/>
    <tableColumn id="258" name="113" dataDxfId="257"/>
    <tableColumn id="259" name="114" dataDxfId="256"/>
    <tableColumn id="260" name="115" dataDxfId="255"/>
    <tableColumn id="95" name="116" dataDxfId="254"/>
    <tableColumn id="96" name="117" dataDxfId="253"/>
    <tableColumn id="97" name="118" dataDxfId="252"/>
    <tableColumn id="98" name="119" dataDxfId="251"/>
    <tableColumn id="99" name="120" dataDxfId="250"/>
    <tableColumn id="100" name="121" dataDxfId="249"/>
    <tableColumn id="101" name="122" dataDxfId="248"/>
    <tableColumn id="102" name="123" dataDxfId="247"/>
    <tableColumn id="261" name="124" dataDxfId="246"/>
    <tableColumn id="262" name="125" dataDxfId="245"/>
    <tableColumn id="263" name="126" dataDxfId="244"/>
    <tableColumn id="264" name="127" dataDxfId="243"/>
    <tableColumn id="265" name="128" dataDxfId="242"/>
    <tableColumn id="266" name="129" dataDxfId="241"/>
    <tableColumn id="267" name="130" dataDxfId="240"/>
    <tableColumn id="268" name="131" dataDxfId="239"/>
    <tableColumn id="269" name="132" dataDxfId="238"/>
    <tableColumn id="270" name="133" dataDxfId="237"/>
    <tableColumn id="271" name="134" dataDxfId="236"/>
    <tableColumn id="272" name="135" dataDxfId="235"/>
    <tableColumn id="273" name="136" dataDxfId="234"/>
    <tableColumn id="274" name="137" dataDxfId="233"/>
    <tableColumn id="275" name="138" dataDxfId="232"/>
    <tableColumn id="276" name="139" dataDxfId="231"/>
    <tableColumn id="277" name="140" dataDxfId="230"/>
    <tableColumn id="103" name="141" dataDxfId="229"/>
    <tableColumn id="104" name="142" dataDxfId="228"/>
    <tableColumn id="105" name="143" dataDxfId="227"/>
    <tableColumn id="106" name="144" dataDxfId="226"/>
    <tableColumn id="107" name="145" dataDxfId="225"/>
    <tableColumn id="108" name="146" dataDxfId="224"/>
    <tableColumn id="109" name="147" dataDxfId="223"/>
    <tableColumn id="110" name="148" dataDxfId="222"/>
    <tableColumn id="111" name="149" dataDxfId="221"/>
    <tableColumn id="278" name="150" dataDxfId="220"/>
    <tableColumn id="279" name="151" dataDxfId="219"/>
    <tableColumn id="280" name="152" dataDxfId="218"/>
    <tableColumn id="281" name="153" dataDxfId="217"/>
    <tableColumn id="282" name="154" dataDxfId="216"/>
    <tableColumn id="283" name="155" dataDxfId="215"/>
    <tableColumn id="284" name="156" dataDxfId="214"/>
    <tableColumn id="285" name="157" dataDxfId="213"/>
    <tableColumn id="112" name="158" dataDxfId="212"/>
    <tableColumn id="113" name="159" dataDxfId="211"/>
    <tableColumn id="114" name="160" dataDxfId="210"/>
    <tableColumn id="115" name="161" dataDxfId="209"/>
    <tableColumn id="116" name="162" dataDxfId="208"/>
    <tableColumn id="117" name="163" dataDxfId="207"/>
    <tableColumn id="118" name="164" dataDxfId="206"/>
    <tableColumn id="119" name="165" dataDxfId="205"/>
    <tableColumn id="120" name="S1" dataDxfId="204">
      <calculatedColumnFormula>IF(ISBLANK(tbl_task10[[คะแนนเต็ม]:[คะแนนเต็ม]]),"",(tbl_task10[1]/tbl_task10[[คะแนนเต็ม]:[คะแนนเต็ม]])*tbl_task10[[%]:[%]])</calculatedColumnFormula>
    </tableColumn>
    <tableColumn id="121" name="S2" dataDxfId="203">
      <calculatedColumnFormula>IF(ISBLANK(tbl_task10[[คะแนนเต็ม]:[คะแนนเต็ม]]),"",(tbl_task10[2]/tbl_task10[[คะแนนเต็ม]:[คะแนนเต็ม]])*tbl_task10[[%]:[%]])</calculatedColumnFormula>
    </tableColumn>
    <tableColumn id="122" name="S3" dataDxfId="202">
      <calculatedColumnFormula>IF(ISBLANK(tbl_task10[[คะแนนเต็ม]:[คะแนนเต็ม]]),"",(tbl_task10[3]/tbl_task10[[คะแนนเต็ม]:[คะแนนเต็ม]])*tbl_task10[[%]:[%]])</calculatedColumnFormula>
    </tableColumn>
    <tableColumn id="123" name="S4" dataDxfId="201">
      <calculatedColumnFormula>IF(ISBLANK(tbl_task10[[คะแนนเต็ม]:[คะแนนเต็ม]]),"",(tbl_task10[4]/tbl_task10[[คะแนนเต็ม]:[คะแนนเต็ม]])*tbl_task10[[%]:[%]])</calculatedColumnFormula>
    </tableColumn>
    <tableColumn id="124" name="S5" dataDxfId="200">
      <calculatedColumnFormula>IF(ISBLANK(tbl_task10[[คะแนนเต็ม]:[คะแนนเต็ม]]),"",(tbl_task10[5]/tbl_task10[[คะแนนเต็ม]:[คะแนนเต็ม]])*tbl_task10[[%]:[%]])</calculatedColumnFormula>
    </tableColumn>
    <tableColumn id="125" name="S6" dataDxfId="199">
      <calculatedColumnFormula>IF(ISBLANK(tbl_task10[[คะแนนเต็ม]:[คะแนนเต็ม]]),"",(tbl_task10[6]/tbl_task10[[คะแนนเต็ม]:[คะแนนเต็ม]])*tbl_task10[[%]:[%]])</calculatedColumnFormula>
    </tableColumn>
    <tableColumn id="126" name="S7" dataDxfId="198">
      <calculatedColumnFormula>IF(ISBLANK(tbl_task10[[คะแนนเต็ม]:[คะแนนเต็ม]]),"",(tbl_task10[7]/tbl_task10[[คะแนนเต็ม]:[คะแนนเต็ม]])*tbl_task10[[%]:[%]])</calculatedColumnFormula>
    </tableColumn>
    <tableColumn id="127" name="S8" dataDxfId="197">
      <calculatedColumnFormula>IF(ISBLANK(tbl_task10[[คะแนนเต็ม]:[คะแนนเต็ม]]),"",(tbl_task10[8]/tbl_task10[[คะแนนเต็ม]:[คะแนนเต็ม]])*tbl_task10[[%]:[%]])</calculatedColumnFormula>
    </tableColumn>
    <tableColumn id="128" name="S9" dataDxfId="196">
      <calculatedColumnFormula>IF(ISBLANK(tbl_task10[[คะแนนเต็ม]:[คะแนนเต็ม]]),"",(tbl_task10[9]/tbl_task10[[คะแนนเต็ม]:[คะแนนเต็ม]])*tbl_task10[[%]:[%]])</calculatedColumnFormula>
    </tableColumn>
    <tableColumn id="129" name="S10" dataDxfId="195">
      <calculatedColumnFormula>IF(ISBLANK(tbl_task10[[คะแนนเต็ม]:[คะแนนเต็ม]]),"",(tbl_task10[10]/tbl_task10[[คะแนนเต็ม]:[คะแนนเต็ม]])*tbl_task10[[%]:[%]])</calculatedColumnFormula>
    </tableColumn>
    <tableColumn id="130" name="S11" dataDxfId="194">
      <calculatedColumnFormula>IF(ISBLANK(tbl_task10[[คะแนนเต็ม]:[คะแนนเต็ม]]),"",(tbl_task10[11]/tbl_task10[[คะแนนเต็ม]:[คะแนนเต็ม]])*tbl_task10[[%]:[%]])</calculatedColumnFormula>
    </tableColumn>
    <tableColumn id="131" name="S12" dataDxfId="193">
      <calculatedColumnFormula>IF(ISBLANK(tbl_task10[[คะแนนเต็ม]:[คะแนนเต็ม]]),"",(tbl_task10[12]/tbl_task10[[คะแนนเต็ม]:[คะแนนเต็ม]])*tbl_task10[[%]:[%]])</calculatedColumnFormula>
    </tableColumn>
    <tableColumn id="132" name="S13" dataDxfId="192">
      <calculatedColumnFormula>IF(ISBLANK(tbl_task10[[คะแนนเต็ม]:[คะแนนเต็ม]]),"",(tbl_task10[13]/tbl_task10[[คะแนนเต็ม]:[คะแนนเต็ม]])*tbl_task10[[%]:[%]])</calculatedColumnFormula>
    </tableColumn>
    <tableColumn id="133" name="S14" dataDxfId="191">
      <calculatedColumnFormula>IF(ISBLANK(tbl_task10[[คะแนนเต็ม]:[คะแนนเต็ม]]),"",(tbl_task10[14]/tbl_task10[[คะแนนเต็ม]:[คะแนนเต็ม]])*tbl_task10[[%]:[%]])</calculatedColumnFormula>
    </tableColumn>
    <tableColumn id="134" name="S15" dataDxfId="190">
      <calculatedColumnFormula>IF(ISBLANK(tbl_task10[[คะแนนเต็ม]:[คะแนนเต็ม]]),"",(tbl_task10[15]/tbl_task10[[คะแนนเต็ม]:[คะแนนเต็ม]])*tbl_task10[[%]:[%]])</calculatedColumnFormula>
    </tableColumn>
    <tableColumn id="135" name="S16" dataDxfId="189">
      <calculatedColumnFormula>IF(ISBLANK(tbl_task10[[คะแนนเต็ม]:[คะแนนเต็ม]]),"",(tbl_task10[16]/tbl_task10[[คะแนนเต็ม]:[คะแนนเต็ม]])*tbl_task10[[%]:[%]])</calculatedColumnFormula>
    </tableColumn>
    <tableColumn id="136" name="S17" dataDxfId="188">
      <calculatedColumnFormula>IF(ISBLANK(tbl_task10[[คะแนนเต็ม]:[คะแนนเต็ม]]),"",(tbl_task10[17]/tbl_task10[[คะแนนเต็ม]:[คะแนนเต็ม]])*tbl_task10[[%]:[%]])</calculatedColumnFormula>
    </tableColumn>
    <tableColumn id="137" name="S18" dataDxfId="187">
      <calculatedColumnFormula>IF(ISBLANK(tbl_task10[[คะแนนเต็ม]:[คะแนนเต็ม]]),"",(tbl_task10[18]/tbl_task10[[คะแนนเต็ม]:[คะแนนเต็ม]])*tbl_task10[[%]:[%]])</calculatedColumnFormula>
    </tableColumn>
    <tableColumn id="138" name="S19" dataDxfId="186">
      <calculatedColumnFormula>IF(ISBLANK(tbl_task10[[คะแนนเต็ม]:[คะแนนเต็ม]]),"",(tbl_task10[19]/tbl_task10[[คะแนนเต็ม]:[คะแนนเต็ม]])*tbl_task10[[%]:[%]])</calculatedColumnFormula>
    </tableColumn>
    <tableColumn id="139" name="S20" dataDxfId="185">
      <calculatedColumnFormula>IF(ISBLANK(tbl_task10[[คะแนนเต็ม]:[คะแนนเต็ม]]),"",(tbl_task10[20]/tbl_task10[[คะแนนเต็ม]:[คะแนนเต็ม]])*tbl_task10[[%]:[%]])</calculatedColumnFormula>
    </tableColumn>
    <tableColumn id="140" name="S21" dataDxfId="184">
      <calculatedColumnFormula>IF(ISBLANK(tbl_task10[[คะแนนเต็ม]:[คะแนนเต็ม]]),"",(tbl_task10[21]/tbl_task10[[คะแนนเต็ม]:[คะแนนเต็ม]])*tbl_task10[[%]:[%]])</calculatedColumnFormula>
    </tableColumn>
    <tableColumn id="141" name="S22" dataDxfId="183">
      <calculatedColumnFormula>IF(ISBLANK(tbl_task10[[คะแนนเต็ม]:[คะแนนเต็ม]]),"",(tbl_task10[22]/tbl_task10[[คะแนนเต็ม]:[คะแนนเต็ม]])*tbl_task10[[%]:[%]])</calculatedColumnFormula>
    </tableColumn>
    <tableColumn id="142" name="S23" dataDxfId="182">
      <calculatedColumnFormula>IF(ISBLANK(tbl_task10[[คะแนนเต็ม]:[คะแนนเต็ม]]),"",(tbl_task10[23]/tbl_task10[[คะแนนเต็ม]:[คะแนนเต็ม]])*tbl_task10[[%]:[%]])</calculatedColumnFormula>
    </tableColumn>
    <tableColumn id="143" name="S24" dataDxfId="181">
      <calculatedColumnFormula>IF(ISBLANK(tbl_task10[[คะแนนเต็ม]:[คะแนนเต็ม]]),"",(tbl_task10[24]/tbl_task10[[คะแนนเต็ม]:[คะแนนเต็ม]])*tbl_task10[[%]:[%]])</calculatedColumnFormula>
    </tableColumn>
    <tableColumn id="144" name="S25" dataDxfId="180">
      <calculatedColumnFormula>IF(ISBLANK(tbl_task10[[คะแนนเต็ม]:[คะแนนเต็ม]]),"",(tbl_task10[25]/tbl_task10[[คะแนนเต็ม]:[คะแนนเต็ม]])*tbl_task10[[%]:[%]])</calculatedColumnFormula>
    </tableColumn>
    <tableColumn id="145" name="S26" dataDxfId="179">
      <calculatedColumnFormula>IF(ISBLANK(tbl_task10[[คะแนนเต็ม]:[คะแนนเต็ม]]),"",(tbl_task10[26]/tbl_task10[[คะแนนเต็ม]:[คะแนนเต็ม]])*tbl_task10[[%]:[%]])</calculatedColumnFormula>
    </tableColumn>
    <tableColumn id="146" name="S27" dataDxfId="178">
      <calculatedColumnFormula>IF(ISBLANK(tbl_task10[[คะแนนเต็ม]:[คะแนนเต็ม]]),"",(tbl_task10[27]/tbl_task10[[คะแนนเต็ม]:[คะแนนเต็ม]])*tbl_task10[[%]:[%]])</calculatedColumnFormula>
    </tableColumn>
    <tableColumn id="147" name="S28" dataDxfId="177">
      <calculatedColumnFormula>IF(ISBLANK(tbl_task10[[คะแนนเต็ม]:[คะแนนเต็ม]]),"",(tbl_task10[28]/tbl_task10[[คะแนนเต็ม]:[คะแนนเต็ม]])*tbl_task10[[%]:[%]])</calculatedColumnFormula>
    </tableColumn>
    <tableColumn id="148" name="S29" dataDxfId="176">
      <calculatedColumnFormula>IF(ISBLANK(tbl_task10[[คะแนนเต็ม]:[คะแนนเต็ม]]),"",(tbl_task10[29]/tbl_task10[[คะแนนเต็ม]:[คะแนนเต็ม]])*tbl_task10[[%]:[%]])</calculatedColumnFormula>
    </tableColumn>
    <tableColumn id="149" name="S30" dataDxfId="175">
      <calculatedColumnFormula>IF(ISBLANK(tbl_task10[[คะแนนเต็ม]:[คะแนนเต็ม]]),"",(tbl_task10[30]/tbl_task10[[คะแนนเต็ม]:[คะแนนเต็ม]])*tbl_task10[[%]:[%]])</calculatedColumnFormula>
    </tableColumn>
    <tableColumn id="150" name="S31" dataDxfId="174">
      <calculatedColumnFormula>IF(ISBLANK(tbl_task10[[คะแนนเต็ม]:[คะแนนเต็ม]]),"",(tbl_task10[31]/tbl_task10[[คะแนนเต็ม]:[คะแนนเต็ม]])*tbl_task10[[%]:[%]])</calculatedColumnFormula>
    </tableColumn>
    <tableColumn id="151" name="S32" dataDxfId="173">
      <calculatedColumnFormula>IF(ISBLANK(tbl_task10[[คะแนนเต็ม]:[คะแนนเต็ม]]),"",(tbl_task10[32]/tbl_task10[[คะแนนเต็ม]:[คะแนนเต็ม]])*tbl_task10[[%]:[%]])</calculatedColumnFormula>
    </tableColumn>
    <tableColumn id="152" name="S33" dataDxfId="172">
      <calculatedColumnFormula>IF(ISBLANK(tbl_task10[[คะแนนเต็ม]:[คะแนนเต็ม]]),"",(tbl_task10[33]/tbl_task10[[คะแนนเต็ม]:[คะแนนเต็ม]])*tbl_task10[[%]:[%]])</calculatedColumnFormula>
    </tableColumn>
    <tableColumn id="153" name="S34" dataDxfId="171">
      <calculatedColumnFormula>IF(ISBLANK(tbl_task10[[คะแนนเต็ม]:[คะแนนเต็ม]]),"",(tbl_task10[34]/tbl_task10[[คะแนนเต็ม]:[คะแนนเต็ม]])*tbl_task10[[%]:[%]])</calculatedColumnFormula>
    </tableColumn>
    <tableColumn id="154" name="S35" dataDxfId="170">
      <calculatedColumnFormula>IF(ISBLANK(tbl_task10[[คะแนนเต็ม]:[คะแนนเต็ม]]),"",(tbl_task10[35]/tbl_task10[[คะแนนเต็ม]:[คะแนนเต็ม]])*tbl_task10[[%]:[%]])</calculatedColumnFormula>
    </tableColumn>
    <tableColumn id="155" name="S36" dataDxfId="169">
      <calculatedColumnFormula>IF(ISBLANK(tbl_task10[[คะแนนเต็ม]:[คะแนนเต็ม]]),"",(tbl_task10[36]/tbl_task10[[คะแนนเต็ม]:[คะแนนเต็ม]])*tbl_task10[[%]:[%]])</calculatedColumnFormula>
    </tableColumn>
    <tableColumn id="156" name="S37" dataDxfId="168">
      <calculatedColumnFormula>IF(ISBLANK(tbl_task10[[คะแนนเต็ม]:[คะแนนเต็ม]]),"",(tbl_task10[37]/tbl_task10[[คะแนนเต็ม]:[คะแนนเต็ม]])*tbl_task10[[%]:[%]])</calculatedColumnFormula>
    </tableColumn>
    <tableColumn id="157" name="S38" dataDxfId="167">
      <calculatedColumnFormula>IF(ISBLANK(tbl_task10[[คะแนนเต็ม]:[คะแนนเต็ม]]),"",(tbl_task10[38]/tbl_task10[[คะแนนเต็ม]:[คะแนนเต็ม]])*tbl_task10[[%]:[%]])</calculatedColumnFormula>
    </tableColumn>
    <tableColumn id="158" name="S39" dataDxfId="166">
      <calculatedColumnFormula>IF(ISBLANK(tbl_task10[[คะแนนเต็ม]:[คะแนนเต็ม]]),"",(tbl_task10[39]/tbl_task10[[คะแนนเต็ม]:[คะแนนเต็ม]])*tbl_task10[[%]:[%]])</calculatedColumnFormula>
    </tableColumn>
    <tableColumn id="159" name="S40" dataDxfId="165">
      <calculatedColumnFormula>IF(ISBLANK(tbl_task10[[คะแนนเต็ม]:[คะแนนเต็ม]]),"",(tbl_task10[40]/tbl_task10[[คะแนนเต็ม]:[คะแนนเต็ม]])*tbl_task10[[%]:[%]])</calculatedColumnFormula>
    </tableColumn>
    <tableColumn id="160" name="S41" dataDxfId="164">
      <calculatedColumnFormula>IF(ISBLANK(tbl_task10[[คะแนนเต็ม]:[คะแนนเต็ม]]),"",(tbl_task10[41]/tbl_task10[[คะแนนเต็ม]:[คะแนนเต็ม]])*tbl_task10[[%]:[%]])</calculatedColumnFormula>
    </tableColumn>
    <tableColumn id="161" name="S42" dataDxfId="163">
      <calculatedColumnFormula>IF(ISBLANK(tbl_task10[[คะแนนเต็ม]:[คะแนนเต็ม]]),"",(tbl_task10[42]/tbl_task10[[คะแนนเต็ม]:[คะแนนเต็ม]])*tbl_task10[[%]:[%]])</calculatedColumnFormula>
    </tableColumn>
    <tableColumn id="162" name="S43" dataDxfId="162">
      <calculatedColumnFormula>IF(ISBLANK(tbl_task10[[คะแนนเต็ม]:[คะแนนเต็ม]]),"",(tbl_task10[43]/tbl_task10[[คะแนนเต็ม]:[คะแนนเต็ม]])*tbl_task10[[%]:[%]])</calculatedColumnFormula>
    </tableColumn>
    <tableColumn id="163" name="S44" dataDxfId="161">
      <calculatedColumnFormula>IF(ISBLANK(tbl_task10[[คะแนนเต็ม]:[คะแนนเต็ม]]),"",(tbl_task10[44]/tbl_task10[[คะแนนเต็ม]:[คะแนนเต็ม]])*tbl_task10[[%]:[%]])</calculatedColumnFormula>
    </tableColumn>
    <tableColumn id="164" name="S45" dataDxfId="160">
      <calculatedColumnFormula>IF(ISBLANK(tbl_task10[[คะแนนเต็ม]:[คะแนนเต็ม]]),"",(tbl_task10[45]/tbl_task10[[คะแนนเต็ม]:[คะแนนเต็ม]])*tbl_task10[[%]:[%]])</calculatedColumnFormula>
    </tableColumn>
    <tableColumn id="165" name="S46" dataDxfId="159">
      <calculatedColumnFormula>IF(ISBLANK(tbl_task10[[คะแนนเต็ม]:[คะแนนเต็ม]]),"",(tbl_task10[46]/tbl_task10[[คะแนนเต็ม]:[คะแนนเต็ม]])*tbl_task10[[%]:[%]])</calculatedColumnFormula>
    </tableColumn>
    <tableColumn id="166" name="S47" dataDxfId="158">
      <calculatedColumnFormula>IF(ISBLANK(tbl_task10[[คะแนนเต็ม]:[คะแนนเต็ม]]),"",(tbl_task10[47]/tbl_task10[[คะแนนเต็ม]:[คะแนนเต็ม]])*tbl_task10[[%]:[%]])</calculatedColumnFormula>
    </tableColumn>
    <tableColumn id="167" name="S48" dataDxfId="157">
      <calculatedColumnFormula>IF(ISBLANK(tbl_task10[[คะแนนเต็ม]:[คะแนนเต็ม]]),"",(tbl_task10[48]/tbl_task10[[คะแนนเต็ม]:[คะแนนเต็ม]])*tbl_task10[[%]:[%]])</calculatedColumnFormula>
    </tableColumn>
    <tableColumn id="168" name="S49" dataDxfId="156">
      <calculatedColumnFormula>IF(ISBLANK(tbl_task10[[คะแนนเต็ม]:[คะแนนเต็ม]]),"",(tbl_task10[49]/tbl_task10[[คะแนนเต็ม]:[คะแนนเต็ม]])*tbl_task10[[%]:[%]])</calculatedColumnFormula>
    </tableColumn>
    <tableColumn id="169" name="S50" dataDxfId="155">
      <calculatedColumnFormula>IF(ISBLANK(tbl_task10[[คะแนนเต็ม]:[คะแนนเต็ม]]),"",(tbl_task10[50]/tbl_task10[[คะแนนเต็ม]:[คะแนนเต็ม]])*tbl_task10[[%]:[%]])</calculatedColumnFormula>
    </tableColumn>
    <tableColumn id="170" name="S51" dataDxfId="154">
      <calculatedColumnFormula>IF(ISBLANK(tbl_task10[[คะแนนเต็ม]:[คะแนนเต็ม]]),"",(tbl_task10[51]/tbl_task10[[คะแนนเต็ม]:[คะแนนเต็ม]])*tbl_task10[[%]:[%]])</calculatedColumnFormula>
    </tableColumn>
    <tableColumn id="171" name="S52" dataDxfId="153">
      <calculatedColumnFormula>IF(ISBLANK(tbl_task10[[คะแนนเต็ม]:[คะแนนเต็ม]]),"",(tbl_task10[52]/tbl_task10[[คะแนนเต็ม]:[คะแนนเต็ม]])*tbl_task10[[%]:[%]])</calculatedColumnFormula>
    </tableColumn>
    <tableColumn id="172" name="S53" dataDxfId="152">
      <calculatedColumnFormula>IF(ISBLANK(tbl_task10[[คะแนนเต็ม]:[คะแนนเต็ม]]),"",(tbl_task10[53]/tbl_task10[[คะแนนเต็ม]:[คะแนนเต็ม]])*tbl_task10[[%]:[%]])</calculatedColumnFormula>
    </tableColumn>
    <tableColumn id="173" name="S54" dataDxfId="151">
      <calculatedColumnFormula>IF(ISBLANK(tbl_task10[[คะแนนเต็ม]:[คะแนนเต็ม]]),"",(tbl_task10[54]/tbl_task10[[คะแนนเต็ม]:[คะแนนเต็ม]])*tbl_task10[[%]:[%]])</calculatedColumnFormula>
    </tableColumn>
    <tableColumn id="174" name="S55" dataDxfId="150">
      <calculatedColumnFormula>IF(ISBLANK(tbl_task10[[คะแนนเต็ม]:[คะแนนเต็ม]]),"",(tbl_task10[55]/tbl_task10[[คะแนนเต็ม]:[คะแนนเต็ม]])*tbl_task10[[%]:[%]])</calculatedColumnFormula>
    </tableColumn>
    <tableColumn id="175" name="S56" dataDxfId="149">
      <calculatedColumnFormula>IF(ISBLANK(tbl_task10[[คะแนนเต็ม]:[คะแนนเต็ม]]),"",(tbl_task10[56]/tbl_task10[[คะแนนเต็ม]:[คะแนนเต็ม]])*tbl_task10[[%]:[%]])</calculatedColumnFormula>
    </tableColumn>
    <tableColumn id="176" name="S57" dataDxfId="148">
      <calculatedColumnFormula>IF(ISBLANK(tbl_task10[[คะแนนเต็ม]:[คะแนนเต็ม]]),"",(tbl_task10[57]/tbl_task10[[คะแนนเต็ม]:[คะแนนเต็ม]])*tbl_task10[[%]:[%]])</calculatedColumnFormula>
    </tableColumn>
    <tableColumn id="177" name="S58" dataDxfId="147">
      <calculatedColumnFormula>IF(ISBLANK(tbl_task10[[คะแนนเต็ม]:[คะแนนเต็ม]]),"",(tbl_task10[58]/tbl_task10[[คะแนนเต็ม]:[คะแนนเต็ม]])*tbl_task10[[%]:[%]])</calculatedColumnFormula>
    </tableColumn>
    <tableColumn id="178" name="S59" dataDxfId="146">
      <calculatedColumnFormula>IF(ISBLANK(tbl_task10[[คะแนนเต็ม]:[คะแนนเต็ม]]),"",(tbl_task10[59]/tbl_task10[[คะแนนเต็ม]:[คะแนนเต็ม]])*tbl_task10[[%]:[%]])</calculatedColumnFormula>
    </tableColumn>
    <tableColumn id="179" name="S60" dataDxfId="145">
      <calculatedColumnFormula>IF(ISBLANK(tbl_task10[[คะแนนเต็ม]:[คะแนนเต็ม]]),"",(tbl_task10[60]/tbl_task10[[คะแนนเต็ม]:[คะแนนเต็ม]])*tbl_task10[[%]:[%]])</calculatedColumnFormula>
    </tableColumn>
    <tableColumn id="180" name="S61" dataDxfId="144">
      <calculatedColumnFormula>IF(ISBLANK(tbl_task10[[คะแนนเต็ม]:[คะแนนเต็ม]]),"",(tbl_task10[61]/tbl_task10[[คะแนนเต็ม]:[คะแนนเต็ม]])*tbl_task10[[%]:[%]])</calculatedColumnFormula>
    </tableColumn>
    <tableColumn id="181" name="S62" dataDxfId="143">
      <calculatedColumnFormula>IF(ISBLANK(tbl_task10[[คะแนนเต็ม]:[คะแนนเต็ม]]),"",(tbl_task10[62]/tbl_task10[[คะแนนเต็ม]:[คะแนนเต็ม]])*tbl_task10[[%]:[%]])</calculatedColumnFormula>
    </tableColumn>
    <tableColumn id="182" name="S63" dataDxfId="142">
      <calculatedColumnFormula>IF(ISBLANK(tbl_task10[[คะแนนเต็ม]:[คะแนนเต็ม]]),"",(tbl_task10[63]/tbl_task10[[คะแนนเต็ม]:[คะแนนเต็ม]])*tbl_task10[[%]:[%]])</calculatedColumnFormula>
    </tableColumn>
    <tableColumn id="183" name="S64" dataDxfId="141">
      <calculatedColumnFormula>IF(ISBLANK(tbl_task10[[คะแนนเต็ม]:[คะแนนเต็ม]]),"",(tbl_task10[64]/tbl_task10[[คะแนนเต็ม]:[คะแนนเต็ม]])*tbl_task10[[%]:[%]])</calculatedColumnFormula>
    </tableColumn>
    <tableColumn id="184" name="S65" dataDxfId="140">
      <calculatedColumnFormula>IF(ISBLANK(tbl_task10[[คะแนนเต็ม]:[คะแนนเต็ม]]),"",(tbl_task10[65]/tbl_task10[[คะแนนเต็ม]:[คะแนนเต็ม]])*tbl_task10[[%]:[%]])</calculatedColumnFormula>
    </tableColumn>
    <tableColumn id="185" name="S66" dataDxfId="139">
      <calculatedColumnFormula>IF(ISBLANK(tbl_task10[[คะแนนเต็ม]:[คะแนนเต็ม]]),"",(tbl_task10[66]/tbl_task10[[คะแนนเต็ม]:[คะแนนเต็ม]])*tbl_task10[[%]:[%]])</calculatedColumnFormula>
    </tableColumn>
    <tableColumn id="186" name="S67" dataDxfId="138">
      <calculatedColumnFormula>IF(ISBLANK(tbl_task10[[คะแนนเต็ม]:[คะแนนเต็ม]]),"",(tbl_task10[67]/tbl_task10[[คะแนนเต็ม]:[คะแนนเต็ม]])*tbl_task10[[%]:[%]])</calculatedColumnFormula>
    </tableColumn>
    <tableColumn id="187" name="S68" dataDxfId="137">
      <calculatedColumnFormula>IF(ISBLANK(tbl_task10[[คะแนนเต็ม]:[คะแนนเต็ม]]),"",(tbl_task10[68]/tbl_task10[[คะแนนเต็ม]:[คะแนนเต็ม]])*tbl_task10[[%]:[%]])</calculatedColumnFormula>
    </tableColumn>
    <tableColumn id="188" name="S69" dataDxfId="136">
      <calculatedColumnFormula>IF(ISBLANK(tbl_task10[[คะแนนเต็ม]:[คะแนนเต็ม]]),"",(tbl_task10[69]/tbl_task10[[คะแนนเต็ม]:[คะแนนเต็ม]])*tbl_task10[[%]:[%]])</calculatedColumnFormula>
    </tableColumn>
    <tableColumn id="189" name="S70" dataDxfId="135">
      <calculatedColumnFormula>IF(ISBLANK(tbl_task10[[คะแนนเต็ม]:[คะแนนเต็ม]]),"",(tbl_task10[70]/tbl_task10[[คะแนนเต็ม]:[คะแนนเต็ม]])*tbl_task10[[%]:[%]])</calculatedColumnFormula>
    </tableColumn>
    <tableColumn id="190" name="S71" dataDxfId="134">
      <calculatedColumnFormula>IF(ISBLANK(tbl_task10[[คะแนนเต็ม]:[คะแนนเต็ม]]),"",(tbl_task10[71]/tbl_task10[[คะแนนเต็ม]:[คะแนนเต็ม]])*tbl_task10[[%]:[%]])</calculatedColumnFormula>
    </tableColumn>
    <tableColumn id="191" name="S72" dataDxfId="133">
      <calculatedColumnFormula>IF(ISBLANK(tbl_task10[[คะแนนเต็ม]:[คะแนนเต็ม]]),"",(tbl_task10[72]/tbl_task10[[คะแนนเต็ม]:[คะแนนเต็ม]])*tbl_task10[[%]:[%]])</calculatedColumnFormula>
    </tableColumn>
    <tableColumn id="192" name="S73" dataDxfId="132">
      <calculatedColumnFormula>IF(ISBLANK(tbl_task10[[คะแนนเต็ม]:[คะแนนเต็ม]]),"",(tbl_task10[73]/tbl_task10[[คะแนนเต็ม]:[คะแนนเต็ม]])*tbl_task10[[%]:[%]])</calculatedColumnFormula>
    </tableColumn>
    <tableColumn id="193" name="S74" dataDxfId="131">
      <calculatedColumnFormula>IF(ISBLANK(tbl_task10[[คะแนนเต็ม]:[คะแนนเต็ม]]),"",(tbl_task10[74]/tbl_task10[[คะแนนเต็ม]:[คะแนนเต็ม]])*tbl_task10[[%]:[%]])</calculatedColumnFormula>
    </tableColumn>
    <tableColumn id="194" name="S75" dataDxfId="130">
      <calculatedColumnFormula>IF(ISBLANK(tbl_task10[[คะแนนเต็ม]:[คะแนนเต็ม]]),"",(tbl_task10[75]/tbl_task10[[คะแนนเต็ม]:[คะแนนเต็ม]])*tbl_task10[[%]:[%]])</calculatedColumnFormula>
    </tableColumn>
    <tableColumn id="195" name="S76" dataDxfId="129">
      <calculatedColumnFormula>IF(ISBLANK(tbl_task10[[คะแนนเต็ม]:[คะแนนเต็ม]]),"",(tbl_task10[76]/tbl_task10[[คะแนนเต็ม]:[คะแนนเต็ม]])*tbl_task10[[%]:[%]])</calculatedColumnFormula>
    </tableColumn>
    <tableColumn id="196" name="S77" dataDxfId="128">
      <calculatedColumnFormula>IF(ISBLANK(tbl_task10[[คะแนนเต็ม]:[คะแนนเต็ม]]),"",(tbl_task10[77]/tbl_task10[[คะแนนเต็ม]:[คะแนนเต็ม]])*tbl_task10[[%]:[%]])</calculatedColumnFormula>
    </tableColumn>
    <tableColumn id="197" name="S78" dataDxfId="127">
      <calculatedColumnFormula>IF(ISBLANK(tbl_task10[[คะแนนเต็ม]:[คะแนนเต็ม]]),"",(tbl_task10[78]/tbl_task10[[คะแนนเต็ม]:[คะแนนเต็ม]])*tbl_task10[[%]:[%]])</calculatedColumnFormula>
    </tableColumn>
    <tableColumn id="198" name="S79" dataDxfId="126">
      <calculatedColumnFormula>IF(ISBLANK(tbl_task10[[คะแนนเต็ม]:[คะแนนเต็ม]]),"",(tbl_task10[79]/tbl_task10[[คะแนนเต็ม]:[คะแนนเต็ม]])*tbl_task10[[%]:[%]])</calculatedColumnFormula>
    </tableColumn>
    <tableColumn id="199" name="S80" dataDxfId="125">
      <calculatedColumnFormula>IF(ISBLANK(tbl_task10[[คะแนนเต็ม]:[คะแนนเต็ม]]),"",(tbl_task10[80]/tbl_task10[[คะแนนเต็ม]:[คะแนนเต็ม]])*tbl_task10[[%]:[%]])</calculatedColumnFormula>
    </tableColumn>
    <tableColumn id="200" name="S81" dataDxfId="124">
      <calculatedColumnFormula>IF(ISBLANK(tbl_task10[[คะแนนเต็ม]:[คะแนนเต็ม]]),"",(tbl_task10[81]/tbl_task10[[คะแนนเต็ม]:[คะแนนเต็ม]])*tbl_task10[[%]:[%]])</calculatedColumnFormula>
    </tableColumn>
    <tableColumn id="201" name="S82" dataDxfId="123">
      <calculatedColumnFormula>IF(ISBLANK(tbl_task10[[คะแนนเต็ม]:[คะแนนเต็ม]]),"",(tbl_task10[82]/tbl_task10[[คะแนนเต็ม]:[คะแนนเต็ม]])*tbl_task10[[%]:[%]])</calculatedColumnFormula>
    </tableColumn>
    <tableColumn id="202" name="S83" dataDxfId="122">
      <calculatedColumnFormula>IF(ISBLANK(tbl_task10[[คะแนนเต็ม]:[คะแนนเต็ม]]),"",(tbl_task10[83]/tbl_task10[[คะแนนเต็ม]:[คะแนนเต็ม]])*tbl_task10[[%]:[%]])</calculatedColumnFormula>
    </tableColumn>
    <tableColumn id="203" name="S84" dataDxfId="121">
      <calculatedColumnFormula>IF(ISBLANK(tbl_task10[[คะแนนเต็ม]:[คะแนนเต็ม]]),"",(tbl_task10[84]/tbl_task10[[คะแนนเต็ม]:[คะแนนเต็ม]])*tbl_task10[[%]:[%]])</calculatedColumnFormula>
    </tableColumn>
    <tableColumn id="204" name="S85" dataDxfId="120">
      <calculatedColumnFormula>IF(ISBLANK(tbl_task10[[คะแนนเต็ม]:[คะแนนเต็ม]]),"",(tbl_task10[85]/tbl_task10[[คะแนนเต็ม]:[คะแนนเต็ม]])*tbl_task10[[%]:[%]])</calculatedColumnFormula>
    </tableColumn>
    <tableColumn id="286" name="S86" dataDxfId="119">
      <calculatedColumnFormula>IF(ISBLANK(tbl_task10[[คะแนนเต็ม]:[คะแนนเต็ม]]),"",(tbl_task10[86]/tbl_task10[[คะแนนเต็ม]:[คะแนนเต็ม]])*tbl_task10[[%]:[%]])</calculatedColumnFormula>
    </tableColumn>
    <tableColumn id="287" name="S87" dataDxfId="118">
      <calculatedColumnFormula>IF(ISBLANK(tbl_task10[[คะแนนเต็ม]:[คะแนนเต็ม]]),"",(tbl_task10[87]/tbl_task10[[คะแนนเต็ม]:[คะแนนเต็ม]])*tbl_task10[[%]:[%]])</calculatedColumnFormula>
    </tableColumn>
    <tableColumn id="288" name="S88" dataDxfId="117">
      <calculatedColumnFormula>IF(ISBLANK(tbl_task10[[คะแนนเต็ม]:[คะแนนเต็ม]]),"",(tbl_task10[88]/tbl_task10[[คะแนนเต็ม]:[คะแนนเต็ม]])*tbl_task10[[%]:[%]])</calculatedColumnFormula>
    </tableColumn>
    <tableColumn id="289" name="S89" dataDxfId="116">
      <calculatedColumnFormula>IF(ISBLANK(tbl_task10[[คะแนนเต็ม]:[คะแนนเต็ม]]),"",(tbl_task10[89]/tbl_task10[[คะแนนเต็ม]:[คะแนนเต็ม]])*tbl_task10[[%]:[%]])</calculatedColumnFormula>
    </tableColumn>
    <tableColumn id="290" name="S90" dataDxfId="115">
      <calculatedColumnFormula>IF(ISBLANK(tbl_task10[[คะแนนเต็ม]:[คะแนนเต็ม]]),"",(tbl_task10[90]/tbl_task10[[คะแนนเต็ม]:[คะแนนเต็ม]])*tbl_task10[[%]:[%]])</calculatedColumnFormula>
    </tableColumn>
    <tableColumn id="291" name="S91" dataDxfId="114">
      <calculatedColumnFormula>IF(ISBLANK(tbl_task10[[คะแนนเต็ม]:[คะแนนเต็ม]]),"",(tbl_task10[91]/tbl_task10[[คะแนนเต็ม]:[คะแนนเต็ม]])*tbl_task10[[%]:[%]])</calculatedColumnFormula>
    </tableColumn>
    <tableColumn id="292" name="S92" dataDxfId="113">
      <calculatedColumnFormula>IF(ISBLANK(tbl_task10[[คะแนนเต็ม]:[คะแนนเต็ม]]),"",(tbl_task10[92]/tbl_task10[[คะแนนเต็ม]:[คะแนนเต็ม]])*tbl_task10[[%]:[%]])</calculatedColumnFormula>
    </tableColumn>
    <tableColumn id="293" name="S93" dataDxfId="112">
      <calculatedColumnFormula>IF(ISBLANK(tbl_task10[[คะแนนเต็ม]:[คะแนนเต็ม]]),"",(tbl_task10[93]/tbl_task10[[คะแนนเต็ม]:[คะแนนเต็ม]])*tbl_task10[[%]:[%]])</calculatedColumnFormula>
    </tableColumn>
    <tableColumn id="294" name="S94" dataDxfId="111">
      <calculatedColumnFormula>IF(ISBLANK(tbl_task10[[คะแนนเต็ม]:[คะแนนเต็ม]]),"",(tbl_task10[94]/tbl_task10[[คะแนนเต็ม]:[คะแนนเต็ม]])*tbl_task10[[%]:[%]])</calculatedColumnFormula>
    </tableColumn>
    <tableColumn id="295" name="S95" dataDxfId="110">
      <calculatedColumnFormula>IF(ISBLANK(tbl_task10[[คะแนนเต็ม]:[คะแนนเต็ม]]),"",(tbl_task10[95]/tbl_task10[[คะแนนเต็ม]:[คะแนนเต็ม]])*tbl_task10[[%]:[%]])</calculatedColumnFormula>
    </tableColumn>
    <tableColumn id="296" name="S96" dataDxfId="109">
      <calculatedColumnFormula>IF(ISBLANK(tbl_task10[[คะแนนเต็ม]:[คะแนนเต็ม]]),"",(tbl_task10[96]/tbl_task10[[คะแนนเต็ม]:[คะแนนเต็ม]])*tbl_task10[[%]:[%]])</calculatedColumnFormula>
    </tableColumn>
    <tableColumn id="297" name="S97" dataDxfId="108">
      <calculatedColumnFormula>IF(ISBLANK(tbl_task10[[คะแนนเต็ม]:[คะแนนเต็ม]]),"",(tbl_task10[97]/tbl_task10[[คะแนนเต็ม]:[คะแนนเต็ม]])*tbl_task10[[%]:[%]])</calculatedColumnFormula>
    </tableColumn>
    <tableColumn id="298" name="S98" dataDxfId="107">
      <calculatedColumnFormula>IF(ISBLANK(tbl_task10[[คะแนนเต็ม]:[คะแนนเต็ม]]),"",(tbl_task10[98]/tbl_task10[[คะแนนเต็ม]:[คะแนนเต็ม]])*tbl_task10[[%]:[%]])</calculatedColumnFormula>
    </tableColumn>
    <tableColumn id="299" name="S99" dataDxfId="106">
      <calculatedColumnFormula>IF(ISBLANK(tbl_task10[[คะแนนเต็ม]:[คะแนนเต็ม]]),"",(tbl_task10[99]/tbl_task10[[คะแนนเต็ม]:[คะแนนเต็ม]])*tbl_task10[[%]:[%]])</calculatedColumnFormula>
    </tableColumn>
    <tableColumn id="300" name="S100" dataDxfId="105">
      <calculatedColumnFormula>IF(ISBLANK(tbl_task10[[คะแนนเต็ม]:[คะแนนเต็ม]]),"",(tbl_task10[100]/tbl_task10[[คะแนนเต็ม]:[คะแนนเต็ม]])*tbl_task10[[%]:[%]])</calculatedColumnFormula>
    </tableColumn>
    <tableColumn id="301" name="S101" dataDxfId="104">
      <calculatedColumnFormula>IF(ISBLANK(tbl_task10[[คะแนนเต็ม]:[คะแนนเต็ม]]),"",(tbl_task10[101]/tbl_task10[[คะแนนเต็ม]:[คะแนนเต็ม]])*tbl_task10[[%]:[%]])</calculatedColumnFormula>
    </tableColumn>
    <tableColumn id="302" name="S102" dataDxfId="103">
      <calculatedColumnFormula>IF(ISBLANK(tbl_task10[[คะแนนเต็ม]:[คะแนนเต็ม]]),"",(tbl_task10[102]/tbl_task10[[คะแนนเต็ม]:[คะแนนเต็ม]])*tbl_task10[[%]:[%]])</calculatedColumnFormula>
    </tableColumn>
    <tableColumn id="303" name="S103" dataDxfId="102">
      <calculatedColumnFormula>IF(ISBLANK(tbl_task10[[คะแนนเต็ม]:[คะแนนเต็ม]]),"",(tbl_task10[103]/tbl_task10[[คะแนนเต็ม]:[คะแนนเต็ม]])*tbl_task10[[%]:[%]])</calculatedColumnFormula>
    </tableColumn>
    <tableColumn id="304" name="S104" dataDxfId="101">
      <calculatedColumnFormula>IF(ISBLANK(tbl_task10[[คะแนนเต็ม]:[คะแนนเต็ม]]),"",(tbl_task10[104]/tbl_task10[[คะแนนเต็ม]:[คะแนนเต็ม]])*tbl_task10[[%]:[%]])</calculatedColumnFormula>
    </tableColumn>
    <tableColumn id="305" name="S105" dataDxfId="100">
      <calculatedColumnFormula>IF(ISBLANK(tbl_task10[[คะแนนเต็ม]:[คะแนนเต็ม]]),"",(tbl_task10[105]/tbl_task10[[คะแนนเต็ม]:[คะแนนเต็ม]])*tbl_task10[[%]:[%]])</calculatedColumnFormula>
    </tableColumn>
    <tableColumn id="306" name="S106" dataDxfId="99">
      <calculatedColumnFormula>IF(ISBLANK(tbl_task10[[คะแนนเต็ม]:[คะแนนเต็ม]]),"",(tbl_task10[106]/tbl_task10[[คะแนนเต็ม]:[คะแนนเต็ม]])*tbl_task10[[%]:[%]])</calculatedColumnFormula>
    </tableColumn>
    <tableColumn id="307" name="S107" dataDxfId="98">
      <calculatedColumnFormula>IF(ISBLANK(tbl_task10[[คะแนนเต็ม]:[คะแนนเต็ม]]),"",(tbl_task10[107]/tbl_task10[[คะแนนเต็ม]:[คะแนนเต็ม]])*tbl_task10[[%]:[%]])</calculatedColumnFormula>
    </tableColumn>
    <tableColumn id="308" name="S108" dataDxfId="97">
      <calculatedColumnFormula>IF(ISBLANK(tbl_task10[[คะแนนเต็ม]:[คะแนนเต็ม]]),"",(tbl_task10[108]/tbl_task10[[คะแนนเต็ม]:[คะแนนเต็ม]])*tbl_task10[[%]:[%]])</calculatedColumnFormula>
    </tableColumn>
    <tableColumn id="309" name="S109" dataDxfId="96">
      <calculatedColumnFormula>IF(ISBLANK(tbl_task10[[คะแนนเต็ม]:[คะแนนเต็ม]]),"",(tbl_task10[109]/tbl_task10[[คะแนนเต็ม]:[คะแนนเต็ม]])*tbl_task10[[%]:[%]])</calculatedColumnFormula>
    </tableColumn>
    <tableColumn id="310" name="S110" dataDxfId="95">
      <calculatedColumnFormula>IF(ISBLANK(tbl_task10[[คะแนนเต็ม]:[คะแนนเต็ม]]),"",(tbl_task10[110]/tbl_task10[[คะแนนเต็ม]:[คะแนนเต็ม]])*tbl_task10[[%]:[%]])</calculatedColumnFormula>
    </tableColumn>
    <tableColumn id="311" name="S111" dataDxfId="94">
      <calculatedColumnFormula>IF(ISBLANK(tbl_task10[[คะแนนเต็ม]:[คะแนนเต็ม]]),"",(tbl_task10[111]/tbl_task10[[คะแนนเต็ม]:[คะแนนเต็ม]])*tbl_task10[[%]:[%]])</calculatedColumnFormula>
    </tableColumn>
    <tableColumn id="312" name="S112" dataDxfId="93">
      <calculatedColumnFormula>IF(ISBLANK(tbl_task10[[คะแนนเต็ม]:[คะแนนเต็ม]]),"",(tbl_task10[112]/tbl_task10[[คะแนนเต็ม]:[คะแนนเต็ม]])*tbl_task10[[%]:[%]])</calculatedColumnFormula>
    </tableColumn>
    <tableColumn id="313" name="S113" dataDxfId="92">
      <calculatedColumnFormula>IF(ISBLANK(tbl_task10[[คะแนนเต็ม]:[คะแนนเต็ม]]),"",(tbl_task10[113]/tbl_task10[[คะแนนเต็ม]:[คะแนนเต็ม]])*tbl_task10[[%]:[%]])</calculatedColumnFormula>
    </tableColumn>
    <tableColumn id="314" name="S114" dataDxfId="91">
      <calculatedColumnFormula>IF(ISBLANK(tbl_task10[[คะแนนเต็ม]:[คะแนนเต็ม]]),"",(tbl_task10[114]/tbl_task10[[คะแนนเต็ม]:[คะแนนเต็ม]])*tbl_task10[[%]:[%]])</calculatedColumnFormula>
    </tableColumn>
    <tableColumn id="315" name="S115" dataDxfId="90">
      <calculatedColumnFormula>IF(ISBLANK(tbl_task10[[คะแนนเต็ม]:[คะแนนเต็ม]]),"",(tbl_task10[115]/tbl_task10[[คะแนนเต็ม]:[คะแนนเต็ม]])*tbl_task10[[%]:[%]])</calculatedColumnFormula>
    </tableColumn>
    <tableColumn id="205" name="S116" dataDxfId="89">
      <calculatedColumnFormula>IF(ISBLANK(tbl_task10[[คะแนนเต็ม]:[คะแนนเต็ม]]),"",(tbl_task10[116]/tbl_task10[[คะแนนเต็ม]:[คะแนนเต็ม]])*tbl_task10[[%]:[%]])</calculatedColumnFormula>
    </tableColumn>
    <tableColumn id="206" name="S117" dataDxfId="88">
      <calculatedColumnFormula>IF(ISBLANK(tbl_task10[[คะแนนเต็ม]:[คะแนนเต็ม]]),"",(tbl_task10[117]/tbl_task10[[คะแนนเต็ม]:[คะแนนเต็ม]])*tbl_task10[[%]:[%]])</calculatedColumnFormula>
    </tableColumn>
    <tableColumn id="207" name="S118" dataDxfId="87">
      <calculatedColumnFormula>IF(ISBLANK(tbl_task10[[คะแนนเต็ม]:[คะแนนเต็ม]]),"",(tbl_task10[118]/tbl_task10[[คะแนนเต็ม]:[คะแนนเต็ม]])*tbl_task10[[%]:[%]])</calculatedColumnFormula>
    </tableColumn>
    <tableColumn id="208" name="S119" dataDxfId="86">
      <calculatedColumnFormula>IF(ISBLANK(tbl_task10[[คะแนนเต็ม]:[คะแนนเต็ม]]),"",(tbl_task10[119]/tbl_task10[[คะแนนเต็ม]:[คะแนนเต็ม]])*tbl_task10[[%]:[%]])</calculatedColumnFormula>
    </tableColumn>
    <tableColumn id="209" name="S120" dataDxfId="85">
      <calculatedColumnFormula>IF(ISBLANK(tbl_task10[[คะแนนเต็ม]:[คะแนนเต็ม]]),"",(tbl_task10[120]/tbl_task10[[คะแนนเต็ม]:[คะแนนเต็ม]])*tbl_task10[[%]:[%]])</calculatedColumnFormula>
    </tableColumn>
    <tableColumn id="210" name="S121" dataDxfId="84">
      <calculatedColumnFormula>IF(ISBLANK(tbl_task10[[คะแนนเต็ม]:[คะแนนเต็ม]]),"",(tbl_task10[121]/tbl_task10[[คะแนนเต็ม]:[คะแนนเต็ม]])*tbl_task10[[%]:[%]])</calculatedColumnFormula>
    </tableColumn>
    <tableColumn id="211" name="S122" dataDxfId="83">
      <calculatedColumnFormula>IF(ISBLANK(tbl_task10[[คะแนนเต็ม]:[คะแนนเต็ม]]),"",(tbl_task10[122]/tbl_task10[[คะแนนเต็ม]:[คะแนนเต็ม]])*tbl_task10[[%]:[%]])</calculatedColumnFormula>
    </tableColumn>
    <tableColumn id="316" name="S123" dataDxfId="82">
      <calculatedColumnFormula>IF(ISBLANK(tbl_task10[[คะแนนเต็ม]:[คะแนนเต็ม]]),"",(tbl_task10[123]/tbl_task10[[คะแนนเต็ม]:[คะแนนเต็ม]])*tbl_task10[[%]:[%]])</calculatedColumnFormula>
    </tableColumn>
    <tableColumn id="317" name="S124" dataDxfId="81">
      <calculatedColumnFormula>IF(ISBLANK(tbl_task10[[คะแนนเต็ม]:[คะแนนเต็ม]]),"",(tbl_task10[124]/tbl_task10[[คะแนนเต็ม]:[คะแนนเต็ม]])*tbl_task10[[%]:[%]])</calculatedColumnFormula>
    </tableColumn>
    <tableColumn id="318" name="S125" dataDxfId="80">
      <calculatedColumnFormula>IF(ISBLANK(tbl_task10[[คะแนนเต็ม]:[คะแนนเต็ม]]),"",(tbl_task10[125]/tbl_task10[[คะแนนเต็ม]:[คะแนนเต็ม]])*tbl_task10[[%]:[%]])</calculatedColumnFormula>
    </tableColumn>
    <tableColumn id="319" name="S126" dataDxfId="79">
      <calculatedColumnFormula>IF(ISBLANK(tbl_task10[[คะแนนเต็ม]:[คะแนนเต็ม]]),"",(tbl_task10[126]/tbl_task10[[คะแนนเต็ม]:[คะแนนเต็ม]])*tbl_task10[[%]:[%]])</calculatedColumnFormula>
    </tableColumn>
    <tableColumn id="320" name="S127" dataDxfId="78">
      <calculatedColumnFormula>IF(ISBLANK(tbl_task10[[คะแนนเต็ม]:[คะแนนเต็ม]]),"",(tbl_task10[127]/tbl_task10[[คะแนนเต็ม]:[คะแนนเต็ม]])*tbl_task10[[%]:[%]])</calculatedColumnFormula>
    </tableColumn>
    <tableColumn id="321" name="S128" dataDxfId="77">
      <calculatedColumnFormula>IF(ISBLANK(tbl_task10[[คะแนนเต็ม]:[คะแนนเต็ม]]),"",(tbl_task10[128]/tbl_task10[[คะแนนเต็ม]:[คะแนนเต็ม]])*tbl_task10[[%]:[%]])</calculatedColumnFormula>
    </tableColumn>
    <tableColumn id="322" name="S129" dataDxfId="76">
      <calculatedColumnFormula>IF(ISBLANK(tbl_task10[[คะแนนเต็ม]:[คะแนนเต็ม]]),"",(tbl_task10[129]/tbl_task10[[คะแนนเต็ม]:[คะแนนเต็ม]])*tbl_task10[[%]:[%]])</calculatedColumnFormula>
    </tableColumn>
    <tableColumn id="212" name="S130" dataDxfId="75">
      <calculatedColumnFormula>IF(ISBLANK(tbl_task10[[คะแนนเต็ม]:[คะแนนเต็ม]]),"",(tbl_task10[130]/tbl_task10[[คะแนนเต็ม]:[คะแนนเต็ม]])*tbl_task10[[%]:[%]])</calculatedColumnFormula>
    </tableColumn>
    <tableColumn id="213" name="S131" dataDxfId="74">
      <calculatedColumnFormula>IF(ISBLANK(tbl_task10[[คะแนนเต็ม]:[คะแนนเต็ม]]),"",(tbl_task10[131]/tbl_task10[[คะแนนเต็ม]:[คะแนนเต็ม]])*tbl_task10[[%]:[%]])</calculatedColumnFormula>
    </tableColumn>
    <tableColumn id="214" name="S132" dataDxfId="73">
      <calculatedColumnFormula>IF(ISBLANK(tbl_task10[[คะแนนเต็ม]:[คะแนนเต็ม]]),"",(tbl_task10[132]/tbl_task10[[คะแนนเต็ม]:[คะแนนเต็ม]])*tbl_task10[[%]:[%]])</calculatedColumnFormula>
    </tableColumn>
    <tableColumn id="215" name="S133" dataDxfId="72">
      <calculatedColumnFormula>IF(ISBLANK(tbl_task10[[คะแนนเต็ม]:[คะแนนเต็ม]]),"",(tbl_task10[133]/tbl_task10[[คะแนนเต็ม]:[คะแนนเต็ม]])*tbl_task10[[%]:[%]])</calculatedColumnFormula>
    </tableColumn>
    <tableColumn id="216" name="S134" dataDxfId="71">
      <calculatedColumnFormula>IF(ISBLANK(tbl_task10[[คะแนนเต็ม]:[คะแนนเต็ม]]),"",(tbl_task10[134]/tbl_task10[[คะแนนเต็ม]:[คะแนนเต็ม]])*tbl_task10[[%]:[%]])</calculatedColumnFormula>
    </tableColumn>
    <tableColumn id="217" name="S135" dataDxfId="70">
      <calculatedColumnFormula>IF(ISBLANK(tbl_task10[[คะแนนเต็ม]:[คะแนนเต็ม]]),"",(tbl_task10[135]/tbl_task10[[คะแนนเต็ม]:[คะแนนเต็ม]])*tbl_task10[[%]:[%]])</calculatedColumnFormula>
    </tableColumn>
    <tableColumn id="218" name="S136" dataDxfId="69">
      <calculatedColumnFormula>IF(ISBLANK(tbl_task10[[คะแนนเต็ม]:[คะแนนเต็ม]]),"",(tbl_task10[136]/tbl_task10[[คะแนนเต็ม]:[คะแนนเต็ม]])*tbl_task10[[%]:[%]])</calculatedColumnFormula>
    </tableColumn>
    <tableColumn id="219" name="S137" dataDxfId="68">
      <calculatedColumnFormula>IF(ISBLANK(tbl_task10[[คะแนนเต็ม]:[คะแนนเต็ม]]),"",(tbl_task10[137]/tbl_task10[[คะแนนเต็ม]:[คะแนนเต็ม]])*tbl_task10[[%]:[%]])</calculatedColumnFormula>
    </tableColumn>
    <tableColumn id="220" name="S138" dataDxfId="67">
      <calculatedColumnFormula>IF(ISBLANK(tbl_task10[[คะแนนเต็ม]:[คะแนนเต็ม]]),"",(tbl_task10[138]/tbl_task10[[คะแนนเต็ม]:[คะแนนเต็ม]])*tbl_task10[[%]:[%]])</calculatedColumnFormula>
    </tableColumn>
    <tableColumn id="221" name="S139" dataDxfId="66">
      <calculatedColumnFormula>IF(ISBLANK(tbl_task10[[คะแนนเต็ม]:[คะแนนเต็ม]]),"",(tbl_task10[139]/tbl_task10[[คะแนนเต็ม]:[คะแนนเต็ม]])*tbl_task10[[%]:[%]])</calculatedColumnFormula>
    </tableColumn>
    <tableColumn id="222" name="S140" dataDxfId="65">
      <calculatedColumnFormula>IF(ISBLANK(tbl_task10[[คะแนนเต็ม]:[คะแนนเต็ม]]),"",(tbl_task10[140]/tbl_task10[[คะแนนเต็ม]:[คะแนนเต็ม]])*tbl_task10[[%]:[%]])</calculatedColumnFormula>
    </tableColumn>
    <tableColumn id="223" name="S141" dataDxfId="64">
      <calculatedColumnFormula>IF(ISBLANK(tbl_task10[[คะแนนเต็ม]:[คะแนนเต็ม]]),"",(tbl_task10[141]/tbl_task10[[คะแนนเต็ม]:[คะแนนเต็ม]])*tbl_task10[[%]:[%]])</calculatedColumnFormula>
    </tableColumn>
    <tableColumn id="323" name="S142" dataDxfId="63">
      <calculatedColumnFormula>IF(ISBLANK(tbl_task10[[คะแนนเต็ม]:[คะแนนเต็ม]]),"",(tbl_task10[142]/tbl_task10[[คะแนนเต็ม]:[คะแนนเต็ม]])*tbl_task10[[%]:[%]])</calculatedColumnFormula>
    </tableColumn>
    <tableColumn id="324" name="S143" dataDxfId="62">
      <calculatedColumnFormula>IF(ISBLANK(tbl_task10[[คะแนนเต็ม]:[คะแนนเต็ม]]),"",(tbl_task10[143]/tbl_task10[[คะแนนเต็ม]:[คะแนนเต็ม]])*tbl_task10[[%]:[%]])</calculatedColumnFormula>
    </tableColumn>
    <tableColumn id="325" name="S144" dataDxfId="61">
      <calculatedColumnFormula>IF(ISBLANK(tbl_task10[[คะแนนเต็ม]:[คะแนนเต็ม]]),"",(tbl_task10[144]/tbl_task10[[คะแนนเต็ม]:[คะแนนเต็ม]])*tbl_task10[[%]:[%]])</calculatedColumnFormula>
    </tableColumn>
    <tableColumn id="326" name="S145" dataDxfId="60">
      <calculatedColumnFormula>IF(ISBLANK(tbl_task10[[คะแนนเต็ม]:[คะแนนเต็ม]]),"",(tbl_task10[145]/tbl_task10[[คะแนนเต็ม]:[คะแนนเต็ม]])*tbl_task10[[%]:[%]])</calculatedColumnFormula>
    </tableColumn>
    <tableColumn id="327" name="S146" dataDxfId="59">
      <calculatedColumnFormula>IF(ISBLANK(tbl_task10[[คะแนนเต็ม]:[คะแนนเต็ม]]),"",(tbl_task10[146]/tbl_task10[[คะแนนเต็ม]:[คะแนนเต็ม]])*tbl_task10[[%]:[%]])</calculatedColumnFormula>
    </tableColumn>
    <tableColumn id="328" name="S147" dataDxfId="58">
      <calculatedColumnFormula>IF(ISBLANK(tbl_task10[[คะแนนเต็ม]:[คะแนนเต็ม]]),"",(tbl_task10[147]/tbl_task10[[คะแนนเต็ม]:[คะแนนเต็ม]])*tbl_task10[[%]:[%]])</calculatedColumnFormula>
    </tableColumn>
    <tableColumn id="329" name="S148" dataDxfId="57">
      <calculatedColumnFormula>IF(ISBLANK(tbl_task10[[คะแนนเต็ม]:[คะแนนเต็ม]]),"",(tbl_task10[148]/tbl_task10[[คะแนนเต็ม]:[คะแนนเต็ม]])*tbl_task10[[%]:[%]])</calculatedColumnFormula>
    </tableColumn>
    <tableColumn id="330" name="S149" dataDxfId="56">
      <calculatedColumnFormula>IF(ISBLANK(tbl_task10[[คะแนนเต็ม]:[คะแนนเต็ม]]),"",(tbl_task10[149]/tbl_task10[[คะแนนเต็ม]:[คะแนนเต็ม]])*tbl_task10[[%]:[%]])</calculatedColumnFormula>
    </tableColumn>
    <tableColumn id="331" name="S150" dataDxfId="55">
      <calculatedColumnFormula>IF(ISBLANK(tbl_task10[[คะแนนเต็ม]:[คะแนนเต็ม]]),"",(tbl_task10[150]/tbl_task10[[คะแนนเต็ม]:[คะแนนเต็ม]])*tbl_task10[[%]:[%]])</calculatedColumnFormula>
    </tableColumn>
    <tableColumn id="332" name="S151" dataDxfId="54">
      <calculatedColumnFormula>IF(ISBLANK(tbl_task10[[คะแนนเต็ม]:[คะแนนเต็ม]]),"",(tbl_task10[151]/tbl_task10[[คะแนนเต็ม]:[คะแนนเต็ม]])*tbl_task10[[%]:[%]])</calculatedColumnFormula>
    </tableColumn>
    <tableColumn id="333" name="S152" dataDxfId="53">
      <calculatedColumnFormula>IF(ISBLANK(tbl_task10[[คะแนนเต็ม]:[คะแนนเต็ม]]),"",(tbl_task10[152]/tbl_task10[[คะแนนเต็ม]:[คะแนนเต็ม]])*tbl_task10[[%]:[%]])</calculatedColumnFormula>
    </tableColumn>
    <tableColumn id="224" name="S153" dataDxfId="52">
      <calculatedColumnFormula>IF(ISBLANK(tbl_task10[[คะแนนเต็ม]:[คะแนนเต็ม]]),"",(tbl_task10[153]/tbl_task10[[คะแนนเต็ม]:[คะแนนเต็ม]])*tbl_task10[[%]:[%]])</calculatedColumnFormula>
    </tableColumn>
    <tableColumn id="225" name="S154" dataDxfId="51">
      <calculatedColumnFormula>IF(ISBLANK(tbl_task10[[คะแนนเต็ม]:[คะแนนเต็ม]]),"",(tbl_task10[154]/tbl_task10[[คะแนนเต็ม]:[คะแนนเต็ม]])*tbl_task10[[%]:[%]])</calculatedColumnFormula>
    </tableColumn>
    <tableColumn id="226" name="S155" dataDxfId="50">
      <calculatedColumnFormula>IF(ISBLANK(tbl_task10[[คะแนนเต็ม]:[คะแนนเต็ม]]),"",(tbl_task10[155]/tbl_task10[[คะแนนเต็ม]:[คะแนนเต็ม]])*tbl_task10[[%]:[%]])</calculatedColumnFormula>
    </tableColumn>
    <tableColumn id="227" name="S156" dataDxfId="49">
      <calculatedColumnFormula>IF(ISBLANK(tbl_task10[[คะแนนเต็ม]:[คะแนนเต็ม]]),"",(tbl_task10[156]/tbl_task10[[คะแนนเต็ม]:[คะแนนเต็ม]])*tbl_task10[[%]:[%]])</calculatedColumnFormula>
    </tableColumn>
    <tableColumn id="228" name="S157" dataDxfId="48">
      <calculatedColumnFormula>IF(ISBLANK(tbl_task10[[คะแนนเต็ม]:[คะแนนเต็ม]]),"",(tbl_task10[157]/tbl_task10[[คะแนนเต็ม]:[คะแนนเต็ม]])*tbl_task10[[%]:[%]])</calculatedColumnFormula>
    </tableColumn>
    <tableColumn id="229" name="S158" dataDxfId="47">
      <calculatedColumnFormula>IF(ISBLANK(tbl_task10[[คะแนนเต็ม]:[คะแนนเต็ม]]),"",(tbl_task10[158]/tbl_task10[[คะแนนเต็ม]:[คะแนนเต็ม]])*tbl_task10[[%]:[%]])</calculatedColumnFormula>
    </tableColumn>
    <tableColumn id="230" name="S159" dataDxfId="46">
      <calculatedColumnFormula>IF(ISBLANK(tbl_task10[[คะแนนเต็ม]:[คะแนนเต็ม]]),"",(tbl_task10[159]/tbl_task10[[คะแนนเต็ม]:[คะแนนเต็ม]])*tbl_task10[[%]:[%]])</calculatedColumnFormula>
    </tableColumn>
    <tableColumn id="231" name="S160" dataDxfId="45">
      <calculatedColumnFormula>IF(ISBLANK(tbl_task10[[คะแนนเต็ม]:[คะแนนเต็ม]]),"",(tbl_task10[160]/tbl_task10[[คะแนนเต็ม]:[คะแนนเต็ม]])*tbl_task10[[%]:[%]])</calculatedColumnFormula>
    </tableColumn>
    <tableColumn id="232" name="S161" dataDxfId="44">
      <calculatedColumnFormula>IF(ISBLANK(tbl_task10[[คะแนนเต็ม]:[คะแนนเต็ม]]),"",(tbl_task10[161]/tbl_task10[[คะแนนเต็ม]:[คะแนนเต็ม]])*tbl_task10[[%]:[%]])</calculatedColumnFormula>
    </tableColumn>
    <tableColumn id="334" name="S162" dataDxfId="43">
      <calculatedColumnFormula>IF(ISBLANK(tbl_task10[[คะแนนเต็ม]:[คะแนนเต็ม]]),"",(tbl_task10[162]/tbl_task10[[คะแนนเต็ม]:[คะแนนเต็ม]])*tbl_task10[[%]:[%]])</calculatedColumnFormula>
    </tableColumn>
    <tableColumn id="335" name="S163" dataDxfId="42">
      <calculatedColumnFormula>IF(ISBLANK(tbl_task10[[คะแนนเต็ม]:[คะแนนเต็ม]]),"",(tbl_task10[163]/tbl_task10[[คะแนนเต็ม]:[คะแนนเต็ม]])*tbl_task10[[%]:[%]])</calculatedColumnFormula>
    </tableColumn>
    <tableColumn id="233" name="S164" dataDxfId="41">
      <calculatedColumnFormula>IF(ISBLANK(tbl_task10[[คะแนนเต็ม]:[คะแนนเต็ม]]),"",(tbl_task10[164]/tbl_task10[[คะแนนเต็ม]:[คะแนนเต็ม]])*tbl_task10[[%]:[%]])</calculatedColumnFormula>
    </tableColumn>
    <tableColumn id="234" name="S165" dataDxfId="40">
      <calculatedColumnFormula>IF(ISBLANK(tbl_task10[[คะแนนเต็ม]:[คะแนนเต็ม]]),"",(tbl_task10[165]/tbl_task10[[คะแนนเต็ม]:[คะแนนเต็ม]])*tbl_task10[[%]:[%]])</calculatedColumnFormula>
    </tableColumn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2" name="tbl_subjPLOs" displayName="tbl_subjPLOs" ref="A1:AI54" totalsRowShown="0" headerRowDxfId="39" dataDxfId="38">
  <tableColumns count="35">
    <tableColumn id="4" name="subj_code" dataDxfId="37"/>
    <tableColumn id="6" name="subj_nameT" dataDxfId="36"/>
    <tableColumn id="67" name="credit" dataDxfId="35"/>
    <tableColumn id="3" name="course" dataDxfId="34"/>
    <tableColumn id="1" name="STD_year" dataDxfId="33"/>
    <tableColumn id="9" name="SubPLO1" dataDxfId="32"/>
    <tableColumn id="15" name="SubPLO1-L" dataDxfId="31"/>
    <tableColumn id="10" name="SubPLO2" dataDxfId="30"/>
    <tableColumn id="16" name="SubPLO2-L" dataDxfId="29"/>
    <tableColumn id="11" name="SubPLO3" dataDxfId="28"/>
    <tableColumn id="17" name="SubPLO3-L" dataDxfId="27"/>
    <tableColumn id="12" name="SubPLO4" dataDxfId="26"/>
    <tableColumn id="18" name="SubPLO4-L" dataDxfId="25"/>
    <tableColumn id="13" name="SubPLO5" dataDxfId="24"/>
    <tableColumn id="19" name="SubPLO5-L" dataDxfId="23"/>
    <tableColumn id="20" name="SubPLO6" dataDxfId="22"/>
    <tableColumn id="14" name="SubPLO6-L" dataDxfId="21"/>
    <tableColumn id="21" name="SubPLO7" dataDxfId="20"/>
    <tableColumn id="22" name="SubPLO7-L" dataDxfId="19"/>
    <tableColumn id="23" name="SubPLO8" dataDxfId="18"/>
    <tableColumn id="24" name="SubPLO8-L" dataDxfId="17"/>
    <tableColumn id="25" name="SubPLO9" dataDxfId="16"/>
    <tableColumn id="26" name="SubPLO9-L" dataDxfId="15"/>
    <tableColumn id="27" name="SubPLO10" dataDxfId="14"/>
    <tableColumn id="28" name="SubPLO10-L" dataDxfId="13"/>
    <tableColumn id="29" name="SubPLO11" dataDxfId="12"/>
    <tableColumn id="30" name="SubPLO11-L" dataDxfId="11"/>
    <tableColumn id="31" name="SubPLO12" dataDxfId="10"/>
    <tableColumn id="32" name="SubPLO12-L" dataDxfId="9"/>
    <tableColumn id="33" name="SubPLO13" dataDxfId="8"/>
    <tableColumn id="34" name="SubPLO13-L" dataDxfId="7"/>
    <tableColumn id="35" name="SubPLO14" dataDxfId="6"/>
    <tableColumn id="36" name="SubPLO14-L" dataDxfId="5"/>
    <tableColumn id="37" name="SubPLO15" dataDxfId="4"/>
    <tableColumn id="38" name="SubPLO15-L" dataDxfId="3"/>
  </tableColumns>
  <tableStyleInfo name="TableStyleMedium4" showFirstColumn="0" showLastColumn="0" showRowStripes="1" showColumnStripes="0"/>
</table>
</file>

<file path=xl/tables/table13.xml><?xml version="1.0" encoding="utf-8"?>
<table xmlns="http://schemas.openxmlformats.org/spreadsheetml/2006/main" id="1" name="tbl_PLOs" displayName="tbl_PLOs" ref="A1:B35" totalsRowShown="0" headerRowDxfId="2">
  <autoFilter ref="A1:B35"/>
  <tableColumns count="2">
    <tableColumn id="1" name="PLO_no" dataDxfId="1"/>
    <tableColumn id="3" name="PLO_name" dataDxfId="0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4" name="tbl_task1" displayName="tbl_task1" ref="A3:LW28" totalsRowShown="0" headerRowDxfId="3439" dataDxfId="3437" headerRowBorderDxfId="3438" tableBorderDxfId="3436" totalsRowBorderDxfId="3435">
  <tableColumns count="335">
    <tableColumn id="1" name="No" dataDxfId="3434"/>
    <tableColumn id="2" name="SubPLOs" dataDxfId="3433"/>
    <tableColumn id="3" name="SubPLOs_name" dataDxfId="3432">
      <calculatedColumnFormula>IF(ISBLANK(B4),"",VLOOKUP(B4,tbl_PLOs[],2,0))</calculatedColumnFormula>
    </tableColumn>
    <tableColumn id="235" name="คะแนนเต็ม" dataDxfId="3431"/>
    <tableColumn id="4" name="%" dataDxfId="3430">
      <calculatedColumnFormula>IF(OR(ISBLANK(#REF!),ISBLANK(tbl_task1[[#This Row],[SubPLOs]])),"",#REF!/$B$29)</calculatedColumnFormula>
    </tableColumn>
    <tableColumn id="5" name="1" dataDxfId="3429"/>
    <tableColumn id="6" name="2" dataDxfId="3428"/>
    <tableColumn id="7" name="3" dataDxfId="3427"/>
    <tableColumn id="8" name="4" dataDxfId="3426"/>
    <tableColumn id="9" name="5" dataDxfId="3425"/>
    <tableColumn id="10" name="6" dataDxfId="3424"/>
    <tableColumn id="11" name="7" dataDxfId="3423"/>
    <tableColumn id="12" name="8" dataDxfId="3422"/>
    <tableColumn id="13" name="9" dataDxfId="3421"/>
    <tableColumn id="14" name="10" dataDxfId="3420"/>
    <tableColumn id="15" name="11" dataDxfId="3419"/>
    <tableColumn id="16" name="12" dataDxfId="3418"/>
    <tableColumn id="17" name="13" dataDxfId="3417"/>
    <tableColumn id="18" name="14" dataDxfId="3416"/>
    <tableColumn id="19" name="15" dataDxfId="3415"/>
    <tableColumn id="20" name="16" dataDxfId="3414"/>
    <tableColumn id="21" name="17" dataDxfId="3413"/>
    <tableColumn id="22" name="18" dataDxfId="3412"/>
    <tableColumn id="23" name="19" dataDxfId="3411"/>
    <tableColumn id="24" name="20" dataDxfId="3410"/>
    <tableColumn id="25" name="21" dataDxfId="3409"/>
    <tableColumn id="26" name="22" dataDxfId="3408"/>
    <tableColumn id="27" name="23" dataDxfId="3407"/>
    <tableColumn id="28" name="24" dataDxfId="3406"/>
    <tableColumn id="29" name="25" dataDxfId="3405"/>
    <tableColumn id="30" name="26" dataDxfId="3404"/>
    <tableColumn id="31" name="27" dataDxfId="3403"/>
    <tableColumn id="32" name="28" dataDxfId="3402"/>
    <tableColumn id="33" name="29" dataDxfId="3401"/>
    <tableColumn id="34" name="30" dataDxfId="3400"/>
    <tableColumn id="35" name="31" dataDxfId="3399"/>
    <tableColumn id="36" name="32" dataDxfId="3398"/>
    <tableColumn id="37" name="33" dataDxfId="3397"/>
    <tableColumn id="38" name="34" dataDxfId="3396"/>
    <tableColumn id="39" name="35" dataDxfId="3395"/>
    <tableColumn id="40" name="36" dataDxfId="3394"/>
    <tableColumn id="41" name="37" dataDxfId="3393"/>
    <tableColumn id="42" name="38" dataDxfId="3392"/>
    <tableColumn id="43" name="39" dataDxfId="3391"/>
    <tableColumn id="44" name="40" dataDxfId="3390"/>
    <tableColumn id="45" name="41" dataDxfId="3389"/>
    <tableColumn id="46" name="42" dataDxfId="3388"/>
    <tableColumn id="47" name="43" dataDxfId="3387"/>
    <tableColumn id="48" name="44" dataDxfId="3386"/>
    <tableColumn id="49" name="45" dataDxfId="3385"/>
    <tableColumn id="50" name="46" dataDxfId="3384"/>
    <tableColumn id="51" name="47" dataDxfId="3383"/>
    <tableColumn id="52" name="48" dataDxfId="3382"/>
    <tableColumn id="53" name="49" dataDxfId="3381"/>
    <tableColumn id="54" name="50" dataDxfId="3380"/>
    <tableColumn id="55" name="51" dataDxfId="3379"/>
    <tableColumn id="56" name="52" dataDxfId="3378"/>
    <tableColumn id="57" name="53" dataDxfId="3377"/>
    <tableColumn id="58" name="54" dataDxfId="3376"/>
    <tableColumn id="59" name="55" dataDxfId="3375"/>
    <tableColumn id="60" name="56" dataDxfId="3374"/>
    <tableColumn id="61" name="57" dataDxfId="3373"/>
    <tableColumn id="62" name="58" dataDxfId="3372"/>
    <tableColumn id="63" name="59" dataDxfId="3371"/>
    <tableColumn id="64" name="60" dataDxfId="3370"/>
    <tableColumn id="65" name="61" dataDxfId="3369"/>
    <tableColumn id="66" name="62" dataDxfId="3368"/>
    <tableColumn id="67" name="63" dataDxfId="3367"/>
    <tableColumn id="68" name="64" dataDxfId="3366"/>
    <tableColumn id="69" name="65" dataDxfId="3365"/>
    <tableColumn id="70" name="66" dataDxfId="3364"/>
    <tableColumn id="71" name="67" dataDxfId="3363"/>
    <tableColumn id="72" name="68" dataDxfId="3362"/>
    <tableColumn id="73" name="69" dataDxfId="3361"/>
    <tableColumn id="74" name="70" dataDxfId="3360"/>
    <tableColumn id="75" name="71" dataDxfId="3359"/>
    <tableColumn id="76" name="72" dataDxfId="3358"/>
    <tableColumn id="77" name="73" dataDxfId="3357"/>
    <tableColumn id="78" name="74" dataDxfId="3356"/>
    <tableColumn id="79" name="75" dataDxfId="3355"/>
    <tableColumn id="80" name="76" dataDxfId="3354"/>
    <tableColumn id="81" name="77" dataDxfId="3353"/>
    <tableColumn id="82" name="78" dataDxfId="3352"/>
    <tableColumn id="83" name="79" dataDxfId="3351"/>
    <tableColumn id="84" name="80" dataDxfId="3350"/>
    <tableColumn id="85" name="81" dataDxfId="3349"/>
    <tableColumn id="86" name="82" dataDxfId="3348"/>
    <tableColumn id="87" name="83" dataDxfId="3347"/>
    <tableColumn id="88" name="84" dataDxfId="3346"/>
    <tableColumn id="89" name="85" dataDxfId="3345"/>
    <tableColumn id="90" name="86" dataDxfId="3344"/>
    <tableColumn id="91" name="87" dataDxfId="3343"/>
    <tableColumn id="92" name="88" dataDxfId="3342"/>
    <tableColumn id="93" name="89" dataDxfId="3341"/>
    <tableColumn id="94" name="90" dataDxfId="3340"/>
    <tableColumn id="236" name="91" dataDxfId="3339"/>
    <tableColumn id="237" name="92" dataDxfId="3338"/>
    <tableColumn id="238" name="93" dataDxfId="3337"/>
    <tableColumn id="239" name="94" dataDxfId="3336"/>
    <tableColumn id="240" name="95" dataDxfId="3335"/>
    <tableColumn id="241" name="96" dataDxfId="3334"/>
    <tableColumn id="242" name="97" dataDxfId="3333"/>
    <tableColumn id="243" name="98" dataDxfId="3332"/>
    <tableColumn id="244" name="99" dataDxfId="3331"/>
    <tableColumn id="245" name="100" dataDxfId="3330"/>
    <tableColumn id="246" name="101" dataDxfId="3329"/>
    <tableColumn id="247" name="102" dataDxfId="3328"/>
    <tableColumn id="248" name="103" dataDxfId="3327"/>
    <tableColumn id="249" name="104" dataDxfId="3326"/>
    <tableColumn id="250" name="105" dataDxfId="3325"/>
    <tableColumn id="251" name="106" dataDxfId="3324"/>
    <tableColumn id="252" name="107" dataDxfId="3323"/>
    <tableColumn id="253" name="108" dataDxfId="3322"/>
    <tableColumn id="254" name="109" dataDxfId="3321"/>
    <tableColumn id="255" name="110" dataDxfId="3320"/>
    <tableColumn id="256" name="111" dataDxfId="3319"/>
    <tableColumn id="257" name="112" dataDxfId="3318"/>
    <tableColumn id="258" name="113" dataDxfId="3317"/>
    <tableColumn id="259" name="114" dataDxfId="3316"/>
    <tableColumn id="260" name="115" dataDxfId="3315"/>
    <tableColumn id="95" name="116" dataDxfId="3314"/>
    <tableColumn id="96" name="117" dataDxfId="3313"/>
    <tableColumn id="97" name="118" dataDxfId="3312"/>
    <tableColumn id="98" name="119" dataDxfId="3311"/>
    <tableColumn id="99" name="120" dataDxfId="3310"/>
    <tableColumn id="100" name="121" dataDxfId="3309"/>
    <tableColumn id="101" name="122" dataDxfId="3308"/>
    <tableColumn id="102" name="123" dataDxfId="3307"/>
    <tableColumn id="261" name="124" dataDxfId="3306"/>
    <tableColumn id="262" name="125" dataDxfId="3305"/>
    <tableColumn id="263" name="126" dataDxfId="3304"/>
    <tableColumn id="264" name="127" dataDxfId="3303"/>
    <tableColumn id="265" name="128" dataDxfId="3302"/>
    <tableColumn id="266" name="129" dataDxfId="3301"/>
    <tableColumn id="267" name="130" dataDxfId="3300"/>
    <tableColumn id="268" name="131" dataDxfId="3299"/>
    <tableColumn id="269" name="132" dataDxfId="3298"/>
    <tableColumn id="270" name="133" dataDxfId="3297"/>
    <tableColumn id="271" name="134" dataDxfId="3296"/>
    <tableColumn id="272" name="135" dataDxfId="3295"/>
    <tableColumn id="273" name="136" dataDxfId="3294"/>
    <tableColumn id="274" name="137" dataDxfId="3293"/>
    <tableColumn id="275" name="138" dataDxfId="3292"/>
    <tableColumn id="276" name="139" dataDxfId="3291"/>
    <tableColumn id="277" name="140" dataDxfId="3290"/>
    <tableColumn id="103" name="141" dataDxfId="3289"/>
    <tableColumn id="104" name="142" dataDxfId="3288"/>
    <tableColumn id="105" name="143" dataDxfId="3287"/>
    <tableColumn id="106" name="144" dataDxfId="3286"/>
    <tableColumn id="107" name="145" dataDxfId="3285"/>
    <tableColumn id="108" name="146" dataDxfId="3284"/>
    <tableColumn id="109" name="147" dataDxfId="3283"/>
    <tableColumn id="110" name="148" dataDxfId="3282"/>
    <tableColumn id="111" name="149" dataDxfId="3281"/>
    <tableColumn id="278" name="150" dataDxfId="3280"/>
    <tableColumn id="279" name="151" dataDxfId="3279"/>
    <tableColumn id="280" name="152" dataDxfId="3278"/>
    <tableColumn id="281" name="153" dataDxfId="3277"/>
    <tableColumn id="282" name="154" dataDxfId="3276"/>
    <tableColumn id="283" name="155" dataDxfId="3275"/>
    <tableColumn id="284" name="156" dataDxfId="3274"/>
    <tableColumn id="285" name="157" dataDxfId="3273"/>
    <tableColumn id="112" name="158" dataDxfId="3272"/>
    <tableColumn id="113" name="159" dataDxfId="3271"/>
    <tableColumn id="114" name="160" dataDxfId="3270"/>
    <tableColumn id="115" name="161" dataDxfId="3269"/>
    <tableColumn id="116" name="162" dataDxfId="3268"/>
    <tableColumn id="117" name="163" dataDxfId="3267"/>
    <tableColumn id="118" name="164" dataDxfId="3266"/>
    <tableColumn id="119" name="165" dataDxfId="3265"/>
    <tableColumn id="120" name="S1" dataDxfId="3264">
      <calculatedColumnFormula>IF(ISBLANK(tbl_task1[[คะแนนเต็ม]:[คะแนนเต็ม]]),"",(tbl_task1[1]/tbl_task1[[คะแนนเต็ม]:[คะแนนเต็ม]])*tbl_task1[[%]:[%]])</calculatedColumnFormula>
    </tableColumn>
    <tableColumn id="121" name="S2" dataDxfId="3263">
      <calculatedColumnFormula>IF(ISBLANK(tbl_task1[[คะแนนเต็ม]:[คะแนนเต็ม]]),"",(tbl_task1[2]/tbl_task1[[คะแนนเต็ม]:[คะแนนเต็ม]])*tbl_task1[[%]:[%]])</calculatedColumnFormula>
    </tableColumn>
    <tableColumn id="122" name="S3" dataDxfId="3262">
      <calculatedColumnFormula>IF(ISBLANK(tbl_task1[[คะแนนเต็ม]:[คะแนนเต็ม]]),"",(tbl_task1[3]/tbl_task1[[คะแนนเต็ม]:[คะแนนเต็ม]])*tbl_task1[[%]:[%]])</calculatedColumnFormula>
    </tableColumn>
    <tableColumn id="123" name="S4" dataDxfId="3261">
      <calculatedColumnFormula>IF(ISBLANK(tbl_task1[[คะแนนเต็ม]:[คะแนนเต็ม]]),"",(tbl_task1[4]/tbl_task1[[คะแนนเต็ม]:[คะแนนเต็ม]])*tbl_task1[[%]:[%]])</calculatedColumnFormula>
    </tableColumn>
    <tableColumn id="124" name="S5" dataDxfId="3260">
      <calculatedColumnFormula>IF(ISBLANK(tbl_task1[[คะแนนเต็ม]:[คะแนนเต็ม]]),"",(tbl_task1[5]/tbl_task1[[คะแนนเต็ม]:[คะแนนเต็ม]])*tbl_task1[[%]:[%]])</calculatedColumnFormula>
    </tableColumn>
    <tableColumn id="125" name="S6" dataDxfId="3259">
      <calculatedColumnFormula>IF(ISBLANK(tbl_task1[[คะแนนเต็ม]:[คะแนนเต็ม]]),"",(tbl_task1[6]/tbl_task1[[คะแนนเต็ม]:[คะแนนเต็ม]])*tbl_task1[[%]:[%]])</calculatedColumnFormula>
    </tableColumn>
    <tableColumn id="126" name="S7" dataDxfId="3258">
      <calculatedColumnFormula>IF(ISBLANK(tbl_task1[[คะแนนเต็ม]:[คะแนนเต็ม]]),"",(tbl_task1[7]/tbl_task1[[คะแนนเต็ม]:[คะแนนเต็ม]])*tbl_task1[[%]:[%]])</calculatedColumnFormula>
    </tableColumn>
    <tableColumn id="127" name="S8" dataDxfId="3257">
      <calculatedColumnFormula>IF(ISBLANK(tbl_task1[[คะแนนเต็ม]:[คะแนนเต็ม]]),"",(tbl_task1[8]/tbl_task1[[คะแนนเต็ม]:[คะแนนเต็ม]])*tbl_task1[[%]:[%]])</calculatedColumnFormula>
    </tableColumn>
    <tableColumn id="128" name="S9" dataDxfId="3256">
      <calculatedColumnFormula>IF(ISBLANK(tbl_task1[[คะแนนเต็ม]:[คะแนนเต็ม]]),"",(tbl_task1[9]/tbl_task1[[คะแนนเต็ม]:[คะแนนเต็ม]])*tbl_task1[[%]:[%]])</calculatedColumnFormula>
    </tableColumn>
    <tableColumn id="129" name="S10" dataDxfId="3255">
      <calculatedColumnFormula>IF(ISBLANK(tbl_task1[[คะแนนเต็ม]:[คะแนนเต็ม]]),"",(tbl_task1[10]/tbl_task1[[คะแนนเต็ม]:[คะแนนเต็ม]])*tbl_task1[[%]:[%]])</calculatedColumnFormula>
    </tableColumn>
    <tableColumn id="130" name="S11" dataDxfId="3254">
      <calculatedColumnFormula>IF(ISBLANK(tbl_task1[[คะแนนเต็ม]:[คะแนนเต็ม]]),"",(tbl_task1[11]/tbl_task1[[คะแนนเต็ม]:[คะแนนเต็ม]])*tbl_task1[[%]:[%]])</calculatedColumnFormula>
    </tableColumn>
    <tableColumn id="131" name="S12" dataDxfId="3253">
      <calculatedColumnFormula>IF(ISBLANK(tbl_task1[[คะแนนเต็ม]:[คะแนนเต็ม]]),"",(tbl_task1[12]/tbl_task1[[คะแนนเต็ม]:[คะแนนเต็ม]])*tbl_task1[[%]:[%]])</calculatedColumnFormula>
    </tableColumn>
    <tableColumn id="132" name="S13" dataDxfId="3252">
      <calculatedColumnFormula>IF(ISBLANK(tbl_task1[[คะแนนเต็ม]:[คะแนนเต็ม]]),"",(tbl_task1[13]/tbl_task1[[คะแนนเต็ม]:[คะแนนเต็ม]])*tbl_task1[[%]:[%]])</calculatedColumnFormula>
    </tableColumn>
    <tableColumn id="133" name="S14" dataDxfId="3251">
      <calculatedColumnFormula>IF(ISBLANK(tbl_task1[[คะแนนเต็ม]:[คะแนนเต็ม]]),"",(tbl_task1[14]/tbl_task1[[คะแนนเต็ม]:[คะแนนเต็ม]])*tbl_task1[[%]:[%]])</calculatedColumnFormula>
    </tableColumn>
    <tableColumn id="134" name="S15" dataDxfId="3250">
      <calculatedColumnFormula>IF(ISBLANK(tbl_task1[[คะแนนเต็ม]:[คะแนนเต็ม]]),"",(tbl_task1[15]/tbl_task1[[คะแนนเต็ม]:[คะแนนเต็ม]])*tbl_task1[[%]:[%]])</calculatedColumnFormula>
    </tableColumn>
    <tableColumn id="135" name="S16" dataDxfId="3249">
      <calculatedColumnFormula>IF(ISBLANK(tbl_task1[[คะแนนเต็ม]:[คะแนนเต็ม]]),"",(tbl_task1[16]/tbl_task1[[คะแนนเต็ม]:[คะแนนเต็ม]])*tbl_task1[[%]:[%]])</calculatedColumnFormula>
    </tableColumn>
    <tableColumn id="136" name="S17" dataDxfId="3248">
      <calculatedColumnFormula>IF(ISBLANK(tbl_task1[[คะแนนเต็ม]:[คะแนนเต็ม]]),"",(tbl_task1[17]/tbl_task1[[คะแนนเต็ม]:[คะแนนเต็ม]])*tbl_task1[[%]:[%]])</calculatedColumnFormula>
    </tableColumn>
    <tableColumn id="137" name="S18" dataDxfId="3247">
      <calculatedColumnFormula>IF(ISBLANK(tbl_task1[[คะแนนเต็ม]:[คะแนนเต็ม]]),"",(tbl_task1[18]/tbl_task1[[คะแนนเต็ม]:[คะแนนเต็ม]])*tbl_task1[[%]:[%]])</calculatedColumnFormula>
    </tableColumn>
    <tableColumn id="138" name="S19" dataDxfId="3246">
      <calculatedColumnFormula>IF(ISBLANK(tbl_task1[[คะแนนเต็ม]:[คะแนนเต็ม]]),"",(tbl_task1[19]/tbl_task1[[คะแนนเต็ม]:[คะแนนเต็ม]])*tbl_task1[[%]:[%]])</calculatedColumnFormula>
    </tableColumn>
    <tableColumn id="139" name="S20" dataDxfId="3245">
      <calculatedColumnFormula>IF(ISBLANK(tbl_task1[[คะแนนเต็ม]:[คะแนนเต็ม]]),"",(tbl_task1[20]/tbl_task1[[คะแนนเต็ม]:[คะแนนเต็ม]])*tbl_task1[[%]:[%]])</calculatedColumnFormula>
    </tableColumn>
    <tableColumn id="140" name="S21" dataDxfId="3244">
      <calculatedColumnFormula>IF(ISBLANK(tbl_task1[[คะแนนเต็ม]:[คะแนนเต็ม]]),"",(tbl_task1[21]/tbl_task1[[คะแนนเต็ม]:[คะแนนเต็ม]])*tbl_task1[[%]:[%]])</calculatedColumnFormula>
    </tableColumn>
    <tableColumn id="141" name="S22" dataDxfId="3243">
      <calculatedColumnFormula>IF(ISBLANK(tbl_task1[[คะแนนเต็ม]:[คะแนนเต็ม]]),"",(tbl_task1[22]/tbl_task1[[คะแนนเต็ม]:[คะแนนเต็ม]])*tbl_task1[[%]:[%]])</calculatedColumnFormula>
    </tableColumn>
    <tableColumn id="142" name="S23" dataDxfId="3242">
      <calculatedColumnFormula>IF(ISBLANK(tbl_task1[[คะแนนเต็ม]:[คะแนนเต็ม]]),"",(tbl_task1[23]/tbl_task1[[คะแนนเต็ม]:[คะแนนเต็ม]])*tbl_task1[[%]:[%]])</calculatedColumnFormula>
    </tableColumn>
    <tableColumn id="143" name="S24" dataDxfId="3241">
      <calculatedColumnFormula>IF(ISBLANK(tbl_task1[[คะแนนเต็ม]:[คะแนนเต็ม]]),"",(tbl_task1[24]/tbl_task1[[คะแนนเต็ม]:[คะแนนเต็ม]])*tbl_task1[[%]:[%]])</calculatedColumnFormula>
    </tableColumn>
    <tableColumn id="144" name="S25" dataDxfId="3240">
      <calculatedColumnFormula>IF(ISBLANK(tbl_task1[[คะแนนเต็ม]:[คะแนนเต็ม]]),"",(tbl_task1[25]/tbl_task1[[คะแนนเต็ม]:[คะแนนเต็ม]])*tbl_task1[[%]:[%]])</calculatedColumnFormula>
    </tableColumn>
    <tableColumn id="145" name="S26" dataDxfId="3239">
      <calculatedColumnFormula>IF(ISBLANK(tbl_task1[[คะแนนเต็ม]:[คะแนนเต็ม]]),"",(tbl_task1[26]/tbl_task1[[คะแนนเต็ม]:[คะแนนเต็ม]])*tbl_task1[[%]:[%]])</calculatedColumnFormula>
    </tableColumn>
    <tableColumn id="146" name="S27" dataDxfId="3238">
      <calculatedColumnFormula>IF(ISBLANK(tbl_task1[[คะแนนเต็ม]:[คะแนนเต็ม]]),"",(tbl_task1[27]/tbl_task1[[คะแนนเต็ม]:[คะแนนเต็ม]])*tbl_task1[[%]:[%]])</calculatedColumnFormula>
    </tableColumn>
    <tableColumn id="147" name="S28" dataDxfId="3237">
      <calculatedColumnFormula>IF(ISBLANK(tbl_task1[[คะแนนเต็ม]:[คะแนนเต็ม]]),"",(tbl_task1[28]/tbl_task1[[คะแนนเต็ม]:[คะแนนเต็ม]])*tbl_task1[[%]:[%]])</calculatedColumnFormula>
    </tableColumn>
    <tableColumn id="148" name="S29" dataDxfId="3236">
      <calculatedColumnFormula>IF(ISBLANK(tbl_task1[[คะแนนเต็ม]:[คะแนนเต็ม]]),"",(tbl_task1[29]/tbl_task1[[คะแนนเต็ม]:[คะแนนเต็ม]])*tbl_task1[[%]:[%]])</calculatedColumnFormula>
    </tableColumn>
    <tableColumn id="149" name="S30" dataDxfId="3235">
      <calculatedColumnFormula>IF(ISBLANK(tbl_task1[[คะแนนเต็ม]:[คะแนนเต็ม]]),"",(tbl_task1[30]/tbl_task1[[คะแนนเต็ม]:[คะแนนเต็ม]])*tbl_task1[[%]:[%]])</calculatedColumnFormula>
    </tableColumn>
    <tableColumn id="150" name="S31" dataDxfId="3234">
      <calculatedColumnFormula>IF(ISBLANK(tbl_task1[[คะแนนเต็ม]:[คะแนนเต็ม]]),"",(tbl_task1[31]/tbl_task1[[คะแนนเต็ม]:[คะแนนเต็ม]])*tbl_task1[[%]:[%]])</calculatedColumnFormula>
    </tableColumn>
    <tableColumn id="151" name="S32" dataDxfId="3233">
      <calculatedColumnFormula>IF(ISBLANK(tbl_task1[[คะแนนเต็ม]:[คะแนนเต็ม]]),"",(tbl_task1[32]/tbl_task1[[คะแนนเต็ม]:[คะแนนเต็ม]])*tbl_task1[[%]:[%]])</calculatedColumnFormula>
    </tableColumn>
    <tableColumn id="152" name="S33" dataDxfId="3232">
      <calculatedColumnFormula>IF(ISBLANK(tbl_task1[[คะแนนเต็ม]:[คะแนนเต็ม]]),"",(tbl_task1[33]/tbl_task1[[คะแนนเต็ม]:[คะแนนเต็ม]])*tbl_task1[[%]:[%]])</calculatedColumnFormula>
    </tableColumn>
    <tableColumn id="153" name="S34" dataDxfId="3231">
      <calculatedColumnFormula>IF(ISBLANK(tbl_task1[[คะแนนเต็ม]:[คะแนนเต็ม]]),"",(tbl_task1[34]/tbl_task1[[คะแนนเต็ม]:[คะแนนเต็ม]])*tbl_task1[[%]:[%]])</calculatedColumnFormula>
    </tableColumn>
    <tableColumn id="154" name="S35" dataDxfId="3230">
      <calculatedColumnFormula>IF(ISBLANK(tbl_task1[[คะแนนเต็ม]:[คะแนนเต็ม]]),"",(tbl_task1[35]/tbl_task1[[คะแนนเต็ม]:[คะแนนเต็ม]])*tbl_task1[[%]:[%]])</calculatedColumnFormula>
    </tableColumn>
    <tableColumn id="155" name="S36" dataDxfId="3229">
      <calculatedColumnFormula>IF(ISBLANK(tbl_task1[[คะแนนเต็ม]:[คะแนนเต็ม]]),"",(tbl_task1[36]/tbl_task1[[คะแนนเต็ม]:[คะแนนเต็ม]])*tbl_task1[[%]:[%]])</calculatedColumnFormula>
    </tableColumn>
    <tableColumn id="156" name="S37" dataDxfId="3228">
      <calculatedColumnFormula>IF(ISBLANK(tbl_task1[[คะแนนเต็ม]:[คะแนนเต็ม]]),"",(tbl_task1[37]/tbl_task1[[คะแนนเต็ม]:[คะแนนเต็ม]])*tbl_task1[[%]:[%]])</calculatedColumnFormula>
    </tableColumn>
    <tableColumn id="157" name="S38" dataDxfId="3227">
      <calculatedColumnFormula>IF(ISBLANK(tbl_task1[[คะแนนเต็ม]:[คะแนนเต็ม]]),"",(tbl_task1[38]/tbl_task1[[คะแนนเต็ม]:[คะแนนเต็ม]])*tbl_task1[[%]:[%]])</calculatedColumnFormula>
    </tableColumn>
    <tableColumn id="158" name="S39" dataDxfId="3226">
      <calculatedColumnFormula>IF(ISBLANK(tbl_task1[[คะแนนเต็ม]:[คะแนนเต็ม]]),"",(tbl_task1[39]/tbl_task1[[คะแนนเต็ม]:[คะแนนเต็ม]])*tbl_task1[[%]:[%]])</calculatedColumnFormula>
    </tableColumn>
    <tableColumn id="159" name="S40" dataDxfId="3225">
      <calculatedColumnFormula>IF(ISBLANK(tbl_task1[[คะแนนเต็ม]:[คะแนนเต็ม]]),"",(tbl_task1[40]/tbl_task1[[คะแนนเต็ม]:[คะแนนเต็ม]])*tbl_task1[[%]:[%]])</calculatedColumnFormula>
    </tableColumn>
    <tableColumn id="160" name="S41" dataDxfId="3224">
      <calculatedColumnFormula>IF(ISBLANK(tbl_task1[[คะแนนเต็ม]:[คะแนนเต็ม]]),"",(tbl_task1[41]/tbl_task1[[คะแนนเต็ม]:[คะแนนเต็ม]])*tbl_task1[[%]:[%]])</calculatedColumnFormula>
    </tableColumn>
    <tableColumn id="161" name="S42" dataDxfId="3223">
      <calculatedColumnFormula>IF(ISBLANK(tbl_task1[[คะแนนเต็ม]:[คะแนนเต็ม]]),"",(tbl_task1[42]/tbl_task1[[คะแนนเต็ม]:[คะแนนเต็ม]])*tbl_task1[[%]:[%]])</calculatedColumnFormula>
    </tableColumn>
    <tableColumn id="162" name="S43" dataDxfId="3222">
      <calculatedColumnFormula>IF(ISBLANK(tbl_task1[[คะแนนเต็ม]:[คะแนนเต็ม]]),"",(tbl_task1[43]/tbl_task1[[คะแนนเต็ม]:[คะแนนเต็ม]])*tbl_task1[[%]:[%]])</calculatedColumnFormula>
    </tableColumn>
    <tableColumn id="163" name="S44" dataDxfId="3221">
      <calculatedColumnFormula>IF(ISBLANK(tbl_task1[[คะแนนเต็ม]:[คะแนนเต็ม]]),"",(tbl_task1[44]/tbl_task1[[คะแนนเต็ม]:[คะแนนเต็ม]])*tbl_task1[[%]:[%]])</calculatedColumnFormula>
    </tableColumn>
    <tableColumn id="164" name="S45" dataDxfId="3220">
      <calculatedColumnFormula>IF(ISBLANK(tbl_task1[[คะแนนเต็ม]:[คะแนนเต็ม]]),"",(tbl_task1[45]/tbl_task1[[คะแนนเต็ม]:[คะแนนเต็ม]])*tbl_task1[[%]:[%]])</calculatedColumnFormula>
    </tableColumn>
    <tableColumn id="165" name="S46" dataDxfId="3219">
      <calculatedColumnFormula>IF(ISBLANK(tbl_task1[[คะแนนเต็ม]:[คะแนนเต็ม]]),"",(tbl_task1[46]/tbl_task1[[คะแนนเต็ม]:[คะแนนเต็ม]])*tbl_task1[[%]:[%]])</calculatedColumnFormula>
    </tableColumn>
    <tableColumn id="166" name="S47" dataDxfId="3218">
      <calculatedColumnFormula>IF(ISBLANK(tbl_task1[[คะแนนเต็ม]:[คะแนนเต็ม]]),"",(tbl_task1[47]/tbl_task1[[คะแนนเต็ม]:[คะแนนเต็ม]])*tbl_task1[[%]:[%]])</calculatedColumnFormula>
    </tableColumn>
    <tableColumn id="167" name="S48" dataDxfId="3217">
      <calculatedColumnFormula>IF(ISBLANK(tbl_task1[[คะแนนเต็ม]:[คะแนนเต็ม]]),"",(tbl_task1[48]/tbl_task1[[คะแนนเต็ม]:[คะแนนเต็ม]])*tbl_task1[[%]:[%]])</calculatedColumnFormula>
    </tableColumn>
    <tableColumn id="168" name="S49" dataDxfId="3216">
      <calculatedColumnFormula>IF(ISBLANK(tbl_task1[[คะแนนเต็ม]:[คะแนนเต็ม]]),"",(tbl_task1[49]/tbl_task1[[คะแนนเต็ม]:[คะแนนเต็ม]])*tbl_task1[[%]:[%]])</calculatedColumnFormula>
    </tableColumn>
    <tableColumn id="169" name="S50" dataDxfId="3215">
      <calculatedColumnFormula>IF(ISBLANK(tbl_task1[[คะแนนเต็ม]:[คะแนนเต็ม]]),"",(tbl_task1[50]/tbl_task1[[คะแนนเต็ม]:[คะแนนเต็ม]])*tbl_task1[[%]:[%]])</calculatedColumnFormula>
    </tableColumn>
    <tableColumn id="170" name="S51" dataDxfId="3214">
      <calculatedColumnFormula>IF(ISBLANK(tbl_task1[[คะแนนเต็ม]:[คะแนนเต็ม]]),"",(tbl_task1[51]/tbl_task1[[คะแนนเต็ม]:[คะแนนเต็ม]])*tbl_task1[[%]:[%]])</calculatedColumnFormula>
    </tableColumn>
    <tableColumn id="171" name="S52" dataDxfId="3213">
      <calculatedColumnFormula>IF(ISBLANK(tbl_task1[[คะแนนเต็ม]:[คะแนนเต็ม]]),"",(tbl_task1[52]/tbl_task1[[คะแนนเต็ม]:[คะแนนเต็ม]])*tbl_task1[[%]:[%]])</calculatedColumnFormula>
    </tableColumn>
    <tableColumn id="172" name="S53" dataDxfId="3212">
      <calculatedColumnFormula>IF(ISBLANK(tbl_task1[[คะแนนเต็ม]:[คะแนนเต็ม]]),"",(tbl_task1[53]/tbl_task1[[คะแนนเต็ม]:[คะแนนเต็ม]])*tbl_task1[[%]:[%]])</calculatedColumnFormula>
    </tableColumn>
    <tableColumn id="173" name="S54" dataDxfId="3211">
      <calculatedColumnFormula>IF(ISBLANK(tbl_task1[[คะแนนเต็ม]:[คะแนนเต็ม]]),"",(tbl_task1[54]/tbl_task1[[คะแนนเต็ม]:[คะแนนเต็ม]])*tbl_task1[[%]:[%]])</calculatedColumnFormula>
    </tableColumn>
    <tableColumn id="174" name="S55" dataDxfId="3210">
      <calculatedColumnFormula>IF(ISBLANK(tbl_task1[[คะแนนเต็ม]:[คะแนนเต็ม]]),"",(tbl_task1[55]/tbl_task1[[คะแนนเต็ม]:[คะแนนเต็ม]])*tbl_task1[[%]:[%]])</calculatedColumnFormula>
    </tableColumn>
    <tableColumn id="175" name="S56" dataDxfId="3209">
      <calculatedColumnFormula>IF(ISBLANK(tbl_task1[[คะแนนเต็ม]:[คะแนนเต็ม]]),"",(tbl_task1[56]/tbl_task1[[คะแนนเต็ม]:[คะแนนเต็ม]])*tbl_task1[[%]:[%]])</calculatedColumnFormula>
    </tableColumn>
    <tableColumn id="176" name="S57" dataDxfId="3208">
      <calculatedColumnFormula>IF(ISBLANK(tbl_task1[[คะแนนเต็ม]:[คะแนนเต็ม]]),"",(tbl_task1[57]/tbl_task1[[คะแนนเต็ม]:[คะแนนเต็ม]])*tbl_task1[[%]:[%]])</calculatedColumnFormula>
    </tableColumn>
    <tableColumn id="177" name="S58" dataDxfId="3207">
      <calculatedColumnFormula>IF(ISBLANK(tbl_task1[[คะแนนเต็ม]:[คะแนนเต็ม]]),"",(tbl_task1[58]/tbl_task1[[คะแนนเต็ม]:[คะแนนเต็ม]])*tbl_task1[[%]:[%]])</calculatedColumnFormula>
    </tableColumn>
    <tableColumn id="178" name="S59" dataDxfId="3206">
      <calculatedColumnFormula>IF(ISBLANK(tbl_task1[[คะแนนเต็ม]:[คะแนนเต็ม]]),"",(tbl_task1[59]/tbl_task1[[คะแนนเต็ม]:[คะแนนเต็ม]])*tbl_task1[[%]:[%]])</calculatedColumnFormula>
    </tableColumn>
    <tableColumn id="179" name="S60" dataDxfId="3205">
      <calculatedColumnFormula>IF(ISBLANK(tbl_task1[[คะแนนเต็ม]:[คะแนนเต็ม]]),"",(tbl_task1[60]/tbl_task1[[คะแนนเต็ม]:[คะแนนเต็ม]])*tbl_task1[[%]:[%]])</calculatedColumnFormula>
    </tableColumn>
    <tableColumn id="180" name="S61" dataDxfId="3204">
      <calculatedColumnFormula>IF(ISBLANK(tbl_task1[[คะแนนเต็ม]:[คะแนนเต็ม]]),"",(tbl_task1[61]/tbl_task1[[คะแนนเต็ม]:[คะแนนเต็ม]])*tbl_task1[[%]:[%]])</calculatedColumnFormula>
    </tableColumn>
    <tableColumn id="181" name="S62" dataDxfId="3203">
      <calculatedColumnFormula>IF(ISBLANK(tbl_task1[[คะแนนเต็ม]:[คะแนนเต็ม]]),"",(tbl_task1[62]/tbl_task1[[คะแนนเต็ม]:[คะแนนเต็ม]])*tbl_task1[[%]:[%]])</calculatedColumnFormula>
    </tableColumn>
    <tableColumn id="182" name="S63" dataDxfId="3202">
      <calculatedColumnFormula>IF(ISBLANK(tbl_task1[[คะแนนเต็ม]:[คะแนนเต็ม]]),"",(tbl_task1[63]/tbl_task1[[คะแนนเต็ม]:[คะแนนเต็ม]])*tbl_task1[[%]:[%]])</calculatedColumnFormula>
    </tableColumn>
    <tableColumn id="183" name="S64" dataDxfId="3201">
      <calculatedColumnFormula>IF(ISBLANK(tbl_task1[[คะแนนเต็ม]:[คะแนนเต็ม]]),"",(tbl_task1[64]/tbl_task1[[คะแนนเต็ม]:[คะแนนเต็ม]])*tbl_task1[[%]:[%]])</calculatedColumnFormula>
    </tableColumn>
    <tableColumn id="184" name="S65" dataDxfId="3200">
      <calculatedColumnFormula>IF(ISBLANK(tbl_task1[[คะแนนเต็ม]:[คะแนนเต็ม]]),"",(tbl_task1[65]/tbl_task1[[คะแนนเต็ม]:[คะแนนเต็ม]])*tbl_task1[[%]:[%]])</calculatedColumnFormula>
    </tableColumn>
    <tableColumn id="185" name="S66" dataDxfId="3199">
      <calculatedColumnFormula>IF(ISBLANK(tbl_task1[[คะแนนเต็ม]:[คะแนนเต็ม]]),"",(tbl_task1[66]/tbl_task1[[คะแนนเต็ม]:[คะแนนเต็ม]])*tbl_task1[[%]:[%]])</calculatedColumnFormula>
    </tableColumn>
    <tableColumn id="186" name="S67" dataDxfId="3198">
      <calculatedColumnFormula>IF(ISBLANK(tbl_task1[[คะแนนเต็ม]:[คะแนนเต็ม]]),"",(tbl_task1[67]/tbl_task1[[คะแนนเต็ม]:[คะแนนเต็ม]])*tbl_task1[[%]:[%]])</calculatedColumnFormula>
    </tableColumn>
    <tableColumn id="187" name="S68" dataDxfId="3197">
      <calculatedColumnFormula>IF(ISBLANK(tbl_task1[[คะแนนเต็ม]:[คะแนนเต็ม]]),"",(tbl_task1[68]/tbl_task1[[คะแนนเต็ม]:[คะแนนเต็ม]])*tbl_task1[[%]:[%]])</calculatedColumnFormula>
    </tableColumn>
    <tableColumn id="188" name="S69" dataDxfId="3196">
      <calculatedColumnFormula>IF(ISBLANK(tbl_task1[[คะแนนเต็ม]:[คะแนนเต็ม]]),"",(tbl_task1[69]/tbl_task1[[คะแนนเต็ม]:[คะแนนเต็ม]])*tbl_task1[[%]:[%]])</calculatedColumnFormula>
    </tableColumn>
    <tableColumn id="189" name="S70" dataDxfId="3195">
      <calculatedColumnFormula>IF(ISBLANK(tbl_task1[[คะแนนเต็ม]:[คะแนนเต็ม]]),"",(tbl_task1[70]/tbl_task1[[คะแนนเต็ม]:[คะแนนเต็ม]])*tbl_task1[[%]:[%]])</calculatedColumnFormula>
    </tableColumn>
    <tableColumn id="190" name="S71" dataDxfId="3194">
      <calculatedColumnFormula>IF(ISBLANK(tbl_task1[[คะแนนเต็ม]:[คะแนนเต็ม]]),"",(tbl_task1[71]/tbl_task1[[คะแนนเต็ม]:[คะแนนเต็ม]])*tbl_task1[[%]:[%]])</calculatedColumnFormula>
    </tableColumn>
    <tableColumn id="191" name="S72" dataDxfId="3193">
      <calculatedColumnFormula>IF(ISBLANK(tbl_task1[[คะแนนเต็ม]:[คะแนนเต็ม]]),"",(tbl_task1[72]/tbl_task1[[คะแนนเต็ม]:[คะแนนเต็ม]])*tbl_task1[[%]:[%]])</calculatedColumnFormula>
    </tableColumn>
    <tableColumn id="192" name="S73" dataDxfId="3192">
      <calculatedColumnFormula>IF(ISBLANK(tbl_task1[[คะแนนเต็ม]:[คะแนนเต็ม]]),"",(tbl_task1[73]/tbl_task1[[คะแนนเต็ม]:[คะแนนเต็ม]])*tbl_task1[[%]:[%]])</calculatedColumnFormula>
    </tableColumn>
    <tableColumn id="193" name="S74" dataDxfId="3191">
      <calculatedColumnFormula>IF(ISBLANK(tbl_task1[[คะแนนเต็ม]:[คะแนนเต็ม]]),"",(tbl_task1[74]/tbl_task1[[คะแนนเต็ม]:[คะแนนเต็ม]])*tbl_task1[[%]:[%]])</calculatedColumnFormula>
    </tableColumn>
    <tableColumn id="194" name="S75" dataDxfId="3190">
      <calculatedColumnFormula>IF(ISBLANK(tbl_task1[[คะแนนเต็ม]:[คะแนนเต็ม]]),"",(tbl_task1[75]/tbl_task1[[คะแนนเต็ม]:[คะแนนเต็ม]])*tbl_task1[[%]:[%]])</calculatedColumnFormula>
    </tableColumn>
    <tableColumn id="195" name="S76" dataDxfId="3189">
      <calculatedColumnFormula>IF(ISBLANK(tbl_task1[[คะแนนเต็ม]:[คะแนนเต็ม]]),"",(tbl_task1[76]/tbl_task1[[คะแนนเต็ม]:[คะแนนเต็ม]])*tbl_task1[[%]:[%]])</calculatedColumnFormula>
    </tableColumn>
    <tableColumn id="196" name="S77" dataDxfId="3188">
      <calculatedColumnFormula>IF(ISBLANK(tbl_task1[[คะแนนเต็ม]:[คะแนนเต็ม]]),"",(tbl_task1[77]/tbl_task1[[คะแนนเต็ม]:[คะแนนเต็ม]])*tbl_task1[[%]:[%]])</calculatedColumnFormula>
    </tableColumn>
    <tableColumn id="197" name="S78" dataDxfId="3187">
      <calculatedColumnFormula>IF(ISBLANK(tbl_task1[[คะแนนเต็ม]:[คะแนนเต็ม]]),"",(tbl_task1[78]/tbl_task1[[คะแนนเต็ม]:[คะแนนเต็ม]])*tbl_task1[[%]:[%]])</calculatedColumnFormula>
    </tableColumn>
    <tableColumn id="198" name="S79" dataDxfId="3186">
      <calculatedColumnFormula>IF(ISBLANK(tbl_task1[[คะแนนเต็ม]:[คะแนนเต็ม]]),"",(tbl_task1[79]/tbl_task1[[คะแนนเต็ม]:[คะแนนเต็ม]])*tbl_task1[[%]:[%]])</calculatedColumnFormula>
    </tableColumn>
    <tableColumn id="199" name="S80" dataDxfId="3185">
      <calculatedColumnFormula>IF(ISBLANK(tbl_task1[[คะแนนเต็ม]:[คะแนนเต็ม]]),"",(tbl_task1[80]/tbl_task1[[คะแนนเต็ม]:[คะแนนเต็ม]])*tbl_task1[[%]:[%]])</calculatedColumnFormula>
    </tableColumn>
    <tableColumn id="200" name="S81" dataDxfId="3184">
      <calculatedColumnFormula>IF(ISBLANK(tbl_task1[[คะแนนเต็ม]:[คะแนนเต็ม]]),"",(tbl_task1[81]/tbl_task1[[คะแนนเต็ม]:[คะแนนเต็ม]])*tbl_task1[[%]:[%]])</calculatedColumnFormula>
    </tableColumn>
    <tableColumn id="201" name="S82" dataDxfId="3183">
      <calculatedColumnFormula>IF(ISBLANK(tbl_task1[[คะแนนเต็ม]:[คะแนนเต็ม]]),"",(tbl_task1[82]/tbl_task1[[คะแนนเต็ม]:[คะแนนเต็ม]])*tbl_task1[[%]:[%]])</calculatedColumnFormula>
    </tableColumn>
    <tableColumn id="202" name="S83" dataDxfId="3182">
      <calculatedColumnFormula>IF(ISBLANK(tbl_task1[[คะแนนเต็ม]:[คะแนนเต็ม]]),"",(tbl_task1[83]/tbl_task1[[คะแนนเต็ม]:[คะแนนเต็ม]])*tbl_task1[[%]:[%]])</calculatedColumnFormula>
    </tableColumn>
    <tableColumn id="203" name="S84" dataDxfId="3181">
      <calculatedColumnFormula>IF(ISBLANK(tbl_task1[[คะแนนเต็ม]:[คะแนนเต็ม]]),"",(tbl_task1[84]/tbl_task1[[คะแนนเต็ม]:[คะแนนเต็ม]])*tbl_task1[[%]:[%]])</calculatedColumnFormula>
    </tableColumn>
    <tableColumn id="204" name="S85" dataDxfId="3180">
      <calculatedColumnFormula>IF(ISBLANK(tbl_task1[[คะแนนเต็ม]:[คะแนนเต็ม]]),"",(tbl_task1[85]/tbl_task1[[คะแนนเต็ม]:[คะแนนเต็ม]])*tbl_task1[[%]:[%]])</calculatedColumnFormula>
    </tableColumn>
    <tableColumn id="286" name="S86" dataDxfId="3179">
      <calculatedColumnFormula>IF(ISBLANK(tbl_task1[[คะแนนเต็ม]:[คะแนนเต็ม]]),"",(tbl_task1[86]/tbl_task1[[คะแนนเต็ม]:[คะแนนเต็ม]])*tbl_task1[[%]:[%]])</calculatedColumnFormula>
    </tableColumn>
    <tableColumn id="287" name="S87" dataDxfId="3178">
      <calculatedColumnFormula>IF(ISBLANK(tbl_task1[[คะแนนเต็ม]:[คะแนนเต็ม]]),"",(tbl_task1[87]/tbl_task1[[คะแนนเต็ม]:[คะแนนเต็ม]])*tbl_task1[[%]:[%]])</calculatedColumnFormula>
    </tableColumn>
    <tableColumn id="288" name="S88" dataDxfId="3177">
      <calculatedColumnFormula>IF(ISBLANK(tbl_task1[[คะแนนเต็ม]:[คะแนนเต็ม]]),"",(tbl_task1[88]/tbl_task1[[คะแนนเต็ม]:[คะแนนเต็ม]])*tbl_task1[[%]:[%]])</calculatedColumnFormula>
    </tableColumn>
    <tableColumn id="289" name="S89" dataDxfId="3176">
      <calculatedColumnFormula>IF(ISBLANK(tbl_task1[[คะแนนเต็ม]:[คะแนนเต็ม]]),"",(tbl_task1[89]/tbl_task1[[คะแนนเต็ม]:[คะแนนเต็ม]])*tbl_task1[[%]:[%]])</calculatedColumnFormula>
    </tableColumn>
    <tableColumn id="290" name="S90" dataDxfId="3175">
      <calculatedColumnFormula>IF(ISBLANK(tbl_task1[[คะแนนเต็ม]:[คะแนนเต็ม]]),"",(tbl_task1[90]/tbl_task1[[คะแนนเต็ม]:[คะแนนเต็ม]])*tbl_task1[[%]:[%]])</calculatedColumnFormula>
    </tableColumn>
    <tableColumn id="291" name="S91" dataDxfId="3174">
      <calculatedColumnFormula>IF(ISBLANK(tbl_task1[[คะแนนเต็ม]:[คะแนนเต็ม]]),"",(tbl_task1[91]/tbl_task1[[คะแนนเต็ม]:[คะแนนเต็ม]])*tbl_task1[[%]:[%]])</calculatedColumnFormula>
    </tableColumn>
    <tableColumn id="292" name="S92" dataDxfId="3173">
      <calculatedColumnFormula>IF(ISBLANK(tbl_task1[[คะแนนเต็ม]:[คะแนนเต็ม]]),"",(tbl_task1[92]/tbl_task1[[คะแนนเต็ม]:[คะแนนเต็ม]])*tbl_task1[[%]:[%]])</calculatedColumnFormula>
    </tableColumn>
    <tableColumn id="293" name="S93" dataDxfId="3172">
      <calculatedColumnFormula>IF(ISBLANK(tbl_task1[[คะแนนเต็ม]:[คะแนนเต็ม]]),"",(tbl_task1[93]/tbl_task1[[คะแนนเต็ม]:[คะแนนเต็ม]])*tbl_task1[[%]:[%]])</calculatedColumnFormula>
    </tableColumn>
    <tableColumn id="294" name="S94" dataDxfId="3171">
      <calculatedColumnFormula>IF(ISBLANK(tbl_task1[[คะแนนเต็ม]:[คะแนนเต็ม]]),"",(tbl_task1[94]/tbl_task1[[คะแนนเต็ม]:[คะแนนเต็ม]])*tbl_task1[[%]:[%]])</calculatedColumnFormula>
    </tableColumn>
    <tableColumn id="295" name="S95" dataDxfId="3170">
      <calculatedColumnFormula>IF(ISBLANK(tbl_task1[[คะแนนเต็ม]:[คะแนนเต็ม]]),"",(tbl_task1[95]/tbl_task1[[คะแนนเต็ม]:[คะแนนเต็ม]])*tbl_task1[[%]:[%]])</calculatedColumnFormula>
    </tableColumn>
    <tableColumn id="296" name="S96" dataDxfId="3169">
      <calculatedColumnFormula>IF(ISBLANK(tbl_task1[[คะแนนเต็ม]:[คะแนนเต็ม]]),"",(tbl_task1[96]/tbl_task1[[คะแนนเต็ม]:[คะแนนเต็ม]])*tbl_task1[[%]:[%]])</calculatedColumnFormula>
    </tableColumn>
    <tableColumn id="297" name="S97" dataDxfId="3168">
      <calculatedColumnFormula>IF(ISBLANK(tbl_task1[[คะแนนเต็ม]:[คะแนนเต็ม]]),"",(tbl_task1[97]/tbl_task1[[คะแนนเต็ม]:[คะแนนเต็ม]])*tbl_task1[[%]:[%]])</calculatedColumnFormula>
    </tableColumn>
    <tableColumn id="298" name="S98" dataDxfId="3167">
      <calculatedColumnFormula>IF(ISBLANK(tbl_task1[[คะแนนเต็ม]:[คะแนนเต็ม]]),"",(tbl_task1[98]/tbl_task1[[คะแนนเต็ม]:[คะแนนเต็ม]])*tbl_task1[[%]:[%]])</calculatedColumnFormula>
    </tableColumn>
    <tableColumn id="299" name="S99" dataDxfId="3166">
      <calculatedColumnFormula>IF(ISBLANK(tbl_task1[[คะแนนเต็ม]:[คะแนนเต็ม]]),"",(tbl_task1[99]/tbl_task1[[คะแนนเต็ม]:[คะแนนเต็ม]])*tbl_task1[[%]:[%]])</calculatedColumnFormula>
    </tableColumn>
    <tableColumn id="300" name="S100" dataDxfId="3165">
      <calculatedColumnFormula>IF(ISBLANK(tbl_task1[[คะแนนเต็ม]:[คะแนนเต็ม]]),"",(tbl_task1[100]/tbl_task1[[คะแนนเต็ม]:[คะแนนเต็ม]])*tbl_task1[[%]:[%]])</calculatedColumnFormula>
    </tableColumn>
    <tableColumn id="301" name="S101" dataDxfId="3164">
      <calculatedColumnFormula>IF(ISBLANK(tbl_task1[[คะแนนเต็ม]:[คะแนนเต็ม]]),"",(tbl_task1[101]/tbl_task1[[คะแนนเต็ม]:[คะแนนเต็ม]])*tbl_task1[[%]:[%]])</calculatedColumnFormula>
    </tableColumn>
    <tableColumn id="302" name="S102" dataDxfId="3163">
      <calculatedColumnFormula>IF(ISBLANK(tbl_task1[[คะแนนเต็ม]:[คะแนนเต็ม]]),"",(tbl_task1[102]/tbl_task1[[คะแนนเต็ม]:[คะแนนเต็ม]])*tbl_task1[[%]:[%]])</calculatedColumnFormula>
    </tableColumn>
    <tableColumn id="303" name="S103" dataDxfId="3162">
      <calculatedColumnFormula>IF(ISBLANK(tbl_task1[[คะแนนเต็ม]:[คะแนนเต็ม]]),"",(tbl_task1[103]/tbl_task1[[คะแนนเต็ม]:[คะแนนเต็ม]])*tbl_task1[[%]:[%]])</calculatedColumnFormula>
    </tableColumn>
    <tableColumn id="304" name="S104" dataDxfId="3161">
      <calculatedColumnFormula>IF(ISBLANK(tbl_task1[[คะแนนเต็ม]:[คะแนนเต็ม]]),"",(tbl_task1[104]/tbl_task1[[คะแนนเต็ม]:[คะแนนเต็ม]])*tbl_task1[[%]:[%]])</calculatedColumnFormula>
    </tableColumn>
    <tableColumn id="305" name="S105" dataDxfId="3160">
      <calculatedColumnFormula>IF(ISBLANK(tbl_task1[[คะแนนเต็ม]:[คะแนนเต็ม]]),"",(tbl_task1[105]/tbl_task1[[คะแนนเต็ม]:[คะแนนเต็ม]])*tbl_task1[[%]:[%]])</calculatedColumnFormula>
    </tableColumn>
    <tableColumn id="306" name="S106" dataDxfId="3159">
      <calculatedColumnFormula>IF(ISBLANK(tbl_task1[[คะแนนเต็ม]:[คะแนนเต็ม]]),"",(tbl_task1[106]/tbl_task1[[คะแนนเต็ม]:[คะแนนเต็ม]])*tbl_task1[[%]:[%]])</calculatedColumnFormula>
    </tableColumn>
    <tableColumn id="307" name="S107" dataDxfId="3158">
      <calculatedColumnFormula>IF(ISBLANK(tbl_task1[[คะแนนเต็ม]:[คะแนนเต็ม]]),"",(tbl_task1[107]/tbl_task1[[คะแนนเต็ม]:[คะแนนเต็ม]])*tbl_task1[[%]:[%]])</calculatedColumnFormula>
    </tableColumn>
    <tableColumn id="308" name="S108" dataDxfId="3157">
      <calculatedColumnFormula>IF(ISBLANK(tbl_task1[[คะแนนเต็ม]:[คะแนนเต็ม]]),"",(tbl_task1[108]/tbl_task1[[คะแนนเต็ม]:[คะแนนเต็ม]])*tbl_task1[[%]:[%]])</calculatedColumnFormula>
    </tableColumn>
    <tableColumn id="309" name="S109" dataDxfId="3156">
      <calculatedColumnFormula>IF(ISBLANK(tbl_task1[[คะแนนเต็ม]:[คะแนนเต็ม]]),"",(tbl_task1[109]/tbl_task1[[คะแนนเต็ม]:[คะแนนเต็ม]])*tbl_task1[[%]:[%]])</calculatedColumnFormula>
    </tableColumn>
    <tableColumn id="310" name="S110" dataDxfId="3155">
      <calculatedColumnFormula>IF(ISBLANK(tbl_task1[[คะแนนเต็ม]:[คะแนนเต็ม]]),"",(tbl_task1[110]/tbl_task1[[คะแนนเต็ม]:[คะแนนเต็ม]])*tbl_task1[[%]:[%]])</calculatedColumnFormula>
    </tableColumn>
    <tableColumn id="311" name="S111" dataDxfId="3154">
      <calculatedColumnFormula>IF(ISBLANK(tbl_task1[[คะแนนเต็ม]:[คะแนนเต็ม]]),"",(tbl_task1[111]/tbl_task1[[คะแนนเต็ม]:[คะแนนเต็ม]])*tbl_task1[[%]:[%]])</calculatedColumnFormula>
    </tableColumn>
    <tableColumn id="312" name="S112" dataDxfId="3153">
      <calculatedColumnFormula>IF(ISBLANK(tbl_task1[[คะแนนเต็ม]:[คะแนนเต็ม]]),"",(tbl_task1[112]/tbl_task1[[คะแนนเต็ม]:[คะแนนเต็ม]])*tbl_task1[[%]:[%]])</calculatedColumnFormula>
    </tableColumn>
    <tableColumn id="313" name="S113" dataDxfId="3152">
      <calculatedColumnFormula>IF(ISBLANK(tbl_task1[[คะแนนเต็ม]:[คะแนนเต็ม]]),"",(tbl_task1[113]/tbl_task1[[คะแนนเต็ม]:[คะแนนเต็ม]])*tbl_task1[[%]:[%]])</calculatedColumnFormula>
    </tableColumn>
    <tableColumn id="314" name="S114" dataDxfId="3151">
      <calculatedColumnFormula>IF(ISBLANK(tbl_task1[[คะแนนเต็ม]:[คะแนนเต็ม]]),"",(tbl_task1[114]/tbl_task1[[คะแนนเต็ม]:[คะแนนเต็ม]])*tbl_task1[[%]:[%]])</calculatedColumnFormula>
    </tableColumn>
    <tableColumn id="315" name="S115" dataDxfId="3150">
      <calculatedColumnFormula>IF(ISBLANK(tbl_task1[[คะแนนเต็ม]:[คะแนนเต็ม]]),"",(tbl_task1[115]/tbl_task1[[คะแนนเต็ม]:[คะแนนเต็ม]])*tbl_task1[[%]:[%]])</calculatedColumnFormula>
    </tableColumn>
    <tableColumn id="205" name="S116" dataDxfId="3149">
      <calculatedColumnFormula>IF(ISBLANK(tbl_task1[[คะแนนเต็ม]:[คะแนนเต็ม]]),"",(tbl_task1[116]/tbl_task1[[คะแนนเต็ม]:[คะแนนเต็ม]])*tbl_task1[[%]:[%]])</calculatedColumnFormula>
    </tableColumn>
    <tableColumn id="206" name="S117" dataDxfId="3148">
      <calculatedColumnFormula>IF(ISBLANK(tbl_task1[[คะแนนเต็ม]:[คะแนนเต็ม]]),"",(tbl_task1[117]/tbl_task1[[คะแนนเต็ม]:[คะแนนเต็ม]])*tbl_task1[[%]:[%]])</calculatedColumnFormula>
    </tableColumn>
    <tableColumn id="207" name="S118" dataDxfId="3147">
      <calculatedColumnFormula>IF(ISBLANK(tbl_task1[[คะแนนเต็ม]:[คะแนนเต็ม]]),"",(tbl_task1[118]/tbl_task1[[คะแนนเต็ม]:[คะแนนเต็ม]])*tbl_task1[[%]:[%]])</calculatedColumnFormula>
    </tableColumn>
    <tableColumn id="208" name="S119" dataDxfId="3146">
      <calculatedColumnFormula>IF(ISBLANK(tbl_task1[[คะแนนเต็ม]:[คะแนนเต็ม]]),"",(tbl_task1[119]/tbl_task1[[คะแนนเต็ม]:[คะแนนเต็ม]])*tbl_task1[[%]:[%]])</calculatedColumnFormula>
    </tableColumn>
    <tableColumn id="209" name="S120" dataDxfId="3145">
      <calculatedColumnFormula>IF(ISBLANK(tbl_task1[[คะแนนเต็ม]:[คะแนนเต็ม]]),"",(tbl_task1[120]/tbl_task1[[คะแนนเต็ม]:[คะแนนเต็ม]])*tbl_task1[[%]:[%]])</calculatedColumnFormula>
    </tableColumn>
    <tableColumn id="210" name="S121" dataDxfId="3144">
      <calculatedColumnFormula>IF(ISBLANK(tbl_task1[[คะแนนเต็ม]:[คะแนนเต็ม]]),"",(tbl_task1[121]/tbl_task1[[คะแนนเต็ม]:[คะแนนเต็ม]])*tbl_task1[[%]:[%]])</calculatedColumnFormula>
    </tableColumn>
    <tableColumn id="211" name="S122" dataDxfId="3143">
      <calculatedColumnFormula>IF(ISBLANK(tbl_task1[[คะแนนเต็ม]:[คะแนนเต็ม]]),"",(tbl_task1[122]/tbl_task1[[คะแนนเต็ม]:[คะแนนเต็ม]])*tbl_task1[[%]:[%]])</calculatedColumnFormula>
    </tableColumn>
    <tableColumn id="316" name="S123" dataDxfId="3142">
      <calculatedColumnFormula>IF(ISBLANK(tbl_task1[[คะแนนเต็ม]:[คะแนนเต็ม]]),"",(tbl_task1[123]/tbl_task1[[คะแนนเต็ม]:[คะแนนเต็ม]])*tbl_task1[[%]:[%]])</calculatedColumnFormula>
    </tableColumn>
    <tableColumn id="317" name="S124" dataDxfId="3141">
      <calculatedColumnFormula>IF(ISBLANK(tbl_task1[[คะแนนเต็ม]:[คะแนนเต็ม]]),"",(tbl_task1[124]/tbl_task1[[คะแนนเต็ม]:[คะแนนเต็ม]])*tbl_task1[[%]:[%]])</calculatedColumnFormula>
    </tableColumn>
    <tableColumn id="318" name="S125" dataDxfId="3140">
      <calculatedColumnFormula>IF(ISBLANK(tbl_task1[[คะแนนเต็ม]:[คะแนนเต็ม]]),"",(tbl_task1[125]/tbl_task1[[คะแนนเต็ม]:[คะแนนเต็ม]])*tbl_task1[[%]:[%]])</calculatedColumnFormula>
    </tableColumn>
    <tableColumn id="319" name="S126" dataDxfId="3139">
      <calculatedColumnFormula>IF(ISBLANK(tbl_task1[[คะแนนเต็ม]:[คะแนนเต็ม]]),"",(tbl_task1[126]/tbl_task1[[คะแนนเต็ม]:[คะแนนเต็ม]])*tbl_task1[[%]:[%]])</calculatedColumnFormula>
    </tableColumn>
    <tableColumn id="320" name="S127" dataDxfId="3138">
      <calculatedColumnFormula>IF(ISBLANK(tbl_task1[[คะแนนเต็ม]:[คะแนนเต็ม]]),"",(tbl_task1[127]/tbl_task1[[คะแนนเต็ม]:[คะแนนเต็ม]])*tbl_task1[[%]:[%]])</calculatedColumnFormula>
    </tableColumn>
    <tableColumn id="321" name="S128" dataDxfId="3137">
      <calculatedColumnFormula>IF(ISBLANK(tbl_task1[[คะแนนเต็ม]:[คะแนนเต็ม]]),"",(tbl_task1[128]/tbl_task1[[คะแนนเต็ม]:[คะแนนเต็ม]])*tbl_task1[[%]:[%]])</calculatedColumnFormula>
    </tableColumn>
    <tableColumn id="322" name="S129" dataDxfId="3136">
      <calculatedColumnFormula>IF(ISBLANK(tbl_task1[[คะแนนเต็ม]:[คะแนนเต็ม]]),"",(tbl_task1[129]/tbl_task1[[คะแนนเต็ม]:[คะแนนเต็ม]])*tbl_task1[[%]:[%]])</calculatedColumnFormula>
    </tableColumn>
    <tableColumn id="212" name="S130" dataDxfId="3135">
      <calculatedColumnFormula>IF(ISBLANK(tbl_task1[[คะแนนเต็ม]:[คะแนนเต็ม]]),"",(tbl_task1[130]/tbl_task1[[คะแนนเต็ม]:[คะแนนเต็ม]])*tbl_task1[[%]:[%]])</calculatedColumnFormula>
    </tableColumn>
    <tableColumn id="213" name="S131" dataDxfId="3134">
      <calculatedColumnFormula>IF(ISBLANK(tbl_task1[[คะแนนเต็ม]:[คะแนนเต็ม]]),"",(tbl_task1[131]/tbl_task1[[คะแนนเต็ม]:[คะแนนเต็ม]])*tbl_task1[[%]:[%]])</calculatedColumnFormula>
    </tableColumn>
    <tableColumn id="214" name="S132" dataDxfId="3133">
      <calculatedColumnFormula>IF(ISBLANK(tbl_task1[[คะแนนเต็ม]:[คะแนนเต็ม]]),"",(tbl_task1[132]/tbl_task1[[คะแนนเต็ม]:[คะแนนเต็ม]])*tbl_task1[[%]:[%]])</calculatedColumnFormula>
    </tableColumn>
    <tableColumn id="215" name="S133" dataDxfId="3132">
      <calculatedColumnFormula>IF(ISBLANK(tbl_task1[[คะแนนเต็ม]:[คะแนนเต็ม]]),"",(tbl_task1[133]/tbl_task1[[คะแนนเต็ม]:[คะแนนเต็ม]])*tbl_task1[[%]:[%]])</calculatedColumnFormula>
    </tableColumn>
    <tableColumn id="216" name="S134" dataDxfId="3131">
      <calculatedColumnFormula>IF(ISBLANK(tbl_task1[[คะแนนเต็ม]:[คะแนนเต็ม]]),"",(tbl_task1[134]/tbl_task1[[คะแนนเต็ม]:[คะแนนเต็ม]])*tbl_task1[[%]:[%]])</calculatedColumnFormula>
    </tableColumn>
    <tableColumn id="217" name="S135" dataDxfId="3130">
      <calculatedColumnFormula>IF(ISBLANK(tbl_task1[[คะแนนเต็ม]:[คะแนนเต็ม]]),"",(tbl_task1[135]/tbl_task1[[คะแนนเต็ม]:[คะแนนเต็ม]])*tbl_task1[[%]:[%]])</calculatedColumnFormula>
    </tableColumn>
    <tableColumn id="218" name="S136" dataDxfId="3129">
      <calculatedColumnFormula>IF(ISBLANK(tbl_task1[[คะแนนเต็ม]:[คะแนนเต็ม]]),"",(tbl_task1[136]/tbl_task1[[คะแนนเต็ม]:[คะแนนเต็ม]])*tbl_task1[[%]:[%]])</calculatedColumnFormula>
    </tableColumn>
    <tableColumn id="219" name="S137" dataDxfId="3128">
      <calculatedColumnFormula>IF(ISBLANK(tbl_task1[[คะแนนเต็ม]:[คะแนนเต็ม]]),"",(tbl_task1[137]/tbl_task1[[คะแนนเต็ม]:[คะแนนเต็ม]])*tbl_task1[[%]:[%]])</calculatedColumnFormula>
    </tableColumn>
    <tableColumn id="220" name="S138" dataDxfId="3127">
      <calculatedColumnFormula>IF(ISBLANK(tbl_task1[[คะแนนเต็ม]:[คะแนนเต็ม]]),"",(tbl_task1[138]/tbl_task1[[คะแนนเต็ม]:[คะแนนเต็ม]])*tbl_task1[[%]:[%]])</calculatedColumnFormula>
    </tableColumn>
    <tableColumn id="221" name="S139" dataDxfId="3126">
      <calculatedColumnFormula>IF(ISBLANK(tbl_task1[[คะแนนเต็ม]:[คะแนนเต็ม]]),"",(tbl_task1[139]/tbl_task1[[คะแนนเต็ม]:[คะแนนเต็ม]])*tbl_task1[[%]:[%]])</calculatedColumnFormula>
    </tableColumn>
    <tableColumn id="222" name="S140" dataDxfId="3125">
      <calculatedColumnFormula>IF(ISBLANK(tbl_task1[[คะแนนเต็ม]:[คะแนนเต็ม]]),"",(tbl_task1[140]/tbl_task1[[คะแนนเต็ม]:[คะแนนเต็ม]])*tbl_task1[[%]:[%]])</calculatedColumnFormula>
    </tableColumn>
    <tableColumn id="223" name="S141" dataDxfId="3124">
      <calculatedColumnFormula>IF(ISBLANK(tbl_task1[[คะแนนเต็ม]:[คะแนนเต็ม]]),"",(tbl_task1[141]/tbl_task1[[คะแนนเต็ม]:[คะแนนเต็ม]])*tbl_task1[[%]:[%]])</calculatedColumnFormula>
    </tableColumn>
    <tableColumn id="323" name="S142" dataDxfId="3123">
      <calculatedColumnFormula>IF(ISBLANK(tbl_task1[[คะแนนเต็ม]:[คะแนนเต็ม]]),"",(tbl_task1[142]/tbl_task1[[คะแนนเต็ม]:[คะแนนเต็ม]])*tbl_task1[[%]:[%]])</calculatedColumnFormula>
    </tableColumn>
    <tableColumn id="324" name="S143" dataDxfId="3122">
      <calculatedColumnFormula>IF(ISBLANK(tbl_task1[[คะแนนเต็ม]:[คะแนนเต็ม]]),"",(tbl_task1[143]/tbl_task1[[คะแนนเต็ม]:[คะแนนเต็ม]])*tbl_task1[[%]:[%]])</calculatedColumnFormula>
    </tableColumn>
    <tableColumn id="325" name="S144" dataDxfId="3121">
      <calculatedColumnFormula>IF(ISBLANK(tbl_task1[[คะแนนเต็ม]:[คะแนนเต็ม]]),"",(tbl_task1[144]/tbl_task1[[คะแนนเต็ม]:[คะแนนเต็ม]])*tbl_task1[[%]:[%]])</calculatedColumnFormula>
    </tableColumn>
    <tableColumn id="326" name="S145" dataDxfId="3120">
      <calculatedColumnFormula>IF(ISBLANK(tbl_task1[[คะแนนเต็ม]:[คะแนนเต็ม]]),"",(tbl_task1[145]/tbl_task1[[คะแนนเต็ม]:[คะแนนเต็ม]])*tbl_task1[[%]:[%]])</calculatedColumnFormula>
    </tableColumn>
    <tableColumn id="327" name="S146" dataDxfId="3119">
      <calculatedColumnFormula>IF(ISBLANK(tbl_task1[[คะแนนเต็ม]:[คะแนนเต็ม]]),"",(tbl_task1[146]/tbl_task1[[คะแนนเต็ม]:[คะแนนเต็ม]])*tbl_task1[[%]:[%]])</calculatedColumnFormula>
    </tableColumn>
    <tableColumn id="328" name="S147" dataDxfId="3118">
      <calculatedColumnFormula>IF(ISBLANK(tbl_task1[[คะแนนเต็ม]:[คะแนนเต็ม]]),"",(tbl_task1[147]/tbl_task1[[คะแนนเต็ม]:[คะแนนเต็ม]])*tbl_task1[[%]:[%]])</calculatedColumnFormula>
    </tableColumn>
    <tableColumn id="329" name="S148" dataDxfId="3117">
      <calculatedColumnFormula>IF(ISBLANK(tbl_task1[[คะแนนเต็ม]:[คะแนนเต็ม]]),"",(tbl_task1[148]/tbl_task1[[คะแนนเต็ม]:[คะแนนเต็ม]])*tbl_task1[[%]:[%]])</calculatedColumnFormula>
    </tableColumn>
    <tableColumn id="330" name="S149" dataDxfId="3116">
      <calculatedColumnFormula>IF(ISBLANK(tbl_task1[[คะแนนเต็ม]:[คะแนนเต็ม]]),"",(tbl_task1[149]/tbl_task1[[คะแนนเต็ม]:[คะแนนเต็ม]])*tbl_task1[[%]:[%]])</calculatedColumnFormula>
    </tableColumn>
    <tableColumn id="331" name="S150" dataDxfId="3115">
      <calculatedColumnFormula>IF(ISBLANK(tbl_task1[[คะแนนเต็ม]:[คะแนนเต็ม]]),"",(tbl_task1[150]/tbl_task1[[คะแนนเต็ม]:[คะแนนเต็ม]])*tbl_task1[[%]:[%]])</calculatedColumnFormula>
    </tableColumn>
    <tableColumn id="332" name="S151" dataDxfId="3114">
      <calculatedColumnFormula>IF(ISBLANK(tbl_task1[[คะแนนเต็ม]:[คะแนนเต็ม]]),"",(tbl_task1[151]/tbl_task1[[คะแนนเต็ม]:[คะแนนเต็ม]])*tbl_task1[[%]:[%]])</calculatedColumnFormula>
    </tableColumn>
    <tableColumn id="333" name="S152" dataDxfId="3113">
      <calculatedColumnFormula>IF(ISBLANK(tbl_task1[[คะแนนเต็ม]:[คะแนนเต็ม]]),"",(tbl_task1[152]/tbl_task1[[คะแนนเต็ม]:[คะแนนเต็ม]])*tbl_task1[[%]:[%]])</calculatedColumnFormula>
    </tableColumn>
    <tableColumn id="224" name="S153" dataDxfId="3112">
      <calculatedColumnFormula>IF(ISBLANK(tbl_task1[[คะแนนเต็ม]:[คะแนนเต็ม]]),"",(tbl_task1[153]/tbl_task1[[คะแนนเต็ม]:[คะแนนเต็ม]])*tbl_task1[[%]:[%]])</calculatedColumnFormula>
    </tableColumn>
    <tableColumn id="225" name="S154" dataDxfId="3111">
      <calculatedColumnFormula>IF(ISBLANK(tbl_task1[[คะแนนเต็ม]:[คะแนนเต็ม]]),"",(tbl_task1[154]/tbl_task1[[คะแนนเต็ม]:[คะแนนเต็ม]])*tbl_task1[[%]:[%]])</calculatedColumnFormula>
    </tableColumn>
    <tableColumn id="226" name="S155" dataDxfId="3110">
      <calculatedColumnFormula>IF(ISBLANK(tbl_task1[[คะแนนเต็ม]:[คะแนนเต็ม]]),"",(tbl_task1[155]/tbl_task1[[คะแนนเต็ม]:[คะแนนเต็ม]])*tbl_task1[[%]:[%]])</calculatedColumnFormula>
    </tableColumn>
    <tableColumn id="227" name="S156" dataDxfId="3109">
      <calculatedColumnFormula>IF(ISBLANK(tbl_task1[[คะแนนเต็ม]:[คะแนนเต็ม]]),"",(tbl_task1[156]/tbl_task1[[คะแนนเต็ม]:[คะแนนเต็ม]])*tbl_task1[[%]:[%]])</calculatedColumnFormula>
    </tableColumn>
    <tableColumn id="228" name="S157" dataDxfId="3108">
      <calculatedColumnFormula>IF(ISBLANK(tbl_task1[[คะแนนเต็ม]:[คะแนนเต็ม]]),"",(tbl_task1[157]/tbl_task1[[คะแนนเต็ม]:[คะแนนเต็ม]])*tbl_task1[[%]:[%]])</calculatedColumnFormula>
    </tableColumn>
    <tableColumn id="229" name="S158" dataDxfId="3107">
      <calculatedColumnFormula>IF(ISBLANK(tbl_task1[[คะแนนเต็ม]:[คะแนนเต็ม]]),"",(tbl_task1[158]/tbl_task1[[คะแนนเต็ม]:[คะแนนเต็ม]])*tbl_task1[[%]:[%]])</calculatedColumnFormula>
    </tableColumn>
    <tableColumn id="230" name="S159" dataDxfId="3106">
      <calculatedColumnFormula>IF(ISBLANK(tbl_task1[[คะแนนเต็ม]:[คะแนนเต็ม]]),"",(tbl_task1[159]/tbl_task1[[คะแนนเต็ม]:[คะแนนเต็ม]])*tbl_task1[[%]:[%]])</calculatedColumnFormula>
    </tableColumn>
    <tableColumn id="231" name="S160" dataDxfId="3105">
      <calculatedColumnFormula>IF(ISBLANK(tbl_task1[[คะแนนเต็ม]:[คะแนนเต็ม]]),"",(tbl_task1[160]/tbl_task1[[คะแนนเต็ม]:[คะแนนเต็ม]])*tbl_task1[[%]:[%]])</calculatedColumnFormula>
    </tableColumn>
    <tableColumn id="232" name="S161" dataDxfId="3104">
      <calculatedColumnFormula>IF(ISBLANK(tbl_task1[[คะแนนเต็ม]:[คะแนนเต็ม]]),"",(tbl_task1[161]/tbl_task1[[คะแนนเต็ม]:[คะแนนเต็ม]])*tbl_task1[[%]:[%]])</calculatedColumnFormula>
    </tableColumn>
    <tableColumn id="334" name="S162" dataDxfId="3103">
      <calculatedColumnFormula>IF(ISBLANK(tbl_task1[[คะแนนเต็ม]:[คะแนนเต็ม]]),"",(tbl_task1[162]/tbl_task1[[คะแนนเต็ม]:[คะแนนเต็ม]])*tbl_task1[[%]:[%]])</calculatedColumnFormula>
    </tableColumn>
    <tableColumn id="335" name="S163" dataDxfId="3102">
      <calculatedColumnFormula>IF(ISBLANK(tbl_task1[[คะแนนเต็ม]:[คะแนนเต็ม]]),"",(tbl_task1[163]/tbl_task1[[คะแนนเต็ม]:[คะแนนเต็ม]])*tbl_task1[[%]:[%]])</calculatedColumnFormula>
    </tableColumn>
    <tableColumn id="233" name="S164" dataDxfId="3101">
      <calculatedColumnFormula>IF(ISBLANK(tbl_task1[[คะแนนเต็ม]:[คะแนนเต็ม]]),"",(tbl_task1[164]/tbl_task1[[คะแนนเต็ม]:[คะแนนเต็ม]])*tbl_task1[[%]:[%]])</calculatedColumnFormula>
    </tableColumn>
    <tableColumn id="234" name="S165" dataDxfId="3100">
      <calculatedColumnFormula>IF(ISBLANK(tbl_task1[[คะแนนเต็ม]:[คะแนนเต็ม]]),"",(tbl_task1[165]/tbl_task1[[คะแนนเต็ม]:[คะแนนเต็ม]])*tbl_task1[[%]:[%]])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bl_task2" displayName="tbl_task2" ref="A3:LW28" totalsRowShown="0" headerRowDxfId="3099" dataDxfId="3097" headerRowBorderDxfId="3098" tableBorderDxfId="3096" totalsRowBorderDxfId="3095">
  <tableColumns count="335">
    <tableColumn id="1" name="No" dataDxfId="3094"/>
    <tableColumn id="2" name="SubPLOs" dataDxfId="3093"/>
    <tableColumn id="3" name="SubPLOs_name" dataDxfId="3092">
      <calculatedColumnFormula>IF(ISBLANK(B4),"",VLOOKUP(B4,tbl_PLOs[],2,0))</calculatedColumnFormula>
    </tableColumn>
    <tableColumn id="235" name="คะแนนเต็ม" dataDxfId="3091"/>
    <tableColumn id="4" name="%" dataDxfId="3090">
      <calculatedColumnFormula>IF(OR(ISBLANK(#REF!),ISBLANK(tbl_task2[[#This Row],[SubPLOs]])),"",#REF!/$B$29)</calculatedColumnFormula>
    </tableColumn>
    <tableColumn id="5" name="1" dataDxfId="3089"/>
    <tableColumn id="6" name="2" dataDxfId="3088"/>
    <tableColumn id="7" name="3" dataDxfId="3087"/>
    <tableColumn id="8" name="4" dataDxfId="3086"/>
    <tableColumn id="9" name="5" dataDxfId="3085"/>
    <tableColumn id="10" name="6" dataDxfId="3084"/>
    <tableColumn id="11" name="7" dataDxfId="3083"/>
    <tableColumn id="12" name="8" dataDxfId="3082"/>
    <tableColumn id="13" name="9" dataDxfId="3081"/>
    <tableColumn id="14" name="10" dataDxfId="3080"/>
    <tableColumn id="15" name="11" dataDxfId="3079"/>
    <tableColumn id="16" name="12" dataDxfId="3078"/>
    <tableColumn id="17" name="13" dataDxfId="3077"/>
    <tableColumn id="18" name="14" dataDxfId="3076"/>
    <tableColumn id="19" name="15" dataDxfId="3075"/>
    <tableColumn id="20" name="16" dataDxfId="3074"/>
    <tableColumn id="21" name="17" dataDxfId="3073"/>
    <tableColumn id="22" name="18" dataDxfId="3072"/>
    <tableColumn id="23" name="19" dataDxfId="3071"/>
    <tableColumn id="24" name="20" dataDxfId="3070"/>
    <tableColumn id="25" name="21" dataDxfId="3069"/>
    <tableColumn id="26" name="22" dataDxfId="3068"/>
    <tableColumn id="27" name="23" dataDxfId="3067"/>
    <tableColumn id="28" name="24" dataDxfId="3066"/>
    <tableColumn id="29" name="25" dataDxfId="3065"/>
    <tableColumn id="30" name="26" dataDxfId="3064"/>
    <tableColumn id="31" name="27" dataDxfId="3063"/>
    <tableColumn id="32" name="28" dataDxfId="3062"/>
    <tableColumn id="33" name="29" dataDxfId="3061"/>
    <tableColumn id="34" name="30" dataDxfId="3060"/>
    <tableColumn id="35" name="31" dataDxfId="3059"/>
    <tableColumn id="36" name="32" dataDxfId="3058"/>
    <tableColumn id="37" name="33" dataDxfId="3057"/>
    <tableColumn id="38" name="34" dataDxfId="3056"/>
    <tableColumn id="39" name="35" dataDxfId="3055"/>
    <tableColumn id="40" name="36" dataDxfId="3054"/>
    <tableColumn id="41" name="37" dataDxfId="3053"/>
    <tableColumn id="42" name="38" dataDxfId="3052"/>
    <tableColumn id="43" name="39" dataDxfId="3051"/>
    <tableColumn id="44" name="40" dataDxfId="3050"/>
    <tableColumn id="45" name="41" dataDxfId="3049"/>
    <tableColumn id="46" name="42" dataDxfId="3048"/>
    <tableColumn id="47" name="43" dataDxfId="3047"/>
    <tableColumn id="48" name="44" dataDxfId="3046"/>
    <tableColumn id="49" name="45" dataDxfId="3045"/>
    <tableColumn id="50" name="46" dataDxfId="3044"/>
    <tableColumn id="51" name="47" dataDxfId="3043"/>
    <tableColumn id="52" name="48" dataDxfId="3042"/>
    <tableColumn id="53" name="49" dataDxfId="3041"/>
    <tableColumn id="54" name="50" dataDxfId="3040"/>
    <tableColumn id="55" name="51" dataDxfId="3039"/>
    <tableColumn id="56" name="52" dataDxfId="3038"/>
    <tableColumn id="57" name="53" dataDxfId="3037"/>
    <tableColumn id="58" name="54" dataDxfId="3036"/>
    <tableColumn id="59" name="55" dataDxfId="3035"/>
    <tableColumn id="60" name="56" dataDxfId="3034"/>
    <tableColumn id="61" name="57" dataDxfId="3033"/>
    <tableColumn id="62" name="58" dataDxfId="3032"/>
    <tableColumn id="63" name="59" dataDxfId="3031"/>
    <tableColumn id="64" name="60" dataDxfId="3030"/>
    <tableColumn id="65" name="61" dataDxfId="3029"/>
    <tableColumn id="66" name="62" dataDxfId="3028"/>
    <tableColumn id="67" name="63" dataDxfId="3027"/>
    <tableColumn id="68" name="64" dataDxfId="3026"/>
    <tableColumn id="69" name="65" dataDxfId="3025"/>
    <tableColumn id="70" name="66" dataDxfId="3024"/>
    <tableColumn id="71" name="67" dataDxfId="3023"/>
    <tableColumn id="72" name="68" dataDxfId="3022"/>
    <tableColumn id="73" name="69" dataDxfId="3021"/>
    <tableColumn id="74" name="70" dataDxfId="3020"/>
    <tableColumn id="75" name="71" dataDxfId="3019"/>
    <tableColumn id="76" name="72" dataDxfId="3018"/>
    <tableColumn id="77" name="73" dataDxfId="3017"/>
    <tableColumn id="78" name="74" dataDxfId="3016"/>
    <tableColumn id="79" name="75" dataDxfId="3015"/>
    <tableColumn id="80" name="76" dataDxfId="3014"/>
    <tableColumn id="81" name="77" dataDxfId="3013"/>
    <tableColumn id="82" name="78" dataDxfId="3012"/>
    <tableColumn id="83" name="79" dataDxfId="3011"/>
    <tableColumn id="84" name="80" dataDxfId="3010"/>
    <tableColumn id="85" name="81" dataDxfId="3009"/>
    <tableColumn id="86" name="82" dataDxfId="3008"/>
    <tableColumn id="87" name="83" dataDxfId="3007"/>
    <tableColumn id="88" name="84" dataDxfId="3006"/>
    <tableColumn id="89" name="85" dataDxfId="3005"/>
    <tableColumn id="90" name="86" dataDxfId="3004"/>
    <tableColumn id="91" name="87" dataDxfId="3003"/>
    <tableColumn id="92" name="88" dataDxfId="3002"/>
    <tableColumn id="93" name="89" dataDxfId="3001"/>
    <tableColumn id="94" name="90" dataDxfId="3000"/>
    <tableColumn id="236" name="91" dataDxfId="2999"/>
    <tableColumn id="237" name="92" dataDxfId="2998"/>
    <tableColumn id="238" name="93" dataDxfId="2997"/>
    <tableColumn id="239" name="94" dataDxfId="2996"/>
    <tableColumn id="240" name="95" dataDxfId="2995"/>
    <tableColumn id="241" name="96" dataDxfId="2994"/>
    <tableColumn id="242" name="97" dataDxfId="2993"/>
    <tableColumn id="243" name="98" dataDxfId="2992"/>
    <tableColumn id="244" name="99" dataDxfId="2991"/>
    <tableColumn id="245" name="100" dataDxfId="2990"/>
    <tableColumn id="246" name="101" dataDxfId="2989"/>
    <tableColumn id="247" name="102" dataDxfId="2988"/>
    <tableColumn id="248" name="103" dataDxfId="2987"/>
    <tableColumn id="249" name="104" dataDxfId="2986"/>
    <tableColumn id="250" name="105" dataDxfId="2985"/>
    <tableColumn id="251" name="106" dataDxfId="2984"/>
    <tableColumn id="252" name="107" dataDxfId="2983"/>
    <tableColumn id="253" name="108" dataDxfId="2982"/>
    <tableColumn id="254" name="109" dataDxfId="2981"/>
    <tableColumn id="255" name="110" dataDxfId="2980"/>
    <tableColumn id="256" name="111" dataDxfId="2979"/>
    <tableColumn id="257" name="112" dataDxfId="2978"/>
    <tableColumn id="258" name="113" dataDxfId="2977"/>
    <tableColumn id="259" name="114" dataDxfId="2976"/>
    <tableColumn id="260" name="115" dataDxfId="2975"/>
    <tableColumn id="95" name="116" dataDxfId="2974"/>
    <tableColumn id="96" name="117" dataDxfId="2973"/>
    <tableColumn id="97" name="118" dataDxfId="2972"/>
    <tableColumn id="98" name="119" dataDxfId="2971"/>
    <tableColumn id="99" name="120" dataDxfId="2970"/>
    <tableColumn id="100" name="121" dataDxfId="2969"/>
    <tableColumn id="101" name="122" dataDxfId="2968"/>
    <tableColumn id="102" name="123" dataDxfId="2967"/>
    <tableColumn id="261" name="124" dataDxfId="2966"/>
    <tableColumn id="262" name="125" dataDxfId="2965"/>
    <tableColumn id="263" name="126" dataDxfId="2964"/>
    <tableColumn id="264" name="127" dataDxfId="2963"/>
    <tableColumn id="265" name="128" dataDxfId="2962"/>
    <tableColumn id="266" name="129" dataDxfId="2961"/>
    <tableColumn id="267" name="130" dataDxfId="2960"/>
    <tableColumn id="268" name="131" dataDxfId="2959"/>
    <tableColumn id="269" name="132" dataDxfId="2958"/>
    <tableColumn id="270" name="133" dataDxfId="2957"/>
    <tableColumn id="271" name="134" dataDxfId="2956"/>
    <tableColumn id="272" name="135" dataDxfId="2955"/>
    <tableColumn id="273" name="136" dataDxfId="2954"/>
    <tableColumn id="274" name="137" dataDxfId="2953"/>
    <tableColumn id="275" name="138" dataDxfId="2952"/>
    <tableColumn id="276" name="139" dataDxfId="2951"/>
    <tableColumn id="277" name="140" dataDxfId="2950"/>
    <tableColumn id="103" name="141" dataDxfId="2949"/>
    <tableColumn id="104" name="142" dataDxfId="2948"/>
    <tableColumn id="105" name="143" dataDxfId="2947"/>
    <tableColumn id="106" name="144" dataDxfId="2946"/>
    <tableColumn id="107" name="145" dataDxfId="2945"/>
    <tableColumn id="108" name="146" dataDxfId="2944"/>
    <tableColumn id="109" name="147" dataDxfId="2943"/>
    <tableColumn id="110" name="148" dataDxfId="2942"/>
    <tableColumn id="111" name="149" dataDxfId="2941"/>
    <tableColumn id="278" name="150" dataDxfId="2940"/>
    <tableColumn id="279" name="151" dataDxfId="2939"/>
    <tableColumn id="280" name="152" dataDxfId="2938"/>
    <tableColumn id="281" name="153" dataDxfId="2937"/>
    <tableColumn id="282" name="154" dataDxfId="2936"/>
    <tableColumn id="283" name="155" dataDxfId="2935"/>
    <tableColumn id="284" name="156" dataDxfId="2934"/>
    <tableColumn id="285" name="157" dataDxfId="2933"/>
    <tableColumn id="112" name="158" dataDxfId="2932"/>
    <tableColumn id="113" name="159" dataDxfId="2931"/>
    <tableColumn id="114" name="160" dataDxfId="2930"/>
    <tableColumn id="115" name="161" dataDxfId="2929"/>
    <tableColumn id="116" name="162" dataDxfId="2928"/>
    <tableColumn id="117" name="163" dataDxfId="2927"/>
    <tableColumn id="118" name="164" dataDxfId="2926"/>
    <tableColumn id="119" name="165" dataDxfId="2925"/>
    <tableColumn id="120" name="S1" dataDxfId="2924">
      <calculatedColumnFormula>IF(ISBLANK(tbl_task2[[คะแนนเต็ม]:[คะแนนเต็ม]]),"",(tbl_task2[1]/tbl_task2[[คะแนนเต็ม]:[คะแนนเต็ม]])*tbl_task2[[%]:[%]])</calculatedColumnFormula>
    </tableColumn>
    <tableColumn id="121" name="S2" dataDxfId="2923">
      <calculatedColumnFormula>IF(ISBLANK(tbl_task2[[คะแนนเต็ม]:[คะแนนเต็ม]]),"",(tbl_task2[2]/tbl_task2[[คะแนนเต็ม]:[คะแนนเต็ม]])*tbl_task2[[%]:[%]])</calculatedColumnFormula>
    </tableColumn>
    <tableColumn id="122" name="S3" dataDxfId="2922">
      <calculatedColumnFormula>IF(ISBLANK(tbl_task2[[คะแนนเต็ม]:[คะแนนเต็ม]]),"",(tbl_task2[3]/tbl_task2[[คะแนนเต็ม]:[คะแนนเต็ม]])*tbl_task2[[%]:[%]])</calculatedColumnFormula>
    </tableColumn>
    <tableColumn id="123" name="S4" dataDxfId="2921">
      <calculatedColumnFormula>IF(ISBLANK(tbl_task2[[คะแนนเต็ม]:[คะแนนเต็ม]]),"",(tbl_task2[4]/tbl_task2[[คะแนนเต็ม]:[คะแนนเต็ม]])*tbl_task2[[%]:[%]])</calculatedColumnFormula>
    </tableColumn>
    <tableColumn id="124" name="S5" dataDxfId="2920">
      <calculatedColumnFormula>IF(ISBLANK(tbl_task2[[คะแนนเต็ม]:[คะแนนเต็ม]]),"",(tbl_task2[5]/tbl_task2[[คะแนนเต็ม]:[คะแนนเต็ม]])*tbl_task2[[%]:[%]])</calculatedColumnFormula>
    </tableColumn>
    <tableColumn id="125" name="S6" dataDxfId="2919">
      <calculatedColumnFormula>IF(ISBLANK(tbl_task2[[คะแนนเต็ม]:[คะแนนเต็ม]]),"",(tbl_task2[6]/tbl_task2[[คะแนนเต็ม]:[คะแนนเต็ม]])*tbl_task2[[%]:[%]])</calculatedColumnFormula>
    </tableColumn>
    <tableColumn id="126" name="S7" dataDxfId="2918">
      <calculatedColumnFormula>IF(ISBLANK(tbl_task2[[คะแนนเต็ม]:[คะแนนเต็ม]]),"",(tbl_task2[7]/tbl_task2[[คะแนนเต็ม]:[คะแนนเต็ม]])*tbl_task2[[%]:[%]])</calculatedColumnFormula>
    </tableColumn>
    <tableColumn id="127" name="S8" dataDxfId="2917">
      <calculatedColumnFormula>IF(ISBLANK(tbl_task2[[คะแนนเต็ม]:[คะแนนเต็ม]]),"",(tbl_task2[8]/tbl_task2[[คะแนนเต็ม]:[คะแนนเต็ม]])*tbl_task2[[%]:[%]])</calculatedColumnFormula>
    </tableColumn>
    <tableColumn id="128" name="S9" dataDxfId="2916">
      <calculatedColumnFormula>IF(ISBLANK(tbl_task2[[คะแนนเต็ม]:[คะแนนเต็ม]]),"",(tbl_task2[9]/tbl_task2[[คะแนนเต็ม]:[คะแนนเต็ม]])*tbl_task2[[%]:[%]])</calculatedColumnFormula>
    </tableColumn>
    <tableColumn id="129" name="S10" dataDxfId="2915">
      <calculatedColumnFormula>IF(ISBLANK(tbl_task2[[คะแนนเต็ม]:[คะแนนเต็ม]]),"",(tbl_task2[10]/tbl_task2[[คะแนนเต็ม]:[คะแนนเต็ม]])*tbl_task2[[%]:[%]])</calculatedColumnFormula>
    </tableColumn>
    <tableColumn id="130" name="S11" dataDxfId="2914">
      <calculatedColumnFormula>IF(ISBLANK(tbl_task2[[คะแนนเต็ม]:[คะแนนเต็ม]]),"",(tbl_task2[11]/tbl_task2[[คะแนนเต็ม]:[คะแนนเต็ม]])*tbl_task2[[%]:[%]])</calculatedColumnFormula>
    </tableColumn>
    <tableColumn id="131" name="S12" dataDxfId="2913">
      <calculatedColumnFormula>IF(ISBLANK(tbl_task2[[คะแนนเต็ม]:[คะแนนเต็ม]]),"",(tbl_task2[12]/tbl_task2[[คะแนนเต็ม]:[คะแนนเต็ม]])*tbl_task2[[%]:[%]])</calculatedColumnFormula>
    </tableColumn>
    <tableColumn id="132" name="S13" dataDxfId="2912">
      <calculatedColumnFormula>IF(ISBLANK(tbl_task2[[คะแนนเต็ม]:[คะแนนเต็ม]]),"",(tbl_task2[13]/tbl_task2[[คะแนนเต็ม]:[คะแนนเต็ม]])*tbl_task2[[%]:[%]])</calculatedColumnFormula>
    </tableColumn>
    <tableColumn id="133" name="S14" dataDxfId="2911">
      <calculatedColumnFormula>IF(ISBLANK(tbl_task2[[คะแนนเต็ม]:[คะแนนเต็ม]]),"",(tbl_task2[14]/tbl_task2[[คะแนนเต็ม]:[คะแนนเต็ม]])*tbl_task2[[%]:[%]])</calculatedColumnFormula>
    </tableColumn>
    <tableColumn id="134" name="S15" dataDxfId="2910">
      <calculatedColumnFormula>IF(ISBLANK(tbl_task2[[คะแนนเต็ม]:[คะแนนเต็ม]]),"",(tbl_task2[15]/tbl_task2[[คะแนนเต็ม]:[คะแนนเต็ม]])*tbl_task2[[%]:[%]])</calculatedColumnFormula>
    </tableColumn>
    <tableColumn id="135" name="S16" dataDxfId="2909">
      <calculatedColumnFormula>IF(ISBLANK(tbl_task2[[คะแนนเต็ม]:[คะแนนเต็ม]]),"",(tbl_task2[16]/tbl_task2[[คะแนนเต็ม]:[คะแนนเต็ม]])*tbl_task2[[%]:[%]])</calculatedColumnFormula>
    </tableColumn>
    <tableColumn id="136" name="S17" dataDxfId="2908">
      <calculatedColumnFormula>IF(ISBLANK(tbl_task2[[คะแนนเต็ม]:[คะแนนเต็ม]]),"",(tbl_task2[17]/tbl_task2[[คะแนนเต็ม]:[คะแนนเต็ม]])*tbl_task2[[%]:[%]])</calculatedColumnFormula>
    </tableColumn>
    <tableColumn id="137" name="S18" dataDxfId="2907">
      <calculatedColumnFormula>IF(ISBLANK(tbl_task2[[คะแนนเต็ม]:[คะแนนเต็ม]]),"",(tbl_task2[18]/tbl_task2[[คะแนนเต็ม]:[คะแนนเต็ม]])*tbl_task2[[%]:[%]])</calculatedColumnFormula>
    </tableColumn>
    <tableColumn id="138" name="S19" dataDxfId="2906">
      <calculatedColumnFormula>IF(ISBLANK(tbl_task2[[คะแนนเต็ม]:[คะแนนเต็ม]]),"",(tbl_task2[19]/tbl_task2[[คะแนนเต็ม]:[คะแนนเต็ม]])*tbl_task2[[%]:[%]])</calculatedColumnFormula>
    </tableColumn>
    <tableColumn id="139" name="S20" dataDxfId="2905">
      <calculatedColumnFormula>IF(ISBLANK(tbl_task2[[คะแนนเต็ม]:[คะแนนเต็ม]]),"",(tbl_task2[20]/tbl_task2[[คะแนนเต็ม]:[คะแนนเต็ม]])*tbl_task2[[%]:[%]])</calculatedColumnFormula>
    </tableColumn>
    <tableColumn id="140" name="S21" dataDxfId="2904">
      <calculatedColumnFormula>IF(ISBLANK(tbl_task2[[คะแนนเต็ม]:[คะแนนเต็ม]]),"",(tbl_task2[21]/tbl_task2[[คะแนนเต็ม]:[คะแนนเต็ม]])*tbl_task2[[%]:[%]])</calculatedColumnFormula>
    </tableColumn>
    <tableColumn id="141" name="S22" dataDxfId="2903">
      <calculatedColumnFormula>IF(ISBLANK(tbl_task2[[คะแนนเต็ม]:[คะแนนเต็ม]]),"",(tbl_task2[22]/tbl_task2[[คะแนนเต็ม]:[คะแนนเต็ม]])*tbl_task2[[%]:[%]])</calculatedColumnFormula>
    </tableColumn>
    <tableColumn id="142" name="S23" dataDxfId="2902">
      <calculatedColumnFormula>IF(ISBLANK(tbl_task2[[คะแนนเต็ม]:[คะแนนเต็ม]]),"",(tbl_task2[23]/tbl_task2[[คะแนนเต็ม]:[คะแนนเต็ม]])*tbl_task2[[%]:[%]])</calculatedColumnFormula>
    </tableColumn>
    <tableColumn id="143" name="S24" dataDxfId="2901">
      <calculatedColumnFormula>IF(ISBLANK(tbl_task2[[คะแนนเต็ม]:[คะแนนเต็ม]]),"",(tbl_task2[24]/tbl_task2[[คะแนนเต็ม]:[คะแนนเต็ม]])*tbl_task2[[%]:[%]])</calculatedColumnFormula>
    </tableColumn>
    <tableColumn id="144" name="S25" dataDxfId="2900">
      <calculatedColumnFormula>IF(ISBLANK(tbl_task2[[คะแนนเต็ม]:[คะแนนเต็ม]]),"",(tbl_task2[25]/tbl_task2[[คะแนนเต็ม]:[คะแนนเต็ม]])*tbl_task2[[%]:[%]])</calculatedColumnFormula>
    </tableColumn>
    <tableColumn id="145" name="S26" dataDxfId="2899">
      <calculatedColumnFormula>IF(ISBLANK(tbl_task2[[คะแนนเต็ม]:[คะแนนเต็ม]]),"",(tbl_task2[26]/tbl_task2[[คะแนนเต็ม]:[คะแนนเต็ม]])*tbl_task2[[%]:[%]])</calculatedColumnFormula>
    </tableColumn>
    <tableColumn id="146" name="S27" dataDxfId="2898">
      <calculatedColumnFormula>IF(ISBLANK(tbl_task2[[คะแนนเต็ม]:[คะแนนเต็ม]]),"",(tbl_task2[27]/tbl_task2[[คะแนนเต็ม]:[คะแนนเต็ม]])*tbl_task2[[%]:[%]])</calculatedColumnFormula>
    </tableColumn>
    <tableColumn id="147" name="S28" dataDxfId="2897">
      <calculatedColumnFormula>IF(ISBLANK(tbl_task2[[คะแนนเต็ม]:[คะแนนเต็ม]]),"",(tbl_task2[28]/tbl_task2[[คะแนนเต็ม]:[คะแนนเต็ม]])*tbl_task2[[%]:[%]])</calculatedColumnFormula>
    </tableColumn>
    <tableColumn id="148" name="S29" dataDxfId="2896">
      <calculatedColumnFormula>IF(ISBLANK(tbl_task2[[คะแนนเต็ม]:[คะแนนเต็ม]]),"",(tbl_task2[29]/tbl_task2[[คะแนนเต็ม]:[คะแนนเต็ม]])*tbl_task2[[%]:[%]])</calculatedColumnFormula>
    </tableColumn>
    <tableColumn id="149" name="S30" dataDxfId="2895">
      <calculatedColumnFormula>IF(ISBLANK(tbl_task2[[คะแนนเต็ม]:[คะแนนเต็ม]]),"",(tbl_task2[30]/tbl_task2[[คะแนนเต็ม]:[คะแนนเต็ม]])*tbl_task2[[%]:[%]])</calculatedColumnFormula>
    </tableColumn>
    <tableColumn id="150" name="S31" dataDxfId="2894">
      <calculatedColumnFormula>IF(ISBLANK(tbl_task2[[คะแนนเต็ม]:[คะแนนเต็ม]]),"",(tbl_task2[31]/tbl_task2[[คะแนนเต็ม]:[คะแนนเต็ม]])*tbl_task2[[%]:[%]])</calculatedColumnFormula>
    </tableColumn>
    <tableColumn id="151" name="S32" dataDxfId="2893">
      <calculatedColumnFormula>IF(ISBLANK(tbl_task2[[คะแนนเต็ม]:[คะแนนเต็ม]]),"",(tbl_task2[32]/tbl_task2[[คะแนนเต็ม]:[คะแนนเต็ม]])*tbl_task2[[%]:[%]])</calculatedColumnFormula>
    </tableColumn>
    <tableColumn id="152" name="S33" dataDxfId="2892">
      <calculatedColumnFormula>IF(ISBLANK(tbl_task2[[คะแนนเต็ม]:[คะแนนเต็ม]]),"",(tbl_task2[33]/tbl_task2[[คะแนนเต็ม]:[คะแนนเต็ม]])*tbl_task2[[%]:[%]])</calculatedColumnFormula>
    </tableColumn>
    <tableColumn id="153" name="S34" dataDxfId="2891">
      <calculatedColumnFormula>IF(ISBLANK(tbl_task2[[คะแนนเต็ม]:[คะแนนเต็ม]]),"",(tbl_task2[34]/tbl_task2[[คะแนนเต็ม]:[คะแนนเต็ม]])*tbl_task2[[%]:[%]])</calculatedColumnFormula>
    </tableColumn>
    <tableColumn id="154" name="S35" dataDxfId="2890">
      <calculatedColumnFormula>IF(ISBLANK(tbl_task2[[คะแนนเต็ม]:[คะแนนเต็ม]]),"",(tbl_task2[35]/tbl_task2[[คะแนนเต็ม]:[คะแนนเต็ม]])*tbl_task2[[%]:[%]])</calculatedColumnFormula>
    </tableColumn>
    <tableColumn id="155" name="S36" dataDxfId="2889">
      <calculatedColumnFormula>IF(ISBLANK(tbl_task2[[คะแนนเต็ม]:[คะแนนเต็ม]]),"",(tbl_task2[36]/tbl_task2[[คะแนนเต็ม]:[คะแนนเต็ม]])*tbl_task2[[%]:[%]])</calculatedColumnFormula>
    </tableColumn>
    <tableColumn id="156" name="S37" dataDxfId="2888">
      <calculatedColumnFormula>IF(ISBLANK(tbl_task2[[คะแนนเต็ม]:[คะแนนเต็ม]]),"",(tbl_task2[37]/tbl_task2[[คะแนนเต็ม]:[คะแนนเต็ม]])*tbl_task2[[%]:[%]])</calculatedColumnFormula>
    </tableColumn>
    <tableColumn id="157" name="S38" dataDxfId="2887">
      <calculatedColumnFormula>IF(ISBLANK(tbl_task2[[คะแนนเต็ม]:[คะแนนเต็ม]]),"",(tbl_task2[38]/tbl_task2[[คะแนนเต็ม]:[คะแนนเต็ม]])*tbl_task2[[%]:[%]])</calculatedColumnFormula>
    </tableColumn>
    <tableColumn id="158" name="S39" dataDxfId="2886">
      <calculatedColumnFormula>IF(ISBLANK(tbl_task2[[คะแนนเต็ม]:[คะแนนเต็ม]]),"",(tbl_task2[39]/tbl_task2[[คะแนนเต็ม]:[คะแนนเต็ม]])*tbl_task2[[%]:[%]])</calculatedColumnFormula>
    </tableColumn>
    <tableColumn id="159" name="S40" dataDxfId="2885">
      <calculatedColumnFormula>IF(ISBLANK(tbl_task2[[คะแนนเต็ม]:[คะแนนเต็ม]]),"",(tbl_task2[40]/tbl_task2[[คะแนนเต็ม]:[คะแนนเต็ม]])*tbl_task2[[%]:[%]])</calculatedColumnFormula>
    </tableColumn>
    <tableColumn id="160" name="S41" dataDxfId="2884">
      <calculatedColumnFormula>IF(ISBLANK(tbl_task2[[คะแนนเต็ม]:[คะแนนเต็ม]]),"",(tbl_task2[41]/tbl_task2[[คะแนนเต็ม]:[คะแนนเต็ม]])*tbl_task2[[%]:[%]])</calculatedColumnFormula>
    </tableColumn>
    <tableColumn id="161" name="S42" dataDxfId="2883">
      <calculatedColumnFormula>IF(ISBLANK(tbl_task2[[คะแนนเต็ม]:[คะแนนเต็ม]]),"",(tbl_task2[42]/tbl_task2[[คะแนนเต็ม]:[คะแนนเต็ม]])*tbl_task2[[%]:[%]])</calculatedColumnFormula>
    </tableColumn>
    <tableColumn id="162" name="S43" dataDxfId="2882">
      <calculatedColumnFormula>IF(ISBLANK(tbl_task2[[คะแนนเต็ม]:[คะแนนเต็ม]]),"",(tbl_task2[43]/tbl_task2[[คะแนนเต็ม]:[คะแนนเต็ม]])*tbl_task2[[%]:[%]])</calculatedColumnFormula>
    </tableColumn>
    <tableColumn id="163" name="S44" dataDxfId="2881">
      <calculatedColumnFormula>IF(ISBLANK(tbl_task2[[คะแนนเต็ม]:[คะแนนเต็ม]]),"",(tbl_task2[44]/tbl_task2[[คะแนนเต็ม]:[คะแนนเต็ม]])*tbl_task2[[%]:[%]])</calculatedColumnFormula>
    </tableColumn>
    <tableColumn id="164" name="S45" dataDxfId="2880">
      <calculatedColumnFormula>IF(ISBLANK(tbl_task2[[คะแนนเต็ม]:[คะแนนเต็ม]]),"",(tbl_task2[45]/tbl_task2[[คะแนนเต็ม]:[คะแนนเต็ม]])*tbl_task2[[%]:[%]])</calculatedColumnFormula>
    </tableColumn>
    <tableColumn id="165" name="S46" dataDxfId="2879">
      <calculatedColumnFormula>IF(ISBLANK(tbl_task2[[คะแนนเต็ม]:[คะแนนเต็ม]]),"",(tbl_task2[46]/tbl_task2[[คะแนนเต็ม]:[คะแนนเต็ม]])*tbl_task2[[%]:[%]])</calculatedColumnFormula>
    </tableColumn>
    <tableColumn id="166" name="S47" dataDxfId="2878">
      <calculatedColumnFormula>IF(ISBLANK(tbl_task2[[คะแนนเต็ม]:[คะแนนเต็ม]]),"",(tbl_task2[47]/tbl_task2[[คะแนนเต็ม]:[คะแนนเต็ม]])*tbl_task2[[%]:[%]])</calculatedColumnFormula>
    </tableColumn>
    <tableColumn id="167" name="S48" dataDxfId="2877">
      <calculatedColumnFormula>IF(ISBLANK(tbl_task2[[คะแนนเต็ม]:[คะแนนเต็ม]]),"",(tbl_task2[48]/tbl_task2[[คะแนนเต็ม]:[คะแนนเต็ม]])*tbl_task2[[%]:[%]])</calculatedColumnFormula>
    </tableColumn>
    <tableColumn id="168" name="S49" dataDxfId="2876">
      <calculatedColumnFormula>IF(ISBLANK(tbl_task2[[คะแนนเต็ม]:[คะแนนเต็ม]]),"",(tbl_task2[49]/tbl_task2[[คะแนนเต็ม]:[คะแนนเต็ม]])*tbl_task2[[%]:[%]])</calculatedColumnFormula>
    </tableColumn>
    <tableColumn id="169" name="S50" dataDxfId="2875">
      <calculatedColumnFormula>IF(ISBLANK(tbl_task2[[คะแนนเต็ม]:[คะแนนเต็ม]]),"",(tbl_task2[50]/tbl_task2[[คะแนนเต็ม]:[คะแนนเต็ม]])*tbl_task2[[%]:[%]])</calculatedColumnFormula>
    </tableColumn>
    <tableColumn id="170" name="S51" dataDxfId="2874">
      <calculatedColumnFormula>IF(ISBLANK(tbl_task2[[คะแนนเต็ม]:[คะแนนเต็ม]]),"",(tbl_task2[51]/tbl_task2[[คะแนนเต็ม]:[คะแนนเต็ม]])*tbl_task2[[%]:[%]])</calculatedColumnFormula>
    </tableColumn>
    <tableColumn id="171" name="S52" dataDxfId="2873">
      <calculatedColumnFormula>IF(ISBLANK(tbl_task2[[คะแนนเต็ม]:[คะแนนเต็ม]]),"",(tbl_task2[52]/tbl_task2[[คะแนนเต็ม]:[คะแนนเต็ม]])*tbl_task2[[%]:[%]])</calculatedColumnFormula>
    </tableColumn>
    <tableColumn id="172" name="S53" dataDxfId="2872">
      <calculatedColumnFormula>IF(ISBLANK(tbl_task2[[คะแนนเต็ม]:[คะแนนเต็ม]]),"",(tbl_task2[53]/tbl_task2[[คะแนนเต็ม]:[คะแนนเต็ม]])*tbl_task2[[%]:[%]])</calculatedColumnFormula>
    </tableColumn>
    <tableColumn id="173" name="S54" dataDxfId="2871">
      <calculatedColumnFormula>IF(ISBLANK(tbl_task2[[คะแนนเต็ม]:[คะแนนเต็ม]]),"",(tbl_task2[54]/tbl_task2[[คะแนนเต็ม]:[คะแนนเต็ม]])*tbl_task2[[%]:[%]])</calculatedColumnFormula>
    </tableColumn>
    <tableColumn id="174" name="S55" dataDxfId="2870">
      <calculatedColumnFormula>IF(ISBLANK(tbl_task2[[คะแนนเต็ม]:[คะแนนเต็ม]]),"",(tbl_task2[55]/tbl_task2[[คะแนนเต็ม]:[คะแนนเต็ม]])*tbl_task2[[%]:[%]])</calculatedColumnFormula>
    </tableColumn>
    <tableColumn id="175" name="S56" dataDxfId="2869">
      <calculatedColumnFormula>IF(ISBLANK(tbl_task2[[คะแนนเต็ม]:[คะแนนเต็ม]]),"",(tbl_task2[56]/tbl_task2[[คะแนนเต็ม]:[คะแนนเต็ม]])*tbl_task2[[%]:[%]])</calculatedColumnFormula>
    </tableColumn>
    <tableColumn id="176" name="S57" dataDxfId="2868">
      <calculatedColumnFormula>IF(ISBLANK(tbl_task2[[คะแนนเต็ม]:[คะแนนเต็ม]]),"",(tbl_task2[57]/tbl_task2[[คะแนนเต็ม]:[คะแนนเต็ม]])*tbl_task2[[%]:[%]])</calculatedColumnFormula>
    </tableColumn>
    <tableColumn id="177" name="S58" dataDxfId="2867">
      <calculatedColumnFormula>IF(ISBLANK(tbl_task2[[คะแนนเต็ม]:[คะแนนเต็ม]]),"",(tbl_task2[58]/tbl_task2[[คะแนนเต็ม]:[คะแนนเต็ม]])*tbl_task2[[%]:[%]])</calculatedColumnFormula>
    </tableColumn>
    <tableColumn id="178" name="S59" dataDxfId="2866">
      <calculatedColumnFormula>IF(ISBLANK(tbl_task2[[คะแนนเต็ม]:[คะแนนเต็ม]]),"",(tbl_task2[59]/tbl_task2[[คะแนนเต็ม]:[คะแนนเต็ม]])*tbl_task2[[%]:[%]])</calculatedColumnFormula>
    </tableColumn>
    <tableColumn id="179" name="S60" dataDxfId="2865">
      <calculatedColumnFormula>IF(ISBLANK(tbl_task2[[คะแนนเต็ม]:[คะแนนเต็ม]]),"",(tbl_task2[60]/tbl_task2[[คะแนนเต็ม]:[คะแนนเต็ม]])*tbl_task2[[%]:[%]])</calculatedColumnFormula>
    </tableColumn>
    <tableColumn id="180" name="S61" dataDxfId="2864">
      <calculatedColumnFormula>IF(ISBLANK(tbl_task2[[คะแนนเต็ม]:[คะแนนเต็ม]]),"",(tbl_task2[61]/tbl_task2[[คะแนนเต็ม]:[คะแนนเต็ม]])*tbl_task2[[%]:[%]])</calculatedColumnFormula>
    </tableColumn>
    <tableColumn id="181" name="S62" dataDxfId="2863">
      <calculatedColumnFormula>IF(ISBLANK(tbl_task2[[คะแนนเต็ม]:[คะแนนเต็ม]]),"",(tbl_task2[62]/tbl_task2[[คะแนนเต็ม]:[คะแนนเต็ม]])*tbl_task2[[%]:[%]])</calculatedColumnFormula>
    </tableColumn>
    <tableColumn id="182" name="S63" dataDxfId="2862">
      <calculatedColumnFormula>IF(ISBLANK(tbl_task2[[คะแนนเต็ม]:[คะแนนเต็ม]]),"",(tbl_task2[63]/tbl_task2[[คะแนนเต็ม]:[คะแนนเต็ม]])*tbl_task2[[%]:[%]])</calculatedColumnFormula>
    </tableColumn>
    <tableColumn id="183" name="S64" dataDxfId="2861">
      <calculatedColumnFormula>IF(ISBLANK(tbl_task2[[คะแนนเต็ม]:[คะแนนเต็ม]]),"",(tbl_task2[64]/tbl_task2[[คะแนนเต็ม]:[คะแนนเต็ม]])*tbl_task2[[%]:[%]])</calculatedColumnFormula>
    </tableColumn>
    <tableColumn id="184" name="S65" dataDxfId="2860">
      <calculatedColumnFormula>IF(ISBLANK(tbl_task2[[คะแนนเต็ม]:[คะแนนเต็ม]]),"",(tbl_task2[65]/tbl_task2[[คะแนนเต็ม]:[คะแนนเต็ม]])*tbl_task2[[%]:[%]])</calculatedColumnFormula>
    </tableColumn>
    <tableColumn id="185" name="S66" dataDxfId="2859">
      <calculatedColumnFormula>IF(ISBLANK(tbl_task2[[คะแนนเต็ม]:[คะแนนเต็ม]]),"",(tbl_task2[66]/tbl_task2[[คะแนนเต็ม]:[คะแนนเต็ม]])*tbl_task2[[%]:[%]])</calculatedColumnFormula>
    </tableColumn>
    <tableColumn id="186" name="S67" dataDxfId="2858">
      <calculatedColumnFormula>IF(ISBLANK(tbl_task2[[คะแนนเต็ม]:[คะแนนเต็ม]]),"",(tbl_task2[67]/tbl_task2[[คะแนนเต็ม]:[คะแนนเต็ม]])*tbl_task2[[%]:[%]])</calculatedColumnFormula>
    </tableColumn>
    <tableColumn id="187" name="S68" dataDxfId="2857">
      <calculatedColumnFormula>IF(ISBLANK(tbl_task2[[คะแนนเต็ม]:[คะแนนเต็ม]]),"",(tbl_task2[68]/tbl_task2[[คะแนนเต็ม]:[คะแนนเต็ม]])*tbl_task2[[%]:[%]])</calculatedColumnFormula>
    </tableColumn>
    <tableColumn id="188" name="S69" dataDxfId="2856">
      <calculatedColumnFormula>IF(ISBLANK(tbl_task2[[คะแนนเต็ม]:[คะแนนเต็ม]]),"",(tbl_task2[69]/tbl_task2[[คะแนนเต็ม]:[คะแนนเต็ม]])*tbl_task2[[%]:[%]])</calculatedColumnFormula>
    </tableColumn>
    <tableColumn id="189" name="S70" dataDxfId="2855">
      <calculatedColumnFormula>IF(ISBLANK(tbl_task2[[คะแนนเต็ม]:[คะแนนเต็ม]]),"",(tbl_task2[70]/tbl_task2[[คะแนนเต็ม]:[คะแนนเต็ม]])*tbl_task2[[%]:[%]])</calculatedColumnFormula>
    </tableColumn>
    <tableColumn id="190" name="S71" dataDxfId="2854">
      <calculatedColumnFormula>IF(ISBLANK(tbl_task2[[คะแนนเต็ม]:[คะแนนเต็ม]]),"",(tbl_task2[71]/tbl_task2[[คะแนนเต็ม]:[คะแนนเต็ม]])*tbl_task2[[%]:[%]])</calculatedColumnFormula>
    </tableColumn>
    <tableColumn id="191" name="S72" dataDxfId="2853">
      <calculatedColumnFormula>IF(ISBLANK(tbl_task2[[คะแนนเต็ม]:[คะแนนเต็ม]]),"",(tbl_task2[72]/tbl_task2[[คะแนนเต็ม]:[คะแนนเต็ม]])*tbl_task2[[%]:[%]])</calculatedColumnFormula>
    </tableColumn>
    <tableColumn id="192" name="S73" dataDxfId="2852">
      <calculatedColumnFormula>IF(ISBLANK(tbl_task2[[คะแนนเต็ม]:[คะแนนเต็ม]]),"",(tbl_task2[73]/tbl_task2[[คะแนนเต็ม]:[คะแนนเต็ม]])*tbl_task2[[%]:[%]])</calculatedColumnFormula>
    </tableColumn>
    <tableColumn id="193" name="S74" dataDxfId="2851">
      <calculatedColumnFormula>IF(ISBLANK(tbl_task2[[คะแนนเต็ม]:[คะแนนเต็ม]]),"",(tbl_task2[74]/tbl_task2[[คะแนนเต็ม]:[คะแนนเต็ม]])*tbl_task2[[%]:[%]])</calculatedColumnFormula>
    </tableColumn>
    <tableColumn id="194" name="S75" dataDxfId="2850">
      <calculatedColumnFormula>IF(ISBLANK(tbl_task2[[คะแนนเต็ม]:[คะแนนเต็ม]]),"",(tbl_task2[75]/tbl_task2[[คะแนนเต็ม]:[คะแนนเต็ม]])*tbl_task2[[%]:[%]])</calculatedColumnFormula>
    </tableColumn>
    <tableColumn id="195" name="S76" dataDxfId="2849">
      <calculatedColumnFormula>IF(ISBLANK(tbl_task2[[คะแนนเต็ม]:[คะแนนเต็ม]]),"",(tbl_task2[76]/tbl_task2[[คะแนนเต็ม]:[คะแนนเต็ม]])*tbl_task2[[%]:[%]])</calculatedColumnFormula>
    </tableColumn>
    <tableColumn id="196" name="S77" dataDxfId="2848">
      <calculatedColumnFormula>IF(ISBLANK(tbl_task2[[คะแนนเต็ม]:[คะแนนเต็ม]]),"",(tbl_task2[77]/tbl_task2[[คะแนนเต็ม]:[คะแนนเต็ม]])*tbl_task2[[%]:[%]])</calculatedColumnFormula>
    </tableColumn>
    <tableColumn id="197" name="S78" dataDxfId="2847">
      <calculatedColumnFormula>IF(ISBLANK(tbl_task2[[คะแนนเต็ม]:[คะแนนเต็ม]]),"",(tbl_task2[78]/tbl_task2[[คะแนนเต็ม]:[คะแนนเต็ม]])*tbl_task2[[%]:[%]])</calculatedColumnFormula>
    </tableColumn>
    <tableColumn id="198" name="S79" dataDxfId="2846">
      <calculatedColumnFormula>IF(ISBLANK(tbl_task2[[คะแนนเต็ม]:[คะแนนเต็ม]]),"",(tbl_task2[79]/tbl_task2[[คะแนนเต็ม]:[คะแนนเต็ม]])*tbl_task2[[%]:[%]])</calculatedColumnFormula>
    </tableColumn>
    <tableColumn id="199" name="S80" dataDxfId="2845">
      <calculatedColumnFormula>IF(ISBLANK(tbl_task2[[คะแนนเต็ม]:[คะแนนเต็ม]]),"",(tbl_task2[80]/tbl_task2[[คะแนนเต็ม]:[คะแนนเต็ม]])*tbl_task2[[%]:[%]])</calculatedColumnFormula>
    </tableColumn>
    <tableColumn id="200" name="S81" dataDxfId="2844">
      <calculatedColumnFormula>IF(ISBLANK(tbl_task2[[คะแนนเต็ม]:[คะแนนเต็ม]]),"",(tbl_task2[81]/tbl_task2[[คะแนนเต็ม]:[คะแนนเต็ม]])*tbl_task2[[%]:[%]])</calculatedColumnFormula>
    </tableColumn>
    <tableColumn id="201" name="S82" dataDxfId="2843">
      <calculatedColumnFormula>IF(ISBLANK(tbl_task2[[คะแนนเต็ม]:[คะแนนเต็ม]]),"",(tbl_task2[82]/tbl_task2[[คะแนนเต็ม]:[คะแนนเต็ม]])*tbl_task2[[%]:[%]])</calculatedColumnFormula>
    </tableColumn>
    <tableColumn id="202" name="S83" dataDxfId="2842">
      <calculatedColumnFormula>IF(ISBLANK(tbl_task2[[คะแนนเต็ม]:[คะแนนเต็ม]]),"",(tbl_task2[83]/tbl_task2[[คะแนนเต็ม]:[คะแนนเต็ม]])*tbl_task2[[%]:[%]])</calculatedColumnFormula>
    </tableColumn>
    <tableColumn id="203" name="S84" dataDxfId="2841">
      <calculatedColumnFormula>IF(ISBLANK(tbl_task2[[คะแนนเต็ม]:[คะแนนเต็ม]]),"",(tbl_task2[84]/tbl_task2[[คะแนนเต็ม]:[คะแนนเต็ม]])*tbl_task2[[%]:[%]])</calculatedColumnFormula>
    </tableColumn>
    <tableColumn id="204" name="S85" dataDxfId="2840">
      <calculatedColumnFormula>IF(ISBLANK(tbl_task2[[คะแนนเต็ม]:[คะแนนเต็ม]]),"",(tbl_task2[85]/tbl_task2[[คะแนนเต็ม]:[คะแนนเต็ม]])*tbl_task2[[%]:[%]])</calculatedColumnFormula>
    </tableColumn>
    <tableColumn id="286" name="S86" dataDxfId="2839">
      <calculatedColumnFormula>IF(ISBLANK(tbl_task2[[คะแนนเต็ม]:[คะแนนเต็ม]]),"",(tbl_task2[86]/tbl_task2[[คะแนนเต็ม]:[คะแนนเต็ม]])*tbl_task2[[%]:[%]])</calculatedColumnFormula>
    </tableColumn>
    <tableColumn id="287" name="S87" dataDxfId="2838">
      <calculatedColumnFormula>IF(ISBLANK(tbl_task2[[คะแนนเต็ม]:[คะแนนเต็ม]]),"",(tbl_task2[87]/tbl_task2[[คะแนนเต็ม]:[คะแนนเต็ม]])*tbl_task2[[%]:[%]])</calculatedColumnFormula>
    </tableColumn>
    <tableColumn id="288" name="S88" dataDxfId="2837">
      <calculatedColumnFormula>IF(ISBLANK(tbl_task2[[คะแนนเต็ม]:[คะแนนเต็ม]]),"",(tbl_task2[88]/tbl_task2[[คะแนนเต็ม]:[คะแนนเต็ม]])*tbl_task2[[%]:[%]])</calculatedColumnFormula>
    </tableColumn>
    <tableColumn id="289" name="S89" dataDxfId="2836">
      <calculatedColumnFormula>IF(ISBLANK(tbl_task2[[คะแนนเต็ม]:[คะแนนเต็ม]]),"",(tbl_task2[89]/tbl_task2[[คะแนนเต็ม]:[คะแนนเต็ม]])*tbl_task2[[%]:[%]])</calculatedColumnFormula>
    </tableColumn>
    <tableColumn id="290" name="S90" dataDxfId="2835">
      <calculatedColumnFormula>IF(ISBLANK(tbl_task2[[คะแนนเต็ม]:[คะแนนเต็ม]]),"",(tbl_task2[90]/tbl_task2[[คะแนนเต็ม]:[คะแนนเต็ม]])*tbl_task2[[%]:[%]])</calculatedColumnFormula>
    </tableColumn>
    <tableColumn id="291" name="S91" dataDxfId="2834">
      <calculatedColumnFormula>IF(ISBLANK(tbl_task2[[คะแนนเต็ม]:[คะแนนเต็ม]]),"",(tbl_task2[91]/tbl_task2[[คะแนนเต็ม]:[คะแนนเต็ม]])*tbl_task2[[%]:[%]])</calculatedColumnFormula>
    </tableColumn>
    <tableColumn id="292" name="S92" dataDxfId="2833">
      <calculatedColumnFormula>IF(ISBLANK(tbl_task2[[คะแนนเต็ม]:[คะแนนเต็ม]]),"",(tbl_task2[92]/tbl_task2[[คะแนนเต็ม]:[คะแนนเต็ม]])*tbl_task2[[%]:[%]])</calculatedColumnFormula>
    </tableColumn>
    <tableColumn id="293" name="S93" dataDxfId="2832">
      <calculatedColumnFormula>IF(ISBLANK(tbl_task2[[คะแนนเต็ม]:[คะแนนเต็ม]]),"",(tbl_task2[93]/tbl_task2[[คะแนนเต็ม]:[คะแนนเต็ม]])*tbl_task2[[%]:[%]])</calculatedColumnFormula>
    </tableColumn>
    <tableColumn id="294" name="S94" dataDxfId="2831">
      <calculatedColumnFormula>IF(ISBLANK(tbl_task2[[คะแนนเต็ม]:[คะแนนเต็ม]]),"",(tbl_task2[94]/tbl_task2[[คะแนนเต็ม]:[คะแนนเต็ม]])*tbl_task2[[%]:[%]])</calculatedColumnFormula>
    </tableColumn>
    <tableColumn id="295" name="S95" dataDxfId="2830">
      <calculatedColumnFormula>IF(ISBLANK(tbl_task2[[คะแนนเต็ม]:[คะแนนเต็ม]]),"",(tbl_task2[95]/tbl_task2[[คะแนนเต็ม]:[คะแนนเต็ม]])*tbl_task2[[%]:[%]])</calculatedColumnFormula>
    </tableColumn>
    <tableColumn id="296" name="S96" dataDxfId="2829">
      <calculatedColumnFormula>IF(ISBLANK(tbl_task2[[คะแนนเต็ม]:[คะแนนเต็ม]]),"",(tbl_task2[96]/tbl_task2[[คะแนนเต็ม]:[คะแนนเต็ม]])*tbl_task2[[%]:[%]])</calculatedColumnFormula>
    </tableColumn>
    <tableColumn id="297" name="S97" dataDxfId="2828">
      <calculatedColumnFormula>IF(ISBLANK(tbl_task2[[คะแนนเต็ม]:[คะแนนเต็ม]]),"",(tbl_task2[97]/tbl_task2[[คะแนนเต็ม]:[คะแนนเต็ม]])*tbl_task2[[%]:[%]])</calculatedColumnFormula>
    </tableColumn>
    <tableColumn id="298" name="S98" dataDxfId="2827">
      <calculatedColumnFormula>IF(ISBLANK(tbl_task2[[คะแนนเต็ม]:[คะแนนเต็ม]]),"",(tbl_task2[98]/tbl_task2[[คะแนนเต็ม]:[คะแนนเต็ม]])*tbl_task2[[%]:[%]])</calculatedColumnFormula>
    </tableColumn>
    <tableColumn id="299" name="S99" dataDxfId="2826">
      <calculatedColumnFormula>IF(ISBLANK(tbl_task2[[คะแนนเต็ม]:[คะแนนเต็ม]]),"",(tbl_task2[99]/tbl_task2[[คะแนนเต็ม]:[คะแนนเต็ม]])*tbl_task2[[%]:[%]])</calculatedColumnFormula>
    </tableColumn>
    <tableColumn id="300" name="S100" dataDxfId="2825">
      <calculatedColumnFormula>IF(ISBLANK(tbl_task2[[คะแนนเต็ม]:[คะแนนเต็ม]]),"",(tbl_task2[100]/tbl_task2[[คะแนนเต็ม]:[คะแนนเต็ม]])*tbl_task2[[%]:[%]])</calculatedColumnFormula>
    </tableColumn>
    <tableColumn id="301" name="S101" dataDxfId="2824">
      <calculatedColumnFormula>IF(ISBLANK(tbl_task2[[คะแนนเต็ม]:[คะแนนเต็ม]]),"",(tbl_task2[101]/tbl_task2[[คะแนนเต็ม]:[คะแนนเต็ม]])*tbl_task2[[%]:[%]])</calculatedColumnFormula>
    </tableColumn>
    <tableColumn id="302" name="S102" dataDxfId="2823">
      <calculatedColumnFormula>IF(ISBLANK(tbl_task2[[คะแนนเต็ม]:[คะแนนเต็ม]]),"",(tbl_task2[102]/tbl_task2[[คะแนนเต็ม]:[คะแนนเต็ม]])*tbl_task2[[%]:[%]])</calculatedColumnFormula>
    </tableColumn>
    <tableColumn id="303" name="S103" dataDxfId="2822">
      <calculatedColumnFormula>IF(ISBLANK(tbl_task2[[คะแนนเต็ม]:[คะแนนเต็ม]]),"",(tbl_task2[103]/tbl_task2[[คะแนนเต็ม]:[คะแนนเต็ม]])*tbl_task2[[%]:[%]])</calculatedColumnFormula>
    </tableColumn>
    <tableColumn id="304" name="S104" dataDxfId="2821">
      <calculatedColumnFormula>IF(ISBLANK(tbl_task2[[คะแนนเต็ม]:[คะแนนเต็ม]]),"",(tbl_task2[104]/tbl_task2[[คะแนนเต็ม]:[คะแนนเต็ม]])*tbl_task2[[%]:[%]])</calculatedColumnFormula>
    </tableColumn>
    <tableColumn id="305" name="S105" dataDxfId="2820">
      <calculatedColumnFormula>IF(ISBLANK(tbl_task2[[คะแนนเต็ม]:[คะแนนเต็ม]]),"",(tbl_task2[105]/tbl_task2[[คะแนนเต็ม]:[คะแนนเต็ม]])*tbl_task2[[%]:[%]])</calculatedColumnFormula>
    </tableColumn>
    <tableColumn id="306" name="S106" dataDxfId="2819">
      <calculatedColumnFormula>IF(ISBLANK(tbl_task2[[คะแนนเต็ม]:[คะแนนเต็ม]]),"",(tbl_task2[106]/tbl_task2[[คะแนนเต็ม]:[คะแนนเต็ม]])*tbl_task2[[%]:[%]])</calculatedColumnFormula>
    </tableColumn>
    <tableColumn id="307" name="S107" dataDxfId="2818">
      <calculatedColumnFormula>IF(ISBLANK(tbl_task2[[คะแนนเต็ม]:[คะแนนเต็ม]]),"",(tbl_task2[107]/tbl_task2[[คะแนนเต็ม]:[คะแนนเต็ม]])*tbl_task2[[%]:[%]])</calculatedColumnFormula>
    </tableColumn>
    <tableColumn id="308" name="S108" dataDxfId="2817">
      <calculatedColumnFormula>IF(ISBLANK(tbl_task2[[คะแนนเต็ม]:[คะแนนเต็ม]]),"",(tbl_task2[108]/tbl_task2[[คะแนนเต็ม]:[คะแนนเต็ม]])*tbl_task2[[%]:[%]])</calculatedColumnFormula>
    </tableColumn>
    <tableColumn id="309" name="S109" dataDxfId="2816">
      <calculatedColumnFormula>IF(ISBLANK(tbl_task2[[คะแนนเต็ม]:[คะแนนเต็ม]]),"",(tbl_task2[109]/tbl_task2[[คะแนนเต็ม]:[คะแนนเต็ม]])*tbl_task2[[%]:[%]])</calculatedColumnFormula>
    </tableColumn>
    <tableColumn id="310" name="S110" dataDxfId="2815">
      <calculatedColumnFormula>IF(ISBLANK(tbl_task2[[คะแนนเต็ม]:[คะแนนเต็ม]]),"",(tbl_task2[110]/tbl_task2[[คะแนนเต็ม]:[คะแนนเต็ม]])*tbl_task2[[%]:[%]])</calculatedColumnFormula>
    </tableColumn>
    <tableColumn id="311" name="S111" dataDxfId="2814">
      <calculatedColumnFormula>IF(ISBLANK(tbl_task2[[คะแนนเต็ม]:[คะแนนเต็ม]]),"",(tbl_task2[111]/tbl_task2[[คะแนนเต็ม]:[คะแนนเต็ม]])*tbl_task2[[%]:[%]])</calculatedColumnFormula>
    </tableColumn>
    <tableColumn id="312" name="S112" dataDxfId="2813">
      <calculatedColumnFormula>IF(ISBLANK(tbl_task2[[คะแนนเต็ม]:[คะแนนเต็ม]]),"",(tbl_task2[112]/tbl_task2[[คะแนนเต็ม]:[คะแนนเต็ม]])*tbl_task2[[%]:[%]])</calculatedColumnFormula>
    </tableColumn>
    <tableColumn id="313" name="S113" dataDxfId="2812">
      <calculatedColumnFormula>IF(ISBLANK(tbl_task2[[คะแนนเต็ม]:[คะแนนเต็ม]]),"",(tbl_task2[113]/tbl_task2[[คะแนนเต็ม]:[คะแนนเต็ม]])*tbl_task2[[%]:[%]])</calculatedColumnFormula>
    </tableColumn>
    <tableColumn id="314" name="S114" dataDxfId="2811">
      <calculatedColumnFormula>IF(ISBLANK(tbl_task2[[คะแนนเต็ม]:[คะแนนเต็ม]]),"",(tbl_task2[114]/tbl_task2[[คะแนนเต็ม]:[คะแนนเต็ม]])*tbl_task2[[%]:[%]])</calculatedColumnFormula>
    </tableColumn>
    <tableColumn id="315" name="S115" dataDxfId="2810">
      <calculatedColumnFormula>IF(ISBLANK(tbl_task2[[คะแนนเต็ม]:[คะแนนเต็ม]]),"",(tbl_task2[115]/tbl_task2[[คะแนนเต็ม]:[คะแนนเต็ม]])*tbl_task2[[%]:[%]])</calculatedColumnFormula>
    </tableColumn>
    <tableColumn id="205" name="S116" dataDxfId="2809">
      <calculatedColumnFormula>IF(ISBLANK(tbl_task2[[คะแนนเต็ม]:[คะแนนเต็ม]]),"",(tbl_task2[116]/tbl_task2[[คะแนนเต็ม]:[คะแนนเต็ม]])*tbl_task2[[%]:[%]])</calculatedColumnFormula>
    </tableColumn>
    <tableColumn id="206" name="S117" dataDxfId="2808">
      <calculatedColumnFormula>IF(ISBLANK(tbl_task2[[คะแนนเต็ม]:[คะแนนเต็ม]]),"",(tbl_task2[117]/tbl_task2[[คะแนนเต็ม]:[คะแนนเต็ม]])*tbl_task2[[%]:[%]])</calculatedColumnFormula>
    </tableColumn>
    <tableColumn id="207" name="S118" dataDxfId="2807">
      <calculatedColumnFormula>IF(ISBLANK(tbl_task2[[คะแนนเต็ม]:[คะแนนเต็ม]]),"",(tbl_task2[118]/tbl_task2[[คะแนนเต็ม]:[คะแนนเต็ม]])*tbl_task2[[%]:[%]])</calculatedColumnFormula>
    </tableColumn>
    <tableColumn id="208" name="S119" dataDxfId="2806">
      <calculatedColumnFormula>IF(ISBLANK(tbl_task2[[คะแนนเต็ม]:[คะแนนเต็ม]]),"",(tbl_task2[119]/tbl_task2[[คะแนนเต็ม]:[คะแนนเต็ม]])*tbl_task2[[%]:[%]])</calculatedColumnFormula>
    </tableColumn>
    <tableColumn id="209" name="S120" dataDxfId="2805">
      <calculatedColumnFormula>IF(ISBLANK(tbl_task2[[คะแนนเต็ม]:[คะแนนเต็ม]]),"",(tbl_task2[120]/tbl_task2[[คะแนนเต็ม]:[คะแนนเต็ม]])*tbl_task2[[%]:[%]])</calculatedColumnFormula>
    </tableColumn>
    <tableColumn id="210" name="S121" dataDxfId="2804">
      <calculatedColumnFormula>IF(ISBLANK(tbl_task2[[คะแนนเต็ม]:[คะแนนเต็ม]]),"",(tbl_task2[121]/tbl_task2[[คะแนนเต็ม]:[คะแนนเต็ม]])*tbl_task2[[%]:[%]])</calculatedColumnFormula>
    </tableColumn>
    <tableColumn id="211" name="S122" dataDxfId="2803">
      <calculatedColumnFormula>IF(ISBLANK(tbl_task2[[คะแนนเต็ม]:[คะแนนเต็ม]]),"",(tbl_task2[122]/tbl_task2[[คะแนนเต็ม]:[คะแนนเต็ม]])*tbl_task2[[%]:[%]])</calculatedColumnFormula>
    </tableColumn>
    <tableColumn id="316" name="S123" dataDxfId="2802">
      <calculatedColumnFormula>IF(ISBLANK(tbl_task2[[คะแนนเต็ม]:[คะแนนเต็ม]]),"",(tbl_task2[123]/tbl_task2[[คะแนนเต็ม]:[คะแนนเต็ม]])*tbl_task2[[%]:[%]])</calculatedColumnFormula>
    </tableColumn>
    <tableColumn id="317" name="S124" dataDxfId="2801">
      <calculatedColumnFormula>IF(ISBLANK(tbl_task2[[คะแนนเต็ม]:[คะแนนเต็ม]]),"",(tbl_task2[124]/tbl_task2[[คะแนนเต็ม]:[คะแนนเต็ม]])*tbl_task2[[%]:[%]])</calculatedColumnFormula>
    </tableColumn>
    <tableColumn id="318" name="S125" dataDxfId="2800">
      <calculatedColumnFormula>IF(ISBLANK(tbl_task2[[คะแนนเต็ม]:[คะแนนเต็ม]]),"",(tbl_task2[125]/tbl_task2[[คะแนนเต็ม]:[คะแนนเต็ม]])*tbl_task2[[%]:[%]])</calculatedColumnFormula>
    </tableColumn>
    <tableColumn id="319" name="S126" dataDxfId="2799">
      <calculatedColumnFormula>IF(ISBLANK(tbl_task2[[คะแนนเต็ม]:[คะแนนเต็ม]]),"",(tbl_task2[126]/tbl_task2[[คะแนนเต็ม]:[คะแนนเต็ม]])*tbl_task2[[%]:[%]])</calculatedColumnFormula>
    </tableColumn>
    <tableColumn id="320" name="S127" dataDxfId="2798">
      <calculatedColumnFormula>IF(ISBLANK(tbl_task2[[คะแนนเต็ม]:[คะแนนเต็ม]]),"",(tbl_task2[127]/tbl_task2[[คะแนนเต็ม]:[คะแนนเต็ม]])*tbl_task2[[%]:[%]])</calculatedColumnFormula>
    </tableColumn>
    <tableColumn id="321" name="S128" dataDxfId="2797">
      <calculatedColumnFormula>IF(ISBLANK(tbl_task2[[คะแนนเต็ม]:[คะแนนเต็ม]]),"",(tbl_task2[128]/tbl_task2[[คะแนนเต็ม]:[คะแนนเต็ม]])*tbl_task2[[%]:[%]])</calculatedColumnFormula>
    </tableColumn>
    <tableColumn id="322" name="S129" dataDxfId="2796">
      <calculatedColumnFormula>IF(ISBLANK(tbl_task2[[คะแนนเต็ม]:[คะแนนเต็ม]]),"",(tbl_task2[129]/tbl_task2[[คะแนนเต็ม]:[คะแนนเต็ม]])*tbl_task2[[%]:[%]])</calculatedColumnFormula>
    </tableColumn>
    <tableColumn id="212" name="S130" dataDxfId="2795">
      <calculatedColumnFormula>IF(ISBLANK(tbl_task2[[คะแนนเต็ม]:[คะแนนเต็ม]]),"",(tbl_task2[130]/tbl_task2[[คะแนนเต็ม]:[คะแนนเต็ม]])*tbl_task2[[%]:[%]])</calculatedColumnFormula>
    </tableColumn>
    <tableColumn id="213" name="S131" dataDxfId="2794">
      <calculatedColumnFormula>IF(ISBLANK(tbl_task2[[คะแนนเต็ม]:[คะแนนเต็ม]]),"",(tbl_task2[131]/tbl_task2[[คะแนนเต็ม]:[คะแนนเต็ม]])*tbl_task2[[%]:[%]])</calculatedColumnFormula>
    </tableColumn>
    <tableColumn id="214" name="S132" dataDxfId="2793">
      <calculatedColumnFormula>IF(ISBLANK(tbl_task2[[คะแนนเต็ม]:[คะแนนเต็ม]]),"",(tbl_task2[132]/tbl_task2[[คะแนนเต็ม]:[คะแนนเต็ม]])*tbl_task2[[%]:[%]])</calculatedColumnFormula>
    </tableColumn>
    <tableColumn id="215" name="S133" dataDxfId="2792">
      <calculatedColumnFormula>IF(ISBLANK(tbl_task2[[คะแนนเต็ม]:[คะแนนเต็ม]]),"",(tbl_task2[133]/tbl_task2[[คะแนนเต็ม]:[คะแนนเต็ม]])*tbl_task2[[%]:[%]])</calculatedColumnFormula>
    </tableColumn>
    <tableColumn id="216" name="S134" dataDxfId="2791">
      <calculatedColumnFormula>IF(ISBLANK(tbl_task2[[คะแนนเต็ม]:[คะแนนเต็ม]]),"",(tbl_task2[134]/tbl_task2[[คะแนนเต็ม]:[คะแนนเต็ม]])*tbl_task2[[%]:[%]])</calculatedColumnFormula>
    </tableColumn>
    <tableColumn id="217" name="S135" dataDxfId="2790">
      <calculatedColumnFormula>IF(ISBLANK(tbl_task2[[คะแนนเต็ม]:[คะแนนเต็ม]]),"",(tbl_task2[135]/tbl_task2[[คะแนนเต็ม]:[คะแนนเต็ม]])*tbl_task2[[%]:[%]])</calculatedColumnFormula>
    </tableColumn>
    <tableColumn id="218" name="S136" dataDxfId="2789">
      <calculatedColumnFormula>IF(ISBLANK(tbl_task2[[คะแนนเต็ม]:[คะแนนเต็ม]]),"",(tbl_task2[136]/tbl_task2[[คะแนนเต็ม]:[คะแนนเต็ม]])*tbl_task2[[%]:[%]])</calculatedColumnFormula>
    </tableColumn>
    <tableColumn id="219" name="S137" dataDxfId="2788">
      <calculatedColumnFormula>IF(ISBLANK(tbl_task2[[คะแนนเต็ม]:[คะแนนเต็ม]]),"",(tbl_task2[137]/tbl_task2[[คะแนนเต็ม]:[คะแนนเต็ม]])*tbl_task2[[%]:[%]])</calculatedColumnFormula>
    </tableColumn>
    <tableColumn id="220" name="S138" dataDxfId="2787">
      <calculatedColumnFormula>IF(ISBLANK(tbl_task2[[คะแนนเต็ม]:[คะแนนเต็ม]]),"",(tbl_task2[138]/tbl_task2[[คะแนนเต็ม]:[คะแนนเต็ม]])*tbl_task2[[%]:[%]])</calculatedColumnFormula>
    </tableColumn>
    <tableColumn id="221" name="S139" dataDxfId="2786">
      <calculatedColumnFormula>IF(ISBLANK(tbl_task2[[คะแนนเต็ม]:[คะแนนเต็ม]]),"",(tbl_task2[139]/tbl_task2[[คะแนนเต็ม]:[คะแนนเต็ม]])*tbl_task2[[%]:[%]])</calculatedColumnFormula>
    </tableColumn>
    <tableColumn id="222" name="S140" dataDxfId="2785">
      <calculatedColumnFormula>IF(ISBLANK(tbl_task2[[คะแนนเต็ม]:[คะแนนเต็ม]]),"",(tbl_task2[140]/tbl_task2[[คะแนนเต็ม]:[คะแนนเต็ม]])*tbl_task2[[%]:[%]])</calculatedColumnFormula>
    </tableColumn>
    <tableColumn id="223" name="S141" dataDxfId="2784">
      <calculatedColumnFormula>IF(ISBLANK(tbl_task2[[คะแนนเต็ม]:[คะแนนเต็ม]]),"",(tbl_task2[141]/tbl_task2[[คะแนนเต็ม]:[คะแนนเต็ม]])*tbl_task2[[%]:[%]])</calculatedColumnFormula>
    </tableColumn>
    <tableColumn id="323" name="S142" dataDxfId="2783">
      <calculatedColumnFormula>IF(ISBLANK(tbl_task2[[คะแนนเต็ม]:[คะแนนเต็ม]]),"",(tbl_task2[142]/tbl_task2[[คะแนนเต็ม]:[คะแนนเต็ม]])*tbl_task2[[%]:[%]])</calculatedColumnFormula>
    </tableColumn>
    <tableColumn id="324" name="S143" dataDxfId="2782">
      <calculatedColumnFormula>IF(ISBLANK(tbl_task2[[คะแนนเต็ม]:[คะแนนเต็ม]]),"",(tbl_task2[143]/tbl_task2[[คะแนนเต็ม]:[คะแนนเต็ม]])*tbl_task2[[%]:[%]])</calculatedColumnFormula>
    </tableColumn>
    <tableColumn id="325" name="S144" dataDxfId="2781">
      <calculatedColumnFormula>IF(ISBLANK(tbl_task2[[คะแนนเต็ม]:[คะแนนเต็ม]]),"",(tbl_task2[144]/tbl_task2[[คะแนนเต็ม]:[คะแนนเต็ม]])*tbl_task2[[%]:[%]])</calculatedColumnFormula>
    </tableColumn>
    <tableColumn id="326" name="S145" dataDxfId="2780">
      <calculatedColumnFormula>IF(ISBLANK(tbl_task2[[คะแนนเต็ม]:[คะแนนเต็ม]]),"",(tbl_task2[145]/tbl_task2[[คะแนนเต็ม]:[คะแนนเต็ม]])*tbl_task2[[%]:[%]])</calculatedColumnFormula>
    </tableColumn>
    <tableColumn id="327" name="S146" dataDxfId="2779">
      <calculatedColumnFormula>IF(ISBLANK(tbl_task2[[คะแนนเต็ม]:[คะแนนเต็ม]]),"",(tbl_task2[146]/tbl_task2[[คะแนนเต็ม]:[คะแนนเต็ม]])*tbl_task2[[%]:[%]])</calculatedColumnFormula>
    </tableColumn>
    <tableColumn id="328" name="S147" dataDxfId="2778">
      <calculatedColumnFormula>IF(ISBLANK(tbl_task2[[คะแนนเต็ม]:[คะแนนเต็ม]]),"",(tbl_task2[147]/tbl_task2[[คะแนนเต็ม]:[คะแนนเต็ม]])*tbl_task2[[%]:[%]])</calculatedColumnFormula>
    </tableColumn>
    <tableColumn id="329" name="S148" dataDxfId="2777">
      <calculatedColumnFormula>IF(ISBLANK(tbl_task2[[คะแนนเต็ม]:[คะแนนเต็ม]]),"",(tbl_task2[148]/tbl_task2[[คะแนนเต็ม]:[คะแนนเต็ม]])*tbl_task2[[%]:[%]])</calculatedColumnFormula>
    </tableColumn>
    <tableColumn id="330" name="S149" dataDxfId="2776">
      <calculatedColumnFormula>IF(ISBLANK(tbl_task2[[คะแนนเต็ม]:[คะแนนเต็ม]]),"",(tbl_task2[149]/tbl_task2[[คะแนนเต็ม]:[คะแนนเต็ม]])*tbl_task2[[%]:[%]])</calculatedColumnFormula>
    </tableColumn>
    <tableColumn id="331" name="S150" dataDxfId="2775">
      <calculatedColumnFormula>IF(ISBLANK(tbl_task2[[คะแนนเต็ม]:[คะแนนเต็ม]]),"",(tbl_task2[150]/tbl_task2[[คะแนนเต็ม]:[คะแนนเต็ม]])*tbl_task2[[%]:[%]])</calculatedColumnFormula>
    </tableColumn>
    <tableColumn id="332" name="S151" dataDxfId="2774">
      <calculatedColumnFormula>IF(ISBLANK(tbl_task2[[คะแนนเต็ม]:[คะแนนเต็ม]]),"",(tbl_task2[151]/tbl_task2[[คะแนนเต็ม]:[คะแนนเต็ม]])*tbl_task2[[%]:[%]])</calculatedColumnFormula>
    </tableColumn>
    <tableColumn id="333" name="S152" dataDxfId="2773">
      <calculatedColumnFormula>IF(ISBLANK(tbl_task2[[คะแนนเต็ม]:[คะแนนเต็ม]]),"",(tbl_task2[152]/tbl_task2[[คะแนนเต็ม]:[คะแนนเต็ม]])*tbl_task2[[%]:[%]])</calculatedColumnFormula>
    </tableColumn>
    <tableColumn id="224" name="S153" dataDxfId="2772">
      <calculatedColumnFormula>IF(ISBLANK(tbl_task2[[คะแนนเต็ม]:[คะแนนเต็ม]]),"",(tbl_task2[153]/tbl_task2[[คะแนนเต็ม]:[คะแนนเต็ม]])*tbl_task2[[%]:[%]])</calculatedColumnFormula>
    </tableColumn>
    <tableColumn id="225" name="S154" dataDxfId="2771">
      <calculatedColumnFormula>IF(ISBLANK(tbl_task2[[คะแนนเต็ม]:[คะแนนเต็ม]]),"",(tbl_task2[154]/tbl_task2[[คะแนนเต็ม]:[คะแนนเต็ม]])*tbl_task2[[%]:[%]])</calculatedColumnFormula>
    </tableColumn>
    <tableColumn id="226" name="S155" dataDxfId="2770">
      <calculatedColumnFormula>IF(ISBLANK(tbl_task2[[คะแนนเต็ม]:[คะแนนเต็ม]]),"",(tbl_task2[155]/tbl_task2[[คะแนนเต็ม]:[คะแนนเต็ม]])*tbl_task2[[%]:[%]])</calculatedColumnFormula>
    </tableColumn>
    <tableColumn id="227" name="S156" dataDxfId="2769">
      <calculatedColumnFormula>IF(ISBLANK(tbl_task2[[คะแนนเต็ม]:[คะแนนเต็ม]]),"",(tbl_task2[156]/tbl_task2[[คะแนนเต็ม]:[คะแนนเต็ม]])*tbl_task2[[%]:[%]])</calculatedColumnFormula>
    </tableColumn>
    <tableColumn id="228" name="S157" dataDxfId="2768">
      <calculatedColumnFormula>IF(ISBLANK(tbl_task2[[คะแนนเต็ม]:[คะแนนเต็ม]]),"",(tbl_task2[157]/tbl_task2[[คะแนนเต็ม]:[คะแนนเต็ม]])*tbl_task2[[%]:[%]])</calculatedColumnFormula>
    </tableColumn>
    <tableColumn id="229" name="S158" dataDxfId="2767">
      <calculatedColumnFormula>IF(ISBLANK(tbl_task2[[คะแนนเต็ม]:[คะแนนเต็ม]]),"",(tbl_task2[158]/tbl_task2[[คะแนนเต็ม]:[คะแนนเต็ม]])*tbl_task2[[%]:[%]])</calculatedColumnFormula>
    </tableColumn>
    <tableColumn id="230" name="S159" dataDxfId="2766">
      <calculatedColumnFormula>IF(ISBLANK(tbl_task2[[คะแนนเต็ม]:[คะแนนเต็ม]]),"",(tbl_task2[159]/tbl_task2[[คะแนนเต็ม]:[คะแนนเต็ม]])*tbl_task2[[%]:[%]])</calculatedColumnFormula>
    </tableColumn>
    <tableColumn id="231" name="S160" dataDxfId="2765">
      <calculatedColumnFormula>IF(ISBLANK(tbl_task2[[คะแนนเต็ม]:[คะแนนเต็ม]]),"",(tbl_task2[160]/tbl_task2[[คะแนนเต็ม]:[คะแนนเต็ม]])*tbl_task2[[%]:[%]])</calculatedColumnFormula>
    </tableColumn>
    <tableColumn id="232" name="S161" dataDxfId="2764">
      <calculatedColumnFormula>IF(ISBLANK(tbl_task2[[คะแนนเต็ม]:[คะแนนเต็ม]]),"",(tbl_task2[161]/tbl_task2[[คะแนนเต็ม]:[คะแนนเต็ม]])*tbl_task2[[%]:[%]])</calculatedColumnFormula>
    </tableColumn>
    <tableColumn id="334" name="S162" dataDxfId="2763">
      <calculatedColumnFormula>IF(ISBLANK(tbl_task2[[คะแนนเต็ม]:[คะแนนเต็ม]]),"",(tbl_task2[162]/tbl_task2[[คะแนนเต็ม]:[คะแนนเต็ม]])*tbl_task2[[%]:[%]])</calculatedColumnFormula>
    </tableColumn>
    <tableColumn id="335" name="S163" dataDxfId="2762">
      <calculatedColumnFormula>IF(ISBLANK(tbl_task2[[คะแนนเต็ม]:[คะแนนเต็ม]]),"",(tbl_task2[163]/tbl_task2[[คะแนนเต็ม]:[คะแนนเต็ม]])*tbl_task2[[%]:[%]])</calculatedColumnFormula>
    </tableColumn>
    <tableColumn id="233" name="S164" dataDxfId="2761">
      <calculatedColumnFormula>IF(ISBLANK(tbl_task2[[คะแนนเต็ม]:[คะแนนเต็ม]]),"",(tbl_task2[164]/tbl_task2[[คะแนนเต็ม]:[คะแนนเต็ม]])*tbl_task2[[%]:[%]])</calculatedColumnFormula>
    </tableColumn>
    <tableColumn id="234" name="S165" dataDxfId="2760">
      <calculatedColumnFormula>IF(ISBLANK(tbl_task2[[คะแนนเต็ม]:[คะแนนเต็ม]]),"",(tbl_task2[165]/tbl_task2[[คะแนนเต็ม]:[คะแนนเต็ม]])*tbl_task2[[%]:[%]])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bl_task3" displayName="tbl_task3" ref="A3:LW28" totalsRowShown="0" headerRowDxfId="2759" dataDxfId="2757" headerRowBorderDxfId="2758" tableBorderDxfId="2756" totalsRowBorderDxfId="2755">
  <tableColumns count="335">
    <tableColumn id="1" name="No" dataDxfId="2754"/>
    <tableColumn id="2" name="SubPLOs" dataDxfId="2753"/>
    <tableColumn id="3" name="SubPLOs_name" dataDxfId="2752">
      <calculatedColumnFormula>IF(ISBLANK(B4),"",VLOOKUP(B4,tbl_PLOs[],2,0))</calculatedColumnFormula>
    </tableColumn>
    <tableColumn id="235" name="คะแนนเต็ม" dataDxfId="2751"/>
    <tableColumn id="4" name="%" dataDxfId="2750">
      <calculatedColumnFormula>IF(OR(ISBLANK(#REF!),ISBLANK(tbl_task3[[#This Row],[SubPLOs]])),"",#REF!/$B$29)</calculatedColumnFormula>
    </tableColumn>
    <tableColumn id="5" name="1" dataDxfId="2749"/>
    <tableColumn id="6" name="2" dataDxfId="2748"/>
    <tableColumn id="7" name="3" dataDxfId="2747"/>
    <tableColumn id="8" name="4" dataDxfId="2746"/>
    <tableColumn id="9" name="5" dataDxfId="2745"/>
    <tableColumn id="10" name="6" dataDxfId="2744"/>
    <tableColumn id="11" name="7" dataDxfId="2743"/>
    <tableColumn id="12" name="8" dataDxfId="2742"/>
    <tableColumn id="13" name="9" dataDxfId="2741"/>
    <tableColumn id="14" name="10" dataDxfId="2740"/>
    <tableColumn id="15" name="11" dataDxfId="2739"/>
    <tableColumn id="16" name="12" dataDxfId="2738"/>
    <tableColumn id="17" name="13" dataDxfId="2737"/>
    <tableColumn id="18" name="14" dataDxfId="2736"/>
    <tableColumn id="19" name="15" dataDxfId="2735"/>
    <tableColumn id="20" name="16" dataDxfId="2734"/>
    <tableColumn id="21" name="17" dataDxfId="2733"/>
    <tableColumn id="22" name="18" dataDxfId="2732"/>
    <tableColumn id="23" name="19" dataDxfId="2731"/>
    <tableColumn id="24" name="20" dataDxfId="2730"/>
    <tableColumn id="25" name="21" dataDxfId="2729"/>
    <tableColumn id="26" name="22" dataDxfId="2728"/>
    <tableColumn id="27" name="23" dataDxfId="2727"/>
    <tableColumn id="28" name="24" dataDxfId="2726"/>
    <tableColumn id="29" name="25" dataDxfId="2725"/>
    <tableColumn id="30" name="26" dataDxfId="2724"/>
    <tableColumn id="31" name="27" dataDxfId="2723"/>
    <tableColumn id="32" name="28" dataDxfId="2722"/>
    <tableColumn id="33" name="29" dataDxfId="2721"/>
    <tableColumn id="34" name="30" dataDxfId="2720"/>
    <tableColumn id="35" name="31" dataDxfId="2719"/>
    <tableColumn id="36" name="32" dataDxfId="2718"/>
    <tableColumn id="37" name="33" dataDxfId="2717"/>
    <tableColumn id="38" name="34" dataDxfId="2716"/>
    <tableColumn id="39" name="35" dataDxfId="2715"/>
    <tableColumn id="40" name="36" dataDxfId="2714"/>
    <tableColumn id="41" name="37" dataDxfId="2713"/>
    <tableColumn id="42" name="38" dataDxfId="2712"/>
    <tableColumn id="43" name="39" dataDxfId="2711"/>
    <tableColumn id="44" name="40" dataDxfId="2710"/>
    <tableColumn id="45" name="41" dataDxfId="2709"/>
    <tableColumn id="46" name="42" dataDxfId="2708"/>
    <tableColumn id="47" name="43" dataDxfId="2707"/>
    <tableColumn id="48" name="44" dataDxfId="2706"/>
    <tableColumn id="49" name="45" dataDxfId="2705"/>
    <tableColumn id="50" name="46" dataDxfId="2704"/>
    <tableColumn id="51" name="47" dataDxfId="2703"/>
    <tableColumn id="52" name="48" dataDxfId="2702"/>
    <tableColumn id="53" name="49" dataDxfId="2701"/>
    <tableColumn id="54" name="50" dataDxfId="2700"/>
    <tableColumn id="55" name="51" dataDxfId="2699"/>
    <tableColumn id="56" name="52" dataDxfId="2698"/>
    <tableColumn id="57" name="53" dataDxfId="2697"/>
    <tableColumn id="58" name="54" dataDxfId="2696"/>
    <tableColumn id="59" name="55" dataDxfId="2695"/>
    <tableColumn id="60" name="56" dataDxfId="2694"/>
    <tableColumn id="61" name="57" dataDxfId="2693"/>
    <tableColumn id="62" name="58" dataDxfId="2692"/>
    <tableColumn id="63" name="59" dataDxfId="2691"/>
    <tableColumn id="64" name="60" dataDxfId="2690"/>
    <tableColumn id="65" name="61" dataDxfId="2689"/>
    <tableColumn id="66" name="62" dataDxfId="2688"/>
    <tableColumn id="67" name="63" dataDxfId="2687"/>
    <tableColumn id="68" name="64" dataDxfId="2686"/>
    <tableColumn id="69" name="65" dataDxfId="2685"/>
    <tableColumn id="70" name="66" dataDxfId="2684"/>
    <tableColumn id="71" name="67" dataDxfId="2683"/>
    <tableColumn id="72" name="68" dataDxfId="2682"/>
    <tableColumn id="73" name="69" dataDxfId="2681"/>
    <tableColumn id="74" name="70" dataDxfId="2680"/>
    <tableColumn id="75" name="71" dataDxfId="2679"/>
    <tableColumn id="76" name="72" dataDxfId="2678"/>
    <tableColumn id="77" name="73" dataDxfId="2677"/>
    <tableColumn id="78" name="74" dataDxfId="2676"/>
    <tableColumn id="79" name="75" dataDxfId="2675"/>
    <tableColumn id="80" name="76" dataDxfId="2674"/>
    <tableColumn id="81" name="77" dataDxfId="2673"/>
    <tableColumn id="82" name="78" dataDxfId="2672"/>
    <tableColumn id="83" name="79" dataDxfId="2671"/>
    <tableColumn id="84" name="80" dataDxfId="2670"/>
    <tableColumn id="85" name="81" dataDxfId="2669"/>
    <tableColumn id="86" name="82" dataDxfId="2668"/>
    <tableColumn id="87" name="83" dataDxfId="2667"/>
    <tableColumn id="88" name="84" dataDxfId="2666"/>
    <tableColumn id="89" name="85" dataDxfId="2665"/>
    <tableColumn id="90" name="86" dataDxfId="2664"/>
    <tableColumn id="91" name="87" dataDxfId="2663"/>
    <tableColumn id="92" name="88" dataDxfId="2662"/>
    <tableColumn id="93" name="89" dataDxfId="2661"/>
    <tableColumn id="94" name="90" dataDxfId="2660"/>
    <tableColumn id="236" name="91" dataDxfId="2659"/>
    <tableColumn id="237" name="92" dataDxfId="2658"/>
    <tableColumn id="238" name="93" dataDxfId="2657"/>
    <tableColumn id="239" name="94" dataDxfId="2656"/>
    <tableColumn id="240" name="95" dataDxfId="2655"/>
    <tableColumn id="241" name="96" dataDxfId="2654"/>
    <tableColumn id="242" name="97" dataDxfId="2653"/>
    <tableColumn id="243" name="98" dataDxfId="2652"/>
    <tableColumn id="244" name="99" dataDxfId="2651"/>
    <tableColumn id="245" name="100" dataDxfId="2650"/>
    <tableColumn id="246" name="101" dataDxfId="2649"/>
    <tableColumn id="247" name="102" dataDxfId="2648"/>
    <tableColumn id="248" name="103" dataDxfId="2647"/>
    <tableColumn id="249" name="104" dataDxfId="2646"/>
    <tableColumn id="250" name="105" dataDxfId="2645"/>
    <tableColumn id="251" name="106" dataDxfId="2644"/>
    <tableColumn id="252" name="107" dataDxfId="2643"/>
    <tableColumn id="253" name="108" dataDxfId="2642"/>
    <tableColumn id="254" name="109" dataDxfId="2641"/>
    <tableColumn id="255" name="110" dataDxfId="2640"/>
    <tableColumn id="256" name="111" dataDxfId="2639"/>
    <tableColumn id="257" name="112" dataDxfId="2638"/>
    <tableColumn id="258" name="113" dataDxfId="2637"/>
    <tableColumn id="259" name="114" dataDxfId="2636"/>
    <tableColumn id="260" name="115" dataDxfId="2635"/>
    <tableColumn id="95" name="116" dataDxfId="2634"/>
    <tableColumn id="96" name="117" dataDxfId="2633"/>
    <tableColumn id="97" name="118" dataDxfId="2632"/>
    <tableColumn id="98" name="119" dataDxfId="2631"/>
    <tableColumn id="99" name="120" dataDxfId="2630"/>
    <tableColumn id="100" name="121" dataDxfId="2629"/>
    <tableColumn id="101" name="122" dataDxfId="2628"/>
    <tableColumn id="102" name="123" dataDxfId="2627"/>
    <tableColumn id="261" name="124" dataDxfId="2626"/>
    <tableColumn id="262" name="125" dataDxfId="2625"/>
    <tableColumn id="263" name="126" dataDxfId="2624"/>
    <tableColumn id="264" name="127" dataDxfId="2623"/>
    <tableColumn id="265" name="128" dataDxfId="2622"/>
    <tableColumn id="266" name="129" dataDxfId="2621"/>
    <tableColumn id="267" name="130" dataDxfId="2620"/>
    <tableColumn id="268" name="131" dataDxfId="2619"/>
    <tableColumn id="269" name="132" dataDxfId="2618"/>
    <tableColumn id="270" name="133" dataDxfId="2617"/>
    <tableColumn id="271" name="134" dataDxfId="2616"/>
    <tableColumn id="272" name="135" dataDxfId="2615"/>
    <tableColumn id="273" name="136" dataDxfId="2614"/>
    <tableColumn id="274" name="137" dataDxfId="2613"/>
    <tableColumn id="275" name="138" dataDxfId="2612"/>
    <tableColumn id="276" name="139" dataDxfId="2611"/>
    <tableColumn id="277" name="140" dataDxfId="2610"/>
    <tableColumn id="103" name="141" dataDxfId="2609"/>
    <tableColumn id="104" name="142" dataDxfId="2608"/>
    <tableColumn id="105" name="143" dataDxfId="2607"/>
    <tableColumn id="106" name="144" dataDxfId="2606"/>
    <tableColumn id="107" name="145" dataDxfId="2605"/>
    <tableColumn id="108" name="146" dataDxfId="2604"/>
    <tableColumn id="109" name="147" dataDxfId="2603"/>
    <tableColumn id="110" name="148" dataDxfId="2602"/>
    <tableColumn id="111" name="149" dataDxfId="2601"/>
    <tableColumn id="278" name="150" dataDxfId="2600"/>
    <tableColumn id="279" name="151" dataDxfId="2599"/>
    <tableColumn id="280" name="152" dataDxfId="2598"/>
    <tableColumn id="281" name="153" dataDxfId="2597"/>
    <tableColumn id="282" name="154" dataDxfId="2596"/>
    <tableColumn id="283" name="155" dataDxfId="2595"/>
    <tableColumn id="284" name="156" dataDxfId="2594"/>
    <tableColumn id="285" name="157" dataDxfId="2593"/>
    <tableColumn id="112" name="158" dataDxfId="2592"/>
    <tableColumn id="113" name="159" dataDxfId="2591"/>
    <tableColumn id="114" name="160" dataDxfId="2590"/>
    <tableColumn id="115" name="161" dataDxfId="2589"/>
    <tableColumn id="116" name="162" dataDxfId="2588"/>
    <tableColumn id="117" name="163" dataDxfId="2587"/>
    <tableColumn id="118" name="164" dataDxfId="2586"/>
    <tableColumn id="119" name="165" dataDxfId="2585"/>
    <tableColumn id="120" name="S1" dataDxfId="2584">
      <calculatedColumnFormula>IF(ISBLANK(tbl_task3[[คะแนนเต็ม]:[คะแนนเต็ม]]),"",(tbl_task3[1]/tbl_task3[[คะแนนเต็ม]:[คะแนนเต็ม]])*tbl_task3[[%]:[%]])</calculatedColumnFormula>
    </tableColumn>
    <tableColumn id="121" name="S2" dataDxfId="2583">
      <calculatedColumnFormula>IF(ISBLANK(tbl_task3[[คะแนนเต็ม]:[คะแนนเต็ม]]),"",(tbl_task3[2]/tbl_task3[[คะแนนเต็ม]:[คะแนนเต็ม]])*tbl_task3[[%]:[%]])</calculatedColumnFormula>
    </tableColumn>
    <tableColumn id="122" name="S3" dataDxfId="2582">
      <calculatedColumnFormula>IF(ISBLANK(tbl_task3[[คะแนนเต็ม]:[คะแนนเต็ม]]),"",(tbl_task3[3]/tbl_task3[[คะแนนเต็ม]:[คะแนนเต็ม]])*tbl_task3[[%]:[%]])</calculatedColumnFormula>
    </tableColumn>
    <tableColumn id="123" name="S4" dataDxfId="2581">
      <calculatedColumnFormula>IF(ISBLANK(tbl_task3[[คะแนนเต็ม]:[คะแนนเต็ม]]),"",(tbl_task3[4]/tbl_task3[[คะแนนเต็ม]:[คะแนนเต็ม]])*tbl_task3[[%]:[%]])</calculatedColumnFormula>
    </tableColumn>
    <tableColumn id="124" name="S5" dataDxfId="2580">
      <calculatedColumnFormula>IF(ISBLANK(tbl_task3[[คะแนนเต็ม]:[คะแนนเต็ม]]),"",(tbl_task3[5]/tbl_task3[[คะแนนเต็ม]:[คะแนนเต็ม]])*tbl_task3[[%]:[%]])</calculatedColumnFormula>
    </tableColumn>
    <tableColumn id="125" name="S6" dataDxfId="2579">
      <calculatedColumnFormula>IF(ISBLANK(tbl_task3[[คะแนนเต็ม]:[คะแนนเต็ม]]),"",(tbl_task3[6]/tbl_task3[[คะแนนเต็ม]:[คะแนนเต็ม]])*tbl_task3[[%]:[%]])</calculatedColumnFormula>
    </tableColumn>
    <tableColumn id="126" name="S7" dataDxfId="2578">
      <calculatedColumnFormula>IF(ISBLANK(tbl_task3[[คะแนนเต็ม]:[คะแนนเต็ม]]),"",(tbl_task3[7]/tbl_task3[[คะแนนเต็ม]:[คะแนนเต็ม]])*tbl_task3[[%]:[%]])</calculatedColumnFormula>
    </tableColumn>
    <tableColumn id="127" name="S8" dataDxfId="2577">
      <calculatedColumnFormula>IF(ISBLANK(tbl_task3[[คะแนนเต็ม]:[คะแนนเต็ม]]),"",(tbl_task3[8]/tbl_task3[[คะแนนเต็ม]:[คะแนนเต็ม]])*tbl_task3[[%]:[%]])</calculatedColumnFormula>
    </tableColumn>
    <tableColumn id="128" name="S9" dataDxfId="2576">
      <calculatedColumnFormula>IF(ISBLANK(tbl_task3[[คะแนนเต็ม]:[คะแนนเต็ม]]),"",(tbl_task3[9]/tbl_task3[[คะแนนเต็ม]:[คะแนนเต็ม]])*tbl_task3[[%]:[%]])</calculatedColumnFormula>
    </tableColumn>
    <tableColumn id="129" name="S10" dataDxfId="2575">
      <calculatedColumnFormula>IF(ISBLANK(tbl_task3[[คะแนนเต็ม]:[คะแนนเต็ม]]),"",(tbl_task3[10]/tbl_task3[[คะแนนเต็ม]:[คะแนนเต็ม]])*tbl_task3[[%]:[%]])</calculatedColumnFormula>
    </tableColumn>
    <tableColumn id="130" name="S11" dataDxfId="2574">
      <calculatedColumnFormula>IF(ISBLANK(tbl_task3[[คะแนนเต็ม]:[คะแนนเต็ม]]),"",(tbl_task3[11]/tbl_task3[[คะแนนเต็ม]:[คะแนนเต็ม]])*tbl_task3[[%]:[%]])</calculatedColumnFormula>
    </tableColumn>
    <tableColumn id="131" name="S12" dataDxfId="2573">
      <calculatedColumnFormula>IF(ISBLANK(tbl_task3[[คะแนนเต็ม]:[คะแนนเต็ม]]),"",(tbl_task3[12]/tbl_task3[[คะแนนเต็ม]:[คะแนนเต็ม]])*tbl_task3[[%]:[%]])</calculatedColumnFormula>
    </tableColumn>
    <tableColumn id="132" name="S13" dataDxfId="2572">
      <calculatedColumnFormula>IF(ISBLANK(tbl_task3[[คะแนนเต็ม]:[คะแนนเต็ม]]),"",(tbl_task3[13]/tbl_task3[[คะแนนเต็ม]:[คะแนนเต็ม]])*tbl_task3[[%]:[%]])</calculatedColumnFormula>
    </tableColumn>
    <tableColumn id="133" name="S14" dataDxfId="2571">
      <calculatedColumnFormula>IF(ISBLANK(tbl_task3[[คะแนนเต็ม]:[คะแนนเต็ม]]),"",(tbl_task3[14]/tbl_task3[[คะแนนเต็ม]:[คะแนนเต็ม]])*tbl_task3[[%]:[%]])</calculatedColumnFormula>
    </tableColumn>
    <tableColumn id="134" name="S15" dataDxfId="2570">
      <calculatedColumnFormula>IF(ISBLANK(tbl_task3[[คะแนนเต็ม]:[คะแนนเต็ม]]),"",(tbl_task3[15]/tbl_task3[[คะแนนเต็ม]:[คะแนนเต็ม]])*tbl_task3[[%]:[%]])</calculatedColumnFormula>
    </tableColumn>
    <tableColumn id="135" name="S16" dataDxfId="2569">
      <calculatedColumnFormula>IF(ISBLANK(tbl_task3[[คะแนนเต็ม]:[คะแนนเต็ม]]),"",(tbl_task3[16]/tbl_task3[[คะแนนเต็ม]:[คะแนนเต็ม]])*tbl_task3[[%]:[%]])</calculatedColumnFormula>
    </tableColumn>
    <tableColumn id="136" name="S17" dataDxfId="2568">
      <calculatedColumnFormula>IF(ISBLANK(tbl_task3[[คะแนนเต็ม]:[คะแนนเต็ม]]),"",(tbl_task3[17]/tbl_task3[[คะแนนเต็ม]:[คะแนนเต็ม]])*tbl_task3[[%]:[%]])</calculatedColumnFormula>
    </tableColumn>
    <tableColumn id="137" name="S18" dataDxfId="2567">
      <calculatedColumnFormula>IF(ISBLANK(tbl_task3[[คะแนนเต็ม]:[คะแนนเต็ม]]),"",(tbl_task3[18]/tbl_task3[[คะแนนเต็ม]:[คะแนนเต็ม]])*tbl_task3[[%]:[%]])</calculatedColumnFormula>
    </tableColumn>
    <tableColumn id="138" name="S19" dataDxfId="2566">
      <calculatedColumnFormula>IF(ISBLANK(tbl_task3[[คะแนนเต็ม]:[คะแนนเต็ม]]),"",(tbl_task3[19]/tbl_task3[[คะแนนเต็ม]:[คะแนนเต็ม]])*tbl_task3[[%]:[%]])</calculatedColumnFormula>
    </tableColumn>
    <tableColumn id="139" name="S20" dataDxfId="2565">
      <calculatedColumnFormula>IF(ISBLANK(tbl_task3[[คะแนนเต็ม]:[คะแนนเต็ม]]),"",(tbl_task3[20]/tbl_task3[[คะแนนเต็ม]:[คะแนนเต็ม]])*tbl_task3[[%]:[%]])</calculatedColumnFormula>
    </tableColumn>
    <tableColumn id="140" name="S21" dataDxfId="2564">
      <calculatedColumnFormula>IF(ISBLANK(tbl_task3[[คะแนนเต็ม]:[คะแนนเต็ม]]),"",(tbl_task3[21]/tbl_task3[[คะแนนเต็ม]:[คะแนนเต็ม]])*tbl_task3[[%]:[%]])</calculatedColumnFormula>
    </tableColumn>
    <tableColumn id="141" name="S22" dataDxfId="2563">
      <calculatedColumnFormula>IF(ISBLANK(tbl_task3[[คะแนนเต็ม]:[คะแนนเต็ม]]),"",(tbl_task3[22]/tbl_task3[[คะแนนเต็ม]:[คะแนนเต็ม]])*tbl_task3[[%]:[%]])</calculatedColumnFormula>
    </tableColumn>
    <tableColumn id="142" name="S23" dataDxfId="2562">
      <calculatedColumnFormula>IF(ISBLANK(tbl_task3[[คะแนนเต็ม]:[คะแนนเต็ม]]),"",(tbl_task3[23]/tbl_task3[[คะแนนเต็ม]:[คะแนนเต็ม]])*tbl_task3[[%]:[%]])</calculatedColumnFormula>
    </tableColumn>
    <tableColumn id="143" name="S24" dataDxfId="2561">
      <calculatedColumnFormula>IF(ISBLANK(tbl_task3[[คะแนนเต็ม]:[คะแนนเต็ม]]),"",(tbl_task3[24]/tbl_task3[[คะแนนเต็ม]:[คะแนนเต็ม]])*tbl_task3[[%]:[%]])</calculatedColumnFormula>
    </tableColumn>
    <tableColumn id="144" name="S25" dataDxfId="2560">
      <calculatedColumnFormula>IF(ISBLANK(tbl_task3[[คะแนนเต็ม]:[คะแนนเต็ม]]),"",(tbl_task3[25]/tbl_task3[[คะแนนเต็ม]:[คะแนนเต็ม]])*tbl_task3[[%]:[%]])</calculatedColumnFormula>
    </tableColumn>
    <tableColumn id="145" name="S26" dataDxfId="2559">
      <calculatedColumnFormula>IF(ISBLANK(tbl_task3[[คะแนนเต็ม]:[คะแนนเต็ม]]),"",(tbl_task3[26]/tbl_task3[[คะแนนเต็ม]:[คะแนนเต็ม]])*tbl_task3[[%]:[%]])</calculatedColumnFormula>
    </tableColumn>
    <tableColumn id="146" name="S27" dataDxfId="2558">
      <calculatedColumnFormula>IF(ISBLANK(tbl_task3[[คะแนนเต็ม]:[คะแนนเต็ม]]),"",(tbl_task3[27]/tbl_task3[[คะแนนเต็ม]:[คะแนนเต็ม]])*tbl_task3[[%]:[%]])</calculatedColumnFormula>
    </tableColumn>
    <tableColumn id="147" name="S28" dataDxfId="2557">
      <calculatedColumnFormula>IF(ISBLANK(tbl_task3[[คะแนนเต็ม]:[คะแนนเต็ม]]),"",(tbl_task3[28]/tbl_task3[[คะแนนเต็ม]:[คะแนนเต็ม]])*tbl_task3[[%]:[%]])</calculatedColumnFormula>
    </tableColumn>
    <tableColumn id="148" name="S29" dataDxfId="2556">
      <calculatedColumnFormula>IF(ISBLANK(tbl_task3[[คะแนนเต็ม]:[คะแนนเต็ม]]),"",(tbl_task3[29]/tbl_task3[[คะแนนเต็ม]:[คะแนนเต็ม]])*tbl_task3[[%]:[%]])</calculatedColumnFormula>
    </tableColumn>
    <tableColumn id="149" name="S30" dataDxfId="2555">
      <calculatedColumnFormula>IF(ISBLANK(tbl_task3[[คะแนนเต็ม]:[คะแนนเต็ม]]),"",(tbl_task3[30]/tbl_task3[[คะแนนเต็ม]:[คะแนนเต็ม]])*tbl_task3[[%]:[%]])</calculatedColumnFormula>
    </tableColumn>
    <tableColumn id="150" name="S31" dataDxfId="2554">
      <calculatedColumnFormula>IF(ISBLANK(tbl_task3[[คะแนนเต็ม]:[คะแนนเต็ม]]),"",(tbl_task3[31]/tbl_task3[[คะแนนเต็ม]:[คะแนนเต็ม]])*tbl_task3[[%]:[%]])</calculatedColumnFormula>
    </tableColumn>
    <tableColumn id="151" name="S32" dataDxfId="2553">
      <calculatedColumnFormula>IF(ISBLANK(tbl_task3[[คะแนนเต็ม]:[คะแนนเต็ม]]),"",(tbl_task3[32]/tbl_task3[[คะแนนเต็ม]:[คะแนนเต็ม]])*tbl_task3[[%]:[%]])</calculatedColumnFormula>
    </tableColumn>
    <tableColumn id="152" name="S33" dataDxfId="2552">
      <calculatedColumnFormula>IF(ISBLANK(tbl_task3[[คะแนนเต็ม]:[คะแนนเต็ม]]),"",(tbl_task3[33]/tbl_task3[[คะแนนเต็ม]:[คะแนนเต็ม]])*tbl_task3[[%]:[%]])</calculatedColumnFormula>
    </tableColumn>
    <tableColumn id="153" name="S34" dataDxfId="2551">
      <calculatedColumnFormula>IF(ISBLANK(tbl_task3[[คะแนนเต็ม]:[คะแนนเต็ม]]),"",(tbl_task3[34]/tbl_task3[[คะแนนเต็ม]:[คะแนนเต็ม]])*tbl_task3[[%]:[%]])</calculatedColumnFormula>
    </tableColumn>
    <tableColumn id="154" name="S35" dataDxfId="2550">
      <calculatedColumnFormula>IF(ISBLANK(tbl_task3[[คะแนนเต็ม]:[คะแนนเต็ม]]),"",(tbl_task3[35]/tbl_task3[[คะแนนเต็ม]:[คะแนนเต็ม]])*tbl_task3[[%]:[%]])</calculatedColumnFormula>
    </tableColumn>
    <tableColumn id="155" name="S36" dataDxfId="2549">
      <calculatedColumnFormula>IF(ISBLANK(tbl_task3[[คะแนนเต็ม]:[คะแนนเต็ม]]),"",(tbl_task3[36]/tbl_task3[[คะแนนเต็ม]:[คะแนนเต็ม]])*tbl_task3[[%]:[%]])</calculatedColumnFormula>
    </tableColumn>
    <tableColumn id="156" name="S37" dataDxfId="2548">
      <calculatedColumnFormula>IF(ISBLANK(tbl_task3[[คะแนนเต็ม]:[คะแนนเต็ม]]),"",(tbl_task3[37]/tbl_task3[[คะแนนเต็ม]:[คะแนนเต็ม]])*tbl_task3[[%]:[%]])</calculatedColumnFormula>
    </tableColumn>
    <tableColumn id="157" name="S38" dataDxfId="2547">
      <calculatedColumnFormula>IF(ISBLANK(tbl_task3[[คะแนนเต็ม]:[คะแนนเต็ม]]),"",(tbl_task3[38]/tbl_task3[[คะแนนเต็ม]:[คะแนนเต็ม]])*tbl_task3[[%]:[%]])</calculatedColumnFormula>
    </tableColumn>
    <tableColumn id="158" name="S39" dataDxfId="2546">
      <calculatedColumnFormula>IF(ISBLANK(tbl_task3[[คะแนนเต็ม]:[คะแนนเต็ม]]),"",(tbl_task3[39]/tbl_task3[[คะแนนเต็ม]:[คะแนนเต็ม]])*tbl_task3[[%]:[%]])</calculatedColumnFormula>
    </tableColumn>
    <tableColumn id="159" name="S40" dataDxfId="2545">
      <calculatedColumnFormula>IF(ISBLANK(tbl_task3[[คะแนนเต็ม]:[คะแนนเต็ม]]),"",(tbl_task3[40]/tbl_task3[[คะแนนเต็ม]:[คะแนนเต็ม]])*tbl_task3[[%]:[%]])</calculatedColumnFormula>
    </tableColumn>
    <tableColumn id="160" name="S41" dataDxfId="2544">
      <calculatedColumnFormula>IF(ISBLANK(tbl_task3[[คะแนนเต็ม]:[คะแนนเต็ม]]),"",(tbl_task3[41]/tbl_task3[[คะแนนเต็ม]:[คะแนนเต็ม]])*tbl_task3[[%]:[%]])</calculatedColumnFormula>
    </tableColumn>
    <tableColumn id="161" name="S42" dataDxfId="2543">
      <calculatedColumnFormula>IF(ISBLANK(tbl_task3[[คะแนนเต็ม]:[คะแนนเต็ม]]),"",(tbl_task3[42]/tbl_task3[[คะแนนเต็ม]:[คะแนนเต็ม]])*tbl_task3[[%]:[%]])</calculatedColumnFormula>
    </tableColumn>
    <tableColumn id="162" name="S43" dataDxfId="2542">
      <calculatedColumnFormula>IF(ISBLANK(tbl_task3[[คะแนนเต็ม]:[คะแนนเต็ม]]),"",(tbl_task3[43]/tbl_task3[[คะแนนเต็ม]:[คะแนนเต็ม]])*tbl_task3[[%]:[%]])</calculatedColumnFormula>
    </tableColumn>
    <tableColumn id="163" name="S44" dataDxfId="2541">
      <calculatedColumnFormula>IF(ISBLANK(tbl_task3[[คะแนนเต็ม]:[คะแนนเต็ม]]),"",(tbl_task3[44]/tbl_task3[[คะแนนเต็ม]:[คะแนนเต็ม]])*tbl_task3[[%]:[%]])</calculatedColumnFormula>
    </tableColumn>
    <tableColumn id="164" name="S45" dataDxfId="2540">
      <calculatedColumnFormula>IF(ISBLANK(tbl_task3[[คะแนนเต็ม]:[คะแนนเต็ม]]),"",(tbl_task3[45]/tbl_task3[[คะแนนเต็ม]:[คะแนนเต็ม]])*tbl_task3[[%]:[%]])</calculatedColumnFormula>
    </tableColumn>
    <tableColumn id="165" name="S46" dataDxfId="2539">
      <calculatedColumnFormula>IF(ISBLANK(tbl_task3[[คะแนนเต็ม]:[คะแนนเต็ม]]),"",(tbl_task3[46]/tbl_task3[[คะแนนเต็ม]:[คะแนนเต็ม]])*tbl_task3[[%]:[%]])</calculatedColumnFormula>
    </tableColumn>
    <tableColumn id="166" name="S47" dataDxfId="2538">
      <calculatedColumnFormula>IF(ISBLANK(tbl_task3[[คะแนนเต็ม]:[คะแนนเต็ม]]),"",(tbl_task3[47]/tbl_task3[[คะแนนเต็ม]:[คะแนนเต็ม]])*tbl_task3[[%]:[%]])</calculatedColumnFormula>
    </tableColumn>
    <tableColumn id="167" name="S48" dataDxfId="2537">
      <calculatedColumnFormula>IF(ISBLANK(tbl_task3[[คะแนนเต็ม]:[คะแนนเต็ม]]),"",(tbl_task3[48]/tbl_task3[[คะแนนเต็ม]:[คะแนนเต็ม]])*tbl_task3[[%]:[%]])</calculatedColumnFormula>
    </tableColumn>
    <tableColumn id="168" name="S49" dataDxfId="2536">
      <calculatedColumnFormula>IF(ISBLANK(tbl_task3[[คะแนนเต็ม]:[คะแนนเต็ม]]),"",(tbl_task3[49]/tbl_task3[[คะแนนเต็ม]:[คะแนนเต็ม]])*tbl_task3[[%]:[%]])</calculatedColumnFormula>
    </tableColumn>
    <tableColumn id="169" name="S50" dataDxfId="2535">
      <calculatedColumnFormula>IF(ISBLANK(tbl_task3[[คะแนนเต็ม]:[คะแนนเต็ม]]),"",(tbl_task3[50]/tbl_task3[[คะแนนเต็ม]:[คะแนนเต็ม]])*tbl_task3[[%]:[%]])</calculatedColumnFormula>
    </tableColumn>
    <tableColumn id="170" name="S51" dataDxfId="2534">
      <calculatedColumnFormula>IF(ISBLANK(tbl_task3[[คะแนนเต็ม]:[คะแนนเต็ม]]),"",(tbl_task3[51]/tbl_task3[[คะแนนเต็ม]:[คะแนนเต็ม]])*tbl_task3[[%]:[%]])</calculatedColumnFormula>
    </tableColumn>
    <tableColumn id="171" name="S52" dataDxfId="2533">
      <calculatedColumnFormula>IF(ISBLANK(tbl_task3[[คะแนนเต็ม]:[คะแนนเต็ม]]),"",(tbl_task3[52]/tbl_task3[[คะแนนเต็ม]:[คะแนนเต็ม]])*tbl_task3[[%]:[%]])</calculatedColumnFormula>
    </tableColumn>
    <tableColumn id="172" name="S53" dataDxfId="2532">
      <calculatedColumnFormula>IF(ISBLANK(tbl_task3[[คะแนนเต็ม]:[คะแนนเต็ม]]),"",(tbl_task3[53]/tbl_task3[[คะแนนเต็ม]:[คะแนนเต็ม]])*tbl_task3[[%]:[%]])</calculatedColumnFormula>
    </tableColumn>
    <tableColumn id="173" name="S54" dataDxfId="2531">
      <calculatedColumnFormula>IF(ISBLANK(tbl_task3[[คะแนนเต็ม]:[คะแนนเต็ม]]),"",(tbl_task3[54]/tbl_task3[[คะแนนเต็ม]:[คะแนนเต็ม]])*tbl_task3[[%]:[%]])</calculatedColumnFormula>
    </tableColumn>
    <tableColumn id="174" name="S55" dataDxfId="2530">
      <calculatedColumnFormula>IF(ISBLANK(tbl_task3[[คะแนนเต็ม]:[คะแนนเต็ม]]),"",(tbl_task3[55]/tbl_task3[[คะแนนเต็ม]:[คะแนนเต็ม]])*tbl_task3[[%]:[%]])</calculatedColumnFormula>
    </tableColumn>
    <tableColumn id="175" name="S56" dataDxfId="2529">
      <calculatedColumnFormula>IF(ISBLANK(tbl_task3[[คะแนนเต็ม]:[คะแนนเต็ม]]),"",(tbl_task3[56]/tbl_task3[[คะแนนเต็ม]:[คะแนนเต็ม]])*tbl_task3[[%]:[%]])</calculatedColumnFormula>
    </tableColumn>
    <tableColumn id="176" name="S57" dataDxfId="2528">
      <calculatedColumnFormula>IF(ISBLANK(tbl_task3[[คะแนนเต็ม]:[คะแนนเต็ม]]),"",(tbl_task3[57]/tbl_task3[[คะแนนเต็ม]:[คะแนนเต็ม]])*tbl_task3[[%]:[%]])</calculatedColumnFormula>
    </tableColumn>
    <tableColumn id="177" name="S58" dataDxfId="2527">
      <calculatedColumnFormula>IF(ISBLANK(tbl_task3[[คะแนนเต็ม]:[คะแนนเต็ม]]),"",(tbl_task3[58]/tbl_task3[[คะแนนเต็ม]:[คะแนนเต็ม]])*tbl_task3[[%]:[%]])</calculatedColumnFormula>
    </tableColumn>
    <tableColumn id="178" name="S59" dataDxfId="2526">
      <calculatedColumnFormula>IF(ISBLANK(tbl_task3[[คะแนนเต็ม]:[คะแนนเต็ม]]),"",(tbl_task3[59]/tbl_task3[[คะแนนเต็ม]:[คะแนนเต็ม]])*tbl_task3[[%]:[%]])</calculatedColumnFormula>
    </tableColumn>
    <tableColumn id="179" name="S60" dataDxfId="2525">
      <calculatedColumnFormula>IF(ISBLANK(tbl_task3[[คะแนนเต็ม]:[คะแนนเต็ม]]),"",(tbl_task3[60]/tbl_task3[[คะแนนเต็ม]:[คะแนนเต็ม]])*tbl_task3[[%]:[%]])</calculatedColumnFormula>
    </tableColumn>
    <tableColumn id="180" name="S61" dataDxfId="2524">
      <calculatedColumnFormula>IF(ISBLANK(tbl_task3[[คะแนนเต็ม]:[คะแนนเต็ม]]),"",(tbl_task3[61]/tbl_task3[[คะแนนเต็ม]:[คะแนนเต็ม]])*tbl_task3[[%]:[%]])</calculatedColumnFormula>
    </tableColumn>
    <tableColumn id="181" name="S62" dataDxfId="2523">
      <calculatedColumnFormula>IF(ISBLANK(tbl_task3[[คะแนนเต็ม]:[คะแนนเต็ม]]),"",(tbl_task3[62]/tbl_task3[[คะแนนเต็ม]:[คะแนนเต็ม]])*tbl_task3[[%]:[%]])</calculatedColumnFormula>
    </tableColumn>
    <tableColumn id="182" name="S63" dataDxfId="2522">
      <calculatedColumnFormula>IF(ISBLANK(tbl_task3[[คะแนนเต็ม]:[คะแนนเต็ม]]),"",(tbl_task3[63]/tbl_task3[[คะแนนเต็ม]:[คะแนนเต็ม]])*tbl_task3[[%]:[%]])</calculatedColumnFormula>
    </tableColumn>
    <tableColumn id="183" name="S64" dataDxfId="2521">
      <calculatedColumnFormula>IF(ISBLANK(tbl_task3[[คะแนนเต็ม]:[คะแนนเต็ม]]),"",(tbl_task3[64]/tbl_task3[[คะแนนเต็ม]:[คะแนนเต็ม]])*tbl_task3[[%]:[%]])</calculatedColumnFormula>
    </tableColumn>
    <tableColumn id="184" name="S65" dataDxfId="2520">
      <calculatedColumnFormula>IF(ISBLANK(tbl_task3[[คะแนนเต็ม]:[คะแนนเต็ม]]),"",(tbl_task3[65]/tbl_task3[[คะแนนเต็ม]:[คะแนนเต็ม]])*tbl_task3[[%]:[%]])</calculatedColumnFormula>
    </tableColumn>
    <tableColumn id="185" name="S66" dataDxfId="2519">
      <calculatedColumnFormula>IF(ISBLANK(tbl_task3[[คะแนนเต็ม]:[คะแนนเต็ม]]),"",(tbl_task3[66]/tbl_task3[[คะแนนเต็ม]:[คะแนนเต็ม]])*tbl_task3[[%]:[%]])</calculatedColumnFormula>
    </tableColumn>
    <tableColumn id="186" name="S67" dataDxfId="2518">
      <calculatedColumnFormula>IF(ISBLANK(tbl_task3[[คะแนนเต็ม]:[คะแนนเต็ม]]),"",(tbl_task3[67]/tbl_task3[[คะแนนเต็ม]:[คะแนนเต็ม]])*tbl_task3[[%]:[%]])</calculatedColumnFormula>
    </tableColumn>
    <tableColumn id="187" name="S68" dataDxfId="2517">
      <calculatedColumnFormula>IF(ISBLANK(tbl_task3[[คะแนนเต็ม]:[คะแนนเต็ม]]),"",(tbl_task3[68]/tbl_task3[[คะแนนเต็ม]:[คะแนนเต็ม]])*tbl_task3[[%]:[%]])</calculatedColumnFormula>
    </tableColumn>
    <tableColumn id="188" name="S69" dataDxfId="2516">
      <calculatedColumnFormula>IF(ISBLANK(tbl_task3[[คะแนนเต็ม]:[คะแนนเต็ม]]),"",(tbl_task3[69]/tbl_task3[[คะแนนเต็ม]:[คะแนนเต็ม]])*tbl_task3[[%]:[%]])</calculatedColumnFormula>
    </tableColumn>
    <tableColumn id="189" name="S70" dataDxfId="2515">
      <calculatedColumnFormula>IF(ISBLANK(tbl_task3[[คะแนนเต็ม]:[คะแนนเต็ม]]),"",(tbl_task3[70]/tbl_task3[[คะแนนเต็ม]:[คะแนนเต็ม]])*tbl_task3[[%]:[%]])</calculatedColumnFormula>
    </tableColumn>
    <tableColumn id="190" name="S71" dataDxfId="2514">
      <calculatedColumnFormula>IF(ISBLANK(tbl_task3[[คะแนนเต็ม]:[คะแนนเต็ม]]),"",(tbl_task3[71]/tbl_task3[[คะแนนเต็ม]:[คะแนนเต็ม]])*tbl_task3[[%]:[%]])</calculatedColumnFormula>
    </tableColumn>
    <tableColumn id="191" name="S72" dataDxfId="2513">
      <calculatedColumnFormula>IF(ISBLANK(tbl_task3[[คะแนนเต็ม]:[คะแนนเต็ม]]),"",(tbl_task3[72]/tbl_task3[[คะแนนเต็ม]:[คะแนนเต็ม]])*tbl_task3[[%]:[%]])</calculatedColumnFormula>
    </tableColumn>
    <tableColumn id="192" name="S73" dataDxfId="2512">
      <calculatedColumnFormula>IF(ISBLANK(tbl_task3[[คะแนนเต็ม]:[คะแนนเต็ม]]),"",(tbl_task3[73]/tbl_task3[[คะแนนเต็ม]:[คะแนนเต็ม]])*tbl_task3[[%]:[%]])</calculatedColumnFormula>
    </tableColumn>
    <tableColumn id="193" name="S74" dataDxfId="2511">
      <calculatedColumnFormula>IF(ISBLANK(tbl_task3[[คะแนนเต็ม]:[คะแนนเต็ม]]),"",(tbl_task3[74]/tbl_task3[[คะแนนเต็ม]:[คะแนนเต็ม]])*tbl_task3[[%]:[%]])</calculatedColumnFormula>
    </tableColumn>
    <tableColumn id="194" name="S75" dataDxfId="2510">
      <calculatedColumnFormula>IF(ISBLANK(tbl_task3[[คะแนนเต็ม]:[คะแนนเต็ม]]),"",(tbl_task3[75]/tbl_task3[[คะแนนเต็ม]:[คะแนนเต็ม]])*tbl_task3[[%]:[%]])</calculatedColumnFormula>
    </tableColumn>
    <tableColumn id="195" name="S76" dataDxfId="2509">
      <calculatedColumnFormula>IF(ISBLANK(tbl_task3[[คะแนนเต็ม]:[คะแนนเต็ม]]),"",(tbl_task3[76]/tbl_task3[[คะแนนเต็ม]:[คะแนนเต็ม]])*tbl_task3[[%]:[%]])</calculatedColumnFormula>
    </tableColumn>
    <tableColumn id="196" name="S77" dataDxfId="2508">
      <calculatedColumnFormula>IF(ISBLANK(tbl_task3[[คะแนนเต็ม]:[คะแนนเต็ม]]),"",(tbl_task3[77]/tbl_task3[[คะแนนเต็ม]:[คะแนนเต็ม]])*tbl_task3[[%]:[%]])</calculatedColumnFormula>
    </tableColumn>
    <tableColumn id="197" name="S78" dataDxfId="2507">
      <calculatedColumnFormula>IF(ISBLANK(tbl_task3[[คะแนนเต็ม]:[คะแนนเต็ม]]),"",(tbl_task3[78]/tbl_task3[[คะแนนเต็ม]:[คะแนนเต็ม]])*tbl_task3[[%]:[%]])</calculatedColumnFormula>
    </tableColumn>
    <tableColumn id="198" name="S79" dataDxfId="2506">
      <calculatedColumnFormula>IF(ISBLANK(tbl_task3[[คะแนนเต็ม]:[คะแนนเต็ม]]),"",(tbl_task3[79]/tbl_task3[[คะแนนเต็ม]:[คะแนนเต็ม]])*tbl_task3[[%]:[%]])</calculatedColumnFormula>
    </tableColumn>
    <tableColumn id="199" name="S80" dataDxfId="2505">
      <calculatedColumnFormula>IF(ISBLANK(tbl_task3[[คะแนนเต็ม]:[คะแนนเต็ม]]),"",(tbl_task3[80]/tbl_task3[[คะแนนเต็ม]:[คะแนนเต็ม]])*tbl_task3[[%]:[%]])</calculatedColumnFormula>
    </tableColumn>
    <tableColumn id="200" name="S81" dataDxfId="2504">
      <calculatedColumnFormula>IF(ISBLANK(tbl_task3[[คะแนนเต็ม]:[คะแนนเต็ม]]),"",(tbl_task3[81]/tbl_task3[[คะแนนเต็ม]:[คะแนนเต็ม]])*tbl_task3[[%]:[%]])</calculatedColumnFormula>
    </tableColumn>
    <tableColumn id="201" name="S82" dataDxfId="2503">
      <calculatedColumnFormula>IF(ISBLANK(tbl_task3[[คะแนนเต็ม]:[คะแนนเต็ม]]),"",(tbl_task3[82]/tbl_task3[[คะแนนเต็ม]:[คะแนนเต็ม]])*tbl_task3[[%]:[%]])</calculatedColumnFormula>
    </tableColumn>
    <tableColumn id="202" name="S83" dataDxfId="2502">
      <calculatedColumnFormula>IF(ISBLANK(tbl_task3[[คะแนนเต็ม]:[คะแนนเต็ม]]),"",(tbl_task3[83]/tbl_task3[[คะแนนเต็ม]:[คะแนนเต็ม]])*tbl_task3[[%]:[%]])</calculatedColumnFormula>
    </tableColumn>
    <tableColumn id="203" name="S84" dataDxfId="2501">
      <calculatedColumnFormula>IF(ISBLANK(tbl_task3[[คะแนนเต็ม]:[คะแนนเต็ม]]),"",(tbl_task3[84]/tbl_task3[[คะแนนเต็ม]:[คะแนนเต็ม]])*tbl_task3[[%]:[%]])</calculatedColumnFormula>
    </tableColumn>
    <tableColumn id="204" name="S85" dataDxfId="2500">
      <calculatedColumnFormula>IF(ISBLANK(tbl_task3[[คะแนนเต็ม]:[คะแนนเต็ม]]),"",(tbl_task3[85]/tbl_task3[[คะแนนเต็ม]:[คะแนนเต็ม]])*tbl_task3[[%]:[%]])</calculatedColumnFormula>
    </tableColumn>
    <tableColumn id="286" name="S86" dataDxfId="2499">
      <calculatedColumnFormula>IF(ISBLANK(tbl_task3[[คะแนนเต็ม]:[คะแนนเต็ม]]),"",(tbl_task3[86]/tbl_task3[[คะแนนเต็ม]:[คะแนนเต็ม]])*tbl_task3[[%]:[%]])</calculatedColumnFormula>
    </tableColumn>
    <tableColumn id="287" name="S87" dataDxfId="2498">
      <calculatedColumnFormula>IF(ISBLANK(tbl_task3[[คะแนนเต็ม]:[คะแนนเต็ม]]),"",(tbl_task3[87]/tbl_task3[[คะแนนเต็ม]:[คะแนนเต็ม]])*tbl_task3[[%]:[%]])</calculatedColumnFormula>
    </tableColumn>
    <tableColumn id="288" name="S88" dataDxfId="2497">
      <calculatedColumnFormula>IF(ISBLANK(tbl_task3[[คะแนนเต็ม]:[คะแนนเต็ม]]),"",(tbl_task3[88]/tbl_task3[[คะแนนเต็ม]:[คะแนนเต็ม]])*tbl_task3[[%]:[%]])</calculatedColumnFormula>
    </tableColumn>
    <tableColumn id="289" name="S89" dataDxfId="2496">
      <calculatedColumnFormula>IF(ISBLANK(tbl_task3[[คะแนนเต็ม]:[คะแนนเต็ม]]),"",(tbl_task3[89]/tbl_task3[[คะแนนเต็ม]:[คะแนนเต็ม]])*tbl_task3[[%]:[%]])</calculatedColumnFormula>
    </tableColumn>
    <tableColumn id="290" name="S90" dataDxfId="2495">
      <calculatedColumnFormula>IF(ISBLANK(tbl_task3[[คะแนนเต็ม]:[คะแนนเต็ม]]),"",(tbl_task3[90]/tbl_task3[[คะแนนเต็ม]:[คะแนนเต็ม]])*tbl_task3[[%]:[%]])</calculatedColumnFormula>
    </tableColumn>
    <tableColumn id="291" name="S91" dataDxfId="2494">
      <calculatedColumnFormula>IF(ISBLANK(tbl_task3[[คะแนนเต็ม]:[คะแนนเต็ม]]),"",(tbl_task3[91]/tbl_task3[[คะแนนเต็ม]:[คะแนนเต็ม]])*tbl_task3[[%]:[%]])</calculatedColumnFormula>
    </tableColumn>
    <tableColumn id="292" name="S92" dataDxfId="2493">
      <calculatedColumnFormula>IF(ISBLANK(tbl_task3[[คะแนนเต็ม]:[คะแนนเต็ม]]),"",(tbl_task3[92]/tbl_task3[[คะแนนเต็ม]:[คะแนนเต็ม]])*tbl_task3[[%]:[%]])</calculatedColumnFormula>
    </tableColumn>
    <tableColumn id="293" name="S93" dataDxfId="2492">
      <calculatedColumnFormula>IF(ISBLANK(tbl_task3[[คะแนนเต็ม]:[คะแนนเต็ม]]),"",(tbl_task3[93]/tbl_task3[[คะแนนเต็ม]:[คะแนนเต็ม]])*tbl_task3[[%]:[%]])</calculatedColumnFormula>
    </tableColumn>
    <tableColumn id="294" name="S94" dataDxfId="2491">
      <calculatedColumnFormula>IF(ISBLANK(tbl_task3[[คะแนนเต็ม]:[คะแนนเต็ม]]),"",(tbl_task3[94]/tbl_task3[[คะแนนเต็ม]:[คะแนนเต็ม]])*tbl_task3[[%]:[%]])</calculatedColumnFormula>
    </tableColumn>
    <tableColumn id="295" name="S95" dataDxfId="2490">
      <calculatedColumnFormula>IF(ISBLANK(tbl_task3[[คะแนนเต็ม]:[คะแนนเต็ม]]),"",(tbl_task3[95]/tbl_task3[[คะแนนเต็ม]:[คะแนนเต็ม]])*tbl_task3[[%]:[%]])</calculatedColumnFormula>
    </tableColumn>
    <tableColumn id="296" name="S96" dataDxfId="2489">
      <calculatedColumnFormula>IF(ISBLANK(tbl_task3[[คะแนนเต็ม]:[คะแนนเต็ม]]),"",(tbl_task3[96]/tbl_task3[[คะแนนเต็ม]:[คะแนนเต็ม]])*tbl_task3[[%]:[%]])</calculatedColumnFormula>
    </tableColumn>
    <tableColumn id="297" name="S97" dataDxfId="2488">
      <calculatedColumnFormula>IF(ISBLANK(tbl_task3[[คะแนนเต็ม]:[คะแนนเต็ม]]),"",(tbl_task3[97]/tbl_task3[[คะแนนเต็ม]:[คะแนนเต็ม]])*tbl_task3[[%]:[%]])</calculatedColumnFormula>
    </tableColumn>
    <tableColumn id="298" name="S98" dataDxfId="2487">
      <calculatedColumnFormula>IF(ISBLANK(tbl_task3[[คะแนนเต็ม]:[คะแนนเต็ม]]),"",(tbl_task3[98]/tbl_task3[[คะแนนเต็ม]:[คะแนนเต็ม]])*tbl_task3[[%]:[%]])</calculatedColumnFormula>
    </tableColumn>
    <tableColumn id="299" name="S99" dataDxfId="2486">
      <calculatedColumnFormula>IF(ISBLANK(tbl_task3[[คะแนนเต็ม]:[คะแนนเต็ม]]),"",(tbl_task3[99]/tbl_task3[[คะแนนเต็ม]:[คะแนนเต็ม]])*tbl_task3[[%]:[%]])</calculatedColumnFormula>
    </tableColumn>
    <tableColumn id="300" name="S100" dataDxfId="2485">
      <calculatedColumnFormula>IF(ISBLANK(tbl_task3[[คะแนนเต็ม]:[คะแนนเต็ม]]),"",(tbl_task3[100]/tbl_task3[[คะแนนเต็ม]:[คะแนนเต็ม]])*tbl_task3[[%]:[%]])</calculatedColumnFormula>
    </tableColumn>
    <tableColumn id="301" name="S101" dataDxfId="2484">
      <calculatedColumnFormula>IF(ISBLANK(tbl_task3[[คะแนนเต็ม]:[คะแนนเต็ม]]),"",(tbl_task3[101]/tbl_task3[[คะแนนเต็ม]:[คะแนนเต็ม]])*tbl_task3[[%]:[%]])</calculatedColumnFormula>
    </tableColumn>
    <tableColumn id="302" name="S102" dataDxfId="2483">
      <calculatedColumnFormula>IF(ISBLANK(tbl_task3[[คะแนนเต็ม]:[คะแนนเต็ม]]),"",(tbl_task3[102]/tbl_task3[[คะแนนเต็ม]:[คะแนนเต็ม]])*tbl_task3[[%]:[%]])</calculatedColumnFormula>
    </tableColumn>
    <tableColumn id="303" name="S103" dataDxfId="2482">
      <calculatedColumnFormula>IF(ISBLANK(tbl_task3[[คะแนนเต็ม]:[คะแนนเต็ม]]),"",(tbl_task3[103]/tbl_task3[[คะแนนเต็ม]:[คะแนนเต็ม]])*tbl_task3[[%]:[%]])</calculatedColumnFormula>
    </tableColumn>
    <tableColumn id="304" name="S104" dataDxfId="2481">
      <calculatedColumnFormula>IF(ISBLANK(tbl_task3[[คะแนนเต็ม]:[คะแนนเต็ม]]),"",(tbl_task3[104]/tbl_task3[[คะแนนเต็ม]:[คะแนนเต็ม]])*tbl_task3[[%]:[%]])</calculatedColumnFormula>
    </tableColumn>
    <tableColumn id="305" name="S105" dataDxfId="2480">
      <calculatedColumnFormula>IF(ISBLANK(tbl_task3[[คะแนนเต็ม]:[คะแนนเต็ม]]),"",(tbl_task3[105]/tbl_task3[[คะแนนเต็ม]:[คะแนนเต็ม]])*tbl_task3[[%]:[%]])</calculatedColumnFormula>
    </tableColumn>
    <tableColumn id="306" name="S106" dataDxfId="2479">
      <calculatedColumnFormula>IF(ISBLANK(tbl_task3[[คะแนนเต็ม]:[คะแนนเต็ม]]),"",(tbl_task3[106]/tbl_task3[[คะแนนเต็ม]:[คะแนนเต็ม]])*tbl_task3[[%]:[%]])</calculatedColumnFormula>
    </tableColumn>
    <tableColumn id="307" name="S107" dataDxfId="2478">
      <calculatedColumnFormula>IF(ISBLANK(tbl_task3[[คะแนนเต็ม]:[คะแนนเต็ม]]),"",(tbl_task3[107]/tbl_task3[[คะแนนเต็ม]:[คะแนนเต็ม]])*tbl_task3[[%]:[%]])</calculatedColumnFormula>
    </tableColumn>
    <tableColumn id="308" name="S108" dataDxfId="2477">
      <calculatedColumnFormula>IF(ISBLANK(tbl_task3[[คะแนนเต็ม]:[คะแนนเต็ม]]),"",(tbl_task3[108]/tbl_task3[[คะแนนเต็ม]:[คะแนนเต็ม]])*tbl_task3[[%]:[%]])</calculatedColumnFormula>
    </tableColumn>
    <tableColumn id="309" name="S109" dataDxfId="2476">
      <calculatedColumnFormula>IF(ISBLANK(tbl_task3[[คะแนนเต็ม]:[คะแนนเต็ม]]),"",(tbl_task3[109]/tbl_task3[[คะแนนเต็ม]:[คะแนนเต็ม]])*tbl_task3[[%]:[%]])</calculatedColumnFormula>
    </tableColumn>
    <tableColumn id="310" name="S110" dataDxfId="2475">
      <calculatedColumnFormula>IF(ISBLANK(tbl_task3[[คะแนนเต็ม]:[คะแนนเต็ม]]),"",(tbl_task3[110]/tbl_task3[[คะแนนเต็ม]:[คะแนนเต็ม]])*tbl_task3[[%]:[%]])</calculatedColumnFormula>
    </tableColumn>
    <tableColumn id="311" name="S111" dataDxfId="2474">
      <calculatedColumnFormula>IF(ISBLANK(tbl_task3[[คะแนนเต็ม]:[คะแนนเต็ม]]),"",(tbl_task3[111]/tbl_task3[[คะแนนเต็ม]:[คะแนนเต็ม]])*tbl_task3[[%]:[%]])</calculatedColumnFormula>
    </tableColumn>
    <tableColumn id="312" name="S112" dataDxfId="2473">
      <calculatedColumnFormula>IF(ISBLANK(tbl_task3[[คะแนนเต็ม]:[คะแนนเต็ม]]),"",(tbl_task3[112]/tbl_task3[[คะแนนเต็ม]:[คะแนนเต็ม]])*tbl_task3[[%]:[%]])</calculatedColumnFormula>
    </tableColumn>
    <tableColumn id="313" name="S113" dataDxfId="2472">
      <calculatedColumnFormula>IF(ISBLANK(tbl_task3[[คะแนนเต็ม]:[คะแนนเต็ม]]),"",(tbl_task3[113]/tbl_task3[[คะแนนเต็ม]:[คะแนนเต็ม]])*tbl_task3[[%]:[%]])</calculatedColumnFormula>
    </tableColumn>
    <tableColumn id="314" name="S114" dataDxfId="2471">
      <calculatedColumnFormula>IF(ISBLANK(tbl_task3[[คะแนนเต็ม]:[คะแนนเต็ม]]),"",(tbl_task3[114]/tbl_task3[[คะแนนเต็ม]:[คะแนนเต็ม]])*tbl_task3[[%]:[%]])</calculatedColumnFormula>
    </tableColumn>
    <tableColumn id="315" name="S115" dataDxfId="2470">
      <calculatedColumnFormula>IF(ISBLANK(tbl_task3[[คะแนนเต็ม]:[คะแนนเต็ม]]),"",(tbl_task3[115]/tbl_task3[[คะแนนเต็ม]:[คะแนนเต็ม]])*tbl_task3[[%]:[%]])</calculatedColumnFormula>
    </tableColumn>
    <tableColumn id="205" name="S116" dataDxfId="2469">
      <calculatedColumnFormula>IF(ISBLANK(tbl_task3[[คะแนนเต็ม]:[คะแนนเต็ม]]),"",(tbl_task3[116]/tbl_task3[[คะแนนเต็ม]:[คะแนนเต็ม]])*tbl_task3[[%]:[%]])</calculatedColumnFormula>
    </tableColumn>
    <tableColumn id="206" name="S117" dataDxfId="2468">
      <calculatedColumnFormula>IF(ISBLANK(tbl_task3[[คะแนนเต็ม]:[คะแนนเต็ม]]),"",(tbl_task3[117]/tbl_task3[[คะแนนเต็ม]:[คะแนนเต็ม]])*tbl_task3[[%]:[%]])</calculatedColumnFormula>
    </tableColumn>
    <tableColumn id="207" name="S118" dataDxfId="2467">
      <calculatedColumnFormula>IF(ISBLANK(tbl_task3[[คะแนนเต็ม]:[คะแนนเต็ม]]),"",(tbl_task3[118]/tbl_task3[[คะแนนเต็ม]:[คะแนนเต็ม]])*tbl_task3[[%]:[%]])</calculatedColumnFormula>
    </tableColumn>
    <tableColumn id="208" name="S119" dataDxfId="2466">
      <calculatedColumnFormula>IF(ISBLANK(tbl_task3[[คะแนนเต็ม]:[คะแนนเต็ม]]),"",(tbl_task3[119]/tbl_task3[[คะแนนเต็ม]:[คะแนนเต็ม]])*tbl_task3[[%]:[%]])</calculatedColumnFormula>
    </tableColumn>
    <tableColumn id="209" name="S120" dataDxfId="2465">
      <calculatedColumnFormula>IF(ISBLANK(tbl_task3[[คะแนนเต็ม]:[คะแนนเต็ม]]),"",(tbl_task3[120]/tbl_task3[[คะแนนเต็ม]:[คะแนนเต็ม]])*tbl_task3[[%]:[%]])</calculatedColumnFormula>
    </tableColumn>
    <tableColumn id="210" name="S121" dataDxfId="2464">
      <calculatedColumnFormula>IF(ISBLANK(tbl_task3[[คะแนนเต็ม]:[คะแนนเต็ม]]),"",(tbl_task3[121]/tbl_task3[[คะแนนเต็ม]:[คะแนนเต็ม]])*tbl_task3[[%]:[%]])</calculatedColumnFormula>
    </tableColumn>
    <tableColumn id="211" name="S122" dataDxfId="2463">
      <calculatedColumnFormula>IF(ISBLANK(tbl_task3[[คะแนนเต็ม]:[คะแนนเต็ม]]),"",(tbl_task3[122]/tbl_task3[[คะแนนเต็ม]:[คะแนนเต็ม]])*tbl_task3[[%]:[%]])</calculatedColumnFormula>
    </tableColumn>
    <tableColumn id="316" name="S123" dataDxfId="2462">
      <calculatedColumnFormula>IF(ISBLANK(tbl_task3[[คะแนนเต็ม]:[คะแนนเต็ม]]),"",(tbl_task3[123]/tbl_task3[[คะแนนเต็ม]:[คะแนนเต็ม]])*tbl_task3[[%]:[%]])</calculatedColumnFormula>
    </tableColumn>
    <tableColumn id="317" name="S124" dataDxfId="2461">
      <calculatedColumnFormula>IF(ISBLANK(tbl_task3[[คะแนนเต็ม]:[คะแนนเต็ม]]),"",(tbl_task3[124]/tbl_task3[[คะแนนเต็ม]:[คะแนนเต็ม]])*tbl_task3[[%]:[%]])</calculatedColumnFormula>
    </tableColumn>
    <tableColumn id="318" name="S125" dataDxfId="2460">
      <calculatedColumnFormula>IF(ISBLANK(tbl_task3[[คะแนนเต็ม]:[คะแนนเต็ม]]),"",(tbl_task3[125]/tbl_task3[[คะแนนเต็ม]:[คะแนนเต็ม]])*tbl_task3[[%]:[%]])</calculatedColumnFormula>
    </tableColumn>
    <tableColumn id="319" name="S126" dataDxfId="2459">
      <calculatedColumnFormula>IF(ISBLANK(tbl_task3[[คะแนนเต็ม]:[คะแนนเต็ม]]),"",(tbl_task3[126]/tbl_task3[[คะแนนเต็ม]:[คะแนนเต็ม]])*tbl_task3[[%]:[%]])</calculatedColumnFormula>
    </tableColumn>
    <tableColumn id="320" name="S127" dataDxfId="2458">
      <calculatedColumnFormula>IF(ISBLANK(tbl_task3[[คะแนนเต็ม]:[คะแนนเต็ม]]),"",(tbl_task3[127]/tbl_task3[[คะแนนเต็ม]:[คะแนนเต็ม]])*tbl_task3[[%]:[%]])</calculatedColumnFormula>
    </tableColumn>
    <tableColumn id="321" name="S128" dataDxfId="2457">
      <calculatedColumnFormula>IF(ISBLANK(tbl_task3[[คะแนนเต็ม]:[คะแนนเต็ม]]),"",(tbl_task3[128]/tbl_task3[[คะแนนเต็ม]:[คะแนนเต็ม]])*tbl_task3[[%]:[%]])</calculatedColumnFormula>
    </tableColumn>
    <tableColumn id="322" name="S129" dataDxfId="2456">
      <calculatedColumnFormula>IF(ISBLANK(tbl_task3[[คะแนนเต็ม]:[คะแนนเต็ม]]),"",(tbl_task3[129]/tbl_task3[[คะแนนเต็ม]:[คะแนนเต็ม]])*tbl_task3[[%]:[%]])</calculatedColumnFormula>
    </tableColumn>
    <tableColumn id="212" name="S130" dataDxfId="2455">
      <calculatedColumnFormula>IF(ISBLANK(tbl_task3[[คะแนนเต็ม]:[คะแนนเต็ม]]),"",(tbl_task3[130]/tbl_task3[[คะแนนเต็ม]:[คะแนนเต็ม]])*tbl_task3[[%]:[%]])</calculatedColumnFormula>
    </tableColumn>
    <tableColumn id="213" name="S131" dataDxfId="2454">
      <calculatedColumnFormula>IF(ISBLANK(tbl_task3[[คะแนนเต็ม]:[คะแนนเต็ม]]),"",(tbl_task3[131]/tbl_task3[[คะแนนเต็ม]:[คะแนนเต็ม]])*tbl_task3[[%]:[%]])</calculatedColumnFormula>
    </tableColumn>
    <tableColumn id="214" name="S132" dataDxfId="2453">
      <calculatedColumnFormula>IF(ISBLANK(tbl_task3[[คะแนนเต็ม]:[คะแนนเต็ม]]),"",(tbl_task3[132]/tbl_task3[[คะแนนเต็ม]:[คะแนนเต็ม]])*tbl_task3[[%]:[%]])</calculatedColumnFormula>
    </tableColumn>
    <tableColumn id="215" name="S133" dataDxfId="2452">
      <calculatedColumnFormula>IF(ISBLANK(tbl_task3[[คะแนนเต็ม]:[คะแนนเต็ม]]),"",(tbl_task3[133]/tbl_task3[[คะแนนเต็ม]:[คะแนนเต็ม]])*tbl_task3[[%]:[%]])</calculatedColumnFormula>
    </tableColumn>
    <tableColumn id="216" name="S134" dataDxfId="2451">
      <calculatedColumnFormula>IF(ISBLANK(tbl_task3[[คะแนนเต็ม]:[คะแนนเต็ม]]),"",(tbl_task3[134]/tbl_task3[[คะแนนเต็ม]:[คะแนนเต็ม]])*tbl_task3[[%]:[%]])</calculatedColumnFormula>
    </tableColumn>
    <tableColumn id="217" name="S135" dataDxfId="2450">
      <calculatedColumnFormula>IF(ISBLANK(tbl_task3[[คะแนนเต็ม]:[คะแนนเต็ม]]),"",(tbl_task3[135]/tbl_task3[[คะแนนเต็ม]:[คะแนนเต็ม]])*tbl_task3[[%]:[%]])</calculatedColumnFormula>
    </tableColumn>
    <tableColumn id="218" name="S136" dataDxfId="2449">
      <calculatedColumnFormula>IF(ISBLANK(tbl_task3[[คะแนนเต็ม]:[คะแนนเต็ม]]),"",(tbl_task3[136]/tbl_task3[[คะแนนเต็ม]:[คะแนนเต็ม]])*tbl_task3[[%]:[%]])</calculatedColumnFormula>
    </tableColumn>
    <tableColumn id="219" name="S137" dataDxfId="2448">
      <calculatedColumnFormula>IF(ISBLANK(tbl_task3[[คะแนนเต็ม]:[คะแนนเต็ม]]),"",(tbl_task3[137]/tbl_task3[[คะแนนเต็ม]:[คะแนนเต็ม]])*tbl_task3[[%]:[%]])</calculatedColumnFormula>
    </tableColumn>
    <tableColumn id="220" name="S138" dataDxfId="2447">
      <calculatedColumnFormula>IF(ISBLANK(tbl_task3[[คะแนนเต็ม]:[คะแนนเต็ม]]),"",(tbl_task3[138]/tbl_task3[[คะแนนเต็ม]:[คะแนนเต็ม]])*tbl_task3[[%]:[%]])</calculatedColumnFormula>
    </tableColumn>
    <tableColumn id="221" name="S139" dataDxfId="2446">
      <calculatedColumnFormula>IF(ISBLANK(tbl_task3[[คะแนนเต็ม]:[คะแนนเต็ม]]),"",(tbl_task3[139]/tbl_task3[[คะแนนเต็ม]:[คะแนนเต็ม]])*tbl_task3[[%]:[%]])</calculatedColumnFormula>
    </tableColumn>
    <tableColumn id="222" name="S140" dataDxfId="2445">
      <calculatedColumnFormula>IF(ISBLANK(tbl_task3[[คะแนนเต็ม]:[คะแนนเต็ม]]),"",(tbl_task3[140]/tbl_task3[[คะแนนเต็ม]:[คะแนนเต็ม]])*tbl_task3[[%]:[%]])</calculatedColumnFormula>
    </tableColumn>
    <tableColumn id="223" name="S141" dataDxfId="2444">
      <calculatedColumnFormula>IF(ISBLANK(tbl_task3[[คะแนนเต็ม]:[คะแนนเต็ม]]),"",(tbl_task3[141]/tbl_task3[[คะแนนเต็ม]:[คะแนนเต็ม]])*tbl_task3[[%]:[%]])</calculatedColumnFormula>
    </tableColumn>
    <tableColumn id="323" name="S142" dataDxfId="2443">
      <calculatedColumnFormula>IF(ISBLANK(tbl_task3[[คะแนนเต็ม]:[คะแนนเต็ม]]),"",(tbl_task3[142]/tbl_task3[[คะแนนเต็ม]:[คะแนนเต็ม]])*tbl_task3[[%]:[%]])</calculatedColumnFormula>
    </tableColumn>
    <tableColumn id="324" name="S143" dataDxfId="2442">
      <calculatedColumnFormula>IF(ISBLANK(tbl_task3[[คะแนนเต็ม]:[คะแนนเต็ม]]),"",(tbl_task3[143]/tbl_task3[[คะแนนเต็ม]:[คะแนนเต็ม]])*tbl_task3[[%]:[%]])</calculatedColumnFormula>
    </tableColumn>
    <tableColumn id="325" name="S144" dataDxfId="2441">
      <calculatedColumnFormula>IF(ISBLANK(tbl_task3[[คะแนนเต็ม]:[คะแนนเต็ม]]),"",(tbl_task3[144]/tbl_task3[[คะแนนเต็ม]:[คะแนนเต็ม]])*tbl_task3[[%]:[%]])</calculatedColumnFormula>
    </tableColumn>
    <tableColumn id="326" name="S145" dataDxfId="2440">
      <calculatedColumnFormula>IF(ISBLANK(tbl_task3[[คะแนนเต็ม]:[คะแนนเต็ม]]),"",(tbl_task3[145]/tbl_task3[[คะแนนเต็ม]:[คะแนนเต็ม]])*tbl_task3[[%]:[%]])</calculatedColumnFormula>
    </tableColumn>
    <tableColumn id="327" name="S146" dataDxfId="2439">
      <calculatedColumnFormula>IF(ISBLANK(tbl_task3[[คะแนนเต็ม]:[คะแนนเต็ม]]),"",(tbl_task3[146]/tbl_task3[[คะแนนเต็ม]:[คะแนนเต็ม]])*tbl_task3[[%]:[%]])</calculatedColumnFormula>
    </tableColumn>
    <tableColumn id="328" name="S147" dataDxfId="2438">
      <calculatedColumnFormula>IF(ISBLANK(tbl_task3[[คะแนนเต็ม]:[คะแนนเต็ม]]),"",(tbl_task3[147]/tbl_task3[[คะแนนเต็ม]:[คะแนนเต็ม]])*tbl_task3[[%]:[%]])</calculatedColumnFormula>
    </tableColumn>
    <tableColumn id="329" name="S148" dataDxfId="2437">
      <calculatedColumnFormula>IF(ISBLANK(tbl_task3[[คะแนนเต็ม]:[คะแนนเต็ม]]),"",(tbl_task3[148]/tbl_task3[[คะแนนเต็ม]:[คะแนนเต็ม]])*tbl_task3[[%]:[%]])</calculatedColumnFormula>
    </tableColumn>
    <tableColumn id="330" name="S149" dataDxfId="2436">
      <calculatedColumnFormula>IF(ISBLANK(tbl_task3[[คะแนนเต็ม]:[คะแนนเต็ม]]),"",(tbl_task3[149]/tbl_task3[[คะแนนเต็ม]:[คะแนนเต็ม]])*tbl_task3[[%]:[%]])</calculatedColumnFormula>
    </tableColumn>
    <tableColumn id="331" name="S150" dataDxfId="2435">
      <calculatedColumnFormula>IF(ISBLANK(tbl_task3[[คะแนนเต็ม]:[คะแนนเต็ม]]),"",(tbl_task3[150]/tbl_task3[[คะแนนเต็ม]:[คะแนนเต็ม]])*tbl_task3[[%]:[%]])</calculatedColumnFormula>
    </tableColumn>
    <tableColumn id="332" name="S151" dataDxfId="2434">
      <calculatedColumnFormula>IF(ISBLANK(tbl_task3[[คะแนนเต็ม]:[คะแนนเต็ม]]),"",(tbl_task3[151]/tbl_task3[[คะแนนเต็ม]:[คะแนนเต็ม]])*tbl_task3[[%]:[%]])</calculatedColumnFormula>
    </tableColumn>
    <tableColumn id="333" name="S152" dataDxfId="2433">
      <calculatedColumnFormula>IF(ISBLANK(tbl_task3[[คะแนนเต็ม]:[คะแนนเต็ม]]),"",(tbl_task3[152]/tbl_task3[[คะแนนเต็ม]:[คะแนนเต็ม]])*tbl_task3[[%]:[%]])</calculatedColumnFormula>
    </tableColumn>
    <tableColumn id="224" name="S153" dataDxfId="2432">
      <calculatedColumnFormula>IF(ISBLANK(tbl_task3[[คะแนนเต็ม]:[คะแนนเต็ม]]),"",(tbl_task3[153]/tbl_task3[[คะแนนเต็ม]:[คะแนนเต็ม]])*tbl_task3[[%]:[%]])</calculatedColumnFormula>
    </tableColumn>
    <tableColumn id="225" name="S154" dataDxfId="2431">
      <calculatedColumnFormula>IF(ISBLANK(tbl_task3[[คะแนนเต็ม]:[คะแนนเต็ม]]),"",(tbl_task3[154]/tbl_task3[[คะแนนเต็ม]:[คะแนนเต็ม]])*tbl_task3[[%]:[%]])</calculatedColumnFormula>
    </tableColumn>
    <tableColumn id="226" name="S155" dataDxfId="2430">
      <calculatedColumnFormula>IF(ISBLANK(tbl_task3[[คะแนนเต็ม]:[คะแนนเต็ม]]),"",(tbl_task3[155]/tbl_task3[[คะแนนเต็ม]:[คะแนนเต็ม]])*tbl_task3[[%]:[%]])</calculatedColumnFormula>
    </tableColumn>
    <tableColumn id="227" name="S156" dataDxfId="2429">
      <calculatedColumnFormula>IF(ISBLANK(tbl_task3[[คะแนนเต็ม]:[คะแนนเต็ม]]),"",(tbl_task3[156]/tbl_task3[[คะแนนเต็ม]:[คะแนนเต็ม]])*tbl_task3[[%]:[%]])</calculatedColumnFormula>
    </tableColumn>
    <tableColumn id="228" name="S157" dataDxfId="2428">
      <calculatedColumnFormula>IF(ISBLANK(tbl_task3[[คะแนนเต็ม]:[คะแนนเต็ม]]),"",(tbl_task3[157]/tbl_task3[[คะแนนเต็ม]:[คะแนนเต็ม]])*tbl_task3[[%]:[%]])</calculatedColumnFormula>
    </tableColumn>
    <tableColumn id="229" name="S158" dataDxfId="2427">
      <calculatedColumnFormula>IF(ISBLANK(tbl_task3[[คะแนนเต็ม]:[คะแนนเต็ม]]),"",(tbl_task3[158]/tbl_task3[[คะแนนเต็ม]:[คะแนนเต็ม]])*tbl_task3[[%]:[%]])</calculatedColumnFormula>
    </tableColumn>
    <tableColumn id="230" name="S159" dataDxfId="2426">
      <calculatedColumnFormula>IF(ISBLANK(tbl_task3[[คะแนนเต็ม]:[คะแนนเต็ม]]),"",(tbl_task3[159]/tbl_task3[[คะแนนเต็ม]:[คะแนนเต็ม]])*tbl_task3[[%]:[%]])</calculatedColumnFormula>
    </tableColumn>
    <tableColumn id="231" name="S160" dataDxfId="2425">
      <calculatedColumnFormula>IF(ISBLANK(tbl_task3[[คะแนนเต็ม]:[คะแนนเต็ม]]),"",(tbl_task3[160]/tbl_task3[[คะแนนเต็ม]:[คะแนนเต็ม]])*tbl_task3[[%]:[%]])</calculatedColumnFormula>
    </tableColumn>
    <tableColumn id="232" name="S161" dataDxfId="2424">
      <calculatedColumnFormula>IF(ISBLANK(tbl_task3[[คะแนนเต็ม]:[คะแนนเต็ม]]),"",(tbl_task3[161]/tbl_task3[[คะแนนเต็ม]:[คะแนนเต็ม]])*tbl_task3[[%]:[%]])</calculatedColumnFormula>
    </tableColumn>
    <tableColumn id="334" name="S162" dataDxfId="2423">
      <calculatedColumnFormula>IF(ISBLANK(tbl_task3[[คะแนนเต็ม]:[คะแนนเต็ม]]),"",(tbl_task3[162]/tbl_task3[[คะแนนเต็ม]:[คะแนนเต็ม]])*tbl_task3[[%]:[%]])</calculatedColumnFormula>
    </tableColumn>
    <tableColumn id="335" name="S163" dataDxfId="2422">
      <calculatedColumnFormula>IF(ISBLANK(tbl_task3[[คะแนนเต็ม]:[คะแนนเต็ม]]),"",(tbl_task3[163]/tbl_task3[[คะแนนเต็ม]:[คะแนนเต็ม]])*tbl_task3[[%]:[%]])</calculatedColumnFormula>
    </tableColumn>
    <tableColumn id="233" name="S164" dataDxfId="2421">
      <calculatedColumnFormula>IF(ISBLANK(tbl_task3[[คะแนนเต็ม]:[คะแนนเต็ม]]),"",(tbl_task3[164]/tbl_task3[[คะแนนเต็ม]:[คะแนนเต็ม]])*tbl_task3[[%]:[%]])</calculatedColumnFormula>
    </tableColumn>
    <tableColumn id="234" name="S165" dataDxfId="2420">
      <calculatedColumnFormula>IF(ISBLANK(tbl_task3[[คะแนนเต็ม]:[คะแนนเต็ม]]),"",(tbl_task3[165]/tbl_task3[[คะแนนเต็ม]:[คะแนนเต็ม]])*tbl_task3[[%]:[%]])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bl_task4" displayName="tbl_task4" ref="A3:LW28" totalsRowShown="0" headerRowDxfId="2419" dataDxfId="2417" headerRowBorderDxfId="2418" tableBorderDxfId="2416" totalsRowBorderDxfId="2415">
  <tableColumns count="335">
    <tableColumn id="1" name="No" dataDxfId="2414"/>
    <tableColumn id="2" name="SubPLOs" dataDxfId="2413"/>
    <tableColumn id="3" name="SubPLOs_name" dataDxfId="2412">
      <calculatedColumnFormula>IF(ISBLANK(B4),"",VLOOKUP(B4,tbl_PLOs[],2,0))</calculatedColumnFormula>
    </tableColumn>
    <tableColumn id="235" name="คะแนนเต็ม" dataDxfId="2411"/>
    <tableColumn id="4" name="%" dataDxfId="2410">
      <calculatedColumnFormula>IF(OR(ISBLANK(#REF!),ISBLANK(tbl_task4[[#This Row],[SubPLOs]])),"",#REF!/$B$29)</calculatedColumnFormula>
    </tableColumn>
    <tableColumn id="5" name="1" dataDxfId="2409"/>
    <tableColumn id="6" name="2" dataDxfId="2408"/>
    <tableColumn id="7" name="3" dataDxfId="2407"/>
    <tableColumn id="8" name="4" dataDxfId="2406"/>
    <tableColumn id="9" name="5" dataDxfId="2405"/>
    <tableColumn id="10" name="6" dataDxfId="2404"/>
    <tableColumn id="11" name="7" dataDxfId="2403"/>
    <tableColumn id="12" name="8" dataDxfId="2402"/>
    <tableColumn id="13" name="9" dataDxfId="2401"/>
    <tableColumn id="14" name="10" dataDxfId="2400"/>
    <tableColumn id="15" name="11" dataDxfId="2399"/>
    <tableColumn id="16" name="12" dataDxfId="2398"/>
    <tableColumn id="17" name="13" dataDxfId="2397"/>
    <tableColumn id="18" name="14" dataDxfId="2396"/>
    <tableColumn id="19" name="15" dataDxfId="2395"/>
    <tableColumn id="20" name="16" dataDxfId="2394"/>
    <tableColumn id="21" name="17" dataDxfId="2393"/>
    <tableColumn id="22" name="18" dataDxfId="2392"/>
    <tableColumn id="23" name="19" dataDxfId="2391"/>
    <tableColumn id="24" name="20" dataDxfId="2390"/>
    <tableColumn id="25" name="21" dataDxfId="2389"/>
    <tableColumn id="26" name="22" dataDxfId="2388"/>
    <tableColumn id="27" name="23" dataDxfId="2387"/>
    <tableColumn id="28" name="24" dataDxfId="2386"/>
    <tableColumn id="29" name="25" dataDxfId="2385"/>
    <tableColumn id="30" name="26" dataDxfId="2384"/>
    <tableColumn id="31" name="27" dataDxfId="2383"/>
    <tableColumn id="32" name="28" dataDxfId="2382"/>
    <tableColumn id="33" name="29" dataDxfId="2381"/>
    <tableColumn id="34" name="30" dataDxfId="2380"/>
    <tableColumn id="35" name="31" dataDxfId="2379"/>
    <tableColumn id="36" name="32" dataDxfId="2378"/>
    <tableColumn id="37" name="33" dataDxfId="2377"/>
    <tableColumn id="38" name="34" dataDxfId="2376"/>
    <tableColumn id="39" name="35" dataDxfId="2375"/>
    <tableColumn id="40" name="36" dataDxfId="2374"/>
    <tableColumn id="41" name="37" dataDxfId="2373"/>
    <tableColumn id="42" name="38" dataDxfId="2372"/>
    <tableColumn id="43" name="39" dataDxfId="2371"/>
    <tableColumn id="44" name="40" dataDxfId="2370"/>
    <tableColumn id="45" name="41" dataDxfId="2369"/>
    <tableColumn id="46" name="42" dataDxfId="2368"/>
    <tableColumn id="47" name="43" dataDxfId="2367"/>
    <tableColumn id="48" name="44" dataDxfId="2366"/>
    <tableColumn id="49" name="45" dataDxfId="2365"/>
    <tableColumn id="50" name="46" dataDxfId="2364"/>
    <tableColumn id="51" name="47" dataDxfId="2363"/>
    <tableColumn id="52" name="48" dataDxfId="2362"/>
    <tableColumn id="53" name="49" dataDxfId="2361"/>
    <tableColumn id="54" name="50" dataDxfId="2360"/>
    <tableColumn id="55" name="51" dataDxfId="2359"/>
    <tableColumn id="56" name="52" dataDxfId="2358"/>
    <tableColumn id="57" name="53" dataDxfId="2357"/>
    <tableColumn id="58" name="54" dataDxfId="2356"/>
    <tableColumn id="59" name="55" dataDxfId="2355"/>
    <tableColumn id="60" name="56" dataDxfId="2354"/>
    <tableColumn id="61" name="57" dataDxfId="2353"/>
    <tableColumn id="62" name="58" dataDxfId="2352"/>
    <tableColumn id="63" name="59" dataDxfId="2351"/>
    <tableColumn id="64" name="60" dataDxfId="2350"/>
    <tableColumn id="65" name="61" dataDxfId="2349"/>
    <tableColumn id="66" name="62" dataDxfId="2348"/>
    <tableColumn id="67" name="63" dataDxfId="2347"/>
    <tableColumn id="68" name="64" dataDxfId="2346"/>
    <tableColumn id="69" name="65" dataDxfId="2345"/>
    <tableColumn id="70" name="66" dataDxfId="2344"/>
    <tableColumn id="71" name="67" dataDxfId="2343"/>
    <tableColumn id="72" name="68" dataDxfId="2342"/>
    <tableColumn id="73" name="69" dataDxfId="2341"/>
    <tableColumn id="74" name="70" dataDxfId="2340"/>
    <tableColumn id="75" name="71" dataDxfId="2339"/>
    <tableColumn id="76" name="72" dataDxfId="2338"/>
    <tableColumn id="77" name="73" dataDxfId="2337"/>
    <tableColumn id="78" name="74" dataDxfId="2336"/>
    <tableColumn id="79" name="75" dataDxfId="2335"/>
    <tableColumn id="80" name="76" dataDxfId="2334"/>
    <tableColumn id="81" name="77" dataDxfId="2333"/>
    <tableColumn id="82" name="78" dataDxfId="2332"/>
    <tableColumn id="83" name="79" dataDxfId="2331"/>
    <tableColumn id="84" name="80" dataDxfId="2330"/>
    <tableColumn id="85" name="81" dataDxfId="2329"/>
    <tableColumn id="86" name="82" dataDxfId="2328"/>
    <tableColumn id="87" name="83" dataDxfId="2327"/>
    <tableColumn id="88" name="84" dataDxfId="2326"/>
    <tableColumn id="89" name="85" dataDxfId="2325"/>
    <tableColumn id="90" name="86" dataDxfId="2324"/>
    <tableColumn id="91" name="87" dataDxfId="2323"/>
    <tableColumn id="92" name="88" dataDxfId="2322"/>
    <tableColumn id="93" name="89" dataDxfId="2321"/>
    <tableColumn id="94" name="90" dataDxfId="2320"/>
    <tableColumn id="236" name="91" dataDxfId="2319"/>
    <tableColumn id="237" name="92" dataDxfId="2318"/>
    <tableColumn id="238" name="93" dataDxfId="2317"/>
    <tableColumn id="239" name="94" dataDxfId="2316"/>
    <tableColumn id="240" name="95" dataDxfId="2315"/>
    <tableColumn id="241" name="96" dataDxfId="2314"/>
    <tableColumn id="242" name="97" dataDxfId="2313"/>
    <tableColumn id="243" name="98" dataDxfId="2312"/>
    <tableColumn id="244" name="99" dataDxfId="2311"/>
    <tableColumn id="245" name="100" dataDxfId="2310"/>
    <tableColumn id="246" name="101" dataDxfId="2309"/>
    <tableColumn id="247" name="102" dataDxfId="2308"/>
    <tableColumn id="248" name="103" dataDxfId="2307"/>
    <tableColumn id="249" name="104" dataDxfId="2306"/>
    <tableColumn id="250" name="105" dataDxfId="2305"/>
    <tableColumn id="251" name="106" dataDxfId="2304"/>
    <tableColumn id="252" name="107" dataDxfId="2303"/>
    <tableColumn id="253" name="108" dataDxfId="2302"/>
    <tableColumn id="254" name="109" dataDxfId="2301"/>
    <tableColumn id="255" name="110" dataDxfId="2300"/>
    <tableColumn id="256" name="111" dataDxfId="2299"/>
    <tableColumn id="257" name="112" dataDxfId="2298"/>
    <tableColumn id="258" name="113" dataDxfId="2297"/>
    <tableColumn id="259" name="114" dataDxfId="2296"/>
    <tableColumn id="260" name="115" dataDxfId="2295"/>
    <tableColumn id="95" name="116" dataDxfId="2294"/>
    <tableColumn id="96" name="117" dataDxfId="2293"/>
    <tableColumn id="97" name="118" dataDxfId="2292"/>
    <tableColumn id="98" name="119" dataDxfId="2291"/>
    <tableColumn id="99" name="120" dataDxfId="2290"/>
    <tableColumn id="100" name="121" dataDxfId="2289"/>
    <tableColumn id="101" name="122" dataDxfId="2288"/>
    <tableColumn id="102" name="123" dataDxfId="2287"/>
    <tableColumn id="261" name="124" dataDxfId="2286"/>
    <tableColumn id="262" name="125" dataDxfId="2285"/>
    <tableColumn id="263" name="126" dataDxfId="2284"/>
    <tableColumn id="264" name="127" dataDxfId="2283"/>
    <tableColumn id="265" name="128" dataDxfId="2282"/>
    <tableColumn id="266" name="129" dataDxfId="2281"/>
    <tableColumn id="267" name="130" dataDxfId="2280"/>
    <tableColumn id="268" name="131" dataDxfId="2279"/>
    <tableColumn id="269" name="132" dataDxfId="2278"/>
    <tableColumn id="270" name="133" dataDxfId="2277"/>
    <tableColumn id="271" name="134" dataDxfId="2276"/>
    <tableColumn id="272" name="135" dataDxfId="2275"/>
    <tableColumn id="273" name="136" dataDxfId="2274"/>
    <tableColumn id="274" name="137" dataDxfId="2273"/>
    <tableColumn id="275" name="138" dataDxfId="2272"/>
    <tableColumn id="276" name="139" dataDxfId="2271"/>
    <tableColumn id="277" name="140" dataDxfId="2270"/>
    <tableColumn id="103" name="141" dataDxfId="2269"/>
    <tableColumn id="104" name="142" dataDxfId="2268"/>
    <tableColumn id="105" name="143" dataDxfId="2267"/>
    <tableColumn id="106" name="144" dataDxfId="2266"/>
    <tableColumn id="107" name="145" dataDxfId="2265"/>
    <tableColumn id="108" name="146" dataDxfId="2264"/>
    <tableColumn id="109" name="147" dataDxfId="2263"/>
    <tableColumn id="110" name="148" dataDxfId="2262"/>
    <tableColumn id="111" name="149" dataDxfId="2261"/>
    <tableColumn id="278" name="150" dataDxfId="2260"/>
    <tableColumn id="279" name="151" dataDxfId="2259"/>
    <tableColumn id="280" name="152" dataDxfId="2258"/>
    <tableColumn id="281" name="153" dataDxfId="2257"/>
    <tableColumn id="282" name="154" dataDxfId="2256"/>
    <tableColumn id="283" name="155" dataDxfId="2255"/>
    <tableColumn id="284" name="156" dataDxfId="2254"/>
    <tableColumn id="285" name="157" dataDxfId="2253"/>
    <tableColumn id="112" name="158" dataDxfId="2252"/>
    <tableColumn id="113" name="159" dataDxfId="2251"/>
    <tableColumn id="114" name="160" dataDxfId="2250"/>
    <tableColumn id="115" name="161" dataDxfId="2249"/>
    <tableColumn id="116" name="162" dataDxfId="2248"/>
    <tableColumn id="117" name="163" dataDxfId="2247"/>
    <tableColumn id="118" name="164" dataDxfId="2246"/>
    <tableColumn id="119" name="165" dataDxfId="2245"/>
    <tableColumn id="120" name="S1" dataDxfId="2244">
      <calculatedColumnFormula>IF(ISBLANK(tbl_task4[[คะแนนเต็ม]:[คะแนนเต็ม]]),"",(tbl_task4[1]/tbl_task4[[คะแนนเต็ม]:[คะแนนเต็ม]])*tbl_task4[[%]:[%]])</calculatedColumnFormula>
    </tableColumn>
    <tableColumn id="121" name="S2" dataDxfId="2243">
      <calculatedColumnFormula>IF(ISBLANK(tbl_task4[[คะแนนเต็ม]:[คะแนนเต็ม]]),"",(tbl_task4[2]/tbl_task4[[คะแนนเต็ม]:[คะแนนเต็ม]])*tbl_task4[[%]:[%]])</calculatedColumnFormula>
    </tableColumn>
    <tableColumn id="122" name="S3" dataDxfId="2242">
      <calculatedColumnFormula>IF(ISBLANK(tbl_task4[[คะแนนเต็ม]:[คะแนนเต็ม]]),"",(tbl_task4[3]/tbl_task4[[คะแนนเต็ม]:[คะแนนเต็ม]])*tbl_task4[[%]:[%]])</calculatedColumnFormula>
    </tableColumn>
    <tableColumn id="123" name="S4" dataDxfId="2241">
      <calculatedColumnFormula>IF(ISBLANK(tbl_task4[[คะแนนเต็ม]:[คะแนนเต็ม]]),"",(tbl_task4[4]/tbl_task4[[คะแนนเต็ม]:[คะแนนเต็ม]])*tbl_task4[[%]:[%]])</calculatedColumnFormula>
    </tableColumn>
    <tableColumn id="124" name="S5" dataDxfId="2240">
      <calculatedColumnFormula>IF(ISBLANK(tbl_task4[[คะแนนเต็ม]:[คะแนนเต็ม]]),"",(tbl_task4[5]/tbl_task4[[คะแนนเต็ม]:[คะแนนเต็ม]])*tbl_task4[[%]:[%]])</calculatedColumnFormula>
    </tableColumn>
    <tableColumn id="125" name="S6" dataDxfId="2239">
      <calculatedColumnFormula>IF(ISBLANK(tbl_task4[[คะแนนเต็ม]:[คะแนนเต็ม]]),"",(tbl_task4[6]/tbl_task4[[คะแนนเต็ม]:[คะแนนเต็ม]])*tbl_task4[[%]:[%]])</calculatedColumnFormula>
    </tableColumn>
    <tableColumn id="126" name="S7" dataDxfId="2238">
      <calculatedColumnFormula>IF(ISBLANK(tbl_task4[[คะแนนเต็ม]:[คะแนนเต็ม]]),"",(tbl_task4[7]/tbl_task4[[คะแนนเต็ม]:[คะแนนเต็ม]])*tbl_task4[[%]:[%]])</calculatedColumnFormula>
    </tableColumn>
    <tableColumn id="127" name="S8" dataDxfId="2237">
      <calculatedColumnFormula>IF(ISBLANK(tbl_task4[[คะแนนเต็ม]:[คะแนนเต็ม]]),"",(tbl_task4[8]/tbl_task4[[คะแนนเต็ม]:[คะแนนเต็ม]])*tbl_task4[[%]:[%]])</calculatedColumnFormula>
    </tableColumn>
    <tableColumn id="128" name="S9" dataDxfId="2236">
      <calculatedColumnFormula>IF(ISBLANK(tbl_task4[[คะแนนเต็ม]:[คะแนนเต็ม]]),"",(tbl_task4[9]/tbl_task4[[คะแนนเต็ม]:[คะแนนเต็ม]])*tbl_task4[[%]:[%]])</calculatedColumnFormula>
    </tableColumn>
    <tableColumn id="129" name="S10" dataDxfId="2235">
      <calculatedColumnFormula>IF(ISBLANK(tbl_task4[[คะแนนเต็ม]:[คะแนนเต็ม]]),"",(tbl_task4[10]/tbl_task4[[คะแนนเต็ม]:[คะแนนเต็ม]])*tbl_task4[[%]:[%]])</calculatedColumnFormula>
    </tableColumn>
    <tableColumn id="130" name="S11" dataDxfId="2234">
      <calculatedColumnFormula>IF(ISBLANK(tbl_task4[[คะแนนเต็ม]:[คะแนนเต็ม]]),"",(tbl_task4[11]/tbl_task4[[คะแนนเต็ม]:[คะแนนเต็ม]])*tbl_task4[[%]:[%]])</calculatedColumnFormula>
    </tableColumn>
    <tableColumn id="131" name="S12" dataDxfId="2233">
      <calculatedColumnFormula>IF(ISBLANK(tbl_task4[[คะแนนเต็ม]:[คะแนนเต็ม]]),"",(tbl_task4[12]/tbl_task4[[คะแนนเต็ม]:[คะแนนเต็ม]])*tbl_task4[[%]:[%]])</calculatedColumnFormula>
    </tableColumn>
    <tableColumn id="132" name="S13" dataDxfId="2232">
      <calculatedColumnFormula>IF(ISBLANK(tbl_task4[[คะแนนเต็ม]:[คะแนนเต็ม]]),"",(tbl_task4[13]/tbl_task4[[คะแนนเต็ม]:[คะแนนเต็ม]])*tbl_task4[[%]:[%]])</calculatedColumnFormula>
    </tableColumn>
    <tableColumn id="133" name="S14" dataDxfId="2231">
      <calculatedColumnFormula>IF(ISBLANK(tbl_task4[[คะแนนเต็ม]:[คะแนนเต็ม]]),"",(tbl_task4[14]/tbl_task4[[คะแนนเต็ม]:[คะแนนเต็ม]])*tbl_task4[[%]:[%]])</calculatedColumnFormula>
    </tableColumn>
    <tableColumn id="134" name="S15" dataDxfId="2230">
      <calculatedColumnFormula>IF(ISBLANK(tbl_task4[[คะแนนเต็ม]:[คะแนนเต็ม]]),"",(tbl_task4[15]/tbl_task4[[คะแนนเต็ม]:[คะแนนเต็ม]])*tbl_task4[[%]:[%]])</calculatedColumnFormula>
    </tableColumn>
    <tableColumn id="135" name="S16" dataDxfId="2229">
      <calculatedColumnFormula>IF(ISBLANK(tbl_task4[[คะแนนเต็ม]:[คะแนนเต็ม]]),"",(tbl_task4[16]/tbl_task4[[คะแนนเต็ม]:[คะแนนเต็ม]])*tbl_task4[[%]:[%]])</calculatedColumnFormula>
    </tableColumn>
    <tableColumn id="136" name="S17" dataDxfId="2228">
      <calculatedColumnFormula>IF(ISBLANK(tbl_task4[[คะแนนเต็ม]:[คะแนนเต็ม]]),"",(tbl_task4[17]/tbl_task4[[คะแนนเต็ม]:[คะแนนเต็ม]])*tbl_task4[[%]:[%]])</calculatedColumnFormula>
    </tableColumn>
    <tableColumn id="137" name="S18" dataDxfId="2227">
      <calculatedColumnFormula>IF(ISBLANK(tbl_task4[[คะแนนเต็ม]:[คะแนนเต็ม]]),"",(tbl_task4[18]/tbl_task4[[คะแนนเต็ม]:[คะแนนเต็ม]])*tbl_task4[[%]:[%]])</calculatedColumnFormula>
    </tableColumn>
    <tableColumn id="138" name="S19" dataDxfId="2226">
      <calculatedColumnFormula>IF(ISBLANK(tbl_task4[[คะแนนเต็ม]:[คะแนนเต็ม]]),"",(tbl_task4[19]/tbl_task4[[คะแนนเต็ม]:[คะแนนเต็ม]])*tbl_task4[[%]:[%]])</calculatedColumnFormula>
    </tableColumn>
    <tableColumn id="139" name="S20" dataDxfId="2225">
      <calculatedColumnFormula>IF(ISBLANK(tbl_task4[[คะแนนเต็ม]:[คะแนนเต็ม]]),"",(tbl_task4[20]/tbl_task4[[คะแนนเต็ม]:[คะแนนเต็ม]])*tbl_task4[[%]:[%]])</calculatedColumnFormula>
    </tableColumn>
    <tableColumn id="140" name="S21" dataDxfId="2224">
      <calculatedColumnFormula>IF(ISBLANK(tbl_task4[[คะแนนเต็ม]:[คะแนนเต็ม]]),"",(tbl_task4[21]/tbl_task4[[คะแนนเต็ม]:[คะแนนเต็ม]])*tbl_task4[[%]:[%]])</calculatedColumnFormula>
    </tableColumn>
    <tableColumn id="141" name="S22" dataDxfId="2223">
      <calculatedColumnFormula>IF(ISBLANK(tbl_task4[[คะแนนเต็ม]:[คะแนนเต็ม]]),"",(tbl_task4[22]/tbl_task4[[คะแนนเต็ม]:[คะแนนเต็ม]])*tbl_task4[[%]:[%]])</calculatedColumnFormula>
    </tableColumn>
    <tableColumn id="142" name="S23" dataDxfId="2222">
      <calculatedColumnFormula>IF(ISBLANK(tbl_task4[[คะแนนเต็ม]:[คะแนนเต็ม]]),"",(tbl_task4[23]/tbl_task4[[คะแนนเต็ม]:[คะแนนเต็ม]])*tbl_task4[[%]:[%]])</calculatedColumnFormula>
    </tableColumn>
    <tableColumn id="143" name="S24" dataDxfId="2221">
      <calculatedColumnFormula>IF(ISBLANK(tbl_task4[[คะแนนเต็ม]:[คะแนนเต็ม]]),"",(tbl_task4[24]/tbl_task4[[คะแนนเต็ม]:[คะแนนเต็ม]])*tbl_task4[[%]:[%]])</calculatedColumnFormula>
    </tableColumn>
    <tableColumn id="144" name="S25" dataDxfId="2220">
      <calculatedColumnFormula>IF(ISBLANK(tbl_task4[[คะแนนเต็ม]:[คะแนนเต็ม]]),"",(tbl_task4[25]/tbl_task4[[คะแนนเต็ม]:[คะแนนเต็ม]])*tbl_task4[[%]:[%]])</calculatedColumnFormula>
    </tableColumn>
    <tableColumn id="145" name="S26" dataDxfId="2219">
      <calculatedColumnFormula>IF(ISBLANK(tbl_task4[[คะแนนเต็ม]:[คะแนนเต็ม]]),"",(tbl_task4[26]/tbl_task4[[คะแนนเต็ม]:[คะแนนเต็ม]])*tbl_task4[[%]:[%]])</calculatedColumnFormula>
    </tableColumn>
    <tableColumn id="146" name="S27" dataDxfId="2218">
      <calculatedColumnFormula>IF(ISBLANK(tbl_task4[[คะแนนเต็ม]:[คะแนนเต็ม]]),"",(tbl_task4[27]/tbl_task4[[คะแนนเต็ม]:[คะแนนเต็ม]])*tbl_task4[[%]:[%]])</calculatedColumnFormula>
    </tableColumn>
    <tableColumn id="147" name="S28" dataDxfId="2217">
      <calculatedColumnFormula>IF(ISBLANK(tbl_task4[[คะแนนเต็ม]:[คะแนนเต็ม]]),"",(tbl_task4[28]/tbl_task4[[คะแนนเต็ม]:[คะแนนเต็ม]])*tbl_task4[[%]:[%]])</calculatedColumnFormula>
    </tableColumn>
    <tableColumn id="148" name="S29" dataDxfId="2216">
      <calculatedColumnFormula>IF(ISBLANK(tbl_task4[[คะแนนเต็ม]:[คะแนนเต็ม]]),"",(tbl_task4[29]/tbl_task4[[คะแนนเต็ม]:[คะแนนเต็ม]])*tbl_task4[[%]:[%]])</calculatedColumnFormula>
    </tableColumn>
    <tableColumn id="149" name="S30" dataDxfId="2215">
      <calculatedColumnFormula>IF(ISBLANK(tbl_task4[[คะแนนเต็ม]:[คะแนนเต็ม]]),"",(tbl_task4[30]/tbl_task4[[คะแนนเต็ม]:[คะแนนเต็ม]])*tbl_task4[[%]:[%]])</calculatedColumnFormula>
    </tableColumn>
    <tableColumn id="150" name="S31" dataDxfId="2214">
      <calculatedColumnFormula>IF(ISBLANK(tbl_task4[[คะแนนเต็ม]:[คะแนนเต็ม]]),"",(tbl_task4[31]/tbl_task4[[คะแนนเต็ม]:[คะแนนเต็ม]])*tbl_task4[[%]:[%]])</calculatedColumnFormula>
    </tableColumn>
    <tableColumn id="151" name="S32" dataDxfId="2213">
      <calculatedColumnFormula>IF(ISBLANK(tbl_task4[[คะแนนเต็ม]:[คะแนนเต็ม]]),"",(tbl_task4[32]/tbl_task4[[คะแนนเต็ม]:[คะแนนเต็ม]])*tbl_task4[[%]:[%]])</calculatedColumnFormula>
    </tableColumn>
    <tableColumn id="152" name="S33" dataDxfId="2212">
      <calculatedColumnFormula>IF(ISBLANK(tbl_task4[[คะแนนเต็ม]:[คะแนนเต็ม]]),"",(tbl_task4[33]/tbl_task4[[คะแนนเต็ม]:[คะแนนเต็ม]])*tbl_task4[[%]:[%]])</calculatedColumnFormula>
    </tableColumn>
    <tableColumn id="153" name="S34" dataDxfId="2211">
      <calculatedColumnFormula>IF(ISBLANK(tbl_task4[[คะแนนเต็ม]:[คะแนนเต็ม]]),"",(tbl_task4[34]/tbl_task4[[คะแนนเต็ม]:[คะแนนเต็ม]])*tbl_task4[[%]:[%]])</calculatedColumnFormula>
    </tableColumn>
    <tableColumn id="154" name="S35" dataDxfId="2210">
      <calculatedColumnFormula>IF(ISBLANK(tbl_task4[[คะแนนเต็ม]:[คะแนนเต็ม]]),"",(tbl_task4[35]/tbl_task4[[คะแนนเต็ม]:[คะแนนเต็ม]])*tbl_task4[[%]:[%]])</calculatedColumnFormula>
    </tableColumn>
    <tableColumn id="155" name="S36" dataDxfId="2209">
      <calculatedColumnFormula>IF(ISBLANK(tbl_task4[[คะแนนเต็ม]:[คะแนนเต็ม]]),"",(tbl_task4[36]/tbl_task4[[คะแนนเต็ม]:[คะแนนเต็ม]])*tbl_task4[[%]:[%]])</calculatedColumnFormula>
    </tableColumn>
    <tableColumn id="156" name="S37" dataDxfId="2208">
      <calculatedColumnFormula>IF(ISBLANK(tbl_task4[[คะแนนเต็ม]:[คะแนนเต็ม]]),"",(tbl_task4[37]/tbl_task4[[คะแนนเต็ม]:[คะแนนเต็ม]])*tbl_task4[[%]:[%]])</calculatedColumnFormula>
    </tableColumn>
    <tableColumn id="157" name="S38" dataDxfId="2207">
      <calculatedColumnFormula>IF(ISBLANK(tbl_task4[[คะแนนเต็ม]:[คะแนนเต็ม]]),"",(tbl_task4[38]/tbl_task4[[คะแนนเต็ม]:[คะแนนเต็ม]])*tbl_task4[[%]:[%]])</calculatedColumnFormula>
    </tableColumn>
    <tableColumn id="158" name="S39" dataDxfId="2206">
      <calculatedColumnFormula>IF(ISBLANK(tbl_task4[[คะแนนเต็ม]:[คะแนนเต็ม]]),"",(tbl_task4[39]/tbl_task4[[คะแนนเต็ม]:[คะแนนเต็ม]])*tbl_task4[[%]:[%]])</calculatedColumnFormula>
    </tableColumn>
    <tableColumn id="159" name="S40" dataDxfId="2205">
      <calculatedColumnFormula>IF(ISBLANK(tbl_task4[[คะแนนเต็ม]:[คะแนนเต็ม]]),"",(tbl_task4[40]/tbl_task4[[คะแนนเต็ม]:[คะแนนเต็ม]])*tbl_task4[[%]:[%]])</calculatedColumnFormula>
    </tableColumn>
    <tableColumn id="160" name="S41" dataDxfId="2204">
      <calculatedColumnFormula>IF(ISBLANK(tbl_task4[[คะแนนเต็ม]:[คะแนนเต็ม]]),"",(tbl_task4[41]/tbl_task4[[คะแนนเต็ม]:[คะแนนเต็ม]])*tbl_task4[[%]:[%]])</calculatedColumnFormula>
    </tableColumn>
    <tableColumn id="161" name="S42" dataDxfId="2203">
      <calculatedColumnFormula>IF(ISBLANK(tbl_task4[[คะแนนเต็ม]:[คะแนนเต็ม]]),"",(tbl_task4[42]/tbl_task4[[คะแนนเต็ม]:[คะแนนเต็ม]])*tbl_task4[[%]:[%]])</calculatedColumnFormula>
    </tableColumn>
    <tableColumn id="162" name="S43" dataDxfId="2202">
      <calculatedColumnFormula>IF(ISBLANK(tbl_task4[[คะแนนเต็ม]:[คะแนนเต็ม]]),"",(tbl_task4[43]/tbl_task4[[คะแนนเต็ม]:[คะแนนเต็ม]])*tbl_task4[[%]:[%]])</calculatedColumnFormula>
    </tableColumn>
    <tableColumn id="163" name="S44" dataDxfId="2201">
      <calculatedColumnFormula>IF(ISBLANK(tbl_task4[[คะแนนเต็ม]:[คะแนนเต็ม]]),"",(tbl_task4[44]/tbl_task4[[คะแนนเต็ม]:[คะแนนเต็ม]])*tbl_task4[[%]:[%]])</calculatedColumnFormula>
    </tableColumn>
    <tableColumn id="164" name="S45" dataDxfId="2200">
      <calculatedColumnFormula>IF(ISBLANK(tbl_task4[[คะแนนเต็ม]:[คะแนนเต็ม]]),"",(tbl_task4[45]/tbl_task4[[คะแนนเต็ม]:[คะแนนเต็ม]])*tbl_task4[[%]:[%]])</calculatedColumnFormula>
    </tableColumn>
    <tableColumn id="165" name="S46" dataDxfId="2199">
      <calculatedColumnFormula>IF(ISBLANK(tbl_task4[[คะแนนเต็ม]:[คะแนนเต็ม]]),"",(tbl_task4[46]/tbl_task4[[คะแนนเต็ม]:[คะแนนเต็ม]])*tbl_task4[[%]:[%]])</calculatedColumnFormula>
    </tableColumn>
    <tableColumn id="166" name="S47" dataDxfId="2198">
      <calculatedColumnFormula>IF(ISBLANK(tbl_task4[[คะแนนเต็ม]:[คะแนนเต็ม]]),"",(tbl_task4[47]/tbl_task4[[คะแนนเต็ม]:[คะแนนเต็ม]])*tbl_task4[[%]:[%]])</calculatedColumnFormula>
    </tableColumn>
    <tableColumn id="167" name="S48" dataDxfId="2197">
      <calculatedColumnFormula>IF(ISBLANK(tbl_task4[[คะแนนเต็ม]:[คะแนนเต็ม]]),"",(tbl_task4[48]/tbl_task4[[คะแนนเต็ม]:[คะแนนเต็ม]])*tbl_task4[[%]:[%]])</calculatedColumnFormula>
    </tableColumn>
    <tableColumn id="168" name="S49" dataDxfId="2196">
      <calculatedColumnFormula>IF(ISBLANK(tbl_task4[[คะแนนเต็ม]:[คะแนนเต็ม]]),"",(tbl_task4[49]/tbl_task4[[คะแนนเต็ม]:[คะแนนเต็ม]])*tbl_task4[[%]:[%]])</calculatedColumnFormula>
    </tableColumn>
    <tableColumn id="169" name="S50" dataDxfId="2195">
      <calculatedColumnFormula>IF(ISBLANK(tbl_task4[[คะแนนเต็ม]:[คะแนนเต็ม]]),"",(tbl_task4[50]/tbl_task4[[คะแนนเต็ม]:[คะแนนเต็ม]])*tbl_task4[[%]:[%]])</calculatedColumnFormula>
    </tableColumn>
    <tableColumn id="170" name="S51" dataDxfId="2194">
      <calculatedColumnFormula>IF(ISBLANK(tbl_task4[[คะแนนเต็ม]:[คะแนนเต็ม]]),"",(tbl_task4[51]/tbl_task4[[คะแนนเต็ม]:[คะแนนเต็ม]])*tbl_task4[[%]:[%]])</calculatedColumnFormula>
    </tableColumn>
    <tableColumn id="171" name="S52" dataDxfId="2193">
      <calculatedColumnFormula>IF(ISBLANK(tbl_task4[[คะแนนเต็ม]:[คะแนนเต็ม]]),"",(tbl_task4[52]/tbl_task4[[คะแนนเต็ม]:[คะแนนเต็ม]])*tbl_task4[[%]:[%]])</calculatedColumnFormula>
    </tableColumn>
    <tableColumn id="172" name="S53" dataDxfId="2192">
      <calculatedColumnFormula>IF(ISBLANK(tbl_task4[[คะแนนเต็ม]:[คะแนนเต็ม]]),"",(tbl_task4[53]/tbl_task4[[คะแนนเต็ม]:[คะแนนเต็ม]])*tbl_task4[[%]:[%]])</calculatedColumnFormula>
    </tableColumn>
    <tableColumn id="173" name="S54" dataDxfId="2191">
      <calculatedColumnFormula>IF(ISBLANK(tbl_task4[[คะแนนเต็ม]:[คะแนนเต็ม]]),"",(tbl_task4[54]/tbl_task4[[คะแนนเต็ม]:[คะแนนเต็ม]])*tbl_task4[[%]:[%]])</calculatedColumnFormula>
    </tableColumn>
    <tableColumn id="174" name="S55" dataDxfId="2190">
      <calculatedColumnFormula>IF(ISBLANK(tbl_task4[[คะแนนเต็ม]:[คะแนนเต็ม]]),"",(tbl_task4[55]/tbl_task4[[คะแนนเต็ม]:[คะแนนเต็ม]])*tbl_task4[[%]:[%]])</calculatedColumnFormula>
    </tableColumn>
    <tableColumn id="175" name="S56" dataDxfId="2189">
      <calculatedColumnFormula>IF(ISBLANK(tbl_task4[[คะแนนเต็ม]:[คะแนนเต็ม]]),"",(tbl_task4[56]/tbl_task4[[คะแนนเต็ม]:[คะแนนเต็ม]])*tbl_task4[[%]:[%]])</calculatedColumnFormula>
    </tableColumn>
    <tableColumn id="176" name="S57" dataDxfId="2188">
      <calculatedColumnFormula>IF(ISBLANK(tbl_task4[[คะแนนเต็ม]:[คะแนนเต็ม]]),"",(tbl_task4[57]/tbl_task4[[คะแนนเต็ม]:[คะแนนเต็ม]])*tbl_task4[[%]:[%]])</calculatedColumnFormula>
    </tableColumn>
    <tableColumn id="177" name="S58" dataDxfId="2187">
      <calculatedColumnFormula>IF(ISBLANK(tbl_task4[[คะแนนเต็ม]:[คะแนนเต็ม]]),"",(tbl_task4[58]/tbl_task4[[คะแนนเต็ม]:[คะแนนเต็ม]])*tbl_task4[[%]:[%]])</calculatedColumnFormula>
    </tableColumn>
    <tableColumn id="178" name="S59" dataDxfId="2186">
      <calculatedColumnFormula>IF(ISBLANK(tbl_task4[[คะแนนเต็ม]:[คะแนนเต็ม]]),"",(tbl_task4[59]/tbl_task4[[คะแนนเต็ม]:[คะแนนเต็ม]])*tbl_task4[[%]:[%]])</calculatedColumnFormula>
    </tableColumn>
    <tableColumn id="179" name="S60" dataDxfId="2185">
      <calculatedColumnFormula>IF(ISBLANK(tbl_task4[[คะแนนเต็ม]:[คะแนนเต็ม]]),"",(tbl_task4[60]/tbl_task4[[คะแนนเต็ม]:[คะแนนเต็ม]])*tbl_task4[[%]:[%]])</calculatedColumnFormula>
    </tableColumn>
    <tableColumn id="180" name="S61" dataDxfId="2184">
      <calculatedColumnFormula>IF(ISBLANK(tbl_task4[[คะแนนเต็ม]:[คะแนนเต็ม]]),"",(tbl_task4[61]/tbl_task4[[คะแนนเต็ม]:[คะแนนเต็ม]])*tbl_task4[[%]:[%]])</calculatedColumnFormula>
    </tableColumn>
    <tableColumn id="181" name="S62" dataDxfId="2183">
      <calculatedColumnFormula>IF(ISBLANK(tbl_task4[[คะแนนเต็ม]:[คะแนนเต็ม]]),"",(tbl_task4[62]/tbl_task4[[คะแนนเต็ม]:[คะแนนเต็ม]])*tbl_task4[[%]:[%]])</calculatedColumnFormula>
    </tableColumn>
    <tableColumn id="182" name="S63" dataDxfId="2182">
      <calculatedColumnFormula>IF(ISBLANK(tbl_task4[[คะแนนเต็ม]:[คะแนนเต็ม]]),"",(tbl_task4[63]/tbl_task4[[คะแนนเต็ม]:[คะแนนเต็ม]])*tbl_task4[[%]:[%]])</calculatedColumnFormula>
    </tableColumn>
    <tableColumn id="183" name="S64" dataDxfId="2181">
      <calculatedColumnFormula>IF(ISBLANK(tbl_task4[[คะแนนเต็ม]:[คะแนนเต็ม]]),"",(tbl_task4[64]/tbl_task4[[คะแนนเต็ม]:[คะแนนเต็ม]])*tbl_task4[[%]:[%]])</calculatedColumnFormula>
    </tableColumn>
    <tableColumn id="184" name="S65" dataDxfId="2180">
      <calculatedColumnFormula>IF(ISBLANK(tbl_task4[[คะแนนเต็ม]:[คะแนนเต็ม]]),"",(tbl_task4[65]/tbl_task4[[คะแนนเต็ม]:[คะแนนเต็ม]])*tbl_task4[[%]:[%]])</calculatedColumnFormula>
    </tableColumn>
    <tableColumn id="185" name="S66" dataDxfId="2179">
      <calculatedColumnFormula>IF(ISBLANK(tbl_task4[[คะแนนเต็ม]:[คะแนนเต็ม]]),"",(tbl_task4[66]/tbl_task4[[คะแนนเต็ม]:[คะแนนเต็ม]])*tbl_task4[[%]:[%]])</calculatedColumnFormula>
    </tableColumn>
    <tableColumn id="186" name="S67" dataDxfId="2178">
      <calculatedColumnFormula>IF(ISBLANK(tbl_task4[[คะแนนเต็ม]:[คะแนนเต็ม]]),"",(tbl_task4[67]/tbl_task4[[คะแนนเต็ม]:[คะแนนเต็ม]])*tbl_task4[[%]:[%]])</calculatedColumnFormula>
    </tableColumn>
    <tableColumn id="187" name="S68" dataDxfId="2177">
      <calculatedColumnFormula>IF(ISBLANK(tbl_task4[[คะแนนเต็ม]:[คะแนนเต็ม]]),"",(tbl_task4[68]/tbl_task4[[คะแนนเต็ม]:[คะแนนเต็ม]])*tbl_task4[[%]:[%]])</calculatedColumnFormula>
    </tableColumn>
    <tableColumn id="188" name="S69" dataDxfId="2176">
      <calculatedColumnFormula>IF(ISBLANK(tbl_task4[[คะแนนเต็ม]:[คะแนนเต็ม]]),"",(tbl_task4[69]/tbl_task4[[คะแนนเต็ม]:[คะแนนเต็ม]])*tbl_task4[[%]:[%]])</calculatedColumnFormula>
    </tableColumn>
    <tableColumn id="189" name="S70" dataDxfId="2175">
      <calculatedColumnFormula>IF(ISBLANK(tbl_task4[[คะแนนเต็ม]:[คะแนนเต็ม]]),"",(tbl_task4[70]/tbl_task4[[คะแนนเต็ม]:[คะแนนเต็ม]])*tbl_task4[[%]:[%]])</calculatedColumnFormula>
    </tableColumn>
    <tableColumn id="190" name="S71" dataDxfId="2174">
      <calculatedColumnFormula>IF(ISBLANK(tbl_task4[[คะแนนเต็ม]:[คะแนนเต็ม]]),"",(tbl_task4[71]/tbl_task4[[คะแนนเต็ม]:[คะแนนเต็ม]])*tbl_task4[[%]:[%]])</calculatedColumnFormula>
    </tableColumn>
    <tableColumn id="191" name="S72" dataDxfId="2173">
      <calculatedColumnFormula>IF(ISBLANK(tbl_task4[[คะแนนเต็ม]:[คะแนนเต็ม]]),"",(tbl_task4[72]/tbl_task4[[คะแนนเต็ม]:[คะแนนเต็ม]])*tbl_task4[[%]:[%]])</calculatedColumnFormula>
    </tableColumn>
    <tableColumn id="192" name="S73" dataDxfId="2172">
      <calculatedColumnFormula>IF(ISBLANK(tbl_task4[[คะแนนเต็ม]:[คะแนนเต็ม]]),"",(tbl_task4[73]/tbl_task4[[คะแนนเต็ม]:[คะแนนเต็ม]])*tbl_task4[[%]:[%]])</calculatedColumnFormula>
    </tableColumn>
    <tableColumn id="193" name="S74" dataDxfId="2171">
      <calculatedColumnFormula>IF(ISBLANK(tbl_task4[[คะแนนเต็ม]:[คะแนนเต็ม]]),"",(tbl_task4[74]/tbl_task4[[คะแนนเต็ม]:[คะแนนเต็ม]])*tbl_task4[[%]:[%]])</calculatedColumnFormula>
    </tableColumn>
    <tableColumn id="194" name="S75" dataDxfId="2170">
      <calculatedColumnFormula>IF(ISBLANK(tbl_task4[[คะแนนเต็ม]:[คะแนนเต็ม]]),"",(tbl_task4[75]/tbl_task4[[คะแนนเต็ม]:[คะแนนเต็ม]])*tbl_task4[[%]:[%]])</calculatedColumnFormula>
    </tableColumn>
    <tableColumn id="195" name="S76" dataDxfId="2169">
      <calculatedColumnFormula>IF(ISBLANK(tbl_task4[[คะแนนเต็ม]:[คะแนนเต็ม]]),"",(tbl_task4[76]/tbl_task4[[คะแนนเต็ม]:[คะแนนเต็ม]])*tbl_task4[[%]:[%]])</calculatedColumnFormula>
    </tableColumn>
    <tableColumn id="196" name="S77" dataDxfId="2168">
      <calculatedColumnFormula>IF(ISBLANK(tbl_task4[[คะแนนเต็ม]:[คะแนนเต็ม]]),"",(tbl_task4[77]/tbl_task4[[คะแนนเต็ม]:[คะแนนเต็ม]])*tbl_task4[[%]:[%]])</calculatedColumnFormula>
    </tableColumn>
    <tableColumn id="197" name="S78" dataDxfId="2167">
      <calculatedColumnFormula>IF(ISBLANK(tbl_task4[[คะแนนเต็ม]:[คะแนนเต็ม]]),"",(tbl_task4[78]/tbl_task4[[คะแนนเต็ม]:[คะแนนเต็ม]])*tbl_task4[[%]:[%]])</calculatedColumnFormula>
    </tableColumn>
    <tableColumn id="198" name="S79" dataDxfId="2166">
      <calculatedColumnFormula>IF(ISBLANK(tbl_task4[[คะแนนเต็ม]:[คะแนนเต็ม]]),"",(tbl_task4[79]/tbl_task4[[คะแนนเต็ม]:[คะแนนเต็ม]])*tbl_task4[[%]:[%]])</calculatedColumnFormula>
    </tableColumn>
    <tableColumn id="199" name="S80" dataDxfId="2165">
      <calculatedColumnFormula>IF(ISBLANK(tbl_task4[[คะแนนเต็ม]:[คะแนนเต็ม]]),"",(tbl_task4[80]/tbl_task4[[คะแนนเต็ม]:[คะแนนเต็ม]])*tbl_task4[[%]:[%]])</calculatedColumnFormula>
    </tableColumn>
    <tableColumn id="200" name="S81" dataDxfId="2164">
      <calculatedColumnFormula>IF(ISBLANK(tbl_task4[[คะแนนเต็ม]:[คะแนนเต็ม]]),"",(tbl_task4[81]/tbl_task4[[คะแนนเต็ม]:[คะแนนเต็ม]])*tbl_task4[[%]:[%]])</calculatedColumnFormula>
    </tableColumn>
    <tableColumn id="201" name="S82" dataDxfId="2163">
      <calculatedColumnFormula>IF(ISBLANK(tbl_task4[[คะแนนเต็ม]:[คะแนนเต็ม]]),"",(tbl_task4[82]/tbl_task4[[คะแนนเต็ม]:[คะแนนเต็ม]])*tbl_task4[[%]:[%]])</calculatedColumnFormula>
    </tableColumn>
    <tableColumn id="202" name="S83" dataDxfId="2162">
      <calculatedColumnFormula>IF(ISBLANK(tbl_task4[[คะแนนเต็ม]:[คะแนนเต็ม]]),"",(tbl_task4[83]/tbl_task4[[คะแนนเต็ม]:[คะแนนเต็ม]])*tbl_task4[[%]:[%]])</calculatedColumnFormula>
    </tableColumn>
    <tableColumn id="203" name="S84" dataDxfId="2161">
      <calculatedColumnFormula>IF(ISBLANK(tbl_task4[[คะแนนเต็ม]:[คะแนนเต็ม]]),"",(tbl_task4[84]/tbl_task4[[คะแนนเต็ม]:[คะแนนเต็ม]])*tbl_task4[[%]:[%]])</calculatedColumnFormula>
    </tableColumn>
    <tableColumn id="204" name="S85" dataDxfId="2160">
      <calculatedColumnFormula>IF(ISBLANK(tbl_task4[[คะแนนเต็ม]:[คะแนนเต็ม]]),"",(tbl_task4[85]/tbl_task4[[คะแนนเต็ม]:[คะแนนเต็ม]])*tbl_task4[[%]:[%]])</calculatedColumnFormula>
    </tableColumn>
    <tableColumn id="286" name="S86" dataDxfId="2159">
      <calculatedColumnFormula>IF(ISBLANK(tbl_task4[[คะแนนเต็ม]:[คะแนนเต็ม]]),"",(tbl_task4[86]/tbl_task4[[คะแนนเต็ม]:[คะแนนเต็ม]])*tbl_task4[[%]:[%]])</calculatedColumnFormula>
    </tableColumn>
    <tableColumn id="287" name="S87" dataDxfId="2158">
      <calculatedColumnFormula>IF(ISBLANK(tbl_task4[[คะแนนเต็ม]:[คะแนนเต็ม]]),"",(tbl_task4[87]/tbl_task4[[คะแนนเต็ม]:[คะแนนเต็ม]])*tbl_task4[[%]:[%]])</calculatedColumnFormula>
    </tableColumn>
    <tableColumn id="288" name="S88" dataDxfId="2157">
      <calculatedColumnFormula>IF(ISBLANK(tbl_task4[[คะแนนเต็ม]:[คะแนนเต็ม]]),"",(tbl_task4[88]/tbl_task4[[คะแนนเต็ม]:[คะแนนเต็ม]])*tbl_task4[[%]:[%]])</calculatedColumnFormula>
    </tableColumn>
    <tableColumn id="289" name="S89" dataDxfId="2156">
      <calculatedColumnFormula>IF(ISBLANK(tbl_task4[[คะแนนเต็ม]:[คะแนนเต็ม]]),"",(tbl_task4[89]/tbl_task4[[คะแนนเต็ม]:[คะแนนเต็ม]])*tbl_task4[[%]:[%]])</calculatedColumnFormula>
    </tableColumn>
    <tableColumn id="290" name="S90" dataDxfId="2155">
      <calculatedColumnFormula>IF(ISBLANK(tbl_task4[[คะแนนเต็ม]:[คะแนนเต็ม]]),"",(tbl_task4[90]/tbl_task4[[คะแนนเต็ม]:[คะแนนเต็ม]])*tbl_task4[[%]:[%]])</calculatedColumnFormula>
    </tableColumn>
    <tableColumn id="291" name="S91" dataDxfId="2154">
      <calculatedColumnFormula>IF(ISBLANK(tbl_task4[[คะแนนเต็ม]:[คะแนนเต็ม]]),"",(tbl_task4[91]/tbl_task4[[คะแนนเต็ม]:[คะแนนเต็ม]])*tbl_task4[[%]:[%]])</calculatedColumnFormula>
    </tableColumn>
    <tableColumn id="292" name="S92" dataDxfId="2153">
      <calculatedColumnFormula>IF(ISBLANK(tbl_task4[[คะแนนเต็ม]:[คะแนนเต็ม]]),"",(tbl_task4[92]/tbl_task4[[คะแนนเต็ม]:[คะแนนเต็ม]])*tbl_task4[[%]:[%]])</calculatedColumnFormula>
    </tableColumn>
    <tableColumn id="293" name="S93" dataDxfId="2152">
      <calculatedColumnFormula>IF(ISBLANK(tbl_task4[[คะแนนเต็ม]:[คะแนนเต็ม]]),"",(tbl_task4[93]/tbl_task4[[คะแนนเต็ม]:[คะแนนเต็ม]])*tbl_task4[[%]:[%]])</calculatedColumnFormula>
    </tableColumn>
    <tableColumn id="294" name="S94" dataDxfId="2151">
      <calculatedColumnFormula>IF(ISBLANK(tbl_task4[[คะแนนเต็ม]:[คะแนนเต็ม]]),"",(tbl_task4[94]/tbl_task4[[คะแนนเต็ม]:[คะแนนเต็ม]])*tbl_task4[[%]:[%]])</calculatedColumnFormula>
    </tableColumn>
    <tableColumn id="295" name="S95" dataDxfId="2150">
      <calculatedColumnFormula>IF(ISBLANK(tbl_task4[[คะแนนเต็ม]:[คะแนนเต็ม]]),"",(tbl_task4[95]/tbl_task4[[คะแนนเต็ม]:[คะแนนเต็ม]])*tbl_task4[[%]:[%]])</calculatedColumnFormula>
    </tableColumn>
    <tableColumn id="296" name="S96" dataDxfId="2149">
      <calculatedColumnFormula>IF(ISBLANK(tbl_task4[[คะแนนเต็ม]:[คะแนนเต็ม]]),"",(tbl_task4[96]/tbl_task4[[คะแนนเต็ม]:[คะแนนเต็ม]])*tbl_task4[[%]:[%]])</calculatedColumnFormula>
    </tableColumn>
    <tableColumn id="297" name="S97" dataDxfId="2148">
      <calculatedColumnFormula>IF(ISBLANK(tbl_task4[[คะแนนเต็ม]:[คะแนนเต็ม]]),"",(tbl_task4[97]/tbl_task4[[คะแนนเต็ม]:[คะแนนเต็ม]])*tbl_task4[[%]:[%]])</calculatedColumnFormula>
    </tableColumn>
    <tableColumn id="298" name="S98" dataDxfId="2147">
      <calculatedColumnFormula>IF(ISBLANK(tbl_task4[[คะแนนเต็ม]:[คะแนนเต็ม]]),"",(tbl_task4[98]/tbl_task4[[คะแนนเต็ม]:[คะแนนเต็ม]])*tbl_task4[[%]:[%]])</calculatedColumnFormula>
    </tableColumn>
    <tableColumn id="299" name="S99" dataDxfId="2146">
      <calculatedColumnFormula>IF(ISBLANK(tbl_task4[[คะแนนเต็ม]:[คะแนนเต็ม]]),"",(tbl_task4[99]/tbl_task4[[คะแนนเต็ม]:[คะแนนเต็ม]])*tbl_task4[[%]:[%]])</calculatedColumnFormula>
    </tableColumn>
    <tableColumn id="300" name="S100" dataDxfId="2145">
      <calculatedColumnFormula>IF(ISBLANK(tbl_task4[[คะแนนเต็ม]:[คะแนนเต็ม]]),"",(tbl_task4[100]/tbl_task4[[คะแนนเต็ม]:[คะแนนเต็ม]])*tbl_task4[[%]:[%]])</calculatedColumnFormula>
    </tableColumn>
    <tableColumn id="301" name="S101" dataDxfId="2144">
      <calculatedColumnFormula>IF(ISBLANK(tbl_task4[[คะแนนเต็ม]:[คะแนนเต็ม]]),"",(tbl_task4[101]/tbl_task4[[คะแนนเต็ม]:[คะแนนเต็ม]])*tbl_task4[[%]:[%]])</calculatedColumnFormula>
    </tableColumn>
    <tableColumn id="302" name="S102" dataDxfId="2143">
      <calculatedColumnFormula>IF(ISBLANK(tbl_task4[[คะแนนเต็ม]:[คะแนนเต็ม]]),"",(tbl_task4[102]/tbl_task4[[คะแนนเต็ม]:[คะแนนเต็ม]])*tbl_task4[[%]:[%]])</calculatedColumnFormula>
    </tableColumn>
    <tableColumn id="303" name="S103" dataDxfId="2142">
      <calculatedColumnFormula>IF(ISBLANK(tbl_task4[[คะแนนเต็ม]:[คะแนนเต็ม]]),"",(tbl_task4[103]/tbl_task4[[คะแนนเต็ม]:[คะแนนเต็ม]])*tbl_task4[[%]:[%]])</calculatedColumnFormula>
    </tableColumn>
    <tableColumn id="304" name="S104" dataDxfId="2141">
      <calculatedColumnFormula>IF(ISBLANK(tbl_task4[[คะแนนเต็ม]:[คะแนนเต็ม]]),"",(tbl_task4[104]/tbl_task4[[คะแนนเต็ม]:[คะแนนเต็ม]])*tbl_task4[[%]:[%]])</calculatedColumnFormula>
    </tableColumn>
    <tableColumn id="305" name="S105" dataDxfId="2140">
      <calculatedColumnFormula>IF(ISBLANK(tbl_task4[[คะแนนเต็ม]:[คะแนนเต็ม]]),"",(tbl_task4[105]/tbl_task4[[คะแนนเต็ม]:[คะแนนเต็ม]])*tbl_task4[[%]:[%]])</calculatedColumnFormula>
    </tableColumn>
    <tableColumn id="306" name="S106" dataDxfId="2139">
      <calculatedColumnFormula>IF(ISBLANK(tbl_task4[[คะแนนเต็ม]:[คะแนนเต็ม]]),"",(tbl_task4[106]/tbl_task4[[คะแนนเต็ม]:[คะแนนเต็ม]])*tbl_task4[[%]:[%]])</calculatedColumnFormula>
    </tableColumn>
    <tableColumn id="307" name="S107" dataDxfId="2138">
      <calculatedColumnFormula>IF(ISBLANK(tbl_task4[[คะแนนเต็ม]:[คะแนนเต็ม]]),"",(tbl_task4[107]/tbl_task4[[คะแนนเต็ม]:[คะแนนเต็ม]])*tbl_task4[[%]:[%]])</calculatedColumnFormula>
    </tableColumn>
    <tableColumn id="308" name="S108" dataDxfId="2137">
      <calculatedColumnFormula>IF(ISBLANK(tbl_task4[[คะแนนเต็ม]:[คะแนนเต็ม]]),"",(tbl_task4[108]/tbl_task4[[คะแนนเต็ม]:[คะแนนเต็ม]])*tbl_task4[[%]:[%]])</calculatedColumnFormula>
    </tableColumn>
    <tableColumn id="309" name="S109" dataDxfId="2136">
      <calculatedColumnFormula>IF(ISBLANK(tbl_task4[[คะแนนเต็ม]:[คะแนนเต็ม]]),"",(tbl_task4[109]/tbl_task4[[คะแนนเต็ม]:[คะแนนเต็ม]])*tbl_task4[[%]:[%]])</calculatedColumnFormula>
    </tableColumn>
    <tableColumn id="310" name="S110" dataDxfId="2135">
      <calculatedColumnFormula>IF(ISBLANK(tbl_task4[[คะแนนเต็ม]:[คะแนนเต็ม]]),"",(tbl_task4[110]/tbl_task4[[คะแนนเต็ม]:[คะแนนเต็ม]])*tbl_task4[[%]:[%]])</calculatedColumnFormula>
    </tableColumn>
    <tableColumn id="311" name="S111" dataDxfId="2134">
      <calculatedColumnFormula>IF(ISBLANK(tbl_task4[[คะแนนเต็ม]:[คะแนนเต็ม]]),"",(tbl_task4[111]/tbl_task4[[คะแนนเต็ม]:[คะแนนเต็ม]])*tbl_task4[[%]:[%]])</calculatedColumnFormula>
    </tableColumn>
    <tableColumn id="312" name="S112" dataDxfId="2133">
      <calculatedColumnFormula>IF(ISBLANK(tbl_task4[[คะแนนเต็ม]:[คะแนนเต็ม]]),"",(tbl_task4[112]/tbl_task4[[คะแนนเต็ม]:[คะแนนเต็ม]])*tbl_task4[[%]:[%]])</calculatedColumnFormula>
    </tableColumn>
    <tableColumn id="313" name="S113" dataDxfId="2132">
      <calculatedColumnFormula>IF(ISBLANK(tbl_task4[[คะแนนเต็ม]:[คะแนนเต็ม]]),"",(tbl_task4[113]/tbl_task4[[คะแนนเต็ม]:[คะแนนเต็ม]])*tbl_task4[[%]:[%]])</calculatedColumnFormula>
    </tableColumn>
    <tableColumn id="314" name="S114" dataDxfId="2131">
      <calculatedColumnFormula>IF(ISBLANK(tbl_task4[[คะแนนเต็ม]:[คะแนนเต็ม]]),"",(tbl_task4[114]/tbl_task4[[คะแนนเต็ม]:[คะแนนเต็ม]])*tbl_task4[[%]:[%]])</calculatedColumnFormula>
    </tableColumn>
    <tableColumn id="315" name="S115" dataDxfId="2130">
      <calculatedColumnFormula>IF(ISBLANK(tbl_task4[[คะแนนเต็ม]:[คะแนนเต็ม]]),"",(tbl_task4[115]/tbl_task4[[คะแนนเต็ม]:[คะแนนเต็ม]])*tbl_task4[[%]:[%]])</calculatedColumnFormula>
    </tableColumn>
    <tableColumn id="205" name="S116" dataDxfId="2129">
      <calculatedColumnFormula>IF(ISBLANK(tbl_task4[[คะแนนเต็ม]:[คะแนนเต็ม]]),"",(tbl_task4[116]/tbl_task4[[คะแนนเต็ม]:[คะแนนเต็ม]])*tbl_task4[[%]:[%]])</calculatedColumnFormula>
    </tableColumn>
    <tableColumn id="206" name="S117" dataDxfId="2128">
      <calculatedColumnFormula>IF(ISBLANK(tbl_task4[[คะแนนเต็ม]:[คะแนนเต็ม]]),"",(tbl_task4[117]/tbl_task4[[คะแนนเต็ม]:[คะแนนเต็ม]])*tbl_task4[[%]:[%]])</calculatedColumnFormula>
    </tableColumn>
    <tableColumn id="207" name="S118" dataDxfId="2127">
      <calculatedColumnFormula>IF(ISBLANK(tbl_task4[[คะแนนเต็ม]:[คะแนนเต็ม]]),"",(tbl_task4[118]/tbl_task4[[คะแนนเต็ม]:[คะแนนเต็ม]])*tbl_task4[[%]:[%]])</calculatedColumnFormula>
    </tableColumn>
    <tableColumn id="208" name="S119" dataDxfId="2126">
      <calculatedColumnFormula>IF(ISBLANK(tbl_task4[[คะแนนเต็ม]:[คะแนนเต็ม]]),"",(tbl_task4[119]/tbl_task4[[คะแนนเต็ม]:[คะแนนเต็ม]])*tbl_task4[[%]:[%]])</calculatedColumnFormula>
    </tableColumn>
    <tableColumn id="209" name="S120" dataDxfId="2125">
      <calculatedColumnFormula>IF(ISBLANK(tbl_task4[[คะแนนเต็ม]:[คะแนนเต็ม]]),"",(tbl_task4[120]/tbl_task4[[คะแนนเต็ม]:[คะแนนเต็ม]])*tbl_task4[[%]:[%]])</calculatedColumnFormula>
    </tableColumn>
    <tableColumn id="210" name="S121" dataDxfId="2124">
      <calculatedColumnFormula>IF(ISBLANK(tbl_task4[[คะแนนเต็ม]:[คะแนนเต็ม]]),"",(tbl_task4[121]/tbl_task4[[คะแนนเต็ม]:[คะแนนเต็ม]])*tbl_task4[[%]:[%]])</calculatedColumnFormula>
    </tableColumn>
    <tableColumn id="211" name="S122" dataDxfId="2123">
      <calculatedColumnFormula>IF(ISBLANK(tbl_task4[[คะแนนเต็ม]:[คะแนนเต็ม]]),"",(tbl_task4[122]/tbl_task4[[คะแนนเต็ม]:[คะแนนเต็ม]])*tbl_task4[[%]:[%]])</calculatedColumnFormula>
    </tableColumn>
    <tableColumn id="316" name="S123" dataDxfId="2122">
      <calculatedColumnFormula>IF(ISBLANK(tbl_task4[[คะแนนเต็ม]:[คะแนนเต็ม]]),"",(tbl_task4[123]/tbl_task4[[คะแนนเต็ม]:[คะแนนเต็ม]])*tbl_task4[[%]:[%]])</calculatedColumnFormula>
    </tableColumn>
    <tableColumn id="317" name="S124" dataDxfId="2121">
      <calculatedColumnFormula>IF(ISBLANK(tbl_task4[[คะแนนเต็ม]:[คะแนนเต็ม]]),"",(tbl_task4[124]/tbl_task4[[คะแนนเต็ม]:[คะแนนเต็ม]])*tbl_task4[[%]:[%]])</calculatedColumnFormula>
    </tableColumn>
    <tableColumn id="318" name="S125" dataDxfId="2120">
      <calculatedColumnFormula>IF(ISBLANK(tbl_task4[[คะแนนเต็ม]:[คะแนนเต็ม]]),"",(tbl_task4[125]/tbl_task4[[คะแนนเต็ม]:[คะแนนเต็ม]])*tbl_task4[[%]:[%]])</calculatedColumnFormula>
    </tableColumn>
    <tableColumn id="319" name="S126" dataDxfId="2119">
      <calculatedColumnFormula>IF(ISBLANK(tbl_task4[[คะแนนเต็ม]:[คะแนนเต็ม]]),"",(tbl_task4[126]/tbl_task4[[คะแนนเต็ม]:[คะแนนเต็ม]])*tbl_task4[[%]:[%]])</calculatedColumnFormula>
    </tableColumn>
    <tableColumn id="320" name="S127" dataDxfId="2118">
      <calculatedColumnFormula>IF(ISBLANK(tbl_task4[[คะแนนเต็ม]:[คะแนนเต็ม]]),"",(tbl_task4[127]/tbl_task4[[คะแนนเต็ม]:[คะแนนเต็ม]])*tbl_task4[[%]:[%]])</calculatedColumnFormula>
    </tableColumn>
    <tableColumn id="321" name="S128" dataDxfId="2117">
      <calculatedColumnFormula>IF(ISBLANK(tbl_task4[[คะแนนเต็ม]:[คะแนนเต็ม]]),"",(tbl_task4[128]/tbl_task4[[คะแนนเต็ม]:[คะแนนเต็ม]])*tbl_task4[[%]:[%]])</calculatedColumnFormula>
    </tableColumn>
    <tableColumn id="322" name="S129" dataDxfId="2116">
      <calculatedColumnFormula>IF(ISBLANK(tbl_task4[[คะแนนเต็ม]:[คะแนนเต็ม]]),"",(tbl_task4[129]/tbl_task4[[คะแนนเต็ม]:[คะแนนเต็ม]])*tbl_task4[[%]:[%]])</calculatedColumnFormula>
    </tableColumn>
    <tableColumn id="212" name="S130" dataDxfId="2115">
      <calculatedColumnFormula>IF(ISBLANK(tbl_task4[[คะแนนเต็ม]:[คะแนนเต็ม]]),"",(tbl_task4[130]/tbl_task4[[คะแนนเต็ม]:[คะแนนเต็ม]])*tbl_task4[[%]:[%]])</calculatedColumnFormula>
    </tableColumn>
    <tableColumn id="213" name="S131" dataDxfId="2114">
      <calculatedColumnFormula>IF(ISBLANK(tbl_task4[[คะแนนเต็ม]:[คะแนนเต็ม]]),"",(tbl_task4[131]/tbl_task4[[คะแนนเต็ม]:[คะแนนเต็ม]])*tbl_task4[[%]:[%]])</calculatedColumnFormula>
    </tableColumn>
    <tableColumn id="214" name="S132" dataDxfId="2113">
      <calculatedColumnFormula>IF(ISBLANK(tbl_task4[[คะแนนเต็ม]:[คะแนนเต็ม]]),"",(tbl_task4[132]/tbl_task4[[คะแนนเต็ม]:[คะแนนเต็ม]])*tbl_task4[[%]:[%]])</calculatedColumnFormula>
    </tableColumn>
    <tableColumn id="215" name="S133" dataDxfId="2112">
      <calculatedColumnFormula>IF(ISBLANK(tbl_task4[[คะแนนเต็ม]:[คะแนนเต็ม]]),"",(tbl_task4[133]/tbl_task4[[คะแนนเต็ม]:[คะแนนเต็ม]])*tbl_task4[[%]:[%]])</calculatedColumnFormula>
    </tableColumn>
    <tableColumn id="216" name="S134" dataDxfId="2111">
      <calculatedColumnFormula>IF(ISBLANK(tbl_task4[[คะแนนเต็ม]:[คะแนนเต็ม]]),"",(tbl_task4[134]/tbl_task4[[คะแนนเต็ม]:[คะแนนเต็ม]])*tbl_task4[[%]:[%]])</calculatedColumnFormula>
    </tableColumn>
    <tableColumn id="217" name="S135" dataDxfId="2110">
      <calculatedColumnFormula>IF(ISBLANK(tbl_task4[[คะแนนเต็ม]:[คะแนนเต็ม]]),"",(tbl_task4[135]/tbl_task4[[คะแนนเต็ม]:[คะแนนเต็ม]])*tbl_task4[[%]:[%]])</calculatedColumnFormula>
    </tableColumn>
    <tableColumn id="218" name="S136" dataDxfId="2109">
      <calculatedColumnFormula>IF(ISBLANK(tbl_task4[[คะแนนเต็ม]:[คะแนนเต็ม]]),"",(tbl_task4[136]/tbl_task4[[คะแนนเต็ม]:[คะแนนเต็ม]])*tbl_task4[[%]:[%]])</calculatedColumnFormula>
    </tableColumn>
    <tableColumn id="219" name="S137" dataDxfId="2108">
      <calculatedColumnFormula>IF(ISBLANK(tbl_task4[[คะแนนเต็ม]:[คะแนนเต็ม]]),"",(tbl_task4[137]/tbl_task4[[คะแนนเต็ม]:[คะแนนเต็ม]])*tbl_task4[[%]:[%]])</calculatedColumnFormula>
    </tableColumn>
    <tableColumn id="220" name="S138" dataDxfId="2107">
      <calculatedColumnFormula>IF(ISBLANK(tbl_task4[[คะแนนเต็ม]:[คะแนนเต็ม]]),"",(tbl_task4[138]/tbl_task4[[คะแนนเต็ม]:[คะแนนเต็ม]])*tbl_task4[[%]:[%]])</calculatedColumnFormula>
    </tableColumn>
    <tableColumn id="221" name="S139" dataDxfId="2106">
      <calculatedColumnFormula>IF(ISBLANK(tbl_task4[[คะแนนเต็ม]:[คะแนนเต็ม]]),"",(tbl_task4[139]/tbl_task4[[คะแนนเต็ม]:[คะแนนเต็ม]])*tbl_task4[[%]:[%]])</calculatedColumnFormula>
    </tableColumn>
    <tableColumn id="222" name="S140" dataDxfId="2105">
      <calculatedColumnFormula>IF(ISBLANK(tbl_task4[[คะแนนเต็ม]:[คะแนนเต็ม]]),"",(tbl_task4[140]/tbl_task4[[คะแนนเต็ม]:[คะแนนเต็ม]])*tbl_task4[[%]:[%]])</calculatedColumnFormula>
    </tableColumn>
    <tableColumn id="223" name="S141" dataDxfId="2104">
      <calculatedColumnFormula>IF(ISBLANK(tbl_task4[[คะแนนเต็ม]:[คะแนนเต็ม]]),"",(tbl_task4[141]/tbl_task4[[คะแนนเต็ม]:[คะแนนเต็ม]])*tbl_task4[[%]:[%]])</calculatedColumnFormula>
    </tableColumn>
    <tableColumn id="323" name="S142" dataDxfId="2103">
      <calculatedColumnFormula>IF(ISBLANK(tbl_task4[[คะแนนเต็ม]:[คะแนนเต็ม]]),"",(tbl_task4[142]/tbl_task4[[คะแนนเต็ม]:[คะแนนเต็ม]])*tbl_task4[[%]:[%]])</calculatedColumnFormula>
    </tableColumn>
    <tableColumn id="324" name="S143" dataDxfId="2102">
      <calculatedColumnFormula>IF(ISBLANK(tbl_task4[[คะแนนเต็ม]:[คะแนนเต็ม]]),"",(tbl_task4[143]/tbl_task4[[คะแนนเต็ม]:[คะแนนเต็ม]])*tbl_task4[[%]:[%]])</calculatedColumnFormula>
    </tableColumn>
    <tableColumn id="325" name="S144" dataDxfId="2101">
      <calculatedColumnFormula>IF(ISBLANK(tbl_task4[[คะแนนเต็ม]:[คะแนนเต็ม]]),"",(tbl_task4[144]/tbl_task4[[คะแนนเต็ม]:[คะแนนเต็ม]])*tbl_task4[[%]:[%]])</calculatedColumnFormula>
    </tableColumn>
    <tableColumn id="326" name="S145" dataDxfId="2100">
      <calculatedColumnFormula>IF(ISBLANK(tbl_task4[[คะแนนเต็ม]:[คะแนนเต็ม]]),"",(tbl_task4[145]/tbl_task4[[คะแนนเต็ม]:[คะแนนเต็ม]])*tbl_task4[[%]:[%]])</calculatedColumnFormula>
    </tableColumn>
    <tableColumn id="327" name="S146" dataDxfId="2099">
      <calculatedColumnFormula>IF(ISBLANK(tbl_task4[[คะแนนเต็ม]:[คะแนนเต็ม]]),"",(tbl_task4[146]/tbl_task4[[คะแนนเต็ม]:[คะแนนเต็ม]])*tbl_task4[[%]:[%]])</calculatedColumnFormula>
    </tableColumn>
    <tableColumn id="328" name="S147" dataDxfId="2098">
      <calculatedColumnFormula>IF(ISBLANK(tbl_task4[[คะแนนเต็ม]:[คะแนนเต็ม]]),"",(tbl_task4[147]/tbl_task4[[คะแนนเต็ม]:[คะแนนเต็ม]])*tbl_task4[[%]:[%]])</calculatedColumnFormula>
    </tableColumn>
    <tableColumn id="329" name="S148" dataDxfId="2097">
      <calculatedColumnFormula>IF(ISBLANK(tbl_task4[[คะแนนเต็ม]:[คะแนนเต็ม]]),"",(tbl_task4[148]/tbl_task4[[คะแนนเต็ม]:[คะแนนเต็ม]])*tbl_task4[[%]:[%]])</calculatedColumnFormula>
    </tableColumn>
    <tableColumn id="330" name="S149" dataDxfId="2096">
      <calculatedColumnFormula>IF(ISBLANK(tbl_task4[[คะแนนเต็ม]:[คะแนนเต็ม]]),"",(tbl_task4[149]/tbl_task4[[คะแนนเต็ม]:[คะแนนเต็ม]])*tbl_task4[[%]:[%]])</calculatedColumnFormula>
    </tableColumn>
    <tableColumn id="331" name="S150" dataDxfId="2095">
      <calculatedColumnFormula>IF(ISBLANK(tbl_task4[[คะแนนเต็ม]:[คะแนนเต็ม]]),"",(tbl_task4[150]/tbl_task4[[คะแนนเต็ม]:[คะแนนเต็ม]])*tbl_task4[[%]:[%]])</calculatedColumnFormula>
    </tableColumn>
    <tableColumn id="332" name="S151" dataDxfId="2094">
      <calculatedColumnFormula>IF(ISBLANK(tbl_task4[[คะแนนเต็ม]:[คะแนนเต็ม]]),"",(tbl_task4[151]/tbl_task4[[คะแนนเต็ม]:[คะแนนเต็ม]])*tbl_task4[[%]:[%]])</calculatedColumnFormula>
    </tableColumn>
    <tableColumn id="333" name="S152" dataDxfId="2093">
      <calculatedColumnFormula>IF(ISBLANK(tbl_task4[[คะแนนเต็ม]:[คะแนนเต็ม]]),"",(tbl_task4[152]/tbl_task4[[คะแนนเต็ม]:[คะแนนเต็ม]])*tbl_task4[[%]:[%]])</calculatedColumnFormula>
    </tableColumn>
    <tableColumn id="224" name="S153" dataDxfId="2092">
      <calculatedColumnFormula>IF(ISBLANK(tbl_task4[[คะแนนเต็ม]:[คะแนนเต็ม]]),"",(tbl_task4[153]/tbl_task4[[คะแนนเต็ม]:[คะแนนเต็ม]])*tbl_task4[[%]:[%]])</calculatedColumnFormula>
    </tableColumn>
    <tableColumn id="225" name="S154" dataDxfId="2091">
      <calculatedColumnFormula>IF(ISBLANK(tbl_task4[[คะแนนเต็ม]:[คะแนนเต็ม]]),"",(tbl_task4[154]/tbl_task4[[คะแนนเต็ม]:[คะแนนเต็ม]])*tbl_task4[[%]:[%]])</calculatedColumnFormula>
    </tableColumn>
    <tableColumn id="226" name="S155" dataDxfId="2090">
      <calculatedColumnFormula>IF(ISBLANK(tbl_task4[[คะแนนเต็ม]:[คะแนนเต็ม]]),"",(tbl_task4[155]/tbl_task4[[คะแนนเต็ม]:[คะแนนเต็ม]])*tbl_task4[[%]:[%]])</calculatedColumnFormula>
    </tableColumn>
    <tableColumn id="227" name="S156" dataDxfId="2089">
      <calculatedColumnFormula>IF(ISBLANK(tbl_task4[[คะแนนเต็ม]:[คะแนนเต็ม]]),"",(tbl_task4[156]/tbl_task4[[คะแนนเต็ม]:[คะแนนเต็ม]])*tbl_task4[[%]:[%]])</calculatedColumnFormula>
    </tableColumn>
    <tableColumn id="228" name="S157" dataDxfId="2088">
      <calculatedColumnFormula>IF(ISBLANK(tbl_task4[[คะแนนเต็ม]:[คะแนนเต็ม]]),"",(tbl_task4[157]/tbl_task4[[คะแนนเต็ม]:[คะแนนเต็ม]])*tbl_task4[[%]:[%]])</calculatedColumnFormula>
    </tableColumn>
    <tableColumn id="229" name="S158" dataDxfId="2087">
      <calculatedColumnFormula>IF(ISBLANK(tbl_task4[[คะแนนเต็ม]:[คะแนนเต็ม]]),"",(tbl_task4[158]/tbl_task4[[คะแนนเต็ม]:[คะแนนเต็ม]])*tbl_task4[[%]:[%]])</calculatedColumnFormula>
    </tableColumn>
    <tableColumn id="230" name="S159" dataDxfId="2086">
      <calculatedColumnFormula>IF(ISBLANK(tbl_task4[[คะแนนเต็ม]:[คะแนนเต็ม]]),"",(tbl_task4[159]/tbl_task4[[คะแนนเต็ม]:[คะแนนเต็ม]])*tbl_task4[[%]:[%]])</calculatedColumnFormula>
    </tableColumn>
    <tableColumn id="231" name="S160" dataDxfId="2085">
      <calculatedColumnFormula>IF(ISBLANK(tbl_task4[[คะแนนเต็ม]:[คะแนนเต็ม]]),"",(tbl_task4[160]/tbl_task4[[คะแนนเต็ม]:[คะแนนเต็ม]])*tbl_task4[[%]:[%]])</calculatedColumnFormula>
    </tableColumn>
    <tableColumn id="232" name="S161" dataDxfId="2084">
      <calculatedColumnFormula>IF(ISBLANK(tbl_task4[[คะแนนเต็ม]:[คะแนนเต็ม]]),"",(tbl_task4[161]/tbl_task4[[คะแนนเต็ม]:[คะแนนเต็ม]])*tbl_task4[[%]:[%]])</calculatedColumnFormula>
    </tableColumn>
    <tableColumn id="334" name="S162" dataDxfId="2083">
      <calculatedColumnFormula>IF(ISBLANK(tbl_task4[[คะแนนเต็ม]:[คะแนนเต็ม]]),"",(tbl_task4[162]/tbl_task4[[คะแนนเต็ม]:[คะแนนเต็ม]])*tbl_task4[[%]:[%]])</calculatedColumnFormula>
    </tableColumn>
    <tableColumn id="335" name="S163" dataDxfId="2082">
      <calculatedColumnFormula>IF(ISBLANK(tbl_task4[[คะแนนเต็ม]:[คะแนนเต็ม]]),"",(tbl_task4[163]/tbl_task4[[คะแนนเต็ม]:[คะแนนเต็ม]])*tbl_task4[[%]:[%]])</calculatedColumnFormula>
    </tableColumn>
    <tableColumn id="233" name="S164" dataDxfId="2081">
      <calculatedColumnFormula>IF(ISBLANK(tbl_task4[[คะแนนเต็ม]:[คะแนนเต็ม]]),"",(tbl_task4[164]/tbl_task4[[คะแนนเต็ม]:[คะแนนเต็ม]])*tbl_task4[[%]:[%]])</calculatedColumnFormula>
    </tableColumn>
    <tableColumn id="234" name="S165" dataDxfId="2080">
      <calculatedColumnFormula>IF(ISBLANK(tbl_task4[[คะแนนเต็ม]:[คะแนนเต็ม]]),"",(tbl_task4[165]/tbl_task4[[คะแนนเต็ม]:[คะแนนเต็ม]])*tbl_task4[[%]:[%]])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bl_task5" displayName="tbl_task5" ref="A3:LW28" totalsRowShown="0" headerRowDxfId="2079" dataDxfId="2077" headerRowBorderDxfId="2078" tableBorderDxfId="2076" totalsRowBorderDxfId="2075">
  <tableColumns count="335">
    <tableColumn id="1" name="No" dataDxfId="2074"/>
    <tableColumn id="2" name="SubPLOs" dataDxfId="2073"/>
    <tableColumn id="3" name="SubPLOs_name" dataDxfId="2072">
      <calculatedColumnFormula>IF(ISBLANK(B4),"",VLOOKUP(B4,tbl_PLOs[],2,0))</calculatedColumnFormula>
    </tableColumn>
    <tableColumn id="235" name="คะแนนเต็ม" dataDxfId="2071"/>
    <tableColumn id="4" name="%" dataDxfId="2070">
      <calculatedColumnFormula>IF(OR(ISBLANK(#REF!),ISBLANK(tbl_task5[[#This Row],[SubPLOs]])),"",#REF!/$B$29)</calculatedColumnFormula>
    </tableColumn>
    <tableColumn id="5" name="1" dataDxfId="2069"/>
    <tableColumn id="6" name="2" dataDxfId="2068"/>
    <tableColumn id="7" name="3" dataDxfId="2067"/>
    <tableColumn id="8" name="4" dataDxfId="2066"/>
    <tableColumn id="9" name="5" dataDxfId="2065"/>
    <tableColumn id="10" name="6" dataDxfId="2064"/>
    <tableColumn id="11" name="7" dataDxfId="2063"/>
    <tableColumn id="12" name="8" dataDxfId="2062"/>
    <tableColumn id="13" name="9" dataDxfId="2061"/>
    <tableColumn id="14" name="10" dataDxfId="2060"/>
    <tableColumn id="15" name="11" dataDxfId="2059"/>
    <tableColumn id="16" name="12" dataDxfId="2058"/>
    <tableColumn id="17" name="13" dataDxfId="2057"/>
    <tableColumn id="18" name="14" dataDxfId="2056"/>
    <tableColumn id="19" name="15" dataDxfId="2055"/>
    <tableColumn id="20" name="16" dataDxfId="2054"/>
    <tableColumn id="21" name="17" dataDxfId="2053"/>
    <tableColumn id="22" name="18" dataDxfId="2052"/>
    <tableColumn id="23" name="19" dataDxfId="2051"/>
    <tableColumn id="24" name="20" dataDxfId="2050"/>
    <tableColumn id="25" name="21" dataDxfId="2049"/>
    <tableColumn id="26" name="22" dataDxfId="2048"/>
    <tableColumn id="27" name="23" dataDxfId="2047"/>
    <tableColumn id="28" name="24" dataDxfId="2046"/>
    <tableColumn id="29" name="25" dataDxfId="2045"/>
    <tableColumn id="30" name="26" dataDxfId="2044"/>
    <tableColumn id="31" name="27" dataDxfId="2043"/>
    <tableColumn id="32" name="28" dataDxfId="2042"/>
    <tableColumn id="33" name="29" dataDxfId="2041"/>
    <tableColumn id="34" name="30" dataDxfId="2040"/>
    <tableColumn id="35" name="31" dataDxfId="2039"/>
    <tableColumn id="36" name="32" dataDxfId="2038"/>
    <tableColumn id="37" name="33" dataDxfId="2037"/>
    <tableColumn id="38" name="34" dataDxfId="2036"/>
    <tableColumn id="39" name="35" dataDxfId="2035"/>
    <tableColumn id="40" name="36" dataDxfId="2034"/>
    <tableColumn id="41" name="37" dataDxfId="2033"/>
    <tableColumn id="42" name="38" dataDxfId="2032"/>
    <tableColumn id="43" name="39" dataDxfId="2031"/>
    <tableColumn id="44" name="40" dataDxfId="2030"/>
    <tableColumn id="45" name="41" dataDxfId="2029"/>
    <tableColumn id="46" name="42" dataDxfId="2028"/>
    <tableColumn id="47" name="43" dataDxfId="2027"/>
    <tableColumn id="48" name="44" dataDxfId="2026"/>
    <tableColumn id="49" name="45" dataDxfId="2025"/>
    <tableColumn id="50" name="46" dataDxfId="2024"/>
    <tableColumn id="51" name="47" dataDxfId="2023"/>
    <tableColumn id="52" name="48" dataDxfId="2022"/>
    <tableColumn id="53" name="49" dataDxfId="2021"/>
    <tableColumn id="54" name="50" dataDxfId="2020"/>
    <tableColumn id="55" name="51" dataDxfId="2019"/>
    <tableColumn id="56" name="52" dataDxfId="2018"/>
    <tableColumn id="57" name="53" dataDxfId="2017"/>
    <tableColumn id="58" name="54" dataDxfId="2016"/>
    <tableColumn id="59" name="55" dataDxfId="2015"/>
    <tableColumn id="60" name="56" dataDxfId="2014"/>
    <tableColumn id="61" name="57" dataDxfId="2013"/>
    <tableColumn id="62" name="58" dataDxfId="2012"/>
    <tableColumn id="63" name="59" dataDxfId="2011"/>
    <tableColumn id="64" name="60" dataDxfId="2010"/>
    <tableColumn id="65" name="61" dataDxfId="2009"/>
    <tableColumn id="66" name="62" dataDxfId="2008"/>
    <tableColumn id="67" name="63" dataDxfId="2007"/>
    <tableColumn id="68" name="64" dataDxfId="2006"/>
    <tableColumn id="69" name="65" dataDxfId="2005"/>
    <tableColumn id="70" name="66" dataDxfId="2004"/>
    <tableColumn id="71" name="67" dataDxfId="2003"/>
    <tableColumn id="72" name="68" dataDxfId="2002"/>
    <tableColumn id="73" name="69" dataDxfId="2001"/>
    <tableColumn id="74" name="70" dataDxfId="2000"/>
    <tableColumn id="75" name="71" dataDxfId="1999"/>
    <tableColumn id="76" name="72" dataDxfId="1998"/>
    <tableColumn id="77" name="73" dataDxfId="1997"/>
    <tableColumn id="78" name="74" dataDxfId="1996"/>
    <tableColumn id="79" name="75" dataDxfId="1995"/>
    <tableColumn id="80" name="76" dataDxfId="1994"/>
    <tableColumn id="81" name="77" dataDxfId="1993"/>
    <tableColumn id="82" name="78" dataDxfId="1992"/>
    <tableColumn id="83" name="79" dataDxfId="1991"/>
    <tableColumn id="84" name="80" dataDxfId="1990"/>
    <tableColumn id="85" name="81" dataDxfId="1989"/>
    <tableColumn id="86" name="82" dataDxfId="1988"/>
    <tableColumn id="87" name="83" dataDxfId="1987"/>
    <tableColumn id="88" name="84" dataDxfId="1986"/>
    <tableColumn id="89" name="85" dataDxfId="1985"/>
    <tableColumn id="90" name="86" dataDxfId="1984"/>
    <tableColumn id="91" name="87" dataDxfId="1983"/>
    <tableColumn id="92" name="88" dataDxfId="1982"/>
    <tableColumn id="93" name="89" dataDxfId="1981"/>
    <tableColumn id="94" name="90" dataDxfId="1980"/>
    <tableColumn id="236" name="91" dataDxfId="1979"/>
    <tableColumn id="237" name="92" dataDxfId="1978"/>
    <tableColumn id="238" name="93" dataDxfId="1977"/>
    <tableColumn id="239" name="94" dataDxfId="1976"/>
    <tableColumn id="240" name="95" dataDxfId="1975"/>
    <tableColumn id="241" name="96" dataDxfId="1974"/>
    <tableColumn id="242" name="97" dataDxfId="1973"/>
    <tableColumn id="243" name="98" dataDxfId="1972"/>
    <tableColumn id="244" name="99" dataDxfId="1971"/>
    <tableColumn id="245" name="100" dataDxfId="1970"/>
    <tableColumn id="246" name="101" dataDxfId="1969"/>
    <tableColumn id="247" name="102" dataDxfId="1968"/>
    <tableColumn id="248" name="103" dataDxfId="1967"/>
    <tableColumn id="249" name="104" dataDxfId="1966"/>
    <tableColumn id="250" name="105" dataDxfId="1965"/>
    <tableColumn id="251" name="106" dataDxfId="1964"/>
    <tableColumn id="252" name="107" dataDxfId="1963"/>
    <tableColumn id="253" name="108" dataDxfId="1962"/>
    <tableColumn id="254" name="109" dataDxfId="1961"/>
    <tableColumn id="255" name="110" dataDxfId="1960"/>
    <tableColumn id="256" name="111" dataDxfId="1959"/>
    <tableColumn id="257" name="112" dataDxfId="1958"/>
    <tableColumn id="258" name="113" dataDxfId="1957"/>
    <tableColumn id="259" name="114" dataDxfId="1956"/>
    <tableColumn id="260" name="115" dataDxfId="1955"/>
    <tableColumn id="95" name="116" dataDxfId="1954"/>
    <tableColumn id="96" name="117" dataDxfId="1953"/>
    <tableColumn id="97" name="118" dataDxfId="1952"/>
    <tableColumn id="98" name="119" dataDxfId="1951"/>
    <tableColumn id="99" name="120" dataDxfId="1950"/>
    <tableColumn id="100" name="121" dataDxfId="1949"/>
    <tableColumn id="101" name="122" dataDxfId="1948"/>
    <tableColumn id="102" name="123" dataDxfId="1947"/>
    <tableColumn id="261" name="124" dataDxfId="1946"/>
    <tableColumn id="262" name="125" dataDxfId="1945"/>
    <tableColumn id="263" name="126" dataDxfId="1944"/>
    <tableColumn id="264" name="127" dataDxfId="1943"/>
    <tableColumn id="265" name="128" dataDxfId="1942"/>
    <tableColumn id="266" name="129" dataDxfId="1941"/>
    <tableColumn id="267" name="130" dataDxfId="1940"/>
    <tableColumn id="268" name="131" dataDxfId="1939"/>
    <tableColumn id="269" name="132" dataDxfId="1938"/>
    <tableColumn id="270" name="133" dataDxfId="1937"/>
    <tableColumn id="271" name="134" dataDxfId="1936"/>
    <tableColumn id="272" name="135" dataDxfId="1935"/>
    <tableColumn id="273" name="136" dataDxfId="1934"/>
    <tableColumn id="274" name="137" dataDxfId="1933"/>
    <tableColumn id="275" name="138" dataDxfId="1932"/>
    <tableColumn id="276" name="139" dataDxfId="1931"/>
    <tableColumn id="277" name="140" dataDxfId="1930"/>
    <tableColumn id="103" name="141" dataDxfId="1929"/>
    <tableColumn id="104" name="142" dataDxfId="1928"/>
    <tableColumn id="105" name="143" dataDxfId="1927"/>
    <tableColumn id="106" name="144" dataDxfId="1926"/>
    <tableColumn id="107" name="145" dataDxfId="1925"/>
    <tableColumn id="108" name="146" dataDxfId="1924"/>
    <tableColumn id="109" name="147" dataDxfId="1923"/>
    <tableColumn id="110" name="148" dataDxfId="1922"/>
    <tableColumn id="111" name="149" dataDxfId="1921"/>
    <tableColumn id="278" name="150" dataDxfId="1920"/>
    <tableColumn id="279" name="151" dataDxfId="1919"/>
    <tableColumn id="280" name="152" dataDxfId="1918"/>
    <tableColumn id="281" name="153" dataDxfId="1917"/>
    <tableColumn id="282" name="154" dataDxfId="1916"/>
    <tableColumn id="283" name="155" dataDxfId="1915"/>
    <tableColumn id="284" name="156" dataDxfId="1914"/>
    <tableColumn id="285" name="157" dataDxfId="1913"/>
    <tableColumn id="112" name="158" dataDxfId="1912"/>
    <tableColumn id="113" name="159" dataDxfId="1911"/>
    <tableColumn id="114" name="160" dataDxfId="1910"/>
    <tableColumn id="115" name="161" dataDxfId="1909"/>
    <tableColumn id="116" name="162" dataDxfId="1908"/>
    <tableColumn id="117" name="163" dataDxfId="1907"/>
    <tableColumn id="118" name="164" dataDxfId="1906"/>
    <tableColumn id="119" name="165" dataDxfId="1905"/>
    <tableColumn id="120" name="S1" dataDxfId="1904">
      <calculatedColumnFormula>IF(ISBLANK(tbl_task5[[คะแนนเต็ม]:[คะแนนเต็ม]]),"",(tbl_task5[1]/tbl_task5[[คะแนนเต็ม]:[คะแนนเต็ม]])*tbl_task5[[%]:[%]])</calculatedColumnFormula>
    </tableColumn>
    <tableColumn id="121" name="S2" dataDxfId="1903">
      <calculatedColumnFormula>IF(ISBLANK(tbl_task5[[คะแนนเต็ม]:[คะแนนเต็ม]]),"",(tbl_task5[2]/tbl_task5[[คะแนนเต็ม]:[คะแนนเต็ม]])*tbl_task5[[%]:[%]])</calculatedColumnFormula>
    </tableColumn>
    <tableColumn id="122" name="S3" dataDxfId="1902">
      <calculatedColumnFormula>IF(ISBLANK(tbl_task5[[คะแนนเต็ม]:[คะแนนเต็ม]]),"",(tbl_task5[3]/tbl_task5[[คะแนนเต็ม]:[คะแนนเต็ม]])*tbl_task5[[%]:[%]])</calculatedColumnFormula>
    </tableColumn>
    <tableColumn id="123" name="S4" dataDxfId="1901">
      <calculatedColumnFormula>IF(ISBLANK(tbl_task5[[คะแนนเต็ม]:[คะแนนเต็ม]]),"",(tbl_task5[4]/tbl_task5[[คะแนนเต็ม]:[คะแนนเต็ม]])*tbl_task5[[%]:[%]])</calculatedColumnFormula>
    </tableColumn>
    <tableColumn id="124" name="S5" dataDxfId="1900">
      <calculatedColumnFormula>IF(ISBLANK(tbl_task5[[คะแนนเต็ม]:[คะแนนเต็ม]]),"",(tbl_task5[5]/tbl_task5[[คะแนนเต็ม]:[คะแนนเต็ม]])*tbl_task5[[%]:[%]])</calculatedColumnFormula>
    </tableColumn>
    <tableColumn id="125" name="S6" dataDxfId="1899">
      <calculatedColumnFormula>IF(ISBLANK(tbl_task5[[คะแนนเต็ม]:[คะแนนเต็ม]]),"",(tbl_task5[6]/tbl_task5[[คะแนนเต็ม]:[คะแนนเต็ม]])*tbl_task5[[%]:[%]])</calculatedColumnFormula>
    </tableColumn>
    <tableColumn id="126" name="S7" dataDxfId="1898">
      <calculatedColumnFormula>IF(ISBLANK(tbl_task5[[คะแนนเต็ม]:[คะแนนเต็ม]]),"",(tbl_task5[7]/tbl_task5[[คะแนนเต็ม]:[คะแนนเต็ม]])*tbl_task5[[%]:[%]])</calculatedColumnFormula>
    </tableColumn>
    <tableColumn id="127" name="S8" dataDxfId="1897">
      <calculatedColumnFormula>IF(ISBLANK(tbl_task5[[คะแนนเต็ม]:[คะแนนเต็ม]]),"",(tbl_task5[8]/tbl_task5[[คะแนนเต็ม]:[คะแนนเต็ม]])*tbl_task5[[%]:[%]])</calculatedColumnFormula>
    </tableColumn>
    <tableColumn id="128" name="S9" dataDxfId="1896">
      <calculatedColumnFormula>IF(ISBLANK(tbl_task5[[คะแนนเต็ม]:[คะแนนเต็ม]]),"",(tbl_task5[9]/tbl_task5[[คะแนนเต็ม]:[คะแนนเต็ม]])*tbl_task5[[%]:[%]])</calculatedColumnFormula>
    </tableColumn>
    <tableColumn id="129" name="S10" dataDxfId="1895">
      <calculatedColumnFormula>IF(ISBLANK(tbl_task5[[คะแนนเต็ม]:[คะแนนเต็ม]]),"",(tbl_task5[10]/tbl_task5[[คะแนนเต็ม]:[คะแนนเต็ม]])*tbl_task5[[%]:[%]])</calculatedColumnFormula>
    </tableColumn>
    <tableColumn id="130" name="S11" dataDxfId="1894">
      <calculatedColumnFormula>IF(ISBLANK(tbl_task5[[คะแนนเต็ม]:[คะแนนเต็ม]]),"",(tbl_task5[11]/tbl_task5[[คะแนนเต็ม]:[คะแนนเต็ม]])*tbl_task5[[%]:[%]])</calculatedColumnFormula>
    </tableColumn>
    <tableColumn id="131" name="S12" dataDxfId="1893">
      <calculatedColumnFormula>IF(ISBLANK(tbl_task5[[คะแนนเต็ม]:[คะแนนเต็ม]]),"",(tbl_task5[12]/tbl_task5[[คะแนนเต็ม]:[คะแนนเต็ม]])*tbl_task5[[%]:[%]])</calculatedColumnFormula>
    </tableColumn>
    <tableColumn id="132" name="S13" dataDxfId="1892">
      <calculatedColumnFormula>IF(ISBLANK(tbl_task5[[คะแนนเต็ม]:[คะแนนเต็ม]]),"",(tbl_task5[13]/tbl_task5[[คะแนนเต็ม]:[คะแนนเต็ม]])*tbl_task5[[%]:[%]])</calculatedColumnFormula>
    </tableColumn>
    <tableColumn id="133" name="S14" dataDxfId="1891">
      <calculatedColumnFormula>IF(ISBLANK(tbl_task5[[คะแนนเต็ม]:[คะแนนเต็ม]]),"",(tbl_task5[14]/tbl_task5[[คะแนนเต็ม]:[คะแนนเต็ม]])*tbl_task5[[%]:[%]])</calculatedColumnFormula>
    </tableColumn>
    <tableColumn id="134" name="S15" dataDxfId="1890">
      <calculatedColumnFormula>IF(ISBLANK(tbl_task5[[คะแนนเต็ม]:[คะแนนเต็ม]]),"",(tbl_task5[15]/tbl_task5[[คะแนนเต็ม]:[คะแนนเต็ม]])*tbl_task5[[%]:[%]])</calculatedColumnFormula>
    </tableColumn>
    <tableColumn id="135" name="S16" dataDxfId="1889">
      <calculatedColumnFormula>IF(ISBLANK(tbl_task5[[คะแนนเต็ม]:[คะแนนเต็ม]]),"",(tbl_task5[16]/tbl_task5[[คะแนนเต็ม]:[คะแนนเต็ม]])*tbl_task5[[%]:[%]])</calculatedColumnFormula>
    </tableColumn>
    <tableColumn id="136" name="S17" dataDxfId="1888">
      <calculatedColumnFormula>IF(ISBLANK(tbl_task5[[คะแนนเต็ม]:[คะแนนเต็ม]]),"",(tbl_task5[17]/tbl_task5[[คะแนนเต็ม]:[คะแนนเต็ม]])*tbl_task5[[%]:[%]])</calculatedColumnFormula>
    </tableColumn>
    <tableColumn id="137" name="S18" dataDxfId="1887">
      <calculatedColumnFormula>IF(ISBLANK(tbl_task5[[คะแนนเต็ม]:[คะแนนเต็ม]]),"",(tbl_task5[18]/tbl_task5[[คะแนนเต็ม]:[คะแนนเต็ม]])*tbl_task5[[%]:[%]])</calculatedColumnFormula>
    </tableColumn>
    <tableColumn id="138" name="S19" dataDxfId="1886">
      <calculatedColumnFormula>IF(ISBLANK(tbl_task5[[คะแนนเต็ม]:[คะแนนเต็ม]]),"",(tbl_task5[19]/tbl_task5[[คะแนนเต็ม]:[คะแนนเต็ม]])*tbl_task5[[%]:[%]])</calculatedColumnFormula>
    </tableColumn>
    <tableColumn id="139" name="S20" dataDxfId="1885">
      <calculatedColumnFormula>IF(ISBLANK(tbl_task5[[คะแนนเต็ม]:[คะแนนเต็ม]]),"",(tbl_task5[20]/tbl_task5[[คะแนนเต็ม]:[คะแนนเต็ม]])*tbl_task5[[%]:[%]])</calculatedColumnFormula>
    </tableColumn>
    <tableColumn id="140" name="S21" dataDxfId="1884">
      <calculatedColumnFormula>IF(ISBLANK(tbl_task5[[คะแนนเต็ม]:[คะแนนเต็ม]]),"",(tbl_task5[21]/tbl_task5[[คะแนนเต็ม]:[คะแนนเต็ม]])*tbl_task5[[%]:[%]])</calculatedColumnFormula>
    </tableColumn>
    <tableColumn id="141" name="S22" dataDxfId="1883">
      <calculatedColumnFormula>IF(ISBLANK(tbl_task5[[คะแนนเต็ม]:[คะแนนเต็ม]]),"",(tbl_task5[22]/tbl_task5[[คะแนนเต็ม]:[คะแนนเต็ม]])*tbl_task5[[%]:[%]])</calculatedColumnFormula>
    </tableColumn>
    <tableColumn id="142" name="S23" dataDxfId="1882">
      <calculatedColumnFormula>IF(ISBLANK(tbl_task5[[คะแนนเต็ม]:[คะแนนเต็ม]]),"",(tbl_task5[23]/tbl_task5[[คะแนนเต็ม]:[คะแนนเต็ม]])*tbl_task5[[%]:[%]])</calculatedColumnFormula>
    </tableColumn>
    <tableColumn id="143" name="S24" dataDxfId="1881">
      <calculatedColumnFormula>IF(ISBLANK(tbl_task5[[คะแนนเต็ม]:[คะแนนเต็ม]]),"",(tbl_task5[24]/tbl_task5[[คะแนนเต็ม]:[คะแนนเต็ม]])*tbl_task5[[%]:[%]])</calculatedColumnFormula>
    </tableColumn>
    <tableColumn id="144" name="S25" dataDxfId="1880">
      <calculatedColumnFormula>IF(ISBLANK(tbl_task5[[คะแนนเต็ม]:[คะแนนเต็ม]]),"",(tbl_task5[25]/tbl_task5[[คะแนนเต็ม]:[คะแนนเต็ม]])*tbl_task5[[%]:[%]])</calculatedColumnFormula>
    </tableColumn>
    <tableColumn id="145" name="S26" dataDxfId="1879">
      <calculatedColumnFormula>IF(ISBLANK(tbl_task5[[คะแนนเต็ม]:[คะแนนเต็ม]]),"",(tbl_task5[26]/tbl_task5[[คะแนนเต็ม]:[คะแนนเต็ม]])*tbl_task5[[%]:[%]])</calculatedColumnFormula>
    </tableColumn>
    <tableColumn id="146" name="S27" dataDxfId="1878">
      <calculatedColumnFormula>IF(ISBLANK(tbl_task5[[คะแนนเต็ม]:[คะแนนเต็ม]]),"",(tbl_task5[27]/tbl_task5[[คะแนนเต็ม]:[คะแนนเต็ม]])*tbl_task5[[%]:[%]])</calculatedColumnFormula>
    </tableColumn>
    <tableColumn id="147" name="S28" dataDxfId="1877">
      <calculatedColumnFormula>IF(ISBLANK(tbl_task5[[คะแนนเต็ม]:[คะแนนเต็ม]]),"",(tbl_task5[28]/tbl_task5[[คะแนนเต็ม]:[คะแนนเต็ม]])*tbl_task5[[%]:[%]])</calculatedColumnFormula>
    </tableColumn>
    <tableColumn id="148" name="S29" dataDxfId="1876">
      <calculatedColumnFormula>IF(ISBLANK(tbl_task5[[คะแนนเต็ม]:[คะแนนเต็ม]]),"",(tbl_task5[29]/tbl_task5[[คะแนนเต็ม]:[คะแนนเต็ม]])*tbl_task5[[%]:[%]])</calculatedColumnFormula>
    </tableColumn>
    <tableColumn id="149" name="S30" dataDxfId="1875">
      <calculatedColumnFormula>IF(ISBLANK(tbl_task5[[คะแนนเต็ม]:[คะแนนเต็ม]]),"",(tbl_task5[30]/tbl_task5[[คะแนนเต็ม]:[คะแนนเต็ม]])*tbl_task5[[%]:[%]])</calculatedColumnFormula>
    </tableColumn>
    <tableColumn id="150" name="S31" dataDxfId="1874">
      <calculatedColumnFormula>IF(ISBLANK(tbl_task5[[คะแนนเต็ม]:[คะแนนเต็ม]]),"",(tbl_task5[31]/tbl_task5[[คะแนนเต็ม]:[คะแนนเต็ม]])*tbl_task5[[%]:[%]])</calculatedColumnFormula>
    </tableColumn>
    <tableColumn id="151" name="S32" dataDxfId="1873">
      <calculatedColumnFormula>IF(ISBLANK(tbl_task5[[คะแนนเต็ม]:[คะแนนเต็ม]]),"",(tbl_task5[32]/tbl_task5[[คะแนนเต็ม]:[คะแนนเต็ม]])*tbl_task5[[%]:[%]])</calculatedColumnFormula>
    </tableColumn>
    <tableColumn id="152" name="S33" dataDxfId="1872">
      <calculatedColumnFormula>IF(ISBLANK(tbl_task5[[คะแนนเต็ม]:[คะแนนเต็ม]]),"",(tbl_task5[33]/tbl_task5[[คะแนนเต็ม]:[คะแนนเต็ม]])*tbl_task5[[%]:[%]])</calculatedColumnFormula>
    </tableColumn>
    <tableColumn id="153" name="S34" dataDxfId="1871">
      <calculatedColumnFormula>IF(ISBLANK(tbl_task5[[คะแนนเต็ม]:[คะแนนเต็ม]]),"",(tbl_task5[34]/tbl_task5[[คะแนนเต็ม]:[คะแนนเต็ม]])*tbl_task5[[%]:[%]])</calculatedColumnFormula>
    </tableColumn>
    <tableColumn id="154" name="S35" dataDxfId="1870">
      <calculatedColumnFormula>IF(ISBLANK(tbl_task5[[คะแนนเต็ม]:[คะแนนเต็ม]]),"",(tbl_task5[35]/tbl_task5[[คะแนนเต็ม]:[คะแนนเต็ม]])*tbl_task5[[%]:[%]])</calculatedColumnFormula>
    </tableColumn>
    <tableColumn id="155" name="S36" dataDxfId="1869">
      <calculatedColumnFormula>IF(ISBLANK(tbl_task5[[คะแนนเต็ม]:[คะแนนเต็ม]]),"",(tbl_task5[36]/tbl_task5[[คะแนนเต็ม]:[คะแนนเต็ม]])*tbl_task5[[%]:[%]])</calculatedColumnFormula>
    </tableColumn>
    <tableColumn id="156" name="S37" dataDxfId="1868">
      <calculatedColumnFormula>IF(ISBLANK(tbl_task5[[คะแนนเต็ม]:[คะแนนเต็ม]]),"",(tbl_task5[37]/tbl_task5[[คะแนนเต็ม]:[คะแนนเต็ม]])*tbl_task5[[%]:[%]])</calculatedColumnFormula>
    </tableColumn>
    <tableColumn id="157" name="S38" dataDxfId="1867">
      <calculatedColumnFormula>IF(ISBLANK(tbl_task5[[คะแนนเต็ม]:[คะแนนเต็ม]]),"",(tbl_task5[38]/tbl_task5[[คะแนนเต็ม]:[คะแนนเต็ม]])*tbl_task5[[%]:[%]])</calculatedColumnFormula>
    </tableColumn>
    <tableColumn id="158" name="S39" dataDxfId="1866">
      <calculatedColumnFormula>IF(ISBLANK(tbl_task5[[คะแนนเต็ม]:[คะแนนเต็ม]]),"",(tbl_task5[39]/tbl_task5[[คะแนนเต็ม]:[คะแนนเต็ม]])*tbl_task5[[%]:[%]])</calculatedColumnFormula>
    </tableColumn>
    <tableColumn id="159" name="S40" dataDxfId="1865">
      <calculatedColumnFormula>IF(ISBLANK(tbl_task5[[คะแนนเต็ม]:[คะแนนเต็ม]]),"",(tbl_task5[40]/tbl_task5[[คะแนนเต็ม]:[คะแนนเต็ม]])*tbl_task5[[%]:[%]])</calculatedColumnFormula>
    </tableColumn>
    <tableColumn id="160" name="S41" dataDxfId="1864">
      <calculatedColumnFormula>IF(ISBLANK(tbl_task5[[คะแนนเต็ม]:[คะแนนเต็ม]]),"",(tbl_task5[41]/tbl_task5[[คะแนนเต็ม]:[คะแนนเต็ม]])*tbl_task5[[%]:[%]])</calculatedColumnFormula>
    </tableColumn>
    <tableColumn id="161" name="S42" dataDxfId="1863">
      <calculatedColumnFormula>IF(ISBLANK(tbl_task5[[คะแนนเต็ม]:[คะแนนเต็ม]]),"",(tbl_task5[42]/tbl_task5[[คะแนนเต็ม]:[คะแนนเต็ม]])*tbl_task5[[%]:[%]])</calculatedColumnFormula>
    </tableColumn>
    <tableColumn id="162" name="S43" dataDxfId="1862">
      <calculatedColumnFormula>IF(ISBLANK(tbl_task5[[คะแนนเต็ม]:[คะแนนเต็ม]]),"",(tbl_task5[43]/tbl_task5[[คะแนนเต็ม]:[คะแนนเต็ม]])*tbl_task5[[%]:[%]])</calculatedColumnFormula>
    </tableColumn>
    <tableColumn id="163" name="S44" dataDxfId="1861">
      <calculatedColumnFormula>IF(ISBLANK(tbl_task5[[คะแนนเต็ม]:[คะแนนเต็ม]]),"",(tbl_task5[44]/tbl_task5[[คะแนนเต็ม]:[คะแนนเต็ม]])*tbl_task5[[%]:[%]])</calculatedColumnFormula>
    </tableColumn>
    <tableColumn id="164" name="S45" dataDxfId="1860">
      <calculatedColumnFormula>IF(ISBLANK(tbl_task5[[คะแนนเต็ม]:[คะแนนเต็ม]]),"",(tbl_task5[45]/tbl_task5[[คะแนนเต็ม]:[คะแนนเต็ม]])*tbl_task5[[%]:[%]])</calculatedColumnFormula>
    </tableColumn>
    <tableColumn id="165" name="S46" dataDxfId="1859">
      <calculatedColumnFormula>IF(ISBLANK(tbl_task5[[คะแนนเต็ม]:[คะแนนเต็ม]]),"",(tbl_task5[46]/tbl_task5[[คะแนนเต็ม]:[คะแนนเต็ม]])*tbl_task5[[%]:[%]])</calculatedColumnFormula>
    </tableColumn>
    <tableColumn id="166" name="S47" dataDxfId="1858">
      <calculatedColumnFormula>IF(ISBLANK(tbl_task5[[คะแนนเต็ม]:[คะแนนเต็ม]]),"",(tbl_task5[47]/tbl_task5[[คะแนนเต็ม]:[คะแนนเต็ม]])*tbl_task5[[%]:[%]])</calculatedColumnFormula>
    </tableColumn>
    <tableColumn id="167" name="S48" dataDxfId="1857">
      <calculatedColumnFormula>IF(ISBLANK(tbl_task5[[คะแนนเต็ม]:[คะแนนเต็ม]]),"",(tbl_task5[48]/tbl_task5[[คะแนนเต็ม]:[คะแนนเต็ม]])*tbl_task5[[%]:[%]])</calculatedColumnFormula>
    </tableColumn>
    <tableColumn id="168" name="S49" dataDxfId="1856">
      <calculatedColumnFormula>IF(ISBLANK(tbl_task5[[คะแนนเต็ม]:[คะแนนเต็ม]]),"",(tbl_task5[49]/tbl_task5[[คะแนนเต็ม]:[คะแนนเต็ม]])*tbl_task5[[%]:[%]])</calculatedColumnFormula>
    </tableColumn>
    <tableColumn id="169" name="S50" dataDxfId="1855">
      <calculatedColumnFormula>IF(ISBLANK(tbl_task5[[คะแนนเต็ม]:[คะแนนเต็ม]]),"",(tbl_task5[50]/tbl_task5[[คะแนนเต็ม]:[คะแนนเต็ม]])*tbl_task5[[%]:[%]])</calculatedColumnFormula>
    </tableColumn>
    <tableColumn id="170" name="S51" dataDxfId="1854">
      <calculatedColumnFormula>IF(ISBLANK(tbl_task5[[คะแนนเต็ม]:[คะแนนเต็ม]]),"",(tbl_task5[51]/tbl_task5[[คะแนนเต็ม]:[คะแนนเต็ม]])*tbl_task5[[%]:[%]])</calculatedColumnFormula>
    </tableColumn>
    <tableColumn id="171" name="S52" dataDxfId="1853">
      <calculatedColumnFormula>IF(ISBLANK(tbl_task5[[คะแนนเต็ม]:[คะแนนเต็ม]]),"",(tbl_task5[52]/tbl_task5[[คะแนนเต็ม]:[คะแนนเต็ม]])*tbl_task5[[%]:[%]])</calculatedColumnFormula>
    </tableColumn>
    <tableColumn id="172" name="S53" dataDxfId="1852">
      <calculatedColumnFormula>IF(ISBLANK(tbl_task5[[คะแนนเต็ม]:[คะแนนเต็ม]]),"",(tbl_task5[53]/tbl_task5[[คะแนนเต็ม]:[คะแนนเต็ม]])*tbl_task5[[%]:[%]])</calculatedColumnFormula>
    </tableColumn>
    <tableColumn id="173" name="S54" dataDxfId="1851">
      <calculatedColumnFormula>IF(ISBLANK(tbl_task5[[คะแนนเต็ม]:[คะแนนเต็ม]]),"",(tbl_task5[54]/tbl_task5[[คะแนนเต็ม]:[คะแนนเต็ม]])*tbl_task5[[%]:[%]])</calculatedColumnFormula>
    </tableColumn>
    <tableColumn id="174" name="S55" dataDxfId="1850">
      <calculatedColumnFormula>IF(ISBLANK(tbl_task5[[คะแนนเต็ม]:[คะแนนเต็ม]]),"",(tbl_task5[55]/tbl_task5[[คะแนนเต็ม]:[คะแนนเต็ม]])*tbl_task5[[%]:[%]])</calculatedColumnFormula>
    </tableColumn>
    <tableColumn id="175" name="S56" dataDxfId="1849">
      <calculatedColumnFormula>IF(ISBLANK(tbl_task5[[คะแนนเต็ม]:[คะแนนเต็ม]]),"",(tbl_task5[56]/tbl_task5[[คะแนนเต็ม]:[คะแนนเต็ม]])*tbl_task5[[%]:[%]])</calculatedColumnFormula>
    </tableColumn>
    <tableColumn id="176" name="S57" dataDxfId="1848">
      <calculatedColumnFormula>IF(ISBLANK(tbl_task5[[คะแนนเต็ม]:[คะแนนเต็ม]]),"",(tbl_task5[57]/tbl_task5[[คะแนนเต็ม]:[คะแนนเต็ม]])*tbl_task5[[%]:[%]])</calculatedColumnFormula>
    </tableColumn>
    <tableColumn id="177" name="S58" dataDxfId="1847">
      <calculatedColumnFormula>IF(ISBLANK(tbl_task5[[คะแนนเต็ม]:[คะแนนเต็ม]]),"",(tbl_task5[58]/tbl_task5[[คะแนนเต็ม]:[คะแนนเต็ม]])*tbl_task5[[%]:[%]])</calculatedColumnFormula>
    </tableColumn>
    <tableColumn id="178" name="S59" dataDxfId="1846">
      <calculatedColumnFormula>IF(ISBLANK(tbl_task5[[คะแนนเต็ม]:[คะแนนเต็ม]]),"",(tbl_task5[59]/tbl_task5[[คะแนนเต็ม]:[คะแนนเต็ม]])*tbl_task5[[%]:[%]])</calculatedColumnFormula>
    </tableColumn>
    <tableColumn id="179" name="S60" dataDxfId="1845">
      <calculatedColumnFormula>IF(ISBLANK(tbl_task5[[คะแนนเต็ม]:[คะแนนเต็ม]]),"",(tbl_task5[60]/tbl_task5[[คะแนนเต็ม]:[คะแนนเต็ม]])*tbl_task5[[%]:[%]])</calculatedColumnFormula>
    </tableColumn>
    <tableColumn id="180" name="S61" dataDxfId="1844">
      <calculatedColumnFormula>IF(ISBLANK(tbl_task5[[คะแนนเต็ม]:[คะแนนเต็ม]]),"",(tbl_task5[61]/tbl_task5[[คะแนนเต็ม]:[คะแนนเต็ม]])*tbl_task5[[%]:[%]])</calculatedColumnFormula>
    </tableColumn>
    <tableColumn id="181" name="S62" dataDxfId="1843">
      <calculatedColumnFormula>IF(ISBLANK(tbl_task5[[คะแนนเต็ม]:[คะแนนเต็ม]]),"",(tbl_task5[62]/tbl_task5[[คะแนนเต็ม]:[คะแนนเต็ม]])*tbl_task5[[%]:[%]])</calculatedColumnFormula>
    </tableColumn>
    <tableColumn id="182" name="S63" dataDxfId="1842">
      <calculatedColumnFormula>IF(ISBLANK(tbl_task5[[คะแนนเต็ม]:[คะแนนเต็ม]]),"",(tbl_task5[63]/tbl_task5[[คะแนนเต็ม]:[คะแนนเต็ม]])*tbl_task5[[%]:[%]])</calculatedColumnFormula>
    </tableColumn>
    <tableColumn id="183" name="S64" dataDxfId="1841">
      <calculatedColumnFormula>IF(ISBLANK(tbl_task5[[คะแนนเต็ม]:[คะแนนเต็ม]]),"",(tbl_task5[64]/tbl_task5[[คะแนนเต็ม]:[คะแนนเต็ม]])*tbl_task5[[%]:[%]])</calculatedColumnFormula>
    </tableColumn>
    <tableColumn id="184" name="S65" dataDxfId="1840">
      <calculatedColumnFormula>IF(ISBLANK(tbl_task5[[คะแนนเต็ม]:[คะแนนเต็ม]]),"",(tbl_task5[65]/tbl_task5[[คะแนนเต็ม]:[คะแนนเต็ม]])*tbl_task5[[%]:[%]])</calculatedColumnFormula>
    </tableColumn>
    <tableColumn id="185" name="S66" dataDxfId="1839">
      <calculatedColumnFormula>IF(ISBLANK(tbl_task5[[คะแนนเต็ม]:[คะแนนเต็ม]]),"",(tbl_task5[66]/tbl_task5[[คะแนนเต็ม]:[คะแนนเต็ม]])*tbl_task5[[%]:[%]])</calculatedColumnFormula>
    </tableColumn>
    <tableColumn id="186" name="S67" dataDxfId="1838">
      <calculatedColumnFormula>IF(ISBLANK(tbl_task5[[คะแนนเต็ม]:[คะแนนเต็ม]]),"",(tbl_task5[67]/tbl_task5[[คะแนนเต็ม]:[คะแนนเต็ม]])*tbl_task5[[%]:[%]])</calculatedColumnFormula>
    </tableColumn>
    <tableColumn id="187" name="S68" dataDxfId="1837">
      <calculatedColumnFormula>IF(ISBLANK(tbl_task5[[คะแนนเต็ม]:[คะแนนเต็ม]]),"",(tbl_task5[68]/tbl_task5[[คะแนนเต็ม]:[คะแนนเต็ม]])*tbl_task5[[%]:[%]])</calculatedColumnFormula>
    </tableColumn>
    <tableColumn id="188" name="S69" dataDxfId="1836">
      <calculatedColumnFormula>IF(ISBLANK(tbl_task5[[คะแนนเต็ม]:[คะแนนเต็ม]]),"",(tbl_task5[69]/tbl_task5[[คะแนนเต็ม]:[คะแนนเต็ม]])*tbl_task5[[%]:[%]])</calculatedColumnFormula>
    </tableColumn>
    <tableColumn id="189" name="S70" dataDxfId="1835">
      <calculatedColumnFormula>IF(ISBLANK(tbl_task5[[คะแนนเต็ม]:[คะแนนเต็ม]]),"",(tbl_task5[70]/tbl_task5[[คะแนนเต็ม]:[คะแนนเต็ม]])*tbl_task5[[%]:[%]])</calculatedColumnFormula>
    </tableColumn>
    <tableColumn id="190" name="S71" dataDxfId="1834">
      <calculatedColumnFormula>IF(ISBLANK(tbl_task5[[คะแนนเต็ม]:[คะแนนเต็ม]]),"",(tbl_task5[71]/tbl_task5[[คะแนนเต็ม]:[คะแนนเต็ม]])*tbl_task5[[%]:[%]])</calculatedColumnFormula>
    </tableColumn>
    <tableColumn id="191" name="S72" dataDxfId="1833">
      <calculatedColumnFormula>IF(ISBLANK(tbl_task5[[คะแนนเต็ม]:[คะแนนเต็ม]]),"",(tbl_task5[72]/tbl_task5[[คะแนนเต็ม]:[คะแนนเต็ม]])*tbl_task5[[%]:[%]])</calculatedColumnFormula>
    </tableColumn>
    <tableColumn id="192" name="S73" dataDxfId="1832">
      <calculatedColumnFormula>IF(ISBLANK(tbl_task5[[คะแนนเต็ม]:[คะแนนเต็ม]]),"",(tbl_task5[73]/tbl_task5[[คะแนนเต็ม]:[คะแนนเต็ม]])*tbl_task5[[%]:[%]])</calculatedColumnFormula>
    </tableColumn>
    <tableColumn id="193" name="S74" dataDxfId="1831">
      <calculatedColumnFormula>IF(ISBLANK(tbl_task5[[คะแนนเต็ม]:[คะแนนเต็ม]]),"",(tbl_task5[74]/tbl_task5[[คะแนนเต็ม]:[คะแนนเต็ม]])*tbl_task5[[%]:[%]])</calculatedColumnFormula>
    </tableColumn>
    <tableColumn id="194" name="S75" dataDxfId="1830">
      <calculatedColumnFormula>IF(ISBLANK(tbl_task5[[คะแนนเต็ม]:[คะแนนเต็ม]]),"",(tbl_task5[75]/tbl_task5[[คะแนนเต็ม]:[คะแนนเต็ม]])*tbl_task5[[%]:[%]])</calculatedColumnFormula>
    </tableColumn>
    <tableColumn id="195" name="S76" dataDxfId="1829">
      <calculatedColumnFormula>IF(ISBLANK(tbl_task5[[คะแนนเต็ม]:[คะแนนเต็ม]]),"",(tbl_task5[76]/tbl_task5[[คะแนนเต็ม]:[คะแนนเต็ม]])*tbl_task5[[%]:[%]])</calculatedColumnFormula>
    </tableColumn>
    <tableColumn id="196" name="S77" dataDxfId="1828">
      <calculatedColumnFormula>IF(ISBLANK(tbl_task5[[คะแนนเต็ม]:[คะแนนเต็ม]]),"",(tbl_task5[77]/tbl_task5[[คะแนนเต็ม]:[คะแนนเต็ม]])*tbl_task5[[%]:[%]])</calculatedColumnFormula>
    </tableColumn>
    <tableColumn id="197" name="S78" dataDxfId="1827">
      <calculatedColumnFormula>IF(ISBLANK(tbl_task5[[คะแนนเต็ม]:[คะแนนเต็ม]]),"",(tbl_task5[78]/tbl_task5[[คะแนนเต็ม]:[คะแนนเต็ม]])*tbl_task5[[%]:[%]])</calculatedColumnFormula>
    </tableColumn>
    <tableColumn id="198" name="S79" dataDxfId="1826">
      <calculatedColumnFormula>IF(ISBLANK(tbl_task5[[คะแนนเต็ม]:[คะแนนเต็ม]]),"",(tbl_task5[79]/tbl_task5[[คะแนนเต็ม]:[คะแนนเต็ม]])*tbl_task5[[%]:[%]])</calculatedColumnFormula>
    </tableColumn>
    <tableColumn id="199" name="S80" dataDxfId="1825">
      <calculatedColumnFormula>IF(ISBLANK(tbl_task5[[คะแนนเต็ม]:[คะแนนเต็ม]]),"",(tbl_task5[80]/tbl_task5[[คะแนนเต็ม]:[คะแนนเต็ม]])*tbl_task5[[%]:[%]])</calculatedColumnFormula>
    </tableColumn>
    <tableColumn id="200" name="S81" dataDxfId="1824">
      <calculatedColumnFormula>IF(ISBLANK(tbl_task5[[คะแนนเต็ม]:[คะแนนเต็ม]]),"",(tbl_task5[81]/tbl_task5[[คะแนนเต็ม]:[คะแนนเต็ม]])*tbl_task5[[%]:[%]])</calculatedColumnFormula>
    </tableColumn>
    <tableColumn id="201" name="S82" dataDxfId="1823">
      <calculatedColumnFormula>IF(ISBLANK(tbl_task5[[คะแนนเต็ม]:[คะแนนเต็ม]]),"",(tbl_task5[82]/tbl_task5[[คะแนนเต็ม]:[คะแนนเต็ม]])*tbl_task5[[%]:[%]])</calculatedColumnFormula>
    </tableColumn>
    <tableColumn id="202" name="S83" dataDxfId="1822">
      <calculatedColumnFormula>IF(ISBLANK(tbl_task5[[คะแนนเต็ม]:[คะแนนเต็ม]]),"",(tbl_task5[83]/tbl_task5[[คะแนนเต็ม]:[คะแนนเต็ม]])*tbl_task5[[%]:[%]])</calculatedColumnFormula>
    </tableColumn>
    <tableColumn id="203" name="S84" dataDxfId="1821">
      <calculatedColumnFormula>IF(ISBLANK(tbl_task5[[คะแนนเต็ม]:[คะแนนเต็ม]]),"",(tbl_task5[84]/tbl_task5[[คะแนนเต็ม]:[คะแนนเต็ม]])*tbl_task5[[%]:[%]])</calculatedColumnFormula>
    </tableColumn>
    <tableColumn id="204" name="S85" dataDxfId="1820">
      <calculatedColumnFormula>IF(ISBLANK(tbl_task5[[คะแนนเต็ม]:[คะแนนเต็ม]]),"",(tbl_task5[85]/tbl_task5[[คะแนนเต็ม]:[คะแนนเต็ม]])*tbl_task5[[%]:[%]])</calculatedColumnFormula>
    </tableColumn>
    <tableColumn id="286" name="S86" dataDxfId="1819">
      <calculatedColumnFormula>IF(ISBLANK(tbl_task5[[คะแนนเต็ม]:[คะแนนเต็ม]]),"",(tbl_task5[86]/tbl_task5[[คะแนนเต็ม]:[คะแนนเต็ม]])*tbl_task5[[%]:[%]])</calculatedColumnFormula>
    </tableColumn>
    <tableColumn id="287" name="S87" dataDxfId="1818">
      <calculatedColumnFormula>IF(ISBLANK(tbl_task5[[คะแนนเต็ม]:[คะแนนเต็ม]]),"",(tbl_task5[87]/tbl_task5[[คะแนนเต็ม]:[คะแนนเต็ม]])*tbl_task5[[%]:[%]])</calculatedColumnFormula>
    </tableColumn>
    <tableColumn id="288" name="S88" dataDxfId="1817">
      <calculatedColumnFormula>IF(ISBLANK(tbl_task5[[คะแนนเต็ม]:[คะแนนเต็ม]]),"",(tbl_task5[88]/tbl_task5[[คะแนนเต็ม]:[คะแนนเต็ม]])*tbl_task5[[%]:[%]])</calculatedColumnFormula>
    </tableColumn>
    <tableColumn id="289" name="S89" dataDxfId="1816">
      <calculatedColumnFormula>IF(ISBLANK(tbl_task5[[คะแนนเต็ม]:[คะแนนเต็ม]]),"",(tbl_task5[89]/tbl_task5[[คะแนนเต็ม]:[คะแนนเต็ม]])*tbl_task5[[%]:[%]])</calculatedColumnFormula>
    </tableColumn>
    <tableColumn id="290" name="S90" dataDxfId="1815">
      <calculatedColumnFormula>IF(ISBLANK(tbl_task5[[คะแนนเต็ม]:[คะแนนเต็ม]]),"",(tbl_task5[90]/tbl_task5[[คะแนนเต็ม]:[คะแนนเต็ม]])*tbl_task5[[%]:[%]])</calculatedColumnFormula>
    </tableColumn>
    <tableColumn id="291" name="S91" dataDxfId="1814">
      <calculatedColumnFormula>IF(ISBLANK(tbl_task5[[คะแนนเต็ม]:[คะแนนเต็ม]]),"",(tbl_task5[91]/tbl_task5[[คะแนนเต็ม]:[คะแนนเต็ม]])*tbl_task5[[%]:[%]])</calculatedColumnFormula>
    </tableColumn>
    <tableColumn id="292" name="S92" dataDxfId="1813">
      <calculatedColumnFormula>IF(ISBLANK(tbl_task5[[คะแนนเต็ม]:[คะแนนเต็ม]]),"",(tbl_task5[92]/tbl_task5[[คะแนนเต็ม]:[คะแนนเต็ม]])*tbl_task5[[%]:[%]])</calculatedColumnFormula>
    </tableColumn>
    <tableColumn id="293" name="S93" dataDxfId="1812">
      <calculatedColumnFormula>IF(ISBLANK(tbl_task5[[คะแนนเต็ม]:[คะแนนเต็ม]]),"",(tbl_task5[93]/tbl_task5[[คะแนนเต็ม]:[คะแนนเต็ม]])*tbl_task5[[%]:[%]])</calculatedColumnFormula>
    </tableColumn>
    <tableColumn id="294" name="S94" dataDxfId="1811">
      <calculatedColumnFormula>IF(ISBLANK(tbl_task5[[คะแนนเต็ม]:[คะแนนเต็ม]]),"",(tbl_task5[94]/tbl_task5[[คะแนนเต็ม]:[คะแนนเต็ม]])*tbl_task5[[%]:[%]])</calculatedColumnFormula>
    </tableColumn>
    <tableColumn id="295" name="S95" dataDxfId="1810">
      <calculatedColumnFormula>IF(ISBLANK(tbl_task5[[คะแนนเต็ม]:[คะแนนเต็ม]]),"",(tbl_task5[95]/tbl_task5[[คะแนนเต็ม]:[คะแนนเต็ม]])*tbl_task5[[%]:[%]])</calculatedColumnFormula>
    </tableColumn>
    <tableColumn id="296" name="S96" dataDxfId="1809">
      <calculatedColumnFormula>IF(ISBLANK(tbl_task5[[คะแนนเต็ม]:[คะแนนเต็ม]]),"",(tbl_task5[96]/tbl_task5[[คะแนนเต็ม]:[คะแนนเต็ม]])*tbl_task5[[%]:[%]])</calculatedColumnFormula>
    </tableColumn>
    <tableColumn id="297" name="S97" dataDxfId="1808">
      <calculatedColumnFormula>IF(ISBLANK(tbl_task5[[คะแนนเต็ม]:[คะแนนเต็ม]]),"",(tbl_task5[97]/tbl_task5[[คะแนนเต็ม]:[คะแนนเต็ม]])*tbl_task5[[%]:[%]])</calculatedColumnFormula>
    </tableColumn>
    <tableColumn id="298" name="S98" dataDxfId="1807">
      <calculatedColumnFormula>IF(ISBLANK(tbl_task5[[คะแนนเต็ม]:[คะแนนเต็ม]]),"",(tbl_task5[98]/tbl_task5[[คะแนนเต็ม]:[คะแนนเต็ม]])*tbl_task5[[%]:[%]])</calculatedColumnFormula>
    </tableColumn>
    <tableColumn id="299" name="S99" dataDxfId="1806">
      <calculatedColumnFormula>IF(ISBLANK(tbl_task5[[คะแนนเต็ม]:[คะแนนเต็ม]]),"",(tbl_task5[99]/tbl_task5[[คะแนนเต็ม]:[คะแนนเต็ม]])*tbl_task5[[%]:[%]])</calculatedColumnFormula>
    </tableColumn>
    <tableColumn id="300" name="S100" dataDxfId="1805">
      <calculatedColumnFormula>IF(ISBLANK(tbl_task5[[คะแนนเต็ม]:[คะแนนเต็ม]]),"",(tbl_task5[100]/tbl_task5[[คะแนนเต็ม]:[คะแนนเต็ม]])*tbl_task5[[%]:[%]])</calculatedColumnFormula>
    </tableColumn>
    <tableColumn id="301" name="S101" dataDxfId="1804">
      <calculatedColumnFormula>IF(ISBLANK(tbl_task5[[คะแนนเต็ม]:[คะแนนเต็ม]]),"",(tbl_task5[101]/tbl_task5[[คะแนนเต็ม]:[คะแนนเต็ม]])*tbl_task5[[%]:[%]])</calculatedColumnFormula>
    </tableColumn>
    <tableColumn id="302" name="S102" dataDxfId="1803">
      <calculatedColumnFormula>IF(ISBLANK(tbl_task5[[คะแนนเต็ม]:[คะแนนเต็ม]]),"",(tbl_task5[102]/tbl_task5[[คะแนนเต็ม]:[คะแนนเต็ม]])*tbl_task5[[%]:[%]])</calculatedColumnFormula>
    </tableColumn>
    <tableColumn id="303" name="S103" dataDxfId="1802">
      <calculatedColumnFormula>IF(ISBLANK(tbl_task5[[คะแนนเต็ม]:[คะแนนเต็ม]]),"",(tbl_task5[103]/tbl_task5[[คะแนนเต็ม]:[คะแนนเต็ม]])*tbl_task5[[%]:[%]])</calculatedColumnFormula>
    </tableColumn>
    <tableColumn id="304" name="S104" dataDxfId="1801">
      <calculatedColumnFormula>IF(ISBLANK(tbl_task5[[คะแนนเต็ม]:[คะแนนเต็ม]]),"",(tbl_task5[104]/tbl_task5[[คะแนนเต็ม]:[คะแนนเต็ม]])*tbl_task5[[%]:[%]])</calculatedColumnFormula>
    </tableColumn>
    <tableColumn id="305" name="S105" dataDxfId="1800">
      <calculatedColumnFormula>IF(ISBLANK(tbl_task5[[คะแนนเต็ม]:[คะแนนเต็ม]]),"",(tbl_task5[105]/tbl_task5[[คะแนนเต็ม]:[คะแนนเต็ม]])*tbl_task5[[%]:[%]])</calculatedColumnFormula>
    </tableColumn>
    <tableColumn id="306" name="S106" dataDxfId="1799">
      <calculatedColumnFormula>IF(ISBLANK(tbl_task5[[คะแนนเต็ม]:[คะแนนเต็ม]]),"",(tbl_task5[106]/tbl_task5[[คะแนนเต็ม]:[คะแนนเต็ม]])*tbl_task5[[%]:[%]])</calculatedColumnFormula>
    </tableColumn>
    <tableColumn id="307" name="S107" dataDxfId="1798">
      <calculatedColumnFormula>IF(ISBLANK(tbl_task5[[คะแนนเต็ม]:[คะแนนเต็ม]]),"",(tbl_task5[107]/tbl_task5[[คะแนนเต็ม]:[คะแนนเต็ม]])*tbl_task5[[%]:[%]])</calculatedColumnFormula>
    </tableColumn>
    <tableColumn id="308" name="S108" dataDxfId="1797">
      <calculatedColumnFormula>IF(ISBLANK(tbl_task5[[คะแนนเต็ม]:[คะแนนเต็ม]]),"",(tbl_task5[108]/tbl_task5[[คะแนนเต็ม]:[คะแนนเต็ม]])*tbl_task5[[%]:[%]])</calculatedColumnFormula>
    </tableColumn>
    <tableColumn id="309" name="S109" dataDxfId="1796">
      <calculatedColumnFormula>IF(ISBLANK(tbl_task5[[คะแนนเต็ม]:[คะแนนเต็ม]]),"",(tbl_task5[109]/tbl_task5[[คะแนนเต็ม]:[คะแนนเต็ม]])*tbl_task5[[%]:[%]])</calculatedColumnFormula>
    </tableColumn>
    <tableColumn id="310" name="S110" dataDxfId="1795">
      <calculatedColumnFormula>IF(ISBLANK(tbl_task5[[คะแนนเต็ม]:[คะแนนเต็ม]]),"",(tbl_task5[110]/tbl_task5[[คะแนนเต็ม]:[คะแนนเต็ม]])*tbl_task5[[%]:[%]])</calculatedColumnFormula>
    </tableColumn>
    <tableColumn id="311" name="S111" dataDxfId="1794">
      <calculatedColumnFormula>IF(ISBLANK(tbl_task5[[คะแนนเต็ม]:[คะแนนเต็ม]]),"",(tbl_task5[111]/tbl_task5[[คะแนนเต็ม]:[คะแนนเต็ม]])*tbl_task5[[%]:[%]])</calculatedColumnFormula>
    </tableColumn>
    <tableColumn id="312" name="S112" dataDxfId="1793">
      <calculatedColumnFormula>IF(ISBLANK(tbl_task5[[คะแนนเต็ม]:[คะแนนเต็ม]]),"",(tbl_task5[112]/tbl_task5[[คะแนนเต็ม]:[คะแนนเต็ม]])*tbl_task5[[%]:[%]])</calculatedColumnFormula>
    </tableColumn>
    <tableColumn id="313" name="S113" dataDxfId="1792">
      <calculatedColumnFormula>IF(ISBLANK(tbl_task5[[คะแนนเต็ม]:[คะแนนเต็ม]]),"",(tbl_task5[113]/tbl_task5[[คะแนนเต็ม]:[คะแนนเต็ม]])*tbl_task5[[%]:[%]])</calculatedColumnFormula>
    </tableColumn>
    <tableColumn id="314" name="S114" dataDxfId="1791">
      <calculatedColumnFormula>IF(ISBLANK(tbl_task5[[คะแนนเต็ม]:[คะแนนเต็ม]]),"",(tbl_task5[114]/tbl_task5[[คะแนนเต็ม]:[คะแนนเต็ม]])*tbl_task5[[%]:[%]])</calculatedColumnFormula>
    </tableColumn>
    <tableColumn id="315" name="S115" dataDxfId="1790">
      <calculatedColumnFormula>IF(ISBLANK(tbl_task5[[คะแนนเต็ม]:[คะแนนเต็ม]]),"",(tbl_task5[115]/tbl_task5[[คะแนนเต็ม]:[คะแนนเต็ม]])*tbl_task5[[%]:[%]])</calculatedColumnFormula>
    </tableColumn>
    <tableColumn id="205" name="S116" dataDxfId="1789">
      <calculatedColumnFormula>IF(ISBLANK(tbl_task5[[คะแนนเต็ม]:[คะแนนเต็ม]]),"",(tbl_task5[116]/tbl_task5[[คะแนนเต็ม]:[คะแนนเต็ม]])*tbl_task5[[%]:[%]])</calculatedColumnFormula>
    </tableColumn>
    <tableColumn id="206" name="S117" dataDxfId="1788">
      <calculatedColumnFormula>IF(ISBLANK(tbl_task5[[คะแนนเต็ม]:[คะแนนเต็ม]]),"",(tbl_task5[117]/tbl_task5[[คะแนนเต็ม]:[คะแนนเต็ม]])*tbl_task5[[%]:[%]])</calculatedColumnFormula>
    </tableColumn>
    <tableColumn id="207" name="S118" dataDxfId="1787">
      <calculatedColumnFormula>IF(ISBLANK(tbl_task5[[คะแนนเต็ม]:[คะแนนเต็ม]]),"",(tbl_task5[118]/tbl_task5[[คะแนนเต็ม]:[คะแนนเต็ม]])*tbl_task5[[%]:[%]])</calculatedColumnFormula>
    </tableColumn>
    <tableColumn id="208" name="S119" dataDxfId="1786">
      <calculatedColumnFormula>IF(ISBLANK(tbl_task5[[คะแนนเต็ม]:[คะแนนเต็ม]]),"",(tbl_task5[119]/tbl_task5[[คะแนนเต็ม]:[คะแนนเต็ม]])*tbl_task5[[%]:[%]])</calculatedColumnFormula>
    </tableColumn>
    <tableColumn id="209" name="S120" dataDxfId="1785">
      <calculatedColumnFormula>IF(ISBLANK(tbl_task5[[คะแนนเต็ม]:[คะแนนเต็ม]]),"",(tbl_task5[120]/tbl_task5[[คะแนนเต็ม]:[คะแนนเต็ม]])*tbl_task5[[%]:[%]])</calculatedColumnFormula>
    </tableColumn>
    <tableColumn id="210" name="S121" dataDxfId="1784">
      <calculatedColumnFormula>IF(ISBLANK(tbl_task5[[คะแนนเต็ม]:[คะแนนเต็ม]]),"",(tbl_task5[121]/tbl_task5[[คะแนนเต็ม]:[คะแนนเต็ม]])*tbl_task5[[%]:[%]])</calculatedColumnFormula>
    </tableColumn>
    <tableColumn id="211" name="S122" dataDxfId="1783">
      <calculatedColumnFormula>IF(ISBLANK(tbl_task5[[คะแนนเต็ม]:[คะแนนเต็ม]]),"",(tbl_task5[122]/tbl_task5[[คะแนนเต็ม]:[คะแนนเต็ม]])*tbl_task5[[%]:[%]])</calculatedColumnFormula>
    </tableColumn>
    <tableColumn id="316" name="S123" dataDxfId="1782">
      <calculatedColumnFormula>IF(ISBLANK(tbl_task5[[คะแนนเต็ม]:[คะแนนเต็ม]]),"",(tbl_task5[123]/tbl_task5[[คะแนนเต็ม]:[คะแนนเต็ม]])*tbl_task5[[%]:[%]])</calculatedColumnFormula>
    </tableColumn>
    <tableColumn id="317" name="S124" dataDxfId="1781">
      <calculatedColumnFormula>IF(ISBLANK(tbl_task5[[คะแนนเต็ม]:[คะแนนเต็ม]]),"",(tbl_task5[124]/tbl_task5[[คะแนนเต็ม]:[คะแนนเต็ม]])*tbl_task5[[%]:[%]])</calculatedColumnFormula>
    </tableColumn>
    <tableColumn id="318" name="S125" dataDxfId="1780">
      <calculatedColumnFormula>IF(ISBLANK(tbl_task5[[คะแนนเต็ม]:[คะแนนเต็ม]]),"",(tbl_task5[125]/tbl_task5[[คะแนนเต็ม]:[คะแนนเต็ม]])*tbl_task5[[%]:[%]])</calculatedColumnFormula>
    </tableColumn>
    <tableColumn id="319" name="S126" dataDxfId="1779">
      <calculatedColumnFormula>IF(ISBLANK(tbl_task5[[คะแนนเต็ม]:[คะแนนเต็ม]]),"",(tbl_task5[126]/tbl_task5[[คะแนนเต็ม]:[คะแนนเต็ม]])*tbl_task5[[%]:[%]])</calculatedColumnFormula>
    </tableColumn>
    <tableColumn id="320" name="S127" dataDxfId="1778">
      <calculatedColumnFormula>IF(ISBLANK(tbl_task5[[คะแนนเต็ม]:[คะแนนเต็ม]]),"",(tbl_task5[127]/tbl_task5[[คะแนนเต็ม]:[คะแนนเต็ม]])*tbl_task5[[%]:[%]])</calculatedColumnFormula>
    </tableColumn>
    <tableColumn id="321" name="S128" dataDxfId="1777">
      <calculatedColumnFormula>IF(ISBLANK(tbl_task5[[คะแนนเต็ม]:[คะแนนเต็ม]]),"",(tbl_task5[128]/tbl_task5[[คะแนนเต็ม]:[คะแนนเต็ม]])*tbl_task5[[%]:[%]])</calculatedColumnFormula>
    </tableColumn>
    <tableColumn id="322" name="S129" dataDxfId="1776">
      <calculatedColumnFormula>IF(ISBLANK(tbl_task5[[คะแนนเต็ม]:[คะแนนเต็ม]]),"",(tbl_task5[129]/tbl_task5[[คะแนนเต็ม]:[คะแนนเต็ม]])*tbl_task5[[%]:[%]])</calculatedColumnFormula>
    </tableColumn>
    <tableColumn id="212" name="S130" dataDxfId="1775">
      <calculatedColumnFormula>IF(ISBLANK(tbl_task5[[คะแนนเต็ม]:[คะแนนเต็ม]]),"",(tbl_task5[130]/tbl_task5[[คะแนนเต็ม]:[คะแนนเต็ม]])*tbl_task5[[%]:[%]])</calculatedColumnFormula>
    </tableColumn>
    <tableColumn id="213" name="S131" dataDxfId="1774">
      <calculatedColumnFormula>IF(ISBLANK(tbl_task5[[คะแนนเต็ม]:[คะแนนเต็ม]]),"",(tbl_task5[131]/tbl_task5[[คะแนนเต็ม]:[คะแนนเต็ม]])*tbl_task5[[%]:[%]])</calculatedColumnFormula>
    </tableColumn>
    <tableColumn id="214" name="S132" dataDxfId="1773">
      <calculatedColumnFormula>IF(ISBLANK(tbl_task5[[คะแนนเต็ม]:[คะแนนเต็ม]]),"",(tbl_task5[132]/tbl_task5[[คะแนนเต็ม]:[คะแนนเต็ม]])*tbl_task5[[%]:[%]])</calculatedColumnFormula>
    </tableColumn>
    <tableColumn id="215" name="S133" dataDxfId="1772">
      <calculatedColumnFormula>IF(ISBLANK(tbl_task5[[คะแนนเต็ม]:[คะแนนเต็ม]]),"",(tbl_task5[133]/tbl_task5[[คะแนนเต็ม]:[คะแนนเต็ม]])*tbl_task5[[%]:[%]])</calculatedColumnFormula>
    </tableColumn>
    <tableColumn id="216" name="S134" dataDxfId="1771">
      <calculatedColumnFormula>IF(ISBLANK(tbl_task5[[คะแนนเต็ม]:[คะแนนเต็ม]]),"",(tbl_task5[134]/tbl_task5[[คะแนนเต็ม]:[คะแนนเต็ม]])*tbl_task5[[%]:[%]])</calculatedColumnFormula>
    </tableColumn>
    <tableColumn id="217" name="S135" dataDxfId="1770">
      <calculatedColumnFormula>IF(ISBLANK(tbl_task5[[คะแนนเต็ม]:[คะแนนเต็ม]]),"",(tbl_task5[135]/tbl_task5[[คะแนนเต็ม]:[คะแนนเต็ม]])*tbl_task5[[%]:[%]])</calculatedColumnFormula>
    </tableColumn>
    <tableColumn id="218" name="S136" dataDxfId="1769">
      <calculatedColumnFormula>IF(ISBLANK(tbl_task5[[คะแนนเต็ม]:[คะแนนเต็ม]]),"",(tbl_task5[136]/tbl_task5[[คะแนนเต็ม]:[คะแนนเต็ม]])*tbl_task5[[%]:[%]])</calculatedColumnFormula>
    </tableColumn>
    <tableColumn id="219" name="S137" dataDxfId="1768">
      <calculatedColumnFormula>IF(ISBLANK(tbl_task5[[คะแนนเต็ม]:[คะแนนเต็ม]]),"",(tbl_task5[137]/tbl_task5[[คะแนนเต็ม]:[คะแนนเต็ม]])*tbl_task5[[%]:[%]])</calculatedColumnFormula>
    </tableColumn>
    <tableColumn id="220" name="S138" dataDxfId="1767">
      <calculatedColumnFormula>IF(ISBLANK(tbl_task5[[คะแนนเต็ม]:[คะแนนเต็ม]]),"",(tbl_task5[138]/tbl_task5[[คะแนนเต็ม]:[คะแนนเต็ม]])*tbl_task5[[%]:[%]])</calculatedColumnFormula>
    </tableColumn>
    <tableColumn id="221" name="S139" dataDxfId="1766">
      <calculatedColumnFormula>IF(ISBLANK(tbl_task5[[คะแนนเต็ม]:[คะแนนเต็ม]]),"",(tbl_task5[139]/tbl_task5[[คะแนนเต็ม]:[คะแนนเต็ม]])*tbl_task5[[%]:[%]])</calculatedColumnFormula>
    </tableColumn>
    <tableColumn id="222" name="S140" dataDxfId="1765">
      <calculatedColumnFormula>IF(ISBLANK(tbl_task5[[คะแนนเต็ม]:[คะแนนเต็ม]]),"",(tbl_task5[140]/tbl_task5[[คะแนนเต็ม]:[คะแนนเต็ม]])*tbl_task5[[%]:[%]])</calculatedColumnFormula>
    </tableColumn>
    <tableColumn id="223" name="S141" dataDxfId="1764">
      <calculatedColumnFormula>IF(ISBLANK(tbl_task5[[คะแนนเต็ม]:[คะแนนเต็ม]]),"",(tbl_task5[141]/tbl_task5[[คะแนนเต็ม]:[คะแนนเต็ม]])*tbl_task5[[%]:[%]])</calculatedColumnFormula>
    </tableColumn>
    <tableColumn id="323" name="S142" dataDxfId="1763">
      <calculatedColumnFormula>IF(ISBLANK(tbl_task5[[คะแนนเต็ม]:[คะแนนเต็ม]]),"",(tbl_task5[142]/tbl_task5[[คะแนนเต็ม]:[คะแนนเต็ม]])*tbl_task5[[%]:[%]])</calculatedColumnFormula>
    </tableColumn>
    <tableColumn id="324" name="S143" dataDxfId="1762">
      <calculatedColumnFormula>IF(ISBLANK(tbl_task5[[คะแนนเต็ม]:[คะแนนเต็ม]]),"",(tbl_task5[143]/tbl_task5[[คะแนนเต็ม]:[คะแนนเต็ม]])*tbl_task5[[%]:[%]])</calculatedColumnFormula>
    </tableColumn>
    <tableColumn id="325" name="S144" dataDxfId="1761">
      <calculatedColumnFormula>IF(ISBLANK(tbl_task5[[คะแนนเต็ม]:[คะแนนเต็ม]]),"",(tbl_task5[144]/tbl_task5[[คะแนนเต็ม]:[คะแนนเต็ม]])*tbl_task5[[%]:[%]])</calculatedColumnFormula>
    </tableColumn>
    <tableColumn id="326" name="S145" dataDxfId="1760">
      <calculatedColumnFormula>IF(ISBLANK(tbl_task5[[คะแนนเต็ม]:[คะแนนเต็ม]]),"",(tbl_task5[145]/tbl_task5[[คะแนนเต็ม]:[คะแนนเต็ม]])*tbl_task5[[%]:[%]])</calculatedColumnFormula>
    </tableColumn>
    <tableColumn id="327" name="S146" dataDxfId="1759">
      <calculatedColumnFormula>IF(ISBLANK(tbl_task5[[คะแนนเต็ม]:[คะแนนเต็ม]]),"",(tbl_task5[146]/tbl_task5[[คะแนนเต็ม]:[คะแนนเต็ม]])*tbl_task5[[%]:[%]])</calculatedColumnFormula>
    </tableColumn>
    <tableColumn id="328" name="S147" dataDxfId="1758">
      <calculatedColumnFormula>IF(ISBLANK(tbl_task5[[คะแนนเต็ม]:[คะแนนเต็ม]]),"",(tbl_task5[147]/tbl_task5[[คะแนนเต็ม]:[คะแนนเต็ม]])*tbl_task5[[%]:[%]])</calculatedColumnFormula>
    </tableColumn>
    <tableColumn id="329" name="S148" dataDxfId="1757">
      <calculatedColumnFormula>IF(ISBLANK(tbl_task5[[คะแนนเต็ม]:[คะแนนเต็ม]]),"",(tbl_task5[148]/tbl_task5[[คะแนนเต็ม]:[คะแนนเต็ม]])*tbl_task5[[%]:[%]])</calculatedColumnFormula>
    </tableColumn>
    <tableColumn id="330" name="S149" dataDxfId="1756">
      <calculatedColumnFormula>IF(ISBLANK(tbl_task5[[คะแนนเต็ม]:[คะแนนเต็ม]]),"",(tbl_task5[149]/tbl_task5[[คะแนนเต็ม]:[คะแนนเต็ม]])*tbl_task5[[%]:[%]])</calculatedColumnFormula>
    </tableColumn>
    <tableColumn id="331" name="S150" dataDxfId="1755">
      <calculatedColumnFormula>IF(ISBLANK(tbl_task5[[คะแนนเต็ม]:[คะแนนเต็ม]]),"",(tbl_task5[150]/tbl_task5[[คะแนนเต็ม]:[คะแนนเต็ม]])*tbl_task5[[%]:[%]])</calculatedColumnFormula>
    </tableColumn>
    <tableColumn id="332" name="S151" dataDxfId="1754">
      <calculatedColumnFormula>IF(ISBLANK(tbl_task5[[คะแนนเต็ม]:[คะแนนเต็ม]]),"",(tbl_task5[151]/tbl_task5[[คะแนนเต็ม]:[คะแนนเต็ม]])*tbl_task5[[%]:[%]])</calculatedColumnFormula>
    </tableColumn>
    <tableColumn id="333" name="S152" dataDxfId="1753">
      <calculatedColumnFormula>IF(ISBLANK(tbl_task5[[คะแนนเต็ม]:[คะแนนเต็ม]]),"",(tbl_task5[152]/tbl_task5[[คะแนนเต็ม]:[คะแนนเต็ม]])*tbl_task5[[%]:[%]])</calculatedColumnFormula>
    </tableColumn>
    <tableColumn id="224" name="S153" dataDxfId="1752">
      <calculatedColumnFormula>IF(ISBLANK(tbl_task5[[คะแนนเต็ม]:[คะแนนเต็ม]]),"",(tbl_task5[153]/tbl_task5[[คะแนนเต็ม]:[คะแนนเต็ม]])*tbl_task5[[%]:[%]])</calculatedColumnFormula>
    </tableColumn>
    <tableColumn id="225" name="S154" dataDxfId="1751">
      <calculatedColumnFormula>IF(ISBLANK(tbl_task5[[คะแนนเต็ม]:[คะแนนเต็ม]]),"",(tbl_task5[154]/tbl_task5[[คะแนนเต็ม]:[คะแนนเต็ม]])*tbl_task5[[%]:[%]])</calculatedColumnFormula>
    </tableColumn>
    <tableColumn id="226" name="S155" dataDxfId="1750">
      <calculatedColumnFormula>IF(ISBLANK(tbl_task5[[คะแนนเต็ม]:[คะแนนเต็ม]]),"",(tbl_task5[155]/tbl_task5[[คะแนนเต็ม]:[คะแนนเต็ม]])*tbl_task5[[%]:[%]])</calculatedColumnFormula>
    </tableColumn>
    <tableColumn id="227" name="S156" dataDxfId="1749">
      <calculatedColumnFormula>IF(ISBLANK(tbl_task5[[คะแนนเต็ม]:[คะแนนเต็ม]]),"",(tbl_task5[156]/tbl_task5[[คะแนนเต็ม]:[คะแนนเต็ม]])*tbl_task5[[%]:[%]])</calculatedColumnFormula>
    </tableColumn>
    <tableColumn id="228" name="S157" dataDxfId="1748">
      <calculatedColumnFormula>IF(ISBLANK(tbl_task5[[คะแนนเต็ม]:[คะแนนเต็ม]]),"",(tbl_task5[157]/tbl_task5[[คะแนนเต็ม]:[คะแนนเต็ม]])*tbl_task5[[%]:[%]])</calculatedColumnFormula>
    </tableColumn>
    <tableColumn id="229" name="S158" dataDxfId="1747">
      <calculatedColumnFormula>IF(ISBLANK(tbl_task5[[คะแนนเต็ม]:[คะแนนเต็ม]]),"",(tbl_task5[158]/tbl_task5[[คะแนนเต็ม]:[คะแนนเต็ม]])*tbl_task5[[%]:[%]])</calculatedColumnFormula>
    </tableColumn>
    <tableColumn id="230" name="S159" dataDxfId="1746">
      <calculatedColumnFormula>IF(ISBLANK(tbl_task5[[คะแนนเต็ม]:[คะแนนเต็ม]]),"",(tbl_task5[159]/tbl_task5[[คะแนนเต็ม]:[คะแนนเต็ม]])*tbl_task5[[%]:[%]])</calculatedColumnFormula>
    </tableColumn>
    <tableColumn id="231" name="S160" dataDxfId="1745">
      <calculatedColumnFormula>IF(ISBLANK(tbl_task5[[คะแนนเต็ม]:[คะแนนเต็ม]]),"",(tbl_task5[160]/tbl_task5[[คะแนนเต็ม]:[คะแนนเต็ม]])*tbl_task5[[%]:[%]])</calculatedColumnFormula>
    </tableColumn>
    <tableColumn id="232" name="S161" dataDxfId="1744">
      <calculatedColumnFormula>IF(ISBLANK(tbl_task5[[คะแนนเต็ม]:[คะแนนเต็ม]]),"",(tbl_task5[161]/tbl_task5[[คะแนนเต็ม]:[คะแนนเต็ม]])*tbl_task5[[%]:[%]])</calculatedColumnFormula>
    </tableColumn>
    <tableColumn id="334" name="S162" dataDxfId="1743">
      <calculatedColumnFormula>IF(ISBLANK(tbl_task5[[คะแนนเต็ม]:[คะแนนเต็ม]]),"",(tbl_task5[162]/tbl_task5[[คะแนนเต็ม]:[คะแนนเต็ม]])*tbl_task5[[%]:[%]])</calculatedColumnFormula>
    </tableColumn>
    <tableColumn id="335" name="S163" dataDxfId="1742">
      <calculatedColumnFormula>IF(ISBLANK(tbl_task5[[คะแนนเต็ม]:[คะแนนเต็ม]]),"",(tbl_task5[163]/tbl_task5[[คะแนนเต็ม]:[คะแนนเต็ม]])*tbl_task5[[%]:[%]])</calculatedColumnFormula>
    </tableColumn>
    <tableColumn id="233" name="S164" dataDxfId="1741">
      <calculatedColumnFormula>IF(ISBLANK(tbl_task5[[คะแนนเต็ม]:[คะแนนเต็ม]]),"",(tbl_task5[164]/tbl_task5[[คะแนนเต็ม]:[คะแนนเต็ม]])*tbl_task5[[%]:[%]])</calculatedColumnFormula>
    </tableColumn>
    <tableColumn id="234" name="S165" dataDxfId="1740">
      <calculatedColumnFormula>IF(ISBLANK(tbl_task5[[คะแนนเต็ม]:[คะแนนเต็ม]]),"",(tbl_task5[165]/tbl_task5[[คะแนนเต็ม]:[คะแนนเต็ม]])*tbl_task5[[%]:[%]])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bl_task6" displayName="tbl_task6" ref="A3:LW28" totalsRowShown="0" headerRowDxfId="1739" dataDxfId="1737" headerRowBorderDxfId="1738" tableBorderDxfId="1736" totalsRowBorderDxfId="1735">
  <tableColumns count="335">
    <tableColumn id="1" name="No" dataDxfId="1734"/>
    <tableColumn id="2" name="SubPLOs" dataDxfId="1733"/>
    <tableColumn id="3" name="SubPLOs_name" dataDxfId="1732">
      <calculatedColumnFormula>IF(ISBLANK(B4),"",VLOOKUP(B4,tbl_PLOs[],2,0))</calculatedColumnFormula>
    </tableColumn>
    <tableColumn id="235" name="คะแนนเต็ม" dataDxfId="1731"/>
    <tableColumn id="4" name="%" dataDxfId="1730">
      <calculatedColumnFormula>IF(OR(ISBLANK(#REF!),ISBLANK(tbl_task6[[#This Row],[SubPLOs]])),"",#REF!/$B$29)</calculatedColumnFormula>
    </tableColumn>
    <tableColumn id="5" name="1" dataDxfId="1729"/>
    <tableColumn id="6" name="2" dataDxfId="1728"/>
    <tableColumn id="7" name="3" dataDxfId="1727"/>
    <tableColumn id="8" name="4" dataDxfId="1726"/>
    <tableColumn id="9" name="5" dataDxfId="1725"/>
    <tableColumn id="10" name="6" dataDxfId="1724"/>
    <tableColumn id="11" name="7" dataDxfId="1723"/>
    <tableColumn id="12" name="8" dataDxfId="1722"/>
    <tableColumn id="13" name="9" dataDxfId="1721"/>
    <tableColumn id="14" name="10" dataDxfId="1720"/>
    <tableColumn id="15" name="11" dataDxfId="1719"/>
    <tableColumn id="16" name="12" dataDxfId="1718"/>
    <tableColumn id="17" name="13" dataDxfId="1717"/>
    <tableColumn id="18" name="14" dataDxfId="1716"/>
    <tableColumn id="19" name="15" dataDxfId="1715"/>
    <tableColumn id="20" name="16" dataDxfId="1714"/>
    <tableColumn id="21" name="17" dataDxfId="1713"/>
    <tableColumn id="22" name="18" dataDxfId="1712"/>
    <tableColumn id="23" name="19" dataDxfId="1711"/>
    <tableColumn id="24" name="20" dataDxfId="1710"/>
    <tableColumn id="25" name="21" dataDxfId="1709"/>
    <tableColumn id="26" name="22" dataDxfId="1708"/>
    <tableColumn id="27" name="23" dataDxfId="1707"/>
    <tableColumn id="28" name="24" dataDxfId="1706"/>
    <tableColumn id="29" name="25" dataDxfId="1705"/>
    <tableColumn id="30" name="26" dataDxfId="1704"/>
    <tableColumn id="31" name="27" dataDxfId="1703"/>
    <tableColumn id="32" name="28" dataDxfId="1702"/>
    <tableColumn id="33" name="29" dataDxfId="1701"/>
    <tableColumn id="34" name="30" dataDxfId="1700"/>
    <tableColumn id="35" name="31" dataDxfId="1699"/>
    <tableColumn id="36" name="32" dataDxfId="1698"/>
    <tableColumn id="37" name="33" dataDxfId="1697"/>
    <tableColumn id="38" name="34" dataDxfId="1696"/>
    <tableColumn id="39" name="35" dataDxfId="1695"/>
    <tableColumn id="40" name="36" dataDxfId="1694"/>
    <tableColumn id="41" name="37" dataDxfId="1693"/>
    <tableColumn id="42" name="38" dataDxfId="1692"/>
    <tableColumn id="43" name="39" dataDxfId="1691"/>
    <tableColumn id="44" name="40" dataDxfId="1690"/>
    <tableColumn id="45" name="41" dataDxfId="1689"/>
    <tableColumn id="46" name="42" dataDxfId="1688"/>
    <tableColumn id="47" name="43" dataDxfId="1687"/>
    <tableColumn id="48" name="44" dataDxfId="1686"/>
    <tableColumn id="49" name="45" dataDxfId="1685"/>
    <tableColumn id="50" name="46" dataDxfId="1684"/>
    <tableColumn id="51" name="47" dataDxfId="1683"/>
    <tableColumn id="52" name="48" dataDxfId="1682"/>
    <tableColumn id="53" name="49" dataDxfId="1681"/>
    <tableColumn id="54" name="50" dataDxfId="1680"/>
    <tableColumn id="55" name="51" dataDxfId="1679"/>
    <tableColumn id="56" name="52" dataDxfId="1678"/>
    <tableColumn id="57" name="53" dataDxfId="1677"/>
    <tableColumn id="58" name="54" dataDxfId="1676"/>
    <tableColumn id="59" name="55" dataDxfId="1675"/>
    <tableColumn id="60" name="56" dataDxfId="1674"/>
    <tableColumn id="61" name="57" dataDxfId="1673"/>
    <tableColumn id="62" name="58" dataDxfId="1672"/>
    <tableColumn id="63" name="59" dataDxfId="1671"/>
    <tableColumn id="64" name="60" dataDxfId="1670"/>
    <tableColumn id="65" name="61" dataDxfId="1669"/>
    <tableColumn id="66" name="62" dataDxfId="1668"/>
    <tableColumn id="67" name="63" dataDxfId="1667"/>
    <tableColumn id="68" name="64" dataDxfId="1666"/>
    <tableColumn id="69" name="65" dataDxfId="1665"/>
    <tableColumn id="70" name="66" dataDxfId="1664"/>
    <tableColumn id="71" name="67" dataDxfId="1663"/>
    <tableColumn id="72" name="68" dataDxfId="1662"/>
    <tableColumn id="73" name="69" dataDxfId="1661"/>
    <tableColumn id="74" name="70" dataDxfId="1660"/>
    <tableColumn id="75" name="71" dataDxfId="1659"/>
    <tableColumn id="76" name="72" dataDxfId="1658"/>
    <tableColumn id="77" name="73" dataDxfId="1657"/>
    <tableColumn id="78" name="74" dataDxfId="1656"/>
    <tableColumn id="79" name="75" dataDxfId="1655"/>
    <tableColumn id="80" name="76" dataDxfId="1654"/>
    <tableColumn id="81" name="77" dataDxfId="1653"/>
    <tableColumn id="82" name="78" dataDxfId="1652"/>
    <tableColumn id="83" name="79" dataDxfId="1651"/>
    <tableColumn id="84" name="80" dataDxfId="1650"/>
    <tableColumn id="85" name="81" dataDxfId="1649"/>
    <tableColumn id="86" name="82" dataDxfId="1648"/>
    <tableColumn id="87" name="83" dataDxfId="1647"/>
    <tableColumn id="88" name="84" dataDxfId="1646"/>
    <tableColumn id="89" name="85" dataDxfId="1645"/>
    <tableColumn id="90" name="86" dataDxfId="1644"/>
    <tableColumn id="91" name="87" dataDxfId="1643"/>
    <tableColumn id="92" name="88" dataDxfId="1642"/>
    <tableColumn id="93" name="89" dataDxfId="1641"/>
    <tableColumn id="94" name="90" dataDxfId="1640"/>
    <tableColumn id="236" name="91" dataDxfId="1639"/>
    <tableColumn id="237" name="92" dataDxfId="1638"/>
    <tableColumn id="238" name="93" dataDxfId="1637"/>
    <tableColumn id="239" name="94" dataDxfId="1636"/>
    <tableColumn id="240" name="95" dataDxfId="1635"/>
    <tableColumn id="241" name="96" dataDxfId="1634"/>
    <tableColumn id="242" name="97" dataDxfId="1633"/>
    <tableColumn id="243" name="98" dataDxfId="1632"/>
    <tableColumn id="244" name="99" dataDxfId="1631"/>
    <tableColumn id="245" name="100" dataDxfId="1630"/>
    <tableColumn id="246" name="101" dataDxfId="1629"/>
    <tableColumn id="247" name="102" dataDxfId="1628"/>
    <tableColumn id="248" name="103" dataDxfId="1627"/>
    <tableColumn id="249" name="104" dataDxfId="1626"/>
    <tableColumn id="250" name="105" dataDxfId="1625"/>
    <tableColumn id="251" name="106" dataDxfId="1624"/>
    <tableColumn id="252" name="107" dataDxfId="1623"/>
    <tableColumn id="253" name="108" dataDxfId="1622"/>
    <tableColumn id="254" name="109" dataDxfId="1621"/>
    <tableColumn id="255" name="110" dataDxfId="1620"/>
    <tableColumn id="256" name="111" dataDxfId="1619"/>
    <tableColumn id="257" name="112" dataDxfId="1618"/>
    <tableColumn id="258" name="113" dataDxfId="1617"/>
    <tableColumn id="259" name="114" dataDxfId="1616"/>
    <tableColumn id="260" name="115" dataDxfId="1615"/>
    <tableColumn id="95" name="116" dataDxfId="1614"/>
    <tableColumn id="96" name="117" dataDxfId="1613"/>
    <tableColumn id="97" name="118" dataDxfId="1612"/>
    <tableColumn id="98" name="119" dataDxfId="1611"/>
    <tableColumn id="99" name="120" dataDxfId="1610"/>
    <tableColumn id="100" name="121" dataDxfId="1609"/>
    <tableColumn id="101" name="122" dataDxfId="1608"/>
    <tableColumn id="102" name="123" dataDxfId="1607"/>
    <tableColumn id="261" name="124" dataDxfId="1606"/>
    <tableColumn id="262" name="125" dataDxfId="1605"/>
    <tableColumn id="263" name="126" dataDxfId="1604"/>
    <tableColumn id="264" name="127" dataDxfId="1603"/>
    <tableColumn id="265" name="128" dataDxfId="1602"/>
    <tableColumn id="266" name="129" dataDxfId="1601"/>
    <tableColumn id="267" name="130" dataDxfId="1600"/>
    <tableColumn id="268" name="131" dataDxfId="1599"/>
    <tableColumn id="269" name="132" dataDxfId="1598"/>
    <tableColumn id="270" name="133" dataDxfId="1597"/>
    <tableColumn id="271" name="134" dataDxfId="1596"/>
    <tableColumn id="272" name="135" dataDxfId="1595"/>
    <tableColumn id="273" name="136" dataDxfId="1594"/>
    <tableColumn id="274" name="137" dataDxfId="1593"/>
    <tableColumn id="275" name="138" dataDxfId="1592"/>
    <tableColumn id="276" name="139" dataDxfId="1591"/>
    <tableColumn id="277" name="140" dataDxfId="1590"/>
    <tableColumn id="103" name="141" dataDxfId="1589"/>
    <tableColumn id="104" name="142" dataDxfId="1588"/>
    <tableColumn id="105" name="143" dataDxfId="1587"/>
    <tableColumn id="106" name="144" dataDxfId="1586"/>
    <tableColumn id="107" name="145" dataDxfId="1585"/>
    <tableColumn id="108" name="146" dataDxfId="1584"/>
    <tableColumn id="109" name="147" dataDxfId="1583"/>
    <tableColumn id="110" name="148" dataDxfId="1582"/>
    <tableColumn id="111" name="149" dataDxfId="1581"/>
    <tableColumn id="278" name="150" dataDxfId="1580"/>
    <tableColumn id="279" name="151" dataDxfId="1579"/>
    <tableColumn id="280" name="152" dataDxfId="1578"/>
    <tableColumn id="281" name="153" dataDxfId="1577"/>
    <tableColumn id="282" name="154" dataDxfId="1576"/>
    <tableColumn id="283" name="155" dataDxfId="1575"/>
    <tableColumn id="284" name="156" dataDxfId="1574"/>
    <tableColumn id="285" name="157" dataDxfId="1573"/>
    <tableColumn id="112" name="158" dataDxfId="1572"/>
    <tableColumn id="113" name="159" dataDxfId="1571"/>
    <tableColumn id="114" name="160" dataDxfId="1570"/>
    <tableColumn id="115" name="161" dataDxfId="1569"/>
    <tableColumn id="116" name="162" dataDxfId="1568"/>
    <tableColumn id="117" name="163" dataDxfId="1567"/>
    <tableColumn id="118" name="164" dataDxfId="1566"/>
    <tableColumn id="119" name="165" dataDxfId="1565"/>
    <tableColumn id="120" name="S1" dataDxfId="1564">
      <calculatedColumnFormula>IF(ISBLANK(tbl_task6[[คะแนนเต็ม]:[คะแนนเต็ม]]),"",(tbl_task6[1]/tbl_task6[[คะแนนเต็ม]:[คะแนนเต็ม]])*tbl_task6[[%]:[%]])</calculatedColumnFormula>
    </tableColumn>
    <tableColumn id="121" name="S2" dataDxfId="1563">
      <calculatedColumnFormula>IF(ISBLANK(tbl_task6[[คะแนนเต็ม]:[คะแนนเต็ม]]),"",(tbl_task6[2]/tbl_task6[[คะแนนเต็ม]:[คะแนนเต็ม]])*tbl_task6[[%]:[%]])</calculatedColumnFormula>
    </tableColumn>
    <tableColumn id="122" name="S3" dataDxfId="1562">
      <calculatedColumnFormula>IF(ISBLANK(tbl_task6[[คะแนนเต็ม]:[คะแนนเต็ม]]),"",(tbl_task6[3]/tbl_task6[[คะแนนเต็ม]:[คะแนนเต็ม]])*tbl_task6[[%]:[%]])</calculatedColumnFormula>
    </tableColumn>
    <tableColumn id="123" name="S4" dataDxfId="1561">
      <calculatedColumnFormula>IF(ISBLANK(tbl_task6[[คะแนนเต็ม]:[คะแนนเต็ม]]),"",(tbl_task6[4]/tbl_task6[[คะแนนเต็ม]:[คะแนนเต็ม]])*tbl_task6[[%]:[%]])</calculatedColumnFormula>
    </tableColumn>
    <tableColumn id="124" name="S5" dataDxfId="1560">
      <calculatedColumnFormula>IF(ISBLANK(tbl_task6[[คะแนนเต็ม]:[คะแนนเต็ม]]),"",(tbl_task6[5]/tbl_task6[[คะแนนเต็ม]:[คะแนนเต็ม]])*tbl_task6[[%]:[%]])</calculatedColumnFormula>
    </tableColumn>
    <tableColumn id="125" name="S6" dataDxfId="1559">
      <calculatedColumnFormula>IF(ISBLANK(tbl_task6[[คะแนนเต็ม]:[คะแนนเต็ม]]),"",(tbl_task6[6]/tbl_task6[[คะแนนเต็ม]:[คะแนนเต็ม]])*tbl_task6[[%]:[%]])</calculatedColumnFormula>
    </tableColumn>
    <tableColumn id="126" name="S7" dataDxfId="1558">
      <calculatedColumnFormula>IF(ISBLANK(tbl_task6[[คะแนนเต็ม]:[คะแนนเต็ม]]),"",(tbl_task6[7]/tbl_task6[[คะแนนเต็ม]:[คะแนนเต็ม]])*tbl_task6[[%]:[%]])</calculatedColumnFormula>
    </tableColumn>
    <tableColumn id="127" name="S8" dataDxfId="1557">
      <calculatedColumnFormula>IF(ISBLANK(tbl_task6[[คะแนนเต็ม]:[คะแนนเต็ม]]),"",(tbl_task6[8]/tbl_task6[[คะแนนเต็ม]:[คะแนนเต็ม]])*tbl_task6[[%]:[%]])</calculatedColumnFormula>
    </tableColumn>
    <tableColumn id="128" name="S9" dataDxfId="1556">
      <calculatedColumnFormula>IF(ISBLANK(tbl_task6[[คะแนนเต็ม]:[คะแนนเต็ม]]),"",(tbl_task6[9]/tbl_task6[[คะแนนเต็ม]:[คะแนนเต็ม]])*tbl_task6[[%]:[%]])</calculatedColumnFormula>
    </tableColumn>
    <tableColumn id="129" name="S10" dataDxfId="1555">
      <calculatedColumnFormula>IF(ISBLANK(tbl_task6[[คะแนนเต็ม]:[คะแนนเต็ม]]),"",(tbl_task6[10]/tbl_task6[[คะแนนเต็ม]:[คะแนนเต็ม]])*tbl_task6[[%]:[%]])</calculatedColumnFormula>
    </tableColumn>
    <tableColumn id="130" name="S11" dataDxfId="1554">
      <calculatedColumnFormula>IF(ISBLANK(tbl_task6[[คะแนนเต็ม]:[คะแนนเต็ม]]),"",(tbl_task6[11]/tbl_task6[[คะแนนเต็ม]:[คะแนนเต็ม]])*tbl_task6[[%]:[%]])</calculatedColumnFormula>
    </tableColumn>
    <tableColumn id="131" name="S12" dataDxfId="1553">
      <calculatedColumnFormula>IF(ISBLANK(tbl_task6[[คะแนนเต็ม]:[คะแนนเต็ม]]),"",(tbl_task6[12]/tbl_task6[[คะแนนเต็ม]:[คะแนนเต็ม]])*tbl_task6[[%]:[%]])</calculatedColumnFormula>
    </tableColumn>
    <tableColumn id="132" name="S13" dataDxfId="1552">
      <calculatedColumnFormula>IF(ISBLANK(tbl_task6[[คะแนนเต็ม]:[คะแนนเต็ม]]),"",(tbl_task6[13]/tbl_task6[[คะแนนเต็ม]:[คะแนนเต็ม]])*tbl_task6[[%]:[%]])</calculatedColumnFormula>
    </tableColumn>
    <tableColumn id="133" name="S14" dataDxfId="1551">
      <calculatedColumnFormula>IF(ISBLANK(tbl_task6[[คะแนนเต็ม]:[คะแนนเต็ม]]),"",(tbl_task6[14]/tbl_task6[[คะแนนเต็ม]:[คะแนนเต็ม]])*tbl_task6[[%]:[%]])</calculatedColumnFormula>
    </tableColumn>
    <tableColumn id="134" name="S15" dataDxfId="1550">
      <calculatedColumnFormula>IF(ISBLANK(tbl_task6[[คะแนนเต็ม]:[คะแนนเต็ม]]),"",(tbl_task6[15]/tbl_task6[[คะแนนเต็ม]:[คะแนนเต็ม]])*tbl_task6[[%]:[%]])</calculatedColumnFormula>
    </tableColumn>
    <tableColumn id="135" name="S16" dataDxfId="1549">
      <calculatedColumnFormula>IF(ISBLANK(tbl_task6[[คะแนนเต็ม]:[คะแนนเต็ม]]),"",(tbl_task6[16]/tbl_task6[[คะแนนเต็ม]:[คะแนนเต็ม]])*tbl_task6[[%]:[%]])</calculatedColumnFormula>
    </tableColumn>
    <tableColumn id="136" name="S17" dataDxfId="1548">
      <calculatedColumnFormula>IF(ISBLANK(tbl_task6[[คะแนนเต็ม]:[คะแนนเต็ม]]),"",(tbl_task6[17]/tbl_task6[[คะแนนเต็ม]:[คะแนนเต็ม]])*tbl_task6[[%]:[%]])</calculatedColumnFormula>
    </tableColumn>
    <tableColumn id="137" name="S18" dataDxfId="1547">
      <calculatedColumnFormula>IF(ISBLANK(tbl_task6[[คะแนนเต็ม]:[คะแนนเต็ม]]),"",(tbl_task6[18]/tbl_task6[[คะแนนเต็ม]:[คะแนนเต็ม]])*tbl_task6[[%]:[%]])</calculatedColumnFormula>
    </tableColumn>
    <tableColumn id="138" name="S19" dataDxfId="1546">
      <calculatedColumnFormula>IF(ISBLANK(tbl_task6[[คะแนนเต็ม]:[คะแนนเต็ม]]),"",(tbl_task6[19]/tbl_task6[[คะแนนเต็ม]:[คะแนนเต็ม]])*tbl_task6[[%]:[%]])</calculatedColumnFormula>
    </tableColumn>
    <tableColumn id="139" name="S20" dataDxfId="1545">
      <calculatedColumnFormula>IF(ISBLANK(tbl_task6[[คะแนนเต็ม]:[คะแนนเต็ม]]),"",(tbl_task6[20]/tbl_task6[[คะแนนเต็ม]:[คะแนนเต็ม]])*tbl_task6[[%]:[%]])</calculatedColumnFormula>
    </tableColumn>
    <tableColumn id="140" name="S21" dataDxfId="1544">
      <calculatedColumnFormula>IF(ISBLANK(tbl_task6[[คะแนนเต็ม]:[คะแนนเต็ม]]),"",(tbl_task6[21]/tbl_task6[[คะแนนเต็ม]:[คะแนนเต็ม]])*tbl_task6[[%]:[%]])</calculatedColumnFormula>
    </tableColumn>
    <tableColumn id="141" name="S22" dataDxfId="1543">
      <calculatedColumnFormula>IF(ISBLANK(tbl_task6[[คะแนนเต็ม]:[คะแนนเต็ม]]),"",(tbl_task6[22]/tbl_task6[[คะแนนเต็ม]:[คะแนนเต็ม]])*tbl_task6[[%]:[%]])</calculatedColumnFormula>
    </tableColumn>
    <tableColumn id="142" name="S23" dataDxfId="1542">
      <calculatedColumnFormula>IF(ISBLANK(tbl_task6[[คะแนนเต็ม]:[คะแนนเต็ม]]),"",(tbl_task6[23]/tbl_task6[[คะแนนเต็ม]:[คะแนนเต็ม]])*tbl_task6[[%]:[%]])</calculatedColumnFormula>
    </tableColumn>
    <tableColumn id="143" name="S24" dataDxfId="1541">
      <calculatedColumnFormula>IF(ISBLANK(tbl_task6[[คะแนนเต็ม]:[คะแนนเต็ม]]),"",(tbl_task6[24]/tbl_task6[[คะแนนเต็ม]:[คะแนนเต็ม]])*tbl_task6[[%]:[%]])</calculatedColumnFormula>
    </tableColumn>
    <tableColumn id="144" name="S25" dataDxfId="1540">
      <calculatedColumnFormula>IF(ISBLANK(tbl_task6[[คะแนนเต็ม]:[คะแนนเต็ม]]),"",(tbl_task6[25]/tbl_task6[[คะแนนเต็ม]:[คะแนนเต็ม]])*tbl_task6[[%]:[%]])</calculatedColumnFormula>
    </tableColumn>
    <tableColumn id="145" name="S26" dataDxfId="1539">
      <calculatedColumnFormula>IF(ISBLANK(tbl_task6[[คะแนนเต็ม]:[คะแนนเต็ม]]),"",(tbl_task6[26]/tbl_task6[[คะแนนเต็ม]:[คะแนนเต็ม]])*tbl_task6[[%]:[%]])</calculatedColumnFormula>
    </tableColumn>
    <tableColumn id="146" name="S27" dataDxfId="1538">
      <calculatedColumnFormula>IF(ISBLANK(tbl_task6[[คะแนนเต็ม]:[คะแนนเต็ม]]),"",(tbl_task6[27]/tbl_task6[[คะแนนเต็ม]:[คะแนนเต็ม]])*tbl_task6[[%]:[%]])</calculatedColumnFormula>
    </tableColumn>
    <tableColumn id="147" name="S28" dataDxfId="1537">
      <calculatedColumnFormula>IF(ISBLANK(tbl_task6[[คะแนนเต็ม]:[คะแนนเต็ม]]),"",(tbl_task6[28]/tbl_task6[[คะแนนเต็ม]:[คะแนนเต็ม]])*tbl_task6[[%]:[%]])</calculatedColumnFormula>
    </tableColumn>
    <tableColumn id="148" name="S29" dataDxfId="1536">
      <calculatedColumnFormula>IF(ISBLANK(tbl_task6[[คะแนนเต็ม]:[คะแนนเต็ม]]),"",(tbl_task6[29]/tbl_task6[[คะแนนเต็ม]:[คะแนนเต็ม]])*tbl_task6[[%]:[%]])</calculatedColumnFormula>
    </tableColumn>
    <tableColumn id="149" name="S30" dataDxfId="1535">
      <calculatedColumnFormula>IF(ISBLANK(tbl_task6[[คะแนนเต็ม]:[คะแนนเต็ม]]),"",(tbl_task6[30]/tbl_task6[[คะแนนเต็ม]:[คะแนนเต็ม]])*tbl_task6[[%]:[%]])</calculatedColumnFormula>
    </tableColumn>
    <tableColumn id="150" name="S31" dataDxfId="1534">
      <calculatedColumnFormula>IF(ISBLANK(tbl_task6[[คะแนนเต็ม]:[คะแนนเต็ม]]),"",(tbl_task6[31]/tbl_task6[[คะแนนเต็ม]:[คะแนนเต็ม]])*tbl_task6[[%]:[%]])</calculatedColumnFormula>
    </tableColumn>
    <tableColumn id="151" name="S32" dataDxfId="1533">
      <calculatedColumnFormula>IF(ISBLANK(tbl_task6[[คะแนนเต็ม]:[คะแนนเต็ม]]),"",(tbl_task6[32]/tbl_task6[[คะแนนเต็ม]:[คะแนนเต็ม]])*tbl_task6[[%]:[%]])</calculatedColumnFormula>
    </tableColumn>
    <tableColumn id="152" name="S33" dataDxfId="1532">
      <calculatedColumnFormula>IF(ISBLANK(tbl_task6[[คะแนนเต็ม]:[คะแนนเต็ม]]),"",(tbl_task6[33]/tbl_task6[[คะแนนเต็ม]:[คะแนนเต็ม]])*tbl_task6[[%]:[%]])</calculatedColumnFormula>
    </tableColumn>
    <tableColumn id="153" name="S34" dataDxfId="1531">
      <calculatedColumnFormula>IF(ISBLANK(tbl_task6[[คะแนนเต็ม]:[คะแนนเต็ม]]),"",(tbl_task6[34]/tbl_task6[[คะแนนเต็ม]:[คะแนนเต็ม]])*tbl_task6[[%]:[%]])</calculatedColumnFormula>
    </tableColumn>
    <tableColumn id="154" name="S35" dataDxfId="1530">
      <calculatedColumnFormula>IF(ISBLANK(tbl_task6[[คะแนนเต็ม]:[คะแนนเต็ม]]),"",(tbl_task6[35]/tbl_task6[[คะแนนเต็ม]:[คะแนนเต็ม]])*tbl_task6[[%]:[%]])</calculatedColumnFormula>
    </tableColumn>
    <tableColumn id="155" name="S36" dataDxfId="1529">
      <calculatedColumnFormula>IF(ISBLANK(tbl_task6[[คะแนนเต็ม]:[คะแนนเต็ม]]),"",(tbl_task6[36]/tbl_task6[[คะแนนเต็ม]:[คะแนนเต็ม]])*tbl_task6[[%]:[%]])</calculatedColumnFormula>
    </tableColumn>
    <tableColumn id="156" name="S37" dataDxfId="1528">
      <calculatedColumnFormula>IF(ISBLANK(tbl_task6[[คะแนนเต็ม]:[คะแนนเต็ม]]),"",(tbl_task6[37]/tbl_task6[[คะแนนเต็ม]:[คะแนนเต็ม]])*tbl_task6[[%]:[%]])</calculatedColumnFormula>
    </tableColumn>
    <tableColumn id="157" name="S38" dataDxfId="1527">
      <calculatedColumnFormula>IF(ISBLANK(tbl_task6[[คะแนนเต็ม]:[คะแนนเต็ม]]),"",(tbl_task6[38]/tbl_task6[[คะแนนเต็ม]:[คะแนนเต็ม]])*tbl_task6[[%]:[%]])</calculatedColumnFormula>
    </tableColumn>
    <tableColumn id="158" name="S39" dataDxfId="1526">
      <calculatedColumnFormula>IF(ISBLANK(tbl_task6[[คะแนนเต็ม]:[คะแนนเต็ม]]),"",(tbl_task6[39]/tbl_task6[[คะแนนเต็ม]:[คะแนนเต็ม]])*tbl_task6[[%]:[%]])</calculatedColumnFormula>
    </tableColumn>
    <tableColumn id="159" name="S40" dataDxfId="1525">
      <calculatedColumnFormula>IF(ISBLANK(tbl_task6[[คะแนนเต็ม]:[คะแนนเต็ม]]),"",(tbl_task6[40]/tbl_task6[[คะแนนเต็ม]:[คะแนนเต็ม]])*tbl_task6[[%]:[%]])</calculatedColumnFormula>
    </tableColumn>
    <tableColumn id="160" name="S41" dataDxfId="1524">
      <calculatedColumnFormula>IF(ISBLANK(tbl_task6[[คะแนนเต็ม]:[คะแนนเต็ม]]),"",(tbl_task6[41]/tbl_task6[[คะแนนเต็ม]:[คะแนนเต็ม]])*tbl_task6[[%]:[%]])</calculatedColumnFormula>
    </tableColumn>
    <tableColumn id="161" name="S42" dataDxfId="1523">
      <calculatedColumnFormula>IF(ISBLANK(tbl_task6[[คะแนนเต็ม]:[คะแนนเต็ม]]),"",(tbl_task6[42]/tbl_task6[[คะแนนเต็ม]:[คะแนนเต็ม]])*tbl_task6[[%]:[%]])</calculatedColumnFormula>
    </tableColumn>
    <tableColumn id="162" name="S43" dataDxfId="1522">
      <calculatedColumnFormula>IF(ISBLANK(tbl_task6[[คะแนนเต็ม]:[คะแนนเต็ม]]),"",(tbl_task6[43]/tbl_task6[[คะแนนเต็ม]:[คะแนนเต็ม]])*tbl_task6[[%]:[%]])</calculatedColumnFormula>
    </tableColumn>
    <tableColumn id="163" name="S44" dataDxfId="1521">
      <calculatedColumnFormula>IF(ISBLANK(tbl_task6[[คะแนนเต็ม]:[คะแนนเต็ม]]),"",(tbl_task6[44]/tbl_task6[[คะแนนเต็ม]:[คะแนนเต็ม]])*tbl_task6[[%]:[%]])</calculatedColumnFormula>
    </tableColumn>
    <tableColumn id="164" name="S45" dataDxfId="1520">
      <calculatedColumnFormula>IF(ISBLANK(tbl_task6[[คะแนนเต็ม]:[คะแนนเต็ม]]),"",(tbl_task6[45]/tbl_task6[[คะแนนเต็ม]:[คะแนนเต็ม]])*tbl_task6[[%]:[%]])</calculatedColumnFormula>
    </tableColumn>
    <tableColumn id="165" name="S46" dataDxfId="1519">
      <calculatedColumnFormula>IF(ISBLANK(tbl_task6[[คะแนนเต็ม]:[คะแนนเต็ม]]),"",(tbl_task6[46]/tbl_task6[[คะแนนเต็ม]:[คะแนนเต็ม]])*tbl_task6[[%]:[%]])</calculatedColumnFormula>
    </tableColumn>
    <tableColumn id="166" name="S47" dataDxfId="1518">
      <calculatedColumnFormula>IF(ISBLANK(tbl_task6[[คะแนนเต็ม]:[คะแนนเต็ม]]),"",(tbl_task6[47]/tbl_task6[[คะแนนเต็ม]:[คะแนนเต็ม]])*tbl_task6[[%]:[%]])</calculatedColumnFormula>
    </tableColumn>
    <tableColumn id="167" name="S48" dataDxfId="1517">
      <calculatedColumnFormula>IF(ISBLANK(tbl_task6[[คะแนนเต็ม]:[คะแนนเต็ม]]),"",(tbl_task6[48]/tbl_task6[[คะแนนเต็ม]:[คะแนนเต็ม]])*tbl_task6[[%]:[%]])</calculatedColumnFormula>
    </tableColumn>
    <tableColumn id="168" name="S49" dataDxfId="1516">
      <calculatedColumnFormula>IF(ISBLANK(tbl_task6[[คะแนนเต็ม]:[คะแนนเต็ม]]),"",(tbl_task6[49]/tbl_task6[[คะแนนเต็ม]:[คะแนนเต็ม]])*tbl_task6[[%]:[%]])</calculatedColumnFormula>
    </tableColumn>
    <tableColumn id="169" name="S50" dataDxfId="1515">
      <calculatedColumnFormula>IF(ISBLANK(tbl_task6[[คะแนนเต็ม]:[คะแนนเต็ม]]),"",(tbl_task6[50]/tbl_task6[[คะแนนเต็ม]:[คะแนนเต็ม]])*tbl_task6[[%]:[%]])</calculatedColumnFormula>
    </tableColumn>
    <tableColumn id="170" name="S51" dataDxfId="1514">
      <calculatedColumnFormula>IF(ISBLANK(tbl_task6[[คะแนนเต็ม]:[คะแนนเต็ม]]),"",(tbl_task6[51]/tbl_task6[[คะแนนเต็ม]:[คะแนนเต็ม]])*tbl_task6[[%]:[%]])</calculatedColumnFormula>
    </tableColumn>
    <tableColumn id="171" name="S52" dataDxfId="1513">
      <calculatedColumnFormula>IF(ISBLANK(tbl_task6[[คะแนนเต็ม]:[คะแนนเต็ม]]),"",(tbl_task6[52]/tbl_task6[[คะแนนเต็ม]:[คะแนนเต็ม]])*tbl_task6[[%]:[%]])</calculatedColumnFormula>
    </tableColumn>
    <tableColumn id="172" name="S53" dataDxfId="1512">
      <calculatedColumnFormula>IF(ISBLANK(tbl_task6[[คะแนนเต็ม]:[คะแนนเต็ม]]),"",(tbl_task6[53]/tbl_task6[[คะแนนเต็ม]:[คะแนนเต็ม]])*tbl_task6[[%]:[%]])</calculatedColumnFormula>
    </tableColumn>
    <tableColumn id="173" name="S54" dataDxfId="1511">
      <calculatedColumnFormula>IF(ISBLANK(tbl_task6[[คะแนนเต็ม]:[คะแนนเต็ม]]),"",(tbl_task6[54]/tbl_task6[[คะแนนเต็ม]:[คะแนนเต็ม]])*tbl_task6[[%]:[%]])</calculatedColumnFormula>
    </tableColumn>
    <tableColumn id="174" name="S55" dataDxfId="1510">
      <calculatedColumnFormula>IF(ISBLANK(tbl_task6[[คะแนนเต็ม]:[คะแนนเต็ม]]),"",(tbl_task6[55]/tbl_task6[[คะแนนเต็ม]:[คะแนนเต็ม]])*tbl_task6[[%]:[%]])</calculatedColumnFormula>
    </tableColumn>
    <tableColumn id="175" name="S56" dataDxfId="1509">
      <calculatedColumnFormula>IF(ISBLANK(tbl_task6[[คะแนนเต็ม]:[คะแนนเต็ม]]),"",(tbl_task6[56]/tbl_task6[[คะแนนเต็ม]:[คะแนนเต็ม]])*tbl_task6[[%]:[%]])</calculatedColumnFormula>
    </tableColumn>
    <tableColumn id="176" name="S57" dataDxfId="1508">
      <calculatedColumnFormula>IF(ISBLANK(tbl_task6[[คะแนนเต็ม]:[คะแนนเต็ม]]),"",(tbl_task6[57]/tbl_task6[[คะแนนเต็ม]:[คะแนนเต็ม]])*tbl_task6[[%]:[%]])</calculatedColumnFormula>
    </tableColumn>
    <tableColumn id="177" name="S58" dataDxfId="1507">
      <calculatedColumnFormula>IF(ISBLANK(tbl_task6[[คะแนนเต็ม]:[คะแนนเต็ม]]),"",(tbl_task6[58]/tbl_task6[[คะแนนเต็ม]:[คะแนนเต็ม]])*tbl_task6[[%]:[%]])</calculatedColumnFormula>
    </tableColumn>
    <tableColumn id="178" name="S59" dataDxfId="1506">
      <calculatedColumnFormula>IF(ISBLANK(tbl_task6[[คะแนนเต็ม]:[คะแนนเต็ม]]),"",(tbl_task6[59]/tbl_task6[[คะแนนเต็ม]:[คะแนนเต็ม]])*tbl_task6[[%]:[%]])</calculatedColumnFormula>
    </tableColumn>
    <tableColumn id="179" name="S60" dataDxfId="1505">
      <calculatedColumnFormula>IF(ISBLANK(tbl_task6[[คะแนนเต็ม]:[คะแนนเต็ม]]),"",(tbl_task6[60]/tbl_task6[[คะแนนเต็ม]:[คะแนนเต็ม]])*tbl_task6[[%]:[%]])</calculatedColumnFormula>
    </tableColumn>
    <tableColumn id="180" name="S61" dataDxfId="1504">
      <calculatedColumnFormula>IF(ISBLANK(tbl_task6[[คะแนนเต็ม]:[คะแนนเต็ม]]),"",(tbl_task6[61]/tbl_task6[[คะแนนเต็ม]:[คะแนนเต็ม]])*tbl_task6[[%]:[%]])</calculatedColumnFormula>
    </tableColumn>
    <tableColumn id="181" name="S62" dataDxfId="1503">
      <calculatedColumnFormula>IF(ISBLANK(tbl_task6[[คะแนนเต็ม]:[คะแนนเต็ม]]),"",(tbl_task6[62]/tbl_task6[[คะแนนเต็ม]:[คะแนนเต็ม]])*tbl_task6[[%]:[%]])</calculatedColumnFormula>
    </tableColumn>
    <tableColumn id="182" name="S63" dataDxfId="1502">
      <calculatedColumnFormula>IF(ISBLANK(tbl_task6[[คะแนนเต็ม]:[คะแนนเต็ม]]),"",(tbl_task6[63]/tbl_task6[[คะแนนเต็ม]:[คะแนนเต็ม]])*tbl_task6[[%]:[%]])</calculatedColumnFormula>
    </tableColumn>
    <tableColumn id="183" name="S64" dataDxfId="1501">
      <calculatedColumnFormula>IF(ISBLANK(tbl_task6[[คะแนนเต็ม]:[คะแนนเต็ม]]),"",(tbl_task6[64]/tbl_task6[[คะแนนเต็ม]:[คะแนนเต็ม]])*tbl_task6[[%]:[%]])</calculatedColumnFormula>
    </tableColumn>
    <tableColumn id="184" name="S65" dataDxfId="1500">
      <calculatedColumnFormula>IF(ISBLANK(tbl_task6[[คะแนนเต็ม]:[คะแนนเต็ม]]),"",(tbl_task6[65]/tbl_task6[[คะแนนเต็ม]:[คะแนนเต็ม]])*tbl_task6[[%]:[%]])</calculatedColumnFormula>
    </tableColumn>
    <tableColumn id="185" name="S66" dataDxfId="1499">
      <calculatedColumnFormula>IF(ISBLANK(tbl_task6[[คะแนนเต็ม]:[คะแนนเต็ม]]),"",(tbl_task6[66]/tbl_task6[[คะแนนเต็ม]:[คะแนนเต็ม]])*tbl_task6[[%]:[%]])</calculatedColumnFormula>
    </tableColumn>
    <tableColumn id="186" name="S67" dataDxfId="1498">
      <calculatedColumnFormula>IF(ISBLANK(tbl_task6[[คะแนนเต็ม]:[คะแนนเต็ม]]),"",(tbl_task6[67]/tbl_task6[[คะแนนเต็ม]:[คะแนนเต็ม]])*tbl_task6[[%]:[%]])</calculatedColumnFormula>
    </tableColumn>
    <tableColumn id="187" name="S68" dataDxfId="1497">
      <calculatedColumnFormula>IF(ISBLANK(tbl_task6[[คะแนนเต็ม]:[คะแนนเต็ม]]),"",(tbl_task6[68]/tbl_task6[[คะแนนเต็ม]:[คะแนนเต็ม]])*tbl_task6[[%]:[%]])</calculatedColumnFormula>
    </tableColumn>
    <tableColumn id="188" name="S69" dataDxfId="1496">
      <calculatedColumnFormula>IF(ISBLANK(tbl_task6[[คะแนนเต็ม]:[คะแนนเต็ม]]),"",(tbl_task6[69]/tbl_task6[[คะแนนเต็ม]:[คะแนนเต็ม]])*tbl_task6[[%]:[%]])</calculatedColumnFormula>
    </tableColumn>
    <tableColumn id="189" name="S70" dataDxfId="1495">
      <calculatedColumnFormula>IF(ISBLANK(tbl_task6[[คะแนนเต็ม]:[คะแนนเต็ม]]),"",(tbl_task6[70]/tbl_task6[[คะแนนเต็ม]:[คะแนนเต็ม]])*tbl_task6[[%]:[%]])</calculatedColumnFormula>
    </tableColumn>
    <tableColumn id="190" name="S71" dataDxfId="1494">
      <calculatedColumnFormula>IF(ISBLANK(tbl_task6[[คะแนนเต็ม]:[คะแนนเต็ม]]),"",(tbl_task6[71]/tbl_task6[[คะแนนเต็ม]:[คะแนนเต็ม]])*tbl_task6[[%]:[%]])</calculatedColumnFormula>
    </tableColumn>
    <tableColumn id="191" name="S72" dataDxfId="1493">
      <calculatedColumnFormula>IF(ISBLANK(tbl_task6[[คะแนนเต็ม]:[คะแนนเต็ม]]),"",(tbl_task6[72]/tbl_task6[[คะแนนเต็ม]:[คะแนนเต็ม]])*tbl_task6[[%]:[%]])</calculatedColumnFormula>
    </tableColumn>
    <tableColumn id="192" name="S73" dataDxfId="1492">
      <calculatedColumnFormula>IF(ISBLANK(tbl_task6[[คะแนนเต็ม]:[คะแนนเต็ม]]),"",(tbl_task6[73]/tbl_task6[[คะแนนเต็ม]:[คะแนนเต็ม]])*tbl_task6[[%]:[%]])</calculatedColumnFormula>
    </tableColumn>
    <tableColumn id="193" name="S74" dataDxfId="1491">
      <calculatedColumnFormula>IF(ISBLANK(tbl_task6[[คะแนนเต็ม]:[คะแนนเต็ม]]),"",(tbl_task6[74]/tbl_task6[[คะแนนเต็ม]:[คะแนนเต็ม]])*tbl_task6[[%]:[%]])</calculatedColumnFormula>
    </tableColumn>
    <tableColumn id="194" name="S75" dataDxfId="1490">
      <calculatedColumnFormula>IF(ISBLANK(tbl_task6[[คะแนนเต็ม]:[คะแนนเต็ม]]),"",(tbl_task6[75]/tbl_task6[[คะแนนเต็ม]:[คะแนนเต็ม]])*tbl_task6[[%]:[%]])</calculatedColumnFormula>
    </tableColumn>
    <tableColumn id="195" name="S76" dataDxfId="1489">
      <calculatedColumnFormula>IF(ISBLANK(tbl_task6[[คะแนนเต็ม]:[คะแนนเต็ม]]),"",(tbl_task6[76]/tbl_task6[[คะแนนเต็ม]:[คะแนนเต็ม]])*tbl_task6[[%]:[%]])</calculatedColumnFormula>
    </tableColumn>
    <tableColumn id="196" name="S77" dataDxfId="1488">
      <calculatedColumnFormula>IF(ISBLANK(tbl_task6[[คะแนนเต็ม]:[คะแนนเต็ม]]),"",(tbl_task6[77]/tbl_task6[[คะแนนเต็ม]:[คะแนนเต็ม]])*tbl_task6[[%]:[%]])</calculatedColumnFormula>
    </tableColumn>
    <tableColumn id="197" name="S78" dataDxfId="1487">
      <calculatedColumnFormula>IF(ISBLANK(tbl_task6[[คะแนนเต็ม]:[คะแนนเต็ม]]),"",(tbl_task6[78]/tbl_task6[[คะแนนเต็ม]:[คะแนนเต็ม]])*tbl_task6[[%]:[%]])</calculatedColumnFormula>
    </tableColumn>
    <tableColumn id="198" name="S79" dataDxfId="1486">
      <calculatedColumnFormula>IF(ISBLANK(tbl_task6[[คะแนนเต็ม]:[คะแนนเต็ม]]),"",(tbl_task6[79]/tbl_task6[[คะแนนเต็ม]:[คะแนนเต็ม]])*tbl_task6[[%]:[%]])</calculatedColumnFormula>
    </tableColumn>
    <tableColumn id="199" name="S80" dataDxfId="1485">
      <calculatedColumnFormula>IF(ISBLANK(tbl_task6[[คะแนนเต็ม]:[คะแนนเต็ม]]),"",(tbl_task6[80]/tbl_task6[[คะแนนเต็ม]:[คะแนนเต็ม]])*tbl_task6[[%]:[%]])</calculatedColumnFormula>
    </tableColumn>
    <tableColumn id="200" name="S81" dataDxfId="1484">
      <calculatedColumnFormula>IF(ISBLANK(tbl_task6[[คะแนนเต็ม]:[คะแนนเต็ม]]),"",(tbl_task6[81]/tbl_task6[[คะแนนเต็ม]:[คะแนนเต็ม]])*tbl_task6[[%]:[%]])</calculatedColumnFormula>
    </tableColumn>
    <tableColumn id="201" name="S82" dataDxfId="1483">
      <calculatedColumnFormula>IF(ISBLANK(tbl_task6[[คะแนนเต็ม]:[คะแนนเต็ม]]),"",(tbl_task6[82]/tbl_task6[[คะแนนเต็ม]:[คะแนนเต็ม]])*tbl_task6[[%]:[%]])</calculatedColumnFormula>
    </tableColumn>
    <tableColumn id="202" name="S83" dataDxfId="1482">
      <calculatedColumnFormula>IF(ISBLANK(tbl_task6[[คะแนนเต็ม]:[คะแนนเต็ม]]),"",(tbl_task6[83]/tbl_task6[[คะแนนเต็ม]:[คะแนนเต็ม]])*tbl_task6[[%]:[%]])</calculatedColumnFormula>
    </tableColumn>
    <tableColumn id="203" name="S84" dataDxfId="1481">
      <calculatedColumnFormula>IF(ISBLANK(tbl_task6[[คะแนนเต็ม]:[คะแนนเต็ม]]),"",(tbl_task6[84]/tbl_task6[[คะแนนเต็ม]:[คะแนนเต็ม]])*tbl_task6[[%]:[%]])</calculatedColumnFormula>
    </tableColumn>
    <tableColumn id="204" name="S85" dataDxfId="1480">
      <calculatedColumnFormula>IF(ISBLANK(tbl_task6[[คะแนนเต็ม]:[คะแนนเต็ม]]),"",(tbl_task6[85]/tbl_task6[[คะแนนเต็ม]:[คะแนนเต็ม]])*tbl_task6[[%]:[%]])</calculatedColumnFormula>
    </tableColumn>
    <tableColumn id="286" name="S86" dataDxfId="1479">
      <calculatedColumnFormula>IF(ISBLANK(tbl_task6[[คะแนนเต็ม]:[คะแนนเต็ม]]),"",(tbl_task6[86]/tbl_task6[[คะแนนเต็ม]:[คะแนนเต็ม]])*tbl_task6[[%]:[%]])</calculatedColumnFormula>
    </tableColumn>
    <tableColumn id="287" name="S87" dataDxfId="1478">
      <calculatedColumnFormula>IF(ISBLANK(tbl_task6[[คะแนนเต็ม]:[คะแนนเต็ม]]),"",(tbl_task6[87]/tbl_task6[[คะแนนเต็ม]:[คะแนนเต็ม]])*tbl_task6[[%]:[%]])</calculatedColumnFormula>
    </tableColumn>
    <tableColumn id="288" name="S88" dataDxfId="1477">
      <calculatedColumnFormula>IF(ISBLANK(tbl_task6[[คะแนนเต็ม]:[คะแนนเต็ม]]),"",(tbl_task6[88]/tbl_task6[[คะแนนเต็ม]:[คะแนนเต็ม]])*tbl_task6[[%]:[%]])</calculatedColumnFormula>
    </tableColumn>
    <tableColumn id="289" name="S89" dataDxfId="1476">
      <calculatedColumnFormula>IF(ISBLANK(tbl_task6[[คะแนนเต็ม]:[คะแนนเต็ม]]),"",(tbl_task6[89]/tbl_task6[[คะแนนเต็ม]:[คะแนนเต็ม]])*tbl_task6[[%]:[%]])</calculatedColumnFormula>
    </tableColumn>
    <tableColumn id="290" name="S90" dataDxfId="1475">
      <calculatedColumnFormula>IF(ISBLANK(tbl_task6[[คะแนนเต็ม]:[คะแนนเต็ม]]),"",(tbl_task6[90]/tbl_task6[[คะแนนเต็ม]:[คะแนนเต็ม]])*tbl_task6[[%]:[%]])</calculatedColumnFormula>
    </tableColumn>
    <tableColumn id="291" name="S91" dataDxfId="1474">
      <calculatedColumnFormula>IF(ISBLANK(tbl_task6[[คะแนนเต็ม]:[คะแนนเต็ม]]),"",(tbl_task6[91]/tbl_task6[[คะแนนเต็ม]:[คะแนนเต็ม]])*tbl_task6[[%]:[%]])</calculatedColumnFormula>
    </tableColumn>
    <tableColumn id="292" name="S92" dataDxfId="1473">
      <calculatedColumnFormula>IF(ISBLANK(tbl_task6[[คะแนนเต็ม]:[คะแนนเต็ม]]),"",(tbl_task6[92]/tbl_task6[[คะแนนเต็ม]:[คะแนนเต็ม]])*tbl_task6[[%]:[%]])</calculatedColumnFormula>
    </tableColumn>
    <tableColumn id="293" name="S93" dataDxfId="1472">
      <calculatedColumnFormula>IF(ISBLANK(tbl_task6[[คะแนนเต็ม]:[คะแนนเต็ม]]),"",(tbl_task6[93]/tbl_task6[[คะแนนเต็ม]:[คะแนนเต็ม]])*tbl_task6[[%]:[%]])</calculatedColumnFormula>
    </tableColumn>
    <tableColumn id="294" name="S94" dataDxfId="1471">
      <calculatedColumnFormula>IF(ISBLANK(tbl_task6[[คะแนนเต็ม]:[คะแนนเต็ม]]),"",(tbl_task6[94]/tbl_task6[[คะแนนเต็ม]:[คะแนนเต็ม]])*tbl_task6[[%]:[%]])</calculatedColumnFormula>
    </tableColumn>
    <tableColumn id="295" name="S95" dataDxfId="1470">
      <calculatedColumnFormula>IF(ISBLANK(tbl_task6[[คะแนนเต็ม]:[คะแนนเต็ม]]),"",(tbl_task6[95]/tbl_task6[[คะแนนเต็ม]:[คะแนนเต็ม]])*tbl_task6[[%]:[%]])</calculatedColumnFormula>
    </tableColumn>
    <tableColumn id="296" name="S96" dataDxfId="1469">
      <calculatedColumnFormula>IF(ISBLANK(tbl_task6[[คะแนนเต็ม]:[คะแนนเต็ม]]),"",(tbl_task6[96]/tbl_task6[[คะแนนเต็ม]:[คะแนนเต็ม]])*tbl_task6[[%]:[%]])</calculatedColumnFormula>
    </tableColumn>
    <tableColumn id="297" name="S97" dataDxfId="1468">
      <calculatedColumnFormula>IF(ISBLANK(tbl_task6[[คะแนนเต็ม]:[คะแนนเต็ม]]),"",(tbl_task6[97]/tbl_task6[[คะแนนเต็ม]:[คะแนนเต็ม]])*tbl_task6[[%]:[%]])</calculatedColumnFormula>
    </tableColumn>
    <tableColumn id="298" name="S98" dataDxfId="1467">
      <calculatedColumnFormula>IF(ISBLANK(tbl_task6[[คะแนนเต็ม]:[คะแนนเต็ม]]),"",(tbl_task6[98]/tbl_task6[[คะแนนเต็ม]:[คะแนนเต็ม]])*tbl_task6[[%]:[%]])</calculatedColumnFormula>
    </tableColumn>
    <tableColumn id="299" name="S99" dataDxfId="1466">
      <calculatedColumnFormula>IF(ISBLANK(tbl_task6[[คะแนนเต็ม]:[คะแนนเต็ม]]),"",(tbl_task6[99]/tbl_task6[[คะแนนเต็ม]:[คะแนนเต็ม]])*tbl_task6[[%]:[%]])</calculatedColumnFormula>
    </tableColumn>
    <tableColumn id="300" name="S100" dataDxfId="1465">
      <calculatedColumnFormula>IF(ISBLANK(tbl_task6[[คะแนนเต็ม]:[คะแนนเต็ม]]),"",(tbl_task6[100]/tbl_task6[[คะแนนเต็ม]:[คะแนนเต็ม]])*tbl_task6[[%]:[%]])</calculatedColumnFormula>
    </tableColumn>
    <tableColumn id="301" name="S101" dataDxfId="1464">
      <calculatedColumnFormula>IF(ISBLANK(tbl_task6[[คะแนนเต็ม]:[คะแนนเต็ม]]),"",(tbl_task6[101]/tbl_task6[[คะแนนเต็ม]:[คะแนนเต็ม]])*tbl_task6[[%]:[%]])</calculatedColumnFormula>
    </tableColumn>
    <tableColumn id="302" name="S102" dataDxfId="1463">
      <calculatedColumnFormula>IF(ISBLANK(tbl_task6[[คะแนนเต็ม]:[คะแนนเต็ม]]),"",(tbl_task6[102]/tbl_task6[[คะแนนเต็ม]:[คะแนนเต็ม]])*tbl_task6[[%]:[%]])</calculatedColumnFormula>
    </tableColumn>
    <tableColumn id="303" name="S103" dataDxfId="1462">
      <calculatedColumnFormula>IF(ISBLANK(tbl_task6[[คะแนนเต็ม]:[คะแนนเต็ม]]),"",(tbl_task6[103]/tbl_task6[[คะแนนเต็ม]:[คะแนนเต็ม]])*tbl_task6[[%]:[%]])</calculatedColumnFormula>
    </tableColumn>
    <tableColumn id="304" name="S104" dataDxfId="1461">
      <calculatedColumnFormula>IF(ISBLANK(tbl_task6[[คะแนนเต็ม]:[คะแนนเต็ม]]),"",(tbl_task6[104]/tbl_task6[[คะแนนเต็ม]:[คะแนนเต็ม]])*tbl_task6[[%]:[%]])</calculatedColumnFormula>
    </tableColumn>
    <tableColumn id="305" name="S105" dataDxfId="1460">
      <calculatedColumnFormula>IF(ISBLANK(tbl_task6[[คะแนนเต็ม]:[คะแนนเต็ม]]),"",(tbl_task6[105]/tbl_task6[[คะแนนเต็ม]:[คะแนนเต็ม]])*tbl_task6[[%]:[%]])</calculatedColumnFormula>
    </tableColumn>
    <tableColumn id="306" name="S106" dataDxfId="1459">
      <calculatedColumnFormula>IF(ISBLANK(tbl_task6[[คะแนนเต็ม]:[คะแนนเต็ม]]),"",(tbl_task6[106]/tbl_task6[[คะแนนเต็ม]:[คะแนนเต็ม]])*tbl_task6[[%]:[%]])</calculatedColumnFormula>
    </tableColumn>
    <tableColumn id="307" name="S107" dataDxfId="1458">
      <calculatedColumnFormula>IF(ISBLANK(tbl_task6[[คะแนนเต็ม]:[คะแนนเต็ม]]),"",(tbl_task6[107]/tbl_task6[[คะแนนเต็ม]:[คะแนนเต็ม]])*tbl_task6[[%]:[%]])</calculatedColumnFormula>
    </tableColumn>
    <tableColumn id="308" name="S108" dataDxfId="1457">
      <calculatedColumnFormula>IF(ISBLANK(tbl_task6[[คะแนนเต็ม]:[คะแนนเต็ม]]),"",(tbl_task6[108]/tbl_task6[[คะแนนเต็ม]:[คะแนนเต็ม]])*tbl_task6[[%]:[%]])</calculatedColumnFormula>
    </tableColumn>
    <tableColumn id="309" name="S109" dataDxfId="1456">
      <calculatedColumnFormula>IF(ISBLANK(tbl_task6[[คะแนนเต็ม]:[คะแนนเต็ม]]),"",(tbl_task6[109]/tbl_task6[[คะแนนเต็ม]:[คะแนนเต็ม]])*tbl_task6[[%]:[%]])</calculatedColumnFormula>
    </tableColumn>
    <tableColumn id="310" name="S110" dataDxfId="1455">
      <calculatedColumnFormula>IF(ISBLANK(tbl_task6[[คะแนนเต็ม]:[คะแนนเต็ม]]),"",(tbl_task6[110]/tbl_task6[[คะแนนเต็ม]:[คะแนนเต็ม]])*tbl_task6[[%]:[%]])</calculatedColumnFormula>
    </tableColumn>
    <tableColumn id="311" name="S111" dataDxfId="1454">
      <calculatedColumnFormula>IF(ISBLANK(tbl_task6[[คะแนนเต็ม]:[คะแนนเต็ม]]),"",(tbl_task6[111]/tbl_task6[[คะแนนเต็ม]:[คะแนนเต็ม]])*tbl_task6[[%]:[%]])</calculatedColumnFormula>
    </tableColumn>
    <tableColumn id="312" name="S112" dataDxfId="1453">
      <calculatedColumnFormula>IF(ISBLANK(tbl_task6[[คะแนนเต็ม]:[คะแนนเต็ม]]),"",(tbl_task6[112]/tbl_task6[[คะแนนเต็ม]:[คะแนนเต็ม]])*tbl_task6[[%]:[%]])</calculatedColumnFormula>
    </tableColumn>
    <tableColumn id="313" name="S113" dataDxfId="1452">
      <calculatedColumnFormula>IF(ISBLANK(tbl_task6[[คะแนนเต็ม]:[คะแนนเต็ม]]),"",(tbl_task6[113]/tbl_task6[[คะแนนเต็ม]:[คะแนนเต็ม]])*tbl_task6[[%]:[%]])</calculatedColumnFormula>
    </tableColumn>
    <tableColumn id="314" name="S114" dataDxfId="1451">
      <calculatedColumnFormula>IF(ISBLANK(tbl_task6[[คะแนนเต็ม]:[คะแนนเต็ม]]),"",(tbl_task6[114]/tbl_task6[[คะแนนเต็ม]:[คะแนนเต็ม]])*tbl_task6[[%]:[%]])</calculatedColumnFormula>
    </tableColumn>
    <tableColumn id="315" name="S115" dataDxfId="1450">
      <calculatedColumnFormula>IF(ISBLANK(tbl_task6[[คะแนนเต็ม]:[คะแนนเต็ม]]),"",(tbl_task6[115]/tbl_task6[[คะแนนเต็ม]:[คะแนนเต็ม]])*tbl_task6[[%]:[%]])</calculatedColumnFormula>
    </tableColumn>
    <tableColumn id="205" name="S116" dataDxfId="1449">
      <calculatedColumnFormula>IF(ISBLANK(tbl_task6[[คะแนนเต็ม]:[คะแนนเต็ม]]),"",(tbl_task6[116]/tbl_task6[[คะแนนเต็ม]:[คะแนนเต็ม]])*tbl_task6[[%]:[%]])</calculatedColumnFormula>
    </tableColumn>
    <tableColumn id="206" name="S117" dataDxfId="1448">
      <calculatedColumnFormula>IF(ISBLANK(tbl_task6[[คะแนนเต็ม]:[คะแนนเต็ม]]),"",(tbl_task6[117]/tbl_task6[[คะแนนเต็ม]:[คะแนนเต็ม]])*tbl_task6[[%]:[%]])</calculatedColumnFormula>
    </tableColumn>
    <tableColumn id="207" name="S118" dataDxfId="1447">
      <calculatedColumnFormula>IF(ISBLANK(tbl_task6[[คะแนนเต็ม]:[คะแนนเต็ม]]),"",(tbl_task6[118]/tbl_task6[[คะแนนเต็ม]:[คะแนนเต็ม]])*tbl_task6[[%]:[%]])</calculatedColumnFormula>
    </tableColumn>
    <tableColumn id="208" name="S119" dataDxfId="1446">
      <calculatedColumnFormula>IF(ISBLANK(tbl_task6[[คะแนนเต็ม]:[คะแนนเต็ม]]),"",(tbl_task6[119]/tbl_task6[[คะแนนเต็ม]:[คะแนนเต็ม]])*tbl_task6[[%]:[%]])</calculatedColumnFormula>
    </tableColumn>
    <tableColumn id="209" name="S120" dataDxfId="1445">
      <calculatedColumnFormula>IF(ISBLANK(tbl_task6[[คะแนนเต็ม]:[คะแนนเต็ม]]),"",(tbl_task6[120]/tbl_task6[[คะแนนเต็ม]:[คะแนนเต็ม]])*tbl_task6[[%]:[%]])</calculatedColumnFormula>
    </tableColumn>
    <tableColumn id="210" name="S121" dataDxfId="1444">
      <calculatedColumnFormula>IF(ISBLANK(tbl_task6[[คะแนนเต็ม]:[คะแนนเต็ม]]),"",(tbl_task6[121]/tbl_task6[[คะแนนเต็ม]:[คะแนนเต็ม]])*tbl_task6[[%]:[%]])</calculatedColumnFormula>
    </tableColumn>
    <tableColumn id="211" name="S122" dataDxfId="1443">
      <calculatedColumnFormula>IF(ISBLANK(tbl_task6[[คะแนนเต็ม]:[คะแนนเต็ม]]),"",(tbl_task6[122]/tbl_task6[[คะแนนเต็ม]:[คะแนนเต็ม]])*tbl_task6[[%]:[%]])</calculatedColumnFormula>
    </tableColumn>
    <tableColumn id="316" name="S123" dataDxfId="1442">
      <calculatedColumnFormula>IF(ISBLANK(tbl_task6[[คะแนนเต็ม]:[คะแนนเต็ม]]),"",(tbl_task6[123]/tbl_task6[[คะแนนเต็ม]:[คะแนนเต็ม]])*tbl_task6[[%]:[%]])</calculatedColumnFormula>
    </tableColumn>
    <tableColumn id="317" name="S124" dataDxfId="1441">
      <calculatedColumnFormula>IF(ISBLANK(tbl_task6[[คะแนนเต็ม]:[คะแนนเต็ม]]),"",(tbl_task6[124]/tbl_task6[[คะแนนเต็ม]:[คะแนนเต็ม]])*tbl_task6[[%]:[%]])</calculatedColumnFormula>
    </tableColumn>
    <tableColumn id="318" name="S125" dataDxfId="1440">
      <calculatedColumnFormula>IF(ISBLANK(tbl_task6[[คะแนนเต็ม]:[คะแนนเต็ม]]),"",(tbl_task6[125]/tbl_task6[[คะแนนเต็ม]:[คะแนนเต็ม]])*tbl_task6[[%]:[%]])</calculatedColumnFormula>
    </tableColumn>
    <tableColumn id="319" name="S126" dataDxfId="1439">
      <calculatedColumnFormula>IF(ISBLANK(tbl_task6[[คะแนนเต็ม]:[คะแนนเต็ม]]),"",(tbl_task6[126]/tbl_task6[[คะแนนเต็ม]:[คะแนนเต็ม]])*tbl_task6[[%]:[%]])</calculatedColumnFormula>
    </tableColumn>
    <tableColumn id="320" name="S127" dataDxfId="1438">
      <calculatedColumnFormula>IF(ISBLANK(tbl_task6[[คะแนนเต็ม]:[คะแนนเต็ม]]),"",(tbl_task6[127]/tbl_task6[[คะแนนเต็ม]:[คะแนนเต็ม]])*tbl_task6[[%]:[%]])</calculatedColumnFormula>
    </tableColumn>
    <tableColumn id="321" name="S128" dataDxfId="1437">
      <calculatedColumnFormula>IF(ISBLANK(tbl_task6[[คะแนนเต็ม]:[คะแนนเต็ม]]),"",(tbl_task6[128]/tbl_task6[[คะแนนเต็ม]:[คะแนนเต็ม]])*tbl_task6[[%]:[%]])</calculatedColumnFormula>
    </tableColumn>
    <tableColumn id="322" name="S129" dataDxfId="1436">
      <calculatedColumnFormula>IF(ISBLANK(tbl_task6[[คะแนนเต็ม]:[คะแนนเต็ม]]),"",(tbl_task6[129]/tbl_task6[[คะแนนเต็ม]:[คะแนนเต็ม]])*tbl_task6[[%]:[%]])</calculatedColumnFormula>
    </tableColumn>
    <tableColumn id="212" name="S130" dataDxfId="1435">
      <calculatedColumnFormula>IF(ISBLANK(tbl_task6[[คะแนนเต็ม]:[คะแนนเต็ม]]),"",(tbl_task6[130]/tbl_task6[[คะแนนเต็ม]:[คะแนนเต็ม]])*tbl_task6[[%]:[%]])</calculatedColumnFormula>
    </tableColumn>
    <tableColumn id="213" name="S131" dataDxfId="1434">
      <calculatedColumnFormula>IF(ISBLANK(tbl_task6[[คะแนนเต็ม]:[คะแนนเต็ม]]),"",(tbl_task6[131]/tbl_task6[[คะแนนเต็ม]:[คะแนนเต็ม]])*tbl_task6[[%]:[%]])</calculatedColumnFormula>
    </tableColumn>
    <tableColumn id="214" name="S132" dataDxfId="1433">
      <calculatedColumnFormula>IF(ISBLANK(tbl_task6[[คะแนนเต็ม]:[คะแนนเต็ม]]),"",(tbl_task6[132]/tbl_task6[[คะแนนเต็ม]:[คะแนนเต็ม]])*tbl_task6[[%]:[%]])</calculatedColumnFormula>
    </tableColumn>
    <tableColumn id="215" name="S133" dataDxfId="1432">
      <calculatedColumnFormula>IF(ISBLANK(tbl_task6[[คะแนนเต็ม]:[คะแนนเต็ม]]),"",(tbl_task6[133]/tbl_task6[[คะแนนเต็ม]:[คะแนนเต็ม]])*tbl_task6[[%]:[%]])</calculatedColumnFormula>
    </tableColumn>
    <tableColumn id="216" name="S134" dataDxfId="1431">
      <calculatedColumnFormula>IF(ISBLANK(tbl_task6[[คะแนนเต็ม]:[คะแนนเต็ม]]),"",(tbl_task6[134]/tbl_task6[[คะแนนเต็ม]:[คะแนนเต็ม]])*tbl_task6[[%]:[%]])</calculatedColumnFormula>
    </tableColumn>
    <tableColumn id="217" name="S135" dataDxfId="1430">
      <calculatedColumnFormula>IF(ISBLANK(tbl_task6[[คะแนนเต็ม]:[คะแนนเต็ม]]),"",(tbl_task6[135]/tbl_task6[[คะแนนเต็ม]:[คะแนนเต็ม]])*tbl_task6[[%]:[%]])</calculatedColumnFormula>
    </tableColumn>
    <tableColumn id="218" name="S136" dataDxfId="1429">
      <calculatedColumnFormula>IF(ISBLANK(tbl_task6[[คะแนนเต็ม]:[คะแนนเต็ม]]),"",(tbl_task6[136]/tbl_task6[[คะแนนเต็ม]:[คะแนนเต็ม]])*tbl_task6[[%]:[%]])</calculatedColumnFormula>
    </tableColumn>
    <tableColumn id="219" name="S137" dataDxfId="1428">
      <calculatedColumnFormula>IF(ISBLANK(tbl_task6[[คะแนนเต็ม]:[คะแนนเต็ม]]),"",(tbl_task6[137]/tbl_task6[[คะแนนเต็ม]:[คะแนนเต็ม]])*tbl_task6[[%]:[%]])</calculatedColumnFormula>
    </tableColumn>
    <tableColumn id="220" name="S138" dataDxfId="1427">
      <calculatedColumnFormula>IF(ISBLANK(tbl_task6[[คะแนนเต็ม]:[คะแนนเต็ม]]),"",(tbl_task6[138]/tbl_task6[[คะแนนเต็ม]:[คะแนนเต็ม]])*tbl_task6[[%]:[%]])</calculatedColumnFormula>
    </tableColumn>
    <tableColumn id="221" name="S139" dataDxfId="1426">
      <calculatedColumnFormula>IF(ISBLANK(tbl_task6[[คะแนนเต็ม]:[คะแนนเต็ม]]),"",(tbl_task6[139]/tbl_task6[[คะแนนเต็ม]:[คะแนนเต็ม]])*tbl_task6[[%]:[%]])</calculatedColumnFormula>
    </tableColumn>
    <tableColumn id="222" name="S140" dataDxfId="1425">
      <calculatedColumnFormula>IF(ISBLANK(tbl_task6[[คะแนนเต็ม]:[คะแนนเต็ม]]),"",(tbl_task6[140]/tbl_task6[[คะแนนเต็ม]:[คะแนนเต็ม]])*tbl_task6[[%]:[%]])</calculatedColumnFormula>
    </tableColumn>
    <tableColumn id="223" name="S141" dataDxfId="1424">
      <calculatedColumnFormula>IF(ISBLANK(tbl_task6[[คะแนนเต็ม]:[คะแนนเต็ม]]),"",(tbl_task6[141]/tbl_task6[[คะแนนเต็ม]:[คะแนนเต็ม]])*tbl_task6[[%]:[%]])</calculatedColumnFormula>
    </tableColumn>
    <tableColumn id="323" name="S142" dataDxfId="1423">
      <calculatedColumnFormula>IF(ISBLANK(tbl_task6[[คะแนนเต็ม]:[คะแนนเต็ม]]),"",(tbl_task6[142]/tbl_task6[[คะแนนเต็ม]:[คะแนนเต็ม]])*tbl_task6[[%]:[%]])</calculatedColumnFormula>
    </tableColumn>
    <tableColumn id="324" name="S143" dataDxfId="1422">
      <calculatedColumnFormula>IF(ISBLANK(tbl_task6[[คะแนนเต็ม]:[คะแนนเต็ม]]),"",(tbl_task6[143]/tbl_task6[[คะแนนเต็ม]:[คะแนนเต็ม]])*tbl_task6[[%]:[%]])</calculatedColumnFormula>
    </tableColumn>
    <tableColumn id="325" name="S144" dataDxfId="1421">
      <calculatedColumnFormula>IF(ISBLANK(tbl_task6[[คะแนนเต็ม]:[คะแนนเต็ม]]),"",(tbl_task6[144]/tbl_task6[[คะแนนเต็ม]:[คะแนนเต็ม]])*tbl_task6[[%]:[%]])</calculatedColumnFormula>
    </tableColumn>
    <tableColumn id="326" name="S145" dataDxfId="1420">
      <calculatedColumnFormula>IF(ISBLANK(tbl_task6[[คะแนนเต็ม]:[คะแนนเต็ม]]),"",(tbl_task6[145]/tbl_task6[[คะแนนเต็ม]:[คะแนนเต็ม]])*tbl_task6[[%]:[%]])</calculatedColumnFormula>
    </tableColumn>
    <tableColumn id="327" name="S146" dataDxfId="1419">
      <calculatedColumnFormula>IF(ISBLANK(tbl_task6[[คะแนนเต็ม]:[คะแนนเต็ม]]),"",(tbl_task6[146]/tbl_task6[[คะแนนเต็ม]:[คะแนนเต็ม]])*tbl_task6[[%]:[%]])</calculatedColumnFormula>
    </tableColumn>
    <tableColumn id="328" name="S147" dataDxfId="1418">
      <calculatedColumnFormula>IF(ISBLANK(tbl_task6[[คะแนนเต็ม]:[คะแนนเต็ม]]),"",(tbl_task6[147]/tbl_task6[[คะแนนเต็ม]:[คะแนนเต็ม]])*tbl_task6[[%]:[%]])</calculatedColumnFormula>
    </tableColumn>
    <tableColumn id="329" name="S148" dataDxfId="1417">
      <calculatedColumnFormula>IF(ISBLANK(tbl_task6[[คะแนนเต็ม]:[คะแนนเต็ม]]),"",(tbl_task6[148]/tbl_task6[[คะแนนเต็ม]:[คะแนนเต็ม]])*tbl_task6[[%]:[%]])</calculatedColumnFormula>
    </tableColumn>
    <tableColumn id="330" name="S149" dataDxfId="1416">
      <calculatedColumnFormula>IF(ISBLANK(tbl_task6[[คะแนนเต็ม]:[คะแนนเต็ม]]),"",(tbl_task6[149]/tbl_task6[[คะแนนเต็ม]:[คะแนนเต็ม]])*tbl_task6[[%]:[%]])</calculatedColumnFormula>
    </tableColumn>
    <tableColumn id="331" name="S150" dataDxfId="1415">
      <calculatedColumnFormula>IF(ISBLANK(tbl_task6[[คะแนนเต็ม]:[คะแนนเต็ม]]),"",(tbl_task6[150]/tbl_task6[[คะแนนเต็ม]:[คะแนนเต็ม]])*tbl_task6[[%]:[%]])</calculatedColumnFormula>
    </tableColumn>
    <tableColumn id="332" name="S151" dataDxfId="1414">
      <calculatedColumnFormula>IF(ISBLANK(tbl_task6[[คะแนนเต็ม]:[คะแนนเต็ม]]),"",(tbl_task6[151]/tbl_task6[[คะแนนเต็ม]:[คะแนนเต็ม]])*tbl_task6[[%]:[%]])</calculatedColumnFormula>
    </tableColumn>
    <tableColumn id="333" name="S152" dataDxfId="1413">
      <calculatedColumnFormula>IF(ISBLANK(tbl_task6[[คะแนนเต็ม]:[คะแนนเต็ม]]),"",(tbl_task6[152]/tbl_task6[[คะแนนเต็ม]:[คะแนนเต็ม]])*tbl_task6[[%]:[%]])</calculatedColumnFormula>
    </tableColumn>
    <tableColumn id="224" name="S153" dataDxfId="1412">
      <calculatedColumnFormula>IF(ISBLANK(tbl_task6[[คะแนนเต็ม]:[คะแนนเต็ม]]),"",(tbl_task6[153]/tbl_task6[[คะแนนเต็ม]:[คะแนนเต็ม]])*tbl_task6[[%]:[%]])</calculatedColumnFormula>
    </tableColumn>
    <tableColumn id="225" name="S154" dataDxfId="1411">
      <calculatedColumnFormula>IF(ISBLANK(tbl_task6[[คะแนนเต็ม]:[คะแนนเต็ม]]),"",(tbl_task6[154]/tbl_task6[[คะแนนเต็ม]:[คะแนนเต็ม]])*tbl_task6[[%]:[%]])</calculatedColumnFormula>
    </tableColumn>
    <tableColumn id="226" name="S155" dataDxfId="1410">
      <calculatedColumnFormula>IF(ISBLANK(tbl_task6[[คะแนนเต็ม]:[คะแนนเต็ม]]),"",(tbl_task6[155]/tbl_task6[[คะแนนเต็ม]:[คะแนนเต็ม]])*tbl_task6[[%]:[%]])</calculatedColumnFormula>
    </tableColumn>
    <tableColumn id="227" name="S156" dataDxfId="1409">
      <calculatedColumnFormula>IF(ISBLANK(tbl_task6[[คะแนนเต็ม]:[คะแนนเต็ม]]),"",(tbl_task6[156]/tbl_task6[[คะแนนเต็ม]:[คะแนนเต็ม]])*tbl_task6[[%]:[%]])</calculatedColumnFormula>
    </tableColumn>
    <tableColumn id="228" name="S157" dataDxfId="1408">
      <calculatedColumnFormula>IF(ISBLANK(tbl_task6[[คะแนนเต็ม]:[คะแนนเต็ม]]),"",(tbl_task6[157]/tbl_task6[[คะแนนเต็ม]:[คะแนนเต็ม]])*tbl_task6[[%]:[%]])</calculatedColumnFormula>
    </tableColumn>
    <tableColumn id="229" name="S158" dataDxfId="1407">
      <calculatedColumnFormula>IF(ISBLANK(tbl_task6[[คะแนนเต็ม]:[คะแนนเต็ม]]),"",(tbl_task6[158]/tbl_task6[[คะแนนเต็ม]:[คะแนนเต็ม]])*tbl_task6[[%]:[%]])</calculatedColumnFormula>
    </tableColumn>
    <tableColumn id="230" name="S159" dataDxfId="1406">
      <calculatedColumnFormula>IF(ISBLANK(tbl_task6[[คะแนนเต็ม]:[คะแนนเต็ม]]),"",(tbl_task6[159]/tbl_task6[[คะแนนเต็ม]:[คะแนนเต็ม]])*tbl_task6[[%]:[%]])</calculatedColumnFormula>
    </tableColumn>
    <tableColumn id="231" name="S160" dataDxfId="1405">
      <calculatedColumnFormula>IF(ISBLANK(tbl_task6[[คะแนนเต็ม]:[คะแนนเต็ม]]),"",(tbl_task6[160]/tbl_task6[[คะแนนเต็ม]:[คะแนนเต็ม]])*tbl_task6[[%]:[%]])</calculatedColumnFormula>
    </tableColumn>
    <tableColumn id="232" name="S161" dataDxfId="1404">
      <calculatedColumnFormula>IF(ISBLANK(tbl_task6[[คะแนนเต็ม]:[คะแนนเต็ม]]),"",(tbl_task6[161]/tbl_task6[[คะแนนเต็ม]:[คะแนนเต็ม]])*tbl_task6[[%]:[%]])</calculatedColumnFormula>
    </tableColumn>
    <tableColumn id="334" name="S162" dataDxfId="1403">
      <calculatedColumnFormula>IF(ISBLANK(tbl_task6[[คะแนนเต็ม]:[คะแนนเต็ม]]),"",(tbl_task6[162]/tbl_task6[[คะแนนเต็ม]:[คะแนนเต็ม]])*tbl_task6[[%]:[%]])</calculatedColumnFormula>
    </tableColumn>
    <tableColumn id="335" name="S163" dataDxfId="1402">
      <calculatedColumnFormula>IF(ISBLANK(tbl_task6[[คะแนนเต็ม]:[คะแนนเต็ม]]),"",(tbl_task6[163]/tbl_task6[[คะแนนเต็ม]:[คะแนนเต็ม]])*tbl_task6[[%]:[%]])</calculatedColumnFormula>
    </tableColumn>
    <tableColumn id="233" name="S164" dataDxfId="1401">
      <calculatedColumnFormula>IF(ISBLANK(tbl_task6[[คะแนนเต็ม]:[คะแนนเต็ม]]),"",(tbl_task6[164]/tbl_task6[[คะแนนเต็ม]:[คะแนนเต็ม]])*tbl_task6[[%]:[%]])</calculatedColumnFormula>
    </tableColumn>
    <tableColumn id="234" name="S165" dataDxfId="1400">
      <calculatedColumnFormula>IF(ISBLANK(tbl_task6[[คะแนนเต็ม]:[คะแนนเต็ม]]),"",(tbl_task6[165]/tbl_task6[[คะแนนเต็ม]:[คะแนนเต็ม]])*tbl_task6[[%]:[%]])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bl_task7" displayName="tbl_task7" ref="A3:LW28" totalsRowShown="0" headerRowDxfId="1399" dataDxfId="1397" headerRowBorderDxfId="1398" tableBorderDxfId="1396" totalsRowBorderDxfId="1395">
  <tableColumns count="335">
    <tableColumn id="1" name="No" dataDxfId="1394"/>
    <tableColumn id="2" name="SubPLOs" dataDxfId="1393"/>
    <tableColumn id="3" name="SubPLOs_name" dataDxfId="1392">
      <calculatedColumnFormula>IF(ISBLANK(B4),"",VLOOKUP(B4,tbl_PLOs[],2,0))</calculatedColumnFormula>
    </tableColumn>
    <tableColumn id="235" name="คะแนนเต็ม" dataDxfId="1391"/>
    <tableColumn id="4" name="%" dataDxfId="1390">
      <calculatedColumnFormula>IF(OR(ISBLANK(#REF!),ISBLANK(tbl_task7[[#This Row],[SubPLOs]])),"",#REF!/$B$29)</calculatedColumnFormula>
    </tableColumn>
    <tableColumn id="5" name="1" dataDxfId="1389"/>
    <tableColumn id="6" name="2" dataDxfId="1388"/>
    <tableColumn id="7" name="3" dataDxfId="1387"/>
    <tableColumn id="8" name="4" dataDxfId="1386"/>
    <tableColumn id="9" name="5" dataDxfId="1385"/>
    <tableColumn id="10" name="6" dataDxfId="1384"/>
    <tableColumn id="11" name="7" dataDxfId="1383"/>
    <tableColumn id="12" name="8" dataDxfId="1382"/>
    <tableColumn id="13" name="9" dataDxfId="1381"/>
    <tableColumn id="14" name="10" dataDxfId="1380"/>
    <tableColumn id="15" name="11" dataDxfId="1379"/>
    <tableColumn id="16" name="12" dataDxfId="1378"/>
    <tableColumn id="17" name="13" dataDxfId="1377"/>
    <tableColumn id="18" name="14" dataDxfId="1376"/>
    <tableColumn id="19" name="15" dataDxfId="1375"/>
    <tableColumn id="20" name="16" dataDxfId="1374"/>
    <tableColumn id="21" name="17" dataDxfId="1373"/>
    <tableColumn id="22" name="18" dataDxfId="1372"/>
    <tableColumn id="23" name="19" dataDxfId="1371"/>
    <tableColumn id="24" name="20" dataDxfId="1370"/>
    <tableColumn id="25" name="21" dataDxfId="1369"/>
    <tableColumn id="26" name="22" dataDxfId="1368"/>
    <tableColumn id="27" name="23" dataDxfId="1367"/>
    <tableColumn id="28" name="24" dataDxfId="1366"/>
    <tableColumn id="29" name="25" dataDxfId="1365"/>
    <tableColumn id="30" name="26" dataDxfId="1364"/>
    <tableColumn id="31" name="27" dataDxfId="1363"/>
    <tableColumn id="32" name="28" dataDxfId="1362"/>
    <tableColumn id="33" name="29" dataDxfId="1361"/>
    <tableColumn id="34" name="30" dataDxfId="1360"/>
    <tableColumn id="35" name="31" dataDxfId="1359"/>
    <tableColumn id="36" name="32" dataDxfId="1358"/>
    <tableColumn id="37" name="33" dataDxfId="1357"/>
    <tableColumn id="38" name="34" dataDxfId="1356"/>
    <tableColumn id="39" name="35" dataDxfId="1355"/>
    <tableColumn id="40" name="36" dataDxfId="1354"/>
    <tableColumn id="41" name="37" dataDxfId="1353"/>
    <tableColumn id="42" name="38" dataDxfId="1352"/>
    <tableColumn id="43" name="39" dataDxfId="1351"/>
    <tableColumn id="44" name="40" dataDxfId="1350"/>
    <tableColumn id="45" name="41" dataDxfId="1349"/>
    <tableColumn id="46" name="42" dataDxfId="1348"/>
    <tableColumn id="47" name="43" dataDxfId="1347"/>
    <tableColumn id="48" name="44" dataDxfId="1346"/>
    <tableColumn id="49" name="45" dataDxfId="1345"/>
    <tableColumn id="50" name="46" dataDxfId="1344"/>
    <tableColumn id="51" name="47" dataDxfId="1343"/>
    <tableColumn id="52" name="48" dataDxfId="1342"/>
    <tableColumn id="53" name="49" dataDxfId="1341"/>
    <tableColumn id="54" name="50" dataDxfId="1340"/>
    <tableColumn id="55" name="51" dataDxfId="1339"/>
    <tableColumn id="56" name="52" dataDxfId="1338"/>
    <tableColumn id="57" name="53" dataDxfId="1337"/>
    <tableColumn id="58" name="54" dataDxfId="1336"/>
    <tableColumn id="59" name="55" dataDxfId="1335"/>
    <tableColumn id="60" name="56" dataDxfId="1334"/>
    <tableColumn id="61" name="57" dataDxfId="1333"/>
    <tableColumn id="62" name="58" dataDxfId="1332"/>
    <tableColumn id="63" name="59" dataDxfId="1331"/>
    <tableColumn id="64" name="60" dataDxfId="1330"/>
    <tableColumn id="65" name="61" dataDxfId="1329"/>
    <tableColumn id="66" name="62" dataDxfId="1328"/>
    <tableColumn id="67" name="63" dataDxfId="1327"/>
    <tableColumn id="68" name="64" dataDxfId="1326"/>
    <tableColumn id="69" name="65" dataDxfId="1325"/>
    <tableColumn id="70" name="66" dataDxfId="1324"/>
    <tableColumn id="71" name="67" dataDxfId="1323"/>
    <tableColumn id="72" name="68" dataDxfId="1322"/>
    <tableColumn id="73" name="69" dataDxfId="1321"/>
    <tableColumn id="74" name="70" dataDxfId="1320"/>
    <tableColumn id="75" name="71" dataDxfId="1319"/>
    <tableColumn id="76" name="72" dataDxfId="1318"/>
    <tableColumn id="77" name="73" dataDxfId="1317"/>
    <tableColumn id="78" name="74" dataDxfId="1316"/>
    <tableColumn id="79" name="75" dataDxfId="1315"/>
    <tableColumn id="80" name="76" dataDxfId="1314"/>
    <tableColumn id="81" name="77" dataDxfId="1313"/>
    <tableColumn id="82" name="78" dataDxfId="1312"/>
    <tableColumn id="83" name="79" dataDxfId="1311"/>
    <tableColumn id="84" name="80" dataDxfId="1310"/>
    <tableColumn id="85" name="81" dataDxfId="1309"/>
    <tableColumn id="86" name="82" dataDxfId="1308"/>
    <tableColumn id="87" name="83" dataDxfId="1307"/>
    <tableColumn id="88" name="84" dataDxfId="1306"/>
    <tableColumn id="89" name="85" dataDxfId="1305"/>
    <tableColumn id="90" name="86" dataDxfId="1304"/>
    <tableColumn id="91" name="87" dataDxfId="1303"/>
    <tableColumn id="92" name="88" dataDxfId="1302"/>
    <tableColumn id="93" name="89" dataDxfId="1301"/>
    <tableColumn id="94" name="90" dataDxfId="1300"/>
    <tableColumn id="236" name="91" dataDxfId="1299"/>
    <tableColumn id="237" name="92" dataDxfId="1298"/>
    <tableColumn id="238" name="93" dataDxfId="1297"/>
    <tableColumn id="239" name="94" dataDxfId="1296"/>
    <tableColumn id="240" name="95" dataDxfId="1295"/>
    <tableColumn id="241" name="96" dataDxfId="1294"/>
    <tableColumn id="242" name="97" dataDxfId="1293"/>
    <tableColumn id="243" name="98" dataDxfId="1292"/>
    <tableColumn id="244" name="99" dataDxfId="1291"/>
    <tableColumn id="245" name="100" dataDxfId="1290"/>
    <tableColumn id="246" name="101" dataDxfId="1289"/>
    <tableColumn id="247" name="102" dataDxfId="1288"/>
    <tableColumn id="248" name="103" dataDxfId="1287"/>
    <tableColumn id="249" name="104" dataDxfId="1286"/>
    <tableColumn id="250" name="105" dataDxfId="1285"/>
    <tableColumn id="251" name="106" dataDxfId="1284"/>
    <tableColumn id="252" name="107" dataDxfId="1283"/>
    <tableColumn id="253" name="108" dataDxfId="1282"/>
    <tableColumn id="254" name="109" dataDxfId="1281"/>
    <tableColumn id="255" name="110" dataDxfId="1280"/>
    <tableColumn id="256" name="111" dataDxfId="1279"/>
    <tableColumn id="257" name="112" dataDxfId="1278"/>
    <tableColumn id="258" name="113" dataDxfId="1277"/>
    <tableColumn id="259" name="114" dataDxfId="1276"/>
    <tableColumn id="260" name="115" dataDxfId="1275"/>
    <tableColumn id="95" name="116" dataDxfId="1274"/>
    <tableColumn id="96" name="117" dataDxfId="1273"/>
    <tableColumn id="97" name="118" dataDxfId="1272"/>
    <tableColumn id="98" name="119" dataDxfId="1271"/>
    <tableColumn id="99" name="120" dataDxfId="1270"/>
    <tableColumn id="100" name="121" dataDxfId="1269"/>
    <tableColumn id="101" name="122" dataDxfId="1268"/>
    <tableColumn id="102" name="123" dataDxfId="1267"/>
    <tableColumn id="261" name="124" dataDxfId="1266"/>
    <tableColumn id="262" name="125" dataDxfId="1265"/>
    <tableColumn id="263" name="126" dataDxfId="1264"/>
    <tableColumn id="264" name="127" dataDxfId="1263"/>
    <tableColumn id="265" name="128" dataDxfId="1262"/>
    <tableColumn id="266" name="129" dataDxfId="1261"/>
    <tableColumn id="267" name="130" dataDxfId="1260"/>
    <tableColumn id="268" name="131" dataDxfId="1259"/>
    <tableColumn id="269" name="132" dataDxfId="1258"/>
    <tableColumn id="270" name="133" dataDxfId="1257"/>
    <tableColumn id="271" name="134" dataDxfId="1256"/>
    <tableColumn id="272" name="135" dataDxfId="1255"/>
    <tableColumn id="273" name="136" dataDxfId="1254"/>
    <tableColumn id="274" name="137" dataDxfId="1253"/>
    <tableColumn id="275" name="138" dataDxfId="1252"/>
    <tableColumn id="276" name="139" dataDxfId="1251"/>
    <tableColumn id="277" name="140" dataDxfId="1250"/>
    <tableColumn id="103" name="141" dataDxfId="1249"/>
    <tableColumn id="104" name="142" dataDxfId="1248"/>
    <tableColumn id="105" name="143" dataDxfId="1247"/>
    <tableColumn id="106" name="144" dataDxfId="1246"/>
    <tableColumn id="107" name="145" dataDxfId="1245"/>
    <tableColumn id="108" name="146" dataDxfId="1244"/>
    <tableColumn id="109" name="147" dataDxfId="1243"/>
    <tableColumn id="110" name="148" dataDxfId="1242"/>
    <tableColumn id="111" name="149" dataDxfId="1241"/>
    <tableColumn id="278" name="150" dataDxfId="1240"/>
    <tableColumn id="279" name="151" dataDxfId="1239"/>
    <tableColumn id="280" name="152" dataDxfId="1238"/>
    <tableColumn id="281" name="153" dataDxfId="1237"/>
    <tableColumn id="282" name="154" dataDxfId="1236"/>
    <tableColumn id="283" name="155" dataDxfId="1235"/>
    <tableColumn id="284" name="156" dataDxfId="1234"/>
    <tableColumn id="285" name="157" dataDxfId="1233"/>
    <tableColumn id="112" name="158" dataDxfId="1232"/>
    <tableColumn id="113" name="159" dataDxfId="1231"/>
    <tableColumn id="114" name="160" dataDxfId="1230"/>
    <tableColumn id="115" name="161" dataDxfId="1229"/>
    <tableColumn id="116" name="162" dataDxfId="1228"/>
    <tableColumn id="117" name="163" dataDxfId="1227"/>
    <tableColumn id="118" name="164" dataDxfId="1226"/>
    <tableColumn id="119" name="165" dataDxfId="1225"/>
    <tableColumn id="120" name="S1" dataDxfId="1224">
      <calculatedColumnFormula>IF(ISBLANK(tbl_task7[[คะแนนเต็ม]:[คะแนนเต็ม]]),"",(tbl_task7[1]/tbl_task7[[คะแนนเต็ม]:[คะแนนเต็ม]])*tbl_task7[[%]:[%]])</calculatedColumnFormula>
    </tableColumn>
    <tableColumn id="121" name="S2" dataDxfId="1223">
      <calculatedColumnFormula>IF(ISBLANK(tbl_task7[[คะแนนเต็ม]:[คะแนนเต็ม]]),"",(tbl_task7[2]/tbl_task7[[คะแนนเต็ม]:[คะแนนเต็ม]])*tbl_task7[[%]:[%]])</calculatedColumnFormula>
    </tableColumn>
    <tableColumn id="122" name="S3" dataDxfId="1222">
      <calculatedColumnFormula>IF(ISBLANK(tbl_task7[[คะแนนเต็ม]:[คะแนนเต็ม]]),"",(tbl_task7[3]/tbl_task7[[คะแนนเต็ม]:[คะแนนเต็ม]])*tbl_task7[[%]:[%]])</calculatedColumnFormula>
    </tableColumn>
    <tableColumn id="123" name="S4" dataDxfId="1221">
      <calculatedColumnFormula>IF(ISBLANK(tbl_task7[[คะแนนเต็ม]:[คะแนนเต็ม]]),"",(tbl_task7[4]/tbl_task7[[คะแนนเต็ม]:[คะแนนเต็ม]])*tbl_task7[[%]:[%]])</calculatedColumnFormula>
    </tableColumn>
    <tableColumn id="124" name="S5" dataDxfId="1220">
      <calculatedColumnFormula>IF(ISBLANK(tbl_task7[[คะแนนเต็ม]:[คะแนนเต็ม]]),"",(tbl_task7[5]/tbl_task7[[คะแนนเต็ม]:[คะแนนเต็ม]])*tbl_task7[[%]:[%]])</calculatedColumnFormula>
    </tableColumn>
    <tableColumn id="125" name="S6" dataDxfId="1219">
      <calculatedColumnFormula>IF(ISBLANK(tbl_task7[[คะแนนเต็ม]:[คะแนนเต็ม]]),"",(tbl_task7[6]/tbl_task7[[คะแนนเต็ม]:[คะแนนเต็ม]])*tbl_task7[[%]:[%]])</calculatedColumnFormula>
    </tableColumn>
    <tableColumn id="126" name="S7" dataDxfId="1218">
      <calculatedColumnFormula>IF(ISBLANK(tbl_task7[[คะแนนเต็ม]:[คะแนนเต็ม]]),"",(tbl_task7[7]/tbl_task7[[คะแนนเต็ม]:[คะแนนเต็ม]])*tbl_task7[[%]:[%]])</calculatedColumnFormula>
    </tableColumn>
    <tableColumn id="127" name="S8" dataDxfId="1217">
      <calculatedColumnFormula>IF(ISBLANK(tbl_task7[[คะแนนเต็ม]:[คะแนนเต็ม]]),"",(tbl_task7[8]/tbl_task7[[คะแนนเต็ม]:[คะแนนเต็ม]])*tbl_task7[[%]:[%]])</calculatedColumnFormula>
    </tableColumn>
    <tableColumn id="128" name="S9" dataDxfId="1216">
      <calculatedColumnFormula>IF(ISBLANK(tbl_task7[[คะแนนเต็ม]:[คะแนนเต็ม]]),"",(tbl_task7[9]/tbl_task7[[คะแนนเต็ม]:[คะแนนเต็ม]])*tbl_task7[[%]:[%]])</calculatedColumnFormula>
    </tableColumn>
    <tableColumn id="129" name="S10" dataDxfId="1215">
      <calculatedColumnFormula>IF(ISBLANK(tbl_task7[[คะแนนเต็ม]:[คะแนนเต็ม]]),"",(tbl_task7[10]/tbl_task7[[คะแนนเต็ม]:[คะแนนเต็ม]])*tbl_task7[[%]:[%]])</calculatedColumnFormula>
    </tableColumn>
    <tableColumn id="130" name="S11" dataDxfId="1214">
      <calculatedColumnFormula>IF(ISBLANK(tbl_task7[[คะแนนเต็ม]:[คะแนนเต็ม]]),"",(tbl_task7[11]/tbl_task7[[คะแนนเต็ม]:[คะแนนเต็ม]])*tbl_task7[[%]:[%]])</calculatedColumnFormula>
    </tableColumn>
    <tableColumn id="131" name="S12" dataDxfId="1213">
      <calculatedColumnFormula>IF(ISBLANK(tbl_task7[[คะแนนเต็ม]:[คะแนนเต็ม]]),"",(tbl_task7[12]/tbl_task7[[คะแนนเต็ม]:[คะแนนเต็ม]])*tbl_task7[[%]:[%]])</calculatedColumnFormula>
    </tableColumn>
    <tableColumn id="132" name="S13" dataDxfId="1212">
      <calculatedColumnFormula>IF(ISBLANK(tbl_task7[[คะแนนเต็ม]:[คะแนนเต็ม]]),"",(tbl_task7[13]/tbl_task7[[คะแนนเต็ม]:[คะแนนเต็ม]])*tbl_task7[[%]:[%]])</calculatedColumnFormula>
    </tableColumn>
    <tableColumn id="133" name="S14" dataDxfId="1211">
      <calculatedColumnFormula>IF(ISBLANK(tbl_task7[[คะแนนเต็ม]:[คะแนนเต็ม]]),"",(tbl_task7[14]/tbl_task7[[คะแนนเต็ม]:[คะแนนเต็ม]])*tbl_task7[[%]:[%]])</calculatedColumnFormula>
    </tableColumn>
    <tableColumn id="134" name="S15" dataDxfId="1210">
      <calculatedColumnFormula>IF(ISBLANK(tbl_task7[[คะแนนเต็ม]:[คะแนนเต็ม]]),"",(tbl_task7[15]/tbl_task7[[คะแนนเต็ม]:[คะแนนเต็ม]])*tbl_task7[[%]:[%]])</calculatedColumnFormula>
    </tableColumn>
    <tableColumn id="135" name="S16" dataDxfId="1209">
      <calculatedColumnFormula>IF(ISBLANK(tbl_task7[[คะแนนเต็ม]:[คะแนนเต็ม]]),"",(tbl_task7[16]/tbl_task7[[คะแนนเต็ม]:[คะแนนเต็ม]])*tbl_task7[[%]:[%]])</calculatedColumnFormula>
    </tableColumn>
    <tableColumn id="136" name="S17" dataDxfId="1208">
      <calculatedColumnFormula>IF(ISBLANK(tbl_task7[[คะแนนเต็ม]:[คะแนนเต็ม]]),"",(tbl_task7[17]/tbl_task7[[คะแนนเต็ม]:[คะแนนเต็ม]])*tbl_task7[[%]:[%]])</calculatedColumnFormula>
    </tableColumn>
    <tableColumn id="137" name="S18" dataDxfId="1207">
      <calculatedColumnFormula>IF(ISBLANK(tbl_task7[[คะแนนเต็ม]:[คะแนนเต็ม]]),"",(tbl_task7[18]/tbl_task7[[คะแนนเต็ม]:[คะแนนเต็ม]])*tbl_task7[[%]:[%]])</calculatedColumnFormula>
    </tableColumn>
    <tableColumn id="138" name="S19" dataDxfId="1206">
      <calculatedColumnFormula>IF(ISBLANK(tbl_task7[[คะแนนเต็ม]:[คะแนนเต็ม]]),"",(tbl_task7[19]/tbl_task7[[คะแนนเต็ม]:[คะแนนเต็ม]])*tbl_task7[[%]:[%]])</calculatedColumnFormula>
    </tableColumn>
    <tableColumn id="139" name="S20" dataDxfId="1205">
      <calculatedColumnFormula>IF(ISBLANK(tbl_task7[[คะแนนเต็ม]:[คะแนนเต็ม]]),"",(tbl_task7[20]/tbl_task7[[คะแนนเต็ม]:[คะแนนเต็ม]])*tbl_task7[[%]:[%]])</calculatedColumnFormula>
    </tableColumn>
    <tableColumn id="140" name="S21" dataDxfId="1204">
      <calculatedColumnFormula>IF(ISBLANK(tbl_task7[[คะแนนเต็ม]:[คะแนนเต็ม]]),"",(tbl_task7[21]/tbl_task7[[คะแนนเต็ม]:[คะแนนเต็ม]])*tbl_task7[[%]:[%]])</calculatedColumnFormula>
    </tableColumn>
    <tableColumn id="141" name="S22" dataDxfId="1203">
      <calculatedColumnFormula>IF(ISBLANK(tbl_task7[[คะแนนเต็ม]:[คะแนนเต็ม]]),"",(tbl_task7[22]/tbl_task7[[คะแนนเต็ม]:[คะแนนเต็ม]])*tbl_task7[[%]:[%]])</calculatedColumnFormula>
    </tableColumn>
    <tableColumn id="142" name="S23" dataDxfId="1202">
      <calculatedColumnFormula>IF(ISBLANK(tbl_task7[[คะแนนเต็ม]:[คะแนนเต็ม]]),"",(tbl_task7[23]/tbl_task7[[คะแนนเต็ม]:[คะแนนเต็ม]])*tbl_task7[[%]:[%]])</calculatedColumnFormula>
    </tableColumn>
    <tableColumn id="143" name="S24" dataDxfId="1201">
      <calculatedColumnFormula>IF(ISBLANK(tbl_task7[[คะแนนเต็ม]:[คะแนนเต็ม]]),"",(tbl_task7[24]/tbl_task7[[คะแนนเต็ม]:[คะแนนเต็ม]])*tbl_task7[[%]:[%]])</calculatedColumnFormula>
    </tableColumn>
    <tableColumn id="144" name="S25" dataDxfId="1200">
      <calculatedColumnFormula>IF(ISBLANK(tbl_task7[[คะแนนเต็ม]:[คะแนนเต็ม]]),"",(tbl_task7[25]/tbl_task7[[คะแนนเต็ม]:[คะแนนเต็ม]])*tbl_task7[[%]:[%]])</calculatedColumnFormula>
    </tableColumn>
    <tableColumn id="145" name="S26" dataDxfId="1199">
      <calculatedColumnFormula>IF(ISBLANK(tbl_task7[[คะแนนเต็ม]:[คะแนนเต็ม]]),"",(tbl_task7[26]/tbl_task7[[คะแนนเต็ม]:[คะแนนเต็ม]])*tbl_task7[[%]:[%]])</calculatedColumnFormula>
    </tableColumn>
    <tableColumn id="146" name="S27" dataDxfId="1198">
      <calculatedColumnFormula>IF(ISBLANK(tbl_task7[[คะแนนเต็ม]:[คะแนนเต็ม]]),"",(tbl_task7[27]/tbl_task7[[คะแนนเต็ม]:[คะแนนเต็ม]])*tbl_task7[[%]:[%]])</calculatedColumnFormula>
    </tableColumn>
    <tableColumn id="147" name="S28" dataDxfId="1197">
      <calculatedColumnFormula>IF(ISBLANK(tbl_task7[[คะแนนเต็ม]:[คะแนนเต็ม]]),"",(tbl_task7[28]/tbl_task7[[คะแนนเต็ม]:[คะแนนเต็ม]])*tbl_task7[[%]:[%]])</calculatedColumnFormula>
    </tableColumn>
    <tableColumn id="148" name="S29" dataDxfId="1196">
      <calculatedColumnFormula>IF(ISBLANK(tbl_task7[[คะแนนเต็ม]:[คะแนนเต็ม]]),"",(tbl_task7[29]/tbl_task7[[คะแนนเต็ม]:[คะแนนเต็ม]])*tbl_task7[[%]:[%]])</calculatedColumnFormula>
    </tableColumn>
    <tableColumn id="149" name="S30" dataDxfId="1195">
      <calculatedColumnFormula>IF(ISBLANK(tbl_task7[[คะแนนเต็ม]:[คะแนนเต็ม]]),"",(tbl_task7[30]/tbl_task7[[คะแนนเต็ม]:[คะแนนเต็ม]])*tbl_task7[[%]:[%]])</calculatedColumnFormula>
    </tableColumn>
    <tableColumn id="150" name="S31" dataDxfId="1194">
      <calculatedColumnFormula>IF(ISBLANK(tbl_task7[[คะแนนเต็ม]:[คะแนนเต็ม]]),"",(tbl_task7[31]/tbl_task7[[คะแนนเต็ม]:[คะแนนเต็ม]])*tbl_task7[[%]:[%]])</calculatedColumnFormula>
    </tableColumn>
    <tableColumn id="151" name="S32" dataDxfId="1193">
      <calculatedColumnFormula>IF(ISBLANK(tbl_task7[[คะแนนเต็ม]:[คะแนนเต็ม]]),"",(tbl_task7[32]/tbl_task7[[คะแนนเต็ม]:[คะแนนเต็ม]])*tbl_task7[[%]:[%]])</calculatedColumnFormula>
    </tableColumn>
    <tableColumn id="152" name="S33" dataDxfId="1192">
      <calculatedColumnFormula>IF(ISBLANK(tbl_task7[[คะแนนเต็ม]:[คะแนนเต็ม]]),"",(tbl_task7[33]/tbl_task7[[คะแนนเต็ม]:[คะแนนเต็ม]])*tbl_task7[[%]:[%]])</calculatedColumnFormula>
    </tableColumn>
    <tableColumn id="153" name="S34" dataDxfId="1191">
      <calculatedColumnFormula>IF(ISBLANK(tbl_task7[[คะแนนเต็ม]:[คะแนนเต็ม]]),"",(tbl_task7[34]/tbl_task7[[คะแนนเต็ม]:[คะแนนเต็ม]])*tbl_task7[[%]:[%]])</calculatedColumnFormula>
    </tableColumn>
    <tableColumn id="154" name="S35" dataDxfId="1190">
      <calculatedColumnFormula>IF(ISBLANK(tbl_task7[[คะแนนเต็ม]:[คะแนนเต็ม]]),"",(tbl_task7[35]/tbl_task7[[คะแนนเต็ม]:[คะแนนเต็ม]])*tbl_task7[[%]:[%]])</calculatedColumnFormula>
    </tableColumn>
    <tableColumn id="155" name="S36" dataDxfId="1189">
      <calculatedColumnFormula>IF(ISBLANK(tbl_task7[[คะแนนเต็ม]:[คะแนนเต็ม]]),"",(tbl_task7[36]/tbl_task7[[คะแนนเต็ม]:[คะแนนเต็ม]])*tbl_task7[[%]:[%]])</calculatedColumnFormula>
    </tableColumn>
    <tableColumn id="156" name="S37" dataDxfId="1188">
      <calculatedColumnFormula>IF(ISBLANK(tbl_task7[[คะแนนเต็ม]:[คะแนนเต็ม]]),"",(tbl_task7[37]/tbl_task7[[คะแนนเต็ม]:[คะแนนเต็ม]])*tbl_task7[[%]:[%]])</calculatedColumnFormula>
    </tableColumn>
    <tableColumn id="157" name="S38" dataDxfId="1187">
      <calculatedColumnFormula>IF(ISBLANK(tbl_task7[[คะแนนเต็ม]:[คะแนนเต็ม]]),"",(tbl_task7[38]/tbl_task7[[คะแนนเต็ม]:[คะแนนเต็ม]])*tbl_task7[[%]:[%]])</calculatedColumnFormula>
    </tableColumn>
    <tableColumn id="158" name="S39" dataDxfId="1186">
      <calculatedColumnFormula>IF(ISBLANK(tbl_task7[[คะแนนเต็ม]:[คะแนนเต็ม]]),"",(tbl_task7[39]/tbl_task7[[คะแนนเต็ม]:[คะแนนเต็ม]])*tbl_task7[[%]:[%]])</calculatedColumnFormula>
    </tableColumn>
    <tableColumn id="159" name="S40" dataDxfId="1185">
      <calculatedColumnFormula>IF(ISBLANK(tbl_task7[[คะแนนเต็ม]:[คะแนนเต็ม]]),"",(tbl_task7[40]/tbl_task7[[คะแนนเต็ม]:[คะแนนเต็ม]])*tbl_task7[[%]:[%]])</calculatedColumnFormula>
    </tableColumn>
    <tableColumn id="160" name="S41" dataDxfId="1184">
      <calculatedColumnFormula>IF(ISBLANK(tbl_task7[[คะแนนเต็ม]:[คะแนนเต็ม]]),"",(tbl_task7[41]/tbl_task7[[คะแนนเต็ม]:[คะแนนเต็ม]])*tbl_task7[[%]:[%]])</calculatedColumnFormula>
    </tableColumn>
    <tableColumn id="161" name="S42" dataDxfId="1183">
      <calculatedColumnFormula>IF(ISBLANK(tbl_task7[[คะแนนเต็ม]:[คะแนนเต็ม]]),"",(tbl_task7[42]/tbl_task7[[คะแนนเต็ม]:[คะแนนเต็ม]])*tbl_task7[[%]:[%]])</calculatedColumnFormula>
    </tableColumn>
    <tableColumn id="162" name="S43" dataDxfId="1182">
      <calculatedColumnFormula>IF(ISBLANK(tbl_task7[[คะแนนเต็ม]:[คะแนนเต็ม]]),"",(tbl_task7[43]/tbl_task7[[คะแนนเต็ม]:[คะแนนเต็ม]])*tbl_task7[[%]:[%]])</calculatedColumnFormula>
    </tableColumn>
    <tableColumn id="163" name="S44" dataDxfId="1181">
      <calculatedColumnFormula>IF(ISBLANK(tbl_task7[[คะแนนเต็ม]:[คะแนนเต็ม]]),"",(tbl_task7[44]/tbl_task7[[คะแนนเต็ม]:[คะแนนเต็ม]])*tbl_task7[[%]:[%]])</calculatedColumnFormula>
    </tableColumn>
    <tableColumn id="164" name="S45" dataDxfId="1180">
      <calculatedColumnFormula>IF(ISBLANK(tbl_task7[[คะแนนเต็ม]:[คะแนนเต็ม]]),"",(tbl_task7[45]/tbl_task7[[คะแนนเต็ม]:[คะแนนเต็ม]])*tbl_task7[[%]:[%]])</calculatedColumnFormula>
    </tableColumn>
    <tableColumn id="165" name="S46" dataDxfId="1179">
      <calculatedColumnFormula>IF(ISBLANK(tbl_task7[[คะแนนเต็ม]:[คะแนนเต็ม]]),"",(tbl_task7[46]/tbl_task7[[คะแนนเต็ม]:[คะแนนเต็ม]])*tbl_task7[[%]:[%]])</calculatedColumnFormula>
    </tableColumn>
    <tableColumn id="166" name="S47" dataDxfId="1178">
      <calculatedColumnFormula>IF(ISBLANK(tbl_task7[[คะแนนเต็ม]:[คะแนนเต็ม]]),"",(tbl_task7[47]/tbl_task7[[คะแนนเต็ม]:[คะแนนเต็ม]])*tbl_task7[[%]:[%]])</calculatedColumnFormula>
    </tableColumn>
    <tableColumn id="167" name="S48" dataDxfId="1177">
      <calculatedColumnFormula>IF(ISBLANK(tbl_task7[[คะแนนเต็ม]:[คะแนนเต็ม]]),"",(tbl_task7[48]/tbl_task7[[คะแนนเต็ม]:[คะแนนเต็ม]])*tbl_task7[[%]:[%]])</calculatedColumnFormula>
    </tableColumn>
    <tableColumn id="168" name="S49" dataDxfId="1176">
      <calculatedColumnFormula>IF(ISBLANK(tbl_task7[[คะแนนเต็ม]:[คะแนนเต็ม]]),"",(tbl_task7[49]/tbl_task7[[คะแนนเต็ม]:[คะแนนเต็ม]])*tbl_task7[[%]:[%]])</calculatedColumnFormula>
    </tableColumn>
    <tableColumn id="169" name="S50" dataDxfId="1175">
      <calculatedColumnFormula>IF(ISBLANK(tbl_task7[[คะแนนเต็ม]:[คะแนนเต็ม]]),"",(tbl_task7[50]/tbl_task7[[คะแนนเต็ม]:[คะแนนเต็ม]])*tbl_task7[[%]:[%]])</calculatedColumnFormula>
    </tableColumn>
    <tableColumn id="170" name="S51" dataDxfId="1174">
      <calculatedColumnFormula>IF(ISBLANK(tbl_task7[[คะแนนเต็ม]:[คะแนนเต็ม]]),"",(tbl_task7[51]/tbl_task7[[คะแนนเต็ม]:[คะแนนเต็ม]])*tbl_task7[[%]:[%]])</calculatedColumnFormula>
    </tableColumn>
    <tableColumn id="171" name="S52" dataDxfId="1173">
      <calculatedColumnFormula>IF(ISBLANK(tbl_task7[[คะแนนเต็ม]:[คะแนนเต็ม]]),"",(tbl_task7[52]/tbl_task7[[คะแนนเต็ม]:[คะแนนเต็ม]])*tbl_task7[[%]:[%]])</calculatedColumnFormula>
    </tableColumn>
    <tableColumn id="172" name="S53" dataDxfId="1172">
      <calculatedColumnFormula>IF(ISBLANK(tbl_task7[[คะแนนเต็ม]:[คะแนนเต็ม]]),"",(tbl_task7[53]/tbl_task7[[คะแนนเต็ม]:[คะแนนเต็ม]])*tbl_task7[[%]:[%]])</calculatedColumnFormula>
    </tableColumn>
    <tableColumn id="173" name="S54" dataDxfId="1171">
      <calculatedColumnFormula>IF(ISBLANK(tbl_task7[[คะแนนเต็ม]:[คะแนนเต็ม]]),"",(tbl_task7[54]/tbl_task7[[คะแนนเต็ม]:[คะแนนเต็ม]])*tbl_task7[[%]:[%]])</calculatedColumnFormula>
    </tableColumn>
    <tableColumn id="174" name="S55" dataDxfId="1170">
      <calculatedColumnFormula>IF(ISBLANK(tbl_task7[[คะแนนเต็ม]:[คะแนนเต็ม]]),"",(tbl_task7[55]/tbl_task7[[คะแนนเต็ม]:[คะแนนเต็ม]])*tbl_task7[[%]:[%]])</calculatedColumnFormula>
    </tableColumn>
    <tableColumn id="175" name="S56" dataDxfId="1169">
      <calculatedColumnFormula>IF(ISBLANK(tbl_task7[[คะแนนเต็ม]:[คะแนนเต็ม]]),"",(tbl_task7[56]/tbl_task7[[คะแนนเต็ม]:[คะแนนเต็ม]])*tbl_task7[[%]:[%]])</calculatedColumnFormula>
    </tableColumn>
    <tableColumn id="176" name="S57" dataDxfId="1168">
      <calculatedColumnFormula>IF(ISBLANK(tbl_task7[[คะแนนเต็ม]:[คะแนนเต็ม]]),"",(tbl_task7[57]/tbl_task7[[คะแนนเต็ม]:[คะแนนเต็ม]])*tbl_task7[[%]:[%]])</calculatedColumnFormula>
    </tableColumn>
    <tableColumn id="177" name="S58" dataDxfId="1167">
      <calculatedColumnFormula>IF(ISBLANK(tbl_task7[[คะแนนเต็ม]:[คะแนนเต็ม]]),"",(tbl_task7[58]/tbl_task7[[คะแนนเต็ม]:[คะแนนเต็ม]])*tbl_task7[[%]:[%]])</calculatedColumnFormula>
    </tableColumn>
    <tableColumn id="178" name="S59" dataDxfId="1166">
      <calculatedColumnFormula>IF(ISBLANK(tbl_task7[[คะแนนเต็ม]:[คะแนนเต็ม]]),"",(tbl_task7[59]/tbl_task7[[คะแนนเต็ม]:[คะแนนเต็ม]])*tbl_task7[[%]:[%]])</calculatedColumnFormula>
    </tableColumn>
    <tableColumn id="179" name="S60" dataDxfId="1165">
      <calculatedColumnFormula>IF(ISBLANK(tbl_task7[[คะแนนเต็ม]:[คะแนนเต็ม]]),"",(tbl_task7[60]/tbl_task7[[คะแนนเต็ม]:[คะแนนเต็ม]])*tbl_task7[[%]:[%]])</calculatedColumnFormula>
    </tableColumn>
    <tableColumn id="180" name="S61" dataDxfId="1164">
      <calculatedColumnFormula>IF(ISBLANK(tbl_task7[[คะแนนเต็ม]:[คะแนนเต็ม]]),"",(tbl_task7[61]/tbl_task7[[คะแนนเต็ม]:[คะแนนเต็ม]])*tbl_task7[[%]:[%]])</calculatedColumnFormula>
    </tableColumn>
    <tableColumn id="181" name="S62" dataDxfId="1163">
      <calculatedColumnFormula>IF(ISBLANK(tbl_task7[[คะแนนเต็ม]:[คะแนนเต็ม]]),"",(tbl_task7[62]/tbl_task7[[คะแนนเต็ม]:[คะแนนเต็ม]])*tbl_task7[[%]:[%]])</calculatedColumnFormula>
    </tableColumn>
    <tableColumn id="182" name="S63" dataDxfId="1162">
      <calculatedColumnFormula>IF(ISBLANK(tbl_task7[[คะแนนเต็ม]:[คะแนนเต็ม]]),"",(tbl_task7[63]/tbl_task7[[คะแนนเต็ม]:[คะแนนเต็ม]])*tbl_task7[[%]:[%]])</calculatedColumnFormula>
    </tableColumn>
    <tableColumn id="183" name="S64" dataDxfId="1161">
      <calculatedColumnFormula>IF(ISBLANK(tbl_task7[[คะแนนเต็ม]:[คะแนนเต็ม]]),"",(tbl_task7[64]/tbl_task7[[คะแนนเต็ม]:[คะแนนเต็ม]])*tbl_task7[[%]:[%]])</calculatedColumnFormula>
    </tableColumn>
    <tableColumn id="184" name="S65" dataDxfId="1160">
      <calculatedColumnFormula>IF(ISBLANK(tbl_task7[[คะแนนเต็ม]:[คะแนนเต็ม]]),"",(tbl_task7[65]/tbl_task7[[คะแนนเต็ม]:[คะแนนเต็ม]])*tbl_task7[[%]:[%]])</calculatedColumnFormula>
    </tableColumn>
    <tableColumn id="185" name="S66" dataDxfId="1159">
      <calculatedColumnFormula>IF(ISBLANK(tbl_task7[[คะแนนเต็ม]:[คะแนนเต็ม]]),"",(tbl_task7[66]/tbl_task7[[คะแนนเต็ม]:[คะแนนเต็ม]])*tbl_task7[[%]:[%]])</calculatedColumnFormula>
    </tableColumn>
    <tableColumn id="186" name="S67" dataDxfId="1158">
      <calculatedColumnFormula>IF(ISBLANK(tbl_task7[[คะแนนเต็ม]:[คะแนนเต็ม]]),"",(tbl_task7[67]/tbl_task7[[คะแนนเต็ม]:[คะแนนเต็ม]])*tbl_task7[[%]:[%]])</calculatedColumnFormula>
    </tableColumn>
    <tableColumn id="187" name="S68" dataDxfId="1157">
      <calculatedColumnFormula>IF(ISBLANK(tbl_task7[[คะแนนเต็ม]:[คะแนนเต็ม]]),"",(tbl_task7[68]/tbl_task7[[คะแนนเต็ม]:[คะแนนเต็ม]])*tbl_task7[[%]:[%]])</calculatedColumnFormula>
    </tableColumn>
    <tableColumn id="188" name="S69" dataDxfId="1156">
      <calculatedColumnFormula>IF(ISBLANK(tbl_task7[[คะแนนเต็ม]:[คะแนนเต็ม]]),"",(tbl_task7[69]/tbl_task7[[คะแนนเต็ม]:[คะแนนเต็ม]])*tbl_task7[[%]:[%]])</calculatedColumnFormula>
    </tableColumn>
    <tableColumn id="189" name="S70" dataDxfId="1155">
      <calculatedColumnFormula>IF(ISBLANK(tbl_task7[[คะแนนเต็ม]:[คะแนนเต็ม]]),"",(tbl_task7[70]/tbl_task7[[คะแนนเต็ม]:[คะแนนเต็ม]])*tbl_task7[[%]:[%]])</calculatedColumnFormula>
    </tableColumn>
    <tableColumn id="190" name="S71" dataDxfId="1154">
      <calculatedColumnFormula>IF(ISBLANK(tbl_task7[[คะแนนเต็ม]:[คะแนนเต็ม]]),"",(tbl_task7[71]/tbl_task7[[คะแนนเต็ม]:[คะแนนเต็ม]])*tbl_task7[[%]:[%]])</calculatedColumnFormula>
    </tableColumn>
    <tableColumn id="191" name="S72" dataDxfId="1153">
      <calculatedColumnFormula>IF(ISBLANK(tbl_task7[[คะแนนเต็ม]:[คะแนนเต็ม]]),"",(tbl_task7[72]/tbl_task7[[คะแนนเต็ม]:[คะแนนเต็ม]])*tbl_task7[[%]:[%]])</calculatedColumnFormula>
    </tableColumn>
    <tableColumn id="192" name="S73" dataDxfId="1152">
      <calculatedColumnFormula>IF(ISBLANK(tbl_task7[[คะแนนเต็ม]:[คะแนนเต็ม]]),"",(tbl_task7[73]/tbl_task7[[คะแนนเต็ม]:[คะแนนเต็ม]])*tbl_task7[[%]:[%]])</calculatedColumnFormula>
    </tableColumn>
    <tableColumn id="193" name="S74" dataDxfId="1151">
      <calculatedColumnFormula>IF(ISBLANK(tbl_task7[[คะแนนเต็ม]:[คะแนนเต็ม]]),"",(tbl_task7[74]/tbl_task7[[คะแนนเต็ม]:[คะแนนเต็ม]])*tbl_task7[[%]:[%]])</calculatedColumnFormula>
    </tableColumn>
    <tableColumn id="194" name="S75" dataDxfId="1150">
      <calculatedColumnFormula>IF(ISBLANK(tbl_task7[[คะแนนเต็ม]:[คะแนนเต็ม]]),"",(tbl_task7[75]/tbl_task7[[คะแนนเต็ม]:[คะแนนเต็ม]])*tbl_task7[[%]:[%]])</calculatedColumnFormula>
    </tableColumn>
    <tableColumn id="195" name="S76" dataDxfId="1149">
      <calculatedColumnFormula>IF(ISBLANK(tbl_task7[[คะแนนเต็ม]:[คะแนนเต็ม]]),"",(tbl_task7[76]/tbl_task7[[คะแนนเต็ม]:[คะแนนเต็ม]])*tbl_task7[[%]:[%]])</calculatedColumnFormula>
    </tableColumn>
    <tableColumn id="196" name="S77" dataDxfId="1148">
      <calculatedColumnFormula>IF(ISBLANK(tbl_task7[[คะแนนเต็ม]:[คะแนนเต็ม]]),"",(tbl_task7[77]/tbl_task7[[คะแนนเต็ม]:[คะแนนเต็ม]])*tbl_task7[[%]:[%]])</calculatedColumnFormula>
    </tableColumn>
    <tableColumn id="197" name="S78" dataDxfId="1147">
      <calculatedColumnFormula>IF(ISBLANK(tbl_task7[[คะแนนเต็ม]:[คะแนนเต็ม]]),"",(tbl_task7[78]/tbl_task7[[คะแนนเต็ม]:[คะแนนเต็ม]])*tbl_task7[[%]:[%]])</calculatedColumnFormula>
    </tableColumn>
    <tableColumn id="198" name="S79" dataDxfId="1146">
      <calculatedColumnFormula>IF(ISBLANK(tbl_task7[[คะแนนเต็ม]:[คะแนนเต็ม]]),"",(tbl_task7[79]/tbl_task7[[คะแนนเต็ม]:[คะแนนเต็ม]])*tbl_task7[[%]:[%]])</calculatedColumnFormula>
    </tableColumn>
    <tableColumn id="199" name="S80" dataDxfId="1145">
      <calculatedColumnFormula>IF(ISBLANK(tbl_task7[[คะแนนเต็ม]:[คะแนนเต็ม]]),"",(tbl_task7[80]/tbl_task7[[คะแนนเต็ม]:[คะแนนเต็ม]])*tbl_task7[[%]:[%]])</calculatedColumnFormula>
    </tableColumn>
    <tableColumn id="200" name="S81" dataDxfId="1144">
      <calculatedColumnFormula>IF(ISBLANK(tbl_task7[[คะแนนเต็ม]:[คะแนนเต็ม]]),"",(tbl_task7[81]/tbl_task7[[คะแนนเต็ม]:[คะแนนเต็ม]])*tbl_task7[[%]:[%]])</calculatedColumnFormula>
    </tableColumn>
    <tableColumn id="201" name="S82" dataDxfId="1143">
      <calculatedColumnFormula>IF(ISBLANK(tbl_task7[[คะแนนเต็ม]:[คะแนนเต็ม]]),"",(tbl_task7[82]/tbl_task7[[คะแนนเต็ม]:[คะแนนเต็ม]])*tbl_task7[[%]:[%]])</calculatedColumnFormula>
    </tableColumn>
    <tableColumn id="202" name="S83" dataDxfId="1142">
      <calculatedColumnFormula>IF(ISBLANK(tbl_task7[[คะแนนเต็ม]:[คะแนนเต็ม]]),"",(tbl_task7[83]/tbl_task7[[คะแนนเต็ม]:[คะแนนเต็ม]])*tbl_task7[[%]:[%]])</calculatedColumnFormula>
    </tableColumn>
    <tableColumn id="203" name="S84" dataDxfId="1141">
      <calculatedColumnFormula>IF(ISBLANK(tbl_task7[[คะแนนเต็ม]:[คะแนนเต็ม]]),"",(tbl_task7[84]/tbl_task7[[คะแนนเต็ม]:[คะแนนเต็ม]])*tbl_task7[[%]:[%]])</calculatedColumnFormula>
    </tableColumn>
    <tableColumn id="204" name="S85" dataDxfId="1140">
      <calculatedColumnFormula>IF(ISBLANK(tbl_task7[[คะแนนเต็ม]:[คะแนนเต็ม]]),"",(tbl_task7[85]/tbl_task7[[คะแนนเต็ม]:[คะแนนเต็ม]])*tbl_task7[[%]:[%]])</calculatedColumnFormula>
    </tableColumn>
    <tableColumn id="286" name="S86" dataDxfId="1139">
      <calculatedColumnFormula>IF(ISBLANK(tbl_task7[[คะแนนเต็ม]:[คะแนนเต็ม]]),"",(tbl_task7[86]/tbl_task7[[คะแนนเต็ม]:[คะแนนเต็ม]])*tbl_task7[[%]:[%]])</calculatedColumnFormula>
    </tableColumn>
    <tableColumn id="287" name="S87" dataDxfId="1138">
      <calculatedColumnFormula>IF(ISBLANK(tbl_task7[[คะแนนเต็ม]:[คะแนนเต็ม]]),"",(tbl_task7[87]/tbl_task7[[คะแนนเต็ม]:[คะแนนเต็ม]])*tbl_task7[[%]:[%]])</calculatedColumnFormula>
    </tableColumn>
    <tableColumn id="288" name="S88" dataDxfId="1137">
      <calculatedColumnFormula>IF(ISBLANK(tbl_task7[[คะแนนเต็ม]:[คะแนนเต็ม]]),"",(tbl_task7[88]/tbl_task7[[คะแนนเต็ม]:[คะแนนเต็ม]])*tbl_task7[[%]:[%]])</calculatedColumnFormula>
    </tableColumn>
    <tableColumn id="289" name="S89" dataDxfId="1136">
      <calculatedColumnFormula>IF(ISBLANK(tbl_task7[[คะแนนเต็ม]:[คะแนนเต็ม]]),"",(tbl_task7[89]/tbl_task7[[คะแนนเต็ม]:[คะแนนเต็ม]])*tbl_task7[[%]:[%]])</calculatedColumnFormula>
    </tableColumn>
    <tableColumn id="290" name="S90" dataDxfId="1135">
      <calculatedColumnFormula>IF(ISBLANK(tbl_task7[[คะแนนเต็ม]:[คะแนนเต็ม]]),"",(tbl_task7[90]/tbl_task7[[คะแนนเต็ม]:[คะแนนเต็ม]])*tbl_task7[[%]:[%]])</calculatedColumnFormula>
    </tableColumn>
    <tableColumn id="291" name="S91" dataDxfId="1134">
      <calculatedColumnFormula>IF(ISBLANK(tbl_task7[[คะแนนเต็ม]:[คะแนนเต็ม]]),"",(tbl_task7[91]/tbl_task7[[คะแนนเต็ม]:[คะแนนเต็ม]])*tbl_task7[[%]:[%]])</calculatedColumnFormula>
    </tableColumn>
    <tableColumn id="292" name="S92" dataDxfId="1133">
      <calculatedColumnFormula>IF(ISBLANK(tbl_task7[[คะแนนเต็ม]:[คะแนนเต็ม]]),"",(tbl_task7[92]/tbl_task7[[คะแนนเต็ม]:[คะแนนเต็ม]])*tbl_task7[[%]:[%]])</calculatedColumnFormula>
    </tableColumn>
    <tableColumn id="293" name="S93" dataDxfId="1132">
      <calculatedColumnFormula>IF(ISBLANK(tbl_task7[[คะแนนเต็ม]:[คะแนนเต็ม]]),"",(tbl_task7[93]/tbl_task7[[คะแนนเต็ม]:[คะแนนเต็ม]])*tbl_task7[[%]:[%]])</calculatedColumnFormula>
    </tableColumn>
    <tableColumn id="294" name="S94" dataDxfId="1131">
      <calculatedColumnFormula>IF(ISBLANK(tbl_task7[[คะแนนเต็ม]:[คะแนนเต็ม]]),"",(tbl_task7[94]/tbl_task7[[คะแนนเต็ม]:[คะแนนเต็ม]])*tbl_task7[[%]:[%]])</calculatedColumnFormula>
    </tableColumn>
    <tableColumn id="295" name="S95" dataDxfId="1130">
      <calculatedColumnFormula>IF(ISBLANK(tbl_task7[[คะแนนเต็ม]:[คะแนนเต็ม]]),"",(tbl_task7[95]/tbl_task7[[คะแนนเต็ม]:[คะแนนเต็ม]])*tbl_task7[[%]:[%]])</calculatedColumnFormula>
    </tableColumn>
    <tableColumn id="296" name="S96" dataDxfId="1129">
      <calculatedColumnFormula>IF(ISBLANK(tbl_task7[[คะแนนเต็ม]:[คะแนนเต็ม]]),"",(tbl_task7[96]/tbl_task7[[คะแนนเต็ม]:[คะแนนเต็ม]])*tbl_task7[[%]:[%]])</calculatedColumnFormula>
    </tableColumn>
    <tableColumn id="297" name="S97" dataDxfId="1128">
      <calculatedColumnFormula>IF(ISBLANK(tbl_task7[[คะแนนเต็ม]:[คะแนนเต็ม]]),"",(tbl_task7[97]/tbl_task7[[คะแนนเต็ม]:[คะแนนเต็ม]])*tbl_task7[[%]:[%]])</calculatedColumnFormula>
    </tableColumn>
    <tableColumn id="298" name="S98" dataDxfId="1127">
      <calculatedColumnFormula>IF(ISBLANK(tbl_task7[[คะแนนเต็ม]:[คะแนนเต็ม]]),"",(tbl_task7[98]/tbl_task7[[คะแนนเต็ม]:[คะแนนเต็ม]])*tbl_task7[[%]:[%]])</calculatedColumnFormula>
    </tableColumn>
    <tableColumn id="299" name="S99" dataDxfId="1126">
      <calculatedColumnFormula>IF(ISBLANK(tbl_task7[[คะแนนเต็ม]:[คะแนนเต็ม]]),"",(tbl_task7[99]/tbl_task7[[คะแนนเต็ม]:[คะแนนเต็ม]])*tbl_task7[[%]:[%]])</calculatedColumnFormula>
    </tableColumn>
    <tableColumn id="300" name="S100" dataDxfId="1125">
      <calculatedColumnFormula>IF(ISBLANK(tbl_task7[[คะแนนเต็ม]:[คะแนนเต็ม]]),"",(tbl_task7[100]/tbl_task7[[คะแนนเต็ม]:[คะแนนเต็ม]])*tbl_task7[[%]:[%]])</calculatedColumnFormula>
    </tableColumn>
    <tableColumn id="301" name="S101" dataDxfId="1124">
      <calculatedColumnFormula>IF(ISBLANK(tbl_task7[[คะแนนเต็ม]:[คะแนนเต็ม]]),"",(tbl_task7[101]/tbl_task7[[คะแนนเต็ม]:[คะแนนเต็ม]])*tbl_task7[[%]:[%]])</calculatedColumnFormula>
    </tableColumn>
    <tableColumn id="302" name="S102" dataDxfId="1123">
      <calculatedColumnFormula>IF(ISBLANK(tbl_task7[[คะแนนเต็ม]:[คะแนนเต็ม]]),"",(tbl_task7[102]/tbl_task7[[คะแนนเต็ม]:[คะแนนเต็ม]])*tbl_task7[[%]:[%]])</calculatedColumnFormula>
    </tableColumn>
    <tableColumn id="303" name="S103" dataDxfId="1122">
      <calculatedColumnFormula>IF(ISBLANK(tbl_task7[[คะแนนเต็ม]:[คะแนนเต็ม]]),"",(tbl_task7[103]/tbl_task7[[คะแนนเต็ม]:[คะแนนเต็ม]])*tbl_task7[[%]:[%]])</calculatedColumnFormula>
    </tableColumn>
    <tableColumn id="304" name="S104" dataDxfId="1121">
      <calculatedColumnFormula>IF(ISBLANK(tbl_task7[[คะแนนเต็ม]:[คะแนนเต็ม]]),"",(tbl_task7[104]/tbl_task7[[คะแนนเต็ม]:[คะแนนเต็ม]])*tbl_task7[[%]:[%]])</calculatedColumnFormula>
    </tableColumn>
    <tableColumn id="305" name="S105" dataDxfId="1120">
      <calculatedColumnFormula>IF(ISBLANK(tbl_task7[[คะแนนเต็ม]:[คะแนนเต็ม]]),"",(tbl_task7[105]/tbl_task7[[คะแนนเต็ม]:[คะแนนเต็ม]])*tbl_task7[[%]:[%]])</calculatedColumnFormula>
    </tableColumn>
    <tableColumn id="306" name="S106" dataDxfId="1119">
      <calculatedColumnFormula>IF(ISBLANK(tbl_task7[[คะแนนเต็ม]:[คะแนนเต็ม]]),"",(tbl_task7[106]/tbl_task7[[คะแนนเต็ม]:[คะแนนเต็ม]])*tbl_task7[[%]:[%]])</calculatedColumnFormula>
    </tableColumn>
    <tableColumn id="307" name="S107" dataDxfId="1118">
      <calculatedColumnFormula>IF(ISBLANK(tbl_task7[[คะแนนเต็ม]:[คะแนนเต็ม]]),"",(tbl_task7[107]/tbl_task7[[คะแนนเต็ม]:[คะแนนเต็ม]])*tbl_task7[[%]:[%]])</calculatedColumnFormula>
    </tableColumn>
    <tableColumn id="308" name="S108" dataDxfId="1117">
      <calculatedColumnFormula>IF(ISBLANK(tbl_task7[[คะแนนเต็ม]:[คะแนนเต็ม]]),"",(tbl_task7[108]/tbl_task7[[คะแนนเต็ม]:[คะแนนเต็ม]])*tbl_task7[[%]:[%]])</calculatedColumnFormula>
    </tableColumn>
    <tableColumn id="309" name="S109" dataDxfId="1116">
      <calculatedColumnFormula>IF(ISBLANK(tbl_task7[[คะแนนเต็ม]:[คะแนนเต็ม]]),"",(tbl_task7[109]/tbl_task7[[คะแนนเต็ม]:[คะแนนเต็ม]])*tbl_task7[[%]:[%]])</calculatedColumnFormula>
    </tableColumn>
    <tableColumn id="310" name="S110" dataDxfId="1115">
      <calculatedColumnFormula>IF(ISBLANK(tbl_task7[[คะแนนเต็ม]:[คะแนนเต็ม]]),"",(tbl_task7[110]/tbl_task7[[คะแนนเต็ม]:[คะแนนเต็ม]])*tbl_task7[[%]:[%]])</calculatedColumnFormula>
    </tableColumn>
    <tableColumn id="311" name="S111" dataDxfId="1114">
      <calculatedColumnFormula>IF(ISBLANK(tbl_task7[[คะแนนเต็ม]:[คะแนนเต็ม]]),"",(tbl_task7[111]/tbl_task7[[คะแนนเต็ม]:[คะแนนเต็ม]])*tbl_task7[[%]:[%]])</calculatedColumnFormula>
    </tableColumn>
    <tableColumn id="312" name="S112" dataDxfId="1113">
      <calculatedColumnFormula>IF(ISBLANK(tbl_task7[[คะแนนเต็ม]:[คะแนนเต็ม]]),"",(tbl_task7[112]/tbl_task7[[คะแนนเต็ม]:[คะแนนเต็ม]])*tbl_task7[[%]:[%]])</calculatedColumnFormula>
    </tableColumn>
    <tableColumn id="313" name="S113" dataDxfId="1112">
      <calculatedColumnFormula>IF(ISBLANK(tbl_task7[[คะแนนเต็ม]:[คะแนนเต็ม]]),"",(tbl_task7[113]/tbl_task7[[คะแนนเต็ม]:[คะแนนเต็ม]])*tbl_task7[[%]:[%]])</calculatedColumnFormula>
    </tableColumn>
    <tableColumn id="314" name="S114" dataDxfId="1111">
      <calculatedColumnFormula>IF(ISBLANK(tbl_task7[[คะแนนเต็ม]:[คะแนนเต็ม]]),"",(tbl_task7[114]/tbl_task7[[คะแนนเต็ม]:[คะแนนเต็ม]])*tbl_task7[[%]:[%]])</calculatedColumnFormula>
    </tableColumn>
    <tableColumn id="315" name="S115" dataDxfId="1110">
      <calculatedColumnFormula>IF(ISBLANK(tbl_task7[[คะแนนเต็ม]:[คะแนนเต็ม]]),"",(tbl_task7[115]/tbl_task7[[คะแนนเต็ม]:[คะแนนเต็ม]])*tbl_task7[[%]:[%]])</calculatedColumnFormula>
    </tableColumn>
    <tableColumn id="205" name="S116" dataDxfId="1109">
      <calculatedColumnFormula>IF(ISBLANK(tbl_task7[[คะแนนเต็ม]:[คะแนนเต็ม]]),"",(tbl_task7[116]/tbl_task7[[คะแนนเต็ม]:[คะแนนเต็ม]])*tbl_task7[[%]:[%]])</calculatedColumnFormula>
    </tableColumn>
    <tableColumn id="206" name="S117" dataDxfId="1108">
      <calculatedColumnFormula>IF(ISBLANK(tbl_task7[[คะแนนเต็ม]:[คะแนนเต็ม]]),"",(tbl_task7[117]/tbl_task7[[คะแนนเต็ม]:[คะแนนเต็ม]])*tbl_task7[[%]:[%]])</calculatedColumnFormula>
    </tableColumn>
    <tableColumn id="207" name="S118" dataDxfId="1107">
      <calculatedColumnFormula>IF(ISBLANK(tbl_task7[[คะแนนเต็ม]:[คะแนนเต็ม]]),"",(tbl_task7[118]/tbl_task7[[คะแนนเต็ม]:[คะแนนเต็ม]])*tbl_task7[[%]:[%]])</calculatedColumnFormula>
    </tableColumn>
    <tableColumn id="208" name="S119" dataDxfId="1106">
      <calculatedColumnFormula>IF(ISBLANK(tbl_task7[[คะแนนเต็ม]:[คะแนนเต็ม]]),"",(tbl_task7[119]/tbl_task7[[คะแนนเต็ม]:[คะแนนเต็ม]])*tbl_task7[[%]:[%]])</calculatedColumnFormula>
    </tableColumn>
    <tableColumn id="209" name="S120" dataDxfId="1105">
      <calculatedColumnFormula>IF(ISBLANK(tbl_task7[[คะแนนเต็ม]:[คะแนนเต็ม]]),"",(tbl_task7[120]/tbl_task7[[คะแนนเต็ม]:[คะแนนเต็ม]])*tbl_task7[[%]:[%]])</calculatedColumnFormula>
    </tableColumn>
    <tableColumn id="210" name="S121" dataDxfId="1104">
      <calculatedColumnFormula>IF(ISBLANK(tbl_task7[[คะแนนเต็ม]:[คะแนนเต็ม]]),"",(tbl_task7[121]/tbl_task7[[คะแนนเต็ม]:[คะแนนเต็ม]])*tbl_task7[[%]:[%]])</calculatedColumnFormula>
    </tableColumn>
    <tableColumn id="211" name="S122" dataDxfId="1103">
      <calculatedColumnFormula>IF(ISBLANK(tbl_task7[[คะแนนเต็ม]:[คะแนนเต็ม]]),"",(tbl_task7[122]/tbl_task7[[คะแนนเต็ม]:[คะแนนเต็ม]])*tbl_task7[[%]:[%]])</calculatedColumnFormula>
    </tableColumn>
    <tableColumn id="316" name="S123" dataDxfId="1102">
      <calculatedColumnFormula>IF(ISBLANK(tbl_task7[[คะแนนเต็ม]:[คะแนนเต็ม]]),"",(tbl_task7[123]/tbl_task7[[คะแนนเต็ม]:[คะแนนเต็ม]])*tbl_task7[[%]:[%]])</calculatedColumnFormula>
    </tableColumn>
    <tableColumn id="317" name="S124" dataDxfId="1101">
      <calculatedColumnFormula>IF(ISBLANK(tbl_task7[[คะแนนเต็ม]:[คะแนนเต็ม]]),"",(tbl_task7[124]/tbl_task7[[คะแนนเต็ม]:[คะแนนเต็ม]])*tbl_task7[[%]:[%]])</calculatedColumnFormula>
    </tableColumn>
    <tableColumn id="318" name="S125" dataDxfId="1100">
      <calculatedColumnFormula>IF(ISBLANK(tbl_task7[[คะแนนเต็ม]:[คะแนนเต็ม]]),"",(tbl_task7[125]/tbl_task7[[คะแนนเต็ม]:[คะแนนเต็ม]])*tbl_task7[[%]:[%]])</calculatedColumnFormula>
    </tableColumn>
    <tableColumn id="319" name="S126" dataDxfId="1099">
      <calculatedColumnFormula>IF(ISBLANK(tbl_task7[[คะแนนเต็ม]:[คะแนนเต็ม]]),"",(tbl_task7[126]/tbl_task7[[คะแนนเต็ม]:[คะแนนเต็ม]])*tbl_task7[[%]:[%]])</calculatedColumnFormula>
    </tableColumn>
    <tableColumn id="320" name="S127" dataDxfId="1098">
      <calculatedColumnFormula>IF(ISBLANK(tbl_task7[[คะแนนเต็ม]:[คะแนนเต็ม]]),"",(tbl_task7[127]/tbl_task7[[คะแนนเต็ม]:[คะแนนเต็ม]])*tbl_task7[[%]:[%]])</calculatedColumnFormula>
    </tableColumn>
    <tableColumn id="321" name="S128" dataDxfId="1097">
      <calculatedColumnFormula>IF(ISBLANK(tbl_task7[[คะแนนเต็ม]:[คะแนนเต็ม]]),"",(tbl_task7[128]/tbl_task7[[คะแนนเต็ม]:[คะแนนเต็ม]])*tbl_task7[[%]:[%]])</calculatedColumnFormula>
    </tableColumn>
    <tableColumn id="322" name="S129" dataDxfId="1096">
      <calculatedColumnFormula>IF(ISBLANK(tbl_task7[[คะแนนเต็ม]:[คะแนนเต็ม]]),"",(tbl_task7[129]/tbl_task7[[คะแนนเต็ม]:[คะแนนเต็ม]])*tbl_task7[[%]:[%]])</calculatedColumnFormula>
    </tableColumn>
    <tableColumn id="212" name="S130" dataDxfId="1095">
      <calculatedColumnFormula>IF(ISBLANK(tbl_task7[[คะแนนเต็ม]:[คะแนนเต็ม]]),"",(tbl_task7[130]/tbl_task7[[คะแนนเต็ม]:[คะแนนเต็ม]])*tbl_task7[[%]:[%]])</calculatedColumnFormula>
    </tableColumn>
    <tableColumn id="213" name="S131" dataDxfId="1094">
      <calculatedColumnFormula>IF(ISBLANK(tbl_task7[[คะแนนเต็ม]:[คะแนนเต็ม]]),"",(tbl_task7[131]/tbl_task7[[คะแนนเต็ม]:[คะแนนเต็ม]])*tbl_task7[[%]:[%]])</calculatedColumnFormula>
    </tableColumn>
    <tableColumn id="214" name="S132" dataDxfId="1093">
      <calculatedColumnFormula>IF(ISBLANK(tbl_task7[[คะแนนเต็ม]:[คะแนนเต็ม]]),"",(tbl_task7[132]/tbl_task7[[คะแนนเต็ม]:[คะแนนเต็ม]])*tbl_task7[[%]:[%]])</calculatedColumnFormula>
    </tableColumn>
    <tableColumn id="215" name="S133" dataDxfId="1092">
      <calculatedColumnFormula>IF(ISBLANK(tbl_task7[[คะแนนเต็ม]:[คะแนนเต็ม]]),"",(tbl_task7[133]/tbl_task7[[คะแนนเต็ม]:[คะแนนเต็ม]])*tbl_task7[[%]:[%]])</calculatedColumnFormula>
    </tableColumn>
    <tableColumn id="216" name="S134" dataDxfId="1091">
      <calculatedColumnFormula>IF(ISBLANK(tbl_task7[[คะแนนเต็ม]:[คะแนนเต็ม]]),"",(tbl_task7[134]/tbl_task7[[คะแนนเต็ม]:[คะแนนเต็ม]])*tbl_task7[[%]:[%]])</calculatedColumnFormula>
    </tableColumn>
    <tableColumn id="217" name="S135" dataDxfId="1090">
      <calculatedColumnFormula>IF(ISBLANK(tbl_task7[[คะแนนเต็ม]:[คะแนนเต็ม]]),"",(tbl_task7[135]/tbl_task7[[คะแนนเต็ม]:[คะแนนเต็ม]])*tbl_task7[[%]:[%]])</calculatedColumnFormula>
    </tableColumn>
    <tableColumn id="218" name="S136" dataDxfId="1089">
      <calculatedColumnFormula>IF(ISBLANK(tbl_task7[[คะแนนเต็ม]:[คะแนนเต็ม]]),"",(tbl_task7[136]/tbl_task7[[คะแนนเต็ม]:[คะแนนเต็ม]])*tbl_task7[[%]:[%]])</calculatedColumnFormula>
    </tableColumn>
    <tableColumn id="219" name="S137" dataDxfId="1088">
      <calculatedColumnFormula>IF(ISBLANK(tbl_task7[[คะแนนเต็ม]:[คะแนนเต็ม]]),"",(tbl_task7[137]/tbl_task7[[คะแนนเต็ม]:[คะแนนเต็ม]])*tbl_task7[[%]:[%]])</calculatedColumnFormula>
    </tableColumn>
    <tableColumn id="220" name="S138" dataDxfId="1087">
      <calculatedColumnFormula>IF(ISBLANK(tbl_task7[[คะแนนเต็ม]:[คะแนนเต็ม]]),"",(tbl_task7[138]/tbl_task7[[คะแนนเต็ม]:[คะแนนเต็ม]])*tbl_task7[[%]:[%]])</calculatedColumnFormula>
    </tableColumn>
    <tableColumn id="221" name="S139" dataDxfId="1086">
      <calculatedColumnFormula>IF(ISBLANK(tbl_task7[[คะแนนเต็ม]:[คะแนนเต็ม]]),"",(tbl_task7[139]/tbl_task7[[คะแนนเต็ม]:[คะแนนเต็ม]])*tbl_task7[[%]:[%]])</calculatedColumnFormula>
    </tableColumn>
    <tableColumn id="222" name="S140" dataDxfId="1085">
      <calculatedColumnFormula>IF(ISBLANK(tbl_task7[[คะแนนเต็ม]:[คะแนนเต็ม]]),"",(tbl_task7[140]/tbl_task7[[คะแนนเต็ม]:[คะแนนเต็ม]])*tbl_task7[[%]:[%]])</calculatedColumnFormula>
    </tableColumn>
    <tableColumn id="223" name="S141" dataDxfId="1084">
      <calculatedColumnFormula>IF(ISBLANK(tbl_task7[[คะแนนเต็ม]:[คะแนนเต็ม]]),"",(tbl_task7[141]/tbl_task7[[คะแนนเต็ม]:[คะแนนเต็ม]])*tbl_task7[[%]:[%]])</calculatedColumnFormula>
    </tableColumn>
    <tableColumn id="323" name="S142" dataDxfId="1083">
      <calculatedColumnFormula>IF(ISBLANK(tbl_task7[[คะแนนเต็ม]:[คะแนนเต็ม]]),"",(tbl_task7[142]/tbl_task7[[คะแนนเต็ม]:[คะแนนเต็ม]])*tbl_task7[[%]:[%]])</calculatedColumnFormula>
    </tableColumn>
    <tableColumn id="324" name="S143" dataDxfId="1082">
      <calculatedColumnFormula>IF(ISBLANK(tbl_task7[[คะแนนเต็ม]:[คะแนนเต็ม]]),"",(tbl_task7[143]/tbl_task7[[คะแนนเต็ม]:[คะแนนเต็ม]])*tbl_task7[[%]:[%]])</calculatedColumnFormula>
    </tableColumn>
    <tableColumn id="325" name="S144" dataDxfId="1081">
      <calculatedColumnFormula>IF(ISBLANK(tbl_task7[[คะแนนเต็ม]:[คะแนนเต็ม]]),"",(tbl_task7[144]/tbl_task7[[คะแนนเต็ม]:[คะแนนเต็ม]])*tbl_task7[[%]:[%]])</calculatedColumnFormula>
    </tableColumn>
    <tableColumn id="326" name="S145" dataDxfId="1080">
      <calculatedColumnFormula>IF(ISBLANK(tbl_task7[[คะแนนเต็ม]:[คะแนนเต็ม]]),"",(tbl_task7[145]/tbl_task7[[คะแนนเต็ม]:[คะแนนเต็ม]])*tbl_task7[[%]:[%]])</calculatedColumnFormula>
    </tableColumn>
    <tableColumn id="327" name="S146" dataDxfId="1079">
      <calculatedColumnFormula>IF(ISBLANK(tbl_task7[[คะแนนเต็ม]:[คะแนนเต็ม]]),"",(tbl_task7[146]/tbl_task7[[คะแนนเต็ม]:[คะแนนเต็ม]])*tbl_task7[[%]:[%]])</calculatedColumnFormula>
    </tableColumn>
    <tableColumn id="328" name="S147" dataDxfId="1078">
      <calculatedColumnFormula>IF(ISBLANK(tbl_task7[[คะแนนเต็ม]:[คะแนนเต็ม]]),"",(tbl_task7[147]/tbl_task7[[คะแนนเต็ม]:[คะแนนเต็ม]])*tbl_task7[[%]:[%]])</calculatedColumnFormula>
    </tableColumn>
    <tableColumn id="329" name="S148" dataDxfId="1077">
      <calculatedColumnFormula>IF(ISBLANK(tbl_task7[[คะแนนเต็ม]:[คะแนนเต็ม]]),"",(tbl_task7[148]/tbl_task7[[คะแนนเต็ม]:[คะแนนเต็ม]])*tbl_task7[[%]:[%]])</calculatedColumnFormula>
    </tableColumn>
    <tableColumn id="330" name="S149" dataDxfId="1076">
      <calculatedColumnFormula>IF(ISBLANK(tbl_task7[[คะแนนเต็ม]:[คะแนนเต็ม]]),"",(tbl_task7[149]/tbl_task7[[คะแนนเต็ม]:[คะแนนเต็ม]])*tbl_task7[[%]:[%]])</calculatedColumnFormula>
    </tableColumn>
    <tableColumn id="331" name="S150" dataDxfId="1075">
      <calculatedColumnFormula>IF(ISBLANK(tbl_task7[[คะแนนเต็ม]:[คะแนนเต็ม]]),"",(tbl_task7[150]/tbl_task7[[คะแนนเต็ม]:[คะแนนเต็ม]])*tbl_task7[[%]:[%]])</calculatedColumnFormula>
    </tableColumn>
    <tableColumn id="332" name="S151" dataDxfId="1074">
      <calculatedColumnFormula>IF(ISBLANK(tbl_task7[[คะแนนเต็ม]:[คะแนนเต็ม]]),"",(tbl_task7[151]/tbl_task7[[คะแนนเต็ม]:[คะแนนเต็ม]])*tbl_task7[[%]:[%]])</calculatedColumnFormula>
    </tableColumn>
    <tableColumn id="333" name="S152" dataDxfId="1073">
      <calculatedColumnFormula>IF(ISBLANK(tbl_task7[[คะแนนเต็ม]:[คะแนนเต็ม]]),"",(tbl_task7[152]/tbl_task7[[คะแนนเต็ม]:[คะแนนเต็ม]])*tbl_task7[[%]:[%]])</calculatedColumnFormula>
    </tableColumn>
    <tableColumn id="224" name="S153" dataDxfId="1072">
      <calculatedColumnFormula>IF(ISBLANK(tbl_task7[[คะแนนเต็ม]:[คะแนนเต็ม]]),"",(tbl_task7[153]/tbl_task7[[คะแนนเต็ม]:[คะแนนเต็ม]])*tbl_task7[[%]:[%]])</calculatedColumnFormula>
    </tableColumn>
    <tableColumn id="225" name="S154" dataDxfId="1071">
      <calculatedColumnFormula>IF(ISBLANK(tbl_task7[[คะแนนเต็ม]:[คะแนนเต็ม]]),"",(tbl_task7[154]/tbl_task7[[คะแนนเต็ม]:[คะแนนเต็ม]])*tbl_task7[[%]:[%]])</calculatedColumnFormula>
    </tableColumn>
    <tableColumn id="226" name="S155" dataDxfId="1070">
      <calculatedColumnFormula>IF(ISBLANK(tbl_task7[[คะแนนเต็ม]:[คะแนนเต็ม]]),"",(tbl_task7[155]/tbl_task7[[คะแนนเต็ม]:[คะแนนเต็ม]])*tbl_task7[[%]:[%]])</calculatedColumnFormula>
    </tableColumn>
    <tableColumn id="227" name="S156" dataDxfId="1069">
      <calculatedColumnFormula>IF(ISBLANK(tbl_task7[[คะแนนเต็ม]:[คะแนนเต็ม]]),"",(tbl_task7[156]/tbl_task7[[คะแนนเต็ม]:[คะแนนเต็ม]])*tbl_task7[[%]:[%]])</calculatedColumnFormula>
    </tableColumn>
    <tableColumn id="228" name="S157" dataDxfId="1068">
      <calculatedColumnFormula>IF(ISBLANK(tbl_task7[[คะแนนเต็ม]:[คะแนนเต็ม]]),"",(tbl_task7[157]/tbl_task7[[คะแนนเต็ม]:[คะแนนเต็ม]])*tbl_task7[[%]:[%]])</calculatedColumnFormula>
    </tableColumn>
    <tableColumn id="229" name="S158" dataDxfId="1067">
      <calculatedColumnFormula>IF(ISBLANK(tbl_task7[[คะแนนเต็ม]:[คะแนนเต็ม]]),"",(tbl_task7[158]/tbl_task7[[คะแนนเต็ม]:[คะแนนเต็ม]])*tbl_task7[[%]:[%]])</calculatedColumnFormula>
    </tableColumn>
    <tableColumn id="230" name="S159" dataDxfId="1066">
      <calculatedColumnFormula>IF(ISBLANK(tbl_task7[[คะแนนเต็ม]:[คะแนนเต็ม]]),"",(tbl_task7[159]/tbl_task7[[คะแนนเต็ม]:[คะแนนเต็ม]])*tbl_task7[[%]:[%]])</calculatedColumnFormula>
    </tableColumn>
    <tableColumn id="231" name="S160" dataDxfId="1065">
      <calculatedColumnFormula>IF(ISBLANK(tbl_task7[[คะแนนเต็ม]:[คะแนนเต็ม]]),"",(tbl_task7[160]/tbl_task7[[คะแนนเต็ม]:[คะแนนเต็ม]])*tbl_task7[[%]:[%]])</calculatedColumnFormula>
    </tableColumn>
    <tableColumn id="232" name="S161" dataDxfId="1064">
      <calculatedColumnFormula>IF(ISBLANK(tbl_task7[[คะแนนเต็ม]:[คะแนนเต็ม]]),"",(tbl_task7[161]/tbl_task7[[คะแนนเต็ม]:[คะแนนเต็ม]])*tbl_task7[[%]:[%]])</calculatedColumnFormula>
    </tableColumn>
    <tableColumn id="334" name="S162" dataDxfId="1063">
      <calculatedColumnFormula>IF(ISBLANK(tbl_task7[[คะแนนเต็ม]:[คะแนนเต็ม]]),"",(tbl_task7[162]/tbl_task7[[คะแนนเต็ม]:[คะแนนเต็ม]])*tbl_task7[[%]:[%]])</calculatedColumnFormula>
    </tableColumn>
    <tableColumn id="335" name="S163" dataDxfId="1062">
      <calculatedColumnFormula>IF(ISBLANK(tbl_task7[[คะแนนเต็ม]:[คะแนนเต็ม]]),"",(tbl_task7[163]/tbl_task7[[คะแนนเต็ม]:[คะแนนเต็ม]])*tbl_task7[[%]:[%]])</calculatedColumnFormula>
    </tableColumn>
    <tableColumn id="233" name="S164" dataDxfId="1061">
      <calculatedColumnFormula>IF(ISBLANK(tbl_task7[[คะแนนเต็ม]:[คะแนนเต็ม]]),"",(tbl_task7[164]/tbl_task7[[คะแนนเต็ม]:[คะแนนเต็ม]])*tbl_task7[[%]:[%]])</calculatedColumnFormula>
    </tableColumn>
    <tableColumn id="234" name="S165" dataDxfId="1060">
      <calculatedColumnFormula>IF(ISBLANK(tbl_task7[[คะแนนเต็ม]:[คะแนนเต็ม]]),"",(tbl_task7[165]/tbl_task7[[คะแนนเต็ม]:[คะแนนเต็ม]])*tbl_task7[[%]:[%]])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bl_task8" displayName="tbl_task8" ref="A3:LW28" totalsRowShown="0" headerRowDxfId="1059" dataDxfId="1057" headerRowBorderDxfId="1058" tableBorderDxfId="1056" totalsRowBorderDxfId="1055">
  <tableColumns count="335">
    <tableColumn id="1" name="No" dataDxfId="1054"/>
    <tableColumn id="2" name="SubPLOs" dataDxfId="1053"/>
    <tableColumn id="3" name="SubPLOs_name" dataDxfId="1052">
      <calculatedColumnFormula>IF(ISBLANK(B4),"",VLOOKUP(B4,tbl_PLOs[],2,0))</calculatedColumnFormula>
    </tableColumn>
    <tableColumn id="235" name="คะแนนเต็ม" dataDxfId="1051"/>
    <tableColumn id="4" name="%" dataDxfId="1050">
      <calculatedColumnFormula>IF(OR(ISBLANK(#REF!),ISBLANK(tbl_task8[[#This Row],[SubPLOs]])),"",#REF!/$B$29)</calculatedColumnFormula>
    </tableColumn>
    <tableColumn id="5" name="1" dataDxfId="1049"/>
    <tableColumn id="6" name="2" dataDxfId="1048"/>
    <tableColumn id="7" name="3" dataDxfId="1047"/>
    <tableColumn id="8" name="4" dataDxfId="1046"/>
    <tableColumn id="9" name="5" dataDxfId="1045"/>
    <tableColumn id="10" name="6" dataDxfId="1044"/>
    <tableColumn id="11" name="7" dataDxfId="1043"/>
    <tableColumn id="12" name="8" dataDxfId="1042"/>
    <tableColumn id="13" name="9" dataDxfId="1041"/>
    <tableColumn id="14" name="10" dataDxfId="1040"/>
    <tableColumn id="15" name="11" dataDxfId="1039"/>
    <tableColumn id="16" name="12" dataDxfId="1038"/>
    <tableColumn id="17" name="13" dataDxfId="1037"/>
    <tableColumn id="18" name="14" dataDxfId="1036"/>
    <tableColumn id="19" name="15" dataDxfId="1035"/>
    <tableColumn id="20" name="16" dataDxfId="1034"/>
    <tableColumn id="21" name="17" dataDxfId="1033"/>
    <tableColumn id="22" name="18" dataDxfId="1032"/>
    <tableColumn id="23" name="19" dataDxfId="1031"/>
    <tableColumn id="24" name="20" dataDxfId="1030"/>
    <tableColumn id="25" name="21" dataDxfId="1029"/>
    <tableColumn id="26" name="22" dataDxfId="1028"/>
    <tableColumn id="27" name="23" dataDxfId="1027"/>
    <tableColumn id="28" name="24" dataDxfId="1026"/>
    <tableColumn id="29" name="25" dataDxfId="1025"/>
    <tableColumn id="30" name="26" dataDxfId="1024"/>
    <tableColumn id="31" name="27" dataDxfId="1023"/>
    <tableColumn id="32" name="28" dataDxfId="1022"/>
    <tableColumn id="33" name="29" dataDxfId="1021"/>
    <tableColumn id="34" name="30" dataDxfId="1020"/>
    <tableColumn id="35" name="31" dataDxfId="1019"/>
    <tableColumn id="36" name="32" dataDxfId="1018"/>
    <tableColumn id="37" name="33" dataDxfId="1017"/>
    <tableColumn id="38" name="34" dataDxfId="1016"/>
    <tableColumn id="39" name="35" dataDxfId="1015"/>
    <tableColumn id="40" name="36" dataDxfId="1014"/>
    <tableColumn id="41" name="37" dataDxfId="1013"/>
    <tableColumn id="42" name="38" dataDxfId="1012"/>
    <tableColumn id="43" name="39" dataDxfId="1011"/>
    <tableColumn id="44" name="40" dataDxfId="1010"/>
    <tableColumn id="45" name="41" dataDxfId="1009"/>
    <tableColumn id="46" name="42" dataDxfId="1008"/>
    <tableColumn id="47" name="43" dataDxfId="1007"/>
    <tableColumn id="48" name="44" dataDxfId="1006"/>
    <tableColumn id="49" name="45" dataDxfId="1005"/>
    <tableColumn id="50" name="46" dataDxfId="1004"/>
    <tableColumn id="51" name="47" dataDxfId="1003"/>
    <tableColumn id="52" name="48" dataDxfId="1002"/>
    <tableColumn id="53" name="49" dataDxfId="1001"/>
    <tableColumn id="54" name="50" dataDxfId="1000"/>
    <tableColumn id="55" name="51" dataDxfId="999"/>
    <tableColumn id="56" name="52" dataDxfId="998"/>
    <tableColumn id="57" name="53" dataDxfId="997"/>
    <tableColumn id="58" name="54" dataDxfId="996"/>
    <tableColumn id="59" name="55" dataDxfId="995"/>
    <tableColumn id="60" name="56" dataDxfId="994"/>
    <tableColumn id="61" name="57" dataDxfId="993"/>
    <tableColumn id="62" name="58" dataDxfId="992"/>
    <tableColumn id="63" name="59" dataDxfId="991"/>
    <tableColumn id="64" name="60" dataDxfId="990"/>
    <tableColumn id="65" name="61" dataDxfId="989"/>
    <tableColumn id="66" name="62" dataDxfId="988"/>
    <tableColumn id="67" name="63" dataDxfId="987"/>
    <tableColumn id="68" name="64" dataDxfId="986"/>
    <tableColumn id="69" name="65" dataDxfId="985"/>
    <tableColumn id="70" name="66" dataDxfId="984"/>
    <tableColumn id="71" name="67" dataDxfId="983"/>
    <tableColumn id="72" name="68" dataDxfId="982"/>
    <tableColumn id="73" name="69" dataDxfId="981"/>
    <tableColumn id="74" name="70" dataDxfId="980"/>
    <tableColumn id="75" name="71" dataDxfId="979"/>
    <tableColumn id="76" name="72" dataDxfId="978"/>
    <tableColumn id="77" name="73" dataDxfId="977"/>
    <tableColumn id="78" name="74" dataDxfId="976"/>
    <tableColumn id="79" name="75" dataDxfId="975"/>
    <tableColumn id="80" name="76" dataDxfId="974"/>
    <tableColumn id="81" name="77" dataDxfId="973"/>
    <tableColumn id="82" name="78" dataDxfId="972"/>
    <tableColumn id="83" name="79" dataDxfId="971"/>
    <tableColumn id="84" name="80" dataDxfId="970"/>
    <tableColumn id="85" name="81" dataDxfId="969"/>
    <tableColumn id="86" name="82" dataDxfId="968"/>
    <tableColumn id="87" name="83" dataDxfId="967"/>
    <tableColumn id="88" name="84" dataDxfId="966"/>
    <tableColumn id="89" name="85" dataDxfId="965"/>
    <tableColumn id="90" name="86" dataDxfId="964"/>
    <tableColumn id="91" name="87" dataDxfId="963"/>
    <tableColumn id="92" name="88" dataDxfId="962"/>
    <tableColumn id="93" name="89" dataDxfId="961"/>
    <tableColumn id="94" name="90" dataDxfId="960"/>
    <tableColumn id="236" name="91" dataDxfId="959"/>
    <tableColumn id="237" name="92" dataDxfId="958"/>
    <tableColumn id="238" name="93" dataDxfId="957"/>
    <tableColumn id="239" name="94" dataDxfId="956"/>
    <tableColumn id="240" name="95" dataDxfId="955"/>
    <tableColumn id="241" name="96" dataDxfId="954"/>
    <tableColumn id="242" name="97" dataDxfId="953"/>
    <tableColumn id="243" name="98" dataDxfId="952"/>
    <tableColumn id="244" name="99" dataDxfId="951"/>
    <tableColumn id="245" name="100" dataDxfId="950"/>
    <tableColumn id="246" name="101" dataDxfId="949"/>
    <tableColumn id="247" name="102" dataDxfId="948"/>
    <tableColumn id="248" name="103" dataDxfId="947"/>
    <tableColumn id="249" name="104" dataDxfId="946"/>
    <tableColumn id="250" name="105" dataDxfId="945"/>
    <tableColumn id="251" name="106" dataDxfId="944"/>
    <tableColumn id="252" name="107" dataDxfId="943"/>
    <tableColumn id="253" name="108" dataDxfId="942"/>
    <tableColumn id="254" name="109" dataDxfId="941"/>
    <tableColumn id="255" name="110" dataDxfId="940"/>
    <tableColumn id="256" name="111" dataDxfId="939"/>
    <tableColumn id="257" name="112" dataDxfId="938"/>
    <tableColumn id="258" name="113" dataDxfId="937"/>
    <tableColumn id="259" name="114" dataDxfId="936"/>
    <tableColumn id="260" name="115" dataDxfId="935"/>
    <tableColumn id="95" name="116" dataDxfId="934"/>
    <tableColumn id="96" name="117" dataDxfId="933"/>
    <tableColumn id="97" name="118" dataDxfId="932"/>
    <tableColumn id="98" name="119" dataDxfId="931"/>
    <tableColumn id="99" name="120" dataDxfId="930"/>
    <tableColumn id="100" name="121" dataDxfId="929"/>
    <tableColumn id="101" name="122" dataDxfId="928"/>
    <tableColumn id="102" name="123" dataDxfId="927"/>
    <tableColumn id="261" name="124" dataDxfId="926"/>
    <tableColumn id="262" name="125" dataDxfId="925"/>
    <tableColumn id="263" name="126" dataDxfId="924"/>
    <tableColumn id="264" name="127" dataDxfId="923"/>
    <tableColumn id="265" name="128" dataDxfId="922"/>
    <tableColumn id="266" name="129" dataDxfId="921"/>
    <tableColumn id="267" name="130" dataDxfId="920"/>
    <tableColumn id="268" name="131" dataDxfId="919"/>
    <tableColumn id="269" name="132" dataDxfId="918"/>
    <tableColumn id="270" name="133" dataDxfId="917"/>
    <tableColumn id="271" name="134" dataDxfId="916"/>
    <tableColumn id="272" name="135" dataDxfId="915"/>
    <tableColumn id="273" name="136" dataDxfId="914"/>
    <tableColumn id="274" name="137" dataDxfId="913"/>
    <tableColumn id="275" name="138" dataDxfId="912"/>
    <tableColumn id="276" name="139" dataDxfId="911"/>
    <tableColumn id="277" name="140" dataDxfId="910"/>
    <tableColumn id="103" name="141" dataDxfId="909"/>
    <tableColumn id="104" name="142" dataDxfId="908"/>
    <tableColumn id="105" name="143" dataDxfId="907"/>
    <tableColumn id="106" name="144" dataDxfId="906"/>
    <tableColumn id="107" name="145" dataDxfId="905"/>
    <tableColumn id="108" name="146" dataDxfId="904"/>
    <tableColumn id="109" name="147" dataDxfId="903"/>
    <tableColumn id="110" name="148" dataDxfId="902"/>
    <tableColumn id="111" name="149" dataDxfId="901"/>
    <tableColumn id="278" name="150" dataDxfId="900"/>
    <tableColumn id="279" name="151" dataDxfId="899"/>
    <tableColumn id="280" name="152" dataDxfId="898"/>
    <tableColumn id="281" name="153" dataDxfId="897"/>
    <tableColumn id="282" name="154" dataDxfId="896"/>
    <tableColumn id="283" name="155" dataDxfId="895"/>
    <tableColumn id="284" name="156" dataDxfId="894"/>
    <tableColumn id="285" name="157" dataDxfId="893"/>
    <tableColumn id="112" name="158" dataDxfId="892"/>
    <tableColumn id="113" name="159" dataDxfId="891"/>
    <tableColumn id="114" name="160" dataDxfId="890"/>
    <tableColumn id="115" name="161" dataDxfId="889"/>
    <tableColumn id="116" name="162" dataDxfId="888"/>
    <tableColumn id="117" name="163" dataDxfId="887"/>
    <tableColumn id="118" name="164" dataDxfId="886"/>
    <tableColumn id="119" name="165" dataDxfId="885"/>
    <tableColumn id="120" name="S1" dataDxfId="884">
      <calculatedColumnFormula>IF(ISBLANK(tbl_task8[[คะแนนเต็ม]:[คะแนนเต็ม]]),"",(tbl_task8[1]/tbl_task8[[คะแนนเต็ม]:[คะแนนเต็ม]])*tbl_task8[[%]:[%]])</calculatedColumnFormula>
    </tableColumn>
    <tableColumn id="121" name="S2" dataDxfId="883">
      <calculatedColumnFormula>IF(ISBLANK(tbl_task8[[คะแนนเต็ม]:[คะแนนเต็ม]]),"",(tbl_task8[2]/tbl_task8[[คะแนนเต็ม]:[คะแนนเต็ม]])*tbl_task8[[%]:[%]])</calculatedColumnFormula>
    </tableColumn>
    <tableColumn id="122" name="S3" dataDxfId="882">
      <calculatedColumnFormula>IF(ISBLANK(tbl_task8[[คะแนนเต็ม]:[คะแนนเต็ม]]),"",(tbl_task8[3]/tbl_task8[[คะแนนเต็ม]:[คะแนนเต็ม]])*tbl_task8[[%]:[%]])</calculatedColumnFormula>
    </tableColumn>
    <tableColumn id="123" name="S4" dataDxfId="881">
      <calculatedColumnFormula>IF(ISBLANK(tbl_task8[[คะแนนเต็ม]:[คะแนนเต็ม]]),"",(tbl_task8[4]/tbl_task8[[คะแนนเต็ม]:[คะแนนเต็ม]])*tbl_task8[[%]:[%]])</calculatedColumnFormula>
    </tableColumn>
    <tableColumn id="124" name="S5" dataDxfId="880">
      <calculatedColumnFormula>IF(ISBLANK(tbl_task8[[คะแนนเต็ม]:[คะแนนเต็ม]]),"",(tbl_task8[5]/tbl_task8[[คะแนนเต็ม]:[คะแนนเต็ม]])*tbl_task8[[%]:[%]])</calculatedColumnFormula>
    </tableColumn>
    <tableColumn id="125" name="S6" dataDxfId="879">
      <calculatedColumnFormula>IF(ISBLANK(tbl_task8[[คะแนนเต็ม]:[คะแนนเต็ม]]),"",(tbl_task8[6]/tbl_task8[[คะแนนเต็ม]:[คะแนนเต็ม]])*tbl_task8[[%]:[%]])</calculatedColumnFormula>
    </tableColumn>
    <tableColumn id="126" name="S7" dataDxfId="878">
      <calculatedColumnFormula>IF(ISBLANK(tbl_task8[[คะแนนเต็ม]:[คะแนนเต็ม]]),"",(tbl_task8[7]/tbl_task8[[คะแนนเต็ม]:[คะแนนเต็ม]])*tbl_task8[[%]:[%]])</calculatedColumnFormula>
    </tableColumn>
    <tableColumn id="127" name="S8" dataDxfId="877">
      <calculatedColumnFormula>IF(ISBLANK(tbl_task8[[คะแนนเต็ม]:[คะแนนเต็ม]]),"",(tbl_task8[8]/tbl_task8[[คะแนนเต็ม]:[คะแนนเต็ม]])*tbl_task8[[%]:[%]])</calculatedColumnFormula>
    </tableColumn>
    <tableColumn id="128" name="S9" dataDxfId="876">
      <calculatedColumnFormula>IF(ISBLANK(tbl_task8[[คะแนนเต็ม]:[คะแนนเต็ม]]),"",(tbl_task8[9]/tbl_task8[[คะแนนเต็ม]:[คะแนนเต็ม]])*tbl_task8[[%]:[%]])</calculatedColumnFormula>
    </tableColumn>
    <tableColumn id="129" name="S10" dataDxfId="875">
      <calculatedColumnFormula>IF(ISBLANK(tbl_task8[[คะแนนเต็ม]:[คะแนนเต็ม]]),"",(tbl_task8[10]/tbl_task8[[คะแนนเต็ม]:[คะแนนเต็ม]])*tbl_task8[[%]:[%]])</calculatedColumnFormula>
    </tableColumn>
    <tableColumn id="130" name="S11" dataDxfId="874">
      <calculatedColumnFormula>IF(ISBLANK(tbl_task8[[คะแนนเต็ม]:[คะแนนเต็ม]]),"",(tbl_task8[11]/tbl_task8[[คะแนนเต็ม]:[คะแนนเต็ม]])*tbl_task8[[%]:[%]])</calculatedColumnFormula>
    </tableColumn>
    <tableColumn id="131" name="S12" dataDxfId="873">
      <calculatedColumnFormula>IF(ISBLANK(tbl_task8[[คะแนนเต็ม]:[คะแนนเต็ม]]),"",(tbl_task8[12]/tbl_task8[[คะแนนเต็ม]:[คะแนนเต็ม]])*tbl_task8[[%]:[%]])</calculatedColumnFormula>
    </tableColumn>
    <tableColumn id="132" name="S13" dataDxfId="872">
      <calculatedColumnFormula>IF(ISBLANK(tbl_task8[[คะแนนเต็ม]:[คะแนนเต็ม]]),"",(tbl_task8[13]/tbl_task8[[คะแนนเต็ม]:[คะแนนเต็ม]])*tbl_task8[[%]:[%]])</calculatedColumnFormula>
    </tableColumn>
    <tableColumn id="133" name="S14" dataDxfId="871">
      <calculatedColumnFormula>IF(ISBLANK(tbl_task8[[คะแนนเต็ม]:[คะแนนเต็ม]]),"",(tbl_task8[14]/tbl_task8[[คะแนนเต็ม]:[คะแนนเต็ม]])*tbl_task8[[%]:[%]])</calculatedColumnFormula>
    </tableColumn>
    <tableColumn id="134" name="S15" dataDxfId="870">
      <calculatedColumnFormula>IF(ISBLANK(tbl_task8[[คะแนนเต็ม]:[คะแนนเต็ม]]),"",(tbl_task8[15]/tbl_task8[[คะแนนเต็ม]:[คะแนนเต็ม]])*tbl_task8[[%]:[%]])</calculatedColumnFormula>
    </tableColumn>
    <tableColumn id="135" name="S16" dataDxfId="869">
      <calculatedColumnFormula>IF(ISBLANK(tbl_task8[[คะแนนเต็ม]:[คะแนนเต็ม]]),"",(tbl_task8[16]/tbl_task8[[คะแนนเต็ม]:[คะแนนเต็ม]])*tbl_task8[[%]:[%]])</calculatedColumnFormula>
    </tableColumn>
    <tableColumn id="136" name="S17" dataDxfId="868">
      <calculatedColumnFormula>IF(ISBLANK(tbl_task8[[คะแนนเต็ม]:[คะแนนเต็ม]]),"",(tbl_task8[17]/tbl_task8[[คะแนนเต็ม]:[คะแนนเต็ม]])*tbl_task8[[%]:[%]])</calculatedColumnFormula>
    </tableColumn>
    <tableColumn id="137" name="S18" dataDxfId="867">
      <calculatedColumnFormula>IF(ISBLANK(tbl_task8[[คะแนนเต็ม]:[คะแนนเต็ม]]),"",(tbl_task8[18]/tbl_task8[[คะแนนเต็ม]:[คะแนนเต็ม]])*tbl_task8[[%]:[%]])</calculatedColumnFormula>
    </tableColumn>
    <tableColumn id="138" name="S19" dataDxfId="866">
      <calculatedColumnFormula>IF(ISBLANK(tbl_task8[[คะแนนเต็ม]:[คะแนนเต็ม]]),"",(tbl_task8[19]/tbl_task8[[คะแนนเต็ม]:[คะแนนเต็ม]])*tbl_task8[[%]:[%]])</calculatedColumnFormula>
    </tableColumn>
    <tableColumn id="139" name="S20" dataDxfId="865">
      <calculatedColumnFormula>IF(ISBLANK(tbl_task8[[คะแนนเต็ม]:[คะแนนเต็ม]]),"",(tbl_task8[20]/tbl_task8[[คะแนนเต็ม]:[คะแนนเต็ม]])*tbl_task8[[%]:[%]])</calculatedColumnFormula>
    </tableColumn>
    <tableColumn id="140" name="S21" dataDxfId="864">
      <calculatedColumnFormula>IF(ISBLANK(tbl_task8[[คะแนนเต็ม]:[คะแนนเต็ม]]),"",(tbl_task8[21]/tbl_task8[[คะแนนเต็ม]:[คะแนนเต็ม]])*tbl_task8[[%]:[%]])</calculatedColumnFormula>
    </tableColumn>
    <tableColumn id="141" name="S22" dataDxfId="863">
      <calculatedColumnFormula>IF(ISBLANK(tbl_task8[[คะแนนเต็ม]:[คะแนนเต็ม]]),"",(tbl_task8[22]/tbl_task8[[คะแนนเต็ม]:[คะแนนเต็ม]])*tbl_task8[[%]:[%]])</calculatedColumnFormula>
    </tableColumn>
    <tableColumn id="142" name="S23" dataDxfId="862">
      <calculatedColumnFormula>IF(ISBLANK(tbl_task8[[คะแนนเต็ม]:[คะแนนเต็ม]]),"",(tbl_task8[23]/tbl_task8[[คะแนนเต็ม]:[คะแนนเต็ม]])*tbl_task8[[%]:[%]])</calculatedColumnFormula>
    </tableColumn>
    <tableColumn id="143" name="S24" dataDxfId="861">
      <calculatedColumnFormula>IF(ISBLANK(tbl_task8[[คะแนนเต็ม]:[คะแนนเต็ม]]),"",(tbl_task8[24]/tbl_task8[[คะแนนเต็ม]:[คะแนนเต็ม]])*tbl_task8[[%]:[%]])</calculatedColumnFormula>
    </tableColumn>
    <tableColumn id="144" name="S25" dataDxfId="860">
      <calculatedColumnFormula>IF(ISBLANK(tbl_task8[[คะแนนเต็ม]:[คะแนนเต็ม]]),"",(tbl_task8[25]/tbl_task8[[คะแนนเต็ม]:[คะแนนเต็ม]])*tbl_task8[[%]:[%]])</calculatedColumnFormula>
    </tableColumn>
    <tableColumn id="145" name="S26" dataDxfId="859">
      <calculatedColumnFormula>IF(ISBLANK(tbl_task8[[คะแนนเต็ม]:[คะแนนเต็ม]]),"",(tbl_task8[26]/tbl_task8[[คะแนนเต็ม]:[คะแนนเต็ม]])*tbl_task8[[%]:[%]])</calculatedColumnFormula>
    </tableColumn>
    <tableColumn id="146" name="S27" dataDxfId="858">
      <calculatedColumnFormula>IF(ISBLANK(tbl_task8[[คะแนนเต็ม]:[คะแนนเต็ม]]),"",(tbl_task8[27]/tbl_task8[[คะแนนเต็ม]:[คะแนนเต็ม]])*tbl_task8[[%]:[%]])</calculatedColumnFormula>
    </tableColumn>
    <tableColumn id="147" name="S28" dataDxfId="857">
      <calculatedColumnFormula>IF(ISBLANK(tbl_task8[[คะแนนเต็ม]:[คะแนนเต็ม]]),"",(tbl_task8[28]/tbl_task8[[คะแนนเต็ม]:[คะแนนเต็ม]])*tbl_task8[[%]:[%]])</calculatedColumnFormula>
    </tableColumn>
    <tableColumn id="148" name="S29" dataDxfId="856">
      <calculatedColumnFormula>IF(ISBLANK(tbl_task8[[คะแนนเต็ม]:[คะแนนเต็ม]]),"",(tbl_task8[29]/tbl_task8[[คะแนนเต็ม]:[คะแนนเต็ม]])*tbl_task8[[%]:[%]])</calculatedColumnFormula>
    </tableColumn>
    <tableColumn id="149" name="S30" dataDxfId="855">
      <calculatedColumnFormula>IF(ISBLANK(tbl_task8[[คะแนนเต็ม]:[คะแนนเต็ม]]),"",(tbl_task8[30]/tbl_task8[[คะแนนเต็ม]:[คะแนนเต็ม]])*tbl_task8[[%]:[%]])</calculatedColumnFormula>
    </tableColumn>
    <tableColumn id="150" name="S31" dataDxfId="854">
      <calculatedColumnFormula>IF(ISBLANK(tbl_task8[[คะแนนเต็ม]:[คะแนนเต็ม]]),"",(tbl_task8[31]/tbl_task8[[คะแนนเต็ม]:[คะแนนเต็ม]])*tbl_task8[[%]:[%]])</calculatedColumnFormula>
    </tableColumn>
    <tableColumn id="151" name="S32" dataDxfId="853">
      <calculatedColumnFormula>IF(ISBLANK(tbl_task8[[คะแนนเต็ม]:[คะแนนเต็ม]]),"",(tbl_task8[32]/tbl_task8[[คะแนนเต็ม]:[คะแนนเต็ม]])*tbl_task8[[%]:[%]])</calculatedColumnFormula>
    </tableColumn>
    <tableColumn id="152" name="S33" dataDxfId="852">
      <calculatedColumnFormula>IF(ISBLANK(tbl_task8[[คะแนนเต็ม]:[คะแนนเต็ม]]),"",(tbl_task8[33]/tbl_task8[[คะแนนเต็ม]:[คะแนนเต็ม]])*tbl_task8[[%]:[%]])</calculatedColumnFormula>
    </tableColumn>
    <tableColumn id="153" name="S34" dataDxfId="851">
      <calculatedColumnFormula>IF(ISBLANK(tbl_task8[[คะแนนเต็ม]:[คะแนนเต็ม]]),"",(tbl_task8[34]/tbl_task8[[คะแนนเต็ม]:[คะแนนเต็ม]])*tbl_task8[[%]:[%]])</calculatedColumnFormula>
    </tableColumn>
    <tableColumn id="154" name="S35" dataDxfId="850">
      <calculatedColumnFormula>IF(ISBLANK(tbl_task8[[คะแนนเต็ม]:[คะแนนเต็ม]]),"",(tbl_task8[35]/tbl_task8[[คะแนนเต็ม]:[คะแนนเต็ม]])*tbl_task8[[%]:[%]])</calculatedColumnFormula>
    </tableColumn>
    <tableColumn id="155" name="S36" dataDxfId="849">
      <calculatedColumnFormula>IF(ISBLANK(tbl_task8[[คะแนนเต็ม]:[คะแนนเต็ม]]),"",(tbl_task8[36]/tbl_task8[[คะแนนเต็ม]:[คะแนนเต็ม]])*tbl_task8[[%]:[%]])</calculatedColumnFormula>
    </tableColumn>
    <tableColumn id="156" name="S37" dataDxfId="848">
      <calculatedColumnFormula>IF(ISBLANK(tbl_task8[[คะแนนเต็ม]:[คะแนนเต็ม]]),"",(tbl_task8[37]/tbl_task8[[คะแนนเต็ม]:[คะแนนเต็ม]])*tbl_task8[[%]:[%]])</calculatedColumnFormula>
    </tableColumn>
    <tableColumn id="157" name="S38" dataDxfId="847">
      <calculatedColumnFormula>IF(ISBLANK(tbl_task8[[คะแนนเต็ม]:[คะแนนเต็ม]]),"",(tbl_task8[38]/tbl_task8[[คะแนนเต็ม]:[คะแนนเต็ม]])*tbl_task8[[%]:[%]])</calculatedColumnFormula>
    </tableColumn>
    <tableColumn id="158" name="S39" dataDxfId="846">
      <calculatedColumnFormula>IF(ISBLANK(tbl_task8[[คะแนนเต็ม]:[คะแนนเต็ม]]),"",(tbl_task8[39]/tbl_task8[[คะแนนเต็ม]:[คะแนนเต็ม]])*tbl_task8[[%]:[%]])</calculatedColumnFormula>
    </tableColumn>
    <tableColumn id="159" name="S40" dataDxfId="845">
      <calculatedColumnFormula>IF(ISBLANK(tbl_task8[[คะแนนเต็ม]:[คะแนนเต็ม]]),"",(tbl_task8[40]/tbl_task8[[คะแนนเต็ม]:[คะแนนเต็ม]])*tbl_task8[[%]:[%]])</calculatedColumnFormula>
    </tableColumn>
    <tableColumn id="160" name="S41" dataDxfId="844">
      <calculatedColumnFormula>IF(ISBLANK(tbl_task8[[คะแนนเต็ม]:[คะแนนเต็ม]]),"",(tbl_task8[41]/tbl_task8[[คะแนนเต็ม]:[คะแนนเต็ม]])*tbl_task8[[%]:[%]])</calculatedColumnFormula>
    </tableColumn>
    <tableColumn id="161" name="S42" dataDxfId="843">
      <calculatedColumnFormula>IF(ISBLANK(tbl_task8[[คะแนนเต็ม]:[คะแนนเต็ม]]),"",(tbl_task8[42]/tbl_task8[[คะแนนเต็ม]:[คะแนนเต็ม]])*tbl_task8[[%]:[%]])</calculatedColumnFormula>
    </tableColumn>
    <tableColumn id="162" name="S43" dataDxfId="842">
      <calculatedColumnFormula>IF(ISBLANK(tbl_task8[[คะแนนเต็ม]:[คะแนนเต็ม]]),"",(tbl_task8[43]/tbl_task8[[คะแนนเต็ม]:[คะแนนเต็ม]])*tbl_task8[[%]:[%]])</calculatedColumnFormula>
    </tableColumn>
    <tableColumn id="163" name="S44" dataDxfId="841">
      <calculatedColumnFormula>IF(ISBLANK(tbl_task8[[คะแนนเต็ม]:[คะแนนเต็ม]]),"",(tbl_task8[44]/tbl_task8[[คะแนนเต็ม]:[คะแนนเต็ม]])*tbl_task8[[%]:[%]])</calculatedColumnFormula>
    </tableColumn>
    <tableColumn id="164" name="S45" dataDxfId="840">
      <calculatedColumnFormula>IF(ISBLANK(tbl_task8[[คะแนนเต็ม]:[คะแนนเต็ม]]),"",(tbl_task8[45]/tbl_task8[[คะแนนเต็ม]:[คะแนนเต็ม]])*tbl_task8[[%]:[%]])</calculatedColumnFormula>
    </tableColumn>
    <tableColumn id="165" name="S46" dataDxfId="839">
      <calculatedColumnFormula>IF(ISBLANK(tbl_task8[[คะแนนเต็ม]:[คะแนนเต็ม]]),"",(tbl_task8[46]/tbl_task8[[คะแนนเต็ม]:[คะแนนเต็ม]])*tbl_task8[[%]:[%]])</calculatedColumnFormula>
    </tableColumn>
    <tableColumn id="166" name="S47" dataDxfId="838">
      <calculatedColumnFormula>IF(ISBLANK(tbl_task8[[คะแนนเต็ม]:[คะแนนเต็ม]]),"",(tbl_task8[47]/tbl_task8[[คะแนนเต็ม]:[คะแนนเต็ม]])*tbl_task8[[%]:[%]])</calculatedColumnFormula>
    </tableColumn>
    <tableColumn id="167" name="S48" dataDxfId="837">
      <calculatedColumnFormula>IF(ISBLANK(tbl_task8[[คะแนนเต็ม]:[คะแนนเต็ม]]),"",(tbl_task8[48]/tbl_task8[[คะแนนเต็ม]:[คะแนนเต็ม]])*tbl_task8[[%]:[%]])</calculatedColumnFormula>
    </tableColumn>
    <tableColumn id="168" name="S49" dataDxfId="836">
      <calculatedColumnFormula>IF(ISBLANK(tbl_task8[[คะแนนเต็ม]:[คะแนนเต็ม]]),"",(tbl_task8[49]/tbl_task8[[คะแนนเต็ม]:[คะแนนเต็ม]])*tbl_task8[[%]:[%]])</calculatedColumnFormula>
    </tableColumn>
    <tableColumn id="169" name="S50" dataDxfId="835">
      <calculatedColumnFormula>IF(ISBLANK(tbl_task8[[คะแนนเต็ม]:[คะแนนเต็ม]]),"",(tbl_task8[50]/tbl_task8[[คะแนนเต็ม]:[คะแนนเต็ม]])*tbl_task8[[%]:[%]])</calculatedColumnFormula>
    </tableColumn>
    <tableColumn id="170" name="S51" dataDxfId="834">
      <calculatedColumnFormula>IF(ISBLANK(tbl_task8[[คะแนนเต็ม]:[คะแนนเต็ม]]),"",(tbl_task8[51]/tbl_task8[[คะแนนเต็ม]:[คะแนนเต็ม]])*tbl_task8[[%]:[%]])</calculatedColumnFormula>
    </tableColumn>
    <tableColumn id="171" name="S52" dataDxfId="833">
      <calculatedColumnFormula>IF(ISBLANK(tbl_task8[[คะแนนเต็ม]:[คะแนนเต็ม]]),"",(tbl_task8[52]/tbl_task8[[คะแนนเต็ม]:[คะแนนเต็ม]])*tbl_task8[[%]:[%]])</calculatedColumnFormula>
    </tableColumn>
    <tableColumn id="172" name="S53" dataDxfId="832">
      <calculatedColumnFormula>IF(ISBLANK(tbl_task8[[คะแนนเต็ม]:[คะแนนเต็ม]]),"",(tbl_task8[53]/tbl_task8[[คะแนนเต็ม]:[คะแนนเต็ม]])*tbl_task8[[%]:[%]])</calculatedColumnFormula>
    </tableColumn>
    <tableColumn id="173" name="S54" dataDxfId="831">
      <calculatedColumnFormula>IF(ISBLANK(tbl_task8[[คะแนนเต็ม]:[คะแนนเต็ม]]),"",(tbl_task8[54]/tbl_task8[[คะแนนเต็ม]:[คะแนนเต็ม]])*tbl_task8[[%]:[%]])</calculatedColumnFormula>
    </tableColumn>
    <tableColumn id="174" name="S55" dataDxfId="830">
      <calculatedColumnFormula>IF(ISBLANK(tbl_task8[[คะแนนเต็ม]:[คะแนนเต็ม]]),"",(tbl_task8[55]/tbl_task8[[คะแนนเต็ม]:[คะแนนเต็ม]])*tbl_task8[[%]:[%]])</calculatedColumnFormula>
    </tableColumn>
    <tableColumn id="175" name="S56" dataDxfId="829">
      <calculatedColumnFormula>IF(ISBLANK(tbl_task8[[คะแนนเต็ม]:[คะแนนเต็ม]]),"",(tbl_task8[56]/tbl_task8[[คะแนนเต็ม]:[คะแนนเต็ม]])*tbl_task8[[%]:[%]])</calculatedColumnFormula>
    </tableColumn>
    <tableColumn id="176" name="S57" dataDxfId="828">
      <calculatedColumnFormula>IF(ISBLANK(tbl_task8[[คะแนนเต็ม]:[คะแนนเต็ม]]),"",(tbl_task8[57]/tbl_task8[[คะแนนเต็ม]:[คะแนนเต็ม]])*tbl_task8[[%]:[%]])</calculatedColumnFormula>
    </tableColumn>
    <tableColumn id="177" name="S58" dataDxfId="827">
      <calculatedColumnFormula>IF(ISBLANK(tbl_task8[[คะแนนเต็ม]:[คะแนนเต็ม]]),"",(tbl_task8[58]/tbl_task8[[คะแนนเต็ม]:[คะแนนเต็ม]])*tbl_task8[[%]:[%]])</calculatedColumnFormula>
    </tableColumn>
    <tableColumn id="178" name="S59" dataDxfId="826">
      <calculatedColumnFormula>IF(ISBLANK(tbl_task8[[คะแนนเต็ม]:[คะแนนเต็ม]]),"",(tbl_task8[59]/tbl_task8[[คะแนนเต็ม]:[คะแนนเต็ม]])*tbl_task8[[%]:[%]])</calculatedColumnFormula>
    </tableColumn>
    <tableColumn id="179" name="S60" dataDxfId="825">
      <calculatedColumnFormula>IF(ISBLANK(tbl_task8[[คะแนนเต็ม]:[คะแนนเต็ม]]),"",(tbl_task8[60]/tbl_task8[[คะแนนเต็ม]:[คะแนนเต็ม]])*tbl_task8[[%]:[%]])</calculatedColumnFormula>
    </tableColumn>
    <tableColumn id="180" name="S61" dataDxfId="824">
      <calculatedColumnFormula>IF(ISBLANK(tbl_task8[[คะแนนเต็ม]:[คะแนนเต็ม]]),"",(tbl_task8[61]/tbl_task8[[คะแนนเต็ม]:[คะแนนเต็ม]])*tbl_task8[[%]:[%]])</calculatedColumnFormula>
    </tableColumn>
    <tableColumn id="181" name="S62" dataDxfId="823">
      <calculatedColumnFormula>IF(ISBLANK(tbl_task8[[คะแนนเต็ม]:[คะแนนเต็ม]]),"",(tbl_task8[62]/tbl_task8[[คะแนนเต็ม]:[คะแนนเต็ม]])*tbl_task8[[%]:[%]])</calculatedColumnFormula>
    </tableColumn>
    <tableColumn id="182" name="S63" dataDxfId="822">
      <calculatedColumnFormula>IF(ISBLANK(tbl_task8[[คะแนนเต็ม]:[คะแนนเต็ม]]),"",(tbl_task8[63]/tbl_task8[[คะแนนเต็ม]:[คะแนนเต็ม]])*tbl_task8[[%]:[%]])</calculatedColumnFormula>
    </tableColumn>
    <tableColumn id="183" name="S64" dataDxfId="821">
      <calculatedColumnFormula>IF(ISBLANK(tbl_task8[[คะแนนเต็ม]:[คะแนนเต็ม]]),"",(tbl_task8[64]/tbl_task8[[คะแนนเต็ม]:[คะแนนเต็ม]])*tbl_task8[[%]:[%]])</calculatedColumnFormula>
    </tableColumn>
    <tableColumn id="184" name="S65" dataDxfId="820">
      <calculatedColumnFormula>IF(ISBLANK(tbl_task8[[คะแนนเต็ม]:[คะแนนเต็ม]]),"",(tbl_task8[65]/tbl_task8[[คะแนนเต็ม]:[คะแนนเต็ม]])*tbl_task8[[%]:[%]])</calculatedColumnFormula>
    </tableColumn>
    <tableColumn id="185" name="S66" dataDxfId="819">
      <calculatedColumnFormula>IF(ISBLANK(tbl_task8[[คะแนนเต็ม]:[คะแนนเต็ม]]),"",(tbl_task8[66]/tbl_task8[[คะแนนเต็ม]:[คะแนนเต็ม]])*tbl_task8[[%]:[%]])</calculatedColumnFormula>
    </tableColumn>
    <tableColumn id="186" name="S67" dataDxfId="818">
      <calculatedColumnFormula>IF(ISBLANK(tbl_task8[[คะแนนเต็ม]:[คะแนนเต็ม]]),"",(tbl_task8[67]/tbl_task8[[คะแนนเต็ม]:[คะแนนเต็ม]])*tbl_task8[[%]:[%]])</calculatedColumnFormula>
    </tableColumn>
    <tableColumn id="187" name="S68" dataDxfId="817">
      <calculatedColumnFormula>IF(ISBLANK(tbl_task8[[คะแนนเต็ม]:[คะแนนเต็ม]]),"",(tbl_task8[68]/tbl_task8[[คะแนนเต็ม]:[คะแนนเต็ม]])*tbl_task8[[%]:[%]])</calculatedColumnFormula>
    </tableColumn>
    <tableColumn id="188" name="S69" dataDxfId="816">
      <calculatedColumnFormula>IF(ISBLANK(tbl_task8[[คะแนนเต็ม]:[คะแนนเต็ม]]),"",(tbl_task8[69]/tbl_task8[[คะแนนเต็ม]:[คะแนนเต็ม]])*tbl_task8[[%]:[%]])</calculatedColumnFormula>
    </tableColumn>
    <tableColumn id="189" name="S70" dataDxfId="815">
      <calculatedColumnFormula>IF(ISBLANK(tbl_task8[[คะแนนเต็ม]:[คะแนนเต็ม]]),"",(tbl_task8[70]/tbl_task8[[คะแนนเต็ม]:[คะแนนเต็ม]])*tbl_task8[[%]:[%]])</calculatedColumnFormula>
    </tableColumn>
    <tableColumn id="190" name="S71" dataDxfId="814">
      <calculatedColumnFormula>IF(ISBLANK(tbl_task8[[คะแนนเต็ม]:[คะแนนเต็ม]]),"",(tbl_task8[71]/tbl_task8[[คะแนนเต็ม]:[คะแนนเต็ม]])*tbl_task8[[%]:[%]])</calculatedColumnFormula>
    </tableColumn>
    <tableColumn id="191" name="S72" dataDxfId="813">
      <calculatedColumnFormula>IF(ISBLANK(tbl_task8[[คะแนนเต็ม]:[คะแนนเต็ม]]),"",(tbl_task8[72]/tbl_task8[[คะแนนเต็ม]:[คะแนนเต็ม]])*tbl_task8[[%]:[%]])</calculatedColumnFormula>
    </tableColumn>
    <tableColumn id="192" name="S73" dataDxfId="812">
      <calculatedColumnFormula>IF(ISBLANK(tbl_task8[[คะแนนเต็ม]:[คะแนนเต็ม]]),"",(tbl_task8[73]/tbl_task8[[คะแนนเต็ม]:[คะแนนเต็ม]])*tbl_task8[[%]:[%]])</calculatedColumnFormula>
    </tableColumn>
    <tableColumn id="193" name="S74" dataDxfId="811">
      <calculatedColumnFormula>IF(ISBLANK(tbl_task8[[คะแนนเต็ม]:[คะแนนเต็ม]]),"",(tbl_task8[74]/tbl_task8[[คะแนนเต็ม]:[คะแนนเต็ม]])*tbl_task8[[%]:[%]])</calculatedColumnFormula>
    </tableColumn>
    <tableColumn id="194" name="S75" dataDxfId="810">
      <calculatedColumnFormula>IF(ISBLANK(tbl_task8[[คะแนนเต็ม]:[คะแนนเต็ม]]),"",(tbl_task8[75]/tbl_task8[[คะแนนเต็ม]:[คะแนนเต็ม]])*tbl_task8[[%]:[%]])</calculatedColumnFormula>
    </tableColumn>
    <tableColumn id="195" name="S76" dataDxfId="809">
      <calculatedColumnFormula>IF(ISBLANK(tbl_task8[[คะแนนเต็ม]:[คะแนนเต็ม]]),"",(tbl_task8[76]/tbl_task8[[คะแนนเต็ม]:[คะแนนเต็ม]])*tbl_task8[[%]:[%]])</calculatedColumnFormula>
    </tableColumn>
    <tableColumn id="196" name="S77" dataDxfId="808">
      <calculatedColumnFormula>IF(ISBLANK(tbl_task8[[คะแนนเต็ม]:[คะแนนเต็ม]]),"",(tbl_task8[77]/tbl_task8[[คะแนนเต็ม]:[คะแนนเต็ม]])*tbl_task8[[%]:[%]])</calculatedColumnFormula>
    </tableColumn>
    <tableColumn id="197" name="S78" dataDxfId="807">
      <calculatedColumnFormula>IF(ISBLANK(tbl_task8[[คะแนนเต็ม]:[คะแนนเต็ม]]),"",(tbl_task8[78]/tbl_task8[[คะแนนเต็ม]:[คะแนนเต็ม]])*tbl_task8[[%]:[%]])</calculatedColumnFormula>
    </tableColumn>
    <tableColumn id="198" name="S79" dataDxfId="806">
      <calculatedColumnFormula>IF(ISBLANK(tbl_task8[[คะแนนเต็ม]:[คะแนนเต็ม]]),"",(tbl_task8[79]/tbl_task8[[คะแนนเต็ม]:[คะแนนเต็ม]])*tbl_task8[[%]:[%]])</calculatedColumnFormula>
    </tableColumn>
    <tableColumn id="199" name="S80" dataDxfId="805">
      <calculatedColumnFormula>IF(ISBLANK(tbl_task8[[คะแนนเต็ม]:[คะแนนเต็ม]]),"",(tbl_task8[80]/tbl_task8[[คะแนนเต็ม]:[คะแนนเต็ม]])*tbl_task8[[%]:[%]])</calculatedColumnFormula>
    </tableColumn>
    <tableColumn id="200" name="S81" dataDxfId="804">
      <calculatedColumnFormula>IF(ISBLANK(tbl_task8[[คะแนนเต็ม]:[คะแนนเต็ม]]),"",(tbl_task8[81]/tbl_task8[[คะแนนเต็ม]:[คะแนนเต็ม]])*tbl_task8[[%]:[%]])</calculatedColumnFormula>
    </tableColumn>
    <tableColumn id="201" name="S82" dataDxfId="803">
      <calculatedColumnFormula>IF(ISBLANK(tbl_task8[[คะแนนเต็ม]:[คะแนนเต็ม]]),"",(tbl_task8[82]/tbl_task8[[คะแนนเต็ม]:[คะแนนเต็ม]])*tbl_task8[[%]:[%]])</calculatedColumnFormula>
    </tableColumn>
    <tableColumn id="202" name="S83" dataDxfId="802">
      <calculatedColumnFormula>IF(ISBLANK(tbl_task8[[คะแนนเต็ม]:[คะแนนเต็ม]]),"",(tbl_task8[83]/tbl_task8[[คะแนนเต็ม]:[คะแนนเต็ม]])*tbl_task8[[%]:[%]])</calculatedColumnFormula>
    </tableColumn>
    <tableColumn id="203" name="S84" dataDxfId="801">
      <calculatedColumnFormula>IF(ISBLANK(tbl_task8[[คะแนนเต็ม]:[คะแนนเต็ม]]),"",(tbl_task8[84]/tbl_task8[[คะแนนเต็ม]:[คะแนนเต็ม]])*tbl_task8[[%]:[%]])</calculatedColumnFormula>
    </tableColumn>
    <tableColumn id="204" name="S85" dataDxfId="800">
      <calculatedColumnFormula>IF(ISBLANK(tbl_task8[[คะแนนเต็ม]:[คะแนนเต็ม]]),"",(tbl_task8[85]/tbl_task8[[คะแนนเต็ม]:[คะแนนเต็ม]])*tbl_task8[[%]:[%]])</calculatedColumnFormula>
    </tableColumn>
    <tableColumn id="286" name="S86" dataDxfId="799">
      <calculatedColumnFormula>IF(ISBLANK(tbl_task8[[คะแนนเต็ม]:[คะแนนเต็ม]]),"",(tbl_task8[86]/tbl_task8[[คะแนนเต็ม]:[คะแนนเต็ม]])*tbl_task8[[%]:[%]])</calculatedColumnFormula>
    </tableColumn>
    <tableColumn id="287" name="S87" dataDxfId="798">
      <calculatedColumnFormula>IF(ISBLANK(tbl_task8[[คะแนนเต็ม]:[คะแนนเต็ม]]),"",(tbl_task8[87]/tbl_task8[[คะแนนเต็ม]:[คะแนนเต็ม]])*tbl_task8[[%]:[%]])</calculatedColumnFormula>
    </tableColumn>
    <tableColumn id="288" name="S88" dataDxfId="797">
      <calculatedColumnFormula>IF(ISBLANK(tbl_task8[[คะแนนเต็ม]:[คะแนนเต็ม]]),"",(tbl_task8[88]/tbl_task8[[คะแนนเต็ม]:[คะแนนเต็ม]])*tbl_task8[[%]:[%]])</calculatedColumnFormula>
    </tableColumn>
    <tableColumn id="289" name="S89" dataDxfId="796">
      <calculatedColumnFormula>IF(ISBLANK(tbl_task8[[คะแนนเต็ม]:[คะแนนเต็ม]]),"",(tbl_task8[89]/tbl_task8[[คะแนนเต็ม]:[คะแนนเต็ม]])*tbl_task8[[%]:[%]])</calculatedColumnFormula>
    </tableColumn>
    <tableColumn id="290" name="S90" dataDxfId="795">
      <calculatedColumnFormula>IF(ISBLANK(tbl_task8[[คะแนนเต็ม]:[คะแนนเต็ม]]),"",(tbl_task8[90]/tbl_task8[[คะแนนเต็ม]:[คะแนนเต็ม]])*tbl_task8[[%]:[%]])</calculatedColumnFormula>
    </tableColumn>
    <tableColumn id="291" name="S91" dataDxfId="794">
      <calculatedColumnFormula>IF(ISBLANK(tbl_task8[[คะแนนเต็ม]:[คะแนนเต็ม]]),"",(tbl_task8[91]/tbl_task8[[คะแนนเต็ม]:[คะแนนเต็ม]])*tbl_task8[[%]:[%]])</calculatedColumnFormula>
    </tableColumn>
    <tableColumn id="292" name="S92" dataDxfId="793">
      <calculatedColumnFormula>IF(ISBLANK(tbl_task8[[คะแนนเต็ม]:[คะแนนเต็ม]]),"",(tbl_task8[92]/tbl_task8[[คะแนนเต็ม]:[คะแนนเต็ม]])*tbl_task8[[%]:[%]])</calculatedColumnFormula>
    </tableColumn>
    <tableColumn id="293" name="S93" dataDxfId="792">
      <calculatedColumnFormula>IF(ISBLANK(tbl_task8[[คะแนนเต็ม]:[คะแนนเต็ม]]),"",(tbl_task8[93]/tbl_task8[[คะแนนเต็ม]:[คะแนนเต็ม]])*tbl_task8[[%]:[%]])</calculatedColumnFormula>
    </tableColumn>
    <tableColumn id="294" name="S94" dataDxfId="791">
      <calculatedColumnFormula>IF(ISBLANK(tbl_task8[[คะแนนเต็ม]:[คะแนนเต็ม]]),"",(tbl_task8[94]/tbl_task8[[คะแนนเต็ม]:[คะแนนเต็ม]])*tbl_task8[[%]:[%]])</calculatedColumnFormula>
    </tableColumn>
    <tableColumn id="295" name="S95" dataDxfId="790">
      <calculatedColumnFormula>IF(ISBLANK(tbl_task8[[คะแนนเต็ม]:[คะแนนเต็ม]]),"",(tbl_task8[95]/tbl_task8[[คะแนนเต็ม]:[คะแนนเต็ม]])*tbl_task8[[%]:[%]])</calculatedColumnFormula>
    </tableColumn>
    <tableColumn id="296" name="S96" dataDxfId="789">
      <calculatedColumnFormula>IF(ISBLANK(tbl_task8[[คะแนนเต็ม]:[คะแนนเต็ม]]),"",(tbl_task8[96]/tbl_task8[[คะแนนเต็ม]:[คะแนนเต็ม]])*tbl_task8[[%]:[%]])</calculatedColumnFormula>
    </tableColumn>
    <tableColumn id="297" name="S97" dataDxfId="788">
      <calculatedColumnFormula>IF(ISBLANK(tbl_task8[[คะแนนเต็ม]:[คะแนนเต็ม]]),"",(tbl_task8[97]/tbl_task8[[คะแนนเต็ม]:[คะแนนเต็ม]])*tbl_task8[[%]:[%]])</calculatedColumnFormula>
    </tableColumn>
    <tableColumn id="298" name="S98" dataDxfId="787">
      <calculatedColumnFormula>IF(ISBLANK(tbl_task8[[คะแนนเต็ม]:[คะแนนเต็ม]]),"",(tbl_task8[98]/tbl_task8[[คะแนนเต็ม]:[คะแนนเต็ม]])*tbl_task8[[%]:[%]])</calculatedColumnFormula>
    </tableColumn>
    <tableColumn id="299" name="S99" dataDxfId="786">
      <calculatedColumnFormula>IF(ISBLANK(tbl_task8[[คะแนนเต็ม]:[คะแนนเต็ม]]),"",(tbl_task8[99]/tbl_task8[[คะแนนเต็ม]:[คะแนนเต็ม]])*tbl_task8[[%]:[%]])</calculatedColumnFormula>
    </tableColumn>
    <tableColumn id="300" name="S100" dataDxfId="785">
      <calculatedColumnFormula>IF(ISBLANK(tbl_task8[[คะแนนเต็ม]:[คะแนนเต็ม]]),"",(tbl_task8[100]/tbl_task8[[คะแนนเต็ม]:[คะแนนเต็ม]])*tbl_task8[[%]:[%]])</calculatedColumnFormula>
    </tableColumn>
    <tableColumn id="301" name="S101" dataDxfId="784">
      <calculatedColumnFormula>IF(ISBLANK(tbl_task8[[คะแนนเต็ม]:[คะแนนเต็ม]]),"",(tbl_task8[101]/tbl_task8[[คะแนนเต็ม]:[คะแนนเต็ม]])*tbl_task8[[%]:[%]])</calculatedColumnFormula>
    </tableColumn>
    <tableColumn id="302" name="S102" dataDxfId="783">
      <calculatedColumnFormula>IF(ISBLANK(tbl_task8[[คะแนนเต็ม]:[คะแนนเต็ม]]),"",(tbl_task8[102]/tbl_task8[[คะแนนเต็ม]:[คะแนนเต็ม]])*tbl_task8[[%]:[%]])</calculatedColumnFormula>
    </tableColumn>
    <tableColumn id="303" name="S103" dataDxfId="782">
      <calculatedColumnFormula>IF(ISBLANK(tbl_task8[[คะแนนเต็ม]:[คะแนนเต็ม]]),"",(tbl_task8[103]/tbl_task8[[คะแนนเต็ม]:[คะแนนเต็ม]])*tbl_task8[[%]:[%]])</calculatedColumnFormula>
    </tableColumn>
    <tableColumn id="304" name="S104" dataDxfId="781">
      <calculatedColumnFormula>IF(ISBLANK(tbl_task8[[คะแนนเต็ม]:[คะแนนเต็ม]]),"",(tbl_task8[104]/tbl_task8[[คะแนนเต็ม]:[คะแนนเต็ม]])*tbl_task8[[%]:[%]])</calculatedColumnFormula>
    </tableColumn>
    <tableColumn id="305" name="S105" dataDxfId="780">
      <calculatedColumnFormula>IF(ISBLANK(tbl_task8[[คะแนนเต็ม]:[คะแนนเต็ม]]),"",(tbl_task8[105]/tbl_task8[[คะแนนเต็ม]:[คะแนนเต็ม]])*tbl_task8[[%]:[%]])</calculatedColumnFormula>
    </tableColumn>
    <tableColumn id="306" name="S106" dataDxfId="779">
      <calculatedColumnFormula>IF(ISBLANK(tbl_task8[[คะแนนเต็ม]:[คะแนนเต็ม]]),"",(tbl_task8[106]/tbl_task8[[คะแนนเต็ม]:[คะแนนเต็ม]])*tbl_task8[[%]:[%]])</calculatedColumnFormula>
    </tableColumn>
    <tableColumn id="307" name="S107" dataDxfId="778">
      <calculatedColumnFormula>IF(ISBLANK(tbl_task8[[คะแนนเต็ม]:[คะแนนเต็ม]]),"",(tbl_task8[107]/tbl_task8[[คะแนนเต็ม]:[คะแนนเต็ม]])*tbl_task8[[%]:[%]])</calculatedColumnFormula>
    </tableColumn>
    <tableColumn id="308" name="S108" dataDxfId="777">
      <calculatedColumnFormula>IF(ISBLANK(tbl_task8[[คะแนนเต็ม]:[คะแนนเต็ม]]),"",(tbl_task8[108]/tbl_task8[[คะแนนเต็ม]:[คะแนนเต็ม]])*tbl_task8[[%]:[%]])</calculatedColumnFormula>
    </tableColumn>
    <tableColumn id="309" name="S109" dataDxfId="776">
      <calculatedColumnFormula>IF(ISBLANK(tbl_task8[[คะแนนเต็ม]:[คะแนนเต็ม]]),"",(tbl_task8[109]/tbl_task8[[คะแนนเต็ม]:[คะแนนเต็ม]])*tbl_task8[[%]:[%]])</calculatedColumnFormula>
    </tableColumn>
    <tableColumn id="310" name="S110" dataDxfId="775">
      <calculatedColumnFormula>IF(ISBLANK(tbl_task8[[คะแนนเต็ม]:[คะแนนเต็ม]]),"",(tbl_task8[110]/tbl_task8[[คะแนนเต็ม]:[คะแนนเต็ม]])*tbl_task8[[%]:[%]])</calculatedColumnFormula>
    </tableColumn>
    <tableColumn id="311" name="S111" dataDxfId="774">
      <calculatedColumnFormula>IF(ISBLANK(tbl_task8[[คะแนนเต็ม]:[คะแนนเต็ม]]),"",(tbl_task8[111]/tbl_task8[[คะแนนเต็ม]:[คะแนนเต็ม]])*tbl_task8[[%]:[%]])</calculatedColumnFormula>
    </tableColumn>
    <tableColumn id="312" name="S112" dataDxfId="773">
      <calculatedColumnFormula>IF(ISBLANK(tbl_task8[[คะแนนเต็ม]:[คะแนนเต็ม]]),"",(tbl_task8[112]/tbl_task8[[คะแนนเต็ม]:[คะแนนเต็ม]])*tbl_task8[[%]:[%]])</calculatedColumnFormula>
    </tableColumn>
    <tableColumn id="313" name="S113" dataDxfId="772">
      <calculatedColumnFormula>IF(ISBLANK(tbl_task8[[คะแนนเต็ม]:[คะแนนเต็ม]]),"",(tbl_task8[113]/tbl_task8[[คะแนนเต็ม]:[คะแนนเต็ม]])*tbl_task8[[%]:[%]])</calculatedColumnFormula>
    </tableColumn>
    <tableColumn id="314" name="S114" dataDxfId="771">
      <calculatedColumnFormula>IF(ISBLANK(tbl_task8[[คะแนนเต็ม]:[คะแนนเต็ม]]),"",(tbl_task8[114]/tbl_task8[[คะแนนเต็ม]:[คะแนนเต็ม]])*tbl_task8[[%]:[%]])</calculatedColumnFormula>
    </tableColumn>
    <tableColumn id="315" name="S115" dataDxfId="770">
      <calculatedColumnFormula>IF(ISBLANK(tbl_task8[[คะแนนเต็ม]:[คะแนนเต็ม]]),"",(tbl_task8[115]/tbl_task8[[คะแนนเต็ม]:[คะแนนเต็ม]])*tbl_task8[[%]:[%]])</calculatedColumnFormula>
    </tableColumn>
    <tableColumn id="205" name="S116" dataDxfId="769">
      <calculatedColumnFormula>IF(ISBLANK(tbl_task8[[คะแนนเต็ม]:[คะแนนเต็ม]]),"",(tbl_task8[116]/tbl_task8[[คะแนนเต็ม]:[คะแนนเต็ม]])*tbl_task8[[%]:[%]])</calculatedColumnFormula>
    </tableColumn>
    <tableColumn id="206" name="S117" dataDxfId="768">
      <calculatedColumnFormula>IF(ISBLANK(tbl_task8[[คะแนนเต็ม]:[คะแนนเต็ม]]),"",(tbl_task8[117]/tbl_task8[[คะแนนเต็ม]:[คะแนนเต็ม]])*tbl_task8[[%]:[%]])</calculatedColumnFormula>
    </tableColumn>
    <tableColumn id="207" name="S118" dataDxfId="767">
      <calculatedColumnFormula>IF(ISBLANK(tbl_task8[[คะแนนเต็ม]:[คะแนนเต็ม]]),"",(tbl_task8[118]/tbl_task8[[คะแนนเต็ม]:[คะแนนเต็ม]])*tbl_task8[[%]:[%]])</calculatedColumnFormula>
    </tableColumn>
    <tableColumn id="208" name="S119" dataDxfId="766">
      <calculatedColumnFormula>IF(ISBLANK(tbl_task8[[คะแนนเต็ม]:[คะแนนเต็ม]]),"",(tbl_task8[119]/tbl_task8[[คะแนนเต็ม]:[คะแนนเต็ม]])*tbl_task8[[%]:[%]])</calculatedColumnFormula>
    </tableColumn>
    <tableColumn id="209" name="S120" dataDxfId="765">
      <calculatedColumnFormula>IF(ISBLANK(tbl_task8[[คะแนนเต็ม]:[คะแนนเต็ม]]),"",(tbl_task8[120]/tbl_task8[[คะแนนเต็ม]:[คะแนนเต็ม]])*tbl_task8[[%]:[%]])</calculatedColumnFormula>
    </tableColumn>
    <tableColumn id="210" name="S121" dataDxfId="764">
      <calculatedColumnFormula>IF(ISBLANK(tbl_task8[[คะแนนเต็ม]:[คะแนนเต็ม]]),"",(tbl_task8[121]/tbl_task8[[คะแนนเต็ม]:[คะแนนเต็ม]])*tbl_task8[[%]:[%]])</calculatedColumnFormula>
    </tableColumn>
    <tableColumn id="211" name="S122" dataDxfId="763">
      <calculatedColumnFormula>IF(ISBLANK(tbl_task8[[คะแนนเต็ม]:[คะแนนเต็ม]]),"",(tbl_task8[122]/tbl_task8[[คะแนนเต็ม]:[คะแนนเต็ม]])*tbl_task8[[%]:[%]])</calculatedColumnFormula>
    </tableColumn>
    <tableColumn id="316" name="S123" dataDxfId="762">
      <calculatedColumnFormula>IF(ISBLANK(tbl_task8[[คะแนนเต็ม]:[คะแนนเต็ม]]),"",(tbl_task8[123]/tbl_task8[[คะแนนเต็ม]:[คะแนนเต็ม]])*tbl_task8[[%]:[%]])</calculatedColumnFormula>
    </tableColumn>
    <tableColumn id="317" name="S124" dataDxfId="761">
      <calculatedColumnFormula>IF(ISBLANK(tbl_task8[[คะแนนเต็ม]:[คะแนนเต็ม]]),"",(tbl_task8[124]/tbl_task8[[คะแนนเต็ม]:[คะแนนเต็ม]])*tbl_task8[[%]:[%]])</calculatedColumnFormula>
    </tableColumn>
    <tableColumn id="318" name="S125" dataDxfId="760">
      <calculatedColumnFormula>IF(ISBLANK(tbl_task8[[คะแนนเต็ม]:[คะแนนเต็ม]]),"",(tbl_task8[125]/tbl_task8[[คะแนนเต็ม]:[คะแนนเต็ม]])*tbl_task8[[%]:[%]])</calculatedColumnFormula>
    </tableColumn>
    <tableColumn id="319" name="S126" dataDxfId="759">
      <calculatedColumnFormula>IF(ISBLANK(tbl_task8[[คะแนนเต็ม]:[คะแนนเต็ม]]),"",(tbl_task8[126]/tbl_task8[[คะแนนเต็ม]:[คะแนนเต็ม]])*tbl_task8[[%]:[%]])</calculatedColumnFormula>
    </tableColumn>
    <tableColumn id="320" name="S127" dataDxfId="758">
      <calculatedColumnFormula>IF(ISBLANK(tbl_task8[[คะแนนเต็ม]:[คะแนนเต็ม]]),"",(tbl_task8[127]/tbl_task8[[คะแนนเต็ม]:[คะแนนเต็ม]])*tbl_task8[[%]:[%]])</calculatedColumnFormula>
    </tableColumn>
    <tableColumn id="321" name="S128" dataDxfId="757">
      <calculatedColumnFormula>IF(ISBLANK(tbl_task8[[คะแนนเต็ม]:[คะแนนเต็ม]]),"",(tbl_task8[128]/tbl_task8[[คะแนนเต็ม]:[คะแนนเต็ม]])*tbl_task8[[%]:[%]])</calculatedColumnFormula>
    </tableColumn>
    <tableColumn id="322" name="S129" dataDxfId="756">
      <calculatedColumnFormula>IF(ISBLANK(tbl_task8[[คะแนนเต็ม]:[คะแนนเต็ม]]),"",(tbl_task8[129]/tbl_task8[[คะแนนเต็ม]:[คะแนนเต็ม]])*tbl_task8[[%]:[%]])</calculatedColumnFormula>
    </tableColumn>
    <tableColumn id="212" name="S130" dataDxfId="755">
      <calculatedColumnFormula>IF(ISBLANK(tbl_task8[[คะแนนเต็ม]:[คะแนนเต็ม]]),"",(tbl_task8[130]/tbl_task8[[คะแนนเต็ม]:[คะแนนเต็ม]])*tbl_task8[[%]:[%]])</calculatedColumnFormula>
    </tableColumn>
    <tableColumn id="213" name="S131" dataDxfId="754">
      <calculatedColumnFormula>IF(ISBLANK(tbl_task8[[คะแนนเต็ม]:[คะแนนเต็ม]]),"",(tbl_task8[131]/tbl_task8[[คะแนนเต็ม]:[คะแนนเต็ม]])*tbl_task8[[%]:[%]])</calculatedColumnFormula>
    </tableColumn>
    <tableColumn id="214" name="S132" dataDxfId="753">
      <calculatedColumnFormula>IF(ISBLANK(tbl_task8[[คะแนนเต็ม]:[คะแนนเต็ม]]),"",(tbl_task8[132]/tbl_task8[[คะแนนเต็ม]:[คะแนนเต็ม]])*tbl_task8[[%]:[%]])</calculatedColumnFormula>
    </tableColumn>
    <tableColumn id="215" name="S133" dataDxfId="752">
      <calculatedColumnFormula>IF(ISBLANK(tbl_task8[[คะแนนเต็ม]:[คะแนนเต็ม]]),"",(tbl_task8[133]/tbl_task8[[คะแนนเต็ม]:[คะแนนเต็ม]])*tbl_task8[[%]:[%]])</calculatedColumnFormula>
    </tableColumn>
    <tableColumn id="216" name="S134" dataDxfId="751">
      <calculatedColumnFormula>IF(ISBLANK(tbl_task8[[คะแนนเต็ม]:[คะแนนเต็ม]]),"",(tbl_task8[134]/tbl_task8[[คะแนนเต็ม]:[คะแนนเต็ม]])*tbl_task8[[%]:[%]])</calculatedColumnFormula>
    </tableColumn>
    <tableColumn id="217" name="S135" dataDxfId="750">
      <calculatedColumnFormula>IF(ISBLANK(tbl_task8[[คะแนนเต็ม]:[คะแนนเต็ม]]),"",(tbl_task8[135]/tbl_task8[[คะแนนเต็ม]:[คะแนนเต็ม]])*tbl_task8[[%]:[%]])</calculatedColumnFormula>
    </tableColumn>
    <tableColumn id="218" name="S136" dataDxfId="749">
      <calculatedColumnFormula>IF(ISBLANK(tbl_task8[[คะแนนเต็ม]:[คะแนนเต็ม]]),"",(tbl_task8[136]/tbl_task8[[คะแนนเต็ม]:[คะแนนเต็ม]])*tbl_task8[[%]:[%]])</calculatedColumnFormula>
    </tableColumn>
    <tableColumn id="219" name="S137" dataDxfId="748">
      <calculatedColumnFormula>IF(ISBLANK(tbl_task8[[คะแนนเต็ม]:[คะแนนเต็ม]]),"",(tbl_task8[137]/tbl_task8[[คะแนนเต็ม]:[คะแนนเต็ม]])*tbl_task8[[%]:[%]])</calculatedColumnFormula>
    </tableColumn>
    <tableColumn id="220" name="S138" dataDxfId="747">
      <calculatedColumnFormula>IF(ISBLANK(tbl_task8[[คะแนนเต็ม]:[คะแนนเต็ม]]),"",(tbl_task8[138]/tbl_task8[[คะแนนเต็ม]:[คะแนนเต็ม]])*tbl_task8[[%]:[%]])</calculatedColumnFormula>
    </tableColumn>
    <tableColumn id="221" name="S139" dataDxfId="746">
      <calculatedColumnFormula>IF(ISBLANK(tbl_task8[[คะแนนเต็ม]:[คะแนนเต็ม]]),"",(tbl_task8[139]/tbl_task8[[คะแนนเต็ม]:[คะแนนเต็ม]])*tbl_task8[[%]:[%]])</calculatedColumnFormula>
    </tableColumn>
    <tableColumn id="222" name="S140" dataDxfId="745">
      <calculatedColumnFormula>IF(ISBLANK(tbl_task8[[คะแนนเต็ม]:[คะแนนเต็ม]]),"",(tbl_task8[140]/tbl_task8[[คะแนนเต็ม]:[คะแนนเต็ม]])*tbl_task8[[%]:[%]])</calculatedColumnFormula>
    </tableColumn>
    <tableColumn id="223" name="S141" dataDxfId="744">
      <calculatedColumnFormula>IF(ISBLANK(tbl_task8[[คะแนนเต็ม]:[คะแนนเต็ม]]),"",(tbl_task8[141]/tbl_task8[[คะแนนเต็ม]:[คะแนนเต็ม]])*tbl_task8[[%]:[%]])</calculatedColumnFormula>
    </tableColumn>
    <tableColumn id="323" name="S142" dataDxfId="743">
      <calculatedColumnFormula>IF(ISBLANK(tbl_task8[[คะแนนเต็ม]:[คะแนนเต็ม]]),"",(tbl_task8[142]/tbl_task8[[คะแนนเต็ม]:[คะแนนเต็ม]])*tbl_task8[[%]:[%]])</calculatedColumnFormula>
    </tableColumn>
    <tableColumn id="324" name="S143" dataDxfId="742">
      <calculatedColumnFormula>IF(ISBLANK(tbl_task8[[คะแนนเต็ม]:[คะแนนเต็ม]]),"",(tbl_task8[143]/tbl_task8[[คะแนนเต็ม]:[คะแนนเต็ม]])*tbl_task8[[%]:[%]])</calculatedColumnFormula>
    </tableColumn>
    <tableColumn id="325" name="S144" dataDxfId="741">
      <calculatedColumnFormula>IF(ISBLANK(tbl_task8[[คะแนนเต็ม]:[คะแนนเต็ม]]),"",(tbl_task8[144]/tbl_task8[[คะแนนเต็ม]:[คะแนนเต็ม]])*tbl_task8[[%]:[%]])</calculatedColumnFormula>
    </tableColumn>
    <tableColumn id="326" name="S145" dataDxfId="740">
      <calculatedColumnFormula>IF(ISBLANK(tbl_task8[[คะแนนเต็ม]:[คะแนนเต็ม]]),"",(tbl_task8[145]/tbl_task8[[คะแนนเต็ม]:[คะแนนเต็ม]])*tbl_task8[[%]:[%]])</calculatedColumnFormula>
    </tableColumn>
    <tableColumn id="327" name="S146" dataDxfId="739">
      <calculatedColumnFormula>IF(ISBLANK(tbl_task8[[คะแนนเต็ม]:[คะแนนเต็ม]]),"",(tbl_task8[146]/tbl_task8[[คะแนนเต็ม]:[คะแนนเต็ม]])*tbl_task8[[%]:[%]])</calculatedColumnFormula>
    </tableColumn>
    <tableColumn id="328" name="S147" dataDxfId="738">
      <calculatedColumnFormula>IF(ISBLANK(tbl_task8[[คะแนนเต็ม]:[คะแนนเต็ม]]),"",(tbl_task8[147]/tbl_task8[[คะแนนเต็ม]:[คะแนนเต็ม]])*tbl_task8[[%]:[%]])</calculatedColumnFormula>
    </tableColumn>
    <tableColumn id="329" name="S148" dataDxfId="737">
      <calculatedColumnFormula>IF(ISBLANK(tbl_task8[[คะแนนเต็ม]:[คะแนนเต็ม]]),"",(tbl_task8[148]/tbl_task8[[คะแนนเต็ม]:[คะแนนเต็ม]])*tbl_task8[[%]:[%]])</calculatedColumnFormula>
    </tableColumn>
    <tableColumn id="330" name="S149" dataDxfId="736">
      <calculatedColumnFormula>IF(ISBLANK(tbl_task8[[คะแนนเต็ม]:[คะแนนเต็ม]]),"",(tbl_task8[149]/tbl_task8[[คะแนนเต็ม]:[คะแนนเต็ม]])*tbl_task8[[%]:[%]])</calculatedColumnFormula>
    </tableColumn>
    <tableColumn id="331" name="S150" dataDxfId="735">
      <calculatedColumnFormula>IF(ISBLANK(tbl_task8[[คะแนนเต็ม]:[คะแนนเต็ม]]),"",(tbl_task8[150]/tbl_task8[[คะแนนเต็ม]:[คะแนนเต็ม]])*tbl_task8[[%]:[%]])</calculatedColumnFormula>
    </tableColumn>
    <tableColumn id="332" name="S151" dataDxfId="734">
      <calculatedColumnFormula>IF(ISBLANK(tbl_task8[[คะแนนเต็ม]:[คะแนนเต็ม]]),"",(tbl_task8[151]/tbl_task8[[คะแนนเต็ม]:[คะแนนเต็ม]])*tbl_task8[[%]:[%]])</calculatedColumnFormula>
    </tableColumn>
    <tableColumn id="333" name="S152" dataDxfId="733">
      <calculatedColumnFormula>IF(ISBLANK(tbl_task8[[คะแนนเต็ม]:[คะแนนเต็ม]]),"",(tbl_task8[152]/tbl_task8[[คะแนนเต็ม]:[คะแนนเต็ม]])*tbl_task8[[%]:[%]])</calculatedColumnFormula>
    </tableColumn>
    <tableColumn id="224" name="S153" dataDxfId="732">
      <calculatedColumnFormula>IF(ISBLANK(tbl_task8[[คะแนนเต็ม]:[คะแนนเต็ม]]),"",(tbl_task8[153]/tbl_task8[[คะแนนเต็ม]:[คะแนนเต็ม]])*tbl_task8[[%]:[%]])</calculatedColumnFormula>
    </tableColumn>
    <tableColumn id="225" name="S154" dataDxfId="731">
      <calculatedColumnFormula>IF(ISBLANK(tbl_task8[[คะแนนเต็ม]:[คะแนนเต็ม]]),"",(tbl_task8[154]/tbl_task8[[คะแนนเต็ม]:[คะแนนเต็ม]])*tbl_task8[[%]:[%]])</calculatedColumnFormula>
    </tableColumn>
    <tableColumn id="226" name="S155" dataDxfId="730">
      <calculatedColumnFormula>IF(ISBLANK(tbl_task8[[คะแนนเต็ม]:[คะแนนเต็ม]]),"",(tbl_task8[155]/tbl_task8[[คะแนนเต็ม]:[คะแนนเต็ม]])*tbl_task8[[%]:[%]])</calculatedColumnFormula>
    </tableColumn>
    <tableColumn id="227" name="S156" dataDxfId="729">
      <calculatedColumnFormula>IF(ISBLANK(tbl_task8[[คะแนนเต็ม]:[คะแนนเต็ม]]),"",(tbl_task8[156]/tbl_task8[[คะแนนเต็ม]:[คะแนนเต็ม]])*tbl_task8[[%]:[%]])</calculatedColumnFormula>
    </tableColumn>
    <tableColumn id="228" name="S157" dataDxfId="728">
      <calculatedColumnFormula>IF(ISBLANK(tbl_task8[[คะแนนเต็ม]:[คะแนนเต็ม]]),"",(tbl_task8[157]/tbl_task8[[คะแนนเต็ม]:[คะแนนเต็ม]])*tbl_task8[[%]:[%]])</calculatedColumnFormula>
    </tableColumn>
    <tableColumn id="229" name="S158" dataDxfId="727">
      <calculatedColumnFormula>IF(ISBLANK(tbl_task8[[คะแนนเต็ม]:[คะแนนเต็ม]]),"",(tbl_task8[158]/tbl_task8[[คะแนนเต็ม]:[คะแนนเต็ม]])*tbl_task8[[%]:[%]])</calculatedColumnFormula>
    </tableColumn>
    <tableColumn id="230" name="S159" dataDxfId="726">
      <calculatedColumnFormula>IF(ISBLANK(tbl_task8[[คะแนนเต็ม]:[คะแนนเต็ม]]),"",(tbl_task8[159]/tbl_task8[[คะแนนเต็ม]:[คะแนนเต็ม]])*tbl_task8[[%]:[%]])</calculatedColumnFormula>
    </tableColumn>
    <tableColumn id="231" name="S160" dataDxfId="725">
      <calculatedColumnFormula>IF(ISBLANK(tbl_task8[[คะแนนเต็ม]:[คะแนนเต็ม]]),"",(tbl_task8[160]/tbl_task8[[คะแนนเต็ม]:[คะแนนเต็ม]])*tbl_task8[[%]:[%]])</calculatedColumnFormula>
    </tableColumn>
    <tableColumn id="232" name="S161" dataDxfId="724">
      <calculatedColumnFormula>IF(ISBLANK(tbl_task8[[คะแนนเต็ม]:[คะแนนเต็ม]]),"",(tbl_task8[161]/tbl_task8[[คะแนนเต็ม]:[คะแนนเต็ม]])*tbl_task8[[%]:[%]])</calculatedColumnFormula>
    </tableColumn>
    <tableColumn id="334" name="S162" dataDxfId="723">
      <calculatedColumnFormula>IF(ISBLANK(tbl_task8[[คะแนนเต็ม]:[คะแนนเต็ม]]),"",(tbl_task8[162]/tbl_task8[[คะแนนเต็ม]:[คะแนนเต็ม]])*tbl_task8[[%]:[%]])</calculatedColumnFormula>
    </tableColumn>
    <tableColumn id="335" name="S163" dataDxfId="722">
      <calculatedColumnFormula>IF(ISBLANK(tbl_task8[[คะแนนเต็ม]:[คะแนนเต็ม]]),"",(tbl_task8[163]/tbl_task8[[คะแนนเต็ม]:[คะแนนเต็ม]])*tbl_task8[[%]:[%]])</calculatedColumnFormula>
    </tableColumn>
    <tableColumn id="233" name="S164" dataDxfId="721">
      <calculatedColumnFormula>IF(ISBLANK(tbl_task8[[คะแนนเต็ม]:[คะแนนเต็ม]]),"",(tbl_task8[164]/tbl_task8[[คะแนนเต็ม]:[คะแนนเต็ม]])*tbl_task8[[%]:[%]])</calculatedColumnFormula>
    </tableColumn>
    <tableColumn id="234" name="S165" dataDxfId="720">
      <calculatedColumnFormula>IF(ISBLANK(tbl_task8[[คะแนนเต็ม]:[คะแนนเต็ม]]),"",(tbl_task8[165]/tbl_task8[[คะแนนเต็ม]:[คะแนนเต็ม]])*tbl_task8[[%]:[%]])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16"/>
  <sheetViews>
    <sheetView workbookViewId="0">
      <selection activeCell="D15" sqref="D15"/>
    </sheetView>
  </sheetViews>
  <sheetFormatPr defaultColWidth="9.09765625" defaultRowHeight="24.6" x14ac:dyDescent="0.25"/>
  <cols>
    <col min="1" max="1" width="14.09765625" style="8" customWidth="1"/>
    <col min="2" max="2" width="6.8984375" style="8" customWidth="1"/>
    <col min="3" max="3" width="39" style="8" customWidth="1"/>
    <col min="4" max="4" width="50" style="8" customWidth="1"/>
    <col min="5" max="5" width="21.8984375" style="8" customWidth="1"/>
    <col min="6" max="16384" width="9.09765625" style="8"/>
  </cols>
  <sheetData>
    <row r="2" spans="1:5" ht="18.75" customHeight="1" x14ac:dyDescent="0.25"/>
    <row r="3" spans="1:5" ht="18" customHeight="1" x14ac:dyDescent="0.25">
      <c r="D3" s="9" t="s">
        <v>12</v>
      </c>
    </row>
    <row r="4" spans="1:5" ht="18" customHeight="1" x14ac:dyDescent="0.25">
      <c r="D4" s="156" t="s">
        <v>444</v>
      </c>
      <c r="E4" s="156"/>
    </row>
    <row r="5" spans="1:5" ht="18" customHeight="1" x14ac:dyDescent="0.25">
      <c r="D5" s="10" t="s">
        <v>446</v>
      </c>
      <c r="E5" s="10"/>
    </row>
    <row r="6" spans="1:5" ht="18" customHeight="1" x14ac:dyDescent="0.25">
      <c r="D6" s="10" t="s">
        <v>447</v>
      </c>
      <c r="E6" s="10"/>
    </row>
    <row r="7" spans="1:5" ht="18" customHeight="1" x14ac:dyDescent="0.25">
      <c r="D7" s="45" t="s">
        <v>445</v>
      </c>
      <c r="E7" s="45"/>
    </row>
    <row r="8" spans="1:5" ht="18" customHeight="1" x14ac:dyDescent="0.25">
      <c r="D8" s="44" t="s">
        <v>250</v>
      </c>
      <c r="E8" s="44"/>
    </row>
    <row r="9" spans="1:5" ht="17.25" customHeight="1" x14ac:dyDescent="0.25">
      <c r="A9" s="9" t="s">
        <v>13</v>
      </c>
    </row>
    <row r="10" spans="1:5" x14ac:dyDescent="0.25">
      <c r="A10" s="11" t="s">
        <v>14</v>
      </c>
      <c r="B10" s="11" t="s">
        <v>15</v>
      </c>
      <c r="C10" s="11" t="s">
        <v>16</v>
      </c>
      <c r="D10" s="12" t="s">
        <v>17</v>
      </c>
      <c r="E10" s="11" t="s">
        <v>18</v>
      </c>
    </row>
    <row r="11" spans="1:5" ht="78.75" customHeight="1" x14ac:dyDescent="0.25">
      <c r="A11" s="157">
        <v>43025</v>
      </c>
      <c r="B11" s="160" t="s">
        <v>19</v>
      </c>
      <c r="C11" s="19" t="s">
        <v>20</v>
      </c>
      <c r="D11" s="18" t="s">
        <v>290</v>
      </c>
      <c r="E11" s="60" t="s">
        <v>288</v>
      </c>
    </row>
    <row r="12" spans="1:5" ht="63" x14ac:dyDescent="0.25">
      <c r="A12" s="158"/>
      <c r="B12" s="161"/>
      <c r="C12" s="19" t="s">
        <v>21</v>
      </c>
      <c r="D12" s="13" t="s">
        <v>291</v>
      </c>
      <c r="E12" s="60" t="s">
        <v>289</v>
      </c>
    </row>
    <row r="13" spans="1:5" ht="84.6" customHeight="1" x14ac:dyDescent="0.25">
      <c r="A13" s="159"/>
      <c r="B13" s="162"/>
      <c r="C13" s="14"/>
      <c r="D13" s="13" t="s">
        <v>287</v>
      </c>
      <c r="E13" s="17"/>
    </row>
    <row r="14" spans="1:5" ht="42" x14ac:dyDescent="0.25">
      <c r="A14" s="15">
        <v>43430</v>
      </c>
      <c r="B14" s="16" t="s">
        <v>412</v>
      </c>
      <c r="C14" s="14" t="s">
        <v>413</v>
      </c>
      <c r="D14" s="14"/>
      <c r="E14" s="60" t="s">
        <v>414</v>
      </c>
    </row>
    <row r="15" spans="1:5" ht="42" x14ac:dyDescent="0.25">
      <c r="A15" s="15">
        <v>44865</v>
      </c>
      <c r="B15" s="16" t="s">
        <v>448</v>
      </c>
      <c r="C15" s="139" t="s">
        <v>450</v>
      </c>
      <c r="D15" s="14"/>
      <c r="E15" s="60" t="s">
        <v>449</v>
      </c>
    </row>
    <row r="16" spans="1:5" x14ac:dyDescent="0.25">
      <c r="A16" s="15"/>
      <c r="B16" s="16"/>
      <c r="C16" s="14"/>
      <c r="D16" s="14"/>
      <c r="E16" s="17"/>
    </row>
  </sheetData>
  <mergeCells count="3">
    <mergeCell ref="D4:E4"/>
    <mergeCell ref="A11:A13"/>
    <mergeCell ref="B11:B13"/>
  </mergeCells>
  <pageMargins left="0.7" right="0.7" top="0.75" bottom="0.75" header="0.3" footer="0.3"/>
  <pageSetup paperSize="9" scale="99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W44"/>
  <sheetViews>
    <sheetView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B34" sqref="B34"/>
    </sheetView>
  </sheetViews>
  <sheetFormatPr defaultColWidth="9.09765625" defaultRowHeight="21" x14ac:dyDescent="0.25"/>
  <cols>
    <col min="1" max="1" width="5.69921875" style="3" customWidth="1"/>
    <col min="2" max="2" width="27.09765625" style="1" customWidth="1"/>
    <col min="3" max="3" width="28.3984375" style="2" customWidth="1"/>
    <col min="4" max="4" width="10.09765625" style="101" customWidth="1"/>
    <col min="5" max="5" width="11" style="3" customWidth="1"/>
    <col min="6" max="335" width="6.69921875" style="3" customWidth="1"/>
    <col min="336" max="16384" width="9.09765625" style="3"/>
  </cols>
  <sheetData>
    <row r="1" spans="1:335" s="110" customFormat="1" ht="27.75" customHeight="1" x14ac:dyDescent="0.25">
      <c r="A1" s="120" t="s">
        <v>271</v>
      </c>
      <c r="B1" s="119" t="s">
        <v>308</v>
      </c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</row>
    <row r="2" spans="1:335" s="111" customFormat="1" ht="13.5" customHeight="1" x14ac:dyDescent="0.25">
      <c r="A2" s="112"/>
      <c r="B2" s="112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4"/>
    </row>
    <row r="3" spans="1:335" s="32" customFormat="1" x14ac:dyDescent="0.6">
      <c r="A3" s="28" t="s">
        <v>137</v>
      </c>
      <c r="B3" s="29" t="s">
        <v>452</v>
      </c>
      <c r="C3" s="30" t="s">
        <v>453</v>
      </c>
      <c r="D3" s="104" t="s">
        <v>306</v>
      </c>
      <c r="E3" s="105" t="s">
        <v>307</v>
      </c>
      <c r="F3" s="31" t="s">
        <v>2</v>
      </c>
      <c r="G3" s="31" t="s">
        <v>0</v>
      </c>
      <c r="H3" s="31" t="s">
        <v>1</v>
      </c>
      <c r="I3" s="31" t="s">
        <v>4</v>
      </c>
      <c r="J3" s="31" t="s">
        <v>138</v>
      </c>
      <c r="K3" s="31" t="s">
        <v>139</v>
      </c>
      <c r="L3" s="31" t="s">
        <v>140</v>
      </c>
      <c r="M3" s="31" t="s">
        <v>141</v>
      </c>
      <c r="N3" s="31" t="s">
        <v>142</v>
      </c>
      <c r="O3" s="31" t="s">
        <v>143</v>
      </c>
      <c r="P3" s="31" t="s">
        <v>144</v>
      </c>
      <c r="Q3" s="31" t="s">
        <v>145</v>
      </c>
      <c r="R3" s="31" t="s">
        <v>146</v>
      </c>
      <c r="S3" s="31" t="s">
        <v>147</v>
      </c>
      <c r="T3" s="31" t="s">
        <v>148</v>
      </c>
      <c r="U3" s="31" t="s">
        <v>149</v>
      </c>
      <c r="V3" s="31" t="s">
        <v>150</v>
      </c>
      <c r="W3" s="31" t="s">
        <v>151</v>
      </c>
      <c r="X3" s="31" t="s">
        <v>152</v>
      </c>
      <c r="Y3" s="31" t="s">
        <v>153</v>
      </c>
      <c r="Z3" s="31" t="s">
        <v>154</v>
      </c>
      <c r="AA3" s="31" t="s">
        <v>155</v>
      </c>
      <c r="AB3" s="31" t="s">
        <v>156</v>
      </c>
      <c r="AC3" s="31" t="s">
        <v>157</v>
      </c>
      <c r="AD3" s="31" t="s">
        <v>158</v>
      </c>
      <c r="AE3" s="31" t="s">
        <v>159</v>
      </c>
      <c r="AF3" s="31" t="s">
        <v>160</v>
      </c>
      <c r="AG3" s="31" t="s">
        <v>161</v>
      </c>
      <c r="AH3" s="31" t="s">
        <v>162</v>
      </c>
      <c r="AI3" s="31" t="s">
        <v>163</v>
      </c>
      <c r="AJ3" s="31" t="s">
        <v>164</v>
      </c>
      <c r="AK3" s="31" t="s">
        <v>165</v>
      </c>
      <c r="AL3" s="31" t="s">
        <v>166</v>
      </c>
      <c r="AM3" s="31" t="s">
        <v>167</v>
      </c>
      <c r="AN3" s="31" t="s">
        <v>168</v>
      </c>
      <c r="AO3" s="31" t="s">
        <v>169</v>
      </c>
      <c r="AP3" s="31" t="s">
        <v>170</v>
      </c>
      <c r="AQ3" s="31" t="s">
        <v>171</v>
      </c>
      <c r="AR3" s="31" t="s">
        <v>172</v>
      </c>
      <c r="AS3" s="31" t="s">
        <v>173</v>
      </c>
      <c r="AT3" s="31" t="s">
        <v>174</v>
      </c>
      <c r="AU3" s="31" t="s">
        <v>175</v>
      </c>
      <c r="AV3" s="31" t="s">
        <v>176</v>
      </c>
      <c r="AW3" s="31" t="s">
        <v>177</v>
      </c>
      <c r="AX3" s="31" t="s">
        <v>178</v>
      </c>
      <c r="AY3" s="31" t="s">
        <v>179</v>
      </c>
      <c r="AZ3" s="31" t="s">
        <v>180</v>
      </c>
      <c r="BA3" s="31" t="s">
        <v>181</v>
      </c>
      <c r="BB3" s="31" t="s">
        <v>182</v>
      </c>
      <c r="BC3" s="31" t="s">
        <v>183</v>
      </c>
      <c r="BD3" s="31" t="s">
        <v>184</v>
      </c>
      <c r="BE3" s="31" t="s">
        <v>185</v>
      </c>
      <c r="BF3" s="31" t="s">
        <v>186</v>
      </c>
      <c r="BG3" s="31" t="s">
        <v>187</v>
      </c>
      <c r="BH3" s="31" t="s">
        <v>188</v>
      </c>
      <c r="BI3" s="31" t="s">
        <v>189</v>
      </c>
      <c r="BJ3" s="31" t="s">
        <v>190</v>
      </c>
      <c r="BK3" s="31" t="s">
        <v>191</v>
      </c>
      <c r="BL3" s="31" t="s">
        <v>192</v>
      </c>
      <c r="BM3" s="31" t="s">
        <v>193</v>
      </c>
      <c r="BN3" s="31" t="s">
        <v>194</v>
      </c>
      <c r="BO3" s="31" t="s">
        <v>195</v>
      </c>
      <c r="BP3" s="31" t="s">
        <v>196</v>
      </c>
      <c r="BQ3" s="31" t="s">
        <v>197</v>
      </c>
      <c r="BR3" s="31" t="s">
        <v>198</v>
      </c>
      <c r="BS3" s="31" t="s">
        <v>199</v>
      </c>
      <c r="BT3" s="31" t="s">
        <v>200</v>
      </c>
      <c r="BU3" s="31" t="s">
        <v>201</v>
      </c>
      <c r="BV3" s="31" t="s">
        <v>202</v>
      </c>
      <c r="BW3" s="31" t="s">
        <v>203</v>
      </c>
      <c r="BX3" s="31" t="s">
        <v>204</v>
      </c>
      <c r="BY3" s="31" t="s">
        <v>205</v>
      </c>
      <c r="BZ3" s="31" t="s">
        <v>206</v>
      </c>
      <c r="CA3" s="31" t="s">
        <v>207</v>
      </c>
      <c r="CB3" s="31" t="s">
        <v>208</v>
      </c>
      <c r="CC3" s="31" t="s">
        <v>209</v>
      </c>
      <c r="CD3" s="31" t="s">
        <v>210</v>
      </c>
      <c r="CE3" s="31" t="s">
        <v>211</v>
      </c>
      <c r="CF3" s="31" t="s">
        <v>212</v>
      </c>
      <c r="CG3" s="31" t="s">
        <v>213</v>
      </c>
      <c r="CH3" s="31" t="s">
        <v>214</v>
      </c>
      <c r="CI3" s="31" t="s">
        <v>215</v>
      </c>
      <c r="CJ3" s="31" t="s">
        <v>216</v>
      </c>
      <c r="CK3" s="31" t="s">
        <v>217</v>
      </c>
      <c r="CL3" s="31" t="s">
        <v>218</v>
      </c>
      <c r="CM3" s="31" t="s">
        <v>219</v>
      </c>
      <c r="CN3" s="31" t="s">
        <v>220</v>
      </c>
      <c r="CO3" s="31" t="s">
        <v>221</v>
      </c>
      <c r="CP3" s="31" t="s">
        <v>222</v>
      </c>
      <c r="CQ3" s="31" t="s">
        <v>223</v>
      </c>
      <c r="CR3" s="31" t="s">
        <v>224</v>
      </c>
      <c r="CS3" s="31" t="s">
        <v>225</v>
      </c>
      <c r="CT3" s="31" t="s">
        <v>226</v>
      </c>
      <c r="CU3" s="31" t="s">
        <v>227</v>
      </c>
      <c r="CV3" s="31" t="s">
        <v>228</v>
      </c>
      <c r="CW3" s="31" t="s">
        <v>229</v>
      </c>
      <c r="CX3" s="31" t="s">
        <v>230</v>
      </c>
      <c r="CY3" s="31" t="s">
        <v>231</v>
      </c>
      <c r="CZ3" s="31" t="s">
        <v>232</v>
      </c>
      <c r="DA3" s="31" t="s">
        <v>233</v>
      </c>
      <c r="DB3" s="31" t="s">
        <v>234</v>
      </c>
      <c r="DC3" s="31" t="s">
        <v>235</v>
      </c>
      <c r="DD3" s="31" t="s">
        <v>236</v>
      </c>
      <c r="DE3" s="31" t="s">
        <v>237</v>
      </c>
      <c r="DF3" s="31" t="s">
        <v>238</v>
      </c>
      <c r="DG3" s="31" t="s">
        <v>239</v>
      </c>
      <c r="DH3" s="31" t="s">
        <v>240</v>
      </c>
      <c r="DI3" s="31" t="s">
        <v>241</v>
      </c>
      <c r="DJ3" s="31" t="s">
        <v>242</v>
      </c>
      <c r="DK3" s="31" t="s">
        <v>243</v>
      </c>
      <c r="DL3" s="31" t="s">
        <v>244</v>
      </c>
      <c r="DM3" s="31" t="s">
        <v>245</v>
      </c>
      <c r="DN3" s="31" t="s">
        <v>246</v>
      </c>
      <c r="DO3" s="31" t="s">
        <v>247</v>
      </c>
      <c r="DP3" s="31" t="s">
        <v>248</v>
      </c>
      <c r="DQ3" s="31" t="s">
        <v>309</v>
      </c>
      <c r="DR3" s="31" t="s">
        <v>310</v>
      </c>
      <c r="DS3" s="31" t="s">
        <v>311</v>
      </c>
      <c r="DT3" s="31" t="s">
        <v>312</v>
      </c>
      <c r="DU3" s="31" t="s">
        <v>313</v>
      </c>
      <c r="DV3" s="31" t="s">
        <v>314</v>
      </c>
      <c r="DW3" s="31" t="s">
        <v>315</v>
      </c>
      <c r="DX3" s="31" t="s">
        <v>316</v>
      </c>
      <c r="DY3" s="31" t="s">
        <v>317</v>
      </c>
      <c r="DZ3" s="31" t="s">
        <v>318</v>
      </c>
      <c r="EA3" s="31" t="s">
        <v>319</v>
      </c>
      <c r="EB3" s="31" t="s">
        <v>320</v>
      </c>
      <c r="EC3" s="31" t="s">
        <v>321</v>
      </c>
      <c r="ED3" s="31" t="s">
        <v>322</v>
      </c>
      <c r="EE3" s="31" t="s">
        <v>323</v>
      </c>
      <c r="EF3" s="31" t="s">
        <v>324</v>
      </c>
      <c r="EG3" s="31" t="s">
        <v>325</v>
      </c>
      <c r="EH3" s="31" t="s">
        <v>326</v>
      </c>
      <c r="EI3" s="31" t="s">
        <v>327</v>
      </c>
      <c r="EJ3" s="31" t="s">
        <v>328</v>
      </c>
      <c r="EK3" s="31" t="s">
        <v>329</v>
      </c>
      <c r="EL3" s="31" t="s">
        <v>330</v>
      </c>
      <c r="EM3" s="31" t="s">
        <v>331</v>
      </c>
      <c r="EN3" s="31" t="s">
        <v>332</v>
      </c>
      <c r="EO3" s="31" t="s">
        <v>333</v>
      </c>
      <c r="EP3" s="31" t="s">
        <v>334</v>
      </c>
      <c r="EQ3" s="31" t="s">
        <v>335</v>
      </c>
      <c r="ER3" s="31" t="s">
        <v>336</v>
      </c>
      <c r="ES3" s="31" t="s">
        <v>337</v>
      </c>
      <c r="ET3" s="31" t="s">
        <v>338</v>
      </c>
      <c r="EU3" s="31" t="s">
        <v>339</v>
      </c>
      <c r="EV3" s="31" t="s">
        <v>340</v>
      </c>
      <c r="EW3" s="31" t="s">
        <v>341</v>
      </c>
      <c r="EX3" s="31" t="s">
        <v>342</v>
      </c>
      <c r="EY3" s="31" t="s">
        <v>343</v>
      </c>
      <c r="EZ3" s="31" t="s">
        <v>344</v>
      </c>
      <c r="FA3" s="31" t="s">
        <v>345</v>
      </c>
      <c r="FB3" s="31" t="s">
        <v>346</v>
      </c>
      <c r="FC3" s="31" t="s">
        <v>347</v>
      </c>
      <c r="FD3" s="31" t="s">
        <v>348</v>
      </c>
      <c r="FE3" s="31" t="s">
        <v>349</v>
      </c>
      <c r="FF3" s="31" t="s">
        <v>350</v>
      </c>
      <c r="FG3" s="31" t="s">
        <v>351</v>
      </c>
      <c r="FH3" s="31" t="s">
        <v>352</v>
      </c>
      <c r="FI3" s="31" t="s">
        <v>353</v>
      </c>
      <c r="FJ3" s="31" t="s">
        <v>354</v>
      </c>
      <c r="FK3" s="31" t="s">
        <v>355</v>
      </c>
      <c r="FL3" s="31" t="s">
        <v>356</v>
      </c>
      <c r="FM3" s="31" t="s">
        <v>357</v>
      </c>
      <c r="FN3" s="31" t="s">
        <v>358</v>
      </c>
      <c r="FO3" s="123" t="s">
        <v>22</v>
      </c>
      <c r="FP3" s="123" t="s">
        <v>23</v>
      </c>
      <c r="FQ3" s="123" t="s">
        <v>24</v>
      </c>
      <c r="FR3" s="123" t="s">
        <v>25</v>
      </c>
      <c r="FS3" s="123" t="s">
        <v>26</v>
      </c>
      <c r="FT3" s="123" t="s">
        <v>27</v>
      </c>
      <c r="FU3" s="123" t="s">
        <v>28</v>
      </c>
      <c r="FV3" s="123" t="s">
        <v>29</v>
      </c>
      <c r="FW3" s="123" t="s">
        <v>30</v>
      </c>
      <c r="FX3" s="123" t="s">
        <v>31</v>
      </c>
      <c r="FY3" s="123" t="s">
        <v>32</v>
      </c>
      <c r="FZ3" s="123" t="s">
        <v>33</v>
      </c>
      <c r="GA3" s="123" t="s">
        <v>34</v>
      </c>
      <c r="GB3" s="123" t="s">
        <v>35</v>
      </c>
      <c r="GC3" s="123" t="s">
        <v>36</v>
      </c>
      <c r="GD3" s="123" t="s">
        <v>37</v>
      </c>
      <c r="GE3" s="123" t="s">
        <v>38</v>
      </c>
      <c r="GF3" s="123" t="s">
        <v>39</v>
      </c>
      <c r="GG3" s="123" t="s">
        <v>40</v>
      </c>
      <c r="GH3" s="123" t="s">
        <v>41</v>
      </c>
      <c r="GI3" s="123" t="s">
        <v>42</v>
      </c>
      <c r="GJ3" s="123" t="s">
        <v>43</v>
      </c>
      <c r="GK3" s="123" t="s">
        <v>44</v>
      </c>
      <c r="GL3" s="123" t="s">
        <v>45</v>
      </c>
      <c r="GM3" s="123" t="s">
        <v>46</v>
      </c>
      <c r="GN3" s="123" t="s">
        <v>47</v>
      </c>
      <c r="GO3" s="123" t="s">
        <v>48</v>
      </c>
      <c r="GP3" s="123" t="s">
        <v>49</v>
      </c>
      <c r="GQ3" s="123" t="s">
        <v>50</v>
      </c>
      <c r="GR3" s="123" t="s">
        <v>51</v>
      </c>
      <c r="GS3" s="123" t="s">
        <v>52</v>
      </c>
      <c r="GT3" s="123" t="s">
        <v>53</v>
      </c>
      <c r="GU3" s="123" t="s">
        <v>54</v>
      </c>
      <c r="GV3" s="123" t="s">
        <v>55</v>
      </c>
      <c r="GW3" s="123" t="s">
        <v>56</v>
      </c>
      <c r="GX3" s="123" t="s">
        <v>57</v>
      </c>
      <c r="GY3" s="123" t="s">
        <v>58</v>
      </c>
      <c r="GZ3" s="123" t="s">
        <v>59</v>
      </c>
      <c r="HA3" s="123" t="s">
        <v>60</v>
      </c>
      <c r="HB3" s="123" t="s">
        <v>61</v>
      </c>
      <c r="HC3" s="123" t="s">
        <v>62</v>
      </c>
      <c r="HD3" s="123" t="s">
        <v>63</v>
      </c>
      <c r="HE3" s="123" t="s">
        <v>64</v>
      </c>
      <c r="HF3" s="123" t="s">
        <v>65</v>
      </c>
      <c r="HG3" s="123" t="s">
        <v>66</v>
      </c>
      <c r="HH3" s="123" t="s">
        <v>67</v>
      </c>
      <c r="HI3" s="123" t="s">
        <v>68</v>
      </c>
      <c r="HJ3" s="123" t="s">
        <v>69</v>
      </c>
      <c r="HK3" s="123" t="s">
        <v>70</v>
      </c>
      <c r="HL3" s="123" t="s">
        <v>71</v>
      </c>
      <c r="HM3" s="123" t="s">
        <v>72</v>
      </c>
      <c r="HN3" s="123" t="s">
        <v>73</v>
      </c>
      <c r="HO3" s="123" t="s">
        <v>74</v>
      </c>
      <c r="HP3" s="123" t="s">
        <v>75</v>
      </c>
      <c r="HQ3" s="123" t="s">
        <v>76</v>
      </c>
      <c r="HR3" s="123" t="s">
        <v>77</v>
      </c>
      <c r="HS3" s="123" t="s">
        <v>78</v>
      </c>
      <c r="HT3" s="123" t="s">
        <v>79</v>
      </c>
      <c r="HU3" s="123" t="s">
        <v>80</v>
      </c>
      <c r="HV3" s="123" t="s">
        <v>81</v>
      </c>
      <c r="HW3" s="123" t="s">
        <v>82</v>
      </c>
      <c r="HX3" s="123" t="s">
        <v>83</v>
      </c>
      <c r="HY3" s="123" t="s">
        <v>84</v>
      </c>
      <c r="HZ3" s="123" t="s">
        <v>85</v>
      </c>
      <c r="IA3" s="123" t="s">
        <v>86</v>
      </c>
      <c r="IB3" s="123" t="s">
        <v>87</v>
      </c>
      <c r="IC3" s="123" t="s">
        <v>88</v>
      </c>
      <c r="ID3" s="123" t="s">
        <v>89</v>
      </c>
      <c r="IE3" s="123" t="s">
        <v>90</v>
      </c>
      <c r="IF3" s="123" t="s">
        <v>91</v>
      </c>
      <c r="IG3" s="123" t="s">
        <v>92</v>
      </c>
      <c r="IH3" s="123" t="s">
        <v>93</v>
      </c>
      <c r="II3" s="123" t="s">
        <v>94</v>
      </c>
      <c r="IJ3" s="123" t="s">
        <v>95</v>
      </c>
      <c r="IK3" s="123" t="s">
        <v>96</v>
      </c>
      <c r="IL3" s="123" t="s">
        <v>97</v>
      </c>
      <c r="IM3" s="123" t="s">
        <v>98</v>
      </c>
      <c r="IN3" s="123" t="s">
        <v>99</v>
      </c>
      <c r="IO3" s="123" t="s">
        <v>100</v>
      </c>
      <c r="IP3" s="123" t="s">
        <v>101</v>
      </c>
      <c r="IQ3" s="123" t="s">
        <v>102</v>
      </c>
      <c r="IR3" s="123" t="s">
        <v>103</v>
      </c>
      <c r="IS3" s="123" t="s">
        <v>104</v>
      </c>
      <c r="IT3" s="123" t="s">
        <v>105</v>
      </c>
      <c r="IU3" s="123" t="s">
        <v>106</v>
      </c>
      <c r="IV3" s="123" t="s">
        <v>107</v>
      </c>
      <c r="IW3" s="123" t="s">
        <v>108</v>
      </c>
      <c r="IX3" s="123" t="s">
        <v>109</v>
      </c>
      <c r="IY3" s="123" t="s">
        <v>110</v>
      </c>
      <c r="IZ3" s="123" t="s">
        <v>111</v>
      </c>
      <c r="JA3" s="123" t="s">
        <v>112</v>
      </c>
      <c r="JB3" s="123" t="s">
        <v>113</v>
      </c>
      <c r="JC3" s="123" t="s">
        <v>114</v>
      </c>
      <c r="JD3" s="123" t="s">
        <v>115</v>
      </c>
      <c r="JE3" s="123" t="s">
        <v>116</v>
      </c>
      <c r="JF3" s="123" t="s">
        <v>117</v>
      </c>
      <c r="JG3" s="123" t="s">
        <v>118</v>
      </c>
      <c r="JH3" s="123" t="s">
        <v>119</v>
      </c>
      <c r="JI3" s="123" t="s">
        <v>120</v>
      </c>
      <c r="JJ3" s="123" t="s">
        <v>121</v>
      </c>
      <c r="JK3" s="123" t="s">
        <v>122</v>
      </c>
      <c r="JL3" s="123" t="s">
        <v>123</v>
      </c>
      <c r="JM3" s="123" t="s">
        <v>124</v>
      </c>
      <c r="JN3" s="123" t="s">
        <v>125</v>
      </c>
      <c r="JO3" s="123" t="s">
        <v>126</v>
      </c>
      <c r="JP3" s="123" t="s">
        <v>127</v>
      </c>
      <c r="JQ3" s="123" t="s">
        <v>128</v>
      </c>
      <c r="JR3" s="123" t="s">
        <v>129</v>
      </c>
      <c r="JS3" s="123" t="s">
        <v>130</v>
      </c>
      <c r="JT3" s="123" t="s">
        <v>131</v>
      </c>
      <c r="JU3" s="123" t="s">
        <v>132</v>
      </c>
      <c r="JV3" s="123" t="s">
        <v>133</v>
      </c>
      <c r="JW3" s="123" t="s">
        <v>134</v>
      </c>
      <c r="JX3" s="123" t="s">
        <v>135</v>
      </c>
      <c r="JY3" s="123" t="s">
        <v>136</v>
      </c>
      <c r="JZ3" s="123" t="s">
        <v>359</v>
      </c>
      <c r="KA3" s="123" t="s">
        <v>360</v>
      </c>
      <c r="KB3" s="123" t="s">
        <v>361</v>
      </c>
      <c r="KC3" s="123" t="s">
        <v>362</v>
      </c>
      <c r="KD3" s="123" t="s">
        <v>363</v>
      </c>
      <c r="KE3" s="123" t="s">
        <v>364</v>
      </c>
      <c r="KF3" s="123" t="s">
        <v>365</v>
      </c>
      <c r="KG3" s="123" t="s">
        <v>366</v>
      </c>
      <c r="KH3" s="123" t="s">
        <v>367</v>
      </c>
      <c r="KI3" s="123" t="s">
        <v>368</v>
      </c>
      <c r="KJ3" s="123" t="s">
        <v>369</v>
      </c>
      <c r="KK3" s="123" t="s">
        <v>370</v>
      </c>
      <c r="KL3" s="123" t="s">
        <v>371</v>
      </c>
      <c r="KM3" s="123" t="s">
        <v>372</v>
      </c>
      <c r="KN3" s="123" t="s">
        <v>373</v>
      </c>
      <c r="KO3" s="123" t="s">
        <v>374</v>
      </c>
      <c r="KP3" s="123" t="s">
        <v>375</v>
      </c>
      <c r="KQ3" s="123" t="s">
        <v>376</v>
      </c>
      <c r="KR3" s="123" t="s">
        <v>377</v>
      </c>
      <c r="KS3" s="123" t="s">
        <v>378</v>
      </c>
      <c r="KT3" s="123" t="s">
        <v>379</v>
      </c>
      <c r="KU3" s="123" t="s">
        <v>380</v>
      </c>
      <c r="KV3" s="123" t="s">
        <v>381</v>
      </c>
      <c r="KW3" s="123" t="s">
        <v>382</v>
      </c>
      <c r="KX3" s="123" t="s">
        <v>383</v>
      </c>
      <c r="KY3" s="123" t="s">
        <v>384</v>
      </c>
      <c r="KZ3" s="123" t="s">
        <v>385</v>
      </c>
      <c r="LA3" s="123" t="s">
        <v>386</v>
      </c>
      <c r="LB3" s="123" t="s">
        <v>387</v>
      </c>
      <c r="LC3" s="123" t="s">
        <v>388</v>
      </c>
      <c r="LD3" s="123" t="s">
        <v>389</v>
      </c>
      <c r="LE3" s="123" t="s">
        <v>390</v>
      </c>
      <c r="LF3" s="123" t="s">
        <v>391</v>
      </c>
      <c r="LG3" s="123" t="s">
        <v>392</v>
      </c>
      <c r="LH3" s="123" t="s">
        <v>393</v>
      </c>
      <c r="LI3" s="123" t="s">
        <v>394</v>
      </c>
      <c r="LJ3" s="123" t="s">
        <v>395</v>
      </c>
      <c r="LK3" s="123" t="s">
        <v>396</v>
      </c>
      <c r="LL3" s="123" t="s">
        <v>397</v>
      </c>
      <c r="LM3" s="123" t="s">
        <v>398</v>
      </c>
      <c r="LN3" s="123" t="s">
        <v>399</v>
      </c>
      <c r="LO3" s="123" t="s">
        <v>400</v>
      </c>
      <c r="LP3" s="123" t="s">
        <v>401</v>
      </c>
      <c r="LQ3" s="123" t="s">
        <v>402</v>
      </c>
      <c r="LR3" s="123" t="s">
        <v>403</v>
      </c>
      <c r="LS3" s="123" t="s">
        <v>404</v>
      </c>
      <c r="LT3" s="123" t="s">
        <v>405</v>
      </c>
      <c r="LU3" s="123" t="s">
        <v>406</v>
      </c>
      <c r="LV3" s="123" t="s">
        <v>407</v>
      </c>
      <c r="LW3" s="123" t="s">
        <v>408</v>
      </c>
    </row>
    <row r="4" spans="1:335" ht="23.25" customHeight="1" x14ac:dyDescent="0.25">
      <c r="A4" s="24">
        <v>1</v>
      </c>
      <c r="B4" s="20"/>
      <c r="C4" s="5" t="str">
        <f>IF(ISBLANK(B4),"",VLOOKUP(B4,tbl_PLOs[],2,0))</f>
        <v/>
      </c>
      <c r="D4" s="102"/>
      <c r="E4" s="10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22"/>
      <c r="FO4" s="121" t="str">
        <f>IF(ISBLANK(tbl_task8[[คะแนนเต็ม]:[คะแนนเต็ม]]),"",(tbl_task8[1]/tbl_task8[[คะแนนเต็ม]:[คะแนนเต็ม]])*tbl_task8[[%]:[%]])</f>
        <v/>
      </c>
      <c r="FP4" s="121" t="str">
        <f>IF(ISBLANK(tbl_task8[[คะแนนเต็ม]:[คะแนนเต็ม]]),"",(tbl_task8[2]/tbl_task8[[คะแนนเต็ม]:[คะแนนเต็ม]])*tbl_task8[[%]:[%]])</f>
        <v/>
      </c>
      <c r="FQ4" s="121" t="str">
        <f>IF(ISBLANK(tbl_task8[[คะแนนเต็ม]:[คะแนนเต็ม]]),"",(tbl_task8[3]/tbl_task8[[คะแนนเต็ม]:[คะแนนเต็ม]])*tbl_task8[[%]:[%]])</f>
        <v/>
      </c>
      <c r="FR4" s="121" t="str">
        <f>IF(ISBLANK(tbl_task8[[คะแนนเต็ม]:[คะแนนเต็ม]]),"",(tbl_task8[4]/tbl_task8[[คะแนนเต็ม]:[คะแนนเต็ม]])*tbl_task8[[%]:[%]])</f>
        <v/>
      </c>
      <c r="FS4" s="121" t="str">
        <f>IF(ISBLANK(tbl_task8[[คะแนนเต็ม]:[คะแนนเต็ม]]),"",(tbl_task8[5]/tbl_task8[[คะแนนเต็ม]:[คะแนนเต็ม]])*tbl_task8[[%]:[%]])</f>
        <v/>
      </c>
      <c r="FT4" s="121" t="str">
        <f>IF(ISBLANK(tbl_task8[[คะแนนเต็ม]:[คะแนนเต็ม]]),"",(tbl_task8[6]/tbl_task8[[คะแนนเต็ม]:[คะแนนเต็ม]])*tbl_task8[[%]:[%]])</f>
        <v/>
      </c>
      <c r="FU4" s="121" t="str">
        <f>IF(ISBLANK(tbl_task8[[คะแนนเต็ม]:[คะแนนเต็ม]]),"",(tbl_task8[7]/tbl_task8[[คะแนนเต็ม]:[คะแนนเต็ม]])*tbl_task8[[%]:[%]])</f>
        <v/>
      </c>
      <c r="FV4" s="121" t="str">
        <f>IF(ISBLANK(tbl_task8[[คะแนนเต็ม]:[คะแนนเต็ม]]),"",(tbl_task8[8]/tbl_task8[[คะแนนเต็ม]:[คะแนนเต็ม]])*tbl_task8[[%]:[%]])</f>
        <v/>
      </c>
      <c r="FW4" s="121" t="str">
        <f>IF(ISBLANK(tbl_task8[[คะแนนเต็ม]:[คะแนนเต็ม]]),"",(tbl_task8[9]/tbl_task8[[คะแนนเต็ม]:[คะแนนเต็ม]])*tbl_task8[[%]:[%]])</f>
        <v/>
      </c>
      <c r="FX4" s="121" t="str">
        <f>IF(ISBLANK(tbl_task8[[คะแนนเต็ม]:[คะแนนเต็ม]]),"",(tbl_task8[10]/tbl_task8[[คะแนนเต็ม]:[คะแนนเต็ม]])*tbl_task8[[%]:[%]])</f>
        <v/>
      </c>
      <c r="FY4" s="121" t="str">
        <f>IF(ISBLANK(tbl_task8[[คะแนนเต็ม]:[คะแนนเต็ม]]),"",(tbl_task8[11]/tbl_task8[[คะแนนเต็ม]:[คะแนนเต็ม]])*tbl_task8[[%]:[%]])</f>
        <v/>
      </c>
      <c r="FZ4" s="121" t="str">
        <f>IF(ISBLANK(tbl_task8[[คะแนนเต็ม]:[คะแนนเต็ม]]),"",(tbl_task8[12]/tbl_task8[[คะแนนเต็ม]:[คะแนนเต็ม]])*tbl_task8[[%]:[%]])</f>
        <v/>
      </c>
      <c r="GA4" s="121" t="str">
        <f>IF(ISBLANK(tbl_task8[[คะแนนเต็ม]:[คะแนนเต็ม]]),"",(tbl_task8[13]/tbl_task8[[คะแนนเต็ม]:[คะแนนเต็ม]])*tbl_task8[[%]:[%]])</f>
        <v/>
      </c>
      <c r="GB4" s="121" t="str">
        <f>IF(ISBLANK(tbl_task8[[คะแนนเต็ม]:[คะแนนเต็ม]]),"",(tbl_task8[14]/tbl_task8[[คะแนนเต็ม]:[คะแนนเต็ม]])*tbl_task8[[%]:[%]])</f>
        <v/>
      </c>
      <c r="GC4" s="121" t="str">
        <f>IF(ISBLANK(tbl_task8[[คะแนนเต็ม]:[คะแนนเต็ม]]),"",(tbl_task8[15]/tbl_task8[[คะแนนเต็ม]:[คะแนนเต็ม]])*tbl_task8[[%]:[%]])</f>
        <v/>
      </c>
      <c r="GD4" s="121" t="str">
        <f>IF(ISBLANK(tbl_task8[[คะแนนเต็ม]:[คะแนนเต็ม]]),"",(tbl_task8[16]/tbl_task8[[คะแนนเต็ม]:[คะแนนเต็ม]])*tbl_task8[[%]:[%]])</f>
        <v/>
      </c>
      <c r="GE4" s="121" t="str">
        <f>IF(ISBLANK(tbl_task8[[คะแนนเต็ม]:[คะแนนเต็ม]]),"",(tbl_task8[17]/tbl_task8[[คะแนนเต็ม]:[คะแนนเต็ม]])*tbl_task8[[%]:[%]])</f>
        <v/>
      </c>
      <c r="GF4" s="121" t="str">
        <f>IF(ISBLANK(tbl_task8[[คะแนนเต็ม]:[คะแนนเต็ม]]),"",(tbl_task8[18]/tbl_task8[[คะแนนเต็ม]:[คะแนนเต็ม]])*tbl_task8[[%]:[%]])</f>
        <v/>
      </c>
      <c r="GG4" s="121" t="str">
        <f>IF(ISBLANK(tbl_task8[[คะแนนเต็ม]:[คะแนนเต็ม]]),"",(tbl_task8[19]/tbl_task8[[คะแนนเต็ม]:[คะแนนเต็ม]])*tbl_task8[[%]:[%]])</f>
        <v/>
      </c>
      <c r="GH4" s="121" t="str">
        <f>IF(ISBLANK(tbl_task8[[คะแนนเต็ม]:[คะแนนเต็ม]]),"",(tbl_task8[20]/tbl_task8[[คะแนนเต็ม]:[คะแนนเต็ม]])*tbl_task8[[%]:[%]])</f>
        <v/>
      </c>
      <c r="GI4" s="121" t="str">
        <f>IF(ISBLANK(tbl_task8[[คะแนนเต็ม]:[คะแนนเต็ม]]),"",(tbl_task8[21]/tbl_task8[[คะแนนเต็ม]:[คะแนนเต็ม]])*tbl_task8[[%]:[%]])</f>
        <v/>
      </c>
      <c r="GJ4" s="121" t="str">
        <f>IF(ISBLANK(tbl_task8[[คะแนนเต็ม]:[คะแนนเต็ม]]),"",(tbl_task8[22]/tbl_task8[[คะแนนเต็ม]:[คะแนนเต็ม]])*tbl_task8[[%]:[%]])</f>
        <v/>
      </c>
      <c r="GK4" s="121" t="str">
        <f>IF(ISBLANK(tbl_task8[[คะแนนเต็ม]:[คะแนนเต็ม]]),"",(tbl_task8[23]/tbl_task8[[คะแนนเต็ม]:[คะแนนเต็ม]])*tbl_task8[[%]:[%]])</f>
        <v/>
      </c>
      <c r="GL4" s="121" t="str">
        <f>IF(ISBLANK(tbl_task8[[คะแนนเต็ม]:[คะแนนเต็ม]]),"",(tbl_task8[24]/tbl_task8[[คะแนนเต็ม]:[คะแนนเต็ม]])*tbl_task8[[%]:[%]])</f>
        <v/>
      </c>
      <c r="GM4" s="121" t="str">
        <f>IF(ISBLANK(tbl_task8[[คะแนนเต็ม]:[คะแนนเต็ม]]),"",(tbl_task8[25]/tbl_task8[[คะแนนเต็ม]:[คะแนนเต็ม]])*tbl_task8[[%]:[%]])</f>
        <v/>
      </c>
      <c r="GN4" s="121" t="str">
        <f>IF(ISBLANK(tbl_task8[[คะแนนเต็ม]:[คะแนนเต็ม]]),"",(tbl_task8[26]/tbl_task8[[คะแนนเต็ม]:[คะแนนเต็ม]])*tbl_task8[[%]:[%]])</f>
        <v/>
      </c>
      <c r="GO4" s="121" t="str">
        <f>IF(ISBLANK(tbl_task8[[คะแนนเต็ม]:[คะแนนเต็ม]]),"",(tbl_task8[27]/tbl_task8[[คะแนนเต็ม]:[คะแนนเต็ม]])*tbl_task8[[%]:[%]])</f>
        <v/>
      </c>
      <c r="GP4" s="121" t="str">
        <f>IF(ISBLANK(tbl_task8[[คะแนนเต็ม]:[คะแนนเต็ม]]),"",(tbl_task8[28]/tbl_task8[[คะแนนเต็ม]:[คะแนนเต็ม]])*tbl_task8[[%]:[%]])</f>
        <v/>
      </c>
      <c r="GQ4" s="121" t="str">
        <f>IF(ISBLANK(tbl_task8[[คะแนนเต็ม]:[คะแนนเต็ม]]),"",(tbl_task8[29]/tbl_task8[[คะแนนเต็ม]:[คะแนนเต็ม]])*tbl_task8[[%]:[%]])</f>
        <v/>
      </c>
      <c r="GR4" s="121" t="str">
        <f>IF(ISBLANK(tbl_task8[[คะแนนเต็ม]:[คะแนนเต็ม]]),"",(tbl_task8[30]/tbl_task8[[คะแนนเต็ม]:[คะแนนเต็ม]])*tbl_task8[[%]:[%]])</f>
        <v/>
      </c>
      <c r="GS4" s="121" t="str">
        <f>IF(ISBLANK(tbl_task8[[คะแนนเต็ม]:[คะแนนเต็ม]]),"",(tbl_task8[31]/tbl_task8[[คะแนนเต็ม]:[คะแนนเต็ม]])*tbl_task8[[%]:[%]])</f>
        <v/>
      </c>
      <c r="GT4" s="121" t="str">
        <f>IF(ISBLANK(tbl_task8[[คะแนนเต็ม]:[คะแนนเต็ม]]),"",(tbl_task8[32]/tbl_task8[[คะแนนเต็ม]:[คะแนนเต็ม]])*tbl_task8[[%]:[%]])</f>
        <v/>
      </c>
      <c r="GU4" s="121" t="str">
        <f>IF(ISBLANK(tbl_task8[[คะแนนเต็ม]:[คะแนนเต็ม]]),"",(tbl_task8[33]/tbl_task8[[คะแนนเต็ม]:[คะแนนเต็ม]])*tbl_task8[[%]:[%]])</f>
        <v/>
      </c>
      <c r="GV4" s="121" t="str">
        <f>IF(ISBLANK(tbl_task8[[คะแนนเต็ม]:[คะแนนเต็ม]]),"",(tbl_task8[34]/tbl_task8[[คะแนนเต็ม]:[คะแนนเต็ม]])*tbl_task8[[%]:[%]])</f>
        <v/>
      </c>
      <c r="GW4" s="121" t="str">
        <f>IF(ISBLANK(tbl_task8[[คะแนนเต็ม]:[คะแนนเต็ม]]),"",(tbl_task8[35]/tbl_task8[[คะแนนเต็ม]:[คะแนนเต็ม]])*tbl_task8[[%]:[%]])</f>
        <v/>
      </c>
      <c r="GX4" s="121" t="str">
        <f>IF(ISBLANK(tbl_task8[[คะแนนเต็ม]:[คะแนนเต็ม]]),"",(tbl_task8[36]/tbl_task8[[คะแนนเต็ม]:[คะแนนเต็ม]])*tbl_task8[[%]:[%]])</f>
        <v/>
      </c>
      <c r="GY4" s="121" t="str">
        <f>IF(ISBLANK(tbl_task8[[คะแนนเต็ม]:[คะแนนเต็ม]]),"",(tbl_task8[37]/tbl_task8[[คะแนนเต็ม]:[คะแนนเต็ม]])*tbl_task8[[%]:[%]])</f>
        <v/>
      </c>
      <c r="GZ4" s="121" t="str">
        <f>IF(ISBLANK(tbl_task8[[คะแนนเต็ม]:[คะแนนเต็ม]]),"",(tbl_task8[38]/tbl_task8[[คะแนนเต็ม]:[คะแนนเต็ม]])*tbl_task8[[%]:[%]])</f>
        <v/>
      </c>
      <c r="HA4" s="121" t="str">
        <f>IF(ISBLANK(tbl_task8[[คะแนนเต็ม]:[คะแนนเต็ม]]),"",(tbl_task8[39]/tbl_task8[[คะแนนเต็ม]:[คะแนนเต็ม]])*tbl_task8[[%]:[%]])</f>
        <v/>
      </c>
      <c r="HB4" s="121" t="str">
        <f>IF(ISBLANK(tbl_task8[[คะแนนเต็ม]:[คะแนนเต็ม]]),"",(tbl_task8[40]/tbl_task8[[คะแนนเต็ม]:[คะแนนเต็ม]])*tbl_task8[[%]:[%]])</f>
        <v/>
      </c>
      <c r="HC4" s="121" t="str">
        <f>IF(ISBLANK(tbl_task8[[คะแนนเต็ม]:[คะแนนเต็ม]]),"",(tbl_task8[41]/tbl_task8[[คะแนนเต็ม]:[คะแนนเต็ม]])*tbl_task8[[%]:[%]])</f>
        <v/>
      </c>
      <c r="HD4" s="121" t="str">
        <f>IF(ISBLANK(tbl_task8[[คะแนนเต็ม]:[คะแนนเต็ม]]),"",(tbl_task8[42]/tbl_task8[[คะแนนเต็ม]:[คะแนนเต็ม]])*tbl_task8[[%]:[%]])</f>
        <v/>
      </c>
      <c r="HE4" s="121" t="str">
        <f>IF(ISBLANK(tbl_task8[[คะแนนเต็ม]:[คะแนนเต็ม]]),"",(tbl_task8[43]/tbl_task8[[คะแนนเต็ม]:[คะแนนเต็ม]])*tbl_task8[[%]:[%]])</f>
        <v/>
      </c>
      <c r="HF4" s="121" t="str">
        <f>IF(ISBLANK(tbl_task8[[คะแนนเต็ม]:[คะแนนเต็ม]]),"",(tbl_task8[44]/tbl_task8[[คะแนนเต็ม]:[คะแนนเต็ม]])*tbl_task8[[%]:[%]])</f>
        <v/>
      </c>
      <c r="HG4" s="121" t="str">
        <f>IF(ISBLANK(tbl_task8[[คะแนนเต็ม]:[คะแนนเต็ม]]),"",(tbl_task8[45]/tbl_task8[[คะแนนเต็ม]:[คะแนนเต็ม]])*tbl_task8[[%]:[%]])</f>
        <v/>
      </c>
      <c r="HH4" s="121" t="str">
        <f>IF(ISBLANK(tbl_task8[[คะแนนเต็ม]:[คะแนนเต็ม]]),"",(tbl_task8[46]/tbl_task8[[คะแนนเต็ม]:[คะแนนเต็ม]])*tbl_task8[[%]:[%]])</f>
        <v/>
      </c>
      <c r="HI4" s="121" t="str">
        <f>IF(ISBLANK(tbl_task8[[คะแนนเต็ม]:[คะแนนเต็ม]]),"",(tbl_task8[47]/tbl_task8[[คะแนนเต็ม]:[คะแนนเต็ม]])*tbl_task8[[%]:[%]])</f>
        <v/>
      </c>
      <c r="HJ4" s="121" t="str">
        <f>IF(ISBLANK(tbl_task8[[คะแนนเต็ม]:[คะแนนเต็ม]]),"",(tbl_task8[48]/tbl_task8[[คะแนนเต็ม]:[คะแนนเต็ม]])*tbl_task8[[%]:[%]])</f>
        <v/>
      </c>
      <c r="HK4" s="121" t="str">
        <f>IF(ISBLANK(tbl_task8[[คะแนนเต็ม]:[คะแนนเต็ม]]),"",(tbl_task8[49]/tbl_task8[[คะแนนเต็ม]:[คะแนนเต็ม]])*tbl_task8[[%]:[%]])</f>
        <v/>
      </c>
      <c r="HL4" s="121" t="str">
        <f>IF(ISBLANK(tbl_task8[[คะแนนเต็ม]:[คะแนนเต็ม]]),"",(tbl_task8[50]/tbl_task8[[คะแนนเต็ม]:[คะแนนเต็ม]])*tbl_task8[[%]:[%]])</f>
        <v/>
      </c>
      <c r="HM4" s="121" t="str">
        <f>IF(ISBLANK(tbl_task8[[คะแนนเต็ม]:[คะแนนเต็ม]]),"",(tbl_task8[51]/tbl_task8[[คะแนนเต็ม]:[คะแนนเต็ม]])*tbl_task8[[%]:[%]])</f>
        <v/>
      </c>
      <c r="HN4" s="121" t="str">
        <f>IF(ISBLANK(tbl_task8[[คะแนนเต็ม]:[คะแนนเต็ม]]),"",(tbl_task8[52]/tbl_task8[[คะแนนเต็ม]:[คะแนนเต็ม]])*tbl_task8[[%]:[%]])</f>
        <v/>
      </c>
      <c r="HO4" s="121" t="str">
        <f>IF(ISBLANK(tbl_task8[[คะแนนเต็ม]:[คะแนนเต็ม]]),"",(tbl_task8[53]/tbl_task8[[คะแนนเต็ม]:[คะแนนเต็ม]])*tbl_task8[[%]:[%]])</f>
        <v/>
      </c>
      <c r="HP4" s="121" t="str">
        <f>IF(ISBLANK(tbl_task8[[คะแนนเต็ม]:[คะแนนเต็ม]]),"",(tbl_task8[54]/tbl_task8[[คะแนนเต็ม]:[คะแนนเต็ม]])*tbl_task8[[%]:[%]])</f>
        <v/>
      </c>
      <c r="HQ4" s="121" t="str">
        <f>IF(ISBLANK(tbl_task8[[คะแนนเต็ม]:[คะแนนเต็ม]]),"",(tbl_task8[55]/tbl_task8[[คะแนนเต็ม]:[คะแนนเต็ม]])*tbl_task8[[%]:[%]])</f>
        <v/>
      </c>
      <c r="HR4" s="121" t="str">
        <f>IF(ISBLANK(tbl_task8[[คะแนนเต็ม]:[คะแนนเต็ม]]),"",(tbl_task8[56]/tbl_task8[[คะแนนเต็ม]:[คะแนนเต็ม]])*tbl_task8[[%]:[%]])</f>
        <v/>
      </c>
      <c r="HS4" s="121" t="str">
        <f>IF(ISBLANK(tbl_task8[[คะแนนเต็ม]:[คะแนนเต็ม]]),"",(tbl_task8[57]/tbl_task8[[คะแนนเต็ม]:[คะแนนเต็ม]])*tbl_task8[[%]:[%]])</f>
        <v/>
      </c>
      <c r="HT4" s="121" t="str">
        <f>IF(ISBLANK(tbl_task8[[คะแนนเต็ม]:[คะแนนเต็ม]]),"",(tbl_task8[58]/tbl_task8[[คะแนนเต็ม]:[คะแนนเต็ม]])*tbl_task8[[%]:[%]])</f>
        <v/>
      </c>
      <c r="HU4" s="121" t="str">
        <f>IF(ISBLANK(tbl_task8[[คะแนนเต็ม]:[คะแนนเต็ม]]),"",(tbl_task8[59]/tbl_task8[[คะแนนเต็ม]:[คะแนนเต็ม]])*tbl_task8[[%]:[%]])</f>
        <v/>
      </c>
      <c r="HV4" s="121" t="str">
        <f>IF(ISBLANK(tbl_task8[[คะแนนเต็ม]:[คะแนนเต็ม]]),"",(tbl_task8[60]/tbl_task8[[คะแนนเต็ม]:[คะแนนเต็ม]])*tbl_task8[[%]:[%]])</f>
        <v/>
      </c>
      <c r="HW4" s="121" t="str">
        <f>IF(ISBLANK(tbl_task8[[คะแนนเต็ม]:[คะแนนเต็ม]]),"",(tbl_task8[61]/tbl_task8[[คะแนนเต็ม]:[คะแนนเต็ม]])*tbl_task8[[%]:[%]])</f>
        <v/>
      </c>
      <c r="HX4" s="121" t="str">
        <f>IF(ISBLANK(tbl_task8[[คะแนนเต็ม]:[คะแนนเต็ม]]),"",(tbl_task8[62]/tbl_task8[[คะแนนเต็ม]:[คะแนนเต็ม]])*tbl_task8[[%]:[%]])</f>
        <v/>
      </c>
      <c r="HY4" s="121" t="str">
        <f>IF(ISBLANK(tbl_task8[[คะแนนเต็ม]:[คะแนนเต็ม]]),"",(tbl_task8[63]/tbl_task8[[คะแนนเต็ม]:[คะแนนเต็ม]])*tbl_task8[[%]:[%]])</f>
        <v/>
      </c>
      <c r="HZ4" s="121" t="str">
        <f>IF(ISBLANK(tbl_task8[[คะแนนเต็ม]:[คะแนนเต็ม]]),"",(tbl_task8[64]/tbl_task8[[คะแนนเต็ม]:[คะแนนเต็ม]])*tbl_task8[[%]:[%]])</f>
        <v/>
      </c>
      <c r="IA4" s="121" t="str">
        <f>IF(ISBLANK(tbl_task8[[คะแนนเต็ม]:[คะแนนเต็ม]]),"",(tbl_task8[65]/tbl_task8[[คะแนนเต็ม]:[คะแนนเต็ม]])*tbl_task8[[%]:[%]])</f>
        <v/>
      </c>
      <c r="IB4" s="121" t="str">
        <f>IF(ISBLANK(tbl_task8[[คะแนนเต็ม]:[คะแนนเต็ม]]),"",(tbl_task8[66]/tbl_task8[[คะแนนเต็ม]:[คะแนนเต็ม]])*tbl_task8[[%]:[%]])</f>
        <v/>
      </c>
      <c r="IC4" s="121" t="str">
        <f>IF(ISBLANK(tbl_task8[[คะแนนเต็ม]:[คะแนนเต็ม]]),"",(tbl_task8[67]/tbl_task8[[คะแนนเต็ม]:[คะแนนเต็ม]])*tbl_task8[[%]:[%]])</f>
        <v/>
      </c>
      <c r="ID4" s="121" t="str">
        <f>IF(ISBLANK(tbl_task8[[คะแนนเต็ม]:[คะแนนเต็ม]]),"",(tbl_task8[68]/tbl_task8[[คะแนนเต็ม]:[คะแนนเต็ม]])*tbl_task8[[%]:[%]])</f>
        <v/>
      </c>
      <c r="IE4" s="121" t="str">
        <f>IF(ISBLANK(tbl_task8[[คะแนนเต็ม]:[คะแนนเต็ม]]),"",(tbl_task8[69]/tbl_task8[[คะแนนเต็ม]:[คะแนนเต็ม]])*tbl_task8[[%]:[%]])</f>
        <v/>
      </c>
      <c r="IF4" s="121" t="str">
        <f>IF(ISBLANK(tbl_task8[[คะแนนเต็ม]:[คะแนนเต็ม]]),"",(tbl_task8[70]/tbl_task8[[คะแนนเต็ม]:[คะแนนเต็ม]])*tbl_task8[[%]:[%]])</f>
        <v/>
      </c>
      <c r="IG4" s="121" t="str">
        <f>IF(ISBLANK(tbl_task8[[คะแนนเต็ม]:[คะแนนเต็ม]]),"",(tbl_task8[71]/tbl_task8[[คะแนนเต็ม]:[คะแนนเต็ม]])*tbl_task8[[%]:[%]])</f>
        <v/>
      </c>
      <c r="IH4" s="121" t="str">
        <f>IF(ISBLANK(tbl_task8[[คะแนนเต็ม]:[คะแนนเต็ม]]),"",(tbl_task8[72]/tbl_task8[[คะแนนเต็ม]:[คะแนนเต็ม]])*tbl_task8[[%]:[%]])</f>
        <v/>
      </c>
      <c r="II4" s="121" t="str">
        <f>IF(ISBLANK(tbl_task8[[คะแนนเต็ม]:[คะแนนเต็ม]]),"",(tbl_task8[73]/tbl_task8[[คะแนนเต็ม]:[คะแนนเต็ม]])*tbl_task8[[%]:[%]])</f>
        <v/>
      </c>
      <c r="IJ4" s="121" t="str">
        <f>IF(ISBLANK(tbl_task8[[คะแนนเต็ม]:[คะแนนเต็ม]]),"",(tbl_task8[74]/tbl_task8[[คะแนนเต็ม]:[คะแนนเต็ม]])*tbl_task8[[%]:[%]])</f>
        <v/>
      </c>
      <c r="IK4" s="121" t="str">
        <f>IF(ISBLANK(tbl_task8[[คะแนนเต็ม]:[คะแนนเต็ม]]),"",(tbl_task8[75]/tbl_task8[[คะแนนเต็ม]:[คะแนนเต็ม]])*tbl_task8[[%]:[%]])</f>
        <v/>
      </c>
      <c r="IL4" s="121" t="str">
        <f>IF(ISBLANK(tbl_task8[[คะแนนเต็ม]:[คะแนนเต็ม]]),"",(tbl_task8[76]/tbl_task8[[คะแนนเต็ม]:[คะแนนเต็ม]])*tbl_task8[[%]:[%]])</f>
        <v/>
      </c>
      <c r="IM4" s="121" t="str">
        <f>IF(ISBLANK(tbl_task8[[คะแนนเต็ม]:[คะแนนเต็ม]]),"",(tbl_task8[77]/tbl_task8[[คะแนนเต็ม]:[คะแนนเต็ม]])*tbl_task8[[%]:[%]])</f>
        <v/>
      </c>
      <c r="IN4" s="121" t="str">
        <f>IF(ISBLANK(tbl_task8[[คะแนนเต็ม]:[คะแนนเต็ม]]),"",(tbl_task8[78]/tbl_task8[[คะแนนเต็ม]:[คะแนนเต็ม]])*tbl_task8[[%]:[%]])</f>
        <v/>
      </c>
      <c r="IO4" s="121" t="str">
        <f>IF(ISBLANK(tbl_task8[[คะแนนเต็ม]:[คะแนนเต็ม]]),"",(tbl_task8[79]/tbl_task8[[คะแนนเต็ม]:[คะแนนเต็ม]])*tbl_task8[[%]:[%]])</f>
        <v/>
      </c>
      <c r="IP4" s="121" t="str">
        <f>IF(ISBLANK(tbl_task8[[คะแนนเต็ม]:[คะแนนเต็ม]]),"",(tbl_task8[80]/tbl_task8[[คะแนนเต็ม]:[คะแนนเต็ม]])*tbl_task8[[%]:[%]])</f>
        <v/>
      </c>
      <c r="IQ4" s="121" t="str">
        <f>IF(ISBLANK(tbl_task8[[คะแนนเต็ม]:[คะแนนเต็ม]]),"",(tbl_task8[81]/tbl_task8[[คะแนนเต็ม]:[คะแนนเต็ม]])*tbl_task8[[%]:[%]])</f>
        <v/>
      </c>
      <c r="IR4" s="121" t="str">
        <f>IF(ISBLANK(tbl_task8[[คะแนนเต็ม]:[คะแนนเต็ม]]),"",(tbl_task8[82]/tbl_task8[[คะแนนเต็ม]:[คะแนนเต็ม]])*tbl_task8[[%]:[%]])</f>
        <v/>
      </c>
      <c r="IS4" s="121" t="str">
        <f>IF(ISBLANK(tbl_task8[[คะแนนเต็ม]:[คะแนนเต็ม]]),"",(tbl_task8[83]/tbl_task8[[คะแนนเต็ม]:[คะแนนเต็ม]])*tbl_task8[[%]:[%]])</f>
        <v/>
      </c>
      <c r="IT4" s="121" t="str">
        <f>IF(ISBLANK(tbl_task8[[คะแนนเต็ม]:[คะแนนเต็ม]]),"",(tbl_task8[84]/tbl_task8[[คะแนนเต็ม]:[คะแนนเต็ม]])*tbl_task8[[%]:[%]])</f>
        <v/>
      </c>
      <c r="IU4" s="121" t="str">
        <f>IF(ISBLANK(tbl_task8[[คะแนนเต็ม]:[คะแนนเต็ม]]),"",(tbl_task8[85]/tbl_task8[[คะแนนเต็ม]:[คะแนนเต็ม]])*tbl_task8[[%]:[%]])</f>
        <v/>
      </c>
      <c r="IV4" s="121" t="str">
        <f>IF(ISBLANK(tbl_task8[[คะแนนเต็ม]:[คะแนนเต็ม]]),"",(tbl_task8[86]/tbl_task8[[คะแนนเต็ม]:[คะแนนเต็ม]])*tbl_task8[[%]:[%]])</f>
        <v/>
      </c>
      <c r="IW4" s="121" t="str">
        <f>IF(ISBLANK(tbl_task8[[คะแนนเต็ม]:[คะแนนเต็ม]]),"",(tbl_task8[87]/tbl_task8[[คะแนนเต็ม]:[คะแนนเต็ม]])*tbl_task8[[%]:[%]])</f>
        <v/>
      </c>
      <c r="IX4" s="121" t="str">
        <f>IF(ISBLANK(tbl_task8[[คะแนนเต็ม]:[คะแนนเต็ม]]),"",(tbl_task8[88]/tbl_task8[[คะแนนเต็ม]:[คะแนนเต็ม]])*tbl_task8[[%]:[%]])</f>
        <v/>
      </c>
      <c r="IY4" s="121" t="str">
        <f>IF(ISBLANK(tbl_task8[[คะแนนเต็ม]:[คะแนนเต็ม]]),"",(tbl_task8[89]/tbl_task8[[คะแนนเต็ม]:[คะแนนเต็ม]])*tbl_task8[[%]:[%]])</f>
        <v/>
      </c>
      <c r="IZ4" s="121" t="str">
        <f>IF(ISBLANK(tbl_task8[[คะแนนเต็ม]:[คะแนนเต็ม]]),"",(tbl_task8[90]/tbl_task8[[คะแนนเต็ม]:[คะแนนเต็ม]])*tbl_task8[[%]:[%]])</f>
        <v/>
      </c>
      <c r="JA4" s="121" t="str">
        <f>IF(ISBLANK(tbl_task8[[คะแนนเต็ม]:[คะแนนเต็ม]]),"",(tbl_task8[91]/tbl_task8[[คะแนนเต็ม]:[คะแนนเต็ม]])*tbl_task8[[%]:[%]])</f>
        <v/>
      </c>
      <c r="JB4" s="121" t="str">
        <f>IF(ISBLANK(tbl_task8[[คะแนนเต็ม]:[คะแนนเต็ม]]),"",(tbl_task8[92]/tbl_task8[[คะแนนเต็ม]:[คะแนนเต็ม]])*tbl_task8[[%]:[%]])</f>
        <v/>
      </c>
      <c r="JC4" s="121" t="str">
        <f>IF(ISBLANK(tbl_task8[[คะแนนเต็ม]:[คะแนนเต็ม]]),"",(tbl_task8[93]/tbl_task8[[คะแนนเต็ม]:[คะแนนเต็ม]])*tbl_task8[[%]:[%]])</f>
        <v/>
      </c>
      <c r="JD4" s="121" t="str">
        <f>IF(ISBLANK(tbl_task8[[คะแนนเต็ม]:[คะแนนเต็ม]]),"",(tbl_task8[94]/tbl_task8[[คะแนนเต็ม]:[คะแนนเต็ม]])*tbl_task8[[%]:[%]])</f>
        <v/>
      </c>
      <c r="JE4" s="121" t="str">
        <f>IF(ISBLANK(tbl_task8[[คะแนนเต็ม]:[คะแนนเต็ม]]),"",(tbl_task8[95]/tbl_task8[[คะแนนเต็ม]:[คะแนนเต็ม]])*tbl_task8[[%]:[%]])</f>
        <v/>
      </c>
      <c r="JF4" s="121" t="str">
        <f>IF(ISBLANK(tbl_task8[[คะแนนเต็ม]:[คะแนนเต็ม]]),"",(tbl_task8[96]/tbl_task8[[คะแนนเต็ม]:[คะแนนเต็ม]])*tbl_task8[[%]:[%]])</f>
        <v/>
      </c>
      <c r="JG4" s="121" t="str">
        <f>IF(ISBLANK(tbl_task8[[คะแนนเต็ม]:[คะแนนเต็ม]]),"",(tbl_task8[97]/tbl_task8[[คะแนนเต็ม]:[คะแนนเต็ม]])*tbl_task8[[%]:[%]])</f>
        <v/>
      </c>
      <c r="JH4" s="121" t="str">
        <f>IF(ISBLANK(tbl_task8[[คะแนนเต็ม]:[คะแนนเต็ม]]),"",(tbl_task8[98]/tbl_task8[[คะแนนเต็ม]:[คะแนนเต็ม]])*tbl_task8[[%]:[%]])</f>
        <v/>
      </c>
      <c r="JI4" s="121" t="str">
        <f>IF(ISBLANK(tbl_task8[[คะแนนเต็ม]:[คะแนนเต็ม]]),"",(tbl_task8[99]/tbl_task8[[คะแนนเต็ม]:[คะแนนเต็ม]])*tbl_task8[[%]:[%]])</f>
        <v/>
      </c>
      <c r="JJ4" s="121" t="str">
        <f>IF(ISBLANK(tbl_task8[[คะแนนเต็ม]:[คะแนนเต็ม]]),"",(tbl_task8[100]/tbl_task8[[คะแนนเต็ม]:[คะแนนเต็ม]])*tbl_task8[[%]:[%]])</f>
        <v/>
      </c>
      <c r="JK4" s="121" t="str">
        <f>IF(ISBLANK(tbl_task8[[คะแนนเต็ม]:[คะแนนเต็ม]]),"",(tbl_task8[101]/tbl_task8[[คะแนนเต็ม]:[คะแนนเต็ม]])*tbl_task8[[%]:[%]])</f>
        <v/>
      </c>
      <c r="JL4" s="121" t="str">
        <f>IF(ISBLANK(tbl_task8[[คะแนนเต็ม]:[คะแนนเต็ม]]),"",(tbl_task8[102]/tbl_task8[[คะแนนเต็ม]:[คะแนนเต็ม]])*tbl_task8[[%]:[%]])</f>
        <v/>
      </c>
      <c r="JM4" s="121" t="str">
        <f>IF(ISBLANK(tbl_task8[[คะแนนเต็ม]:[คะแนนเต็ม]]),"",(tbl_task8[103]/tbl_task8[[คะแนนเต็ม]:[คะแนนเต็ม]])*tbl_task8[[%]:[%]])</f>
        <v/>
      </c>
      <c r="JN4" s="121" t="str">
        <f>IF(ISBLANK(tbl_task8[[คะแนนเต็ม]:[คะแนนเต็ม]]),"",(tbl_task8[104]/tbl_task8[[คะแนนเต็ม]:[คะแนนเต็ม]])*tbl_task8[[%]:[%]])</f>
        <v/>
      </c>
      <c r="JO4" s="121" t="str">
        <f>IF(ISBLANK(tbl_task8[[คะแนนเต็ม]:[คะแนนเต็ม]]),"",(tbl_task8[105]/tbl_task8[[คะแนนเต็ม]:[คะแนนเต็ม]])*tbl_task8[[%]:[%]])</f>
        <v/>
      </c>
      <c r="JP4" s="121" t="str">
        <f>IF(ISBLANK(tbl_task8[[คะแนนเต็ม]:[คะแนนเต็ม]]),"",(tbl_task8[106]/tbl_task8[[คะแนนเต็ม]:[คะแนนเต็ม]])*tbl_task8[[%]:[%]])</f>
        <v/>
      </c>
      <c r="JQ4" s="121" t="str">
        <f>IF(ISBLANK(tbl_task8[[คะแนนเต็ม]:[คะแนนเต็ม]]),"",(tbl_task8[107]/tbl_task8[[คะแนนเต็ม]:[คะแนนเต็ม]])*tbl_task8[[%]:[%]])</f>
        <v/>
      </c>
      <c r="JR4" s="121" t="str">
        <f>IF(ISBLANK(tbl_task8[[คะแนนเต็ม]:[คะแนนเต็ม]]),"",(tbl_task8[108]/tbl_task8[[คะแนนเต็ม]:[คะแนนเต็ม]])*tbl_task8[[%]:[%]])</f>
        <v/>
      </c>
      <c r="JS4" s="121" t="str">
        <f>IF(ISBLANK(tbl_task8[[คะแนนเต็ม]:[คะแนนเต็ม]]),"",(tbl_task8[109]/tbl_task8[[คะแนนเต็ม]:[คะแนนเต็ม]])*tbl_task8[[%]:[%]])</f>
        <v/>
      </c>
      <c r="JT4" s="121" t="str">
        <f>IF(ISBLANK(tbl_task8[[คะแนนเต็ม]:[คะแนนเต็ม]]),"",(tbl_task8[110]/tbl_task8[[คะแนนเต็ม]:[คะแนนเต็ม]])*tbl_task8[[%]:[%]])</f>
        <v/>
      </c>
      <c r="JU4" s="121" t="str">
        <f>IF(ISBLANK(tbl_task8[[คะแนนเต็ม]:[คะแนนเต็ม]]),"",(tbl_task8[111]/tbl_task8[[คะแนนเต็ม]:[คะแนนเต็ม]])*tbl_task8[[%]:[%]])</f>
        <v/>
      </c>
      <c r="JV4" s="121" t="str">
        <f>IF(ISBLANK(tbl_task8[[คะแนนเต็ม]:[คะแนนเต็ม]]),"",(tbl_task8[112]/tbl_task8[[คะแนนเต็ม]:[คะแนนเต็ม]])*tbl_task8[[%]:[%]])</f>
        <v/>
      </c>
      <c r="JW4" s="121" t="str">
        <f>IF(ISBLANK(tbl_task8[[คะแนนเต็ม]:[คะแนนเต็ม]]),"",(tbl_task8[113]/tbl_task8[[คะแนนเต็ม]:[คะแนนเต็ม]])*tbl_task8[[%]:[%]])</f>
        <v/>
      </c>
      <c r="JX4" s="121" t="str">
        <f>IF(ISBLANK(tbl_task8[[คะแนนเต็ม]:[คะแนนเต็ม]]),"",(tbl_task8[114]/tbl_task8[[คะแนนเต็ม]:[คะแนนเต็ม]])*tbl_task8[[%]:[%]])</f>
        <v/>
      </c>
      <c r="JY4" s="121" t="str">
        <f>IF(ISBLANK(tbl_task8[[คะแนนเต็ม]:[คะแนนเต็ม]]),"",(tbl_task8[115]/tbl_task8[[คะแนนเต็ม]:[คะแนนเต็ม]])*tbl_task8[[%]:[%]])</f>
        <v/>
      </c>
      <c r="JZ4" s="121" t="str">
        <f>IF(ISBLANK(tbl_task8[[คะแนนเต็ม]:[คะแนนเต็ม]]),"",(tbl_task8[116]/tbl_task8[[คะแนนเต็ม]:[คะแนนเต็ม]])*tbl_task8[[%]:[%]])</f>
        <v/>
      </c>
      <c r="KA4" s="121" t="str">
        <f>IF(ISBLANK(tbl_task8[[คะแนนเต็ม]:[คะแนนเต็ม]]),"",(tbl_task8[117]/tbl_task8[[คะแนนเต็ม]:[คะแนนเต็ม]])*tbl_task8[[%]:[%]])</f>
        <v/>
      </c>
      <c r="KB4" s="121" t="str">
        <f>IF(ISBLANK(tbl_task8[[คะแนนเต็ม]:[คะแนนเต็ม]]),"",(tbl_task8[118]/tbl_task8[[คะแนนเต็ม]:[คะแนนเต็ม]])*tbl_task8[[%]:[%]])</f>
        <v/>
      </c>
      <c r="KC4" s="121" t="str">
        <f>IF(ISBLANK(tbl_task8[[คะแนนเต็ม]:[คะแนนเต็ม]]),"",(tbl_task8[119]/tbl_task8[[คะแนนเต็ม]:[คะแนนเต็ม]])*tbl_task8[[%]:[%]])</f>
        <v/>
      </c>
      <c r="KD4" s="121" t="str">
        <f>IF(ISBLANK(tbl_task8[[คะแนนเต็ม]:[คะแนนเต็ม]]),"",(tbl_task8[120]/tbl_task8[[คะแนนเต็ม]:[คะแนนเต็ม]])*tbl_task8[[%]:[%]])</f>
        <v/>
      </c>
      <c r="KE4" s="121" t="str">
        <f>IF(ISBLANK(tbl_task8[[คะแนนเต็ม]:[คะแนนเต็ม]]),"",(tbl_task8[121]/tbl_task8[[คะแนนเต็ม]:[คะแนนเต็ม]])*tbl_task8[[%]:[%]])</f>
        <v/>
      </c>
      <c r="KF4" s="121" t="str">
        <f>IF(ISBLANK(tbl_task8[[คะแนนเต็ม]:[คะแนนเต็ม]]),"",(tbl_task8[122]/tbl_task8[[คะแนนเต็ม]:[คะแนนเต็ม]])*tbl_task8[[%]:[%]])</f>
        <v/>
      </c>
      <c r="KG4" s="121" t="str">
        <f>IF(ISBLANK(tbl_task8[[คะแนนเต็ม]:[คะแนนเต็ม]]),"",(tbl_task8[123]/tbl_task8[[คะแนนเต็ม]:[คะแนนเต็ม]])*tbl_task8[[%]:[%]])</f>
        <v/>
      </c>
      <c r="KH4" s="121" t="str">
        <f>IF(ISBLANK(tbl_task8[[คะแนนเต็ม]:[คะแนนเต็ม]]),"",(tbl_task8[124]/tbl_task8[[คะแนนเต็ม]:[คะแนนเต็ม]])*tbl_task8[[%]:[%]])</f>
        <v/>
      </c>
      <c r="KI4" s="121" t="str">
        <f>IF(ISBLANK(tbl_task8[[คะแนนเต็ม]:[คะแนนเต็ม]]),"",(tbl_task8[125]/tbl_task8[[คะแนนเต็ม]:[คะแนนเต็ม]])*tbl_task8[[%]:[%]])</f>
        <v/>
      </c>
      <c r="KJ4" s="121" t="str">
        <f>IF(ISBLANK(tbl_task8[[คะแนนเต็ม]:[คะแนนเต็ม]]),"",(tbl_task8[126]/tbl_task8[[คะแนนเต็ม]:[คะแนนเต็ม]])*tbl_task8[[%]:[%]])</f>
        <v/>
      </c>
      <c r="KK4" s="121" t="str">
        <f>IF(ISBLANK(tbl_task8[[คะแนนเต็ม]:[คะแนนเต็ม]]),"",(tbl_task8[127]/tbl_task8[[คะแนนเต็ม]:[คะแนนเต็ม]])*tbl_task8[[%]:[%]])</f>
        <v/>
      </c>
      <c r="KL4" s="121" t="str">
        <f>IF(ISBLANK(tbl_task8[[คะแนนเต็ม]:[คะแนนเต็ม]]),"",(tbl_task8[128]/tbl_task8[[คะแนนเต็ม]:[คะแนนเต็ม]])*tbl_task8[[%]:[%]])</f>
        <v/>
      </c>
      <c r="KM4" s="121" t="str">
        <f>IF(ISBLANK(tbl_task8[[คะแนนเต็ม]:[คะแนนเต็ม]]),"",(tbl_task8[129]/tbl_task8[[คะแนนเต็ม]:[คะแนนเต็ม]])*tbl_task8[[%]:[%]])</f>
        <v/>
      </c>
      <c r="KN4" s="121" t="str">
        <f>IF(ISBLANK(tbl_task8[[คะแนนเต็ม]:[คะแนนเต็ม]]),"",(tbl_task8[130]/tbl_task8[[คะแนนเต็ม]:[คะแนนเต็ม]])*tbl_task8[[%]:[%]])</f>
        <v/>
      </c>
      <c r="KO4" s="121" t="str">
        <f>IF(ISBLANK(tbl_task8[[คะแนนเต็ม]:[คะแนนเต็ม]]),"",(tbl_task8[131]/tbl_task8[[คะแนนเต็ม]:[คะแนนเต็ม]])*tbl_task8[[%]:[%]])</f>
        <v/>
      </c>
      <c r="KP4" s="121" t="str">
        <f>IF(ISBLANK(tbl_task8[[คะแนนเต็ม]:[คะแนนเต็ม]]),"",(tbl_task8[132]/tbl_task8[[คะแนนเต็ม]:[คะแนนเต็ม]])*tbl_task8[[%]:[%]])</f>
        <v/>
      </c>
      <c r="KQ4" s="121" t="str">
        <f>IF(ISBLANK(tbl_task8[[คะแนนเต็ม]:[คะแนนเต็ม]]),"",(tbl_task8[133]/tbl_task8[[คะแนนเต็ม]:[คะแนนเต็ม]])*tbl_task8[[%]:[%]])</f>
        <v/>
      </c>
      <c r="KR4" s="121" t="str">
        <f>IF(ISBLANK(tbl_task8[[คะแนนเต็ม]:[คะแนนเต็ม]]),"",(tbl_task8[134]/tbl_task8[[คะแนนเต็ม]:[คะแนนเต็ม]])*tbl_task8[[%]:[%]])</f>
        <v/>
      </c>
      <c r="KS4" s="121" t="str">
        <f>IF(ISBLANK(tbl_task8[[คะแนนเต็ม]:[คะแนนเต็ม]]),"",(tbl_task8[135]/tbl_task8[[คะแนนเต็ม]:[คะแนนเต็ม]])*tbl_task8[[%]:[%]])</f>
        <v/>
      </c>
      <c r="KT4" s="121" t="str">
        <f>IF(ISBLANK(tbl_task8[[คะแนนเต็ม]:[คะแนนเต็ม]]),"",(tbl_task8[136]/tbl_task8[[คะแนนเต็ม]:[คะแนนเต็ม]])*tbl_task8[[%]:[%]])</f>
        <v/>
      </c>
      <c r="KU4" s="121" t="str">
        <f>IF(ISBLANK(tbl_task8[[คะแนนเต็ม]:[คะแนนเต็ม]]),"",(tbl_task8[137]/tbl_task8[[คะแนนเต็ม]:[คะแนนเต็ม]])*tbl_task8[[%]:[%]])</f>
        <v/>
      </c>
      <c r="KV4" s="121" t="str">
        <f>IF(ISBLANK(tbl_task8[[คะแนนเต็ม]:[คะแนนเต็ม]]),"",(tbl_task8[138]/tbl_task8[[คะแนนเต็ม]:[คะแนนเต็ม]])*tbl_task8[[%]:[%]])</f>
        <v/>
      </c>
      <c r="KW4" s="121" t="str">
        <f>IF(ISBLANK(tbl_task8[[คะแนนเต็ม]:[คะแนนเต็ม]]),"",(tbl_task8[139]/tbl_task8[[คะแนนเต็ม]:[คะแนนเต็ม]])*tbl_task8[[%]:[%]])</f>
        <v/>
      </c>
      <c r="KX4" s="121" t="str">
        <f>IF(ISBLANK(tbl_task8[[คะแนนเต็ม]:[คะแนนเต็ม]]),"",(tbl_task8[140]/tbl_task8[[คะแนนเต็ม]:[คะแนนเต็ม]])*tbl_task8[[%]:[%]])</f>
        <v/>
      </c>
      <c r="KY4" s="121" t="str">
        <f>IF(ISBLANK(tbl_task8[[คะแนนเต็ม]:[คะแนนเต็ม]]),"",(tbl_task8[141]/tbl_task8[[คะแนนเต็ม]:[คะแนนเต็ม]])*tbl_task8[[%]:[%]])</f>
        <v/>
      </c>
      <c r="KZ4" s="121" t="str">
        <f>IF(ISBLANK(tbl_task8[[คะแนนเต็ม]:[คะแนนเต็ม]]),"",(tbl_task8[142]/tbl_task8[[คะแนนเต็ม]:[คะแนนเต็ม]])*tbl_task8[[%]:[%]])</f>
        <v/>
      </c>
      <c r="LA4" s="121" t="str">
        <f>IF(ISBLANK(tbl_task8[[คะแนนเต็ม]:[คะแนนเต็ม]]),"",(tbl_task8[143]/tbl_task8[[คะแนนเต็ม]:[คะแนนเต็ม]])*tbl_task8[[%]:[%]])</f>
        <v/>
      </c>
      <c r="LB4" s="121" t="str">
        <f>IF(ISBLANK(tbl_task8[[คะแนนเต็ม]:[คะแนนเต็ม]]),"",(tbl_task8[144]/tbl_task8[[คะแนนเต็ม]:[คะแนนเต็ม]])*tbl_task8[[%]:[%]])</f>
        <v/>
      </c>
      <c r="LC4" s="121" t="str">
        <f>IF(ISBLANK(tbl_task8[[คะแนนเต็ม]:[คะแนนเต็ม]]),"",(tbl_task8[145]/tbl_task8[[คะแนนเต็ม]:[คะแนนเต็ม]])*tbl_task8[[%]:[%]])</f>
        <v/>
      </c>
      <c r="LD4" s="121" t="str">
        <f>IF(ISBLANK(tbl_task8[[คะแนนเต็ม]:[คะแนนเต็ม]]),"",(tbl_task8[146]/tbl_task8[[คะแนนเต็ม]:[คะแนนเต็ม]])*tbl_task8[[%]:[%]])</f>
        <v/>
      </c>
      <c r="LE4" s="121" t="str">
        <f>IF(ISBLANK(tbl_task8[[คะแนนเต็ม]:[คะแนนเต็ม]]),"",(tbl_task8[147]/tbl_task8[[คะแนนเต็ม]:[คะแนนเต็ม]])*tbl_task8[[%]:[%]])</f>
        <v/>
      </c>
      <c r="LF4" s="121" t="str">
        <f>IF(ISBLANK(tbl_task8[[คะแนนเต็ม]:[คะแนนเต็ม]]),"",(tbl_task8[148]/tbl_task8[[คะแนนเต็ม]:[คะแนนเต็ม]])*tbl_task8[[%]:[%]])</f>
        <v/>
      </c>
      <c r="LG4" s="121" t="str">
        <f>IF(ISBLANK(tbl_task8[[คะแนนเต็ม]:[คะแนนเต็ม]]),"",(tbl_task8[149]/tbl_task8[[คะแนนเต็ม]:[คะแนนเต็ม]])*tbl_task8[[%]:[%]])</f>
        <v/>
      </c>
      <c r="LH4" s="121" t="str">
        <f>IF(ISBLANK(tbl_task8[[คะแนนเต็ม]:[คะแนนเต็ม]]),"",(tbl_task8[150]/tbl_task8[[คะแนนเต็ม]:[คะแนนเต็ม]])*tbl_task8[[%]:[%]])</f>
        <v/>
      </c>
      <c r="LI4" s="121" t="str">
        <f>IF(ISBLANK(tbl_task8[[คะแนนเต็ม]:[คะแนนเต็ม]]),"",(tbl_task8[151]/tbl_task8[[คะแนนเต็ม]:[คะแนนเต็ม]])*tbl_task8[[%]:[%]])</f>
        <v/>
      </c>
      <c r="LJ4" s="121" t="str">
        <f>IF(ISBLANK(tbl_task8[[คะแนนเต็ม]:[คะแนนเต็ม]]),"",(tbl_task8[152]/tbl_task8[[คะแนนเต็ม]:[คะแนนเต็ม]])*tbl_task8[[%]:[%]])</f>
        <v/>
      </c>
      <c r="LK4" s="121" t="str">
        <f>IF(ISBLANK(tbl_task8[[คะแนนเต็ม]:[คะแนนเต็ม]]),"",(tbl_task8[153]/tbl_task8[[คะแนนเต็ม]:[คะแนนเต็ม]])*tbl_task8[[%]:[%]])</f>
        <v/>
      </c>
      <c r="LL4" s="121" t="str">
        <f>IF(ISBLANK(tbl_task8[[คะแนนเต็ม]:[คะแนนเต็ม]]),"",(tbl_task8[154]/tbl_task8[[คะแนนเต็ม]:[คะแนนเต็ม]])*tbl_task8[[%]:[%]])</f>
        <v/>
      </c>
      <c r="LM4" s="121" t="str">
        <f>IF(ISBLANK(tbl_task8[[คะแนนเต็ม]:[คะแนนเต็ม]]),"",(tbl_task8[155]/tbl_task8[[คะแนนเต็ม]:[คะแนนเต็ม]])*tbl_task8[[%]:[%]])</f>
        <v/>
      </c>
      <c r="LN4" s="121" t="str">
        <f>IF(ISBLANK(tbl_task8[[คะแนนเต็ม]:[คะแนนเต็ม]]),"",(tbl_task8[156]/tbl_task8[[คะแนนเต็ม]:[คะแนนเต็ม]])*tbl_task8[[%]:[%]])</f>
        <v/>
      </c>
      <c r="LO4" s="121" t="str">
        <f>IF(ISBLANK(tbl_task8[[คะแนนเต็ม]:[คะแนนเต็ม]]),"",(tbl_task8[157]/tbl_task8[[คะแนนเต็ม]:[คะแนนเต็ม]])*tbl_task8[[%]:[%]])</f>
        <v/>
      </c>
      <c r="LP4" s="121" t="str">
        <f>IF(ISBLANK(tbl_task8[[คะแนนเต็ม]:[คะแนนเต็ม]]),"",(tbl_task8[158]/tbl_task8[[คะแนนเต็ม]:[คะแนนเต็ม]])*tbl_task8[[%]:[%]])</f>
        <v/>
      </c>
      <c r="LQ4" s="121" t="str">
        <f>IF(ISBLANK(tbl_task8[[คะแนนเต็ม]:[คะแนนเต็ม]]),"",(tbl_task8[159]/tbl_task8[[คะแนนเต็ม]:[คะแนนเต็ม]])*tbl_task8[[%]:[%]])</f>
        <v/>
      </c>
      <c r="LR4" s="121" t="str">
        <f>IF(ISBLANK(tbl_task8[[คะแนนเต็ม]:[คะแนนเต็ม]]),"",(tbl_task8[160]/tbl_task8[[คะแนนเต็ม]:[คะแนนเต็ม]])*tbl_task8[[%]:[%]])</f>
        <v/>
      </c>
      <c r="LS4" s="121" t="str">
        <f>IF(ISBLANK(tbl_task8[[คะแนนเต็ม]:[คะแนนเต็ม]]),"",(tbl_task8[161]/tbl_task8[[คะแนนเต็ม]:[คะแนนเต็ม]])*tbl_task8[[%]:[%]])</f>
        <v/>
      </c>
      <c r="LT4" s="121" t="str">
        <f>IF(ISBLANK(tbl_task8[[คะแนนเต็ม]:[คะแนนเต็ม]]),"",(tbl_task8[162]/tbl_task8[[คะแนนเต็ม]:[คะแนนเต็ม]])*tbl_task8[[%]:[%]])</f>
        <v/>
      </c>
      <c r="LU4" s="121" t="str">
        <f>IF(ISBLANK(tbl_task8[[คะแนนเต็ม]:[คะแนนเต็ม]]),"",(tbl_task8[163]/tbl_task8[[คะแนนเต็ม]:[คะแนนเต็ม]])*tbl_task8[[%]:[%]])</f>
        <v/>
      </c>
      <c r="LV4" s="121" t="str">
        <f>IF(ISBLANK(tbl_task8[[คะแนนเต็ม]:[คะแนนเต็ม]]),"",(tbl_task8[164]/tbl_task8[[คะแนนเต็ม]:[คะแนนเต็ม]])*tbl_task8[[%]:[%]])</f>
        <v/>
      </c>
      <c r="LW4" s="121" t="str">
        <f>IF(ISBLANK(tbl_task8[[คะแนนเต็ม]:[คะแนนเต็ม]]),"",(tbl_task8[165]/tbl_task8[[คะแนนเต็ม]:[คะแนนเต็ม]])*tbl_task8[[%]:[%]])</f>
        <v/>
      </c>
    </row>
    <row r="5" spans="1:335" ht="23.25" customHeight="1" x14ac:dyDescent="0.25">
      <c r="A5" s="24">
        <v>2</v>
      </c>
      <c r="B5" s="20"/>
      <c r="C5" s="5" t="str">
        <f>IF(ISBLANK(B5),"",VLOOKUP(B5,tbl_PLOs[],2,0))</f>
        <v/>
      </c>
      <c r="D5" s="102"/>
      <c r="E5" s="10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22"/>
      <c r="FO5" s="121" t="str">
        <f>IF(ISBLANK(tbl_task8[[คะแนนเต็ม]:[คะแนนเต็ม]]),"",(tbl_task8[1]/tbl_task8[[คะแนนเต็ม]:[คะแนนเต็ม]])*tbl_task8[[%]:[%]])</f>
        <v/>
      </c>
      <c r="FP5" s="121" t="str">
        <f>IF(ISBLANK(tbl_task8[[คะแนนเต็ม]:[คะแนนเต็ม]]),"",(tbl_task8[2]/tbl_task8[[คะแนนเต็ม]:[คะแนนเต็ม]])*tbl_task8[[%]:[%]])</f>
        <v/>
      </c>
      <c r="FQ5" s="121" t="str">
        <f>IF(ISBLANK(tbl_task8[[คะแนนเต็ม]:[คะแนนเต็ม]]),"",(tbl_task8[3]/tbl_task8[[คะแนนเต็ม]:[คะแนนเต็ม]])*tbl_task8[[%]:[%]])</f>
        <v/>
      </c>
      <c r="FR5" s="121" t="str">
        <f>IF(ISBLANK(tbl_task8[[คะแนนเต็ม]:[คะแนนเต็ม]]),"",(tbl_task8[4]/tbl_task8[[คะแนนเต็ม]:[คะแนนเต็ม]])*tbl_task8[[%]:[%]])</f>
        <v/>
      </c>
      <c r="FS5" s="121" t="str">
        <f>IF(ISBLANK(tbl_task8[[คะแนนเต็ม]:[คะแนนเต็ม]]),"",(tbl_task8[5]/tbl_task8[[คะแนนเต็ม]:[คะแนนเต็ม]])*tbl_task8[[%]:[%]])</f>
        <v/>
      </c>
      <c r="FT5" s="121" t="str">
        <f>IF(ISBLANK(tbl_task8[[คะแนนเต็ม]:[คะแนนเต็ม]]),"",(tbl_task8[6]/tbl_task8[[คะแนนเต็ม]:[คะแนนเต็ม]])*tbl_task8[[%]:[%]])</f>
        <v/>
      </c>
      <c r="FU5" s="121" t="str">
        <f>IF(ISBLANK(tbl_task8[[คะแนนเต็ม]:[คะแนนเต็ม]]),"",(tbl_task8[7]/tbl_task8[[คะแนนเต็ม]:[คะแนนเต็ม]])*tbl_task8[[%]:[%]])</f>
        <v/>
      </c>
      <c r="FV5" s="121" t="str">
        <f>IF(ISBLANK(tbl_task8[[คะแนนเต็ม]:[คะแนนเต็ม]]),"",(tbl_task8[8]/tbl_task8[[คะแนนเต็ม]:[คะแนนเต็ม]])*tbl_task8[[%]:[%]])</f>
        <v/>
      </c>
      <c r="FW5" s="121" t="str">
        <f>IF(ISBLANK(tbl_task8[[คะแนนเต็ม]:[คะแนนเต็ม]]),"",(tbl_task8[9]/tbl_task8[[คะแนนเต็ม]:[คะแนนเต็ม]])*tbl_task8[[%]:[%]])</f>
        <v/>
      </c>
      <c r="FX5" s="121" t="str">
        <f>IF(ISBLANK(tbl_task8[[คะแนนเต็ม]:[คะแนนเต็ม]]),"",(tbl_task8[10]/tbl_task8[[คะแนนเต็ม]:[คะแนนเต็ม]])*tbl_task8[[%]:[%]])</f>
        <v/>
      </c>
      <c r="FY5" s="121" t="str">
        <f>IF(ISBLANK(tbl_task8[[คะแนนเต็ม]:[คะแนนเต็ม]]),"",(tbl_task8[11]/tbl_task8[[คะแนนเต็ม]:[คะแนนเต็ม]])*tbl_task8[[%]:[%]])</f>
        <v/>
      </c>
      <c r="FZ5" s="121" t="str">
        <f>IF(ISBLANK(tbl_task8[[คะแนนเต็ม]:[คะแนนเต็ม]]),"",(tbl_task8[12]/tbl_task8[[คะแนนเต็ม]:[คะแนนเต็ม]])*tbl_task8[[%]:[%]])</f>
        <v/>
      </c>
      <c r="GA5" s="121" t="str">
        <f>IF(ISBLANK(tbl_task8[[คะแนนเต็ม]:[คะแนนเต็ม]]),"",(tbl_task8[13]/tbl_task8[[คะแนนเต็ม]:[คะแนนเต็ม]])*tbl_task8[[%]:[%]])</f>
        <v/>
      </c>
      <c r="GB5" s="121" t="str">
        <f>IF(ISBLANK(tbl_task8[[คะแนนเต็ม]:[คะแนนเต็ม]]),"",(tbl_task8[14]/tbl_task8[[คะแนนเต็ม]:[คะแนนเต็ม]])*tbl_task8[[%]:[%]])</f>
        <v/>
      </c>
      <c r="GC5" s="121" t="str">
        <f>IF(ISBLANK(tbl_task8[[คะแนนเต็ม]:[คะแนนเต็ม]]),"",(tbl_task8[15]/tbl_task8[[คะแนนเต็ม]:[คะแนนเต็ม]])*tbl_task8[[%]:[%]])</f>
        <v/>
      </c>
      <c r="GD5" s="121" t="str">
        <f>IF(ISBLANK(tbl_task8[[คะแนนเต็ม]:[คะแนนเต็ม]]),"",(tbl_task8[16]/tbl_task8[[คะแนนเต็ม]:[คะแนนเต็ม]])*tbl_task8[[%]:[%]])</f>
        <v/>
      </c>
      <c r="GE5" s="121" t="str">
        <f>IF(ISBLANK(tbl_task8[[คะแนนเต็ม]:[คะแนนเต็ม]]),"",(tbl_task8[17]/tbl_task8[[คะแนนเต็ม]:[คะแนนเต็ม]])*tbl_task8[[%]:[%]])</f>
        <v/>
      </c>
      <c r="GF5" s="121" t="str">
        <f>IF(ISBLANK(tbl_task8[[คะแนนเต็ม]:[คะแนนเต็ม]]),"",(tbl_task8[18]/tbl_task8[[คะแนนเต็ม]:[คะแนนเต็ม]])*tbl_task8[[%]:[%]])</f>
        <v/>
      </c>
      <c r="GG5" s="121" t="str">
        <f>IF(ISBLANK(tbl_task8[[คะแนนเต็ม]:[คะแนนเต็ม]]),"",(tbl_task8[19]/tbl_task8[[คะแนนเต็ม]:[คะแนนเต็ม]])*tbl_task8[[%]:[%]])</f>
        <v/>
      </c>
      <c r="GH5" s="121" t="str">
        <f>IF(ISBLANK(tbl_task8[[คะแนนเต็ม]:[คะแนนเต็ม]]),"",(tbl_task8[20]/tbl_task8[[คะแนนเต็ม]:[คะแนนเต็ม]])*tbl_task8[[%]:[%]])</f>
        <v/>
      </c>
      <c r="GI5" s="121" t="str">
        <f>IF(ISBLANK(tbl_task8[[คะแนนเต็ม]:[คะแนนเต็ม]]),"",(tbl_task8[21]/tbl_task8[[คะแนนเต็ม]:[คะแนนเต็ม]])*tbl_task8[[%]:[%]])</f>
        <v/>
      </c>
      <c r="GJ5" s="121" t="str">
        <f>IF(ISBLANK(tbl_task8[[คะแนนเต็ม]:[คะแนนเต็ม]]),"",(tbl_task8[22]/tbl_task8[[คะแนนเต็ม]:[คะแนนเต็ม]])*tbl_task8[[%]:[%]])</f>
        <v/>
      </c>
      <c r="GK5" s="121" t="str">
        <f>IF(ISBLANK(tbl_task8[[คะแนนเต็ม]:[คะแนนเต็ม]]),"",(tbl_task8[23]/tbl_task8[[คะแนนเต็ม]:[คะแนนเต็ม]])*tbl_task8[[%]:[%]])</f>
        <v/>
      </c>
      <c r="GL5" s="121" t="str">
        <f>IF(ISBLANK(tbl_task8[[คะแนนเต็ม]:[คะแนนเต็ม]]),"",(tbl_task8[24]/tbl_task8[[คะแนนเต็ม]:[คะแนนเต็ม]])*tbl_task8[[%]:[%]])</f>
        <v/>
      </c>
      <c r="GM5" s="121" t="str">
        <f>IF(ISBLANK(tbl_task8[[คะแนนเต็ม]:[คะแนนเต็ม]]),"",(tbl_task8[25]/tbl_task8[[คะแนนเต็ม]:[คะแนนเต็ม]])*tbl_task8[[%]:[%]])</f>
        <v/>
      </c>
      <c r="GN5" s="121" t="str">
        <f>IF(ISBLANK(tbl_task8[[คะแนนเต็ม]:[คะแนนเต็ม]]),"",(tbl_task8[26]/tbl_task8[[คะแนนเต็ม]:[คะแนนเต็ม]])*tbl_task8[[%]:[%]])</f>
        <v/>
      </c>
      <c r="GO5" s="121" t="str">
        <f>IF(ISBLANK(tbl_task8[[คะแนนเต็ม]:[คะแนนเต็ม]]),"",(tbl_task8[27]/tbl_task8[[คะแนนเต็ม]:[คะแนนเต็ม]])*tbl_task8[[%]:[%]])</f>
        <v/>
      </c>
      <c r="GP5" s="121" t="str">
        <f>IF(ISBLANK(tbl_task8[[คะแนนเต็ม]:[คะแนนเต็ม]]),"",(tbl_task8[28]/tbl_task8[[คะแนนเต็ม]:[คะแนนเต็ม]])*tbl_task8[[%]:[%]])</f>
        <v/>
      </c>
      <c r="GQ5" s="121" t="str">
        <f>IF(ISBLANK(tbl_task8[[คะแนนเต็ม]:[คะแนนเต็ม]]),"",(tbl_task8[29]/tbl_task8[[คะแนนเต็ม]:[คะแนนเต็ม]])*tbl_task8[[%]:[%]])</f>
        <v/>
      </c>
      <c r="GR5" s="121" t="str">
        <f>IF(ISBLANK(tbl_task8[[คะแนนเต็ม]:[คะแนนเต็ม]]),"",(tbl_task8[30]/tbl_task8[[คะแนนเต็ม]:[คะแนนเต็ม]])*tbl_task8[[%]:[%]])</f>
        <v/>
      </c>
      <c r="GS5" s="121" t="str">
        <f>IF(ISBLANK(tbl_task8[[คะแนนเต็ม]:[คะแนนเต็ม]]),"",(tbl_task8[31]/tbl_task8[[คะแนนเต็ม]:[คะแนนเต็ม]])*tbl_task8[[%]:[%]])</f>
        <v/>
      </c>
      <c r="GT5" s="121" t="str">
        <f>IF(ISBLANK(tbl_task8[[คะแนนเต็ม]:[คะแนนเต็ม]]),"",(tbl_task8[32]/tbl_task8[[คะแนนเต็ม]:[คะแนนเต็ม]])*tbl_task8[[%]:[%]])</f>
        <v/>
      </c>
      <c r="GU5" s="121" t="str">
        <f>IF(ISBLANK(tbl_task8[[คะแนนเต็ม]:[คะแนนเต็ม]]),"",(tbl_task8[33]/tbl_task8[[คะแนนเต็ม]:[คะแนนเต็ม]])*tbl_task8[[%]:[%]])</f>
        <v/>
      </c>
      <c r="GV5" s="121" t="str">
        <f>IF(ISBLANK(tbl_task8[[คะแนนเต็ม]:[คะแนนเต็ม]]),"",(tbl_task8[34]/tbl_task8[[คะแนนเต็ม]:[คะแนนเต็ม]])*tbl_task8[[%]:[%]])</f>
        <v/>
      </c>
      <c r="GW5" s="121" t="str">
        <f>IF(ISBLANK(tbl_task8[[คะแนนเต็ม]:[คะแนนเต็ม]]),"",(tbl_task8[35]/tbl_task8[[คะแนนเต็ม]:[คะแนนเต็ม]])*tbl_task8[[%]:[%]])</f>
        <v/>
      </c>
      <c r="GX5" s="121" t="str">
        <f>IF(ISBLANK(tbl_task8[[คะแนนเต็ม]:[คะแนนเต็ม]]),"",(tbl_task8[36]/tbl_task8[[คะแนนเต็ม]:[คะแนนเต็ม]])*tbl_task8[[%]:[%]])</f>
        <v/>
      </c>
      <c r="GY5" s="121" t="str">
        <f>IF(ISBLANK(tbl_task8[[คะแนนเต็ม]:[คะแนนเต็ม]]),"",(tbl_task8[37]/tbl_task8[[คะแนนเต็ม]:[คะแนนเต็ม]])*tbl_task8[[%]:[%]])</f>
        <v/>
      </c>
      <c r="GZ5" s="121" t="str">
        <f>IF(ISBLANK(tbl_task8[[คะแนนเต็ม]:[คะแนนเต็ม]]),"",(tbl_task8[38]/tbl_task8[[คะแนนเต็ม]:[คะแนนเต็ม]])*tbl_task8[[%]:[%]])</f>
        <v/>
      </c>
      <c r="HA5" s="121" t="str">
        <f>IF(ISBLANK(tbl_task8[[คะแนนเต็ม]:[คะแนนเต็ม]]),"",(tbl_task8[39]/tbl_task8[[คะแนนเต็ม]:[คะแนนเต็ม]])*tbl_task8[[%]:[%]])</f>
        <v/>
      </c>
      <c r="HB5" s="121" t="str">
        <f>IF(ISBLANK(tbl_task8[[คะแนนเต็ม]:[คะแนนเต็ม]]),"",(tbl_task8[40]/tbl_task8[[คะแนนเต็ม]:[คะแนนเต็ม]])*tbl_task8[[%]:[%]])</f>
        <v/>
      </c>
      <c r="HC5" s="121" t="str">
        <f>IF(ISBLANK(tbl_task8[[คะแนนเต็ม]:[คะแนนเต็ม]]),"",(tbl_task8[41]/tbl_task8[[คะแนนเต็ม]:[คะแนนเต็ม]])*tbl_task8[[%]:[%]])</f>
        <v/>
      </c>
      <c r="HD5" s="121" t="str">
        <f>IF(ISBLANK(tbl_task8[[คะแนนเต็ม]:[คะแนนเต็ม]]),"",(tbl_task8[42]/tbl_task8[[คะแนนเต็ม]:[คะแนนเต็ม]])*tbl_task8[[%]:[%]])</f>
        <v/>
      </c>
      <c r="HE5" s="121" t="str">
        <f>IF(ISBLANK(tbl_task8[[คะแนนเต็ม]:[คะแนนเต็ม]]),"",(tbl_task8[43]/tbl_task8[[คะแนนเต็ม]:[คะแนนเต็ม]])*tbl_task8[[%]:[%]])</f>
        <v/>
      </c>
      <c r="HF5" s="121" t="str">
        <f>IF(ISBLANK(tbl_task8[[คะแนนเต็ม]:[คะแนนเต็ม]]),"",(tbl_task8[44]/tbl_task8[[คะแนนเต็ม]:[คะแนนเต็ม]])*tbl_task8[[%]:[%]])</f>
        <v/>
      </c>
      <c r="HG5" s="121" t="str">
        <f>IF(ISBLANK(tbl_task8[[คะแนนเต็ม]:[คะแนนเต็ม]]),"",(tbl_task8[45]/tbl_task8[[คะแนนเต็ม]:[คะแนนเต็ม]])*tbl_task8[[%]:[%]])</f>
        <v/>
      </c>
      <c r="HH5" s="121" t="str">
        <f>IF(ISBLANK(tbl_task8[[คะแนนเต็ม]:[คะแนนเต็ม]]),"",(tbl_task8[46]/tbl_task8[[คะแนนเต็ม]:[คะแนนเต็ม]])*tbl_task8[[%]:[%]])</f>
        <v/>
      </c>
      <c r="HI5" s="121" t="str">
        <f>IF(ISBLANK(tbl_task8[[คะแนนเต็ม]:[คะแนนเต็ม]]),"",(tbl_task8[47]/tbl_task8[[คะแนนเต็ม]:[คะแนนเต็ม]])*tbl_task8[[%]:[%]])</f>
        <v/>
      </c>
      <c r="HJ5" s="121" t="str">
        <f>IF(ISBLANK(tbl_task8[[คะแนนเต็ม]:[คะแนนเต็ม]]),"",(tbl_task8[48]/tbl_task8[[คะแนนเต็ม]:[คะแนนเต็ม]])*tbl_task8[[%]:[%]])</f>
        <v/>
      </c>
      <c r="HK5" s="121" t="str">
        <f>IF(ISBLANK(tbl_task8[[คะแนนเต็ม]:[คะแนนเต็ม]]),"",(tbl_task8[49]/tbl_task8[[คะแนนเต็ม]:[คะแนนเต็ม]])*tbl_task8[[%]:[%]])</f>
        <v/>
      </c>
      <c r="HL5" s="121" t="str">
        <f>IF(ISBLANK(tbl_task8[[คะแนนเต็ม]:[คะแนนเต็ม]]),"",(tbl_task8[50]/tbl_task8[[คะแนนเต็ม]:[คะแนนเต็ม]])*tbl_task8[[%]:[%]])</f>
        <v/>
      </c>
      <c r="HM5" s="121" t="str">
        <f>IF(ISBLANK(tbl_task8[[คะแนนเต็ม]:[คะแนนเต็ม]]),"",(tbl_task8[51]/tbl_task8[[คะแนนเต็ม]:[คะแนนเต็ม]])*tbl_task8[[%]:[%]])</f>
        <v/>
      </c>
      <c r="HN5" s="121" t="str">
        <f>IF(ISBLANK(tbl_task8[[คะแนนเต็ม]:[คะแนนเต็ม]]),"",(tbl_task8[52]/tbl_task8[[คะแนนเต็ม]:[คะแนนเต็ม]])*tbl_task8[[%]:[%]])</f>
        <v/>
      </c>
      <c r="HO5" s="121" t="str">
        <f>IF(ISBLANK(tbl_task8[[คะแนนเต็ม]:[คะแนนเต็ม]]),"",(tbl_task8[53]/tbl_task8[[คะแนนเต็ม]:[คะแนนเต็ม]])*tbl_task8[[%]:[%]])</f>
        <v/>
      </c>
      <c r="HP5" s="121" t="str">
        <f>IF(ISBLANK(tbl_task8[[คะแนนเต็ม]:[คะแนนเต็ม]]),"",(tbl_task8[54]/tbl_task8[[คะแนนเต็ม]:[คะแนนเต็ม]])*tbl_task8[[%]:[%]])</f>
        <v/>
      </c>
      <c r="HQ5" s="121" t="str">
        <f>IF(ISBLANK(tbl_task8[[คะแนนเต็ม]:[คะแนนเต็ม]]),"",(tbl_task8[55]/tbl_task8[[คะแนนเต็ม]:[คะแนนเต็ม]])*tbl_task8[[%]:[%]])</f>
        <v/>
      </c>
      <c r="HR5" s="121" t="str">
        <f>IF(ISBLANK(tbl_task8[[คะแนนเต็ม]:[คะแนนเต็ม]]),"",(tbl_task8[56]/tbl_task8[[คะแนนเต็ม]:[คะแนนเต็ม]])*tbl_task8[[%]:[%]])</f>
        <v/>
      </c>
      <c r="HS5" s="121" t="str">
        <f>IF(ISBLANK(tbl_task8[[คะแนนเต็ม]:[คะแนนเต็ม]]),"",(tbl_task8[57]/tbl_task8[[คะแนนเต็ม]:[คะแนนเต็ม]])*tbl_task8[[%]:[%]])</f>
        <v/>
      </c>
      <c r="HT5" s="121" t="str">
        <f>IF(ISBLANK(tbl_task8[[คะแนนเต็ม]:[คะแนนเต็ม]]),"",(tbl_task8[58]/tbl_task8[[คะแนนเต็ม]:[คะแนนเต็ม]])*tbl_task8[[%]:[%]])</f>
        <v/>
      </c>
      <c r="HU5" s="121" t="str">
        <f>IF(ISBLANK(tbl_task8[[คะแนนเต็ม]:[คะแนนเต็ม]]),"",(tbl_task8[59]/tbl_task8[[คะแนนเต็ม]:[คะแนนเต็ม]])*tbl_task8[[%]:[%]])</f>
        <v/>
      </c>
      <c r="HV5" s="121" t="str">
        <f>IF(ISBLANK(tbl_task8[[คะแนนเต็ม]:[คะแนนเต็ม]]),"",(tbl_task8[60]/tbl_task8[[คะแนนเต็ม]:[คะแนนเต็ม]])*tbl_task8[[%]:[%]])</f>
        <v/>
      </c>
      <c r="HW5" s="121" t="str">
        <f>IF(ISBLANK(tbl_task8[[คะแนนเต็ม]:[คะแนนเต็ม]]),"",(tbl_task8[61]/tbl_task8[[คะแนนเต็ม]:[คะแนนเต็ม]])*tbl_task8[[%]:[%]])</f>
        <v/>
      </c>
      <c r="HX5" s="121" t="str">
        <f>IF(ISBLANK(tbl_task8[[คะแนนเต็ม]:[คะแนนเต็ม]]),"",(tbl_task8[62]/tbl_task8[[คะแนนเต็ม]:[คะแนนเต็ม]])*tbl_task8[[%]:[%]])</f>
        <v/>
      </c>
      <c r="HY5" s="121" t="str">
        <f>IF(ISBLANK(tbl_task8[[คะแนนเต็ม]:[คะแนนเต็ม]]),"",(tbl_task8[63]/tbl_task8[[คะแนนเต็ม]:[คะแนนเต็ม]])*tbl_task8[[%]:[%]])</f>
        <v/>
      </c>
      <c r="HZ5" s="121" t="str">
        <f>IF(ISBLANK(tbl_task8[[คะแนนเต็ม]:[คะแนนเต็ม]]),"",(tbl_task8[64]/tbl_task8[[คะแนนเต็ม]:[คะแนนเต็ม]])*tbl_task8[[%]:[%]])</f>
        <v/>
      </c>
      <c r="IA5" s="121" t="str">
        <f>IF(ISBLANK(tbl_task8[[คะแนนเต็ม]:[คะแนนเต็ม]]),"",(tbl_task8[65]/tbl_task8[[คะแนนเต็ม]:[คะแนนเต็ม]])*tbl_task8[[%]:[%]])</f>
        <v/>
      </c>
      <c r="IB5" s="121" t="str">
        <f>IF(ISBLANK(tbl_task8[[คะแนนเต็ม]:[คะแนนเต็ม]]),"",(tbl_task8[66]/tbl_task8[[คะแนนเต็ม]:[คะแนนเต็ม]])*tbl_task8[[%]:[%]])</f>
        <v/>
      </c>
      <c r="IC5" s="121" t="str">
        <f>IF(ISBLANK(tbl_task8[[คะแนนเต็ม]:[คะแนนเต็ม]]),"",(tbl_task8[67]/tbl_task8[[คะแนนเต็ม]:[คะแนนเต็ม]])*tbl_task8[[%]:[%]])</f>
        <v/>
      </c>
      <c r="ID5" s="121" t="str">
        <f>IF(ISBLANK(tbl_task8[[คะแนนเต็ม]:[คะแนนเต็ม]]),"",(tbl_task8[68]/tbl_task8[[คะแนนเต็ม]:[คะแนนเต็ม]])*tbl_task8[[%]:[%]])</f>
        <v/>
      </c>
      <c r="IE5" s="121" t="str">
        <f>IF(ISBLANK(tbl_task8[[คะแนนเต็ม]:[คะแนนเต็ม]]),"",(tbl_task8[69]/tbl_task8[[คะแนนเต็ม]:[คะแนนเต็ม]])*tbl_task8[[%]:[%]])</f>
        <v/>
      </c>
      <c r="IF5" s="121" t="str">
        <f>IF(ISBLANK(tbl_task8[[คะแนนเต็ม]:[คะแนนเต็ม]]),"",(tbl_task8[70]/tbl_task8[[คะแนนเต็ม]:[คะแนนเต็ม]])*tbl_task8[[%]:[%]])</f>
        <v/>
      </c>
      <c r="IG5" s="121" t="str">
        <f>IF(ISBLANK(tbl_task8[[คะแนนเต็ม]:[คะแนนเต็ม]]),"",(tbl_task8[71]/tbl_task8[[คะแนนเต็ม]:[คะแนนเต็ม]])*tbl_task8[[%]:[%]])</f>
        <v/>
      </c>
      <c r="IH5" s="121" t="str">
        <f>IF(ISBLANK(tbl_task8[[คะแนนเต็ม]:[คะแนนเต็ม]]),"",(tbl_task8[72]/tbl_task8[[คะแนนเต็ม]:[คะแนนเต็ม]])*tbl_task8[[%]:[%]])</f>
        <v/>
      </c>
      <c r="II5" s="121" t="str">
        <f>IF(ISBLANK(tbl_task8[[คะแนนเต็ม]:[คะแนนเต็ม]]),"",(tbl_task8[73]/tbl_task8[[คะแนนเต็ม]:[คะแนนเต็ม]])*tbl_task8[[%]:[%]])</f>
        <v/>
      </c>
      <c r="IJ5" s="121" t="str">
        <f>IF(ISBLANK(tbl_task8[[คะแนนเต็ม]:[คะแนนเต็ม]]),"",(tbl_task8[74]/tbl_task8[[คะแนนเต็ม]:[คะแนนเต็ม]])*tbl_task8[[%]:[%]])</f>
        <v/>
      </c>
      <c r="IK5" s="121" t="str">
        <f>IF(ISBLANK(tbl_task8[[คะแนนเต็ม]:[คะแนนเต็ม]]),"",(tbl_task8[75]/tbl_task8[[คะแนนเต็ม]:[คะแนนเต็ม]])*tbl_task8[[%]:[%]])</f>
        <v/>
      </c>
      <c r="IL5" s="121" t="str">
        <f>IF(ISBLANK(tbl_task8[[คะแนนเต็ม]:[คะแนนเต็ม]]),"",(tbl_task8[76]/tbl_task8[[คะแนนเต็ม]:[คะแนนเต็ม]])*tbl_task8[[%]:[%]])</f>
        <v/>
      </c>
      <c r="IM5" s="121" t="str">
        <f>IF(ISBLANK(tbl_task8[[คะแนนเต็ม]:[คะแนนเต็ม]]),"",(tbl_task8[77]/tbl_task8[[คะแนนเต็ม]:[คะแนนเต็ม]])*tbl_task8[[%]:[%]])</f>
        <v/>
      </c>
      <c r="IN5" s="121" t="str">
        <f>IF(ISBLANK(tbl_task8[[คะแนนเต็ม]:[คะแนนเต็ม]]),"",(tbl_task8[78]/tbl_task8[[คะแนนเต็ม]:[คะแนนเต็ม]])*tbl_task8[[%]:[%]])</f>
        <v/>
      </c>
      <c r="IO5" s="121" t="str">
        <f>IF(ISBLANK(tbl_task8[[คะแนนเต็ม]:[คะแนนเต็ม]]),"",(tbl_task8[79]/tbl_task8[[คะแนนเต็ม]:[คะแนนเต็ม]])*tbl_task8[[%]:[%]])</f>
        <v/>
      </c>
      <c r="IP5" s="121" t="str">
        <f>IF(ISBLANK(tbl_task8[[คะแนนเต็ม]:[คะแนนเต็ม]]),"",(tbl_task8[80]/tbl_task8[[คะแนนเต็ม]:[คะแนนเต็ม]])*tbl_task8[[%]:[%]])</f>
        <v/>
      </c>
      <c r="IQ5" s="121" t="str">
        <f>IF(ISBLANK(tbl_task8[[คะแนนเต็ม]:[คะแนนเต็ม]]),"",(tbl_task8[81]/tbl_task8[[คะแนนเต็ม]:[คะแนนเต็ม]])*tbl_task8[[%]:[%]])</f>
        <v/>
      </c>
      <c r="IR5" s="121" t="str">
        <f>IF(ISBLANK(tbl_task8[[คะแนนเต็ม]:[คะแนนเต็ม]]),"",(tbl_task8[82]/tbl_task8[[คะแนนเต็ม]:[คะแนนเต็ม]])*tbl_task8[[%]:[%]])</f>
        <v/>
      </c>
      <c r="IS5" s="121" t="str">
        <f>IF(ISBLANK(tbl_task8[[คะแนนเต็ม]:[คะแนนเต็ม]]),"",(tbl_task8[83]/tbl_task8[[คะแนนเต็ม]:[คะแนนเต็ม]])*tbl_task8[[%]:[%]])</f>
        <v/>
      </c>
      <c r="IT5" s="121" t="str">
        <f>IF(ISBLANK(tbl_task8[[คะแนนเต็ม]:[คะแนนเต็ม]]),"",(tbl_task8[84]/tbl_task8[[คะแนนเต็ม]:[คะแนนเต็ม]])*tbl_task8[[%]:[%]])</f>
        <v/>
      </c>
      <c r="IU5" s="121" t="str">
        <f>IF(ISBLANK(tbl_task8[[คะแนนเต็ม]:[คะแนนเต็ม]]),"",(tbl_task8[85]/tbl_task8[[คะแนนเต็ม]:[คะแนนเต็ม]])*tbl_task8[[%]:[%]])</f>
        <v/>
      </c>
      <c r="IV5" s="121" t="str">
        <f>IF(ISBLANK(tbl_task8[[คะแนนเต็ม]:[คะแนนเต็ม]]),"",(tbl_task8[86]/tbl_task8[[คะแนนเต็ม]:[คะแนนเต็ม]])*tbl_task8[[%]:[%]])</f>
        <v/>
      </c>
      <c r="IW5" s="121" t="str">
        <f>IF(ISBLANK(tbl_task8[[คะแนนเต็ม]:[คะแนนเต็ม]]),"",(tbl_task8[87]/tbl_task8[[คะแนนเต็ม]:[คะแนนเต็ม]])*tbl_task8[[%]:[%]])</f>
        <v/>
      </c>
      <c r="IX5" s="121" t="str">
        <f>IF(ISBLANK(tbl_task8[[คะแนนเต็ม]:[คะแนนเต็ม]]),"",(tbl_task8[88]/tbl_task8[[คะแนนเต็ม]:[คะแนนเต็ม]])*tbl_task8[[%]:[%]])</f>
        <v/>
      </c>
      <c r="IY5" s="121" t="str">
        <f>IF(ISBLANK(tbl_task8[[คะแนนเต็ม]:[คะแนนเต็ม]]),"",(tbl_task8[89]/tbl_task8[[คะแนนเต็ม]:[คะแนนเต็ม]])*tbl_task8[[%]:[%]])</f>
        <v/>
      </c>
      <c r="IZ5" s="121" t="str">
        <f>IF(ISBLANK(tbl_task8[[คะแนนเต็ม]:[คะแนนเต็ม]]),"",(tbl_task8[90]/tbl_task8[[คะแนนเต็ม]:[คะแนนเต็ม]])*tbl_task8[[%]:[%]])</f>
        <v/>
      </c>
      <c r="JA5" s="121" t="str">
        <f>IF(ISBLANK(tbl_task8[[คะแนนเต็ม]:[คะแนนเต็ม]]),"",(tbl_task8[91]/tbl_task8[[คะแนนเต็ม]:[คะแนนเต็ม]])*tbl_task8[[%]:[%]])</f>
        <v/>
      </c>
      <c r="JB5" s="121" t="str">
        <f>IF(ISBLANK(tbl_task8[[คะแนนเต็ม]:[คะแนนเต็ม]]),"",(tbl_task8[92]/tbl_task8[[คะแนนเต็ม]:[คะแนนเต็ม]])*tbl_task8[[%]:[%]])</f>
        <v/>
      </c>
      <c r="JC5" s="121" t="str">
        <f>IF(ISBLANK(tbl_task8[[คะแนนเต็ม]:[คะแนนเต็ม]]),"",(tbl_task8[93]/tbl_task8[[คะแนนเต็ม]:[คะแนนเต็ม]])*tbl_task8[[%]:[%]])</f>
        <v/>
      </c>
      <c r="JD5" s="121" t="str">
        <f>IF(ISBLANK(tbl_task8[[คะแนนเต็ม]:[คะแนนเต็ม]]),"",(tbl_task8[94]/tbl_task8[[คะแนนเต็ม]:[คะแนนเต็ม]])*tbl_task8[[%]:[%]])</f>
        <v/>
      </c>
      <c r="JE5" s="121" t="str">
        <f>IF(ISBLANK(tbl_task8[[คะแนนเต็ม]:[คะแนนเต็ม]]),"",(tbl_task8[95]/tbl_task8[[คะแนนเต็ม]:[คะแนนเต็ม]])*tbl_task8[[%]:[%]])</f>
        <v/>
      </c>
      <c r="JF5" s="121" t="str">
        <f>IF(ISBLANK(tbl_task8[[คะแนนเต็ม]:[คะแนนเต็ม]]),"",(tbl_task8[96]/tbl_task8[[คะแนนเต็ม]:[คะแนนเต็ม]])*tbl_task8[[%]:[%]])</f>
        <v/>
      </c>
      <c r="JG5" s="121" t="str">
        <f>IF(ISBLANK(tbl_task8[[คะแนนเต็ม]:[คะแนนเต็ม]]),"",(tbl_task8[97]/tbl_task8[[คะแนนเต็ม]:[คะแนนเต็ม]])*tbl_task8[[%]:[%]])</f>
        <v/>
      </c>
      <c r="JH5" s="121" t="str">
        <f>IF(ISBLANK(tbl_task8[[คะแนนเต็ม]:[คะแนนเต็ม]]),"",(tbl_task8[98]/tbl_task8[[คะแนนเต็ม]:[คะแนนเต็ม]])*tbl_task8[[%]:[%]])</f>
        <v/>
      </c>
      <c r="JI5" s="121" t="str">
        <f>IF(ISBLANK(tbl_task8[[คะแนนเต็ม]:[คะแนนเต็ม]]),"",(tbl_task8[99]/tbl_task8[[คะแนนเต็ม]:[คะแนนเต็ม]])*tbl_task8[[%]:[%]])</f>
        <v/>
      </c>
      <c r="JJ5" s="121" t="str">
        <f>IF(ISBLANK(tbl_task8[[คะแนนเต็ม]:[คะแนนเต็ม]]),"",(tbl_task8[100]/tbl_task8[[คะแนนเต็ม]:[คะแนนเต็ม]])*tbl_task8[[%]:[%]])</f>
        <v/>
      </c>
      <c r="JK5" s="121" t="str">
        <f>IF(ISBLANK(tbl_task8[[คะแนนเต็ม]:[คะแนนเต็ม]]),"",(tbl_task8[101]/tbl_task8[[คะแนนเต็ม]:[คะแนนเต็ม]])*tbl_task8[[%]:[%]])</f>
        <v/>
      </c>
      <c r="JL5" s="121" t="str">
        <f>IF(ISBLANK(tbl_task8[[คะแนนเต็ม]:[คะแนนเต็ม]]),"",(tbl_task8[102]/tbl_task8[[คะแนนเต็ม]:[คะแนนเต็ม]])*tbl_task8[[%]:[%]])</f>
        <v/>
      </c>
      <c r="JM5" s="121" t="str">
        <f>IF(ISBLANK(tbl_task8[[คะแนนเต็ม]:[คะแนนเต็ม]]),"",(tbl_task8[103]/tbl_task8[[คะแนนเต็ม]:[คะแนนเต็ม]])*tbl_task8[[%]:[%]])</f>
        <v/>
      </c>
      <c r="JN5" s="121" t="str">
        <f>IF(ISBLANK(tbl_task8[[คะแนนเต็ม]:[คะแนนเต็ม]]),"",(tbl_task8[104]/tbl_task8[[คะแนนเต็ม]:[คะแนนเต็ม]])*tbl_task8[[%]:[%]])</f>
        <v/>
      </c>
      <c r="JO5" s="121" t="str">
        <f>IF(ISBLANK(tbl_task8[[คะแนนเต็ม]:[คะแนนเต็ม]]),"",(tbl_task8[105]/tbl_task8[[คะแนนเต็ม]:[คะแนนเต็ม]])*tbl_task8[[%]:[%]])</f>
        <v/>
      </c>
      <c r="JP5" s="121" t="str">
        <f>IF(ISBLANK(tbl_task8[[คะแนนเต็ม]:[คะแนนเต็ม]]),"",(tbl_task8[106]/tbl_task8[[คะแนนเต็ม]:[คะแนนเต็ม]])*tbl_task8[[%]:[%]])</f>
        <v/>
      </c>
      <c r="JQ5" s="121" t="str">
        <f>IF(ISBLANK(tbl_task8[[คะแนนเต็ม]:[คะแนนเต็ม]]),"",(tbl_task8[107]/tbl_task8[[คะแนนเต็ม]:[คะแนนเต็ม]])*tbl_task8[[%]:[%]])</f>
        <v/>
      </c>
      <c r="JR5" s="121" t="str">
        <f>IF(ISBLANK(tbl_task8[[คะแนนเต็ม]:[คะแนนเต็ม]]),"",(tbl_task8[108]/tbl_task8[[คะแนนเต็ม]:[คะแนนเต็ม]])*tbl_task8[[%]:[%]])</f>
        <v/>
      </c>
      <c r="JS5" s="121" t="str">
        <f>IF(ISBLANK(tbl_task8[[คะแนนเต็ม]:[คะแนนเต็ม]]),"",(tbl_task8[109]/tbl_task8[[คะแนนเต็ม]:[คะแนนเต็ม]])*tbl_task8[[%]:[%]])</f>
        <v/>
      </c>
      <c r="JT5" s="121" t="str">
        <f>IF(ISBLANK(tbl_task8[[คะแนนเต็ม]:[คะแนนเต็ม]]),"",(tbl_task8[110]/tbl_task8[[คะแนนเต็ม]:[คะแนนเต็ม]])*tbl_task8[[%]:[%]])</f>
        <v/>
      </c>
      <c r="JU5" s="121" t="str">
        <f>IF(ISBLANK(tbl_task8[[คะแนนเต็ม]:[คะแนนเต็ม]]),"",(tbl_task8[111]/tbl_task8[[คะแนนเต็ม]:[คะแนนเต็ม]])*tbl_task8[[%]:[%]])</f>
        <v/>
      </c>
      <c r="JV5" s="121" t="str">
        <f>IF(ISBLANK(tbl_task8[[คะแนนเต็ม]:[คะแนนเต็ม]]),"",(tbl_task8[112]/tbl_task8[[คะแนนเต็ม]:[คะแนนเต็ม]])*tbl_task8[[%]:[%]])</f>
        <v/>
      </c>
      <c r="JW5" s="121" t="str">
        <f>IF(ISBLANK(tbl_task8[[คะแนนเต็ม]:[คะแนนเต็ม]]),"",(tbl_task8[113]/tbl_task8[[คะแนนเต็ม]:[คะแนนเต็ม]])*tbl_task8[[%]:[%]])</f>
        <v/>
      </c>
      <c r="JX5" s="121" t="str">
        <f>IF(ISBLANK(tbl_task8[[คะแนนเต็ม]:[คะแนนเต็ม]]),"",(tbl_task8[114]/tbl_task8[[คะแนนเต็ม]:[คะแนนเต็ม]])*tbl_task8[[%]:[%]])</f>
        <v/>
      </c>
      <c r="JY5" s="121" t="str">
        <f>IF(ISBLANK(tbl_task8[[คะแนนเต็ม]:[คะแนนเต็ม]]),"",(tbl_task8[115]/tbl_task8[[คะแนนเต็ม]:[คะแนนเต็ม]])*tbl_task8[[%]:[%]])</f>
        <v/>
      </c>
      <c r="JZ5" s="121" t="str">
        <f>IF(ISBLANK(tbl_task8[[คะแนนเต็ม]:[คะแนนเต็ม]]),"",(tbl_task8[116]/tbl_task8[[คะแนนเต็ม]:[คะแนนเต็ม]])*tbl_task8[[%]:[%]])</f>
        <v/>
      </c>
      <c r="KA5" s="121" t="str">
        <f>IF(ISBLANK(tbl_task8[[คะแนนเต็ม]:[คะแนนเต็ม]]),"",(tbl_task8[117]/tbl_task8[[คะแนนเต็ม]:[คะแนนเต็ม]])*tbl_task8[[%]:[%]])</f>
        <v/>
      </c>
      <c r="KB5" s="121" t="str">
        <f>IF(ISBLANK(tbl_task8[[คะแนนเต็ม]:[คะแนนเต็ม]]),"",(tbl_task8[118]/tbl_task8[[คะแนนเต็ม]:[คะแนนเต็ม]])*tbl_task8[[%]:[%]])</f>
        <v/>
      </c>
      <c r="KC5" s="121" t="str">
        <f>IF(ISBLANK(tbl_task8[[คะแนนเต็ม]:[คะแนนเต็ม]]),"",(tbl_task8[119]/tbl_task8[[คะแนนเต็ม]:[คะแนนเต็ม]])*tbl_task8[[%]:[%]])</f>
        <v/>
      </c>
      <c r="KD5" s="121" t="str">
        <f>IF(ISBLANK(tbl_task8[[คะแนนเต็ม]:[คะแนนเต็ม]]),"",(tbl_task8[120]/tbl_task8[[คะแนนเต็ม]:[คะแนนเต็ม]])*tbl_task8[[%]:[%]])</f>
        <v/>
      </c>
      <c r="KE5" s="121" t="str">
        <f>IF(ISBLANK(tbl_task8[[คะแนนเต็ม]:[คะแนนเต็ม]]),"",(tbl_task8[121]/tbl_task8[[คะแนนเต็ม]:[คะแนนเต็ม]])*tbl_task8[[%]:[%]])</f>
        <v/>
      </c>
      <c r="KF5" s="121" t="str">
        <f>IF(ISBLANK(tbl_task8[[คะแนนเต็ม]:[คะแนนเต็ม]]),"",(tbl_task8[122]/tbl_task8[[คะแนนเต็ม]:[คะแนนเต็ม]])*tbl_task8[[%]:[%]])</f>
        <v/>
      </c>
      <c r="KG5" s="121" t="str">
        <f>IF(ISBLANK(tbl_task8[[คะแนนเต็ม]:[คะแนนเต็ม]]),"",(tbl_task8[123]/tbl_task8[[คะแนนเต็ม]:[คะแนนเต็ม]])*tbl_task8[[%]:[%]])</f>
        <v/>
      </c>
      <c r="KH5" s="121" t="str">
        <f>IF(ISBLANK(tbl_task8[[คะแนนเต็ม]:[คะแนนเต็ม]]),"",(tbl_task8[124]/tbl_task8[[คะแนนเต็ม]:[คะแนนเต็ม]])*tbl_task8[[%]:[%]])</f>
        <v/>
      </c>
      <c r="KI5" s="121" t="str">
        <f>IF(ISBLANK(tbl_task8[[คะแนนเต็ม]:[คะแนนเต็ม]]),"",(tbl_task8[125]/tbl_task8[[คะแนนเต็ม]:[คะแนนเต็ม]])*tbl_task8[[%]:[%]])</f>
        <v/>
      </c>
      <c r="KJ5" s="121" t="str">
        <f>IF(ISBLANK(tbl_task8[[คะแนนเต็ม]:[คะแนนเต็ม]]),"",(tbl_task8[126]/tbl_task8[[คะแนนเต็ม]:[คะแนนเต็ม]])*tbl_task8[[%]:[%]])</f>
        <v/>
      </c>
      <c r="KK5" s="121" t="str">
        <f>IF(ISBLANK(tbl_task8[[คะแนนเต็ม]:[คะแนนเต็ม]]),"",(tbl_task8[127]/tbl_task8[[คะแนนเต็ม]:[คะแนนเต็ม]])*tbl_task8[[%]:[%]])</f>
        <v/>
      </c>
      <c r="KL5" s="121" t="str">
        <f>IF(ISBLANK(tbl_task8[[คะแนนเต็ม]:[คะแนนเต็ม]]),"",(tbl_task8[128]/tbl_task8[[คะแนนเต็ม]:[คะแนนเต็ม]])*tbl_task8[[%]:[%]])</f>
        <v/>
      </c>
      <c r="KM5" s="121" t="str">
        <f>IF(ISBLANK(tbl_task8[[คะแนนเต็ม]:[คะแนนเต็ม]]),"",(tbl_task8[129]/tbl_task8[[คะแนนเต็ม]:[คะแนนเต็ม]])*tbl_task8[[%]:[%]])</f>
        <v/>
      </c>
      <c r="KN5" s="121" t="str">
        <f>IF(ISBLANK(tbl_task8[[คะแนนเต็ม]:[คะแนนเต็ม]]),"",(tbl_task8[130]/tbl_task8[[คะแนนเต็ม]:[คะแนนเต็ม]])*tbl_task8[[%]:[%]])</f>
        <v/>
      </c>
      <c r="KO5" s="121" t="str">
        <f>IF(ISBLANK(tbl_task8[[คะแนนเต็ม]:[คะแนนเต็ม]]),"",(tbl_task8[131]/tbl_task8[[คะแนนเต็ม]:[คะแนนเต็ม]])*tbl_task8[[%]:[%]])</f>
        <v/>
      </c>
      <c r="KP5" s="121" t="str">
        <f>IF(ISBLANK(tbl_task8[[คะแนนเต็ม]:[คะแนนเต็ม]]),"",(tbl_task8[132]/tbl_task8[[คะแนนเต็ม]:[คะแนนเต็ม]])*tbl_task8[[%]:[%]])</f>
        <v/>
      </c>
      <c r="KQ5" s="121" t="str">
        <f>IF(ISBLANK(tbl_task8[[คะแนนเต็ม]:[คะแนนเต็ม]]),"",(tbl_task8[133]/tbl_task8[[คะแนนเต็ม]:[คะแนนเต็ม]])*tbl_task8[[%]:[%]])</f>
        <v/>
      </c>
      <c r="KR5" s="121" t="str">
        <f>IF(ISBLANK(tbl_task8[[คะแนนเต็ม]:[คะแนนเต็ม]]),"",(tbl_task8[134]/tbl_task8[[คะแนนเต็ม]:[คะแนนเต็ม]])*tbl_task8[[%]:[%]])</f>
        <v/>
      </c>
      <c r="KS5" s="121" t="str">
        <f>IF(ISBLANK(tbl_task8[[คะแนนเต็ม]:[คะแนนเต็ม]]),"",(tbl_task8[135]/tbl_task8[[คะแนนเต็ม]:[คะแนนเต็ม]])*tbl_task8[[%]:[%]])</f>
        <v/>
      </c>
      <c r="KT5" s="121" t="str">
        <f>IF(ISBLANK(tbl_task8[[คะแนนเต็ม]:[คะแนนเต็ม]]),"",(tbl_task8[136]/tbl_task8[[คะแนนเต็ม]:[คะแนนเต็ม]])*tbl_task8[[%]:[%]])</f>
        <v/>
      </c>
      <c r="KU5" s="121" t="str">
        <f>IF(ISBLANK(tbl_task8[[คะแนนเต็ม]:[คะแนนเต็ม]]),"",(tbl_task8[137]/tbl_task8[[คะแนนเต็ม]:[คะแนนเต็ม]])*tbl_task8[[%]:[%]])</f>
        <v/>
      </c>
      <c r="KV5" s="121" t="str">
        <f>IF(ISBLANK(tbl_task8[[คะแนนเต็ม]:[คะแนนเต็ม]]),"",(tbl_task8[138]/tbl_task8[[คะแนนเต็ม]:[คะแนนเต็ม]])*tbl_task8[[%]:[%]])</f>
        <v/>
      </c>
      <c r="KW5" s="121" t="str">
        <f>IF(ISBLANK(tbl_task8[[คะแนนเต็ม]:[คะแนนเต็ม]]),"",(tbl_task8[139]/tbl_task8[[คะแนนเต็ม]:[คะแนนเต็ม]])*tbl_task8[[%]:[%]])</f>
        <v/>
      </c>
      <c r="KX5" s="121" t="str">
        <f>IF(ISBLANK(tbl_task8[[คะแนนเต็ม]:[คะแนนเต็ม]]),"",(tbl_task8[140]/tbl_task8[[คะแนนเต็ม]:[คะแนนเต็ม]])*tbl_task8[[%]:[%]])</f>
        <v/>
      </c>
      <c r="KY5" s="121" t="str">
        <f>IF(ISBLANK(tbl_task8[[คะแนนเต็ม]:[คะแนนเต็ม]]),"",(tbl_task8[141]/tbl_task8[[คะแนนเต็ม]:[คะแนนเต็ม]])*tbl_task8[[%]:[%]])</f>
        <v/>
      </c>
      <c r="KZ5" s="121" t="str">
        <f>IF(ISBLANK(tbl_task8[[คะแนนเต็ม]:[คะแนนเต็ม]]),"",(tbl_task8[142]/tbl_task8[[คะแนนเต็ม]:[คะแนนเต็ม]])*tbl_task8[[%]:[%]])</f>
        <v/>
      </c>
      <c r="LA5" s="121" t="str">
        <f>IF(ISBLANK(tbl_task8[[คะแนนเต็ม]:[คะแนนเต็ม]]),"",(tbl_task8[143]/tbl_task8[[คะแนนเต็ม]:[คะแนนเต็ม]])*tbl_task8[[%]:[%]])</f>
        <v/>
      </c>
      <c r="LB5" s="121" t="str">
        <f>IF(ISBLANK(tbl_task8[[คะแนนเต็ม]:[คะแนนเต็ม]]),"",(tbl_task8[144]/tbl_task8[[คะแนนเต็ม]:[คะแนนเต็ม]])*tbl_task8[[%]:[%]])</f>
        <v/>
      </c>
      <c r="LC5" s="121" t="str">
        <f>IF(ISBLANK(tbl_task8[[คะแนนเต็ม]:[คะแนนเต็ม]]),"",(tbl_task8[145]/tbl_task8[[คะแนนเต็ม]:[คะแนนเต็ม]])*tbl_task8[[%]:[%]])</f>
        <v/>
      </c>
      <c r="LD5" s="121" t="str">
        <f>IF(ISBLANK(tbl_task8[[คะแนนเต็ม]:[คะแนนเต็ม]]),"",(tbl_task8[146]/tbl_task8[[คะแนนเต็ม]:[คะแนนเต็ม]])*tbl_task8[[%]:[%]])</f>
        <v/>
      </c>
      <c r="LE5" s="121" t="str">
        <f>IF(ISBLANK(tbl_task8[[คะแนนเต็ม]:[คะแนนเต็ม]]),"",(tbl_task8[147]/tbl_task8[[คะแนนเต็ม]:[คะแนนเต็ม]])*tbl_task8[[%]:[%]])</f>
        <v/>
      </c>
      <c r="LF5" s="121" t="str">
        <f>IF(ISBLANK(tbl_task8[[คะแนนเต็ม]:[คะแนนเต็ม]]),"",(tbl_task8[148]/tbl_task8[[คะแนนเต็ม]:[คะแนนเต็ม]])*tbl_task8[[%]:[%]])</f>
        <v/>
      </c>
      <c r="LG5" s="121" t="str">
        <f>IF(ISBLANK(tbl_task8[[คะแนนเต็ม]:[คะแนนเต็ม]]),"",(tbl_task8[149]/tbl_task8[[คะแนนเต็ม]:[คะแนนเต็ม]])*tbl_task8[[%]:[%]])</f>
        <v/>
      </c>
      <c r="LH5" s="121" t="str">
        <f>IF(ISBLANK(tbl_task8[[คะแนนเต็ม]:[คะแนนเต็ม]]),"",(tbl_task8[150]/tbl_task8[[คะแนนเต็ม]:[คะแนนเต็ม]])*tbl_task8[[%]:[%]])</f>
        <v/>
      </c>
      <c r="LI5" s="121" t="str">
        <f>IF(ISBLANK(tbl_task8[[คะแนนเต็ม]:[คะแนนเต็ม]]),"",(tbl_task8[151]/tbl_task8[[คะแนนเต็ม]:[คะแนนเต็ม]])*tbl_task8[[%]:[%]])</f>
        <v/>
      </c>
      <c r="LJ5" s="121" t="str">
        <f>IF(ISBLANK(tbl_task8[[คะแนนเต็ม]:[คะแนนเต็ม]]),"",(tbl_task8[152]/tbl_task8[[คะแนนเต็ม]:[คะแนนเต็ม]])*tbl_task8[[%]:[%]])</f>
        <v/>
      </c>
      <c r="LK5" s="121" t="str">
        <f>IF(ISBLANK(tbl_task8[[คะแนนเต็ม]:[คะแนนเต็ม]]),"",(tbl_task8[153]/tbl_task8[[คะแนนเต็ม]:[คะแนนเต็ม]])*tbl_task8[[%]:[%]])</f>
        <v/>
      </c>
      <c r="LL5" s="121" t="str">
        <f>IF(ISBLANK(tbl_task8[[คะแนนเต็ม]:[คะแนนเต็ม]]),"",(tbl_task8[154]/tbl_task8[[คะแนนเต็ม]:[คะแนนเต็ม]])*tbl_task8[[%]:[%]])</f>
        <v/>
      </c>
      <c r="LM5" s="121" t="str">
        <f>IF(ISBLANK(tbl_task8[[คะแนนเต็ม]:[คะแนนเต็ม]]),"",(tbl_task8[155]/tbl_task8[[คะแนนเต็ม]:[คะแนนเต็ม]])*tbl_task8[[%]:[%]])</f>
        <v/>
      </c>
      <c r="LN5" s="121" t="str">
        <f>IF(ISBLANK(tbl_task8[[คะแนนเต็ม]:[คะแนนเต็ม]]),"",(tbl_task8[156]/tbl_task8[[คะแนนเต็ม]:[คะแนนเต็ม]])*tbl_task8[[%]:[%]])</f>
        <v/>
      </c>
      <c r="LO5" s="121" t="str">
        <f>IF(ISBLANK(tbl_task8[[คะแนนเต็ม]:[คะแนนเต็ม]]),"",(tbl_task8[157]/tbl_task8[[คะแนนเต็ม]:[คะแนนเต็ม]])*tbl_task8[[%]:[%]])</f>
        <v/>
      </c>
      <c r="LP5" s="121" t="str">
        <f>IF(ISBLANK(tbl_task8[[คะแนนเต็ม]:[คะแนนเต็ม]]),"",(tbl_task8[158]/tbl_task8[[คะแนนเต็ม]:[คะแนนเต็ม]])*tbl_task8[[%]:[%]])</f>
        <v/>
      </c>
      <c r="LQ5" s="121" t="str">
        <f>IF(ISBLANK(tbl_task8[[คะแนนเต็ม]:[คะแนนเต็ม]]),"",(tbl_task8[159]/tbl_task8[[คะแนนเต็ม]:[คะแนนเต็ม]])*tbl_task8[[%]:[%]])</f>
        <v/>
      </c>
      <c r="LR5" s="121" t="str">
        <f>IF(ISBLANK(tbl_task8[[คะแนนเต็ม]:[คะแนนเต็ม]]),"",(tbl_task8[160]/tbl_task8[[คะแนนเต็ม]:[คะแนนเต็ม]])*tbl_task8[[%]:[%]])</f>
        <v/>
      </c>
      <c r="LS5" s="121" t="str">
        <f>IF(ISBLANK(tbl_task8[[คะแนนเต็ม]:[คะแนนเต็ม]]),"",(tbl_task8[161]/tbl_task8[[คะแนนเต็ม]:[คะแนนเต็ม]])*tbl_task8[[%]:[%]])</f>
        <v/>
      </c>
      <c r="LT5" s="121" t="str">
        <f>IF(ISBLANK(tbl_task8[[คะแนนเต็ม]:[คะแนนเต็ม]]),"",(tbl_task8[162]/tbl_task8[[คะแนนเต็ม]:[คะแนนเต็ม]])*tbl_task8[[%]:[%]])</f>
        <v/>
      </c>
      <c r="LU5" s="121" t="str">
        <f>IF(ISBLANK(tbl_task8[[คะแนนเต็ม]:[คะแนนเต็ม]]),"",(tbl_task8[163]/tbl_task8[[คะแนนเต็ม]:[คะแนนเต็ม]])*tbl_task8[[%]:[%]])</f>
        <v/>
      </c>
      <c r="LV5" s="121" t="str">
        <f>IF(ISBLANK(tbl_task8[[คะแนนเต็ม]:[คะแนนเต็ม]]),"",(tbl_task8[164]/tbl_task8[[คะแนนเต็ม]:[คะแนนเต็ม]])*tbl_task8[[%]:[%]])</f>
        <v/>
      </c>
      <c r="LW5" s="121" t="str">
        <f>IF(ISBLANK(tbl_task8[[คะแนนเต็ม]:[คะแนนเต็ม]]),"",(tbl_task8[165]/tbl_task8[[คะแนนเต็ม]:[คะแนนเต็ม]])*tbl_task8[[%]:[%]])</f>
        <v/>
      </c>
    </row>
    <row r="6" spans="1:335" ht="24.75" customHeight="1" x14ac:dyDescent="0.25">
      <c r="A6" s="24">
        <v>3</v>
      </c>
      <c r="B6" s="20"/>
      <c r="C6" s="5" t="str">
        <f>IF(ISBLANK(B6),"",VLOOKUP(B6,tbl_PLOs[],2,0))</f>
        <v/>
      </c>
      <c r="D6" s="102"/>
      <c r="E6" s="10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22"/>
      <c r="FO6" s="121" t="str">
        <f>IF(ISBLANK(tbl_task8[[คะแนนเต็ม]:[คะแนนเต็ม]]),"",(tbl_task8[1]/tbl_task8[[คะแนนเต็ม]:[คะแนนเต็ม]])*tbl_task8[[%]:[%]])</f>
        <v/>
      </c>
      <c r="FP6" s="121" t="str">
        <f>IF(ISBLANK(tbl_task8[[คะแนนเต็ม]:[คะแนนเต็ม]]),"",(tbl_task8[2]/tbl_task8[[คะแนนเต็ม]:[คะแนนเต็ม]])*tbl_task8[[%]:[%]])</f>
        <v/>
      </c>
      <c r="FQ6" s="121" t="str">
        <f>IF(ISBLANK(tbl_task8[[คะแนนเต็ม]:[คะแนนเต็ม]]),"",(tbl_task8[3]/tbl_task8[[คะแนนเต็ม]:[คะแนนเต็ม]])*tbl_task8[[%]:[%]])</f>
        <v/>
      </c>
      <c r="FR6" s="121" t="str">
        <f>IF(ISBLANK(tbl_task8[[คะแนนเต็ม]:[คะแนนเต็ม]]),"",(tbl_task8[4]/tbl_task8[[คะแนนเต็ม]:[คะแนนเต็ม]])*tbl_task8[[%]:[%]])</f>
        <v/>
      </c>
      <c r="FS6" s="121" t="str">
        <f>IF(ISBLANK(tbl_task8[[คะแนนเต็ม]:[คะแนนเต็ม]]),"",(tbl_task8[5]/tbl_task8[[คะแนนเต็ม]:[คะแนนเต็ม]])*tbl_task8[[%]:[%]])</f>
        <v/>
      </c>
      <c r="FT6" s="121" t="str">
        <f>IF(ISBLANK(tbl_task8[[คะแนนเต็ม]:[คะแนนเต็ม]]),"",(tbl_task8[6]/tbl_task8[[คะแนนเต็ม]:[คะแนนเต็ม]])*tbl_task8[[%]:[%]])</f>
        <v/>
      </c>
      <c r="FU6" s="121" t="str">
        <f>IF(ISBLANK(tbl_task8[[คะแนนเต็ม]:[คะแนนเต็ม]]),"",(tbl_task8[7]/tbl_task8[[คะแนนเต็ม]:[คะแนนเต็ม]])*tbl_task8[[%]:[%]])</f>
        <v/>
      </c>
      <c r="FV6" s="121" t="str">
        <f>IF(ISBLANK(tbl_task8[[คะแนนเต็ม]:[คะแนนเต็ม]]),"",(tbl_task8[8]/tbl_task8[[คะแนนเต็ม]:[คะแนนเต็ม]])*tbl_task8[[%]:[%]])</f>
        <v/>
      </c>
      <c r="FW6" s="121" t="str">
        <f>IF(ISBLANK(tbl_task8[[คะแนนเต็ม]:[คะแนนเต็ม]]),"",(tbl_task8[9]/tbl_task8[[คะแนนเต็ม]:[คะแนนเต็ม]])*tbl_task8[[%]:[%]])</f>
        <v/>
      </c>
      <c r="FX6" s="121" t="str">
        <f>IF(ISBLANK(tbl_task8[[คะแนนเต็ม]:[คะแนนเต็ม]]),"",(tbl_task8[10]/tbl_task8[[คะแนนเต็ม]:[คะแนนเต็ม]])*tbl_task8[[%]:[%]])</f>
        <v/>
      </c>
      <c r="FY6" s="121" t="str">
        <f>IF(ISBLANK(tbl_task8[[คะแนนเต็ม]:[คะแนนเต็ม]]),"",(tbl_task8[11]/tbl_task8[[คะแนนเต็ม]:[คะแนนเต็ม]])*tbl_task8[[%]:[%]])</f>
        <v/>
      </c>
      <c r="FZ6" s="121" t="str">
        <f>IF(ISBLANK(tbl_task8[[คะแนนเต็ม]:[คะแนนเต็ม]]),"",(tbl_task8[12]/tbl_task8[[คะแนนเต็ม]:[คะแนนเต็ม]])*tbl_task8[[%]:[%]])</f>
        <v/>
      </c>
      <c r="GA6" s="121" t="str">
        <f>IF(ISBLANK(tbl_task8[[คะแนนเต็ม]:[คะแนนเต็ม]]),"",(tbl_task8[13]/tbl_task8[[คะแนนเต็ม]:[คะแนนเต็ม]])*tbl_task8[[%]:[%]])</f>
        <v/>
      </c>
      <c r="GB6" s="121" t="str">
        <f>IF(ISBLANK(tbl_task8[[คะแนนเต็ม]:[คะแนนเต็ม]]),"",(tbl_task8[14]/tbl_task8[[คะแนนเต็ม]:[คะแนนเต็ม]])*tbl_task8[[%]:[%]])</f>
        <v/>
      </c>
      <c r="GC6" s="121" t="str">
        <f>IF(ISBLANK(tbl_task8[[คะแนนเต็ม]:[คะแนนเต็ม]]),"",(tbl_task8[15]/tbl_task8[[คะแนนเต็ม]:[คะแนนเต็ม]])*tbl_task8[[%]:[%]])</f>
        <v/>
      </c>
      <c r="GD6" s="121" t="str">
        <f>IF(ISBLANK(tbl_task8[[คะแนนเต็ม]:[คะแนนเต็ม]]),"",(tbl_task8[16]/tbl_task8[[คะแนนเต็ม]:[คะแนนเต็ม]])*tbl_task8[[%]:[%]])</f>
        <v/>
      </c>
      <c r="GE6" s="121" t="str">
        <f>IF(ISBLANK(tbl_task8[[คะแนนเต็ม]:[คะแนนเต็ม]]),"",(tbl_task8[17]/tbl_task8[[คะแนนเต็ม]:[คะแนนเต็ม]])*tbl_task8[[%]:[%]])</f>
        <v/>
      </c>
      <c r="GF6" s="121" t="str">
        <f>IF(ISBLANK(tbl_task8[[คะแนนเต็ม]:[คะแนนเต็ม]]),"",(tbl_task8[18]/tbl_task8[[คะแนนเต็ม]:[คะแนนเต็ม]])*tbl_task8[[%]:[%]])</f>
        <v/>
      </c>
      <c r="GG6" s="121" t="str">
        <f>IF(ISBLANK(tbl_task8[[คะแนนเต็ม]:[คะแนนเต็ม]]),"",(tbl_task8[19]/tbl_task8[[คะแนนเต็ม]:[คะแนนเต็ม]])*tbl_task8[[%]:[%]])</f>
        <v/>
      </c>
      <c r="GH6" s="121" t="str">
        <f>IF(ISBLANK(tbl_task8[[คะแนนเต็ม]:[คะแนนเต็ม]]),"",(tbl_task8[20]/tbl_task8[[คะแนนเต็ม]:[คะแนนเต็ม]])*tbl_task8[[%]:[%]])</f>
        <v/>
      </c>
      <c r="GI6" s="121" t="str">
        <f>IF(ISBLANK(tbl_task8[[คะแนนเต็ม]:[คะแนนเต็ม]]),"",(tbl_task8[21]/tbl_task8[[คะแนนเต็ม]:[คะแนนเต็ม]])*tbl_task8[[%]:[%]])</f>
        <v/>
      </c>
      <c r="GJ6" s="121" t="str">
        <f>IF(ISBLANK(tbl_task8[[คะแนนเต็ม]:[คะแนนเต็ม]]),"",(tbl_task8[22]/tbl_task8[[คะแนนเต็ม]:[คะแนนเต็ม]])*tbl_task8[[%]:[%]])</f>
        <v/>
      </c>
      <c r="GK6" s="121" t="str">
        <f>IF(ISBLANK(tbl_task8[[คะแนนเต็ม]:[คะแนนเต็ม]]),"",(tbl_task8[23]/tbl_task8[[คะแนนเต็ม]:[คะแนนเต็ม]])*tbl_task8[[%]:[%]])</f>
        <v/>
      </c>
      <c r="GL6" s="121" t="str">
        <f>IF(ISBLANK(tbl_task8[[คะแนนเต็ม]:[คะแนนเต็ม]]),"",(tbl_task8[24]/tbl_task8[[คะแนนเต็ม]:[คะแนนเต็ม]])*tbl_task8[[%]:[%]])</f>
        <v/>
      </c>
      <c r="GM6" s="121" t="str">
        <f>IF(ISBLANK(tbl_task8[[คะแนนเต็ม]:[คะแนนเต็ม]]),"",(tbl_task8[25]/tbl_task8[[คะแนนเต็ม]:[คะแนนเต็ม]])*tbl_task8[[%]:[%]])</f>
        <v/>
      </c>
      <c r="GN6" s="121" t="str">
        <f>IF(ISBLANK(tbl_task8[[คะแนนเต็ม]:[คะแนนเต็ม]]),"",(tbl_task8[26]/tbl_task8[[คะแนนเต็ม]:[คะแนนเต็ม]])*tbl_task8[[%]:[%]])</f>
        <v/>
      </c>
      <c r="GO6" s="121" t="str">
        <f>IF(ISBLANK(tbl_task8[[คะแนนเต็ม]:[คะแนนเต็ม]]),"",(tbl_task8[27]/tbl_task8[[คะแนนเต็ม]:[คะแนนเต็ม]])*tbl_task8[[%]:[%]])</f>
        <v/>
      </c>
      <c r="GP6" s="121" t="str">
        <f>IF(ISBLANK(tbl_task8[[คะแนนเต็ม]:[คะแนนเต็ม]]),"",(tbl_task8[28]/tbl_task8[[คะแนนเต็ม]:[คะแนนเต็ม]])*tbl_task8[[%]:[%]])</f>
        <v/>
      </c>
      <c r="GQ6" s="121" t="str">
        <f>IF(ISBLANK(tbl_task8[[คะแนนเต็ม]:[คะแนนเต็ม]]),"",(tbl_task8[29]/tbl_task8[[คะแนนเต็ม]:[คะแนนเต็ม]])*tbl_task8[[%]:[%]])</f>
        <v/>
      </c>
      <c r="GR6" s="121" t="str">
        <f>IF(ISBLANK(tbl_task8[[คะแนนเต็ม]:[คะแนนเต็ม]]),"",(tbl_task8[30]/tbl_task8[[คะแนนเต็ม]:[คะแนนเต็ม]])*tbl_task8[[%]:[%]])</f>
        <v/>
      </c>
      <c r="GS6" s="121" t="str">
        <f>IF(ISBLANK(tbl_task8[[คะแนนเต็ม]:[คะแนนเต็ม]]),"",(tbl_task8[31]/tbl_task8[[คะแนนเต็ม]:[คะแนนเต็ม]])*tbl_task8[[%]:[%]])</f>
        <v/>
      </c>
      <c r="GT6" s="121" t="str">
        <f>IF(ISBLANK(tbl_task8[[คะแนนเต็ม]:[คะแนนเต็ม]]),"",(tbl_task8[32]/tbl_task8[[คะแนนเต็ม]:[คะแนนเต็ม]])*tbl_task8[[%]:[%]])</f>
        <v/>
      </c>
      <c r="GU6" s="121" t="str">
        <f>IF(ISBLANK(tbl_task8[[คะแนนเต็ม]:[คะแนนเต็ม]]),"",(tbl_task8[33]/tbl_task8[[คะแนนเต็ม]:[คะแนนเต็ม]])*tbl_task8[[%]:[%]])</f>
        <v/>
      </c>
      <c r="GV6" s="121" t="str">
        <f>IF(ISBLANK(tbl_task8[[คะแนนเต็ม]:[คะแนนเต็ม]]),"",(tbl_task8[34]/tbl_task8[[คะแนนเต็ม]:[คะแนนเต็ม]])*tbl_task8[[%]:[%]])</f>
        <v/>
      </c>
      <c r="GW6" s="121" t="str">
        <f>IF(ISBLANK(tbl_task8[[คะแนนเต็ม]:[คะแนนเต็ม]]),"",(tbl_task8[35]/tbl_task8[[คะแนนเต็ม]:[คะแนนเต็ม]])*tbl_task8[[%]:[%]])</f>
        <v/>
      </c>
      <c r="GX6" s="121" t="str">
        <f>IF(ISBLANK(tbl_task8[[คะแนนเต็ม]:[คะแนนเต็ม]]),"",(tbl_task8[36]/tbl_task8[[คะแนนเต็ม]:[คะแนนเต็ม]])*tbl_task8[[%]:[%]])</f>
        <v/>
      </c>
      <c r="GY6" s="121" t="str">
        <f>IF(ISBLANK(tbl_task8[[คะแนนเต็ม]:[คะแนนเต็ม]]),"",(tbl_task8[37]/tbl_task8[[คะแนนเต็ม]:[คะแนนเต็ม]])*tbl_task8[[%]:[%]])</f>
        <v/>
      </c>
      <c r="GZ6" s="121" t="str">
        <f>IF(ISBLANK(tbl_task8[[คะแนนเต็ม]:[คะแนนเต็ม]]),"",(tbl_task8[38]/tbl_task8[[คะแนนเต็ม]:[คะแนนเต็ม]])*tbl_task8[[%]:[%]])</f>
        <v/>
      </c>
      <c r="HA6" s="121" t="str">
        <f>IF(ISBLANK(tbl_task8[[คะแนนเต็ม]:[คะแนนเต็ม]]),"",(tbl_task8[39]/tbl_task8[[คะแนนเต็ม]:[คะแนนเต็ม]])*tbl_task8[[%]:[%]])</f>
        <v/>
      </c>
      <c r="HB6" s="121" t="str">
        <f>IF(ISBLANK(tbl_task8[[คะแนนเต็ม]:[คะแนนเต็ม]]),"",(tbl_task8[40]/tbl_task8[[คะแนนเต็ม]:[คะแนนเต็ม]])*tbl_task8[[%]:[%]])</f>
        <v/>
      </c>
      <c r="HC6" s="121" t="str">
        <f>IF(ISBLANK(tbl_task8[[คะแนนเต็ม]:[คะแนนเต็ม]]),"",(tbl_task8[41]/tbl_task8[[คะแนนเต็ม]:[คะแนนเต็ม]])*tbl_task8[[%]:[%]])</f>
        <v/>
      </c>
      <c r="HD6" s="121" t="str">
        <f>IF(ISBLANK(tbl_task8[[คะแนนเต็ม]:[คะแนนเต็ม]]),"",(tbl_task8[42]/tbl_task8[[คะแนนเต็ม]:[คะแนนเต็ม]])*tbl_task8[[%]:[%]])</f>
        <v/>
      </c>
      <c r="HE6" s="121" t="str">
        <f>IF(ISBLANK(tbl_task8[[คะแนนเต็ม]:[คะแนนเต็ม]]),"",(tbl_task8[43]/tbl_task8[[คะแนนเต็ม]:[คะแนนเต็ม]])*tbl_task8[[%]:[%]])</f>
        <v/>
      </c>
      <c r="HF6" s="121" t="str">
        <f>IF(ISBLANK(tbl_task8[[คะแนนเต็ม]:[คะแนนเต็ม]]),"",(tbl_task8[44]/tbl_task8[[คะแนนเต็ม]:[คะแนนเต็ม]])*tbl_task8[[%]:[%]])</f>
        <v/>
      </c>
      <c r="HG6" s="121" t="str">
        <f>IF(ISBLANK(tbl_task8[[คะแนนเต็ม]:[คะแนนเต็ม]]),"",(tbl_task8[45]/tbl_task8[[คะแนนเต็ม]:[คะแนนเต็ม]])*tbl_task8[[%]:[%]])</f>
        <v/>
      </c>
      <c r="HH6" s="121" t="str">
        <f>IF(ISBLANK(tbl_task8[[คะแนนเต็ม]:[คะแนนเต็ม]]),"",(tbl_task8[46]/tbl_task8[[คะแนนเต็ม]:[คะแนนเต็ม]])*tbl_task8[[%]:[%]])</f>
        <v/>
      </c>
      <c r="HI6" s="121" t="str">
        <f>IF(ISBLANK(tbl_task8[[คะแนนเต็ม]:[คะแนนเต็ม]]),"",(tbl_task8[47]/tbl_task8[[คะแนนเต็ม]:[คะแนนเต็ม]])*tbl_task8[[%]:[%]])</f>
        <v/>
      </c>
      <c r="HJ6" s="121" t="str">
        <f>IF(ISBLANK(tbl_task8[[คะแนนเต็ม]:[คะแนนเต็ม]]),"",(tbl_task8[48]/tbl_task8[[คะแนนเต็ม]:[คะแนนเต็ม]])*tbl_task8[[%]:[%]])</f>
        <v/>
      </c>
      <c r="HK6" s="121" t="str">
        <f>IF(ISBLANK(tbl_task8[[คะแนนเต็ม]:[คะแนนเต็ม]]),"",(tbl_task8[49]/tbl_task8[[คะแนนเต็ม]:[คะแนนเต็ม]])*tbl_task8[[%]:[%]])</f>
        <v/>
      </c>
      <c r="HL6" s="121" t="str">
        <f>IF(ISBLANK(tbl_task8[[คะแนนเต็ม]:[คะแนนเต็ม]]),"",(tbl_task8[50]/tbl_task8[[คะแนนเต็ม]:[คะแนนเต็ม]])*tbl_task8[[%]:[%]])</f>
        <v/>
      </c>
      <c r="HM6" s="121" t="str">
        <f>IF(ISBLANK(tbl_task8[[คะแนนเต็ม]:[คะแนนเต็ม]]),"",(tbl_task8[51]/tbl_task8[[คะแนนเต็ม]:[คะแนนเต็ม]])*tbl_task8[[%]:[%]])</f>
        <v/>
      </c>
      <c r="HN6" s="121" t="str">
        <f>IF(ISBLANK(tbl_task8[[คะแนนเต็ม]:[คะแนนเต็ม]]),"",(tbl_task8[52]/tbl_task8[[คะแนนเต็ม]:[คะแนนเต็ม]])*tbl_task8[[%]:[%]])</f>
        <v/>
      </c>
      <c r="HO6" s="121" t="str">
        <f>IF(ISBLANK(tbl_task8[[คะแนนเต็ม]:[คะแนนเต็ม]]),"",(tbl_task8[53]/tbl_task8[[คะแนนเต็ม]:[คะแนนเต็ม]])*tbl_task8[[%]:[%]])</f>
        <v/>
      </c>
      <c r="HP6" s="121" t="str">
        <f>IF(ISBLANK(tbl_task8[[คะแนนเต็ม]:[คะแนนเต็ม]]),"",(tbl_task8[54]/tbl_task8[[คะแนนเต็ม]:[คะแนนเต็ม]])*tbl_task8[[%]:[%]])</f>
        <v/>
      </c>
      <c r="HQ6" s="121" t="str">
        <f>IF(ISBLANK(tbl_task8[[คะแนนเต็ม]:[คะแนนเต็ม]]),"",(tbl_task8[55]/tbl_task8[[คะแนนเต็ม]:[คะแนนเต็ม]])*tbl_task8[[%]:[%]])</f>
        <v/>
      </c>
      <c r="HR6" s="121" t="str">
        <f>IF(ISBLANK(tbl_task8[[คะแนนเต็ม]:[คะแนนเต็ม]]),"",(tbl_task8[56]/tbl_task8[[คะแนนเต็ม]:[คะแนนเต็ม]])*tbl_task8[[%]:[%]])</f>
        <v/>
      </c>
      <c r="HS6" s="121" t="str">
        <f>IF(ISBLANK(tbl_task8[[คะแนนเต็ม]:[คะแนนเต็ม]]),"",(tbl_task8[57]/tbl_task8[[คะแนนเต็ม]:[คะแนนเต็ม]])*tbl_task8[[%]:[%]])</f>
        <v/>
      </c>
      <c r="HT6" s="121" t="str">
        <f>IF(ISBLANK(tbl_task8[[คะแนนเต็ม]:[คะแนนเต็ม]]),"",(tbl_task8[58]/tbl_task8[[คะแนนเต็ม]:[คะแนนเต็ม]])*tbl_task8[[%]:[%]])</f>
        <v/>
      </c>
      <c r="HU6" s="121" t="str">
        <f>IF(ISBLANK(tbl_task8[[คะแนนเต็ม]:[คะแนนเต็ม]]),"",(tbl_task8[59]/tbl_task8[[คะแนนเต็ม]:[คะแนนเต็ม]])*tbl_task8[[%]:[%]])</f>
        <v/>
      </c>
      <c r="HV6" s="121" t="str">
        <f>IF(ISBLANK(tbl_task8[[คะแนนเต็ม]:[คะแนนเต็ม]]),"",(tbl_task8[60]/tbl_task8[[คะแนนเต็ม]:[คะแนนเต็ม]])*tbl_task8[[%]:[%]])</f>
        <v/>
      </c>
      <c r="HW6" s="121" t="str">
        <f>IF(ISBLANK(tbl_task8[[คะแนนเต็ม]:[คะแนนเต็ม]]),"",(tbl_task8[61]/tbl_task8[[คะแนนเต็ม]:[คะแนนเต็ม]])*tbl_task8[[%]:[%]])</f>
        <v/>
      </c>
      <c r="HX6" s="121" t="str">
        <f>IF(ISBLANK(tbl_task8[[คะแนนเต็ม]:[คะแนนเต็ม]]),"",(tbl_task8[62]/tbl_task8[[คะแนนเต็ม]:[คะแนนเต็ม]])*tbl_task8[[%]:[%]])</f>
        <v/>
      </c>
      <c r="HY6" s="121" t="str">
        <f>IF(ISBLANK(tbl_task8[[คะแนนเต็ม]:[คะแนนเต็ม]]),"",(tbl_task8[63]/tbl_task8[[คะแนนเต็ม]:[คะแนนเต็ม]])*tbl_task8[[%]:[%]])</f>
        <v/>
      </c>
      <c r="HZ6" s="121" t="str">
        <f>IF(ISBLANK(tbl_task8[[คะแนนเต็ม]:[คะแนนเต็ม]]),"",(tbl_task8[64]/tbl_task8[[คะแนนเต็ม]:[คะแนนเต็ม]])*tbl_task8[[%]:[%]])</f>
        <v/>
      </c>
      <c r="IA6" s="121" t="str">
        <f>IF(ISBLANK(tbl_task8[[คะแนนเต็ม]:[คะแนนเต็ม]]),"",(tbl_task8[65]/tbl_task8[[คะแนนเต็ม]:[คะแนนเต็ม]])*tbl_task8[[%]:[%]])</f>
        <v/>
      </c>
      <c r="IB6" s="121" t="str">
        <f>IF(ISBLANK(tbl_task8[[คะแนนเต็ม]:[คะแนนเต็ม]]),"",(tbl_task8[66]/tbl_task8[[คะแนนเต็ม]:[คะแนนเต็ม]])*tbl_task8[[%]:[%]])</f>
        <v/>
      </c>
      <c r="IC6" s="121" t="str">
        <f>IF(ISBLANK(tbl_task8[[คะแนนเต็ม]:[คะแนนเต็ม]]),"",(tbl_task8[67]/tbl_task8[[คะแนนเต็ม]:[คะแนนเต็ม]])*tbl_task8[[%]:[%]])</f>
        <v/>
      </c>
      <c r="ID6" s="121" t="str">
        <f>IF(ISBLANK(tbl_task8[[คะแนนเต็ม]:[คะแนนเต็ม]]),"",(tbl_task8[68]/tbl_task8[[คะแนนเต็ม]:[คะแนนเต็ม]])*tbl_task8[[%]:[%]])</f>
        <v/>
      </c>
      <c r="IE6" s="121" t="str">
        <f>IF(ISBLANK(tbl_task8[[คะแนนเต็ม]:[คะแนนเต็ม]]),"",(tbl_task8[69]/tbl_task8[[คะแนนเต็ม]:[คะแนนเต็ม]])*tbl_task8[[%]:[%]])</f>
        <v/>
      </c>
      <c r="IF6" s="121" t="str">
        <f>IF(ISBLANK(tbl_task8[[คะแนนเต็ม]:[คะแนนเต็ม]]),"",(tbl_task8[70]/tbl_task8[[คะแนนเต็ม]:[คะแนนเต็ม]])*tbl_task8[[%]:[%]])</f>
        <v/>
      </c>
      <c r="IG6" s="121" t="str">
        <f>IF(ISBLANK(tbl_task8[[คะแนนเต็ม]:[คะแนนเต็ม]]),"",(tbl_task8[71]/tbl_task8[[คะแนนเต็ม]:[คะแนนเต็ม]])*tbl_task8[[%]:[%]])</f>
        <v/>
      </c>
      <c r="IH6" s="121" t="str">
        <f>IF(ISBLANK(tbl_task8[[คะแนนเต็ม]:[คะแนนเต็ม]]),"",(tbl_task8[72]/tbl_task8[[คะแนนเต็ม]:[คะแนนเต็ม]])*tbl_task8[[%]:[%]])</f>
        <v/>
      </c>
      <c r="II6" s="121" t="str">
        <f>IF(ISBLANK(tbl_task8[[คะแนนเต็ม]:[คะแนนเต็ม]]),"",(tbl_task8[73]/tbl_task8[[คะแนนเต็ม]:[คะแนนเต็ม]])*tbl_task8[[%]:[%]])</f>
        <v/>
      </c>
      <c r="IJ6" s="121" t="str">
        <f>IF(ISBLANK(tbl_task8[[คะแนนเต็ม]:[คะแนนเต็ม]]),"",(tbl_task8[74]/tbl_task8[[คะแนนเต็ม]:[คะแนนเต็ม]])*tbl_task8[[%]:[%]])</f>
        <v/>
      </c>
      <c r="IK6" s="121" t="str">
        <f>IF(ISBLANK(tbl_task8[[คะแนนเต็ม]:[คะแนนเต็ม]]),"",(tbl_task8[75]/tbl_task8[[คะแนนเต็ม]:[คะแนนเต็ม]])*tbl_task8[[%]:[%]])</f>
        <v/>
      </c>
      <c r="IL6" s="121" t="str">
        <f>IF(ISBLANK(tbl_task8[[คะแนนเต็ม]:[คะแนนเต็ม]]),"",(tbl_task8[76]/tbl_task8[[คะแนนเต็ม]:[คะแนนเต็ม]])*tbl_task8[[%]:[%]])</f>
        <v/>
      </c>
      <c r="IM6" s="121" t="str">
        <f>IF(ISBLANK(tbl_task8[[คะแนนเต็ม]:[คะแนนเต็ม]]),"",(tbl_task8[77]/tbl_task8[[คะแนนเต็ม]:[คะแนนเต็ม]])*tbl_task8[[%]:[%]])</f>
        <v/>
      </c>
      <c r="IN6" s="121" t="str">
        <f>IF(ISBLANK(tbl_task8[[คะแนนเต็ม]:[คะแนนเต็ม]]),"",(tbl_task8[78]/tbl_task8[[คะแนนเต็ม]:[คะแนนเต็ม]])*tbl_task8[[%]:[%]])</f>
        <v/>
      </c>
      <c r="IO6" s="121" t="str">
        <f>IF(ISBLANK(tbl_task8[[คะแนนเต็ม]:[คะแนนเต็ม]]),"",(tbl_task8[79]/tbl_task8[[คะแนนเต็ม]:[คะแนนเต็ม]])*tbl_task8[[%]:[%]])</f>
        <v/>
      </c>
      <c r="IP6" s="121" t="str">
        <f>IF(ISBLANK(tbl_task8[[คะแนนเต็ม]:[คะแนนเต็ม]]),"",(tbl_task8[80]/tbl_task8[[คะแนนเต็ม]:[คะแนนเต็ม]])*tbl_task8[[%]:[%]])</f>
        <v/>
      </c>
      <c r="IQ6" s="121" t="str">
        <f>IF(ISBLANK(tbl_task8[[คะแนนเต็ม]:[คะแนนเต็ม]]),"",(tbl_task8[81]/tbl_task8[[คะแนนเต็ม]:[คะแนนเต็ม]])*tbl_task8[[%]:[%]])</f>
        <v/>
      </c>
      <c r="IR6" s="121" t="str">
        <f>IF(ISBLANK(tbl_task8[[คะแนนเต็ม]:[คะแนนเต็ม]]),"",(tbl_task8[82]/tbl_task8[[คะแนนเต็ม]:[คะแนนเต็ม]])*tbl_task8[[%]:[%]])</f>
        <v/>
      </c>
      <c r="IS6" s="121" t="str">
        <f>IF(ISBLANK(tbl_task8[[คะแนนเต็ม]:[คะแนนเต็ม]]),"",(tbl_task8[83]/tbl_task8[[คะแนนเต็ม]:[คะแนนเต็ม]])*tbl_task8[[%]:[%]])</f>
        <v/>
      </c>
      <c r="IT6" s="121" t="str">
        <f>IF(ISBLANK(tbl_task8[[คะแนนเต็ม]:[คะแนนเต็ม]]),"",(tbl_task8[84]/tbl_task8[[คะแนนเต็ม]:[คะแนนเต็ม]])*tbl_task8[[%]:[%]])</f>
        <v/>
      </c>
      <c r="IU6" s="121" t="str">
        <f>IF(ISBLANK(tbl_task8[[คะแนนเต็ม]:[คะแนนเต็ม]]),"",(tbl_task8[85]/tbl_task8[[คะแนนเต็ม]:[คะแนนเต็ม]])*tbl_task8[[%]:[%]])</f>
        <v/>
      </c>
      <c r="IV6" s="121" t="str">
        <f>IF(ISBLANK(tbl_task8[[คะแนนเต็ม]:[คะแนนเต็ม]]),"",(tbl_task8[86]/tbl_task8[[คะแนนเต็ม]:[คะแนนเต็ม]])*tbl_task8[[%]:[%]])</f>
        <v/>
      </c>
      <c r="IW6" s="121" t="str">
        <f>IF(ISBLANK(tbl_task8[[คะแนนเต็ม]:[คะแนนเต็ม]]),"",(tbl_task8[87]/tbl_task8[[คะแนนเต็ม]:[คะแนนเต็ม]])*tbl_task8[[%]:[%]])</f>
        <v/>
      </c>
      <c r="IX6" s="121" t="str">
        <f>IF(ISBLANK(tbl_task8[[คะแนนเต็ม]:[คะแนนเต็ม]]),"",(tbl_task8[88]/tbl_task8[[คะแนนเต็ม]:[คะแนนเต็ม]])*tbl_task8[[%]:[%]])</f>
        <v/>
      </c>
      <c r="IY6" s="121" t="str">
        <f>IF(ISBLANK(tbl_task8[[คะแนนเต็ม]:[คะแนนเต็ม]]),"",(tbl_task8[89]/tbl_task8[[คะแนนเต็ม]:[คะแนนเต็ม]])*tbl_task8[[%]:[%]])</f>
        <v/>
      </c>
      <c r="IZ6" s="121" t="str">
        <f>IF(ISBLANK(tbl_task8[[คะแนนเต็ม]:[คะแนนเต็ม]]),"",(tbl_task8[90]/tbl_task8[[คะแนนเต็ม]:[คะแนนเต็ม]])*tbl_task8[[%]:[%]])</f>
        <v/>
      </c>
      <c r="JA6" s="121" t="str">
        <f>IF(ISBLANK(tbl_task8[[คะแนนเต็ม]:[คะแนนเต็ม]]),"",(tbl_task8[91]/tbl_task8[[คะแนนเต็ม]:[คะแนนเต็ม]])*tbl_task8[[%]:[%]])</f>
        <v/>
      </c>
      <c r="JB6" s="121" t="str">
        <f>IF(ISBLANK(tbl_task8[[คะแนนเต็ม]:[คะแนนเต็ม]]),"",(tbl_task8[92]/tbl_task8[[คะแนนเต็ม]:[คะแนนเต็ม]])*tbl_task8[[%]:[%]])</f>
        <v/>
      </c>
      <c r="JC6" s="121" t="str">
        <f>IF(ISBLANK(tbl_task8[[คะแนนเต็ม]:[คะแนนเต็ม]]),"",(tbl_task8[93]/tbl_task8[[คะแนนเต็ม]:[คะแนนเต็ม]])*tbl_task8[[%]:[%]])</f>
        <v/>
      </c>
      <c r="JD6" s="121" t="str">
        <f>IF(ISBLANK(tbl_task8[[คะแนนเต็ม]:[คะแนนเต็ม]]),"",(tbl_task8[94]/tbl_task8[[คะแนนเต็ม]:[คะแนนเต็ม]])*tbl_task8[[%]:[%]])</f>
        <v/>
      </c>
      <c r="JE6" s="121" t="str">
        <f>IF(ISBLANK(tbl_task8[[คะแนนเต็ม]:[คะแนนเต็ม]]),"",(tbl_task8[95]/tbl_task8[[คะแนนเต็ม]:[คะแนนเต็ม]])*tbl_task8[[%]:[%]])</f>
        <v/>
      </c>
      <c r="JF6" s="121" t="str">
        <f>IF(ISBLANK(tbl_task8[[คะแนนเต็ม]:[คะแนนเต็ม]]),"",(tbl_task8[96]/tbl_task8[[คะแนนเต็ม]:[คะแนนเต็ม]])*tbl_task8[[%]:[%]])</f>
        <v/>
      </c>
      <c r="JG6" s="121" t="str">
        <f>IF(ISBLANK(tbl_task8[[คะแนนเต็ม]:[คะแนนเต็ม]]),"",(tbl_task8[97]/tbl_task8[[คะแนนเต็ม]:[คะแนนเต็ม]])*tbl_task8[[%]:[%]])</f>
        <v/>
      </c>
      <c r="JH6" s="121" t="str">
        <f>IF(ISBLANK(tbl_task8[[คะแนนเต็ม]:[คะแนนเต็ม]]),"",(tbl_task8[98]/tbl_task8[[คะแนนเต็ม]:[คะแนนเต็ม]])*tbl_task8[[%]:[%]])</f>
        <v/>
      </c>
      <c r="JI6" s="121" t="str">
        <f>IF(ISBLANK(tbl_task8[[คะแนนเต็ม]:[คะแนนเต็ม]]),"",(tbl_task8[99]/tbl_task8[[คะแนนเต็ม]:[คะแนนเต็ม]])*tbl_task8[[%]:[%]])</f>
        <v/>
      </c>
      <c r="JJ6" s="121" t="str">
        <f>IF(ISBLANK(tbl_task8[[คะแนนเต็ม]:[คะแนนเต็ม]]),"",(tbl_task8[100]/tbl_task8[[คะแนนเต็ม]:[คะแนนเต็ม]])*tbl_task8[[%]:[%]])</f>
        <v/>
      </c>
      <c r="JK6" s="121" t="str">
        <f>IF(ISBLANK(tbl_task8[[คะแนนเต็ม]:[คะแนนเต็ม]]),"",(tbl_task8[101]/tbl_task8[[คะแนนเต็ม]:[คะแนนเต็ม]])*tbl_task8[[%]:[%]])</f>
        <v/>
      </c>
      <c r="JL6" s="121" t="str">
        <f>IF(ISBLANK(tbl_task8[[คะแนนเต็ม]:[คะแนนเต็ม]]),"",(tbl_task8[102]/tbl_task8[[คะแนนเต็ม]:[คะแนนเต็ม]])*tbl_task8[[%]:[%]])</f>
        <v/>
      </c>
      <c r="JM6" s="121" t="str">
        <f>IF(ISBLANK(tbl_task8[[คะแนนเต็ม]:[คะแนนเต็ม]]),"",(tbl_task8[103]/tbl_task8[[คะแนนเต็ม]:[คะแนนเต็ม]])*tbl_task8[[%]:[%]])</f>
        <v/>
      </c>
      <c r="JN6" s="121" t="str">
        <f>IF(ISBLANK(tbl_task8[[คะแนนเต็ม]:[คะแนนเต็ม]]),"",(tbl_task8[104]/tbl_task8[[คะแนนเต็ม]:[คะแนนเต็ม]])*tbl_task8[[%]:[%]])</f>
        <v/>
      </c>
      <c r="JO6" s="121" t="str">
        <f>IF(ISBLANK(tbl_task8[[คะแนนเต็ม]:[คะแนนเต็ม]]),"",(tbl_task8[105]/tbl_task8[[คะแนนเต็ม]:[คะแนนเต็ม]])*tbl_task8[[%]:[%]])</f>
        <v/>
      </c>
      <c r="JP6" s="121" t="str">
        <f>IF(ISBLANK(tbl_task8[[คะแนนเต็ม]:[คะแนนเต็ม]]),"",(tbl_task8[106]/tbl_task8[[คะแนนเต็ม]:[คะแนนเต็ม]])*tbl_task8[[%]:[%]])</f>
        <v/>
      </c>
      <c r="JQ6" s="121" t="str">
        <f>IF(ISBLANK(tbl_task8[[คะแนนเต็ม]:[คะแนนเต็ม]]),"",(tbl_task8[107]/tbl_task8[[คะแนนเต็ม]:[คะแนนเต็ม]])*tbl_task8[[%]:[%]])</f>
        <v/>
      </c>
      <c r="JR6" s="121" t="str">
        <f>IF(ISBLANK(tbl_task8[[คะแนนเต็ม]:[คะแนนเต็ม]]),"",(tbl_task8[108]/tbl_task8[[คะแนนเต็ม]:[คะแนนเต็ม]])*tbl_task8[[%]:[%]])</f>
        <v/>
      </c>
      <c r="JS6" s="121" t="str">
        <f>IF(ISBLANK(tbl_task8[[คะแนนเต็ม]:[คะแนนเต็ม]]),"",(tbl_task8[109]/tbl_task8[[คะแนนเต็ม]:[คะแนนเต็ม]])*tbl_task8[[%]:[%]])</f>
        <v/>
      </c>
      <c r="JT6" s="121" t="str">
        <f>IF(ISBLANK(tbl_task8[[คะแนนเต็ม]:[คะแนนเต็ม]]),"",(tbl_task8[110]/tbl_task8[[คะแนนเต็ม]:[คะแนนเต็ม]])*tbl_task8[[%]:[%]])</f>
        <v/>
      </c>
      <c r="JU6" s="121" t="str">
        <f>IF(ISBLANK(tbl_task8[[คะแนนเต็ม]:[คะแนนเต็ม]]),"",(tbl_task8[111]/tbl_task8[[คะแนนเต็ม]:[คะแนนเต็ม]])*tbl_task8[[%]:[%]])</f>
        <v/>
      </c>
      <c r="JV6" s="121" t="str">
        <f>IF(ISBLANK(tbl_task8[[คะแนนเต็ม]:[คะแนนเต็ม]]),"",(tbl_task8[112]/tbl_task8[[คะแนนเต็ม]:[คะแนนเต็ม]])*tbl_task8[[%]:[%]])</f>
        <v/>
      </c>
      <c r="JW6" s="121" t="str">
        <f>IF(ISBLANK(tbl_task8[[คะแนนเต็ม]:[คะแนนเต็ม]]),"",(tbl_task8[113]/tbl_task8[[คะแนนเต็ม]:[คะแนนเต็ม]])*tbl_task8[[%]:[%]])</f>
        <v/>
      </c>
      <c r="JX6" s="121" t="str">
        <f>IF(ISBLANK(tbl_task8[[คะแนนเต็ม]:[คะแนนเต็ม]]),"",(tbl_task8[114]/tbl_task8[[คะแนนเต็ม]:[คะแนนเต็ม]])*tbl_task8[[%]:[%]])</f>
        <v/>
      </c>
      <c r="JY6" s="121" t="str">
        <f>IF(ISBLANK(tbl_task8[[คะแนนเต็ม]:[คะแนนเต็ม]]),"",(tbl_task8[115]/tbl_task8[[คะแนนเต็ม]:[คะแนนเต็ม]])*tbl_task8[[%]:[%]])</f>
        <v/>
      </c>
      <c r="JZ6" s="121" t="str">
        <f>IF(ISBLANK(tbl_task8[[คะแนนเต็ม]:[คะแนนเต็ม]]),"",(tbl_task8[116]/tbl_task8[[คะแนนเต็ม]:[คะแนนเต็ม]])*tbl_task8[[%]:[%]])</f>
        <v/>
      </c>
      <c r="KA6" s="121" t="str">
        <f>IF(ISBLANK(tbl_task8[[คะแนนเต็ม]:[คะแนนเต็ม]]),"",(tbl_task8[117]/tbl_task8[[คะแนนเต็ม]:[คะแนนเต็ม]])*tbl_task8[[%]:[%]])</f>
        <v/>
      </c>
      <c r="KB6" s="121" t="str">
        <f>IF(ISBLANK(tbl_task8[[คะแนนเต็ม]:[คะแนนเต็ม]]),"",(tbl_task8[118]/tbl_task8[[คะแนนเต็ม]:[คะแนนเต็ม]])*tbl_task8[[%]:[%]])</f>
        <v/>
      </c>
      <c r="KC6" s="121" t="str">
        <f>IF(ISBLANK(tbl_task8[[คะแนนเต็ม]:[คะแนนเต็ม]]),"",(tbl_task8[119]/tbl_task8[[คะแนนเต็ม]:[คะแนนเต็ม]])*tbl_task8[[%]:[%]])</f>
        <v/>
      </c>
      <c r="KD6" s="121" t="str">
        <f>IF(ISBLANK(tbl_task8[[คะแนนเต็ม]:[คะแนนเต็ม]]),"",(tbl_task8[120]/tbl_task8[[คะแนนเต็ม]:[คะแนนเต็ม]])*tbl_task8[[%]:[%]])</f>
        <v/>
      </c>
      <c r="KE6" s="121" t="str">
        <f>IF(ISBLANK(tbl_task8[[คะแนนเต็ม]:[คะแนนเต็ม]]),"",(tbl_task8[121]/tbl_task8[[คะแนนเต็ม]:[คะแนนเต็ม]])*tbl_task8[[%]:[%]])</f>
        <v/>
      </c>
      <c r="KF6" s="121" t="str">
        <f>IF(ISBLANK(tbl_task8[[คะแนนเต็ม]:[คะแนนเต็ม]]),"",(tbl_task8[122]/tbl_task8[[คะแนนเต็ม]:[คะแนนเต็ม]])*tbl_task8[[%]:[%]])</f>
        <v/>
      </c>
      <c r="KG6" s="121" t="str">
        <f>IF(ISBLANK(tbl_task8[[คะแนนเต็ม]:[คะแนนเต็ม]]),"",(tbl_task8[123]/tbl_task8[[คะแนนเต็ม]:[คะแนนเต็ม]])*tbl_task8[[%]:[%]])</f>
        <v/>
      </c>
      <c r="KH6" s="121" t="str">
        <f>IF(ISBLANK(tbl_task8[[คะแนนเต็ม]:[คะแนนเต็ม]]),"",(tbl_task8[124]/tbl_task8[[คะแนนเต็ม]:[คะแนนเต็ม]])*tbl_task8[[%]:[%]])</f>
        <v/>
      </c>
      <c r="KI6" s="121" t="str">
        <f>IF(ISBLANK(tbl_task8[[คะแนนเต็ม]:[คะแนนเต็ม]]),"",(tbl_task8[125]/tbl_task8[[คะแนนเต็ม]:[คะแนนเต็ม]])*tbl_task8[[%]:[%]])</f>
        <v/>
      </c>
      <c r="KJ6" s="121" t="str">
        <f>IF(ISBLANK(tbl_task8[[คะแนนเต็ม]:[คะแนนเต็ม]]),"",(tbl_task8[126]/tbl_task8[[คะแนนเต็ม]:[คะแนนเต็ม]])*tbl_task8[[%]:[%]])</f>
        <v/>
      </c>
      <c r="KK6" s="121" t="str">
        <f>IF(ISBLANK(tbl_task8[[คะแนนเต็ม]:[คะแนนเต็ม]]),"",(tbl_task8[127]/tbl_task8[[คะแนนเต็ม]:[คะแนนเต็ม]])*tbl_task8[[%]:[%]])</f>
        <v/>
      </c>
      <c r="KL6" s="121" t="str">
        <f>IF(ISBLANK(tbl_task8[[คะแนนเต็ม]:[คะแนนเต็ม]]),"",(tbl_task8[128]/tbl_task8[[คะแนนเต็ม]:[คะแนนเต็ม]])*tbl_task8[[%]:[%]])</f>
        <v/>
      </c>
      <c r="KM6" s="121" t="str">
        <f>IF(ISBLANK(tbl_task8[[คะแนนเต็ม]:[คะแนนเต็ม]]),"",(tbl_task8[129]/tbl_task8[[คะแนนเต็ม]:[คะแนนเต็ม]])*tbl_task8[[%]:[%]])</f>
        <v/>
      </c>
      <c r="KN6" s="121" t="str">
        <f>IF(ISBLANK(tbl_task8[[คะแนนเต็ม]:[คะแนนเต็ม]]),"",(tbl_task8[130]/tbl_task8[[คะแนนเต็ม]:[คะแนนเต็ม]])*tbl_task8[[%]:[%]])</f>
        <v/>
      </c>
      <c r="KO6" s="121" t="str">
        <f>IF(ISBLANK(tbl_task8[[คะแนนเต็ม]:[คะแนนเต็ม]]),"",(tbl_task8[131]/tbl_task8[[คะแนนเต็ม]:[คะแนนเต็ม]])*tbl_task8[[%]:[%]])</f>
        <v/>
      </c>
      <c r="KP6" s="121" t="str">
        <f>IF(ISBLANK(tbl_task8[[คะแนนเต็ม]:[คะแนนเต็ม]]),"",(tbl_task8[132]/tbl_task8[[คะแนนเต็ม]:[คะแนนเต็ม]])*tbl_task8[[%]:[%]])</f>
        <v/>
      </c>
      <c r="KQ6" s="121" t="str">
        <f>IF(ISBLANK(tbl_task8[[คะแนนเต็ม]:[คะแนนเต็ม]]),"",(tbl_task8[133]/tbl_task8[[คะแนนเต็ม]:[คะแนนเต็ม]])*tbl_task8[[%]:[%]])</f>
        <v/>
      </c>
      <c r="KR6" s="121" t="str">
        <f>IF(ISBLANK(tbl_task8[[คะแนนเต็ม]:[คะแนนเต็ม]]),"",(tbl_task8[134]/tbl_task8[[คะแนนเต็ม]:[คะแนนเต็ม]])*tbl_task8[[%]:[%]])</f>
        <v/>
      </c>
      <c r="KS6" s="121" t="str">
        <f>IF(ISBLANK(tbl_task8[[คะแนนเต็ม]:[คะแนนเต็ม]]),"",(tbl_task8[135]/tbl_task8[[คะแนนเต็ม]:[คะแนนเต็ม]])*tbl_task8[[%]:[%]])</f>
        <v/>
      </c>
      <c r="KT6" s="121" t="str">
        <f>IF(ISBLANK(tbl_task8[[คะแนนเต็ม]:[คะแนนเต็ม]]),"",(tbl_task8[136]/tbl_task8[[คะแนนเต็ม]:[คะแนนเต็ม]])*tbl_task8[[%]:[%]])</f>
        <v/>
      </c>
      <c r="KU6" s="121" t="str">
        <f>IF(ISBLANK(tbl_task8[[คะแนนเต็ม]:[คะแนนเต็ม]]),"",(tbl_task8[137]/tbl_task8[[คะแนนเต็ม]:[คะแนนเต็ม]])*tbl_task8[[%]:[%]])</f>
        <v/>
      </c>
      <c r="KV6" s="121" t="str">
        <f>IF(ISBLANK(tbl_task8[[คะแนนเต็ม]:[คะแนนเต็ม]]),"",(tbl_task8[138]/tbl_task8[[คะแนนเต็ม]:[คะแนนเต็ม]])*tbl_task8[[%]:[%]])</f>
        <v/>
      </c>
      <c r="KW6" s="121" t="str">
        <f>IF(ISBLANK(tbl_task8[[คะแนนเต็ม]:[คะแนนเต็ม]]),"",(tbl_task8[139]/tbl_task8[[คะแนนเต็ม]:[คะแนนเต็ม]])*tbl_task8[[%]:[%]])</f>
        <v/>
      </c>
      <c r="KX6" s="121" t="str">
        <f>IF(ISBLANK(tbl_task8[[คะแนนเต็ม]:[คะแนนเต็ม]]),"",(tbl_task8[140]/tbl_task8[[คะแนนเต็ม]:[คะแนนเต็ม]])*tbl_task8[[%]:[%]])</f>
        <v/>
      </c>
      <c r="KY6" s="121" t="str">
        <f>IF(ISBLANK(tbl_task8[[คะแนนเต็ม]:[คะแนนเต็ม]]),"",(tbl_task8[141]/tbl_task8[[คะแนนเต็ม]:[คะแนนเต็ม]])*tbl_task8[[%]:[%]])</f>
        <v/>
      </c>
      <c r="KZ6" s="121" t="str">
        <f>IF(ISBLANK(tbl_task8[[คะแนนเต็ม]:[คะแนนเต็ม]]),"",(tbl_task8[142]/tbl_task8[[คะแนนเต็ม]:[คะแนนเต็ม]])*tbl_task8[[%]:[%]])</f>
        <v/>
      </c>
      <c r="LA6" s="121" t="str">
        <f>IF(ISBLANK(tbl_task8[[คะแนนเต็ม]:[คะแนนเต็ม]]),"",(tbl_task8[143]/tbl_task8[[คะแนนเต็ม]:[คะแนนเต็ม]])*tbl_task8[[%]:[%]])</f>
        <v/>
      </c>
      <c r="LB6" s="121" t="str">
        <f>IF(ISBLANK(tbl_task8[[คะแนนเต็ม]:[คะแนนเต็ม]]),"",(tbl_task8[144]/tbl_task8[[คะแนนเต็ม]:[คะแนนเต็ม]])*tbl_task8[[%]:[%]])</f>
        <v/>
      </c>
      <c r="LC6" s="121" t="str">
        <f>IF(ISBLANK(tbl_task8[[คะแนนเต็ม]:[คะแนนเต็ม]]),"",(tbl_task8[145]/tbl_task8[[คะแนนเต็ม]:[คะแนนเต็ม]])*tbl_task8[[%]:[%]])</f>
        <v/>
      </c>
      <c r="LD6" s="121" t="str">
        <f>IF(ISBLANK(tbl_task8[[คะแนนเต็ม]:[คะแนนเต็ม]]),"",(tbl_task8[146]/tbl_task8[[คะแนนเต็ม]:[คะแนนเต็ม]])*tbl_task8[[%]:[%]])</f>
        <v/>
      </c>
      <c r="LE6" s="121" t="str">
        <f>IF(ISBLANK(tbl_task8[[คะแนนเต็ม]:[คะแนนเต็ม]]),"",(tbl_task8[147]/tbl_task8[[คะแนนเต็ม]:[คะแนนเต็ม]])*tbl_task8[[%]:[%]])</f>
        <v/>
      </c>
      <c r="LF6" s="121" t="str">
        <f>IF(ISBLANK(tbl_task8[[คะแนนเต็ม]:[คะแนนเต็ม]]),"",(tbl_task8[148]/tbl_task8[[คะแนนเต็ม]:[คะแนนเต็ม]])*tbl_task8[[%]:[%]])</f>
        <v/>
      </c>
      <c r="LG6" s="121" t="str">
        <f>IF(ISBLANK(tbl_task8[[คะแนนเต็ม]:[คะแนนเต็ม]]),"",(tbl_task8[149]/tbl_task8[[คะแนนเต็ม]:[คะแนนเต็ม]])*tbl_task8[[%]:[%]])</f>
        <v/>
      </c>
      <c r="LH6" s="121" t="str">
        <f>IF(ISBLANK(tbl_task8[[คะแนนเต็ม]:[คะแนนเต็ม]]),"",(tbl_task8[150]/tbl_task8[[คะแนนเต็ม]:[คะแนนเต็ม]])*tbl_task8[[%]:[%]])</f>
        <v/>
      </c>
      <c r="LI6" s="121" t="str">
        <f>IF(ISBLANK(tbl_task8[[คะแนนเต็ม]:[คะแนนเต็ม]]),"",(tbl_task8[151]/tbl_task8[[คะแนนเต็ม]:[คะแนนเต็ม]])*tbl_task8[[%]:[%]])</f>
        <v/>
      </c>
      <c r="LJ6" s="121" t="str">
        <f>IF(ISBLANK(tbl_task8[[คะแนนเต็ม]:[คะแนนเต็ม]]),"",(tbl_task8[152]/tbl_task8[[คะแนนเต็ม]:[คะแนนเต็ม]])*tbl_task8[[%]:[%]])</f>
        <v/>
      </c>
      <c r="LK6" s="121" t="str">
        <f>IF(ISBLANK(tbl_task8[[คะแนนเต็ม]:[คะแนนเต็ม]]),"",(tbl_task8[153]/tbl_task8[[คะแนนเต็ม]:[คะแนนเต็ม]])*tbl_task8[[%]:[%]])</f>
        <v/>
      </c>
      <c r="LL6" s="121" t="str">
        <f>IF(ISBLANK(tbl_task8[[คะแนนเต็ม]:[คะแนนเต็ม]]),"",(tbl_task8[154]/tbl_task8[[คะแนนเต็ม]:[คะแนนเต็ม]])*tbl_task8[[%]:[%]])</f>
        <v/>
      </c>
      <c r="LM6" s="121" t="str">
        <f>IF(ISBLANK(tbl_task8[[คะแนนเต็ม]:[คะแนนเต็ม]]),"",(tbl_task8[155]/tbl_task8[[คะแนนเต็ม]:[คะแนนเต็ม]])*tbl_task8[[%]:[%]])</f>
        <v/>
      </c>
      <c r="LN6" s="121" t="str">
        <f>IF(ISBLANK(tbl_task8[[คะแนนเต็ม]:[คะแนนเต็ม]]),"",(tbl_task8[156]/tbl_task8[[คะแนนเต็ม]:[คะแนนเต็ม]])*tbl_task8[[%]:[%]])</f>
        <v/>
      </c>
      <c r="LO6" s="121" t="str">
        <f>IF(ISBLANK(tbl_task8[[คะแนนเต็ม]:[คะแนนเต็ม]]),"",(tbl_task8[157]/tbl_task8[[คะแนนเต็ม]:[คะแนนเต็ม]])*tbl_task8[[%]:[%]])</f>
        <v/>
      </c>
      <c r="LP6" s="121" t="str">
        <f>IF(ISBLANK(tbl_task8[[คะแนนเต็ม]:[คะแนนเต็ม]]),"",(tbl_task8[158]/tbl_task8[[คะแนนเต็ม]:[คะแนนเต็ม]])*tbl_task8[[%]:[%]])</f>
        <v/>
      </c>
      <c r="LQ6" s="121" t="str">
        <f>IF(ISBLANK(tbl_task8[[คะแนนเต็ม]:[คะแนนเต็ม]]),"",(tbl_task8[159]/tbl_task8[[คะแนนเต็ม]:[คะแนนเต็ม]])*tbl_task8[[%]:[%]])</f>
        <v/>
      </c>
      <c r="LR6" s="121" t="str">
        <f>IF(ISBLANK(tbl_task8[[คะแนนเต็ม]:[คะแนนเต็ม]]),"",(tbl_task8[160]/tbl_task8[[คะแนนเต็ม]:[คะแนนเต็ม]])*tbl_task8[[%]:[%]])</f>
        <v/>
      </c>
      <c r="LS6" s="121" t="str">
        <f>IF(ISBLANK(tbl_task8[[คะแนนเต็ม]:[คะแนนเต็ม]]),"",(tbl_task8[161]/tbl_task8[[คะแนนเต็ม]:[คะแนนเต็ม]])*tbl_task8[[%]:[%]])</f>
        <v/>
      </c>
      <c r="LT6" s="121" t="str">
        <f>IF(ISBLANK(tbl_task8[[คะแนนเต็ม]:[คะแนนเต็ม]]),"",(tbl_task8[162]/tbl_task8[[คะแนนเต็ม]:[คะแนนเต็ม]])*tbl_task8[[%]:[%]])</f>
        <v/>
      </c>
      <c r="LU6" s="121" t="str">
        <f>IF(ISBLANK(tbl_task8[[คะแนนเต็ม]:[คะแนนเต็ม]]),"",(tbl_task8[163]/tbl_task8[[คะแนนเต็ม]:[คะแนนเต็ม]])*tbl_task8[[%]:[%]])</f>
        <v/>
      </c>
      <c r="LV6" s="121" t="str">
        <f>IF(ISBLANK(tbl_task8[[คะแนนเต็ม]:[คะแนนเต็ม]]),"",(tbl_task8[164]/tbl_task8[[คะแนนเต็ม]:[คะแนนเต็ม]])*tbl_task8[[%]:[%]])</f>
        <v/>
      </c>
      <c r="LW6" s="121" t="str">
        <f>IF(ISBLANK(tbl_task8[[คะแนนเต็ม]:[คะแนนเต็ม]]),"",(tbl_task8[165]/tbl_task8[[คะแนนเต็ม]:[คะแนนเต็ม]])*tbl_task8[[%]:[%]])</f>
        <v/>
      </c>
    </row>
    <row r="7" spans="1:335" ht="22.5" customHeight="1" x14ac:dyDescent="0.25">
      <c r="A7" s="24">
        <v>4</v>
      </c>
      <c r="B7" s="33"/>
      <c r="C7" s="5" t="str">
        <f>IF(ISBLANK(B7),"",VLOOKUP(B7,tbl_PLOs[],2,0))</f>
        <v/>
      </c>
      <c r="D7" s="102"/>
      <c r="E7" s="10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22"/>
      <c r="FO7" s="121" t="str">
        <f>IF(ISBLANK(tbl_task8[[คะแนนเต็ม]:[คะแนนเต็ม]]),"",(tbl_task8[1]/tbl_task8[[คะแนนเต็ม]:[คะแนนเต็ม]])*tbl_task8[[%]:[%]])</f>
        <v/>
      </c>
      <c r="FP7" s="121" t="str">
        <f>IF(ISBLANK(tbl_task8[[คะแนนเต็ม]:[คะแนนเต็ม]]),"",(tbl_task8[2]/tbl_task8[[คะแนนเต็ม]:[คะแนนเต็ม]])*tbl_task8[[%]:[%]])</f>
        <v/>
      </c>
      <c r="FQ7" s="121" t="str">
        <f>IF(ISBLANK(tbl_task8[[คะแนนเต็ม]:[คะแนนเต็ม]]),"",(tbl_task8[3]/tbl_task8[[คะแนนเต็ม]:[คะแนนเต็ม]])*tbl_task8[[%]:[%]])</f>
        <v/>
      </c>
      <c r="FR7" s="121" t="str">
        <f>IF(ISBLANK(tbl_task8[[คะแนนเต็ม]:[คะแนนเต็ม]]),"",(tbl_task8[4]/tbl_task8[[คะแนนเต็ม]:[คะแนนเต็ม]])*tbl_task8[[%]:[%]])</f>
        <v/>
      </c>
      <c r="FS7" s="121" t="str">
        <f>IF(ISBLANK(tbl_task8[[คะแนนเต็ม]:[คะแนนเต็ม]]),"",(tbl_task8[5]/tbl_task8[[คะแนนเต็ม]:[คะแนนเต็ม]])*tbl_task8[[%]:[%]])</f>
        <v/>
      </c>
      <c r="FT7" s="121" t="str">
        <f>IF(ISBLANK(tbl_task8[[คะแนนเต็ม]:[คะแนนเต็ม]]),"",(tbl_task8[6]/tbl_task8[[คะแนนเต็ม]:[คะแนนเต็ม]])*tbl_task8[[%]:[%]])</f>
        <v/>
      </c>
      <c r="FU7" s="121" t="str">
        <f>IF(ISBLANK(tbl_task8[[คะแนนเต็ม]:[คะแนนเต็ม]]),"",(tbl_task8[7]/tbl_task8[[คะแนนเต็ม]:[คะแนนเต็ม]])*tbl_task8[[%]:[%]])</f>
        <v/>
      </c>
      <c r="FV7" s="121" t="str">
        <f>IF(ISBLANK(tbl_task8[[คะแนนเต็ม]:[คะแนนเต็ม]]),"",(tbl_task8[8]/tbl_task8[[คะแนนเต็ม]:[คะแนนเต็ม]])*tbl_task8[[%]:[%]])</f>
        <v/>
      </c>
      <c r="FW7" s="121" t="str">
        <f>IF(ISBLANK(tbl_task8[[คะแนนเต็ม]:[คะแนนเต็ม]]),"",(tbl_task8[9]/tbl_task8[[คะแนนเต็ม]:[คะแนนเต็ม]])*tbl_task8[[%]:[%]])</f>
        <v/>
      </c>
      <c r="FX7" s="121" t="str">
        <f>IF(ISBLANK(tbl_task8[[คะแนนเต็ม]:[คะแนนเต็ม]]),"",(tbl_task8[10]/tbl_task8[[คะแนนเต็ม]:[คะแนนเต็ม]])*tbl_task8[[%]:[%]])</f>
        <v/>
      </c>
      <c r="FY7" s="121" t="str">
        <f>IF(ISBLANK(tbl_task8[[คะแนนเต็ม]:[คะแนนเต็ม]]),"",(tbl_task8[11]/tbl_task8[[คะแนนเต็ม]:[คะแนนเต็ม]])*tbl_task8[[%]:[%]])</f>
        <v/>
      </c>
      <c r="FZ7" s="121" t="str">
        <f>IF(ISBLANK(tbl_task8[[คะแนนเต็ม]:[คะแนนเต็ม]]),"",(tbl_task8[12]/tbl_task8[[คะแนนเต็ม]:[คะแนนเต็ม]])*tbl_task8[[%]:[%]])</f>
        <v/>
      </c>
      <c r="GA7" s="121" t="str">
        <f>IF(ISBLANK(tbl_task8[[คะแนนเต็ม]:[คะแนนเต็ม]]),"",(tbl_task8[13]/tbl_task8[[คะแนนเต็ม]:[คะแนนเต็ม]])*tbl_task8[[%]:[%]])</f>
        <v/>
      </c>
      <c r="GB7" s="121" t="str">
        <f>IF(ISBLANK(tbl_task8[[คะแนนเต็ม]:[คะแนนเต็ม]]),"",(tbl_task8[14]/tbl_task8[[คะแนนเต็ม]:[คะแนนเต็ม]])*tbl_task8[[%]:[%]])</f>
        <v/>
      </c>
      <c r="GC7" s="121" t="str">
        <f>IF(ISBLANK(tbl_task8[[คะแนนเต็ม]:[คะแนนเต็ม]]),"",(tbl_task8[15]/tbl_task8[[คะแนนเต็ม]:[คะแนนเต็ม]])*tbl_task8[[%]:[%]])</f>
        <v/>
      </c>
      <c r="GD7" s="121" t="str">
        <f>IF(ISBLANK(tbl_task8[[คะแนนเต็ม]:[คะแนนเต็ม]]),"",(tbl_task8[16]/tbl_task8[[คะแนนเต็ม]:[คะแนนเต็ม]])*tbl_task8[[%]:[%]])</f>
        <v/>
      </c>
      <c r="GE7" s="121" t="str">
        <f>IF(ISBLANK(tbl_task8[[คะแนนเต็ม]:[คะแนนเต็ม]]),"",(tbl_task8[17]/tbl_task8[[คะแนนเต็ม]:[คะแนนเต็ม]])*tbl_task8[[%]:[%]])</f>
        <v/>
      </c>
      <c r="GF7" s="121" t="str">
        <f>IF(ISBLANK(tbl_task8[[คะแนนเต็ม]:[คะแนนเต็ม]]),"",(tbl_task8[18]/tbl_task8[[คะแนนเต็ม]:[คะแนนเต็ม]])*tbl_task8[[%]:[%]])</f>
        <v/>
      </c>
      <c r="GG7" s="121" t="str">
        <f>IF(ISBLANK(tbl_task8[[คะแนนเต็ม]:[คะแนนเต็ม]]),"",(tbl_task8[19]/tbl_task8[[คะแนนเต็ม]:[คะแนนเต็ม]])*tbl_task8[[%]:[%]])</f>
        <v/>
      </c>
      <c r="GH7" s="121" t="str">
        <f>IF(ISBLANK(tbl_task8[[คะแนนเต็ม]:[คะแนนเต็ม]]),"",(tbl_task8[20]/tbl_task8[[คะแนนเต็ม]:[คะแนนเต็ม]])*tbl_task8[[%]:[%]])</f>
        <v/>
      </c>
      <c r="GI7" s="121" t="str">
        <f>IF(ISBLANK(tbl_task8[[คะแนนเต็ม]:[คะแนนเต็ม]]),"",(tbl_task8[21]/tbl_task8[[คะแนนเต็ม]:[คะแนนเต็ม]])*tbl_task8[[%]:[%]])</f>
        <v/>
      </c>
      <c r="GJ7" s="121" t="str">
        <f>IF(ISBLANK(tbl_task8[[คะแนนเต็ม]:[คะแนนเต็ม]]),"",(tbl_task8[22]/tbl_task8[[คะแนนเต็ม]:[คะแนนเต็ม]])*tbl_task8[[%]:[%]])</f>
        <v/>
      </c>
      <c r="GK7" s="121" t="str">
        <f>IF(ISBLANK(tbl_task8[[คะแนนเต็ม]:[คะแนนเต็ม]]),"",(tbl_task8[23]/tbl_task8[[คะแนนเต็ม]:[คะแนนเต็ม]])*tbl_task8[[%]:[%]])</f>
        <v/>
      </c>
      <c r="GL7" s="121" t="str">
        <f>IF(ISBLANK(tbl_task8[[คะแนนเต็ม]:[คะแนนเต็ม]]),"",(tbl_task8[24]/tbl_task8[[คะแนนเต็ม]:[คะแนนเต็ม]])*tbl_task8[[%]:[%]])</f>
        <v/>
      </c>
      <c r="GM7" s="121" t="str">
        <f>IF(ISBLANK(tbl_task8[[คะแนนเต็ม]:[คะแนนเต็ม]]),"",(tbl_task8[25]/tbl_task8[[คะแนนเต็ม]:[คะแนนเต็ม]])*tbl_task8[[%]:[%]])</f>
        <v/>
      </c>
      <c r="GN7" s="121" t="str">
        <f>IF(ISBLANK(tbl_task8[[คะแนนเต็ม]:[คะแนนเต็ม]]),"",(tbl_task8[26]/tbl_task8[[คะแนนเต็ม]:[คะแนนเต็ม]])*tbl_task8[[%]:[%]])</f>
        <v/>
      </c>
      <c r="GO7" s="121" t="str">
        <f>IF(ISBLANK(tbl_task8[[คะแนนเต็ม]:[คะแนนเต็ม]]),"",(tbl_task8[27]/tbl_task8[[คะแนนเต็ม]:[คะแนนเต็ม]])*tbl_task8[[%]:[%]])</f>
        <v/>
      </c>
      <c r="GP7" s="121" t="str">
        <f>IF(ISBLANK(tbl_task8[[คะแนนเต็ม]:[คะแนนเต็ม]]),"",(tbl_task8[28]/tbl_task8[[คะแนนเต็ม]:[คะแนนเต็ม]])*tbl_task8[[%]:[%]])</f>
        <v/>
      </c>
      <c r="GQ7" s="121" t="str">
        <f>IF(ISBLANK(tbl_task8[[คะแนนเต็ม]:[คะแนนเต็ม]]),"",(tbl_task8[29]/tbl_task8[[คะแนนเต็ม]:[คะแนนเต็ม]])*tbl_task8[[%]:[%]])</f>
        <v/>
      </c>
      <c r="GR7" s="121" t="str">
        <f>IF(ISBLANK(tbl_task8[[คะแนนเต็ม]:[คะแนนเต็ม]]),"",(tbl_task8[30]/tbl_task8[[คะแนนเต็ม]:[คะแนนเต็ม]])*tbl_task8[[%]:[%]])</f>
        <v/>
      </c>
      <c r="GS7" s="121" t="str">
        <f>IF(ISBLANK(tbl_task8[[คะแนนเต็ม]:[คะแนนเต็ม]]),"",(tbl_task8[31]/tbl_task8[[คะแนนเต็ม]:[คะแนนเต็ม]])*tbl_task8[[%]:[%]])</f>
        <v/>
      </c>
      <c r="GT7" s="121" t="str">
        <f>IF(ISBLANK(tbl_task8[[คะแนนเต็ม]:[คะแนนเต็ม]]),"",(tbl_task8[32]/tbl_task8[[คะแนนเต็ม]:[คะแนนเต็ม]])*tbl_task8[[%]:[%]])</f>
        <v/>
      </c>
      <c r="GU7" s="121" t="str">
        <f>IF(ISBLANK(tbl_task8[[คะแนนเต็ม]:[คะแนนเต็ม]]),"",(tbl_task8[33]/tbl_task8[[คะแนนเต็ม]:[คะแนนเต็ม]])*tbl_task8[[%]:[%]])</f>
        <v/>
      </c>
      <c r="GV7" s="121" t="str">
        <f>IF(ISBLANK(tbl_task8[[คะแนนเต็ม]:[คะแนนเต็ม]]),"",(tbl_task8[34]/tbl_task8[[คะแนนเต็ม]:[คะแนนเต็ม]])*tbl_task8[[%]:[%]])</f>
        <v/>
      </c>
      <c r="GW7" s="121" t="str">
        <f>IF(ISBLANK(tbl_task8[[คะแนนเต็ม]:[คะแนนเต็ม]]),"",(tbl_task8[35]/tbl_task8[[คะแนนเต็ม]:[คะแนนเต็ม]])*tbl_task8[[%]:[%]])</f>
        <v/>
      </c>
      <c r="GX7" s="121" t="str">
        <f>IF(ISBLANK(tbl_task8[[คะแนนเต็ม]:[คะแนนเต็ม]]),"",(tbl_task8[36]/tbl_task8[[คะแนนเต็ม]:[คะแนนเต็ม]])*tbl_task8[[%]:[%]])</f>
        <v/>
      </c>
      <c r="GY7" s="121" t="str">
        <f>IF(ISBLANK(tbl_task8[[คะแนนเต็ม]:[คะแนนเต็ม]]),"",(tbl_task8[37]/tbl_task8[[คะแนนเต็ม]:[คะแนนเต็ม]])*tbl_task8[[%]:[%]])</f>
        <v/>
      </c>
      <c r="GZ7" s="121" t="str">
        <f>IF(ISBLANK(tbl_task8[[คะแนนเต็ม]:[คะแนนเต็ม]]),"",(tbl_task8[38]/tbl_task8[[คะแนนเต็ม]:[คะแนนเต็ม]])*tbl_task8[[%]:[%]])</f>
        <v/>
      </c>
      <c r="HA7" s="121" t="str">
        <f>IF(ISBLANK(tbl_task8[[คะแนนเต็ม]:[คะแนนเต็ม]]),"",(tbl_task8[39]/tbl_task8[[คะแนนเต็ม]:[คะแนนเต็ม]])*tbl_task8[[%]:[%]])</f>
        <v/>
      </c>
      <c r="HB7" s="121" t="str">
        <f>IF(ISBLANK(tbl_task8[[คะแนนเต็ม]:[คะแนนเต็ม]]),"",(tbl_task8[40]/tbl_task8[[คะแนนเต็ม]:[คะแนนเต็ม]])*tbl_task8[[%]:[%]])</f>
        <v/>
      </c>
      <c r="HC7" s="121" t="str">
        <f>IF(ISBLANK(tbl_task8[[คะแนนเต็ม]:[คะแนนเต็ม]]),"",(tbl_task8[41]/tbl_task8[[คะแนนเต็ม]:[คะแนนเต็ม]])*tbl_task8[[%]:[%]])</f>
        <v/>
      </c>
      <c r="HD7" s="121" t="str">
        <f>IF(ISBLANK(tbl_task8[[คะแนนเต็ม]:[คะแนนเต็ม]]),"",(tbl_task8[42]/tbl_task8[[คะแนนเต็ม]:[คะแนนเต็ม]])*tbl_task8[[%]:[%]])</f>
        <v/>
      </c>
      <c r="HE7" s="121" t="str">
        <f>IF(ISBLANK(tbl_task8[[คะแนนเต็ม]:[คะแนนเต็ม]]),"",(tbl_task8[43]/tbl_task8[[คะแนนเต็ม]:[คะแนนเต็ม]])*tbl_task8[[%]:[%]])</f>
        <v/>
      </c>
      <c r="HF7" s="121" t="str">
        <f>IF(ISBLANK(tbl_task8[[คะแนนเต็ม]:[คะแนนเต็ม]]),"",(tbl_task8[44]/tbl_task8[[คะแนนเต็ม]:[คะแนนเต็ม]])*tbl_task8[[%]:[%]])</f>
        <v/>
      </c>
      <c r="HG7" s="121" t="str">
        <f>IF(ISBLANK(tbl_task8[[คะแนนเต็ม]:[คะแนนเต็ม]]),"",(tbl_task8[45]/tbl_task8[[คะแนนเต็ม]:[คะแนนเต็ม]])*tbl_task8[[%]:[%]])</f>
        <v/>
      </c>
      <c r="HH7" s="121" t="str">
        <f>IF(ISBLANK(tbl_task8[[คะแนนเต็ม]:[คะแนนเต็ม]]),"",(tbl_task8[46]/tbl_task8[[คะแนนเต็ม]:[คะแนนเต็ม]])*tbl_task8[[%]:[%]])</f>
        <v/>
      </c>
      <c r="HI7" s="121" t="str">
        <f>IF(ISBLANK(tbl_task8[[คะแนนเต็ม]:[คะแนนเต็ม]]),"",(tbl_task8[47]/tbl_task8[[คะแนนเต็ม]:[คะแนนเต็ม]])*tbl_task8[[%]:[%]])</f>
        <v/>
      </c>
      <c r="HJ7" s="121" t="str">
        <f>IF(ISBLANK(tbl_task8[[คะแนนเต็ม]:[คะแนนเต็ม]]),"",(tbl_task8[48]/tbl_task8[[คะแนนเต็ม]:[คะแนนเต็ม]])*tbl_task8[[%]:[%]])</f>
        <v/>
      </c>
      <c r="HK7" s="121" t="str">
        <f>IF(ISBLANK(tbl_task8[[คะแนนเต็ม]:[คะแนนเต็ม]]),"",(tbl_task8[49]/tbl_task8[[คะแนนเต็ม]:[คะแนนเต็ม]])*tbl_task8[[%]:[%]])</f>
        <v/>
      </c>
      <c r="HL7" s="121" t="str">
        <f>IF(ISBLANK(tbl_task8[[คะแนนเต็ม]:[คะแนนเต็ม]]),"",(tbl_task8[50]/tbl_task8[[คะแนนเต็ม]:[คะแนนเต็ม]])*tbl_task8[[%]:[%]])</f>
        <v/>
      </c>
      <c r="HM7" s="121" t="str">
        <f>IF(ISBLANK(tbl_task8[[คะแนนเต็ม]:[คะแนนเต็ม]]),"",(tbl_task8[51]/tbl_task8[[คะแนนเต็ม]:[คะแนนเต็ม]])*tbl_task8[[%]:[%]])</f>
        <v/>
      </c>
      <c r="HN7" s="121" t="str">
        <f>IF(ISBLANK(tbl_task8[[คะแนนเต็ม]:[คะแนนเต็ม]]),"",(tbl_task8[52]/tbl_task8[[คะแนนเต็ม]:[คะแนนเต็ม]])*tbl_task8[[%]:[%]])</f>
        <v/>
      </c>
      <c r="HO7" s="121" t="str">
        <f>IF(ISBLANK(tbl_task8[[คะแนนเต็ม]:[คะแนนเต็ม]]),"",(tbl_task8[53]/tbl_task8[[คะแนนเต็ม]:[คะแนนเต็ม]])*tbl_task8[[%]:[%]])</f>
        <v/>
      </c>
      <c r="HP7" s="121" t="str">
        <f>IF(ISBLANK(tbl_task8[[คะแนนเต็ม]:[คะแนนเต็ม]]),"",(tbl_task8[54]/tbl_task8[[คะแนนเต็ม]:[คะแนนเต็ม]])*tbl_task8[[%]:[%]])</f>
        <v/>
      </c>
      <c r="HQ7" s="121" t="str">
        <f>IF(ISBLANK(tbl_task8[[คะแนนเต็ม]:[คะแนนเต็ม]]),"",(tbl_task8[55]/tbl_task8[[คะแนนเต็ม]:[คะแนนเต็ม]])*tbl_task8[[%]:[%]])</f>
        <v/>
      </c>
      <c r="HR7" s="121" t="str">
        <f>IF(ISBLANK(tbl_task8[[คะแนนเต็ม]:[คะแนนเต็ม]]),"",(tbl_task8[56]/tbl_task8[[คะแนนเต็ม]:[คะแนนเต็ม]])*tbl_task8[[%]:[%]])</f>
        <v/>
      </c>
      <c r="HS7" s="121" t="str">
        <f>IF(ISBLANK(tbl_task8[[คะแนนเต็ม]:[คะแนนเต็ม]]),"",(tbl_task8[57]/tbl_task8[[คะแนนเต็ม]:[คะแนนเต็ม]])*tbl_task8[[%]:[%]])</f>
        <v/>
      </c>
      <c r="HT7" s="121" t="str">
        <f>IF(ISBLANK(tbl_task8[[คะแนนเต็ม]:[คะแนนเต็ม]]),"",(tbl_task8[58]/tbl_task8[[คะแนนเต็ม]:[คะแนนเต็ม]])*tbl_task8[[%]:[%]])</f>
        <v/>
      </c>
      <c r="HU7" s="121" t="str">
        <f>IF(ISBLANK(tbl_task8[[คะแนนเต็ม]:[คะแนนเต็ม]]),"",(tbl_task8[59]/tbl_task8[[คะแนนเต็ม]:[คะแนนเต็ม]])*tbl_task8[[%]:[%]])</f>
        <v/>
      </c>
      <c r="HV7" s="121" t="str">
        <f>IF(ISBLANK(tbl_task8[[คะแนนเต็ม]:[คะแนนเต็ม]]),"",(tbl_task8[60]/tbl_task8[[คะแนนเต็ม]:[คะแนนเต็ม]])*tbl_task8[[%]:[%]])</f>
        <v/>
      </c>
      <c r="HW7" s="121" t="str">
        <f>IF(ISBLANK(tbl_task8[[คะแนนเต็ม]:[คะแนนเต็ม]]),"",(tbl_task8[61]/tbl_task8[[คะแนนเต็ม]:[คะแนนเต็ม]])*tbl_task8[[%]:[%]])</f>
        <v/>
      </c>
      <c r="HX7" s="121" t="str">
        <f>IF(ISBLANK(tbl_task8[[คะแนนเต็ม]:[คะแนนเต็ม]]),"",(tbl_task8[62]/tbl_task8[[คะแนนเต็ม]:[คะแนนเต็ม]])*tbl_task8[[%]:[%]])</f>
        <v/>
      </c>
      <c r="HY7" s="121" t="str">
        <f>IF(ISBLANK(tbl_task8[[คะแนนเต็ม]:[คะแนนเต็ม]]),"",(tbl_task8[63]/tbl_task8[[คะแนนเต็ม]:[คะแนนเต็ม]])*tbl_task8[[%]:[%]])</f>
        <v/>
      </c>
      <c r="HZ7" s="121" t="str">
        <f>IF(ISBLANK(tbl_task8[[คะแนนเต็ม]:[คะแนนเต็ม]]),"",(tbl_task8[64]/tbl_task8[[คะแนนเต็ม]:[คะแนนเต็ม]])*tbl_task8[[%]:[%]])</f>
        <v/>
      </c>
      <c r="IA7" s="121" t="str">
        <f>IF(ISBLANK(tbl_task8[[คะแนนเต็ม]:[คะแนนเต็ม]]),"",(tbl_task8[65]/tbl_task8[[คะแนนเต็ม]:[คะแนนเต็ม]])*tbl_task8[[%]:[%]])</f>
        <v/>
      </c>
      <c r="IB7" s="121" t="str">
        <f>IF(ISBLANK(tbl_task8[[คะแนนเต็ม]:[คะแนนเต็ม]]),"",(tbl_task8[66]/tbl_task8[[คะแนนเต็ม]:[คะแนนเต็ม]])*tbl_task8[[%]:[%]])</f>
        <v/>
      </c>
      <c r="IC7" s="121" t="str">
        <f>IF(ISBLANK(tbl_task8[[คะแนนเต็ม]:[คะแนนเต็ม]]),"",(tbl_task8[67]/tbl_task8[[คะแนนเต็ม]:[คะแนนเต็ม]])*tbl_task8[[%]:[%]])</f>
        <v/>
      </c>
      <c r="ID7" s="121" t="str">
        <f>IF(ISBLANK(tbl_task8[[คะแนนเต็ม]:[คะแนนเต็ม]]),"",(tbl_task8[68]/tbl_task8[[คะแนนเต็ม]:[คะแนนเต็ม]])*tbl_task8[[%]:[%]])</f>
        <v/>
      </c>
      <c r="IE7" s="121" t="str">
        <f>IF(ISBLANK(tbl_task8[[คะแนนเต็ม]:[คะแนนเต็ม]]),"",(tbl_task8[69]/tbl_task8[[คะแนนเต็ม]:[คะแนนเต็ม]])*tbl_task8[[%]:[%]])</f>
        <v/>
      </c>
      <c r="IF7" s="121" t="str">
        <f>IF(ISBLANK(tbl_task8[[คะแนนเต็ม]:[คะแนนเต็ม]]),"",(tbl_task8[70]/tbl_task8[[คะแนนเต็ม]:[คะแนนเต็ม]])*tbl_task8[[%]:[%]])</f>
        <v/>
      </c>
      <c r="IG7" s="121" t="str">
        <f>IF(ISBLANK(tbl_task8[[คะแนนเต็ม]:[คะแนนเต็ม]]),"",(tbl_task8[71]/tbl_task8[[คะแนนเต็ม]:[คะแนนเต็ม]])*tbl_task8[[%]:[%]])</f>
        <v/>
      </c>
      <c r="IH7" s="121" t="str">
        <f>IF(ISBLANK(tbl_task8[[คะแนนเต็ม]:[คะแนนเต็ม]]),"",(tbl_task8[72]/tbl_task8[[คะแนนเต็ม]:[คะแนนเต็ม]])*tbl_task8[[%]:[%]])</f>
        <v/>
      </c>
      <c r="II7" s="121" t="str">
        <f>IF(ISBLANK(tbl_task8[[คะแนนเต็ม]:[คะแนนเต็ม]]),"",(tbl_task8[73]/tbl_task8[[คะแนนเต็ม]:[คะแนนเต็ม]])*tbl_task8[[%]:[%]])</f>
        <v/>
      </c>
      <c r="IJ7" s="121" t="str">
        <f>IF(ISBLANK(tbl_task8[[คะแนนเต็ม]:[คะแนนเต็ม]]),"",(tbl_task8[74]/tbl_task8[[คะแนนเต็ม]:[คะแนนเต็ม]])*tbl_task8[[%]:[%]])</f>
        <v/>
      </c>
      <c r="IK7" s="121" t="str">
        <f>IF(ISBLANK(tbl_task8[[คะแนนเต็ม]:[คะแนนเต็ม]]),"",(tbl_task8[75]/tbl_task8[[คะแนนเต็ม]:[คะแนนเต็ม]])*tbl_task8[[%]:[%]])</f>
        <v/>
      </c>
      <c r="IL7" s="121" t="str">
        <f>IF(ISBLANK(tbl_task8[[คะแนนเต็ม]:[คะแนนเต็ม]]),"",(tbl_task8[76]/tbl_task8[[คะแนนเต็ม]:[คะแนนเต็ม]])*tbl_task8[[%]:[%]])</f>
        <v/>
      </c>
      <c r="IM7" s="121" t="str">
        <f>IF(ISBLANK(tbl_task8[[คะแนนเต็ม]:[คะแนนเต็ม]]),"",(tbl_task8[77]/tbl_task8[[คะแนนเต็ม]:[คะแนนเต็ม]])*tbl_task8[[%]:[%]])</f>
        <v/>
      </c>
      <c r="IN7" s="121" t="str">
        <f>IF(ISBLANK(tbl_task8[[คะแนนเต็ม]:[คะแนนเต็ม]]),"",(tbl_task8[78]/tbl_task8[[คะแนนเต็ม]:[คะแนนเต็ม]])*tbl_task8[[%]:[%]])</f>
        <v/>
      </c>
      <c r="IO7" s="121" t="str">
        <f>IF(ISBLANK(tbl_task8[[คะแนนเต็ม]:[คะแนนเต็ม]]),"",(tbl_task8[79]/tbl_task8[[คะแนนเต็ม]:[คะแนนเต็ม]])*tbl_task8[[%]:[%]])</f>
        <v/>
      </c>
      <c r="IP7" s="121" t="str">
        <f>IF(ISBLANK(tbl_task8[[คะแนนเต็ม]:[คะแนนเต็ม]]),"",(tbl_task8[80]/tbl_task8[[คะแนนเต็ม]:[คะแนนเต็ม]])*tbl_task8[[%]:[%]])</f>
        <v/>
      </c>
      <c r="IQ7" s="121" t="str">
        <f>IF(ISBLANK(tbl_task8[[คะแนนเต็ม]:[คะแนนเต็ม]]),"",(tbl_task8[81]/tbl_task8[[คะแนนเต็ม]:[คะแนนเต็ม]])*tbl_task8[[%]:[%]])</f>
        <v/>
      </c>
      <c r="IR7" s="121" t="str">
        <f>IF(ISBLANK(tbl_task8[[คะแนนเต็ม]:[คะแนนเต็ม]]),"",(tbl_task8[82]/tbl_task8[[คะแนนเต็ม]:[คะแนนเต็ม]])*tbl_task8[[%]:[%]])</f>
        <v/>
      </c>
      <c r="IS7" s="121" t="str">
        <f>IF(ISBLANK(tbl_task8[[คะแนนเต็ม]:[คะแนนเต็ม]]),"",(tbl_task8[83]/tbl_task8[[คะแนนเต็ม]:[คะแนนเต็ม]])*tbl_task8[[%]:[%]])</f>
        <v/>
      </c>
      <c r="IT7" s="121" t="str">
        <f>IF(ISBLANK(tbl_task8[[คะแนนเต็ม]:[คะแนนเต็ม]]),"",(tbl_task8[84]/tbl_task8[[คะแนนเต็ม]:[คะแนนเต็ม]])*tbl_task8[[%]:[%]])</f>
        <v/>
      </c>
      <c r="IU7" s="121" t="str">
        <f>IF(ISBLANK(tbl_task8[[คะแนนเต็ม]:[คะแนนเต็ม]]),"",(tbl_task8[85]/tbl_task8[[คะแนนเต็ม]:[คะแนนเต็ม]])*tbl_task8[[%]:[%]])</f>
        <v/>
      </c>
      <c r="IV7" s="121" t="str">
        <f>IF(ISBLANK(tbl_task8[[คะแนนเต็ม]:[คะแนนเต็ม]]),"",(tbl_task8[86]/tbl_task8[[คะแนนเต็ม]:[คะแนนเต็ม]])*tbl_task8[[%]:[%]])</f>
        <v/>
      </c>
      <c r="IW7" s="121" t="str">
        <f>IF(ISBLANK(tbl_task8[[คะแนนเต็ม]:[คะแนนเต็ม]]),"",(tbl_task8[87]/tbl_task8[[คะแนนเต็ม]:[คะแนนเต็ม]])*tbl_task8[[%]:[%]])</f>
        <v/>
      </c>
      <c r="IX7" s="121" t="str">
        <f>IF(ISBLANK(tbl_task8[[คะแนนเต็ม]:[คะแนนเต็ม]]),"",(tbl_task8[88]/tbl_task8[[คะแนนเต็ม]:[คะแนนเต็ม]])*tbl_task8[[%]:[%]])</f>
        <v/>
      </c>
      <c r="IY7" s="121" t="str">
        <f>IF(ISBLANK(tbl_task8[[คะแนนเต็ม]:[คะแนนเต็ม]]),"",(tbl_task8[89]/tbl_task8[[คะแนนเต็ม]:[คะแนนเต็ม]])*tbl_task8[[%]:[%]])</f>
        <v/>
      </c>
      <c r="IZ7" s="121" t="str">
        <f>IF(ISBLANK(tbl_task8[[คะแนนเต็ม]:[คะแนนเต็ม]]),"",(tbl_task8[90]/tbl_task8[[คะแนนเต็ม]:[คะแนนเต็ม]])*tbl_task8[[%]:[%]])</f>
        <v/>
      </c>
      <c r="JA7" s="121" t="str">
        <f>IF(ISBLANK(tbl_task8[[คะแนนเต็ม]:[คะแนนเต็ม]]),"",(tbl_task8[91]/tbl_task8[[คะแนนเต็ม]:[คะแนนเต็ม]])*tbl_task8[[%]:[%]])</f>
        <v/>
      </c>
      <c r="JB7" s="121" t="str">
        <f>IF(ISBLANK(tbl_task8[[คะแนนเต็ม]:[คะแนนเต็ม]]),"",(tbl_task8[92]/tbl_task8[[คะแนนเต็ม]:[คะแนนเต็ม]])*tbl_task8[[%]:[%]])</f>
        <v/>
      </c>
      <c r="JC7" s="121" t="str">
        <f>IF(ISBLANK(tbl_task8[[คะแนนเต็ม]:[คะแนนเต็ม]]),"",(tbl_task8[93]/tbl_task8[[คะแนนเต็ม]:[คะแนนเต็ม]])*tbl_task8[[%]:[%]])</f>
        <v/>
      </c>
      <c r="JD7" s="121" t="str">
        <f>IF(ISBLANK(tbl_task8[[คะแนนเต็ม]:[คะแนนเต็ม]]),"",(tbl_task8[94]/tbl_task8[[คะแนนเต็ม]:[คะแนนเต็ม]])*tbl_task8[[%]:[%]])</f>
        <v/>
      </c>
      <c r="JE7" s="121" t="str">
        <f>IF(ISBLANK(tbl_task8[[คะแนนเต็ม]:[คะแนนเต็ม]]),"",(tbl_task8[95]/tbl_task8[[คะแนนเต็ม]:[คะแนนเต็ม]])*tbl_task8[[%]:[%]])</f>
        <v/>
      </c>
      <c r="JF7" s="121" t="str">
        <f>IF(ISBLANK(tbl_task8[[คะแนนเต็ม]:[คะแนนเต็ม]]),"",(tbl_task8[96]/tbl_task8[[คะแนนเต็ม]:[คะแนนเต็ม]])*tbl_task8[[%]:[%]])</f>
        <v/>
      </c>
      <c r="JG7" s="121" t="str">
        <f>IF(ISBLANK(tbl_task8[[คะแนนเต็ม]:[คะแนนเต็ม]]),"",(tbl_task8[97]/tbl_task8[[คะแนนเต็ม]:[คะแนนเต็ม]])*tbl_task8[[%]:[%]])</f>
        <v/>
      </c>
      <c r="JH7" s="121" t="str">
        <f>IF(ISBLANK(tbl_task8[[คะแนนเต็ม]:[คะแนนเต็ม]]),"",(tbl_task8[98]/tbl_task8[[คะแนนเต็ม]:[คะแนนเต็ม]])*tbl_task8[[%]:[%]])</f>
        <v/>
      </c>
      <c r="JI7" s="121" t="str">
        <f>IF(ISBLANK(tbl_task8[[คะแนนเต็ม]:[คะแนนเต็ม]]),"",(tbl_task8[99]/tbl_task8[[คะแนนเต็ม]:[คะแนนเต็ม]])*tbl_task8[[%]:[%]])</f>
        <v/>
      </c>
      <c r="JJ7" s="121" t="str">
        <f>IF(ISBLANK(tbl_task8[[คะแนนเต็ม]:[คะแนนเต็ม]]),"",(tbl_task8[100]/tbl_task8[[คะแนนเต็ม]:[คะแนนเต็ม]])*tbl_task8[[%]:[%]])</f>
        <v/>
      </c>
      <c r="JK7" s="121" t="str">
        <f>IF(ISBLANK(tbl_task8[[คะแนนเต็ม]:[คะแนนเต็ม]]),"",(tbl_task8[101]/tbl_task8[[คะแนนเต็ม]:[คะแนนเต็ม]])*tbl_task8[[%]:[%]])</f>
        <v/>
      </c>
      <c r="JL7" s="121" t="str">
        <f>IF(ISBLANK(tbl_task8[[คะแนนเต็ม]:[คะแนนเต็ม]]),"",(tbl_task8[102]/tbl_task8[[คะแนนเต็ม]:[คะแนนเต็ม]])*tbl_task8[[%]:[%]])</f>
        <v/>
      </c>
      <c r="JM7" s="121" t="str">
        <f>IF(ISBLANK(tbl_task8[[คะแนนเต็ม]:[คะแนนเต็ม]]),"",(tbl_task8[103]/tbl_task8[[คะแนนเต็ม]:[คะแนนเต็ม]])*tbl_task8[[%]:[%]])</f>
        <v/>
      </c>
      <c r="JN7" s="121" t="str">
        <f>IF(ISBLANK(tbl_task8[[คะแนนเต็ม]:[คะแนนเต็ม]]),"",(tbl_task8[104]/tbl_task8[[คะแนนเต็ม]:[คะแนนเต็ม]])*tbl_task8[[%]:[%]])</f>
        <v/>
      </c>
      <c r="JO7" s="121" t="str">
        <f>IF(ISBLANK(tbl_task8[[คะแนนเต็ม]:[คะแนนเต็ม]]),"",(tbl_task8[105]/tbl_task8[[คะแนนเต็ม]:[คะแนนเต็ม]])*tbl_task8[[%]:[%]])</f>
        <v/>
      </c>
      <c r="JP7" s="121" t="str">
        <f>IF(ISBLANK(tbl_task8[[คะแนนเต็ม]:[คะแนนเต็ม]]),"",(tbl_task8[106]/tbl_task8[[คะแนนเต็ม]:[คะแนนเต็ม]])*tbl_task8[[%]:[%]])</f>
        <v/>
      </c>
      <c r="JQ7" s="121" t="str">
        <f>IF(ISBLANK(tbl_task8[[คะแนนเต็ม]:[คะแนนเต็ม]]),"",(tbl_task8[107]/tbl_task8[[คะแนนเต็ม]:[คะแนนเต็ม]])*tbl_task8[[%]:[%]])</f>
        <v/>
      </c>
      <c r="JR7" s="121" t="str">
        <f>IF(ISBLANK(tbl_task8[[คะแนนเต็ม]:[คะแนนเต็ม]]),"",(tbl_task8[108]/tbl_task8[[คะแนนเต็ม]:[คะแนนเต็ม]])*tbl_task8[[%]:[%]])</f>
        <v/>
      </c>
      <c r="JS7" s="121" t="str">
        <f>IF(ISBLANK(tbl_task8[[คะแนนเต็ม]:[คะแนนเต็ม]]),"",(tbl_task8[109]/tbl_task8[[คะแนนเต็ม]:[คะแนนเต็ม]])*tbl_task8[[%]:[%]])</f>
        <v/>
      </c>
      <c r="JT7" s="121" t="str">
        <f>IF(ISBLANK(tbl_task8[[คะแนนเต็ม]:[คะแนนเต็ม]]),"",(tbl_task8[110]/tbl_task8[[คะแนนเต็ม]:[คะแนนเต็ม]])*tbl_task8[[%]:[%]])</f>
        <v/>
      </c>
      <c r="JU7" s="121" t="str">
        <f>IF(ISBLANK(tbl_task8[[คะแนนเต็ม]:[คะแนนเต็ม]]),"",(tbl_task8[111]/tbl_task8[[คะแนนเต็ม]:[คะแนนเต็ม]])*tbl_task8[[%]:[%]])</f>
        <v/>
      </c>
      <c r="JV7" s="121" t="str">
        <f>IF(ISBLANK(tbl_task8[[คะแนนเต็ม]:[คะแนนเต็ม]]),"",(tbl_task8[112]/tbl_task8[[คะแนนเต็ม]:[คะแนนเต็ม]])*tbl_task8[[%]:[%]])</f>
        <v/>
      </c>
      <c r="JW7" s="121" t="str">
        <f>IF(ISBLANK(tbl_task8[[คะแนนเต็ม]:[คะแนนเต็ม]]),"",(tbl_task8[113]/tbl_task8[[คะแนนเต็ม]:[คะแนนเต็ม]])*tbl_task8[[%]:[%]])</f>
        <v/>
      </c>
      <c r="JX7" s="121" t="str">
        <f>IF(ISBLANK(tbl_task8[[คะแนนเต็ม]:[คะแนนเต็ม]]),"",(tbl_task8[114]/tbl_task8[[คะแนนเต็ม]:[คะแนนเต็ม]])*tbl_task8[[%]:[%]])</f>
        <v/>
      </c>
      <c r="JY7" s="121" t="str">
        <f>IF(ISBLANK(tbl_task8[[คะแนนเต็ม]:[คะแนนเต็ม]]),"",(tbl_task8[115]/tbl_task8[[คะแนนเต็ม]:[คะแนนเต็ม]])*tbl_task8[[%]:[%]])</f>
        <v/>
      </c>
      <c r="JZ7" s="121" t="str">
        <f>IF(ISBLANK(tbl_task8[[คะแนนเต็ม]:[คะแนนเต็ม]]),"",(tbl_task8[116]/tbl_task8[[คะแนนเต็ม]:[คะแนนเต็ม]])*tbl_task8[[%]:[%]])</f>
        <v/>
      </c>
      <c r="KA7" s="121" t="str">
        <f>IF(ISBLANK(tbl_task8[[คะแนนเต็ม]:[คะแนนเต็ม]]),"",(tbl_task8[117]/tbl_task8[[คะแนนเต็ม]:[คะแนนเต็ม]])*tbl_task8[[%]:[%]])</f>
        <v/>
      </c>
      <c r="KB7" s="121" t="str">
        <f>IF(ISBLANK(tbl_task8[[คะแนนเต็ม]:[คะแนนเต็ม]]),"",(tbl_task8[118]/tbl_task8[[คะแนนเต็ม]:[คะแนนเต็ม]])*tbl_task8[[%]:[%]])</f>
        <v/>
      </c>
      <c r="KC7" s="121" t="str">
        <f>IF(ISBLANK(tbl_task8[[คะแนนเต็ม]:[คะแนนเต็ม]]),"",(tbl_task8[119]/tbl_task8[[คะแนนเต็ม]:[คะแนนเต็ม]])*tbl_task8[[%]:[%]])</f>
        <v/>
      </c>
      <c r="KD7" s="121" t="str">
        <f>IF(ISBLANK(tbl_task8[[คะแนนเต็ม]:[คะแนนเต็ม]]),"",(tbl_task8[120]/tbl_task8[[คะแนนเต็ม]:[คะแนนเต็ม]])*tbl_task8[[%]:[%]])</f>
        <v/>
      </c>
      <c r="KE7" s="121" t="str">
        <f>IF(ISBLANK(tbl_task8[[คะแนนเต็ม]:[คะแนนเต็ม]]),"",(tbl_task8[121]/tbl_task8[[คะแนนเต็ม]:[คะแนนเต็ม]])*tbl_task8[[%]:[%]])</f>
        <v/>
      </c>
      <c r="KF7" s="121" t="str">
        <f>IF(ISBLANK(tbl_task8[[คะแนนเต็ม]:[คะแนนเต็ม]]),"",(tbl_task8[122]/tbl_task8[[คะแนนเต็ม]:[คะแนนเต็ม]])*tbl_task8[[%]:[%]])</f>
        <v/>
      </c>
      <c r="KG7" s="121" t="str">
        <f>IF(ISBLANK(tbl_task8[[คะแนนเต็ม]:[คะแนนเต็ม]]),"",(tbl_task8[123]/tbl_task8[[คะแนนเต็ม]:[คะแนนเต็ม]])*tbl_task8[[%]:[%]])</f>
        <v/>
      </c>
      <c r="KH7" s="121" t="str">
        <f>IF(ISBLANK(tbl_task8[[คะแนนเต็ม]:[คะแนนเต็ม]]),"",(tbl_task8[124]/tbl_task8[[คะแนนเต็ม]:[คะแนนเต็ม]])*tbl_task8[[%]:[%]])</f>
        <v/>
      </c>
      <c r="KI7" s="121" t="str">
        <f>IF(ISBLANK(tbl_task8[[คะแนนเต็ม]:[คะแนนเต็ม]]),"",(tbl_task8[125]/tbl_task8[[คะแนนเต็ม]:[คะแนนเต็ม]])*tbl_task8[[%]:[%]])</f>
        <v/>
      </c>
      <c r="KJ7" s="121" t="str">
        <f>IF(ISBLANK(tbl_task8[[คะแนนเต็ม]:[คะแนนเต็ม]]),"",(tbl_task8[126]/tbl_task8[[คะแนนเต็ม]:[คะแนนเต็ม]])*tbl_task8[[%]:[%]])</f>
        <v/>
      </c>
      <c r="KK7" s="121" t="str">
        <f>IF(ISBLANK(tbl_task8[[คะแนนเต็ม]:[คะแนนเต็ม]]),"",(tbl_task8[127]/tbl_task8[[คะแนนเต็ม]:[คะแนนเต็ม]])*tbl_task8[[%]:[%]])</f>
        <v/>
      </c>
      <c r="KL7" s="121" t="str">
        <f>IF(ISBLANK(tbl_task8[[คะแนนเต็ม]:[คะแนนเต็ม]]),"",(tbl_task8[128]/tbl_task8[[คะแนนเต็ม]:[คะแนนเต็ม]])*tbl_task8[[%]:[%]])</f>
        <v/>
      </c>
      <c r="KM7" s="121" t="str">
        <f>IF(ISBLANK(tbl_task8[[คะแนนเต็ม]:[คะแนนเต็ม]]),"",(tbl_task8[129]/tbl_task8[[คะแนนเต็ม]:[คะแนนเต็ม]])*tbl_task8[[%]:[%]])</f>
        <v/>
      </c>
      <c r="KN7" s="121" t="str">
        <f>IF(ISBLANK(tbl_task8[[คะแนนเต็ม]:[คะแนนเต็ม]]),"",(tbl_task8[130]/tbl_task8[[คะแนนเต็ม]:[คะแนนเต็ม]])*tbl_task8[[%]:[%]])</f>
        <v/>
      </c>
      <c r="KO7" s="121" t="str">
        <f>IF(ISBLANK(tbl_task8[[คะแนนเต็ม]:[คะแนนเต็ม]]),"",(tbl_task8[131]/tbl_task8[[คะแนนเต็ม]:[คะแนนเต็ม]])*tbl_task8[[%]:[%]])</f>
        <v/>
      </c>
      <c r="KP7" s="121" t="str">
        <f>IF(ISBLANK(tbl_task8[[คะแนนเต็ม]:[คะแนนเต็ม]]),"",(tbl_task8[132]/tbl_task8[[คะแนนเต็ม]:[คะแนนเต็ม]])*tbl_task8[[%]:[%]])</f>
        <v/>
      </c>
      <c r="KQ7" s="121" t="str">
        <f>IF(ISBLANK(tbl_task8[[คะแนนเต็ม]:[คะแนนเต็ม]]),"",(tbl_task8[133]/tbl_task8[[คะแนนเต็ม]:[คะแนนเต็ม]])*tbl_task8[[%]:[%]])</f>
        <v/>
      </c>
      <c r="KR7" s="121" t="str">
        <f>IF(ISBLANK(tbl_task8[[คะแนนเต็ม]:[คะแนนเต็ม]]),"",(tbl_task8[134]/tbl_task8[[คะแนนเต็ม]:[คะแนนเต็ม]])*tbl_task8[[%]:[%]])</f>
        <v/>
      </c>
      <c r="KS7" s="121" t="str">
        <f>IF(ISBLANK(tbl_task8[[คะแนนเต็ม]:[คะแนนเต็ม]]),"",(tbl_task8[135]/tbl_task8[[คะแนนเต็ม]:[คะแนนเต็ม]])*tbl_task8[[%]:[%]])</f>
        <v/>
      </c>
      <c r="KT7" s="121" t="str">
        <f>IF(ISBLANK(tbl_task8[[คะแนนเต็ม]:[คะแนนเต็ม]]),"",(tbl_task8[136]/tbl_task8[[คะแนนเต็ม]:[คะแนนเต็ม]])*tbl_task8[[%]:[%]])</f>
        <v/>
      </c>
      <c r="KU7" s="121" t="str">
        <f>IF(ISBLANK(tbl_task8[[คะแนนเต็ม]:[คะแนนเต็ม]]),"",(tbl_task8[137]/tbl_task8[[คะแนนเต็ม]:[คะแนนเต็ม]])*tbl_task8[[%]:[%]])</f>
        <v/>
      </c>
      <c r="KV7" s="121" t="str">
        <f>IF(ISBLANK(tbl_task8[[คะแนนเต็ม]:[คะแนนเต็ม]]),"",(tbl_task8[138]/tbl_task8[[คะแนนเต็ม]:[คะแนนเต็ม]])*tbl_task8[[%]:[%]])</f>
        <v/>
      </c>
      <c r="KW7" s="121" t="str">
        <f>IF(ISBLANK(tbl_task8[[คะแนนเต็ม]:[คะแนนเต็ม]]),"",(tbl_task8[139]/tbl_task8[[คะแนนเต็ม]:[คะแนนเต็ม]])*tbl_task8[[%]:[%]])</f>
        <v/>
      </c>
      <c r="KX7" s="121" t="str">
        <f>IF(ISBLANK(tbl_task8[[คะแนนเต็ม]:[คะแนนเต็ม]]),"",(tbl_task8[140]/tbl_task8[[คะแนนเต็ม]:[คะแนนเต็ม]])*tbl_task8[[%]:[%]])</f>
        <v/>
      </c>
      <c r="KY7" s="121" t="str">
        <f>IF(ISBLANK(tbl_task8[[คะแนนเต็ม]:[คะแนนเต็ม]]),"",(tbl_task8[141]/tbl_task8[[คะแนนเต็ม]:[คะแนนเต็ม]])*tbl_task8[[%]:[%]])</f>
        <v/>
      </c>
      <c r="KZ7" s="121" t="str">
        <f>IF(ISBLANK(tbl_task8[[คะแนนเต็ม]:[คะแนนเต็ม]]),"",(tbl_task8[142]/tbl_task8[[คะแนนเต็ม]:[คะแนนเต็ม]])*tbl_task8[[%]:[%]])</f>
        <v/>
      </c>
      <c r="LA7" s="121" t="str">
        <f>IF(ISBLANK(tbl_task8[[คะแนนเต็ม]:[คะแนนเต็ม]]),"",(tbl_task8[143]/tbl_task8[[คะแนนเต็ม]:[คะแนนเต็ม]])*tbl_task8[[%]:[%]])</f>
        <v/>
      </c>
      <c r="LB7" s="121" t="str">
        <f>IF(ISBLANK(tbl_task8[[คะแนนเต็ม]:[คะแนนเต็ม]]),"",(tbl_task8[144]/tbl_task8[[คะแนนเต็ม]:[คะแนนเต็ม]])*tbl_task8[[%]:[%]])</f>
        <v/>
      </c>
      <c r="LC7" s="121" t="str">
        <f>IF(ISBLANK(tbl_task8[[คะแนนเต็ม]:[คะแนนเต็ม]]),"",(tbl_task8[145]/tbl_task8[[คะแนนเต็ม]:[คะแนนเต็ม]])*tbl_task8[[%]:[%]])</f>
        <v/>
      </c>
      <c r="LD7" s="121" t="str">
        <f>IF(ISBLANK(tbl_task8[[คะแนนเต็ม]:[คะแนนเต็ม]]),"",(tbl_task8[146]/tbl_task8[[คะแนนเต็ม]:[คะแนนเต็ม]])*tbl_task8[[%]:[%]])</f>
        <v/>
      </c>
      <c r="LE7" s="121" t="str">
        <f>IF(ISBLANK(tbl_task8[[คะแนนเต็ม]:[คะแนนเต็ม]]),"",(tbl_task8[147]/tbl_task8[[คะแนนเต็ม]:[คะแนนเต็ม]])*tbl_task8[[%]:[%]])</f>
        <v/>
      </c>
      <c r="LF7" s="121" t="str">
        <f>IF(ISBLANK(tbl_task8[[คะแนนเต็ม]:[คะแนนเต็ม]]),"",(tbl_task8[148]/tbl_task8[[คะแนนเต็ม]:[คะแนนเต็ม]])*tbl_task8[[%]:[%]])</f>
        <v/>
      </c>
      <c r="LG7" s="121" t="str">
        <f>IF(ISBLANK(tbl_task8[[คะแนนเต็ม]:[คะแนนเต็ม]]),"",(tbl_task8[149]/tbl_task8[[คะแนนเต็ม]:[คะแนนเต็ม]])*tbl_task8[[%]:[%]])</f>
        <v/>
      </c>
      <c r="LH7" s="121" t="str">
        <f>IF(ISBLANK(tbl_task8[[คะแนนเต็ม]:[คะแนนเต็ม]]),"",(tbl_task8[150]/tbl_task8[[คะแนนเต็ม]:[คะแนนเต็ม]])*tbl_task8[[%]:[%]])</f>
        <v/>
      </c>
      <c r="LI7" s="121" t="str">
        <f>IF(ISBLANK(tbl_task8[[คะแนนเต็ม]:[คะแนนเต็ม]]),"",(tbl_task8[151]/tbl_task8[[คะแนนเต็ม]:[คะแนนเต็ม]])*tbl_task8[[%]:[%]])</f>
        <v/>
      </c>
      <c r="LJ7" s="121" t="str">
        <f>IF(ISBLANK(tbl_task8[[คะแนนเต็ม]:[คะแนนเต็ม]]),"",(tbl_task8[152]/tbl_task8[[คะแนนเต็ม]:[คะแนนเต็ม]])*tbl_task8[[%]:[%]])</f>
        <v/>
      </c>
      <c r="LK7" s="121" t="str">
        <f>IF(ISBLANK(tbl_task8[[คะแนนเต็ม]:[คะแนนเต็ม]]),"",(tbl_task8[153]/tbl_task8[[คะแนนเต็ม]:[คะแนนเต็ม]])*tbl_task8[[%]:[%]])</f>
        <v/>
      </c>
      <c r="LL7" s="121" t="str">
        <f>IF(ISBLANK(tbl_task8[[คะแนนเต็ม]:[คะแนนเต็ม]]),"",(tbl_task8[154]/tbl_task8[[คะแนนเต็ม]:[คะแนนเต็ม]])*tbl_task8[[%]:[%]])</f>
        <v/>
      </c>
      <c r="LM7" s="121" t="str">
        <f>IF(ISBLANK(tbl_task8[[คะแนนเต็ม]:[คะแนนเต็ม]]),"",(tbl_task8[155]/tbl_task8[[คะแนนเต็ม]:[คะแนนเต็ม]])*tbl_task8[[%]:[%]])</f>
        <v/>
      </c>
      <c r="LN7" s="121" t="str">
        <f>IF(ISBLANK(tbl_task8[[คะแนนเต็ม]:[คะแนนเต็ม]]),"",(tbl_task8[156]/tbl_task8[[คะแนนเต็ม]:[คะแนนเต็ม]])*tbl_task8[[%]:[%]])</f>
        <v/>
      </c>
      <c r="LO7" s="121" t="str">
        <f>IF(ISBLANK(tbl_task8[[คะแนนเต็ม]:[คะแนนเต็ม]]),"",(tbl_task8[157]/tbl_task8[[คะแนนเต็ม]:[คะแนนเต็ม]])*tbl_task8[[%]:[%]])</f>
        <v/>
      </c>
      <c r="LP7" s="121" t="str">
        <f>IF(ISBLANK(tbl_task8[[คะแนนเต็ม]:[คะแนนเต็ม]]),"",(tbl_task8[158]/tbl_task8[[คะแนนเต็ม]:[คะแนนเต็ม]])*tbl_task8[[%]:[%]])</f>
        <v/>
      </c>
      <c r="LQ7" s="121" t="str">
        <f>IF(ISBLANK(tbl_task8[[คะแนนเต็ม]:[คะแนนเต็ม]]),"",(tbl_task8[159]/tbl_task8[[คะแนนเต็ม]:[คะแนนเต็ม]])*tbl_task8[[%]:[%]])</f>
        <v/>
      </c>
      <c r="LR7" s="121" t="str">
        <f>IF(ISBLANK(tbl_task8[[คะแนนเต็ม]:[คะแนนเต็ม]]),"",(tbl_task8[160]/tbl_task8[[คะแนนเต็ม]:[คะแนนเต็ม]])*tbl_task8[[%]:[%]])</f>
        <v/>
      </c>
      <c r="LS7" s="121" t="str">
        <f>IF(ISBLANK(tbl_task8[[คะแนนเต็ม]:[คะแนนเต็ม]]),"",(tbl_task8[161]/tbl_task8[[คะแนนเต็ม]:[คะแนนเต็ม]])*tbl_task8[[%]:[%]])</f>
        <v/>
      </c>
      <c r="LT7" s="121" t="str">
        <f>IF(ISBLANK(tbl_task8[[คะแนนเต็ม]:[คะแนนเต็ม]]),"",(tbl_task8[162]/tbl_task8[[คะแนนเต็ม]:[คะแนนเต็ม]])*tbl_task8[[%]:[%]])</f>
        <v/>
      </c>
      <c r="LU7" s="121" t="str">
        <f>IF(ISBLANK(tbl_task8[[คะแนนเต็ม]:[คะแนนเต็ม]]),"",(tbl_task8[163]/tbl_task8[[คะแนนเต็ม]:[คะแนนเต็ม]])*tbl_task8[[%]:[%]])</f>
        <v/>
      </c>
      <c r="LV7" s="121" t="str">
        <f>IF(ISBLANK(tbl_task8[[คะแนนเต็ม]:[คะแนนเต็ม]]),"",(tbl_task8[164]/tbl_task8[[คะแนนเต็ม]:[คะแนนเต็ม]])*tbl_task8[[%]:[%]])</f>
        <v/>
      </c>
      <c r="LW7" s="121" t="str">
        <f>IF(ISBLANK(tbl_task8[[คะแนนเต็ม]:[คะแนนเต็ม]]),"",(tbl_task8[165]/tbl_task8[[คะแนนเต็ม]:[คะแนนเต็ม]])*tbl_task8[[%]:[%]])</f>
        <v/>
      </c>
    </row>
    <row r="8" spans="1:335" ht="24.75" customHeight="1" x14ac:dyDescent="0.25">
      <c r="A8" s="24">
        <v>5</v>
      </c>
      <c r="B8" s="33"/>
      <c r="C8" s="5" t="str">
        <f>IF(ISBLANK(B8),"",VLOOKUP(B8,tbl_PLOs[],2,0))</f>
        <v/>
      </c>
      <c r="D8" s="102"/>
      <c r="E8" s="10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22"/>
      <c r="FO8" s="121" t="str">
        <f>IF(ISBLANK(tbl_task8[[คะแนนเต็ม]:[คะแนนเต็ม]]),"",(tbl_task8[1]/tbl_task8[[คะแนนเต็ม]:[คะแนนเต็ม]])*tbl_task8[[%]:[%]])</f>
        <v/>
      </c>
      <c r="FP8" s="121" t="str">
        <f>IF(ISBLANK(tbl_task8[[คะแนนเต็ม]:[คะแนนเต็ม]]),"",(tbl_task8[2]/tbl_task8[[คะแนนเต็ม]:[คะแนนเต็ม]])*tbl_task8[[%]:[%]])</f>
        <v/>
      </c>
      <c r="FQ8" s="121" t="str">
        <f>IF(ISBLANK(tbl_task8[[คะแนนเต็ม]:[คะแนนเต็ม]]),"",(tbl_task8[3]/tbl_task8[[คะแนนเต็ม]:[คะแนนเต็ม]])*tbl_task8[[%]:[%]])</f>
        <v/>
      </c>
      <c r="FR8" s="121" t="str">
        <f>IF(ISBLANK(tbl_task8[[คะแนนเต็ม]:[คะแนนเต็ม]]),"",(tbl_task8[4]/tbl_task8[[คะแนนเต็ม]:[คะแนนเต็ม]])*tbl_task8[[%]:[%]])</f>
        <v/>
      </c>
      <c r="FS8" s="121" t="str">
        <f>IF(ISBLANK(tbl_task8[[คะแนนเต็ม]:[คะแนนเต็ม]]),"",(tbl_task8[5]/tbl_task8[[คะแนนเต็ม]:[คะแนนเต็ม]])*tbl_task8[[%]:[%]])</f>
        <v/>
      </c>
      <c r="FT8" s="121" t="str">
        <f>IF(ISBLANK(tbl_task8[[คะแนนเต็ม]:[คะแนนเต็ม]]),"",(tbl_task8[6]/tbl_task8[[คะแนนเต็ม]:[คะแนนเต็ม]])*tbl_task8[[%]:[%]])</f>
        <v/>
      </c>
      <c r="FU8" s="121" t="str">
        <f>IF(ISBLANK(tbl_task8[[คะแนนเต็ม]:[คะแนนเต็ม]]),"",(tbl_task8[7]/tbl_task8[[คะแนนเต็ม]:[คะแนนเต็ม]])*tbl_task8[[%]:[%]])</f>
        <v/>
      </c>
      <c r="FV8" s="121" t="str">
        <f>IF(ISBLANK(tbl_task8[[คะแนนเต็ม]:[คะแนนเต็ม]]),"",(tbl_task8[8]/tbl_task8[[คะแนนเต็ม]:[คะแนนเต็ม]])*tbl_task8[[%]:[%]])</f>
        <v/>
      </c>
      <c r="FW8" s="121" t="str">
        <f>IF(ISBLANK(tbl_task8[[คะแนนเต็ม]:[คะแนนเต็ม]]),"",(tbl_task8[9]/tbl_task8[[คะแนนเต็ม]:[คะแนนเต็ม]])*tbl_task8[[%]:[%]])</f>
        <v/>
      </c>
      <c r="FX8" s="121" t="str">
        <f>IF(ISBLANK(tbl_task8[[คะแนนเต็ม]:[คะแนนเต็ม]]),"",(tbl_task8[10]/tbl_task8[[คะแนนเต็ม]:[คะแนนเต็ม]])*tbl_task8[[%]:[%]])</f>
        <v/>
      </c>
      <c r="FY8" s="121" t="str">
        <f>IF(ISBLANK(tbl_task8[[คะแนนเต็ม]:[คะแนนเต็ม]]),"",(tbl_task8[11]/tbl_task8[[คะแนนเต็ม]:[คะแนนเต็ม]])*tbl_task8[[%]:[%]])</f>
        <v/>
      </c>
      <c r="FZ8" s="121" t="str">
        <f>IF(ISBLANK(tbl_task8[[คะแนนเต็ม]:[คะแนนเต็ม]]),"",(tbl_task8[12]/tbl_task8[[คะแนนเต็ม]:[คะแนนเต็ม]])*tbl_task8[[%]:[%]])</f>
        <v/>
      </c>
      <c r="GA8" s="121" t="str">
        <f>IF(ISBLANK(tbl_task8[[คะแนนเต็ม]:[คะแนนเต็ม]]),"",(tbl_task8[13]/tbl_task8[[คะแนนเต็ม]:[คะแนนเต็ม]])*tbl_task8[[%]:[%]])</f>
        <v/>
      </c>
      <c r="GB8" s="121" t="str">
        <f>IF(ISBLANK(tbl_task8[[คะแนนเต็ม]:[คะแนนเต็ม]]),"",(tbl_task8[14]/tbl_task8[[คะแนนเต็ม]:[คะแนนเต็ม]])*tbl_task8[[%]:[%]])</f>
        <v/>
      </c>
      <c r="GC8" s="121" t="str">
        <f>IF(ISBLANK(tbl_task8[[คะแนนเต็ม]:[คะแนนเต็ม]]),"",(tbl_task8[15]/tbl_task8[[คะแนนเต็ม]:[คะแนนเต็ม]])*tbl_task8[[%]:[%]])</f>
        <v/>
      </c>
      <c r="GD8" s="121" t="str">
        <f>IF(ISBLANK(tbl_task8[[คะแนนเต็ม]:[คะแนนเต็ม]]),"",(tbl_task8[16]/tbl_task8[[คะแนนเต็ม]:[คะแนนเต็ม]])*tbl_task8[[%]:[%]])</f>
        <v/>
      </c>
      <c r="GE8" s="121" t="str">
        <f>IF(ISBLANK(tbl_task8[[คะแนนเต็ม]:[คะแนนเต็ม]]),"",(tbl_task8[17]/tbl_task8[[คะแนนเต็ม]:[คะแนนเต็ม]])*tbl_task8[[%]:[%]])</f>
        <v/>
      </c>
      <c r="GF8" s="121" t="str">
        <f>IF(ISBLANK(tbl_task8[[คะแนนเต็ม]:[คะแนนเต็ม]]),"",(tbl_task8[18]/tbl_task8[[คะแนนเต็ม]:[คะแนนเต็ม]])*tbl_task8[[%]:[%]])</f>
        <v/>
      </c>
      <c r="GG8" s="121" t="str">
        <f>IF(ISBLANK(tbl_task8[[คะแนนเต็ม]:[คะแนนเต็ม]]),"",(tbl_task8[19]/tbl_task8[[คะแนนเต็ม]:[คะแนนเต็ม]])*tbl_task8[[%]:[%]])</f>
        <v/>
      </c>
      <c r="GH8" s="121" t="str">
        <f>IF(ISBLANK(tbl_task8[[คะแนนเต็ม]:[คะแนนเต็ม]]),"",(tbl_task8[20]/tbl_task8[[คะแนนเต็ม]:[คะแนนเต็ม]])*tbl_task8[[%]:[%]])</f>
        <v/>
      </c>
      <c r="GI8" s="121" t="str">
        <f>IF(ISBLANK(tbl_task8[[คะแนนเต็ม]:[คะแนนเต็ม]]),"",(tbl_task8[21]/tbl_task8[[คะแนนเต็ม]:[คะแนนเต็ม]])*tbl_task8[[%]:[%]])</f>
        <v/>
      </c>
      <c r="GJ8" s="121" t="str">
        <f>IF(ISBLANK(tbl_task8[[คะแนนเต็ม]:[คะแนนเต็ม]]),"",(tbl_task8[22]/tbl_task8[[คะแนนเต็ม]:[คะแนนเต็ม]])*tbl_task8[[%]:[%]])</f>
        <v/>
      </c>
      <c r="GK8" s="121" t="str">
        <f>IF(ISBLANK(tbl_task8[[คะแนนเต็ม]:[คะแนนเต็ม]]),"",(tbl_task8[23]/tbl_task8[[คะแนนเต็ม]:[คะแนนเต็ม]])*tbl_task8[[%]:[%]])</f>
        <v/>
      </c>
      <c r="GL8" s="121" t="str">
        <f>IF(ISBLANK(tbl_task8[[คะแนนเต็ม]:[คะแนนเต็ม]]),"",(tbl_task8[24]/tbl_task8[[คะแนนเต็ม]:[คะแนนเต็ม]])*tbl_task8[[%]:[%]])</f>
        <v/>
      </c>
      <c r="GM8" s="121" t="str">
        <f>IF(ISBLANK(tbl_task8[[คะแนนเต็ม]:[คะแนนเต็ม]]),"",(tbl_task8[25]/tbl_task8[[คะแนนเต็ม]:[คะแนนเต็ม]])*tbl_task8[[%]:[%]])</f>
        <v/>
      </c>
      <c r="GN8" s="121" t="str">
        <f>IF(ISBLANK(tbl_task8[[คะแนนเต็ม]:[คะแนนเต็ม]]),"",(tbl_task8[26]/tbl_task8[[คะแนนเต็ม]:[คะแนนเต็ม]])*tbl_task8[[%]:[%]])</f>
        <v/>
      </c>
      <c r="GO8" s="121" t="str">
        <f>IF(ISBLANK(tbl_task8[[คะแนนเต็ม]:[คะแนนเต็ม]]),"",(tbl_task8[27]/tbl_task8[[คะแนนเต็ม]:[คะแนนเต็ม]])*tbl_task8[[%]:[%]])</f>
        <v/>
      </c>
      <c r="GP8" s="121" t="str">
        <f>IF(ISBLANK(tbl_task8[[คะแนนเต็ม]:[คะแนนเต็ม]]),"",(tbl_task8[28]/tbl_task8[[คะแนนเต็ม]:[คะแนนเต็ม]])*tbl_task8[[%]:[%]])</f>
        <v/>
      </c>
      <c r="GQ8" s="121" t="str">
        <f>IF(ISBLANK(tbl_task8[[คะแนนเต็ม]:[คะแนนเต็ม]]),"",(tbl_task8[29]/tbl_task8[[คะแนนเต็ม]:[คะแนนเต็ม]])*tbl_task8[[%]:[%]])</f>
        <v/>
      </c>
      <c r="GR8" s="121" t="str">
        <f>IF(ISBLANK(tbl_task8[[คะแนนเต็ม]:[คะแนนเต็ม]]),"",(tbl_task8[30]/tbl_task8[[คะแนนเต็ม]:[คะแนนเต็ม]])*tbl_task8[[%]:[%]])</f>
        <v/>
      </c>
      <c r="GS8" s="121" t="str">
        <f>IF(ISBLANK(tbl_task8[[คะแนนเต็ม]:[คะแนนเต็ม]]),"",(tbl_task8[31]/tbl_task8[[คะแนนเต็ม]:[คะแนนเต็ม]])*tbl_task8[[%]:[%]])</f>
        <v/>
      </c>
      <c r="GT8" s="121" t="str">
        <f>IF(ISBLANK(tbl_task8[[คะแนนเต็ม]:[คะแนนเต็ม]]),"",(tbl_task8[32]/tbl_task8[[คะแนนเต็ม]:[คะแนนเต็ม]])*tbl_task8[[%]:[%]])</f>
        <v/>
      </c>
      <c r="GU8" s="121" t="str">
        <f>IF(ISBLANK(tbl_task8[[คะแนนเต็ม]:[คะแนนเต็ม]]),"",(tbl_task8[33]/tbl_task8[[คะแนนเต็ม]:[คะแนนเต็ม]])*tbl_task8[[%]:[%]])</f>
        <v/>
      </c>
      <c r="GV8" s="121" t="str">
        <f>IF(ISBLANK(tbl_task8[[คะแนนเต็ม]:[คะแนนเต็ม]]),"",(tbl_task8[34]/tbl_task8[[คะแนนเต็ม]:[คะแนนเต็ม]])*tbl_task8[[%]:[%]])</f>
        <v/>
      </c>
      <c r="GW8" s="121" t="str">
        <f>IF(ISBLANK(tbl_task8[[คะแนนเต็ม]:[คะแนนเต็ม]]),"",(tbl_task8[35]/tbl_task8[[คะแนนเต็ม]:[คะแนนเต็ม]])*tbl_task8[[%]:[%]])</f>
        <v/>
      </c>
      <c r="GX8" s="121" t="str">
        <f>IF(ISBLANK(tbl_task8[[คะแนนเต็ม]:[คะแนนเต็ม]]),"",(tbl_task8[36]/tbl_task8[[คะแนนเต็ม]:[คะแนนเต็ม]])*tbl_task8[[%]:[%]])</f>
        <v/>
      </c>
      <c r="GY8" s="121" t="str">
        <f>IF(ISBLANK(tbl_task8[[คะแนนเต็ม]:[คะแนนเต็ม]]),"",(tbl_task8[37]/tbl_task8[[คะแนนเต็ม]:[คะแนนเต็ม]])*tbl_task8[[%]:[%]])</f>
        <v/>
      </c>
      <c r="GZ8" s="121" t="str">
        <f>IF(ISBLANK(tbl_task8[[คะแนนเต็ม]:[คะแนนเต็ม]]),"",(tbl_task8[38]/tbl_task8[[คะแนนเต็ม]:[คะแนนเต็ม]])*tbl_task8[[%]:[%]])</f>
        <v/>
      </c>
      <c r="HA8" s="121" t="str">
        <f>IF(ISBLANK(tbl_task8[[คะแนนเต็ม]:[คะแนนเต็ม]]),"",(tbl_task8[39]/tbl_task8[[คะแนนเต็ม]:[คะแนนเต็ม]])*tbl_task8[[%]:[%]])</f>
        <v/>
      </c>
      <c r="HB8" s="121" t="str">
        <f>IF(ISBLANK(tbl_task8[[คะแนนเต็ม]:[คะแนนเต็ม]]),"",(tbl_task8[40]/tbl_task8[[คะแนนเต็ม]:[คะแนนเต็ม]])*tbl_task8[[%]:[%]])</f>
        <v/>
      </c>
      <c r="HC8" s="121" t="str">
        <f>IF(ISBLANK(tbl_task8[[คะแนนเต็ม]:[คะแนนเต็ม]]),"",(tbl_task8[41]/tbl_task8[[คะแนนเต็ม]:[คะแนนเต็ม]])*tbl_task8[[%]:[%]])</f>
        <v/>
      </c>
      <c r="HD8" s="121" t="str">
        <f>IF(ISBLANK(tbl_task8[[คะแนนเต็ม]:[คะแนนเต็ม]]),"",(tbl_task8[42]/tbl_task8[[คะแนนเต็ม]:[คะแนนเต็ม]])*tbl_task8[[%]:[%]])</f>
        <v/>
      </c>
      <c r="HE8" s="121" t="str">
        <f>IF(ISBLANK(tbl_task8[[คะแนนเต็ม]:[คะแนนเต็ม]]),"",(tbl_task8[43]/tbl_task8[[คะแนนเต็ม]:[คะแนนเต็ม]])*tbl_task8[[%]:[%]])</f>
        <v/>
      </c>
      <c r="HF8" s="121" t="str">
        <f>IF(ISBLANK(tbl_task8[[คะแนนเต็ม]:[คะแนนเต็ม]]),"",(tbl_task8[44]/tbl_task8[[คะแนนเต็ม]:[คะแนนเต็ม]])*tbl_task8[[%]:[%]])</f>
        <v/>
      </c>
      <c r="HG8" s="121" t="str">
        <f>IF(ISBLANK(tbl_task8[[คะแนนเต็ม]:[คะแนนเต็ม]]),"",(tbl_task8[45]/tbl_task8[[คะแนนเต็ม]:[คะแนนเต็ม]])*tbl_task8[[%]:[%]])</f>
        <v/>
      </c>
      <c r="HH8" s="121" t="str">
        <f>IF(ISBLANK(tbl_task8[[คะแนนเต็ม]:[คะแนนเต็ม]]),"",(tbl_task8[46]/tbl_task8[[คะแนนเต็ม]:[คะแนนเต็ม]])*tbl_task8[[%]:[%]])</f>
        <v/>
      </c>
      <c r="HI8" s="121" t="str">
        <f>IF(ISBLANK(tbl_task8[[คะแนนเต็ม]:[คะแนนเต็ม]]),"",(tbl_task8[47]/tbl_task8[[คะแนนเต็ม]:[คะแนนเต็ม]])*tbl_task8[[%]:[%]])</f>
        <v/>
      </c>
      <c r="HJ8" s="121" t="str">
        <f>IF(ISBLANK(tbl_task8[[คะแนนเต็ม]:[คะแนนเต็ม]]),"",(tbl_task8[48]/tbl_task8[[คะแนนเต็ม]:[คะแนนเต็ม]])*tbl_task8[[%]:[%]])</f>
        <v/>
      </c>
      <c r="HK8" s="121" t="str">
        <f>IF(ISBLANK(tbl_task8[[คะแนนเต็ม]:[คะแนนเต็ม]]),"",(tbl_task8[49]/tbl_task8[[คะแนนเต็ม]:[คะแนนเต็ม]])*tbl_task8[[%]:[%]])</f>
        <v/>
      </c>
      <c r="HL8" s="121" t="str">
        <f>IF(ISBLANK(tbl_task8[[คะแนนเต็ม]:[คะแนนเต็ม]]),"",(tbl_task8[50]/tbl_task8[[คะแนนเต็ม]:[คะแนนเต็ม]])*tbl_task8[[%]:[%]])</f>
        <v/>
      </c>
      <c r="HM8" s="121" t="str">
        <f>IF(ISBLANK(tbl_task8[[คะแนนเต็ม]:[คะแนนเต็ม]]),"",(tbl_task8[51]/tbl_task8[[คะแนนเต็ม]:[คะแนนเต็ม]])*tbl_task8[[%]:[%]])</f>
        <v/>
      </c>
      <c r="HN8" s="121" t="str">
        <f>IF(ISBLANK(tbl_task8[[คะแนนเต็ม]:[คะแนนเต็ม]]),"",(tbl_task8[52]/tbl_task8[[คะแนนเต็ม]:[คะแนนเต็ม]])*tbl_task8[[%]:[%]])</f>
        <v/>
      </c>
      <c r="HO8" s="121" t="str">
        <f>IF(ISBLANK(tbl_task8[[คะแนนเต็ม]:[คะแนนเต็ม]]),"",(tbl_task8[53]/tbl_task8[[คะแนนเต็ม]:[คะแนนเต็ม]])*tbl_task8[[%]:[%]])</f>
        <v/>
      </c>
      <c r="HP8" s="121" t="str">
        <f>IF(ISBLANK(tbl_task8[[คะแนนเต็ม]:[คะแนนเต็ม]]),"",(tbl_task8[54]/tbl_task8[[คะแนนเต็ม]:[คะแนนเต็ม]])*tbl_task8[[%]:[%]])</f>
        <v/>
      </c>
      <c r="HQ8" s="121" t="str">
        <f>IF(ISBLANK(tbl_task8[[คะแนนเต็ม]:[คะแนนเต็ม]]),"",(tbl_task8[55]/tbl_task8[[คะแนนเต็ม]:[คะแนนเต็ม]])*tbl_task8[[%]:[%]])</f>
        <v/>
      </c>
      <c r="HR8" s="121" t="str">
        <f>IF(ISBLANK(tbl_task8[[คะแนนเต็ม]:[คะแนนเต็ม]]),"",(tbl_task8[56]/tbl_task8[[คะแนนเต็ม]:[คะแนนเต็ม]])*tbl_task8[[%]:[%]])</f>
        <v/>
      </c>
      <c r="HS8" s="121" t="str">
        <f>IF(ISBLANK(tbl_task8[[คะแนนเต็ม]:[คะแนนเต็ม]]),"",(tbl_task8[57]/tbl_task8[[คะแนนเต็ม]:[คะแนนเต็ม]])*tbl_task8[[%]:[%]])</f>
        <v/>
      </c>
      <c r="HT8" s="121" t="str">
        <f>IF(ISBLANK(tbl_task8[[คะแนนเต็ม]:[คะแนนเต็ม]]),"",(tbl_task8[58]/tbl_task8[[คะแนนเต็ม]:[คะแนนเต็ม]])*tbl_task8[[%]:[%]])</f>
        <v/>
      </c>
      <c r="HU8" s="121" t="str">
        <f>IF(ISBLANK(tbl_task8[[คะแนนเต็ม]:[คะแนนเต็ม]]),"",(tbl_task8[59]/tbl_task8[[คะแนนเต็ม]:[คะแนนเต็ม]])*tbl_task8[[%]:[%]])</f>
        <v/>
      </c>
      <c r="HV8" s="121" t="str">
        <f>IF(ISBLANK(tbl_task8[[คะแนนเต็ม]:[คะแนนเต็ม]]),"",(tbl_task8[60]/tbl_task8[[คะแนนเต็ม]:[คะแนนเต็ม]])*tbl_task8[[%]:[%]])</f>
        <v/>
      </c>
      <c r="HW8" s="121" t="str">
        <f>IF(ISBLANK(tbl_task8[[คะแนนเต็ม]:[คะแนนเต็ม]]),"",(tbl_task8[61]/tbl_task8[[คะแนนเต็ม]:[คะแนนเต็ม]])*tbl_task8[[%]:[%]])</f>
        <v/>
      </c>
      <c r="HX8" s="121" t="str">
        <f>IF(ISBLANK(tbl_task8[[คะแนนเต็ม]:[คะแนนเต็ม]]),"",(tbl_task8[62]/tbl_task8[[คะแนนเต็ม]:[คะแนนเต็ม]])*tbl_task8[[%]:[%]])</f>
        <v/>
      </c>
      <c r="HY8" s="121" t="str">
        <f>IF(ISBLANK(tbl_task8[[คะแนนเต็ม]:[คะแนนเต็ม]]),"",(tbl_task8[63]/tbl_task8[[คะแนนเต็ม]:[คะแนนเต็ม]])*tbl_task8[[%]:[%]])</f>
        <v/>
      </c>
      <c r="HZ8" s="121" t="str">
        <f>IF(ISBLANK(tbl_task8[[คะแนนเต็ม]:[คะแนนเต็ม]]),"",(tbl_task8[64]/tbl_task8[[คะแนนเต็ม]:[คะแนนเต็ม]])*tbl_task8[[%]:[%]])</f>
        <v/>
      </c>
      <c r="IA8" s="121" t="str">
        <f>IF(ISBLANK(tbl_task8[[คะแนนเต็ม]:[คะแนนเต็ม]]),"",(tbl_task8[65]/tbl_task8[[คะแนนเต็ม]:[คะแนนเต็ม]])*tbl_task8[[%]:[%]])</f>
        <v/>
      </c>
      <c r="IB8" s="121" t="str">
        <f>IF(ISBLANK(tbl_task8[[คะแนนเต็ม]:[คะแนนเต็ม]]),"",(tbl_task8[66]/tbl_task8[[คะแนนเต็ม]:[คะแนนเต็ม]])*tbl_task8[[%]:[%]])</f>
        <v/>
      </c>
      <c r="IC8" s="121" t="str">
        <f>IF(ISBLANK(tbl_task8[[คะแนนเต็ม]:[คะแนนเต็ม]]),"",(tbl_task8[67]/tbl_task8[[คะแนนเต็ม]:[คะแนนเต็ม]])*tbl_task8[[%]:[%]])</f>
        <v/>
      </c>
      <c r="ID8" s="121" t="str">
        <f>IF(ISBLANK(tbl_task8[[คะแนนเต็ม]:[คะแนนเต็ม]]),"",(tbl_task8[68]/tbl_task8[[คะแนนเต็ม]:[คะแนนเต็ม]])*tbl_task8[[%]:[%]])</f>
        <v/>
      </c>
      <c r="IE8" s="121" t="str">
        <f>IF(ISBLANK(tbl_task8[[คะแนนเต็ม]:[คะแนนเต็ม]]),"",(tbl_task8[69]/tbl_task8[[คะแนนเต็ม]:[คะแนนเต็ม]])*tbl_task8[[%]:[%]])</f>
        <v/>
      </c>
      <c r="IF8" s="121" t="str">
        <f>IF(ISBLANK(tbl_task8[[คะแนนเต็ม]:[คะแนนเต็ม]]),"",(tbl_task8[70]/tbl_task8[[คะแนนเต็ม]:[คะแนนเต็ม]])*tbl_task8[[%]:[%]])</f>
        <v/>
      </c>
      <c r="IG8" s="121" t="str">
        <f>IF(ISBLANK(tbl_task8[[คะแนนเต็ม]:[คะแนนเต็ม]]),"",(tbl_task8[71]/tbl_task8[[คะแนนเต็ม]:[คะแนนเต็ม]])*tbl_task8[[%]:[%]])</f>
        <v/>
      </c>
      <c r="IH8" s="121" t="str">
        <f>IF(ISBLANK(tbl_task8[[คะแนนเต็ม]:[คะแนนเต็ม]]),"",(tbl_task8[72]/tbl_task8[[คะแนนเต็ม]:[คะแนนเต็ม]])*tbl_task8[[%]:[%]])</f>
        <v/>
      </c>
      <c r="II8" s="121" t="str">
        <f>IF(ISBLANK(tbl_task8[[คะแนนเต็ม]:[คะแนนเต็ม]]),"",(tbl_task8[73]/tbl_task8[[คะแนนเต็ม]:[คะแนนเต็ม]])*tbl_task8[[%]:[%]])</f>
        <v/>
      </c>
      <c r="IJ8" s="121" t="str">
        <f>IF(ISBLANK(tbl_task8[[คะแนนเต็ม]:[คะแนนเต็ม]]),"",(tbl_task8[74]/tbl_task8[[คะแนนเต็ม]:[คะแนนเต็ม]])*tbl_task8[[%]:[%]])</f>
        <v/>
      </c>
      <c r="IK8" s="121" t="str">
        <f>IF(ISBLANK(tbl_task8[[คะแนนเต็ม]:[คะแนนเต็ม]]),"",(tbl_task8[75]/tbl_task8[[คะแนนเต็ม]:[คะแนนเต็ม]])*tbl_task8[[%]:[%]])</f>
        <v/>
      </c>
      <c r="IL8" s="121" t="str">
        <f>IF(ISBLANK(tbl_task8[[คะแนนเต็ม]:[คะแนนเต็ม]]),"",(tbl_task8[76]/tbl_task8[[คะแนนเต็ม]:[คะแนนเต็ม]])*tbl_task8[[%]:[%]])</f>
        <v/>
      </c>
      <c r="IM8" s="121" t="str">
        <f>IF(ISBLANK(tbl_task8[[คะแนนเต็ม]:[คะแนนเต็ม]]),"",(tbl_task8[77]/tbl_task8[[คะแนนเต็ม]:[คะแนนเต็ม]])*tbl_task8[[%]:[%]])</f>
        <v/>
      </c>
      <c r="IN8" s="121" t="str">
        <f>IF(ISBLANK(tbl_task8[[คะแนนเต็ม]:[คะแนนเต็ม]]),"",(tbl_task8[78]/tbl_task8[[คะแนนเต็ม]:[คะแนนเต็ม]])*tbl_task8[[%]:[%]])</f>
        <v/>
      </c>
      <c r="IO8" s="121" t="str">
        <f>IF(ISBLANK(tbl_task8[[คะแนนเต็ม]:[คะแนนเต็ม]]),"",(tbl_task8[79]/tbl_task8[[คะแนนเต็ม]:[คะแนนเต็ม]])*tbl_task8[[%]:[%]])</f>
        <v/>
      </c>
      <c r="IP8" s="121" t="str">
        <f>IF(ISBLANK(tbl_task8[[คะแนนเต็ม]:[คะแนนเต็ม]]),"",(tbl_task8[80]/tbl_task8[[คะแนนเต็ม]:[คะแนนเต็ม]])*tbl_task8[[%]:[%]])</f>
        <v/>
      </c>
      <c r="IQ8" s="121" t="str">
        <f>IF(ISBLANK(tbl_task8[[คะแนนเต็ม]:[คะแนนเต็ม]]),"",(tbl_task8[81]/tbl_task8[[คะแนนเต็ม]:[คะแนนเต็ม]])*tbl_task8[[%]:[%]])</f>
        <v/>
      </c>
      <c r="IR8" s="121" t="str">
        <f>IF(ISBLANK(tbl_task8[[คะแนนเต็ม]:[คะแนนเต็ม]]),"",(tbl_task8[82]/tbl_task8[[คะแนนเต็ม]:[คะแนนเต็ม]])*tbl_task8[[%]:[%]])</f>
        <v/>
      </c>
      <c r="IS8" s="121" t="str">
        <f>IF(ISBLANK(tbl_task8[[คะแนนเต็ม]:[คะแนนเต็ม]]),"",(tbl_task8[83]/tbl_task8[[คะแนนเต็ม]:[คะแนนเต็ม]])*tbl_task8[[%]:[%]])</f>
        <v/>
      </c>
      <c r="IT8" s="121" t="str">
        <f>IF(ISBLANK(tbl_task8[[คะแนนเต็ม]:[คะแนนเต็ม]]),"",(tbl_task8[84]/tbl_task8[[คะแนนเต็ม]:[คะแนนเต็ม]])*tbl_task8[[%]:[%]])</f>
        <v/>
      </c>
      <c r="IU8" s="121" t="str">
        <f>IF(ISBLANK(tbl_task8[[คะแนนเต็ม]:[คะแนนเต็ม]]),"",(tbl_task8[85]/tbl_task8[[คะแนนเต็ม]:[คะแนนเต็ม]])*tbl_task8[[%]:[%]])</f>
        <v/>
      </c>
      <c r="IV8" s="121" t="str">
        <f>IF(ISBLANK(tbl_task8[[คะแนนเต็ม]:[คะแนนเต็ม]]),"",(tbl_task8[86]/tbl_task8[[คะแนนเต็ม]:[คะแนนเต็ม]])*tbl_task8[[%]:[%]])</f>
        <v/>
      </c>
      <c r="IW8" s="121" t="str">
        <f>IF(ISBLANK(tbl_task8[[คะแนนเต็ม]:[คะแนนเต็ม]]),"",(tbl_task8[87]/tbl_task8[[คะแนนเต็ม]:[คะแนนเต็ม]])*tbl_task8[[%]:[%]])</f>
        <v/>
      </c>
      <c r="IX8" s="121" t="str">
        <f>IF(ISBLANK(tbl_task8[[คะแนนเต็ม]:[คะแนนเต็ม]]),"",(tbl_task8[88]/tbl_task8[[คะแนนเต็ม]:[คะแนนเต็ม]])*tbl_task8[[%]:[%]])</f>
        <v/>
      </c>
      <c r="IY8" s="121" t="str">
        <f>IF(ISBLANK(tbl_task8[[คะแนนเต็ม]:[คะแนนเต็ม]]),"",(tbl_task8[89]/tbl_task8[[คะแนนเต็ม]:[คะแนนเต็ม]])*tbl_task8[[%]:[%]])</f>
        <v/>
      </c>
      <c r="IZ8" s="121" t="str">
        <f>IF(ISBLANK(tbl_task8[[คะแนนเต็ม]:[คะแนนเต็ม]]),"",(tbl_task8[90]/tbl_task8[[คะแนนเต็ม]:[คะแนนเต็ม]])*tbl_task8[[%]:[%]])</f>
        <v/>
      </c>
      <c r="JA8" s="121" t="str">
        <f>IF(ISBLANK(tbl_task8[[คะแนนเต็ม]:[คะแนนเต็ม]]),"",(tbl_task8[91]/tbl_task8[[คะแนนเต็ม]:[คะแนนเต็ม]])*tbl_task8[[%]:[%]])</f>
        <v/>
      </c>
      <c r="JB8" s="121" t="str">
        <f>IF(ISBLANK(tbl_task8[[คะแนนเต็ม]:[คะแนนเต็ม]]),"",(tbl_task8[92]/tbl_task8[[คะแนนเต็ม]:[คะแนนเต็ม]])*tbl_task8[[%]:[%]])</f>
        <v/>
      </c>
      <c r="JC8" s="121" t="str">
        <f>IF(ISBLANK(tbl_task8[[คะแนนเต็ม]:[คะแนนเต็ม]]),"",(tbl_task8[93]/tbl_task8[[คะแนนเต็ม]:[คะแนนเต็ม]])*tbl_task8[[%]:[%]])</f>
        <v/>
      </c>
      <c r="JD8" s="121" t="str">
        <f>IF(ISBLANK(tbl_task8[[คะแนนเต็ม]:[คะแนนเต็ม]]),"",(tbl_task8[94]/tbl_task8[[คะแนนเต็ม]:[คะแนนเต็ม]])*tbl_task8[[%]:[%]])</f>
        <v/>
      </c>
      <c r="JE8" s="121" t="str">
        <f>IF(ISBLANK(tbl_task8[[คะแนนเต็ม]:[คะแนนเต็ม]]),"",(tbl_task8[95]/tbl_task8[[คะแนนเต็ม]:[คะแนนเต็ม]])*tbl_task8[[%]:[%]])</f>
        <v/>
      </c>
      <c r="JF8" s="121" t="str">
        <f>IF(ISBLANK(tbl_task8[[คะแนนเต็ม]:[คะแนนเต็ม]]),"",(tbl_task8[96]/tbl_task8[[คะแนนเต็ม]:[คะแนนเต็ม]])*tbl_task8[[%]:[%]])</f>
        <v/>
      </c>
      <c r="JG8" s="121" t="str">
        <f>IF(ISBLANK(tbl_task8[[คะแนนเต็ม]:[คะแนนเต็ม]]),"",(tbl_task8[97]/tbl_task8[[คะแนนเต็ม]:[คะแนนเต็ม]])*tbl_task8[[%]:[%]])</f>
        <v/>
      </c>
      <c r="JH8" s="121" t="str">
        <f>IF(ISBLANK(tbl_task8[[คะแนนเต็ม]:[คะแนนเต็ม]]),"",(tbl_task8[98]/tbl_task8[[คะแนนเต็ม]:[คะแนนเต็ม]])*tbl_task8[[%]:[%]])</f>
        <v/>
      </c>
      <c r="JI8" s="121" t="str">
        <f>IF(ISBLANK(tbl_task8[[คะแนนเต็ม]:[คะแนนเต็ม]]),"",(tbl_task8[99]/tbl_task8[[คะแนนเต็ม]:[คะแนนเต็ม]])*tbl_task8[[%]:[%]])</f>
        <v/>
      </c>
      <c r="JJ8" s="121" t="str">
        <f>IF(ISBLANK(tbl_task8[[คะแนนเต็ม]:[คะแนนเต็ม]]),"",(tbl_task8[100]/tbl_task8[[คะแนนเต็ม]:[คะแนนเต็ม]])*tbl_task8[[%]:[%]])</f>
        <v/>
      </c>
      <c r="JK8" s="121" t="str">
        <f>IF(ISBLANK(tbl_task8[[คะแนนเต็ม]:[คะแนนเต็ม]]),"",(tbl_task8[101]/tbl_task8[[คะแนนเต็ม]:[คะแนนเต็ม]])*tbl_task8[[%]:[%]])</f>
        <v/>
      </c>
      <c r="JL8" s="121" t="str">
        <f>IF(ISBLANK(tbl_task8[[คะแนนเต็ม]:[คะแนนเต็ม]]),"",(tbl_task8[102]/tbl_task8[[คะแนนเต็ม]:[คะแนนเต็ม]])*tbl_task8[[%]:[%]])</f>
        <v/>
      </c>
      <c r="JM8" s="121" t="str">
        <f>IF(ISBLANK(tbl_task8[[คะแนนเต็ม]:[คะแนนเต็ม]]),"",(tbl_task8[103]/tbl_task8[[คะแนนเต็ม]:[คะแนนเต็ม]])*tbl_task8[[%]:[%]])</f>
        <v/>
      </c>
      <c r="JN8" s="121" t="str">
        <f>IF(ISBLANK(tbl_task8[[คะแนนเต็ม]:[คะแนนเต็ม]]),"",(tbl_task8[104]/tbl_task8[[คะแนนเต็ม]:[คะแนนเต็ม]])*tbl_task8[[%]:[%]])</f>
        <v/>
      </c>
      <c r="JO8" s="121" t="str">
        <f>IF(ISBLANK(tbl_task8[[คะแนนเต็ม]:[คะแนนเต็ม]]),"",(tbl_task8[105]/tbl_task8[[คะแนนเต็ม]:[คะแนนเต็ม]])*tbl_task8[[%]:[%]])</f>
        <v/>
      </c>
      <c r="JP8" s="121" t="str">
        <f>IF(ISBLANK(tbl_task8[[คะแนนเต็ม]:[คะแนนเต็ม]]),"",(tbl_task8[106]/tbl_task8[[คะแนนเต็ม]:[คะแนนเต็ม]])*tbl_task8[[%]:[%]])</f>
        <v/>
      </c>
      <c r="JQ8" s="121" t="str">
        <f>IF(ISBLANK(tbl_task8[[คะแนนเต็ม]:[คะแนนเต็ม]]),"",(tbl_task8[107]/tbl_task8[[คะแนนเต็ม]:[คะแนนเต็ม]])*tbl_task8[[%]:[%]])</f>
        <v/>
      </c>
      <c r="JR8" s="121" t="str">
        <f>IF(ISBLANK(tbl_task8[[คะแนนเต็ม]:[คะแนนเต็ม]]),"",(tbl_task8[108]/tbl_task8[[คะแนนเต็ม]:[คะแนนเต็ม]])*tbl_task8[[%]:[%]])</f>
        <v/>
      </c>
      <c r="JS8" s="121" t="str">
        <f>IF(ISBLANK(tbl_task8[[คะแนนเต็ม]:[คะแนนเต็ม]]),"",(tbl_task8[109]/tbl_task8[[คะแนนเต็ม]:[คะแนนเต็ม]])*tbl_task8[[%]:[%]])</f>
        <v/>
      </c>
      <c r="JT8" s="121" t="str">
        <f>IF(ISBLANK(tbl_task8[[คะแนนเต็ม]:[คะแนนเต็ม]]),"",(tbl_task8[110]/tbl_task8[[คะแนนเต็ม]:[คะแนนเต็ม]])*tbl_task8[[%]:[%]])</f>
        <v/>
      </c>
      <c r="JU8" s="121" t="str">
        <f>IF(ISBLANK(tbl_task8[[คะแนนเต็ม]:[คะแนนเต็ม]]),"",(tbl_task8[111]/tbl_task8[[คะแนนเต็ม]:[คะแนนเต็ม]])*tbl_task8[[%]:[%]])</f>
        <v/>
      </c>
      <c r="JV8" s="121" t="str">
        <f>IF(ISBLANK(tbl_task8[[คะแนนเต็ม]:[คะแนนเต็ม]]),"",(tbl_task8[112]/tbl_task8[[คะแนนเต็ม]:[คะแนนเต็ม]])*tbl_task8[[%]:[%]])</f>
        <v/>
      </c>
      <c r="JW8" s="121" t="str">
        <f>IF(ISBLANK(tbl_task8[[คะแนนเต็ม]:[คะแนนเต็ม]]),"",(tbl_task8[113]/tbl_task8[[คะแนนเต็ม]:[คะแนนเต็ม]])*tbl_task8[[%]:[%]])</f>
        <v/>
      </c>
      <c r="JX8" s="121" t="str">
        <f>IF(ISBLANK(tbl_task8[[คะแนนเต็ม]:[คะแนนเต็ม]]),"",(tbl_task8[114]/tbl_task8[[คะแนนเต็ม]:[คะแนนเต็ม]])*tbl_task8[[%]:[%]])</f>
        <v/>
      </c>
      <c r="JY8" s="121" t="str">
        <f>IF(ISBLANK(tbl_task8[[คะแนนเต็ม]:[คะแนนเต็ม]]),"",(tbl_task8[115]/tbl_task8[[คะแนนเต็ม]:[คะแนนเต็ม]])*tbl_task8[[%]:[%]])</f>
        <v/>
      </c>
      <c r="JZ8" s="121" t="str">
        <f>IF(ISBLANK(tbl_task8[[คะแนนเต็ม]:[คะแนนเต็ม]]),"",(tbl_task8[116]/tbl_task8[[คะแนนเต็ม]:[คะแนนเต็ม]])*tbl_task8[[%]:[%]])</f>
        <v/>
      </c>
      <c r="KA8" s="121" t="str">
        <f>IF(ISBLANK(tbl_task8[[คะแนนเต็ม]:[คะแนนเต็ม]]),"",(tbl_task8[117]/tbl_task8[[คะแนนเต็ม]:[คะแนนเต็ม]])*tbl_task8[[%]:[%]])</f>
        <v/>
      </c>
      <c r="KB8" s="121" t="str">
        <f>IF(ISBLANK(tbl_task8[[คะแนนเต็ม]:[คะแนนเต็ม]]),"",(tbl_task8[118]/tbl_task8[[คะแนนเต็ม]:[คะแนนเต็ม]])*tbl_task8[[%]:[%]])</f>
        <v/>
      </c>
      <c r="KC8" s="121" t="str">
        <f>IF(ISBLANK(tbl_task8[[คะแนนเต็ม]:[คะแนนเต็ม]]),"",(tbl_task8[119]/tbl_task8[[คะแนนเต็ม]:[คะแนนเต็ม]])*tbl_task8[[%]:[%]])</f>
        <v/>
      </c>
      <c r="KD8" s="121" t="str">
        <f>IF(ISBLANK(tbl_task8[[คะแนนเต็ม]:[คะแนนเต็ม]]),"",(tbl_task8[120]/tbl_task8[[คะแนนเต็ม]:[คะแนนเต็ม]])*tbl_task8[[%]:[%]])</f>
        <v/>
      </c>
      <c r="KE8" s="121" t="str">
        <f>IF(ISBLANK(tbl_task8[[คะแนนเต็ม]:[คะแนนเต็ม]]),"",(tbl_task8[121]/tbl_task8[[คะแนนเต็ม]:[คะแนนเต็ม]])*tbl_task8[[%]:[%]])</f>
        <v/>
      </c>
      <c r="KF8" s="121" t="str">
        <f>IF(ISBLANK(tbl_task8[[คะแนนเต็ม]:[คะแนนเต็ม]]),"",(tbl_task8[122]/tbl_task8[[คะแนนเต็ม]:[คะแนนเต็ม]])*tbl_task8[[%]:[%]])</f>
        <v/>
      </c>
      <c r="KG8" s="121" t="str">
        <f>IF(ISBLANK(tbl_task8[[คะแนนเต็ม]:[คะแนนเต็ม]]),"",(tbl_task8[123]/tbl_task8[[คะแนนเต็ม]:[คะแนนเต็ม]])*tbl_task8[[%]:[%]])</f>
        <v/>
      </c>
      <c r="KH8" s="121" t="str">
        <f>IF(ISBLANK(tbl_task8[[คะแนนเต็ม]:[คะแนนเต็ม]]),"",(tbl_task8[124]/tbl_task8[[คะแนนเต็ม]:[คะแนนเต็ม]])*tbl_task8[[%]:[%]])</f>
        <v/>
      </c>
      <c r="KI8" s="121" t="str">
        <f>IF(ISBLANK(tbl_task8[[คะแนนเต็ม]:[คะแนนเต็ม]]),"",(tbl_task8[125]/tbl_task8[[คะแนนเต็ม]:[คะแนนเต็ม]])*tbl_task8[[%]:[%]])</f>
        <v/>
      </c>
      <c r="KJ8" s="121" t="str">
        <f>IF(ISBLANK(tbl_task8[[คะแนนเต็ม]:[คะแนนเต็ม]]),"",(tbl_task8[126]/tbl_task8[[คะแนนเต็ม]:[คะแนนเต็ม]])*tbl_task8[[%]:[%]])</f>
        <v/>
      </c>
      <c r="KK8" s="121" t="str">
        <f>IF(ISBLANK(tbl_task8[[คะแนนเต็ม]:[คะแนนเต็ม]]),"",(tbl_task8[127]/tbl_task8[[คะแนนเต็ม]:[คะแนนเต็ม]])*tbl_task8[[%]:[%]])</f>
        <v/>
      </c>
      <c r="KL8" s="121" t="str">
        <f>IF(ISBLANK(tbl_task8[[คะแนนเต็ม]:[คะแนนเต็ม]]),"",(tbl_task8[128]/tbl_task8[[คะแนนเต็ม]:[คะแนนเต็ม]])*tbl_task8[[%]:[%]])</f>
        <v/>
      </c>
      <c r="KM8" s="121" t="str">
        <f>IF(ISBLANK(tbl_task8[[คะแนนเต็ม]:[คะแนนเต็ม]]),"",(tbl_task8[129]/tbl_task8[[คะแนนเต็ม]:[คะแนนเต็ม]])*tbl_task8[[%]:[%]])</f>
        <v/>
      </c>
      <c r="KN8" s="121" t="str">
        <f>IF(ISBLANK(tbl_task8[[คะแนนเต็ม]:[คะแนนเต็ม]]),"",(tbl_task8[130]/tbl_task8[[คะแนนเต็ม]:[คะแนนเต็ม]])*tbl_task8[[%]:[%]])</f>
        <v/>
      </c>
      <c r="KO8" s="121" t="str">
        <f>IF(ISBLANK(tbl_task8[[คะแนนเต็ม]:[คะแนนเต็ม]]),"",(tbl_task8[131]/tbl_task8[[คะแนนเต็ม]:[คะแนนเต็ม]])*tbl_task8[[%]:[%]])</f>
        <v/>
      </c>
      <c r="KP8" s="121" t="str">
        <f>IF(ISBLANK(tbl_task8[[คะแนนเต็ม]:[คะแนนเต็ม]]),"",(tbl_task8[132]/tbl_task8[[คะแนนเต็ม]:[คะแนนเต็ม]])*tbl_task8[[%]:[%]])</f>
        <v/>
      </c>
      <c r="KQ8" s="121" t="str">
        <f>IF(ISBLANK(tbl_task8[[คะแนนเต็ม]:[คะแนนเต็ม]]),"",(tbl_task8[133]/tbl_task8[[คะแนนเต็ม]:[คะแนนเต็ม]])*tbl_task8[[%]:[%]])</f>
        <v/>
      </c>
      <c r="KR8" s="121" t="str">
        <f>IF(ISBLANK(tbl_task8[[คะแนนเต็ม]:[คะแนนเต็ม]]),"",(tbl_task8[134]/tbl_task8[[คะแนนเต็ม]:[คะแนนเต็ม]])*tbl_task8[[%]:[%]])</f>
        <v/>
      </c>
      <c r="KS8" s="121" t="str">
        <f>IF(ISBLANK(tbl_task8[[คะแนนเต็ม]:[คะแนนเต็ม]]),"",(tbl_task8[135]/tbl_task8[[คะแนนเต็ม]:[คะแนนเต็ม]])*tbl_task8[[%]:[%]])</f>
        <v/>
      </c>
      <c r="KT8" s="121" t="str">
        <f>IF(ISBLANK(tbl_task8[[คะแนนเต็ม]:[คะแนนเต็ม]]),"",(tbl_task8[136]/tbl_task8[[คะแนนเต็ม]:[คะแนนเต็ม]])*tbl_task8[[%]:[%]])</f>
        <v/>
      </c>
      <c r="KU8" s="121" t="str">
        <f>IF(ISBLANK(tbl_task8[[คะแนนเต็ม]:[คะแนนเต็ม]]),"",(tbl_task8[137]/tbl_task8[[คะแนนเต็ม]:[คะแนนเต็ม]])*tbl_task8[[%]:[%]])</f>
        <v/>
      </c>
      <c r="KV8" s="121" t="str">
        <f>IF(ISBLANK(tbl_task8[[คะแนนเต็ม]:[คะแนนเต็ม]]),"",(tbl_task8[138]/tbl_task8[[คะแนนเต็ม]:[คะแนนเต็ม]])*tbl_task8[[%]:[%]])</f>
        <v/>
      </c>
      <c r="KW8" s="121" t="str">
        <f>IF(ISBLANK(tbl_task8[[คะแนนเต็ม]:[คะแนนเต็ม]]),"",(tbl_task8[139]/tbl_task8[[คะแนนเต็ม]:[คะแนนเต็ม]])*tbl_task8[[%]:[%]])</f>
        <v/>
      </c>
      <c r="KX8" s="121" t="str">
        <f>IF(ISBLANK(tbl_task8[[คะแนนเต็ม]:[คะแนนเต็ม]]),"",(tbl_task8[140]/tbl_task8[[คะแนนเต็ม]:[คะแนนเต็ม]])*tbl_task8[[%]:[%]])</f>
        <v/>
      </c>
      <c r="KY8" s="121" t="str">
        <f>IF(ISBLANK(tbl_task8[[คะแนนเต็ม]:[คะแนนเต็ม]]),"",(tbl_task8[141]/tbl_task8[[คะแนนเต็ม]:[คะแนนเต็ม]])*tbl_task8[[%]:[%]])</f>
        <v/>
      </c>
      <c r="KZ8" s="121" t="str">
        <f>IF(ISBLANK(tbl_task8[[คะแนนเต็ม]:[คะแนนเต็ม]]),"",(tbl_task8[142]/tbl_task8[[คะแนนเต็ม]:[คะแนนเต็ม]])*tbl_task8[[%]:[%]])</f>
        <v/>
      </c>
      <c r="LA8" s="121" t="str">
        <f>IF(ISBLANK(tbl_task8[[คะแนนเต็ม]:[คะแนนเต็ม]]),"",(tbl_task8[143]/tbl_task8[[คะแนนเต็ม]:[คะแนนเต็ม]])*tbl_task8[[%]:[%]])</f>
        <v/>
      </c>
      <c r="LB8" s="121" t="str">
        <f>IF(ISBLANK(tbl_task8[[คะแนนเต็ม]:[คะแนนเต็ม]]),"",(tbl_task8[144]/tbl_task8[[คะแนนเต็ม]:[คะแนนเต็ม]])*tbl_task8[[%]:[%]])</f>
        <v/>
      </c>
      <c r="LC8" s="121" t="str">
        <f>IF(ISBLANK(tbl_task8[[คะแนนเต็ม]:[คะแนนเต็ม]]),"",(tbl_task8[145]/tbl_task8[[คะแนนเต็ม]:[คะแนนเต็ม]])*tbl_task8[[%]:[%]])</f>
        <v/>
      </c>
      <c r="LD8" s="121" t="str">
        <f>IF(ISBLANK(tbl_task8[[คะแนนเต็ม]:[คะแนนเต็ม]]),"",(tbl_task8[146]/tbl_task8[[คะแนนเต็ม]:[คะแนนเต็ม]])*tbl_task8[[%]:[%]])</f>
        <v/>
      </c>
      <c r="LE8" s="121" t="str">
        <f>IF(ISBLANK(tbl_task8[[คะแนนเต็ม]:[คะแนนเต็ม]]),"",(tbl_task8[147]/tbl_task8[[คะแนนเต็ม]:[คะแนนเต็ม]])*tbl_task8[[%]:[%]])</f>
        <v/>
      </c>
      <c r="LF8" s="121" t="str">
        <f>IF(ISBLANK(tbl_task8[[คะแนนเต็ม]:[คะแนนเต็ม]]),"",(tbl_task8[148]/tbl_task8[[คะแนนเต็ม]:[คะแนนเต็ม]])*tbl_task8[[%]:[%]])</f>
        <v/>
      </c>
      <c r="LG8" s="121" t="str">
        <f>IF(ISBLANK(tbl_task8[[คะแนนเต็ม]:[คะแนนเต็ม]]),"",(tbl_task8[149]/tbl_task8[[คะแนนเต็ม]:[คะแนนเต็ม]])*tbl_task8[[%]:[%]])</f>
        <v/>
      </c>
      <c r="LH8" s="121" t="str">
        <f>IF(ISBLANK(tbl_task8[[คะแนนเต็ม]:[คะแนนเต็ม]]),"",(tbl_task8[150]/tbl_task8[[คะแนนเต็ม]:[คะแนนเต็ม]])*tbl_task8[[%]:[%]])</f>
        <v/>
      </c>
      <c r="LI8" s="121" t="str">
        <f>IF(ISBLANK(tbl_task8[[คะแนนเต็ม]:[คะแนนเต็ม]]),"",(tbl_task8[151]/tbl_task8[[คะแนนเต็ม]:[คะแนนเต็ม]])*tbl_task8[[%]:[%]])</f>
        <v/>
      </c>
      <c r="LJ8" s="121" t="str">
        <f>IF(ISBLANK(tbl_task8[[คะแนนเต็ม]:[คะแนนเต็ม]]),"",(tbl_task8[152]/tbl_task8[[คะแนนเต็ม]:[คะแนนเต็ม]])*tbl_task8[[%]:[%]])</f>
        <v/>
      </c>
      <c r="LK8" s="121" t="str">
        <f>IF(ISBLANK(tbl_task8[[คะแนนเต็ม]:[คะแนนเต็ม]]),"",(tbl_task8[153]/tbl_task8[[คะแนนเต็ม]:[คะแนนเต็ม]])*tbl_task8[[%]:[%]])</f>
        <v/>
      </c>
      <c r="LL8" s="121" t="str">
        <f>IF(ISBLANK(tbl_task8[[คะแนนเต็ม]:[คะแนนเต็ม]]),"",(tbl_task8[154]/tbl_task8[[คะแนนเต็ม]:[คะแนนเต็ม]])*tbl_task8[[%]:[%]])</f>
        <v/>
      </c>
      <c r="LM8" s="121" t="str">
        <f>IF(ISBLANK(tbl_task8[[คะแนนเต็ม]:[คะแนนเต็ม]]),"",(tbl_task8[155]/tbl_task8[[คะแนนเต็ม]:[คะแนนเต็ม]])*tbl_task8[[%]:[%]])</f>
        <v/>
      </c>
      <c r="LN8" s="121" t="str">
        <f>IF(ISBLANK(tbl_task8[[คะแนนเต็ม]:[คะแนนเต็ม]]),"",(tbl_task8[156]/tbl_task8[[คะแนนเต็ม]:[คะแนนเต็ม]])*tbl_task8[[%]:[%]])</f>
        <v/>
      </c>
      <c r="LO8" s="121" t="str">
        <f>IF(ISBLANK(tbl_task8[[คะแนนเต็ม]:[คะแนนเต็ม]]),"",(tbl_task8[157]/tbl_task8[[คะแนนเต็ม]:[คะแนนเต็ม]])*tbl_task8[[%]:[%]])</f>
        <v/>
      </c>
      <c r="LP8" s="121" t="str">
        <f>IF(ISBLANK(tbl_task8[[คะแนนเต็ม]:[คะแนนเต็ม]]),"",(tbl_task8[158]/tbl_task8[[คะแนนเต็ม]:[คะแนนเต็ม]])*tbl_task8[[%]:[%]])</f>
        <v/>
      </c>
      <c r="LQ8" s="121" t="str">
        <f>IF(ISBLANK(tbl_task8[[คะแนนเต็ม]:[คะแนนเต็ม]]),"",(tbl_task8[159]/tbl_task8[[คะแนนเต็ม]:[คะแนนเต็ม]])*tbl_task8[[%]:[%]])</f>
        <v/>
      </c>
      <c r="LR8" s="121" t="str">
        <f>IF(ISBLANK(tbl_task8[[คะแนนเต็ม]:[คะแนนเต็ม]]),"",(tbl_task8[160]/tbl_task8[[คะแนนเต็ม]:[คะแนนเต็ม]])*tbl_task8[[%]:[%]])</f>
        <v/>
      </c>
      <c r="LS8" s="121" t="str">
        <f>IF(ISBLANK(tbl_task8[[คะแนนเต็ม]:[คะแนนเต็ม]]),"",(tbl_task8[161]/tbl_task8[[คะแนนเต็ม]:[คะแนนเต็ม]])*tbl_task8[[%]:[%]])</f>
        <v/>
      </c>
      <c r="LT8" s="121" t="str">
        <f>IF(ISBLANK(tbl_task8[[คะแนนเต็ม]:[คะแนนเต็ม]]),"",(tbl_task8[162]/tbl_task8[[คะแนนเต็ม]:[คะแนนเต็ม]])*tbl_task8[[%]:[%]])</f>
        <v/>
      </c>
      <c r="LU8" s="121" t="str">
        <f>IF(ISBLANK(tbl_task8[[คะแนนเต็ม]:[คะแนนเต็ม]]),"",(tbl_task8[163]/tbl_task8[[คะแนนเต็ม]:[คะแนนเต็ม]])*tbl_task8[[%]:[%]])</f>
        <v/>
      </c>
      <c r="LV8" s="121" t="str">
        <f>IF(ISBLANK(tbl_task8[[คะแนนเต็ม]:[คะแนนเต็ม]]),"",(tbl_task8[164]/tbl_task8[[คะแนนเต็ม]:[คะแนนเต็ม]])*tbl_task8[[%]:[%]])</f>
        <v/>
      </c>
      <c r="LW8" s="121" t="str">
        <f>IF(ISBLANK(tbl_task8[[คะแนนเต็ม]:[คะแนนเต็ม]]),"",(tbl_task8[165]/tbl_task8[[คะแนนเต็ม]:[คะแนนเต็ม]])*tbl_task8[[%]:[%]])</f>
        <v/>
      </c>
    </row>
    <row r="9" spans="1:335" x14ac:dyDescent="0.25">
      <c r="A9" s="24">
        <v>6</v>
      </c>
      <c r="B9" s="20"/>
      <c r="C9" s="5" t="str">
        <f>IF(ISBLANK(B9),"",VLOOKUP(B9,tbl_PLOs[],2,0))</f>
        <v/>
      </c>
      <c r="D9" s="102"/>
      <c r="E9" s="106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22"/>
      <c r="FO9" s="121" t="str">
        <f>IF(ISBLANK(tbl_task8[[คะแนนเต็ม]:[คะแนนเต็ม]]),"",(tbl_task8[1]/tbl_task8[[คะแนนเต็ม]:[คะแนนเต็ม]])*tbl_task8[[%]:[%]])</f>
        <v/>
      </c>
      <c r="FP9" s="121" t="str">
        <f>IF(ISBLANK(tbl_task8[[คะแนนเต็ม]:[คะแนนเต็ม]]),"",(tbl_task8[2]/tbl_task8[[คะแนนเต็ม]:[คะแนนเต็ม]])*tbl_task8[[%]:[%]])</f>
        <v/>
      </c>
      <c r="FQ9" s="121" t="str">
        <f>IF(ISBLANK(tbl_task8[[คะแนนเต็ม]:[คะแนนเต็ม]]),"",(tbl_task8[3]/tbl_task8[[คะแนนเต็ม]:[คะแนนเต็ม]])*tbl_task8[[%]:[%]])</f>
        <v/>
      </c>
      <c r="FR9" s="121" t="str">
        <f>IF(ISBLANK(tbl_task8[[คะแนนเต็ม]:[คะแนนเต็ม]]),"",(tbl_task8[4]/tbl_task8[[คะแนนเต็ม]:[คะแนนเต็ม]])*tbl_task8[[%]:[%]])</f>
        <v/>
      </c>
      <c r="FS9" s="121" t="str">
        <f>IF(ISBLANK(tbl_task8[[คะแนนเต็ม]:[คะแนนเต็ม]]),"",(tbl_task8[5]/tbl_task8[[คะแนนเต็ม]:[คะแนนเต็ม]])*tbl_task8[[%]:[%]])</f>
        <v/>
      </c>
      <c r="FT9" s="121" t="str">
        <f>IF(ISBLANK(tbl_task8[[คะแนนเต็ม]:[คะแนนเต็ม]]),"",(tbl_task8[6]/tbl_task8[[คะแนนเต็ม]:[คะแนนเต็ม]])*tbl_task8[[%]:[%]])</f>
        <v/>
      </c>
      <c r="FU9" s="121" t="str">
        <f>IF(ISBLANK(tbl_task8[[คะแนนเต็ม]:[คะแนนเต็ม]]),"",(tbl_task8[7]/tbl_task8[[คะแนนเต็ม]:[คะแนนเต็ม]])*tbl_task8[[%]:[%]])</f>
        <v/>
      </c>
      <c r="FV9" s="121" t="str">
        <f>IF(ISBLANK(tbl_task8[[คะแนนเต็ม]:[คะแนนเต็ม]]),"",(tbl_task8[8]/tbl_task8[[คะแนนเต็ม]:[คะแนนเต็ม]])*tbl_task8[[%]:[%]])</f>
        <v/>
      </c>
      <c r="FW9" s="121" t="str">
        <f>IF(ISBLANK(tbl_task8[[คะแนนเต็ม]:[คะแนนเต็ม]]),"",(tbl_task8[9]/tbl_task8[[คะแนนเต็ม]:[คะแนนเต็ม]])*tbl_task8[[%]:[%]])</f>
        <v/>
      </c>
      <c r="FX9" s="121" t="str">
        <f>IF(ISBLANK(tbl_task8[[คะแนนเต็ม]:[คะแนนเต็ม]]),"",(tbl_task8[10]/tbl_task8[[คะแนนเต็ม]:[คะแนนเต็ม]])*tbl_task8[[%]:[%]])</f>
        <v/>
      </c>
      <c r="FY9" s="121" t="str">
        <f>IF(ISBLANK(tbl_task8[[คะแนนเต็ม]:[คะแนนเต็ม]]),"",(tbl_task8[11]/tbl_task8[[คะแนนเต็ม]:[คะแนนเต็ม]])*tbl_task8[[%]:[%]])</f>
        <v/>
      </c>
      <c r="FZ9" s="121" t="str">
        <f>IF(ISBLANK(tbl_task8[[คะแนนเต็ม]:[คะแนนเต็ม]]),"",(tbl_task8[12]/tbl_task8[[คะแนนเต็ม]:[คะแนนเต็ม]])*tbl_task8[[%]:[%]])</f>
        <v/>
      </c>
      <c r="GA9" s="121" t="str">
        <f>IF(ISBLANK(tbl_task8[[คะแนนเต็ม]:[คะแนนเต็ม]]),"",(tbl_task8[13]/tbl_task8[[คะแนนเต็ม]:[คะแนนเต็ม]])*tbl_task8[[%]:[%]])</f>
        <v/>
      </c>
      <c r="GB9" s="121" t="str">
        <f>IF(ISBLANK(tbl_task8[[คะแนนเต็ม]:[คะแนนเต็ม]]),"",(tbl_task8[14]/tbl_task8[[คะแนนเต็ม]:[คะแนนเต็ม]])*tbl_task8[[%]:[%]])</f>
        <v/>
      </c>
      <c r="GC9" s="121" t="str">
        <f>IF(ISBLANK(tbl_task8[[คะแนนเต็ม]:[คะแนนเต็ม]]),"",(tbl_task8[15]/tbl_task8[[คะแนนเต็ม]:[คะแนนเต็ม]])*tbl_task8[[%]:[%]])</f>
        <v/>
      </c>
      <c r="GD9" s="121" t="str">
        <f>IF(ISBLANK(tbl_task8[[คะแนนเต็ม]:[คะแนนเต็ม]]),"",(tbl_task8[16]/tbl_task8[[คะแนนเต็ม]:[คะแนนเต็ม]])*tbl_task8[[%]:[%]])</f>
        <v/>
      </c>
      <c r="GE9" s="121" t="str">
        <f>IF(ISBLANK(tbl_task8[[คะแนนเต็ม]:[คะแนนเต็ม]]),"",(tbl_task8[17]/tbl_task8[[คะแนนเต็ม]:[คะแนนเต็ม]])*tbl_task8[[%]:[%]])</f>
        <v/>
      </c>
      <c r="GF9" s="121" t="str">
        <f>IF(ISBLANK(tbl_task8[[คะแนนเต็ม]:[คะแนนเต็ม]]),"",(tbl_task8[18]/tbl_task8[[คะแนนเต็ม]:[คะแนนเต็ม]])*tbl_task8[[%]:[%]])</f>
        <v/>
      </c>
      <c r="GG9" s="121" t="str">
        <f>IF(ISBLANK(tbl_task8[[คะแนนเต็ม]:[คะแนนเต็ม]]),"",(tbl_task8[19]/tbl_task8[[คะแนนเต็ม]:[คะแนนเต็ม]])*tbl_task8[[%]:[%]])</f>
        <v/>
      </c>
      <c r="GH9" s="121" t="str">
        <f>IF(ISBLANK(tbl_task8[[คะแนนเต็ม]:[คะแนนเต็ม]]),"",(tbl_task8[20]/tbl_task8[[คะแนนเต็ม]:[คะแนนเต็ม]])*tbl_task8[[%]:[%]])</f>
        <v/>
      </c>
      <c r="GI9" s="121" t="str">
        <f>IF(ISBLANK(tbl_task8[[คะแนนเต็ม]:[คะแนนเต็ม]]),"",(tbl_task8[21]/tbl_task8[[คะแนนเต็ม]:[คะแนนเต็ม]])*tbl_task8[[%]:[%]])</f>
        <v/>
      </c>
      <c r="GJ9" s="121" t="str">
        <f>IF(ISBLANK(tbl_task8[[คะแนนเต็ม]:[คะแนนเต็ม]]),"",(tbl_task8[22]/tbl_task8[[คะแนนเต็ม]:[คะแนนเต็ม]])*tbl_task8[[%]:[%]])</f>
        <v/>
      </c>
      <c r="GK9" s="121" t="str">
        <f>IF(ISBLANK(tbl_task8[[คะแนนเต็ม]:[คะแนนเต็ม]]),"",(tbl_task8[23]/tbl_task8[[คะแนนเต็ม]:[คะแนนเต็ม]])*tbl_task8[[%]:[%]])</f>
        <v/>
      </c>
      <c r="GL9" s="121" t="str">
        <f>IF(ISBLANK(tbl_task8[[คะแนนเต็ม]:[คะแนนเต็ม]]),"",(tbl_task8[24]/tbl_task8[[คะแนนเต็ม]:[คะแนนเต็ม]])*tbl_task8[[%]:[%]])</f>
        <v/>
      </c>
      <c r="GM9" s="121" t="str">
        <f>IF(ISBLANK(tbl_task8[[คะแนนเต็ม]:[คะแนนเต็ม]]),"",(tbl_task8[25]/tbl_task8[[คะแนนเต็ม]:[คะแนนเต็ม]])*tbl_task8[[%]:[%]])</f>
        <v/>
      </c>
      <c r="GN9" s="121" t="str">
        <f>IF(ISBLANK(tbl_task8[[คะแนนเต็ม]:[คะแนนเต็ม]]),"",(tbl_task8[26]/tbl_task8[[คะแนนเต็ม]:[คะแนนเต็ม]])*tbl_task8[[%]:[%]])</f>
        <v/>
      </c>
      <c r="GO9" s="121" t="str">
        <f>IF(ISBLANK(tbl_task8[[คะแนนเต็ม]:[คะแนนเต็ม]]),"",(tbl_task8[27]/tbl_task8[[คะแนนเต็ม]:[คะแนนเต็ม]])*tbl_task8[[%]:[%]])</f>
        <v/>
      </c>
      <c r="GP9" s="121" t="str">
        <f>IF(ISBLANK(tbl_task8[[คะแนนเต็ม]:[คะแนนเต็ม]]),"",(tbl_task8[28]/tbl_task8[[คะแนนเต็ม]:[คะแนนเต็ม]])*tbl_task8[[%]:[%]])</f>
        <v/>
      </c>
      <c r="GQ9" s="121" t="str">
        <f>IF(ISBLANK(tbl_task8[[คะแนนเต็ม]:[คะแนนเต็ม]]),"",(tbl_task8[29]/tbl_task8[[คะแนนเต็ม]:[คะแนนเต็ม]])*tbl_task8[[%]:[%]])</f>
        <v/>
      </c>
      <c r="GR9" s="121" t="str">
        <f>IF(ISBLANK(tbl_task8[[คะแนนเต็ม]:[คะแนนเต็ม]]),"",(tbl_task8[30]/tbl_task8[[คะแนนเต็ม]:[คะแนนเต็ม]])*tbl_task8[[%]:[%]])</f>
        <v/>
      </c>
      <c r="GS9" s="121" t="str">
        <f>IF(ISBLANK(tbl_task8[[คะแนนเต็ม]:[คะแนนเต็ม]]),"",(tbl_task8[31]/tbl_task8[[คะแนนเต็ม]:[คะแนนเต็ม]])*tbl_task8[[%]:[%]])</f>
        <v/>
      </c>
      <c r="GT9" s="121" t="str">
        <f>IF(ISBLANK(tbl_task8[[คะแนนเต็ม]:[คะแนนเต็ม]]),"",(tbl_task8[32]/tbl_task8[[คะแนนเต็ม]:[คะแนนเต็ม]])*tbl_task8[[%]:[%]])</f>
        <v/>
      </c>
      <c r="GU9" s="121" t="str">
        <f>IF(ISBLANK(tbl_task8[[คะแนนเต็ม]:[คะแนนเต็ม]]),"",(tbl_task8[33]/tbl_task8[[คะแนนเต็ม]:[คะแนนเต็ม]])*tbl_task8[[%]:[%]])</f>
        <v/>
      </c>
      <c r="GV9" s="121" t="str">
        <f>IF(ISBLANK(tbl_task8[[คะแนนเต็ม]:[คะแนนเต็ม]]),"",(tbl_task8[34]/tbl_task8[[คะแนนเต็ม]:[คะแนนเต็ม]])*tbl_task8[[%]:[%]])</f>
        <v/>
      </c>
      <c r="GW9" s="121" t="str">
        <f>IF(ISBLANK(tbl_task8[[คะแนนเต็ม]:[คะแนนเต็ม]]),"",(tbl_task8[35]/tbl_task8[[คะแนนเต็ม]:[คะแนนเต็ม]])*tbl_task8[[%]:[%]])</f>
        <v/>
      </c>
      <c r="GX9" s="121" t="str">
        <f>IF(ISBLANK(tbl_task8[[คะแนนเต็ม]:[คะแนนเต็ม]]),"",(tbl_task8[36]/tbl_task8[[คะแนนเต็ม]:[คะแนนเต็ม]])*tbl_task8[[%]:[%]])</f>
        <v/>
      </c>
      <c r="GY9" s="121" t="str">
        <f>IF(ISBLANK(tbl_task8[[คะแนนเต็ม]:[คะแนนเต็ม]]),"",(tbl_task8[37]/tbl_task8[[คะแนนเต็ม]:[คะแนนเต็ม]])*tbl_task8[[%]:[%]])</f>
        <v/>
      </c>
      <c r="GZ9" s="121" t="str">
        <f>IF(ISBLANK(tbl_task8[[คะแนนเต็ม]:[คะแนนเต็ม]]),"",(tbl_task8[38]/tbl_task8[[คะแนนเต็ม]:[คะแนนเต็ม]])*tbl_task8[[%]:[%]])</f>
        <v/>
      </c>
      <c r="HA9" s="121" t="str">
        <f>IF(ISBLANK(tbl_task8[[คะแนนเต็ม]:[คะแนนเต็ม]]),"",(tbl_task8[39]/tbl_task8[[คะแนนเต็ม]:[คะแนนเต็ม]])*tbl_task8[[%]:[%]])</f>
        <v/>
      </c>
      <c r="HB9" s="121" t="str">
        <f>IF(ISBLANK(tbl_task8[[คะแนนเต็ม]:[คะแนนเต็ม]]),"",(tbl_task8[40]/tbl_task8[[คะแนนเต็ม]:[คะแนนเต็ม]])*tbl_task8[[%]:[%]])</f>
        <v/>
      </c>
      <c r="HC9" s="121" t="str">
        <f>IF(ISBLANK(tbl_task8[[คะแนนเต็ม]:[คะแนนเต็ม]]),"",(tbl_task8[41]/tbl_task8[[คะแนนเต็ม]:[คะแนนเต็ม]])*tbl_task8[[%]:[%]])</f>
        <v/>
      </c>
      <c r="HD9" s="121" t="str">
        <f>IF(ISBLANK(tbl_task8[[คะแนนเต็ม]:[คะแนนเต็ม]]),"",(tbl_task8[42]/tbl_task8[[คะแนนเต็ม]:[คะแนนเต็ม]])*tbl_task8[[%]:[%]])</f>
        <v/>
      </c>
      <c r="HE9" s="121" t="str">
        <f>IF(ISBLANK(tbl_task8[[คะแนนเต็ม]:[คะแนนเต็ม]]),"",(tbl_task8[43]/tbl_task8[[คะแนนเต็ม]:[คะแนนเต็ม]])*tbl_task8[[%]:[%]])</f>
        <v/>
      </c>
      <c r="HF9" s="121" t="str">
        <f>IF(ISBLANK(tbl_task8[[คะแนนเต็ม]:[คะแนนเต็ม]]),"",(tbl_task8[44]/tbl_task8[[คะแนนเต็ม]:[คะแนนเต็ม]])*tbl_task8[[%]:[%]])</f>
        <v/>
      </c>
      <c r="HG9" s="121" t="str">
        <f>IF(ISBLANK(tbl_task8[[คะแนนเต็ม]:[คะแนนเต็ม]]),"",(tbl_task8[45]/tbl_task8[[คะแนนเต็ม]:[คะแนนเต็ม]])*tbl_task8[[%]:[%]])</f>
        <v/>
      </c>
      <c r="HH9" s="121" t="str">
        <f>IF(ISBLANK(tbl_task8[[คะแนนเต็ม]:[คะแนนเต็ม]]),"",(tbl_task8[46]/tbl_task8[[คะแนนเต็ม]:[คะแนนเต็ม]])*tbl_task8[[%]:[%]])</f>
        <v/>
      </c>
      <c r="HI9" s="121" t="str">
        <f>IF(ISBLANK(tbl_task8[[คะแนนเต็ม]:[คะแนนเต็ม]]),"",(tbl_task8[47]/tbl_task8[[คะแนนเต็ม]:[คะแนนเต็ม]])*tbl_task8[[%]:[%]])</f>
        <v/>
      </c>
      <c r="HJ9" s="121" t="str">
        <f>IF(ISBLANK(tbl_task8[[คะแนนเต็ม]:[คะแนนเต็ม]]),"",(tbl_task8[48]/tbl_task8[[คะแนนเต็ม]:[คะแนนเต็ม]])*tbl_task8[[%]:[%]])</f>
        <v/>
      </c>
      <c r="HK9" s="121" t="str">
        <f>IF(ISBLANK(tbl_task8[[คะแนนเต็ม]:[คะแนนเต็ม]]),"",(tbl_task8[49]/tbl_task8[[คะแนนเต็ม]:[คะแนนเต็ม]])*tbl_task8[[%]:[%]])</f>
        <v/>
      </c>
      <c r="HL9" s="121" t="str">
        <f>IF(ISBLANK(tbl_task8[[คะแนนเต็ม]:[คะแนนเต็ม]]),"",(tbl_task8[50]/tbl_task8[[คะแนนเต็ม]:[คะแนนเต็ม]])*tbl_task8[[%]:[%]])</f>
        <v/>
      </c>
      <c r="HM9" s="121" t="str">
        <f>IF(ISBLANK(tbl_task8[[คะแนนเต็ม]:[คะแนนเต็ม]]),"",(tbl_task8[51]/tbl_task8[[คะแนนเต็ม]:[คะแนนเต็ม]])*tbl_task8[[%]:[%]])</f>
        <v/>
      </c>
      <c r="HN9" s="121" t="str">
        <f>IF(ISBLANK(tbl_task8[[คะแนนเต็ม]:[คะแนนเต็ม]]),"",(tbl_task8[52]/tbl_task8[[คะแนนเต็ม]:[คะแนนเต็ม]])*tbl_task8[[%]:[%]])</f>
        <v/>
      </c>
      <c r="HO9" s="121" t="str">
        <f>IF(ISBLANK(tbl_task8[[คะแนนเต็ม]:[คะแนนเต็ม]]),"",(tbl_task8[53]/tbl_task8[[คะแนนเต็ม]:[คะแนนเต็ม]])*tbl_task8[[%]:[%]])</f>
        <v/>
      </c>
      <c r="HP9" s="121" t="str">
        <f>IF(ISBLANK(tbl_task8[[คะแนนเต็ม]:[คะแนนเต็ม]]),"",(tbl_task8[54]/tbl_task8[[คะแนนเต็ม]:[คะแนนเต็ม]])*tbl_task8[[%]:[%]])</f>
        <v/>
      </c>
      <c r="HQ9" s="121" t="str">
        <f>IF(ISBLANK(tbl_task8[[คะแนนเต็ม]:[คะแนนเต็ม]]),"",(tbl_task8[55]/tbl_task8[[คะแนนเต็ม]:[คะแนนเต็ม]])*tbl_task8[[%]:[%]])</f>
        <v/>
      </c>
      <c r="HR9" s="121" t="str">
        <f>IF(ISBLANK(tbl_task8[[คะแนนเต็ม]:[คะแนนเต็ม]]),"",(tbl_task8[56]/tbl_task8[[คะแนนเต็ม]:[คะแนนเต็ม]])*tbl_task8[[%]:[%]])</f>
        <v/>
      </c>
      <c r="HS9" s="121" t="str">
        <f>IF(ISBLANK(tbl_task8[[คะแนนเต็ม]:[คะแนนเต็ม]]),"",(tbl_task8[57]/tbl_task8[[คะแนนเต็ม]:[คะแนนเต็ม]])*tbl_task8[[%]:[%]])</f>
        <v/>
      </c>
      <c r="HT9" s="121" t="str">
        <f>IF(ISBLANK(tbl_task8[[คะแนนเต็ม]:[คะแนนเต็ม]]),"",(tbl_task8[58]/tbl_task8[[คะแนนเต็ม]:[คะแนนเต็ม]])*tbl_task8[[%]:[%]])</f>
        <v/>
      </c>
      <c r="HU9" s="121" t="str">
        <f>IF(ISBLANK(tbl_task8[[คะแนนเต็ม]:[คะแนนเต็ม]]),"",(tbl_task8[59]/tbl_task8[[คะแนนเต็ม]:[คะแนนเต็ม]])*tbl_task8[[%]:[%]])</f>
        <v/>
      </c>
      <c r="HV9" s="121" t="str">
        <f>IF(ISBLANK(tbl_task8[[คะแนนเต็ม]:[คะแนนเต็ม]]),"",(tbl_task8[60]/tbl_task8[[คะแนนเต็ม]:[คะแนนเต็ม]])*tbl_task8[[%]:[%]])</f>
        <v/>
      </c>
      <c r="HW9" s="121" t="str">
        <f>IF(ISBLANK(tbl_task8[[คะแนนเต็ม]:[คะแนนเต็ม]]),"",(tbl_task8[61]/tbl_task8[[คะแนนเต็ม]:[คะแนนเต็ม]])*tbl_task8[[%]:[%]])</f>
        <v/>
      </c>
      <c r="HX9" s="121" t="str">
        <f>IF(ISBLANK(tbl_task8[[คะแนนเต็ม]:[คะแนนเต็ม]]),"",(tbl_task8[62]/tbl_task8[[คะแนนเต็ม]:[คะแนนเต็ม]])*tbl_task8[[%]:[%]])</f>
        <v/>
      </c>
      <c r="HY9" s="121" t="str">
        <f>IF(ISBLANK(tbl_task8[[คะแนนเต็ม]:[คะแนนเต็ม]]),"",(tbl_task8[63]/tbl_task8[[คะแนนเต็ม]:[คะแนนเต็ม]])*tbl_task8[[%]:[%]])</f>
        <v/>
      </c>
      <c r="HZ9" s="121" t="str">
        <f>IF(ISBLANK(tbl_task8[[คะแนนเต็ม]:[คะแนนเต็ม]]),"",(tbl_task8[64]/tbl_task8[[คะแนนเต็ม]:[คะแนนเต็ม]])*tbl_task8[[%]:[%]])</f>
        <v/>
      </c>
      <c r="IA9" s="121" t="str">
        <f>IF(ISBLANK(tbl_task8[[คะแนนเต็ม]:[คะแนนเต็ม]]),"",(tbl_task8[65]/tbl_task8[[คะแนนเต็ม]:[คะแนนเต็ม]])*tbl_task8[[%]:[%]])</f>
        <v/>
      </c>
      <c r="IB9" s="121" t="str">
        <f>IF(ISBLANK(tbl_task8[[คะแนนเต็ม]:[คะแนนเต็ม]]),"",(tbl_task8[66]/tbl_task8[[คะแนนเต็ม]:[คะแนนเต็ม]])*tbl_task8[[%]:[%]])</f>
        <v/>
      </c>
      <c r="IC9" s="121" t="str">
        <f>IF(ISBLANK(tbl_task8[[คะแนนเต็ม]:[คะแนนเต็ม]]),"",(tbl_task8[67]/tbl_task8[[คะแนนเต็ม]:[คะแนนเต็ม]])*tbl_task8[[%]:[%]])</f>
        <v/>
      </c>
      <c r="ID9" s="121" t="str">
        <f>IF(ISBLANK(tbl_task8[[คะแนนเต็ม]:[คะแนนเต็ม]]),"",(tbl_task8[68]/tbl_task8[[คะแนนเต็ม]:[คะแนนเต็ม]])*tbl_task8[[%]:[%]])</f>
        <v/>
      </c>
      <c r="IE9" s="121" t="str">
        <f>IF(ISBLANK(tbl_task8[[คะแนนเต็ม]:[คะแนนเต็ม]]),"",(tbl_task8[69]/tbl_task8[[คะแนนเต็ม]:[คะแนนเต็ม]])*tbl_task8[[%]:[%]])</f>
        <v/>
      </c>
      <c r="IF9" s="121" t="str">
        <f>IF(ISBLANK(tbl_task8[[คะแนนเต็ม]:[คะแนนเต็ม]]),"",(tbl_task8[70]/tbl_task8[[คะแนนเต็ม]:[คะแนนเต็ม]])*tbl_task8[[%]:[%]])</f>
        <v/>
      </c>
      <c r="IG9" s="121" t="str">
        <f>IF(ISBLANK(tbl_task8[[คะแนนเต็ม]:[คะแนนเต็ม]]),"",(tbl_task8[71]/tbl_task8[[คะแนนเต็ม]:[คะแนนเต็ม]])*tbl_task8[[%]:[%]])</f>
        <v/>
      </c>
      <c r="IH9" s="121" t="str">
        <f>IF(ISBLANK(tbl_task8[[คะแนนเต็ม]:[คะแนนเต็ม]]),"",(tbl_task8[72]/tbl_task8[[คะแนนเต็ม]:[คะแนนเต็ม]])*tbl_task8[[%]:[%]])</f>
        <v/>
      </c>
      <c r="II9" s="121" t="str">
        <f>IF(ISBLANK(tbl_task8[[คะแนนเต็ม]:[คะแนนเต็ม]]),"",(tbl_task8[73]/tbl_task8[[คะแนนเต็ม]:[คะแนนเต็ม]])*tbl_task8[[%]:[%]])</f>
        <v/>
      </c>
      <c r="IJ9" s="121" t="str">
        <f>IF(ISBLANK(tbl_task8[[คะแนนเต็ม]:[คะแนนเต็ม]]),"",(tbl_task8[74]/tbl_task8[[คะแนนเต็ม]:[คะแนนเต็ม]])*tbl_task8[[%]:[%]])</f>
        <v/>
      </c>
      <c r="IK9" s="121" t="str">
        <f>IF(ISBLANK(tbl_task8[[คะแนนเต็ม]:[คะแนนเต็ม]]),"",(tbl_task8[75]/tbl_task8[[คะแนนเต็ม]:[คะแนนเต็ม]])*tbl_task8[[%]:[%]])</f>
        <v/>
      </c>
      <c r="IL9" s="121" t="str">
        <f>IF(ISBLANK(tbl_task8[[คะแนนเต็ม]:[คะแนนเต็ม]]),"",(tbl_task8[76]/tbl_task8[[คะแนนเต็ม]:[คะแนนเต็ม]])*tbl_task8[[%]:[%]])</f>
        <v/>
      </c>
      <c r="IM9" s="121" t="str">
        <f>IF(ISBLANK(tbl_task8[[คะแนนเต็ม]:[คะแนนเต็ม]]),"",(tbl_task8[77]/tbl_task8[[คะแนนเต็ม]:[คะแนนเต็ม]])*tbl_task8[[%]:[%]])</f>
        <v/>
      </c>
      <c r="IN9" s="121" t="str">
        <f>IF(ISBLANK(tbl_task8[[คะแนนเต็ม]:[คะแนนเต็ม]]),"",(tbl_task8[78]/tbl_task8[[คะแนนเต็ม]:[คะแนนเต็ม]])*tbl_task8[[%]:[%]])</f>
        <v/>
      </c>
      <c r="IO9" s="121" t="str">
        <f>IF(ISBLANK(tbl_task8[[คะแนนเต็ม]:[คะแนนเต็ม]]),"",(tbl_task8[79]/tbl_task8[[คะแนนเต็ม]:[คะแนนเต็ม]])*tbl_task8[[%]:[%]])</f>
        <v/>
      </c>
      <c r="IP9" s="121" t="str">
        <f>IF(ISBLANK(tbl_task8[[คะแนนเต็ม]:[คะแนนเต็ม]]),"",(tbl_task8[80]/tbl_task8[[คะแนนเต็ม]:[คะแนนเต็ม]])*tbl_task8[[%]:[%]])</f>
        <v/>
      </c>
      <c r="IQ9" s="121" t="str">
        <f>IF(ISBLANK(tbl_task8[[คะแนนเต็ม]:[คะแนนเต็ม]]),"",(tbl_task8[81]/tbl_task8[[คะแนนเต็ม]:[คะแนนเต็ม]])*tbl_task8[[%]:[%]])</f>
        <v/>
      </c>
      <c r="IR9" s="121" t="str">
        <f>IF(ISBLANK(tbl_task8[[คะแนนเต็ม]:[คะแนนเต็ม]]),"",(tbl_task8[82]/tbl_task8[[คะแนนเต็ม]:[คะแนนเต็ม]])*tbl_task8[[%]:[%]])</f>
        <v/>
      </c>
      <c r="IS9" s="121" t="str">
        <f>IF(ISBLANK(tbl_task8[[คะแนนเต็ม]:[คะแนนเต็ม]]),"",(tbl_task8[83]/tbl_task8[[คะแนนเต็ม]:[คะแนนเต็ม]])*tbl_task8[[%]:[%]])</f>
        <v/>
      </c>
      <c r="IT9" s="121" t="str">
        <f>IF(ISBLANK(tbl_task8[[คะแนนเต็ม]:[คะแนนเต็ม]]),"",(tbl_task8[84]/tbl_task8[[คะแนนเต็ม]:[คะแนนเต็ม]])*tbl_task8[[%]:[%]])</f>
        <v/>
      </c>
      <c r="IU9" s="121" t="str">
        <f>IF(ISBLANK(tbl_task8[[คะแนนเต็ม]:[คะแนนเต็ม]]),"",(tbl_task8[85]/tbl_task8[[คะแนนเต็ม]:[คะแนนเต็ม]])*tbl_task8[[%]:[%]])</f>
        <v/>
      </c>
      <c r="IV9" s="121" t="str">
        <f>IF(ISBLANK(tbl_task8[[คะแนนเต็ม]:[คะแนนเต็ม]]),"",(tbl_task8[86]/tbl_task8[[คะแนนเต็ม]:[คะแนนเต็ม]])*tbl_task8[[%]:[%]])</f>
        <v/>
      </c>
      <c r="IW9" s="121" t="str">
        <f>IF(ISBLANK(tbl_task8[[คะแนนเต็ม]:[คะแนนเต็ม]]),"",(tbl_task8[87]/tbl_task8[[คะแนนเต็ม]:[คะแนนเต็ม]])*tbl_task8[[%]:[%]])</f>
        <v/>
      </c>
      <c r="IX9" s="121" t="str">
        <f>IF(ISBLANK(tbl_task8[[คะแนนเต็ม]:[คะแนนเต็ม]]),"",(tbl_task8[88]/tbl_task8[[คะแนนเต็ม]:[คะแนนเต็ม]])*tbl_task8[[%]:[%]])</f>
        <v/>
      </c>
      <c r="IY9" s="121" t="str">
        <f>IF(ISBLANK(tbl_task8[[คะแนนเต็ม]:[คะแนนเต็ม]]),"",(tbl_task8[89]/tbl_task8[[คะแนนเต็ม]:[คะแนนเต็ม]])*tbl_task8[[%]:[%]])</f>
        <v/>
      </c>
      <c r="IZ9" s="121" t="str">
        <f>IF(ISBLANK(tbl_task8[[คะแนนเต็ม]:[คะแนนเต็ม]]),"",(tbl_task8[90]/tbl_task8[[คะแนนเต็ม]:[คะแนนเต็ม]])*tbl_task8[[%]:[%]])</f>
        <v/>
      </c>
      <c r="JA9" s="121" t="str">
        <f>IF(ISBLANK(tbl_task8[[คะแนนเต็ม]:[คะแนนเต็ม]]),"",(tbl_task8[91]/tbl_task8[[คะแนนเต็ม]:[คะแนนเต็ม]])*tbl_task8[[%]:[%]])</f>
        <v/>
      </c>
      <c r="JB9" s="121" t="str">
        <f>IF(ISBLANK(tbl_task8[[คะแนนเต็ม]:[คะแนนเต็ม]]),"",(tbl_task8[92]/tbl_task8[[คะแนนเต็ม]:[คะแนนเต็ม]])*tbl_task8[[%]:[%]])</f>
        <v/>
      </c>
      <c r="JC9" s="121" t="str">
        <f>IF(ISBLANK(tbl_task8[[คะแนนเต็ม]:[คะแนนเต็ม]]),"",(tbl_task8[93]/tbl_task8[[คะแนนเต็ม]:[คะแนนเต็ม]])*tbl_task8[[%]:[%]])</f>
        <v/>
      </c>
      <c r="JD9" s="121" t="str">
        <f>IF(ISBLANK(tbl_task8[[คะแนนเต็ม]:[คะแนนเต็ม]]),"",(tbl_task8[94]/tbl_task8[[คะแนนเต็ม]:[คะแนนเต็ม]])*tbl_task8[[%]:[%]])</f>
        <v/>
      </c>
      <c r="JE9" s="121" t="str">
        <f>IF(ISBLANK(tbl_task8[[คะแนนเต็ม]:[คะแนนเต็ม]]),"",(tbl_task8[95]/tbl_task8[[คะแนนเต็ม]:[คะแนนเต็ม]])*tbl_task8[[%]:[%]])</f>
        <v/>
      </c>
      <c r="JF9" s="121" t="str">
        <f>IF(ISBLANK(tbl_task8[[คะแนนเต็ม]:[คะแนนเต็ม]]),"",(tbl_task8[96]/tbl_task8[[คะแนนเต็ม]:[คะแนนเต็ม]])*tbl_task8[[%]:[%]])</f>
        <v/>
      </c>
      <c r="JG9" s="121" t="str">
        <f>IF(ISBLANK(tbl_task8[[คะแนนเต็ม]:[คะแนนเต็ม]]),"",(tbl_task8[97]/tbl_task8[[คะแนนเต็ม]:[คะแนนเต็ม]])*tbl_task8[[%]:[%]])</f>
        <v/>
      </c>
      <c r="JH9" s="121" t="str">
        <f>IF(ISBLANK(tbl_task8[[คะแนนเต็ม]:[คะแนนเต็ม]]),"",(tbl_task8[98]/tbl_task8[[คะแนนเต็ม]:[คะแนนเต็ม]])*tbl_task8[[%]:[%]])</f>
        <v/>
      </c>
      <c r="JI9" s="121" t="str">
        <f>IF(ISBLANK(tbl_task8[[คะแนนเต็ม]:[คะแนนเต็ม]]),"",(tbl_task8[99]/tbl_task8[[คะแนนเต็ม]:[คะแนนเต็ม]])*tbl_task8[[%]:[%]])</f>
        <v/>
      </c>
      <c r="JJ9" s="121" t="str">
        <f>IF(ISBLANK(tbl_task8[[คะแนนเต็ม]:[คะแนนเต็ม]]),"",(tbl_task8[100]/tbl_task8[[คะแนนเต็ม]:[คะแนนเต็ม]])*tbl_task8[[%]:[%]])</f>
        <v/>
      </c>
      <c r="JK9" s="121" t="str">
        <f>IF(ISBLANK(tbl_task8[[คะแนนเต็ม]:[คะแนนเต็ม]]),"",(tbl_task8[101]/tbl_task8[[คะแนนเต็ม]:[คะแนนเต็ม]])*tbl_task8[[%]:[%]])</f>
        <v/>
      </c>
      <c r="JL9" s="121" t="str">
        <f>IF(ISBLANK(tbl_task8[[คะแนนเต็ม]:[คะแนนเต็ม]]),"",(tbl_task8[102]/tbl_task8[[คะแนนเต็ม]:[คะแนนเต็ม]])*tbl_task8[[%]:[%]])</f>
        <v/>
      </c>
      <c r="JM9" s="121" t="str">
        <f>IF(ISBLANK(tbl_task8[[คะแนนเต็ม]:[คะแนนเต็ม]]),"",(tbl_task8[103]/tbl_task8[[คะแนนเต็ม]:[คะแนนเต็ม]])*tbl_task8[[%]:[%]])</f>
        <v/>
      </c>
      <c r="JN9" s="121" t="str">
        <f>IF(ISBLANK(tbl_task8[[คะแนนเต็ม]:[คะแนนเต็ม]]),"",(tbl_task8[104]/tbl_task8[[คะแนนเต็ม]:[คะแนนเต็ม]])*tbl_task8[[%]:[%]])</f>
        <v/>
      </c>
      <c r="JO9" s="121" t="str">
        <f>IF(ISBLANK(tbl_task8[[คะแนนเต็ม]:[คะแนนเต็ม]]),"",(tbl_task8[105]/tbl_task8[[คะแนนเต็ม]:[คะแนนเต็ม]])*tbl_task8[[%]:[%]])</f>
        <v/>
      </c>
      <c r="JP9" s="121" t="str">
        <f>IF(ISBLANK(tbl_task8[[คะแนนเต็ม]:[คะแนนเต็ม]]),"",(tbl_task8[106]/tbl_task8[[คะแนนเต็ม]:[คะแนนเต็ม]])*tbl_task8[[%]:[%]])</f>
        <v/>
      </c>
      <c r="JQ9" s="121" t="str">
        <f>IF(ISBLANK(tbl_task8[[คะแนนเต็ม]:[คะแนนเต็ม]]),"",(tbl_task8[107]/tbl_task8[[คะแนนเต็ม]:[คะแนนเต็ม]])*tbl_task8[[%]:[%]])</f>
        <v/>
      </c>
      <c r="JR9" s="121" t="str">
        <f>IF(ISBLANK(tbl_task8[[คะแนนเต็ม]:[คะแนนเต็ม]]),"",(tbl_task8[108]/tbl_task8[[คะแนนเต็ม]:[คะแนนเต็ม]])*tbl_task8[[%]:[%]])</f>
        <v/>
      </c>
      <c r="JS9" s="121" t="str">
        <f>IF(ISBLANK(tbl_task8[[คะแนนเต็ม]:[คะแนนเต็ม]]),"",(tbl_task8[109]/tbl_task8[[คะแนนเต็ม]:[คะแนนเต็ม]])*tbl_task8[[%]:[%]])</f>
        <v/>
      </c>
      <c r="JT9" s="121" t="str">
        <f>IF(ISBLANK(tbl_task8[[คะแนนเต็ม]:[คะแนนเต็ม]]),"",(tbl_task8[110]/tbl_task8[[คะแนนเต็ม]:[คะแนนเต็ม]])*tbl_task8[[%]:[%]])</f>
        <v/>
      </c>
      <c r="JU9" s="121" t="str">
        <f>IF(ISBLANK(tbl_task8[[คะแนนเต็ม]:[คะแนนเต็ม]]),"",(tbl_task8[111]/tbl_task8[[คะแนนเต็ม]:[คะแนนเต็ม]])*tbl_task8[[%]:[%]])</f>
        <v/>
      </c>
      <c r="JV9" s="121" t="str">
        <f>IF(ISBLANK(tbl_task8[[คะแนนเต็ม]:[คะแนนเต็ม]]),"",(tbl_task8[112]/tbl_task8[[คะแนนเต็ม]:[คะแนนเต็ม]])*tbl_task8[[%]:[%]])</f>
        <v/>
      </c>
      <c r="JW9" s="121" t="str">
        <f>IF(ISBLANK(tbl_task8[[คะแนนเต็ม]:[คะแนนเต็ม]]),"",(tbl_task8[113]/tbl_task8[[คะแนนเต็ม]:[คะแนนเต็ม]])*tbl_task8[[%]:[%]])</f>
        <v/>
      </c>
      <c r="JX9" s="121" t="str">
        <f>IF(ISBLANK(tbl_task8[[คะแนนเต็ม]:[คะแนนเต็ม]]),"",(tbl_task8[114]/tbl_task8[[คะแนนเต็ม]:[คะแนนเต็ม]])*tbl_task8[[%]:[%]])</f>
        <v/>
      </c>
      <c r="JY9" s="121" t="str">
        <f>IF(ISBLANK(tbl_task8[[คะแนนเต็ม]:[คะแนนเต็ม]]),"",(tbl_task8[115]/tbl_task8[[คะแนนเต็ม]:[คะแนนเต็ม]])*tbl_task8[[%]:[%]])</f>
        <v/>
      </c>
      <c r="JZ9" s="121" t="str">
        <f>IF(ISBLANK(tbl_task8[[คะแนนเต็ม]:[คะแนนเต็ม]]),"",(tbl_task8[116]/tbl_task8[[คะแนนเต็ม]:[คะแนนเต็ม]])*tbl_task8[[%]:[%]])</f>
        <v/>
      </c>
      <c r="KA9" s="121" t="str">
        <f>IF(ISBLANK(tbl_task8[[คะแนนเต็ม]:[คะแนนเต็ม]]),"",(tbl_task8[117]/tbl_task8[[คะแนนเต็ม]:[คะแนนเต็ม]])*tbl_task8[[%]:[%]])</f>
        <v/>
      </c>
      <c r="KB9" s="121" t="str">
        <f>IF(ISBLANK(tbl_task8[[คะแนนเต็ม]:[คะแนนเต็ม]]),"",(tbl_task8[118]/tbl_task8[[คะแนนเต็ม]:[คะแนนเต็ม]])*tbl_task8[[%]:[%]])</f>
        <v/>
      </c>
      <c r="KC9" s="121" t="str">
        <f>IF(ISBLANK(tbl_task8[[คะแนนเต็ม]:[คะแนนเต็ม]]),"",(tbl_task8[119]/tbl_task8[[คะแนนเต็ม]:[คะแนนเต็ม]])*tbl_task8[[%]:[%]])</f>
        <v/>
      </c>
      <c r="KD9" s="121" t="str">
        <f>IF(ISBLANK(tbl_task8[[คะแนนเต็ม]:[คะแนนเต็ม]]),"",(tbl_task8[120]/tbl_task8[[คะแนนเต็ม]:[คะแนนเต็ม]])*tbl_task8[[%]:[%]])</f>
        <v/>
      </c>
      <c r="KE9" s="121" t="str">
        <f>IF(ISBLANK(tbl_task8[[คะแนนเต็ม]:[คะแนนเต็ม]]),"",(tbl_task8[121]/tbl_task8[[คะแนนเต็ม]:[คะแนนเต็ม]])*tbl_task8[[%]:[%]])</f>
        <v/>
      </c>
      <c r="KF9" s="121" t="str">
        <f>IF(ISBLANK(tbl_task8[[คะแนนเต็ม]:[คะแนนเต็ม]]),"",(tbl_task8[122]/tbl_task8[[คะแนนเต็ม]:[คะแนนเต็ม]])*tbl_task8[[%]:[%]])</f>
        <v/>
      </c>
      <c r="KG9" s="121" t="str">
        <f>IF(ISBLANK(tbl_task8[[คะแนนเต็ม]:[คะแนนเต็ม]]),"",(tbl_task8[123]/tbl_task8[[คะแนนเต็ม]:[คะแนนเต็ม]])*tbl_task8[[%]:[%]])</f>
        <v/>
      </c>
      <c r="KH9" s="121" t="str">
        <f>IF(ISBLANK(tbl_task8[[คะแนนเต็ม]:[คะแนนเต็ม]]),"",(tbl_task8[124]/tbl_task8[[คะแนนเต็ม]:[คะแนนเต็ม]])*tbl_task8[[%]:[%]])</f>
        <v/>
      </c>
      <c r="KI9" s="121" t="str">
        <f>IF(ISBLANK(tbl_task8[[คะแนนเต็ม]:[คะแนนเต็ม]]),"",(tbl_task8[125]/tbl_task8[[คะแนนเต็ม]:[คะแนนเต็ม]])*tbl_task8[[%]:[%]])</f>
        <v/>
      </c>
      <c r="KJ9" s="121" t="str">
        <f>IF(ISBLANK(tbl_task8[[คะแนนเต็ม]:[คะแนนเต็ม]]),"",(tbl_task8[126]/tbl_task8[[คะแนนเต็ม]:[คะแนนเต็ม]])*tbl_task8[[%]:[%]])</f>
        <v/>
      </c>
      <c r="KK9" s="121" t="str">
        <f>IF(ISBLANK(tbl_task8[[คะแนนเต็ม]:[คะแนนเต็ม]]),"",(tbl_task8[127]/tbl_task8[[คะแนนเต็ม]:[คะแนนเต็ม]])*tbl_task8[[%]:[%]])</f>
        <v/>
      </c>
      <c r="KL9" s="121" t="str">
        <f>IF(ISBLANK(tbl_task8[[คะแนนเต็ม]:[คะแนนเต็ม]]),"",(tbl_task8[128]/tbl_task8[[คะแนนเต็ม]:[คะแนนเต็ม]])*tbl_task8[[%]:[%]])</f>
        <v/>
      </c>
      <c r="KM9" s="121" t="str">
        <f>IF(ISBLANK(tbl_task8[[คะแนนเต็ม]:[คะแนนเต็ม]]),"",(tbl_task8[129]/tbl_task8[[คะแนนเต็ม]:[คะแนนเต็ม]])*tbl_task8[[%]:[%]])</f>
        <v/>
      </c>
      <c r="KN9" s="121" t="str">
        <f>IF(ISBLANK(tbl_task8[[คะแนนเต็ม]:[คะแนนเต็ม]]),"",(tbl_task8[130]/tbl_task8[[คะแนนเต็ม]:[คะแนนเต็ม]])*tbl_task8[[%]:[%]])</f>
        <v/>
      </c>
      <c r="KO9" s="121" t="str">
        <f>IF(ISBLANK(tbl_task8[[คะแนนเต็ม]:[คะแนนเต็ม]]),"",(tbl_task8[131]/tbl_task8[[คะแนนเต็ม]:[คะแนนเต็ม]])*tbl_task8[[%]:[%]])</f>
        <v/>
      </c>
      <c r="KP9" s="121" t="str">
        <f>IF(ISBLANK(tbl_task8[[คะแนนเต็ม]:[คะแนนเต็ม]]),"",(tbl_task8[132]/tbl_task8[[คะแนนเต็ม]:[คะแนนเต็ม]])*tbl_task8[[%]:[%]])</f>
        <v/>
      </c>
      <c r="KQ9" s="121" t="str">
        <f>IF(ISBLANK(tbl_task8[[คะแนนเต็ม]:[คะแนนเต็ม]]),"",(tbl_task8[133]/tbl_task8[[คะแนนเต็ม]:[คะแนนเต็ม]])*tbl_task8[[%]:[%]])</f>
        <v/>
      </c>
      <c r="KR9" s="121" t="str">
        <f>IF(ISBLANK(tbl_task8[[คะแนนเต็ม]:[คะแนนเต็ม]]),"",(tbl_task8[134]/tbl_task8[[คะแนนเต็ม]:[คะแนนเต็ม]])*tbl_task8[[%]:[%]])</f>
        <v/>
      </c>
      <c r="KS9" s="121" t="str">
        <f>IF(ISBLANK(tbl_task8[[คะแนนเต็ม]:[คะแนนเต็ม]]),"",(tbl_task8[135]/tbl_task8[[คะแนนเต็ม]:[คะแนนเต็ม]])*tbl_task8[[%]:[%]])</f>
        <v/>
      </c>
      <c r="KT9" s="121" t="str">
        <f>IF(ISBLANK(tbl_task8[[คะแนนเต็ม]:[คะแนนเต็ม]]),"",(tbl_task8[136]/tbl_task8[[คะแนนเต็ม]:[คะแนนเต็ม]])*tbl_task8[[%]:[%]])</f>
        <v/>
      </c>
      <c r="KU9" s="121" t="str">
        <f>IF(ISBLANK(tbl_task8[[คะแนนเต็ม]:[คะแนนเต็ม]]),"",(tbl_task8[137]/tbl_task8[[คะแนนเต็ม]:[คะแนนเต็ม]])*tbl_task8[[%]:[%]])</f>
        <v/>
      </c>
      <c r="KV9" s="121" t="str">
        <f>IF(ISBLANK(tbl_task8[[คะแนนเต็ม]:[คะแนนเต็ม]]),"",(tbl_task8[138]/tbl_task8[[คะแนนเต็ม]:[คะแนนเต็ม]])*tbl_task8[[%]:[%]])</f>
        <v/>
      </c>
      <c r="KW9" s="121" t="str">
        <f>IF(ISBLANK(tbl_task8[[คะแนนเต็ม]:[คะแนนเต็ม]]),"",(tbl_task8[139]/tbl_task8[[คะแนนเต็ม]:[คะแนนเต็ม]])*tbl_task8[[%]:[%]])</f>
        <v/>
      </c>
      <c r="KX9" s="121" t="str">
        <f>IF(ISBLANK(tbl_task8[[คะแนนเต็ม]:[คะแนนเต็ม]]),"",(tbl_task8[140]/tbl_task8[[คะแนนเต็ม]:[คะแนนเต็ม]])*tbl_task8[[%]:[%]])</f>
        <v/>
      </c>
      <c r="KY9" s="121" t="str">
        <f>IF(ISBLANK(tbl_task8[[คะแนนเต็ม]:[คะแนนเต็ม]]),"",(tbl_task8[141]/tbl_task8[[คะแนนเต็ม]:[คะแนนเต็ม]])*tbl_task8[[%]:[%]])</f>
        <v/>
      </c>
      <c r="KZ9" s="121" t="str">
        <f>IF(ISBLANK(tbl_task8[[คะแนนเต็ม]:[คะแนนเต็ม]]),"",(tbl_task8[142]/tbl_task8[[คะแนนเต็ม]:[คะแนนเต็ม]])*tbl_task8[[%]:[%]])</f>
        <v/>
      </c>
      <c r="LA9" s="121" t="str">
        <f>IF(ISBLANK(tbl_task8[[คะแนนเต็ม]:[คะแนนเต็ม]]),"",(tbl_task8[143]/tbl_task8[[คะแนนเต็ม]:[คะแนนเต็ม]])*tbl_task8[[%]:[%]])</f>
        <v/>
      </c>
      <c r="LB9" s="121" t="str">
        <f>IF(ISBLANK(tbl_task8[[คะแนนเต็ม]:[คะแนนเต็ม]]),"",(tbl_task8[144]/tbl_task8[[คะแนนเต็ม]:[คะแนนเต็ม]])*tbl_task8[[%]:[%]])</f>
        <v/>
      </c>
      <c r="LC9" s="121" t="str">
        <f>IF(ISBLANK(tbl_task8[[คะแนนเต็ม]:[คะแนนเต็ม]]),"",(tbl_task8[145]/tbl_task8[[คะแนนเต็ม]:[คะแนนเต็ม]])*tbl_task8[[%]:[%]])</f>
        <v/>
      </c>
      <c r="LD9" s="121" t="str">
        <f>IF(ISBLANK(tbl_task8[[คะแนนเต็ม]:[คะแนนเต็ม]]),"",(tbl_task8[146]/tbl_task8[[คะแนนเต็ม]:[คะแนนเต็ม]])*tbl_task8[[%]:[%]])</f>
        <v/>
      </c>
      <c r="LE9" s="121" t="str">
        <f>IF(ISBLANK(tbl_task8[[คะแนนเต็ม]:[คะแนนเต็ม]]),"",(tbl_task8[147]/tbl_task8[[คะแนนเต็ม]:[คะแนนเต็ม]])*tbl_task8[[%]:[%]])</f>
        <v/>
      </c>
      <c r="LF9" s="121" t="str">
        <f>IF(ISBLANK(tbl_task8[[คะแนนเต็ม]:[คะแนนเต็ม]]),"",(tbl_task8[148]/tbl_task8[[คะแนนเต็ม]:[คะแนนเต็ม]])*tbl_task8[[%]:[%]])</f>
        <v/>
      </c>
      <c r="LG9" s="121" t="str">
        <f>IF(ISBLANK(tbl_task8[[คะแนนเต็ม]:[คะแนนเต็ม]]),"",(tbl_task8[149]/tbl_task8[[คะแนนเต็ม]:[คะแนนเต็ม]])*tbl_task8[[%]:[%]])</f>
        <v/>
      </c>
      <c r="LH9" s="121" t="str">
        <f>IF(ISBLANK(tbl_task8[[คะแนนเต็ม]:[คะแนนเต็ม]]),"",(tbl_task8[150]/tbl_task8[[คะแนนเต็ม]:[คะแนนเต็ม]])*tbl_task8[[%]:[%]])</f>
        <v/>
      </c>
      <c r="LI9" s="121" t="str">
        <f>IF(ISBLANK(tbl_task8[[คะแนนเต็ม]:[คะแนนเต็ม]]),"",(tbl_task8[151]/tbl_task8[[คะแนนเต็ม]:[คะแนนเต็ม]])*tbl_task8[[%]:[%]])</f>
        <v/>
      </c>
      <c r="LJ9" s="121" t="str">
        <f>IF(ISBLANK(tbl_task8[[คะแนนเต็ม]:[คะแนนเต็ม]]),"",(tbl_task8[152]/tbl_task8[[คะแนนเต็ม]:[คะแนนเต็ม]])*tbl_task8[[%]:[%]])</f>
        <v/>
      </c>
      <c r="LK9" s="121" t="str">
        <f>IF(ISBLANK(tbl_task8[[คะแนนเต็ม]:[คะแนนเต็ม]]),"",(tbl_task8[153]/tbl_task8[[คะแนนเต็ม]:[คะแนนเต็ม]])*tbl_task8[[%]:[%]])</f>
        <v/>
      </c>
      <c r="LL9" s="121" t="str">
        <f>IF(ISBLANK(tbl_task8[[คะแนนเต็ม]:[คะแนนเต็ม]]),"",(tbl_task8[154]/tbl_task8[[คะแนนเต็ม]:[คะแนนเต็ม]])*tbl_task8[[%]:[%]])</f>
        <v/>
      </c>
      <c r="LM9" s="121" t="str">
        <f>IF(ISBLANK(tbl_task8[[คะแนนเต็ม]:[คะแนนเต็ม]]),"",(tbl_task8[155]/tbl_task8[[คะแนนเต็ม]:[คะแนนเต็ม]])*tbl_task8[[%]:[%]])</f>
        <v/>
      </c>
      <c r="LN9" s="121" t="str">
        <f>IF(ISBLANK(tbl_task8[[คะแนนเต็ม]:[คะแนนเต็ม]]),"",(tbl_task8[156]/tbl_task8[[คะแนนเต็ม]:[คะแนนเต็ม]])*tbl_task8[[%]:[%]])</f>
        <v/>
      </c>
      <c r="LO9" s="121" t="str">
        <f>IF(ISBLANK(tbl_task8[[คะแนนเต็ม]:[คะแนนเต็ม]]),"",(tbl_task8[157]/tbl_task8[[คะแนนเต็ม]:[คะแนนเต็ม]])*tbl_task8[[%]:[%]])</f>
        <v/>
      </c>
      <c r="LP9" s="121" t="str">
        <f>IF(ISBLANK(tbl_task8[[คะแนนเต็ม]:[คะแนนเต็ม]]),"",(tbl_task8[158]/tbl_task8[[คะแนนเต็ม]:[คะแนนเต็ม]])*tbl_task8[[%]:[%]])</f>
        <v/>
      </c>
      <c r="LQ9" s="121" t="str">
        <f>IF(ISBLANK(tbl_task8[[คะแนนเต็ม]:[คะแนนเต็ม]]),"",(tbl_task8[159]/tbl_task8[[คะแนนเต็ม]:[คะแนนเต็ม]])*tbl_task8[[%]:[%]])</f>
        <v/>
      </c>
      <c r="LR9" s="121" t="str">
        <f>IF(ISBLANK(tbl_task8[[คะแนนเต็ม]:[คะแนนเต็ม]]),"",(tbl_task8[160]/tbl_task8[[คะแนนเต็ม]:[คะแนนเต็ม]])*tbl_task8[[%]:[%]])</f>
        <v/>
      </c>
      <c r="LS9" s="121" t="str">
        <f>IF(ISBLANK(tbl_task8[[คะแนนเต็ม]:[คะแนนเต็ม]]),"",(tbl_task8[161]/tbl_task8[[คะแนนเต็ม]:[คะแนนเต็ม]])*tbl_task8[[%]:[%]])</f>
        <v/>
      </c>
      <c r="LT9" s="121" t="str">
        <f>IF(ISBLANK(tbl_task8[[คะแนนเต็ม]:[คะแนนเต็ม]]),"",(tbl_task8[162]/tbl_task8[[คะแนนเต็ม]:[คะแนนเต็ม]])*tbl_task8[[%]:[%]])</f>
        <v/>
      </c>
      <c r="LU9" s="121" t="str">
        <f>IF(ISBLANK(tbl_task8[[คะแนนเต็ม]:[คะแนนเต็ม]]),"",(tbl_task8[163]/tbl_task8[[คะแนนเต็ม]:[คะแนนเต็ม]])*tbl_task8[[%]:[%]])</f>
        <v/>
      </c>
      <c r="LV9" s="121" t="str">
        <f>IF(ISBLANK(tbl_task8[[คะแนนเต็ม]:[คะแนนเต็ม]]),"",(tbl_task8[164]/tbl_task8[[คะแนนเต็ม]:[คะแนนเต็ม]])*tbl_task8[[%]:[%]])</f>
        <v/>
      </c>
      <c r="LW9" s="121" t="str">
        <f>IF(ISBLANK(tbl_task8[[คะแนนเต็ม]:[คะแนนเต็ม]]),"",(tbl_task8[165]/tbl_task8[[คะแนนเต็ม]:[คะแนนเต็ม]])*tbl_task8[[%]:[%]])</f>
        <v/>
      </c>
    </row>
    <row r="10" spans="1:335" ht="24" customHeight="1" x14ac:dyDescent="0.25">
      <c r="A10" s="24">
        <v>7</v>
      </c>
      <c r="B10" s="20"/>
      <c r="C10" s="5" t="str">
        <f>IF(ISBLANK(B10),"",VLOOKUP(B10,tbl_PLOs[],2,0))</f>
        <v/>
      </c>
      <c r="D10" s="102"/>
      <c r="E10" s="106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22"/>
      <c r="FO10" s="121" t="str">
        <f>IF(ISBLANK(tbl_task8[[คะแนนเต็ม]:[คะแนนเต็ม]]),"",(tbl_task8[1]/tbl_task8[[คะแนนเต็ม]:[คะแนนเต็ม]])*tbl_task8[[%]:[%]])</f>
        <v/>
      </c>
      <c r="FP10" s="121" t="str">
        <f>IF(ISBLANK(tbl_task8[[คะแนนเต็ม]:[คะแนนเต็ม]]),"",(tbl_task8[2]/tbl_task8[[คะแนนเต็ม]:[คะแนนเต็ม]])*tbl_task8[[%]:[%]])</f>
        <v/>
      </c>
      <c r="FQ10" s="121" t="str">
        <f>IF(ISBLANK(tbl_task8[[คะแนนเต็ม]:[คะแนนเต็ม]]),"",(tbl_task8[3]/tbl_task8[[คะแนนเต็ม]:[คะแนนเต็ม]])*tbl_task8[[%]:[%]])</f>
        <v/>
      </c>
      <c r="FR10" s="121" t="str">
        <f>IF(ISBLANK(tbl_task8[[คะแนนเต็ม]:[คะแนนเต็ม]]),"",(tbl_task8[4]/tbl_task8[[คะแนนเต็ม]:[คะแนนเต็ม]])*tbl_task8[[%]:[%]])</f>
        <v/>
      </c>
      <c r="FS10" s="121" t="str">
        <f>IF(ISBLANK(tbl_task8[[คะแนนเต็ม]:[คะแนนเต็ม]]),"",(tbl_task8[5]/tbl_task8[[คะแนนเต็ม]:[คะแนนเต็ม]])*tbl_task8[[%]:[%]])</f>
        <v/>
      </c>
      <c r="FT10" s="121" t="str">
        <f>IF(ISBLANK(tbl_task8[[คะแนนเต็ม]:[คะแนนเต็ม]]),"",(tbl_task8[6]/tbl_task8[[คะแนนเต็ม]:[คะแนนเต็ม]])*tbl_task8[[%]:[%]])</f>
        <v/>
      </c>
      <c r="FU10" s="121" t="str">
        <f>IF(ISBLANK(tbl_task8[[คะแนนเต็ม]:[คะแนนเต็ม]]),"",(tbl_task8[7]/tbl_task8[[คะแนนเต็ม]:[คะแนนเต็ม]])*tbl_task8[[%]:[%]])</f>
        <v/>
      </c>
      <c r="FV10" s="121" t="str">
        <f>IF(ISBLANK(tbl_task8[[คะแนนเต็ม]:[คะแนนเต็ม]]),"",(tbl_task8[8]/tbl_task8[[คะแนนเต็ม]:[คะแนนเต็ม]])*tbl_task8[[%]:[%]])</f>
        <v/>
      </c>
      <c r="FW10" s="121" t="str">
        <f>IF(ISBLANK(tbl_task8[[คะแนนเต็ม]:[คะแนนเต็ม]]),"",(tbl_task8[9]/tbl_task8[[คะแนนเต็ม]:[คะแนนเต็ม]])*tbl_task8[[%]:[%]])</f>
        <v/>
      </c>
      <c r="FX10" s="121" t="str">
        <f>IF(ISBLANK(tbl_task8[[คะแนนเต็ม]:[คะแนนเต็ม]]),"",(tbl_task8[10]/tbl_task8[[คะแนนเต็ม]:[คะแนนเต็ม]])*tbl_task8[[%]:[%]])</f>
        <v/>
      </c>
      <c r="FY10" s="121" t="str">
        <f>IF(ISBLANK(tbl_task8[[คะแนนเต็ม]:[คะแนนเต็ม]]),"",(tbl_task8[11]/tbl_task8[[คะแนนเต็ม]:[คะแนนเต็ม]])*tbl_task8[[%]:[%]])</f>
        <v/>
      </c>
      <c r="FZ10" s="121" t="str">
        <f>IF(ISBLANK(tbl_task8[[คะแนนเต็ม]:[คะแนนเต็ม]]),"",(tbl_task8[12]/tbl_task8[[คะแนนเต็ม]:[คะแนนเต็ม]])*tbl_task8[[%]:[%]])</f>
        <v/>
      </c>
      <c r="GA10" s="121" t="str">
        <f>IF(ISBLANK(tbl_task8[[คะแนนเต็ม]:[คะแนนเต็ม]]),"",(tbl_task8[13]/tbl_task8[[คะแนนเต็ม]:[คะแนนเต็ม]])*tbl_task8[[%]:[%]])</f>
        <v/>
      </c>
      <c r="GB10" s="121" t="str">
        <f>IF(ISBLANK(tbl_task8[[คะแนนเต็ม]:[คะแนนเต็ม]]),"",(tbl_task8[14]/tbl_task8[[คะแนนเต็ม]:[คะแนนเต็ม]])*tbl_task8[[%]:[%]])</f>
        <v/>
      </c>
      <c r="GC10" s="121" t="str">
        <f>IF(ISBLANK(tbl_task8[[คะแนนเต็ม]:[คะแนนเต็ม]]),"",(tbl_task8[15]/tbl_task8[[คะแนนเต็ม]:[คะแนนเต็ม]])*tbl_task8[[%]:[%]])</f>
        <v/>
      </c>
      <c r="GD10" s="121" t="str">
        <f>IF(ISBLANK(tbl_task8[[คะแนนเต็ม]:[คะแนนเต็ม]]),"",(tbl_task8[16]/tbl_task8[[คะแนนเต็ม]:[คะแนนเต็ม]])*tbl_task8[[%]:[%]])</f>
        <v/>
      </c>
      <c r="GE10" s="121" t="str">
        <f>IF(ISBLANK(tbl_task8[[คะแนนเต็ม]:[คะแนนเต็ม]]),"",(tbl_task8[17]/tbl_task8[[คะแนนเต็ม]:[คะแนนเต็ม]])*tbl_task8[[%]:[%]])</f>
        <v/>
      </c>
      <c r="GF10" s="121" t="str">
        <f>IF(ISBLANK(tbl_task8[[คะแนนเต็ม]:[คะแนนเต็ม]]),"",(tbl_task8[18]/tbl_task8[[คะแนนเต็ม]:[คะแนนเต็ม]])*tbl_task8[[%]:[%]])</f>
        <v/>
      </c>
      <c r="GG10" s="121" t="str">
        <f>IF(ISBLANK(tbl_task8[[คะแนนเต็ม]:[คะแนนเต็ม]]),"",(tbl_task8[19]/tbl_task8[[คะแนนเต็ม]:[คะแนนเต็ม]])*tbl_task8[[%]:[%]])</f>
        <v/>
      </c>
      <c r="GH10" s="121" t="str">
        <f>IF(ISBLANK(tbl_task8[[คะแนนเต็ม]:[คะแนนเต็ม]]),"",(tbl_task8[20]/tbl_task8[[คะแนนเต็ม]:[คะแนนเต็ม]])*tbl_task8[[%]:[%]])</f>
        <v/>
      </c>
      <c r="GI10" s="121" t="str">
        <f>IF(ISBLANK(tbl_task8[[คะแนนเต็ม]:[คะแนนเต็ม]]),"",(tbl_task8[21]/tbl_task8[[คะแนนเต็ม]:[คะแนนเต็ม]])*tbl_task8[[%]:[%]])</f>
        <v/>
      </c>
      <c r="GJ10" s="121" t="str">
        <f>IF(ISBLANK(tbl_task8[[คะแนนเต็ม]:[คะแนนเต็ม]]),"",(tbl_task8[22]/tbl_task8[[คะแนนเต็ม]:[คะแนนเต็ม]])*tbl_task8[[%]:[%]])</f>
        <v/>
      </c>
      <c r="GK10" s="121" t="str">
        <f>IF(ISBLANK(tbl_task8[[คะแนนเต็ม]:[คะแนนเต็ม]]),"",(tbl_task8[23]/tbl_task8[[คะแนนเต็ม]:[คะแนนเต็ม]])*tbl_task8[[%]:[%]])</f>
        <v/>
      </c>
      <c r="GL10" s="121" t="str">
        <f>IF(ISBLANK(tbl_task8[[คะแนนเต็ม]:[คะแนนเต็ม]]),"",(tbl_task8[24]/tbl_task8[[คะแนนเต็ม]:[คะแนนเต็ม]])*tbl_task8[[%]:[%]])</f>
        <v/>
      </c>
      <c r="GM10" s="121" t="str">
        <f>IF(ISBLANK(tbl_task8[[คะแนนเต็ม]:[คะแนนเต็ม]]),"",(tbl_task8[25]/tbl_task8[[คะแนนเต็ม]:[คะแนนเต็ม]])*tbl_task8[[%]:[%]])</f>
        <v/>
      </c>
      <c r="GN10" s="121" t="str">
        <f>IF(ISBLANK(tbl_task8[[คะแนนเต็ม]:[คะแนนเต็ม]]),"",(tbl_task8[26]/tbl_task8[[คะแนนเต็ม]:[คะแนนเต็ม]])*tbl_task8[[%]:[%]])</f>
        <v/>
      </c>
      <c r="GO10" s="121" t="str">
        <f>IF(ISBLANK(tbl_task8[[คะแนนเต็ม]:[คะแนนเต็ม]]),"",(tbl_task8[27]/tbl_task8[[คะแนนเต็ม]:[คะแนนเต็ม]])*tbl_task8[[%]:[%]])</f>
        <v/>
      </c>
      <c r="GP10" s="121" t="str">
        <f>IF(ISBLANK(tbl_task8[[คะแนนเต็ม]:[คะแนนเต็ม]]),"",(tbl_task8[28]/tbl_task8[[คะแนนเต็ม]:[คะแนนเต็ม]])*tbl_task8[[%]:[%]])</f>
        <v/>
      </c>
      <c r="GQ10" s="121" t="str">
        <f>IF(ISBLANK(tbl_task8[[คะแนนเต็ม]:[คะแนนเต็ม]]),"",(tbl_task8[29]/tbl_task8[[คะแนนเต็ม]:[คะแนนเต็ม]])*tbl_task8[[%]:[%]])</f>
        <v/>
      </c>
      <c r="GR10" s="121" t="str">
        <f>IF(ISBLANK(tbl_task8[[คะแนนเต็ม]:[คะแนนเต็ม]]),"",(tbl_task8[30]/tbl_task8[[คะแนนเต็ม]:[คะแนนเต็ม]])*tbl_task8[[%]:[%]])</f>
        <v/>
      </c>
      <c r="GS10" s="121" t="str">
        <f>IF(ISBLANK(tbl_task8[[คะแนนเต็ม]:[คะแนนเต็ม]]),"",(tbl_task8[31]/tbl_task8[[คะแนนเต็ม]:[คะแนนเต็ม]])*tbl_task8[[%]:[%]])</f>
        <v/>
      </c>
      <c r="GT10" s="121" t="str">
        <f>IF(ISBLANK(tbl_task8[[คะแนนเต็ม]:[คะแนนเต็ม]]),"",(tbl_task8[32]/tbl_task8[[คะแนนเต็ม]:[คะแนนเต็ม]])*tbl_task8[[%]:[%]])</f>
        <v/>
      </c>
      <c r="GU10" s="121" t="str">
        <f>IF(ISBLANK(tbl_task8[[คะแนนเต็ม]:[คะแนนเต็ม]]),"",(tbl_task8[33]/tbl_task8[[คะแนนเต็ม]:[คะแนนเต็ม]])*tbl_task8[[%]:[%]])</f>
        <v/>
      </c>
      <c r="GV10" s="121" t="str">
        <f>IF(ISBLANK(tbl_task8[[คะแนนเต็ม]:[คะแนนเต็ม]]),"",(tbl_task8[34]/tbl_task8[[คะแนนเต็ม]:[คะแนนเต็ม]])*tbl_task8[[%]:[%]])</f>
        <v/>
      </c>
      <c r="GW10" s="121" t="str">
        <f>IF(ISBLANK(tbl_task8[[คะแนนเต็ม]:[คะแนนเต็ม]]),"",(tbl_task8[35]/tbl_task8[[คะแนนเต็ม]:[คะแนนเต็ม]])*tbl_task8[[%]:[%]])</f>
        <v/>
      </c>
      <c r="GX10" s="121" t="str">
        <f>IF(ISBLANK(tbl_task8[[คะแนนเต็ม]:[คะแนนเต็ม]]),"",(tbl_task8[36]/tbl_task8[[คะแนนเต็ม]:[คะแนนเต็ม]])*tbl_task8[[%]:[%]])</f>
        <v/>
      </c>
      <c r="GY10" s="121" t="str">
        <f>IF(ISBLANK(tbl_task8[[คะแนนเต็ม]:[คะแนนเต็ม]]),"",(tbl_task8[37]/tbl_task8[[คะแนนเต็ม]:[คะแนนเต็ม]])*tbl_task8[[%]:[%]])</f>
        <v/>
      </c>
      <c r="GZ10" s="121" t="str">
        <f>IF(ISBLANK(tbl_task8[[คะแนนเต็ม]:[คะแนนเต็ม]]),"",(tbl_task8[38]/tbl_task8[[คะแนนเต็ม]:[คะแนนเต็ม]])*tbl_task8[[%]:[%]])</f>
        <v/>
      </c>
      <c r="HA10" s="121" t="str">
        <f>IF(ISBLANK(tbl_task8[[คะแนนเต็ม]:[คะแนนเต็ม]]),"",(tbl_task8[39]/tbl_task8[[คะแนนเต็ม]:[คะแนนเต็ม]])*tbl_task8[[%]:[%]])</f>
        <v/>
      </c>
      <c r="HB10" s="121" t="str">
        <f>IF(ISBLANK(tbl_task8[[คะแนนเต็ม]:[คะแนนเต็ม]]),"",(tbl_task8[40]/tbl_task8[[คะแนนเต็ม]:[คะแนนเต็ม]])*tbl_task8[[%]:[%]])</f>
        <v/>
      </c>
      <c r="HC10" s="121" t="str">
        <f>IF(ISBLANK(tbl_task8[[คะแนนเต็ม]:[คะแนนเต็ม]]),"",(tbl_task8[41]/tbl_task8[[คะแนนเต็ม]:[คะแนนเต็ม]])*tbl_task8[[%]:[%]])</f>
        <v/>
      </c>
      <c r="HD10" s="121" t="str">
        <f>IF(ISBLANK(tbl_task8[[คะแนนเต็ม]:[คะแนนเต็ม]]),"",(tbl_task8[42]/tbl_task8[[คะแนนเต็ม]:[คะแนนเต็ม]])*tbl_task8[[%]:[%]])</f>
        <v/>
      </c>
      <c r="HE10" s="121" t="str">
        <f>IF(ISBLANK(tbl_task8[[คะแนนเต็ม]:[คะแนนเต็ม]]),"",(tbl_task8[43]/tbl_task8[[คะแนนเต็ม]:[คะแนนเต็ม]])*tbl_task8[[%]:[%]])</f>
        <v/>
      </c>
      <c r="HF10" s="121" t="str">
        <f>IF(ISBLANK(tbl_task8[[คะแนนเต็ม]:[คะแนนเต็ม]]),"",(tbl_task8[44]/tbl_task8[[คะแนนเต็ม]:[คะแนนเต็ม]])*tbl_task8[[%]:[%]])</f>
        <v/>
      </c>
      <c r="HG10" s="121" t="str">
        <f>IF(ISBLANK(tbl_task8[[คะแนนเต็ม]:[คะแนนเต็ม]]),"",(tbl_task8[45]/tbl_task8[[คะแนนเต็ม]:[คะแนนเต็ม]])*tbl_task8[[%]:[%]])</f>
        <v/>
      </c>
      <c r="HH10" s="121" t="str">
        <f>IF(ISBLANK(tbl_task8[[คะแนนเต็ม]:[คะแนนเต็ม]]),"",(tbl_task8[46]/tbl_task8[[คะแนนเต็ม]:[คะแนนเต็ม]])*tbl_task8[[%]:[%]])</f>
        <v/>
      </c>
      <c r="HI10" s="121" t="str">
        <f>IF(ISBLANK(tbl_task8[[คะแนนเต็ม]:[คะแนนเต็ม]]),"",(tbl_task8[47]/tbl_task8[[คะแนนเต็ม]:[คะแนนเต็ม]])*tbl_task8[[%]:[%]])</f>
        <v/>
      </c>
      <c r="HJ10" s="121" t="str">
        <f>IF(ISBLANK(tbl_task8[[คะแนนเต็ม]:[คะแนนเต็ม]]),"",(tbl_task8[48]/tbl_task8[[คะแนนเต็ม]:[คะแนนเต็ม]])*tbl_task8[[%]:[%]])</f>
        <v/>
      </c>
      <c r="HK10" s="121" t="str">
        <f>IF(ISBLANK(tbl_task8[[คะแนนเต็ม]:[คะแนนเต็ม]]),"",(tbl_task8[49]/tbl_task8[[คะแนนเต็ม]:[คะแนนเต็ม]])*tbl_task8[[%]:[%]])</f>
        <v/>
      </c>
      <c r="HL10" s="121" t="str">
        <f>IF(ISBLANK(tbl_task8[[คะแนนเต็ม]:[คะแนนเต็ม]]),"",(tbl_task8[50]/tbl_task8[[คะแนนเต็ม]:[คะแนนเต็ม]])*tbl_task8[[%]:[%]])</f>
        <v/>
      </c>
      <c r="HM10" s="121" t="str">
        <f>IF(ISBLANK(tbl_task8[[คะแนนเต็ม]:[คะแนนเต็ม]]),"",(tbl_task8[51]/tbl_task8[[คะแนนเต็ม]:[คะแนนเต็ม]])*tbl_task8[[%]:[%]])</f>
        <v/>
      </c>
      <c r="HN10" s="121" t="str">
        <f>IF(ISBLANK(tbl_task8[[คะแนนเต็ม]:[คะแนนเต็ม]]),"",(tbl_task8[52]/tbl_task8[[คะแนนเต็ม]:[คะแนนเต็ม]])*tbl_task8[[%]:[%]])</f>
        <v/>
      </c>
      <c r="HO10" s="121" t="str">
        <f>IF(ISBLANK(tbl_task8[[คะแนนเต็ม]:[คะแนนเต็ม]]),"",(tbl_task8[53]/tbl_task8[[คะแนนเต็ม]:[คะแนนเต็ม]])*tbl_task8[[%]:[%]])</f>
        <v/>
      </c>
      <c r="HP10" s="121" t="str">
        <f>IF(ISBLANK(tbl_task8[[คะแนนเต็ม]:[คะแนนเต็ม]]),"",(tbl_task8[54]/tbl_task8[[คะแนนเต็ม]:[คะแนนเต็ม]])*tbl_task8[[%]:[%]])</f>
        <v/>
      </c>
      <c r="HQ10" s="121" t="str">
        <f>IF(ISBLANK(tbl_task8[[คะแนนเต็ม]:[คะแนนเต็ม]]),"",(tbl_task8[55]/tbl_task8[[คะแนนเต็ม]:[คะแนนเต็ม]])*tbl_task8[[%]:[%]])</f>
        <v/>
      </c>
      <c r="HR10" s="121" t="str">
        <f>IF(ISBLANK(tbl_task8[[คะแนนเต็ม]:[คะแนนเต็ม]]),"",(tbl_task8[56]/tbl_task8[[คะแนนเต็ม]:[คะแนนเต็ม]])*tbl_task8[[%]:[%]])</f>
        <v/>
      </c>
      <c r="HS10" s="121" t="str">
        <f>IF(ISBLANK(tbl_task8[[คะแนนเต็ม]:[คะแนนเต็ม]]),"",(tbl_task8[57]/tbl_task8[[คะแนนเต็ม]:[คะแนนเต็ม]])*tbl_task8[[%]:[%]])</f>
        <v/>
      </c>
      <c r="HT10" s="121" t="str">
        <f>IF(ISBLANK(tbl_task8[[คะแนนเต็ม]:[คะแนนเต็ม]]),"",(tbl_task8[58]/tbl_task8[[คะแนนเต็ม]:[คะแนนเต็ม]])*tbl_task8[[%]:[%]])</f>
        <v/>
      </c>
      <c r="HU10" s="121" t="str">
        <f>IF(ISBLANK(tbl_task8[[คะแนนเต็ม]:[คะแนนเต็ม]]),"",(tbl_task8[59]/tbl_task8[[คะแนนเต็ม]:[คะแนนเต็ม]])*tbl_task8[[%]:[%]])</f>
        <v/>
      </c>
      <c r="HV10" s="121" t="str">
        <f>IF(ISBLANK(tbl_task8[[คะแนนเต็ม]:[คะแนนเต็ม]]),"",(tbl_task8[60]/tbl_task8[[คะแนนเต็ม]:[คะแนนเต็ม]])*tbl_task8[[%]:[%]])</f>
        <v/>
      </c>
      <c r="HW10" s="121" t="str">
        <f>IF(ISBLANK(tbl_task8[[คะแนนเต็ม]:[คะแนนเต็ม]]),"",(tbl_task8[61]/tbl_task8[[คะแนนเต็ม]:[คะแนนเต็ม]])*tbl_task8[[%]:[%]])</f>
        <v/>
      </c>
      <c r="HX10" s="121" t="str">
        <f>IF(ISBLANK(tbl_task8[[คะแนนเต็ม]:[คะแนนเต็ม]]),"",(tbl_task8[62]/tbl_task8[[คะแนนเต็ม]:[คะแนนเต็ม]])*tbl_task8[[%]:[%]])</f>
        <v/>
      </c>
      <c r="HY10" s="121" t="str">
        <f>IF(ISBLANK(tbl_task8[[คะแนนเต็ม]:[คะแนนเต็ม]]),"",(tbl_task8[63]/tbl_task8[[คะแนนเต็ม]:[คะแนนเต็ม]])*tbl_task8[[%]:[%]])</f>
        <v/>
      </c>
      <c r="HZ10" s="121" t="str">
        <f>IF(ISBLANK(tbl_task8[[คะแนนเต็ม]:[คะแนนเต็ม]]),"",(tbl_task8[64]/tbl_task8[[คะแนนเต็ม]:[คะแนนเต็ม]])*tbl_task8[[%]:[%]])</f>
        <v/>
      </c>
      <c r="IA10" s="121" t="str">
        <f>IF(ISBLANK(tbl_task8[[คะแนนเต็ม]:[คะแนนเต็ม]]),"",(tbl_task8[65]/tbl_task8[[คะแนนเต็ม]:[คะแนนเต็ม]])*tbl_task8[[%]:[%]])</f>
        <v/>
      </c>
      <c r="IB10" s="121" t="str">
        <f>IF(ISBLANK(tbl_task8[[คะแนนเต็ม]:[คะแนนเต็ม]]),"",(tbl_task8[66]/tbl_task8[[คะแนนเต็ม]:[คะแนนเต็ม]])*tbl_task8[[%]:[%]])</f>
        <v/>
      </c>
      <c r="IC10" s="121" t="str">
        <f>IF(ISBLANK(tbl_task8[[คะแนนเต็ม]:[คะแนนเต็ม]]),"",(tbl_task8[67]/tbl_task8[[คะแนนเต็ม]:[คะแนนเต็ม]])*tbl_task8[[%]:[%]])</f>
        <v/>
      </c>
      <c r="ID10" s="121" t="str">
        <f>IF(ISBLANK(tbl_task8[[คะแนนเต็ม]:[คะแนนเต็ม]]),"",(tbl_task8[68]/tbl_task8[[คะแนนเต็ม]:[คะแนนเต็ม]])*tbl_task8[[%]:[%]])</f>
        <v/>
      </c>
      <c r="IE10" s="121" t="str">
        <f>IF(ISBLANK(tbl_task8[[คะแนนเต็ม]:[คะแนนเต็ม]]),"",(tbl_task8[69]/tbl_task8[[คะแนนเต็ม]:[คะแนนเต็ม]])*tbl_task8[[%]:[%]])</f>
        <v/>
      </c>
      <c r="IF10" s="121" t="str">
        <f>IF(ISBLANK(tbl_task8[[คะแนนเต็ม]:[คะแนนเต็ม]]),"",(tbl_task8[70]/tbl_task8[[คะแนนเต็ม]:[คะแนนเต็ม]])*tbl_task8[[%]:[%]])</f>
        <v/>
      </c>
      <c r="IG10" s="121" t="str">
        <f>IF(ISBLANK(tbl_task8[[คะแนนเต็ม]:[คะแนนเต็ม]]),"",(tbl_task8[71]/tbl_task8[[คะแนนเต็ม]:[คะแนนเต็ม]])*tbl_task8[[%]:[%]])</f>
        <v/>
      </c>
      <c r="IH10" s="121" t="str">
        <f>IF(ISBLANK(tbl_task8[[คะแนนเต็ม]:[คะแนนเต็ม]]),"",(tbl_task8[72]/tbl_task8[[คะแนนเต็ม]:[คะแนนเต็ม]])*tbl_task8[[%]:[%]])</f>
        <v/>
      </c>
      <c r="II10" s="121" t="str">
        <f>IF(ISBLANK(tbl_task8[[คะแนนเต็ม]:[คะแนนเต็ม]]),"",(tbl_task8[73]/tbl_task8[[คะแนนเต็ม]:[คะแนนเต็ม]])*tbl_task8[[%]:[%]])</f>
        <v/>
      </c>
      <c r="IJ10" s="121" t="str">
        <f>IF(ISBLANK(tbl_task8[[คะแนนเต็ม]:[คะแนนเต็ม]]),"",(tbl_task8[74]/tbl_task8[[คะแนนเต็ม]:[คะแนนเต็ม]])*tbl_task8[[%]:[%]])</f>
        <v/>
      </c>
      <c r="IK10" s="121" t="str">
        <f>IF(ISBLANK(tbl_task8[[คะแนนเต็ม]:[คะแนนเต็ม]]),"",(tbl_task8[75]/tbl_task8[[คะแนนเต็ม]:[คะแนนเต็ม]])*tbl_task8[[%]:[%]])</f>
        <v/>
      </c>
      <c r="IL10" s="121" t="str">
        <f>IF(ISBLANK(tbl_task8[[คะแนนเต็ม]:[คะแนนเต็ม]]),"",(tbl_task8[76]/tbl_task8[[คะแนนเต็ม]:[คะแนนเต็ม]])*tbl_task8[[%]:[%]])</f>
        <v/>
      </c>
      <c r="IM10" s="121" t="str">
        <f>IF(ISBLANK(tbl_task8[[คะแนนเต็ม]:[คะแนนเต็ม]]),"",(tbl_task8[77]/tbl_task8[[คะแนนเต็ม]:[คะแนนเต็ม]])*tbl_task8[[%]:[%]])</f>
        <v/>
      </c>
      <c r="IN10" s="121" t="str">
        <f>IF(ISBLANK(tbl_task8[[คะแนนเต็ม]:[คะแนนเต็ม]]),"",(tbl_task8[78]/tbl_task8[[คะแนนเต็ม]:[คะแนนเต็ม]])*tbl_task8[[%]:[%]])</f>
        <v/>
      </c>
      <c r="IO10" s="121" t="str">
        <f>IF(ISBLANK(tbl_task8[[คะแนนเต็ม]:[คะแนนเต็ม]]),"",(tbl_task8[79]/tbl_task8[[คะแนนเต็ม]:[คะแนนเต็ม]])*tbl_task8[[%]:[%]])</f>
        <v/>
      </c>
      <c r="IP10" s="121" t="str">
        <f>IF(ISBLANK(tbl_task8[[คะแนนเต็ม]:[คะแนนเต็ม]]),"",(tbl_task8[80]/tbl_task8[[คะแนนเต็ม]:[คะแนนเต็ม]])*tbl_task8[[%]:[%]])</f>
        <v/>
      </c>
      <c r="IQ10" s="121" t="str">
        <f>IF(ISBLANK(tbl_task8[[คะแนนเต็ม]:[คะแนนเต็ม]]),"",(tbl_task8[81]/tbl_task8[[คะแนนเต็ม]:[คะแนนเต็ม]])*tbl_task8[[%]:[%]])</f>
        <v/>
      </c>
      <c r="IR10" s="121" t="str">
        <f>IF(ISBLANK(tbl_task8[[คะแนนเต็ม]:[คะแนนเต็ม]]),"",(tbl_task8[82]/tbl_task8[[คะแนนเต็ม]:[คะแนนเต็ม]])*tbl_task8[[%]:[%]])</f>
        <v/>
      </c>
      <c r="IS10" s="121" t="str">
        <f>IF(ISBLANK(tbl_task8[[คะแนนเต็ม]:[คะแนนเต็ม]]),"",(tbl_task8[83]/tbl_task8[[คะแนนเต็ม]:[คะแนนเต็ม]])*tbl_task8[[%]:[%]])</f>
        <v/>
      </c>
      <c r="IT10" s="121" t="str">
        <f>IF(ISBLANK(tbl_task8[[คะแนนเต็ม]:[คะแนนเต็ม]]),"",(tbl_task8[84]/tbl_task8[[คะแนนเต็ม]:[คะแนนเต็ม]])*tbl_task8[[%]:[%]])</f>
        <v/>
      </c>
      <c r="IU10" s="121" t="str">
        <f>IF(ISBLANK(tbl_task8[[คะแนนเต็ม]:[คะแนนเต็ม]]),"",(tbl_task8[85]/tbl_task8[[คะแนนเต็ม]:[คะแนนเต็ม]])*tbl_task8[[%]:[%]])</f>
        <v/>
      </c>
      <c r="IV10" s="121" t="str">
        <f>IF(ISBLANK(tbl_task8[[คะแนนเต็ม]:[คะแนนเต็ม]]),"",(tbl_task8[86]/tbl_task8[[คะแนนเต็ม]:[คะแนนเต็ม]])*tbl_task8[[%]:[%]])</f>
        <v/>
      </c>
      <c r="IW10" s="121" t="str">
        <f>IF(ISBLANK(tbl_task8[[คะแนนเต็ม]:[คะแนนเต็ม]]),"",(tbl_task8[87]/tbl_task8[[คะแนนเต็ม]:[คะแนนเต็ม]])*tbl_task8[[%]:[%]])</f>
        <v/>
      </c>
      <c r="IX10" s="121" t="str">
        <f>IF(ISBLANK(tbl_task8[[คะแนนเต็ม]:[คะแนนเต็ม]]),"",(tbl_task8[88]/tbl_task8[[คะแนนเต็ม]:[คะแนนเต็ม]])*tbl_task8[[%]:[%]])</f>
        <v/>
      </c>
      <c r="IY10" s="121" t="str">
        <f>IF(ISBLANK(tbl_task8[[คะแนนเต็ม]:[คะแนนเต็ม]]),"",(tbl_task8[89]/tbl_task8[[คะแนนเต็ม]:[คะแนนเต็ม]])*tbl_task8[[%]:[%]])</f>
        <v/>
      </c>
      <c r="IZ10" s="121" t="str">
        <f>IF(ISBLANK(tbl_task8[[คะแนนเต็ม]:[คะแนนเต็ม]]),"",(tbl_task8[90]/tbl_task8[[คะแนนเต็ม]:[คะแนนเต็ม]])*tbl_task8[[%]:[%]])</f>
        <v/>
      </c>
      <c r="JA10" s="121" t="str">
        <f>IF(ISBLANK(tbl_task8[[คะแนนเต็ม]:[คะแนนเต็ม]]),"",(tbl_task8[91]/tbl_task8[[คะแนนเต็ม]:[คะแนนเต็ม]])*tbl_task8[[%]:[%]])</f>
        <v/>
      </c>
      <c r="JB10" s="121" t="str">
        <f>IF(ISBLANK(tbl_task8[[คะแนนเต็ม]:[คะแนนเต็ม]]),"",(tbl_task8[92]/tbl_task8[[คะแนนเต็ม]:[คะแนนเต็ม]])*tbl_task8[[%]:[%]])</f>
        <v/>
      </c>
      <c r="JC10" s="121" t="str">
        <f>IF(ISBLANK(tbl_task8[[คะแนนเต็ม]:[คะแนนเต็ม]]),"",(tbl_task8[93]/tbl_task8[[คะแนนเต็ม]:[คะแนนเต็ม]])*tbl_task8[[%]:[%]])</f>
        <v/>
      </c>
      <c r="JD10" s="121" t="str">
        <f>IF(ISBLANK(tbl_task8[[คะแนนเต็ม]:[คะแนนเต็ม]]),"",(tbl_task8[94]/tbl_task8[[คะแนนเต็ม]:[คะแนนเต็ม]])*tbl_task8[[%]:[%]])</f>
        <v/>
      </c>
      <c r="JE10" s="121" t="str">
        <f>IF(ISBLANK(tbl_task8[[คะแนนเต็ม]:[คะแนนเต็ม]]),"",(tbl_task8[95]/tbl_task8[[คะแนนเต็ม]:[คะแนนเต็ม]])*tbl_task8[[%]:[%]])</f>
        <v/>
      </c>
      <c r="JF10" s="121" t="str">
        <f>IF(ISBLANK(tbl_task8[[คะแนนเต็ม]:[คะแนนเต็ม]]),"",(tbl_task8[96]/tbl_task8[[คะแนนเต็ม]:[คะแนนเต็ม]])*tbl_task8[[%]:[%]])</f>
        <v/>
      </c>
      <c r="JG10" s="121" t="str">
        <f>IF(ISBLANK(tbl_task8[[คะแนนเต็ม]:[คะแนนเต็ม]]),"",(tbl_task8[97]/tbl_task8[[คะแนนเต็ม]:[คะแนนเต็ม]])*tbl_task8[[%]:[%]])</f>
        <v/>
      </c>
      <c r="JH10" s="121" t="str">
        <f>IF(ISBLANK(tbl_task8[[คะแนนเต็ม]:[คะแนนเต็ม]]),"",(tbl_task8[98]/tbl_task8[[คะแนนเต็ม]:[คะแนนเต็ม]])*tbl_task8[[%]:[%]])</f>
        <v/>
      </c>
      <c r="JI10" s="121" t="str">
        <f>IF(ISBLANK(tbl_task8[[คะแนนเต็ม]:[คะแนนเต็ม]]),"",(tbl_task8[99]/tbl_task8[[คะแนนเต็ม]:[คะแนนเต็ม]])*tbl_task8[[%]:[%]])</f>
        <v/>
      </c>
      <c r="JJ10" s="121" t="str">
        <f>IF(ISBLANK(tbl_task8[[คะแนนเต็ม]:[คะแนนเต็ม]]),"",(tbl_task8[100]/tbl_task8[[คะแนนเต็ม]:[คะแนนเต็ม]])*tbl_task8[[%]:[%]])</f>
        <v/>
      </c>
      <c r="JK10" s="121" t="str">
        <f>IF(ISBLANK(tbl_task8[[คะแนนเต็ม]:[คะแนนเต็ม]]),"",(tbl_task8[101]/tbl_task8[[คะแนนเต็ม]:[คะแนนเต็ม]])*tbl_task8[[%]:[%]])</f>
        <v/>
      </c>
      <c r="JL10" s="121" t="str">
        <f>IF(ISBLANK(tbl_task8[[คะแนนเต็ม]:[คะแนนเต็ม]]),"",(tbl_task8[102]/tbl_task8[[คะแนนเต็ม]:[คะแนนเต็ม]])*tbl_task8[[%]:[%]])</f>
        <v/>
      </c>
      <c r="JM10" s="121" t="str">
        <f>IF(ISBLANK(tbl_task8[[คะแนนเต็ม]:[คะแนนเต็ม]]),"",(tbl_task8[103]/tbl_task8[[คะแนนเต็ม]:[คะแนนเต็ม]])*tbl_task8[[%]:[%]])</f>
        <v/>
      </c>
      <c r="JN10" s="121" t="str">
        <f>IF(ISBLANK(tbl_task8[[คะแนนเต็ม]:[คะแนนเต็ม]]),"",(tbl_task8[104]/tbl_task8[[คะแนนเต็ม]:[คะแนนเต็ม]])*tbl_task8[[%]:[%]])</f>
        <v/>
      </c>
      <c r="JO10" s="121" t="str">
        <f>IF(ISBLANK(tbl_task8[[คะแนนเต็ม]:[คะแนนเต็ม]]),"",(tbl_task8[105]/tbl_task8[[คะแนนเต็ม]:[คะแนนเต็ม]])*tbl_task8[[%]:[%]])</f>
        <v/>
      </c>
      <c r="JP10" s="121" t="str">
        <f>IF(ISBLANK(tbl_task8[[คะแนนเต็ม]:[คะแนนเต็ม]]),"",(tbl_task8[106]/tbl_task8[[คะแนนเต็ม]:[คะแนนเต็ม]])*tbl_task8[[%]:[%]])</f>
        <v/>
      </c>
      <c r="JQ10" s="121" t="str">
        <f>IF(ISBLANK(tbl_task8[[คะแนนเต็ม]:[คะแนนเต็ม]]),"",(tbl_task8[107]/tbl_task8[[คะแนนเต็ม]:[คะแนนเต็ม]])*tbl_task8[[%]:[%]])</f>
        <v/>
      </c>
      <c r="JR10" s="121" t="str">
        <f>IF(ISBLANK(tbl_task8[[คะแนนเต็ม]:[คะแนนเต็ม]]),"",(tbl_task8[108]/tbl_task8[[คะแนนเต็ม]:[คะแนนเต็ม]])*tbl_task8[[%]:[%]])</f>
        <v/>
      </c>
      <c r="JS10" s="121" t="str">
        <f>IF(ISBLANK(tbl_task8[[คะแนนเต็ม]:[คะแนนเต็ม]]),"",(tbl_task8[109]/tbl_task8[[คะแนนเต็ม]:[คะแนนเต็ม]])*tbl_task8[[%]:[%]])</f>
        <v/>
      </c>
      <c r="JT10" s="121" t="str">
        <f>IF(ISBLANK(tbl_task8[[คะแนนเต็ม]:[คะแนนเต็ม]]),"",(tbl_task8[110]/tbl_task8[[คะแนนเต็ม]:[คะแนนเต็ม]])*tbl_task8[[%]:[%]])</f>
        <v/>
      </c>
      <c r="JU10" s="121" t="str">
        <f>IF(ISBLANK(tbl_task8[[คะแนนเต็ม]:[คะแนนเต็ม]]),"",(tbl_task8[111]/tbl_task8[[คะแนนเต็ม]:[คะแนนเต็ม]])*tbl_task8[[%]:[%]])</f>
        <v/>
      </c>
      <c r="JV10" s="121" t="str">
        <f>IF(ISBLANK(tbl_task8[[คะแนนเต็ม]:[คะแนนเต็ม]]),"",(tbl_task8[112]/tbl_task8[[คะแนนเต็ม]:[คะแนนเต็ม]])*tbl_task8[[%]:[%]])</f>
        <v/>
      </c>
      <c r="JW10" s="121" t="str">
        <f>IF(ISBLANK(tbl_task8[[คะแนนเต็ม]:[คะแนนเต็ม]]),"",(tbl_task8[113]/tbl_task8[[คะแนนเต็ม]:[คะแนนเต็ม]])*tbl_task8[[%]:[%]])</f>
        <v/>
      </c>
      <c r="JX10" s="121" t="str">
        <f>IF(ISBLANK(tbl_task8[[คะแนนเต็ม]:[คะแนนเต็ม]]),"",(tbl_task8[114]/tbl_task8[[คะแนนเต็ม]:[คะแนนเต็ม]])*tbl_task8[[%]:[%]])</f>
        <v/>
      </c>
      <c r="JY10" s="121" t="str">
        <f>IF(ISBLANK(tbl_task8[[คะแนนเต็ม]:[คะแนนเต็ม]]),"",(tbl_task8[115]/tbl_task8[[คะแนนเต็ม]:[คะแนนเต็ม]])*tbl_task8[[%]:[%]])</f>
        <v/>
      </c>
      <c r="JZ10" s="121" t="str">
        <f>IF(ISBLANK(tbl_task8[[คะแนนเต็ม]:[คะแนนเต็ม]]),"",(tbl_task8[116]/tbl_task8[[คะแนนเต็ม]:[คะแนนเต็ม]])*tbl_task8[[%]:[%]])</f>
        <v/>
      </c>
      <c r="KA10" s="121" t="str">
        <f>IF(ISBLANK(tbl_task8[[คะแนนเต็ม]:[คะแนนเต็ม]]),"",(tbl_task8[117]/tbl_task8[[คะแนนเต็ม]:[คะแนนเต็ม]])*tbl_task8[[%]:[%]])</f>
        <v/>
      </c>
      <c r="KB10" s="121" t="str">
        <f>IF(ISBLANK(tbl_task8[[คะแนนเต็ม]:[คะแนนเต็ม]]),"",(tbl_task8[118]/tbl_task8[[คะแนนเต็ม]:[คะแนนเต็ม]])*tbl_task8[[%]:[%]])</f>
        <v/>
      </c>
      <c r="KC10" s="121" t="str">
        <f>IF(ISBLANK(tbl_task8[[คะแนนเต็ม]:[คะแนนเต็ม]]),"",(tbl_task8[119]/tbl_task8[[คะแนนเต็ม]:[คะแนนเต็ม]])*tbl_task8[[%]:[%]])</f>
        <v/>
      </c>
      <c r="KD10" s="121" t="str">
        <f>IF(ISBLANK(tbl_task8[[คะแนนเต็ม]:[คะแนนเต็ม]]),"",(tbl_task8[120]/tbl_task8[[คะแนนเต็ม]:[คะแนนเต็ม]])*tbl_task8[[%]:[%]])</f>
        <v/>
      </c>
      <c r="KE10" s="121" t="str">
        <f>IF(ISBLANK(tbl_task8[[คะแนนเต็ม]:[คะแนนเต็ม]]),"",(tbl_task8[121]/tbl_task8[[คะแนนเต็ม]:[คะแนนเต็ม]])*tbl_task8[[%]:[%]])</f>
        <v/>
      </c>
      <c r="KF10" s="121" t="str">
        <f>IF(ISBLANK(tbl_task8[[คะแนนเต็ม]:[คะแนนเต็ม]]),"",(tbl_task8[122]/tbl_task8[[คะแนนเต็ม]:[คะแนนเต็ม]])*tbl_task8[[%]:[%]])</f>
        <v/>
      </c>
      <c r="KG10" s="121" t="str">
        <f>IF(ISBLANK(tbl_task8[[คะแนนเต็ม]:[คะแนนเต็ม]]),"",(tbl_task8[123]/tbl_task8[[คะแนนเต็ม]:[คะแนนเต็ม]])*tbl_task8[[%]:[%]])</f>
        <v/>
      </c>
      <c r="KH10" s="121" t="str">
        <f>IF(ISBLANK(tbl_task8[[คะแนนเต็ม]:[คะแนนเต็ม]]),"",(tbl_task8[124]/tbl_task8[[คะแนนเต็ม]:[คะแนนเต็ม]])*tbl_task8[[%]:[%]])</f>
        <v/>
      </c>
      <c r="KI10" s="121" t="str">
        <f>IF(ISBLANK(tbl_task8[[คะแนนเต็ม]:[คะแนนเต็ม]]),"",(tbl_task8[125]/tbl_task8[[คะแนนเต็ม]:[คะแนนเต็ม]])*tbl_task8[[%]:[%]])</f>
        <v/>
      </c>
      <c r="KJ10" s="121" t="str">
        <f>IF(ISBLANK(tbl_task8[[คะแนนเต็ม]:[คะแนนเต็ม]]),"",(tbl_task8[126]/tbl_task8[[คะแนนเต็ม]:[คะแนนเต็ม]])*tbl_task8[[%]:[%]])</f>
        <v/>
      </c>
      <c r="KK10" s="121" t="str">
        <f>IF(ISBLANK(tbl_task8[[คะแนนเต็ม]:[คะแนนเต็ม]]),"",(tbl_task8[127]/tbl_task8[[คะแนนเต็ม]:[คะแนนเต็ม]])*tbl_task8[[%]:[%]])</f>
        <v/>
      </c>
      <c r="KL10" s="121" t="str">
        <f>IF(ISBLANK(tbl_task8[[คะแนนเต็ม]:[คะแนนเต็ม]]),"",(tbl_task8[128]/tbl_task8[[คะแนนเต็ม]:[คะแนนเต็ม]])*tbl_task8[[%]:[%]])</f>
        <v/>
      </c>
      <c r="KM10" s="121" t="str">
        <f>IF(ISBLANK(tbl_task8[[คะแนนเต็ม]:[คะแนนเต็ม]]),"",(tbl_task8[129]/tbl_task8[[คะแนนเต็ม]:[คะแนนเต็ม]])*tbl_task8[[%]:[%]])</f>
        <v/>
      </c>
      <c r="KN10" s="121" t="str">
        <f>IF(ISBLANK(tbl_task8[[คะแนนเต็ม]:[คะแนนเต็ม]]),"",(tbl_task8[130]/tbl_task8[[คะแนนเต็ม]:[คะแนนเต็ม]])*tbl_task8[[%]:[%]])</f>
        <v/>
      </c>
      <c r="KO10" s="121" t="str">
        <f>IF(ISBLANK(tbl_task8[[คะแนนเต็ม]:[คะแนนเต็ม]]),"",(tbl_task8[131]/tbl_task8[[คะแนนเต็ม]:[คะแนนเต็ม]])*tbl_task8[[%]:[%]])</f>
        <v/>
      </c>
      <c r="KP10" s="121" t="str">
        <f>IF(ISBLANK(tbl_task8[[คะแนนเต็ม]:[คะแนนเต็ม]]),"",(tbl_task8[132]/tbl_task8[[คะแนนเต็ม]:[คะแนนเต็ม]])*tbl_task8[[%]:[%]])</f>
        <v/>
      </c>
      <c r="KQ10" s="121" t="str">
        <f>IF(ISBLANK(tbl_task8[[คะแนนเต็ม]:[คะแนนเต็ม]]),"",(tbl_task8[133]/tbl_task8[[คะแนนเต็ม]:[คะแนนเต็ม]])*tbl_task8[[%]:[%]])</f>
        <v/>
      </c>
      <c r="KR10" s="121" t="str">
        <f>IF(ISBLANK(tbl_task8[[คะแนนเต็ม]:[คะแนนเต็ม]]),"",(tbl_task8[134]/tbl_task8[[คะแนนเต็ม]:[คะแนนเต็ม]])*tbl_task8[[%]:[%]])</f>
        <v/>
      </c>
      <c r="KS10" s="121" t="str">
        <f>IF(ISBLANK(tbl_task8[[คะแนนเต็ม]:[คะแนนเต็ม]]),"",(tbl_task8[135]/tbl_task8[[คะแนนเต็ม]:[คะแนนเต็ม]])*tbl_task8[[%]:[%]])</f>
        <v/>
      </c>
      <c r="KT10" s="121" t="str">
        <f>IF(ISBLANK(tbl_task8[[คะแนนเต็ม]:[คะแนนเต็ม]]),"",(tbl_task8[136]/tbl_task8[[คะแนนเต็ม]:[คะแนนเต็ม]])*tbl_task8[[%]:[%]])</f>
        <v/>
      </c>
      <c r="KU10" s="121" t="str">
        <f>IF(ISBLANK(tbl_task8[[คะแนนเต็ม]:[คะแนนเต็ม]]),"",(tbl_task8[137]/tbl_task8[[คะแนนเต็ม]:[คะแนนเต็ม]])*tbl_task8[[%]:[%]])</f>
        <v/>
      </c>
      <c r="KV10" s="121" t="str">
        <f>IF(ISBLANK(tbl_task8[[คะแนนเต็ม]:[คะแนนเต็ม]]),"",(tbl_task8[138]/tbl_task8[[คะแนนเต็ม]:[คะแนนเต็ม]])*tbl_task8[[%]:[%]])</f>
        <v/>
      </c>
      <c r="KW10" s="121" t="str">
        <f>IF(ISBLANK(tbl_task8[[คะแนนเต็ม]:[คะแนนเต็ม]]),"",(tbl_task8[139]/tbl_task8[[คะแนนเต็ม]:[คะแนนเต็ม]])*tbl_task8[[%]:[%]])</f>
        <v/>
      </c>
      <c r="KX10" s="121" t="str">
        <f>IF(ISBLANK(tbl_task8[[คะแนนเต็ม]:[คะแนนเต็ม]]),"",(tbl_task8[140]/tbl_task8[[คะแนนเต็ม]:[คะแนนเต็ม]])*tbl_task8[[%]:[%]])</f>
        <v/>
      </c>
      <c r="KY10" s="121" t="str">
        <f>IF(ISBLANK(tbl_task8[[คะแนนเต็ม]:[คะแนนเต็ม]]),"",(tbl_task8[141]/tbl_task8[[คะแนนเต็ม]:[คะแนนเต็ม]])*tbl_task8[[%]:[%]])</f>
        <v/>
      </c>
      <c r="KZ10" s="121" t="str">
        <f>IF(ISBLANK(tbl_task8[[คะแนนเต็ม]:[คะแนนเต็ม]]),"",(tbl_task8[142]/tbl_task8[[คะแนนเต็ม]:[คะแนนเต็ม]])*tbl_task8[[%]:[%]])</f>
        <v/>
      </c>
      <c r="LA10" s="121" t="str">
        <f>IF(ISBLANK(tbl_task8[[คะแนนเต็ม]:[คะแนนเต็ม]]),"",(tbl_task8[143]/tbl_task8[[คะแนนเต็ม]:[คะแนนเต็ม]])*tbl_task8[[%]:[%]])</f>
        <v/>
      </c>
      <c r="LB10" s="121" t="str">
        <f>IF(ISBLANK(tbl_task8[[คะแนนเต็ม]:[คะแนนเต็ม]]),"",(tbl_task8[144]/tbl_task8[[คะแนนเต็ม]:[คะแนนเต็ม]])*tbl_task8[[%]:[%]])</f>
        <v/>
      </c>
      <c r="LC10" s="121" t="str">
        <f>IF(ISBLANK(tbl_task8[[คะแนนเต็ม]:[คะแนนเต็ม]]),"",(tbl_task8[145]/tbl_task8[[คะแนนเต็ม]:[คะแนนเต็ม]])*tbl_task8[[%]:[%]])</f>
        <v/>
      </c>
      <c r="LD10" s="121" t="str">
        <f>IF(ISBLANK(tbl_task8[[คะแนนเต็ม]:[คะแนนเต็ม]]),"",(tbl_task8[146]/tbl_task8[[คะแนนเต็ม]:[คะแนนเต็ม]])*tbl_task8[[%]:[%]])</f>
        <v/>
      </c>
      <c r="LE10" s="121" t="str">
        <f>IF(ISBLANK(tbl_task8[[คะแนนเต็ม]:[คะแนนเต็ม]]),"",(tbl_task8[147]/tbl_task8[[คะแนนเต็ม]:[คะแนนเต็ม]])*tbl_task8[[%]:[%]])</f>
        <v/>
      </c>
      <c r="LF10" s="121" t="str">
        <f>IF(ISBLANK(tbl_task8[[คะแนนเต็ม]:[คะแนนเต็ม]]),"",(tbl_task8[148]/tbl_task8[[คะแนนเต็ม]:[คะแนนเต็ม]])*tbl_task8[[%]:[%]])</f>
        <v/>
      </c>
      <c r="LG10" s="121" t="str">
        <f>IF(ISBLANK(tbl_task8[[คะแนนเต็ม]:[คะแนนเต็ม]]),"",(tbl_task8[149]/tbl_task8[[คะแนนเต็ม]:[คะแนนเต็ม]])*tbl_task8[[%]:[%]])</f>
        <v/>
      </c>
      <c r="LH10" s="121" t="str">
        <f>IF(ISBLANK(tbl_task8[[คะแนนเต็ม]:[คะแนนเต็ม]]),"",(tbl_task8[150]/tbl_task8[[คะแนนเต็ม]:[คะแนนเต็ม]])*tbl_task8[[%]:[%]])</f>
        <v/>
      </c>
      <c r="LI10" s="121" t="str">
        <f>IF(ISBLANK(tbl_task8[[คะแนนเต็ม]:[คะแนนเต็ม]]),"",(tbl_task8[151]/tbl_task8[[คะแนนเต็ม]:[คะแนนเต็ม]])*tbl_task8[[%]:[%]])</f>
        <v/>
      </c>
      <c r="LJ10" s="121" t="str">
        <f>IF(ISBLANK(tbl_task8[[คะแนนเต็ม]:[คะแนนเต็ม]]),"",(tbl_task8[152]/tbl_task8[[คะแนนเต็ม]:[คะแนนเต็ม]])*tbl_task8[[%]:[%]])</f>
        <v/>
      </c>
      <c r="LK10" s="121" t="str">
        <f>IF(ISBLANK(tbl_task8[[คะแนนเต็ม]:[คะแนนเต็ม]]),"",(tbl_task8[153]/tbl_task8[[คะแนนเต็ม]:[คะแนนเต็ม]])*tbl_task8[[%]:[%]])</f>
        <v/>
      </c>
      <c r="LL10" s="121" t="str">
        <f>IF(ISBLANK(tbl_task8[[คะแนนเต็ม]:[คะแนนเต็ม]]),"",(tbl_task8[154]/tbl_task8[[คะแนนเต็ม]:[คะแนนเต็ม]])*tbl_task8[[%]:[%]])</f>
        <v/>
      </c>
      <c r="LM10" s="121" t="str">
        <f>IF(ISBLANK(tbl_task8[[คะแนนเต็ม]:[คะแนนเต็ม]]),"",(tbl_task8[155]/tbl_task8[[คะแนนเต็ม]:[คะแนนเต็ม]])*tbl_task8[[%]:[%]])</f>
        <v/>
      </c>
      <c r="LN10" s="121" t="str">
        <f>IF(ISBLANK(tbl_task8[[คะแนนเต็ม]:[คะแนนเต็ม]]),"",(tbl_task8[156]/tbl_task8[[คะแนนเต็ม]:[คะแนนเต็ม]])*tbl_task8[[%]:[%]])</f>
        <v/>
      </c>
      <c r="LO10" s="121" t="str">
        <f>IF(ISBLANK(tbl_task8[[คะแนนเต็ม]:[คะแนนเต็ม]]),"",(tbl_task8[157]/tbl_task8[[คะแนนเต็ม]:[คะแนนเต็ม]])*tbl_task8[[%]:[%]])</f>
        <v/>
      </c>
      <c r="LP10" s="121" t="str">
        <f>IF(ISBLANK(tbl_task8[[คะแนนเต็ม]:[คะแนนเต็ม]]),"",(tbl_task8[158]/tbl_task8[[คะแนนเต็ม]:[คะแนนเต็ม]])*tbl_task8[[%]:[%]])</f>
        <v/>
      </c>
      <c r="LQ10" s="121" t="str">
        <f>IF(ISBLANK(tbl_task8[[คะแนนเต็ม]:[คะแนนเต็ม]]),"",(tbl_task8[159]/tbl_task8[[คะแนนเต็ม]:[คะแนนเต็ม]])*tbl_task8[[%]:[%]])</f>
        <v/>
      </c>
      <c r="LR10" s="121" t="str">
        <f>IF(ISBLANK(tbl_task8[[คะแนนเต็ม]:[คะแนนเต็ม]]),"",(tbl_task8[160]/tbl_task8[[คะแนนเต็ม]:[คะแนนเต็ม]])*tbl_task8[[%]:[%]])</f>
        <v/>
      </c>
      <c r="LS10" s="121" t="str">
        <f>IF(ISBLANK(tbl_task8[[คะแนนเต็ม]:[คะแนนเต็ม]]),"",(tbl_task8[161]/tbl_task8[[คะแนนเต็ม]:[คะแนนเต็ม]])*tbl_task8[[%]:[%]])</f>
        <v/>
      </c>
      <c r="LT10" s="121" t="str">
        <f>IF(ISBLANK(tbl_task8[[คะแนนเต็ม]:[คะแนนเต็ม]]),"",(tbl_task8[162]/tbl_task8[[คะแนนเต็ม]:[คะแนนเต็ม]])*tbl_task8[[%]:[%]])</f>
        <v/>
      </c>
      <c r="LU10" s="121" t="str">
        <f>IF(ISBLANK(tbl_task8[[คะแนนเต็ม]:[คะแนนเต็ม]]),"",(tbl_task8[163]/tbl_task8[[คะแนนเต็ม]:[คะแนนเต็ม]])*tbl_task8[[%]:[%]])</f>
        <v/>
      </c>
      <c r="LV10" s="121" t="str">
        <f>IF(ISBLANK(tbl_task8[[คะแนนเต็ม]:[คะแนนเต็ม]]),"",(tbl_task8[164]/tbl_task8[[คะแนนเต็ม]:[คะแนนเต็ม]])*tbl_task8[[%]:[%]])</f>
        <v/>
      </c>
      <c r="LW10" s="121" t="str">
        <f>IF(ISBLANK(tbl_task8[[คะแนนเต็ม]:[คะแนนเต็ม]]),"",(tbl_task8[165]/tbl_task8[[คะแนนเต็ม]:[คะแนนเต็ม]])*tbl_task8[[%]:[%]])</f>
        <v/>
      </c>
    </row>
    <row r="11" spans="1:335" ht="24" customHeight="1" x14ac:dyDescent="0.25">
      <c r="A11" s="24">
        <v>8</v>
      </c>
      <c r="B11" s="20"/>
      <c r="C11" s="5" t="str">
        <f>IF(ISBLANK(B11),"",VLOOKUP(B11,tbl_PLOs[],2,0))</f>
        <v/>
      </c>
      <c r="D11" s="102"/>
      <c r="E11" s="106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22"/>
      <c r="FO11" s="121" t="str">
        <f>IF(ISBLANK(tbl_task8[[คะแนนเต็ม]:[คะแนนเต็ม]]),"",(tbl_task8[1]/tbl_task8[[คะแนนเต็ม]:[คะแนนเต็ม]])*tbl_task8[[%]:[%]])</f>
        <v/>
      </c>
      <c r="FP11" s="121" t="str">
        <f>IF(ISBLANK(tbl_task8[[คะแนนเต็ม]:[คะแนนเต็ม]]),"",(tbl_task8[2]/tbl_task8[[คะแนนเต็ม]:[คะแนนเต็ม]])*tbl_task8[[%]:[%]])</f>
        <v/>
      </c>
      <c r="FQ11" s="121" t="str">
        <f>IF(ISBLANK(tbl_task8[[คะแนนเต็ม]:[คะแนนเต็ม]]),"",(tbl_task8[3]/tbl_task8[[คะแนนเต็ม]:[คะแนนเต็ม]])*tbl_task8[[%]:[%]])</f>
        <v/>
      </c>
      <c r="FR11" s="121" t="str">
        <f>IF(ISBLANK(tbl_task8[[คะแนนเต็ม]:[คะแนนเต็ม]]),"",(tbl_task8[4]/tbl_task8[[คะแนนเต็ม]:[คะแนนเต็ม]])*tbl_task8[[%]:[%]])</f>
        <v/>
      </c>
      <c r="FS11" s="121" t="str">
        <f>IF(ISBLANK(tbl_task8[[คะแนนเต็ม]:[คะแนนเต็ม]]),"",(tbl_task8[5]/tbl_task8[[คะแนนเต็ม]:[คะแนนเต็ม]])*tbl_task8[[%]:[%]])</f>
        <v/>
      </c>
      <c r="FT11" s="121" t="str">
        <f>IF(ISBLANK(tbl_task8[[คะแนนเต็ม]:[คะแนนเต็ม]]),"",(tbl_task8[6]/tbl_task8[[คะแนนเต็ม]:[คะแนนเต็ม]])*tbl_task8[[%]:[%]])</f>
        <v/>
      </c>
      <c r="FU11" s="121" t="str">
        <f>IF(ISBLANK(tbl_task8[[คะแนนเต็ม]:[คะแนนเต็ม]]),"",(tbl_task8[7]/tbl_task8[[คะแนนเต็ม]:[คะแนนเต็ม]])*tbl_task8[[%]:[%]])</f>
        <v/>
      </c>
      <c r="FV11" s="121" t="str">
        <f>IF(ISBLANK(tbl_task8[[คะแนนเต็ม]:[คะแนนเต็ม]]),"",(tbl_task8[8]/tbl_task8[[คะแนนเต็ม]:[คะแนนเต็ม]])*tbl_task8[[%]:[%]])</f>
        <v/>
      </c>
      <c r="FW11" s="121" t="str">
        <f>IF(ISBLANK(tbl_task8[[คะแนนเต็ม]:[คะแนนเต็ม]]),"",(tbl_task8[9]/tbl_task8[[คะแนนเต็ม]:[คะแนนเต็ม]])*tbl_task8[[%]:[%]])</f>
        <v/>
      </c>
      <c r="FX11" s="121" t="str">
        <f>IF(ISBLANK(tbl_task8[[คะแนนเต็ม]:[คะแนนเต็ม]]),"",(tbl_task8[10]/tbl_task8[[คะแนนเต็ม]:[คะแนนเต็ม]])*tbl_task8[[%]:[%]])</f>
        <v/>
      </c>
      <c r="FY11" s="121" t="str">
        <f>IF(ISBLANK(tbl_task8[[คะแนนเต็ม]:[คะแนนเต็ม]]),"",(tbl_task8[11]/tbl_task8[[คะแนนเต็ม]:[คะแนนเต็ม]])*tbl_task8[[%]:[%]])</f>
        <v/>
      </c>
      <c r="FZ11" s="121" t="str">
        <f>IF(ISBLANK(tbl_task8[[คะแนนเต็ม]:[คะแนนเต็ม]]),"",(tbl_task8[12]/tbl_task8[[คะแนนเต็ม]:[คะแนนเต็ม]])*tbl_task8[[%]:[%]])</f>
        <v/>
      </c>
      <c r="GA11" s="121" t="str">
        <f>IF(ISBLANK(tbl_task8[[คะแนนเต็ม]:[คะแนนเต็ม]]),"",(tbl_task8[13]/tbl_task8[[คะแนนเต็ม]:[คะแนนเต็ม]])*tbl_task8[[%]:[%]])</f>
        <v/>
      </c>
      <c r="GB11" s="121" t="str">
        <f>IF(ISBLANK(tbl_task8[[คะแนนเต็ม]:[คะแนนเต็ม]]),"",(tbl_task8[14]/tbl_task8[[คะแนนเต็ม]:[คะแนนเต็ม]])*tbl_task8[[%]:[%]])</f>
        <v/>
      </c>
      <c r="GC11" s="121" t="str">
        <f>IF(ISBLANK(tbl_task8[[คะแนนเต็ม]:[คะแนนเต็ม]]),"",(tbl_task8[15]/tbl_task8[[คะแนนเต็ม]:[คะแนนเต็ม]])*tbl_task8[[%]:[%]])</f>
        <v/>
      </c>
      <c r="GD11" s="121" t="str">
        <f>IF(ISBLANK(tbl_task8[[คะแนนเต็ม]:[คะแนนเต็ม]]),"",(tbl_task8[16]/tbl_task8[[คะแนนเต็ม]:[คะแนนเต็ม]])*tbl_task8[[%]:[%]])</f>
        <v/>
      </c>
      <c r="GE11" s="121" t="str">
        <f>IF(ISBLANK(tbl_task8[[คะแนนเต็ม]:[คะแนนเต็ม]]),"",(tbl_task8[17]/tbl_task8[[คะแนนเต็ม]:[คะแนนเต็ม]])*tbl_task8[[%]:[%]])</f>
        <v/>
      </c>
      <c r="GF11" s="121" t="str">
        <f>IF(ISBLANK(tbl_task8[[คะแนนเต็ม]:[คะแนนเต็ม]]),"",(tbl_task8[18]/tbl_task8[[คะแนนเต็ม]:[คะแนนเต็ม]])*tbl_task8[[%]:[%]])</f>
        <v/>
      </c>
      <c r="GG11" s="121" t="str">
        <f>IF(ISBLANK(tbl_task8[[คะแนนเต็ม]:[คะแนนเต็ม]]),"",(tbl_task8[19]/tbl_task8[[คะแนนเต็ม]:[คะแนนเต็ม]])*tbl_task8[[%]:[%]])</f>
        <v/>
      </c>
      <c r="GH11" s="121" t="str">
        <f>IF(ISBLANK(tbl_task8[[คะแนนเต็ม]:[คะแนนเต็ม]]),"",(tbl_task8[20]/tbl_task8[[คะแนนเต็ม]:[คะแนนเต็ม]])*tbl_task8[[%]:[%]])</f>
        <v/>
      </c>
      <c r="GI11" s="121" t="str">
        <f>IF(ISBLANK(tbl_task8[[คะแนนเต็ม]:[คะแนนเต็ม]]),"",(tbl_task8[21]/tbl_task8[[คะแนนเต็ม]:[คะแนนเต็ม]])*tbl_task8[[%]:[%]])</f>
        <v/>
      </c>
      <c r="GJ11" s="121" t="str">
        <f>IF(ISBLANK(tbl_task8[[คะแนนเต็ม]:[คะแนนเต็ม]]),"",(tbl_task8[22]/tbl_task8[[คะแนนเต็ม]:[คะแนนเต็ม]])*tbl_task8[[%]:[%]])</f>
        <v/>
      </c>
      <c r="GK11" s="121" t="str">
        <f>IF(ISBLANK(tbl_task8[[คะแนนเต็ม]:[คะแนนเต็ม]]),"",(tbl_task8[23]/tbl_task8[[คะแนนเต็ม]:[คะแนนเต็ม]])*tbl_task8[[%]:[%]])</f>
        <v/>
      </c>
      <c r="GL11" s="121" t="str">
        <f>IF(ISBLANK(tbl_task8[[คะแนนเต็ม]:[คะแนนเต็ม]]),"",(tbl_task8[24]/tbl_task8[[คะแนนเต็ม]:[คะแนนเต็ม]])*tbl_task8[[%]:[%]])</f>
        <v/>
      </c>
      <c r="GM11" s="121" t="str">
        <f>IF(ISBLANK(tbl_task8[[คะแนนเต็ม]:[คะแนนเต็ม]]),"",(tbl_task8[25]/tbl_task8[[คะแนนเต็ม]:[คะแนนเต็ม]])*tbl_task8[[%]:[%]])</f>
        <v/>
      </c>
      <c r="GN11" s="121" t="str">
        <f>IF(ISBLANK(tbl_task8[[คะแนนเต็ม]:[คะแนนเต็ม]]),"",(tbl_task8[26]/tbl_task8[[คะแนนเต็ม]:[คะแนนเต็ม]])*tbl_task8[[%]:[%]])</f>
        <v/>
      </c>
      <c r="GO11" s="121" t="str">
        <f>IF(ISBLANK(tbl_task8[[คะแนนเต็ม]:[คะแนนเต็ม]]),"",(tbl_task8[27]/tbl_task8[[คะแนนเต็ม]:[คะแนนเต็ม]])*tbl_task8[[%]:[%]])</f>
        <v/>
      </c>
      <c r="GP11" s="121" t="str">
        <f>IF(ISBLANK(tbl_task8[[คะแนนเต็ม]:[คะแนนเต็ม]]),"",(tbl_task8[28]/tbl_task8[[คะแนนเต็ม]:[คะแนนเต็ม]])*tbl_task8[[%]:[%]])</f>
        <v/>
      </c>
      <c r="GQ11" s="121" t="str">
        <f>IF(ISBLANK(tbl_task8[[คะแนนเต็ม]:[คะแนนเต็ม]]),"",(tbl_task8[29]/tbl_task8[[คะแนนเต็ม]:[คะแนนเต็ม]])*tbl_task8[[%]:[%]])</f>
        <v/>
      </c>
      <c r="GR11" s="121" t="str">
        <f>IF(ISBLANK(tbl_task8[[คะแนนเต็ม]:[คะแนนเต็ม]]),"",(tbl_task8[30]/tbl_task8[[คะแนนเต็ม]:[คะแนนเต็ม]])*tbl_task8[[%]:[%]])</f>
        <v/>
      </c>
      <c r="GS11" s="121" t="str">
        <f>IF(ISBLANK(tbl_task8[[คะแนนเต็ม]:[คะแนนเต็ม]]),"",(tbl_task8[31]/tbl_task8[[คะแนนเต็ม]:[คะแนนเต็ม]])*tbl_task8[[%]:[%]])</f>
        <v/>
      </c>
      <c r="GT11" s="121" t="str">
        <f>IF(ISBLANK(tbl_task8[[คะแนนเต็ม]:[คะแนนเต็ม]]),"",(tbl_task8[32]/tbl_task8[[คะแนนเต็ม]:[คะแนนเต็ม]])*tbl_task8[[%]:[%]])</f>
        <v/>
      </c>
      <c r="GU11" s="121" t="str">
        <f>IF(ISBLANK(tbl_task8[[คะแนนเต็ม]:[คะแนนเต็ม]]),"",(tbl_task8[33]/tbl_task8[[คะแนนเต็ม]:[คะแนนเต็ม]])*tbl_task8[[%]:[%]])</f>
        <v/>
      </c>
      <c r="GV11" s="121" t="str">
        <f>IF(ISBLANK(tbl_task8[[คะแนนเต็ม]:[คะแนนเต็ม]]),"",(tbl_task8[34]/tbl_task8[[คะแนนเต็ม]:[คะแนนเต็ม]])*tbl_task8[[%]:[%]])</f>
        <v/>
      </c>
      <c r="GW11" s="121" t="str">
        <f>IF(ISBLANK(tbl_task8[[คะแนนเต็ม]:[คะแนนเต็ม]]),"",(tbl_task8[35]/tbl_task8[[คะแนนเต็ม]:[คะแนนเต็ม]])*tbl_task8[[%]:[%]])</f>
        <v/>
      </c>
      <c r="GX11" s="121" t="str">
        <f>IF(ISBLANK(tbl_task8[[คะแนนเต็ม]:[คะแนนเต็ม]]),"",(tbl_task8[36]/tbl_task8[[คะแนนเต็ม]:[คะแนนเต็ม]])*tbl_task8[[%]:[%]])</f>
        <v/>
      </c>
      <c r="GY11" s="121" t="str">
        <f>IF(ISBLANK(tbl_task8[[คะแนนเต็ม]:[คะแนนเต็ม]]),"",(tbl_task8[37]/tbl_task8[[คะแนนเต็ม]:[คะแนนเต็ม]])*tbl_task8[[%]:[%]])</f>
        <v/>
      </c>
      <c r="GZ11" s="121" t="str">
        <f>IF(ISBLANK(tbl_task8[[คะแนนเต็ม]:[คะแนนเต็ม]]),"",(tbl_task8[38]/tbl_task8[[คะแนนเต็ม]:[คะแนนเต็ม]])*tbl_task8[[%]:[%]])</f>
        <v/>
      </c>
      <c r="HA11" s="121" t="str">
        <f>IF(ISBLANK(tbl_task8[[คะแนนเต็ม]:[คะแนนเต็ม]]),"",(tbl_task8[39]/tbl_task8[[คะแนนเต็ม]:[คะแนนเต็ม]])*tbl_task8[[%]:[%]])</f>
        <v/>
      </c>
      <c r="HB11" s="121" t="str">
        <f>IF(ISBLANK(tbl_task8[[คะแนนเต็ม]:[คะแนนเต็ม]]),"",(tbl_task8[40]/tbl_task8[[คะแนนเต็ม]:[คะแนนเต็ม]])*tbl_task8[[%]:[%]])</f>
        <v/>
      </c>
      <c r="HC11" s="121" t="str">
        <f>IF(ISBLANK(tbl_task8[[คะแนนเต็ม]:[คะแนนเต็ม]]),"",(tbl_task8[41]/tbl_task8[[คะแนนเต็ม]:[คะแนนเต็ม]])*tbl_task8[[%]:[%]])</f>
        <v/>
      </c>
      <c r="HD11" s="121" t="str">
        <f>IF(ISBLANK(tbl_task8[[คะแนนเต็ม]:[คะแนนเต็ม]]),"",(tbl_task8[42]/tbl_task8[[คะแนนเต็ม]:[คะแนนเต็ม]])*tbl_task8[[%]:[%]])</f>
        <v/>
      </c>
      <c r="HE11" s="121" t="str">
        <f>IF(ISBLANK(tbl_task8[[คะแนนเต็ม]:[คะแนนเต็ม]]),"",(tbl_task8[43]/tbl_task8[[คะแนนเต็ม]:[คะแนนเต็ม]])*tbl_task8[[%]:[%]])</f>
        <v/>
      </c>
      <c r="HF11" s="121" t="str">
        <f>IF(ISBLANK(tbl_task8[[คะแนนเต็ม]:[คะแนนเต็ม]]),"",(tbl_task8[44]/tbl_task8[[คะแนนเต็ม]:[คะแนนเต็ม]])*tbl_task8[[%]:[%]])</f>
        <v/>
      </c>
      <c r="HG11" s="121" t="str">
        <f>IF(ISBLANK(tbl_task8[[คะแนนเต็ม]:[คะแนนเต็ม]]),"",(tbl_task8[45]/tbl_task8[[คะแนนเต็ม]:[คะแนนเต็ม]])*tbl_task8[[%]:[%]])</f>
        <v/>
      </c>
      <c r="HH11" s="121" t="str">
        <f>IF(ISBLANK(tbl_task8[[คะแนนเต็ม]:[คะแนนเต็ม]]),"",(tbl_task8[46]/tbl_task8[[คะแนนเต็ม]:[คะแนนเต็ม]])*tbl_task8[[%]:[%]])</f>
        <v/>
      </c>
      <c r="HI11" s="121" t="str">
        <f>IF(ISBLANK(tbl_task8[[คะแนนเต็ม]:[คะแนนเต็ม]]),"",(tbl_task8[47]/tbl_task8[[คะแนนเต็ม]:[คะแนนเต็ม]])*tbl_task8[[%]:[%]])</f>
        <v/>
      </c>
      <c r="HJ11" s="121" t="str">
        <f>IF(ISBLANK(tbl_task8[[คะแนนเต็ม]:[คะแนนเต็ม]]),"",(tbl_task8[48]/tbl_task8[[คะแนนเต็ม]:[คะแนนเต็ม]])*tbl_task8[[%]:[%]])</f>
        <v/>
      </c>
      <c r="HK11" s="121" t="str">
        <f>IF(ISBLANK(tbl_task8[[คะแนนเต็ม]:[คะแนนเต็ม]]),"",(tbl_task8[49]/tbl_task8[[คะแนนเต็ม]:[คะแนนเต็ม]])*tbl_task8[[%]:[%]])</f>
        <v/>
      </c>
      <c r="HL11" s="121" t="str">
        <f>IF(ISBLANK(tbl_task8[[คะแนนเต็ม]:[คะแนนเต็ม]]),"",(tbl_task8[50]/tbl_task8[[คะแนนเต็ม]:[คะแนนเต็ม]])*tbl_task8[[%]:[%]])</f>
        <v/>
      </c>
      <c r="HM11" s="121" t="str">
        <f>IF(ISBLANK(tbl_task8[[คะแนนเต็ม]:[คะแนนเต็ม]]),"",(tbl_task8[51]/tbl_task8[[คะแนนเต็ม]:[คะแนนเต็ม]])*tbl_task8[[%]:[%]])</f>
        <v/>
      </c>
      <c r="HN11" s="121" t="str">
        <f>IF(ISBLANK(tbl_task8[[คะแนนเต็ม]:[คะแนนเต็ม]]),"",(tbl_task8[52]/tbl_task8[[คะแนนเต็ม]:[คะแนนเต็ม]])*tbl_task8[[%]:[%]])</f>
        <v/>
      </c>
      <c r="HO11" s="121" t="str">
        <f>IF(ISBLANK(tbl_task8[[คะแนนเต็ม]:[คะแนนเต็ม]]),"",(tbl_task8[53]/tbl_task8[[คะแนนเต็ม]:[คะแนนเต็ม]])*tbl_task8[[%]:[%]])</f>
        <v/>
      </c>
      <c r="HP11" s="121" t="str">
        <f>IF(ISBLANK(tbl_task8[[คะแนนเต็ม]:[คะแนนเต็ม]]),"",(tbl_task8[54]/tbl_task8[[คะแนนเต็ม]:[คะแนนเต็ม]])*tbl_task8[[%]:[%]])</f>
        <v/>
      </c>
      <c r="HQ11" s="121" t="str">
        <f>IF(ISBLANK(tbl_task8[[คะแนนเต็ม]:[คะแนนเต็ม]]),"",(tbl_task8[55]/tbl_task8[[คะแนนเต็ม]:[คะแนนเต็ม]])*tbl_task8[[%]:[%]])</f>
        <v/>
      </c>
      <c r="HR11" s="121" t="str">
        <f>IF(ISBLANK(tbl_task8[[คะแนนเต็ม]:[คะแนนเต็ม]]),"",(tbl_task8[56]/tbl_task8[[คะแนนเต็ม]:[คะแนนเต็ม]])*tbl_task8[[%]:[%]])</f>
        <v/>
      </c>
      <c r="HS11" s="121" t="str">
        <f>IF(ISBLANK(tbl_task8[[คะแนนเต็ม]:[คะแนนเต็ม]]),"",(tbl_task8[57]/tbl_task8[[คะแนนเต็ม]:[คะแนนเต็ม]])*tbl_task8[[%]:[%]])</f>
        <v/>
      </c>
      <c r="HT11" s="121" t="str">
        <f>IF(ISBLANK(tbl_task8[[คะแนนเต็ม]:[คะแนนเต็ม]]),"",(tbl_task8[58]/tbl_task8[[คะแนนเต็ม]:[คะแนนเต็ม]])*tbl_task8[[%]:[%]])</f>
        <v/>
      </c>
      <c r="HU11" s="121" t="str">
        <f>IF(ISBLANK(tbl_task8[[คะแนนเต็ม]:[คะแนนเต็ม]]),"",(tbl_task8[59]/tbl_task8[[คะแนนเต็ม]:[คะแนนเต็ม]])*tbl_task8[[%]:[%]])</f>
        <v/>
      </c>
      <c r="HV11" s="121" t="str">
        <f>IF(ISBLANK(tbl_task8[[คะแนนเต็ม]:[คะแนนเต็ม]]),"",(tbl_task8[60]/tbl_task8[[คะแนนเต็ม]:[คะแนนเต็ม]])*tbl_task8[[%]:[%]])</f>
        <v/>
      </c>
      <c r="HW11" s="121" t="str">
        <f>IF(ISBLANK(tbl_task8[[คะแนนเต็ม]:[คะแนนเต็ม]]),"",(tbl_task8[61]/tbl_task8[[คะแนนเต็ม]:[คะแนนเต็ม]])*tbl_task8[[%]:[%]])</f>
        <v/>
      </c>
      <c r="HX11" s="121" t="str">
        <f>IF(ISBLANK(tbl_task8[[คะแนนเต็ม]:[คะแนนเต็ม]]),"",(tbl_task8[62]/tbl_task8[[คะแนนเต็ม]:[คะแนนเต็ม]])*tbl_task8[[%]:[%]])</f>
        <v/>
      </c>
      <c r="HY11" s="121" t="str">
        <f>IF(ISBLANK(tbl_task8[[คะแนนเต็ม]:[คะแนนเต็ม]]),"",(tbl_task8[63]/tbl_task8[[คะแนนเต็ม]:[คะแนนเต็ม]])*tbl_task8[[%]:[%]])</f>
        <v/>
      </c>
      <c r="HZ11" s="121" t="str">
        <f>IF(ISBLANK(tbl_task8[[คะแนนเต็ม]:[คะแนนเต็ม]]),"",(tbl_task8[64]/tbl_task8[[คะแนนเต็ม]:[คะแนนเต็ม]])*tbl_task8[[%]:[%]])</f>
        <v/>
      </c>
      <c r="IA11" s="121" t="str">
        <f>IF(ISBLANK(tbl_task8[[คะแนนเต็ม]:[คะแนนเต็ม]]),"",(tbl_task8[65]/tbl_task8[[คะแนนเต็ม]:[คะแนนเต็ม]])*tbl_task8[[%]:[%]])</f>
        <v/>
      </c>
      <c r="IB11" s="121" t="str">
        <f>IF(ISBLANK(tbl_task8[[คะแนนเต็ม]:[คะแนนเต็ม]]),"",(tbl_task8[66]/tbl_task8[[คะแนนเต็ม]:[คะแนนเต็ม]])*tbl_task8[[%]:[%]])</f>
        <v/>
      </c>
      <c r="IC11" s="121" t="str">
        <f>IF(ISBLANK(tbl_task8[[คะแนนเต็ม]:[คะแนนเต็ม]]),"",(tbl_task8[67]/tbl_task8[[คะแนนเต็ม]:[คะแนนเต็ม]])*tbl_task8[[%]:[%]])</f>
        <v/>
      </c>
      <c r="ID11" s="121" t="str">
        <f>IF(ISBLANK(tbl_task8[[คะแนนเต็ม]:[คะแนนเต็ม]]),"",(tbl_task8[68]/tbl_task8[[คะแนนเต็ม]:[คะแนนเต็ม]])*tbl_task8[[%]:[%]])</f>
        <v/>
      </c>
      <c r="IE11" s="121" t="str">
        <f>IF(ISBLANK(tbl_task8[[คะแนนเต็ม]:[คะแนนเต็ม]]),"",(tbl_task8[69]/tbl_task8[[คะแนนเต็ม]:[คะแนนเต็ม]])*tbl_task8[[%]:[%]])</f>
        <v/>
      </c>
      <c r="IF11" s="121" t="str">
        <f>IF(ISBLANK(tbl_task8[[คะแนนเต็ม]:[คะแนนเต็ม]]),"",(tbl_task8[70]/tbl_task8[[คะแนนเต็ม]:[คะแนนเต็ม]])*tbl_task8[[%]:[%]])</f>
        <v/>
      </c>
      <c r="IG11" s="121" t="str">
        <f>IF(ISBLANK(tbl_task8[[คะแนนเต็ม]:[คะแนนเต็ม]]),"",(tbl_task8[71]/tbl_task8[[คะแนนเต็ม]:[คะแนนเต็ม]])*tbl_task8[[%]:[%]])</f>
        <v/>
      </c>
      <c r="IH11" s="121" t="str">
        <f>IF(ISBLANK(tbl_task8[[คะแนนเต็ม]:[คะแนนเต็ม]]),"",(tbl_task8[72]/tbl_task8[[คะแนนเต็ม]:[คะแนนเต็ม]])*tbl_task8[[%]:[%]])</f>
        <v/>
      </c>
      <c r="II11" s="121" t="str">
        <f>IF(ISBLANK(tbl_task8[[คะแนนเต็ม]:[คะแนนเต็ม]]),"",(tbl_task8[73]/tbl_task8[[คะแนนเต็ม]:[คะแนนเต็ม]])*tbl_task8[[%]:[%]])</f>
        <v/>
      </c>
      <c r="IJ11" s="121" t="str">
        <f>IF(ISBLANK(tbl_task8[[คะแนนเต็ม]:[คะแนนเต็ม]]),"",(tbl_task8[74]/tbl_task8[[คะแนนเต็ม]:[คะแนนเต็ม]])*tbl_task8[[%]:[%]])</f>
        <v/>
      </c>
      <c r="IK11" s="121" t="str">
        <f>IF(ISBLANK(tbl_task8[[คะแนนเต็ม]:[คะแนนเต็ม]]),"",(tbl_task8[75]/tbl_task8[[คะแนนเต็ม]:[คะแนนเต็ม]])*tbl_task8[[%]:[%]])</f>
        <v/>
      </c>
      <c r="IL11" s="121" t="str">
        <f>IF(ISBLANK(tbl_task8[[คะแนนเต็ม]:[คะแนนเต็ม]]),"",(tbl_task8[76]/tbl_task8[[คะแนนเต็ม]:[คะแนนเต็ม]])*tbl_task8[[%]:[%]])</f>
        <v/>
      </c>
      <c r="IM11" s="121" t="str">
        <f>IF(ISBLANK(tbl_task8[[คะแนนเต็ม]:[คะแนนเต็ม]]),"",(tbl_task8[77]/tbl_task8[[คะแนนเต็ม]:[คะแนนเต็ม]])*tbl_task8[[%]:[%]])</f>
        <v/>
      </c>
      <c r="IN11" s="121" t="str">
        <f>IF(ISBLANK(tbl_task8[[คะแนนเต็ม]:[คะแนนเต็ม]]),"",(tbl_task8[78]/tbl_task8[[คะแนนเต็ม]:[คะแนนเต็ม]])*tbl_task8[[%]:[%]])</f>
        <v/>
      </c>
      <c r="IO11" s="121" t="str">
        <f>IF(ISBLANK(tbl_task8[[คะแนนเต็ม]:[คะแนนเต็ม]]),"",(tbl_task8[79]/tbl_task8[[คะแนนเต็ม]:[คะแนนเต็ม]])*tbl_task8[[%]:[%]])</f>
        <v/>
      </c>
      <c r="IP11" s="121" t="str">
        <f>IF(ISBLANK(tbl_task8[[คะแนนเต็ม]:[คะแนนเต็ม]]),"",(tbl_task8[80]/tbl_task8[[คะแนนเต็ม]:[คะแนนเต็ม]])*tbl_task8[[%]:[%]])</f>
        <v/>
      </c>
      <c r="IQ11" s="121" t="str">
        <f>IF(ISBLANK(tbl_task8[[คะแนนเต็ม]:[คะแนนเต็ม]]),"",(tbl_task8[81]/tbl_task8[[คะแนนเต็ม]:[คะแนนเต็ม]])*tbl_task8[[%]:[%]])</f>
        <v/>
      </c>
      <c r="IR11" s="121" t="str">
        <f>IF(ISBLANK(tbl_task8[[คะแนนเต็ม]:[คะแนนเต็ม]]),"",(tbl_task8[82]/tbl_task8[[คะแนนเต็ม]:[คะแนนเต็ม]])*tbl_task8[[%]:[%]])</f>
        <v/>
      </c>
      <c r="IS11" s="121" t="str">
        <f>IF(ISBLANK(tbl_task8[[คะแนนเต็ม]:[คะแนนเต็ม]]),"",(tbl_task8[83]/tbl_task8[[คะแนนเต็ม]:[คะแนนเต็ม]])*tbl_task8[[%]:[%]])</f>
        <v/>
      </c>
      <c r="IT11" s="121" t="str">
        <f>IF(ISBLANK(tbl_task8[[คะแนนเต็ม]:[คะแนนเต็ม]]),"",(tbl_task8[84]/tbl_task8[[คะแนนเต็ม]:[คะแนนเต็ม]])*tbl_task8[[%]:[%]])</f>
        <v/>
      </c>
      <c r="IU11" s="121" t="str">
        <f>IF(ISBLANK(tbl_task8[[คะแนนเต็ม]:[คะแนนเต็ม]]),"",(tbl_task8[85]/tbl_task8[[คะแนนเต็ม]:[คะแนนเต็ม]])*tbl_task8[[%]:[%]])</f>
        <v/>
      </c>
      <c r="IV11" s="121" t="str">
        <f>IF(ISBLANK(tbl_task8[[คะแนนเต็ม]:[คะแนนเต็ม]]),"",(tbl_task8[86]/tbl_task8[[คะแนนเต็ม]:[คะแนนเต็ม]])*tbl_task8[[%]:[%]])</f>
        <v/>
      </c>
      <c r="IW11" s="121" t="str">
        <f>IF(ISBLANK(tbl_task8[[คะแนนเต็ม]:[คะแนนเต็ม]]),"",(tbl_task8[87]/tbl_task8[[คะแนนเต็ม]:[คะแนนเต็ม]])*tbl_task8[[%]:[%]])</f>
        <v/>
      </c>
      <c r="IX11" s="121" t="str">
        <f>IF(ISBLANK(tbl_task8[[คะแนนเต็ม]:[คะแนนเต็ม]]),"",(tbl_task8[88]/tbl_task8[[คะแนนเต็ม]:[คะแนนเต็ม]])*tbl_task8[[%]:[%]])</f>
        <v/>
      </c>
      <c r="IY11" s="121" t="str">
        <f>IF(ISBLANK(tbl_task8[[คะแนนเต็ม]:[คะแนนเต็ม]]),"",(tbl_task8[89]/tbl_task8[[คะแนนเต็ม]:[คะแนนเต็ม]])*tbl_task8[[%]:[%]])</f>
        <v/>
      </c>
      <c r="IZ11" s="121" t="str">
        <f>IF(ISBLANK(tbl_task8[[คะแนนเต็ม]:[คะแนนเต็ม]]),"",(tbl_task8[90]/tbl_task8[[คะแนนเต็ม]:[คะแนนเต็ม]])*tbl_task8[[%]:[%]])</f>
        <v/>
      </c>
      <c r="JA11" s="121" t="str">
        <f>IF(ISBLANK(tbl_task8[[คะแนนเต็ม]:[คะแนนเต็ม]]),"",(tbl_task8[91]/tbl_task8[[คะแนนเต็ม]:[คะแนนเต็ม]])*tbl_task8[[%]:[%]])</f>
        <v/>
      </c>
      <c r="JB11" s="121" t="str">
        <f>IF(ISBLANK(tbl_task8[[คะแนนเต็ม]:[คะแนนเต็ม]]),"",(tbl_task8[92]/tbl_task8[[คะแนนเต็ม]:[คะแนนเต็ม]])*tbl_task8[[%]:[%]])</f>
        <v/>
      </c>
      <c r="JC11" s="121" t="str">
        <f>IF(ISBLANK(tbl_task8[[คะแนนเต็ม]:[คะแนนเต็ม]]),"",(tbl_task8[93]/tbl_task8[[คะแนนเต็ม]:[คะแนนเต็ม]])*tbl_task8[[%]:[%]])</f>
        <v/>
      </c>
      <c r="JD11" s="121" t="str">
        <f>IF(ISBLANK(tbl_task8[[คะแนนเต็ม]:[คะแนนเต็ม]]),"",(tbl_task8[94]/tbl_task8[[คะแนนเต็ม]:[คะแนนเต็ม]])*tbl_task8[[%]:[%]])</f>
        <v/>
      </c>
      <c r="JE11" s="121" t="str">
        <f>IF(ISBLANK(tbl_task8[[คะแนนเต็ม]:[คะแนนเต็ม]]),"",(tbl_task8[95]/tbl_task8[[คะแนนเต็ม]:[คะแนนเต็ม]])*tbl_task8[[%]:[%]])</f>
        <v/>
      </c>
      <c r="JF11" s="121" t="str">
        <f>IF(ISBLANK(tbl_task8[[คะแนนเต็ม]:[คะแนนเต็ม]]),"",(tbl_task8[96]/tbl_task8[[คะแนนเต็ม]:[คะแนนเต็ม]])*tbl_task8[[%]:[%]])</f>
        <v/>
      </c>
      <c r="JG11" s="121" t="str">
        <f>IF(ISBLANK(tbl_task8[[คะแนนเต็ม]:[คะแนนเต็ม]]),"",(tbl_task8[97]/tbl_task8[[คะแนนเต็ม]:[คะแนนเต็ม]])*tbl_task8[[%]:[%]])</f>
        <v/>
      </c>
      <c r="JH11" s="121" t="str">
        <f>IF(ISBLANK(tbl_task8[[คะแนนเต็ม]:[คะแนนเต็ม]]),"",(tbl_task8[98]/tbl_task8[[คะแนนเต็ม]:[คะแนนเต็ม]])*tbl_task8[[%]:[%]])</f>
        <v/>
      </c>
      <c r="JI11" s="121" t="str">
        <f>IF(ISBLANK(tbl_task8[[คะแนนเต็ม]:[คะแนนเต็ม]]),"",(tbl_task8[99]/tbl_task8[[คะแนนเต็ม]:[คะแนนเต็ม]])*tbl_task8[[%]:[%]])</f>
        <v/>
      </c>
      <c r="JJ11" s="121" t="str">
        <f>IF(ISBLANK(tbl_task8[[คะแนนเต็ม]:[คะแนนเต็ม]]),"",(tbl_task8[100]/tbl_task8[[คะแนนเต็ม]:[คะแนนเต็ม]])*tbl_task8[[%]:[%]])</f>
        <v/>
      </c>
      <c r="JK11" s="121" t="str">
        <f>IF(ISBLANK(tbl_task8[[คะแนนเต็ม]:[คะแนนเต็ม]]),"",(tbl_task8[101]/tbl_task8[[คะแนนเต็ม]:[คะแนนเต็ม]])*tbl_task8[[%]:[%]])</f>
        <v/>
      </c>
      <c r="JL11" s="121" t="str">
        <f>IF(ISBLANK(tbl_task8[[คะแนนเต็ม]:[คะแนนเต็ม]]),"",(tbl_task8[102]/tbl_task8[[คะแนนเต็ม]:[คะแนนเต็ม]])*tbl_task8[[%]:[%]])</f>
        <v/>
      </c>
      <c r="JM11" s="121" t="str">
        <f>IF(ISBLANK(tbl_task8[[คะแนนเต็ม]:[คะแนนเต็ม]]),"",(tbl_task8[103]/tbl_task8[[คะแนนเต็ม]:[คะแนนเต็ม]])*tbl_task8[[%]:[%]])</f>
        <v/>
      </c>
      <c r="JN11" s="121" t="str">
        <f>IF(ISBLANK(tbl_task8[[คะแนนเต็ม]:[คะแนนเต็ม]]),"",(tbl_task8[104]/tbl_task8[[คะแนนเต็ม]:[คะแนนเต็ม]])*tbl_task8[[%]:[%]])</f>
        <v/>
      </c>
      <c r="JO11" s="121" t="str">
        <f>IF(ISBLANK(tbl_task8[[คะแนนเต็ม]:[คะแนนเต็ม]]),"",(tbl_task8[105]/tbl_task8[[คะแนนเต็ม]:[คะแนนเต็ม]])*tbl_task8[[%]:[%]])</f>
        <v/>
      </c>
      <c r="JP11" s="121" t="str">
        <f>IF(ISBLANK(tbl_task8[[คะแนนเต็ม]:[คะแนนเต็ม]]),"",(tbl_task8[106]/tbl_task8[[คะแนนเต็ม]:[คะแนนเต็ม]])*tbl_task8[[%]:[%]])</f>
        <v/>
      </c>
      <c r="JQ11" s="121" t="str">
        <f>IF(ISBLANK(tbl_task8[[คะแนนเต็ม]:[คะแนนเต็ม]]),"",(tbl_task8[107]/tbl_task8[[คะแนนเต็ม]:[คะแนนเต็ม]])*tbl_task8[[%]:[%]])</f>
        <v/>
      </c>
      <c r="JR11" s="121" t="str">
        <f>IF(ISBLANK(tbl_task8[[คะแนนเต็ม]:[คะแนนเต็ม]]),"",(tbl_task8[108]/tbl_task8[[คะแนนเต็ม]:[คะแนนเต็ม]])*tbl_task8[[%]:[%]])</f>
        <v/>
      </c>
      <c r="JS11" s="121" t="str">
        <f>IF(ISBLANK(tbl_task8[[คะแนนเต็ม]:[คะแนนเต็ม]]),"",(tbl_task8[109]/tbl_task8[[คะแนนเต็ม]:[คะแนนเต็ม]])*tbl_task8[[%]:[%]])</f>
        <v/>
      </c>
      <c r="JT11" s="121" t="str">
        <f>IF(ISBLANK(tbl_task8[[คะแนนเต็ม]:[คะแนนเต็ม]]),"",(tbl_task8[110]/tbl_task8[[คะแนนเต็ม]:[คะแนนเต็ม]])*tbl_task8[[%]:[%]])</f>
        <v/>
      </c>
      <c r="JU11" s="121" t="str">
        <f>IF(ISBLANK(tbl_task8[[คะแนนเต็ม]:[คะแนนเต็ม]]),"",(tbl_task8[111]/tbl_task8[[คะแนนเต็ม]:[คะแนนเต็ม]])*tbl_task8[[%]:[%]])</f>
        <v/>
      </c>
      <c r="JV11" s="121" t="str">
        <f>IF(ISBLANK(tbl_task8[[คะแนนเต็ม]:[คะแนนเต็ม]]),"",(tbl_task8[112]/tbl_task8[[คะแนนเต็ม]:[คะแนนเต็ม]])*tbl_task8[[%]:[%]])</f>
        <v/>
      </c>
      <c r="JW11" s="121" t="str">
        <f>IF(ISBLANK(tbl_task8[[คะแนนเต็ม]:[คะแนนเต็ม]]),"",(tbl_task8[113]/tbl_task8[[คะแนนเต็ม]:[คะแนนเต็ม]])*tbl_task8[[%]:[%]])</f>
        <v/>
      </c>
      <c r="JX11" s="121" t="str">
        <f>IF(ISBLANK(tbl_task8[[คะแนนเต็ม]:[คะแนนเต็ม]]),"",(tbl_task8[114]/tbl_task8[[คะแนนเต็ม]:[คะแนนเต็ม]])*tbl_task8[[%]:[%]])</f>
        <v/>
      </c>
      <c r="JY11" s="121" t="str">
        <f>IF(ISBLANK(tbl_task8[[คะแนนเต็ม]:[คะแนนเต็ม]]),"",(tbl_task8[115]/tbl_task8[[คะแนนเต็ม]:[คะแนนเต็ม]])*tbl_task8[[%]:[%]])</f>
        <v/>
      </c>
      <c r="JZ11" s="121" t="str">
        <f>IF(ISBLANK(tbl_task8[[คะแนนเต็ม]:[คะแนนเต็ม]]),"",(tbl_task8[116]/tbl_task8[[คะแนนเต็ม]:[คะแนนเต็ม]])*tbl_task8[[%]:[%]])</f>
        <v/>
      </c>
      <c r="KA11" s="121" t="str">
        <f>IF(ISBLANK(tbl_task8[[คะแนนเต็ม]:[คะแนนเต็ม]]),"",(tbl_task8[117]/tbl_task8[[คะแนนเต็ม]:[คะแนนเต็ม]])*tbl_task8[[%]:[%]])</f>
        <v/>
      </c>
      <c r="KB11" s="121" t="str">
        <f>IF(ISBLANK(tbl_task8[[คะแนนเต็ม]:[คะแนนเต็ม]]),"",(tbl_task8[118]/tbl_task8[[คะแนนเต็ม]:[คะแนนเต็ม]])*tbl_task8[[%]:[%]])</f>
        <v/>
      </c>
      <c r="KC11" s="121" t="str">
        <f>IF(ISBLANK(tbl_task8[[คะแนนเต็ม]:[คะแนนเต็ม]]),"",(tbl_task8[119]/tbl_task8[[คะแนนเต็ม]:[คะแนนเต็ม]])*tbl_task8[[%]:[%]])</f>
        <v/>
      </c>
      <c r="KD11" s="121" t="str">
        <f>IF(ISBLANK(tbl_task8[[คะแนนเต็ม]:[คะแนนเต็ม]]),"",(tbl_task8[120]/tbl_task8[[คะแนนเต็ม]:[คะแนนเต็ม]])*tbl_task8[[%]:[%]])</f>
        <v/>
      </c>
      <c r="KE11" s="121" t="str">
        <f>IF(ISBLANK(tbl_task8[[คะแนนเต็ม]:[คะแนนเต็ม]]),"",(tbl_task8[121]/tbl_task8[[คะแนนเต็ม]:[คะแนนเต็ม]])*tbl_task8[[%]:[%]])</f>
        <v/>
      </c>
      <c r="KF11" s="121" t="str">
        <f>IF(ISBLANK(tbl_task8[[คะแนนเต็ม]:[คะแนนเต็ม]]),"",(tbl_task8[122]/tbl_task8[[คะแนนเต็ม]:[คะแนนเต็ม]])*tbl_task8[[%]:[%]])</f>
        <v/>
      </c>
      <c r="KG11" s="121" t="str">
        <f>IF(ISBLANK(tbl_task8[[คะแนนเต็ม]:[คะแนนเต็ม]]),"",(tbl_task8[123]/tbl_task8[[คะแนนเต็ม]:[คะแนนเต็ม]])*tbl_task8[[%]:[%]])</f>
        <v/>
      </c>
      <c r="KH11" s="121" t="str">
        <f>IF(ISBLANK(tbl_task8[[คะแนนเต็ม]:[คะแนนเต็ม]]),"",(tbl_task8[124]/tbl_task8[[คะแนนเต็ม]:[คะแนนเต็ม]])*tbl_task8[[%]:[%]])</f>
        <v/>
      </c>
      <c r="KI11" s="121" t="str">
        <f>IF(ISBLANK(tbl_task8[[คะแนนเต็ม]:[คะแนนเต็ม]]),"",(tbl_task8[125]/tbl_task8[[คะแนนเต็ม]:[คะแนนเต็ม]])*tbl_task8[[%]:[%]])</f>
        <v/>
      </c>
      <c r="KJ11" s="121" t="str">
        <f>IF(ISBLANK(tbl_task8[[คะแนนเต็ม]:[คะแนนเต็ม]]),"",(tbl_task8[126]/tbl_task8[[คะแนนเต็ม]:[คะแนนเต็ม]])*tbl_task8[[%]:[%]])</f>
        <v/>
      </c>
      <c r="KK11" s="121" t="str">
        <f>IF(ISBLANK(tbl_task8[[คะแนนเต็ม]:[คะแนนเต็ม]]),"",(tbl_task8[127]/tbl_task8[[คะแนนเต็ม]:[คะแนนเต็ม]])*tbl_task8[[%]:[%]])</f>
        <v/>
      </c>
      <c r="KL11" s="121" t="str">
        <f>IF(ISBLANK(tbl_task8[[คะแนนเต็ม]:[คะแนนเต็ม]]),"",(tbl_task8[128]/tbl_task8[[คะแนนเต็ม]:[คะแนนเต็ม]])*tbl_task8[[%]:[%]])</f>
        <v/>
      </c>
      <c r="KM11" s="121" t="str">
        <f>IF(ISBLANK(tbl_task8[[คะแนนเต็ม]:[คะแนนเต็ม]]),"",(tbl_task8[129]/tbl_task8[[คะแนนเต็ม]:[คะแนนเต็ม]])*tbl_task8[[%]:[%]])</f>
        <v/>
      </c>
      <c r="KN11" s="121" t="str">
        <f>IF(ISBLANK(tbl_task8[[คะแนนเต็ม]:[คะแนนเต็ม]]),"",(tbl_task8[130]/tbl_task8[[คะแนนเต็ม]:[คะแนนเต็ม]])*tbl_task8[[%]:[%]])</f>
        <v/>
      </c>
      <c r="KO11" s="121" t="str">
        <f>IF(ISBLANK(tbl_task8[[คะแนนเต็ม]:[คะแนนเต็ม]]),"",(tbl_task8[131]/tbl_task8[[คะแนนเต็ม]:[คะแนนเต็ม]])*tbl_task8[[%]:[%]])</f>
        <v/>
      </c>
      <c r="KP11" s="121" t="str">
        <f>IF(ISBLANK(tbl_task8[[คะแนนเต็ม]:[คะแนนเต็ม]]),"",(tbl_task8[132]/tbl_task8[[คะแนนเต็ม]:[คะแนนเต็ม]])*tbl_task8[[%]:[%]])</f>
        <v/>
      </c>
      <c r="KQ11" s="121" t="str">
        <f>IF(ISBLANK(tbl_task8[[คะแนนเต็ม]:[คะแนนเต็ม]]),"",(tbl_task8[133]/tbl_task8[[คะแนนเต็ม]:[คะแนนเต็ม]])*tbl_task8[[%]:[%]])</f>
        <v/>
      </c>
      <c r="KR11" s="121" t="str">
        <f>IF(ISBLANK(tbl_task8[[คะแนนเต็ม]:[คะแนนเต็ม]]),"",(tbl_task8[134]/tbl_task8[[คะแนนเต็ม]:[คะแนนเต็ม]])*tbl_task8[[%]:[%]])</f>
        <v/>
      </c>
      <c r="KS11" s="121" t="str">
        <f>IF(ISBLANK(tbl_task8[[คะแนนเต็ม]:[คะแนนเต็ม]]),"",(tbl_task8[135]/tbl_task8[[คะแนนเต็ม]:[คะแนนเต็ม]])*tbl_task8[[%]:[%]])</f>
        <v/>
      </c>
      <c r="KT11" s="121" t="str">
        <f>IF(ISBLANK(tbl_task8[[คะแนนเต็ม]:[คะแนนเต็ม]]),"",(tbl_task8[136]/tbl_task8[[คะแนนเต็ม]:[คะแนนเต็ม]])*tbl_task8[[%]:[%]])</f>
        <v/>
      </c>
      <c r="KU11" s="121" t="str">
        <f>IF(ISBLANK(tbl_task8[[คะแนนเต็ม]:[คะแนนเต็ม]]),"",(tbl_task8[137]/tbl_task8[[คะแนนเต็ม]:[คะแนนเต็ม]])*tbl_task8[[%]:[%]])</f>
        <v/>
      </c>
      <c r="KV11" s="121" t="str">
        <f>IF(ISBLANK(tbl_task8[[คะแนนเต็ม]:[คะแนนเต็ม]]),"",(tbl_task8[138]/tbl_task8[[คะแนนเต็ม]:[คะแนนเต็ม]])*tbl_task8[[%]:[%]])</f>
        <v/>
      </c>
      <c r="KW11" s="121" t="str">
        <f>IF(ISBLANK(tbl_task8[[คะแนนเต็ม]:[คะแนนเต็ม]]),"",(tbl_task8[139]/tbl_task8[[คะแนนเต็ม]:[คะแนนเต็ม]])*tbl_task8[[%]:[%]])</f>
        <v/>
      </c>
      <c r="KX11" s="121" t="str">
        <f>IF(ISBLANK(tbl_task8[[คะแนนเต็ม]:[คะแนนเต็ม]]),"",(tbl_task8[140]/tbl_task8[[คะแนนเต็ม]:[คะแนนเต็ม]])*tbl_task8[[%]:[%]])</f>
        <v/>
      </c>
      <c r="KY11" s="121" t="str">
        <f>IF(ISBLANK(tbl_task8[[คะแนนเต็ม]:[คะแนนเต็ม]]),"",(tbl_task8[141]/tbl_task8[[คะแนนเต็ม]:[คะแนนเต็ม]])*tbl_task8[[%]:[%]])</f>
        <v/>
      </c>
      <c r="KZ11" s="121" t="str">
        <f>IF(ISBLANK(tbl_task8[[คะแนนเต็ม]:[คะแนนเต็ม]]),"",(tbl_task8[142]/tbl_task8[[คะแนนเต็ม]:[คะแนนเต็ม]])*tbl_task8[[%]:[%]])</f>
        <v/>
      </c>
      <c r="LA11" s="121" t="str">
        <f>IF(ISBLANK(tbl_task8[[คะแนนเต็ม]:[คะแนนเต็ม]]),"",(tbl_task8[143]/tbl_task8[[คะแนนเต็ม]:[คะแนนเต็ม]])*tbl_task8[[%]:[%]])</f>
        <v/>
      </c>
      <c r="LB11" s="121" t="str">
        <f>IF(ISBLANK(tbl_task8[[คะแนนเต็ม]:[คะแนนเต็ม]]),"",(tbl_task8[144]/tbl_task8[[คะแนนเต็ม]:[คะแนนเต็ม]])*tbl_task8[[%]:[%]])</f>
        <v/>
      </c>
      <c r="LC11" s="121" t="str">
        <f>IF(ISBLANK(tbl_task8[[คะแนนเต็ม]:[คะแนนเต็ม]]),"",(tbl_task8[145]/tbl_task8[[คะแนนเต็ม]:[คะแนนเต็ม]])*tbl_task8[[%]:[%]])</f>
        <v/>
      </c>
      <c r="LD11" s="121" t="str">
        <f>IF(ISBLANK(tbl_task8[[คะแนนเต็ม]:[คะแนนเต็ม]]),"",(tbl_task8[146]/tbl_task8[[คะแนนเต็ม]:[คะแนนเต็ม]])*tbl_task8[[%]:[%]])</f>
        <v/>
      </c>
      <c r="LE11" s="121" t="str">
        <f>IF(ISBLANK(tbl_task8[[คะแนนเต็ม]:[คะแนนเต็ม]]),"",(tbl_task8[147]/tbl_task8[[คะแนนเต็ม]:[คะแนนเต็ม]])*tbl_task8[[%]:[%]])</f>
        <v/>
      </c>
      <c r="LF11" s="121" t="str">
        <f>IF(ISBLANK(tbl_task8[[คะแนนเต็ม]:[คะแนนเต็ม]]),"",(tbl_task8[148]/tbl_task8[[คะแนนเต็ม]:[คะแนนเต็ม]])*tbl_task8[[%]:[%]])</f>
        <v/>
      </c>
      <c r="LG11" s="121" t="str">
        <f>IF(ISBLANK(tbl_task8[[คะแนนเต็ม]:[คะแนนเต็ม]]),"",(tbl_task8[149]/tbl_task8[[คะแนนเต็ม]:[คะแนนเต็ม]])*tbl_task8[[%]:[%]])</f>
        <v/>
      </c>
      <c r="LH11" s="121" t="str">
        <f>IF(ISBLANK(tbl_task8[[คะแนนเต็ม]:[คะแนนเต็ม]]),"",(tbl_task8[150]/tbl_task8[[คะแนนเต็ม]:[คะแนนเต็ม]])*tbl_task8[[%]:[%]])</f>
        <v/>
      </c>
      <c r="LI11" s="121" t="str">
        <f>IF(ISBLANK(tbl_task8[[คะแนนเต็ม]:[คะแนนเต็ม]]),"",(tbl_task8[151]/tbl_task8[[คะแนนเต็ม]:[คะแนนเต็ม]])*tbl_task8[[%]:[%]])</f>
        <v/>
      </c>
      <c r="LJ11" s="121" t="str">
        <f>IF(ISBLANK(tbl_task8[[คะแนนเต็ม]:[คะแนนเต็ม]]),"",(tbl_task8[152]/tbl_task8[[คะแนนเต็ม]:[คะแนนเต็ม]])*tbl_task8[[%]:[%]])</f>
        <v/>
      </c>
      <c r="LK11" s="121" t="str">
        <f>IF(ISBLANK(tbl_task8[[คะแนนเต็ม]:[คะแนนเต็ม]]),"",(tbl_task8[153]/tbl_task8[[คะแนนเต็ม]:[คะแนนเต็ม]])*tbl_task8[[%]:[%]])</f>
        <v/>
      </c>
      <c r="LL11" s="121" t="str">
        <f>IF(ISBLANK(tbl_task8[[คะแนนเต็ม]:[คะแนนเต็ม]]),"",(tbl_task8[154]/tbl_task8[[คะแนนเต็ม]:[คะแนนเต็ม]])*tbl_task8[[%]:[%]])</f>
        <v/>
      </c>
      <c r="LM11" s="121" t="str">
        <f>IF(ISBLANK(tbl_task8[[คะแนนเต็ม]:[คะแนนเต็ม]]),"",(tbl_task8[155]/tbl_task8[[คะแนนเต็ม]:[คะแนนเต็ม]])*tbl_task8[[%]:[%]])</f>
        <v/>
      </c>
      <c r="LN11" s="121" t="str">
        <f>IF(ISBLANK(tbl_task8[[คะแนนเต็ม]:[คะแนนเต็ม]]),"",(tbl_task8[156]/tbl_task8[[คะแนนเต็ม]:[คะแนนเต็ม]])*tbl_task8[[%]:[%]])</f>
        <v/>
      </c>
      <c r="LO11" s="121" t="str">
        <f>IF(ISBLANK(tbl_task8[[คะแนนเต็ม]:[คะแนนเต็ม]]),"",(tbl_task8[157]/tbl_task8[[คะแนนเต็ม]:[คะแนนเต็ม]])*tbl_task8[[%]:[%]])</f>
        <v/>
      </c>
      <c r="LP11" s="121" t="str">
        <f>IF(ISBLANK(tbl_task8[[คะแนนเต็ม]:[คะแนนเต็ม]]),"",(tbl_task8[158]/tbl_task8[[คะแนนเต็ม]:[คะแนนเต็ม]])*tbl_task8[[%]:[%]])</f>
        <v/>
      </c>
      <c r="LQ11" s="121" t="str">
        <f>IF(ISBLANK(tbl_task8[[คะแนนเต็ม]:[คะแนนเต็ม]]),"",(tbl_task8[159]/tbl_task8[[คะแนนเต็ม]:[คะแนนเต็ม]])*tbl_task8[[%]:[%]])</f>
        <v/>
      </c>
      <c r="LR11" s="121" t="str">
        <f>IF(ISBLANK(tbl_task8[[คะแนนเต็ม]:[คะแนนเต็ม]]),"",(tbl_task8[160]/tbl_task8[[คะแนนเต็ม]:[คะแนนเต็ม]])*tbl_task8[[%]:[%]])</f>
        <v/>
      </c>
      <c r="LS11" s="121" t="str">
        <f>IF(ISBLANK(tbl_task8[[คะแนนเต็ม]:[คะแนนเต็ม]]),"",(tbl_task8[161]/tbl_task8[[คะแนนเต็ม]:[คะแนนเต็ม]])*tbl_task8[[%]:[%]])</f>
        <v/>
      </c>
      <c r="LT11" s="121" t="str">
        <f>IF(ISBLANK(tbl_task8[[คะแนนเต็ม]:[คะแนนเต็ม]]),"",(tbl_task8[162]/tbl_task8[[คะแนนเต็ม]:[คะแนนเต็ม]])*tbl_task8[[%]:[%]])</f>
        <v/>
      </c>
      <c r="LU11" s="121" t="str">
        <f>IF(ISBLANK(tbl_task8[[คะแนนเต็ม]:[คะแนนเต็ม]]),"",(tbl_task8[163]/tbl_task8[[คะแนนเต็ม]:[คะแนนเต็ม]])*tbl_task8[[%]:[%]])</f>
        <v/>
      </c>
      <c r="LV11" s="121" t="str">
        <f>IF(ISBLANK(tbl_task8[[คะแนนเต็ม]:[คะแนนเต็ม]]),"",(tbl_task8[164]/tbl_task8[[คะแนนเต็ม]:[คะแนนเต็ม]])*tbl_task8[[%]:[%]])</f>
        <v/>
      </c>
      <c r="LW11" s="121" t="str">
        <f>IF(ISBLANK(tbl_task8[[คะแนนเต็ม]:[คะแนนเต็ม]]),"",(tbl_task8[165]/tbl_task8[[คะแนนเต็ม]:[คะแนนเต็ม]])*tbl_task8[[%]:[%]])</f>
        <v/>
      </c>
    </row>
    <row r="12" spans="1:335" ht="24" customHeight="1" x14ac:dyDescent="0.25">
      <c r="A12" s="24">
        <v>9</v>
      </c>
      <c r="B12" s="20"/>
      <c r="C12" s="5" t="str">
        <f>IF(ISBLANK(B12),"",VLOOKUP(B12,tbl_PLOs[],2,0))</f>
        <v/>
      </c>
      <c r="D12" s="102"/>
      <c r="E12" s="106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22"/>
      <c r="FO12" s="121" t="str">
        <f>IF(ISBLANK(tbl_task8[[คะแนนเต็ม]:[คะแนนเต็ม]]),"",(tbl_task8[1]/tbl_task8[[คะแนนเต็ม]:[คะแนนเต็ม]])*tbl_task8[[%]:[%]])</f>
        <v/>
      </c>
      <c r="FP12" s="121" t="str">
        <f>IF(ISBLANK(tbl_task8[[คะแนนเต็ม]:[คะแนนเต็ม]]),"",(tbl_task8[2]/tbl_task8[[คะแนนเต็ม]:[คะแนนเต็ม]])*tbl_task8[[%]:[%]])</f>
        <v/>
      </c>
      <c r="FQ12" s="121" t="str">
        <f>IF(ISBLANK(tbl_task8[[คะแนนเต็ม]:[คะแนนเต็ม]]),"",(tbl_task8[3]/tbl_task8[[คะแนนเต็ม]:[คะแนนเต็ม]])*tbl_task8[[%]:[%]])</f>
        <v/>
      </c>
      <c r="FR12" s="121" t="str">
        <f>IF(ISBLANK(tbl_task8[[คะแนนเต็ม]:[คะแนนเต็ม]]),"",(tbl_task8[4]/tbl_task8[[คะแนนเต็ม]:[คะแนนเต็ม]])*tbl_task8[[%]:[%]])</f>
        <v/>
      </c>
      <c r="FS12" s="121" t="str">
        <f>IF(ISBLANK(tbl_task8[[คะแนนเต็ม]:[คะแนนเต็ม]]),"",(tbl_task8[5]/tbl_task8[[คะแนนเต็ม]:[คะแนนเต็ม]])*tbl_task8[[%]:[%]])</f>
        <v/>
      </c>
      <c r="FT12" s="121" t="str">
        <f>IF(ISBLANK(tbl_task8[[คะแนนเต็ม]:[คะแนนเต็ม]]),"",(tbl_task8[6]/tbl_task8[[คะแนนเต็ม]:[คะแนนเต็ม]])*tbl_task8[[%]:[%]])</f>
        <v/>
      </c>
      <c r="FU12" s="121" t="str">
        <f>IF(ISBLANK(tbl_task8[[คะแนนเต็ม]:[คะแนนเต็ม]]),"",(tbl_task8[7]/tbl_task8[[คะแนนเต็ม]:[คะแนนเต็ม]])*tbl_task8[[%]:[%]])</f>
        <v/>
      </c>
      <c r="FV12" s="121" t="str">
        <f>IF(ISBLANK(tbl_task8[[คะแนนเต็ม]:[คะแนนเต็ม]]),"",(tbl_task8[8]/tbl_task8[[คะแนนเต็ม]:[คะแนนเต็ม]])*tbl_task8[[%]:[%]])</f>
        <v/>
      </c>
      <c r="FW12" s="121" t="str">
        <f>IF(ISBLANK(tbl_task8[[คะแนนเต็ม]:[คะแนนเต็ม]]),"",(tbl_task8[9]/tbl_task8[[คะแนนเต็ม]:[คะแนนเต็ม]])*tbl_task8[[%]:[%]])</f>
        <v/>
      </c>
      <c r="FX12" s="121" t="str">
        <f>IF(ISBLANK(tbl_task8[[คะแนนเต็ม]:[คะแนนเต็ม]]),"",(tbl_task8[10]/tbl_task8[[คะแนนเต็ม]:[คะแนนเต็ม]])*tbl_task8[[%]:[%]])</f>
        <v/>
      </c>
      <c r="FY12" s="121" t="str">
        <f>IF(ISBLANK(tbl_task8[[คะแนนเต็ม]:[คะแนนเต็ม]]),"",(tbl_task8[11]/tbl_task8[[คะแนนเต็ม]:[คะแนนเต็ม]])*tbl_task8[[%]:[%]])</f>
        <v/>
      </c>
      <c r="FZ12" s="121" t="str">
        <f>IF(ISBLANK(tbl_task8[[คะแนนเต็ม]:[คะแนนเต็ม]]),"",(tbl_task8[12]/tbl_task8[[คะแนนเต็ม]:[คะแนนเต็ม]])*tbl_task8[[%]:[%]])</f>
        <v/>
      </c>
      <c r="GA12" s="121" t="str">
        <f>IF(ISBLANK(tbl_task8[[คะแนนเต็ม]:[คะแนนเต็ม]]),"",(tbl_task8[13]/tbl_task8[[คะแนนเต็ม]:[คะแนนเต็ม]])*tbl_task8[[%]:[%]])</f>
        <v/>
      </c>
      <c r="GB12" s="121" t="str">
        <f>IF(ISBLANK(tbl_task8[[คะแนนเต็ม]:[คะแนนเต็ม]]),"",(tbl_task8[14]/tbl_task8[[คะแนนเต็ม]:[คะแนนเต็ม]])*tbl_task8[[%]:[%]])</f>
        <v/>
      </c>
      <c r="GC12" s="121" t="str">
        <f>IF(ISBLANK(tbl_task8[[คะแนนเต็ม]:[คะแนนเต็ม]]),"",(tbl_task8[15]/tbl_task8[[คะแนนเต็ม]:[คะแนนเต็ม]])*tbl_task8[[%]:[%]])</f>
        <v/>
      </c>
      <c r="GD12" s="121" t="str">
        <f>IF(ISBLANK(tbl_task8[[คะแนนเต็ม]:[คะแนนเต็ม]]),"",(tbl_task8[16]/tbl_task8[[คะแนนเต็ม]:[คะแนนเต็ม]])*tbl_task8[[%]:[%]])</f>
        <v/>
      </c>
      <c r="GE12" s="121" t="str">
        <f>IF(ISBLANK(tbl_task8[[คะแนนเต็ม]:[คะแนนเต็ม]]),"",(tbl_task8[17]/tbl_task8[[คะแนนเต็ม]:[คะแนนเต็ม]])*tbl_task8[[%]:[%]])</f>
        <v/>
      </c>
      <c r="GF12" s="121" t="str">
        <f>IF(ISBLANK(tbl_task8[[คะแนนเต็ม]:[คะแนนเต็ม]]),"",(tbl_task8[18]/tbl_task8[[คะแนนเต็ม]:[คะแนนเต็ม]])*tbl_task8[[%]:[%]])</f>
        <v/>
      </c>
      <c r="GG12" s="121" t="str">
        <f>IF(ISBLANK(tbl_task8[[คะแนนเต็ม]:[คะแนนเต็ม]]),"",(tbl_task8[19]/tbl_task8[[คะแนนเต็ม]:[คะแนนเต็ม]])*tbl_task8[[%]:[%]])</f>
        <v/>
      </c>
      <c r="GH12" s="121" t="str">
        <f>IF(ISBLANK(tbl_task8[[คะแนนเต็ม]:[คะแนนเต็ม]]),"",(tbl_task8[20]/tbl_task8[[คะแนนเต็ม]:[คะแนนเต็ม]])*tbl_task8[[%]:[%]])</f>
        <v/>
      </c>
      <c r="GI12" s="121" t="str">
        <f>IF(ISBLANK(tbl_task8[[คะแนนเต็ม]:[คะแนนเต็ม]]),"",(tbl_task8[21]/tbl_task8[[คะแนนเต็ม]:[คะแนนเต็ม]])*tbl_task8[[%]:[%]])</f>
        <v/>
      </c>
      <c r="GJ12" s="121" t="str">
        <f>IF(ISBLANK(tbl_task8[[คะแนนเต็ม]:[คะแนนเต็ม]]),"",(tbl_task8[22]/tbl_task8[[คะแนนเต็ม]:[คะแนนเต็ม]])*tbl_task8[[%]:[%]])</f>
        <v/>
      </c>
      <c r="GK12" s="121" t="str">
        <f>IF(ISBLANK(tbl_task8[[คะแนนเต็ม]:[คะแนนเต็ม]]),"",(tbl_task8[23]/tbl_task8[[คะแนนเต็ม]:[คะแนนเต็ม]])*tbl_task8[[%]:[%]])</f>
        <v/>
      </c>
      <c r="GL12" s="121" t="str">
        <f>IF(ISBLANK(tbl_task8[[คะแนนเต็ม]:[คะแนนเต็ม]]),"",(tbl_task8[24]/tbl_task8[[คะแนนเต็ม]:[คะแนนเต็ม]])*tbl_task8[[%]:[%]])</f>
        <v/>
      </c>
      <c r="GM12" s="121" t="str">
        <f>IF(ISBLANK(tbl_task8[[คะแนนเต็ม]:[คะแนนเต็ม]]),"",(tbl_task8[25]/tbl_task8[[คะแนนเต็ม]:[คะแนนเต็ม]])*tbl_task8[[%]:[%]])</f>
        <v/>
      </c>
      <c r="GN12" s="121" t="str">
        <f>IF(ISBLANK(tbl_task8[[คะแนนเต็ม]:[คะแนนเต็ม]]),"",(tbl_task8[26]/tbl_task8[[คะแนนเต็ม]:[คะแนนเต็ม]])*tbl_task8[[%]:[%]])</f>
        <v/>
      </c>
      <c r="GO12" s="121" t="str">
        <f>IF(ISBLANK(tbl_task8[[คะแนนเต็ม]:[คะแนนเต็ม]]),"",(tbl_task8[27]/tbl_task8[[คะแนนเต็ม]:[คะแนนเต็ม]])*tbl_task8[[%]:[%]])</f>
        <v/>
      </c>
      <c r="GP12" s="121" t="str">
        <f>IF(ISBLANK(tbl_task8[[คะแนนเต็ม]:[คะแนนเต็ม]]),"",(tbl_task8[28]/tbl_task8[[คะแนนเต็ม]:[คะแนนเต็ม]])*tbl_task8[[%]:[%]])</f>
        <v/>
      </c>
      <c r="GQ12" s="121" t="str">
        <f>IF(ISBLANK(tbl_task8[[คะแนนเต็ม]:[คะแนนเต็ม]]),"",(tbl_task8[29]/tbl_task8[[คะแนนเต็ม]:[คะแนนเต็ม]])*tbl_task8[[%]:[%]])</f>
        <v/>
      </c>
      <c r="GR12" s="121" t="str">
        <f>IF(ISBLANK(tbl_task8[[คะแนนเต็ม]:[คะแนนเต็ม]]),"",(tbl_task8[30]/tbl_task8[[คะแนนเต็ม]:[คะแนนเต็ม]])*tbl_task8[[%]:[%]])</f>
        <v/>
      </c>
      <c r="GS12" s="121" t="str">
        <f>IF(ISBLANK(tbl_task8[[คะแนนเต็ม]:[คะแนนเต็ม]]),"",(tbl_task8[31]/tbl_task8[[คะแนนเต็ม]:[คะแนนเต็ม]])*tbl_task8[[%]:[%]])</f>
        <v/>
      </c>
      <c r="GT12" s="121" t="str">
        <f>IF(ISBLANK(tbl_task8[[คะแนนเต็ม]:[คะแนนเต็ม]]),"",(tbl_task8[32]/tbl_task8[[คะแนนเต็ม]:[คะแนนเต็ม]])*tbl_task8[[%]:[%]])</f>
        <v/>
      </c>
      <c r="GU12" s="121" t="str">
        <f>IF(ISBLANK(tbl_task8[[คะแนนเต็ม]:[คะแนนเต็ม]]),"",(tbl_task8[33]/tbl_task8[[คะแนนเต็ม]:[คะแนนเต็ม]])*tbl_task8[[%]:[%]])</f>
        <v/>
      </c>
      <c r="GV12" s="121" t="str">
        <f>IF(ISBLANK(tbl_task8[[คะแนนเต็ม]:[คะแนนเต็ม]]),"",(tbl_task8[34]/tbl_task8[[คะแนนเต็ม]:[คะแนนเต็ม]])*tbl_task8[[%]:[%]])</f>
        <v/>
      </c>
      <c r="GW12" s="121" t="str">
        <f>IF(ISBLANK(tbl_task8[[คะแนนเต็ม]:[คะแนนเต็ม]]),"",(tbl_task8[35]/tbl_task8[[คะแนนเต็ม]:[คะแนนเต็ม]])*tbl_task8[[%]:[%]])</f>
        <v/>
      </c>
      <c r="GX12" s="121" t="str">
        <f>IF(ISBLANK(tbl_task8[[คะแนนเต็ม]:[คะแนนเต็ม]]),"",(tbl_task8[36]/tbl_task8[[คะแนนเต็ม]:[คะแนนเต็ม]])*tbl_task8[[%]:[%]])</f>
        <v/>
      </c>
      <c r="GY12" s="121" t="str">
        <f>IF(ISBLANK(tbl_task8[[คะแนนเต็ม]:[คะแนนเต็ม]]),"",(tbl_task8[37]/tbl_task8[[คะแนนเต็ม]:[คะแนนเต็ม]])*tbl_task8[[%]:[%]])</f>
        <v/>
      </c>
      <c r="GZ12" s="121" t="str">
        <f>IF(ISBLANK(tbl_task8[[คะแนนเต็ม]:[คะแนนเต็ม]]),"",(tbl_task8[38]/tbl_task8[[คะแนนเต็ม]:[คะแนนเต็ม]])*tbl_task8[[%]:[%]])</f>
        <v/>
      </c>
      <c r="HA12" s="121" t="str">
        <f>IF(ISBLANK(tbl_task8[[คะแนนเต็ม]:[คะแนนเต็ม]]),"",(tbl_task8[39]/tbl_task8[[คะแนนเต็ม]:[คะแนนเต็ม]])*tbl_task8[[%]:[%]])</f>
        <v/>
      </c>
      <c r="HB12" s="121" t="str">
        <f>IF(ISBLANK(tbl_task8[[คะแนนเต็ม]:[คะแนนเต็ม]]),"",(tbl_task8[40]/tbl_task8[[คะแนนเต็ม]:[คะแนนเต็ม]])*tbl_task8[[%]:[%]])</f>
        <v/>
      </c>
      <c r="HC12" s="121" t="str">
        <f>IF(ISBLANK(tbl_task8[[คะแนนเต็ม]:[คะแนนเต็ม]]),"",(tbl_task8[41]/tbl_task8[[คะแนนเต็ม]:[คะแนนเต็ม]])*tbl_task8[[%]:[%]])</f>
        <v/>
      </c>
      <c r="HD12" s="121" t="str">
        <f>IF(ISBLANK(tbl_task8[[คะแนนเต็ม]:[คะแนนเต็ม]]),"",(tbl_task8[42]/tbl_task8[[คะแนนเต็ม]:[คะแนนเต็ม]])*tbl_task8[[%]:[%]])</f>
        <v/>
      </c>
      <c r="HE12" s="121" t="str">
        <f>IF(ISBLANK(tbl_task8[[คะแนนเต็ม]:[คะแนนเต็ม]]),"",(tbl_task8[43]/tbl_task8[[คะแนนเต็ม]:[คะแนนเต็ม]])*tbl_task8[[%]:[%]])</f>
        <v/>
      </c>
      <c r="HF12" s="121" t="str">
        <f>IF(ISBLANK(tbl_task8[[คะแนนเต็ม]:[คะแนนเต็ม]]),"",(tbl_task8[44]/tbl_task8[[คะแนนเต็ม]:[คะแนนเต็ม]])*tbl_task8[[%]:[%]])</f>
        <v/>
      </c>
      <c r="HG12" s="121" t="str">
        <f>IF(ISBLANK(tbl_task8[[คะแนนเต็ม]:[คะแนนเต็ม]]),"",(tbl_task8[45]/tbl_task8[[คะแนนเต็ม]:[คะแนนเต็ม]])*tbl_task8[[%]:[%]])</f>
        <v/>
      </c>
      <c r="HH12" s="121" t="str">
        <f>IF(ISBLANK(tbl_task8[[คะแนนเต็ม]:[คะแนนเต็ม]]),"",(tbl_task8[46]/tbl_task8[[คะแนนเต็ม]:[คะแนนเต็ม]])*tbl_task8[[%]:[%]])</f>
        <v/>
      </c>
      <c r="HI12" s="121" t="str">
        <f>IF(ISBLANK(tbl_task8[[คะแนนเต็ม]:[คะแนนเต็ม]]),"",(tbl_task8[47]/tbl_task8[[คะแนนเต็ม]:[คะแนนเต็ม]])*tbl_task8[[%]:[%]])</f>
        <v/>
      </c>
      <c r="HJ12" s="121" t="str">
        <f>IF(ISBLANK(tbl_task8[[คะแนนเต็ม]:[คะแนนเต็ม]]),"",(tbl_task8[48]/tbl_task8[[คะแนนเต็ม]:[คะแนนเต็ม]])*tbl_task8[[%]:[%]])</f>
        <v/>
      </c>
      <c r="HK12" s="121" t="str">
        <f>IF(ISBLANK(tbl_task8[[คะแนนเต็ม]:[คะแนนเต็ม]]),"",(tbl_task8[49]/tbl_task8[[คะแนนเต็ม]:[คะแนนเต็ม]])*tbl_task8[[%]:[%]])</f>
        <v/>
      </c>
      <c r="HL12" s="121" t="str">
        <f>IF(ISBLANK(tbl_task8[[คะแนนเต็ม]:[คะแนนเต็ม]]),"",(tbl_task8[50]/tbl_task8[[คะแนนเต็ม]:[คะแนนเต็ม]])*tbl_task8[[%]:[%]])</f>
        <v/>
      </c>
      <c r="HM12" s="121" t="str">
        <f>IF(ISBLANK(tbl_task8[[คะแนนเต็ม]:[คะแนนเต็ม]]),"",(tbl_task8[51]/tbl_task8[[คะแนนเต็ม]:[คะแนนเต็ม]])*tbl_task8[[%]:[%]])</f>
        <v/>
      </c>
      <c r="HN12" s="121" t="str">
        <f>IF(ISBLANK(tbl_task8[[คะแนนเต็ม]:[คะแนนเต็ม]]),"",(tbl_task8[52]/tbl_task8[[คะแนนเต็ม]:[คะแนนเต็ม]])*tbl_task8[[%]:[%]])</f>
        <v/>
      </c>
      <c r="HO12" s="121" t="str">
        <f>IF(ISBLANK(tbl_task8[[คะแนนเต็ม]:[คะแนนเต็ม]]),"",(tbl_task8[53]/tbl_task8[[คะแนนเต็ม]:[คะแนนเต็ม]])*tbl_task8[[%]:[%]])</f>
        <v/>
      </c>
      <c r="HP12" s="121" t="str">
        <f>IF(ISBLANK(tbl_task8[[คะแนนเต็ม]:[คะแนนเต็ม]]),"",(tbl_task8[54]/tbl_task8[[คะแนนเต็ม]:[คะแนนเต็ม]])*tbl_task8[[%]:[%]])</f>
        <v/>
      </c>
      <c r="HQ12" s="121" t="str">
        <f>IF(ISBLANK(tbl_task8[[คะแนนเต็ม]:[คะแนนเต็ม]]),"",(tbl_task8[55]/tbl_task8[[คะแนนเต็ม]:[คะแนนเต็ม]])*tbl_task8[[%]:[%]])</f>
        <v/>
      </c>
      <c r="HR12" s="121" t="str">
        <f>IF(ISBLANK(tbl_task8[[คะแนนเต็ม]:[คะแนนเต็ม]]),"",(tbl_task8[56]/tbl_task8[[คะแนนเต็ม]:[คะแนนเต็ม]])*tbl_task8[[%]:[%]])</f>
        <v/>
      </c>
      <c r="HS12" s="121" t="str">
        <f>IF(ISBLANK(tbl_task8[[คะแนนเต็ม]:[คะแนนเต็ม]]),"",(tbl_task8[57]/tbl_task8[[คะแนนเต็ม]:[คะแนนเต็ม]])*tbl_task8[[%]:[%]])</f>
        <v/>
      </c>
      <c r="HT12" s="121" t="str">
        <f>IF(ISBLANK(tbl_task8[[คะแนนเต็ม]:[คะแนนเต็ม]]),"",(tbl_task8[58]/tbl_task8[[คะแนนเต็ม]:[คะแนนเต็ม]])*tbl_task8[[%]:[%]])</f>
        <v/>
      </c>
      <c r="HU12" s="121" t="str">
        <f>IF(ISBLANK(tbl_task8[[คะแนนเต็ม]:[คะแนนเต็ม]]),"",(tbl_task8[59]/tbl_task8[[คะแนนเต็ม]:[คะแนนเต็ม]])*tbl_task8[[%]:[%]])</f>
        <v/>
      </c>
      <c r="HV12" s="121" t="str">
        <f>IF(ISBLANK(tbl_task8[[คะแนนเต็ม]:[คะแนนเต็ม]]),"",(tbl_task8[60]/tbl_task8[[คะแนนเต็ม]:[คะแนนเต็ม]])*tbl_task8[[%]:[%]])</f>
        <v/>
      </c>
      <c r="HW12" s="121" t="str">
        <f>IF(ISBLANK(tbl_task8[[คะแนนเต็ม]:[คะแนนเต็ม]]),"",(tbl_task8[61]/tbl_task8[[คะแนนเต็ม]:[คะแนนเต็ม]])*tbl_task8[[%]:[%]])</f>
        <v/>
      </c>
      <c r="HX12" s="121" t="str">
        <f>IF(ISBLANK(tbl_task8[[คะแนนเต็ม]:[คะแนนเต็ม]]),"",(tbl_task8[62]/tbl_task8[[คะแนนเต็ม]:[คะแนนเต็ม]])*tbl_task8[[%]:[%]])</f>
        <v/>
      </c>
      <c r="HY12" s="121" t="str">
        <f>IF(ISBLANK(tbl_task8[[คะแนนเต็ม]:[คะแนนเต็ม]]),"",(tbl_task8[63]/tbl_task8[[คะแนนเต็ม]:[คะแนนเต็ม]])*tbl_task8[[%]:[%]])</f>
        <v/>
      </c>
      <c r="HZ12" s="121" t="str">
        <f>IF(ISBLANK(tbl_task8[[คะแนนเต็ม]:[คะแนนเต็ม]]),"",(tbl_task8[64]/tbl_task8[[คะแนนเต็ม]:[คะแนนเต็ม]])*tbl_task8[[%]:[%]])</f>
        <v/>
      </c>
      <c r="IA12" s="121" t="str">
        <f>IF(ISBLANK(tbl_task8[[คะแนนเต็ม]:[คะแนนเต็ม]]),"",(tbl_task8[65]/tbl_task8[[คะแนนเต็ม]:[คะแนนเต็ม]])*tbl_task8[[%]:[%]])</f>
        <v/>
      </c>
      <c r="IB12" s="121" t="str">
        <f>IF(ISBLANK(tbl_task8[[คะแนนเต็ม]:[คะแนนเต็ม]]),"",(tbl_task8[66]/tbl_task8[[คะแนนเต็ม]:[คะแนนเต็ม]])*tbl_task8[[%]:[%]])</f>
        <v/>
      </c>
      <c r="IC12" s="121" t="str">
        <f>IF(ISBLANK(tbl_task8[[คะแนนเต็ม]:[คะแนนเต็ม]]),"",(tbl_task8[67]/tbl_task8[[คะแนนเต็ม]:[คะแนนเต็ม]])*tbl_task8[[%]:[%]])</f>
        <v/>
      </c>
      <c r="ID12" s="121" t="str">
        <f>IF(ISBLANK(tbl_task8[[คะแนนเต็ม]:[คะแนนเต็ม]]),"",(tbl_task8[68]/tbl_task8[[คะแนนเต็ม]:[คะแนนเต็ม]])*tbl_task8[[%]:[%]])</f>
        <v/>
      </c>
      <c r="IE12" s="121" t="str">
        <f>IF(ISBLANK(tbl_task8[[คะแนนเต็ม]:[คะแนนเต็ม]]),"",(tbl_task8[69]/tbl_task8[[คะแนนเต็ม]:[คะแนนเต็ม]])*tbl_task8[[%]:[%]])</f>
        <v/>
      </c>
      <c r="IF12" s="121" t="str">
        <f>IF(ISBLANK(tbl_task8[[คะแนนเต็ม]:[คะแนนเต็ม]]),"",(tbl_task8[70]/tbl_task8[[คะแนนเต็ม]:[คะแนนเต็ม]])*tbl_task8[[%]:[%]])</f>
        <v/>
      </c>
      <c r="IG12" s="121" t="str">
        <f>IF(ISBLANK(tbl_task8[[คะแนนเต็ม]:[คะแนนเต็ม]]),"",(tbl_task8[71]/tbl_task8[[คะแนนเต็ม]:[คะแนนเต็ม]])*tbl_task8[[%]:[%]])</f>
        <v/>
      </c>
      <c r="IH12" s="121" t="str">
        <f>IF(ISBLANK(tbl_task8[[คะแนนเต็ม]:[คะแนนเต็ม]]),"",(tbl_task8[72]/tbl_task8[[คะแนนเต็ม]:[คะแนนเต็ม]])*tbl_task8[[%]:[%]])</f>
        <v/>
      </c>
      <c r="II12" s="121" t="str">
        <f>IF(ISBLANK(tbl_task8[[คะแนนเต็ม]:[คะแนนเต็ม]]),"",(tbl_task8[73]/tbl_task8[[คะแนนเต็ม]:[คะแนนเต็ม]])*tbl_task8[[%]:[%]])</f>
        <v/>
      </c>
      <c r="IJ12" s="121" t="str">
        <f>IF(ISBLANK(tbl_task8[[คะแนนเต็ม]:[คะแนนเต็ม]]),"",(tbl_task8[74]/tbl_task8[[คะแนนเต็ม]:[คะแนนเต็ม]])*tbl_task8[[%]:[%]])</f>
        <v/>
      </c>
      <c r="IK12" s="121" t="str">
        <f>IF(ISBLANK(tbl_task8[[คะแนนเต็ม]:[คะแนนเต็ม]]),"",(tbl_task8[75]/tbl_task8[[คะแนนเต็ม]:[คะแนนเต็ม]])*tbl_task8[[%]:[%]])</f>
        <v/>
      </c>
      <c r="IL12" s="121" t="str">
        <f>IF(ISBLANK(tbl_task8[[คะแนนเต็ม]:[คะแนนเต็ม]]),"",(tbl_task8[76]/tbl_task8[[คะแนนเต็ม]:[คะแนนเต็ม]])*tbl_task8[[%]:[%]])</f>
        <v/>
      </c>
      <c r="IM12" s="121" t="str">
        <f>IF(ISBLANK(tbl_task8[[คะแนนเต็ม]:[คะแนนเต็ม]]),"",(tbl_task8[77]/tbl_task8[[คะแนนเต็ม]:[คะแนนเต็ม]])*tbl_task8[[%]:[%]])</f>
        <v/>
      </c>
      <c r="IN12" s="121" t="str">
        <f>IF(ISBLANK(tbl_task8[[คะแนนเต็ม]:[คะแนนเต็ม]]),"",(tbl_task8[78]/tbl_task8[[คะแนนเต็ม]:[คะแนนเต็ม]])*tbl_task8[[%]:[%]])</f>
        <v/>
      </c>
      <c r="IO12" s="121" t="str">
        <f>IF(ISBLANK(tbl_task8[[คะแนนเต็ม]:[คะแนนเต็ม]]),"",(tbl_task8[79]/tbl_task8[[คะแนนเต็ม]:[คะแนนเต็ม]])*tbl_task8[[%]:[%]])</f>
        <v/>
      </c>
      <c r="IP12" s="121" t="str">
        <f>IF(ISBLANK(tbl_task8[[คะแนนเต็ม]:[คะแนนเต็ม]]),"",(tbl_task8[80]/tbl_task8[[คะแนนเต็ม]:[คะแนนเต็ม]])*tbl_task8[[%]:[%]])</f>
        <v/>
      </c>
      <c r="IQ12" s="121" t="str">
        <f>IF(ISBLANK(tbl_task8[[คะแนนเต็ม]:[คะแนนเต็ม]]),"",(tbl_task8[81]/tbl_task8[[คะแนนเต็ม]:[คะแนนเต็ม]])*tbl_task8[[%]:[%]])</f>
        <v/>
      </c>
      <c r="IR12" s="121" t="str">
        <f>IF(ISBLANK(tbl_task8[[คะแนนเต็ม]:[คะแนนเต็ม]]),"",(tbl_task8[82]/tbl_task8[[คะแนนเต็ม]:[คะแนนเต็ม]])*tbl_task8[[%]:[%]])</f>
        <v/>
      </c>
      <c r="IS12" s="121" t="str">
        <f>IF(ISBLANK(tbl_task8[[คะแนนเต็ม]:[คะแนนเต็ม]]),"",(tbl_task8[83]/tbl_task8[[คะแนนเต็ม]:[คะแนนเต็ม]])*tbl_task8[[%]:[%]])</f>
        <v/>
      </c>
      <c r="IT12" s="121" t="str">
        <f>IF(ISBLANK(tbl_task8[[คะแนนเต็ม]:[คะแนนเต็ม]]),"",(tbl_task8[84]/tbl_task8[[คะแนนเต็ม]:[คะแนนเต็ม]])*tbl_task8[[%]:[%]])</f>
        <v/>
      </c>
      <c r="IU12" s="121" t="str">
        <f>IF(ISBLANK(tbl_task8[[คะแนนเต็ม]:[คะแนนเต็ม]]),"",(tbl_task8[85]/tbl_task8[[คะแนนเต็ม]:[คะแนนเต็ม]])*tbl_task8[[%]:[%]])</f>
        <v/>
      </c>
      <c r="IV12" s="121" t="str">
        <f>IF(ISBLANK(tbl_task8[[คะแนนเต็ม]:[คะแนนเต็ม]]),"",(tbl_task8[86]/tbl_task8[[คะแนนเต็ม]:[คะแนนเต็ม]])*tbl_task8[[%]:[%]])</f>
        <v/>
      </c>
      <c r="IW12" s="121" t="str">
        <f>IF(ISBLANK(tbl_task8[[คะแนนเต็ม]:[คะแนนเต็ม]]),"",(tbl_task8[87]/tbl_task8[[คะแนนเต็ม]:[คะแนนเต็ม]])*tbl_task8[[%]:[%]])</f>
        <v/>
      </c>
      <c r="IX12" s="121" t="str">
        <f>IF(ISBLANK(tbl_task8[[คะแนนเต็ม]:[คะแนนเต็ม]]),"",(tbl_task8[88]/tbl_task8[[คะแนนเต็ม]:[คะแนนเต็ม]])*tbl_task8[[%]:[%]])</f>
        <v/>
      </c>
      <c r="IY12" s="121" t="str">
        <f>IF(ISBLANK(tbl_task8[[คะแนนเต็ม]:[คะแนนเต็ม]]),"",(tbl_task8[89]/tbl_task8[[คะแนนเต็ม]:[คะแนนเต็ม]])*tbl_task8[[%]:[%]])</f>
        <v/>
      </c>
      <c r="IZ12" s="121" t="str">
        <f>IF(ISBLANK(tbl_task8[[คะแนนเต็ม]:[คะแนนเต็ม]]),"",(tbl_task8[90]/tbl_task8[[คะแนนเต็ม]:[คะแนนเต็ม]])*tbl_task8[[%]:[%]])</f>
        <v/>
      </c>
      <c r="JA12" s="121" t="str">
        <f>IF(ISBLANK(tbl_task8[[คะแนนเต็ม]:[คะแนนเต็ม]]),"",(tbl_task8[91]/tbl_task8[[คะแนนเต็ม]:[คะแนนเต็ม]])*tbl_task8[[%]:[%]])</f>
        <v/>
      </c>
      <c r="JB12" s="121" t="str">
        <f>IF(ISBLANK(tbl_task8[[คะแนนเต็ม]:[คะแนนเต็ม]]),"",(tbl_task8[92]/tbl_task8[[คะแนนเต็ม]:[คะแนนเต็ม]])*tbl_task8[[%]:[%]])</f>
        <v/>
      </c>
      <c r="JC12" s="121" t="str">
        <f>IF(ISBLANK(tbl_task8[[คะแนนเต็ม]:[คะแนนเต็ม]]),"",(tbl_task8[93]/tbl_task8[[คะแนนเต็ม]:[คะแนนเต็ม]])*tbl_task8[[%]:[%]])</f>
        <v/>
      </c>
      <c r="JD12" s="121" t="str">
        <f>IF(ISBLANK(tbl_task8[[คะแนนเต็ม]:[คะแนนเต็ม]]),"",(tbl_task8[94]/tbl_task8[[คะแนนเต็ม]:[คะแนนเต็ม]])*tbl_task8[[%]:[%]])</f>
        <v/>
      </c>
      <c r="JE12" s="121" t="str">
        <f>IF(ISBLANK(tbl_task8[[คะแนนเต็ม]:[คะแนนเต็ม]]),"",(tbl_task8[95]/tbl_task8[[คะแนนเต็ม]:[คะแนนเต็ม]])*tbl_task8[[%]:[%]])</f>
        <v/>
      </c>
      <c r="JF12" s="121" t="str">
        <f>IF(ISBLANK(tbl_task8[[คะแนนเต็ม]:[คะแนนเต็ม]]),"",(tbl_task8[96]/tbl_task8[[คะแนนเต็ม]:[คะแนนเต็ม]])*tbl_task8[[%]:[%]])</f>
        <v/>
      </c>
      <c r="JG12" s="121" t="str">
        <f>IF(ISBLANK(tbl_task8[[คะแนนเต็ม]:[คะแนนเต็ม]]),"",(tbl_task8[97]/tbl_task8[[คะแนนเต็ม]:[คะแนนเต็ม]])*tbl_task8[[%]:[%]])</f>
        <v/>
      </c>
      <c r="JH12" s="121" t="str">
        <f>IF(ISBLANK(tbl_task8[[คะแนนเต็ม]:[คะแนนเต็ม]]),"",(tbl_task8[98]/tbl_task8[[คะแนนเต็ม]:[คะแนนเต็ม]])*tbl_task8[[%]:[%]])</f>
        <v/>
      </c>
      <c r="JI12" s="121" t="str">
        <f>IF(ISBLANK(tbl_task8[[คะแนนเต็ม]:[คะแนนเต็ม]]),"",(tbl_task8[99]/tbl_task8[[คะแนนเต็ม]:[คะแนนเต็ม]])*tbl_task8[[%]:[%]])</f>
        <v/>
      </c>
      <c r="JJ12" s="121" t="str">
        <f>IF(ISBLANK(tbl_task8[[คะแนนเต็ม]:[คะแนนเต็ม]]),"",(tbl_task8[100]/tbl_task8[[คะแนนเต็ม]:[คะแนนเต็ม]])*tbl_task8[[%]:[%]])</f>
        <v/>
      </c>
      <c r="JK12" s="121" t="str">
        <f>IF(ISBLANK(tbl_task8[[คะแนนเต็ม]:[คะแนนเต็ม]]),"",(tbl_task8[101]/tbl_task8[[คะแนนเต็ม]:[คะแนนเต็ม]])*tbl_task8[[%]:[%]])</f>
        <v/>
      </c>
      <c r="JL12" s="121" t="str">
        <f>IF(ISBLANK(tbl_task8[[คะแนนเต็ม]:[คะแนนเต็ม]]),"",(tbl_task8[102]/tbl_task8[[คะแนนเต็ม]:[คะแนนเต็ม]])*tbl_task8[[%]:[%]])</f>
        <v/>
      </c>
      <c r="JM12" s="121" t="str">
        <f>IF(ISBLANK(tbl_task8[[คะแนนเต็ม]:[คะแนนเต็ม]]),"",(tbl_task8[103]/tbl_task8[[คะแนนเต็ม]:[คะแนนเต็ม]])*tbl_task8[[%]:[%]])</f>
        <v/>
      </c>
      <c r="JN12" s="121" t="str">
        <f>IF(ISBLANK(tbl_task8[[คะแนนเต็ม]:[คะแนนเต็ม]]),"",(tbl_task8[104]/tbl_task8[[คะแนนเต็ม]:[คะแนนเต็ม]])*tbl_task8[[%]:[%]])</f>
        <v/>
      </c>
      <c r="JO12" s="121" t="str">
        <f>IF(ISBLANK(tbl_task8[[คะแนนเต็ม]:[คะแนนเต็ม]]),"",(tbl_task8[105]/tbl_task8[[คะแนนเต็ม]:[คะแนนเต็ม]])*tbl_task8[[%]:[%]])</f>
        <v/>
      </c>
      <c r="JP12" s="121" t="str">
        <f>IF(ISBLANK(tbl_task8[[คะแนนเต็ม]:[คะแนนเต็ม]]),"",(tbl_task8[106]/tbl_task8[[คะแนนเต็ม]:[คะแนนเต็ม]])*tbl_task8[[%]:[%]])</f>
        <v/>
      </c>
      <c r="JQ12" s="121" t="str">
        <f>IF(ISBLANK(tbl_task8[[คะแนนเต็ม]:[คะแนนเต็ม]]),"",(tbl_task8[107]/tbl_task8[[คะแนนเต็ม]:[คะแนนเต็ม]])*tbl_task8[[%]:[%]])</f>
        <v/>
      </c>
      <c r="JR12" s="121" t="str">
        <f>IF(ISBLANK(tbl_task8[[คะแนนเต็ม]:[คะแนนเต็ม]]),"",(tbl_task8[108]/tbl_task8[[คะแนนเต็ม]:[คะแนนเต็ม]])*tbl_task8[[%]:[%]])</f>
        <v/>
      </c>
      <c r="JS12" s="121" t="str">
        <f>IF(ISBLANK(tbl_task8[[คะแนนเต็ม]:[คะแนนเต็ม]]),"",(tbl_task8[109]/tbl_task8[[คะแนนเต็ม]:[คะแนนเต็ม]])*tbl_task8[[%]:[%]])</f>
        <v/>
      </c>
      <c r="JT12" s="121" t="str">
        <f>IF(ISBLANK(tbl_task8[[คะแนนเต็ม]:[คะแนนเต็ม]]),"",(tbl_task8[110]/tbl_task8[[คะแนนเต็ม]:[คะแนนเต็ม]])*tbl_task8[[%]:[%]])</f>
        <v/>
      </c>
      <c r="JU12" s="121" t="str">
        <f>IF(ISBLANK(tbl_task8[[คะแนนเต็ม]:[คะแนนเต็ม]]),"",(tbl_task8[111]/tbl_task8[[คะแนนเต็ม]:[คะแนนเต็ม]])*tbl_task8[[%]:[%]])</f>
        <v/>
      </c>
      <c r="JV12" s="121" t="str">
        <f>IF(ISBLANK(tbl_task8[[คะแนนเต็ม]:[คะแนนเต็ม]]),"",(tbl_task8[112]/tbl_task8[[คะแนนเต็ม]:[คะแนนเต็ม]])*tbl_task8[[%]:[%]])</f>
        <v/>
      </c>
      <c r="JW12" s="121" t="str">
        <f>IF(ISBLANK(tbl_task8[[คะแนนเต็ม]:[คะแนนเต็ม]]),"",(tbl_task8[113]/tbl_task8[[คะแนนเต็ม]:[คะแนนเต็ม]])*tbl_task8[[%]:[%]])</f>
        <v/>
      </c>
      <c r="JX12" s="121" t="str">
        <f>IF(ISBLANK(tbl_task8[[คะแนนเต็ม]:[คะแนนเต็ม]]),"",(tbl_task8[114]/tbl_task8[[คะแนนเต็ม]:[คะแนนเต็ม]])*tbl_task8[[%]:[%]])</f>
        <v/>
      </c>
      <c r="JY12" s="121" t="str">
        <f>IF(ISBLANK(tbl_task8[[คะแนนเต็ม]:[คะแนนเต็ม]]),"",(tbl_task8[115]/tbl_task8[[คะแนนเต็ม]:[คะแนนเต็ม]])*tbl_task8[[%]:[%]])</f>
        <v/>
      </c>
      <c r="JZ12" s="121" t="str">
        <f>IF(ISBLANK(tbl_task8[[คะแนนเต็ม]:[คะแนนเต็ม]]),"",(tbl_task8[116]/tbl_task8[[คะแนนเต็ม]:[คะแนนเต็ม]])*tbl_task8[[%]:[%]])</f>
        <v/>
      </c>
      <c r="KA12" s="121" t="str">
        <f>IF(ISBLANK(tbl_task8[[คะแนนเต็ม]:[คะแนนเต็ม]]),"",(tbl_task8[117]/tbl_task8[[คะแนนเต็ม]:[คะแนนเต็ม]])*tbl_task8[[%]:[%]])</f>
        <v/>
      </c>
      <c r="KB12" s="121" t="str">
        <f>IF(ISBLANK(tbl_task8[[คะแนนเต็ม]:[คะแนนเต็ม]]),"",(tbl_task8[118]/tbl_task8[[คะแนนเต็ม]:[คะแนนเต็ม]])*tbl_task8[[%]:[%]])</f>
        <v/>
      </c>
      <c r="KC12" s="121" t="str">
        <f>IF(ISBLANK(tbl_task8[[คะแนนเต็ม]:[คะแนนเต็ม]]),"",(tbl_task8[119]/tbl_task8[[คะแนนเต็ม]:[คะแนนเต็ม]])*tbl_task8[[%]:[%]])</f>
        <v/>
      </c>
      <c r="KD12" s="121" t="str">
        <f>IF(ISBLANK(tbl_task8[[คะแนนเต็ม]:[คะแนนเต็ม]]),"",(tbl_task8[120]/tbl_task8[[คะแนนเต็ม]:[คะแนนเต็ม]])*tbl_task8[[%]:[%]])</f>
        <v/>
      </c>
      <c r="KE12" s="121" t="str">
        <f>IF(ISBLANK(tbl_task8[[คะแนนเต็ม]:[คะแนนเต็ม]]),"",(tbl_task8[121]/tbl_task8[[คะแนนเต็ม]:[คะแนนเต็ม]])*tbl_task8[[%]:[%]])</f>
        <v/>
      </c>
      <c r="KF12" s="121" t="str">
        <f>IF(ISBLANK(tbl_task8[[คะแนนเต็ม]:[คะแนนเต็ม]]),"",(tbl_task8[122]/tbl_task8[[คะแนนเต็ม]:[คะแนนเต็ม]])*tbl_task8[[%]:[%]])</f>
        <v/>
      </c>
      <c r="KG12" s="121" t="str">
        <f>IF(ISBLANK(tbl_task8[[คะแนนเต็ม]:[คะแนนเต็ม]]),"",(tbl_task8[123]/tbl_task8[[คะแนนเต็ม]:[คะแนนเต็ม]])*tbl_task8[[%]:[%]])</f>
        <v/>
      </c>
      <c r="KH12" s="121" t="str">
        <f>IF(ISBLANK(tbl_task8[[คะแนนเต็ม]:[คะแนนเต็ม]]),"",(tbl_task8[124]/tbl_task8[[คะแนนเต็ม]:[คะแนนเต็ม]])*tbl_task8[[%]:[%]])</f>
        <v/>
      </c>
      <c r="KI12" s="121" t="str">
        <f>IF(ISBLANK(tbl_task8[[คะแนนเต็ม]:[คะแนนเต็ม]]),"",(tbl_task8[125]/tbl_task8[[คะแนนเต็ม]:[คะแนนเต็ม]])*tbl_task8[[%]:[%]])</f>
        <v/>
      </c>
      <c r="KJ12" s="121" t="str">
        <f>IF(ISBLANK(tbl_task8[[คะแนนเต็ม]:[คะแนนเต็ม]]),"",(tbl_task8[126]/tbl_task8[[คะแนนเต็ม]:[คะแนนเต็ม]])*tbl_task8[[%]:[%]])</f>
        <v/>
      </c>
      <c r="KK12" s="121" t="str">
        <f>IF(ISBLANK(tbl_task8[[คะแนนเต็ม]:[คะแนนเต็ม]]),"",(tbl_task8[127]/tbl_task8[[คะแนนเต็ม]:[คะแนนเต็ม]])*tbl_task8[[%]:[%]])</f>
        <v/>
      </c>
      <c r="KL12" s="121" t="str">
        <f>IF(ISBLANK(tbl_task8[[คะแนนเต็ม]:[คะแนนเต็ม]]),"",(tbl_task8[128]/tbl_task8[[คะแนนเต็ม]:[คะแนนเต็ม]])*tbl_task8[[%]:[%]])</f>
        <v/>
      </c>
      <c r="KM12" s="121" t="str">
        <f>IF(ISBLANK(tbl_task8[[คะแนนเต็ม]:[คะแนนเต็ม]]),"",(tbl_task8[129]/tbl_task8[[คะแนนเต็ม]:[คะแนนเต็ม]])*tbl_task8[[%]:[%]])</f>
        <v/>
      </c>
      <c r="KN12" s="121" t="str">
        <f>IF(ISBLANK(tbl_task8[[คะแนนเต็ม]:[คะแนนเต็ม]]),"",(tbl_task8[130]/tbl_task8[[คะแนนเต็ม]:[คะแนนเต็ม]])*tbl_task8[[%]:[%]])</f>
        <v/>
      </c>
      <c r="KO12" s="121" t="str">
        <f>IF(ISBLANK(tbl_task8[[คะแนนเต็ม]:[คะแนนเต็ม]]),"",(tbl_task8[131]/tbl_task8[[คะแนนเต็ม]:[คะแนนเต็ม]])*tbl_task8[[%]:[%]])</f>
        <v/>
      </c>
      <c r="KP12" s="121" t="str">
        <f>IF(ISBLANK(tbl_task8[[คะแนนเต็ม]:[คะแนนเต็ม]]),"",(tbl_task8[132]/tbl_task8[[คะแนนเต็ม]:[คะแนนเต็ม]])*tbl_task8[[%]:[%]])</f>
        <v/>
      </c>
      <c r="KQ12" s="121" t="str">
        <f>IF(ISBLANK(tbl_task8[[คะแนนเต็ม]:[คะแนนเต็ม]]),"",(tbl_task8[133]/tbl_task8[[คะแนนเต็ม]:[คะแนนเต็ม]])*tbl_task8[[%]:[%]])</f>
        <v/>
      </c>
      <c r="KR12" s="121" t="str">
        <f>IF(ISBLANK(tbl_task8[[คะแนนเต็ม]:[คะแนนเต็ม]]),"",(tbl_task8[134]/tbl_task8[[คะแนนเต็ม]:[คะแนนเต็ม]])*tbl_task8[[%]:[%]])</f>
        <v/>
      </c>
      <c r="KS12" s="121" t="str">
        <f>IF(ISBLANK(tbl_task8[[คะแนนเต็ม]:[คะแนนเต็ม]]),"",(tbl_task8[135]/tbl_task8[[คะแนนเต็ม]:[คะแนนเต็ม]])*tbl_task8[[%]:[%]])</f>
        <v/>
      </c>
      <c r="KT12" s="121" t="str">
        <f>IF(ISBLANK(tbl_task8[[คะแนนเต็ม]:[คะแนนเต็ม]]),"",(tbl_task8[136]/tbl_task8[[คะแนนเต็ม]:[คะแนนเต็ม]])*tbl_task8[[%]:[%]])</f>
        <v/>
      </c>
      <c r="KU12" s="121" t="str">
        <f>IF(ISBLANK(tbl_task8[[คะแนนเต็ม]:[คะแนนเต็ม]]),"",(tbl_task8[137]/tbl_task8[[คะแนนเต็ม]:[คะแนนเต็ม]])*tbl_task8[[%]:[%]])</f>
        <v/>
      </c>
      <c r="KV12" s="121" t="str">
        <f>IF(ISBLANK(tbl_task8[[คะแนนเต็ม]:[คะแนนเต็ม]]),"",(tbl_task8[138]/tbl_task8[[คะแนนเต็ม]:[คะแนนเต็ม]])*tbl_task8[[%]:[%]])</f>
        <v/>
      </c>
      <c r="KW12" s="121" t="str">
        <f>IF(ISBLANK(tbl_task8[[คะแนนเต็ม]:[คะแนนเต็ม]]),"",(tbl_task8[139]/tbl_task8[[คะแนนเต็ม]:[คะแนนเต็ม]])*tbl_task8[[%]:[%]])</f>
        <v/>
      </c>
      <c r="KX12" s="121" t="str">
        <f>IF(ISBLANK(tbl_task8[[คะแนนเต็ม]:[คะแนนเต็ม]]),"",(tbl_task8[140]/tbl_task8[[คะแนนเต็ม]:[คะแนนเต็ม]])*tbl_task8[[%]:[%]])</f>
        <v/>
      </c>
      <c r="KY12" s="121" t="str">
        <f>IF(ISBLANK(tbl_task8[[คะแนนเต็ม]:[คะแนนเต็ม]]),"",(tbl_task8[141]/tbl_task8[[คะแนนเต็ม]:[คะแนนเต็ม]])*tbl_task8[[%]:[%]])</f>
        <v/>
      </c>
      <c r="KZ12" s="121" t="str">
        <f>IF(ISBLANK(tbl_task8[[คะแนนเต็ม]:[คะแนนเต็ม]]),"",(tbl_task8[142]/tbl_task8[[คะแนนเต็ม]:[คะแนนเต็ม]])*tbl_task8[[%]:[%]])</f>
        <v/>
      </c>
      <c r="LA12" s="121" t="str">
        <f>IF(ISBLANK(tbl_task8[[คะแนนเต็ม]:[คะแนนเต็ม]]),"",(tbl_task8[143]/tbl_task8[[คะแนนเต็ม]:[คะแนนเต็ม]])*tbl_task8[[%]:[%]])</f>
        <v/>
      </c>
      <c r="LB12" s="121" t="str">
        <f>IF(ISBLANK(tbl_task8[[คะแนนเต็ม]:[คะแนนเต็ม]]),"",(tbl_task8[144]/tbl_task8[[คะแนนเต็ม]:[คะแนนเต็ม]])*tbl_task8[[%]:[%]])</f>
        <v/>
      </c>
      <c r="LC12" s="121" t="str">
        <f>IF(ISBLANK(tbl_task8[[คะแนนเต็ม]:[คะแนนเต็ม]]),"",(tbl_task8[145]/tbl_task8[[คะแนนเต็ม]:[คะแนนเต็ม]])*tbl_task8[[%]:[%]])</f>
        <v/>
      </c>
      <c r="LD12" s="121" t="str">
        <f>IF(ISBLANK(tbl_task8[[คะแนนเต็ม]:[คะแนนเต็ม]]),"",(tbl_task8[146]/tbl_task8[[คะแนนเต็ม]:[คะแนนเต็ม]])*tbl_task8[[%]:[%]])</f>
        <v/>
      </c>
      <c r="LE12" s="121" t="str">
        <f>IF(ISBLANK(tbl_task8[[คะแนนเต็ม]:[คะแนนเต็ม]]),"",(tbl_task8[147]/tbl_task8[[คะแนนเต็ม]:[คะแนนเต็ม]])*tbl_task8[[%]:[%]])</f>
        <v/>
      </c>
      <c r="LF12" s="121" t="str">
        <f>IF(ISBLANK(tbl_task8[[คะแนนเต็ม]:[คะแนนเต็ม]]),"",(tbl_task8[148]/tbl_task8[[คะแนนเต็ม]:[คะแนนเต็ม]])*tbl_task8[[%]:[%]])</f>
        <v/>
      </c>
      <c r="LG12" s="121" t="str">
        <f>IF(ISBLANK(tbl_task8[[คะแนนเต็ม]:[คะแนนเต็ม]]),"",(tbl_task8[149]/tbl_task8[[คะแนนเต็ม]:[คะแนนเต็ม]])*tbl_task8[[%]:[%]])</f>
        <v/>
      </c>
      <c r="LH12" s="121" t="str">
        <f>IF(ISBLANK(tbl_task8[[คะแนนเต็ม]:[คะแนนเต็ม]]),"",(tbl_task8[150]/tbl_task8[[คะแนนเต็ม]:[คะแนนเต็ม]])*tbl_task8[[%]:[%]])</f>
        <v/>
      </c>
      <c r="LI12" s="121" t="str">
        <f>IF(ISBLANK(tbl_task8[[คะแนนเต็ม]:[คะแนนเต็ม]]),"",(tbl_task8[151]/tbl_task8[[คะแนนเต็ม]:[คะแนนเต็ม]])*tbl_task8[[%]:[%]])</f>
        <v/>
      </c>
      <c r="LJ12" s="121" t="str">
        <f>IF(ISBLANK(tbl_task8[[คะแนนเต็ม]:[คะแนนเต็ม]]),"",(tbl_task8[152]/tbl_task8[[คะแนนเต็ม]:[คะแนนเต็ม]])*tbl_task8[[%]:[%]])</f>
        <v/>
      </c>
      <c r="LK12" s="121" t="str">
        <f>IF(ISBLANK(tbl_task8[[คะแนนเต็ม]:[คะแนนเต็ม]]),"",(tbl_task8[153]/tbl_task8[[คะแนนเต็ม]:[คะแนนเต็ม]])*tbl_task8[[%]:[%]])</f>
        <v/>
      </c>
      <c r="LL12" s="121" t="str">
        <f>IF(ISBLANK(tbl_task8[[คะแนนเต็ม]:[คะแนนเต็ม]]),"",(tbl_task8[154]/tbl_task8[[คะแนนเต็ม]:[คะแนนเต็ม]])*tbl_task8[[%]:[%]])</f>
        <v/>
      </c>
      <c r="LM12" s="121" t="str">
        <f>IF(ISBLANK(tbl_task8[[คะแนนเต็ม]:[คะแนนเต็ม]]),"",(tbl_task8[155]/tbl_task8[[คะแนนเต็ม]:[คะแนนเต็ม]])*tbl_task8[[%]:[%]])</f>
        <v/>
      </c>
      <c r="LN12" s="121" t="str">
        <f>IF(ISBLANK(tbl_task8[[คะแนนเต็ม]:[คะแนนเต็ม]]),"",(tbl_task8[156]/tbl_task8[[คะแนนเต็ม]:[คะแนนเต็ม]])*tbl_task8[[%]:[%]])</f>
        <v/>
      </c>
      <c r="LO12" s="121" t="str">
        <f>IF(ISBLANK(tbl_task8[[คะแนนเต็ม]:[คะแนนเต็ม]]),"",(tbl_task8[157]/tbl_task8[[คะแนนเต็ม]:[คะแนนเต็ม]])*tbl_task8[[%]:[%]])</f>
        <v/>
      </c>
      <c r="LP12" s="121" t="str">
        <f>IF(ISBLANK(tbl_task8[[คะแนนเต็ม]:[คะแนนเต็ม]]),"",(tbl_task8[158]/tbl_task8[[คะแนนเต็ม]:[คะแนนเต็ม]])*tbl_task8[[%]:[%]])</f>
        <v/>
      </c>
      <c r="LQ12" s="121" t="str">
        <f>IF(ISBLANK(tbl_task8[[คะแนนเต็ม]:[คะแนนเต็ม]]),"",(tbl_task8[159]/tbl_task8[[คะแนนเต็ม]:[คะแนนเต็ม]])*tbl_task8[[%]:[%]])</f>
        <v/>
      </c>
      <c r="LR12" s="121" t="str">
        <f>IF(ISBLANK(tbl_task8[[คะแนนเต็ม]:[คะแนนเต็ม]]),"",(tbl_task8[160]/tbl_task8[[คะแนนเต็ม]:[คะแนนเต็ม]])*tbl_task8[[%]:[%]])</f>
        <v/>
      </c>
      <c r="LS12" s="121" t="str">
        <f>IF(ISBLANK(tbl_task8[[คะแนนเต็ม]:[คะแนนเต็ม]]),"",(tbl_task8[161]/tbl_task8[[คะแนนเต็ม]:[คะแนนเต็ม]])*tbl_task8[[%]:[%]])</f>
        <v/>
      </c>
      <c r="LT12" s="121" t="str">
        <f>IF(ISBLANK(tbl_task8[[คะแนนเต็ม]:[คะแนนเต็ม]]),"",(tbl_task8[162]/tbl_task8[[คะแนนเต็ม]:[คะแนนเต็ม]])*tbl_task8[[%]:[%]])</f>
        <v/>
      </c>
      <c r="LU12" s="121" t="str">
        <f>IF(ISBLANK(tbl_task8[[คะแนนเต็ม]:[คะแนนเต็ม]]),"",(tbl_task8[163]/tbl_task8[[คะแนนเต็ม]:[คะแนนเต็ม]])*tbl_task8[[%]:[%]])</f>
        <v/>
      </c>
      <c r="LV12" s="121" t="str">
        <f>IF(ISBLANK(tbl_task8[[คะแนนเต็ม]:[คะแนนเต็ม]]),"",(tbl_task8[164]/tbl_task8[[คะแนนเต็ม]:[คะแนนเต็ม]])*tbl_task8[[%]:[%]])</f>
        <v/>
      </c>
      <c r="LW12" s="121" t="str">
        <f>IF(ISBLANK(tbl_task8[[คะแนนเต็ม]:[คะแนนเต็ม]]),"",(tbl_task8[165]/tbl_task8[[คะแนนเต็ม]:[คะแนนเต็ม]])*tbl_task8[[%]:[%]])</f>
        <v/>
      </c>
    </row>
    <row r="13" spans="1:335" ht="24" customHeight="1" x14ac:dyDescent="0.25">
      <c r="A13" s="24">
        <v>10</v>
      </c>
      <c r="B13" s="20"/>
      <c r="C13" s="5" t="str">
        <f>IF(ISBLANK(B13),"",VLOOKUP(B13,tbl_PLOs[],2,0))</f>
        <v/>
      </c>
      <c r="D13" s="102"/>
      <c r="E13" s="106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22"/>
      <c r="FO13" s="121" t="str">
        <f>IF(ISBLANK(tbl_task8[[คะแนนเต็ม]:[คะแนนเต็ม]]),"",(tbl_task8[1]/tbl_task8[[คะแนนเต็ม]:[คะแนนเต็ม]])*tbl_task8[[%]:[%]])</f>
        <v/>
      </c>
      <c r="FP13" s="121" t="str">
        <f>IF(ISBLANK(tbl_task8[[คะแนนเต็ม]:[คะแนนเต็ม]]),"",(tbl_task8[2]/tbl_task8[[คะแนนเต็ม]:[คะแนนเต็ม]])*tbl_task8[[%]:[%]])</f>
        <v/>
      </c>
      <c r="FQ13" s="121" t="str">
        <f>IF(ISBLANK(tbl_task8[[คะแนนเต็ม]:[คะแนนเต็ม]]),"",(tbl_task8[3]/tbl_task8[[คะแนนเต็ม]:[คะแนนเต็ม]])*tbl_task8[[%]:[%]])</f>
        <v/>
      </c>
      <c r="FR13" s="121" t="str">
        <f>IF(ISBLANK(tbl_task8[[คะแนนเต็ม]:[คะแนนเต็ม]]),"",(tbl_task8[4]/tbl_task8[[คะแนนเต็ม]:[คะแนนเต็ม]])*tbl_task8[[%]:[%]])</f>
        <v/>
      </c>
      <c r="FS13" s="121" t="str">
        <f>IF(ISBLANK(tbl_task8[[คะแนนเต็ม]:[คะแนนเต็ม]]),"",(tbl_task8[5]/tbl_task8[[คะแนนเต็ม]:[คะแนนเต็ม]])*tbl_task8[[%]:[%]])</f>
        <v/>
      </c>
      <c r="FT13" s="121" t="str">
        <f>IF(ISBLANK(tbl_task8[[คะแนนเต็ม]:[คะแนนเต็ม]]),"",(tbl_task8[6]/tbl_task8[[คะแนนเต็ม]:[คะแนนเต็ม]])*tbl_task8[[%]:[%]])</f>
        <v/>
      </c>
      <c r="FU13" s="121" t="str">
        <f>IF(ISBLANK(tbl_task8[[คะแนนเต็ม]:[คะแนนเต็ม]]),"",(tbl_task8[7]/tbl_task8[[คะแนนเต็ม]:[คะแนนเต็ม]])*tbl_task8[[%]:[%]])</f>
        <v/>
      </c>
      <c r="FV13" s="121" t="str">
        <f>IF(ISBLANK(tbl_task8[[คะแนนเต็ม]:[คะแนนเต็ม]]),"",(tbl_task8[8]/tbl_task8[[คะแนนเต็ม]:[คะแนนเต็ม]])*tbl_task8[[%]:[%]])</f>
        <v/>
      </c>
      <c r="FW13" s="121" t="str">
        <f>IF(ISBLANK(tbl_task8[[คะแนนเต็ม]:[คะแนนเต็ม]]),"",(tbl_task8[9]/tbl_task8[[คะแนนเต็ม]:[คะแนนเต็ม]])*tbl_task8[[%]:[%]])</f>
        <v/>
      </c>
      <c r="FX13" s="121" t="str">
        <f>IF(ISBLANK(tbl_task8[[คะแนนเต็ม]:[คะแนนเต็ม]]),"",(tbl_task8[10]/tbl_task8[[คะแนนเต็ม]:[คะแนนเต็ม]])*tbl_task8[[%]:[%]])</f>
        <v/>
      </c>
      <c r="FY13" s="121" t="str">
        <f>IF(ISBLANK(tbl_task8[[คะแนนเต็ม]:[คะแนนเต็ม]]),"",(tbl_task8[11]/tbl_task8[[คะแนนเต็ม]:[คะแนนเต็ม]])*tbl_task8[[%]:[%]])</f>
        <v/>
      </c>
      <c r="FZ13" s="121" t="str">
        <f>IF(ISBLANK(tbl_task8[[คะแนนเต็ม]:[คะแนนเต็ม]]),"",(tbl_task8[12]/tbl_task8[[คะแนนเต็ม]:[คะแนนเต็ม]])*tbl_task8[[%]:[%]])</f>
        <v/>
      </c>
      <c r="GA13" s="121" t="str">
        <f>IF(ISBLANK(tbl_task8[[คะแนนเต็ม]:[คะแนนเต็ม]]),"",(tbl_task8[13]/tbl_task8[[คะแนนเต็ม]:[คะแนนเต็ม]])*tbl_task8[[%]:[%]])</f>
        <v/>
      </c>
      <c r="GB13" s="121" t="str">
        <f>IF(ISBLANK(tbl_task8[[คะแนนเต็ม]:[คะแนนเต็ม]]),"",(tbl_task8[14]/tbl_task8[[คะแนนเต็ม]:[คะแนนเต็ม]])*tbl_task8[[%]:[%]])</f>
        <v/>
      </c>
      <c r="GC13" s="121" t="str">
        <f>IF(ISBLANK(tbl_task8[[คะแนนเต็ม]:[คะแนนเต็ม]]),"",(tbl_task8[15]/tbl_task8[[คะแนนเต็ม]:[คะแนนเต็ม]])*tbl_task8[[%]:[%]])</f>
        <v/>
      </c>
      <c r="GD13" s="121" t="str">
        <f>IF(ISBLANK(tbl_task8[[คะแนนเต็ม]:[คะแนนเต็ม]]),"",(tbl_task8[16]/tbl_task8[[คะแนนเต็ม]:[คะแนนเต็ม]])*tbl_task8[[%]:[%]])</f>
        <v/>
      </c>
      <c r="GE13" s="121" t="str">
        <f>IF(ISBLANK(tbl_task8[[คะแนนเต็ม]:[คะแนนเต็ม]]),"",(tbl_task8[17]/tbl_task8[[คะแนนเต็ม]:[คะแนนเต็ม]])*tbl_task8[[%]:[%]])</f>
        <v/>
      </c>
      <c r="GF13" s="121" t="str">
        <f>IF(ISBLANK(tbl_task8[[คะแนนเต็ม]:[คะแนนเต็ม]]),"",(tbl_task8[18]/tbl_task8[[คะแนนเต็ม]:[คะแนนเต็ม]])*tbl_task8[[%]:[%]])</f>
        <v/>
      </c>
      <c r="GG13" s="121" t="str">
        <f>IF(ISBLANK(tbl_task8[[คะแนนเต็ม]:[คะแนนเต็ม]]),"",(tbl_task8[19]/tbl_task8[[คะแนนเต็ม]:[คะแนนเต็ม]])*tbl_task8[[%]:[%]])</f>
        <v/>
      </c>
      <c r="GH13" s="121" t="str">
        <f>IF(ISBLANK(tbl_task8[[คะแนนเต็ม]:[คะแนนเต็ม]]),"",(tbl_task8[20]/tbl_task8[[คะแนนเต็ม]:[คะแนนเต็ม]])*tbl_task8[[%]:[%]])</f>
        <v/>
      </c>
      <c r="GI13" s="121" t="str">
        <f>IF(ISBLANK(tbl_task8[[คะแนนเต็ม]:[คะแนนเต็ม]]),"",(tbl_task8[21]/tbl_task8[[คะแนนเต็ม]:[คะแนนเต็ม]])*tbl_task8[[%]:[%]])</f>
        <v/>
      </c>
      <c r="GJ13" s="121" t="str">
        <f>IF(ISBLANK(tbl_task8[[คะแนนเต็ม]:[คะแนนเต็ม]]),"",(tbl_task8[22]/tbl_task8[[คะแนนเต็ม]:[คะแนนเต็ม]])*tbl_task8[[%]:[%]])</f>
        <v/>
      </c>
      <c r="GK13" s="121" t="str">
        <f>IF(ISBLANK(tbl_task8[[คะแนนเต็ม]:[คะแนนเต็ม]]),"",(tbl_task8[23]/tbl_task8[[คะแนนเต็ม]:[คะแนนเต็ม]])*tbl_task8[[%]:[%]])</f>
        <v/>
      </c>
      <c r="GL13" s="121" t="str">
        <f>IF(ISBLANK(tbl_task8[[คะแนนเต็ม]:[คะแนนเต็ม]]),"",(tbl_task8[24]/tbl_task8[[คะแนนเต็ม]:[คะแนนเต็ม]])*tbl_task8[[%]:[%]])</f>
        <v/>
      </c>
      <c r="GM13" s="121" t="str">
        <f>IF(ISBLANK(tbl_task8[[คะแนนเต็ม]:[คะแนนเต็ม]]),"",(tbl_task8[25]/tbl_task8[[คะแนนเต็ม]:[คะแนนเต็ม]])*tbl_task8[[%]:[%]])</f>
        <v/>
      </c>
      <c r="GN13" s="121" t="str">
        <f>IF(ISBLANK(tbl_task8[[คะแนนเต็ม]:[คะแนนเต็ม]]),"",(tbl_task8[26]/tbl_task8[[คะแนนเต็ม]:[คะแนนเต็ม]])*tbl_task8[[%]:[%]])</f>
        <v/>
      </c>
      <c r="GO13" s="121" t="str">
        <f>IF(ISBLANK(tbl_task8[[คะแนนเต็ม]:[คะแนนเต็ม]]),"",(tbl_task8[27]/tbl_task8[[คะแนนเต็ม]:[คะแนนเต็ม]])*tbl_task8[[%]:[%]])</f>
        <v/>
      </c>
      <c r="GP13" s="121" t="str">
        <f>IF(ISBLANK(tbl_task8[[คะแนนเต็ม]:[คะแนนเต็ม]]),"",(tbl_task8[28]/tbl_task8[[คะแนนเต็ม]:[คะแนนเต็ม]])*tbl_task8[[%]:[%]])</f>
        <v/>
      </c>
      <c r="GQ13" s="121" t="str">
        <f>IF(ISBLANK(tbl_task8[[คะแนนเต็ม]:[คะแนนเต็ม]]),"",(tbl_task8[29]/tbl_task8[[คะแนนเต็ม]:[คะแนนเต็ม]])*tbl_task8[[%]:[%]])</f>
        <v/>
      </c>
      <c r="GR13" s="121" t="str">
        <f>IF(ISBLANK(tbl_task8[[คะแนนเต็ม]:[คะแนนเต็ม]]),"",(tbl_task8[30]/tbl_task8[[คะแนนเต็ม]:[คะแนนเต็ม]])*tbl_task8[[%]:[%]])</f>
        <v/>
      </c>
      <c r="GS13" s="121" t="str">
        <f>IF(ISBLANK(tbl_task8[[คะแนนเต็ม]:[คะแนนเต็ม]]),"",(tbl_task8[31]/tbl_task8[[คะแนนเต็ม]:[คะแนนเต็ม]])*tbl_task8[[%]:[%]])</f>
        <v/>
      </c>
      <c r="GT13" s="121" t="str">
        <f>IF(ISBLANK(tbl_task8[[คะแนนเต็ม]:[คะแนนเต็ม]]),"",(tbl_task8[32]/tbl_task8[[คะแนนเต็ม]:[คะแนนเต็ม]])*tbl_task8[[%]:[%]])</f>
        <v/>
      </c>
      <c r="GU13" s="121" t="str">
        <f>IF(ISBLANK(tbl_task8[[คะแนนเต็ม]:[คะแนนเต็ม]]),"",(tbl_task8[33]/tbl_task8[[คะแนนเต็ม]:[คะแนนเต็ม]])*tbl_task8[[%]:[%]])</f>
        <v/>
      </c>
      <c r="GV13" s="121" t="str">
        <f>IF(ISBLANK(tbl_task8[[คะแนนเต็ม]:[คะแนนเต็ม]]),"",(tbl_task8[34]/tbl_task8[[คะแนนเต็ม]:[คะแนนเต็ม]])*tbl_task8[[%]:[%]])</f>
        <v/>
      </c>
      <c r="GW13" s="121" t="str">
        <f>IF(ISBLANK(tbl_task8[[คะแนนเต็ม]:[คะแนนเต็ม]]),"",(tbl_task8[35]/tbl_task8[[คะแนนเต็ม]:[คะแนนเต็ม]])*tbl_task8[[%]:[%]])</f>
        <v/>
      </c>
      <c r="GX13" s="121" t="str">
        <f>IF(ISBLANK(tbl_task8[[คะแนนเต็ม]:[คะแนนเต็ม]]),"",(tbl_task8[36]/tbl_task8[[คะแนนเต็ม]:[คะแนนเต็ม]])*tbl_task8[[%]:[%]])</f>
        <v/>
      </c>
      <c r="GY13" s="121" t="str">
        <f>IF(ISBLANK(tbl_task8[[คะแนนเต็ม]:[คะแนนเต็ม]]),"",(tbl_task8[37]/tbl_task8[[คะแนนเต็ม]:[คะแนนเต็ม]])*tbl_task8[[%]:[%]])</f>
        <v/>
      </c>
      <c r="GZ13" s="121" t="str">
        <f>IF(ISBLANK(tbl_task8[[คะแนนเต็ม]:[คะแนนเต็ม]]),"",(tbl_task8[38]/tbl_task8[[คะแนนเต็ม]:[คะแนนเต็ม]])*tbl_task8[[%]:[%]])</f>
        <v/>
      </c>
      <c r="HA13" s="121" t="str">
        <f>IF(ISBLANK(tbl_task8[[คะแนนเต็ม]:[คะแนนเต็ม]]),"",(tbl_task8[39]/tbl_task8[[คะแนนเต็ม]:[คะแนนเต็ม]])*tbl_task8[[%]:[%]])</f>
        <v/>
      </c>
      <c r="HB13" s="121" t="str">
        <f>IF(ISBLANK(tbl_task8[[คะแนนเต็ม]:[คะแนนเต็ม]]),"",(tbl_task8[40]/tbl_task8[[คะแนนเต็ม]:[คะแนนเต็ม]])*tbl_task8[[%]:[%]])</f>
        <v/>
      </c>
      <c r="HC13" s="121" t="str">
        <f>IF(ISBLANK(tbl_task8[[คะแนนเต็ม]:[คะแนนเต็ม]]),"",(tbl_task8[41]/tbl_task8[[คะแนนเต็ม]:[คะแนนเต็ม]])*tbl_task8[[%]:[%]])</f>
        <v/>
      </c>
      <c r="HD13" s="121" t="str">
        <f>IF(ISBLANK(tbl_task8[[คะแนนเต็ม]:[คะแนนเต็ม]]),"",(tbl_task8[42]/tbl_task8[[คะแนนเต็ม]:[คะแนนเต็ม]])*tbl_task8[[%]:[%]])</f>
        <v/>
      </c>
      <c r="HE13" s="121" t="str">
        <f>IF(ISBLANK(tbl_task8[[คะแนนเต็ม]:[คะแนนเต็ม]]),"",(tbl_task8[43]/tbl_task8[[คะแนนเต็ม]:[คะแนนเต็ม]])*tbl_task8[[%]:[%]])</f>
        <v/>
      </c>
      <c r="HF13" s="121" t="str">
        <f>IF(ISBLANK(tbl_task8[[คะแนนเต็ม]:[คะแนนเต็ม]]),"",(tbl_task8[44]/tbl_task8[[คะแนนเต็ม]:[คะแนนเต็ม]])*tbl_task8[[%]:[%]])</f>
        <v/>
      </c>
      <c r="HG13" s="121" t="str">
        <f>IF(ISBLANK(tbl_task8[[คะแนนเต็ม]:[คะแนนเต็ม]]),"",(tbl_task8[45]/tbl_task8[[คะแนนเต็ม]:[คะแนนเต็ม]])*tbl_task8[[%]:[%]])</f>
        <v/>
      </c>
      <c r="HH13" s="121" t="str">
        <f>IF(ISBLANK(tbl_task8[[คะแนนเต็ม]:[คะแนนเต็ม]]),"",(tbl_task8[46]/tbl_task8[[คะแนนเต็ม]:[คะแนนเต็ม]])*tbl_task8[[%]:[%]])</f>
        <v/>
      </c>
      <c r="HI13" s="121" t="str">
        <f>IF(ISBLANK(tbl_task8[[คะแนนเต็ม]:[คะแนนเต็ม]]),"",(tbl_task8[47]/tbl_task8[[คะแนนเต็ม]:[คะแนนเต็ม]])*tbl_task8[[%]:[%]])</f>
        <v/>
      </c>
      <c r="HJ13" s="121" t="str">
        <f>IF(ISBLANK(tbl_task8[[คะแนนเต็ม]:[คะแนนเต็ม]]),"",(tbl_task8[48]/tbl_task8[[คะแนนเต็ม]:[คะแนนเต็ม]])*tbl_task8[[%]:[%]])</f>
        <v/>
      </c>
      <c r="HK13" s="121" t="str">
        <f>IF(ISBLANK(tbl_task8[[คะแนนเต็ม]:[คะแนนเต็ม]]),"",(tbl_task8[49]/tbl_task8[[คะแนนเต็ม]:[คะแนนเต็ม]])*tbl_task8[[%]:[%]])</f>
        <v/>
      </c>
      <c r="HL13" s="121" t="str">
        <f>IF(ISBLANK(tbl_task8[[คะแนนเต็ม]:[คะแนนเต็ม]]),"",(tbl_task8[50]/tbl_task8[[คะแนนเต็ม]:[คะแนนเต็ม]])*tbl_task8[[%]:[%]])</f>
        <v/>
      </c>
      <c r="HM13" s="121" t="str">
        <f>IF(ISBLANK(tbl_task8[[คะแนนเต็ม]:[คะแนนเต็ม]]),"",(tbl_task8[51]/tbl_task8[[คะแนนเต็ม]:[คะแนนเต็ม]])*tbl_task8[[%]:[%]])</f>
        <v/>
      </c>
      <c r="HN13" s="121" t="str">
        <f>IF(ISBLANK(tbl_task8[[คะแนนเต็ม]:[คะแนนเต็ม]]),"",(tbl_task8[52]/tbl_task8[[คะแนนเต็ม]:[คะแนนเต็ม]])*tbl_task8[[%]:[%]])</f>
        <v/>
      </c>
      <c r="HO13" s="121" t="str">
        <f>IF(ISBLANK(tbl_task8[[คะแนนเต็ม]:[คะแนนเต็ม]]),"",(tbl_task8[53]/tbl_task8[[คะแนนเต็ม]:[คะแนนเต็ม]])*tbl_task8[[%]:[%]])</f>
        <v/>
      </c>
      <c r="HP13" s="121" t="str">
        <f>IF(ISBLANK(tbl_task8[[คะแนนเต็ม]:[คะแนนเต็ม]]),"",(tbl_task8[54]/tbl_task8[[คะแนนเต็ม]:[คะแนนเต็ม]])*tbl_task8[[%]:[%]])</f>
        <v/>
      </c>
      <c r="HQ13" s="121" t="str">
        <f>IF(ISBLANK(tbl_task8[[คะแนนเต็ม]:[คะแนนเต็ม]]),"",(tbl_task8[55]/tbl_task8[[คะแนนเต็ม]:[คะแนนเต็ม]])*tbl_task8[[%]:[%]])</f>
        <v/>
      </c>
      <c r="HR13" s="121" t="str">
        <f>IF(ISBLANK(tbl_task8[[คะแนนเต็ม]:[คะแนนเต็ม]]),"",(tbl_task8[56]/tbl_task8[[คะแนนเต็ม]:[คะแนนเต็ม]])*tbl_task8[[%]:[%]])</f>
        <v/>
      </c>
      <c r="HS13" s="121" t="str">
        <f>IF(ISBLANK(tbl_task8[[คะแนนเต็ม]:[คะแนนเต็ม]]),"",(tbl_task8[57]/tbl_task8[[คะแนนเต็ม]:[คะแนนเต็ม]])*tbl_task8[[%]:[%]])</f>
        <v/>
      </c>
      <c r="HT13" s="121" t="str">
        <f>IF(ISBLANK(tbl_task8[[คะแนนเต็ม]:[คะแนนเต็ม]]),"",(tbl_task8[58]/tbl_task8[[คะแนนเต็ม]:[คะแนนเต็ม]])*tbl_task8[[%]:[%]])</f>
        <v/>
      </c>
      <c r="HU13" s="121" t="str">
        <f>IF(ISBLANK(tbl_task8[[คะแนนเต็ม]:[คะแนนเต็ม]]),"",(tbl_task8[59]/tbl_task8[[คะแนนเต็ม]:[คะแนนเต็ม]])*tbl_task8[[%]:[%]])</f>
        <v/>
      </c>
      <c r="HV13" s="121" t="str">
        <f>IF(ISBLANK(tbl_task8[[คะแนนเต็ม]:[คะแนนเต็ม]]),"",(tbl_task8[60]/tbl_task8[[คะแนนเต็ม]:[คะแนนเต็ม]])*tbl_task8[[%]:[%]])</f>
        <v/>
      </c>
      <c r="HW13" s="121" t="str">
        <f>IF(ISBLANK(tbl_task8[[คะแนนเต็ม]:[คะแนนเต็ม]]),"",(tbl_task8[61]/tbl_task8[[คะแนนเต็ม]:[คะแนนเต็ม]])*tbl_task8[[%]:[%]])</f>
        <v/>
      </c>
      <c r="HX13" s="121" t="str">
        <f>IF(ISBLANK(tbl_task8[[คะแนนเต็ม]:[คะแนนเต็ม]]),"",(tbl_task8[62]/tbl_task8[[คะแนนเต็ม]:[คะแนนเต็ม]])*tbl_task8[[%]:[%]])</f>
        <v/>
      </c>
      <c r="HY13" s="121" t="str">
        <f>IF(ISBLANK(tbl_task8[[คะแนนเต็ม]:[คะแนนเต็ม]]),"",(tbl_task8[63]/tbl_task8[[คะแนนเต็ม]:[คะแนนเต็ม]])*tbl_task8[[%]:[%]])</f>
        <v/>
      </c>
      <c r="HZ13" s="121" t="str">
        <f>IF(ISBLANK(tbl_task8[[คะแนนเต็ม]:[คะแนนเต็ม]]),"",(tbl_task8[64]/tbl_task8[[คะแนนเต็ม]:[คะแนนเต็ม]])*tbl_task8[[%]:[%]])</f>
        <v/>
      </c>
      <c r="IA13" s="121" t="str">
        <f>IF(ISBLANK(tbl_task8[[คะแนนเต็ม]:[คะแนนเต็ม]]),"",(tbl_task8[65]/tbl_task8[[คะแนนเต็ม]:[คะแนนเต็ม]])*tbl_task8[[%]:[%]])</f>
        <v/>
      </c>
      <c r="IB13" s="121" t="str">
        <f>IF(ISBLANK(tbl_task8[[คะแนนเต็ม]:[คะแนนเต็ม]]),"",(tbl_task8[66]/tbl_task8[[คะแนนเต็ม]:[คะแนนเต็ม]])*tbl_task8[[%]:[%]])</f>
        <v/>
      </c>
      <c r="IC13" s="121" t="str">
        <f>IF(ISBLANK(tbl_task8[[คะแนนเต็ม]:[คะแนนเต็ม]]),"",(tbl_task8[67]/tbl_task8[[คะแนนเต็ม]:[คะแนนเต็ม]])*tbl_task8[[%]:[%]])</f>
        <v/>
      </c>
      <c r="ID13" s="121" t="str">
        <f>IF(ISBLANK(tbl_task8[[คะแนนเต็ม]:[คะแนนเต็ม]]),"",(tbl_task8[68]/tbl_task8[[คะแนนเต็ม]:[คะแนนเต็ม]])*tbl_task8[[%]:[%]])</f>
        <v/>
      </c>
      <c r="IE13" s="121" t="str">
        <f>IF(ISBLANK(tbl_task8[[คะแนนเต็ม]:[คะแนนเต็ม]]),"",(tbl_task8[69]/tbl_task8[[คะแนนเต็ม]:[คะแนนเต็ม]])*tbl_task8[[%]:[%]])</f>
        <v/>
      </c>
      <c r="IF13" s="121" t="str">
        <f>IF(ISBLANK(tbl_task8[[คะแนนเต็ม]:[คะแนนเต็ม]]),"",(tbl_task8[70]/tbl_task8[[คะแนนเต็ม]:[คะแนนเต็ม]])*tbl_task8[[%]:[%]])</f>
        <v/>
      </c>
      <c r="IG13" s="121" t="str">
        <f>IF(ISBLANK(tbl_task8[[คะแนนเต็ม]:[คะแนนเต็ม]]),"",(tbl_task8[71]/tbl_task8[[คะแนนเต็ม]:[คะแนนเต็ม]])*tbl_task8[[%]:[%]])</f>
        <v/>
      </c>
      <c r="IH13" s="121" t="str">
        <f>IF(ISBLANK(tbl_task8[[คะแนนเต็ม]:[คะแนนเต็ม]]),"",(tbl_task8[72]/tbl_task8[[คะแนนเต็ม]:[คะแนนเต็ม]])*tbl_task8[[%]:[%]])</f>
        <v/>
      </c>
      <c r="II13" s="121" t="str">
        <f>IF(ISBLANK(tbl_task8[[คะแนนเต็ม]:[คะแนนเต็ม]]),"",(tbl_task8[73]/tbl_task8[[คะแนนเต็ม]:[คะแนนเต็ม]])*tbl_task8[[%]:[%]])</f>
        <v/>
      </c>
      <c r="IJ13" s="121" t="str">
        <f>IF(ISBLANK(tbl_task8[[คะแนนเต็ม]:[คะแนนเต็ม]]),"",(tbl_task8[74]/tbl_task8[[คะแนนเต็ม]:[คะแนนเต็ม]])*tbl_task8[[%]:[%]])</f>
        <v/>
      </c>
      <c r="IK13" s="121" t="str">
        <f>IF(ISBLANK(tbl_task8[[คะแนนเต็ม]:[คะแนนเต็ม]]),"",(tbl_task8[75]/tbl_task8[[คะแนนเต็ม]:[คะแนนเต็ม]])*tbl_task8[[%]:[%]])</f>
        <v/>
      </c>
      <c r="IL13" s="121" t="str">
        <f>IF(ISBLANK(tbl_task8[[คะแนนเต็ม]:[คะแนนเต็ม]]),"",(tbl_task8[76]/tbl_task8[[คะแนนเต็ม]:[คะแนนเต็ม]])*tbl_task8[[%]:[%]])</f>
        <v/>
      </c>
      <c r="IM13" s="121" t="str">
        <f>IF(ISBLANK(tbl_task8[[คะแนนเต็ม]:[คะแนนเต็ม]]),"",(tbl_task8[77]/tbl_task8[[คะแนนเต็ม]:[คะแนนเต็ม]])*tbl_task8[[%]:[%]])</f>
        <v/>
      </c>
      <c r="IN13" s="121" t="str">
        <f>IF(ISBLANK(tbl_task8[[คะแนนเต็ม]:[คะแนนเต็ม]]),"",(tbl_task8[78]/tbl_task8[[คะแนนเต็ม]:[คะแนนเต็ม]])*tbl_task8[[%]:[%]])</f>
        <v/>
      </c>
      <c r="IO13" s="121" t="str">
        <f>IF(ISBLANK(tbl_task8[[คะแนนเต็ม]:[คะแนนเต็ม]]),"",(tbl_task8[79]/tbl_task8[[คะแนนเต็ม]:[คะแนนเต็ม]])*tbl_task8[[%]:[%]])</f>
        <v/>
      </c>
      <c r="IP13" s="121" t="str">
        <f>IF(ISBLANK(tbl_task8[[คะแนนเต็ม]:[คะแนนเต็ม]]),"",(tbl_task8[80]/tbl_task8[[คะแนนเต็ม]:[คะแนนเต็ม]])*tbl_task8[[%]:[%]])</f>
        <v/>
      </c>
      <c r="IQ13" s="121" t="str">
        <f>IF(ISBLANK(tbl_task8[[คะแนนเต็ม]:[คะแนนเต็ม]]),"",(tbl_task8[81]/tbl_task8[[คะแนนเต็ม]:[คะแนนเต็ม]])*tbl_task8[[%]:[%]])</f>
        <v/>
      </c>
      <c r="IR13" s="121" t="str">
        <f>IF(ISBLANK(tbl_task8[[คะแนนเต็ม]:[คะแนนเต็ม]]),"",(tbl_task8[82]/tbl_task8[[คะแนนเต็ม]:[คะแนนเต็ม]])*tbl_task8[[%]:[%]])</f>
        <v/>
      </c>
      <c r="IS13" s="121" t="str">
        <f>IF(ISBLANK(tbl_task8[[คะแนนเต็ม]:[คะแนนเต็ม]]),"",(tbl_task8[83]/tbl_task8[[คะแนนเต็ม]:[คะแนนเต็ม]])*tbl_task8[[%]:[%]])</f>
        <v/>
      </c>
      <c r="IT13" s="121" t="str">
        <f>IF(ISBLANK(tbl_task8[[คะแนนเต็ม]:[คะแนนเต็ม]]),"",(tbl_task8[84]/tbl_task8[[คะแนนเต็ม]:[คะแนนเต็ม]])*tbl_task8[[%]:[%]])</f>
        <v/>
      </c>
      <c r="IU13" s="121" t="str">
        <f>IF(ISBLANK(tbl_task8[[คะแนนเต็ม]:[คะแนนเต็ม]]),"",(tbl_task8[85]/tbl_task8[[คะแนนเต็ม]:[คะแนนเต็ม]])*tbl_task8[[%]:[%]])</f>
        <v/>
      </c>
      <c r="IV13" s="121" t="str">
        <f>IF(ISBLANK(tbl_task8[[คะแนนเต็ม]:[คะแนนเต็ม]]),"",(tbl_task8[86]/tbl_task8[[คะแนนเต็ม]:[คะแนนเต็ม]])*tbl_task8[[%]:[%]])</f>
        <v/>
      </c>
      <c r="IW13" s="121" t="str">
        <f>IF(ISBLANK(tbl_task8[[คะแนนเต็ม]:[คะแนนเต็ม]]),"",(tbl_task8[87]/tbl_task8[[คะแนนเต็ม]:[คะแนนเต็ม]])*tbl_task8[[%]:[%]])</f>
        <v/>
      </c>
      <c r="IX13" s="121" t="str">
        <f>IF(ISBLANK(tbl_task8[[คะแนนเต็ม]:[คะแนนเต็ม]]),"",(tbl_task8[88]/tbl_task8[[คะแนนเต็ม]:[คะแนนเต็ม]])*tbl_task8[[%]:[%]])</f>
        <v/>
      </c>
      <c r="IY13" s="121" t="str">
        <f>IF(ISBLANK(tbl_task8[[คะแนนเต็ม]:[คะแนนเต็ม]]),"",(tbl_task8[89]/tbl_task8[[คะแนนเต็ม]:[คะแนนเต็ม]])*tbl_task8[[%]:[%]])</f>
        <v/>
      </c>
      <c r="IZ13" s="121" t="str">
        <f>IF(ISBLANK(tbl_task8[[คะแนนเต็ม]:[คะแนนเต็ม]]),"",(tbl_task8[90]/tbl_task8[[คะแนนเต็ม]:[คะแนนเต็ม]])*tbl_task8[[%]:[%]])</f>
        <v/>
      </c>
      <c r="JA13" s="121" t="str">
        <f>IF(ISBLANK(tbl_task8[[คะแนนเต็ม]:[คะแนนเต็ม]]),"",(tbl_task8[91]/tbl_task8[[คะแนนเต็ม]:[คะแนนเต็ม]])*tbl_task8[[%]:[%]])</f>
        <v/>
      </c>
      <c r="JB13" s="121" t="str">
        <f>IF(ISBLANK(tbl_task8[[คะแนนเต็ม]:[คะแนนเต็ม]]),"",(tbl_task8[92]/tbl_task8[[คะแนนเต็ม]:[คะแนนเต็ม]])*tbl_task8[[%]:[%]])</f>
        <v/>
      </c>
      <c r="JC13" s="121" t="str">
        <f>IF(ISBLANK(tbl_task8[[คะแนนเต็ม]:[คะแนนเต็ม]]),"",(tbl_task8[93]/tbl_task8[[คะแนนเต็ม]:[คะแนนเต็ม]])*tbl_task8[[%]:[%]])</f>
        <v/>
      </c>
      <c r="JD13" s="121" t="str">
        <f>IF(ISBLANK(tbl_task8[[คะแนนเต็ม]:[คะแนนเต็ม]]),"",(tbl_task8[94]/tbl_task8[[คะแนนเต็ม]:[คะแนนเต็ม]])*tbl_task8[[%]:[%]])</f>
        <v/>
      </c>
      <c r="JE13" s="121" t="str">
        <f>IF(ISBLANK(tbl_task8[[คะแนนเต็ม]:[คะแนนเต็ม]]),"",(tbl_task8[95]/tbl_task8[[คะแนนเต็ม]:[คะแนนเต็ม]])*tbl_task8[[%]:[%]])</f>
        <v/>
      </c>
      <c r="JF13" s="121" t="str">
        <f>IF(ISBLANK(tbl_task8[[คะแนนเต็ม]:[คะแนนเต็ม]]),"",(tbl_task8[96]/tbl_task8[[คะแนนเต็ม]:[คะแนนเต็ม]])*tbl_task8[[%]:[%]])</f>
        <v/>
      </c>
      <c r="JG13" s="121" t="str">
        <f>IF(ISBLANK(tbl_task8[[คะแนนเต็ม]:[คะแนนเต็ม]]),"",(tbl_task8[97]/tbl_task8[[คะแนนเต็ม]:[คะแนนเต็ม]])*tbl_task8[[%]:[%]])</f>
        <v/>
      </c>
      <c r="JH13" s="121" t="str">
        <f>IF(ISBLANK(tbl_task8[[คะแนนเต็ม]:[คะแนนเต็ม]]),"",(tbl_task8[98]/tbl_task8[[คะแนนเต็ม]:[คะแนนเต็ม]])*tbl_task8[[%]:[%]])</f>
        <v/>
      </c>
      <c r="JI13" s="121" t="str">
        <f>IF(ISBLANK(tbl_task8[[คะแนนเต็ม]:[คะแนนเต็ม]]),"",(tbl_task8[99]/tbl_task8[[คะแนนเต็ม]:[คะแนนเต็ม]])*tbl_task8[[%]:[%]])</f>
        <v/>
      </c>
      <c r="JJ13" s="121" t="str">
        <f>IF(ISBLANK(tbl_task8[[คะแนนเต็ม]:[คะแนนเต็ม]]),"",(tbl_task8[100]/tbl_task8[[คะแนนเต็ม]:[คะแนนเต็ม]])*tbl_task8[[%]:[%]])</f>
        <v/>
      </c>
      <c r="JK13" s="121" t="str">
        <f>IF(ISBLANK(tbl_task8[[คะแนนเต็ม]:[คะแนนเต็ม]]),"",(tbl_task8[101]/tbl_task8[[คะแนนเต็ม]:[คะแนนเต็ม]])*tbl_task8[[%]:[%]])</f>
        <v/>
      </c>
      <c r="JL13" s="121" t="str">
        <f>IF(ISBLANK(tbl_task8[[คะแนนเต็ม]:[คะแนนเต็ม]]),"",(tbl_task8[102]/tbl_task8[[คะแนนเต็ม]:[คะแนนเต็ม]])*tbl_task8[[%]:[%]])</f>
        <v/>
      </c>
      <c r="JM13" s="121" t="str">
        <f>IF(ISBLANK(tbl_task8[[คะแนนเต็ม]:[คะแนนเต็ม]]),"",(tbl_task8[103]/tbl_task8[[คะแนนเต็ม]:[คะแนนเต็ม]])*tbl_task8[[%]:[%]])</f>
        <v/>
      </c>
      <c r="JN13" s="121" t="str">
        <f>IF(ISBLANK(tbl_task8[[คะแนนเต็ม]:[คะแนนเต็ม]]),"",(tbl_task8[104]/tbl_task8[[คะแนนเต็ม]:[คะแนนเต็ม]])*tbl_task8[[%]:[%]])</f>
        <v/>
      </c>
      <c r="JO13" s="121" t="str">
        <f>IF(ISBLANK(tbl_task8[[คะแนนเต็ม]:[คะแนนเต็ม]]),"",(tbl_task8[105]/tbl_task8[[คะแนนเต็ม]:[คะแนนเต็ม]])*tbl_task8[[%]:[%]])</f>
        <v/>
      </c>
      <c r="JP13" s="121" t="str">
        <f>IF(ISBLANK(tbl_task8[[คะแนนเต็ม]:[คะแนนเต็ม]]),"",(tbl_task8[106]/tbl_task8[[คะแนนเต็ม]:[คะแนนเต็ม]])*tbl_task8[[%]:[%]])</f>
        <v/>
      </c>
      <c r="JQ13" s="121" t="str">
        <f>IF(ISBLANK(tbl_task8[[คะแนนเต็ม]:[คะแนนเต็ม]]),"",(tbl_task8[107]/tbl_task8[[คะแนนเต็ม]:[คะแนนเต็ม]])*tbl_task8[[%]:[%]])</f>
        <v/>
      </c>
      <c r="JR13" s="121" t="str">
        <f>IF(ISBLANK(tbl_task8[[คะแนนเต็ม]:[คะแนนเต็ม]]),"",(tbl_task8[108]/tbl_task8[[คะแนนเต็ม]:[คะแนนเต็ม]])*tbl_task8[[%]:[%]])</f>
        <v/>
      </c>
      <c r="JS13" s="121" t="str">
        <f>IF(ISBLANK(tbl_task8[[คะแนนเต็ม]:[คะแนนเต็ม]]),"",(tbl_task8[109]/tbl_task8[[คะแนนเต็ม]:[คะแนนเต็ม]])*tbl_task8[[%]:[%]])</f>
        <v/>
      </c>
      <c r="JT13" s="121" t="str">
        <f>IF(ISBLANK(tbl_task8[[คะแนนเต็ม]:[คะแนนเต็ม]]),"",(tbl_task8[110]/tbl_task8[[คะแนนเต็ม]:[คะแนนเต็ม]])*tbl_task8[[%]:[%]])</f>
        <v/>
      </c>
      <c r="JU13" s="121" t="str">
        <f>IF(ISBLANK(tbl_task8[[คะแนนเต็ม]:[คะแนนเต็ม]]),"",(tbl_task8[111]/tbl_task8[[คะแนนเต็ม]:[คะแนนเต็ม]])*tbl_task8[[%]:[%]])</f>
        <v/>
      </c>
      <c r="JV13" s="121" t="str">
        <f>IF(ISBLANK(tbl_task8[[คะแนนเต็ม]:[คะแนนเต็ม]]),"",(tbl_task8[112]/tbl_task8[[คะแนนเต็ม]:[คะแนนเต็ม]])*tbl_task8[[%]:[%]])</f>
        <v/>
      </c>
      <c r="JW13" s="121" t="str">
        <f>IF(ISBLANK(tbl_task8[[คะแนนเต็ม]:[คะแนนเต็ม]]),"",(tbl_task8[113]/tbl_task8[[คะแนนเต็ม]:[คะแนนเต็ม]])*tbl_task8[[%]:[%]])</f>
        <v/>
      </c>
      <c r="JX13" s="121" t="str">
        <f>IF(ISBLANK(tbl_task8[[คะแนนเต็ม]:[คะแนนเต็ม]]),"",(tbl_task8[114]/tbl_task8[[คะแนนเต็ม]:[คะแนนเต็ม]])*tbl_task8[[%]:[%]])</f>
        <v/>
      </c>
      <c r="JY13" s="121" t="str">
        <f>IF(ISBLANK(tbl_task8[[คะแนนเต็ม]:[คะแนนเต็ม]]),"",(tbl_task8[115]/tbl_task8[[คะแนนเต็ม]:[คะแนนเต็ม]])*tbl_task8[[%]:[%]])</f>
        <v/>
      </c>
      <c r="JZ13" s="121" t="str">
        <f>IF(ISBLANK(tbl_task8[[คะแนนเต็ม]:[คะแนนเต็ม]]),"",(tbl_task8[116]/tbl_task8[[คะแนนเต็ม]:[คะแนนเต็ม]])*tbl_task8[[%]:[%]])</f>
        <v/>
      </c>
      <c r="KA13" s="121" t="str">
        <f>IF(ISBLANK(tbl_task8[[คะแนนเต็ม]:[คะแนนเต็ม]]),"",(tbl_task8[117]/tbl_task8[[คะแนนเต็ม]:[คะแนนเต็ม]])*tbl_task8[[%]:[%]])</f>
        <v/>
      </c>
      <c r="KB13" s="121" t="str">
        <f>IF(ISBLANK(tbl_task8[[คะแนนเต็ม]:[คะแนนเต็ม]]),"",(tbl_task8[118]/tbl_task8[[คะแนนเต็ม]:[คะแนนเต็ม]])*tbl_task8[[%]:[%]])</f>
        <v/>
      </c>
      <c r="KC13" s="121" t="str">
        <f>IF(ISBLANK(tbl_task8[[คะแนนเต็ม]:[คะแนนเต็ม]]),"",(tbl_task8[119]/tbl_task8[[คะแนนเต็ม]:[คะแนนเต็ม]])*tbl_task8[[%]:[%]])</f>
        <v/>
      </c>
      <c r="KD13" s="121" t="str">
        <f>IF(ISBLANK(tbl_task8[[คะแนนเต็ม]:[คะแนนเต็ม]]),"",(tbl_task8[120]/tbl_task8[[คะแนนเต็ม]:[คะแนนเต็ม]])*tbl_task8[[%]:[%]])</f>
        <v/>
      </c>
      <c r="KE13" s="121" t="str">
        <f>IF(ISBLANK(tbl_task8[[คะแนนเต็ม]:[คะแนนเต็ม]]),"",(tbl_task8[121]/tbl_task8[[คะแนนเต็ม]:[คะแนนเต็ม]])*tbl_task8[[%]:[%]])</f>
        <v/>
      </c>
      <c r="KF13" s="121" t="str">
        <f>IF(ISBLANK(tbl_task8[[คะแนนเต็ม]:[คะแนนเต็ม]]),"",(tbl_task8[122]/tbl_task8[[คะแนนเต็ม]:[คะแนนเต็ม]])*tbl_task8[[%]:[%]])</f>
        <v/>
      </c>
      <c r="KG13" s="121" t="str">
        <f>IF(ISBLANK(tbl_task8[[คะแนนเต็ม]:[คะแนนเต็ม]]),"",(tbl_task8[123]/tbl_task8[[คะแนนเต็ม]:[คะแนนเต็ม]])*tbl_task8[[%]:[%]])</f>
        <v/>
      </c>
      <c r="KH13" s="121" t="str">
        <f>IF(ISBLANK(tbl_task8[[คะแนนเต็ม]:[คะแนนเต็ม]]),"",(tbl_task8[124]/tbl_task8[[คะแนนเต็ม]:[คะแนนเต็ม]])*tbl_task8[[%]:[%]])</f>
        <v/>
      </c>
      <c r="KI13" s="121" t="str">
        <f>IF(ISBLANK(tbl_task8[[คะแนนเต็ม]:[คะแนนเต็ม]]),"",(tbl_task8[125]/tbl_task8[[คะแนนเต็ม]:[คะแนนเต็ม]])*tbl_task8[[%]:[%]])</f>
        <v/>
      </c>
      <c r="KJ13" s="121" t="str">
        <f>IF(ISBLANK(tbl_task8[[คะแนนเต็ม]:[คะแนนเต็ม]]),"",(tbl_task8[126]/tbl_task8[[คะแนนเต็ม]:[คะแนนเต็ม]])*tbl_task8[[%]:[%]])</f>
        <v/>
      </c>
      <c r="KK13" s="121" t="str">
        <f>IF(ISBLANK(tbl_task8[[คะแนนเต็ม]:[คะแนนเต็ม]]),"",(tbl_task8[127]/tbl_task8[[คะแนนเต็ม]:[คะแนนเต็ม]])*tbl_task8[[%]:[%]])</f>
        <v/>
      </c>
      <c r="KL13" s="121" t="str">
        <f>IF(ISBLANK(tbl_task8[[คะแนนเต็ม]:[คะแนนเต็ม]]),"",(tbl_task8[128]/tbl_task8[[คะแนนเต็ม]:[คะแนนเต็ม]])*tbl_task8[[%]:[%]])</f>
        <v/>
      </c>
      <c r="KM13" s="121" t="str">
        <f>IF(ISBLANK(tbl_task8[[คะแนนเต็ม]:[คะแนนเต็ม]]),"",(tbl_task8[129]/tbl_task8[[คะแนนเต็ม]:[คะแนนเต็ม]])*tbl_task8[[%]:[%]])</f>
        <v/>
      </c>
      <c r="KN13" s="121" t="str">
        <f>IF(ISBLANK(tbl_task8[[คะแนนเต็ม]:[คะแนนเต็ม]]),"",(tbl_task8[130]/tbl_task8[[คะแนนเต็ม]:[คะแนนเต็ม]])*tbl_task8[[%]:[%]])</f>
        <v/>
      </c>
      <c r="KO13" s="121" t="str">
        <f>IF(ISBLANK(tbl_task8[[คะแนนเต็ม]:[คะแนนเต็ม]]),"",(tbl_task8[131]/tbl_task8[[คะแนนเต็ม]:[คะแนนเต็ม]])*tbl_task8[[%]:[%]])</f>
        <v/>
      </c>
      <c r="KP13" s="121" t="str">
        <f>IF(ISBLANK(tbl_task8[[คะแนนเต็ม]:[คะแนนเต็ม]]),"",(tbl_task8[132]/tbl_task8[[คะแนนเต็ม]:[คะแนนเต็ม]])*tbl_task8[[%]:[%]])</f>
        <v/>
      </c>
      <c r="KQ13" s="121" t="str">
        <f>IF(ISBLANK(tbl_task8[[คะแนนเต็ม]:[คะแนนเต็ม]]),"",(tbl_task8[133]/tbl_task8[[คะแนนเต็ม]:[คะแนนเต็ม]])*tbl_task8[[%]:[%]])</f>
        <v/>
      </c>
      <c r="KR13" s="121" t="str">
        <f>IF(ISBLANK(tbl_task8[[คะแนนเต็ม]:[คะแนนเต็ม]]),"",(tbl_task8[134]/tbl_task8[[คะแนนเต็ม]:[คะแนนเต็ม]])*tbl_task8[[%]:[%]])</f>
        <v/>
      </c>
      <c r="KS13" s="121" t="str">
        <f>IF(ISBLANK(tbl_task8[[คะแนนเต็ม]:[คะแนนเต็ม]]),"",(tbl_task8[135]/tbl_task8[[คะแนนเต็ม]:[คะแนนเต็ม]])*tbl_task8[[%]:[%]])</f>
        <v/>
      </c>
      <c r="KT13" s="121" t="str">
        <f>IF(ISBLANK(tbl_task8[[คะแนนเต็ม]:[คะแนนเต็ม]]),"",(tbl_task8[136]/tbl_task8[[คะแนนเต็ม]:[คะแนนเต็ม]])*tbl_task8[[%]:[%]])</f>
        <v/>
      </c>
      <c r="KU13" s="121" t="str">
        <f>IF(ISBLANK(tbl_task8[[คะแนนเต็ม]:[คะแนนเต็ม]]),"",(tbl_task8[137]/tbl_task8[[คะแนนเต็ม]:[คะแนนเต็ม]])*tbl_task8[[%]:[%]])</f>
        <v/>
      </c>
      <c r="KV13" s="121" t="str">
        <f>IF(ISBLANK(tbl_task8[[คะแนนเต็ม]:[คะแนนเต็ม]]),"",(tbl_task8[138]/tbl_task8[[คะแนนเต็ม]:[คะแนนเต็ม]])*tbl_task8[[%]:[%]])</f>
        <v/>
      </c>
      <c r="KW13" s="121" t="str">
        <f>IF(ISBLANK(tbl_task8[[คะแนนเต็ม]:[คะแนนเต็ม]]),"",(tbl_task8[139]/tbl_task8[[คะแนนเต็ม]:[คะแนนเต็ม]])*tbl_task8[[%]:[%]])</f>
        <v/>
      </c>
      <c r="KX13" s="121" t="str">
        <f>IF(ISBLANK(tbl_task8[[คะแนนเต็ม]:[คะแนนเต็ม]]),"",(tbl_task8[140]/tbl_task8[[คะแนนเต็ม]:[คะแนนเต็ม]])*tbl_task8[[%]:[%]])</f>
        <v/>
      </c>
      <c r="KY13" s="121" t="str">
        <f>IF(ISBLANK(tbl_task8[[คะแนนเต็ม]:[คะแนนเต็ม]]),"",(tbl_task8[141]/tbl_task8[[คะแนนเต็ม]:[คะแนนเต็ม]])*tbl_task8[[%]:[%]])</f>
        <v/>
      </c>
      <c r="KZ13" s="121" t="str">
        <f>IF(ISBLANK(tbl_task8[[คะแนนเต็ม]:[คะแนนเต็ม]]),"",(tbl_task8[142]/tbl_task8[[คะแนนเต็ม]:[คะแนนเต็ม]])*tbl_task8[[%]:[%]])</f>
        <v/>
      </c>
      <c r="LA13" s="121" t="str">
        <f>IF(ISBLANK(tbl_task8[[คะแนนเต็ม]:[คะแนนเต็ม]]),"",(tbl_task8[143]/tbl_task8[[คะแนนเต็ม]:[คะแนนเต็ม]])*tbl_task8[[%]:[%]])</f>
        <v/>
      </c>
      <c r="LB13" s="121" t="str">
        <f>IF(ISBLANK(tbl_task8[[คะแนนเต็ม]:[คะแนนเต็ม]]),"",(tbl_task8[144]/tbl_task8[[คะแนนเต็ม]:[คะแนนเต็ม]])*tbl_task8[[%]:[%]])</f>
        <v/>
      </c>
      <c r="LC13" s="121" t="str">
        <f>IF(ISBLANK(tbl_task8[[คะแนนเต็ม]:[คะแนนเต็ม]]),"",(tbl_task8[145]/tbl_task8[[คะแนนเต็ม]:[คะแนนเต็ม]])*tbl_task8[[%]:[%]])</f>
        <v/>
      </c>
      <c r="LD13" s="121" t="str">
        <f>IF(ISBLANK(tbl_task8[[คะแนนเต็ม]:[คะแนนเต็ม]]),"",(tbl_task8[146]/tbl_task8[[คะแนนเต็ม]:[คะแนนเต็ม]])*tbl_task8[[%]:[%]])</f>
        <v/>
      </c>
      <c r="LE13" s="121" t="str">
        <f>IF(ISBLANK(tbl_task8[[คะแนนเต็ม]:[คะแนนเต็ม]]),"",(tbl_task8[147]/tbl_task8[[คะแนนเต็ม]:[คะแนนเต็ม]])*tbl_task8[[%]:[%]])</f>
        <v/>
      </c>
      <c r="LF13" s="121" t="str">
        <f>IF(ISBLANK(tbl_task8[[คะแนนเต็ม]:[คะแนนเต็ม]]),"",(tbl_task8[148]/tbl_task8[[คะแนนเต็ม]:[คะแนนเต็ม]])*tbl_task8[[%]:[%]])</f>
        <v/>
      </c>
      <c r="LG13" s="121" t="str">
        <f>IF(ISBLANK(tbl_task8[[คะแนนเต็ม]:[คะแนนเต็ม]]),"",(tbl_task8[149]/tbl_task8[[คะแนนเต็ม]:[คะแนนเต็ม]])*tbl_task8[[%]:[%]])</f>
        <v/>
      </c>
      <c r="LH13" s="121" t="str">
        <f>IF(ISBLANK(tbl_task8[[คะแนนเต็ม]:[คะแนนเต็ม]]),"",(tbl_task8[150]/tbl_task8[[คะแนนเต็ม]:[คะแนนเต็ม]])*tbl_task8[[%]:[%]])</f>
        <v/>
      </c>
      <c r="LI13" s="121" t="str">
        <f>IF(ISBLANK(tbl_task8[[คะแนนเต็ม]:[คะแนนเต็ม]]),"",(tbl_task8[151]/tbl_task8[[คะแนนเต็ม]:[คะแนนเต็ม]])*tbl_task8[[%]:[%]])</f>
        <v/>
      </c>
      <c r="LJ13" s="121" t="str">
        <f>IF(ISBLANK(tbl_task8[[คะแนนเต็ม]:[คะแนนเต็ม]]),"",(tbl_task8[152]/tbl_task8[[คะแนนเต็ม]:[คะแนนเต็ม]])*tbl_task8[[%]:[%]])</f>
        <v/>
      </c>
      <c r="LK13" s="121" t="str">
        <f>IF(ISBLANK(tbl_task8[[คะแนนเต็ม]:[คะแนนเต็ม]]),"",(tbl_task8[153]/tbl_task8[[คะแนนเต็ม]:[คะแนนเต็ม]])*tbl_task8[[%]:[%]])</f>
        <v/>
      </c>
      <c r="LL13" s="121" t="str">
        <f>IF(ISBLANK(tbl_task8[[คะแนนเต็ม]:[คะแนนเต็ม]]),"",(tbl_task8[154]/tbl_task8[[คะแนนเต็ม]:[คะแนนเต็ม]])*tbl_task8[[%]:[%]])</f>
        <v/>
      </c>
      <c r="LM13" s="121" t="str">
        <f>IF(ISBLANK(tbl_task8[[คะแนนเต็ม]:[คะแนนเต็ม]]),"",(tbl_task8[155]/tbl_task8[[คะแนนเต็ม]:[คะแนนเต็ม]])*tbl_task8[[%]:[%]])</f>
        <v/>
      </c>
      <c r="LN13" s="121" t="str">
        <f>IF(ISBLANK(tbl_task8[[คะแนนเต็ม]:[คะแนนเต็ม]]),"",(tbl_task8[156]/tbl_task8[[คะแนนเต็ม]:[คะแนนเต็ม]])*tbl_task8[[%]:[%]])</f>
        <v/>
      </c>
      <c r="LO13" s="121" t="str">
        <f>IF(ISBLANK(tbl_task8[[คะแนนเต็ม]:[คะแนนเต็ม]]),"",(tbl_task8[157]/tbl_task8[[คะแนนเต็ม]:[คะแนนเต็ม]])*tbl_task8[[%]:[%]])</f>
        <v/>
      </c>
      <c r="LP13" s="121" t="str">
        <f>IF(ISBLANK(tbl_task8[[คะแนนเต็ม]:[คะแนนเต็ม]]),"",(tbl_task8[158]/tbl_task8[[คะแนนเต็ม]:[คะแนนเต็ม]])*tbl_task8[[%]:[%]])</f>
        <v/>
      </c>
      <c r="LQ13" s="121" t="str">
        <f>IF(ISBLANK(tbl_task8[[คะแนนเต็ม]:[คะแนนเต็ม]]),"",(tbl_task8[159]/tbl_task8[[คะแนนเต็ม]:[คะแนนเต็ม]])*tbl_task8[[%]:[%]])</f>
        <v/>
      </c>
      <c r="LR13" s="121" t="str">
        <f>IF(ISBLANK(tbl_task8[[คะแนนเต็ม]:[คะแนนเต็ม]]),"",(tbl_task8[160]/tbl_task8[[คะแนนเต็ม]:[คะแนนเต็ม]])*tbl_task8[[%]:[%]])</f>
        <v/>
      </c>
      <c r="LS13" s="121" t="str">
        <f>IF(ISBLANK(tbl_task8[[คะแนนเต็ม]:[คะแนนเต็ม]]),"",(tbl_task8[161]/tbl_task8[[คะแนนเต็ม]:[คะแนนเต็ม]])*tbl_task8[[%]:[%]])</f>
        <v/>
      </c>
      <c r="LT13" s="121" t="str">
        <f>IF(ISBLANK(tbl_task8[[คะแนนเต็ม]:[คะแนนเต็ม]]),"",(tbl_task8[162]/tbl_task8[[คะแนนเต็ม]:[คะแนนเต็ม]])*tbl_task8[[%]:[%]])</f>
        <v/>
      </c>
      <c r="LU13" s="121" t="str">
        <f>IF(ISBLANK(tbl_task8[[คะแนนเต็ม]:[คะแนนเต็ม]]),"",(tbl_task8[163]/tbl_task8[[คะแนนเต็ม]:[คะแนนเต็ม]])*tbl_task8[[%]:[%]])</f>
        <v/>
      </c>
      <c r="LV13" s="121" t="str">
        <f>IF(ISBLANK(tbl_task8[[คะแนนเต็ม]:[คะแนนเต็ม]]),"",(tbl_task8[164]/tbl_task8[[คะแนนเต็ม]:[คะแนนเต็ม]])*tbl_task8[[%]:[%]])</f>
        <v/>
      </c>
      <c r="LW13" s="121" t="str">
        <f>IF(ISBLANK(tbl_task8[[คะแนนเต็ม]:[คะแนนเต็ม]]),"",(tbl_task8[165]/tbl_task8[[คะแนนเต็ม]:[คะแนนเต็ม]])*tbl_task8[[%]:[%]])</f>
        <v/>
      </c>
    </row>
    <row r="14" spans="1:335" ht="24" customHeight="1" x14ac:dyDescent="0.25">
      <c r="A14" s="24">
        <v>11</v>
      </c>
      <c r="B14" s="20"/>
      <c r="C14" s="5" t="str">
        <f>IF(ISBLANK(B14),"",VLOOKUP(B14,tbl_PLOs[],2,0))</f>
        <v/>
      </c>
      <c r="D14" s="102"/>
      <c r="E14" s="106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21" t="str">
        <f>IF(ISBLANK(tbl_task8[[คะแนนเต็ม]:[คะแนนเต็ม]]),"",(tbl_task8[1]/tbl_task8[[คะแนนเต็ม]:[คะแนนเต็ม]])*tbl_task8[[%]:[%]])</f>
        <v/>
      </c>
      <c r="FP14" s="121" t="str">
        <f>IF(ISBLANK(tbl_task8[[คะแนนเต็ม]:[คะแนนเต็ม]]),"",(tbl_task8[2]/tbl_task8[[คะแนนเต็ม]:[คะแนนเต็ม]])*tbl_task8[[%]:[%]])</f>
        <v/>
      </c>
      <c r="FQ14" s="121" t="str">
        <f>IF(ISBLANK(tbl_task8[[คะแนนเต็ม]:[คะแนนเต็ม]]),"",(tbl_task8[3]/tbl_task8[[คะแนนเต็ม]:[คะแนนเต็ม]])*tbl_task8[[%]:[%]])</f>
        <v/>
      </c>
      <c r="FR14" s="121" t="str">
        <f>IF(ISBLANK(tbl_task8[[คะแนนเต็ม]:[คะแนนเต็ม]]),"",(tbl_task8[4]/tbl_task8[[คะแนนเต็ม]:[คะแนนเต็ม]])*tbl_task8[[%]:[%]])</f>
        <v/>
      </c>
      <c r="FS14" s="121" t="str">
        <f>IF(ISBLANK(tbl_task8[[คะแนนเต็ม]:[คะแนนเต็ม]]),"",(tbl_task8[5]/tbl_task8[[คะแนนเต็ม]:[คะแนนเต็ม]])*tbl_task8[[%]:[%]])</f>
        <v/>
      </c>
      <c r="FT14" s="121" t="str">
        <f>IF(ISBLANK(tbl_task8[[คะแนนเต็ม]:[คะแนนเต็ม]]),"",(tbl_task8[6]/tbl_task8[[คะแนนเต็ม]:[คะแนนเต็ม]])*tbl_task8[[%]:[%]])</f>
        <v/>
      </c>
      <c r="FU14" s="121" t="str">
        <f>IF(ISBLANK(tbl_task8[[คะแนนเต็ม]:[คะแนนเต็ม]]),"",(tbl_task8[7]/tbl_task8[[คะแนนเต็ม]:[คะแนนเต็ม]])*tbl_task8[[%]:[%]])</f>
        <v/>
      </c>
      <c r="FV14" s="121" t="str">
        <f>IF(ISBLANK(tbl_task8[[คะแนนเต็ม]:[คะแนนเต็ม]]),"",(tbl_task8[8]/tbl_task8[[คะแนนเต็ม]:[คะแนนเต็ม]])*tbl_task8[[%]:[%]])</f>
        <v/>
      </c>
      <c r="FW14" s="121" t="str">
        <f>IF(ISBLANK(tbl_task8[[คะแนนเต็ม]:[คะแนนเต็ม]]),"",(tbl_task8[9]/tbl_task8[[คะแนนเต็ม]:[คะแนนเต็ม]])*tbl_task8[[%]:[%]])</f>
        <v/>
      </c>
      <c r="FX14" s="121" t="str">
        <f>IF(ISBLANK(tbl_task8[[คะแนนเต็ม]:[คะแนนเต็ม]]),"",(tbl_task8[10]/tbl_task8[[คะแนนเต็ม]:[คะแนนเต็ม]])*tbl_task8[[%]:[%]])</f>
        <v/>
      </c>
      <c r="FY14" s="121" t="str">
        <f>IF(ISBLANK(tbl_task8[[คะแนนเต็ม]:[คะแนนเต็ม]]),"",(tbl_task8[11]/tbl_task8[[คะแนนเต็ม]:[คะแนนเต็ม]])*tbl_task8[[%]:[%]])</f>
        <v/>
      </c>
      <c r="FZ14" s="121" t="str">
        <f>IF(ISBLANK(tbl_task8[[คะแนนเต็ม]:[คะแนนเต็ม]]),"",(tbl_task8[12]/tbl_task8[[คะแนนเต็ม]:[คะแนนเต็ม]])*tbl_task8[[%]:[%]])</f>
        <v/>
      </c>
      <c r="GA14" s="121" t="str">
        <f>IF(ISBLANK(tbl_task8[[คะแนนเต็ม]:[คะแนนเต็ม]]),"",(tbl_task8[13]/tbl_task8[[คะแนนเต็ม]:[คะแนนเต็ม]])*tbl_task8[[%]:[%]])</f>
        <v/>
      </c>
      <c r="GB14" s="121" t="str">
        <f>IF(ISBLANK(tbl_task8[[คะแนนเต็ม]:[คะแนนเต็ม]]),"",(tbl_task8[14]/tbl_task8[[คะแนนเต็ม]:[คะแนนเต็ม]])*tbl_task8[[%]:[%]])</f>
        <v/>
      </c>
      <c r="GC14" s="121" t="str">
        <f>IF(ISBLANK(tbl_task8[[คะแนนเต็ม]:[คะแนนเต็ม]]),"",(tbl_task8[15]/tbl_task8[[คะแนนเต็ม]:[คะแนนเต็ม]])*tbl_task8[[%]:[%]])</f>
        <v/>
      </c>
      <c r="GD14" s="121" t="str">
        <f>IF(ISBLANK(tbl_task8[[คะแนนเต็ม]:[คะแนนเต็ม]]),"",(tbl_task8[16]/tbl_task8[[คะแนนเต็ม]:[คะแนนเต็ม]])*tbl_task8[[%]:[%]])</f>
        <v/>
      </c>
      <c r="GE14" s="121" t="str">
        <f>IF(ISBLANK(tbl_task8[[คะแนนเต็ม]:[คะแนนเต็ม]]),"",(tbl_task8[17]/tbl_task8[[คะแนนเต็ม]:[คะแนนเต็ม]])*tbl_task8[[%]:[%]])</f>
        <v/>
      </c>
      <c r="GF14" s="121" t="str">
        <f>IF(ISBLANK(tbl_task8[[คะแนนเต็ม]:[คะแนนเต็ม]]),"",(tbl_task8[18]/tbl_task8[[คะแนนเต็ม]:[คะแนนเต็ม]])*tbl_task8[[%]:[%]])</f>
        <v/>
      </c>
      <c r="GG14" s="121" t="str">
        <f>IF(ISBLANK(tbl_task8[[คะแนนเต็ม]:[คะแนนเต็ม]]),"",(tbl_task8[19]/tbl_task8[[คะแนนเต็ม]:[คะแนนเต็ม]])*tbl_task8[[%]:[%]])</f>
        <v/>
      </c>
      <c r="GH14" s="121" t="str">
        <f>IF(ISBLANK(tbl_task8[[คะแนนเต็ม]:[คะแนนเต็ม]]),"",(tbl_task8[20]/tbl_task8[[คะแนนเต็ม]:[คะแนนเต็ม]])*tbl_task8[[%]:[%]])</f>
        <v/>
      </c>
      <c r="GI14" s="121" t="str">
        <f>IF(ISBLANK(tbl_task8[[คะแนนเต็ม]:[คะแนนเต็ม]]),"",(tbl_task8[21]/tbl_task8[[คะแนนเต็ม]:[คะแนนเต็ม]])*tbl_task8[[%]:[%]])</f>
        <v/>
      </c>
      <c r="GJ14" s="121" t="str">
        <f>IF(ISBLANK(tbl_task8[[คะแนนเต็ม]:[คะแนนเต็ม]]),"",(tbl_task8[22]/tbl_task8[[คะแนนเต็ม]:[คะแนนเต็ม]])*tbl_task8[[%]:[%]])</f>
        <v/>
      </c>
      <c r="GK14" s="121" t="str">
        <f>IF(ISBLANK(tbl_task8[[คะแนนเต็ม]:[คะแนนเต็ม]]),"",(tbl_task8[23]/tbl_task8[[คะแนนเต็ม]:[คะแนนเต็ม]])*tbl_task8[[%]:[%]])</f>
        <v/>
      </c>
      <c r="GL14" s="121" t="str">
        <f>IF(ISBLANK(tbl_task8[[คะแนนเต็ม]:[คะแนนเต็ม]]),"",(tbl_task8[24]/tbl_task8[[คะแนนเต็ม]:[คะแนนเต็ม]])*tbl_task8[[%]:[%]])</f>
        <v/>
      </c>
      <c r="GM14" s="121" t="str">
        <f>IF(ISBLANK(tbl_task8[[คะแนนเต็ม]:[คะแนนเต็ม]]),"",(tbl_task8[25]/tbl_task8[[คะแนนเต็ม]:[คะแนนเต็ม]])*tbl_task8[[%]:[%]])</f>
        <v/>
      </c>
      <c r="GN14" s="121" t="str">
        <f>IF(ISBLANK(tbl_task8[[คะแนนเต็ม]:[คะแนนเต็ม]]),"",(tbl_task8[26]/tbl_task8[[คะแนนเต็ม]:[คะแนนเต็ม]])*tbl_task8[[%]:[%]])</f>
        <v/>
      </c>
      <c r="GO14" s="121" t="str">
        <f>IF(ISBLANK(tbl_task8[[คะแนนเต็ม]:[คะแนนเต็ม]]),"",(tbl_task8[27]/tbl_task8[[คะแนนเต็ม]:[คะแนนเต็ม]])*tbl_task8[[%]:[%]])</f>
        <v/>
      </c>
      <c r="GP14" s="121" t="str">
        <f>IF(ISBLANK(tbl_task8[[คะแนนเต็ม]:[คะแนนเต็ม]]),"",(tbl_task8[28]/tbl_task8[[คะแนนเต็ม]:[คะแนนเต็ม]])*tbl_task8[[%]:[%]])</f>
        <v/>
      </c>
      <c r="GQ14" s="121" t="str">
        <f>IF(ISBLANK(tbl_task8[[คะแนนเต็ม]:[คะแนนเต็ม]]),"",(tbl_task8[29]/tbl_task8[[คะแนนเต็ม]:[คะแนนเต็ม]])*tbl_task8[[%]:[%]])</f>
        <v/>
      </c>
      <c r="GR14" s="121" t="str">
        <f>IF(ISBLANK(tbl_task8[[คะแนนเต็ม]:[คะแนนเต็ม]]),"",(tbl_task8[30]/tbl_task8[[คะแนนเต็ม]:[คะแนนเต็ม]])*tbl_task8[[%]:[%]])</f>
        <v/>
      </c>
      <c r="GS14" s="121" t="str">
        <f>IF(ISBLANK(tbl_task8[[คะแนนเต็ม]:[คะแนนเต็ม]]),"",(tbl_task8[31]/tbl_task8[[คะแนนเต็ม]:[คะแนนเต็ม]])*tbl_task8[[%]:[%]])</f>
        <v/>
      </c>
      <c r="GT14" s="121" t="str">
        <f>IF(ISBLANK(tbl_task8[[คะแนนเต็ม]:[คะแนนเต็ม]]),"",(tbl_task8[32]/tbl_task8[[คะแนนเต็ม]:[คะแนนเต็ม]])*tbl_task8[[%]:[%]])</f>
        <v/>
      </c>
      <c r="GU14" s="121" t="str">
        <f>IF(ISBLANK(tbl_task8[[คะแนนเต็ม]:[คะแนนเต็ม]]),"",(tbl_task8[33]/tbl_task8[[คะแนนเต็ม]:[คะแนนเต็ม]])*tbl_task8[[%]:[%]])</f>
        <v/>
      </c>
      <c r="GV14" s="121" t="str">
        <f>IF(ISBLANK(tbl_task8[[คะแนนเต็ม]:[คะแนนเต็ม]]),"",(tbl_task8[34]/tbl_task8[[คะแนนเต็ม]:[คะแนนเต็ม]])*tbl_task8[[%]:[%]])</f>
        <v/>
      </c>
      <c r="GW14" s="121" t="str">
        <f>IF(ISBLANK(tbl_task8[[คะแนนเต็ม]:[คะแนนเต็ม]]),"",(tbl_task8[35]/tbl_task8[[คะแนนเต็ม]:[คะแนนเต็ม]])*tbl_task8[[%]:[%]])</f>
        <v/>
      </c>
      <c r="GX14" s="121" t="str">
        <f>IF(ISBLANK(tbl_task8[[คะแนนเต็ม]:[คะแนนเต็ม]]),"",(tbl_task8[36]/tbl_task8[[คะแนนเต็ม]:[คะแนนเต็ม]])*tbl_task8[[%]:[%]])</f>
        <v/>
      </c>
      <c r="GY14" s="121" t="str">
        <f>IF(ISBLANK(tbl_task8[[คะแนนเต็ม]:[คะแนนเต็ม]]),"",(tbl_task8[37]/tbl_task8[[คะแนนเต็ม]:[คะแนนเต็ม]])*tbl_task8[[%]:[%]])</f>
        <v/>
      </c>
      <c r="GZ14" s="121" t="str">
        <f>IF(ISBLANK(tbl_task8[[คะแนนเต็ม]:[คะแนนเต็ม]]),"",(tbl_task8[38]/tbl_task8[[คะแนนเต็ม]:[คะแนนเต็ม]])*tbl_task8[[%]:[%]])</f>
        <v/>
      </c>
      <c r="HA14" s="121" t="str">
        <f>IF(ISBLANK(tbl_task8[[คะแนนเต็ม]:[คะแนนเต็ม]]),"",(tbl_task8[39]/tbl_task8[[คะแนนเต็ม]:[คะแนนเต็ม]])*tbl_task8[[%]:[%]])</f>
        <v/>
      </c>
      <c r="HB14" s="121" t="str">
        <f>IF(ISBLANK(tbl_task8[[คะแนนเต็ม]:[คะแนนเต็ม]]),"",(tbl_task8[40]/tbl_task8[[คะแนนเต็ม]:[คะแนนเต็ม]])*tbl_task8[[%]:[%]])</f>
        <v/>
      </c>
      <c r="HC14" s="121" t="str">
        <f>IF(ISBLANK(tbl_task8[[คะแนนเต็ม]:[คะแนนเต็ม]]),"",(tbl_task8[41]/tbl_task8[[คะแนนเต็ม]:[คะแนนเต็ม]])*tbl_task8[[%]:[%]])</f>
        <v/>
      </c>
      <c r="HD14" s="121" t="str">
        <f>IF(ISBLANK(tbl_task8[[คะแนนเต็ม]:[คะแนนเต็ม]]),"",(tbl_task8[42]/tbl_task8[[คะแนนเต็ม]:[คะแนนเต็ม]])*tbl_task8[[%]:[%]])</f>
        <v/>
      </c>
      <c r="HE14" s="121" t="str">
        <f>IF(ISBLANK(tbl_task8[[คะแนนเต็ม]:[คะแนนเต็ม]]),"",(tbl_task8[43]/tbl_task8[[คะแนนเต็ม]:[คะแนนเต็ม]])*tbl_task8[[%]:[%]])</f>
        <v/>
      </c>
      <c r="HF14" s="121" t="str">
        <f>IF(ISBLANK(tbl_task8[[คะแนนเต็ม]:[คะแนนเต็ม]]),"",(tbl_task8[44]/tbl_task8[[คะแนนเต็ม]:[คะแนนเต็ม]])*tbl_task8[[%]:[%]])</f>
        <v/>
      </c>
      <c r="HG14" s="121" t="str">
        <f>IF(ISBLANK(tbl_task8[[คะแนนเต็ม]:[คะแนนเต็ม]]),"",(tbl_task8[45]/tbl_task8[[คะแนนเต็ม]:[คะแนนเต็ม]])*tbl_task8[[%]:[%]])</f>
        <v/>
      </c>
      <c r="HH14" s="121" t="str">
        <f>IF(ISBLANK(tbl_task8[[คะแนนเต็ม]:[คะแนนเต็ม]]),"",(tbl_task8[46]/tbl_task8[[คะแนนเต็ม]:[คะแนนเต็ม]])*tbl_task8[[%]:[%]])</f>
        <v/>
      </c>
      <c r="HI14" s="121" t="str">
        <f>IF(ISBLANK(tbl_task8[[คะแนนเต็ม]:[คะแนนเต็ม]]),"",(tbl_task8[47]/tbl_task8[[คะแนนเต็ม]:[คะแนนเต็ม]])*tbl_task8[[%]:[%]])</f>
        <v/>
      </c>
      <c r="HJ14" s="121" t="str">
        <f>IF(ISBLANK(tbl_task8[[คะแนนเต็ม]:[คะแนนเต็ม]]),"",(tbl_task8[48]/tbl_task8[[คะแนนเต็ม]:[คะแนนเต็ม]])*tbl_task8[[%]:[%]])</f>
        <v/>
      </c>
      <c r="HK14" s="121" t="str">
        <f>IF(ISBLANK(tbl_task8[[คะแนนเต็ม]:[คะแนนเต็ม]]),"",(tbl_task8[49]/tbl_task8[[คะแนนเต็ม]:[คะแนนเต็ม]])*tbl_task8[[%]:[%]])</f>
        <v/>
      </c>
      <c r="HL14" s="121" t="str">
        <f>IF(ISBLANK(tbl_task8[[คะแนนเต็ม]:[คะแนนเต็ม]]),"",(tbl_task8[50]/tbl_task8[[คะแนนเต็ม]:[คะแนนเต็ม]])*tbl_task8[[%]:[%]])</f>
        <v/>
      </c>
      <c r="HM14" s="121" t="str">
        <f>IF(ISBLANK(tbl_task8[[คะแนนเต็ม]:[คะแนนเต็ม]]),"",(tbl_task8[51]/tbl_task8[[คะแนนเต็ม]:[คะแนนเต็ม]])*tbl_task8[[%]:[%]])</f>
        <v/>
      </c>
      <c r="HN14" s="121" t="str">
        <f>IF(ISBLANK(tbl_task8[[คะแนนเต็ม]:[คะแนนเต็ม]]),"",(tbl_task8[52]/tbl_task8[[คะแนนเต็ม]:[คะแนนเต็ม]])*tbl_task8[[%]:[%]])</f>
        <v/>
      </c>
      <c r="HO14" s="121" t="str">
        <f>IF(ISBLANK(tbl_task8[[คะแนนเต็ม]:[คะแนนเต็ม]]),"",(tbl_task8[53]/tbl_task8[[คะแนนเต็ม]:[คะแนนเต็ม]])*tbl_task8[[%]:[%]])</f>
        <v/>
      </c>
      <c r="HP14" s="121" t="str">
        <f>IF(ISBLANK(tbl_task8[[คะแนนเต็ม]:[คะแนนเต็ม]]),"",(tbl_task8[54]/tbl_task8[[คะแนนเต็ม]:[คะแนนเต็ม]])*tbl_task8[[%]:[%]])</f>
        <v/>
      </c>
      <c r="HQ14" s="121" t="str">
        <f>IF(ISBLANK(tbl_task8[[คะแนนเต็ม]:[คะแนนเต็ม]]),"",(tbl_task8[55]/tbl_task8[[คะแนนเต็ม]:[คะแนนเต็ม]])*tbl_task8[[%]:[%]])</f>
        <v/>
      </c>
      <c r="HR14" s="121" t="str">
        <f>IF(ISBLANK(tbl_task8[[คะแนนเต็ม]:[คะแนนเต็ม]]),"",(tbl_task8[56]/tbl_task8[[คะแนนเต็ม]:[คะแนนเต็ม]])*tbl_task8[[%]:[%]])</f>
        <v/>
      </c>
      <c r="HS14" s="121" t="str">
        <f>IF(ISBLANK(tbl_task8[[คะแนนเต็ม]:[คะแนนเต็ม]]),"",(tbl_task8[57]/tbl_task8[[คะแนนเต็ม]:[คะแนนเต็ม]])*tbl_task8[[%]:[%]])</f>
        <v/>
      </c>
      <c r="HT14" s="121" t="str">
        <f>IF(ISBLANK(tbl_task8[[คะแนนเต็ม]:[คะแนนเต็ม]]),"",(tbl_task8[58]/tbl_task8[[คะแนนเต็ม]:[คะแนนเต็ม]])*tbl_task8[[%]:[%]])</f>
        <v/>
      </c>
      <c r="HU14" s="121" t="str">
        <f>IF(ISBLANK(tbl_task8[[คะแนนเต็ม]:[คะแนนเต็ม]]),"",(tbl_task8[59]/tbl_task8[[คะแนนเต็ม]:[คะแนนเต็ม]])*tbl_task8[[%]:[%]])</f>
        <v/>
      </c>
      <c r="HV14" s="121" t="str">
        <f>IF(ISBLANK(tbl_task8[[คะแนนเต็ม]:[คะแนนเต็ม]]),"",(tbl_task8[60]/tbl_task8[[คะแนนเต็ม]:[คะแนนเต็ม]])*tbl_task8[[%]:[%]])</f>
        <v/>
      </c>
      <c r="HW14" s="121" t="str">
        <f>IF(ISBLANK(tbl_task8[[คะแนนเต็ม]:[คะแนนเต็ม]]),"",(tbl_task8[61]/tbl_task8[[คะแนนเต็ม]:[คะแนนเต็ม]])*tbl_task8[[%]:[%]])</f>
        <v/>
      </c>
      <c r="HX14" s="121" t="str">
        <f>IF(ISBLANK(tbl_task8[[คะแนนเต็ม]:[คะแนนเต็ม]]),"",(tbl_task8[62]/tbl_task8[[คะแนนเต็ม]:[คะแนนเต็ม]])*tbl_task8[[%]:[%]])</f>
        <v/>
      </c>
      <c r="HY14" s="121" t="str">
        <f>IF(ISBLANK(tbl_task8[[คะแนนเต็ม]:[คะแนนเต็ม]]),"",(tbl_task8[63]/tbl_task8[[คะแนนเต็ม]:[คะแนนเต็ม]])*tbl_task8[[%]:[%]])</f>
        <v/>
      </c>
      <c r="HZ14" s="121" t="str">
        <f>IF(ISBLANK(tbl_task8[[คะแนนเต็ม]:[คะแนนเต็ม]]),"",(tbl_task8[64]/tbl_task8[[คะแนนเต็ม]:[คะแนนเต็ม]])*tbl_task8[[%]:[%]])</f>
        <v/>
      </c>
      <c r="IA14" s="121" t="str">
        <f>IF(ISBLANK(tbl_task8[[คะแนนเต็ม]:[คะแนนเต็ม]]),"",(tbl_task8[65]/tbl_task8[[คะแนนเต็ม]:[คะแนนเต็ม]])*tbl_task8[[%]:[%]])</f>
        <v/>
      </c>
      <c r="IB14" s="121" t="str">
        <f>IF(ISBLANK(tbl_task8[[คะแนนเต็ม]:[คะแนนเต็ม]]),"",(tbl_task8[66]/tbl_task8[[คะแนนเต็ม]:[คะแนนเต็ม]])*tbl_task8[[%]:[%]])</f>
        <v/>
      </c>
      <c r="IC14" s="121" t="str">
        <f>IF(ISBLANK(tbl_task8[[คะแนนเต็ม]:[คะแนนเต็ม]]),"",(tbl_task8[67]/tbl_task8[[คะแนนเต็ม]:[คะแนนเต็ม]])*tbl_task8[[%]:[%]])</f>
        <v/>
      </c>
      <c r="ID14" s="121" t="str">
        <f>IF(ISBLANK(tbl_task8[[คะแนนเต็ม]:[คะแนนเต็ม]]),"",(tbl_task8[68]/tbl_task8[[คะแนนเต็ม]:[คะแนนเต็ม]])*tbl_task8[[%]:[%]])</f>
        <v/>
      </c>
      <c r="IE14" s="121" t="str">
        <f>IF(ISBLANK(tbl_task8[[คะแนนเต็ม]:[คะแนนเต็ม]]),"",(tbl_task8[69]/tbl_task8[[คะแนนเต็ม]:[คะแนนเต็ม]])*tbl_task8[[%]:[%]])</f>
        <v/>
      </c>
      <c r="IF14" s="121" t="str">
        <f>IF(ISBLANK(tbl_task8[[คะแนนเต็ม]:[คะแนนเต็ม]]),"",(tbl_task8[70]/tbl_task8[[คะแนนเต็ม]:[คะแนนเต็ม]])*tbl_task8[[%]:[%]])</f>
        <v/>
      </c>
      <c r="IG14" s="121" t="str">
        <f>IF(ISBLANK(tbl_task8[[คะแนนเต็ม]:[คะแนนเต็ม]]),"",(tbl_task8[71]/tbl_task8[[คะแนนเต็ม]:[คะแนนเต็ม]])*tbl_task8[[%]:[%]])</f>
        <v/>
      </c>
      <c r="IH14" s="121" t="str">
        <f>IF(ISBLANK(tbl_task8[[คะแนนเต็ม]:[คะแนนเต็ม]]),"",(tbl_task8[72]/tbl_task8[[คะแนนเต็ม]:[คะแนนเต็ม]])*tbl_task8[[%]:[%]])</f>
        <v/>
      </c>
      <c r="II14" s="121" t="str">
        <f>IF(ISBLANK(tbl_task8[[คะแนนเต็ม]:[คะแนนเต็ม]]),"",(tbl_task8[73]/tbl_task8[[คะแนนเต็ม]:[คะแนนเต็ม]])*tbl_task8[[%]:[%]])</f>
        <v/>
      </c>
      <c r="IJ14" s="121" t="str">
        <f>IF(ISBLANK(tbl_task8[[คะแนนเต็ม]:[คะแนนเต็ม]]),"",(tbl_task8[74]/tbl_task8[[คะแนนเต็ม]:[คะแนนเต็ม]])*tbl_task8[[%]:[%]])</f>
        <v/>
      </c>
      <c r="IK14" s="121" t="str">
        <f>IF(ISBLANK(tbl_task8[[คะแนนเต็ม]:[คะแนนเต็ม]]),"",(tbl_task8[75]/tbl_task8[[คะแนนเต็ม]:[คะแนนเต็ม]])*tbl_task8[[%]:[%]])</f>
        <v/>
      </c>
      <c r="IL14" s="121" t="str">
        <f>IF(ISBLANK(tbl_task8[[คะแนนเต็ม]:[คะแนนเต็ม]]),"",(tbl_task8[76]/tbl_task8[[คะแนนเต็ม]:[คะแนนเต็ม]])*tbl_task8[[%]:[%]])</f>
        <v/>
      </c>
      <c r="IM14" s="121" t="str">
        <f>IF(ISBLANK(tbl_task8[[คะแนนเต็ม]:[คะแนนเต็ม]]),"",(tbl_task8[77]/tbl_task8[[คะแนนเต็ม]:[คะแนนเต็ม]])*tbl_task8[[%]:[%]])</f>
        <v/>
      </c>
      <c r="IN14" s="121" t="str">
        <f>IF(ISBLANK(tbl_task8[[คะแนนเต็ม]:[คะแนนเต็ม]]),"",(tbl_task8[78]/tbl_task8[[คะแนนเต็ม]:[คะแนนเต็ม]])*tbl_task8[[%]:[%]])</f>
        <v/>
      </c>
      <c r="IO14" s="121" t="str">
        <f>IF(ISBLANK(tbl_task8[[คะแนนเต็ม]:[คะแนนเต็ม]]),"",(tbl_task8[79]/tbl_task8[[คะแนนเต็ม]:[คะแนนเต็ม]])*tbl_task8[[%]:[%]])</f>
        <v/>
      </c>
      <c r="IP14" s="121" t="str">
        <f>IF(ISBLANK(tbl_task8[[คะแนนเต็ม]:[คะแนนเต็ม]]),"",(tbl_task8[80]/tbl_task8[[คะแนนเต็ม]:[คะแนนเต็ม]])*tbl_task8[[%]:[%]])</f>
        <v/>
      </c>
      <c r="IQ14" s="121" t="str">
        <f>IF(ISBLANK(tbl_task8[[คะแนนเต็ม]:[คะแนนเต็ม]]),"",(tbl_task8[81]/tbl_task8[[คะแนนเต็ม]:[คะแนนเต็ม]])*tbl_task8[[%]:[%]])</f>
        <v/>
      </c>
      <c r="IR14" s="121" t="str">
        <f>IF(ISBLANK(tbl_task8[[คะแนนเต็ม]:[คะแนนเต็ม]]),"",(tbl_task8[82]/tbl_task8[[คะแนนเต็ม]:[คะแนนเต็ม]])*tbl_task8[[%]:[%]])</f>
        <v/>
      </c>
      <c r="IS14" s="121" t="str">
        <f>IF(ISBLANK(tbl_task8[[คะแนนเต็ม]:[คะแนนเต็ม]]),"",(tbl_task8[83]/tbl_task8[[คะแนนเต็ม]:[คะแนนเต็ม]])*tbl_task8[[%]:[%]])</f>
        <v/>
      </c>
      <c r="IT14" s="121" t="str">
        <f>IF(ISBLANK(tbl_task8[[คะแนนเต็ม]:[คะแนนเต็ม]]),"",(tbl_task8[84]/tbl_task8[[คะแนนเต็ม]:[คะแนนเต็ม]])*tbl_task8[[%]:[%]])</f>
        <v/>
      </c>
      <c r="IU14" s="121" t="str">
        <f>IF(ISBLANK(tbl_task8[[คะแนนเต็ม]:[คะแนนเต็ม]]),"",(tbl_task8[85]/tbl_task8[[คะแนนเต็ม]:[คะแนนเต็ม]])*tbl_task8[[%]:[%]])</f>
        <v/>
      </c>
      <c r="IV14" s="121" t="str">
        <f>IF(ISBLANK(tbl_task8[[คะแนนเต็ม]:[คะแนนเต็ม]]),"",(tbl_task8[86]/tbl_task8[[คะแนนเต็ม]:[คะแนนเต็ม]])*tbl_task8[[%]:[%]])</f>
        <v/>
      </c>
      <c r="IW14" s="121" t="str">
        <f>IF(ISBLANK(tbl_task8[[คะแนนเต็ม]:[คะแนนเต็ม]]),"",(tbl_task8[87]/tbl_task8[[คะแนนเต็ม]:[คะแนนเต็ม]])*tbl_task8[[%]:[%]])</f>
        <v/>
      </c>
      <c r="IX14" s="121" t="str">
        <f>IF(ISBLANK(tbl_task8[[คะแนนเต็ม]:[คะแนนเต็ม]]),"",(tbl_task8[88]/tbl_task8[[คะแนนเต็ม]:[คะแนนเต็ม]])*tbl_task8[[%]:[%]])</f>
        <v/>
      </c>
      <c r="IY14" s="121" t="str">
        <f>IF(ISBLANK(tbl_task8[[คะแนนเต็ม]:[คะแนนเต็ม]]),"",(tbl_task8[89]/tbl_task8[[คะแนนเต็ม]:[คะแนนเต็ม]])*tbl_task8[[%]:[%]])</f>
        <v/>
      </c>
      <c r="IZ14" s="121" t="str">
        <f>IF(ISBLANK(tbl_task8[[คะแนนเต็ม]:[คะแนนเต็ม]]),"",(tbl_task8[90]/tbl_task8[[คะแนนเต็ม]:[คะแนนเต็ม]])*tbl_task8[[%]:[%]])</f>
        <v/>
      </c>
      <c r="JA14" s="121" t="str">
        <f>IF(ISBLANK(tbl_task8[[คะแนนเต็ม]:[คะแนนเต็ม]]),"",(tbl_task8[91]/tbl_task8[[คะแนนเต็ม]:[คะแนนเต็ม]])*tbl_task8[[%]:[%]])</f>
        <v/>
      </c>
      <c r="JB14" s="121" t="str">
        <f>IF(ISBLANK(tbl_task8[[คะแนนเต็ม]:[คะแนนเต็ม]]),"",(tbl_task8[92]/tbl_task8[[คะแนนเต็ม]:[คะแนนเต็ม]])*tbl_task8[[%]:[%]])</f>
        <v/>
      </c>
      <c r="JC14" s="121" t="str">
        <f>IF(ISBLANK(tbl_task8[[คะแนนเต็ม]:[คะแนนเต็ม]]),"",(tbl_task8[93]/tbl_task8[[คะแนนเต็ม]:[คะแนนเต็ม]])*tbl_task8[[%]:[%]])</f>
        <v/>
      </c>
      <c r="JD14" s="121" t="str">
        <f>IF(ISBLANK(tbl_task8[[คะแนนเต็ม]:[คะแนนเต็ม]]),"",(tbl_task8[94]/tbl_task8[[คะแนนเต็ม]:[คะแนนเต็ม]])*tbl_task8[[%]:[%]])</f>
        <v/>
      </c>
      <c r="JE14" s="121" t="str">
        <f>IF(ISBLANK(tbl_task8[[คะแนนเต็ม]:[คะแนนเต็ม]]),"",(tbl_task8[95]/tbl_task8[[คะแนนเต็ม]:[คะแนนเต็ม]])*tbl_task8[[%]:[%]])</f>
        <v/>
      </c>
      <c r="JF14" s="121" t="str">
        <f>IF(ISBLANK(tbl_task8[[คะแนนเต็ม]:[คะแนนเต็ม]]),"",(tbl_task8[96]/tbl_task8[[คะแนนเต็ม]:[คะแนนเต็ม]])*tbl_task8[[%]:[%]])</f>
        <v/>
      </c>
      <c r="JG14" s="121" t="str">
        <f>IF(ISBLANK(tbl_task8[[คะแนนเต็ม]:[คะแนนเต็ม]]),"",(tbl_task8[97]/tbl_task8[[คะแนนเต็ม]:[คะแนนเต็ม]])*tbl_task8[[%]:[%]])</f>
        <v/>
      </c>
      <c r="JH14" s="121" t="str">
        <f>IF(ISBLANK(tbl_task8[[คะแนนเต็ม]:[คะแนนเต็ม]]),"",(tbl_task8[98]/tbl_task8[[คะแนนเต็ม]:[คะแนนเต็ม]])*tbl_task8[[%]:[%]])</f>
        <v/>
      </c>
      <c r="JI14" s="121" t="str">
        <f>IF(ISBLANK(tbl_task8[[คะแนนเต็ม]:[คะแนนเต็ม]]),"",(tbl_task8[99]/tbl_task8[[คะแนนเต็ม]:[คะแนนเต็ม]])*tbl_task8[[%]:[%]])</f>
        <v/>
      </c>
      <c r="JJ14" s="121" t="str">
        <f>IF(ISBLANK(tbl_task8[[คะแนนเต็ม]:[คะแนนเต็ม]]),"",(tbl_task8[100]/tbl_task8[[คะแนนเต็ม]:[คะแนนเต็ม]])*tbl_task8[[%]:[%]])</f>
        <v/>
      </c>
      <c r="JK14" s="121" t="str">
        <f>IF(ISBLANK(tbl_task8[[คะแนนเต็ม]:[คะแนนเต็ม]]),"",(tbl_task8[101]/tbl_task8[[คะแนนเต็ม]:[คะแนนเต็ม]])*tbl_task8[[%]:[%]])</f>
        <v/>
      </c>
      <c r="JL14" s="121" t="str">
        <f>IF(ISBLANK(tbl_task8[[คะแนนเต็ม]:[คะแนนเต็ม]]),"",(tbl_task8[102]/tbl_task8[[คะแนนเต็ม]:[คะแนนเต็ม]])*tbl_task8[[%]:[%]])</f>
        <v/>
      </c>
      <c r="JM14" s="121" t="str">
        <f>IF(ISBLANK(tbl_task8[[คะแนนเต็ม]:[คะแนนเต็ม]]),"",(tbl_task8[103]/tbl_task8[[คะแนนเต็ม]:[คะแนนเต็ม]])*tbl_task8[[%]:[%]])</f>
        <v/>
      </c>
      <c r="JN14" s="121" t="str">
        <f>IF(ISBLANK(tbl_task8[[คะแนนเต็ม]:[คะแนนเต็ม]]),"",(tbl_task8[104]/tbl_task8[[คะแนนเต็ม]:[คะแนนเต็ม]])*tbl_task8[[%]:[%]])</f>
        <v/>
      </c>
      <c r="JO14" s="121" t="str">
        <f>IF(ISBLANK(tbl_task8[[คะแนนเต็ม]:[คะแนนเต็ม]]),"",(tbl_task8[105]/tbl_task8[[คะแนนเต็ม]:[คะแนนเต็ม]])*tbl_task8[[%]:[%]])</f>
        <v/>
      </c>
      <c r="JP14" s="121" t="str">
        <f>IF(ISBLANK(tbl_task8[[คะแนนเต็ม]:[คะแนนเต็ม]]),"",(tbl_task8[106]/tbl_task8[[คะแนนเต็ม]:[คะแนนเต็ม]])*tbl_task8[[%]:[%]])</f>
        <v/>
      </c>
      <c r="JQ14" s="121" t="str">
        <f>IF(ISBLANK(tbl_task8[[คะแนนเต็ม]:[คะแนนเต็ม]]),"",(tbl_task8[107]/tbl_task8[[คะแนนเต็ม]:[คะแนนเต็ม]])*tbl_task8[[%]:[%]])</f>
        <v/>
      </c>
      <c r="JR14" s="121" t="str">
        <f>IF(ISBLANK(tbl_task8[[คะแนนเต็ม]:[คะแนนเต็ม]]),"",(tbl_task8[108]/tbl_task8[[คะแนนเต็ม]:[คะแนนเต็ม]])*tbl_task8[[%]:[%]])</f>
        <v/>
      </c>
      <c r="JS14" s="121" t="str">
        <f>IF(ISBLANK(tbl_task8[[คะแนนเต็ม]:[คะแนนเต็ม]]),"",(tbl_task8[109]/tbl_task8[[คะแนนเต็ม]:[คะแนนเต็ม]])*tbl_task8[[%]:[%]])</f>
        <v/>
      </c>
      <c r="JT14" s="121" t="str">
        <f>IF(ISBLANK(tbl_task8[[คะแนนเต็ม]:[คะแนนเต็ม]]),"",(tbl_task8[110]/tbl_task8[[คะแนนเต็ม]:[คะแนนเต็ม]])*tbl_task8[[%]:[%]])</f>
        <v/>
      </c>
      <c r="JU14" s="121" t="str">
        <f>IF(ISBLANK(tbl_task8[[คะแนนเต็ม]:[คะแนนเต็ม]]),"",(tbl_task8[111]/tbl_task8[[คะแนนเต็ม]:[คะแนนเต็ม]])*tbl_task8[[%]:[%]])</f>
        <v/>
      </c>
      <c r="JV14" s="121" t="str">
        <f>IF(ISBLANK(tbl_task8[[คะแนนเต็ม]:[คะแนนเต็ม]]),"",(tbl_task8[112]/tbl_task8[[คะแนนเต็ม]:[คะแนนเต็ม]])*tbl_task8[[%]:[%]])</f>
        <v/>
      </c>
      <c r="JW14" s="121" t="str">
        <f>IF(ISBLANK(tbl_task8[[คะแนนเต็ม]:[คะแนนเต็ม]]),"",(tbl_task8[113]/tbl_task8[[คะแนนเต็ม]:[คะแนนเต็ม]])*tbl_task8[[%]:[%]])</f>
        <v/>
      </c>
      <c r="JX14" s="121" t="str">
        <f>IF(ISBLANK(tbl_task8[[คะแนนเต็ม]:[คะแนนเต็ม]]),"",(tbl_task8[114]/tbl_task8[[คะแนนเต็ม]:[คะแนนเต็ม]])*tbl_task8[[%]:[%]])</f>
        <v/>
      </c>
      <c r="JY14" s="121" t="str">
        <f>IF(ISBLANK(tbl_task8[[คะแนนเต็ม]:[คะแนนเต็ม]]),"",(tbl_task8[115]/tbl_task8[[คะแนนเต็ม]:[คะแนนเต็ม]])*tbl_task8[[%]:[%]])</f>
        <v/>
      </c>
      <c r="JZ14" s="121" t="str">
        <f>IF(ISBLANK(tbl_task8[[คะแนนเต็ม]:[คะแนนเต็ม]]),"",(tbl_task8[116]/tbl_task8[[คะแนนเต็ม]:[คะแนนเต็ม]])*tbl_task8[[%]:[%]])</f>
        <v/>
      </c>
      <c r="KA14" s="121" t="str">
        <f>IF(ISBLANK(tbl_task8[[คะแนนเต็ม]:[คะแนนเต็ม]]),"",(tbl_task8[117]/tbl_task8[[คะแนนเต็ม]:[คะแนนเต็ม]])*tbl_task8[[%]:[%]])</f>
        <v/>
      </c>
      <c r="KB14" s="121" t="str">
        <f>IF(ISBLANK(tbl_task8[[คะแนนเต็ม]:[คะแนนเต็ม]]),"",(tbl_task8[118]/tbl_task8[[คะแนนเต็ม]:[คะแนนเต็ม]])*tbl_task8[[%]:[%]])</f>
        <v/>
      </c>
      <c r="KC14" s="121" t="str">
        <f>IF(ISBLANK(tbl_task8[[คะแนนเต็ม]:[คะแนนเต็ม]]),"",(tbl_task8[119]/tbl_task8[[คะแนนเต็ม]:[คะแนนเต็ม]])*tbl_task8[[%]:[%]])</f>
        <v/>
      </c>
      <c r="KD14" s="121" t="str">
        <f>IF(ISBLANK(tbl_task8[[คะแนนเต็ม]:[คะแนนเต็ม]]),"",(tbl_task8[120]/tbl_task8[[คะแนนเต็ม]:[คะแนนเต็ม]])*tbl_task8[[%]:[%]])</f>
        <v/>
      </c>
      <c r="KE14" s="121" t="str">
        <f>IF(ISBLANK(tbl_task8[[คะแนนเต็ม]:[คะแนนเต็ม]]),"",(tbl_task8[121]/tbl_task8[[คะแนนเต็ม]:[คะแนนเต็ม]])*tbl_task8[[%]:[%]])</f>
        <v/>
      </c>
      <c r="KF14" s="121" t="str">
        <f>IF(ISBLANK(tbl_task8[[คะแนนเต็ม]:[คะแนนเต็ม]]),"",(tbl_task8[122]/tbl_task8[[คะแนนเต็ม]:[คะแนนเต็ม]])*tbl_task8[[%]:[%]])</f>
        <v/>
      </c>
      <c r="KG14" s="121" t="str">
        <f>IF(ISBLANK(tbl_task8[[คะแนนเต็ม]:[คะแนนเต็ม]]),"",(tbl_task8[123]/tbl_task8[[คะแนนเต็ม]:[คะแนนเต็ม]])*tbl_task8[[%]:[%]])</f>
        <v/>
      </c>
      <c r="KH14" s="121" t="str">
        <f>IF(ISBLANK(tbl_task8[[คะแนนเต็ม]:[คะแนนเต็ม]]),"",(tbl_task8[124]/tbl_task8[[คะแนนเต็ม]:[คะแนนเต็ม]])*tbl_task8[[%]:[%]])</f>
        <v/>
      </c>
      <c r="KI14" s="121" t="str">
        <f>IF(ISBLANK(tbl_task8[[คะแนนเต็ม]:[คะแนนเต็ม]]),"",(tbl_task8[125]/tbl_task8[[คะแนนเต็ม]:[คะแนนเต็ม]])*tbl_task8[[%]:[%]])</f>
        <v/>
      </c>
      <c r="KJ14" s="121" t="str">
        <f>IF(ISBLANK(tbl_task8[[คะแนนเต็ม]:[คะแนนเต็ม]]),"",(tbl_task8[126]/tbl_task8[[คะแนนเต็ม]:[คะแนนเต็ม]])*tbl_task8[[%]:[%]])</f>
        <v/>
      </c>
      <c r="KK14" s="121" t="str">
        <f>IF(ISBLANK(tbl_task8[[คะแนนเต็ม]:[คะแนนเต็ม]]),"",(tbl_task8[127]/tbl_task8[[คะแนนเต็ม]:[คะแนนเต็ม]])*tbl_task8[[%]:[%]])</f>
        <v/>
      </c>
      <c r="KL14" s="121" t="str">
        <f>IF(ISBLANK(tbl_task8[[คะแนนเต็ม]:[คะแนนเต็ม]]),"",(tbl_task8[128]/tbl_task8[[คะแนนเต็ม]:[คะแนนเต็ม]])*tbl_task8[[%]:[%]])</f>
        <v/>
      </c>
      <c r="KM14" s="121" t="str">
        <f>IF(ISBLANK(tbl_task8[[คะแนนเต็ม]:[คะแนนเต็ม]]),"",(tbl_task8[129]/tbl_task8[[คะแนนเต็ม]:[คะแนนเต็ม]])*tbl_task8[[%]:[%]])</f>
        <v/>
      </c>
      <c r="KN14" s="121" t="str">
        <f>IF(ISBLANK(tbl_task8[[คะแนนเต็ม]:[คะแนนเต็ม]]),"",(tbl_task8[130]/tbl_task8[[คะแนนเต็ม]:[คะแนนเต็ม]])*tbl_task8[[%]:[%]])</f>
        <v/>
      </c>
      <c r="KO14" s="121" t="str">
        <f>IF(ISBLANK(tbl_task8[[คะแนนเต็ม]:[คะแนนเต็ม]]),"",(tbl_task8[131]/tbl_task8[[คะแนนเต็ม]:[คะแนนเต็ม]])*tbl_task8[[%]:[%]])</f>
        <v/>
      </c>
      <c r="KP14" s="121" t="str">
        <f>IF(ISBLANK(tbl_task8[[คะแนนเต็ม]:[คะแนนเต็ม]]),"",(tbl_task8[132]/tbl_task8[[คะแนนเต็ม]:[คะแนนเต็ม]])*tbl_task8[[%]:[%]])</f>
        <v/>
      </c>
      <c r="KQ14" s="121" t="str">
        <f>IF(ISBLANK(tbl_task8[[คะแนนเต็ม]:[คะแนนเต็ม]]),"",(tbl_task8[133]/tbl_task8[[คะแนนเต็ม]:[คะแนนเต็ม]])*tbl_task8[[%]:[%]])</f>
        <v/>
      </c>
      <c r="KR14" s="121" t="str">
        <f>IF(ISBLANK(tbl_task8[[คะแนนเต็ม]:[คะแนนเต็ม]]),"",(tbl_task8[134]/tbl_task8[[คะแนนเต็ม]:[คะแนนเต็ม]])*tbl_task8[[%]:[%]])</f>
        <v/>
      </c>
      <c r="KS14" s="121" t="str">
        <f>IF(ISBLANK(tbl_task8[[คะแนนเต็ม]:[คะแนนเต็ม]]),"",(tbl_task8[135]/tbl_task8[[คะแนนเต็ม]:[คะแนนเต็ม]])*tbl_task8[[%]:[%]])</f>
        <v/>
      </c>
      <c r="KT14" s="121" t="str">
        <f>IF(ISBLANK(tbl_task8[[คะแนนเต็ม]:[คะแนนเต็ม]]),"",(tbl_task8[136]/tbl_task8[[คะแนนเต็ม]:[คะแนนเต็ม]])*tbl_task8[[%]:[%]])</f>
        <v/>
      </c>
      <c r="KU14" s="121" t="str">
        <f>IF(ISBLANK(tbl_task8[[คะแนนเต็ม]:[คะแนนเต็ม]]),"",(tbl_task8[137]/tbl_task8[[คะแนนเต็ม]:[คะแนนเต็ม]])*tbl_task8[[%]:[%]])</f>
        <v/>
      </c>
      <c r="KV14" s="121" t="str">
        <f>IF(ISBLANK(tbl_task8[[คะแนนเต็ม]:[คะแนนเต็ม]]),"",(tbl_task8[138]/tbl_task8[[คะแนนเต็ม]:[คะแนนเต็ม]])*tbl_task8[[%]:[%]])</f>
        <v/>
      </c>
      <c r="KW14" s="121" t="str">
        <f>IF(ISBLANK(tbl_task8[[คะแนนเต็ม]:[คะแนนเต็ม]]),"",(tbl_task8[139]/tbl_task8[[คะแนนเต็ม]:[คะแนนเต็ม]])*tbl_task8[[%]:[%]])</f>
        <v/>
      </c>
      <c r="KX14" s="121" t="str">
        <f>IF(ISBLANK(tbl_task8[[คะแนนเต็ม]:[คะแนนเต็ม]]),"",(tbl_task8[140]/tbl_task8[[คะแนนเต็ม]:[คะแนนเต็ม]])*tbl_task8[[%]:[%]])</f>
        <v/>
      </c>
      <c r="KY14" s="121" t="str">
        <f>IF(ISBLANK(tbl_task8[[คะแนนเต็ม]:[คะแนนเต็ม]]),"",(tbl_task8[141]/tbl_task8[[คะแนนเต็ม]:[คะแนนเต็ม]])*tbl_task8[[%]:[%]])</f>
        <v/>
      </c>
      <c r="KZ14" s="121" t="str">
        <f>IF(ISBLANK(tbl_task8[[คะแนนเต็ม]:[คะแนนเต็ม]]),"",(tbl_task8[142]/tbl_task8[[คะแนนเต็ม]:[คะแนนเต็ม]])*tbl_task8[[%]:[%]])</f>
        <v/>
      </c>
      <c r="LA14" s="121" t="str">
        <f>IF(ISBLANK(tbl_task8[[คะแนนเต็ม]:[คะแนนเต็ม]]),"",(tbl_task8[143]/tbl_task8[[คะแนนเต็ม]:[คะแนนเต็ม]])*tbl_task8[[%]:[%]])</f>
        <v/>
      </c>
      <c r="LB14" s="121" t="str">
        <f>IF(ISBLANK(tbl_task8[[คะแนนเต็ม]:[คะแนนเต็ม]]),"",(tbl_task8[144]/tbl_task8[[คะแนนเต็ม]:[คะแนนเต็ม]])*tbl_task8[[%]:[%]])</f>
        <v/>
      </c>
      <c r="LC14" s="121" t="str">
        <f>IF(ISBLANK(tbl_task8[[คะแนนเต็ม]:[คะแนนเต็ม]]),"",(tbl_task8[145]/tbl_task8[[คะแนนเต็ม]:[คะแนนเต็ม]])*tbl_task8[[%]:[%]])</f>
        <v/>
      </c>
      <c r="LD14" s="121" t="str">
        <f>IF(ISBLANK(tbl_task8[[คะแนนเต็ม]:[คะแนนเต็ม]]),"",(tbl_task8[146]/tbl_task8[[คะแนนเต็ม]:[คะแนนเต็ม]])*tbl_task8[[%]:[%]])</f>
        <v/>
      </c>
      <c r="LE14" s="121" t="str">
        <f>IF(ISBLANK(tbl_task8[[คะแนนเต็ม]:[คะแนนเต็ม]]),"",(tbl_task8[147]/tbl_task8[[คะแนนเต็ม]:[คะแนนเต็ม]])*tbl_task8[[%]:[%]])</f>
        <v/>
      </c>
      <c r="LF14" s="121" t="str">
        <f>IF(ISBLANK(tbl_task8[[คะแนนเต็ม]:[คะแนนเต็ม]]),"",(tbl_task8[148]/tbl_task8[[คะแนนเต็ม]:[คะแนนเต็ม]])*tbl_task8[[%]:[%]])</f>
        <v/>
      </c>
      <c r="LG14" s="121" t="str">
        <f>IF(ISBLANK(tbl_task8[[คะแนนเต็ม]:[คะแนนเต็ม]]),"",(tbl_task8[149]/tbl_task8[[คะแนนเต็ม]:[คะแนนเต็ม]])*tbl_task8[[%]:[%]])</f>
        <v/>
      </c>
      <c r="LH14" s="121" t="str">
        <f>IF(ISBLANK(tbl_task8[[คะแนนเต็ม]:[คะแนนเต็ม]]),"",(tbl_task8[150]/tbl_task8[[คะแนนเต็ม]:[คะแนนเต็ม]])*tbl_task8[[%]:[%]])</f>
        <v/>
      </c>
      <c r="LI14" s="121" t="str">
        <f>IF(ISBLANK(tbl_task8[[คะแนนเต็ม]:[คะแนนเต็ม]]),"",(tbl_task8[151]/tbl_task8[[คะแนนเต็ม]:[คะแนนเต็ม]])*tbl_task8[[%]:[%]])</f>
        <v/>
      </c>
      <c r="LJ14" s="121" t="str">
        <f>IF(ISBLANK(tbl_task8[[คะแนนเต็ม]:[คะแนนเต็ม]]),"",(tbl_task8[152]/tbl_task8[[คะแนนเต็ม]:[คะแนนเต็ม]])*tbl_task8[[%]:[%]])</f>
        <v/>
      </c>
      <c r="LK14" s="121" t="str">
        <f>IF(ISBLANK(tbl_task8[[คะแนนเต็ม]:[คะแนนเต็ม]]),"",(tbl_task8[153]/tbl_task8[[คะแนนเต็ม]:[คะแนนเต็ม]])*tbl_task8[[%]:[%]])</f>
        <v/>
      </c>
      <c r="LL14" s="121" t="str">
        <f>IF(ISBLANK(tbl_task8[[คะแนนเต็ม]:[คะแนนเต็ม]]),"",(tbl_task8[154]/tbl_task8[[คะแนนเต็ม]:[คะแนนเต็ม]])*tbl_task8[[%]:[%]])</f>
        <v/>
      </c>
      <c r="LM14" s="121" t="str">
        <f>IF(ISBLANK(tbl_task8[[คะแนนเต็ม]:[คะแนนเต็ม]]),"",(tbl_task8[155]/tbl_task8[[คะแนนเต็ม]:[คะแนนเต็ม]])*tbl_task8[[%]:[%]])</f>
        <v/>
      </c>
      <c r="LN14" s="121" t="str">
        <f>IF(ISBLANK(tbl_task8[[คะแนนเต็ม]:[คะแนนเต็ม]]),"",(tbl_task8[156]/tbl_task8[[คะแนนเต็ม]:[คะแนนเต็ม]])*tbl_task8[[%]:[%]])</f>
        <v/>
      </c>
      <c r="LO14" s="121" t="str">
        <f>IF(ISBLANK(tbl_task8[[คะแนนเต็ม]:[คะแนนเต็ม]]),"",(tbl_task8[157]/tbl_task8[[คะแนนเต็ม]:[คะแนนเต็ม]])*tbl_task8[[%]:[%]])</f>
        <v/>
      </c>
      <c r="LP14" s="121" t="str">
        <f>IF(ISBLANK(tbl_task8[[คะแนนเต็ม]:[คะแนนเต็ม]]),"",(tbl_task8[158]/tbl_task8[[คะแนนเต็ม]:[คะแนนเต็ม]])*tbl_task8[[%]:[%]])</f>
        <v/>
      </c>
      <c r="LQ14" s="121" t="str">
        <f>IF(ISBLANK(tbl_task8[[คะแนนเต็ม]:[คะแนนเต็ม]]),"",(tbl_task8[159]/tbl_task8[[คะแนนเต็ม]:[คะแนนเต็ม]])*tbl_task8[[%]:[%]])</f>
        <v/>
      </c>
      <c r="LR14" s="121" t="str">
        <f>IF(ISBLANK(tbl_task8[[คะแนนเต็ม]:[คะแนนเต็ม]]),"",(tbl_task8[160]/tbl_task8[[คะแนนเต็ม]:[คะแนนเต็ม]])*tbl_task8[[%]:[%]])</f>
        <v/>
      </c>
      <c r="LS14" s="121" t="str">
        <f>IF(ISBLANK(tbl_task8[[คะแนนเต็ม]:[คะแนนเต็ม]]),"",(tbl_task8[161]/tbl_task8[[คะแนนเต็ม]:[คะแนนเต็ม]])*tbl_task8[[%]:[%]])</f>
        <v/>
      </c>
      <c r="LT14" s="121" t="str">
        <f>IF(ISBLANK(tbl_task8[[คะแนนเต็ม]:[คะแนนเต็ม]]),"",(tbl_task8[162]/tbl_task8[[คะแนนเต็ม]:[คะแนนเต็ม]])*tbl_task8[[%]:[%]])</f>
        <v/>
      </c>
      <c r="LU14" s="121" t="str">
        <f>IF(ISBLANK(tbl_task8[[คะแนนเต็ม]:[คะแนนเต็ม]]),"",(tbl_task8[163]/tbl_task8[[คะแนนเต็ม]:[คะแนนเต็ม]])*tbl_task8[[%]:[%]])</f>
        <v/>
      </c>
      <c r="LV14" s="121" t="str">
        <f>IF(ISBLANK(tbl_task8[[คะแนนเต็ม]:[คะแนนเต็ม]]),"",(tbl_task8[164]/tbl_task8[[คะแนนเต็ม]:[คะแนนเต็ม]])*tbl_task8[[%]:[%]])</f>
        <v/>
      </c>
      <c r="LW14" s="121" t="str">
        <f>IF(ISBLANK(tbl_task8[[คะแนนเต็ม]:[คะแนนเต็ม]]),"",(tbl_task8[165]/tbl_task8[[คะแนนเต็ม]:[คะแนนเต็ม]])*tbl_task8[[%]:[%]])</f>
        <v/>
      </c>
    </row>
    <row r="15" spans="1:335" ht="24" customHeight="1" x14ac:dyDescent="0.25">
      <c r="A15" s="24">
        <v>12</v>
      </c>
      <c r="B15" s="20"/>
      <c r="C15" s="5" t="str">
        <f>IF(ISBLANK(B15),"",VLOOKUP(B15,tbl_PLOs[],2,0))</f>
        <v/>
      </c>
      <c r="D15" s="102"/>
      <c r="E15" s="106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121" t="str">
        <f>IF(ISBLANK(tbl_task8[[คะแนนเต็ม]:[คะแนนเต็ม]]),"",(tbl_task8[1]/tbl_task8[[คะแนนเต็ม]:[คะแนนเต็ม]])*tbl_task8[[%]:[%]])</f>
        <v/>
      </c>
      <c r="FP15" s="121" t="str">
        <f>IF(ISBLANK(tbl_task8[[คะแนนเต็ม]:[คะแนนเต็ม]]),"",(tbl_task8[2]/tbl_task8[[คะแนนเต็ม]:[คะแนนเต็ม]])*tbl_task8[[%]:[%]])</f>
        <v/>
      </c>
      <c r="FQ15" s="121" t="str">
        <f>IF(ISBLANK(tbl_task8[[คะแนนเต็ม]:[คะแนนเต็ม]]),"",(tbl_task8[3]/tbl_task8[[คะแนนเต็ม]:[คะแนนเต็ม]])*tbl_task8[[%]:[%]])</f>
        <v/>
      </c>
      <c r="FR15" s="121" t="str">
        <f>IF(ISBLANK(tbl_task8[[คะแนนเต็ม]:[คะแนนเต็ม]]),"",(tbl_task8[4]/tbl_task8[[คะแนนเต็ม]:[คะแนนเต็ม]])*tbl_task8[[%]:[%]])</f>
        <v/>
      </c>
      <c r="FS15" s="121" t="str">
        <f>IF(ISBLANK(tbl_task8[[คะแนนเต็ม]:[คะแนนเต็ม]]),"",(tbl_task8[5]/tbl_task8[[คะแนนเต็ม]:[คะแนนเต็ม]])*tbl_task8[[%]:[%]])</f>
        <v/>
      </c>
      <c r="FT15" s="121" t="str">
        <f>IF(ISBLANK(tbl_task8[[คะแนนเต็ม]:[คะแนนเต็ม]]),"",(tbl_task8[6]/tbl_task8[[คะแนนเต็ม]:[คะแนนเต็ม]])*tbl_task8[[%]:[%]])</f>
        <v/>
      </c>
      <c r="FU15" s="121" t="str">
        <f>IF(ISBLANK(tbl_task8[[คะแนนเต็ม]:[คะแนนเต็ม]]),"",(tbl_task8[7]/tbl_task8[[คะแนนเต็ม]:[คะแนนเต็ม]])*tbl_task8[[%]:[%]])</f>
        <v/>
      </c>
      <c r="FV15" s="121" t="str">
        <f>IF(ISBLANK(tbl_task8[[คะแนนเต็ม]:[คะแนนเต็ม]]),"",(tbl_task8[8]/tbl_task8[[คะแนนเต็ม]:[คะแนนเต็ม]])*tbl_task8[[%]:[%]])</f>
        <v/>
      </c>
      <c r="FW15" s="121" t="str">
        <f>IF(ISBLANK(tbl_task8[[คะแนนเต็ม]:[คะแนนเต็ม]]),"",(tbl_task8[9]/tbl_task8[[คะแนนเต็ม]:[คะแนนเต็ม]])*tbl_task8[[%]:[%]])</f>
        <v/>
      </c>
      <c r="FX15" s="121" t="str">
        <f>IF(ISBLANK(tbl_task8[[คะแนนเต็ม]:[คะแนนเต็ม]]),"",(tbl_task8[10]/tbl_task8[[คะแนนเต็ม]:[คะแนนเต็ม]])*tbl_task8[[%]:[%]])</f>
        <v/>
      </c>
      <c r="FY15" s="121" t="str">
        <f>IF(ISBLANK(tbl_task8[[คะแนนเต็ม]:[คะแนนเต็ม]]),"",(tbl_task8[11]/tbl_task8[[คะแนนเต็ม]:[คะแนนเต็ม]])*tbl_task8[[%]:[%]])</f>
        <v/>
      </c>
      <c r="FZ15" s="121" t="str">
        <f>IF(ISBLANK(tbl_task8[[คะแนนเต็ม]:[คะแนนเต็ม]]),"",(tbl_task8[12]/tbl_task8[[คะแนนเต็ม]:[คะแนนเต็ม]])*tbl_task8[[%]:[%]])</f>
        <v/>
      </c>
      <c r="GA15" s="121" t="str">
        <f>IF(ISBLANK(tbl_task8[[คะแนนเต็ม]:[คะแนนเต็ม]]),"",(tbl_task8[13]/tbl_task8[[คะแนนเต็ม]:[คะแนนเต็ม]])*tbl_task8[[%]:[%]])</f>
        <v/>
      </c>
      <c r="GB15" s="121" t="str">
        <f>IF(ISBLANK(tbl_task8[[คะแนนเต็ม]:[คะแนนเต็ม]]),"",(tbl_task8[14]/tbl_task8[[คะแนนเต็ม]:[คะแนนเต็ม]])*tbl_task8[[%]:[%]])</f>
        <v/>
      </c>
      <c r="GC15" s="121" t="str">
        <f>IF(ISBLANK(tbl_task8[[คะแนนเต็ม]:[คะแนนเต็ม]]),"",(tbl_task8[15]/tbl_task8[[คะแนนเต็ม]:[คะแนนเต็ม]])*tbl_task8[[%]:[%]])</f>
        <v/>
      </c>
      <c r="GD15" s="121" t="str">
        <f>IF(ISBLANK(tbl_task8[[คะแนนเต็ม]:[คะแนนเต็ม]]),"",(tbl_task8[16]/tbl_task8[[คะแนนเต็ม]:[คะแนนเต็ม]])*tbl_task8[[%]:[%]])</f>
        <v/>
      </c>
      <c r="GE15" s="121" t="str">
        <f>IF(ISBLANK(tbl_task8[[คะแนนเต็ม]:[คะแนนเต็ม]]),"",(tbl_task8[17]/tbl_task8[[คะแนนเต็ม]:[คะแนนเต็ม]])*tbl_task8[[%]:[%]])</f>
        <v/>
      </c>
      <c r="GF15" s="121" t="str">
        <f>IF(ISBLANK(tbl_task8[[คะแนนเต็ม]:[คะแนนเต็ม]]),"",(tbl_task8[18]/tbl_task8[[คะแนนเต็ม]:[คะแนนเต็ม]])*tbl_task8[[%]:[%]])</f>
        <v/>
      </c>
      <c r="GG15" s="121" t="str">
        <f>IF(ISBLANK(tbl_task8[[คะแนนเต็ม]:[คะแนนเต็ม]]),"",(tbl_task8[19]/tbl_task8[[คะแนนเต็ม]:[คะแนนเต็ม]])*tbl_task8[[%]:[%]])</f>
        <v/>
      </c>
      <c r="GH15" s="121" t="str">
        <f>IF(ISBLANK(tbl_task8[[คะแนนเต็ม]:[คะแนนเต็ม]]),"",(tbl_task8[20]/tbl_task8[[คะแนนเต็ม]:[คะแนนเต็ม]])*tbl_task8[[%]:[%]])</f>
        <v/>
      </c>
      <c r="GI15" s="121" t="str">
        <f>IF(ISBLANK(tbl_task8[[คะแนนเต็ม]:[คะแนนเต็ม]]),"",(tbl_task8[21]/tbl_task8[[คะแนนเต็ม]:[คะแนนเต็ม]])*tbl_task8[[%]:[%]])</f>
        <v/>
      </c>
      <c r="GJ15" s="121" t="str">
        <f>IF(ISBLANK(tbl_task8[[คะแนนเต็ม]:[คะแนนเต็ม]]),"",(tbl_task8[22]/tbl_task8[[คะแนนเต็ม]:[คะแนนเต็ม]])*tbl_task8[[%]:[%]])</f>
        <v/>
      </c>
      <c r="GK15" s="121" t="str">
        <f>IF(ISBLANK(tbl_task8[[คะแนนเต็ม]:[คะแนนเต็ม]]),"",(tbl_task8[23]/tbl_task8[[คะแนนเต็ม]:[คะแนนเต็ม]])*tbl_task8[[%]:[%]])</f>
        <v/>
      </c>
      <c r="GL15" s="121" t="str">
        <f>IF(ISBLANK(tbl_task8[[คะแนนเต็ม]:[คะแนนเต็ม]]),"",(tbl_task8[24]/tbl_task8[[คะแนนเต็ม]:[คะแนนเต็ม]])*tbl_task8[[%]:[%]])</f>
        <v/>
      </c>
      <c r="GM15" s="121" t="str">
        <f>IF(ISBLANK(tbl_task8[[คะแนนเต็ม]:[คะแนนเต็ม]]),"",(tbl_task8[25]/tbl_task8[[คะแนนเต็ม]:[คะแนนเต็ม]])*tbl_task8[[%]:[%]])</f>
        <v/>
      </c>
      <c r="GN15" s="121" t="str">
        <f>IF(ISBLANK(tbl_task8[[คะแนนเต็ม]:[คะแนนเต็ม]]),"",(tbl_task8[26]/tbl_task8[[คะแนนเต็ม]:[คะแนนเต็ม]])*tbl_task8[[%]:[%]])</f>
        <v/>
      </c>
      <c r="GO15" s="121" t="str">
        <f>IF(ISBLANK(tbl_task8[[คะแนนเต็ม]:[คะแนนเต็ม]]),"",(tbl_task8[27]/tbl_task8[[คะแนนเต็ม]:[คะแนนเต็ม]])*tbl_task8[[%]:[%]])</f>
        <v/>
      </c>
      <c r="GP15" s="121" t="str">
        <f>IF(ISBLANK(tbl_task8[[คะแนนเต็ม]:[คะแนนเต็ม]]),"",(tbl_task8[28]/tbl_task8[[คะแนนเต็ม]:[คะแนนเต็ม]])*tbl_task8[[%]:[%]])</f>
        <v/>
      </c>
      <c r="GQ15" s="121" t="str">
        <f>IF(ISBLANK(tbl_task8[[คะแนนเต็ม]:[คะแนนเต็ม]]),"",(tbl_task8[29]/tbl_task8[[คะแนนเต็ม]:[คะแนนเต็ม]])*tbl_task8[[%]:[%]])</f>
        <v/>
      </c>
      <c r="GR15" s="121" t="str">
        <f>IF(ISBLANK(tbl_task8[[คะแนนเต็ม]:[คะแนนเต็ม]]),"",(tbl_task8[30]/tbl_task8[[คะแนนเต็ม]:[คะแนนเต็ม]])*tbl_task8[[%]:[%]])</f>
        <v/>
      </c>
      <c r="GS15" s="121" t="str">
        <f>IF(ISBLANK(tbl_task8[[คะแนนเต็ม]:[คะแนนเต็ม]]),"",(tbl_task8[31]/tbl_task8[[คะแนนเต็ม]:[คะแนนเต็ม]])*tbl_task8[[%]:[%]])</f>
        <v/>
      </c>
      <c r="GT15" s="121" t="str">
        <f>IF(ISBLANK(tbl_task8[[คะแนนเต็ม]:[คะแนนเต็ม]]),"",(tbl_task8[32]/tbl_task8[[คะแนนเต็ม]:[คะแนนเต็ม]])*tbl_task8[[%]:[%]])</f>
        <v/>
      </c>
      <c r="GU15" s="121" t="str">
        <f>IF(ISBLANK(tbl_task8[[คะแนนเต็ม]:[คะแนนเต็ม]]),"",(tbl_task8[33]/tbl_task8[[คะแนนเต็ม]:[คะแนนเต็ม]])*tbl_task8[[%]:[%]])</f>
        <v/>
      </c>
      <c r="GV15" s="121" t="str">
        <f>IF(ISBLANK(tbl_task8[[คะแนนเต็ม]:[คะแนนเต็ม]]),"",(tbl_task8[34]/tbl_task8[[คะแนนเต็ม]:[คะแนนเต็ม]])*tbl_task8[[%]:[%]])</f>
        <v/>
      </c>
      <c r="GW15" s="121" t="str">
        <f>IF(ISBLANK(tbl_task8[[คะแนนเต็ม]:[คะแนนเต็ม]]),"",(tbl_task8[35]/tbl_task8[[คะแนนเต็ม]:[คะแนนเต็ม]])*tbl_task8[[%]:[%]])</f>
        <v/>
      </c>
      <c r="GX15" s="121" t="str">
        <f>IF(ISBLANK(tbl_task8[[คะแนนเต็ม]:[คะแนนเต็ม]]),"",(tbl_task8[36]/tbl_task8[[คะแนนเต็ม]:[คะแนนเต็ม]])*tbl_task8[[%]:[%]])</f>
        <v/>
      </c>
      <c r="GY15" s="121" t="str">
        <f>IF(ISBLANK(tbl_task8[[คะแนนเต็ม]:[คะแนนเต็ม]]),"",(tbl_task8[37]/tbl_task8[[คะแนนเต็ม]:[คะแนนเต็ม]])*tbl_task8[[%]:[%]])</f>
        <v/>
      </c>
      <c r="GZ15" s="121" t="str">
        <f>IF(ISBLANK(tbl_task8[[คะแนนเต็ม]:[คะแนนเต็ม]]),"",(tbl_task8[38]/tbl_task8[[คะแนนเต็ม]:[คะแนนเต็ม]])*tbl_task8[[%]:[%]])</f>
        <v/>
      </c>
      <c r="HA15" s="121" t="str">
        <f>IF(ISBLANK(tbl_task8[[คะแนนเต็ม]:[คะแนนเต็ม]]),"",(tbl_task8[39]/tbl_task8[[คะแนนเต็ม]:[คะแนนเต็ม]])*tbl_task8[[%]:[%]])</f>
        <v/>
      </c>
      <c r="HB15" s="121" t="str">
        <f>IF(ISBLANK(tbl_task8[[คะแนนเต็ม]:[คะแนนเต็ม]]),"",(tbl_task8[40]/tbl_task8[[คะแนนเต็ม]:[คะแนนเต็ม]])*tbl_task8[[%]:[%]])</f>
        <v/>
      </c>
      <c r="HC15" s="121" t="str">
        <f>IF(ISBLANK(tbl_task8[[คะแนนเต็ม]:[คะแนนเต็ม]]),"",(tbl_task8[41]/tbl_task8[[คะแนนเต็ม]:[คะแนนเต็ม]])*tbl_task8[[%]:[%]])</f>
        <v/>
      </c>
      <c r="HD15" s="121" t="str">
        <f>IF(ISBLANK(tbl_task8[[คะแนนเต็ม]:[คะแนนเต็ม]]),"",(tbl_task8[42]/tbl_task8[[คะแนนเต็ม]:[คะแนนเต็ม]])*tbl_task8[[%]:[%]])</f>
        <v/>
      </c>
      <c r="HE15" s="121" t="str">
        <f>IF(ISBLANK(tbl_task8[[คะแนนเต็ม]:[คะแนนเต็ม]]),"",(tbl_task8[43]/tbl_task8[[คะแนนเต็ม]:[คะแนนเต็ม]])*tbl_task8[[%]:[%]])</f>
        <v/>
      </c>
      <c r="HF15" s="121" t="str">
        <f>IF(ISBLANK(tbl_task8[[คะแนนเต็ม]:[คะแนนเต็ม]]),"",(tbl_task8[44]/tbl_task8[[คะแนนเต็ม]:[คะแนนเต็ม]])*tbl_task8[[%]:[%]])</f>
        <v/>
      </c>
      <c r="HG15" s="121" t="str">
        <f>IF(ISBLANK(tbl_task8[[คะแนนเต็ม]:[คะแนนเต็ม]]),"",(tbl_task8[45]/tbl_task8[[คะแนนเต็ม]:[คะแนนเต็ม]])*tbl_task8[[%]:[%]])</f>
        <v/>
      </c>
      <c r="HH15" s="121" t="str">
        <f>IF(ISBLANK(tbl_task8[[คะแนนเต็ม]:[คะแนนเต็ม]]),"",(tbl_task8[46]/tbl_task8[[คะแนนเต็ม]:[คะแนนเต็ม]])*tbl_task8[[%]:[%]])</f>
        <v/>
      </c>
      <c r="HI15" s="121" t="str">
        <f>IF(ISBLANK(tbl_task8[[คะแนนเต็ม]:[คะแนนเต็ม]]),"",(tbl_task8[47]/tbl_task8[[คะแนนเต็ม]:[คะแนนเต็ม]])*tbl_task8[[%]:[%]])</f>
        <v/>
      </c>
      <c r="HJ15" s="121" t="str">
        <f>IF(ISBLANK(tbl_task8[[คะแนนเต็ม]:[คะแนนเต็ม]]),"",(tbl_task8[48]/tbl_task8[[คะแนนเต็ม]:[คะแนนเต็ม]])*tbl_task8[[%]:[%]])</f>
        <v/>
      </c>
      <c r="HK15" s="121" t="str">
        <f>IF(ISBLANK(tbl_task8[[คะแนนเต็ม]:[คะแนนเต็ม]]),"",(tbl_task8[49]/tbl_task8[[คะแนนเต็ม]:[คะแนนเต็ม]])*tbl_task8[[%]:[%]])</f>
        <v/>
      </c>
      <c r="HL15" s="121" t="str">
        <f>IF(ISBLANK(tbl_task8[[คะแนนเต็ม]:[คะแนนเต็ม]]),"",(tbl_task8[50]/tbl_task8[[คะแนนเต็ม]:[คะแนนเต็ม]])*tbl_task8[[%]:[%]])</f>
        <v/>
      </c>
      <c r="HM15" s="121" t="str">
        <f>IF(ISBLANK(tbl_task8[[คะแนนเต็ม]:[คะแนนเต็ม]]),"",(tbl_task8[51]/tbl_task8[[คะแนนเต็ม]:[คะแนนเต็ม]])*tbl_task8[[%]:[%]])</f>
        <v/>
      </c>
      <c r="HN15" s="121" t="str">
        <f>IF(ISBLANK(tbl_task8[[คะแนนเต็ม]:[คะแนนเต็ม]]),"",(tbl_task8[52]/tbl_task8[[คะแนนเต็ม]:[คะแนนเต็ม]])*tbl_task8[[%]:[%]])</f>
        <v/>
      </c>
      <c r="HO15" s="121" t="str">
        <f>IF(ISBLANK(tbl_task8[[คะแนนเต็ม]:[คะแนนเต็ม]]),"",(tbl_task8[53]/tbl_task8[[คะแนนเต็ม]:[คะแนนเต็ม]])*tbl_task8[[%]:[%]])</f>
        <v/>
      </c>
      <c r="HP15" s="121" t="str">
        <f>IF(ISBLANK(tbl_task8[[คะแนนเต็ม]:[คะแนนเต็ม]]),"",(tbl_task8[54]/tbl_task8[[คะแนนเต็ม]:[คะแนนเต็ม]])*tbl_task8[[%]:[%]])</f>
        <v/>
      </c>
      <c r="HQ15" s="121" t="str">
        <f>IF(ISBLANK(tbl_task8[[คะแนนเต็ม]:[คะแนนเต็ม]]),"",(tbl_task8[55]/tbl_task8[[คะแนนเต็ม]:[คะแนนเต็ม]])*tbl_task8[[%]:[%]])</f>
        <v/>
      </c>
      <c r="HR15" s="121" t="str">
        <f>IF(ISBLANK(tbl_task8[[คะแนนเต็ม]:[คะแนนเต็ม]]),"",(tbl_task8[56]/tbl_task8[[คะแนนเต็ม]:[คะแนนเต็ม]])*tbl_task8[[%]:[%]])</f>
        <v/>
      </c>
      <c r="HS15" s="121" t="str">
        <f>IF(ISBLANK(tbl_task8[[คะแนนเต็ม]:[คะแนนเต็ม]]),"",(tbl_task8[57]/tbl_task8[[คะแนนเต็ม]:[คะแนนเต็ม]])*tbl_task8[[%]:[%]])</f>
        <v/>
      </c>
      <c r="HT15" s="121" t="str">
        <f>IF(ISBLANK(tbl_task8[[คะแนนเต็ม]:[คะแนนเต็ม]]),"",(tbl_task8[58]/tbl_task8[[คะแนนเต็ม]:[คะแนนเต็ม]])*tbl_task8[[%]:[%]])</f>
        <v/>
      </c>
      <c r="HU15" s="121" t="str">
        <f>IF(ISBLANK(tbl_task8[[คะแนนเต็ม]:[คะแนนเต็ม]]),"",(tbl_task8[59]/tbl_task8[[คะแนนเต็ม]:[คะแนนเต็ม]])*tbl_task8[[%]:[%]])</f>
        <v/>
      </c>
      <c r="HV15" s="121" t="str">
        <f>IF(ISBLANK(tbl_task8[[คะแนนเต็ม]:[คะแนนเต็ม]]),"",(tbl_task8[60]/tbl_task8[[คะแนนเต็ม]:[คะแนนเต็ม]])*tbl_task8[[%]:[%]])</f>
        <v/>
      </c>
      <c r="HW15" s="121" t="str">
        <f>IF(ISBLANK(tbl_task8[[คะแนนเต็ม]:[คะแนนเต็ม]]),"",(tbl_task8[61]/tbl_task8[[คะแนนเต็ม]:[คะแนนเต็ม]])*tbl_task8[[%]:[%]])</f>
        <v/>
      </c>
      <c r="HX15" s="121" t="str">
        <f>IF(ISBLANK(tbl_task8[[คะแนนเต็ม]:[คะแนนเต็ม]]),"",(tbl_task8[62]/tbl_task8[[คะแนนเต็ม]:[คะแนนเต็ม]])*tbl_task8[[%]:[%]])</f>
        <v/>
      </c>
      <c r="HY15" s="121" t="str">
        <f>IF(ISBLANK(tbl_task8[[คะแนนเต็ม]:[คะแนนเต็ม]]),"",(tbl_task8[63]/tbl_task8[[คะแนนเต็ม]:[คะแนนเต็ม]])*tbl_task8[[%]:[%]])</f>
        <v/>
      </c>
      <c r="HZ15" s="121" t="str">
        <f>IF(ISBLANK(tbl_task8[[คะแนนเต็ม]:[คะแนนเต็ม]]),"",(tbl_task8[64]/tbl_task8[[คะแนนเต็ม]:[คะแนนเต็ม]])*tbl_task8[[%]:[%]])</f>
        <v/>
      </c>
      <c r="IA15" s="121" t="str">
        <f>IF(ISBLANK(tbl_task8[[คะแนนเต็ม]:[คะแนนเต็ม]]),"",(tbl_task8[65]/tbl_task8[[คะแนนเต็ม]:[คะแนนเต็ม]])*tbl_task8[[%]:[%]])</f>
        <v/>
      </c>
      <c r="IB15" s="121" t="str">
        <f>IF(ISBLANK(tbl_task8[[คะแนนเต็ม]:[คะแนนเต็ม]]),"",(tbl_task8[66]/tbl_task8[[คะแนนเต็ม]:[คะแนนเต็ม]])*tbl_task8[[%]:[%]])</f>
        <v/>
      </c>
      <c r="IC15" s="121" t="str">
        <f>IF(ISBLANK(tbl_task8[[คะแนนเต็ม]:[คะแนนเต็ม]]),"",(tbl_task8[67]/tbl_task8[[คะแนนเต็ม]:[คะแนนเต็ม]])*tbl_task8[[%]:[%]])</f>
        <v/>
      </c>
      <c r="ID15" s="121" t="str">
        <f>IF(ISBLANK(tbl_task8[[คะแนนเต็ม]:[คะแนนเต็ม]]),"",(tbl_task8[68]/tbl_task8[[คะแนนเต็ม]:[คะแนนเต็ม]])*tbl_task8[[%]:[%]])</f>
        <v/>
      </c>
      <c r="IE15" s="121" t="str">
        <f>IF(ISBLANK(tbl_task8[[คะแนนเต็ม]:[คะแนนเต็ม]]),"",(tbl_task8[69]/tbl_task8[[คะแนนเต็ม]:[คะแนนเต็ม]])*tbl_task8[[%]:[%]])</f>
        <v/>
      </c>
      <c r="IF15" s="121" t="str">
        <f>IF(ISBLANK(tbl_task8[[คะแนนเต็ม]:[คะแนนเต็ม]]),"",(tbl_task8[70]/tbl_task8[[คะแนนเต็ม]:[คะแนนเต็ม]])*tbl_task8[[%]:[%]])</f>
        <v/>
      </c>
      <c r="IG15" s="121" t="str">
        <f>IF(ISBLANK(tbl_task8[[คะแนนเต็ม]:[คะแนนเต็ม]]),"",(tbl_task8[71]/tbl_task8[[คะแนนเต็ม]:[คะแนนเต็ม]])*tbl_task8[[%]:[%]])</f>
        <v/>
      </c>
      <c r="IH15" s="121" t="str">
        <f>IF(ISBLANK(tbl_task8[[คะแนนเต็ม]:[คะแนนเต็ม]]),"",(tbl_task8[72]/tbl_task8[[คะแนนเต็ม]:[คะแนนเต็ม]])*tbl_task8[[%]:[%]])</f>
        <v/>
      </c>
      <c r="II15" s="121" t="str">
        <f>IF(ISBLANK(tbl_task8[[คะแนนเต็ม]:[คะแนนเต็ม]]),"",(tbl_task8[73]/tbl_task8[[คะแนนเต็ม]:[คะแนนเต็ม]])*tbl_task8[[%]:[%]])</f>
        <v/>
      </c>
      <c r="IJ15" s="121" t="str">
        <f>IF(ISBLANK(tbl_task8[[คะแนนเต็ม]:[คะแนนเต็ม]]),"",(tbl_task8[74]/tbl_task8[[คะแนนเต็ม]:[คะแนนเต็ม]])*tbl_task8[[%]:[%]])</f>
        <v/>
      </c>
      <c r="IK15" s="121" t="str">
        <f>IF(ISBLANK(tbl_task8[[คะแนนเต็ม]:[คะแนนเต็ม]]),"",(tbl_task8[75]/tbl_task8[[คะแนนเต็ม]:[คะแนนเต็ม]])*tbl_task8[[%]:[%]])</f>
        <v/>
      </c>
      <c r="IL15" s="121" t="str">
        <f>IF(ISBLANK(tbl_task8[[คะแนนเต็ม]:[คะแนนเต็ม]]),"",(tbl_task8[76]/tbl_task8[[คะแนนเต็ม]:[คะแนนเต็ม]])*tbl_task8[[%]:[%]])</f>
        <v/>
      </c>
      <c r="IM15" s="121" t="str">
        <f>IF(ISBLANK(tbl_task8[[คะแนนเต็ม]:[คะแนนเต็ม]]),"",(tbl_task8[77]/tbl_task8[[คะแนนเต็ม]:[คะแนนเต็ม]])*tbl_task8[[%]:[%]])</f>
        <v/>
      </c>
      <c r="IN15" s="121" t="str">
        <f>IF(ISBLANK(tbl_task8[[คะแนนเต็ม]:[คะแนนเต็ม]]),"",(tbl_task8[78]/tbl_task8[[คะแนนเต็ม]:[คะแนนเต็ม]])*tbl_task8[[%]:[%]])</f>
        <v/>
      </c>
      <c r="IO15" s="121" t="str">
        <f>IF(ISBLANK(tbl_task8[[คะแนนเต็ม]:[คะแนนเต็ม]]),"",(tbl_task8[79]/tbl_task8[[คะแนนเต็ม]:[คะแนนเต็ม]])*tbl_task8[[%]:[%]])</f>
        <v/>
      </c>
      <c r="IP15" s="121" t="str">
        <f>IF(ISBLANK(tbl_task8[[คะแนนเต็ม]:[คะแนนเต็ม]]),"",(tbl_task8[80]/tbl_task8[[คะแนนเต็ม]:[คะแนนเต็ม]])*tbl_task8[[%]:[%]])</f>
        <v/>
      </c>
      <c r="IQ15" s="121" t="str">
        <f>IF(ISBLANK(tbl_task8[[คะแนนเต็ม]:[คะแนนเต็ม]]),"",(tbl_task8[81]/tbl_task8[[คะแนนเต็ม]:[คะแนนเต็ม]])*tbl_task8[[%]:[%]])</f>
        <v/>
      </c>
      <c r="IR15" s="121" t="str">
        <f>IF(ISBLANK(tbl_task8[[คะแนนเต็ม]:[คะแนนเต็ม]]),"",(tbl_task8[82]/tbl_task8[[คะแนนเต็ม]:[คะแนนเต็ม]])*tbl_task8[[%]:[%]])</f>
        <v/>
      </c>
      <c r="IS15" s="121" t="str">
        <f>IF(ISBLANK(tbl_task8[[คะแนนเต็ม]:[คะแนนเต็ม]]),"",(tbl_task8[83]/tbl_task8[[คะแนนเต็ม]:[คะแนนเต็ม]])*tbl_task8[[%]:[%]])</f>
        <v/>
      </c>
      <c r="IT15" s="121" t="str">
        <f>IF(ISBLANK(tbl_task8[[คะแนนเต็ม]:[คะแนนเต็ม]]),"",(tbl_task8[84]/tbl_task8[[คะแนนเต็ม]:[คะแนนเต็ม]])*tbl_task8[[%]:[%]])</f>
        <v/>
      </c>
      <c r="IU15" s="121" t="str">
        <f>IF(ISBLANK(tbl_task8[[คะแนนเต็ม]:[คะแนนเต็ม]]),"",(tbl_task8[85]/tbl_task8[[คะแนนเต็ม]:[คะแนนเต็ม]])*tbl_task8[[%]:[%]])</f>
        <v/>
      </c>
      <c r="IV15" s="121" t="str">
        <f>IF(ISBLANK(tbl_task8[[คะแนนเต็ม]:[คะแนนเต็ม]]),"",(tbl_task8[86]/tbl_task8[[คะแนนเต็ม]:[คะแนนเต็ม]])*tbl_task8[[%]:[%]])</f>
        <v/>
      </c>
      <c r="IW15" s="121" t="str">
        <f>IF(ISBLANK(tbl_task8[[คะแนนเต็ม]:[คะแนนเต็ม]]),"",(tbl_task8[87]/tbl_task8[[คะแนนเต็ม]:[คะแนนเต็ม]])*tbl_task8[[%]:[%]])</f>
        <v/>
      </c>
      <c r="IX15" s="121" t="str">
        <f>IF(ISBLANK(tbl_task8[[คะแนนเต็ม]:[คะแนนเต็ม]]),"",(tbl_task8[88]/tbl_task8[[คะแนนเต็ม]:[คะแนนเต็ม]])*tbl_task8[[%]:[%]])</f>
        <v/>
      </c>
      <c r="IY15" s="121" t="str">
        <f>IF(ISBLANK(tbl_task8[[คะแนนเต็ม]:[คะแนนเต็ม]]),"",(tbl_task8[89]/tbl_task8[[คะแนนเต็ม]:[คะแนนเต็ม]])*tbl_task8[[%]:[%]])</f>
        <v/>
      </c>
      <c r="IZ15" s="121" t="str">
        <f>IF(ISBLANK(tbl_task8[[คะแนนเต็ม]:[คะแนนเต็ม]]),"",(tbl_task8[90]/tbl_task8[[คะแนนเต็ม]:[คะแนนเต็ม]])*tbl_task8[[%]:[%]])</f>
        <v/>
      </c>
      <c r="JA15" s="121" t="str">
        <f>IF(ISBLANK(tbl_task8[[คะแนนเต็ม]:[คะแนนเต็ม]]),"",(tbl_task8[91]/tbl_task8[[คะแนนเต็ม]:[คะแนนเต็ม]])*tbl_task8[[%]:[%]])</f>
        <v/>
      </c>
      <c r="JB15" s="121" t="str">
        <f>IF(ISBLANK(tbl_task8[[คะแนนเต็ม]:[คะแนนเต็ม]]),"",(tbl_task8[92]/tbl_task8[[คะแนนเต็ม]:[คะแนนเต็ม]])*tbl_task8[[%]:[%]])</f>
        <v/>
      </c>
      <c r="JC15" s="121" t="str">
        <f>IF(ISBLANK(tbl_task8[[คะแนนเต็ม]:[คะแนนเต็ม]]),"",(tbl_task8[93]/tbl_task8[[คะแนนเต็ม]:[คะแนนเต็ม]])*tbl_task8[[%]:[%]])</f>
        <v/>
      </c>
      <c r="JD15" s="121" t="str">
        <f>IF(ISBLANK(tbl_task8[[คะแนนเต็ม]:[คะแนนเต็ม]]),"",(tbl_task8[94]/tbl_task8[[คะแนนเต็ม]:[คะแนนเต็ม]])*tbl_task8[[%]:[%]])</f>
        <v/>
      </c>
      <c r="JE15" s="121" t="str">
        <f>IF(ISBLANK(tbl_task8[[คะแนนเต็ม]:[คะแนนเต็ม]]),"",(tbl_task8[95]/tbl_task8[[คะแนนเต็ม]:[คะแนนเต็ม]])*tbl_task8[[%]:[%]])</f>
        <v/>
      </c>
      <c r="JF15" s="121" t="str">
        <f>IF(ISBLANK(tbl_task8[[คะแนนเต็ม]:[คะแนนเต็ม]]),"",(tbl_task8[96]/tbl_task8[[คะแนนเต็ม]:[คะแนนเต็ม]])*tbl_task8[[%]:[%]])</f>
        <v/>
      </c>
      <c r="JG15" s="121" t="str">
        <f>IF(ISBLANK(tbl_task8[[คะแนนเต็ม]:[คะแนนเต็ม]]),"",(tbl_task8[97]/tbl_task8[[คะแนนเต็ม]:[คะแนนเต็ม]])*tbl_task8[[%]:[%]])</f>
        <v/>
      </c>
      <c r="JH15" s="121" t="str">
        <f>IF(ISBLANK(tbl_task8[[คะแนนเต็ม]:[คะแนนเต็ม]]),"",(tbl_task8[98]/tbl_task8[[คะแนนเต็ม]:[คะแนนเต็ม]])*tbl_task8[[%]:[%]])</f>
        <v/>
      </c>
      <c r="JI15" s="121" t="str">
        <f>IF(ISBLANK(tbl_task8[[คะแนนเต็ม]:[คะแนนเต็ม]]),"",(tbl_task8[99]/tbl_task8[[คะแนนเต็ม]:[คะแนนเต็ม]])*tbl_task8[[%]:[%]])</f>
        <v/>
      </c>
      <c r="JJ15" s="121" t="str">
        <f>IF(ISBLANK(tbl_task8[[คะแนนเต็ม]:[คะแนนเต็ม]]),"",(tbl_task8[100]/tbl_task8[[คะแนนเต็ม]:[คะแนนเต็ม]])*tbl_task8[[%]:[%]])</f>
        <v/>
      </c>
      <c r="JK15" s="121" t="str">
        <f>IF(ISBLANK(tbl_task8[[คะแนนเต็ม]:[คะแนนเต็ม]]),"",(tbl_task8[101]/tbl_task8[[คะแนนเต็ม]:[คะแนนเต็ม]])*tbl_task8[[%]:[%]])</f>
        <v/>
      </c>
      <c r="JL15" s="121" t="str">
        <f>IF(ISBLANK(tbl_task8[[คะแนนเต็ม]:[คะแนนเต็ม]]),"",(tbl_task8[102]/tbl_task8[[คะแนนเต็ม]:[คะแนนเต็ม]])*tbl_task8[[%]:[%]])</f>
        <v/>
      </c>
      <c r="JM15" s="121" t="str">
        <f>IF(ISBLANK(tbl_task8[[คะแนนเต็ม]:[คะแนนเต็ม]]),"",(tbl_task8[103]/tbl_task8[[คะแนนเต็ม]:[คะแนนเต็ม]])*tbl_task8[[%]:[%]])</f>
        <v/>
      </c>
      <c r="JN15" s="121" t="str">
        <f>IF(ISBLANK(tbl_task8[[คะแนนเต็ม]:[คะแนนเต็ม]]),"",(tbl_task8[104]/tbl_task8[[คะแนนเต็ม]:[คะแนนเต็ม]])*tbl_task8[[%]:[%]])</f>
        <v/>
      </c>
      <c r="JO15" s="121" t="str">
        <f>IF(ISBLANK(tbl_task8[[คะแนนเต็ม]:[คะแนนเต็ม]]),"",(tbl_task8[105]/tbl_task8[[คะแนนเต็ม]:[คะแนนเต็ม]])*tbl_task8[[%]:[%]])</f>
        <v/>
      </c>
      <c r="JP15" s="121" t="str">
        <f>IF(ISBLANK(tbl_task8[[คะแนนเต็ม]:[คะแนนเต็ม]]),"",(tbl_task8[106]/tbl_task8[[คะแนนเต็ม]:[คะแนนเต็ม]])*tbl_task8[[%]:[%]])</f>
        <v/>
      </c>
      <c r="JQ15" s="121" t="str">
        <f>IF(ISBLANK(tbl_task8[[คะแนนเต็ม]:[คะแนนเต็ม]]),"",(tbl_task8[107]/tbl_task8[[คะแนนเต็ม]:[คะแนนเต็ม]])*tbl_task8[[%]:[%]])</f>
        <v/>
      </c>
      <c r="JR15" s="121" t="str">
        <f>IF(ISBLANK(tbl_task8[[คะแนนเต็ม]:[คะแนนเต็ม]]),"",(tbl_task8[108]/tbl_task8[[คะแนนเต็ม]:[คะแนนเต็ม]])*tbl_task8[[%]:[%]])</f>
        <v/>
      </c>
      <c r="JS15" s="121" t="str">
        <f>IF(ISBLANK(tbl_task8[[คะแนนเต็ม]:[คะแนนเต็ม]]),"",(tbl_task8[109]/tbl_task8[[คะแนนเต็ม]:[คะแนนเต็ม]])*tbl_task8[[%]:[%]])</f>
        <v/>
      </c>
      <c r="JT15" s="121" t="str">
        <f>IF(ISBLANK(tbl_task8[[คะแนนเต็ม]:[คะแนนเต็ม]]),"",(tbl_task8[110]/tbl_task8[[คะแนนเต็ม]:[คะแนนเต็ม]])*tbl_task8[[%]:[%]])</f>
        <v/>
      </c>
      <c r="JU15" s="121" t="str">
        <f>IF(ISBLANK(tbl_task8[[คะแนนเต็ม]:[คะแนนเต็ม]]),"",(tbl_task8[111]/tbl_task8[[คะแนนเต็ม]:[คะแนนเต็ม]])*tbl_task8[[%]:[%]])</f>
        <v/>
      </c>
      <c r="JV15" s="121" t="str">
        <f>IF(ISBLANK(tbl_task8[[คะแนนเต็ม]:[คะแนนเต็ม]]),"",(tbl_task8[112]/tbl_task8[[คะแนนเต็ม]:[คะแนนเต็ม]])*tbl_task8[[%]:[%]])</f>
        <v/>
      </c>
      <c r="JW15" s="121" t="str">
        <f>IF(ISBLANK(tbl_task8[[คะแนนเต็ม]:[คะแนนเต็ม]]),"",(tbl_task8[113]/tbl_task8[[คะแนนเต็ม]:[คะแนนเต็ม]])*tbl_task8[[%]:[%]])</f>
        <v/>
      </c>
      <c r="JX15" s="121" t="str">
        <f>IF(ISBLANK(tbl_task8[[คะแนนเต็ม]:[คะแนนเต็ม]]),"",(tbl_task8[114]/tbl_task8[[คะแนนเต็ม]:[คะแนนเต็ม]])*tbl_task8[[%]:[%]])</f>
        <v/>
      </c>
      <c r="JY15" s="121" t="str">
        <f>IF(ISBLANK(tbl_task8[[คะแนนเต็ม]:[คะแนนเต็ม]]),"",(tbl_task8[115]/tbl_task8[[คะแนนเต็ม]:[คะแนนเต็ม]])*tbl_task8[[%]:[%]])</f>
        <v/>
      </c>
      <c r="JZ15" s="121" t="str">
        <f>IF(ISBLANK(tbl_task8[[คะแนนเต็ม]:[คะแนนเต็ม]]),"",(tbl_task8[116]/tbl_task8[[คะแนนเต็ม]:[คะแนนเต็ม]])*tbl_task8[[%]:[%]])</f>
        <v/>
      </c>
      <c r="KA15" s="121" t="str">
        <f>IF(ISBLANK(tbl_task8[[คะแนนเต็ม]:[คะแนนเต็ม]]),"",(tbl_task8[117]/tbl_task8[[คะแนนเต็ม]:[คะแนนเต็ม]])*tbl_task8[[%]:[%]])</f>
        <v/>
      </c>
      <c r="KB15" s="121" t="str">
        <f>IF(ISBLANK(tbl_task8[[คะแนนเต็ม]:[คะแนนเต็ม]]),"",(tbl_task8[118]/tbl_task8[[คะแนนเต็ม]:[คะแนนเต็ม]])*tbl_task8[[%]:[%]])</f>
        <v/>
      </c>
      <c r="KC15" s="121" t="str">
        <f>IF(ISBLANK(tbl_task8[[คะแนนเต็ม]:[คะแนนเต็ม]]),"",(tbl_task8[119]/tbl_task8[[คะแนนเต็ม]:[คะแนนเต็ม]])*tbl_task8[[%]:[%]])</f>
        <v/>
      </c>
      <c r="KD15" s="121" t="str">
        <f>IF(ISBLANK(tbl_task8[[คะแนนเต็ม]:[คะแนนเต็ม]]),"",(tbl_task8[120]/tbl_task8[[คะแนนเต็ม]:[คะแนนเต็ม]])*tbl_task8[[%]:[%]])</f>
        <v/>
      </c>
      <c r="KE15" s="121" t="str">
        <f>IF(ISBLANK(tbl_task8[[คะแนนเต็ม]:[คะแนนเต็ม]]),"",(tbl_task8[121]/tbl_task8[[คะแนนเต็ม]:[คะแนนเต็ม]])*tbl_task8[[%]:[%]])</f>
        <v/>
      </c>
      <c r="KF15" s="121" t="str">
        <f>IF(ISBLANK(tbl_task8[[คะแนนเต็ม]:[คะแนนเต็ม]]),"",(tbl_task8[122]/tbl_task8[[คะแนนเต็ม]:[คะแนนเต็ม]])*tbl_task8[[%]:[%]])</f>
        <v/>
      </c>
      <c r="KG15" s="121" t="str">
        <f>IF(ISBLANK(tbl_task8[[คะแนนเต็ม]:[คะแนนเต็ม]]),"",(tbl_task8[123]/tbl_task8[[คะแนนเต็ม]:[คะแนนเต็ม]])*tbl_task8[[%]:[%]])</f>
        <v/>
      </c>
      <c r="KH15" s="121" t="str">
        <f>IF(ISBLANK(tbl_task8[[คะแนนเต็ม]:[คะแนนเต็ม]]),"",(tbl_task8[124]/tbl_task8[[คะแนนเต็ม]:[คะแนนเต็ม]])*tbl_task8[[%]:[%]])</f>
        <v/>
      </c>
      <c r="KI15" s="121" t="str">
        <f>IF(ISBLANK(tbl_task8[[คะแนนเต็ม]:[คะแนนเต็ม]]),"",(tbl_task8[125]/tbl_task8[[คะแนนเต็ม]:[คะแนนเต็ม]])*tbl_task8[[%]:[%]])</f>
        <v/>
      </c>
      <c r="KJ15" s="121" t="str">
        <f>IF(ISBLANK(tbl_task8[[คะแนนเต็ม]:[คะแนนเต็ม]]),"",(tbl_task8[126]/tbl_task8[[คะแนนเต็ม]:[คะแนนเต็ม]])*tbl_task8[[%]:[%]])</f>
        <v/>
      </c>
      <c r="KK15" s="121" t="str">
        <f>IF(ISBLANK(tbl_task8[[คะแนนเต็ม]:[คะแนนเต็ม]]),"",(tbl_task8[127]/tbl_task8[[คะแนนเต็ม]:[คะแนนเต็ม]])*tbl_task8[[%]:[%]])</f>
        <v/>
      </c>
      <c r="KL15" s="121" t="str">
        <f>IF(ISBLANK(tbl_task8[[คะแนนเต็ม]:[คะแนนเต็ม]]),"",(tbl_task8[128]/tbl_task8[[คะแนนเต็ม]:[คะแนนเต็ม]])*tbl_task8[[%]:[%]])</f>
        <v/>
      </c>
      <c r="KM15" s="121" t="str">
        <f>IF(ISBLANK(tbl_task8[[คะแนนเต็ม]:[คะแนนเต็ม]]),"",(tbl_task8[129]/tbl_task8[[คะแนนเต็ม]:[คะแนนเต็ม]])*tbl_task8[[%]:[%]])</f>
        <v/>
      </c>
      <c r="KN15" s="121" t="str">
        <f>IF(ISBLANK(tbl_task8[[คะแนนเต็ม]:[คะแนนเต็ม]]),"",(tbl_task8[130]/tbl_task8[[คะแนนเต็ม]:[คะแนนเต็ม]])*tbl_task8[[%]:[%]])</f>
        <v/>
      </c>
      <c r="KO15" s="121" t="str">
        <f>IF(ISBLANK(tbl_task8[[คะแนนเต็ม]:[คะแนนเต็ม]]),"",(tbl_task8[131]/tbl_task8[[คะแนนเต็ม]:[คะแนนเต็ม]])*tbl_task8[[%]:[%]])</f>
        <v/>
      </c>
      <c r="KP15" s="121" t="str">
        <f>IF(ISBLANK(tbl_task8[[คะแนนเต็ม]:[คะแนนเต็ม]]),"",(tbl_task8[132]/tbl_task8[[คะแนนเต็ม]:[คะแนนเต็ม]])*tbl_task8[[%]:[%]])</f>
        <v/>
      </c>
      <c r="KQ15" s="121" t="str">
        <f>IF(ISBLANK(tbl_task8[[คะแนนเต็ม]:[คะแนนเต็ม]]),"",(tbl_task8[133]/tbl_task8[[คะแนนเต็ม]:[คะแนนเต็ม]])*tbl_task8[[%]:[%]])</f>
        <v/>
      </c>
      <c r="KR15" s="121" t="str">
        <f>IF(ISBLANK(tbl_task8[[คะแนนเต็ม]:[คะแนนเต็ม]]),"",(tbl_task8[134]/tbl_task8[[คะแนนเต็ม]:[คะแนนเต็ม]])*tbl_task8[[%]:[%]])</f>
        <v/>
      </c>
      <c r="KS15" s="121" t="str">
        <f>IF(ISBLANK(tbl_task8[[คะแนนเต็ม]:[คะแนนเต็ม]]),"",(tbl_task8[135]/tbl_task8[[คะแนนเต็ม]:[คะแนนเต็ม]])*tbl_task8[[%]:[%]])</f>
        <v/>
      </c>
      <c r="KT15" s="121" t="str">
        <f>IF(ISBLANK(tbl_task8[[คะแนนเต็ม]:[คะแนนเต็ม]]),"",(tbl_task8[136]/tbl_task8[[คะแนนเต็ม]:[คะแนนเต็ม]])*tbl_task8[[%]:[%]])</f>
        <v/>
      </c>
      <c r="KU15" s="121" t="str">
        <f>IF(ISBLANK(tbl_task8[[คะแนนเต็ม]:[คะแนนเต็ม]]),"",(tbl_task8[137]/tbl_task8[[คะแนนเต็ม]:[คะแนนเต็ม]])*tbl_task8[[%]:[%]])</f>
        <v/>
      </c>
      <c r="KV15" s="121" t="str">
        <f>IF(ISBLANK(tbl_task8[[คะแนนเต็ม]:[คะแนนเต็ม]]),"",(tbl_task8[138]/tbl_task8[[คะแนนเต็ม]:[คะแนนเต็ม]])*tbl_task8[[%]:[%]])</f>
        <v/>
      </c>
      <c r="KW15" s="121" t="str">
        <f>IF(ISBLANK(tbl_task8[[คะแนนเต็ม]:[คะแนนเต็ม]]),"",(tbl_task8[139]/tbl_task8[[คะแนนเต็ม]:[คะแนนเต็ม]])*tbl_task8[[%]:[%]])</f>
        <v/>
      </c>
      <c r="KX15" s="121" t="str">
        <f>IF(ISBLANK(tbl_task8[[คะแนนเต็ม]:[คะแนนเต็ม]]),"",(tbl_task8[140]/tbl_task8[[คะแนนเต็ม]:[คะแนนเต็ม]])*tbl_task8[[%]:[%]])</f>
        <v/>
      </c>
      <c r="KY15" s="121" t="str">
        <f>IF(ISBLANK(tbl_task8[[คะแนนเต็ม]:[คะแนนเต็ม]]),"",(tbl_task8[141]/tbl_task8[[คะแนนเต็ม]:[คะแนนเต็ม]])*tbl_task8[[%]:[%]])</f>
        <v/>
      </c>
      <c r="KZ15" s="121" t="str">
        <f>IF(ISBLANK(tbl_task8[[คะแนนเต็ม]:[คะแนนเต็ม]]),"",(tbl_task8[142]/tbl_task8[[คะแนนเต็ม]:[คะแนนเต็ม]])*tbl_task8[[%]:[%]])</f>
        <v/>
      </c>
      <c r="LA15" s="121" t="str">
        <f>IF(ISBLANK(tbl_task8[[คะแนนเต็ม]:[คะแนนเต็ม]]),"",(tbl_task8[143]/tbl_task8[[คะแนนเต็ม]:[คะแนนเต็ม]])*tbl_task8[[%]:[%]])</f>
        <v/>
      </c>
      <c r="LB15" s="121" t="str">
        <f>IF(ISBLANK(tbl_task8[[คะแนนเต็ม]:[คะแนนเต็ม]]),"",(tbl_task8[144]/tbl_task8[[คะแนนเต็ม]:[คะแนนเต็ม]])*tbl_task8[[%]:[%]])</f>
        <v/>
      </c>
      <c r="LC15" s="121" t="str">
        <f>IF(ISBLANK(tbl_task8[[คะแนนเต็ม]:[คะแนนเต็ม]]),"",(tbl_task8[145]/tbl_task8[[คะแนนเต็ม]:[คะแนนเต็ม]])*tbl_task8[[%]:[%]])</f>
        <v/>
      </c>
      <c r="LD15" s="121" t="str">
        <f>IF(ISBLANK(tbl_task8[[คะแนนเต็ม]:[คะแนนเต็ม]]),"",(tbl_task8[146]/tbl_task8[[คะแนนเต็ม]:[คะแนนเต็ม]])*tbl_task8[[%]:[%]])</f>
        <v/>
      </c>
      <c r="LE15" s="121" t="str">
        <f>IF(ISBLANK(tbl_task8[[คะแนนเต็ม]:[คะแนนเต็ม]]),"",(tbl_task8[147]/tbl_task8[[คะแนนเต็ม]:[คะแนนเต็ม]])*tbl_task8[[%]:[%]])</f>
        <v/>
      </c>
      <c r="LF15" s="121" t="str">
        <f>IF(ISBLANK(tbl_task8[[คะแนนเต็ม]:[คะแนนเต็ม]]),"",(tbl_task8[148]/tbl_task8[[คะแนนเต็ม]:[คะแนนเต็ม]])*tbl_task8[[%]:[%]])</f>
        <v/>
      </c>
      <c r="LG15" s="121" t="str">
        <f>IF(ISBLANK(tbl_task8[[คะแนนเต็ม]:[คะแนนเต็ม]]),"",(tbl_task8[149]/tbl_task8[[คะแนนเต็ม]:[คะแนนเต็ม]])*tbl_task8[[%]:[%]])</f>
        <v/>
      </c>
      <c r="LH15" s="121" t="str">
        <f>IF(ISBLANK(tbl_task8[[คะแนนเต็ม]:[คะแนนเต็ม]]),"",(tbl_task8[150]/tbl_task8[[คะแนนเต็ม]:[คะแนนเต็ม]])*tbl_task8[[%]:[%]])</f>
        <v/>
      </c>
      <c r="LI15" s="121" t="str">
        <f>IF(ISBLANK(tbl_task8[[คะแนนเต็ม]:[คะแนนเต็ม]]),"",(tbl_task8[151]/tbl_task8[[คะแนนเต็ม]:[คะแนนเต็ม]])*tbl_task8[[%]:[%]])</f>
        <v/>
      </c>
      <c r="LJ15" s="121" t="str">
        <f>IF(ISBLANK(tbl_task8[[คะแนนเต็ม]:[คะแนนเต็ม]]),"",(tbl_task8[152]/tbl_task8[[คะแนนเต็ม]:[คะแนนเต็ม]])*tbl_task8[[%]:[%]])</f>
        <v/>
      </c>
      <c r="LK15" s="121" t="str">
        <f>IF(ISBLANK(tbl_task8[[คะแนนเต็ม]:[คะแนนเต็ม]]),"",(tbl_task8[153]/tbl_task8[[คะแนนเต็ม]:[คะแนนเต็ม]])*tbl_task8[[%]:[%]])</f>
        <v/>
      </c>
      <c r="LL15" s="121" t="str">
        <f>IF(ISBLANK(tbl_task8[[คะแนนเต็ม]:[คะแนนเต็ม]]),"",(tbl_task8[154]/tbl_task8[[คะแนนเต็ม]:[คะแนนเต็ม]])*tbl_task8[[%]:[%]])</f>
        <v/>
      </c>
      <c r="LM15" s="121" t="str">
        <f>IF(ISBLANK(tbl_task8[[คะแนนเต็ม]:[คะแนนเต็ม]]),"",(tbl_task8[155]/tbl_task8[[คะแนนเต็ม]:[คะแนนเต็ม]])*tbl_task8[[%]:[%]])</f>
        <v/>
      </c>
      <c r="LN15" s="121" t="str">
        <f>IF(ISBLANK(tbl_task8[[คะแนนเต็ม]:[คะแนนเต็ม]]),"",(tbl_task8[156]/tbl_task8[[คะแนนเต็ม]:[คะแนนเต็ม]])*tbl_task8[[%]:[%]])</f>
        <v/>
      </c>
      <c r="LO15" s="121" t="str">
        <f>IF(ISBLANK(tbl_task8[[คะแนนเต็ม]:[คะแนนเต็ม]]),"",(tbl_task8[157]/tbl_task8[[คะแนนเต็ม]:[คะแนนเต็ม]])*tbl_task8[[%]:[%]])</f>
        <v/>
      </c>
      <c r="LP15" s="121" t="str">
        <f>IF(ISBLANK(tbl_task8[[คะแนนเต็ม]:[คะแนนเต็ม]]),"",(tbl_task8[158]/tbl_task8[[คะแนนเต็ม]:[คะแนนเต็ม]])*tbl_task8[[%]:[%]])</f>
        <v/>
      </c>
      <c r="LQ15" s="121" t="str">
        <f>IF(ISBLANK(tbl_task8[[คะแนนเต็ม]:[คะแนนเต็ม]]),"",(tbl_task8[159]/tbl_task8[[คะแนนเต็ม]:[คะแนนเต็ม]])*tbl_task8[[%]:[%]])</f>
        <v/>
      </c>
      <c r="LR15" s="121" t="str">
        <f>IF(ISBLANK(tbl_task8[[คะแนนเต็ม]:[คะแนนเต็ม]]),"",(tbl_task8[160]/tbl_task8[[คะแนนเต็ม]:[คะแนนเต็ม]])*tbl_task8[[%]:[%]])</f>
        <v/>
      </c>
      <c r="LS15" s="121" t="str">
        <f>IF(ISBLANK(tbl_task8[[คะแนนเต็ม]:[คะแนนเต็ม]]),"",(tbl_task8[161]/tbl_task8[[คะแนนเต็ม]:[คะแนนเต็ม]])*tbl_task8[[%]:[%]])</f>
        <v/>
      </c>
      <c r="LT15" s="121" t="str">
        <f>IF(ISBLANK(tbl_task8[[คะแนนเต็ม]:[คะแนนเต็ม]]),"",(tbl_task8[162]/tbl_task8[[คะแนนเต็ม]:[คะแนนเต็ม]])*tbl_task8[[%]:[%]])</f>
        <v/>
      </c>
      <c r="LU15" s="121" t="str">
        <f>IF(ISBLANK(tbl_task8[[คะแนนเต็ม]:[คะแนนเต็ม]]),"",(tbl_task8[163]/tbl_task8[[คะแนนเต็ม]:[คะแนนเต็ม]])*tbl_task8[[%]:[%]])</f>
        <v/>
      </c>
      <c r="LV15" s="121" t="str">
        <f>IF(ISBLANK(tbl_task8[[คะแนนเต็ม]:[คะแนนเต็ม]]),"",(tbl_task8[164]/tbl_task8[[คะแนนเต็ม]:[คะแนนเต็ม]])*tbl_task8[[%]:[%]])</f>
        <v/>
      </c>
      <c r="LW15" s="121" t="str">
        <f>IF(ISBLANK(tbl_task8[[คะแนนเต็ม]:[คะแนนเต็ม]]),"",(tbl_task8[165]/tbl_task8[[คะแนนเต็ม]:[คะแนนเต็ม]])*tbl_task8[[%]:[%]])</f>
        <v/>
      </c>
    </row>
    <row r="16" spans="1:335" ht="24" customHeight="1" x14ac:dyDescent="0.25">
      <c r="A16" s="24">
        <v>13</v>
      </c>
      <c r="B16" s="20"/>
      <c r="C16" s="5" t="str">
        <f>IF(ISBLANK(B16),"",VLOOKUP(B16,tbl_PLOs[],2,0))</f>
        <v/>
      </c>
      <c r="D16" s="102"/>
      <c r="E16" s="106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121" t="str">
        <f>IF(ISBLANK(tbl_task8[[คะแนนเต็ม]:[คะแนนเต็ม]]),"",(tbl_task8[1]/tbl_task8[[คะแนนเต็ม]:[คะแนนเต็ม]])*tbl_task8[[%]:[%]])</f>
        <v/>
      </c>
      <c r="FP16" s="121" t="str">
        <f>IF(ISBLANK(tbl_task8[[คะแนนเต็ม]:[คะแนนเต็ม]]),"",(tbl_task8[2]/tbl_task8[[คะแนนเต็ม]:[คะแนนเต็ม]])*tbl_task8[[%]:[%]])</f>
        <v/>
      </c>
      <c r="FQ16" s="121" t="str">
        <f>IF(ISBLANK(tbl_task8[[คะแนนเต็ม]:[คะแนนเต็ม]]),"",(tbl_task8[3]/tbl_task8[[คะแนนเต็ม]:[คะแนนเต็ม]])*tbl_task8[[%]:[%]])</f>
        <v/>
      </c>
      <c r="FR16" s="121" t="str">
        <f>IF(ISBLANK(tbl_task8[[คะแนนเต็ม]:[คะแนนเต็ม]]),"",(tbl_task8[4]/tbl_task8[[คะแนนเต็ม]:[คะแนนเต็ม]])*tbl_task8[[%]:[%]])</f>
        <v/>
      </c>
      <c r="FS16" s="121" t="str">
        <f>IF(ISBLANK(tbl_task8[[คะแนนเต็ม]:[คะแนนเต็ม]]),"",(tbl_task8[5]/tbl_task8[[คะแนนเต็ม]:[คะแนนเต็ม]])*tbl_task8[[%]:[%]])</f>
        <v/>
      </c>
      <c r="FT16" s="121" t="str">
        <f>IF(ISBLANK(tbl_task8[[คะแนนเต็ม]:[คะแนนเต็ม]]),"",(tbl_task8[6]/tbl_task8[[คะแนนเต็ม]:[คะแนนเต็ม]])*tbl_task8[[%]:[%]])</f>
        <v/>
      </c>
      <c r="FU16" s="121" t="str">
        <f>IF(ISBLANK(tbl_task8[[คะแนนเต็ม]:[คะแนนเต็ม]]),"",(tbl_task8[7]/tbl_task8[[คะแนนเต็ม]:[คะแนนเต็ม]])*tbl_task8[[%]:[%]])</f>
        <v/>
      </c>
      <c r="FV16" s="121" t="str">
        <f>IF(ISBLANK(tbl_task8[[คะแนนเต็ม]:[คะแนนเต็ม]]),"",(tbl_task8[8]/tbl_task8[[คะแนนเต็ม]:[คะแนนเต็ม]])*tbl_task8[[%]:[%]])</f>
        <v/>
      </c>
      <c r="FW16" s="121" t="str">
        <f>IF(ISBLANK(tbl_task8[[คะแนนเต็ม]:[คะแนนเต็ม]]),"",(tbl_task8[9]/tbl_task8[[คะแนนเต็ม]:[คะแนนเต็ม]])*tbl_task8[[%]:[%]])</f>
        <v/>
      </c>
      <c r="FX16" s="121" t="str">
        <f>IF(ISBLANK(tbl_task8[[คะแนนเต็ม]:[คะแนนเต็ม]]),"",(tbl_task8[10]/tbl_task8[[คะแนนเต็ม]:[คะแนนเต็ม]])*tbl_task8[[%]:[%]])</f>
        <v/>
      </c>
      <c r="FY16" s="121" t="str">
        <f>IF(ISBLANK(tbl_task8[[คะแนนเต็ม]:[คะแนนเต็ม]]),"",(tbl_task8[11]/tbl_task8[[คะแนนเต็ม]:[คะแนนเต็ม]])*tbl_task8[[%]:[%]])</f>
        <v/>
      </c>
      <c r="FZ16" s="121" t="str">
        <f>IF(ISBLANK(tbl_task8[[คะแนนเต็ม]:[คะแนนเต็ม]]),"",(tbl_task8[12]/tbl_task8[[คะแนนเต็ม]:[คะแนนเต็ม]])*tbl_task8[[%]:[%]])</f>
        <v/>
      </c>
      <c r="GA16" s="121" t="str">
        <f>IF(ISBLANK(tbl_task8[[คะแนนเต็ม]:[คะแนนเต็ม]]),"",(tbl_task8[13]/tbl_task8[[คะแนนเต็ม]:[คะแนนเต็ม]])*tbl_task8[[%]:[%]])</f>
        <v/>
      </c>
      <c r="GB16" s="121" t="str">
        <f>IF(ISBLANK(tbl_task8[[คะแนนเต็ม]:[คะแนนเต็ม]]),"",(tbl_task8[14]/tbl_task8[[คะแนนเต็ม]:[คะแนนเต็ม]])*tbl_task8[[%]:[%]])</f>
        <v/>
      </c>
      <c r="GC16" s="121" t="str">
        <f>IF(ISBLANK(tbl_task8[[คะแนนเต็ม]:[คะแนนเต็ม]]),"",(tbl_task8[15]/tbl_task8[[คะแนนเต็ม]:[คะแนนเต็ม]])*tbl_task8[[%]:[%]])</f>
        <v/>
      </c>
      <c r="GD16" s="121" t="str">
        <f>IF(ISBLANK(tbl_task8[[คะแนนเต็ม]:[คะแนนเต็ม]]),"",(tbl_task8[16]/tbl_task8[[คะแนนเต็ม]:[คะแนนเต็ม]])*tbl_task8[[%]:[%]])</f>
        <v/>
      </c>
      <c r="GE16" s="121" t="str">
        <f>IF(ISBLANK(tbl_task8[[คะแนนเต็ม]:[คะแนนเต็ม]]),"",(tbl_task8[17]/tbl_task8[[คะแนนเต็ม]:[คะแนนเต็ม]])*tbl_task8[[%]:[%]])</f>
        <v/>
      </c>
      <c r="GF16" s="121" t="str">
        <f>IF(ISBLANK(tbl_task8[[คะแนนเต็ม]:[คะแนนเต็ม]]),"",(tbl_task8[18]/tbl_task8[[คะแนนเต็ม]:[คะแนนเต็ม]])*tbl_task8[[%]:[%]])</f>
        <v/>
      </c>
      <c r="GG16" s="121" t="str">
        <f>IF(ISBLANK(tbl_task8[[คะแนนเต็ม]:[คะแนนเต็ม]]),"",(tbl_task8[19]/tbl_task8[[คะแนนเต็ม]:[คะแนนเต็ม]])*tbl_task8[[%]:[%]])</f>
        <v/>
      </c>
      <c r="GH16" s="121" t="str">
        <f>IF(ISBLANK(tbl_task8[[คะแนนเต็ม]:[คะแนนเต็ม]]),"",(tbl_task8[20]/tbl_task8[[คะแนนเต็ม]:[คะแนนเต็ม]])*tbl_task8[[%]:[%]])</f>
        <v/>
      </c>
      <c r="GI16" s="121" t="str">
        <f>IF(ISBLANK(tbl_task8[[คะแนนเต็ม]:[คะแนนเต็ม]]),"",(tbl_task8[21]/tbl_task8[[คะแนนเต็ม]:[คะแนนเต็ม]])*tbl_task8[[%]:[%]])</f>
        <v/>
      </c>
      <c r="GJ16" s="121" t="str">
        <f>IF(ISBLANK(tbl_task8[[คะแนนเต็ม]:[คะแนนเต็ม]]),"",(tbl_task8[22]/tbl_task8[[คะแนนเต็ม]:[คะแนนเต็ม]])*tbl_task8[[%]:[%]])</f>
        <v/>
      </c>
      <c r="GK16" s="121" t="str">
        <f>IF(ISBLANK(tbl_task8[[คะแนนเต็ม]:[คะแนนเต็ม]]),"",(tbl_task8[23]/tbl_task8[[คะแนนเต็ม]:[คะแนนเต็ม]])*tbl_task8[[%]:[%]])</f>
        <v/>
      </c>
      <c r="GL16" s="121" t="str">
        <f>IF(ISBLANK(tbl_task8[[คะแนนเต็ม]:[คะแนนเต็ม]]),"",(tbl_task8[24]/tbl_task8[[คะแนนเต็ม]:[คะแนนเต็ม]])*tbl_task8[[%]:[%]])</f>
        <v/>
      </c>
      <c r="GM16" s="121" t="str">
        <f>IF(ISBLANK(tbl_task8[[คะแนนเต็ม]:[คะแนนเต็ม]]),"",(tbl_task8[25]/tbl_task8[[คะแนนเต็ม]:[คะแนนเต็ม]])*tbl_task8[[%]:[%]])</f>
        <v/>
      </c>
      <c r="GN16" s="121" t="str">
        <f>IF(ISBLANK(tbl_task8[[คะแนนเต็ม]:[คะแนนเต็ม]]),"",(tbl_task8[26]/tbl_task8[[คะแนนเต็ม]:[คะแนนเต็ม]])*tbl_task8[[%]:[%]])</f>
        <v/>
      </c>
      <c r="GO16" s="121" t="str">
        <f>IF(ISBLANK(tbl_task8[[คะแนนเต็ม]:[คะแนนเต็ม]]),"",(tbl_task8[27]/tbl_task8[[คะแนนเต็ม]:[คะแนนเต็ม]])*tbl_task8[[%]:[%]])</f>
        <v/>
      </c>
      <c r="GP16" s="121" t="str">
        <f>IF(ISBLANK(tbl_task8[[คะแนนเต็ม]:[คะแนนเต็ม]]),"",(tbl_task8[28]/tbl_task8[[คะแนนเต็ม]:[คะแนนเต็ม]])*tbl_task8[[%]:[%]])</f>
        <v/>
      </c>
      <c r="GQ16" s="121" t="str">
        <f>IF(ISBLANK(tbl_task8[[คะแนนเต็ม]:[คะแนนเต็ม]]),"",(tbl_task8[29]/tbl_task8[[คะแนนเต็ม]:[คะแนนเต็ม]])*tbl_task8[[%]:[%]])</f>
        <v/>
      </c>
      <c r="GR16" s="121" t="str">
        <f>IF(ISBLANK(tbl_task8[[คะแนนเต็ม]:[คะแนนเต็ม]]),"",(tbl_task8[30]/tbl_task8[[คะแนนเต็ม]:[คะแนนเต็ม]])*tbl_task8[[%]:[%]])</f>
        <v/>
      </c>
      <c r="GS16" s="121" t="str">
        <f>IF(ISBLANK(tbl_task8[[คะแนนเต็ม]:[คะแนนเต็ม]]),"",(tbl_task8[31]/tbl_task8[[คะแนนเต็ม]:[คะแนนเต็ม]])*tbl_task8[[%]:[%]])</f>
        <v/>
      </c>
      <c r="GT16" s="121" t="str">
        <f>IF(ISBLANK(tbl_task8[[คะแนนเต็ม]:[คะแนนเต็ม]]),"",(tbl_task8[32]/tbl_task8[[คะแนนเต็ม]:[คะแนนเต็ม]])*tbl_task8[[%]:[%]])</f>
        <v/>
      </c>
      <c r="GU16" s="121" t="str">
        <f>IF(ISBLANK(tbl_task8[[คะแนนเต็ม]:[คะแนนเต็ม]]),"",(tbl_task8[33]/tbl_task8[[คะแนนเต็ม]:[คะแนนเต็ม]])*tbl_task8[[%]:[%]])</f>
        <v/>
      </c>
      <c r="GV16" s="121" t="str">
        <f>IF(ISBLANK(tbl_task8[[คะแนนเต็ม]:[คะแนนเต็ม]]),"",(tbl_task8[34]/tbl_task8[[คะแนนเต็ม]:[คะแนนเต็ม]])*tbl_task8[[%]:[%]])</f>
        <v/>
      </c>
      <c r="GW16" s="121" t="str">
        <f>IF(ISBLANK(tbl_task8[[คะแนนเต็ม]:[คะแนนเต็ม]]),"",(tbl_task8[35]/tbl_task8[[คะแนนเต็ม]:[คะแนนเต็ม]])*tbl_task8[[%]:[%]])</f>
        <v/>
      </c>
      <c r="GX16" s="121" t="str">
        <f>IF(ISBLANK(tbl_task8[[คะแนนเต็ม]:[คะแนนเต็ม]]),"",(tbl_task8[36]/tbl_task8[[คะแนนเต็ม]:[คะแนนเต็ม]])*tbl_task8[[%]:[%]])</f>
        <v/>
      </c>
      <c r="GY16" s="121" t="str">
        <f>IF(ISBLANK(tbl_task8[[คะแนนเต็ม]:[คะแนนเต็ม]]),"",(tbl_task8[37]/tbl_task8[[คะแนนเต็ม]:[คะแนนเต็ม]])*tbl_task8[[%]:[%]])</f>
        <v/>
      </c>
      <c r="GZ16" s="121" t="str">
        <f>IF(ISBLANK(tbl_task8[[คะแนนเต็ม]:[คะแนนเต็ม]]),"",(tbl_task8[38]/tbl_task8[[คะแนนเต็ม]:[คะแนนเต็ม]])*tbl_task8[[%]:[%]])</f>
        <v/>
      </c>
      <c r="HA16" s="121" t="str">
        <f>IF(ISBLANK(tbl_task8[[คะแนนเต็ม]:[คะแนนเต็ม]]),"",(tbl_task8[39]/tbl_task8[[คะแนนเต็ม]:[คะแนนเต็ม]])*tbl_task8[[%]:[%]])</f>
        <v/>
      </c>
      <c r="HB16" s="121" t="str">
        <f>IF(ISBLANK(tbl_task8[[คะแนนเต็ม]:[คะแนนเต็ม]]),"",(tbl_task8[40]/tbl_task8[[คะแนนเต็ม]:[คะแนนเต็ม]])*tbl_task8[[%]:[%]])</f>
        <v/>
      </c>
      <c r="HC16" s="121" t="str">
        <f>IF(ISBLANK(tbl_task8[[คะแนนเต็ม]:[คะแนนเต็ม]]),"",(tbl_task8[41]/tbl_task8[[คะแนนเต็ม]:[คะแนนเต็ม]])*tbl_task8[[%]:[%]])</f>
        <v/>
      </c>
      <c r="HD16" s="121" t="str">
        <f>IF(ISBLANK(tbl_task8[[คะแนนเต็ม]:[คะแนนเต็ม]]),"",(tbl_task8[42]/tbl_task8[[คะแนนเต็ม]:[คะแนนเต็ม]])*tbl_task8[[%]:[%]])</f>
        <v/>
      </c>
      <c r="HE16" s="121" t="str">
        <f>IF(ISBLANK(tbl_task8[[คะแนนเต็ม]:[คะแนนเต็ม]]),"",(tbl_task8[43]/tbl_task8[[คะแนนเต็ม]:[คะแนนเต็ม]])*tbl_task8[[%]:[%]])</f>
        <v/>
      </c>
      <c r="HF16" s="121" t="str">
        <f>IF(ISBLANK(tbl_task8[[คะแนนเต็ม]:[คะแนนเต็ม]]),"",(tbl_task8[44]/tbl_task8[[คะแนนเต็ม]:[คะแนนเต็ม]])*tbl_task8[[%]:[%]])</f>
        <v/>
      </c>
      <c r="HG16" s="121" t="str">
        <f>IF(ISBLANK(tbl_task8[[คะแนนเต็ม]:[คะแนนเต็ม]]),"",(tbl_task8[45]/tbl_task8[[คะแนนเต็ม]:[คะแนนเต็ม]])*tbl_task8[[%]:[%]])</f>
        <v/>
      </c>
      <c r="HH16" s="121" t="str">
        <f>IF(ISBLANK(tbl_task8[[คะแนนเต็ม]:[คะแนนเต็ม]]),"",(tbl_task8[46]/tbl_task8[[คะแนนเต็ม]:[คะแนนเต็ม]])*tbl_task8[[%]:[%]])</f>
        <v/>
      </c>
      <c r="HI16" s="121" t="str">
        <f>IF(ISBLANK(tbl_task8[[คะแนนเต็ม]:[คะแนนเต็ม]]),"",(tbl_task8[47]/tbl_task8[[คะแนนเต็ม]:[คะแนนเต็ม]])*tbl_task8[[%]:[%]])</f>
        <v/>
      </c>
      <c r="HJ16" s="121" t="str">
        <f>IF(ISBLANK(tbl_task8[[คะแนนเต็ม]:[คะแนนเต็ม]]),"",(tbl_task8[48]/tbl_task8[[คะแนนเต็ม]:[คะแนนเต็ม]])*tbl_task8[[%]:[%]])</f>
        <v/>
      </c>
      <c r="HK16" s="121" t="str">
        <f>IF(ISBLANK(tbl_task8[[คะแนนเต็ม]:[คะแนนเต็ม]]),"",(tbl_task8[49]/tbl_task8[[คะแนนเต็ม]:[คะแนนเต็ม]])*tbl_task8[[%]:[%]])</f>
        <v/>
      </c>
      <c r="HL16" s="121" t="str">
        <f>IF(ISBLANK(tbl_task8[[คะแนนเต็ม]:[คะแนนเต็ม]]),"",(tbl_task8[50]/tbl_task8[[คะแนนเต็ม]:[คะแนนเต็ม]])*tbl_task8[[%]:[%]])</f>
        <v/>
      </c>
      <c r="HM16" s="121" t="str">
        <f>IF(ISBLANK(tbl_task8[[คะแนนเต็ม]:[คะแนนเต็ม]]),"",(tbl_task8[51]/tbl_task8[[คะแนนเต็ม]:[คะแนนเต็ม]])*tbl_task8[[%]:[%]])</f>
        <v/>
      </c>
      <c r="HN16" s="121" t="str">
        <f>IF(ISBLANK(tbl_task8[[คะแนนเต็ม]:[คะแนนเต็ม]]),"",(tbl_task8[52]/tbl_task8[[คะแนนเต็ม]:[คะแนนเต็ม]])*tbl_task8[[%]:[%]])</f>
        <v/>
      </c>
      <c r="HO16" s="121" t="str">
        <f>IF(ISBLANK(tbl_task8[[คะแนนเต็ม]:[คะแนนเต็ม]]),"",(tbl_task8[53]/tbl_task8[[คะแนนเต็ม]:[คะแนนเต็ม]])*tbl_task8[[%]:[%]])</f>
        <v/>
      </c>
      <c r="HP16" s="121" t="str">
        <f>IF(ISBLANK(tbl_task8[[คะแนนเต็ม]:[คะแนนเต็ม]]),"",(tbl_task8[54]/tbl_task8[[คะแนนเต็ม]:[คะแนนเต็ม]])*tbl_task8[[%]:[%]])</f>
        <v/>
      </c>
      <c r="HQ16" s="121" t="str">
        <f>IF(ISBLANK(tbl_task8[[คะแนนเต็ม]:[คะแนนเต็ม]]),"",(tbl_task8[55]/tbl_task8[[คะแนนเต็ม]:[คะแนนเต็ม]])*tbl_task8[[%]:[%]])</f>
        <v/>
      </c>
      <c r="HR16" s="121" t="str">
        <f>IF(ISBLANK(tbl_task8[[คะแนนเต็ม]:[คะแนนเต็ม]]),"",(tbl_task8[56]/tbl_task8[[คะแนนเต็ม]:[คะแนนเต็ม]])*tbl_task8[[%]:[%]])</f>
        <v/>
      </c>
      <c r="HS16" s="121" t="str">
        <f>IF(ISBLANK(tbl_task8[[คะแนนเต็ม]:[คะแนนเต็ม]]),"",(tbl_task8[57]/tbl_task8[[คะแนนเต็ม]:[คะแนนเต็ม]])*tbl_task8[[%]:[%]])</f>
        <v/>
      </c>
      <c r="HT16" s="121" t="str">
        <f>IF(ISBLANK(tbl_task8[[คะแนนเต็ม]:[คะแนนเต็ม]]),"",(tbl_task8[58]/tbl_task8[[คะแนนเต็ม]:[คะแนนเต็ม]])*tbl_task8[[%]:[%]])</f>
        <v/>
      </c>
      <c r="HU16" s="121" t="str">
        <f>IF(ISBLANK(tbl_task8[[คะแนนเต็ม]:[คะแนนเต็ม]]),"",(tbl_task8[59]/tbl_task8[[คะแนนเต็ม]:[คะแนนเต็ม]])*tbl_task8[[%]:[%]])</f>
        <v/>
      </c>
      <c r="HV16" s="121" t="str">
        <f>IF(ISBLANK(tbl_task8[[คะแนนเต็ม]:[คะแนนเต็ม]]),"",(tbl_task8[60]/tbl_task8[[คะแนนเต็ม]:[คะแนนเต็ม]])*tbl_task8[[%]:[%]])</f>
        <v/>
      </c>
      <c r="HW16" s="121" t="str">
        <f>IF(ISBLANK(tbl_task8[[คะแนนเต็ม]:[คะแนนเต็ม]]),"",(tbl_task8[61]/tbl_task8[[คะแนนเต็ม]:[คะแนนเต็ม]])*tbl_task8[[%]:[%]])</f>
        <v/>
      </c>
      <c r="HX16" s="121" t="str">
        <f>IF(ISBLANK(tbl_task8[[คะแนนเต็ม]:[คะแนนเต็ม]]),"",(tbl_task8[62]/tbl_task8[[คะแนนเต็ม]:[คะแนนเต็ม]])*tbl_task8[[%]:[%]])</f>
        <v/>
      </c>
      <c r="HY16" s="121" t="str">
        <f>IF(ISBLANK(tbl_task8[[คะแนนเต็ม]:[คะแนนเต็ม]]),"",(tbl_task8[63]/tbl_task8[[คะแนนเต็ม]:[คะแนนเต็ม]])*tbl_task8[[%]:[%]])</f>
        <v/>
      </c>
      <c r="HZ16" s="121" t="str">
        <f>IF(ISBLANK(tbl_task8[[คะแนนเต็ม]:[คะแนนเต็ม]]),"",(tbl_task8[64]/tbl_task8[[คะแนนเต็ม]:[คะแนนเต็ม]])*tbl_task8[[%]:[%]])</f>
        <v/>
      </c>
      <c r="IA16" s="121" t="str">
        <f>IF(ISBLANK(tbl_task8[[คะแนนเต็ม]:[คะแนนเต็ม]]),"",(tbl_task8[65]/tbl_task8[[คะแนนเต็ม]:[คะแนนเต็ม]])*tbl_task8[[%]:[%]])</f>
        <v/>
      </c>
      <c r="IB16" s="121" t="str">
        <f>IF(ISBLANK(tbl_task8[[คะแนนเต็ม]:[คะแนนเต็ม]]),"",(tbl_task8[66]/tbl_task8[[คะแนนเต็ม]:[คะแนนเต็ม]])*tbl_task8[[%]:[%]])</f>
        <v/>
      </c>
      <c r="IC16" s="121" t="str">
        <f>IF(ISBLANK(tbl_task8[[คะแนนเต็ม]:[คะแนนเต็ม]]),"",(tbl_task8[67]/tbl_task8[[คะแนนเต็ม]:[คะแนนเต็ม]])*tbl_task8[[%]:[%]])</f>
        <v/>
      </c>
      <c r="ID16" s="121" t="str">
        <f>IF(ISBLANK(tbl_task8[[คะแนนเต็ม]:[คะแนนเต็ม]]),"",(tbl_task8[68]/tbl_task8[[คะแนนเต็ม]:[คะแนนเต็ม]])*tbl_task8[[%]:[%]])</f>
        <v/>
      </c>
      <c r="IE16" s="121" t="str">
        <f>IF(ISBLANK(tbl_task8[[คะแนนเต็ม]:[คะแนนเต็ม]]),"",(tbl_task8[69]/tbl_task8[[คะแนนเต็ม]:[คะแนนเต็ม]])*tbl_task8[[%]:[%]])</f>
        <v/>
      </c>
      <c r="IF16" s="121" t="str">
        <f>IF(ISBLANK(tbl_task8[[คะแนนเต็ม]:[คะแนนเต็ม]]),"",(tbl_task8[70]/tbl_task8[[คะแนนเต็ม]:[คะแนนเต็ม]])*tbl_task8[[%]:[%]])</f>
        <v/>
      </c>
      <c r="IG16" s="121" t="str">
        <f>IF(ISBLANK(tbl_task8[[คะแนนเต็ม]:[คะแนนเต็ม]]),"",(tbl_task8[71]/tbl_task8[[คะแนนเต็ม]:[คะแนนเต็ม]])*tbl_task8[[%]:[%]])</f>
        <v/>
      </c>
      <c r="IH16" s="121" t="str">
        <f>IF(ISBLANK(tbl_task8[[คะแนนเต็ม]:[คะแนนเต็ม]]),"",(tbl_task8[72]/tbl_task8[[คะแนนเต็ม]:[คะแนนเต็ม]])*tbl_task8[[%]:[%]])</f>
        <v/>
      </c>
      <c r="II16" s="121" t="str">
        <f>IF(ISBLANK(tbl_task8[[คะแนนเต็ม]:[คะแนนเต็ม]]),"",(tbl_task8[73]/tbl_task8[[คะแนนเต็ม]:[คะแนนเต็ม]])*tbl_task8[[%]:[%]])</f>
        <v/>
      </c>
      <c r="IJ16" s="121" t="str">
        <f>IF(ISBLANK(tbl_task8[[คะแนนเต็ม]:[คะแนนเต็ม]]),"",(tbl_task8[74]/tbl_task8[[คะแนนเต็ม]:[คะแนนเต็ม]])*tbl_task8[[%]:[%]])</f>
        <v/>
      </c>
      <c r="IK16" s="121" t="str">
        <f>IF(ISBLANK(tbl_task8[[คะแนนเต็ม]:[คะแนนเต็ม]]),"",(tbl_task8[75]/tbl_task8[[คะแนนเต็ม]:[คะแนนเต็ม]])*tbl_task8[[%]:[%]])</f>
        <v/>
      </c>
      <c r="IL16" s="121" t="str">
        <f>IF(ISBLANK(tbl_task8[[คะแนนเต็ม]:[คะแนนเต็ม]]),"",(tbl_task8[76]/tbl_task8[[คะแนนเต็ม]:[คะแนนเต็ม]])*tbl_task8[[%]:[%]])</f>
        <v/>
      </c>
      <c r="IM16" s="121" t="str">
        <f>IF(ISBLANK(tbl_task8[[คะแนนเต็ม]:[คะแนนเต็ม]]),"",(tbl_task8[77]/tbl_task8[[คะแนนเต็ม]:[คะแนนเต็ม]])*tbl_task8[[%]:[%]])</f>
        <v/>
      </c>
      <c r="IN16" s="121" t="str">
        <f>IF(ISBLANK(tbl_task8[[คะแนนเต็ม]:[คะแนนเต็ม]]),"",(tbl_task8[78]/tbl_task8[[คะแนนเต็ม]:[คะแนนเต็ม]])*tbl_task8[[%]:[%]])</f>
        <v/>
      </c>
      <c r="IO16" s="121" t="str">
        <f>IF(ISBLANK(tbl_task8[[คะแนนเต็ม]:[คะแนนเต็ม]]),"",(tbl_task8[79]/tbl_task8[[คะแนนเต็ม]:[คะแนนเต็ม]])*tbl_task8[[%]:[%]])</f>
        <v/>
      </c>
      <c r="IP16" s="121" t="str">
        <f>IF(ISBLANK(tbl_task8[[คะแนนเต็ม]:[คะแนนเต็ม]]),"",(tbl_task8[80]/tbl_task8[[คะแนนเต็ม]:[คะแนนเต็ม]])*tbl_task8[[%]:[%]])</f>
        <v/>
      </c>
      <c r="IQ16" s="121" t="str">
        <f>IF(ISBLANK(tbl_task8[[คะแนนเต็ม]:[คะแนนเต็ม]]),"",(tbl_task8[81]/tbl_task8[[คะแนนเต็ม]:[คะแนนเต็ม]])*tbl_task8[[%]:[%]])</f>
        <v/>
      </c>
      <c r="IR16" s="121" t="str">
        <f>IF(ISBLANK(tbl_task8[[คะแนนเต็ม]:[คะแนนเต็ม]]),"",(tbl_task8[82]/tbl_task8[[คะแนนเต็ม]:[คะแนนเต็ม]])*tbl_task8[[%]:[%]])</f>
        <v/>
      </c>
      <c r="IS16" s="121" t="str">
        <f>IF(ISBLANK(tbl_task8[[คะแนนเต็ม]:[คะแนนเต็ม]]),"",(tbl_task8[83]/tbl_task8[[คะแนนเต็ม]:[คะแนนเต็ม]])*tbl_task8[[%]:[%]])</f>
        <v/>
      </c>
      <c r="IT16" s="121" t="str">
        <f>IF(ISBLANK(tbl_task8[[คะแนนเต็ม]:[คะแนนเต็ม]]),"",(tbl_task8[84]/tbl_task8[[คะแนนเต็ม]:[คะแนนเต็ม]])*tbl_task8[[%]:[%]])</f>
        <v/>
      </c>
      <c r="IU16" s="121" t="str">
        <f>IF(ISBLANK(tbl_task8[[คะแนนเต็ม]:[คะแนนเต็ม]]),"",(tbl_task8[85]/tbl_task8[[คะแนนเต็ม]:[คะแนนเต็ม]])*tbl_task8[[%]:[%]])</f>
        <v/>
      </c>
      <c r="IV16" s="121" t="str">
        <f>IF(ISBLANK(tbl_task8[[คะแนนเต็ม]:[คะแนนเต็ม]]),"",(tbl_task8[86]/tbl_task8[[คะแนนเต็ม]:[คะแนนเต็ม]])*tbl_task8[[%]:[%]])</f>
        <v/>
      </c>
      <c r="IW16" s="121" t="str">
        <f>IF(ISBLANK(tbl_task8[[คะแนนเต็ม]:[คะแนนเต็ม]]),"",(tbl_task8[87]/tbl_task8[[คะแนนเต็ม]:[คะแนนเต็ม]])*tbl_task8[[%]:[%]])</f>
        <v/>
      </c>
      <c r="IX16" s="121" t="str">
        <f>IF(ISBLANK(tbl_task8[[คะแนนเต็ม]:[คะแนนเต็ม]]),"",(tbl_task8[88]/tbl_task8[[คะแนนเต็ม]:[คะแนนเต็ม]])*tbl_task8[[%]:[%]])</f>
        <v/>
      </c>
      <c r="IY16" s="121" t="str">
        <f>IF(ISBLANK(tbl_task8[[คะแนนเต็ม]:[คะแนนเต็ม]]),"",(tbl_task8[89]/tbl_task8[[คะแนนเต็ม]:[คะแนนเต็ม]])*tbl_task8[[%]:[%]])</f>
        <v/>
      </c>
      <c r="IZ16" s="121" t="str">
        <f>IF(ISBLANK(tbl_task8[[คะแนนเต็ม]:[คะแนนเต็ม]]),"",(tbl_task8[90]/tbl_task8[[คะแนนเต็ม]:[คะแนนเต็ม]])*tbl_task8[[%]:[%]])</f>
        <v/>
      </c>
      <c r="JA16" s="121" t="str">
        <f>IF(ISBLANK(tbl_task8[[คะแนนเต็ม]:[คะแนนเต็ม]]),"",(tbl_task8[91]/tbl_task8[[คะแนนเต็ม]:[คะแนนเต็ม]])*tbl_task8[[%]:[%]])</f>
        <v/>
      </c>
      <c r="JB16" s="121" t="str">
        <f>IF(ISBLANK(tbl_task8[[คะแนนเต็ม]:[คะแนนเต็ม]]),"",(tbl_task8[92]/tbl_task8[[คะแนนเต็ม]:[คะแนนเต็ม]])*tbl_task8[[%]:[%]])</f>
        <v/>
      </c>
      <c r="JC16" s="121" t="str">
        <f>IF(ISBLANK(tbl_task8[[คะแนนเต็ม]:[คะแนนเต็ม]]),"",(tbl_task8[93]/tbl_task8[[คะแนนเต็ม]:[คะแนนเต็ม]])*tbl_task8[[%]:[%]])</f>
        <v/>
      </c>
      <c r="JD16" s="121" t="str">
        <f>IF(ISBLANK(tbl_task8[[คะแนนเต็ม]:[คะแนนเต็ม]]),"",(tbl_task8[94]/tbl_task8[[คะแนนเต็ม]:[คะแนนเต็ม]])*tbl_task8[[%]:[%]])</f>
        <v/>
      </c>
      <c r="JE16" s="121" t="str">
        <f>IF(ISBLANK(tbl_task8[[คะแนนเต็ม]:[คะแนนเต็ม]]),"",(tbl_task8[95]/tbl_task8[[คะแนนเต็ม]:[คะแนนเต็ม]])*tbl_task8[[%]:[%]])</f>
        <v/>
      </c>
      <c r="JF16" s="121" t="str">
        <f>IF(ISBLANK(tbl_task8[[คะแนนเต็ม]:[คะแนนเต็ม]]),"",(tbl_task8[96]/tbl_task8[[คะแนนเต็ม]:[คะแนนเต็ม]])*tbl_task8[[%]:[%]])</f>
        <v/>
      </c>
      <c r="JG16" s="121" t="str">
        <f>IF(ISBLANK(tbl_task8[[คะแนนเต็ม]:[คะแนนเต็ม]]),"",(tbl_task8[97]/tbl_task8[[คะแนนเต็ม]:[คะแนนเต็ม]])*tbl_task8[[%]:[%]])</f>
        <v/>
      </c>
      <c r="JH16" s="121" t="str">
        <f>IF(ISBLANK(tbl_task8[[คะแนนเต็ม]:[คะแนนเต็ม]]),"",(tbl_task8[98]/tbl_task8[[คะแนนเต็ม]:[คะแนนเต็ม]])*tbl_task8[[%]:[%]])</f>
        <v/>
      </c>
      <c r="JI16" s="121" t="str">
        <f>IF(ISBLANK(tbl_task8[[คะแนนเต็ม]:[คะแนนเต็ม]]),"",(tbl_task8[99]/tbl_task8[[คะแนนเต็ม]:[คะแนนเต็ม]])*tbl_task8[[%]:[%]])</f>
        <v/>
      </c>
      <c r="JJ16" s="121" t="str">
        <f>IF(ISBLANK(tbl_task8[[คะแนนเต็ม]:[คะแนนเต็ม]]),"",(tbl_task8[100]/tbl_task8[[คะแนนเต็ม]:[คะแนนเต็ม]])*tbl_task8[[%]:[%]])</f>
        <v/>
      </c>
      <c r="JK16" s="121" t="str">
        <f>IF(ISBLANK(tbl_task8[[คะแนนเต็ม]:[คะแนนเต็ม]]),"",(tbl_task8[101]/tbl_task8[[คะแนนเต็ม]:[คะแนนเต็ม]])*tbl_task8[[%]:[%]])</f>
        <v/>
      </c>
      <c r="JL16" s="121" t="str">
        <f>IF(ISBLANK(tbl_task8[[คะแนนเต็ม]:[คะแนนเต็ม]]),"",(tbl_task8[102]/tbl_task8[[คะแนนเต็ม]:[คะแนนเต็ม]])*tbl_task8[[%]:[%]])</f>
        <v/>
      </c>
      <c r="JM16" s="121" t="str">
        <f>IF(ISBLANK(tbl_task8[[คะแนนเต็ม]:[คะแนนเต็ม]]),"",(tbl_task8[103]/tbl_task8[[คะแนนเต็ม]:[คะแนนเต็ม]])*tbl_task8[[%]:[%]])</f>
        <v/>
      </c>
      <c r="JN16" s="121" t="str">
        <f>IF(ISBLANK(tbl_task8[[คะแนนเต็ม]:[คะแนนเต็ม]]),"",(tbl_task8[104]/tbl_task8[[คะแนนเต็ม]:[คะแนนเต็ม]])*tbl_task8[[%]:[%]])</f>
        <v/>
      </c>
      <c r="JO16" s="121" t="str">
        <f>IF(ISBLANK(tbl_task8[[คะแนนเต็ม]:[คะแนนเต็ม]]),"",(tbl_task8[105]/tbl_task8[[คะแนนเต็ม]:[คะแนนเต็ม]])*tbl_task8[[%]:[%]])</f>
        <v/>
      </c>
      <c r="JP16" s="121" t="str">
        <f>IF(ISBLANK(tbl_task8[[คะแนนเต็ม]:[คะแนนเต็ม]]),"",(tbl_task8[106]/tbl_task8[[คะแนนเต็ม]:[คะแนนเต็ม]])*tbl_task8[[%]:[%]])</f>
        <v/>
      </c>
      <c r="JQ16" s="121" t="str">
        <f>IF(ISBLANK(tbl_task8[[คะแนนเต็ม]:[คะแนนเต็ม]]),"",(tbl_task8[107]/tbl_task8[[คะแนนเต็ม]:[คะแนนเต็ม]])*tbl_task8[[%]:[%]])</f>
        <v/>
      </c>
      <c r="JR16" s="121" t="str">
        <f>IF(ISBLANK(tbl_task8[[คะแนนเต็ม]:[คะแนนเต็ม]]),"",(tbl_task8[108]/tbl_task8[[คะแนนเต็ม]:[คะแนนเต็ม]])*tbl_task8[[%]:[%]])</f>
        <v/>
      </c>
      <c r="JS16" s="121" t="str">
        <f>IF(ISBLANK(tbl_task8[[คะแนนเต็ม]:[คะแนนเต็ม]]),"",(tbl_task8[109]/tbl_task8[[คะแนนเต็ม]:[คะแนนเต็ม]])*tbl_task8[[%]:[%]])</f>
        <v/>
      </c>
      <c r="JT16" s="121" t="str">
        <f>IF(ISBLANK(tbl_task8[[คะแนนเต็ม]:[คะแนนเต็ม]]),"",(tbl_task8[110]/tbl_task8[[คะแนนเต็ม]:[คะแนนเต็ม]])*tbl_task8[[%]:[%]])</f>
        <v/>
      </c>
      <c r="JU16" s="121" t="str">
        <f>IF(ISBLANK(tbl_task8[[คะแนนเต็ม]:[คะแนนเต็ม]]),"",(tbl_task8[111]/tbl_task8[[คะแนนเต็ม]:[คะแนนเต็ม]])*tbl_task8[[%]:[%]])</f>
        <v/>
      </c>
      <c r="JV16" s="121" t="str">
        <f>IF(ISBLANK(tbl_task8[[คะแนนเต็ม]:[คะแนนเต็ม]]),"",(tbl_task8[112]/tbl_task8[[คะแนนเต็ม]:[คะแนนเต็ม]])*tbl_task8[[%]:[%]])</f>
        <v/>
      </c>
      <c r="JW16" s="121" t="str">
        <f>IF(ISBLANK(tbl_task8[[คะแนนเต็ม]:[คะแนนเต็ม]]),"",(tbl_task8[113]/tbl_task8[[คะแนนเต็ม]:[คะแนนเต็ม]])*tbl_task8[[%]:[%]])</f>
        <v/>
      </c>
      <c r="JX16" s="121" t="str">
        <f>IF(ISBLANK(tbl_task8[[คะแนนเต็ม]:[คะแนนเต็ม]]),"",(tbl_task8[114]/tbl_task8[[คะแนนเต็ม]:[คะแนนเต็ม]])*tbl_task8[[%]:[%]])</f>
        <v/>
      </c>
      <c r="JY16" s="121" t="str">
        <f>IF(ISBLANK(tbl_task8[[คะแนนเต็ม]:[คะแนนเต็ม]]),"",(tbl_task8[115]/tbl_task8[[คะแนนเต็ม]:[คะแนนเต็ม]])*tbl_task8[[%]:[%]])</f>
        <v/>
      </c>
      <c r="JZ16" s="121" t="str">
        <f>IF(ISBLANK(tbl_task8[[คะแนนเต็ม]:[คะแนนเต็ม]]),"",(tbl_task8[116]/tbl_task8[[คะแนนเต็ม]:[คะแนนเต็ม]])*tbl_task8[[%]:[%]])</f>
        <v/>
      </c>
      <c r="KA16" s="121" t="str">
        <f>IF(ISBLANK(tbl_task8[[คะแนนเต็ม]:[คะแนนเต็ม]]),"",(tbl_task8[117]/tbl_task8[[คะแนนเต็ม]:[คะแนนเต็ม]])*tbl_task8[[%]:[%]])</f>
        <v/>
      </c>
      <c r="KB16" s="121" t="str">
        <f>IF(ISBLANK(tbl_task8[[คะแนนเต็ม]:[คะแนนเต็ม]]),"",(tbl_task8[118]/tbl_task8[[คะแนนเต็ม]:[คะแนนเต็ม]])*tbl_task8[[%]:[%]])</f>
        <v/>
      </c>
      <c r="KC16" s="121" t="str">
        <f>IF(ISBLANK(tbl_task8[[คะแนนเต็ม]:[คะแนนเต็ม]]),"",(tbl_task8[119]/tbl_task8[[คะแนนเต็ม]:[คะแนนเต็ม]])*tbl_task8[[%]:[%]])</f>
        <v/>
      </c>
      <c r="KD16" s="121" t="str">
        <f>IF(ISBLANK(tbl_task8[[คะแนนเต็ม]:[คะแนนเต็ม]]),"",(tbl_task8[120]/tbl_task8[[คะแนนเต็ม]:[คะแนนเต็ม]])*tbl_task8[[%]:[%]])</f>
        <v/>
      </c>
      <c r="KE16" s="121" t="str">
        <f>IF(ISBLANK(tbl_task8[[คะแนนเต็ม]:[คะแนนเต็ม]]),"",(tbl_task8[121]/tbl_task8[[คะแนนเต็ม]:[คะแนนเต็ม]])*tbl_task8[[%]:[%]])</f>
        <v/>
      </c>
      <c r="KF16" s="121" t="str">
        <f>IF(ISBLANK(tbl_task8[[คะแนนเต็ม]:[คะแนนเต็ม]]),"",(tbl_task8[122]/tbl_task8[[คะแนนเต็ม]:[คะแนนเต็ม]])*tbl_task8[[%]:[%]])</f>
        <v/>
      </c>
      <c r="KG16" s="121" t="str">
        <f>IF(ISBLANK(tbl_task8[[คะแนนเต็ม]:[คะแนนเต็ม]]),"",(tbl_task8[123]/tbl_task8[[คะแนนเต็ม]:[คะแนนเต็ม]])*tbl_task8[[%]:[%]])</f>
        <v/>
      </c>
      <c r="KH16" s="121" t="str">
        <f>IF(ISBLANK(tbl_task8[[คะแนนเต็ม]:[คะแนนเต็ม]]),"",(tbl_task8[124]/tbl_task8[[คะแนนเต็ม]:[คะแนนเต็ม]])*tbl_task8[[%]:[%]])</f>
        <v/>
      </c>
      <c r="KI16" s="121" t="str">
        <f>IF(ISBLANK(tbl_task8[[คะแนนเต็ม]:[คะแนนเต็ม]]),"",(tbl_task8[125]/tbl_task8[[คะแนนเต็ม]:[คะแนนเต็ม]])*tbl_task8[[%]:[%]])</f>
        <v/>
      </c>
      <c r="KJ16" s="121" t="str">
        <f>IF(ISBLANK(tbl_task8[[คะแนนเต็ม]:[คะแนนเต็ม]]),"",(tbl_task8[126]/tbl_task8[[คะแนนเต็ม]:[คะแนนเต็ม]])*tbl_task8[[%]:[%]])</f>
        <v/>
      </c>
      <c r="KK16" s="121" t="str">
        <f>IF(ISBLANK(tbl_task8[[คะแนนเต็ม]:[คะแนนเต็ม]]),"",(tbl_task8[127]/tbl_task8[[คะแนนเต็ม]:[คะแนนเต็ม]])*tbl_task8[[%]:[%]])</f>
        <v/>
      </c>
      <c r="KL16" s="121" t="str">
        <f>IF(ISBLANK(tbl_task8[[คะแนนเต็ม]:[คะแนนเต็ม]]),"",(tbl_task8[128]/tbl_task8[[คะแนนเต็ม]:[คะแนนเต็ม]])*tbl_task8[[%]:[%]])</f>
        <v/>
      </c>
      <c r="KM16" s="121" t="str">
        <f>IF(ISBLANK(tbl_task8[[คะแนนเต็ม]:[คะแนนเต็ม]]),"",(tbl_task8[129]/tbl_task8[[คะแนนเต็ม]:[คะแนนเต็ม]])*tbl_task8[[%]:[%]])</f>
        <v/>
      </c>
      <c r="KN16" s="121" t="str">
        <f>IF(ISBLANK(tbl_task8[[คะแนนเต็ม]:[คะแนนเต็ม]]),"",(tbl_task8[130]/tbl_task8[[คะแนนเต็ม]:[คะแนนเต็ม]])*tbl_task8[[%]:[%]])</f>
        <v/>
      </c>
      <c r="KO16" s="121" t="str">
        <f>IF(ISBLANK(tbl_task8[[คะแนนเต็ม]:[คะแนนเต็ม]]),"",(tbl_task8[131]/tbl_task8[[คะแนนเต็ม]:[คะแนนเต็ม]])*tbl_task8[[%]:[%]])</f>
        <v/>
      </c>
      <c r="KP16" s="121" t="str">
        <f>IF(ISBLANK(tbl_task8[[คะแนนเต็ม]:[คะแนนเต็ม]]),"",(tbl_task8[132]/tbl_task8[[คะแนนเต็ม]:[คะแนนเต็ม]])*tbl_task8[[%]:[%]])</f>
        <v/>
      </c>
      <c r="KQ16" s="121" t="str">
        <f>IF(ISBLANK(tbl_task8[[คะแนนเต็ม]:[คะแนนเต็ม]]),"",(tbl_task8[133]/tbl_task8[[คะแนนเต็ม]:[คะแนนเต็ม]])*tbl_task8[[%]:[%]])</f>
        <v/>
      </c>
      <c r="KR16" s="121" t="str">
        <f>IF(ISBLANK(tbl_task8[[คะแนนเต็ม]:[คะแนนเต็ม]]),"",(tbl_task8[134]/tbl_task8[[คะแนนเต็ม]:[คะแนนเต็ม]])*tbl_task8[[%]:[%]])</f>
        <v/>
      </c>
      <c r="KS16" s="121" t="str">
        <f>IF(ISBLANK(tbl_task8[[คะแนนเต็ม]:[คะแนนเต็ม]]),"",(tbl_task8[135]/tbl_task8[[คะแนนเต็ม]:[คะแนนเต็ม]])*tbl_task8[[%]:[%]])</f>
        <v/>
      </c>
      <c r="KT16" s="121" t="str">
        <f>IF(ISBLANK(tbl_task8[[คะแนนเต็ม]:[คะแนนเต็ม]]),"",(tbl_task8[136]/tbl_task8[[คะแนนเต็ม]:[คะแนนเต็ม]])*tbl_task8[[%]:[%]])</f>
        <v/>
      </c>
      <c r="KU16" s="121" t="str">
        <f>IF(ISBLANK(tbl_task8[[คะแนนเต็ม]:[คะแนนเต็ม]]),"",(tbl_task8[137]/tbl_task8[[คะแนนเต็ม]:[คะแนนเต็ม]])*tbl_task8[[%]:[%]])</f>
        <v/>
      </c>
      <c r="KV16" s="121" t="str">
        <f>IF(ISBLANK(tbl_task8[[คะแนนเต็ม]:[คะแนนเต็ม]]),"",(tbl_task8[138]/tbl_task8[[คะแนนเต็ม]:[คะแนนเต็ม]])*tbl_task8[[%]:[%]])</f>
        <v/>
      </c>
      <c r="KW16" s="121" t="str">
        <f>IF(ISBLANK(tbl_task8[[คะแนนเต็ม]:[คะแนนเต็ม]]),"",(tbl_task8[139]/tbl_task8[[คะแนนเต็ม]:[คะแนนเต็ม]])*tbl_task8[[%]:[%]])</f>
        <v/>
      </c>
      <c r="KX16" s="121" t="str">
        <f>IF(ISBLANK(tbl_task8[[คะแนนเต็ม]:[คะแนนเต็ม]]),"",(tbl_task8[140]/tbl_task8[[คะแนนเต็ม]:[คะแนนเต็ม]])*tbl_task8[[%]:[%]])</f>
        <v/>
      </c>
      <c r="KY16" s="121" t="str">
        <f>IF(ISBLANK(tbl_task8[[คะแนนเต็ม]:[คะแนนเต็ม]]),"",(tbl_task8[141]/tbl_task8[[คะแนนเต็ม]:[คะแนนเต็ม]])*tbl_task8[[%]:[%]])</f>
        <v/>
      </c>
      <c r="KZ16" s="121" t="str">
        <f>IF(ISBLANK(tbl_task8[[คะแนนเต็ม]:[คะแนนเต็ม]]),"",(tbl_task8[142]/tbl_task8[[คะแนนเต็ม]:[คะแนนเต็ม]])*tbl_task8[[%]:[%]])</f>
        <v/>
      </c>
      <c r="LA16" s="121" t="str">
        <f>IF(ISBLANK(tbl_task8[[คะแนนเต็ม]:[คะแนนเต็ม]]),"",(tbl_task8[143]/tbl_task8[[คะแนนเต็ม]:[คะแนนเต็ม]])*tbl_task8[[%]:[%]])</f>
        <v/>
      </c>
      <c r="LB16" s="121" t="str">
        <f>IF(ISBLANK(tbl_task8[[คะแนนเต็ม]:[คะแนนเต็ม]]),"",(tbl_task8[144]/tbl_task8[[คะแนนเต็ม]:[คะแนนเต็ม]])*tbl_task8[[%]:[%]])</f>
        <v/>
      </c>
      <c r="LC16" s="121" t="str">
        <f>IF(ISBLANK(tbl_task8[[คะแนนเต็ม]:[คะแนนเต็ม]]),"",(tbl_task8[145]/tbl_task8[[คะแนนเต็ม]:[คะแนนเต็ม]])*tbl_task8[[%]:[%]])</f>
        <v/>
      </c>
      <c r="LD16" s="121" t="str">
        <f>IF(ISBLANK(tbl_task8[[คะแนนเต็ม]:[คะแนนเต็ม]]),"",(tbl_task8[146]/tbl_task8[[คะแนนเต็ม]:[คะแนนเต็ม]])*tbl_task8[[%]:[%]])</f>
        <v/>
      </c>
      <c r="LE16" s="121" t="str">
        <f>IF(ISBLANK(tbl_task8[[คะแนนเต็ม]:[คะแนนเต็ม]]),"",(tbl_task8[147]/tbl_task8[[คะแนนเต็ม]:[คะแนนเต็ม]])*tbl_task8[[%]:[%]])</f>
        <v/>
      </c>
      <c r="LF16" s="121" t="str">
        <f>IF(ISBLANK(tbl_task8[[คะแนนเต็ม]:[คะแนนเต็ม]]),"",(tbl_task8[148]/tbl_task8[[คะแนนเต็ม]:[คะแนนเต็ม]])*tbl_task8[[%]:[%]])</f>
        <v/>
      </c>
      <c r="LG16" s="121" t="str">
        <f>IF(ISBLANK(tbl_task8[[คะแนนเต็ม]:[คะแนนเต็ม]]),"",(tbl_task8[149]/tbl_task8[[คะแนนเต็ม]:[คะแนนเต็ม]])*tbl_task8[[%]:[%]])</f>
        <v/>
      </c>
      <c r="LH16" s="121" t="str">
        <f>IF(ISBLANK(tbl_task8[[คะแนนเต็ม]:[คะแนนเต็ม]]),"",(tbl_task8[150]/tbl_task8[[คะแนนเต็ม]:[คะแนนเต็ม]])*tbl_task8[[%]:[%]])</f>
        <v/>
      </c>
      <c r="LI16" s="121" t="str">
        <f>IF(ISBLANK(tbl_task8[[คะแนนเต็ม]:[คะแนนเต็ม]]),"",(tbl_task8[151]/tbl_task8[[คะแนนเต็ม]:[คะแนนเต็ม]])*tbl_task8[[%]:[%]])</f>
        <v/>
      </c>
      <c r="LJ16" s="121" t="str">
        <f>IF(ISBLANK(tbl_task8[[คะแนนเต็ม]:[คะแนนเต็ม]]),"",(tbl_task8[152]/tbl_task8[[คะแนนเต็ม]:[คะแนนเต็ม]])*tbl_task8[[%]:[%]])</f>
        <v/>
      </c>
      <c r="LK16" s="121" t="str">
        <f>IF(ISBLANK(tbl_task8[[คะแนนเต็ม]:[คะแนนเต็ม]]),"",(tbl_task8[153]/tbl_task8[[คะแนนเต็ม]:[คะแนนเต็ม]])*tbl_task8[[%]:[%]])</f>
        <v/>
      </c>
      <c r="LL16" s="121" t="str">
        <f>IF(ISBLANK(tbl_task8[[คะแนนเต็ม]:[คะแนนเต็ม]]),"",(tbl_task8[154]/tbl_task8[[คะแนนเต็ม]:[คะแนนเต็ม]])*tbl_task8[[%]:[%]])</f>
        <v/>
      </c>
      <c r="LM16" s="121" t="str">
        <f>IF(ISBLANK(tbl_task8[[คะแนนเต็ม]:[คะแนนเต็ม]]),"",(tbl_task8[155]/tbl_task8[[คะแนนเต็ม]:[คะแนนเต็ม]])*tbl_task8[[%]:[%]])</f>
        <v/>
      </c>
      <c r="LN16" s="121" t="str">
        <f>IF(ISBLANK(tbl_task8[[คะแนนเต็ม]:[คะแนนเต็ม]]),"",(tbl_task8[156]/tbl_task8[[คะแนนเต็ม]:[คะแนนเต็ม]])*tbl_task8[[%]:[%]])</f>
        <v/>
      </c>
      <c r="LO16" s="121" t="str">
        <f>IF(ISBLANK(tbl_task8[[คะแนนเต็ม]:[คะแนนเต็ม]]),"",(tbl_task8[157]/tbl_task8[[คะแนนเต็ม]:[คะแนนเต็ม]])*tbl_task8[[%]:[%]])</f>
        <v/>
      </c>
      <c r="LP16" s="121" t="str">
        <f>IF(ISBLANK(tbl_task8[[คะแนนเต็ม]:[คะแนนเต็ม]]),"",(tbl_task8[158]/tbl_task8[[คะแนนเต็ม]:[คะแนนเต็ม]])*tbl_task8[[%]:[%]])</f>
        <v/>
      </c>
      <c r="LQ16" s="121" t="str">
        <f>IF(ISBLANK(tbl_task8[[คะแนนเต็ม]:[คะแนนเต็ม]]),"",(tbl_task8[159]/tbl_task8[[คะแนนเต็ม]:[คะแนนเต็ม]])*tbl_task8[[%]:[%]])</f>
        <v/>
      </c>
      <c r="LR16" s="121" t="str">
        <f>IF(ISBLANK(tbl_task8[[คะแนนเต็ม]:[คะแนนเต็ม]]),"",(tbl_task8[160]/tbl_task8[[คะแนนเต็ม]:[คะแนนเต็ม]])*tbl_task8[[%]:[%]])</f>
        <v/>
      </c>
      <c r="LS16" s="121" t="str">
        <f>IF(ISBLANK(tbl_task8[[คะแนนเต็ม]:[คะแนนเต็ม]]),"",(tbl_task8[161]/tbl_task8[[คะแนนเต็ม]:[คะแนนเต็ม]])*tbl_task8[[%]:[%]])</f>
        <v/>
      </c>
      <c r="LT16" s="121" t="str">
        <f>IF(ISBLANK(tbl_task8[[คะแนนเต็ม]:[คะแนนเต็ม]]),"",(tbl_task8[162]/tbl_task8[[คะแนนเต็ม]:[คะแนนเต็ม]])*tbl_task8[[%]:[%]])</f>
        <v/>
      </c>
      <c r="LU16" s="121" t="str">
        <f>IF(ISBLANK(tbl_task8[[คะแนนเต็ม]:[คะแนนเต็ม]]),"",(tbl_task8[163]/tbl_task8[[คะแนนเต็ม]:[คะแนนเต็ม]])*tbl_task8[[%]:[%]])</f>
        <v/>
      </c>
      <c r="LV16" s="121" t="str">
        <f>IF(ISBLANK(tbl_task8[[คะแนนเต็ม]:[คะแนนเต็ม]]),"",(tbl_task8[164]/tbl_task8[[คะแนนเต็ม]:[คะแนนเต็ม]])*tbl_task8[[%]:[%]])</f>
        <v/>
      </c>
      <c r="LW16" s="121" t="str">
        <f>IF(ISBLANK(tbl_task8[[คะแนนเต็ม]:[คะแนนเต็ม]]),"",(tbl_task8[165]/tbl_task8[[คะแนนเต็ม]:[คะแนนเต็ม]])*tbl_task8[[%]:[%]])</f>
        <v/>
      </c>
    </row>
    <row r="17" spans="1:335" ht="24" customHeight="1" x14ac:dyDescent="0.25">
      <c r="A17" s="24">
        <v>14</v>
      </c>
      <c r="B17" s="20"/>
      <c r="C17" s="5" t="str">
        <f>IF(ISBLANK(B17),"",VLOOKUP(B17,tbl_PLOs[],2,0))</f>
        <v/>
      </c>
      <c r="D17" s="102"/>
      <c r="E17" s="10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121" t="str">
        <f>IF(ISBLANK(tbl_task8[[คะแนนเต็ม]:[คะแนนเต็ม]]),"",(tbl_task8[1]/tbl_task8[[คะแนนเต็ม]:[คะแนนเต็ม]])*tbl_task8[[%]:[%]])</f>
        <v/>
      </c>
      <c r="FP17" s="121" t="str">
        <f>IF(ISBLANK(tbl_task8[[คะแนนเต็ม]:[คะแนนเต็ม]]),"",(tbl_task8[2]/tbl_task8[[คะแนนเต็ม]:[คะแนนเต็ม]])*tbl_task8[[%]:[%]])</f>
        <v/>
      </c>
      <c r="FQ17" s="121" t="str">
        <f>IF(ISBLANK(tbl_task8[[คะแนนเต็ม]:[คะแนนเต็ม]]),"",(tbl_task8[3]/tbl_task8[[คะแนนเต็ม]:[คะแนนเต็ม]])*tbl_task8[[%]:[%]])</f>
        <v/>
      </c>
      <c r="FR17" s="121" t="str">
        <f>IF(ISBLANK(tbl_task8[[คะแนนเต็ม]:[คะแนนเต็ม]]),"",(tbl_task8[4]/tbl_task8[[คะแนนเต็ม]:[คะแนนเต็ม]])*tbl_task8[[%]:[%]])</f>
        <v/>
      </c>
      <c r="FS17" s="121" t="str">
        <f>IF(ISBLANK(tbl_task8[[คะแนนเต็ม]:[คะแนนเต็ม]]),"",(tbl_task8[5]/tbl_task8[[คะแนนเต็ม]:[คะแนนเต็ม]])*tbl_task8[[%]:[%]])</f>
        <v/>
      </c>
      <c r="FT17" s="121" t="str">
        <f>IF(ISBLANK(tbl_task8[[คะแนนเต็ม]:[คะแนนเต็ม]]),"",(tbl_task8[6]/tbl_task8[[คะแนนเต็ม]:[คะแนนเต็ม]])*tbl_task8[[%]:[%]])</f>
        <v/>
      </c>
      <c r="FU17" s="121" t="str">
        <f>IF(ISBLANK(tbl_task8[[คะแนนเต็ม]:[คะแนนเต็ม]]),"",(tbl_task8[7]/tbl_task8[[คะแนนเต็ม]:[คะแนนเต็ม]])*tbl_task8[[%]:[%]])</f>
        <v/>
      </c>
      <c r="FV17" s="121" t="str">
        <f>IF(ISBLANK(tbl_task8[[คะแนนเต็ม]:[คะแนนเต็ม]]),"",(tbl_task8[8]/tbl_task8[[คะแนนเต็ม]:[คะแนนเต็ม]])*tbl_task8[[%]:[%]])</f>
        <v/>
      </c>
      <c r="FW17" s="121" t="str">
        <f>IF(ISBLANK(tbl_task8[[คะแนนเต็ม]:[คะแนนเต็ม]]),"",(tbl_task8[9]/tbl_task8[[คะแนนเต็ม]:[คะแนนเต็ม]])*tbl_task8[[%]:[%]])</f>
        <v/>
      </c>
      <c r="FX17" s="121" t="str">
        <f>IF(ISBLANK(tbl_task8[[คะแนนเต็ม]:[คะแนนเต็ม]]),"",(tbl_task8[10]/tbl_task8[[คะแนนเต็ม]:[คะแนนเต็ม]])*tbl_task8[[%]:[%]])</f>
        <v/>
      </c>
      <c r="FY17" s="121" t="str">
        <f>IF(ISBLANK(tbl_task8[[คะแนนเต็ม]:[คะแนนเต็ม]]),"",(tbl_task8[11]/tbl_task8[[คะแนนเต็ม]:[คะแนนเต็ม]])*tbl_task8[[%]:[%]])</f>
        <v/>
      </c>
      <c r="FZ17" s="121" t="str">
        <f>IF(ISBLANK(tbl_task8[[คะแนนเต็ม]:[คะแนนเต็ม]]),"",(tbl_task8[12]/tbl_task8[[คะแนนเต็ม]:[คะแนนเต็ม]])*tbl_task8[[%]:[%]])</f>
        <v/>
      </c>
      <c r="GA17" s="121" t="str">
        <f>IF(ISBLANK(tbl_task8[[คะแนนเต็ม]:[คะแนนเต็ม]]),"",(tbl_task8[13]/tbl_task8[[คะแนนเต็ม]:[คะแนนเต็ม]])*tbl_task8[[%]:[%]])</f>
        <v/>
      </c>
      <c r="GB17" s="121" t="str">
        <f>IF(ISBLANK(tbl_task8[[คะแนนเต็ม]:[คะแนนเต็ม]]),"",(tbl_task8[14]/tbl_task8[[คะแนนเต็ม]:[คะแนนเต็ม]])*tbl_task8[[%]:[%]])</f>
        <v/>
      </c>
      <c r="GC17" s="121" t="str">
        <f>IF(ISBLANK(tbl_task8[[คะแนนเต็ม]:[คะแนนเต็ม]]),"",(tbl_task8[15]/tbl_task8[[คะแนนเต็ม]:[คะแนนเต็ม]])*tbl_task8[[%]:[%]])</f>
        <v/>
      </c>
      <c r="GD17" s="121" t="str">
        <f>IF(ISBLANK(tbl_task8[[คะแนนเต็ม]:[คะแนนเต็ม]]),"",(tbl_task8[16]/tbl_task8[[คะแนนเต็ม]:[คะแนนเต็ม]])*tbl_task8[[%]:[%]])</f>
        <v/>
      </c>
      <c r="GE17" s="121" t="str">
        <f>IF(ISBLANK(tbl_task8[[คะแนนเต็ม]:[คะแนนเต็ม]]),"",(tbl_task8[17]/tbl_task8[[คะแนนเต็ม]:[คะแนนเต็ม]])*tbl_task8[[%]:[%]])</f>
        <v/>
      </c>
      <c r="GF17" s="121" t="str">
        <f>IF(ISBLANK(tbl_task8[[คะแนนเต็ม]:[คะแนนเต็ม]]),"",(tbl_task8[18]/tbl_task8[[คะแนนเต็ม]:[คะแนนเต็ม]])*tbl_task8[[%]:[%]])</f>
        <v/>
      </c>
      <c r="GG17" s="121" t="str">
        <f>IF(ISBLANK(tbl_task8[[คะแนนเต็ม]:[คะแนนเต็ม]]),"",(tbl_task8[19]/tbl_task8[[คะแนนเต็ม]:[คะแนนเต็ม]])*tbl_task8[[%]:[%]])</f>
        <v/>
      </c>
      <c r="GH17" s="121" t="str">
        <f>IF(ISBLANK(tbl_task8[[คะแนนเต็ม]:[คะแนนเต็ม]]),"",(tbl_task8[20]/tbl_task8[[คะแนนเต็ม]:[คะแนนเต็ม]])*tbl_task8[[%]:[%]])</f>
        <v/>
      </c>
      <c r="GI17" s="121" t="str">
        <f>IF(ISBLANK(tbl_task8[[คะแนนเต็ม]:[คะแนนเต็ม]]),"",(tbl_task8[21]/tbl_task8[[คะแนนเต็ม]:[คะแนนเต็ม]])*tbl_task8[[%]:[%]])</f>
        <v/>
      </c>
      <c r="GJ17" s="121" t="str">
        <f>IF(ISBLANK(tbl_task8[[คะแนนเต็ม]:[คะแนนเต็ม]]),"",(tbl_task8[22]/tbl_task8[[คะแนนเต็ม]:[คะแนนเต็ม]])*tbl_task8[[%]:[%]])</f>
        <v/>
      </c>
      <c r="GK17" s="121" t="str">
        <f>IF(ISBLANK(tbl_task8[[คะแนนเต็ม]:[คะแนนเต็ม]]),"",(tbl_task8[23]/tbl_task8[[คะแนนเต็ม]:[คะแนนเต็ม]])*tbl_task8[[%]:[%]])</f>
        <v/>
      </c>
      <c r="GL17" s="121" t="str">
        <f>IF(ISBLANK(tbl_task8[[คะแนนเต็ม]:[คะแนนเต็ม]]),"",(tbl_task8[24]/tbl_task8[[คะแนนเต็ม]:[คะแนนเต็ม]])*tbl_task8[[%]:[%]])</f>
        <v/>
      </c>
      <c r="GM17" s="121" t="str">
        <f>IF(ISBLANK(tbl_task8[[คะแนนเต็ม]:[คะแนนเต็ม]]),"",(tbl_task8[25]/tbl_task8[[คะแนนเต็ม]:[คะแนนเต็ม]])*tbl_task8[[%]:[%]])</f>
        <v/>
      </c>
      <c r="GN17" s="121" t="str">
        <f>IF(ISBLANK(tbl_task8[[คะแนนเต็ม]:[คะแนนเต็ม]]),"",(tbl_task8[26]/tbl_task8[[คะแนนเต็ม]:[คะแนนเต็ม]])*tbl_task8[[%]:[%]])</f>
        <v/>
      </c>
      <c r="GO17" s="121" t="str">
        <f>IF(ISBLANK(tbl_task8[[คะแนนเต็ม]:[คะแนนเต็ม]]),"",(tbl_task8[27]/tbl_task8[[คะแนนเต็ม]:[คะแนนเต็ม]])*tbl_task8[[%]:[%]])</f>
        <v/>
      </c>
      <c r="GP17" s="121" t="str">
        <f>IF(ISBLANK(tbl_task8[[คะแนนเต็ม]:[คะแนนเต็ม]]),"",(tbl_task8[28]/tbl_task8[[คะแนนเต็ม]:[คะแนนเต็ม]])*tbl_task8[[%]:[%]])</f>
        <v/>
      </c>
      <c r="GQ17" s="121" t="str">
        <f>IF(ISBLANK(tbl_task8[[คะแนนเต็ม]:[คะแนนเต็ม]]),"",(tbl_task8[29]/tbl_task8[[คะแนนเต็ม]:[คะแนนเต็ม]])*tbl_task8[[%]:[%]])</f>
        <v/>
      </c>
      <c r="GR17" s="121" t="str">
        <f>IF(ISBLANK(tbl_task8[[คะแนนเต็ม]:[คะแนนเต็ม]]),"",(tbl_task8[30]/tbl_task8[[คะแนนเต็ม]:[คะแนนเต็ม]])*tbl_task8[[%]:[%]])</f>
        <v/>
      </c>
      <c r="GS17" s="121" t="str">
        <f>IF(ISBLANK(tbl_task8[[คะแนนเต็ม]:[คะแนนเต็ม]]),"",(tbl_task8[31]/tbl_task8[[คะแนนเต็ม]:[คะแนนเต็ม]])*tbl_task8[[%]:[%]])</f>
        <v/>
      </c>
      <c r="GT17" s="121" t="str">
        <f>IF(ISBLANK(tbl_task8[[คะแนนเต็ม]:[คะแนนเต็ม]]),"",(tbl_task8[32]/tbl_task8[[คะแนนเต็ม]:[คะแนนเต็ม]])*tbl_task8[[%]:[%]])</f>
        <v/>
      </c>
      <c r="GU17" s="121" t="str">
        <f>IF(ISBLANK(tbl_task8[[คะแนนเต็ม]:[คะแนนเต็ม]]),"",(tbl_task8[33]/tbl_task8[[คะแนนเต็ม]:[คะแนนเต็ม]])*tbl_task8[[%]:[%]])</f>
        <v/>
      </c>
      <c r="GV17" s="121" t="str">
        <f>IF(ISBLANK(tbl_task8[[คะแนนเต็ม]:[คะแนนเต็ม]]),"",(tbl_task8[34]/tbl_task8[[คะแนนเต็ม]:[คะแนนเต็ม]])*tbl_task8[[%]:[%]])</f>
        <v/>
      </c>
      <c r="GW17" s="121" t="str">
        <f>IF(ISBLANK(tbl_task8[[คะแนนเต็ม]:[คะแนนเต็ม]]),"",(tbl_task8[35]/tbl_task8[[คะแนนเต็ม]:[คะแนนเต็ม]])*tbl_task8[[%]:[%]])</f>
        <v/>
      </c>
      <c r="GX17" s="121" t="str">
        <f>IF(ISBLANK(tbl_task8[[คะแนนเต็ม]:[คะแนนเต็ม]]),"",(tbl_task8[36]/tbl_task8[[คะแนนเต็ม]:[คะแนนเต็ม]])*tbl_task8[[%]:[%]])</f>
        <v/>
      </c>
      <c r="GY17" s="121" t="str">
        <f>IF(ISBLANK(tbl_task8[[คะแนนเต็ม]:[คะแนนเต็ม]]),"",(tbl_task8[37]/tbl_task8[[คะแนนเต็ม]:[คะแนนเต็ม]])*tbl_task8[[%]:[%]])</f>
        <v/>
      </c>
      <c r="GZ17" s="121" t="str">
        <f>IF(ISBLANK(tbl_task8[[คะแนนเต็ม]:[คะแนนเต็ม]]),"",(tbl_task8[38]/tbl_task8[[คะแนนเต็ม]:[คะแนนเต็ม]])*tbl_task8[[%]:[%]])</f>
        <v/>
      </c>
      <c r="HA17" s="121" t="str">
        <f>IF(ISBLANK(tbl_task8[[คะแนนเต็ม]:[คะแนนเต็ม]]),"",(tbl_task8[39]/tbl_task8[[คะแนนเต็ม]:[คะแนนเต็ม]])*tbl_task8[[%]:[%]])</f>
        <v/>
      </c>
      <c r="HB17" s="121" t="str">
        <f>IF(ISBLANK(tbl_task8[[คะแนนเต็ม]:[คะแนนเต็ม]]),"",(tbl_task8[40]/tbl_task8[[คะแนนเต็ม]:[คะแนนเต็ม]])*tbl_task8[[%]:[%]])</f>
        <v/>
      </c>
      <c r="HC17" s="121" t="str">
        <f>IF(ISBLANK(tbl_task8[[คะแนนเต็ม]:[คะแนนเต็ม]]),"",(tbl_task8[41]/tbl_task8[[คะแนนเต็ม]:[คะแนนเต็ม]])*tbl_task8[[%]:[%]])</f>
        <v/>
      </c>
      <c r="HD17" s="121" t="str">
        <f>IF(ISBLANK(tbl_task8[[คะแนนเต็ม]:[คะแนนเต็ม]]),"",(tbl_task8[42]/tbl_task8[[คะแนนเต็ม]:[คะแนนเต็ม]])*tbl_task8[[%]:[%]])</f>
        <v/>
      </c>
      <c r="HE17" s="121" t="str">
        <f>IF(ISBLANK(tbl_task8[[คะแนนเต็ม]:[คะแนนเต็ม]]),"",(tbl_task8[43]/tbl_task8[[คะแนนเต็ม]:[คะแนนเต็ม]])*tbl_task8[[%]:[%]])</f>
        <v/>
      </c>
      <c r="HF17" s="121" t="str">
        <f>IF(ISBLANK(tbl_task8[[คะแนนเต็ม]:[คะแนนเต็ม]]),"",(tbl_task8[44]/tbl_task8[[คะแนนเต็ม]:[คะแนนเต็ม]])*tbl_task8[[%]:[%]])</f>
        <v/>
      </c>
      <c r="HG17" s="121" t="str">
        <f>IF(ISBLANK(tbl_task8[[คะแนนเต็ม]:[คะแนนเต็ม]]),"",(tbl_task8[45]/tbl_task8[[คะแนนเต็ม]:[คะแนนเต็ม]])*tbl_task8[[%]:[%]])</f>
        <v/>
      </c>
      <c r="HH17" s="121" t="str">
        <f>IF(ISBLANK(tbl_task8[[คะแนนเต็ม]:[คะแนนเต็ม]]),"",(tbl_task8[46]/tbl_task8[[คะแนนเต็ม]:[คะแนนเต็ม]])*tbl_task8[[%]:[%]])</f>
        <v/>
      </c>
      <c r="HI17" s="121" t="str">
        <f>IF(ISBLANK(tbl_task8[[คะแนนเต็ม]:[คะแนนเต็ม]]),"",(tbl_task8[47]/tbl_task8[[คะแนนเต็ม]:[คะแนนเต็ม]])*tbl_task8[[%]:[%]])</f>
        <v/>
      </c>
      <c r="HJ17" s="121" t="str">
        <f>IF(ISBLANK(tbl_task8[[คะแนนเต็ม]:[คะแนนเต็ม]]),"",(tbl_task8[48]/tbl_task8[[คะแนนเต็ม]:[คะแนนเต็ม]])*tbl_task8[[%]:[%]])</f>
        <v/>
      </c>
      <c r="HK17" s="121" t="str">
        <f>IF(ISBLANK(tbl_task8[[คะแนนเต็ม]:[คะแนนเต็ม]]),"",(tbl_task8[49]/tbl_task8[[คะแนนเต็ม]:[คะแนนเต็ม]])*tbl_task8[[%]:[%]])</f>
        <v/>
      </c>
      <c r="HL17" s="121" t="str">
        <f>IF(ISBLANK(tbl_task8[[คะแนนเต็ม]:[คะแนนเต็ม]]),"",(tbl_task8[50]/tbl_task8[[คะแนนเต็ม]:[คะแนนเต็ม]])*tbl_task8[[%]:[%]])</f>
        <v/>
      </c>
      <c r="HM17" s="121" t="str">
        <f>IF(ISBLANK(tbl_task8[[คะแนนเต็ม]:[คะแนนเต็ม]]),"",(tbl_task8[51]/tbl_task8[[คะแนนเต็ม]:[คะแนนเต็ม]])*tbl_task8[[%]:[%]])</f>
        <v/>
      </c>
      <c r="HN17" s="121" t="str">
        <f>IF(ISBLANK(tbl_task8[[คะแนนเต็ม]:[คะแนนเต็ม]]),"",(tbl_task8[52]/tbl_task8[[คะแนนเต็ม]:[คะแนนเต็ม]])*tbl_task8[[%]:[%]])</f>
        <v/>
      </c>
      <c r="HO17" s="121" t="str">
        <f>IF(ISBLANK(tbl_task8[[คะแนนเต็ม]:[คะแนนเต็ม]]),"",(tbl_task8[53]/tbl_task8[[คะแนนเต็ม]:[คะแนนเต็ม]])*tbl_task8[[%]:[%]])</f>
        <v/>
      </c>
      <c r="HP17" s="121" t="str">
        <f>IF(ISBLANK(tbl_task8[[คะแนนเต็ม]:[คะแนนเต็ม]]),"",(tbl_task8[54]/tbl_task8[[คะแนนเต็ม]:[คะแนนเต็ม]])*tbl_task8[[%]:[%]])</f>
        <v/>
      </c>
      <c r="HQ17" s="121" t="str">
        <f>IF(ISBLANK(tbl_task8[[คะแนนเต็ม]:[คะแนนเต็ม]]),"",(tbl_task8[55]/tbl_task8[[คะแนนเต็ม]:[คะแนนเต็ม]])*tbl_task8[[%]:[%]])</f>
        <v/>
      </c>
      <c r="HR17" s="121" t="str">
        <f>IF(ISBLANK(tbl_task8[[คะแนนเต็ม]:[คะแนนเต็ม]]),"",(tbl_task8[56]/tbl_task8[[คะแนนเต็ม]:[คะแนนเต็ม]])*tbl_task8[[%]:[%]])</f>
        <v/>
      </c>
      <c r="HS17" s="121" t="str">
        <f>IF(ISBLANK(tbl_task8[[คะแนนเต็ม]:[คะแนนเต็ม]]),"",(tbl_task8[57]/tbl_task8[[คะแนนเต็ม]:[คะแนนเต็ม]])*tbl_task8[[%]:[%]])</f>
        <v/>
      </c>
      <c r="HT17" s="121" t="str">
        <f>IF(ISBLANK(tbl_task8[[คะแนนเต็ม]:[คะแนนเต็ม]]),"",(tbl_task8[58]/tbl_task8[[คะแนนเต็ม]:[คะแนนเต็ม]])*tbl_task8[[%]:[%]])</f>
        <v/>
      </c>
      <c r="HU17" s="121" t="str">
        <f>IF(ISBLANK(tbl_task8[[คะแนนเต็ม]:[คะแนนเต็ม]]),"",(tbl_task8[59]/tbl_task8[[คะแนนเต็ม]:[คะแนนเต็ม]])*tbl_task8[[%]:[%]])</f>
        <v/>
      </c>
      <c r="HV17" s="121" t="str">
        <f>IF(ISBLANK(tbl_task8[[คะแนนเต็ม]:[คะแนนเต็ม]]),"",(tbl_task8[60]/tbl_task8[[คะแนนเต็ม]:[คะแนนเต็ม]])*tbl_task8[[%]:[%]])</f>
        <v/>
      </c>
      <c r="HW17" s="121" t="str">
        <f>IF(ISBLANK(tbl_task8[[คะแนนเต็ม]:[คะแนนเต็ม]]),"",(tbl_task8[61]/tbl_task8[[คะแนนเต็ม]:[คะแนนเต็ม]])*tbl_task8[[%]:[%]])</f>
        <v/>
      </c>
      <c r="HX17" s="121" t="str">
        <f>IF(ISBLANK(tbl_task8[[คะแนนเต็ม]:[คะแนนเต็ม]]),"",(tbl_task8[62]/tbl_task8[[คะแนนเต็ม]:[คะแนนเต็ม]])*tbl_task8[[%]:[%]])</f>
        <v/>
      </c>
      <c r="HY17" s="121" t="str">
        <f>IF(ISBLANK(tbl_task8[[คะแนนเต็ม]:[คะแนนเต็ม]]),"",(tbl_task8[63]/tbl_task8[[คะแนนเต็ม]:[คะแนนเต็ม]])*tbl_task8[[%]:[%]])</f>
        <v/>
      </c>
      <c r="HZ17" s="121" t="str">
        <f>IF(ISBLANK(tbl_task8[[คะแนนเต็ม]:[คะแนนเต็ม]]),"",(tbl_task8[64]/tbl_task8[[คะแนนเต็ม]:[คะแนนเต็ม]])*tbl_task8[[%]:[%]])</f>
        <v/>
      </c>
      <c r="IA17" s="121" t="str">
        <f>IF(ISBLANK(tbl_task8[[คะแนนเต็ม]:[คะแนนเต็ม]]),"",(tbl_task8[65]/tbl_task8[[คะแนนเต็ม]:[คะแนนเต็ม]])*tbl_task8[[%]:[%]])</f>
        <v/>
      </c>
      <c r="IB17" s="121" t="str">
        <f>IF(ISBLANK(tbl_task8[[คะแนนเต็ม]:[คะแนนเต็ม]]),"",(tbl_task8[66]/tbl_task8[[คะแนนเต็ม]:[คะแนนเต็ม]])*tbl_task8[[%]:[%]])</f>
        <v/>
      </c>
      <c r="IC17" s="121" t="str">
        <f>IF(ISBLANK(tbl_task8[[คะแนนเต็ม]:[คะแนนเต็ม]]),"",(tbl_task8[67]/tbl_task8[[คะแนนเต็ม]:[คะแนนเต็ม]])*tbl_task8[[%]:[%]])</f>
        <v/>
      </c>
      <c r="ID17" s="121" t="str">
        <f>IF(ISBLANK(tbl_task8[[คะแนนเต็ม]:[คะแนนเต็ม]]),"",(tbl_task8[68]/tbl_task8[[คะแนนเต็ม]:[คะแนนเต็ม]])*tbl_task8[[%]:[%]])</f>
        <v/>
      </c>
      <c r="IE17" s="121" t="str">
        <f>IF(ISBLANK(tbl_task8[[คะแนนเต็ม]:[คะแนนเต็ม]]),"",(tbl_task8[69]/tbl_task8[[คะแนนเต็ม]:[คะแนนเต็ม]])*tbl_task8[[%]:[%]])</f>
        <v/>
      </c>
      <c r="IF17" s="121" t="str">
        <f>IF(ISBLANK(tbl_task8[[คะแนนเต็ม]:[คะแนนเต็ม]]),"",(tbl_task8[70]/tbl_task8[[คะแนนเต็ม]:[คะแนนเต็ม]])*tbl_task8[[%]:[%]])</f>
        <v/>
      </c>
      <c r="IG17" s="121" t="str">
        <f>IF(ISBLANK(tbl_task8[[คะแนนเต็ม]:[คะแนนเต็ม]]),"",(tbl_task8[71]/tbl_task8[[คะแนนเต็ม]:[คะแนนเต็ม]])*tbl_task8[[%]:[%]])</f>
        <v/>
      </c>
      <c r="IH17" s="121" t="str">
        <f>IF(ISBLANK(tbl_task8[[คะแนนเต็ม]:[คะแนนเต็ม]]),"",(tbl_task8[72]/tbl_task8[[คะแนนเต็ม]:[คะแนนเต็ม]])*tbl_task8[[%]:[%]])</f>
        <v/>
      </c>
      <c r="II17" s="121" t="str">
        <f>IF(ISBLANK(tbl_task8[[คะแนนเต็ม]:[คะแนนเต็ม]]),"",(tbl_task8[73]/tbl_task8[[คะแนนเต็ม]:[คะแนนเต็ม]])*tbl_task8[[%]:[%]])</f>
        <v/>
      </c>
      <c r="IJ17" s="121" t="str">
        <f>IF(ISBLANK(tbl_task8[[คะแนนเต็ม]:[คะแนนเต็ม]]),"",(tbl_task8[74]/tbl_task8[[คะแนนเต็ม]:[คะแนนเต็ม]])*tbl_task8[[%]:[%]])</f>
        <v/>
      </c>
      <c r="IK17" s="121" t="str">
        <f>IF(ISBLANK(tbl_task8[[คะแนนเต็ม]:[คะแนนเต็ม]]),"",(tbl_task8[75]/tbl_task8[[คะแนนเต็ม]:[คะแนนเต็ม]])*tbl_task8[[%]:[%]])</f>
        <v/>
      </c>
      <c r="IL17" s="121" t="str">
        <f>IF(ISBLANK(tbl_task8[[คะแนนเต็ม]:[คะแนนเต็ม]]),"",(tbl_task8[76]/tbl_task8[[คะแนนเต็ม]:[คะแนนเต็ม]])*tbl_task8[[%]:[%]])</f>
        <v/>
      </c>
      <c r="IM17" s="121" t="str">
        <f>IF(ISBLANK(tbl_task8[[คะแนนเต็ม]:[คะแนนเต็ม]]),"",(tbl_task8[77]/tbl_task8[[คะแนนเต็ม]:[คะแนนเต็ม]])*tbl_task8[[%]:[%]])</f>
        <v/>
      </c>
      <c r="IN17" s="121" t="str">
        <f>IF(ISBLANK(tbl_task8[[คะแนนเต็ม]:[คะแนนเต็ม]]),"",(tbl_task8[78]/tbl_task8[[คะแนนเต็ม]:[คะแนนเต็ม]])*tbl_task8[[%]:[%]])</f>
        <v/>
      </c>
      <c r="IO17" s="121" t="str">
        <f>IF(ISBLANK(tbl_task8[[คะแนนเต็ม]:[คะแนนเต็ม]]),"",(tbl_task8[79]/tbl_task8[[คะแนนเต็ม]:[คะแนนเต็ม]])*tbl_task8[[%]:[%]])</f>
        <v/>
      </c>
      <c r="IP17" s="121" t="str">
        <f>IF(ISBLANK(tbl_task8[[คะแนนเต็ม]:[คะแนนเต็ม]]),"",(tbl_task8[80]/tbl_task8[[คะแนนเต็ม]:[คะแนนเต็ม]])*tbl_task8[[%]:[%]])</f>
        <v/>
      </c>
      <c r="IQ17" s="121" t="str">
        <f>IF(ISBLANK(tbl_task8[[คะแนนเต็ม]:[คะแนนเต็ม]]),"",(tbl_task8[81]/tbl_task8[[คะแนนเต็ม]:[คะแนนเต็ม]])*tbl_task8[[%]:[%]])</f>
        <v/>
      </c>
      <c r="IR17" s="121" t="str">
        <f>IF(ISBLANK(tbl_task8[[คะแนนเต็ม]:[คะแนนเต็ม]]),"",(tbl_task8[82]/tbl_task8[[คะแนนเต็ม]:[คะแนนเต็ม]])*tbl_task8[[%]:[%]])</f>
        <v/>
      </c>
      <c r="IS17" s="121" t="str">
        <f>IF(ISBLANK(tbl_task8[[คะแนนเต็ม]:[คะแนนเต็ม]]),"",(tbl_task8[83]/tbl_task8[[คะแนนเต็ม]:[คะแนนเต็ม]])*tbl_task8[[%]:[%]])</f>
        <v/>
      </c>
      <c r="IT17" s="121" t="str">
        <f>IF(ISBLANK(tbl_task8[[คะแนนเต็ม]:[คะแนนเต็ม]]),"",(tbl_task8[84]/tbl_task8[[คะแนนเต็ม]:[คะแนนเต็ม]])*tbl_task8[[%]:[%]])</f>
        <v/>
      </c>
      <c r="IU17" s="121" t="str">
        <f>IF(ISBLANK(tbl_task8[[คะแนนเต็ม]:[คะแนนเต็ม]]),"",(tbl_task8[85]/tbl_task8[[คะแนนเต็ม]:[คะแนนเต็ม]])*tbl_task8[[%]:[%]])</f>
        <v/>
      </c>
      <c r="IV17" s="121" t="str">
        <f>IF(ISBLANK(tbl_task8[[คะแนนเต็ม]:[คะแนนเต็ม]]),"",(tbl_task8[86]/tbl_task8[[คะแนนเต็ม]:[คะแนนเต็ม]])*tbl_task8[[%]:[%]])</f>
        <v/>
      </c>
      <c r="IW17" s="121" t="str">
        <f>IF(ISBLANK(tbl_task8[[คะแนนเต็ม]:[คะแนนเต็ม]]),"",(tbl_task8[87]/tbl_task8[[คะแนนเต็ม]:[คะแนนเต็ม]])*tbl_task8[[%]:[%]])</f>
        <v/>
      </c>
      <c r="IX17" s="121" t="str">
        <f>IF(ISBLANK(tbl_task8[[คะแนนเต็ม]:[คะแนนเต็ม]]),"",(tbl_task8[88]/tbl_task8[[คะแนนเต็ม]:[คะแนนเต็ม]])*tbl_task8[[%]:[%]])</f>
        <v/>
      </c>
      <c r="IY17" s="121" t="str">
        <f>IF(ISBLANK(tbl_task8[[คะแนนเต็ม]:[คะแนนเต็ม]]),"",(tbl_task8[89]/tbl_task8[[คะแนนเต็ม]:[คะแนนเต็ม]])*tbl_task8[[%]:[%]])</f>
        <v/>
      </c>
      <c r="IZ17" s="121" t="str">
        <f>IF(ISBLANK(tbl_task8[[คะแนนเต็ม]:[คะแนนเต็ม]]),"",(tbl_task8[90]/tbl_task8[[คะแนนเต็ม]:[คะแนนเต็ม]])*tbl_task8[[%]:[%]])</f>
        <v/>
      </c>
      <c r="JA17" s="121" t="str">
        <f>IF(ISBLANK(tbl_task8[[คะแนนเต็ม]:[คะแนนเต็ม]]),"",(tbl_task8[91]/tbl_task8[[คะแนนเต็ม]:[คะแนนเต็ม]])*tbl_task8[[%]:[%]])</f>
        <v/>
      </c>
      <c r="JB17" s="121" t="str">
        <f>IF(ISBLANK(tbl_task8[[คะแนนเต็ม]:[คะแนนเต็ม]]),"",(tbl_task8[92]/tbl_task8[[คะแนนเต็ม]:[คะแนนเต็ม]])*tbl_task8[[%]:[%]])</f>
        <v/>
      </c>
      <c r="JC17" s="121" t="str">
        <f>IF(ISBLANK(tbl_task8[[คะแนนเต็ม]:[คะแนนเต็ม]]),"",(tbl_task8[93]/tbl_task8[[คะแนนเต็ม]:[คะแนนเต็ม]])*tbl_task8[[%]:[%]])</f>
        <v/>
      </c>
      <c r="JD17" s="121" t="str">
        <f>IF(ISBLANK(tbl_task8[[คะแนนเต็ม]:[คะแนนเต็ม]]),"",(tbl_task8[94]/tbl_task8[[คะแนนเต็ม]:[คะแนนเต็ม]])*tbl_task8[[%]:[%]])</f>
        <v/>
      </c>
      <c r="JE17" s="121" t="str">
        <f>IF(ISBLANK(tbl_task8[[คะแนนเต็ม]:[คะแนนเต็ม]]),"",(tbl_task8[95]/tbl_task8[[คะแนนเต็ม]:[คะแนนเต็ม]])*tbl_task8[[%]:[%]])</f>
        <v/>
      </c>
      <c r="JF17" s="121" t="str">
        <f>IF(ISBLANK(tbl_task8[[คะแนนเต็ม]:[คะแนนเต็ม]]),"",(tbl_task8[96]/tbl_task8[[คะแนนเต็ม]:[คะแนนเต็ม]])*tbl_task8[[%]:[%]])</f>
        <v/>
      </c>
      <c r="JG17" s="121" t="str">
        <f>IF(ISBLANK(tbl_task8[[คะแนนเต็ม]:[คะแนนเต็ม]]),"",(tbl_task8[97]/tbl_task8[[คะแนนเต็ม]:[คะแนนเต็ม]])*tbl_task8[[%]:[%]])</f>
        <v/>
      </c>
      <c r="JH17" s="121" t="str">
        <f>IF(ISBLANK(tbl_task8[[คะแนนเต็ม]:[คะแนนเต็ม]]),"",(tbl_task8[98]/tbl_task8[[คะแนนเต็ม]:[คะแนนเต็ม]])*tbl_task8[[%]:[%]])</f>
        <v/>
      </c>
      <c r="JI17" s="121" t="str">
        <f>IF(ISBLANK(tbl_task8[[คะแนนเต็ม]:[คะแนนเต็ม]]),"",(tbl_task8[99]/tbl_task8[[คะแนนเต็ม]:[คะแนนเต็ม]])*tbl_task8[[%]:[%]])</f>
        <v/>
      </c>
      <c r="JJ17" s="121" t="str">
        <f>IF(ISBLANK(tbl_task8[[คะแนนเต็ม]:[คะแนนเต็ม]]),"",(tbl_task8[100]/tbl_task8[[คะแนนเต็ม]:[คะแนนเต็ม]])*tbl_task8[[%]:[%]])</f>
        <v/>
      </c>
      <c r="JK17" s="121" t="str">
        <f>IF(ISBLANK(tbl_task8[[คะแนนเต็ม]:[คะแนนเต็ม]]),"",(tbl_task8[101]/tbl_task8[[คะแนนเต็ม]:[คะแนนเต็ม]])*tbl_task8[[%]:[%]])</f>
        <v/>
      </c>
      <c r="JL17" s="121" t="str">
        <f>IF(ISBLANK(tbl_task8[[คะแนนเต็ม]:[คะแนนเต็ม]]),"",(tbl_task8[102]/tbl_task8[[คะแนนเต็ม]:[คะแนนเต็ม]])*tbl_task8[[%]:[%]])</f>
        <v/>
      </c>
      <c r="JM17" s="121" t="str">
        <f>IF(ISBLANK(tbl_task8[[คะแนนเต็ม]:[คะแนนเต็ม]]),"",(tbl_task8[103]/tbl_task8[[คะแนนเต็ม]:[คะแนนเต็ม]])*tbl_task8[[%]:[%]])</f>
        <v/>
      </c>
      <c r="JN17" s="121" t="str">
        <f>IF(ISBLANK(tbl_task8[[คะแนนเต็ม]:[คะแนนเต็ม]]),"",(tbl_task8[104]/tbl_task8[[คะแนนเต็ม]:[คะแนนเต็ม]])*tbl_task8[[%]:[%]])</f>
        <v/>
      </c>
      <c r="JO17" s="121" t="str">
        <f>IF(ISBLANK(tbl_task8[[คะแนนเต็ม]:[คะแนนเต็ม]]),"",(tbl_task8[105]/tbl_task8[[คะแนนเต็ม]:[คะแนนเต็ม]])*tbl_task8[[%]:[%]])</f>
        <v/>
      </c>
      <c r="JP17" s="121" t="str">
        <f>IF(ISBLANK(tbl_task8[[คะแนนเต็ม]:[คะแนนเต็ม]]),"",(tbl_task8[106]/tbl_task8[[คะแนนเต็ม]:[คะแนนเต็ม]])*tbl_task8[[%]:[%]])</f>
        <v/>
      </c>
      <c r="JQ17" s="121" t="str">
        <f>IF(ISBLANK(tbl_task8[[คะแนนเต็ม]:[คะแนนเต็ม]]),"",(tbl_task8[107]/tbl_task8[[คะแนนเต็ม]:[คะแนนเต็ม]])*tbl_task8[[%]:[%]])</f>
        <v/>
      </c>
      <c r="JR17" s="121" t="str">
        <f>IF(ISBLANK(tbl_task8[[คะแนนเต็ม]:[คะแนนเต็ม]]),"",(tbl_task8[108]/tbl_task8[[คะแนนเต็ม]:[คะแนนเต็ม]])*tbl_task8[[%]:[%]])</f>
        <v/>
      </c>
      <c r="JS17" s="121" t="str">
        <f>IF(ISBLANK(tbl_task8[[คะแนนเต็ม]:[คะแนนเต็ม]]),"",(tbl_task8[109]/tbl_task8[[คะแนนเต็ม]:[คะแนนเต็ม]])*tbl_task8[[%]:[%]])</f>
        <v/>
      </c>
      <c r="JT17" s="121" t="str">
        <f>IF(ISBLANK(tbl_task8[[คะแนนเต็ม]:[คะแนนเต็ม]]),"",(tbl_task8[110]/tbl_task8[[คะแนนเต็ม]:[คะแนนเต็ม]])*tbl_task8[[%]:[%]])</f>
        <v/>
      </c>
      <c r="JU17" s="121" t="str">
        <f>IF(ISBLANK(tbl_task8[[คะแนนเต็ม]:[คะแนนเต็ม]]),"",(tbl_task8[111]/tbl_task8[[คะแนนเต็ม]:[คะแนนเต็ม]])*tbl_task8[[%]:[%]])</f>
        <v/>
      </c>
      <c r="JV17" s="121" t="str">
        <f>IF(ISBLANK(tbl_task8[[คะแนนเต็ม]:[คะแนนเต็ม]]),"",(tbl_task8[112]/tbl_task8[[คะแนนเต็ม]:[คะแนนเต็ม]])*tbl_task8[[%]:[%]])</f>
        <v/>
      </c>
      <c r="JW17" s="121" t="str">
        <f>IF(ISBLANK(tbl_task8[[คะแนนเต็ม]:[คะแนนเต็ม]]),"",(tbl_task8[113]/tbl_task8[[คะแนนเต็ม]:[คะแนนเต็ม]])*tbl_task8[[%]:[%]])</f>
        <v/>
      </c>
      <c r="JX17" s="121" t="str">
        <f>IF(ISBLANK(tbl_task8[[คะแนนเต็ม]:[คะแนนเต็ม]]),"",(tbl_task8[114]/tbl_task8[[คะแนนเต็ม]:[คะแนนเต็ม]])*tbl_task8[[%]:[%]])</f>
        <v/>
      </c>
      <c r="JY17" s="121" t="str">
        <f>IF(ISBLANK(tbl_task8[[คะแนนเต็ม]:[คะแนนเต็ม]]),"",(tbl_task8[115]/tbl_task8[[คะแนนเต็ม]:[คะแนนเต็ม]])*tbl_task8[[%]:[%]])</f>
        <v/>
      </c>
      <c r="JZ17" s="121" t="str">
        <f>IF(ISBLANK(tbl_task8[[คะแนนเต็ม]:[คะแนนเต็ม]]),"",(tbl_task8[116]/tbl_task8[[คะแนนเต็ม]:[คะแนนเต็ม]])*tbl_task8[[%]:[%]])</f>
        <v/>
      </c>
      <c r="KA17" s="121" t="str">
        <f>IF(ISBLANK(tbl_task8[[คะแนนเต็ม]:[คะแนนเต็ม]]),"",(tbl_task8[117]/tbl_task8[[คะแนนเต็ม]:[คะแนนเต็ม]])*tbl_task8[[%]:[%]])</f>
        <v/>
      </c>
      <c r="KB17" s="121" t="str">
        <f>IF(ISBLANK(tbl_task8[[คะแนนเต็ม]:[คะแนนเต็ม]]),"",(tbl_task8[118]/tbl_task8[[คะแนนเต็ม]:[คะแนนเต็ม]])*tbl_task8[[%]:[%]])</f>
        <v/>
      </c>
      <c r="KC17" s="121" t="str">
        <f>IF(ISBLANK(tbl_task8[[คะแนนเต็ม]:[คะแนนเต็ม]]),"",(tbl_task8[119]/tbl_task8[[คะแนนเต็ม]:[คะแนนเต็ม]])*tbl_task8[[%]:[%]])</f>
        <v/>
      </c>
      <c r="KD17" s="121" t="str">
        <f>IF(ISBLANK(tbl_task8[[คะแนนเต็ม]:[คะแนนเต็ม]]),"",(tbl_task8[120]/tbl_task8[[คะแนนเต็ม]:[คะแนนเต็ม]])*tbl_task8[[%]:[%]])</f>
        <v/>
      </c>
      <c r="KE17" s="121" t="str">
        <f>IF(ISBLANK(tbl_task8[[คะแนนเต็ม]:[คะแนนเต็ม]]),"",(tbl_task8[121]/tbl_task8[[คะแนนเต็ม]:[คะแนนเต็ม]])*tbl_task8[[%]:[%]])</f>
        <v/>
      </c>
      <c r="KF17" s="121" t="str">
        <f>IF(ISBLANK(tbl_task8[[คะแนนเต็ม]:[คะแนนเต็ม]]),"",(tbl_task8[122]/tbl_task8[[คะแนนเต็ม]:[คะแนนเต็ม]])*tbl_task8[[%]:[%]])</f>
        <v/>
      </c>
      <c r="KG17" s="121" t="str">
        <f>IF(ISBLANK(tbl_task8[[คะแนนเต็ม]:[คะแนนเต็ม]]),"",(tbl_task8[123]/tbl_task8[[คะแนนเต็ม]:[คะแนนเต็ม]])*tbl_task8[[%]:[%]])</f>
        <v/>
      </c>
      <c r="KH17" s="121" t="str">
        <f>IF(ISBLANK(tbl_task8[[คะแนนเต็ม]:[คะแนนเต็ม]]),"",(tbl_task8[124]/tbl_task8[[คะแนนเต็ม]:[คะแนนเต็ม]])*tbl_task8[[%]:[%]])</f>
        <v/>
      </c>
      <c r="KI17" s="121" t="str">
        <f>IF(ISBLANK(tbl_task8[[คะแนนเต็ม]:[คะแนนเต็ม]]),"",(tbl_task8[125]/tbl_task8[[คะแนนเต็ม]:[คะแนนเต็ม]])*tbl_task8[[%]:[%]])</f>
        <v/>
      </c>
      <c r="KJ17" s="121" t="str">
        <f>IF(ISBLANK(tbl_task8[[คะแนนเต็ม]:[คะแนนเต็ม]]),"",(tbl_task8[126]/tbl_task8[[คะแนนเต็ม]:[คะแนนเต็ม]])*tbl_task8[[%]:[%]])</f>
        <v/>
      </c>
      <c r="KK17" s="121" t="str">
        <f>IF(ISBLANK(tbl_task8[[คะแนนเต็ม]:[คะแนนเต็ม]]),"",(tbl_task8[127]/tbl_task8[[คะแนนเต็ม]:[คะแนนเต็ม]])*tbl_task8[[%]:[%]])</f>
        <v/>
      </c>
      <c r="KL17" s="121" t="str">
        <f>IF(ISBLANK(tbl_task8[[คะแนนเต็ม]:[คะแนนเต็ม]]),"",(tbl_task8[128]/tbl_task8[[คะแนนเต็ม]:[คะแนนเต็ม]])*tbl_task8[[%]:[%]])</f>
        <v/>
      </c>
      <c r="KM17" s="121" t="str">
        <f>IF(ISBLANK(tbl_task8[[คะแนนเต็ม]:[คะแนนเต็ม]]),"",(tbl_task8[129]/tbl_task8[[คะแนนเต็ม]:[คะแนนเต็ม]])*tbl_task8[[%]:[%]])</f>
        <v/>
      </c>
      <c r="KN17" s="121" t="str">
        <f>IF(ISBLANK(tbl_task8[[คะแนนเต็ม]:[คะแนนเต็ม]]),"",(tbl_task8[130]/tbl_task8[[คะแนนเต็ม]:[คะแนนเต็ม]])*tbl_task8[[%]:[%]])</f>
        <v/>
      </c>
      <c r="KO17" s="121" t="str">
        <f>IF(ISBLANK(tbl_task8[[คะแนนเต็ม]:[คะแนนเต็ม]]),"",(tbl_task8[131]/tbl_task8[[คะแนนเต็ม]:[คะแนนเต็ม]])*tbl_task8[[%]:[%]])</f>
        <v/>
      </c>
      <c r="KP17" s="121" t="str">
        <f>IF(ISBLANK(tbl_task8[[คะแนนเต็ม]:[คะแนนเต็ม]]),"",(tbl_task8[132]/tbl_task8[[คะแนนเต็ม]:[คะแนนเต็ม]])*tbl_task8[[%]:[%]])</f>
        <v/>
      </c>
      <c r="KQ17" s="121" t="str">
        <f>IF(ISBLANK(tbl_task8[[คะแนนเต็ม]:[คะแนนเต็ม]]),"",(tbl_task8[133]/tbl_task8[[คะแนนเต็ม]:[คะแนนเต็ม]])*tbl_task8[[%]:[%]])</f>
        <v/>
      </c>
      <c r="KR17" s="121" t="str">
        <f>IF(ISBLANK(tbl_task8[[คะแนนเต็ม]:[คะแนนเต็ม]]),"",(tbl_task8[134]/tbl_task8[[คะแนนเต็ม]:[คะแนนเต็ม]])*tbl_task8[[%]:[%]])</f>
        <v/>
      </c>
      <c r="KS17" s="121" t="str">
        <f>IF(ISBLANK(tbl_task8[[คะแนนเต็ม]:[คะแนนเต็ม]]),"",(tbl_task8[135]/tbl_task8[[คะแนนเต็ม]:[คะแนนเต็ม]])*tbl_task8[[%]:[%]])</f>
        <v/>
      </c>
      <c r="KT17" s="121" t="str">
        <f>IF(ISBLANK(tbl_task8[[คะแนนเต็ม]:[คะแนนเต็ม]]),"",(tbl_task8[136]/tbl_task8[[คะแนนเต็ม]:[คะแนนเต็ม]])*tbl_task8[[%]:[%]])</f>
        <v/>
      </c>
      <c r="KU17" s="121" t="str">
        <f>IF(ISBLANK(tbl_task8[[คะแนนเต็ม]:[คะแนนเต็ม]]),"",(tbl_task8[137]/tbl_task8[[คะแนนเต็ม]:[คะแนนเต็ม]])*tbl_task8[[%]:[%]])</f>
        <v/>
      </c>
      <c r="KV17" s="121" t="str">
        <f>IF(ISBLANK(tbl_task8[[คะแนนเต็ม]:[คะแนนเต็ม]]),"",(tbl_task8[138]/tbl_task8[[คะแนนเต็ม]:[คะแนนเต็ม]])*tbl_task8[[%]:[%]])</f>
        <v/>
      </c>
      <c r="KW17" s="121" t="str">
        <f>IF(ISBLANK(tbl_task8[[คะแนนเต็ม]:[คะแนนเต็ม]]),"",(tbl_task8[139]/tbl_task8[[คะแนนเต็ม]:[คะแนนเต็ม]])*tbl_task8[[%]:[%]])</f>
        <v/>
      </c>
      <c r="KX17" s="121" t="str">
        <f>IF(ISBLANK(tbl_task8[[คะแนนเต็ม]:[คะแนนเต็ม]]),"",(tbl_task8[140]/tbl_task8[[คะแนนเต็ม]:[คะแนนเต็ม]])*tbl_task8[[%]:[%]])</f>
        <v/>
      </c>
      <c r="KY17" s="121" t="str">
        <f>IF(ISBLANK(tbl_task8[[คะแนนเต็ม]:[คะแนนเต็ม]]),"",(tbl_task8[141]/tbl_task8[[คะแนนเต็ม]:[คะแนนเต็ม]])*tbl_task8[[%]:[%]])</f>
        <v/>
      </c>
      <c r="KZ17" s="121" t="str">
        <f>IF(ISBLANK(tbl_task8[[คะแนนเต็ม]:[คะแนนเต็ม]]),"",(tbl_task8[142]/tbl_task8[[คะแนนเต็ม]:[คะแนนเต็ม]])*tbl_task8[[%]:[%]])</f>
        <v/>
      </c>
      <c r="LA17" s="121" t="str">
        <f>IF(ISBLANK(tbl_task8[[คะแนนเต็ม]:[คะแนนเต็ม]]),"",(tbl_task8[143]/tbl_task8[[คะแนนเต็ม]:[คะแนนเต็ม]])*tbl_task8[[%]:[%]])</f>
        <v/>
      </c>
      <c r="LB17" s="121" t="str">
        <f>IF(ISBLANK(tbl_task8[[คะแนนเต็ม]:[คะแนนเต็ม]]),"",(tbl_task8[144]/tbl_task8[[คะแนนเต็ม]:[คะแนนเต็ม]])*tbl_task8[[%]:[%]])</f>
        <v/>
      </c>
      <c r="LC17" s="121" t="str">
        <f>IF(ISBLANK(tbl_task8[[คะแนนเต็ม]:[คะแนนเต็ม]]),"",(tbl_task8[145]/tbl_task8[[คะแนนเต็ม]:[คะแนนเต็ม]])*tbl_task8[[%]:[%]])</f>
        <v/>
      </c>
      <c r="LD17" s="121" t="str">
        <f>IF(ISBLANK(tbl_task8[[คะแนนเต็ม]:[คะแนนเต็ม]]),"",(tbl_task8[146]/tbl_task8[[คะแนนเต็ม]:[คะแนนเต็ม]])*tbl_task8[[%]:[%]])</f>
        <v/>
      </c>
      <c r="LE17" s="121" t="str">
        <f>IF(ISBLANK(tbl_task8[[คะแนนเต็ม]:[คะแนนเต็ม]]),"",(tbl_task8[147]/tbl_task8[[คะแนนเต็ม]:[คะแนนเต็ม]])*tbl_task8[[%]:[%]])</f>
        <v/>
      </c>
      <c r="LF17" s="121" t="str">
        <f>IF(ISBLANK(tbl_task8[[คะแนนเต็ม]:[คะแนนเต็ม]]),"",(tbl_task8[148]/tbl_task8[[คะแนนเต็ม]:[คะแนนเต็ม]])*tbl_task8[[%]:[%]])</f>
        <v/>
      </c>
      <c r="LG17" s="121" t="str">
        <f>IF(ISBLANK(tbl_task8[[คะแนนเต็ม]:[คะแนนเต็ม]]),"",(tbl_task8[149]/tbl_task8[[คะแนนเต็ม]:[คะแนนเต็ม]])*tbl_task8[[%]:[%]])</f>
        <v/>
      </c>
      <c r="LH17" s="121" t="str">
        <f>IF(ISBLANK(tbl_task8[[คะแนนเต็ม]:[คะแนนเต็ม]]),"",(tbl_task8[150]/tbl_task8[[คะแนนเต็ม]:[คะแนนเต็ม]])*tbl_task8[[%]:[%]])</f>
        <v/>
      </c>
      <c r="LI17" s="121" t="str">
        <f>IF(ISBLANK(tbl_task8[[คะแนนเต็ม]:[คะแนนเต็ม]]),"",(tbl_task8[151]/tbl_task8[[คะแนนเต็ม]:[คะแนนเต็ม]])*tbl_task8[[%]:[%]])</f>
        <v/>
      </c>
      <c r="LJ17" s="121" t="str">
        <f>IF(ISBLANK(tbl_task8[[คะแนนเต็ม]:[คะแนนเต็ม]]),"",(tbl_task8[152]/tbl_task8[[คะแนนเต็ม]:[คะแนนเต็ม]])*tbl_task8[[%]:[%]])</f>
        <v/>
      </c>
      <c r="LK17" s="121" t="str">
        <f>IF(ISBLANK(tbl_task8[[คะแนนเต็ม]:[คะแนนเต็ม]]),"",(tbl_task8[153]/tbl_task8[[คะแนนเต็ม]:[คะแนนเต็ม]])*tbl_task8[[%]:[%]])</f>
        <v/>
      </c>
      <c r="LL17" s="121" t="str">
        <f>IF(ISBLANK(tbl_task8[[คะแนนเต็ม]:[คะแนนเต็ม]]),"",(tbl_task8[154]/tbl_task8[[คะแนนเต็ม]:[คะแนนเต็ม]])*tbl_task8[[%]:[%]])</f>
        <v/>
      </c>
      <c r="LM17" s="121" t="str">
        <f>IF(ISBLANK(tbl_task8[[คะแนนเต็ม]:[คะแนนเต็ม]]),"",(tbl_task8[155]/tbl_task8[[คะแนนเต็ม]:[คะแนนเต็ม]])*tbl_task8[[%]:[%]])</f>
        <v/>
      </c>
      <c r="LN17" s="121" t="str">
        <f>IF(ISBLANK(tbl_task8[[คะแนนเต็ม]:[คะแนนเต็ม]]),"",(tbl_task8[156]/tbl_task8[[คะแนนเต็ม]:[คะแนนเต็ม]])*tbl_task8[[%]:[%]])</f>
        <v/>
      </c>
      <c r="LO17" s="121" t="str">
        <f>IF(ISBLANK(tbl_task8[[คะแนนเต็ม]:[คะแนนเต็ม]]),"",(tbl_task8[157]/tbl_task8[[คะแนนเต็ม]:[คะแนนเต็ม]])*tbl_task8[[%]:[%]])</f>
        <v/>
      </c>
      <c r="LP17" s="121" t="str">
        <f>IF(ISBLANK(tbl_task8[[คะแนนเต็ม]:[คะแนนเต็ม]]),"",(tbl_task8[158]/tbl_task8[[คะแนนเต็ม]:[คะแนนเต็ม]])*tbl_task8[[%]:[%]])</f>
        <v/>
      </c>
      <c r="LQ17" s="121" t="str">
        <f>IF(ISBLANK(tbl_task8[[คะแนนเต็ม]:[คะแนนเต็ม]]),"",(tbl_task8[159]/tbl_task8[[คะแนนเต็ม]:[คะแนนเต็ม]])*tbl_task8[[%]:[%]])</f>
        <v/>
      </c>
      <c r="LR17" s="121" t="str">
        <f>IF(ISBLANK(tbl_task8[[คะแนนเต็ม]:[คะแนนเต็ม]]),"",(tbl_task8[160]/tbl_task8[[คะแนนเต็ม]:[คะแนนเต็ม]])*tbl_task8[[%]:[%]])</f>
        <v/>
      </c>
      <c r="LS17" s="121" t="str">
        <f>IF(ISBLANK(tbl_task8[[คะแนนเต็ม]:[คะแนนเต็ม]]),"",(tbl_task8[161]/tbl_task8[[คะแนนเต็ม]:[คะแนนเต็ม]])*tbl_task8[[%]:[%]])</f>
        <v/>
      </c>
      <c r="LT17" s="121" t="str">
        <f>IF(ISBLANK(tbl_task8[[คะแนนเต็ม]:[คะแนนเต็ม]]),"",(tbl_task8[162]/tbl_task8[[คะแนนเต็ม]:[คะแนนเต็ม]])*tbl_task8[[%]:[%]])</f>
        <v/>
      </c>
      <c r="LU17" s="121" t="str">
        <f>IF(ISBLANK(tbl_task8[[คะแนนเต็ม]:[คะแนนเต็ม]]),"",(tbl_task8[163]/tbl_task8[[คะแนนเต็ม]:[คะแนนเต็ม]])*tbl_task8[[%]:[%]])</f>
        <v/>
      </c>
      <c r="LV17" s="121" t="str">
        <f>IF(ISBLANK(tbl_task8[[คะแนนเต็ม]:[คะแนนเต็ม]]),"",(tbl_task8[164]/tbl_task8[[คะแนนเต็ม]:[คะแนนเต็ม]])*tbl_task8[[%]:[%]])</f>
        <v/>
      </c>
      <c r="LW17" s="121" t="str">
        <f>IF(ISBLANK(tbl_task8[[คะแนนเต็ม]:[คะแนนเต็ม]]),"",(tbl_task8[165]/tbl_task8[[คะแนนเต็ม]:[คะแนนเต็ม]])*tbl_task8[[%]:[%]])</f>
        <v/>
      </c>
    </row>
    <row r="18" spans="1:335" ht="24" customHeight="1" x14ac:dyDescent="0.25">
      <c r="A18" s="24">
        <v>15</v>
      </c>
      <c r="B18" s="20"/>
      <c r="C18" s="5" t="str">
        <f>IF(ISBLANK(B18),"",VLOOKUP(B18,tbl_PLOs[],2,0))</f>
        <v/>
      </c>
      <c r="D18" s="102"/>
      <c r="E18" s="106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121" t="str">
        <f>IF(ISBLANK(tbl_task8[[คะแนนเต็ม]:[คะแนนเต็ม]]),"",(tbl_task8[1]/tbl_task8[[คะแนนเต็ม]:[คะแนนเต็ม]])*tbl_task8[[%]:[%]])</f>
        <v/>
      </c>
      <c r="FP18" s="121" t="str">
        <f>IF(ISBLANK(tbl_task8[[คะแนนเต็ม]:[คะแนนเต็ม]]),"",(tbl_task8[2]/tbl_task8[[คะแนนเต็ม]:[คะแนนเต็ม]])*tbl_task8[[%]:[%]])</f>
        <v/>
      </c>
      <c r="FQ18" s="121" t="str">
        <f>IF(ISBLANK(tbl_task8[[คะแนนเต็ม]:[คะแนนเต็ม]]),"",(tbl_task8[3]/tbl_task8[[คะแนนเต็ม]:[คะแนนเต็ม]])*tbl_task8[[%]:[%]])</f>
        <v/>
      </c>
      <c r="FR18" s="121" t="str">
        <f>IF(ISBLANK(tbl_task8[[คะแนนเต็ม]:[คะแนนเต็ม]]),"",(tbl_task8[4]/tbl_task8[[คะแนนเต็ม]:[คะแนนเต็ม]])*tbl_task8[[%]:[%]])</f>
        <v/>
      </c>
      <c r="FS18" s="121" t="str">
        <f>IF(ISBLANK(tbl_task8[[คะแนนเต็ม]:[คะแนนเต็ม]]),"",(tbl_task8[5]/tbl_task8[[คะแนนเต็ม]:[คะแนนเต็ม]])*tbl_task8[[%]:[%]])</f>
        <v/>
      </c>
      <c r="FT18" s="121" t="str">
        <f>IF(ISBLANK(tbl_task8[[คะแนนเต็ม]:[คะแนนเต็ม]]),"",(tbl_task8[6]/tbl_task8[[คะแนนเต็ม]:[คะแนนเต็ม]])*tbl_task8[[%]:[%]])</f>
        <v/>
      </c>
      <c r="FU18" s="121" t="str">
        <f>IF(ISBLANK(tbl_task8[[คะแนนเต็ม]:[คะแนนเต็ม]]),"",(tbl_task8[7]/tbl_task8[[คะแนนเต็ม]:[คะแนนเต็ม]])*tbl_task8[[%]:[%]])</f>
        <v/>
      </c>
      <c r="FV18" s="121" t="str">
        <f>IF(ISBLANK(tbl_task8[[คะแนนเต็ม]:[คะแนนเต็ม]]),"",(tbl_task8[8]/tbl_task8[[คะแนนเต็ม]:[คะแนนเต็ม]])*tbl_task8[[%]:[%]])</f>
        <v/>
      </c>
      <c r="FW18" s="121" t="str">
        <f>IF(ISBLANK(tbl_task8[[คะแนนเต็ม]:[คะแนนเต็ม]]),"",(tbl_task8[9]/tbl_task8[[คะแนนเต็ม]:[คะแนนเต็ม]])*tbl_task8[[%]:[%]])</f>
        <v/>
      </c>
      <c r="FX18" s="121" t="str">
        <f>IF(ISBLANK(tbl_task8[[คะแนนเต็ม]:[คะแนนเต็ม]]),"",(tbl_task8[10]/tbl_task8[[คะแนนเต็ม]:[คะแนนเต็ม]])*tbl_task8[[%]:[%]])</f>
        <v/>
      </c>
      <c r="FY18" s="121" t="str">
        <f>IF(ISBLANK(tbl_task8[[คะแนนเต็ม]:[คะแนนเต็ม]]),"",(tbl_task8[11]/tbl_task8[[คะแนนเต็ม]:[คะแนนเต็ม]])*tbl_task8[[%]:[%]])</f>
        <v/>
      </c>
      <c r="FZ18" s="121" t="str">
        <f>IF(ISBLANK(tbl_task8[[คะแนนเต็ม]:[คะแนนเต็ม]]),"",(tbl_task8[12]/tbl_task8[[คะแนนเต็ม]:[คะแนนเต็ม]])*tbl_task8[[%]:[%]])</f>
        <v/>
      </c>
      <c r="GA18" s="121" t="str">
        <f>IF(ISBLANK(tbl_task8[[คะแนนเต็ม]:[คะแนนเต็ม]]),"",(tbl_task8[13]/tbl_task8[[คะแนนเต็ม]:[คะแนนเต็ม]])*tbl_task8[[%]:[%]])</f>
        <v/>
      </c>
      <c r="GB18" s="121" t="str">
        <f>IF(ISBLANK(tbl_task8[[คะแนนเต็ม]:[คะแนนเต็ม]]),"",(tbl_task8[14]/tbl_task8[[คะแนนเต็ม]:[คะแนนเต็ม]])*tbl_task8[[%]:[%]])</f>
        <v/>
      </c>
      <c r="GC18" s="121" t="str">
        <f>IF(ISBLANK(tbl_task8[[คะแนนเต็ม]:[คะแนนเต็ม]]),"",(tbl_task8[15]/tbl_task8[[คะแนนเต็ม]:[คะแนนเต็ม]])*tbl_task8[[%]:[%]])</f>
        <v/>
      </c>
      <c r="GD18" s="121" t="str">
        <f>IF(ISBLANK(tbl_task8[[คะแนนเต็ม]:[คะแนนเต็ม]]),"",(tbl_task8[16]/tbl_task8[[คะแนนเต็ม]:[คะแนนเต็ม]])*tbl_task8[[%]:[%]])</f>
        <v/>
      </c>
      <c r="GE18" s="121" t="str">
        <f>IF(ISBLANK(tbl_task8[[คะแนนเต็ม]:[คะแนนเต็ม]]),"",(tbl_task8[17]/tbl_task8[[คะแนนเต็ม]:[คะแนนเต็ม]])*tbl_task8[[%]:[%]])</f>
        <v/>
      </c>
      <c r="GF18" s="121" t="str">
        <f>IF(ISBLANK(tbl_task8[[คะแนนเต็ม]:[คะแนนเต็ม]]),"",(tbl_task8[18]/tbl_task8[[คะแนนเต็ม]:[คะแนนเต็ม]])*tbl_task8[[%]:[%]])</f>
        <v/>
      </c>
      <c r="GG18" s="121" t="str">
        <f>IF(ISBLANK(tbl_task8[[คะแนนเต็ม]:[คะแนนเต็ม]]),"",(tbl_task8[19]/tbl_task8[[คะแนนเต็ม]:[คะแนนเต็ม]])*tbl_task8[[%]:[%]])</f>
        <v/>
      </c>
      <c r="GH18" s="121" t="str">
        <f>IF(ISBLANK(tbl_task8[[คะแนนเต็ม]:[คะแนนเต็ม]]),"",(tbl_task8[20]/tbl_task8[[คะแนนเต็ม]:[คะแนนเต็ม]])*tbl_task8[[%]:[%]])</f>
        <v/>
      </c>
      <c r="GI18" s="121" t="str">
        <f>IF(ISBLANK(tbl_task8[[คะแนนเต็ม]:[คะแนนเต็ม]]),"",(tbl_task8[21]/tbl_task8[[คะแนนเต็ม]:[คะแนนเต็ม]])*tbl_task8[[%]:[%]])</f>
        <v/>
      </c>
      <c r="GJ18" s="121" t="str">
        <f>IF(ISBLANK(tbl_task8[[คะแนนเต็ม]:[คะแนนเต็ม]]),"",(tbl_task8[22]/tbl_task8[[คะแนนเต็ม]:[คะแนนเต็ม]])*tbl_task8[[%]:[%]])</f>
        <v/>
      </c>
      <c r="GK18" s="121" t="str">
        <f>IF(ISBLANK(tbl_task8[[คะแนนเต็ม]:[คะแนนเต็ม]]),"",(tbl_task8[23]/tbl_task8[[คะแนนเต็ม]:[คะแนนเต็ม]])*tbl_task8[[%]:[%]])</f>
        <v/>
      </c>
      <c r="GL18" s="121" t="str">
        <f>IF(ISBLANK(tbl_task8[[คะแนนเต็ม]:[คะแนนเต็ม]]),"",(tbl_task8[24]/tbl_task8[[คะแนนเต็ม]:[คะแนนเต็ม]])*tbl_task8[[%]:[%]])</f>
        <v/>
      </c>
      <c r="GM18" s="121" t="str">
        <f>IF(ISBLANK(tbl_task8[[คะแนนเต็ม]:[คะแนนเต็ม]]),"",(tbl_task8[25]/tbl_task8[[คะแนนเต็ม]:[คะแนนเต็ม]])*tbl_task8[[%]:[%]])</f>
        <v/>
      </c>
      <c r="GN18" s="121" t="str">
        <f>IF(ISBLANK(tbl_task8[[คะแนนเต็ม]:[คะแนนเต็ม]]),"",(tbl_task8[26]/tbl_task8[[คะแนนเต็ม]:[คะแนนเต็ม]])*tbl_task8[[%]:[%]])</f>
        <v/>
      </c>
      <c r="GO18" s="121" t="str">
        <f>IF(ISBLANK(tbl_task8[[คะแนนเต็ม]:[คะแนนเต็ม]]),"",(tbl_task8[27]/tbl_task8[[คะแนนเต็ม]:[คะแนนเต็ม]])*tbl_task8[[%]:[%]])</f>
        <v/>
      </c>
      <c r="GP18" s="121" t="str">
        <f>IF(ISBLANK(tbl_task8[[คะแนนเต็ม]:[คะแนนเต็ม]]),"",(tbl_task8[28]/tbl_task8[[คะแนนเต็ม]:[คะแนนเต็ม]])*tbl_task8[[%]:[%]])</f>
        <v/>
      </c>
      <c r="GQ18" s="121" t="str">
        <f>IF(ISBLANK(tbl_task8[[คะแนนเต็ม]:[คะแนนเต็ม]]),"",(tbl_task8[29]/tbl_task8[[คะแนนเต็ม]:[คะแนนเต็ม]])*tbl_task8[[%]:[%]])</f>
        <v/>
      </c>
      <c r="GR18" s="121" t="str">
        <f>IF(ISBLANK(tbl_task8[[คะแนนเต็ม]:[คะแนนเต็ม]]),"",(tbl_task8[30]/tbl_task8[[คะแนนเต็ม]:[คะแนนเต็ม]])*tbl_task8[[%]:[%]])</f>
        <v/>
      </c>
      <c r="GS18" s="121" t="str">
        <f>IF(ISBLANK(tbl_task8[[คะแนนเต็ม]:[คะแนนเต็ม]]),"",(tbl_task8[31]/tbl_task8[[คะแนนเต็ม]:[คะแนนเต็ม]])*tbl_task8[[%]:[%]])</f>
        <v/>
      </c>
      <c r="GT18" s="121" t="str">
        <f>IF(ISBLANK(tbl_task8[[คะแนนเต็ม]:[คะแนนเต็ม]]),"",(tbl_task8[32]/tbl_task8[[คะแนนเต็ม]:[คะแนนเต็ม]])*tbl_task8[[%]:[%]])</f>
        <v/>
      </c>
      <c r="GU18" s="121" t="str">
        <f>IF(ISBLANK(tbl_task8[[คะแนนเต็ม]:[คะแนนเต็ม]]),"",(tbl_task8[33]/tbl_task8[[คะแนนเต็ม]:[คะแนนเต็ม]])*tbl_task8[[%]:[%]])</f>
        <v/>
      </c>
      <c r="GV18" s="121" t="str">
        <f>IF(ISBLANK(tbl_task8[[คะแนนเต็ม]:[คะแนนเต็ม]]),"",(tbl_task8[34]/tbl_task8[[คะแนนเต็ม]:[คะแนนเต็ม]])*tbl_task8[[%]:[%]])</f>
        <v/>
      </c>
      <c r="GW18" s="121" t="str">
        <f>IF(ISBLANK(tbl_task8[[คะแนนเต็ม]:[คะแนนเต็ม]]),"",(tbl_task8[35]/tbl_task8[[คะแนนเต็ม]:[คะแนนเต็ม]])*tbl_task8[[%]:[%]])</f>
        <v/>
      </c>
      <c r="GX18" s="121" t="str">
        <f>IF(ISBLANK(tbl_task8[[คะแนนเต็ม]:[คะแนนเต็ม]]),"",(tbl_task8[36]/tbl_task8[[คะแนนเต็ม]:[คะแนนเต็ม]])*tbl_task8[[%]:[%]])</f>
        <v/>
      </c>
      <c r="GY18" s="121" t="str">
        <f>IF(ISBLANK(tbl_task8[[คะแนนเต็ม]:[คะแนนเต็ม]]),"",(tbl_task8[37]/tbl_task8[[คะแนนเต็ม]:[คะแนนเต็ม]])*tbl_task8[[%]:[%]])</f>
        <v/>
      </c>
      <c r="GZ18" s="121" t="str">
        <f>IF(ISBLANK(tbl_task8[[คะแนนเต็ม]:[คะแนนเต็ม]]),"",(tbl_task8[38]/tbl_task8[[คะแนนเต็ม]:[คะแนนเต็ม]])*tbl_task8[[%]:[%]])</f>
        <v/>
      </c>
      <c r="HA18" s="121" t="str">
        <f>IF(ISBLANK(tbl_task8[[คะแนนเต็ม]:[คะแนนเต็ม]]),"",(tbl_task8[39]/tbl_task8[[คะแนนเต็ม]:[คะแนนเต็ม]])*tbl_task8[[%]:[%]])</f>
        <v/>
      </c>
      <c r="HB18" s="121" t="str">
        <f>IF(ISBLANK(tbl_task8[[คะแนนเต็ม]:[คะแนนเต็ม]]),"",(tbl_task8[40]/tbl_task8[[คะแนนเต็ม]:[คะแนนเต็ม]])*tbl_task8[[%]:[%]])</f>
        <v/>
      </c>
      <c r="HC18" s="121" t="str">
        <f>IF(ISBLANK(tbl_task8[[คะแนนเต็ม]:[คะแนนเต็ม]]),"",(tbl_task8[41]/tbl_task8[[คะแนนเต็ม]:[คะแนนเต็ม]])*tbl_task8[[%]:[%]])</f>
        <v/>
      </c>
      <c r="HD18" s="121" t="str">
        <f>IF(ISBLANK(tbl_task8[[คะแนนเต็ม]:[คะแนนเต็ม]]),"",(tbl_task8[42]/tbl_task8[[คะแนนเต็ม]:[คะแนนเต็ม]])*tbl_task8[[%]:[%]])</f>
        <v/>
      </c>
      <c r="HE18" s="121" t="str">
        <f>IF(ISBLANK(tbl_task8[[คะแนนเต็ม]:[คะแนนเต็ม]]),"",(tbl_task8[43]/tbl_task8[[คะแนนเต็ม]:[คะแนนเต็ม]])*tbl_task8[[%]:[%]])</f>
        <v/>
      </c>
      <c r="HF18" s="121" t="str">
        <f>IF(ISBLANK(tbl_task8[[คะแนนเต็ม]:[คะแนนเต็ม]]),"",(tbl_task8[44]/tbl_task8[[คะแนนเต็ม]:[คะแนนเต็ม]])*tbl_task8[[%]:[%]])</f>
        <v/>
      </c>
      <c r="HG18" s="121" t="str">
        <f>IF(ISBLANK(tbl_task8[[คะแนนเต็ม]:[คะแนนเต็ม]]),"",(tbl_task8[45]/tbl_task8[[คะแนนเต็ม]:[คะแนนเต็ม]])*tbl_task8[[%]:[%]])</f>
        <v/>
      </c>
      <c r="HH18" s="121" t="str">
        <f>IF(ISBLANK(tbl_task8[[คะแนนเต็ม]:[คะแนนเต็ม]]),"",(tbl_task8[46]/tbl_task8[[คะแนนเต็ม]:[คะแนนเต็ม]])*tbl_task8[[%]:[%]])</f>
        <v/>
      </c>
      <c r="HI18" s="121" t="str">
        <f>IF(ISBLANK(tbl_task8[[คะแนนเต็ม]:[คะแนนเต็ม]]),"",(tbl_task8[47]/tbl_task8[[คะแนนเต็ม]:[คะแนนเต็ม]])*tbl_task8[[%]:[%]])</f>
        <v/>
      </c>
      <c r="HJ18" s="121" t="str">
        <f>IF(ISBLANK(tbl_task8[[คะแนนเต็ม]:[คะแนนเต็ม]]),"",(tbl_task8[48]/tbl_task8[[คะแนนเต็ม]:[คะแนนเต็ม]])*tbl_task8[[%]:[%]])</f>
        <v/>
      </c>
      <c r="HK18" s="121" t="str">
        <f>IF(ISBLANK(tbl_task8[[คะแนนเต็ม]:[คะแนนเต็ม]]),"",(tbl_task8[49]/tbl_task8[[คะแนนเต็ม]:[คะแนนเต็ม]])*tbl_task8[[%]:[%]])</f>
        <v/>
      </c>
      <c r="HL18" s="121" t="str">
        <f>IF(ISBLANK(tbl_task8[[คะแนนเต็ม]:[คะแนนเต็ม]]),"",(tbl_task8[50]/tbl_task8[[คะแนนเต็ม]:[คะแนนเต็ม]])*tbl_task8[[%]:[%]])</f>
        <v/>
      </c>
      <c r="HM18" s="121" t="str">
        <f>IF(ISBLANK(tbl_task8[[คะแนนเต็ม]:[คะแนนเต็ม]]),"",(tbl_task8[51]/tbl_task8[[คะแนนเต็ม]:[คะแนนเต็ม]])*tbl_task8[[%]:[%]])</f>
        <v/>
      </c>
      <c r="HN18" s="121" t="str">
        <f>IF(ISBLANK(tbl_task8[[คะแนนเต็ม]:[คะแนนเต็ม]]),"",(tbl_task8[52]/tbl_task8[[คะแนนเต็ม]:[คะแนนเต็ม]])*tbl_task8[[%]:[%]])</f>
        <v/>
      </c>
      <c r="HO18" s="121" t="str">
        <f>IF(ISBLANK(tbl_task8[[คะแนนเต็ม]:[คะแนนเต็ม]]),"",(tbl_task8[53]/tbl_task8[[คะแนนเต็ม]:[คะแนนเต็ม]])*tbl_task8[[%]:[%]])</f>
        <v/>
      </c>
      <c r="HP18" s="121" t="str">
        <f>IF(ISBLANK(tbl_task8[[คะแนนเต็ม]:[คะแนนเต็ม]]),"",(tbl_task8[54]/tbl_task8[[คะแนนเต็ม]:[คะแนนเต็ม]])*tbl_task8[[%]:[%]])</f>
        <v/>
      </c>
      <c r="HQ18" s="121" t="str">
        <f>IF(ISBLANK(tbl_task8[[คะแนนเต็ม]:[คะแนนเต็ม]]),"",(tbl_task8[55]/tbl_task8[[คะแนนเต็ม]:[คะแนนเต็ม]])*tbl_task8[[%]:[%]])</f>
        <v/>
      </c>
      <c r="HR18" s="121" t="str">
        <f>IF(ISBLANK(tbl_task8[[คะแนนเต็ม]:[คะแนนเต็ม]]),"",(tbl_task8[56]/tbl_task8[[คะแนนเต็ม]:[คะแนนเต็ม]])*tbl_task8[[%]:[%]])</f>
        <v/>
      </c>
      <c r="HS18" s="121" t="str">
        <f>IF(ISBLANK(tbl_task8[[คะแนนเต็ม]:[คะแนนเต็ม]]),"",(tbl_task8[57]/tbl_task8[[คะแนนเต็ม]:[คะแนนเต็ม]])*tbl_task8[[%]:[%]])</f>
        <v/>
      </c>
      <c r="HT18" s="121" t="str">
        <f>IF(ISBLANK(tbl_task8[[คะแนนเต็ม]:[คะแนนเต็ม]]),"",(tbl_task8[58]/tbl_task8[[คะแนนเต็ม]:[คะแนนเต็ม]])*tbl_task8[[%]:[%]])</f>
        <v/>
      </c>
      <c r="HU18" s="121" t="str">
        <f>IF(ISBLANK(tbl_task8[[คะแนนเต็ม]:[คะแนนเต็ม]]),"",(tbl_task8[59]/tbl_task8[[คะแนนเต็ม]:[คะแนนเต็ม]])*tbl_task8[[%]:[%]])</f>
        <v/>
      </c>
      <c r="HV18" s="121" t="str">
        <f>IF(ISBLANK(tbl_task8[[คะแนนเต็ม]:[คะแนนเต็ม]]),"",(tbl_task8[60]/tbl_task8[[คะแนนเต็ม]:[คะแนนเต็ม]])*tbl_task8[[%]:[%]])</f>
        <v/>
      </c>
      <c r="HW18" s="121" t="str">
        <f>IF(ISBLANK(tbl_task8[[คะแนนเต็ม]:[คะแนนเต็ม]]),"",(tbl_task8[61]/tbl_task8[[คะแนนเต็ม]:[คะแนนเต็ม]])*tbl_task8[[%]:[%]])</f>
        <v/>
      </c>
      <c r="HX18" s="121" t="str">
        <f>IF(ISBLANK(tbl_task8[[คะแนนเต็ม]:[คะแนนเต็ม]]),"",(tbl_task8[62]/tbl_task8[[คะแนนเต็ม]:[คะแนนเต็ม]])*tbl_task8[[%]:[%]])</f>
        <v/>
      </c>
      <c r="HY18" s="121" t="str">
        <f>IF(ISBLANK(tbl_task8[[คะแนนเต็ม]:[คะแนนเต็ม]]),"",(tbl_task8[63]/tbl_task8[[คะแนนเต็ม]:[คะแนนเต็ม]])*tbl_task8[[%]:[%]])</f>
        <v/>
      </c>
      <c r="HZ18" s="121" t="str">
        <f>IF(ISBLANK(tbl_task8[[คะแนนเต็ม]:[คะแนนเต็ม]]),"",(tbl_task8[64]/tbl_task8[[คะแนนเต็ม]:[คะแนนเต็ม]])*tbl_task8[[%]:[%]])</f>
        <v/>
      </c>
      <c r="IA18" s="121" t="str">
        <f>IF(ISBLANK(tbl_task8[[คะแนนเต็ม]:[คะแนนเต็ม]]),"",(tbl_task8[65]/tbl_task8[[คะแนนเต็ม]:[คะแนนเต็ม]])*tbl_task8[[%]:[%]])</f>
        <v/>
      </c>
      <c r="IB18" s="121" t="str">
        <f>IF(ISBLANK(tbl_task8[[คะแนนเต็ม]:[คะแนนเต็ม]]),"",(tbl_task8[66]/tbl_task8[[คะแนนเต็ม]:[คะแนนเต็ม]])*tbl_task8[[%]:[%]])</f>
        <v/>
      </c>
      <c r="IC18" s="121" t="str">
        <f>IF(ISBLANK(tbl_task8[[คะแนนเต็ม]:[คะแนนเต็ม]]),"",(tbl_task8[67]/tbl_task8[[คะแนนเต็ม]:[คะแนนเต็ม]])*tbl_task8[[%]:[%]])</f>
        <v/>
      </c>
      <c r="ID18" s="121" t="str">
        <f>IF(ISBLANK(tbl_task8[[คะแนนเต็ม]:[คะแนนเต็ม]]),"",(tbl_task8[68]/tbl_task8[[คะแนนเต็ม]:[คะแนนเต็ม]])*tbl_task8[[%]:[%]])</f>
        <v/>
      </c>
      <c r="IE18" s="121" t="str">
        <f>IF(ISBLANK(tbl_task8[[คะแนนเต็ม]:[คะแนนเต็ม]]),"",(tbl_task8[69]/tbl_task8[[คะแนนเต็ม]:[คะแนนเต็ม]])*tbl_task8[[%]:[%]])</f>
        <v/>
      </c>
      <c r="IF18" s="121" t="str">
        <f>IF(ISBLANK(tbl_task8[[คะแนนเต็ม]:[คะแนนเต็ม]]),"",(tbl_task8[70]/tbl_task8[[คะแนนเต็ม]:[คะแนนเต็ม]])*tbl_task8[[%]:[%]])</f>
        <v/>
      </c>
      <c r="IG18" s="121" t="str">
        <f>IF(ISBLANK(tbl_task8[[คะแนนเต็ม]:[คะแนนเต็ม]]),"",(tbl_task8[71]/tbl_task8[[คะแนนเต็ม]:[คะแนนเต็ม]])*tbl_task8[[%]:[%]])</f>
        <v/>
      </c>
      <c r="IH18" s="121" t="str">
        <f>IF(ISBLANK(tbl_task8[[คะแนนเต็ม]:[คะแนนเต็ม]]),"",(tbl_task8[72]/tbl_task8[[คะแนนเต็ม]:[คะแนนเต็ม]])*tbl_task8[[%]:[%]])</f>
        <v/>
      </c>
      <c r="II18" s="121" t="str">
        <f>IF(ISBLANK(tbl_task8[[คะแนนเต็ม]:[คะแนนเต็ม]]),"",(tbl_task8[73]/tbl_task8[[คะแนนเต็ม]:[คะแนนเต็ม]])*tbl_task8[[%]:[%]])</f>
        <v/>
      </c>
      <c r="IJ18" s="121" t="str">
        <f>IF(ISBLANK(tbl_task8[[คะแนนเต็ม]:[คะแนนเต็ม]]),"",(tbl_task8[74]/tbl_task8[[คะแนนเต็ม]:[คะแนนเต็ม]])*tbl_task8[[%]:[%]])</f>
        <v/>
      </c>
      <c r="IK18" s="121" t="str">
        <f>IF(ISBLANK(tbl_task8[[คะแนนเต็ม]:[คะแนนเต็ม]]),"",(tbl_task8[75]/tbl_task8[[คะแนนเต็ม]:[คะแนนเต็ม]])*tbl_task8[[%]:[%]])</f>
        <v/>
      </c>
      <c r="IL18" s="121" t="str">
        <f>IF(ISBLANK(tbl_task8[[คะแนนเต็ม]:[คะแนนเต็ม]]),"",(tbl_task8[76]/tbl_task8[[คะแนนเต็ม]:[คะแนนเต็ม]])*tbl_task8[[%]:[%]])</f>
        <v/>
      </c>
      <c r="IM18" s="121" t="str">
        <f>IF(ISBLANK(tbl_task8[[คะแนนเต็ม]:[คะแนนเต็ม]]),"",(tbl_task8[77]/tbl_task8[[คะแนนเต็ม]:[คะแนนเต็ม]])*tbl_task8[[%]:[%]])</f>
        <v/>
      </c>
      <c r="IN18" s="121" t="str">
        <f>IF(ISBLANK(tbl_task8[[คะแนนเต็ม]:[คะแนนเต็ม]]),"",(tbl_task8[78]/tbl_task8[[คะแนนเต็ม]:[คะแนนเต็ม]])*tbl_task8[[%]:[%]])</f>
        <v/>
      </c>
      <c r="IO18" s="121" t="str">
        <f>IF(ISBLANK(tbl_task8[[คะแนนเต็ม]:[คะแนนเต็ม]]),"",(tbl_task8[79]/tbl_task8[[คะแนนเต็ม]:[คะแนนเต็ม]])*tbl_task8[[%]:[%]])</f>
        <v/>
      </c>
      <c r="IP18" s="121" t="str">
        <f>IF(ISBLANK(tbl_task8[[คะแนนเต็ม]:[คะแนนเต็ม]]),"",(tbl_task8[80]/tbl_task8[[คะแนนเต็ม]:[คะแนนเต็ม]])*tbl_task8[[%]:[%]])</f>
        <v/>
      </c>
      <c r="IQ18" s="121" t="str">
        <f>IF(ISBLANK(tbl_task8[[คะแนนเต็ม]:[คะแนนเต็ม]]),"",(tbl_task8[81]/tbl_task8[[คะแนนเต็ม]:[คะแนนเต็ม]])*tbl_task8[[%]:[%]])</f>
        <v/>
      </c>
      <c r="IR18" s="121" t="str">
        <f>IF(ISBLANK(tbl_task8[[คะแนนเต็ม]:[คะแนนเต็ม]]),"",(tbl_task8[82]/tbl_task8[[คะแนนเต็ม]:[คะแนนเต็ม]])*tbl_task8[[%]:[%]])</f>
        <v/>
      </c>
      <c r="IS18" s="121" t="str">
        <f>IF(ISBLANK(tbl_task8[[คะแนนเต็ม]:[คะแนนเต็ม]]),"",(tbl_task8[83]/tbl_task8[[คะแนนเต็ม]:[คะแนนเต็ม]])*tbl_task8[[%]:[%]])</f>
        <v/>
      </c>
      <c r="IT18" s="121" t="str">
        <f>IF(ISBLANK(tbl_task8[[คะแนนเต็ม]:[คะแนนเต็ม]]),"",(tbl_task8[84]/tbl_task8[[คะแนนเต็ม]:[คะแนนเต็ม]])*tbl_task8[[%]:[%]])</f>
        <v/>
      </c>
      <c r="IU18" s="121" t="str">
        <f>IF(ISBLANK(tbl_task8[[คะแนนเต็ม]:[คะแนนเต็ม]]),"",(tbl_task8[85]/tbl_task8[[คะแนนเต็ม]:[คะแนนเต็ม]])*tbl_task8[[%]:[%]])</f>
        <v/>
      </c>
      <c r="IV18" s="121" t="str">
        <f>IF(ISBLANK(tbl_task8[[คะแนนเต็ม]:[คะแนนเต็ม]]),"",(tbl_task8[86]/tbl_task8[[คะแนนเต็ม]:[คะแนนเต็ม]])*tbl_task8[[%]:[%]])</f>
        <v/>
      </c>
      <c r="IW18" s="121" t="str">
        <f>IF(ISBLANK(tbl_task8[[คะแนนเต็ม]:[คะแนนเต็ม]]),"",(tbl_task8[87]/tbl_task8[[คะแนนเต็ม]:[คะแนนเต็ม]])*tbl_task8[[%]:[%]])</f>
        <v/>
      </c>
      <c r="IX18" s="121" t="str">
        <f>IF(ISBLANK(tbl_task8[[คะแนนเต็ม]:[คะแนนเต็ม]]),"",(tbl_task8[88]/tbl_task8[[คะแนนเต็ม]:[คะแนนเต็ม]])*tbl_task8[[%]:[%]])</f>
        <v/>
      </c>
      <c r="IY18" s="121" t="str">
        <f>IF(ISBLANK(tbl_task8[[คะแนนเต็ม]:[คะแนนเต็ม]]),"",(tbl_task8[89]/tbl_task8[[คะแนนเต็ม]:[คะแนนเต็ม]])*tbl_task8[[%]:[%]])</f>
        <v/>
      </c>
      <c r="IZ18" s="121" t="str">
        <f>IF(ISBLANK(tbl_task8[[คะแนนเต็ม]:[คะแนนเต็ม]]),"",(tbl_task8[90]/tbl_task8[[คะแนนเต็ม]:[คะแนนเต็ม]])*tbl_task8[[%]:[%]])</f>
        <v/>
      </c>
      <c r="JA18" s="121" t="str">
        <f>IF(ISBLANK(tbl_task8[[คะแนนเต็ม]:[คะแนนเต็ม]]),"",(tbl_task8[91]/tbl_task8[[คะแนนเต็ม]:[คะแนนเต็ม]])*tbl_task8[[%]:[%]])</f>
        <v/>
      </c>
      <c r="JB18" s="121" t="str">
        <f>IF(ISBLANK(tbl_task8[[คะแนนเต็ม]:[คะแนนเต็ม]]),"",(tbl_task8[92]/tbl_task8[[คะแนนเต็ม]:[คะแนนเต็ม]])*tbl_task8[[%]:[%]])</f>
        <v/>
      </c>
      <c r="JC18" s="121" t="str">
        <f>IF(ISBLANK(tbl_task8[[คะแนนเต็ม]:[คะแนนเต็ม]]),"",(tbl_task8[93]/tbl_task8[[คะแนนเต็ม]:[คะแนนเต็ม]])*tbl_task8[[%]:[%]])</f>
        <v/>
      </c>
      <c r="JD18" s="121" t="str">
        <f>IF(ISBLANK(tbl_task8[[คะแนนเต็ม]:[คะแนนเต็ม]]),"",(tbl_task8[94]/tbl_task8[[คะแนนเต็ม]:[คะแนนเต็ม]])*tbl_task8[[%]:[%]])</f>
        <v/>
      </c>
      <c r="JE18" s="121" t="str">
        <f>IF(ISBLANK(tbl_task8[[คะแนนเต็ม]:[คะแนนเต็ม]]),"",(tbl_task8[95]/tbl_task8[[คะแนนเต็ม]:[คะแนนเต็ม]])*tbl_task8[[%]:[%]])</f>
        <v/>
      </c>
      <c r="JF18" s="121" t="str">
        <f>IF(ISBLANK(tbl_task8[[คะแนนเต็ม]:[คะแนนเต็ม]]),"",(tbl_task8[96]/tbl_task8[[คะแนนเต็ม]:[คะแนนเต็ม]])*tbl_task8[[%]:[%]])</f>
        <v/>
      </c>
      <c r="JG18" s="121" t="str">
        <f>IF(ISBLANK(tbl_task8[[คะแนนเต็ม]:[คะแนนเต็ม]]),"",(tbl_task8[97]/tbl_task8[[คะแนนเต็ม]:[คะแนนเต็ม]])*tbl_task8[[%]:[%]])</f>
        <v/>
      </c>
      <c r="JH18" s="121" t="str">
        <f>IF(ISBLANK(tbl_task8[[คะแนนเต็ม]:[คะแนนเต็ม]]),"",(tbl_task8[98]/tbl_task8[[คะแนนเต็ม]:[คะแนนเต็ม]])*tbl_task8[[%]:[%]])</f>
        <v/>
      </c>
      <c r="JI18" s="121" t="str">
        <f>IF(ISBLANK(tbl_task8[[คะแนนเต็ม]:[คะแนนเต็ม]]),"",(tbl_task8[99]/tbl_task8[[คะแนนเต็ม]:[คะแนนเต็ม]])*tbl_task8[[%]:[%]])</f>
        <v/>
      </c>
      <c r="JJ18" s="121" t="str">
        <f>IF(ISBLANK(tbl_task8[[คะแนนเต็ม]:[คะแนนเต็ม]]),"",(tbl_task8[100]/tbl_task8[[คะแนนเต็ม]:[คะแนนเต็ม]])*tbl_task8[[%]:[%]])</f>
        <v/>
      </c>
      <c r="JK18" s="121" t="str">
        <f>IF(ISBLANK(tbl_task8[[คะแนนเต็ม]:[คะแนนเต็ม]]),"",(tbl_task8[101]/tbl_task8[[คะแนนเต็ม]:[คะแนนเต็ม]])*tbl_task8[[%]:[%]])</f>
        <v/>
      </c>
      <c r="JL18" s="121" t="str">
        <f>IF(ISBLANK(tbl_task8[[คะแนนเต็ม]:[คะแนนเต็ม]]),"",(tbl_task8[102]/tbl_task8[[คะแนนเต็ม]:[คะแนนเต็ม]])*tbl_task8[[%]:[%]])</f>
        <v/>
      </c>
      <c r="JM18" s="121" t="str">
        <f>IF(ISBLANK(tbl_task8[[คะแนนเต็ม]:[คะแนนเต็ม]]),"",(tbl_task8[103]/tbl_task8[[คะแนนเต็ม]:[คะแนนเต็ม]])*tbl_task8[[%]:[%]])</f>
        <v/>
      </c>
      <c r="JN18" s="121" t="str">
        <f>IF(ISBLANK(tbl_task8[[คะแนนเต็ม]:[คะแนนเต็ม]]),"",(tbl_task8[104]/tbl_task8[[คะแนนเต็ม]:[คะแนนเต็ม]])*tbl_task8[[%]:[%]])</f>
        <v/>
      </c>
      <c r="JO18" s="121" t="str">
        <f>IF(ISBLANK(tbl_task8[[คะแนนเต็ม]:[คะแนนเต็ม]]),"",(tbl_task8[105]/tbl_task8[[คะแนนเต็ม]:[คะแนนเต็ม]])*tbl_task8[[%]:[%]])</f>
        <v/>
      </c>
      <c r="JP18" s="121" t="str">
        <f>IF(ISBLANK(tbl_task8[[คะแนนเต็ม]:[คะแนนเต็ม]]),"",(tbl_task8[106]/tbl_task8[[คะแนนเต็ม]:[คะแนนเต็ม]])*tbl_task8[[%]:[%]])</f>
        <v/>
      </c>
      <c r="JQ18" s="121" t="str">
        <f>IF(ISBLANK(tbl_task8[[คะแนนเต็ม]:[คะแนนเต็ม]]),"",(tbl_task8[107]/tbl_task8[[คะแนนเต็ม]:[คะแนนเต็ม]])*tbl_task8[[%]:[%]])</f>
        <v/>
      </c>
      <c r="JR18" s="121" t="str">
        <f>IF(ISBLANK(tbl_task8[[คะแนนเต็ม]:[คะแนนเต็ม]]),"",(tbl_task8[108]/tbl_task8[[คะแนนเต็ม]:[คะแนนเต็ม]])*tbl_task8[[%]:[%]])</f>
        <v/>
      </c>
      <c r="JS18" s="121" t="str">
        <f>IF(ISBLANK(tbl_task8[[คะแนนเต็ม]:[คะแนนเต็ม]]),"",(tbl_task8[109]/tbl_task8[[คะแนนเต็ม]:[คะแนนเต็ม]])*tbl_task8[[%]:[%]])</f>
        <v/>
      </c>
      <c r="JT18" s="121" t="str">
        <f>IF(ISBLANK(tbl_task8[[คะแนนเต็ม]:[คะแนนเต็ม]]),"",(tbl_task8[110]/tbl_task8[[คะแนนเต็ม]:[คะแนนเต็ม]])*tbl_task8[[%]:[%]])</f>
        <v/>
      </c>
      <c r="JU18" s="121" t="str">
        <f>IF(ISBLANK(tbl_task8[[คะแนนเต็ม]:[คะแนนเต็ม]]),"",(tbl_task8[111]/tbl_task8[[คะแนนเต็ม]:[คะแนนเต็ม]])*tbl_task8[[%]:[%]])</f>
        <v/>
      </c>
      <c r="JV18" s="121" t="str">
        <f>IF(ISBLANK(tbl_task8[[คะแนนเต็ม]:[คะแนนเต็ม]]),"",(tbl_task8[112]/tbl_task8[[คะแนนเต็ม]:[คะแนนเต็ม]])*tbl_task8[[%]:[%]])</f>
        <v/>
      </c>
      <c r="JW18" s="121" t="str">
        <f>IF(ISBLANK(tbl_task8[[คะแนนเต็ม]:[คะแนนเต็ม]]),"",(tbl_task8[113]/tbl_task8[[คะแนนเต็ม]:[คะแนนเต็ม]])*tbl_task8[[%]:[%]])</f>
        <v/>
      </c>
      <c r="JX18" s="121" t="str">
        <f>IF(ISBLANK(tbl_task8[[คะแนนเต็ม]:[คะแนนเต็ม]]),"",(tbl_task8[114]/tbl_task8[[คะแนนเต็ม]:[คะแนนเต็ม]])*tbl_task8[[%]:[%]])</f>
        <v/>
      </c>
      <c r="JY18" s="121" t="str">
        <f>IF(ISBLANK(tbl_task8[[คะแนนเต็ม]:[คะแนนเต็ม]]),"",(tbl_task8[115]/tbl_task8[[คะแนนเต็ม]:[คะแนนเต็ม]])*tbl_task8[[%]:[%]])</f>
        <v/>
      </c>
      <c r="JZ18" s="121" t="str">
        <f>IF(ISBLANK(tbl_task8[[คะแนนเต็ม]:[คะแนนเต็ม]]),"",(tbl_task8[116]/tbl_task8[[คะแนนเต็ม]:[คะแนนเต็ม]])*tbl_task8[[%]:[%]])</f>
        <v/>
      </c>
      <c r="KA18" s="121" t="str">
        <f>IF(ISBLANK(tbl_task8[[คะแนนเต็ม]:[คะแนนเต็ม]]),"",(tbl_task8[117]/tbl_task8[[คะแนนเต็ม]:[คะแนนเต็ม]])*tbl_task8[[%]:[%]])</f>
        <v/>
      </c>
      <c r="KB18" s="121" t="str">
        <f>IF(ISBLANK(tbl_task8[[คะแนนเต็ม]:[คะแนนเต็ม]]),"",(tbl_task8[118]/tbl_task8[[คะแนนเต็ม]:[คะแนนเต็ม]])*tbl_task8[[%]:[%]])</f>
        <v/>
      </c>
      <c r="KC18" s="121" t="str">
        <f>IF(ISBLANK(tbl_task8[[คะแนนเต็ม]:[คะแนนเต็ม]]),"",(tbl_task8[119]/tbl_task8[[คะแนนเต็ม]:[คะแนนเต็ม]])*tbl_task8[[%]:[%]])</f>
        <v/>
      </c>
      <c r="KD18" s="121" t="str">
        <f>IF(ISBLANK(tbl_task8[[คะแนนเต็ม]:[คะแนนเต็ม]]),"",(tbl_task8[120]/tbl_task8[[คะแนนเต็ม]:[คะแนนเต็ม]])*tbl_task8[[%]:[%]])</f>
        <v/>
      </c>
      <c r="KE18" s="121" t="str">
        <f>IF(ISBLANK(tbl_task8[[คะแนนเต็ม]:[คะแนนเต็ม]]),"",(tbl_task8[121]/tbl_task8[[คะแนนเต็ม]:[คะแนนเต็ม]])*tbl_task8[[%]:[%]])</f>
        <v/>
      </c>
      <c r="KF18" s="121" t="str">
        <f>IF(ISBLANK(tbl_task8[[คะแนนเต็ม]:[คะแนนเต็ม]]),"",(tbl_task8[122]/tbl_task8[[คะแนนเต็ม]:[คะแนนเต็ม]])*tbl_task8[[%]:[%]])</f>
        <v/>
      </c>
      <c r="KG18" s="121" t="str">
        <f>IF(ISBLANK(tbl_task8[[คะแนนเต็ม]:[คะแนนเต็ม]]),"",(tbl_task8[123]/tbl_task8[[คะแนนเต็ม]:[คะแนนเต็ม]])*tbl_task8[[%]:[%]])</f>
        <v/>
      </c>
      <c r="KH18" s="121" t="str">
        <f>IF(ISBLANK(tbl_task8[[คะแนนเต็ม]:[คะแนนเต็ม]]),"",(tbl_task8[124]/tbl_task8[[คะแนนเต็ม]:[คะแนนเต็ม]])*tbl_task8[[%]:[%]])</f>
        <v/>
      </c>
      <c r="KI18" s="121" t="str">
        <f>IF(ISBLANK(tbl_task8[[คะแนนเต็ม]:[คะแนนเต็ม]]),"",(tbl_task8[125]/tbl_task8[[คะแนนเต็ม]:[คะแนนเต็ม]])*tbl_task8[[%]:[%]])</f>
        <v/>
      </c>
      <c r="KJ18" s="121" t="str">
        <f>IF(ISBLANK(tbl_task8[[คะแนนเต็ม]:[คะแนนเต็ม]]),"",(tbl_task8[126]/tbl_task8[[คะแนนเต็ม]:[คะแนนเต็ม]])*tbl_task8[[%]:[%]])</f>
        <v/>
      </c>
      <c r="KK18" s="121" t="str">
        <f>IF(ISBLANK(tbl_task8[[คะแนนเต็ม]:[คะแนนเต็ม]]),"",(tbl_task8[127]/tbl_task8[[คะแนนเต็ม]:[คะแนนเต็ม]])*tbl_task8[[%]:[%]])</f>
        <v/>
      </c>
      <c r="KL18" s="121" t="str">
        <f>IF(ISBLANK(tbl_task8[[คะแนนเต็ม]:[คะแนนเต็ม]]),"",(tbl_task8[128]/tbl_task8[[คะแนนเต็ม]:[คะแนนเต็ม]])*tbl_task8[[%]:[%]])</f>
        <v/>
      </c>
      <c r="KM18" s="121" t="str">
        <f>IF(ISBLANK(tbl_task8[[คะแนนเต็ม]:[คะแนนเต็ม]]),"",(tbl_task8[129]/tbl_task8[[คะแนนเต็ม]:[คะแนนเต็ม]])*tbl_task8[[%]:[%]])</f>
        <v/>
      </c>
      <c r="KN18" s="121" t="str">
        <f>IF(ISBLANK(tbl_task8[[คะแนนเต็ม]:[คะแนนเต็ม]]),"",(tbl_task8[130]/tbl_task8[[คะแนนเต็ม]:[คะแนนเต็ม]])*tbl_task8[[%]:[%]])</f>
        <v/>
      </c>
      <c r="KO18" s="121" t="str">
        <f>IF(ISBLANK(tbl_task8[[คะแนนเต็ม]:[คะแนนเต็ม]]),"",(tbl_task8[131]/tbl_task8[[คะแนนเต็ม]:[คะแนนเต็ม]])*tbl_task8[[%]:[%]])</f>
        <v/>
      </c>
      <c r="KP18" s="121" t="str">
        <f>IF(ISBLANK(tbl_task8[[คะแนนเต็ม]:[คะแนนเต็ม]]),"",(tbl_task8[132]/tbl_task8[[คะแนนเต็ม]:[คะแนนเต็ม]])*tbl_task8[[%]:[%]])</f>
        <v/>
      </c>
      <c r="KQ18" s="121" t="str">
        <f>IF(ISBLANK(tbl_task8[[คะแนนเต็ม]:[คะแนนเต็ม]]),"",(tbl_task8[133]/tbl_task8[[คะแนนเต็ม]:[คะแนนเต็ม]])*tbl_task8[[%]:[%]])</f>
        <v/>
      </c>
      <c r="KR18" s="121" t="str">
        <f>IF(ISBLANK(tbl_task8[[คะแนนเต็ม]:[คะแนนเต็ม]]),"",(tbl_task8[134]/tbl_task8[[คะแนนเต็ม]:[คะแนนเต็ม]])*tbl_task8[[%]:[%]])</f>
        <v/>
      </c>
      <c r="KS18" s="121" t="str">
        <f>IF(ISBLANK(tbl_task8[[คะแนนเต็ม]:[คะแนนเต็ม]]),"",(tbl_task8[135]/tbl_task8[[คะแนนเต็ม]:[คะแนนเต็ม]])*tbl_task8[[%]:[%]])</f>
        <v/>
      </c>
      <c r="KT18" s="121" t="str">
        <f>IF(ISBLANK(tbl_task8[[คะแนนเต็ม]:[คะแนนเต็ม]]),"",(tbl_task8[136]/tbl_task8[[คะแนนเต็ม]:[คะแนนเต็ม]])*tbl_task8[[%]:[%]])</f>
        <v/>
      </c>
      <c r="KU18" s="121" t="str">
        <f>IF(ISBLANK(tbl_task8[[คะแนนเต็ม]:[คะแนนเต็ม]]),"",(tbl_task8[137]/tbl_task8[[คะแนนเต็ม]:[คะแนนเต็ม]])*tbl_task8[[%]:[%]])</f>
        <v/>
      </c>
      <c r="KV18" s="121" t="str">
        <f>IF(ISBLANK(tbl_task8[[คะแนนเต็ม]:[คะแนนเต็ม]]),"",(tbl_task8[138]/tbl_task8[[คะแนนเต็ม]:[คะแนนเต็ม]])*tbl_task8[[%]:[%]])</f>
        <v/>
      </c>
      <c r="KW18" s="121" t="str">
        <f>IF(ISBLANK(tbl_task8[[คะแนนเต็ม]:[คะแนนเต็ม]]),"",(tbl_task8[139]/tbl_task8[[คะแนนเต็ม]:[คะแนนเต็ม]])*tbl_task8[[%]:[%]])</f>
        <v/>
      </c>
      <c r="KX18" s="121" t="str">
        <f>IF(ISBLANK(tbl_task8[[คะแนนเต็ม]:[คะแนนเต็ม]]),"",(tbl_task8[140]/tbl_task8[[คะแนนเต็ม]:[คะแนนเต็ม]])*tbl_task8[[%]:[%]])</f>
        <v/>
      </c>
      <c r="KY18" s="121" t="str">
        <f>IF(ISBLANK(tbl_task8[[คะแนนเต็ม]:[คะแนนเต็ม]]),"",(tbl_task8[141]/tbl_task8[[คะแนนเต็ม]:[คะแนนเต็ม]])*tbl_task8[[%]:[%]])</f>
        <v/>
      </c>
      <c r="KZ18" s="121" t="str">
        <f>IF(ISBLANK(tbl_task8[[คะแนนเต็ม]:[คะแนนเต็ม]]),"",(tbl_task8[142]/tbl_task8[[คะแนนเต็ม]:[คะแนนเต็ม]])*tbl_task8[[%]:[%]])</f>
        <v/>
      </c>
      <c r="LA18" s="121" t="str">
        <f>IF(ISBLANK(tbl_task8[[คะแนนเต็ม]:[คะแนนเต็ม]]),"",(tbl_task8[143]/tbl_task8[[คะแนนเต็ม]:[คะแนนเต็ม]])*tbl_task8[[%]:[%]])</f>
        <v/>
      </c>
      <c r="LB18" s="121" t="str">
        <f>IF(ISBLANK(tbl_task8[[คะแนนเต็ม]:[คะแนนเต็ม]]),"",(tbl_task8[144]/tbl_task8[[คะแนนเต็ม]:[คะแนนเต็ม]])*tbl_task8[[%]:[%]])</f>
        <v/>
      </c>
      <c r="LC18" s="121" t="str">
        <f>IF(ISBLANK(tbl_task8[[คะแนนเต็ม]:[คะแนนเต็ม]]),"",(tbl_task8[145]/tbl_task8[[คะแนนเต็ม]:[คะแนนเต็ม]])*tbl_task8[[%]:[%]])</f>
        <v/>
      </c>
      <c r="LD18" s="121" t="str">
        <f>IF(ISBLANK(tbl_task8[[คะแนนเต็ม]:[คะแนนเต็ม]]),"",(tbl_task8[146]/tbl_task8[[คะแนนเต็ม]:[คะแนนเต็ม]])*tbl_task8[[%]:[%]])</f>
        <v/>
      </c>
      <c r="LE18" s="121" t="str">
        <f>IF(ISBLANK(tbl_task8[[คะแนนเต็ม]:[คะแนนเต็ม]]),"",(tbl_task8[147]/tbl_task8[[คะแนนเต็ม]:[คะแนนเต็ม]])*tbl_task8[[%]:[%]])</f>
        <v/>
      </c>
      <c r="LF18" s="121" t="str">
        <f>IF(ISBLANK(tbl_task8[[คะแนนเต็ม]:[คะแนนเต็ม]]),"",(tbl_task8[148]/tbl_task8[[คะแนนเต็ม]:[คะแนนเต็ม]])*tbl_task8[[%]:[%]])</f>
        <v/>
      </c>
      <c r="LG18" s="121" t="str">
        <f>IF(ISBLANK(tbl_task8[[คะแนนเต็ม]:[คะแนนเต็ม]]),"",(tbl_task8[149]/tbl_task8[[คะแนนเต็ม]:[คะแนนเต็ม]])*tbl_task8[[%]:[%]])</f>
        <v/>
      </c>
      <c r="LH18" s="121" t="str">
        <f>IF(ISBLANK(tbl_task8[[คะแนนเต็ม]:[คะแนนเต็ม]]),"",(tbl_task8[150]/tbl_task8[[คะแนนเต็ม]:[คะแนนเต็ม]])*tbl_task8[[%]:[%]])</f>
        <v/>
      </c>
      <c r="LI18" s="121" t="str">
        <f>IF(ISBLANK(tbl_task8[[คะแนนเต็ม]:[คะแนนเต็ม]]),"",(tbl_task8[151]/tbl_task8[[คะแนนเต็ม]:[คะแนนเต็ม]])*tbl_task8[[%]:[%]])</f>
        <v/>
      </c>
      <c r="LJ18" s="121" t="str">
        <f>IF(ISBLANK(tbl_task8[[คะแนนเต็ม]:[คะแนนเต็ม]]),"",(tbl_task8[152]/tbl_task8[[คะแนนเต็ม]:[คะแนนเต็ม]])*tbl_task8[[%]:[%]])</f>
        <v/>
      </c>
      <c r="LK18" s="121" t="str">
        <f>IF(ISBLANK(tbl_task8[[คะแนนเต็ม]:[คะแนนเต็ม]]),"",(tbl_task8[153]/tbl_task8[[คะแนนเต็ม]:[คะแนนเต็ม]])*tbl_task8[[%]:[%]])</f>
        <v/>
      </c>
      <c r="LL18" s="121" t="str">
        <f>IF(ISBLANK(tbl_task8[[คะแนนเต็ม]:[คะแนนเต็ม]]),"",(tbl_task8[154]/tbl_task8[[คะแนนเต็ม]:[คะแนนเต็ม]])*tbl_task8[[%]:[%]])</f>
        <v/>
      </c>
      <c r="LM18" s="121" t="str">
        <f>IF(ISBLANK(tbl_task8[[คะแนนเต็ม]:[คะแนนเต็ม]]),"",(tbl_task8[155]/tbl_task8[[คะแนนเต็ม]:[คะแนนเต็ม]])*tbl_task8[[%]:[%]])</f>
        <v/>
      </c>
      <c r="LN18" s="121" t="str">
        <f>IF(ISBLANK(tbl_task8[[คะแนนเต็ม]:[คะแนนเต็ม]]),"",(tbl_task8[156]/tbl_task8[[คะแนนเต็ม]:[คะแนนเต็ม]])*tbl_task8[[%]:[%]])</f>
        <v/>
      </c>
      <c r="LO18" s="121" t="str">
        <f>IF(ISBLANK(tbl_task8[[คะแนนเต็ม]:[คะแนนเต็ม]]),"",(tbl_task8[157]/tbl_task8[[คะแนนเต็ม]:[คะแนนเต็ม]])*tbl_task8[[%]:[%]])</f>
        <v/>
      </c>
      <c r="LP18" s="121" t="str">
        <f>IF(ISBLANK(tbl_task8[[คะแนนเต็ม]:[คะแนนเต็ม]]),"",(tbl_task8[158]/tbl_task8[[คะแนนเต็ม]:[คะแนนเต็ม]])*tbl_task8[[%]:[%]])</f>
        <v/>
      </c>
      <c r="LQ18" s="121" t="str">
        <f>IF(ISBLANK(tbl_task8[[คะแนนเต็ม]:[คะแนนเต็ม]]),"",(tbl_task8[159]/tbl_task8[[คะแนนเต็ม]:[คะแนนเต็ม]])*tbl_task8[[%]:[%]])</f>
        <v/>
      </c>
      <c r="LR18" s="121" t="str">
        <f>IF(ISBLANK(tbl_task8[[คะแนนเต็ม]:[คะแนนเต็ม]]),"",(tbl_task8[160]/tbl_task8[[คะแนนเต็ม]:[คะแนนเต็ม]])*tbl_task8[[%]:[%]])</f>
        <v/>
      </c>
      <c r="LS18" s="121" t="str">
        <f>IF(ISBLANK(tbl_task8[[คะแนนเต็ม]:[คะแนนเต็ม]]),"",(tbl_task8[161]/tbl_task8[[คะแนนเต็ม]:[คะแนนเต็ม]])*tbl_task8[[%]:[%]])</f>
        <v/>
      </c>
      <c r="LT18" s="121" t="str">
        <f>IF(ISBLANK(tbl_task8[[คะแนนเต็ม]:[คะแนนเต็ม]]),"",(tbl_task8[162]/tbl_task8[[คะแนนเต็ม]:[คะแนนเต็ม]])*tbl_task8[[%]:[%]])</f>
        <v/>
      </c>
      <c r="LU18" s="121" t="str">
        <f>IF(ISBLANK(tbl_task8[[คะแนนเต็ม]:[คะแนนเต็ม]]),"",(tbl_task8[163]/tbl_task8[[คะแนนเต็ม]:[คะแนนเต็ม]])*tbl_task8[[%]:[%]])</f>
        <v/>
      </c>
      <c r="LV18" s="121" t="str">
        <f>IF(ISBLANK(tbl_task8[[คะแนนเต็ม]:[คะแนนเต็ม]]),"",(tbl_task8[164]/tbl_task8[[คะแนนเต็ม]:[คะแนนเต็ม]])*tbl_task8[[%]:[%]])</f>
        <v/>
      </c>
      <c r="LW18" s="121" t="str">
        <f>IF(ISBLANK(tbl_task8[[คะแนนเต็ม]:[คะแนนเต็ม]]),"",(tbl_task8[165]/tbl_task8[[คะแนนเต็ม]:[คะแนนเต็ม]])*tbl_task8[[%]:[%]])</f>
        <v/>
      </c>
    </row>
    <row r="19" spans="1:335" ht="24" customHeight="1" x14ac:dyDescent="0.25">
      <c r="A19" s="24">
        <v>16</v>
      </c>
      <c r="B19" s="20"/>
      <c r="C19" s="5" t="str">
        <f>IF(ISBLANK(B19),"",VLOOKUP(B19,tbl_PLOs[],2,0))</f>
        <v/>
      </c>
      <c r="D19" s="102"/>
      <c r="E19" s="106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121" t="str">
        <f>IF(ISBLANK(tbl_task8[[คะแนนเต็ม]:[คะแนนเต็ม]]),"",(tbl_task8[1]/tbl_task8[[คะแนนเต็ม]:[คะแนนเต็ม]])*tbl_task8[[%]:[%]])</f>
        <v/>
      </c>
      <c r="FP19" s="121" t="str">
        <f>IF(ISBLANK(tbl_task8[[คะแนนเต็ม]:[คะแนนเต็ม]]),"",(tbl_task8[2]/tbl_task8[[คะแนนเต็ม]:[คะแนนเต็ม]])*tbl_task8[[%]:[%]])</f>
        <v/>
      </c>
      <c r="FQ19" s="121" t="str">
        <f>IF(ISBLANK(tbl_task8[[คะแนนเต็ม]:[คะแนนเต็ม]]),"",(tbl_task8[3]/tbl_task8[[คะแนนเต็ม]:[คะแนนเต็ม]])*tbl_task8[[%]:[%]])</f>
        <v/>
      </c>
      <c r="FR19" s="121" t="str">
        <f>IF(ISBLANK(tbl_task8[[คะแนนเต็ม]:[คะแนนเต็ม]]),"",(tbl_task8[4]/tbl_task8[[คะแนนเต็ม]:[คะแนนเต็ม]])*tbl_task8[[%]:[%]])</f>
        <v/>
      </c>
      <c r="FS19" s="121" t="str">
        <f>IF(ISBLANK(tbl_task8[[คะแนนเต็ม]:[คะแนนเต็ม]]),"",(tbl_task8[5]/tbl_task8[[คะแนนเต็ม]:[คะแนนเต็ม]])*tbl_task8[[%]:[%]])</f>
        <v/>
      </c>
      <c r="FT19" s="121" t="str">
        <f>IF(ISBLANK(tbl_task8[[คะแนนเต็ม]:[คะแนนเต็ม]]),"",(tbl_task8[6]/tbl_task8[[คะแนนเต็ม]:[คะแนนเต็ม]])*tbl_task8[[%]:[%]])</f>
        <v/>
      </c>
      <c r="FU19" s="121" t="str">
        <f>IF(ISBLANK(tbl_task8[[คะแนนเต็ม]:[คะแนนเต็ม]]),"",(tbl_task8[7]/tbl_task8[[คะแนนเต็ม]:[คะแนนเต็ม]])*tbl_task8[[%]:[%]])</f>
        <v/>
      </c>
      <c r="FV19" s="121" t="str">
        <f>IF(ISBLANK(tbl_task8[[คะแนนเต็ม]:[คะแนนเต็ม]]),"",(tbl_task8[8]/tbl_task8[[คะแนนเต็ม]:[คะแนนเต็ม]])*tbl_task8[[%]:[%]])</f>
        <v/>
      </c>
      <c r="FW19" s="121" t="str">
        <f>IF(ISBLANK(tbl_task8[[คะแนนเต็ม]:[คะแนนเต็ม]]),"",(tbl_task8[9]/tbl_task8[[คะแนนเต็ม]:[คะแนนเต็ม]])*tbl_task8[[%]:[%]])</f>
        <v/>
      </c>
      <c r="FX19" s="121" t="str">
        <f>IF(ISBLANK(tbl_task8[[คะแนนเต็ม]:[คะแนนเต็ม]]),"",(tbl_task8[10]/tbl_task8[[คะแนนเต็ม]:[คะแนนเต็ม]])*tbl_task8[[%]:[%]])</f>
        <v/>
      </c>
      <c r="FY19" s="121" t="str">
        <f>IF(ISBLANK(tbl_task8[[คะแนนเต็ม]:[คะแนนเต็ม]]),"",(tbl_task8[11]/tbl_task8[[คะแนนเต็ม]:[คะแนนเต็ม]])*tbl_task8[[%]:[%]])</f>
        <v/>
      </c>
      <c r="FZ19" s="121" t="str">
        <f>IF(ISBLANK(tbl_task8[[คะแนนเต็ม]:[คะแนนเต็ม]]),"",(tbl_task8[12]/tbl_task8[[คะแนนเต็ม]:[คะแนนเต็ม]])*tbl_task8[[%]:[%]])</f>
        <v/>
      </c>
      <c r="GA19" s="121" t="str">
        <f>IF(ISBLANK(tbl_task8[[คะแนนเต็ม]:[คะแนนเต็ม]]),"",(tbl_task8[13]/tbl_task8[[คะแนนเต็ม]:[คะแนนเต็ม]])*tbl_task8[[%]:[%]])</f>
        <v/>
      </c>
      <c r="GB19" s="121" t="str">
        <f>IF(ISBLANK(tbl_task8[[คะแนนเต็ม]:[คะแนนเต็ม]]),"",(tbl_task8[14]/tbl_task8[[คะแนนเต็ม]:[คะแนนเต็ม]])*tbl_task8[[%]:[%]])</f>
        <v/>
      </c>
      <c r="GC19" s="121" t="str">
        <f>IF(ISBLANK(tbl_task8[[คะแนนเต็ม]:[คะแนนเต็ม]]),"",(tbl_task8[15]/tbl_task8[[คะแนนเต็ม]:[คะแนนเต็ม]])*tbl_task8[[%]:[%]])</f>
        <v/>
      </c>
      <c r="GD19" s="121" t="str">
        <f>IF(ISBLANK(tbl_task8[[คะแนนเต็ม]:[คะแนนเต็ม]]),"",(tbl_task8[16]/tbl_task8[[คะแนนเต็ม]:[คะแนนเต็ม]])*tbl_task8[[%]:[%]])</f>
        <v/>
      </c>
      <c r="GE19" s="121" t="str">
        <f>IF(ISBLANK(tbl_task8[[คะแนนเต็ม]:[คะแนนเต็ม]]),"",(tbl_task8[17]/tbl_task8[[คะแนนเต็ม]:[คะแนนเต็ม]])*tbl_task8[[%]:[%]])</f>
        <v/>
      </c>
      <c r="GF19" s="121" t="str">
        <f>IF(ISBLANK(tbl_task8[[คะแนนเต็ม]:[คะแนนเต็ม]]),"",(tbl_task8[18]/tbl_task8[[คะแนนเต็ม]:[คะแนนเต็ม]])*tbl_task8[[%]:[%]])</f>
        <v/>
      </c>
      <c r="GG19" s="121" t="str">
        <f>IF(ISBLANK(tbl_task8[[คะแนนเต็ม]:[คะแนนเต็ม]]),"",(tbl_task8[19]/tbl_task8[[คะแนนเต็ม]:[คะแนนเต็ม]])*tbl_task8[[%]:[%]])</f>
        <v/>
      </c>
      <c r="GH19" s="121" t="str">
        <f>IF(ISBLANK(tbl_task8[[คะแนนเต็ม]:[คะแนนเต็ม]]),"",(tbl_task8[20]/tbl_task8[[คะแนนเต็ม]:[คะแนนเต็ม]])*tbl_task8[[%]:[%]])</f>
        <v/>
      </c>
      <c r="GI19" s="121" t="str">
        <f>IF(ISBLANK(tbl_task8[[คะแนนเต็ม]:[คะแนนเต็ม]]),"",(tbl_task8[21]/tbl_task8[[คะแนนเต็ม]:[คะแนนเต็ม]])*tbl_task8[[%]:[%]])</f>
        <v/>
      </c>
      <c r="GJ19" s="121" t="str">
        <f>IF(ISBLANK(tbl_task8[[คะแนนเต็ม]:[คะแนนเต็ม]]),"",(tbl_task8[22]/tbl_task8[[คะแนนเต็ม]:[คะแนนเต็ม]])*tbl_task8[[%]:[%]])</f>
        <v/>
      </c>
      <c r="GK19" s="121" t="str">
        <f>IF(ISBLANK(tbl_task8[[คะแนนเต็ม]:[คะแนนเต็ม]]),"",(tbl_task8[23]/tbl_task8[[คะแนนเต็ม]:[คะแนนเต็ม]])*tbl_task8[[%]:[%]])</f>
        <v/>
      </c>
      <c r="GL19" s="121" t="str">
        <f>IF(ISBLANK(tbl_task8[[คะแนนเต็ม]:[คะแนนเต็ม]]),"",(tbl_task8[24]/tbl_task8[[คะแนนเต็ม]:[คะแนนเต็ม]])*tbl_task8[[%]:[%]])</f>
        <v/>
      </c>
      <c r="GM19" s="121" t="str">
        <f>IF(ISBLANK(tbl_task8[[คะแนนเต็ม]:[คะแนนเต็ม]]),"",(tbl_task8[25]/tbl_task8[[คะแนนเต็ม]:[คะแนนเต็ม]])*tbl_task8[[%]:[%]])</f>
        <v/>
      </c>
      <c r="GN19" s="121" t="str">
        <f>IF(ISBLANK(tbl_task8[[คะแนนเต็ม]:[คะแนนเต็ม]]),"",(tbl_task8[26]/tbl_task8[[คะแนนเต็ม]:[คะแนนเต็ม]])*tbl_task8[[%]:[%]])</f>
        <v/>
      </c>
      <c r="GO19" s="121" t="str">
        <f>IF(ISBLANK(tbl_task8[[คะแนนเต็ม]:[คะแนนเต็ม]]),"",(tbl_task8[27]/tbl_task8[[คะแนนเต็ม]:[คะแนนเต็ม]])*tbl_task8[[%]:[%]])</f>
        <v/>
      </c>
      <c r="GP19" s="121" t="str">
        <f>IF(ISBLANK(tbl_task8[[คะแนนเต็ม]:[คะแนนเต็ม]]),"",(tbl_task8[28]/tbl_task8[[คะแนนเต็ม]:[คะแนนเต็ม]])*tbl_task8[[%]:[%]])</f>
        <v/>
      </c>
      <c r="GQ19" s="121" t="str">
        <f>IF(ISBLANK(tbl_task8[[คะแนนเต็ม]:[คะแนนเต็ม]]),"",(tbl_task8[29]/tbl_task8[[คะแนนเต็ม]:[คะแนนเต็ม]])*tbl_task8[[%]:[%]])</f>
        <v/>
      </c>
      <c r="GR19" s="121" t="str">
        <f>IF(ISBLANK(tbl_task8[[คะแนนเต็ม]:[คะแนนเต็ม]]),"",(tbl_task8[30]/tbl_task8[[คะแนนเต็ม]:[คะแนนเต็ม]])*tbl_task8[[%]:[%]])</f>
        <v/>
      </c>
      <c r="GS19" s="121" t="str">
        <f>IF(ISBLANK(tbl_task8[[คะแนนเต็ม]:[คะแนนเต็ม]]),"",(tbl_task8[31]/tbl_task8[[คะแนนเต็ม]:[คะแนนเต็ม]])*tbl_task8[[%]:[%]])</f>
        <v/>
      </c>
      <c r="GT19" s="121" t="str">
        <f>IF(ISBLANK(tbl_task8[[คะแนนเต็ม]:[คะแนนเต็ม]]),"",(tbl_task8[32]/tbl_task8[[คะแนนเต็ม]:[คะแนนเต็ม]])*tbl_task8[[%]:[%]])</f>
        <v/>
      </c>
      <c r="GU19" s="121" t="str">
        <f>IF(ISBLANK(tbl_task8[[คะแนนเต็ม]:[คะแนนเต็ม]]),"",(tbl_task8[33]/tbl_task8[[คะแนนเต็ม]:[คะแนนเต็ม]])*tbl_task8[[%]:[%]])</f>
        <v/>
      </c>
      <c r="GV19" s="121" t="str">
        <f>IF(ISBLANK(tbl_task8[[คะแนนเต็ม]:[คะแนนเต็ม]]),"",(tbl_task8[34]/tbl_task8[[คะแนนเต็ม]:[คะแนนเต็ม]])*tbl_task8[[%]:[%]])</f>
        <v/>
      </c>
      <c r="GW19" s="121" t="str">
        <f>IF(ISBLANK(tbl_task8[[คะแนนเต็ม]:[คะแนนเต็ม]]),"",(tbl_task8[35]/tbl_task8[[คะแนนเต็ม]:[คะแนนเต็ม]])*tbl_task8[[%]:[%]])</f>
        <v/>
      </c>
      <c r="GX19" s="121" t="str">
        <f>IF(ISBLANK(tbl_task8[[คะแนนเต็ม]:[คะแนนเต็ม]]),"",(tbl_task8[36]/tbl_task8[[คะแนนเต็ม]:[คะแนนเต็ม]])*tbl_task8[[%]:[%]])</f>
        <v/>
      </c>
      <c r="GY19" s="121" t="str">
        <f>IF(ISBLANK(tbl_task8[[คะแนนเต็ม]:[คะแนนเต็ม]]),"",(tbl_task8[37]/tbl_task8[[คะแนนเต็ม]:[คะแนนเต็ม]])*tbl_task8[[%]:[%]])</f>
        <v/>
      </c>
      <c r="GZ19" s="121" t="str">
        <f>IF(ISBLANK(tbl_task8[[คะแนนเต็ม]:[คะแนนเต็ม]]),"",(tbl_task8[38]/tbl_task8[[คะแนนเต็ม]:[คะแนนเต็ม]])*tbl_task8[[%]:[%]])</f>
        <v/>
      </c>
      <c r="HA19" s="121" t="str">
        <f>IF(ISBLANK(tbl_task8[[คะแนนเต็ม]:[คะแนนเต็ม]]),"",(tbl_task8[39]/tbl_task8[[คะแนนเต็ม]:[คะแนนเต็ม]])*tbl_task8[[%]:[%]])</f>
        <v/>
      </c>
      <c r="HB19" s="121" t="str">
        <f>IF(ISBLANK(tbl_task8[[คะแนนเต็ม]:[คะแนนเต็ม]]),"",(tbl_task8[40]/tbl_task8[[คะแนนเต็ม]:[คะแนนเต็ม]])*tbl_task8[[%]:[%]])</f>
        <v/>
      </c>
      <c r="HC19" s="121" t="str">
        <f>IF(ISBLANK(tbl_task8[[คะแนนเต็ม]:[คะแนนเต็ม]]),"",(tbl_task8[41]/tbl_task8[[คะแนนเต็ม]:[คะแนนเต็ม]])*tbl_task8[[%]:[%]])</f>
        <v/>
      </c>
      <c r="HD19" s="121" t="str">
        <f>IF(ISBLANK(tbl_task8[[คะแนนเต็ม]:[คะแนนเต็ม]]),"",(tbl_task8[42]/tbl_task8[[คะแนนเต็ม]:[คะแนนเต็ม]])*tbl_task8[[%]:[%]])</f>
        <v/>
      </c>
      <c r="HE19" s="121" t="str">
        <f>IF(ISBLANK(tbl_task8[[คะแนนเต็ม]:[คะแนนเต็ม]]),"",(tbl_task8[43]/tbl_task8[[คะแนนเต็ม]:[คะแนนเต็ม]])*tbl_task8[[%]:[%]])</f>
        <v/>
      </c>
      <c r="HF19" s="121" t="str">
        <f>IF(ISBLANK(tbl_task8[[คะแนนเต็ม]:[คะแนนเต็ม]]),"",(tbl_task8[44]/tbl_task8[[คะแนนเต็ม]:[คะแนนเต็ม]])*tbl_task8[[%]:[%]])</f>
        <v/>
      </c>
      <c r="HG19" s="121" t="str">
        <f>IF(ISBLANK(tbl_task8[[คะแนนเต็ม]:[คะแนนเต็ม]]),"",(tbl_task8[45]/tbl_task8[[คะแนนเต็ม]:[คะแนนเต็ม]])*tbl_task8[[%]:[%]])</f>
        <v/>
      </c>
      <c r="HH19" s="121" t="str">
        <f>IF(ISBLANK(tbl_task8[[คะแนนเต็ม]:[คะแนนเต็ม]]),"",(tbl_task8[46]/tbl_task8[[คะแนนเต็ม]:[คะแนนเต็ม]])*tbl_task8[[%]:[%]])</f>
        <v/>
      </c>
      <c r="HI19" s="121" t="str">
        <f>IF(ISBLANK(tbl_task8[[คะแนนเต็ม]:[คะแนนเต็ม]]),"",(tbl_task8[47]/tbl_task8[[คะแนนเต็ม]:[คะแนนเต็ม]])*tbl_task8[[%]:[%]])</f>
        <v/>
      </c>
      <c r="HJ19" s="121" t="str">
        <f>IF(ISBLANK(tbl_task8[[คะแนนเต็ม]:[คะแนนเต็ม]]),"",(tbl_task8[48]/tbl_task8[[คะแนนเต็ม]:[คะแนนเต็ม]])*tbl_task8[[%]:[%]])</f>
        <v/>
      </c>
      <c r="HK19" s="121" t="str">
        <f>IF(ISBLANK(tbl_task8[[คะแนนเต็ม]:[คะแนนเต็ม]]),"",(tbl_task8[49]/tbl_task8[[คะแนนเต็ม]:[คะแนนเต็ม]])*tbl_task8[[%]:[%]])</f>
        <v/>
      </c>
      <c r="HL19" s="121" t="str">
        <f>IF(ISBLANK(tbl_task8[[คะแนนเต็ม]:[คะแนนเต็ม]]),"",(tbl_task8[50]/tbl_task8[[คะแนนเต็ม]:[คะแนนเต็ม]])*tbl_task8[[%]:[%]])</f>
        <v/>
      </c>
      <c r="HM19" s="121" t="str">
        <f>IF(ISBLANK(tbl_task8[[คะแนนเต็ม]:[คะแนนเต็ม]]),"",(tbl_task8[51]/tbl_task8[[คะแนนเต็ม]:[คะแนนเต็ม]])*tbl_task8[[%]:[%]])</f>
        <v/>
      </c>
      <c r="HN19" s="121" t="str">
        <f>IF(ISBLANK(tbl_task8[[คะแนนเต็ม]:[คะแนนเต็ม]]),"",(tbl_task8[52]/tbl_task8[[คะแนนเต็ม]:[คะแนนเต็ม]])*tbl_task8[[%]:[%]])</f>
        <v/>
      </c>
      <c r="HO19" s="121" t="str">
        <f>IF(ISBLANK(tbl_task8[[คะแนนเต็ม]:[คะแนนเต็ม]]),"",(tbl_task8[53]/tbl_task8[[คะแนนเต็ม]:[คะแนนเต็ม]])*tbl_task8[[%]:[%]])</f>
        <v/>
      </c>
      <c r="HP19" s="121" t="str">
        <f>IF(ISBLANK(tbl_task8[[คะแนนเต็ม]:[คะแนนเต็ม]]),"",(tbl_task8[54]/tbl_task8[[คะแนนเต็ม]:[คะแนนเต็ม]])*tbl_task8[[%]:[%]])</f>
        <v/>
      </c>
      <c r="HQ19" s="121" t="str">
        <f>IF(ISBLANK(tbl_task8[[คะแนนเต็ม]:[คะแนนเต็ม]]),"",(tbl_task8[55]/tbl_task8[[คะแนนเต็ม]:[คะแนนเต็ม]])*tbl_task8[[%]:[%]])</f>
        <v/>
      </c>
      <c r="HR19" s="121" t="str">
        <f>IF(ISBLANK(tbl_task8[[คะแนนเต็ม]:[คะแนนเต็ม]]),"",(tbl_task8[56]/tbl_task8[[คะแนนเต็ม]:[คะแนนเต็ม]])*tbl_task8[[%]:[%]])</f>
        <v/>
      </c>
      <c r="HS19" s="121" t="str">
        <f>IF(ISBLANK(tbl_task8[[คะแนนเต็ม]:[คะแนนเต็ม]]),"",(tbl_task8[57]/tbl_task8[[คะแนนเต็ม]:[คะแนนเต็ม]])*tbl_task8[[%]:[%]])</f>
        <v/>
      </c>
      <c r="HT19" s="121" t="str">
        <f>IF(ISBLANK(tbl_task8[[คะแนนเต็ม]:[คะแนนเต็ม]]),"",(tbl_task8[58]/tbl_task8[[คะแนนเต็ม]:[คะแนนเต็ม]])*tbl_task8[[%]:[%]])</f>
        <v/>
      </c>
      <c r="HU19" s="121" t="str">
        <f>IF(ISBLANK(tbl_task8[[คะแนนเต็ม]:[คะแนนเต็ม]]),"",(tbl_task8[59]/tbl_task8[[คะแนนเต็ม]:[คะแนนเต็ม]])*tbl_task8[[%]:[%]])</f>
        <v/>
      </c>
      <c r="HV19" s="121" t="str">
        <f>IF(ISBLANK(tbl_task8[[คะแนนเต็ม]:[คะแนนเต็ม]]),"",(tbl_task8[60]/tbl_task8[[คะแนนเต็ม]:[คะแนนเต็ม]])*tbl_task8[[%]:[%]])</f>
        <v/>
      </c>
      <c r="HW19" s="121" t="str">
        <f>IF(ISBLANK(tbl_task8[[คะแนนเต็ม]:[คะแนนเต็ม]]),"",(tbl_task8[61]/tbl_task8[[คะแนนเต็ม]:[คะแนนเต็ม]])*tbl_task8[[%]:[%]])</f>
        <v/>
      </c>
      <c r="HX19" s="121" t="str">
        <f>IF(ISBLANK(tbl_task8[[คะแนนเต็ม]:[คะแนนเต็ม]]),"",(tbl_task8[62]/tbl_task8[[คะแนนเต็ม]:[คะแนนเต็ม]])*tbl_task8[[%]:[%]])</f>
        <v/>
      </c>
      <c r="HY19" s="121" t="str">
        <f>IF(ISBLANK(tbl_task8[[คะแนนเต็ม]:[คะแนนเต็ม]]),"",(tbl_task8[63]/tbl_task8[[คะแนนเต็ม]:[คะแนนเต็ม]])*tbl_task8[[%]:[%]])</f>
        <v/>
      </c>
      <c r="HZ19" s="121" t="str">
        <f>IF(ISBLANK(tbl_task8[[คะแนนเต็ม]:[คะแนนเต็ม]]),"",(tbl_task8[64]/tbl_task8[[คะแนนเต็ม]:[คะแนนเต็ม]])*tbl_task8[[%]:[%]])</f>
        <v/>
      </c>
      <c r="IA19" s="121" t="str">
        <f>IF(ISBLANK(tbl_task8[[คะแนนเต็ม]:[คะแนนเต็ม]]),"",(tbl_task8[65]/tbl_task8[[คะแนนเต็ม]:[คะแนนเต็ม]])*tbl_task8[[%]:[%]])</f>
        <v/>
      </c>
      <c r="IB19" s="121" t="str">
        <f>IF(ISBLANK(tbl_task8[[คะแนนเต็ม]:[คะแนนเต็ม]]),"",(tbl_task8[66]/tbl_task8[[คะแนนเต็ม]:[คะแนนเต็ม]])*tbl_task8[[%]:[%]])</f>
        <v/>
      </c>
      <c r="IC19" s="121" t="str">
        <f>IF(ISBLANK(tbl_task8[[คะแนนเต็ม]:[คะแนนเต็ม]]),"",(tbl_task8[67]/tbl_task8[[คะแนนเต็ม]:[คะแนนเต็ม]])*tbl_task8[[%]:[%]])</f>
        <v/>
      </c>
      <c r="ID19" s="121" t="str">
        <f>IF(ISBLANK(tbl_task8[[คะแนนเต็ม]:[คะแนนเต็ม]]),"",(tbl_task8[68]/tbl_task8[[คะแนนเต็ม]:[คะแนนเต็ม]])*tbl_task8[[%]:[%]])</f>
        <v/>
      </c>
      <c r="IE19" s="121" t="str">
        <f>IF(ISBLANK(tbl_task8[[คะแนนเต็ม]:[คะแนนเต็ม]]),"",(tbl_task8[69]/tbl_task8[[คะแนนเต็ม]:[คะแนนเต็ม]])*tbl_task8[[%]:[%]])</f>
        <v/>
      </c>
      <c r="IF19" s="121" t="str">
        <f>IF(ISBLANK(tbl_task8[[คะแนนเต็ม]:[คะแนนเต็ม]]),"",(tbl_task8[70]/tbl_task8[[คะแนนเต็ม]:[คะแนนเต็ม]])*tbl_task8[[%]:[%]])</f>
        <v/>
      </c>
      <c r="IG19" s="121" t="str">
        <f>IF(ISBLANK(tbl_task8[[คะแนนเต็ม]:[คะแนนเต็ม]]),"",(tbl_task8[71]/tbl_task8[[คะแนนเต็ม]:[คะแนนเต็ม]])*tbl_task8[[%]:[%]])</f>
        <v/>
      </c>
      <c r="IH19" s="121" t="str">
        <f>IF(ISBLANK(tbl_task8[[คะแนนเต็ม]:[คะแนนเต็ม]]),"",(tbl_task8[72]/tbl_task8[[คะแนนเต็ม]:[คะแนนเต็ม]])*tbl_task8[[%]:[%]])</f>
        <v/>
      </c>
      <c r="II19" s="121" t="str">
        <f>IF(ISBLANK(tbl_task8[[คะแนนเต็ม]:[คะแนนเต็ม]]),"",(tbl_task8[73]/tbl_task8[[คะแนนเต็ม]:[คะแนนเต็ม]])*tbl_task8[[%]:[%]])</f>
        <v/>
      </c>
      <c r="IJ19" s="121" t="str">
        <f>IF(ISBLANK(tbl_task8[[คะแนนเต็ม]:[คะแนนเต็ม]]),"",(tbl_task8[74]/tbl_task8[[คะแนนเต็ม]:[คะแนนเต็ม]])*tbl_task8[[%]:[%]])</f>
        <v/>
      </c>
      <c r="IK19" s="121" t="str">
        <f>IF(ISBLANK(tbl_task8[[คะแนนเต็ม]:[คะแนนเต็ม]]),"",(tbl_task8[75]/tbl_task8[[คะแนนเต็ม]:[คะแนนเต็ม]])*tbl_task8[[%]:[%]])</f>
        <v/>
      </c>
      <c r="IL19" s="121" t="str">
        <f>IF(ISBLANK(tbl_task8[[คะแนนเต็ม]:[คะแนนเต็ม]]),"",(tbl_task8[76]/tbl_task8[[คะแนนเต็ม]:[คะแนนเต็ม]])*tbl_task8[[%]:[%]])</f>
        <v/>
      </c>
      <c r="IM19" s="121" t="str">
        <f>IF(ISBLANK(tbl_task8[[คะแนนเต็ม]:[คะแนนเต็ม]]),"",(tbl_task8[77]/tbl_task8[[คะแนนเต็ม]:[คะแนนเต็ม]])*tbl_task8[[%]:[%]])</f>
        <v/>
      </c>
      <c r="IN19" s="121" t="str">
        <f>IF(ISBLANK(tbl_task8[[คะแนนเต็ม]:[คะแนนเต็ม]]),"",(tbl_task8[78]/tbl_task8[[คะแนนเต็ม]:[คะแนนเต็ม]])*tbl_task8[[%]:[%]])</f>
        <v/>
      </c>
      <c r="IO19" s="121" t="str">
        <f>IF(ISBLANK(tbl_task8[[คะแนนเต็ม]:[คะแนนเต็ม]]),"",(tbl_task8[79]/tbl_task8[[คะแนนเต็ม]:[คะแนนเต็ม]])*tbl_task8[[%]:[%]])</f>
        <v/>
      </c>
      <c r="IP19" s="121" t="str">
        <f>IF(ISBLANK(tbl_task8[[คะแนนเต็ม]:[คะแนนเต็ม]]),"",(tbl_task8[80]/tbl_task8[[คะแนนเต็ม]:[คะแนนเต็ม]])*tbl_task8[[%]:[%]])</f>
        <v/>
      </c>
      <c r="IQ19" s="121" t="str">
        <f>IF(ISBLANK(tbl_task8[[คะแนนเต็ม]:[คะแนนเต็ม]]),"",(tbl_task8[81]/tbl_task8[[คะแนนเต็ม]:[คะแนนเต็ม]])*tbl_task8[[%]:[%]])</f>
        <v/>
      </c>
      <c r="IR19" s="121" t="str">
        <f>IF(ISBLANK(tbl_task8[[คะแนนเต็ม]:[คะแนนเต็ม]]),"",(tbl_task8[82]/tbl_task8[[คะแนนเต็ม]:[คะแนนเต็ม]])*tbl_task8[[%]:[%]])</f>
        <v/>
      </c>
      <c r="IS19" s="121" t="str">
        <f>IF(ISBLANK(tbl_task8[[คะแนนเต็ม]:[คะแนนเต็ม]]),"",(tbl_task8[83]/tbl_task8[[คะแนนเต็ม]:[คะแนนเต็ม]])*tbl_task8[[%]:[%]])</f>
        <v/>
      </c>
      <c r="IT19" s="121" t="str">
        <f>IF(ISBLANK(tbl_task8[[คะแนนเต็ม]:[คะแนนเต็ม]]),"",(tbl_task8[84]/tbl_task8[[คะแนนเต็ม]:[คะแนนเต็ม]])*tbl_task8[[%]:[%]])</f>
        <v/>
      </c>
      <c r="IU19" s="121" t="str">
        <f>IF(ISBLANK(tbl_task8[[คะแนนเต็ม]:[คะแนนเต็ม]]),"",(tbl_task8[85]/tbl_task8[[คะแนนเต็ม]:[คะแนนเต็ม]])*tbl_task8[[%]:[%]])</f>
        <v/>
      </c>
      <c r="IV19" s="121" t="str">
        <f>IF(ISBLANK(tbl_task8[[คะแนนเต็ม]:[คะแนนเต็ม]]),"",(tbl_task8[86]/tbl_task8[[คะแนนเต็ม]:[คะแนนเต็ม]])*tbl_task8[[%]:[%]])</f>
        <v/>
      </c>
      <c r="IW19" s="121" t="str">
        <f>IF(ISBLANK(tbl_task8[[คะแนนเต็ม]:[คะแนนเต็ม]]),"",(tbl_task8[87]/tbl_task8[[คะแนนเต็ม]:[คะแนนเต็ม]])*tbl_task8[[%]:[%]])</f>
        <v/>
      </c>
      <c r="IX19" s="121" t="str">
        <f>IF(ISBLANK(tbl_task8[[คะแนนเต็ม]:[คะแนนเต็ม]]),"",(tbl_task8[88]/tbl_task8[[คะแนนเต็ม]:[คะแนนเต็ม]])*tbl_task8[[%]:[%]])</f>
        <v/>
      </c>
      <c r="IY19" s="121" t="str">
        <f>IF(ISBLANK(tbl_task8[[คะแนนเต็ม]:[คะแนนเต็ม]]),"",(tbl_task8[89]/tbl_task8[[คะแนนเต็ม]:[คะแนนเต็ม]])*tbl_task8[[%]:[%]])</f>
        <v/>
      </c>
      <c r="IZ19" s="121" t="str">
        <f>IF(ISBLANK(tbl_task8[[คะแนนเต็ม]:[คะแนนเต็ม]]),"",(tbl_task8[90]/tbl_task8[[คะแนนเต็ม]:[คะแนนเต็ม]])*tbl_task8[[%]:[%]])</f>
        <v/>
      </c>
      <c r="JA19" s="121" t="str">
        <f>IF(ISBLANK(tbl_task8[[คะแนนเต็ม]:[คะแนนเต็ม]]),"",(tbl_task8[91]/tbl_task8[[คะแนนเต็ม]:[คะแนนเต็ม]])*tbl_task8[[%]:[%]])</f>
        <v/>
      </c>
      <c r="JB19" s="121" t="str">
        <f>IF(ISBLANK(tbl_task8[[คะแนนเต็ม]:[คะแนนเต็ม]]),"",(tbl_task8[92]/tbl_task8[[คะแนนเต็ม]:[คะแนนเต็ม]])*tbl_task8[[%]:[%]])</f>
        <v/>
      </c>
      <c r="JC19" s="121" t="str">
        <f>IF(ISBLANK(tbl_task8[[คะแนนเต็ม]:[คะแนนเต็ม]]),"",(tbl_task8[93]/tbl_task8[[คะแนนเต็ม]:[คะแนนเต็ม]])*tbl_task8[[%]:[%]])</f>
        <v/>
      </c>
      <c r="JD19" s="121" t="str">
        <f>IF(ISBLANK(tbl_task8[[คะแนนเต็ม]:[คะแนนเต็ม]]),"",(tbl_task8[94]/tbl_task8[[คะแนนเต็ม]:[คะแนนเต็ม]])*tbl_task8[[%]:[%]])</f>
        <v/>
      </c>
      <c r="JE19" s="121" t="str">
        <f>IF(ISBLANK(tbl_task8[[คะแนนเต็ม]:[คะแนนเต็ม]]),"",(tbl_task8[95]/tbl_task8[[คะแนนเต็ม]:[คะแนนเต็ม]])*tbl_task8[[%]:[%]])</f>
        <v/>
      </c>
      <c r="JF19" s="121" t="str">
        <f>IF(ISBLANK(tbl_task8[[คะแนนเต็ม]:[คะแนนเต็ม]]),"",(tbl_task8[96]/tbl_task8[[คะแนนเต็ม]:[คะแนนเต็ม]])*tbl_task8[[%]:[%]])</f>
        <v/>
      </c>
      <c r="JG19" s="121" t="str">
        <f>IF(ISBLANK(tbl_task8[[คะแนนเต็ม]:[คะแนนเต็ม]]),"",(tbl_task8[97]/tbl_task8[[คะแนนเต็ม]:[คะแนนเต็ม]])*tbl_task8[[%]:[%]])</f>
        <v/>
      </c>
      <c r="JH19" s="121" t="str">
        <f>IF(ISBLANK(tbl_task8[[คะแนนเต็ม]:[คะแนนเต็ม]]),"",(tbl_task8[98]/tbl_task8[[คะแนนเต็ม]:[คะแนนเต็ม]])*tbl_task8[[%]:[%]])</f>
        <v/>
      </c>
      <c r="JI19" s="121" t="str">
        <f>IF(ISBLANK(tbl_task8[[คะแนนเต็ม]:[คะแนนเต็ม]]),"",(tbl_task8[99]/tbl_task8[[คะแนนเต็ม]:[คะแนนเต็ม]])*tbl_task8[[%]:[%]])</f>
        <v/>
      </c>
      <c r="JJ19" s="121" t="str">
        <f>IF(ISBLANK(tbl_task8[[คะแนนเต็ม]:[คะแนนเต็ม]]),"",(tbl_task8[100]/tbl_task8[[คะแนนเต็ม]:[คะแนนเต็ม]])*tbl_task8[[%]:[%]])</f>
        <v/>
      </c>
      <c r="JK19" s="121" t="str">
        <f>IF(ISBLANK(tbl_task8[[คะแนนเต็ม]:[คะแนนเต็ม]]),"",(tbl_task8[101]/tbl_task8[[คะแนนเต็ม]:[คะแนนเต็ม]])*tbl_task8[[%]:[%]])</f>
        <v/>
      </c>
      <c r="JL19" s="121" t="str">
        <f>IF(ISBLANK(tbl_task8[[คะแนนเต็ม]:[คะแนนเต็ม]]),"",(tbl_task8[102]/tbl_task8[[คะแนนเต็ม]:[คะแนนเต็ม]])*tbl_task8[[%]:[%]])</f>
        <v/>
      </c>
      <c r="JM19" s="121" t="str">
        <f>IF(ISBLANK(tbl_task8[[คะแนนเต็ม]:[คะแนนเต็ม]]),"",(tbl_task8[103]/tbl_task8[[คะแนนเต็ม]:[คะแนนเต็ม]])*tbl_task8[[%]:[%]])</f>
        <v/>
      </c>
      <c r="JN19" s="121" t="str">
        <f>IF(ISBLANK(tbl_task8[[คะแนนเต็ม]:[คะแนนเต็ม]]),"",(tbl_task8[104]/tbl_task8[[คะแนนเต็ม]:[คะแนนเต็ม]])*tbl_task8[[%]:[%]])</f>
        <v/>
      </c>
      <c r="JO19" s="121" t="str">
        <f>IF(ISBLANK(tbl_task8[[คะแนนเต็ม]:[คะแนนเต็ม]]),"",(tbl_task8[105]/tbl_task8[[คะแนนเต็ม]:[คะแนนเต็ม]])*tbl_task8[[%]:[%]])</f>
        <v/>
      </c>
      <c r="JP19" s="121" t="str">
        <f>IF(ISBLANK(tbl_task8[[คะแนนเต็ม]:[คะแนนเต็ม]]),"",(tbl_task8[106]/tbl_task8[[คะแนนเต็ม]:[คะแนนเต็ม]])*tbl_task8[[%]:[%]])</f>
        <v/>
      </c>
      <c r="JQ19" s="121" t="str">
        <f>IF(ISBLANK(tbl_task8[[คะแนนเต็ม]:[คะแนนเต็ม]]),"",(tbl_task8[107]/tbl_task8[[คะแนนเต็ม]:[คะแนนเต็ม]])*tbl_task8[[%]:[%]])</f>
        <v/>
      </c>
      <c r="JR19" s="121" t="str">
        <f>IF(ISBLANK(tbl_task8[[คะแนนเต็ม]:[คะแนนเต็ม]]),"",(tbl_task8[108]/tbl_task8[[คะแนนเต็ม]:[คะแนนเต็ม]])*tbl_task8[[%]:[%]])</f>
        <v/>
      </c>
      <c r="JS19" s="121" t="str">
        <f>IF(ISBLANK(tbl_task8[[คะแนนเต็ม]:[คะแนนเต็ม]]),"",(tbl_task8[109]/tbl_task8[[คะแนนเต็ม]:[คะแนนเต็ม]])*tbl_task8[[%]:[%]])</f>
        <v/>
      </c>
      <c r="JT19" s="121" t="str">
        <f>IF(ISBLANK(tbl_task8[[คะแนนเต็ม]:[คะแนนเต็ม]]),"",(tbl_task8[110]/tbl_task8[[คะแนนเต็ม]:[คะแนนเต็ม]])*tbl_task8[[%]:[%]])</f>
        <v/>
      </c>
      <c r="JU19" s="121" t="str">
        <f>IF(ISBLANK(tbl_task8[[คะแนนเต็ม]:[คะแนนเต็ม]]),"",(tbl_task8[111]/tbl_task8[[คะแนนเต็ม]:[คะแนนเต็ม]])*tbl_task8[[%]:[%]])</f>
        <v/>
      </c>
      <c r="JV19" s="121" t="str">
        <f>IF(ISBLANK(tbl_task8[[คะแนนเต็ม]:[คะแนนเต็ม]]),"",(tbl_task8[112]/tbl_task8[[คะแนนเต็ม]:[คะแนนเต็ม]])*tbl_task8[[%]:[%]])</f>
        <v/>
      </c>
      <c r="JW19" s="121" t="str">
        <f>IF(ISBLANK(tbl_task8[[คะแนนเต็ม]:[คะแนนเต็ม]]),"",(tbl_task8[113]/tbl_task8[[คะแนนเต็ม]:[คะแนนเต็ม]])*tbl_task8[[%]:[%]])</f>
        <v/>
      </c>
      <c r="JX19" s="121" t="str">
        <f>IF(ISBLANK(tbl_task8[[คะแนนเต็ม]:[คะแนนเต็ม]]),"",(tbl_task8[114]/tbl_task8[[คะแนนเต็ม]:[คะแนนเต็ม]])*tbl_task8[[%]:[%]])</f>
        <v/>
      </c>
      <c r="JY19" s="121" t="str">
        <f>IF(ISBLANK(tbl_task8[[คะแนนเต็ม]:[คะแนนเต็ม]]),"",(tbl_task8[115]/tbl_task8[[คะแนนเต็ม]:[คะแนนเต็ม]])*tbl_task8[[%]:[%]])</f>
        <v/>
      </c>
      <c r="JZ19" s="121" t="str">
        <f>IF(ISBLANK(tbl_task8[[คะแนนเต็ม]:[คะแนนเต็ม]]),"",(tbl_task8[116]/tbl_task8[[คะแนนเต็ม]:[คะแนนเต็ม]])*tbl_task8[[%]:[%]])</f>
        <v/>
      </c>
      <c r="KA19" s="121" t="str">
        <f>IF(ISBLANK(tbl_task8[[คะแนนเต็ม]:[คะแนนเต็ม]]),"",(tbl_task8[117]/tbl_task8[[คะแนนเต็ม]:[คะแนนเต็ม]])*tbl_task8[[%]:[%]])</f>
        <v/>
      </c>
      <c r="KB19" s="121" t="str">
        <f>IF(ISBLANK(tbl_task8[[คะแนนเต็ม]:[คะแนนเต็ม]]),"",(tbl_task8[118]/tbl_task8[[คะแนนเต็ม]:[คะแนนเต็ม]])*tbl_task8[[%]:[%]])</f>
        <v/>
      </c>
      <c r="KC19" s="121" t="str">
        <f>IF(ISBLANK(tbl_task8[[คะแนนเต็ม]:[คะแนนเต็ม]]),"",(tbl_task8[119]/tbl_task8[[คะแนนเต็ม]:[คะแนนเต็ม]])*tbl_task8[[%]:[%]])</f>
        <v/>
      </c>
      <c r="KD19" s="121" t="str">
        <f>IF(ISBLANK(tbl_task8[[คะแนนเต็ม]:[คะแนนเต็ม]]),"",(tbl_task8[120]/tbl_task8[[คะแนนเต็ม]:[คะแนนเต็ม]])*tbl_task8[[%]:[%]])</f>
        <v/>
      </c>
      <c r="KE19" s="121" t="str">
        <f>IF(ISBLANK(tbl_task8[[คะแนนเต็ม]:[คะแนนเต็ม]]),"",(tbl_task8[121]/tbl_task8[[คะแนนเต็ม]:[คะแนนเต็ม]])*tbl_task8[[%]:[%]])</f>
        <v/>
      </c>
      <c r="KF19" s="121" t="str">
        <f>IF(ISBLANK(tbl_task8[[คะแนนเต็ม]:[คะแนนเต็ม]]),"",(tbl_task8[122]/tbl_task8[[คะแนนเต็ม]:[คะแนนเต็ม]])*tbl_task8[[%]:[%]])</f>
        <v/>
      </c>
      <c r="KG19" s="121" t="str">
        <f>IF(ISBLANK(tbl_task8[[คะแนนเต็ม]:[คะแนนเต็ม]]),"",(tbl_task8[123]/tbl_task8[[คะแนนเต็ม]:[คะแนนเต็ม]])*tbl_task8[[%]:[%]])</f>
        <v/>
      </c>
      <c r="KH19" s="121" t="str">
        <f>IF(ISBLANK(tbl_task8[[คะแนนเต็ม]:[คะแนนเต็ม]]),"",(tbl_task8[124]/tbl_task8[[คะแนนเต็ม]:[คะแนนเต็ม]])*tbl_task8[[%]:[%]])</f>
        <v/>
      </c>
      <c r="KI19" s="121" t="str">
        <f>IF(ISBLANK(tbl_task8[[คะแนนเต็ม]:[คะแนนเต็ม]]),"",(tbl_task8[125]/tbl_task8[[คะแนนเต็ม]:[คะแนนเต็ม]])*tbl_task8[[%]:[%]])</f>
        <v/>
      </c>
      <c r="KJ19" s="121" t="str">
        <f>IF(ISBLANK(tbl_task8[[คะแนนเต็ม]:[คะแนนเต็ม]]),"",(tbl_task8[126]/tbl_task8[[คะแนนเต็ม]:[คะแนนเต็ม]])*tbl_task8[[%]:[%]])</f>
        <v/>
      </c>
      <c r="KK19" s="121" t="str">
        <f>IF(ISBLANK(tbl_task8[[คะแนนเต็ม]:[คะแนนเต็ม]]),"",(tbl_task8[127]/tbl_task8[[คะแนนเต็ม]:[คะแนนเต็ม]])*tbl_task8[[%]:[%]])</f>
        <v/>
      </c>
      <c r="KL19" s="121" t="str">
        <f>IF(ISBLANK(tbl_task8[[คะแนนเต็ม]:[คะแนนเต็ม]]),"",(tbl_task8[128]/tbl_task8[[คะแนนเต็ม]:[คะแนนเต็ม]])*tbl_task8[[%]:[%]])</f>
        <v/>
      </c>
      <c r="KM19" s="121" t="str">
        <f>IF(ISBLANK(tbl_task8[[คะแนนเต็ม]:[คะแนนเต็ม]]),"",(tbl_task8[129]/tbl_task8[[คะแนนเต็ม]:[คะแนนเต็ม]])*tbl_task8[[%]:[%]])</f>
        <v/>
      </c>
      <c r="KN19" s="121" t="str">
        <f>IF(ISBLANK(tbl_task8[[คะแนนเต็ม]:[คะแนนเต็ม]]),"",(tbl_task8[130]/tbl_task8[[คะแนนเต็ม]:[คะแนนเต็ม]])*tbl_task8[[%]:[%]])</f>
        <v/>
      </c>
      <c r="KO19" s="121" t="str">
        <f>IF(ISBLANK(tbl_task8[[คะแนนเต็ม]:[คะแนนเต็ม]]),"",(tbl_task8[131]/tbl_task8[[คะแนนเต็ม]:[คะแนนเต็ม]])*tbl_task8[[%]:[%]])</f>
        <v/>
      </c>
      <c r="KP19" s="121" t="str">
        <f>IF(ISBLANK(tbl_task8[[คะแนนเต็ม]:[คะแนนเต็ม]]),"",(tbl_task8[132]/tbl_task8[[คะแนนเต็ม]:[คะแนนเต็ม]])*tbl_task8[[%]:[%]])</f>
        <v/>
      </c>
      <c r="KQ19" s="121" t="str">
        <f>IF(ISBLANK(tbl_task8[[คะแนนเต็ม]:[คะแนนเต็ม]]),"",(tbl_task8[133]/tbl_task8[[คะแนนเต็ม]:[คะแนนเต็ม]])*tbl_task8[[%]:[%]])</f>
        <v/>
      </c>
      <c r="KR19" s="121" t="str">
        <f>IF(ISBLANK(tbl_task8[[คะแนนเต็ม]:[คะแนนเต็ม]]),"",(tbl_task8[134]/tbl_task8[[คะแนนเต็ม]:[คะแนนเต็ม]])*tbl_task8[[%]:[%]])</f>
        <v/>
      </c>
      <c r="KS19" s="121" t="str">
        <f>IF(ISBLANK(tbl_task8[[คะแนนเต็ม]:[คะแนนเต็ม]]),"",(tbl_task8[135]/tbl_task8[[คะแนนเต็ม]:[คะแนนเต็ม]])*tbl_task8[[%]:[%]])</f>
        <v/>
      </c>
      <c r="KT19" s="121" t="str">
        <f>IF(ISBLANK(tbl_task8[[คะแนนเต็ม]:[คะแนนเต็ม]]),"",(tbl_task8[136]/tbl_task8[[คะแนนเต็ม]:[คะแนนเต็ม]])*tbl_task8[[%]:[%]])</f>
        <v/>
      </c>
      <c r="KU19" s="121" t="str">
        <f>IF(ISBLANK(tbl_task8[[คะแนนเต็ม]:[คะแนนเต็ม]]),"",(tbl_task8[137]/tbl_task8[[คะแนนเต็ม]:[คะแนนเต็ม]])*tbl_task8[[%]:[%]])</f>
        <v/>
      </c>
      <c r="KV19" s="121" t="str">
        <f>IF(ISBLANK(tbl_task8[[คะแนนเต็ม]:[คะแนนเต็ม]]),"",(tbl_task8[138]/tbl_task8[[คะแนนเต็ม]:[คะแนนเต็ม]])*tbl_task8[[%]:[%]])</f>
        <v/>
      </c>
      <c r="KW19" s="121" t="str">
        <f>IF(ISBLANK(tbl_task8[[คะแนนเต็ม]:[คะแนนเต็ม]]),"",(tbl_task8[139]/tbl_task8[[คะแนนเต็ม]:[คะแนนเต็ม]])*tbl_task8[[%]:[%]])</f>
        <v/>
      </c>
      <c r="KX19" s="121" t="str">
        <f>IF(ISBLANK(tbl_task8[[คะแนนเต็ม]:[คะแนนเต็ม]]),"",(tbl_task8[140]/tbl_task8[[คะแนนเต็ม]:[คะแนนเต็ม]])*tbl_task8[[%]:[%]])</f>
        <v/>
      </c>
      <c r="KY19" s="121" t="str">
        <f>IF(ISBLANK(tbl_task8[[คะแนนเต็ม]:[คะแนนเต็ม]]),"",(tbl_task8[141]/tbl_task8[[คะแนนเต็ม]:[คะแนนเต็ม]])*tbl_task8[[%]:[%]])</f>
        <v/>
      </c>
      <c r="KZ19" s="121" t="str">
        <f>IF(ISBLANK(tbl_task8[[คะแนนเต็ม]:[คะแนนเต็ม]]),"",(tbl_task8[142]/tbl_task8[[คะแนนเต็ม]:[คะแนนเต็ม]])*tbl_task8[[%]:[%]])</f>
        <v/>
      </c>
      <c r="LA19" s="121" t="str">
        <f>IF(ISBLANK(tbl_task8[[คะแนนเต็ม]:[คะแนนเต็ม]]),"",(tbl_task8[143]/tbl_task8[[คะแนนเต็ม]:[คะแนนเต็ม]])*tbl_task8[[%]:[%]])</f>
        <v/>
      </c>
      <c r="LB19" s="121" t="str">
        <f>IF(ISBLANK(tbl_task8[[คะแนนเต็ม]:[คะแนนเต็ม]]),"",(tbl_task8[144]/tbl_task8[[คะแนนเต็ม]:[คะแนนเต็ม]])*tbl_task8[[%]:[%]])</f>
        <v/>
      </c>
      <c r="LC19" s="121" t="str">
        <f>IF(ISBLANK(tbl_task8[[คะแนนเต็ม]:[คะแนนเต็ม]]),"",(tbl_task8[145]/tbl_task8[[คะแนนเต็ม]:[คะแนนเต็ม]])*tbl_task8[[%]:[%]])</f>
        <v/>
      </c>
      <c r="LD19" s="121" t="str">
        <f>IF(ISBLANK(tbl_task8[[คะแนนเต็ม]:[คะแนนเต็ม]]),"",(tbl_task8[146]/tbl_task8[[คะแนนเต็ม]:[คะแนนเต็ม]])*tbl_task8[[%]:[%]])</f>
        <v/>
      </c>
      <c r="LE19" s="121" t="str">
        <f>IF(ISBLANK(tbl_task8[[คะแนนเต็ม]:[คะแนนเต็ม]]),"",(tbl_task8[147]/tbl_task8[[คะแนนเต็ม]:[คะแนนเต็ม]])*tbl_task8[[%]:[%]])</f>
        <v/>
      </c>
      <c r="LF19" s="121" t="str">
        <f>IF(ISBLANK(tbl_task8[[คะแนนเต็ม]:[คะแนนเต็ม]]),"",(tbl_task8[148]/tbl_task8[[คะแนนเต็ม]:[คะแนนเต็ม]])*tbl_task8[[%]:[%]])</f>
        <v/>
      </c>
      <c r="LG19" s="121" t="str">
        <f>IF(ISBLANK(tbl_task8[[คะแนนเต็ม]:[คะแนนเต็ม]]),"",(tbl_task8[149]/tbl_task8[[คะแนนเต็ม]:[คะแนนเต็ม]])*tbl_task8[[%]:[%]])</f>
        <v/>
      </c>
      <c r="LH19" s="121" t="str">
        <f>IF(ISBLANK(tbl_task8[[คะแนนเต็ม]:[คะแนนเต็ม]]),"",(tbl_task8[150]/tbl_task8[[คะแนนเต็ม]:[คะแนนเต็ม]])*tbl_task8[[%]:[%]])</f>
        <v/>
      </c>
      <c r="LI19" s="121" t="str">
        <f>IF(ISBLANK(tbl_task8[[คะแนนเต็ม]:[คะแนนเต็ม]]),"",(tbl_task8[151]/tbl_task8[[คะแนนเต็ม]:[คะแนนเต็ม]])*tbl_task8[[%]:[%]])</f>
        <v/>
      </c>
      <c r="LJ19" s="121" t="str">
        <f>IF(ISBLANK(tbl_task8[[คะแนนเต็ม]:[คะแนนเต็ม]]),"",(tbl_task8[152]/tbl_task8[[คะแนนเต็ม]:[คะแนนเต็ม]])*tbl_task8[[%]:[%]])</f>
        <v/>
      </c>
      <c r="LK19" s="121" t="str">
        <f>IF(ISBLANK(tbl_task8[[คะแนนเต็ม]:[คะแนนเต็ม]]),"",(tbl_task8[153]/tbl_task8[[คะแนนเต็ม]:[คะแนนเต็ม]])*tbl_task8[[%]:[%]])</f>
        <v/>
      </c>
      <c r="LL19" s="121" t="str">
        <f>IF(ISBLANK(tbl_task8[[คะแนนเต็ม]:[คะแนนเต็ม]]),"",(tbl_task8[154]/tbl_task8[[คะแนนเต็ม]:[คะแนนเต็ม]])*tbl_task8[[%]:[%]])</f>
        <v/>
      </c>
      <c r="LM19" s="121" t="str">
        <f>IF(ISBLANK(tbl_task8[[คะแนนเต็ม]:[คะแนนเต็ม]]),"",(tbl_task8[155]/tbl_task8[[คะแนนเต็ม]:[คะแนนเต็ม]])*tbl_task8[[%]:[%]])</f>
        <v/>
      </c>
      <c r="LN19" s="121" t="str">
        <f>IF(ISBLANK(tbl_task8[[คะแนนเต็ม]:[คะแนนเต็ม]]),"",(tbl_task8[156]/tbl_task8[[คะแนนเต็ม]:[คะแนนเต็ม]])*tbl_task8[[%]:[%]])</f>
        <v/>
      </c>
      <c r="LO19" s="121" t="str">
        <f>IF(ISBLANK(tbl_task8[[คะแนนเต็ม]:[คะแนนเต็ม]]),"",(tbl_task8[157]/tbl_task8[[คะแนนเต็ม]:[คะแนนเต็ม]])*tbl_task8[[%]:[%]])</f>
        <v/>
      </c>
      <c r="LP19" s="121" t="str">
        <f>IF(ISBLANK(tbl_task8[[คะแนนเต็ม]:[คะแนนเต็ม]]),"",(tbl_task8[158]/tbl_task8[[คะแนนเต็ม]:[คะแนนเต็ม]])*tbl_task8[[%]:[%]])</f>
        <v/>
      </c>
      <c r="LQ19" s="121" t="str">
        <f>IF(ISBLANK(tbl_task8[[คะแนนเต็ม]:[คะแนนเต็ม]]),"",(tbl_task8[159]/tbl_task8[[คะแนนเต็ม]:[คะแนนเต็ม]])*tbl_task8[[%]:[%]])</f>
        <v/>
      </c>
      <c r="LR19" s="121" t="str">
        <f>IF(ISBLANK(tbl_task8[[คะแนนเต็ม]:[คะแนนเต็ม]]),"",(tbl_task8[160]/tbl_task8[[คะแนนเต็ม]:[คะแนนเต็ม]])*tbl_task8[[%]:[%]])</f>
        <v/>
      </c>
      <c r="LS19" s="121" t="str">
        <f>IF(ISBLANK(tbl_task8[[คะแนนเต็ม]:[คะแนนเต็ม]]),"",(tbl_task8[161]/tbl_task8[[คะแนนเต็ม]:[คะแนนเต็ม]])*tbl_task8[[%]:[%]])</f>
        <v/>
      </c>
      <c r="LT19" s="121" t="str">
        <f>IF(ISBLANK(tbl_task8[[คะแนนเต็ม]:[คะแนนเต็ม]]),"",(tbl_task8[162]/tbl_task8[[คะแนนเต็ม]:[คะแนนเต็ม]])*tbl_task8[[%]:[%]])</f>
        <v/>
      </c>
      <c r="LU19" s="121" t="str">
        <f>IF(ISBLANK(tbl_task8[[คะแนนเต็ม]:[คะแนนเต็ม]]),"",(tbl_task8[163]/tbl_task8[[คะแนนเต็ม]:[คะแนนเต็ม]])*tbl_task8[[%]:[%]])</f>
        <v/>
      </c>
      <c r="LV19" s="121" t="str">
        <f>IF(ISBLANK(tbl_task8[[คะแนนเต็ม]:[คะแนนเต็ม]]),"",(tbl_task8[164]/tbl_task8[[คะแนนเต็ม]:[คะแนนเต็ม]])*tbl_task8[[%]:[%]])</f>
        <v/>
      </c>
      <c r="LW19" s="121" t="str">
        <f>IF(ISBLANK(tbl_task8[[คะแนนเต็ม]:[คะแนนเต็ม]]),"",(tbl_task8[165]/tbl_task8[[คะแนนเต็ม]:[คะแนนเต็ม]])*tbl_task8[[%]:[%]])</f>
        <v/>
      </c>
    </row>
    <row r="20" spans="1:335" ht="24" customHeight="1" x14ac:dyDescent="0.25">
      <c r="A20" s="24">
        <v>17</v>
      </c>
      <c r="B20" s="20"/>
      <c r="C20" s="5" t="str">
        <f>IF(ISBLANK(B20),"",VLOOKUP(B20,tbl_PLOs[],2,0))</f>
        <v/>
      </c>
      <c r="D20" s="102"/>
      <c r="E20" s="106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121" t="str">
        <f>IF(ISBLANK(tbl_task8[[คะแนนเต็ม]:[คะแนนเต็ม]]),"",(tbl_task8[1]/tbl_task8[[คะแนนเต็ม]:[คะแนนเต็ม]])*tbl_task8[[%]:[%]])</f>
        <v/>
      </c>
      <c r="FP20" s="121" t="str">
        <f>IF(ISBLANK(tbl_task8[[คะแนนเต็ม]:[คะแนนเต็ม]]),"",(tbl_task8[2]/tbl_task8[[คะแนนเต็ม]:[คะแนนเต็ม]])*tbl_task8[[%]:[%]])</f>
        <v/>
      </c>
      <c r="FQ20" s="121" t="str">
        <f>IF(ISBLANK(tbl_task8[[คะแนนเต็ม]:[คะแนนเต็ม]]),"",(tbl_task8[3]/tbl_task8[[คะแนนเต็ม]:[คะแนนเต็ม]])*tbl_task8[[%]:[%]])</f>
        <v/>
      </c>
      <c r="FR20" s="121" t="str">
        <f>IF(ISBLANK(tbl_task8[[คะแนนเต็ม]:[คะแนนเต็ม]]),"",(tbl_task8[4]/tbl_task8[[คะแนนเต็ม]:[คะแนนเต็ม]])*tbl_task8[[%]:[%]])</f>
        <v/>
      </c>
      <c r="FS20" s="121" t="str">
        <f>IF(ISBLANK(tbl_task8[[คะแนนเต็ม]:[คะแนนเต็ม]]),"",(tbl_task8[5]/tbl_task8[[คะแนนเต็ม]:[คะแนนเต็ม]])*tbl_task8[[%]:[%]])</f>
        <v/>
      </c>
      <c r="FT20" s="121" t="str">
        <f>IF(ISBLANK(tbl_task8[[คะแนนเต็ม]:[คะแนนเต็ม]]),"",(tbl_task8[6]/tbl_task8[[คะแนนเต็ม]:[คะแนนเต็ม]])*tbl_task8[[%]:[%]])</f>
        <v/>
      </c>
      <c r="FU20" s="121" t="str">
        <f>IF(ISBLANK(tbl_task8[[คะแนนเต็ม]:[คะแนนเต็ม]]),"",(tbl_task8[7]/tbl_task8[[คะแนนเต็ม]:[คะแนนเต็ม]])*tbl_task8[[%]:[%]])</f>
        <v/>
      </c>
      <c r="FV20" s="121" t="str">
        <f>IF(ISBLANK(tbl_task8[[คะแนนเต็ม]:[คะแนนเต็ม]]),"",(tbl_task8[8]/tbl_task8[[คะแนนเต็ม]:[คะแนนเต็ม]])*tbl_task8[[%]:[%]])</f>
        <v/>
      </c>
      <c r="FW20" s="121" t="str">
        <f>IF(ISBLANK(tbl_task8[[คะแนนเต็ม]:[คะแนนเต็ม]]),"",(tbl_task8[9]/tbl_task8[[คะแนนเต็ม]:[คะแนนเต็ม]])*tbl_task8[[%]:[%]])</f>
        <v/>
      </c>
      <c r="FX20" s="121" t="str">
        <f>IF(ISBLANK(tbl_task8[[คะแนนเต็ม]:[คะแนนเต็ม]]),"",(tbl_task8[10]/tbl_task8[[คะแนนเต็ม]:[คะแนนเต็ม]])*tbl_task8[[%]:[%]])</f>
        <v/>
      </c>
      <c r="FY20" s="121" t="str">
        <f>IF(ISBLANK(tbl_task8[[คะแนนเต็ม]:[คะแนนเต็ม]]),"",(tbl_task8[11]/tbl_task8[[คะแนนเต็ม]:[คะแนนเต็ม]])*tbl_task8[[%]:[%]])</f>
        <v/>
      </c>
      <c r="FZ20" s="121" t="str">
        <f>IF(ISBLANK(tbl_task8[[คะแนนเต็ม]:[คะแนนเต็ม]]),"",(tbl_task8[12]/tbl_task8[[คะแนนเต็ม]:[คะแนนเต็ม]])*tbl_task8[[%]:[%]])</f>
        <v/>
      </c>
      <c r="GA20" s="121" t="str">
        <f>IF(ISBLANK(tbl_task8[[คะแนนเต็ม]:[คะแนนเต็ม]]),"",(tbl_task8[13]/tbl_task8[[คะแนนเต็ม]:[คะแนนเต็ม]])*tbl_task8[[%]:[%]])</f>
        <v/>
      </c>
      <c r="GB20" s="121" t="str">
        <f>IF(ISBLANK(tbl_task8[[คะแนนเต็ม]:[คะแนนเต็ม]]),"",(tbl_task8[14]/tbl_task8[[คะแนนเต็ม]:[คะแนนเต็ม]])*tbl_task8[[%]:[%]])</f>
        <v/>
      </c>
      <c r="GC20" s="121" t="str">
        <f>IF(ISBLANK(tbl_task8[[คะแนนเต็ม]:[คะแนนเต็ม]]),"",(tbl_task8[15]/tbl_task8[[คะแนนเต็ม]:[คะแนนเต็ม]])*tbl_task8[[%]:[%]])</f>
        <v/>
      </c>
      <c r="GD20" s="121" t="str">
        <f>IF(ISBLANK(tbl_task8[[คะแนนเต็ม]:[คะแนนเต็ม]]),"",(tbl_task8[16]/tbl_task8[[คะแนนเต็ม]:[คะแนนเต็ม]])*tbl_task8[[%]:[%]])</f>
        <v/>
      </c>
      <c r="GE20" s="121" t="str">
        <f>IF(ISBLANK(tbl_task8[[คะแนนเต็ม]:[คะแนนเต็ม]]),"",(tbl_task8[17]/tbl_task8[[คะแนนเต็ม]:[คะแนนเต็ม]])*tbl_task8[[%]:[%]])</f>
        <v/>
      </c>
      <c r="GF20" s="121" t="str">
        <f>IF(ISBLANK(tbl_task8[[คะแนนเต็ม]:[คะแนนเต็ม]]),"",(tbl_task8[18]/tbl_task8[[คะแนนเต็ม]:[คะแนนเต็ม]])*tbl_task8[[%]:[%]])</f>
        <v/>
      </c>
      <c r="GG20" s="121" t="str">
        <f>IF(ISBLANK(tbl_task8[[คะแนนเต็ม]:[คะแนนเต็ม]]),"",(tbl_task8[19]/tbl_task8[[คะแนนเต็ม]:[คะแนนเต็ม]])*tbl_task8[[%]:[%]])</f>
        <v/>
      </c>
      <c r="GH20" s="121" t="str">
        <f>IF(ISBLANK(tbl_task8[[คะแนนเต็ม]:[คะแนนเต็ม]]),"",(tbl_task8[20]/tbl_task8[[คะแนนเต็ม]:[คะแนนเต็ม]])*tbl_task8[[%]:[%]])</f>
        <v/>
      </c>
      <c r="GI20" s="121" t="str">
        <f>IF(ISBLANK(tbl_task8[[คะแนนเต็ม]:[คะแนนเต็ม]]),"",(tbl_task8[21]/tbl_task8[[คะแนนเต็ม]:[คะแนนเต็ม]])*tbl_task8[[%]:[%]])</f>
        <v/>
      </c>
      <c r="GJ20" s="121" t="str">
        <f>IF(ISBLANK(tbl_task8[[คะแนนเต็ม]:[คะแนนเต็ม]]),"",(tbl_task8[22]/tbl_task8[[คะแนนเต็ม]:[คะแนนเต็ม]])*tbl_task8[[%]:[%]])</f>
        <v/>
      </c>
      <c r="GK20" s="121" t="str">
        <f>IF(ISBLANK(tbl_task8[[คะแนนเต็ม]:[คะแนนเต็ม]]),"",(tbl_task8[23]/tbl_task8[[คะแนนเต็ม]:[คะแนนเต็ม]])*tbl_task8[[%]:[%]])</f>
        <v/>
      </c>
      <c r="GL20" s="121" t="str">
        <f>IF(ISBLANK(tbl_task8[[คะแนนเต็ม]:[คะแนนเต็ม]]),"",(tbl_task8[24]/tbl_task8[[คะแนนเต็ม]:[คะแนนเต็ม]])*tbl_task8[[%]:[%]])</f>
        <v/>
      </c>
      <c r="GM20" s="121" t="str">
        <f>IF(ISBLANK(tbl_task8[[คะแนนเต็ม]:[คะแนนเต็ม]]),"",(tbl_task8[25]/tbl_task8[[คะแนนเต็ม]:[คะแนนเต็ม]])*tbl_task8[[%]:[%]])</f>
        <v/>
      </c>
      <c r="GN20" s="121" t="str">
        <f>IF(ISBLANK(tbl_task8[[คะแนนเต็ม]:[คะแนนเต็ม]]),"",(tbl_task8[26]/tbl_task8[[คะแนนเต็ม]:[คะแนนเต็ม]])*tbl_task8[[%]:[%]])</f>
        <v/>
      </c>
      <c r="GO20" s="121" t="str">
        <f>IF(ISBLANK(tbl_task8[[คะแนนเต็ม]:[คะแนนเต็ม]]),"",(tbl_task8[27]/tbl_task8[[คะแนนเต็ม]:[คะแนนเต็ม]])*tbl_task8[[%]:[%]])</f>
        <v/>
      </c>
      <c r="GP20" s="121" t="str">
        <f>IF(ISBLANK(tbl_task8[[คะแนนเต็ม]:[คะแนนเต็ม]]),"",(tbl_task8[28]/tbl_task8[[คะแนนเต็ม]:[คะแนนเต็ม]])*tbl_task8[[%]:[%]])</f>
        <v/>
      </c>
      <c r="GQ20" s="121" t="str">
        <f>IF(ISBLANK(tbl_task8[[คะแนนเต็ม]:[คะแนนเต็ม]]),"",(tbl_task8[29]/tbl_task8[[คะแนนเต็ม]:[คะแนนเต็ม]])*tbl_task8[[%]:[%]])</f>
        <v/>
      </c>
      <c r="GR20" s="121" t="str">
        <f>IF(ISBLANK(tbl_task8[[คะแนนเต็ม]:[คะแนนเต็ม]]),"",(tbl_task8[30]/tbl_task8[[คะแนนเต็ม]:[คะแนนเต็ม]])*tbl_task8[[%]:[%]])</f>
        <v/>
      </c>
      <c r="GS20" s="121" t="str">
        <f>IF(ISBLANK(tbl_task8[[คะแนนเต็ม]:[คะแนนเต็ม]]),"",(tbl_task8[31]/tbl_task8[[คะแนนเต็ม]:[คะแนนเต็ม]])*tbl_task8[[%]:[%]])</f>
        <v/>
      </c>
      <c r="GT20" s="121" t="str">
        <f>IF(ISBLANK(tbl_task8[[คะแนนเต็ม]:[คะแนนเต็ม]]),"",(tbl_task8[32]/tbl_task8[[คะแนนเต็ม]:[คะแนนเต็ม]])*tbl_task8[[%]:[%]])</f>
        <v/>
      </c>
      <c r="GU20" s="121" t="str">
        <f>IF(ISBLANK(tbl_task8[[คะแนนเต็ม]:[คะแนนเต็ม]]),"",(tbl_task8[33]/tbl_task8[[คะแนนเต็ม]:[คะแนนเต็ม]])*tbl_task8[[%]:[%]])</f>
        <v/>
      </c>
      <c r="GV20" s="121" t="str">
        <f>IF(ISBLANK(tbl_task8[[คะแนนเต็ม]:[คะแนนเต็ม]]),"",(tbl_task8[34]/tbl_task8[[คะแนนเต็ม]:[คะแนนเต็ม]])*tbl_task8[[%]:[%]])</f>
        <v/>
      </c>
      <c r="GW20" s="121" t="str">
        <f>IF(ISBLANK(tbl_task8[[คะแนนเต็ม]:[คะแนนเต็ม]]),"",(tbl_task8[35]/tbl_task8[[คะแนนเต็ม]:[คะแนนเต็ม]])*tbl_task8[[%]:[%]])</f>
        <v/>
      </c>
      <c r="GX20" s="121" t="str">
        <f>IF(ISBLANK(tbl_task8[[คะแนนเต็ม]:[คะแนนเต็ม]]),"",(tbl_task8[36]/tbl_task8[[คะแนนเต็ม]:[คะแนนเต็ม]])*tbl_task8[[%]:[%]])</f>
        <v/>
      </c>
      <c r="GY20" s="121" t="str">
        <f>IF(ISBLANK(tbl_task8[[คะแนนเต็ม]:[คะแนนเต็ม]]),"",(tbl_task8[37]/tbl_task8[[คะแนนเต็ม]:[คะแนนเต็ม]])*tbl_task8[[%]:[%]])</f>
        <v/>
      </c>
      <c r="GZ20" s="121" t="str">
        <f>IF(ISBLANK(tbl_task8[[คะแนนเต็ม]:[คะแนนเต็ม]]),"",(tbl_task8[38]/tbl_task8[[คะแนนเต็ม]:[คะแนนเต็ม]])*tbl_task8[[%]:[%]])</f>
        <v/>
      </c>
      <c r="HA20" s="121" t="str">
        <f>IF(ISBLANK(tbl_task8[[คะแนนเต็ม]:[คะแนนเต็ม]]),"",(tbl_task8[39]/tbl_task8[[คะแนนเต็ม]:[คะแนนเต็ม]])*tbl_task8[[%]:[%]])</f>
        <v/>
      </c>
      <c r="HB20" s="121" t="str">
        <f>IF(ISBLANK(tbl_task8[[คะแนนเต็ม]:[คะแนนเต็ม]]),"",(tbl_task8[40]/tbl_task8[[คะแนนเต็ม]:[คะแนนเต็ม]])*tbl_task8[[%]:[%]])</f>
        <v/>
      </c>
      <c r="HC20" s="121" t="str">
        <f>IF(ISBLANK(tbl_task8[[คะแนนเต็ม]:[คะแนนเต็ม]]),"",(tbl_task8[41]/tbl_task8[[คะแนนเต็ม]:[คะแนนเต็ม]])*tbl_task8[[%]:[%]])</f>
        <v/>
      </c>
      <c r="HD20" s="121" t="str">
        <f>IF(ISBLANK(tbl_task8[[คะแนนเต็ม]:[คะแนนเต็ม]]),"",(tbl_task8[42]/tbl_task8[[คะแนนเต็ม]:[คะแนนเต็ม]])*tbl_task8[[%]:[%]])</f>
        <v/>
      </c>
      <c r="HE20" s="121" t="str">
        <f>IF(ISBLANK(tbl_task8[[คะแนนเต็ม]:[คะแนนเต็ม]]),"",(tbl_task8[43]/tbl_task8[[คะแนนเต็ม]:[คะแนนเต็ม]])*tbl_task8[[%]:[%]])</f>
        <v/>
      </c>
      <c r="HF20" s="121" t="str">
        <f>IF(ISBLANK(tbl_task8[[คะแนนเต็ม]:[คะแนนเต็ม]]),"",(tbl_task8[44]/tbl_task8[[คะแนนเต็ม]:[คะแนนเต็ม]])*tbl_task8[[%]:[%]])</f>
        <v/>
      </c>
      <c r="HG20" s="121" t="str">
        <f>IF(ISBLANK(tbl_task8[[คะแนนเต็ม]:[คะแนนเต็ม]]),"",(tbl_task8[45]/tbl_task8[[คะแนนเต็ม]:[คะแนนเต็ม]])*tbl_task8[[%]:[%]])</f>
        <v/>
      </c>
      <c r="HH20" s="121" t="str">
        <f>IF(ISBLANK(tbl_task8[[คะแนนเต็ม]:[คะแนนเต็ม]]),"",(tbl_task8[46]/tbl_task8[[คะแนนเต็ม]:[คะแนนเต็ม]])*tbl_task8[[%]:[%]])</f>
        <v/>
      </c>
      <c r="HI20" s="121" t="str">
        <f>IF(ISBLANK(tbl_task8[[คะแนนเต็ม]:[คะแนนเต็ม]]),"",(tbl_task8[47]/tbl_task8[[คะแนนเต็ม]:[คะแนนเต็ม]])*tbl_task8[[%]:[%]])</f>
        <v/>
      </c>
      <c r="HJ20" s="121" t="str">
        <f>IF(ISBLANK(tbl_task8[[คะแนนเต็ม]:[คะแนนเต็ม]]),"",(tbl_task8[48]/tbl_task8[[คะแนนเต็ม]:[คะแนนเต็ม]])*tbl_task8[[%]:[%]])</f>
        <v/>
      </c>
      <c r="HK20" s="121" t="str">
        <f>IF(ISBLANK(tbl_task8[[คะแนนเต็ม]:[คะแนนเต็ม]]),"",(tbl_task8[49]/tbl_task8[[คะแนนเต็ม]:[คะแนนเต็ม]])*tbl_task8[[%]:[%]])</f>
        <v/>
      </c>
      <c r="HL20" s="121" t="str">
        <f>IF(ISBLANK(tbl_task8[[คะแนนเต็ม]:[คะแนนเต็ม]]),"",(tbl_task8[50]/tbl_task8[[คะแนนเต็ม]:[คะแนนเต็ม]])*tbl_task8[[%]:[%]])</f>
        <v/>
      </c>
      <c r="HM20" s="121" t="str">
        <f>IF(ISBLANK(tbl_task8[[คะแนนเต็ม]:[คะแนนเต็ม]]),"",(tbl_task8[51]/tbl_task8[[คะแนนเต็ม]:[คะแนนเต็ม]])*tbl_task8[[%]:[%]])</f>
        <v/>
      </c>
      <c r="HN20" s="121" t="str">
        <f>IF(ISBLANK(tbl_task8[[คะแนนเต็ม]:[คะแนนเต็ม]]),"",(tbl_task8[52]/tbl_task8[[คะแนนเต็ม]:[คะแนนเต็ม]])*tbl_task8[[%]:[%]])</f>
        <v/>
      </c>
      <c r="HO20" s="121" t="str">
        <f>IF(ISBLANK(tbl_task8[[คะแนนเต็ม]:[คะแนนเต็ม]]),"",(tbl_task8[53]/tbl_task8[[คะแนนเต็ม]:[คะแนนเต็ม]])*tbl_task8[[%]:[%]])</f>
        <v/>
      </c>
      <c r="HP20" s="121" t="str">
        <f>IF(ISBLANK(tbl_task8[[คะแนนเต็ม]:[คะแนนเต็ม]]),"",(tbl_task8[54]/tbl_task8[[คะแนนเต็ม]:[คะแนนเต็ม]])*tbl_task8[[%]:[%]])</f>
        <v/>
      </c>
      <c r="HQ20" s="121" t="str">
        <f>IF(ISBLANK(tbl_task8[[คะแนนเต็ม]:[คะแนนเต็ม]]),"",(tbl_task8[55]/tbl_task8[[คะแนนเต็ม]:[คะแนนเต็ม]])*tbl_task8[[%]:[%]])</f>
        <v/>
      </c>
      <c r="HR20" s="121" t="str">
        <f>IF(ISBLANK(tbl_task8[[คะแนนเต็ม]:[คะแนนเต็ม]]),"",(tbl_task8[56]/tbl_task8[[คะแนนเต็ม]:[คะแนนเต็ม]])*tbl_task8[[%]:[%]])</f>
        <v/>
      </c>
      <c r="HS20" s="121" t="str">
        <f>IF(ISBLANK(tbl_task8[[คะแนนเต็ม]:[คะแนนเต็ม]]),"",(tbl_task8[57]/tbl_task8[[คะแนนเต็ม]:[คะแนนเต็ม]])*tbl_task8[[%]:[%]])</f>
        <v/>
      </c>
      <c r="HT20" s="121" t="str">
        <f>IF(ISBLANK(tbl_task8[[คะแนนเต็ม]:[คะแนนเต็ม]]),"",(tbl_task8[58]/tbl_task8[[คะแนนเต็ม]:[คะแนนเต็ม]])*tbl_task8[[%]:[%]])</f>
        <v/>
      </c>
      <c r="HU20" s="121" t="str">
        <f>IF(ISBLANK(tbl_task8[[คะแนนเต็ม]:[คะแนนเต็ม]]),"",(tbl_task8[59]/tbl_task8[[คะแนนเต็ม]:[คะแนนเต็ม]])*tbl_task8[[%]:[%]])</f>
        <v/>
      </c>
      <c r="HV20" s="121" t="str">
        <f>IF(ISBLANK(tbl_task8[[คะแนนเต็ม]:[คะแนนเต็ม]]),"",(tbl_task8[60]/tbl_task8[[คะแนนเต็ม]:[คะแนนเต็ม]])*tbl_task8[[%]:[%]])</f>
        <v/>
      </c>
      <c r="HW20" s="121" t="str">
        <f>IF(ISBLANK(tbl_task8[[คะแนนเต็ม]:[คะแนนเต็ม]]),"",(tbl_task8[61]/tbl_task8[[คะแนนเต็ม]:[คะแนนเต็ม]])*tbl_task8[[%]:[%]])</f>
        <v/>
      </c>
      <c r="HX20" s="121" t="str">
        <f>IF(ISBLANK(tbl_task8[[คะแนนเต็ม]:[คะแนนเต็ม]]),"",(tbl_task8[62]/tbl_task8[[คะแนนเต็ม]:[คะแนนเต็ม]])*tbl_task8[[%]:[%]])</f>
        <v/>
      </c>
      <c r="HY20" s="121" t="str">
        <f>IF(ISBLANK(tbl_task8[[คะแนนเต็ม]:[คะแนนเต็ม]]),"",(tbl_task8[63]/tbl_task8[[คะแนนเต็ม]:[คะแนนเต็ม]])*tbl_task8[[%]:[%]])</f>
        <v/>
      </c>
      <c r="HZ20" s="121" t="str">
        <f>IF(ISBLANK(tbl_task8[[คะแนนเต็ม]:[คะแนนเต็ม]]),"",(tbl_task8[64]/tbl_task8[[คะแนนเต็ม]:[คะแนนเต็ม]])*tbl_task8[[%]:[%]])</f>
        <v/>
      </c>
      <c r="IA20" s="121" t="str">
        <f>IF(ISBLANK(tbl_task8[[คะแนนเต็ม]:[คะแนนเต็ม]]),"",(tbl_task8[65]/tbl_task8[[คะแนนเต็ม]:[คะแนนเต็ม]])*tbl_task8[[%]:[%]])</f>
        <v/>
      </c>
      <c r="IB20" s="121" t="str">
        <f>IF(ISBLANK(tbl_task8[[คะแนนเต็ม]:[คะแนนเต็ม]]),"",(tbl_task8[66]/tbl_task8[[คะแนนเต็ม]:[คะแนนเต็ม]])*tbl_task8[[%]:[%]])</f>
        <v/>
      </c>
      <c r="IC20" s="121" t="str">
        <f>IF(ISBLANK(tbl_task8[[คะแนนเต็ม]:[คะแนนเต็ม]]),"",(tbl_task8[67]/tbl_task8[[คะแนนเต็ม]:[คะแนนเต็ม]])*tbl_task8[[%]:[%]])</f>
        <v/>
      </c>
      <c r="ID20" s="121" t="str">
        <f>IF(ISBLANK(tbl_task8[[คะแนนเต็ม]:[คะแนนเต็ม]]),"",(tbl_task8[68]/tbl_task8[[คะแนนเต็ม]:[คะแนนเต็ม]])*tbl_task8[[%]:[%]])</f>
        <v/>
      </c>
      <c r="IE20" s="121" t="str">
        <f>IF(ISBLANK(tbl_task8[[คะแนนเต็ม]:[คะแนนเต็ม]]),"",(tbl_task8[69]/tbl_task8[[คะแนนเต็ม]:[คะแนนเต็ม]])*tbl_task8[[%]:[%]])</f>
        <v/>
      </c>
      <c r="IF20" s="121" t="str">
        <f>IF(ISBLANK(tbl_task8[[คะแนนเต็ม]:[คะแนนเต็ม]]),"",(tbl_task8[70]/tbl_task8[[คะแนนเต็ม]:[คะแนนเต็ม]])*tbl_task8[[%]:[%]])</f>
        <v/>
      </c>
      <c r="IG20" s="121" t="str">
        <f>IF(ISBLANK(tbl_task8[[คะแนนเต็ม]:[คะแนนเต็ม]]),"",(tbl_task8[71]/tbl_task8[[คะแนนเต็ม]:[คะแนนเต็ม]])*tbl_task8[[%]:[%]])</f>
        <v/>
      </c>
      <c r="IH20" s="121" t="str">
        <f>IF(ISBLANK(tbl_task8[[คะแนนเต็ม]:[คะแนนเต็ม]]),"",(tbl_task8[72]/tbl_task8[[คะแนนเต็ม]:[คะแนนเต็ม]])*tbl_task8[[%]:[%]])</f>
        <v/>
      </c>
      <c r="II20" s="121" t="str">
        <f>IF(ISBLANK(tbl_task8[[คะแนนเต็ม]:[คะแนนเต็ม]]),"",(tbl_task8[73]/tbl_task8[[คะแนนเต็ม]:[คะแนนเต็ม]])*tbl_task8[[%]:[%]])</f>
        <v/>
      </c>
      <c r="IJ20" s="121" t="str">
        <f>IF(ISBLANK(tbl_task8[[คะแนนเต็ม]:[คะแนนเต็ม]]),"",(tbl_task8[74]/tbl_task8[[คะแนนเต็ม]:[คะแนนเต็ม]])*tbl_task8[[%]:[%]])</f>
        <v/>
      </c>
      <c r="IK20" s="121" t="str">
        <f>IF(ISBLANK(tbl_task8[[คะแนนเต็ม]:[คะแนนเต็ม]]),"",(tbl_task8[75]/tbl_task8[[คะแนนเต็ม]:[คะแนนเต็ม]])*tbl_task8[[%]:[%]])</f>
        <v/>
      </c>
      <c r="IL20" s="121" t="str">
        <f>IF(ISBLANK(tbl_task8[[คะแนนเต็ม]:[คะแนนเต็ม]]),"",(tbl_task8[76]/tbl_task8[[คะแนนเต็ม]:[คะแนนเต็ม]])*tbl_task8[[%]:[%]])</f>
        <v/>
      </c>
      <c r="IM20" s="121" t="str">
        <f>IF(ISBLANK(tbl_task8[[คะแนนเต็ม]:[คะแนนเต็ม]]),"",(tbl_task8[77]/tbl_task8[[คะแนนเต็ม]:[คะแนนเต็ม]])*tbl_task8[[%]:[%]])</f>
        <v/>
      </c>
      <c r="IN20" s="121" t="str">
        <f>IF(ISBLANK(tbl_task8[[คะแนนเต็ม]:[คะแนนเต็ม]]),"",(tbl_task8[78]/tbl_task8[[คะแนนเต็ม]:[คะแนนเต็ม]])*tbl_task8[[%]:[%]])</f>
        <v/>
      </c>
      <c r="IO20" s="121" t="str">
        <f>IF(ISBLANK(tbl_task8[[คะแนนเต็ม]:[คะแนนเต็ม]]),"",(tbl_task8[79]/tbl_task8[[คะแนนเต็ม]:[คะแนนเต็ม]])*tbl_task8[[%]:[%]])</f>
        <v/>
      </c>
      <c r="IP20" s="121" t="str">
        <f>IF(ISBLANK(tbl_task8[[คะแนนเต็ม]:[คะแนนเต็ม]]),"",(tbl_task8[80]/tbl_task8[[คะแนนเต็ม]:[คะแนนเต็ม]])*tbl_task8[[%]:[%]])</f>
        <v/>
      </c>
      <c r="IQ20" s="121" t="str">
        <f>IF(ISBLANK(tbl_task8[[คะแนนเต็ม]:[คะแนนเต็ม]]),"",(tbl_task8[81]/tbl_task8[[คะแนนเต็ม]:[คะแนนเต็ม]])*tbl_task8[[%]:[%]])</f>
        <v/>
      </c>
      <c r="IR20" s="121" t="str">
        <f>IF(ISBLANK(tbl_task8[[คะแนนเต็ม]:[คะแนนเต็ม]]),"",(tbl_task8[82]/tbl_task8[[คะแนนเต็ม]:[คะแนนเต็ม]])*tbl_task8[[%]:[%]])</f>
        <v/>
      </c>
      <c r="IS20" s="121" t="str">
        <f>IF(ISBLANK(tbl_task8[[คะแนนเต็ม]:[คะแนนเต็ม]]),"",(tbl_task8[83]/tbl_task8[[คะแนนเต็ม]:[คะแนนเต็ม]])*tbl_task8[[%]:[%]])</f>
        <v/>
      </c>
      <c r="IT20" s="121" t="str">
        <f>IF(ISBLANK(tbl_task8[[คะแนนเต็ม]:[คะแนนเต็ม]]),"",(tbl_task8[84]/tbl_task8[[คะแนนเต็ม]:[คะแนนเต็ม]])*tbl_task8[[%]:[%]])</f>
        <v/>
      </c>
      <c r="IU20" s="121" t="str">
        <f>IF(ISBLANK(tbl_task8[[คะแนนเต็ม]:[คะแนนเต็ม]]),"",(tbl_task8[85]/tbl_task8[[คะแนนเต็ม]:[คะแนนเต็ม]])*tbl_task8[[%]:[%]])</f>
        <v/>
      </c>
      <c r="IV20" s="121" t="str">
        <f>IF(ISBLANK(tbl_task8[[คะแนนเต็ม]:[คะแนนเต็ม]]),"",(tbl_task8[86]/tbl_task8[[คะแนนเต็ม]:[คะแนนเต็ม]])*tbl_task8[[%]:[%]])</f>
        <v/>
      </c>
      <c r="IW20" s="121" t="str">
        <f>IF(ISBLANK(tbl_task8[[คะแนนเต็ม]:[คะแนนเต็ม]]),"",(tbl_task8[87]/tbl_task8[[คะแนนเต็ม]:[คะแนนเต็ม]])*tbl_task8[[%]:[%]])</f>
        <v/>
      </c>
      <c r="IX20" s="121" t="str">
        <f>IF(ISBLANK(tbl_task8[[คะแนนเต็ม]:[คะแนนเต็ม]]),"",(tbl_task8[88]/tbl_task8[[คะแนนเต็ม]:[คะแนนเต็ม]])*tbl_task8[[%]:[%]])</f>
        <v/>
      </c>
      <c r="IY20" s="121" t="str">
        <f>IF(ISBLANK(tbl_task8[[คะแนนเต็ม]:[คะแนนเต็ม]]),"",(tbl_task8[89]/tbl_task8[[คะแนนเต็ม]:[คะแนนเต็ม]])*tbl_task8[[%]:[%]])</f>
        <v/>
      </c>
      <c r="IZ20" s="121" t="str">
        <f>IF(ISBLANK(tbl_task8[[คะแนนเต็ม]:[คะแนนเต็ม]]),"",(tbl_task8[90]/tbl_task8[[คะแนนเต็ม]:[คะแนนเต็ม]])*tbl_task8[[%]:[%]])</f>
        <v/>
      </c>
      <c r="JA20" s="121" t="str">
        <f>IF(ISBLANK(tbl_task8[[คะแนนเต็ม]:[คะแนนเต็ม]]),"",(tbl_task8[91]/tbl_task8[[คะแนนเต็ม]:[คะแนนเต็ม]])*tbl_task8[[%]:[%]])</f>
        <v/>
      </c>
      <c r="JB20" s="121" t="str">
        <f>IF(ISBLANK(tbl_task8[[คะแนนเต็ม]:[คะแนนเต็ม]]),"",(tbl_task8[92]/tbl_task8[[คะแนนเต็ม]:[คะแนนเต็ม]])*tbl_task8[[%]:[%]])</f>
        <v/>
      </c>
      <c r="JC20" s="121" t="str">
        <f>IF(ISBLANK(tbl_task8[[คะแนนเต็ม]:[คะแนนเต็ม]]),"",(tbl_task8[93]/tbl_task8[[คะแนนเต็ม]:[คะแนนเต็ม]])*tbl_task8[[%]:[%]])</f>
        <v/>
      </c>
      <c r="JD20" s="121" t="str">
        <f>IF(ISBLANK(tbl_task8[[คะแนนเต็ม]:[คะแนนเต็ม]]),"",(tbl_task8[94]/tbl_task8[[คะแนนเต็ม]:[คะแนนเต็ม]])*tbl_task8[[%]:[%]])</f>
        <v/>
      </c>
      <c r="JE20" s="121" t="str">
        <f>IF(ISBLANK(tbl_task8[[คะแนนเต็ม]:[คะแนนเต็ม]]),"",(tbl_task8[95]/tbl_task8[[คะแนนเต็ม]:[คะแนนเต็ม]])*tbl_task8[[%]:[%]])</f>
        <v/>
      </c>
      <c r="JF20" s="121" t="str">
        <f>IF(ISBLANK(tbl_task8[[คะแนนเต็ม]:[คะแนนเต็ม]]),"",(tbl_task8[96]/tbl_task8[[คะแนนเต็ม]:[คะแนนเต็ม]])*tbl_task8[[%]:[%]])</f>
        <v/>
      </c>
      <c r="JG20" s="121" t="str">
        <f>IF(ISBLANK(tbl_task8[[คะแนนเต็ม]:[คะแนนเต็ม]]),"",(tbl_task8[97]/tbl_task8[[คะแนนเต็ม]:[คะแนนเต็ม]])*tbl_task8[[%]:[%]])</f>
        <v/>
      </c>
      <c r="JH20" s="121" t="str">
        <f>IF(ISBLANK(tbl_task8[[คะแนนเต็ม]:[คะแนนเต็ม]]),"",(tbl_task8[98]/tbl_task8[[คะแนนเต็ม]:[คะแนนเต็ม]])*tbl_task8[[%]:[%]])</f>
        <v/>
      </c>
      <c r="JI20" s="121" t="str">
        <f>IF(ISBLANK(tbl_task8[[คะแนนเต็ม]:[คะแนนเต็ม]]),"",(tbl_task8[99]/tbl_task8[[คะแนนเต็ม]:[คะแนนเต็ม]])*tbl_task8[[%]:[%]])</f>
        <v/>
      </c>
      <c r="JJ20" s="121" t="str">
        <f>IF(ISBLANK(tbl_task8[[คะแนนเต็ม]:[คะแนนเต็ม]]),"",(tbl_task8[100]/tbl_task8[[คะแนนเต็ม]:[คะแนนเต็ม]])*tbl_task8[[%]:[%]])</f>
        <v/>
      </c>
      <c r="JK20" s="121" t="str">
        <f>IF(ISBLANK(tbl_task8[[คะแนนเต็ม]:[คะแนนเต็ม]]),"",(tbl_task8[101]/tbl_task8[[คะแนนเต็ม]:[คะแนนเต็ม]])*tbl_task8[[%]:[%]])</f>
        <v/>
      </c>
      <c r="JL20" s="121" t="str">
        <f>IF(ISBLANK(tbl_task8[[คะแนนเต็ม]:[คะแนนเต็ม]]),"",(tbl_task8[102]/tbl_task8[[คะแนนเต็ม]:[คะแนนเต็ม]])*tbl_task8[[%]:[%]])</f>
        <v/>
      </c>
      <c r="JM20" s="121" t="str">
        <f>IF(ISBLANK(tbl_task8[[คะแนนเต็ม]:[คะแนนเต็ม]]),"",(tbl_task8[103]/tbl_task8[[คะแนนเต็ม]:[คะแนนเต็ม]])*tbl_task8[[%]:[%]])</f>
        <v/>
      </c>
      <c r="JN20" s="121" t="str">
        <f>IF(ISBLANK(tbl_task8[[คะแนนเต็ม]:[คะแนนเต็ม]]),"",(tbl_task8[104]/tbl_task8[[คะแนนเต็ม]:[คะแนนเต็ม]])*tbl_task8[[%]:[%]])</f>
        <v/>
      </c>
      <c r="JO20" s="121" t="str">
        <f>IF(ISBLANK(tbl_task8[[คะแนนเต็ม]:[คะแนนเต็ม]]),"",(tbl_task8[105]/tbl_task8[[คะแนนเต็ม]:[คะแนนเต็ม]])*tbl_task8[[%]:[%]])</f>
        <v/>
      </c>
      <c r="JP20" s="121" t="str">
        <f>IF(ISBLANK(tbl_task8[[คะแนนเต็ม]:[คะแนนเต็ม]]),"",(tbl_task8[106]/tbl_task8[[คะแนนเต็ม]:[คะแนนเต็ม]])*tbl_task8[[%]:[%]])</f>
        <v/>
      </c>
      <c r="JQ20" s="121" t="str">
        <f>IF(ISBLANK(tbl_task8[[คะแนนเต็ม]:[คะแนนเต็ม]]),"",(tbl_task8[107]/tbl_task8[[คะแนนเต็ม]:[คะแนนเต็ม]])*tbl_task8[[%]:[%]])</f>
        <v/>
      </c>
      <c r="JR20" s="121" t="str">
        <f>IF(ISBLANK(tbl_task8[[คะแนนเต็ม]:[คะแนนเต็ม]]),"",(tbl_task8[108]/tbl_task8[[คะแนนเต็ม]:[คะแนนเต็ม]])*tbl_task8[[%]:[%]])</f>
        <v/>
      </c>
      <c r="JS20" s="121" t="str">
        <f>IF(ISBLANK(tbl_task8[[คะแนนเต็ม]:[คะแนนเต็ม]]),"",(tbl_task8[109]/tbl_task8[[คะแนนเต็ม]:[คะแนนเต็ม]])*tbl_task8[[%]:[%]])</f>
        <v/>
      </c>
      <c r="JT20" s="121" t="str">
        <f>IF(ISBLANK(tbl_task8[[คะแนนเต็ม]:[คะแนนเต็ม]]),"",(tbl_task8[110]/tbl_task8[[คะแนนเต็ม]:[คะแนนเต็ม]])*tbl_task8[[%]:[%]])</f>
        <v/>
      </c>
      <c r="JU20" s="121" t="str">
        <f>IF(ISBLANK(tbl_task8[[คะแนนเต็ม]:[คะแนนเต็ม]]),"",(tbl_task8[111]/tbl_task8[[คะแนนเต็ม]:[คะแนนเต็ม]])*tbl_task8[[%]:[%]])</f>
        <v/>
      </c>
      <c r="JV20" s="121" t="str">
        <f>IF(ISBLANK(tbl_task8[[คะแนนเต็ม]:[คะแนนเต็ม]]),"",(tbl_task8[112]/tbl_task8[[คะแนนเต็ม]:[คะแนนเต็ม]])*tbl_task8[[%]:[%]])</f>
        <v/>
      </c>
      <c r="JW20" s="121" t="str">
        <f>IF(ISBLANK(tbl_task8[[คะแนนเต็ม]:[คะแนนเต็ม]]),"",(tbl_task8[113]/tbl_task8[[คะแนนเต็ม]:[คะแนนเต็ม]])*tbl_task8[[%]:[%]])</f>
        <v/>
      </c>
      <c r="JX20" s="121" t="str">
        <f>IF(ISBLANK(tbl_task8[[คะแนนเต็ม]:[คะแนนเต็ม]]),"",(tbl_task8[114]/tbl_task8[[คะแนนเต็ม]:[คะแนนเต็ม]])*tbl_task8[[%]:[%]])</f>
        <v/>
      </c>
      <c r="JY20" s="121" t="str">
        <f>IF(ISBLANK(tbl_task8[[คะแนนเต็ม]:[คะแนนเต็ม]]),"",(tbl_task8[115]/tbl_task8[[คะแนนเต็ม]:[คะแนนเต็ม]])*tbl_task8[[%]:[%]])</f>
        <v/>
      </c>
      <c r="JZ20" s="121" t="str">
        <f>IF(ISBLANK(tbl_task8[[คะแนนเต็ม]:[คะแนนเต็ม]]),"",(tbl_task8[116]/tbl_task8[[คะแนนเต็ม]:[คะแนนเต็ม]])*tbl_task8[[%]:[%]])</f>
        <v/>
      </c>
      <c r="KA20" s="121" t="str">
        <f>IF(ISBLANK(tbl_task8[[คะแนนเต็ม]:[คะแนนเต็ม]]),"",(tbl_task8[117]/tbl_task8[[คะแนนเต็ม]:[คะแนนเต็ม]])*tbl_task8[[%]:[%]])</f>
        <v/>
      </c>
      <c r="KB20" s="121" t="str">
        <f>IF(ISBLANK(tbl_task8[[คะแนนเต็ม]:[คะแนนเต็ม]]),"",(tbl_task8[118]/tbl_task8[[คะแนนเต็ม]:[คะแนนเต็ม]])*tbl_task8[[%]:[%]])</f>
        <v/>
      </c>
      <c r="KC20" s="121" t="str">
        <f>IF(ISBLANK(tbl_task8[[คะแนนเต็ม]:[คะแนนเต็ม]]),"",(tbl_task8[119]/tbl_task8[[คะแนนเต็ม]:[คะแนนเต็ม]])*tbl_task8[[%]:[%]])</f>
        <v/>
      </c>
      <c r="KD20" s="121" t="str">
        <f>IF(ISBLANK(tbl_task8[[คะแนนเต็ม]:[คะแนนเต็ม]]),"",(tbl_task8[120]/tbl_task8[[คะแนนเต็ม]:[คะแนนเต็ม]])*tbl_task8[[%]:[%]])</f>
        <v/>
      </c>
      <c r="KE20" s="121" t="str">
        <f>IF(ISBLANK(tbl_task8[[คะแนนเต็ม]:[คะแนนเต็ม]]),"",(tbl_task8[121]/tbl_task8[[คะแนนเต็ม]:[คะแนนเต็ม]])*tbl_task8[[%]:[%]])</f>
        <v/>
      </c>
      <c r="KF20" s="121" t="str">
        <f>IF(ISBLANK(tbl_task8[[คะแนนเต็ม]:[คะแนนเต็ม]]),"",(tbl_task8[122]/tbl_task8[[คะแนนเต็ม]:[คะแนนเต็ม]])*tbl_task8[[%]:[%]])</f>
        <v/>
      </c>
      <c r="KG20" s="121" t="str">
        <f>IF(ISBLANK(tbl_task8[[คะแนนเต็ม]:[คะแนนเต็ม]]),"",(tbl_task8[123]/tbl_task8[[คะแนนเต็ม]:[คะแนนเต็ม]])*tbl_task8[[%]:[%]])</f>
        <v/>
      </c>
      <c r="KH20" s="121" t="str">
        <f>IF(ISBLANK(tbl_task8[[คะแนนเต็ม]:[คะแนนเต็ม]]),"",(tbl_task8[124]/tbl_task8[[คะแนนเต็ม]:[คะแนนเต็ม]])*tbl_task8[[%]:[%]])</f>
        <v/>
      </c>
      <c r="KI20" s="121" t="str">
        <f>IF(ISBLANK(tbl_task8[[คะแนนเต็ม]:[คะแนนเต็ม]]),"",(tbl_task8[125]/tbl_task8[[คะแนนเต็ม]:[คะแนนเต็ม]])*tbl_task8[[%]:[%]])</f>
        <v/>
      </c>
      <c r="KJ20" s="121" t="str">
        <f>IF(ISBLANK(tbl_task8[[คะแนนเต็ม]:[คะแนนเต็ม]]),"",(tbl_task8[126]/tbl_task8[[คะแนนเต็ม]:[คะแนนเต็ม]])*tbl_task8[[%]:[%]])</f>
        <v/>
      </c>
      <c r="KK20" s="121" t="str">
        <f>IF(ISBLANK(tbl_task8[[คะแนนเต็ม]:[คะแนนเต็ม]]),"",(tbl_task8[127]/tbl_task8[[คะแนนเต็ม]:[คะแนนเต็ม]])*tbl_task8[[%]:[%]])</f>
        <v/>
      </c>
      <c r="KL20" s="121" t="str">
        <f>IF(ISBLANK(tbl_task8[[คะแนนเต็ม]:[คะแนนเต็ม]]),"",(tbl_task8[128]/tbl_task8[[คะแนนเต็ม]:[คะแนนเต็ม]])*tbl_task8[[%]:[%]])</f>
        <v/>
      </c>
      <c r="KM20" s="121" t="str">
        <f>IF(ISBLANK(tbl_task8[[คะแนนเต็ม]:[คะแนนเต็ม]]),"",(tbl_task8[129]/tbl_task8[[คะแนนเต็ม]:[คะแนนเต็ม]])*tbl_task8[[%]:[%]])</f>
        <v/>
      </c>
      <c r="KN20" s="121" t="str">
        <f>IF(ISBLANK(tbl_task8[[คะแนนเต็ม]:[คะแนนเต็ม]]),"",(tbl_task8[130]/tbl_task8[[คะแนนเต็ม]:[คะแนนเต็ม]])*tbl_task8[[%]:[%]])</f>
        <v/>
      </c>
      <c r="KO20" s="121" t="str">
        <f>IF(ISBLANK(tbl_task8[[คะแนนเต็ม]:[คะแนนเต็ม]]),"",(tbl_task8[131]/tbl_task8[[คะแนนเต็ม]:[คะแนนเต็ม]])*tbl_task8[[%]:[%]])</f>
        <v/>
      </c>
      <c r="KP20" s="121" t="str">
        <f>IF(ISBLANK(tbl_task8[[คะแนนเต็ม]:[คะแนนเต็ม]]),"",(tbl_task8[132]/tbl_task8[[คะแนนเต็ม]:[คะแนนเต็ม]])*tbl_task8[[%]:[%]])</f>
        <v/>
      </c>
      <c r="KQ20" s="121" t="str">
        <f>IF(ISBLANK(tbl_task8[[คะแนนเต็ม]:[คะแนนเต็ม]]),"",(tbl_task8[133]/tbl_task8[[คะแนนเต็ม]:[คะแนนเต็ม]])*tbl_task8[[%]:[%]])</f>
        <v/>
      </c>
      <c r="KR20" s="121" t="str">
        <f>IF(ISBLANK(tbl_task8[[คะแนนเต็ม]:[คะแนนเต็ม]]),"",(tbl_task8[134]/tbl_task8[[คะแนนเต็ม]:[คะแนนเต็ม]])*tbl_task8[[%]:[%]])</f>
        <v/>
      </c>
      <c r="KS20" s="121" t="str">
        <f>IF(ISBLANK(tbl_task8[[คะแนนเต็ม]:[คะแนนเต็ม]]),"",(tbl_task8[135]/tbl_task8[[คะแนนเต็ม]:[คะแนนเต็ม]])*tbl_task8[[%]:[%]])</f>
        <v/>
      </c>
      <c r="KT20" s="121" t="str">
        <f>IF(ISBLANK(tbl_task8[[คะแนนเต็ม]:[คะแนนเต็ม]]),"",(tbl_task8[136]/tbl_task8[[คะแนนเต็ม]:[คะแนนเต็ม]])*tbl_task8[[%]:[%]])</f>
        <v/>
      </c>
      <c r="KU20" s="121" t="str">
        <f>IF(ISBLANK(tbl_task8[[คะแนนเต็ม]:[คะแนนเต็ม]]),"",(tbl_task8[137]/tbl_task8[[คะแนนเต็ม]:[คะแนนเต็ม]])*tbl_task8[[%]:[%]])</f>
        <v/>
      </c>
      <c r="KV20" s="121" t="str">
        <f>IF(ISBLANK(tbl_task8[[คะแนนเต็ม]:[คะแนนเต็ม]]),"",(tbl_task8[138]/tbl_task8[[คะแนนเต็ม]:[คะแนนเต็ม]])*tbl_task8[[%]:[%]])</f>
        <v/>
      </c>
      <c r="KW20" s="121" t="str">
        <f>IF(ISBLANK(tbl_task8[[คะแนนเต็ม]:[คะแนนเต็ม]]),"",(tbl_task8[139]/tbl_task8[[คะแนนเต็ม]:[คะแนนเต็ม]])*tbl_task8[[%]:[%]])</f>
        <v/>
      </c>
      <c r="KX20" s="121" t="str">
        <f>IF(ISBLANK(tbl_task8[[คะแนนเต็ม]:[คะแนนเต็ม]]),"",(tbl_task8[140]/tbl_task8[[คะแนนเต็ม]:[คะแนนเต็ม]])*tbl_task8[[%]:[%]])</f>
        <v/>
      </c>
      <c r="KY20" s="121" t="str">
        <f>IF(ISBLANK(tbl_task8[[คะแนนเต็ม]:[คะแนนเต็ม]]),"",(tbl_task8[141]/tbl_task8[[คะแนนเต็ม]:[คะแนนเต็ม]])*tbl_task8[[%]:[%]])</f>
        <v/>
      </c>
      <c r="KZ20" s="121" t="str">
        <f>IF(ISBLANK(tbl_task8[[คะแนนเต็ม]:[คะแนนเต็ม]]),"",(tbl_task8[142]/tbl_task8[[คะแนนเต็ม]:[คะแนนเต็ม]])*tbl_task8[[%]:[%]])</f>
        <v/>
      </c>
      <c r="LA20" s="121" t="str">
        <f>IF(ISBLANK(tbl_task8[[คะแนนเต็ม]:[คะแนนเต็ม]]),"",(tbl_task8[143]/tbl_task8[[คะแนนเต็ม]:[คะแนนเต็ม]])*tbl_task8[[%]:[%]])</f>
        <v/>
      </c>
      <c r="LB20" s="121" t="str">
        <f>IF(ISBLANK(tbl_task8[[คะแนนเต็ม]:[คะแนนเต็ม]]),"",(tbl_task8[144]/tbl_task8[[คะแนนเต็ม]:[คะแนนเต็ม]])*tbl_task8[[%]:[%]])</f>
        <v/>
      </c>
      <c r="LC20" s="121" t="str">
        <f>IF(ISBLANK(tbl_task8[[คะแนนเต็ม]:[คะแนนเต็ม]]),"",(tbl_task8[145]/tbl_task8[[คะแนนเต็ม]:[คะแนนเต็ม]])*tbl_task8[[%]:[%]])</f>
        <v/>
      </c>
      <c r="LD20" s="121" t="str">
        <f>IF(ISBLANK(tbl_task8[[คะแนนเต็ม]:[คะแนนเต็ม]]),"",(tbl_task8[146]/tbl_task8[[คะแนนเต็ม]:[คะแนนเต็ม]])*tbl_task8[[%]:[%]])</f>
        <v/>
      </c>
      <c r="LE20" s="121" t="str">
        <f>IF(ISBLANK(tbl_task8[[คะแนนเต็ม]:[คะแนนเต็ม]]),"",(tbl_task8[147]/tbl_task8[[คะแนนเต็ม]:[คะแนนเต็ม]])*tbl_task8[[%]:[%]])</f>
        <v/>
      </c>
      <c r="LF20" s="121" t="str">
        <f>IF(ISBLANK(tbl_task8[[คะแนนเต็ม]:[คะแนนเต็ม]]),"",(tbl_task8[148]/tbl_task8[[คะแนนเต็ม]:[คะแนนเต็ม]])*tbl_task8[[%]:[%]])</f>
        <v/>
      </c>
      <c r="LG20" s="121" t="str">
        <f>IF(ISBLANK(tbl_task8[[คะแนนเต็ม]:[คะแนนเต็ม]]),"",(tbl_task8[149]/tbl_task8[[คะแนนเต็ม]:[คะแนนเต็ม]])*tbl_task8[[%]:[%]])</f>
        <v/>
      </c>
      <c r="LH20" s="121" t="str">
        <f>IF(ISBLANK(tbl_task8[[คะแนนเต็ม]:[คะแนนเต็ม]]),"",(tbl_task8[150]/tbl_task8[[คะแนนเต็ม]:[คะแนนเต็ม]])*tbl_task8[[%]:[%]])</f>
        <v/>
      </c>
      <c r="LI20" s="121" t="str">
        <f>IF(ISBLANK(tbl_task8[[คะแนนเต็ม]:[คะแนนเต็ม]]),"",(tbl_task8[151]/tbl_task8[[คะแนนเต็ม]:[คะแนนเต็ม]])*tbl_task8[[%]:[%]])</f>
        <v/>
      </c>
      <c r="LJ20" s="121" t="str">
        <f>IF(ISBLANK(tbl_task8[[คะแนนเต็ม]:[คะแนนเต็ม]]),"",(tbl_task8[152]/tbl_task8[[คะแนนเต็ม]:[คะแนนเต็ม]])*tbl_task8[[%]:[%]])</f>
        <v/>
      </c>
      <c r="LK20" s="121" t="str">
        <f>IF(ISBLANK(tbl_task8[[คะแนนเต็ม]:[คะแนนเต็ม]]),"",(tbl_task8[153]/tbl_task8[[คะแนนเต็ม]:[คะแนนเต็ม]])*tbl_task8[[%]:[%]])</f>
        <v/>
      </c>
      <c r="LL20" s="121" t="str">
        <f>IF(ISBLANK(tbl_task8[[คะแนนเต็ม]:[คะแนนเต็ม]]),"",(tbl_task8[154]/tbl_task8[[คะแนนเต็ม]:[คะแนนเต็ม]])*tbl_task8[[%]:[%]])</f>
        <v/>
      </c>
      <c r="LM20" s="121" t="str">
        <f>IF(ISBLANK(tbl_task8[[คะแนนเต็ม]:[คะแนนเต็ม]]),"",(tbl_task8[155]/tbl_task8[[คะแนนเต็ม]:[คะแนนเต็ม]])*tbl_task8[[%]:[%]])</f>
        <v/>
      </c>
      <c r="LN20" s="121" t="str">
        <f>IF(ISBLANK(tbl_task8[[คะแนนเต็ม]:[คะแนนเต็ม]]),"",(tbl_task8[156]/tbl_task8[[คะแนนเต็ม]:[คะแนนเต็ม]])*tbl_task8[[%]:[%]])</f>
        <v/>
      </c>
      <c r="LO20" s="121" t="str">
        <f>IF(ISBLANK(tbl_task8[[คะแนนเต็ม]:[คะแนนเต็ม]]),"",(tbl_task8[157]/tbl_task8[[คะแนนเต็ม]:[คะแนนเต็ม]])*tbl_task8[[%]:[%]])</f>
        <v/>
      </c>
      <c r="LP20" s="121" t="str">
        <f>IF(ISBLANK(tbl_task8[[คะแนนเต็ม]:[คะแนนเต็ม]]),"",(tbl_task8[158]/tbl_task8[[คะแนนเต็ม]:[คะแนนเต็ม]])*tbl_task8[[%]:[%]])</f>
        <v/>
      </c>
      <c r="LQ20" s="121" t="str">
        <f>IF(ISBLANK(tbl_task8[[คะแนนเต็ม]:[คะแนนเต็ม]]),"",(tbl_task8[159]/tbl_task8[[คะแนนเต็ม]:[คะแนนเต็ม]])*tbl_task8[[%]:[%]])</f>
        <v/>
      </c>
      <c r="LR20" s="121" t="str">
        <f>IF(ISBLANK(tbl_task8[[คะแนนเต็ม]:[คะแนนเต็ม]]),"",(tbl_task8[160]/tbl_task8[[คะแนนเต็ม]:[คะแนนเต็ม]])*tbl_task8[[%]:[%]])</f>
        <v/>
      </c>
      <c r="LS20" s="121" t="str">
        <f>IF(ISBLANK(tbl_task8[[คะแนนเต็ม]:[คะแนนเต็ม]]),"",(tbl_task8[161]/tbl_task8[[คะแนนเต็ม]:[คะแนนเต็ม]])*tbl_task8[[%]:[%]])</f>
        <v/>
      </c>
      <c r="LT20" s="121" t="str">
        <f>IF(ISBLANK(tbl_task8[[คะแนนเต็ม]:[คะแนนเต็ม]]),"",(tbl_task8[162]/tbl_task8[[คะแนนเต็ม]:[คะแนนเต็ม]])*tbl_task8[[%]:[%]])</f>
        <v/>
      </c>
      <c r="LU20" s="121" t="str">
        <f>IF(ISBLANK(tbl_task8[[คะแนนเต็ม]:[คะแนนเต็ม]]),"",(tbl_task8[163]/tbl_task8[[คะแนนเต็ม]:[คะแนนเต็ม]])*tbl_task8[[%]:[%]])</f>
        <v/>
      </c>
      <c r="LV20" s="121" t="str">
        <f>IF(ISBLANK(tbl_task8[[คะแนนเต็ม]:[คะแนนเต็ม]]),"",(tbl_task8[164]/tbl_task8[[คะแนนเต็ม]:[คะแนนเต็ม]])*tbl_task8[[%]:[%]])</f>
        <v/>
      </c>
      <c r="LW20" s="121" t="str">
        <f>IF(ISBLANK(tbl_task8[[คะแนนเต็ม]:[คะแนนเต็ม]]),"",(tbl_task8[165]/tbl_task8[[คะแนนเต็ม]:[คะแนนเต็ม]])*tbl_task8[[%]:[%]])</f>
        <v/>
      </c>
    </row>
    <row r="21" spans="1:335" ht="24" customHeight="1" x14ac:dyDescent="0.25">
      <c r="A21" s="24">
        <v>18</v>
      </c>
      <c r="B21" s="20"/>
      <c r="C21" s="5" t="str">
        <f>IF(ISBLANK(B21),"",VLOOKUP(B21,tbl_PLOs[],2,0))</f>
        <v/>
      </c>
      <c r="D21" s="102"/>
      <c r="E21" s="106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21" t="str">
        <f>IF(ISBLANK(tbl_task8[[คะแนนเต็ม]:[คะแนนเต็ม]]),"",(tbl_task8[1]/tbl_task8[[คะแนนเต็ม]:[คะแนนเต็ม]])*tbl_task8[[%]:[%]])</f>
        <v/>
      </c>
      <c r="FP21" s="121" t="str">
        <f>IF(ISBLANK(tbl_task8[[คะแนนเต็ม]:[คะแนนเต็ม]]),"",(tbl_task8[2]/tbl_task8[[คะแนนเต็ม]:[คะแนนเต็ม]])*tbl_task8[[%]:[%]])</f>
        <v/>
      </c>
      <c r="FQ21" s="121" t="str">
        <f>IF(ISBLANK(tbl_task8[[คะแนนเต็ม]:[คะแนนเต็ม]]),"",(tbl_task8[3]/tbl_task8[[คะแนนเต็ม]:[คะแนนเต็ม]])*tbl_task8[[%]:[%]])</f>
        <v/>
      </c>
      <c r="FR21" s="121" t="str">
        <f>IF(ISBLANK(tbl_task8[[คะแนนเต็ม]:[คะแนนเต็ม]]),"",(tbl_task8[4]/tbl_task8[[คะแนนเต็ม]:[คะแนนเต็ม]])*tbl_task8[[%]:[%]])</f>
        <v/>
      </c>
      <c r="FS21" s="121" t="str">
        <f>IF(ISBLANK(tbl_task8[[คะแนนเต็ม]:[คะแนนเต็ม]]),"",(tbl_task8[5]/tbl_task8[[คะแนนเต็ม]:[คะแนนเต็ม]])*tbl_task8[[%]:[%]])</f>
        <v/>
      </c>
      <c r="FT21" s="121" t="str">
        <f>IF(ISBLANK(tbl_task8[[คะแนนเต็ม]:[คะแนนเต็ม]]),"",(tbl_task8[6]/tbl_task8[[คะแนนเต็ม]:[คะแนนเต็ม]])*tbl_task8[[%]:[%]])</f>
        <v/>
      </c>
      <c r="FU21" s="121" t="str">
        <f>IF(ISBLANK(tbl_task8[[คะแนนเต็ม]:[คะแนนเต็ม]]),"",(tbl_task8[7]/tbl_task8[[คะแนนเต็ม]:[คะแนนเต็ม]])*tbl_task8[[%]:[%]])</f>
        <v/>
      </c>
      <c r="FV21" s="121" t="str">
        <f>IF(ISBLANK(tbl_task8[[คะแนนเต็ม]:[คะแนนเต็ม]]),"",(tbl_task8[8]/tbl_task8[[คะแนนเต็ม]:[คะแนนเต็ม]])*tbl_task8[[%]:[%]])</f>
        <v/>
      </c>
      <c r="FW21" s="121" t="str">
        <f>IF(ISBLANK(tbl_task8[[คะแนนเต็ม]:[คะแนนเต็ม]]),"",(tbl_task8[9]/tbl_task8[[คะแนนเต็ม]:[คะแนนเต็ม]])*tbl_task8[[%]:[%]])</f>
        <v/>
      </c>
      <c r="FX21" s="121" t="str">
        <f>IF(ISBLANK(tbl_task8[[คะแนนเต็ม]:[คะแนนเต็ม]]),"",(tbl_task8[10]/tbl_task8[[คะแนนเต็ม]:[คะแนนเต็ม]])*tbl_task8[[%]:[%]])</f>
        <v/>
      </c>
      <c r="FY21" s="121" t="str">
        <f>IF(ISBLANK(tbl_task8[[คะแนนเต็ม]:[คะแนนเต็ม]]),"",(tbl_task8[11]/tbl_task8[[คะแนนเต็ม]:[คะแนนเต็ม]])*tbl_task8[[%]:[%]])</f>
        <v/>
      </c>
      <c r="FZ21" s="121" t="str">
        <f>IF(ISBLANK(tbl_task8[[คะแนนเต็ม]:[คะแนนเต็ม]]),"",(tbl_task8[12]/tbl_task8[[คะแนนเต็ม]:[คะแนนเต็ม]])*tbl_task8[[%]:[%]])</f>
        <v/>
      </c>
      <c r="GA21" s="121" t="str">
        <f>IF(ISBLANK(tbl_task8[[คะแนนเต็ม]:[คะแนนเต็ม]]),"",(tbl_task8[13]/tbl_task8[[คะแนนเต็ม]:[คะแนนเต็ม]])*tbl_task8[[%]:[%]])</f>
        <v/>
      </c>
      <c r="GB21" s="121" t="str">
        <f>IF(ISBLANK(tbl_task8[[คะแนนเต็ม]:[คะแนนเต็ม]]),"",(tbl_task8[14]/tbl_task8[[คะแนนเต็ม]:[คะแนนเต็ม]])*tbl_task8[[%]:[%]])</f>
        <v/>
      </c>
      <c r="GC21" s="121" t="str">
        <f>IF(ISBLANK(tbl_task8[[คะแนนเต็ม]:[คะแนนเต็ม]]),"",(tbl_task8[15]/tbl_task8[[คะแนนเต็ม]:[คะแนนเต็ม]])*tbl_task8[[%]:[%]])</f>
        <v/>
      </c>
      <c r="GD21" s="121" t="str">
        <f>IF(ISBLANK(tbl_task8[[คะแนนเต็ม]:[คะแนนเต็ม]]),"",(tbl_task8[16]/tbl_task8[[คะแนนเต็ม]:[คะแนนเต็ม]])*tbl_task8[[%]:[%]])</f>
        <v/>
      </c>
      <c r="GE21" s="121" t="str">
        <f>IF(ISBLANK(tbl_task8[[คะแนนเต็ม]:[คะแนนเต็ม]]),"",(tbl_task8[17]/tbl_task8[[คะแนนเต็ม]:[คะแนนเต็ม]])*tbl_task8[[%]:[%]])</f>
        <v/>
      </c>
      <c r="GF21" s="121" t="str">
        <f>IF(ISBLANK(tbl_task8[[คะแนนเต็ม]:[คะแนนเต็ม]]),"",(tbl_task8[18]/tbl_task8[[คะแนนเต็ม]:[คะแนนเต็ม]])*tbl_task8[[%]:[%]])</f>
        <v/>
      </c>
      <c r="GG21" s="121" t="str">
        <f>IF(ISBLANK(tbl_task8[[คะแนนเต็ม]:[คะแนนเต็ม]]),"",(tbl_task8[19]/tbl_task8[[คะแนนเต็ม]:[คะแนนเต็ม]])*tbl_task8[[%]:[%]])</f>
        <v/>
      </c>
      <c r="GH21" s="121" t="str">
        <f>IF(ISBLANK(tbl_task8[[คะแนนเต็ม]:[คะแนนเต็ม]]),"",(tbl_task8[20]/tbl_task8[[คะแนนเต็ม]:[คะแนนเต็ม]])*tbl_task8[[%]:[%]])</f>
        <v/>
      </c>
      <c r="GI21" s="121" t="str">
        <f>IF(ISBLANK(tbl_task8[[คะแนนเต็ม]:[คะแนนเต็ม]]),"",(tbl_task8[21]/tbl_task8[[คะแนนเต็ม]:[คะแนนเต็ม]])*tbl_task8[[%]:[%]])</f>
        <v/>
      </c>
      <c r="GJ21" s="121" t="str">
        <f>IF(ISBLANK(tbl_task8[[คะแนนเต็ม]:[คะแนนเต็ม]]),"",(tbl_task8[22]/tbl_task8[[คะแนนเต็ม]:[คะแนนเต็ม]])*tbl_task8[[%]:[%]])</f>
        <v/>
      </c>
      <c r="GK21" s="121" t="str">
        <f>IF(ISBLANK(tbl_task8[[คะแนนเต็ม]:[คะแนนเต็ม]]),"",(tbl_task8[23]/tbl_task8[[คะแนนเต็ม]:[คะแนนเต็ม]])*tbl_task8[[%]:[%]])</f>
        <v/>
      </c>
      <c r="GL21" s="121" t="str">
        <f>IF(ISBLANK(tbl_task8[[คะแนนเต็ม]:[คะแนนเต็ม]]),"",(tbl_task8[24]/tbl_task8[[คะแนนเต็ม]:[คะแนนเต็ม]])*tbl_task8[[%]:[%]])</f>
        <v/>
      </c>
      <c r="GM21" s="121" t="str">
        <f>IF(ISBLANK(tbl_task8[[คะแนนเต็ม]:[คะแนนเต็ม]]),"",(tbl_task8[25]/tbl_task8[[คะแนนเต็ม]:[คะแนนเต็ม]])*tbl_task8[[%]:[%]])</f>
        <v/>
      </c>
      <c r="GN21" s="121" t="str">
        <f>IF(ISBLANK(tbl_task8[[คะแนนเต็ม]:[คะแนนเต็ม]]),"",(tbl_task8[26]/tbl_task8[[คะแนนเต็ม]:[คะแนนเต็ม]])*tbl_task8[[%]:[%]])</f>
        <v/>
      </c>
      <c r="GO21" s="121" t="str">
        <f>IF(ISBLANK(tbl_task8[[คะแนนเต็ม]:[คะแนนเต็ม]]),"",(tbl_task8[27]/tbl_task8[[คะแนนเต็ม]:[คะแนนเต็ม]])*tbl_task8[[%]:[%]])</f>
        <v/>
      </c>
      <c r="GP21" s="121" t="str">
        <f>IF(ISBLANK(tbl_task8[[คะแนนเต็ม]:[คะแนนเต็ม]]),"",(tbl_task8[28]/tbl_task8[[คะแนนเต็ม]:[คะแนนเต็ม]])*tbl_task8[[%]:[%]])</f>
        <v/>
      </c>
      <c r="GQ21" s="121" t="str">
        <f>IF(ISBLANK(tbl_task8[[คะแนนเต็ม]:[คะแนนเต็ม]]),"",(tbl_task8[29]/tbl_task8[[คะแนนเต็ม]:[คะแนนเต็ม]])*tbl_task8[[%]:[%]])</f>
        <v/>
      </c>
      <c r="GR21" s="121" t="str">
        <f>IF(ISBLANK(tbl_task8[[คะแนนเต็ม]:[คะแนนเต็ม]]),"",(tbl_task8[30]/tbl_task8[[คะแนนเต็ม]:[คะแนนเต็ม]])*tbl_task8[[%]:[%]])</f>
        <v/>
      </c>
      <c r="GS21" s="121" t="str">
        <f>IF(ISBLANK(tbl_task8[[คะแนนเต็ม]:[คะแนนเต็ม]]),"",(tbl_task8[31]/tbl_task8[[คะแนนเต็ม]:[คะแนนเต็ม]])*tbl_task8[[%]:[%]])</f>
        <v/>
      </c>
      <c r="GT21" s="121" t="str">
        <f>IF(ISBLANK(tbl_task8[[คะแนนเต็ม]:[คะแนนเต็ม]]),"",(tbl_task8[32]/tbl_task8[[คะแนนเต็ม]:[คะแนนเต็ม]])*tbl_task8[[%]:[%]])</f>
        <v/>
      </c>
      <c r="GU21" s="121" t="str">
        <f>IF(ISBLANK(tbl_task8[[คะแนนเต็ม]:[คะแนนเต็ม]]),"",(tbl_task8[33]/tbl_task8[[คะแนนเต็ม]:[คะแนนเต็ม]])*tbl_task8[[%]:[%]])</f>
        <v/>
      </c>
      <c r="GV21" s="121" t="str">
        <f>IF(ISBLANK(tbl_task8[[คะแนนเต็ม]:[คะแนนเต็ม]]),"",(tbl_task8[34]/tbl_task8[[คะแนนเต็ม]:[คะแนนเต็ม]])*tbl_task8[[%]:[%]])</f>
        <v/>
      </c>
      <c r="GW21" s="121" t="str">
        <f>IF(ISBLANK(tbl_task8[[คะแนนเต็ม]:[คะแนนเต็ม]]),"",(tbl_task8[35]/tbl_task8[[คะแนนเต็ม]:[คะแนนเต็ม]])*tbl_task8[[%]:[%]])</f>
        <v/>
      </c>
      <c r="GX21" s="121" t="str">
        <f>IF(ISBLANK(tbl_task8[[คะแนนเต็ม]:[คะแนนเต็ม]]),"",(tbl_task8[36]/tbl_task8[[คะแนนเต็ม]:[คะแนนเต็ม]])*tbl_task8[[%]:[%]])</f>
        <v/>
      </c>
      <c r="GY21" s="121" t="str">
        <f>IF(ISBLANK(tbl_task8[[คะแนนเต็ม]:[คะแนนเต็ม]]),"",(tbl_task8[37]/tbl_task8[[คะแนนเต็ม]:[คะแนนเต็ม]])*tbl_task8[[%]:[%]])</f>
        <v/>
      </c>
      <c r="GZ21" s="121" t="str">
        <f>IF(ISBLANK(tbl_task8[[คะแนนเต็ม]:[คะแนนเต็ม]]),"",(tbl_task8[38]/tbl_task8[[คะแนนเต็ม]:[คะแนนเต็ม]])*tbl_task8[[%]:[%]])</f>
        <v/>
      </c>
      <c r="HA21" s="121" t="str">
        <f>IF(ISBLANK(tbl_task8[[คะแนนเต็ม]:[คะแนนเต็ม]]),"",(tbl_task8[39]/tbl_task8[[คะแนนเต็ม]:[คะแนนเต็ม]])*tbl_task8[[%]:[%]])</f>
        <v/>
      </c>
      <c r="HB21" s="121" t="str">
        <f>IF(ISBLANK(tbl_task8[[คะแนนเต็ม]:[คะแนนเต็ม]]),"",(tbl_task8[40]/tbl_task8[[คะแนนเต็ม]:[คะแนนเต็ม]])*tbl_task8[[%]:[%]])</f>
        <v/>
      </c>
      <c r="HC21" s="121" t="str">
        <f>IF(ISBLANK(tbl_task8[[คะแนนเต็ม]:[คะแนนเต็ม]]),"",(tbl_task8[41]/tbl_task8[[คะแนนเต็ม]:[คะแนนเต็ม]])*tbl_task8[[%]:[%]])</f>
        <v/>
      </c>
      <c r="HD21" s="121" t="str">
        <f>IF(ISBLANK(tbl_task8[[คะแนนเต็ม]:[คะแนนเต็ม]]),"",(tbl_task8[42]/tbl_task8[[คะแนนเต็ม]:[คะแนนเต็ม]])*tbl_task8[[%]:[%]])</f>
        <v/>
      </c>
      <c r="HE21" s="121" t="str">
        <f>IF(ISBLANK(tbl_task8[[คะแนนเต็ม]:[คะแนนเต็ม]]),"",(tbl_task8[43]/tbl_task8[[คะแนนเต็ม]:[คะแนนเต็ม]])*tbl_task8[[%]:[%]])</f>
        <v/>
      </c>
      <c r="HF21" s="121" t="str">
        <f>IF(ISBLANK(tbl_task8[[คะแนนเต็ม]:[คะแนนเต็ม]]),"",(tbl_task8[44]/tbl_task8[[คะแนนเต็ม]:[คะแนนเต็ม]])*tbl_task8[[%]:[%]])</f>
        <v/>
      </c>
      <c r="HG21" s="121" t="str">
        <f>IF(ISBLANK(tbl_task8[[คะแนนเต็ม]:[คะแนนเต็ม]]),"",(tbl_task8[45]/tbl_task8[[คะแนนเต็ม]:[คะแนนเต็ม]])*tbl_task8[[%]:[%]])</f>
        <v/>
      </c>
      <c r="HH21" s="121" t="str">
        <f>IF(ISBLANK(tbl_task8[[คะแนนเต็ม]:[คะแนนเต็ม]]),"",(tbl_task8[46]/tbl_task8[[คะแนนเต็ม]:[คะแนนเต็ม]])*tbl_task8[[%]:[%]])</f>
        <v/>
      </c>
      <c r="HI21" s="121" t="str">
        <f>IF(ISBLANK(tbl_task8[[คะแนนเต็ม]:[คะแนนเต็ม]]),"",(tbl_task8[47]/tbl_task8[[คะแนนเต็ม]:[คะแนนเต็ม]])*tbl_task8[[%]:[%]])</f>
        <v/>
      </c>
      <c r="HJ21" s="121" t="str">
        <f>IF(ISBLANK(tbl_task8[[คะแนนเต็ม]:[คะแนนเต็ม]]),"",(tbl_task8[48]/tbl_task8[[คะแนนเต็ม]:[คะแนนเต็ม]])*tbl_task8[[%]:[%]])</f>
        <v/>
      </c>
      <c r="HK21" s="121" t="str">
        <f>IF(ISBLANK(tbl_task8[[คะแนนเต็ม]:[คะแนนเต็ม]]),"",(tbl_task8[49]/tbl_task8[[คะแนนเต็ม]:[คะแนนเต็ม]])*tbl_task8[[%]:[%]])</f>
        <v/>
      </c>
      <c r="HL21" s="121" t="str">
        <f>IF(ISBLANK(tbl_task8[[คะแนนเต็ม]:[คะแนนเต็ม]]),"",(tbl_task8[50]/tbl_task8[[คะแนนเต็ม]:[คะแนนเต็ม]])*tbl_task8[[%]:[%]])</f>
        <v/>
      </c>
      <c r="HM21" s="121" t="str">
        <f>IF(ISBLANK(tbl_task8[[คะแนนเต็ม]:[คะแนนเต็ม]]),"",(tbl_task8[51]/tbl_task8[[คะแนนเต็ม]:[คะแนนเต็ม]])*tbl_task8[[%]:[%]])</f>
        <v/>
      </c>
      <c r="HN21" s="121" t="str">
        <f>IF(ISBLANK(tbl_task8[[คะแนนเต็ม]:[คะแนนเต็ม]]),"",(tbl_task8[52]/tbl_task8[[คะแนนเต็ม]:[คะแนนเต็ม]])*tbl_task8[[%]:[%]])</f>
        <v/>
      </c>
      <c r="HO21" s="121" t="str">
        <f>IF(ISBLANK(tbl_task8[[คะแนนเต็ม]:[คะแนนเต็ม]]),"",(tbl_task8[53]/tbl_task8[[คะแนนเต็ม]:[คะแนนเต็ม]])*tbl_task8[[%]:[%]])</f>
        <v/>
      </c>
      <c r="HP21" s="121" t="str">
        <f>IF(ISBLANK(tbl_task8[[คะแนนเต็ม]:[คะแนนเต็ม]]),"",(tbl_task8[54]/tbl_task8[[คะแนนเต็ม]:[คะแนนเต็ม]])*tbl_task8[[%]:[%]])</f>
        <v/>
      </c>
      <c r="HQ21" s="121" t="str">
        <f>IF(ISBLANK(tbl_task8[[คะแนนเต็ม]:[คะแนนเต็ม]]),"",(tbl_task8[55]/tbl_task8[[คะแนนเต็ม]:[คะแนนเต็ม]])*tbl_task8[[%]:[%]])</f>
        <v/>
      </c>
      <c r="HR21" s="121" t="str">
        <f>IF(ISBLANK(tbl_task8[[คะแนนเต็ม]:[คะแนนเต็ม]]),"",(tbl_task8[56]/tbl_task8[[คะแนนเต็ม]:[คะแนนเต็ม]])*tbl_task8[[%]:[%]])</f>
        <v/>
      </c>
      <c r="HS21" s="121" t="str">
        <f>IF(ISBLANK(tbl_task8[[คะแนนเต็ม]:[คะแนนเต็ม]]),"",(tbl_task8[57]/tbl_task8[[คะแนนเต็ม]:[คะแนนเต็ม]])*tbl_task8[[%]:[%]])</f>
        <v/>
      </c>
      <c r="HT21" s="121" t="str">
        <f>IF(ISBLANK(tbl_task8[[คะแนนเต็ม]:[คะแนนเต็ม]]),"",(tbl_task8[58]/tbl_task8[[คะแนนเต็ม]:[คะแนนเต็ม]])*tbl_task8[[%]:[%]])</f>
        <v/>
      </c>
      <c r="HU21" s="121" t="str">
        <f>IF(ISBLANK(tbl_task8[[คะแนนเต็ม]:[คะแนนเต็ม]]),"",(tbl_task8[59]/tbl_task8[[คะแนนเต็ม]:[คะแนนเต็ม]])*tbl_task8[[%]:[%]])</f>
        <v/>
      </c>
      <c r="HV21" s="121" t="str">
        <f>IF(ISBLANK(tbl_task8[[คะแนนเต็ม]:[คะแนนเต็ม]]),"",(tbl_task8[60]/tbl_task8[[คะแนนเต็ม]:[คะแนนเต็ม]])*tbl_task8[[%]:[%]])</f>
        <v/>
      </c>
      <c r="HW21" s="121" t="str">
        <f>IF(ISBLANK(tbl_task8[[คะแนนเต็ม]:[คะแนนเต็ม]]),"",(tbl_task8[61]/tbl_task8[[คะแนนเต็ม]:[คะแนนเต็ม]])*tbl_task8[[%]:[%]])</f>
        <v/>
      </c>
      <c r="HX21" s="121" t="str">
        <f>IF(ISBLANK(tbl_task8[[คะแนนเต็ม]:[คะแนนเต็ม]]),"",(tbl_task8[62]/tbl_task8[[คะแนนเต็ม]:[คะแนนเต็ม]])*tbl_task8[[%]:[%]])</f>
        <v/>
      </c>
      <c r="HY21" s="121" t="str">
        <f>IF(ISBLANK(tbl_task8[[คะแนนเต็ม]:[คะแนนเต็ม]]),"",(tbl_task8[63]/tbl_task8[[คะแนนเต็ม]:[คะแนนเต็ม]])*tbl_task8[[%]:[%]])</f>
        <v/>
      </c>
      <c r="HZ21" s="121" t="str">
        <f>IF(ISBLANK(tbl_task8[[คะแนนเต็ม]:[คะแนนเต็ม]]),"",(tbl_task8[64]/tbl_task8[[คะแนนเต็ม]:[คะแนนเต็ม]])*tbl_task8[[%]:[%]])</f>
        <v/>
      </c>
      <c r="IA21" s="121" t="str">
        <f>IF(ISBLANK(tbl_task8[[คะแนนเต็ม]:[คะแนนเต็ม]]),"",(tbl_task8[65]/tbl_task8[[คะแนนเต็ม]:[คะแนนเต็ม]])*tbl_task8[[%]:[%]])</f>
        <v/>
      </c>
      <c r="IB21" s="121" t="str">
        <f>IF(ISBLANK(tbl_task8[[คะแนนเต็ม]:[คะแนนเต็ม]]),"",(tbl_task8[66]/tbl_task8[[คะแนนเต็ม]:[คะแนนเต็ม]])*tbl_task8[[%]:[%]])</f>
        <v/>
      </c>
      <c r="IC21" s="121" t="str">
        <f>IF(ISBLANK(tbl_task8[[คะแนนเต็ม]:[คะแนนเต็ม]]),"",(tbl_task8[67]/tbl_task8[[คะแนนเต็ม]:[คะแนนเต็ม]])*tbl_task8[[%]:[%]])</f>
        <v/>
      </c>
      <c r="ID21" s="121" t="str">
        <f>IF(ISBLANK(tbl_task8[[คะแนนเต็ม]:[คะแนนเต็ม]]),"",(tbl_task8[68]/tbl_task8[[คะแนนเต็ม]:[คะแนนเต็ม]])*tbl_task8[[%]:[%]])</f>
        <v/>
      </c>
      <c r="IE21" s="121" t="str">
        <f>IF(ISBLANK(tbl_task8[[คะแนนเต็ม]:[คะแนนเต็ม]]),"",(tbl_task8[69]/tbl_task8[[คะแนนเต็ม]:[คะแนนเต็ม]])*tbl_task8[[%]:[%]])</f>
        <v/>
      </c>
      <c r="IF21" s="121" t="str">
        <f>IF(ISBLANK(tbl_task8[[คะแนนเต็ม]:[คะแนนเต็ม]]),"",(tbl_task8[70]/tbl_task8[[คะแนนเต็ม]:[คะแนนเต็ม]])*tbl_task8[[%]:[%]])</f>
        <v/>
      </c>
      <c r="IG21" s="121" t="str">
        <f>IF(ISBLANK(tbl_task8[[คะแนนเต็ม]:[คะแนนเต็ม]]),"",(tbl_task8[71]/tbl_task8[[คะแนนเต็ม]:[คะแนนเต็ม]])*tbl_task8[[%]:[%]])</f>
        <v/>
      </c>
      <c r="IH21" s="121" t="str">
        <f>IF(ISBLANK(tbl_task8[[คะแนนเต็ม]:[คะแนนเต็ม]]),"",(tbl_task8[72]/tbl_task8[[คะแนนเต็ม]:[คะแนนเต็ม]])*tbl_task8[[%]:[%]])</f>
        <v/>
      </c>
      <c r="II21" s="121" t="str">
        <f>IF(ISBLANK(tbl_task8[[คะแนนเต็ม]:[คะแนนเต็ม]]),"",(tbl_task8[73]/tbl_task8[[คะแนนเต็ม]:[คะแนนเต็ม]])*tbl_task8[[%]:[%]])</f>
        <v/>
      </c>
      <c r="IJ21" s="121" t="str">
        <f>IF(ISBLANK(tbl_task8[[คะแนนเต็ม]:[คะแนนเต็ม]]),"",(tbl_task8[74]/tbl_task8[[คะแนนเต็ม]:[คะแนนเต็ม]])*tbl_task8[[%]:[%]])</f>
        <v/>
      </c>
      <c r="IK21" s="121" t="str">
        <f>IF(ISBLANK(tbl_task8[[คะแนนเต็ม]:[คะแนนเต็ม]]),"",(tbl_task8[75]/tbl_task8[[คะแนนเต็ม]:[คะแนนเต็ม]])*tbl_task8[[%]:[%]])</f>
        <v/>
      </c>
      <c r="IL21" s="121" t="str">
        <f>IF(ISBLANK(tbl_task8[[คะแนนเต็ม]:[คะแนนเต็ม]]),"",(tbl_task8[76]/tbl_task8[[คะแนนเต็ม]:[คะแนนเต็ม]])*tbl_task8[[%]:[%]])</f>
        <v/>
      </c>
      <c r="IM21" s="121" t="str">
        <f>IF(ISBLANK(tbl_task8[[คะแนนเต็ม]:[คะแนนเต็ม]]),"",(tbl_task8[77]/tbl_task8[[คะแนนเต็ม]:[คะแนนเต็ม]])*tbl_task8[[%]:[%]])</f>
        <v/>
      </c>
      <c r="IN21" s="121" t="str">
        <f>IF(ISBLANK(tbl_task8[[คะแนนเต็ม]:[คะแนนเต็ม]]),"",(tbl_task8[78]/tbl_task8[[คะแนนเต็ม]:[คะแนนเต็ม]])*tbl_task8[[%]:[%]])</f>
        <v/>
      </c>
      <c r="IO21" s="121" t="str">
        <f>IF(ISBLANK(tbl_task8[[คะแนนเต็ม]:[คะแนนเต็ม]]),"",(tbl_task8[79]/tbl_task8[[คะแนนเต็ม]:[คะแนนเต็ม]])*tbl_task8[[%]:[%]])</f>
        <v/>
      </c>
      <c r="IP21" s="121" t="str">
        <f>IF(ISBLANK(tbl_task8[[คะแนนเต็ม]:[คะแนนเต็ม]]),"",(tbl_task8[80]/tbl_task8[[คะแนนเต็ม]:[คะแนนเต็ม]])*tbl_task8[[%]:[%]])</f>
        <v/>
      </c>
      <c r="IQ21" s="121" t="str">
        <f>IF(ISBLANK(tbl_task8[[คะแนนเต็ม]:[คะแนนเต็ม]]),"",(tbl_task8[81]/tbl_task8[[คะแนนเต็ม]:[คะแนนเต็ม]])*tbl_task8[[%]:[%]])</f>
        <v/>
      </c>
      <c r="IR21" s="121" t="str">
        <f>IF(ISBLANK(tbl_task8[[คะแนนเต็ม]:[คะแนนเต็ม]]),"",(tbl_task8[82]/tbl_task8[[คะแนนเต็ม]:[คะแนนเต็ม]])*tbl_task8[[%]:[%]])</f>
        <v/>
      </c>
      <c r="IS21" s="121" t="str">
        <f>IF(ISBLANK(tbl_task8[[คะแนนเต็ม]:[คะแนนเต็ม]]),"",(tbl_task8[83]/tbl_task8[[คะแนนเต็ม]:[คะแนนเต็ม]])*tbl_task8[[%]:[%]])</f>
        <v/>
      </c>
      <c r="IT21" s="121" t="str">
        <f>IF(ISBLANK(tbl_task8[[คะแนนเต็ม]:[คะแนนเต็ม]]),"",(tbl_task8[84]/tbl_task8[[คะแนนเต็ม]:[คะแนนเต็ม]])*tbl_task8[[%]:[%]])</f>
        <v/>
      </c>
      <c r="IU21" s="121" t="str">
        <f>IF(ISBLANK(tbl_task8[[คะแนนเต็ม]:[คะแนนเต็ม]]),"",(tbl_task8[85]/tbl_task8[[คะแนนเต็ม]:[คะแนนเต็ม]])*tbl_task8[[%]:[%]])</f>
        <v/>
      </c>
      <c r="IV21" s="121" t="str">
        <f>IF(ISBLANK(tbl_task8[[คะแนนเต็ม]:[คะแนนเต็ม]]),"",(tbl_task8[86]/tbl_task8[[คะแนนเต็ม]:[คะแนนเต็ม]])*tbl_task8[[%]:[%]])</f>
        <v/>
      </c>
      <c r="IW21" s="121" t="str">
        <f>IF(ISBLANK(tbl_task8[[คะแนนเต็ม]:[คะแนนเต็ม]]),"",(tbl_task8[87]/tbl_task8[[คะแนนเต็ม]:[คะแนนเต็ม]])*tbl_task8[[%]:[%]])</f>
        <v/>
      </c>
      <c r="IX21" s="121" t="str">
        <f>IF(ISBLANK(tbl_task8[[คะแนนเต็ม]:[คะแนนเต็ม]]),"",(tbl_task8[88]/tbl_task8[[คะแนนเต็ม]:[คะแนนเต็ม]])*tbl_task8[[%]:[%]])</f>
        <v/>
      </c>
      <c r="IY21" s="121" t="str">
        <f>IF(ISBLANK(tbl_task8[[คะแนนเต็ม]:[คะแนนเต็ม]]),"",(tbl_task8[89]/tbl_task8[[คะแนนเต็ม]:[คะแนนเต็ม]])*tbl_task8[[%]:[%]])</f>
        <v/>
      </c>
      <c r="IZ21" s="121" t="str">
        <f>IF(ISBLANK(tbl_task8[[คะแนนเต็ม]:[คะแนนเต็ม]]),"",(tbl_task8[90]/tbl_task8[[คะแนนเต็ม]:[คะแนนเต็ม]])*tbl_task8[[%]:[%]])</f>
        <v/>
      </c>
      <c r="JA21" s="121" t="str">
        <f>IF(ISBLANK(tbl_task8[[คะแนนเต็ม]:[คะแนนเต็ม]]),"",(tbl_task8[91]/tbl_task8[[คะแนนเต็ม]:[คะแนนเต็ม]])*tbl_task8[[%]:[%]])</f>
        <v/>
      </c>
      <c r="JB21" s="121" t="str">
        <f>IF(ISBLANK(tbl_task8[[คะแนนเต็ม]:[คะแนนเต็ม]]),"",(tbl_task8[92]/tbl_task8[[คะแนนเต็ม]:[คะแนนเต็ม]])*tbl_task8[[%]:[%]])</f>
        <v/>
      </c>
      <c r="JC21" s="121" t="str">
        <f>IF(ISBLANK(tbl_task8[[คะแนนเต็ม]:[คะแนนเต็ม]]),"",(tbl_task8[93]/tbl_task8[[คะแนนเต็ม]:[คะแนนเต็ม]])*tbl_task8[[%]:[%]])</f>
        <v/>
      </c>
      <c r="JD21" s="121" t="str">
        <f>IF(ISBLANK(tbl_task8[[คะแนนเต็ม]:[คะแนนเต็ม]]),"",(tbl_task8[94]/tbl_task8[[คะแนนเต็ม]:[คะแนนเต็ม]])*tbl_task8[[%]:[%]])</f>
        <v/>
      </c>
      <c r="JE21" s="121" t="str">
        <f>IF(ISBLANK(tbl_task8[[คะแนนเต็ม]:[คะแนนเต็ม]]),"",(tbl_task8[95]/tbl_task8[[คะแนนเต็ม]:[คะแนนเต็ม]])*tbl_task8[[%]:[%]])</f>
        <v/>
      </c>
      <c r="JF21" s="121" t="str">
        <f>IF(ISBLANK(tbl_task8[[คะแนนเต็ม]:[คะแนนเต็ม]]),"",(tbl_task8[96]/tbl_task8[[คะแนนเต็ม]:[คะแนนเต็ม]])*tbl_task8[[%]:[%]])</f>
        <v/>
      </c>
      <c r="JG21" s="121" t="str">
        <f>IF(ISBLANK(tbl_task8[[คะแนนเต็ม]:[คะแนนเต็ม]]),"",(tbl_task8[97]/tbl_task8[[คะแนนเต็ม]:[คะแนนเต็ม]])*tbl_task8[[%]:[%]])</f>
        <v/>
      </c>
      <c r="JH21" s="121" t="str">
        <f>IF(ISBLANK(tbl_task8[[คะแนนเต็ม]:[คะแนนเต็ม]]),"",(tbl_task8[98]/tbl_task8[[คะแนนเต็ม]:[คะแนนเต็ม]])*tbl_task8[[%]:[%]])</f>
        <v/>
      </c>
      <c r="JI21" s="121" t="str">
        <f>IF(ISBLANK(tbl_task8[[คะแนนเต็ม]:[คะแนนเต็ม]]),"",(tbl_task8[99]/tbl_task8[[คะแนนเต็ม]:[คะแนนเต็ม]])*tbl_task8[[%]:[%]])</f>
        <v/>
      </c>
      <c r="JJ21" s="121" t="str">
        <f>IF(ISBLANK(tbl_task8[[คะแนนเต็ม]:[คะแนนเต็ม]]),"",(tbl_task8[100]/tbl_task8[[คะแนนเต็ม]:[คะแนนเต็ม]])*tbl_task8[[%]:[%]])</f>
        <v/>
      </c>
      <c r="JK21" s="121" t="str">
        <f>IF(ISBLANK(tbl_task8[[คะแนนเต็ม]:[คะแนนเต็ม]]),"",(tbl_task8[101]/tbl_task8[[คะแนนเต็ม]:[คะแนนเต็ม]])*tbl_task8[[%]:[%]])</f>
        <v/>
      </c>
      <c r="JL21" s="121" t="str">
        <f>IF(ISBLANK(tbl_task8[[คะแนนเต็ม]:[คะแนนเต็ม]]),"",(tbl_task8[102]/tbl_task8[[คะแนนเต็ม]:[คะแนนเต็ม]])*tbl_task8[[%]:[%]])</f>
        <v/>
      </c>
      <c r="JM21" s="121" t="str">
        <f>IF(ISBLANK(tbl_task8[[คะแนนเต็ม]:[คะแนนเต็ม]]),"",(tbl_task8[103]/tbl_task8[[คะแนนเต็ม]:[คะแนนเต็ม]])*tbl_task8[[%]:[%]])</f>
        <v/>
      </c>
      <c r="JN21" s="121" t="str">
        <f>IF(ISBLANK(tbl_task8[[คะแนนเต็ม]:[คะแนนเต็ม]]),"",(tbl_task8[104]/tbl_task8[[คะแนนเต็ม]:[คะแนนเต็ม]])*tbl_task8[[%]:[%]])</f>
        <v/>
      </c>
      <c r="JO21" s="121" t="str">
        <f>IF(ISBLANK(tbl_task8[[คะแนนเต็ม]:[คะแนนเต็ม]]),"",(tbl_task8[105]/tbl_task8[[คะแนนเต็ม]:[คะแนนเต็ม]])*tbl_task8[[%]:[%]])</f>
        <v/>
      </c>
      <c r="JP21" s="121" t="str">
        <f>IF(ISBLANK(tbl_task8[[คะแนนเต็ม]:[คะแนนเต็ม]]),"",(tbl_task8[106]/tbl_task8[[คะแนนเต็ม]:[คะแนนเต็ม]])*tbl_task8[[%]:[%]])</f>
        <v/>
      </c>
      <c r="JQ21" s="121" t="str">
        <f>IF(ISBLANK(tbl_task8[[คะแนนเต็ม]:[คะแนนเต็ม]]),"",(tbl_task8[107]/tbl_task8[[คะแนนเต็ม]:[คะแนนเต็ม]])*tbl_task8[[%]:[%]])</f>
        <v/>
      </c>
      <c r="JR21" s="121" t="str">
        <f>IF(ISBLANK(tbl_task8[[คะแนนเต็ม]:[คะแนนเต็ม]]),"",(tbl_task8[108]/tbl_task8[[คะแนนเต็ม]:[คะแนนเต็ม]])*tbl_task8[[%]:[%]])</f>
        <v/>
      </c>
      <c r="JS21" s="121" t="str">
        <f>IF(ISBLANK(tbl_task8[[คะแนนเต็ม]:[คะแนนเต็ม]]),"",(tbl_task8[109]/tbl_task8[[คะแนนเต็ม]:[คะแนนเต็ม]])*tbl_task8[[%]:[%]])</f>
        <v/>
      </c>
      <c r="JT21" s="121" t="str">
        <f>IF(ISBLANK(tbl_task8[[คะแนนเต็ม]:[คะแนนเต็ม]]),"",(tbl_task8[110]/tbl_task8[[คะแนนเต็ม]:[คะแนนเต็ม]])*tbl_task8[[%]:[%]])</f>
        <v/>
      </c>
      <c r="JU21" s="121" t="str">
        <f>IF(ISBLANK(tbl_task8[[คะแนนเต็ม]:[คะแนนเต็ม]]),"",(tbl_task8[111]/tbl_task8[[คะแนนเต็ม]:[คะแนนเต็ม]])*tbl_task8[[%]:[%]])</f>
        <v/>
      </c>
      <c r="JV21" s="121" t="str">
        <f>IF(ISBLANK(tbl_task8[[คะแนนเต็ม]:[คะแนนเต็ม]]),"",(tbl_task8[112]/tbl_task8[[คะแนนเต็ม]:[คะแนนเต็ม]])*tbl_task8[[%]:[%]])</f>
        <v/>
      </c>
      <c r="JW21" s="121" t="str">
        <f>IF(ISBLANK(tbl_task8[[คะแนนเต็ม]:[คะแนนเต็ม]]),"",(tbl_task8[113]/tbl_task8[[คะแนนเต็ม]:[คะแนนเต็ม]])*tbl_task8[[%]:[%]])</f>
        <v/>
      </c>
      <c r="JX21" s="121" t="str">
        <f>IF(ISBLANK(tbl_task8[[คะแนนเต็ม]:[คะแนนเต็ม]]),"",(tbl_task8[114]/tbl_task8[[คะแนนเต็ม]:[คะแนนเต็ม]])*tbl_task8[[%]:[%]])</f>
        <v/>
      </c>
      <c r="JY21" s="121" t="str">
        <f>IF(ISBLANK(tbl_task8[[คะแนนเต็ม]:[คะแนนเต็ม]]),"",(tbl_task8[115]/tbl_task8[[คะแนนเต็ม]:[คะแนนเต็ม]])*tbl_task8[[%]:[%]])</f>
        <v/>
      </c>
      <c r="JZ21" s="121" t="str">
        <f>IF(ISBLANK(tbl_task8[[คะแนนเต็ม]:[คะแนนเต็ม]]),"",(tbl_task8[116]/tbl_task8[[คะแนนเต็ม]:[คะแนนเต็ม]])*tbl_task8[[%]:[%]])</f>
        <v/>
      </c>
      <c r="KA21" s="121" t="str">
        <f>IF(ISBLANK(tbl_task8[[คะแนนเต็ม]:[คะแนนเต็ม]]),"",(tbl_task8[117]/tbl_task8[[คะแนนเต็ม]:[คะแนนเต็ม]])*tbl_task8[[%]:[%]])</f>
        <v/>
      </c>
      <c r="KB21" s="121" t="str">
        <f>IF(ISBLANK(tbl_task8[[คะแนนเต็ม]:[คะแนนเต็ม]]),"",(tbl_task8[118]/tbl_task8[[คะแนนเต็ม]:[คะแนนเต็ม]])*tbl_task8[[%]:[%]])</f>
        <v/>
      </c>
      <c r="KC21" s="121" t="str">
        <f>IF(ISBLANK(tbl_task8[[คะแนนเต็ม]:[คะแนนเต็ม]]),"",(tbl_task8[119]/tbl_task8[[คะแนนเต็ม]:[คะแนนเต็ม]])*tbl_task8[[%]:[%]])</f>
        <v/>
      </c>
      <c r="KD21" s="121" t="str">
        <f>IF(ISBLANK(tbl_task8[[คะแนนเต็ม]:[คะแนนเต็ม]]),"",(tbl_task8[120]/tbl_task8[[คะแนนเต็ม]:[คะแนนเต็ม]])*tbl_task8[[%]:[%]])</f>
        <v/>
      </c>
      <c r="KE21" s="121" t="str">
        <f>IF(ISBLANK(tbl_task8[[คะแนนเต็ม]:[คะแนนเต็ม]]),"",(tbl_task8[121]/tbl_task8[[คะแนนเต็ม]:[คะแนนเต็ม]])*tbl_task8[[%]:[%]])</f>
        <v/>
      </c>
      <c r="KF21" s="121" t="str">
        <f>IF(ISBLANK(tbl_task8[[คะแนนเต็ม]:[คะแนนเต็ม]]),"",(tbl_task8[122]/tbl_task8[[คะแนนเต็ม]:[คะแนนเต็ม]])*tbl_task8[[%]:[%]])</f>
        <v/>
      </c>
      <c r="KG21" s="121" t="str">
        <f>IF(ISBLANK(tbl_task8[[คะแนนเต็ม]:[คะแนนเต็ม]]),"",(tbl_task8[123]/tbl_task8[[คะแนนเต็ม]:[คะแนนเต็ม]])*tbl_task8[[%]:[%]])</f>
        <v/>
      </c>
      <c r="KH21" s="121" t="str">
        <f>IF(ISBLANK(tbl_task8[[คะแนนเต็ม]:[คะแนนเต็ม]]),"",(tbl_task8[124]/tbl_task8[[คะแนนเต็ม]:[คะแนนเต็ม]])*tbl_task8[[%]:[%]])</f>
        <v/>
      </c>
      <c r="KI21" s="121" t="str">
        <f>IF(ISBLANK(tbl_task8[[คะแนนเต็ม]:[คะแนนเต็ม]]),"",(tbl_task8[125]/tbl_task8[[คะแนนเต็ม]:[คะแนนเต็ม]])*tbl_task8[[%]:[%]])</f>
        <v/>
      </c>
      <c r="KJ21" s="121" t="str">
        <f>IF(ISBLANK(tbl_task8[[คะแนนเต็ม]:[คะแนนเต็ม]]),"",(tbl_task8[126]/tbl_task8[[คะแนนเต็ม]:[คะแนนเต็ม]])*tbl_task8[[%]:[%]])</f>
        <v/>
      </c>
      <c r="KK21" s="121" t="str">
        <f>IF(ISBLANK(tbl_task8[[คะแนนเต็ม]:[คะแนนเต็ม]]),"",(tbl_task8[127]/tbl_task8[[คะแนนเต็ม]:[คะแนนเต็ม]])*tbl_task8[[%]:[%]])</f>
        <v/>
      </c>
      <c r="KL21" s="121" t="str">
        <f>IF(ISBLANK(tbl_task8[[คะแนนเต็ม]:[คะแนนเต็ม]]),"",(tbl_task8[128]/tbl_task8[[คะแนนเต็ม]:[คะแนนเต็ม]])*tbl_task8[[%]:[%]])</f>
        <v/>
      </c>
      <c r="KM21" s="121" t="str">
        <f>IF(ISBLANK(tbl_task8[[คะแนนเต็ม]:[คะแนนเต็ม]]),"",(tbl_task8[129]/tbl_task8[[คะแนนเต็ม]:[คะแนนเต็ม]])*tbl_task8[[%]:[%]])</f>
        <v/>
      </c>
      <c r="KN21" s="121" t="str">
        <f>IF(ISBLANK(tbl_task8[[คะแนนเต็ม]:[คะแนนเต็ม]]),"",(tbl_task8[130]/tbl_task8[[คะแนนเต็ม]:[คะแนนเต็ม]])*tbl_task8[[%]:[%]])</f>
        <v/>
      </c>
      <c r="KO21" s="121" t="str">
        <f>IF(ISBLANK(tbl_task8[[คะแนนเต็ม]:[คะแนนเต็ม]]),"",(tbl_task8[131]/tbl_task8[[คะแนนเต็ม]:[คะแนนเต็ม]])*tbl_task8[[%]:[%]])</f>
        <v/>
      </c>
      <c r="KP21" s="121" t="str">
        <f>IF(ISBLANK(tbl_task8[[คะแนนเต็ม]:[คะแนนเต็ม]]),"",(tbl_task8[132]/tbl_task8[[คะแนนเต็ม]:[คะแนนเต็ม]])*tbl_task8[[%]:[%]])</f>
        <v/>
      </c>
      <c r="KQ21" s="121" t="str">
        <f>IF(ISBLANK(tbl_task8[[คะแนนเต็ม]:[คะแนนเต็ม]]),"",(tbl_task8[133]/tbl_task8[[คะแนนเต็ม]:[คะแนนเต็ม]])*tbl_task8[[%]:[%]])</f>
        <v/>
      </c>
      <c r="KR21" s="121" t="str">
        <f>IF(ISBLANK(tbl_task8[[คะแนนเต็ม]:[คะแนนเต็ม]]),"",(tbl_task8[134]/tbl_task8[[คะแนนเต็ม]:[คะแนนเต็ม]])*tbl_task8[[%]:[%]])</f>
        <v/>
      </c>
      <c r="KS21" s="121" t="str">
        <f>IF(ISBLANK(tbl_task8[[คะแนนเต็ม]:[คะแนนเต็ม]]),"",(tbl_task8[135]/tbl_task8[[คะแนนเต็ม]:[คะแนนเต็ม]])*tbl_task8[[%]:[%]])</f>
        <v/>
      </c>
      <c r="KT21" s="121" t="str">
        <f>IF(ISBLANK(tbl_task8[[คะแนนเต็ม]:[คะแนนเต็ม]]),"",(tbl_task8[136]/tbl_task8[[คะแนนเต็ม]:[คะแนนเต็ม]])*tbl_task8[[%]:[%]])</f>
        <v/>
      </c>
      <c r="KU21" s="121" t="str">
        <f>IF(ISBLANK(tbl_task8[[คะแนนเต็ม]:[คะแนนเต็ม]]),"",(tbl_task8[137]/tbl_task8[[คะแนนเต็ม]:[คะแนนเต็ม]])*tbl_task8[[%]:[%]])</f>
        <v/>
      </c>
      <c r="KV21" s="121" t="str">
        <f>IF(ISBLANK(tbl_task8[[คะแนนเต็ม]:[คะแนนเต็ม]]),"",(tbl_task8[138]/tbl_task8[[คะแนนเต็ม]:[คะแนนเต็ม]])*tbl_task8[[%]:[%]])</f>
        <v/>
      </c>
      <c r="KW21" s="121" t="str">
        <f>IF(ISBLANK(tbl_task8[[คะแนนเต็ม]:[คะแนนเต็ม]]),"",(tbl_task8[139]/tbl_task8[[คะแนนเต็ม]:[คะแนนเต็ม]])*tbl_task8[[%]:[%]])</f>
        <v/>
      </c>
      <c r="KX21" s="121" t="str">
        <f>IF(ISBLANK(tbl_task8[[คะแนนเต็ม]:[คะแนนเต็ม]]),"",(tbl_task8[140]/tbl_task8[[คะแนนเต็ม]:[คะแนนเต็ม]])*tbl_task8[[%]:[%]])</f>
        <v/>
      </c>
      <c r="KY21" s="121" t="str">
        <f>IF(ISBLANK(tbl_task8[[คะแนนเต็ม]:[คะแนนเต็ม]]),"",(tbl_task8[141]/tbl_task8[[คะแนนเต็ม]:[คะแนนเต็ม]])*tbl_task8[[%]:[%]])</f>
        <v/>
      </c>
      <c r="KZ21" s="121" t="str">
        <f>IF(ISBLANK(tbl_task8[[คะแนนเต็ม]:[คะแนนเต็ม]]),"",(tbl_task8[142]/tbl_task8[[คะแนนเต็ม]:[คะแนนเต็ม]])*tbl_task8[[%]:[%]])</f>
        <v/>
      </c>
      <c r="LA21" s="121" t="str">
        <f>IF(ISBLANK(tbl_task8[[คะแนนเต็ม]:[คะแนนเต็ม]]),"",(tbl_task8[143]/tbl_task8[[คะแนนเต็ม]:[คะแนนเต็ม]])*tbl_task8[[%]:[%]])</f>
        <v/>
      </c>
      <c r="LB21" s="121" t="str">
        <f>IF(ISBLANK(tbl_task8[[คะแนนเต็ม]:[คะแนนเต็ม]]),"",(tbl_task8[144]/tbl_task8[[คะแนนเต็ม]:[คะแนนเต็ม]])*tbl_task8[[%]:[%]])</f>
        <v/>
      </c>
      <c r="LC21" s="121" t="str">
        <f>IF(ISBLANK(tbl_task8[[คะแนนเต็ม]:[คะแนนเต็ม]]),"",(tbl_task8[145]/tbl_task8[[คะแนนเต็ม]:[คะแนนเต็ม]])*tbl_task8[[%]:[%]])</f>
        <v/>
      </c>
      <c r="LD21" s="121" t="str">
        <f>IF(ISBLANK(tbl_task8[[คะแนนเต็ม]:[คะแนนเต็ม]]),"",(tbl_task8[146]/tbl_task8[[คะแนนเต็ม]:[คะแนนเต็ม]])*tbl_task8[[%]:[%]])</f>
        <v/>
      </c>
      <c r="LE21" s="121" t="str">
        <f>IF(ISBLANK(tbl_task8[[คะแนนเต็ม]:[คะแนนเต็ม]]),"",(tbl_task8[147]/tbl_task8[[คะแนนเต็ม]:[คะแนนเต็ม]])*tbl_task8[[%]:[%]])</f>
        <v/>
      </c>
      <c r="LF21" s="121" t="str">
        <f>IF(ISBLANK(tbl_task8[[คะแนนเต็ม]:[คะแนนเต็ม]]),"",(tbl_task8[148]/tbl_task8[[คะแนนเต็ม]:[คะแนนเต็ม]])*tbl_task8[[%]:[%]])</f>
        <v/>
      </c>
      <c r="LG21" s="121" t="str">
        <f>IF(ISBLANK(tbl_task8[[คะแนนเต็ม]:[คะแนนเต็ม]]),"",(tbl_task8[149]/tbl_task8[[คะแนนเต็ม]:[คะแนนเต็ม]])*tbl_task8[[%]:[%]])</f>
        <v/>
      </c>
      <c r="LH21" s="121" t="str">
        <f>IF(ISBLANK(tbl_task8[[คะแนนเต็ม]:[คะแนนเต็ม]]),"",(tbl_task8[150]/tbl_task8[[คะแนนเต็ม]:[คะแนนเต็ม]])*tbl_task8[[%]:[%]])</f>
        <v/>
      </c>
      <c r="LI21" s="121" t="str">
        <f>IF(ISBLANK(tbl_task8[[คะแนนเต็ม]:[คะแนนเต็ม]]),"",(tbl_task8[151]/tbl_task8[[คะแนนเต็ม]:[คะแนนเต็ม]])*tbl_task8[[%]:[%]])</f>
        <v/>
      </c>
      <c r="LJ21" s="121" t="str">
        <f>IF(ISBLANK(tbl_task8[[คะแนนเต็ม]:[คะแนนเต็ม]]),"",(tbl_task8[152]/tbl_task8[[คะแนนเต็ม]:[คะแนนเต็ม]])*tbl_task8[[%]:[%]])</f>
        <v/>
      </c>
      <c r="LK21" s="121" t="str">
        <f>IF(ISBLANK(tbl_task8[[คะแนนเต็ม]:[คะแนนเต็ม]]),"",(tbl_task8[153]/tbl_task8[[คะแนนเต็ม]:[คะแนนเต็ม]])*tbl_task8[[%]:[%]])</f>
        <v/>
      </c>
      <c r="LL21" s="121" t="str">
        <f>IF(ISBLANK(tbl_task8[[คะแนนเต็ม]:[คะแนนเต็ม]]),"",(tbl_task8[154]/tbl_task8[[คะแนนเต็ม]:[คะแนนเต็ม]])*tbl_task8[[%]:[%]])</f>
        <v/>
      </c>
      <c r="LM21" s="121" t="str">
        <f>IF(ISBLANK(tbl_task8[[คะแนนเต็ม]:[คะแนนเต็ม]]),"",(tbl_task8[155]/tbl_task8[[คะแนนเต็ม]:[คะแนนเต็ม]])*tbl_task8[[%]:[%]])</f>
        <v/>
      </c>
      <c r="LN21" s="121" t="str">
        <f>IF(ISBLANK(tbl_task8[[คะแนนเต็ม]:[คะแนนเต็ม]]),"",(tbl_task8[156]/tbl_task8[[คะแนนเต็ม]:[คะแนนเต็ม]])*tbl_task8[[%]:[%]])</f>
        <v/>
      </c>
      <c r="LO21" s="121" t="str">
        <f>IF(ISBLANK(tbl_task8[[คะแนนเต็ม]:[คะแนนเต็ม]]),"",(tbl_task8[157]/tbl_task8[[คะแนนเต็ม]:[คะแนนเต็ม]])*tbl_task8[[%]:[%]])</f>
        <v/>
      </c>
      <c r="LP21" s="121" t="str">
        <f>IF(ISBLANK(tbl_task8[[คะแนนเต็ม]:[คะแนนเต็ม]]),"",(tbl_task8[158]/tbl_task8[[คะแนนเต็ม]:[คะแนนเต็ม]])*tbl_task8[[%]:[%]])</f>
        <v/>
      </c>
      <c r="LQ21" s="121" t="str">
        <f>IF(ISBLANK(tbl_task8[[คะแนนเต็ม]:[คะแนนเต็ม]]),"",(tbl_task8[159]/tbl_task8[[คะแนนเต็ม]:[คะแนนเต็ม]])*tbl_task8[[%]:[%]])</f>
        <v/>
      </c>
      <c r="LR21" s="121" t="str">
        <f>IF(ISBLANK(tbl_task8[[คะแนนเต็ม]:[คะแนนเต็ม]]),"",(tbl_task8[160]/tbl_task8[[คะแนนเต็ม]:[คะแนนเต็ม]])*tbl_task8[[%]:[%]])</f>
        <v/>
      </c>
      <c r="LS21" s="121" t="str">
        <f>IF(ISBLANK(tbl_task8[[คะแนนเต็ม]:[คะแนนเต็ม]]),"",(tbl_task8[161]/tbl_task8[[คะแนนเต็ม]:[คะแนนเต็ม]])*tbl_task8[[%]:[%]])</f>
        <v/>
      </c>
      <c r="LT21" s="121" t="str">
        <f>IF(ISBLANK(tbl_task8[[คะแนนเต็ม]:[คะแนนเต็ม]]),"",(tbl_task8[162]/tbl_task8[[คะแนนเต็ม]:[คะแนนเต็ม]])*tbl_task8[[%]:[%]])</f>
        <v/>
      </c>
      <c r="LU21" s="121" t="str">
        <f>IF(ISBLANK(tbl_task8[[คะแนนเต็ม]:[คะแนนเต็ม]]),"",(tbl_task8[163]/tbl_task8[[คะแนนเต็ม]:[คะแนนเต็ม]])*tbl_task8[[%]:[%]])</f>
        <v/>
      </c>
      <c r="LV21" s="121" t="str">
        <f>IF(ISBLANK(tbl_task8[[คะแนนเต็ม]:[คะแนนเต็ม]]),"",(tbl_task8[164]/tbl_task8[[คะแนนเต็ม]:[คะแนนเต็ม]])*tbl_task8[[%]:[%]])</f>
        <v/>
      </c>
      <c r="LW21" s="121" t="str">
        <f>IF(ISBLANK(tbl_task8[[คะแนนเต็ม]:[คะแนนเต็ม]]),"",(tbl_task8[165]/tbl_task8[[คะแนนเต็ม]:[คะแนนเต็ม]])*tbl_task8[[%]:[%]])</f>
        <v/>
      </c>
    </row>
    <row r="22" spans="1:335" ht="24" customHeight="1" x14ac:dyDescent="0.25">
      <c r="A22" s="24">
        <v>19</v>
      </c>
      <c r="B22" s="20"/>
      <c r="C22" s="5" t="str">
        <f>IF(ISBLANK(B22),"",VLOOKUP(B22,tbl_PLOs[],2,0))</f>
        <v/>
      </c>
      <c r="D22" s="102"/>
      <c r="E22" s="106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121" t="str">
        <f>IF(ISBLANK(tbl_task8[[คะแนนเต็ม]:[คะแนนเต็ม]]),"",(tbl_task8[1]/tbl_task8[[คะแนนเต็ม]:[คะแนนเต็ม]])*tbl_task8[[%]:[%]])</f>
        <v/>
      </c>
      <c r="FP22" s="121" t="str">
        <f>IF(ISBLANK(tbl_task8[[คะแนนเต็ม]:[คะแนนเต็ม]]),"",(tbl_task8[2]/tbl_task8[[คะแนนเต็ม]:[คะแนนเต็ม]])*tbl_task8[[%]:[%]])</f>
        <v/>
      </c>
      <c r="FQ22" s="121" t="str">
        <f>IF(ISBLANK(tbl_task8[[คะแนนเต็ม]:[คะแนนเต็ม]]),"",(tbl_task8[3]/tbl_task8[[คะแนนเต็ม]:[คะแนนเต็ม]])*tbl_task8[[%]:[%]])</f>
        <v/>
      </c>
      <c r="FR22" s="121" t="str">
        <f>IF(ISBLANK(tbl_task8[[คะแนนเต็ม]:[คะแนนเต็ม]]),"",(tbl_task8[4]/tbl_task8[[คะแนนเต็ม]:[คะแนนเต็ม]])*tbl_task8[[%]:[%]])</f>
        <v/>
      </c>
      <c r="FS22" s="121" t="str">
        <f>IF(ISBLANK(tbl_task8[[คะแนนเต็ม]:[คะแนนเต็ม]]),"",(tbl_task8[5]/tbl_task8[[คะแนนเต็ม]:[คะแนนเต็ม]])*tbl_task8[[%]:[%]])</f>
        <v/>
      </c>
      <c r="FT22" s="121" t="str">
        <f>IF(ISBLANK(tbl_task8[[คะแนนเต็ม]:[คะแนนเต็ม]]),"",(tbl_task8[6]/tbl_task8[[คะแนนเต็ม]:[คะแนนเต็ม]])*tbl_task8[[%]:[%]])</f>
        <v/>
      </c>
      <c r="FU22" s="121" t="str">
        <f>IF(ISBLANK(tbl_task8[[คะแนนเต็ม]:[คะแนนเต็ม]]),"",(tbl_task8[7]/tbl_task8[[คะแนนเต็ม]:[คะแนนเต็ม]])*tbl_task8[[%]:[%]])</f>
        <v/>
      </c>
      <c r="FV22" s="121" t="str">
        <f>IF(ISBLANK(tbl_task8[[คะแนนเต็ม]:[คะแนนเต็ม]]),"",(tbl_task8[8]/tbl_task8[[คะแนนเต็ม]:[คะแนนเต็ม]])*tbl_task8[[%]:[%]])</f>
        <v/>
      </c>
      <c r="FW22" s="121" t="str">
        <f>IF(ISBLANK(tbl_task8[[คะแนนเต็ม]:[คะแนนเต็ม]]),"",(tbl_task8[9]/tbl_task8[[คะแนนเต็ม]:[คะแนนเต็ม]])*tbl_task8[[%]:[%]])</f>
        <v/>
      </c>
      <c r="FX22" s="121" t="str">
        <f>IF(ISBLANK(tbl_task8[[คะแนนเต็ม]:[คะแนนเต็ม]]),"",(tbl_task8[10]/tbl_task8[[คะแนนเต็ม]:[คะแนนเต็ม]])*tbl_task8[[%]:[%]])</f>
        <v/>
      </c>
      <c r="FY22" s="121" t="str">
        <f>IF(ISBLANK(tbl_task8[[คะแนนเต็ม]:[คะแนนเต็ม]]),"",(tbl_task8[11]/tbl_task8[[คะแนนเต็ม]:[คะแนนเต็ม]])*tbl_task8[[%]:[%]])</f>
        <v/>
      </c>
      <c r="FZ22" s="121" t="str">
        <f>IF(ISBLANK(tbl_task8[[คะแนนเต็ม]:[คะแนนเต็ม]]),"",(tbl_task8[12]/tbl_task8[[คะแนนเต็ม]:[คะแนนเต็ม]])*tbl_task8[[%]:[%]])</f>
        <v/>
      </c>
      <c r="GA22" s="121" t="str">
        <f>IF(ISBLANK(tbl_task8[[คะแนนเต็ม]:[คะแนนเต็ม]]),"",(tbl_task8[13]/tbl_task8[[คะแนนเต็ม]:[คะแนนเต็ม]])*tbl_task8[[%]:[%]])</f>
        <v/>
      </c>
      <c r="GB22" s="121" t="str">
        <f>IF(ISBLANK(tbl_task8[[คะแนนเต็ม]:[คะแนนเต็ม]]),"",(tbl_task8[14]/tbl_task8[[คะแนนเต็ม]:[คะแนนเต็ม]])*tbl_task8[[%]:[%]])</f>
        <v/>
      </c>
      <c r="GC22" s="121" t="str">
        <f>IF(ISBLANK(tbl_task8[[คะแนนเต็ม]:[คะแนนเต็ม]]),"",(tbl_task8[15]/tbl_task8[[คะแนนเต็ม]:[คะแนนเต็ม]])*tbl_task8[[%]:[%]])</f>
        <v/>
      </c>
      <c r="GD22" s="121" t="str">
        <f>IF(ISBLANK(tbl_task8[[คะแนนเต็ม]:[คะแนนเต็ม]]),"",(tbl_task8[16]/tbl_task8[[คะแนนเต็ม]:[คะแนนเต็ม]])*tbl_task8[[%]:[%]])</f>
        <v/>
      </c>
      <c r="GE22" s="121" t="str">
        <f>IF(ISBLANK(tbl_task8[[คะแนนเต็ม]:[คะแนนเต็ม]]),"",(tbl_task8[17]/tbl_task8[[คะแนนเต็ม]:[คะแนนเต็ม]])*tbl_task8[[%]:[%]])</f>
        <v/>
      </c>
      <c r="GF22" s="121" t="str">
        <f>IF(ISBLANK(tbl_task8[[คะแนนเต็ม]:[คะแนนเต็ม]]),"",(tbl_task8[18]/tbl_task8[[คะแนนเต็ม]:[คะแนนเต็ม]])*tbl_task8[[%]:[%]])</f>
        <v/>
      </c>
      <c r="GG22" s="121" t="str">
        <f>IF(ISBLANK(tbl_task8[[คะแนนเต็ม]:[คะแนนเต็ม]]),"",(tbl_task8[19]/tbl_task8[[คะแนนเต็ม]:[คะแนนเต็ม]])*tbl_task8[[%]:[%]])</f>
        <v/>
      </c>
      <c r="GH22" s="121" t="str">
        <f>IF(ISBLANK(tbl_task8[[คะแนนเต็ม]:[คะแนนเต็ม]]),"",(tbl_task8[20]/tbl_task8[[คะแนนเต็ม]:[คะแนนเต็ม]])*tbl_task8[[%]:[%]])</f>
        <v/>
      </c>
      <c r="GI22" s="121" t="str">
        <f>IF(ISBLANK(tbl_task8[[คะแนนเต็ม]:[คะแนนเต็ม]]),"",(tbl_task8[21]/tbl_task8[[คะแนนเต็ม]:[คะแนนเต็ม]])*tbl_task8[[%]:[%]])</f>
        <v/>
      </c>
      <c r="GJ22" s="121" t="str">
        <f>IF(ISBLANK(tbl_task8[[คะแนนเต็ม]:[คะแนนเต็ม]]),"",(tbl_task8[22]/tbl_task8[[คะแนนเต็ม]:[คะแนนเต็ม]])*tbl_task8[[%]:[%]])</f>
        <v/>
      </c>
      <c r="GK22" s="121" t="str">
        <f>IF(ISBLANK(tbl_task8[[คะแนนเต็ม]:[คะแนนเต็ม]]),"",(tbl_task8[23]/tbl_task8[[คะแนนเต็ม]:[คะแนนเต็ม]])*tbl_task8[[%]:[%]])</f>
        <v/>
      </c>
      <c r="GL22" s="121" t="str">
        <f>IF(ISBLANK(tbl_task8[[คะแนนเต็ม]:[คะแนนเต็ม]]),"",(tbl_task8[24]/tbl_task8[[คะแนนเต็ม]:[คะแนนเต็ม]])*tbl_task8[[%]:[%]])</f>
        <v/>
      </c>
      <c r="GM22" s="121" t="str">
        <f>IF(ISBLANK(tbl_task8[[คะแนนเต็ม]:[คะแนนเต็ม]]),"",(tbl_task8[25]/tbl_task8[[คะแนนเต็ม]:[คะแนนเต็ม]])*tbl_task8[[%]:[%]])</f>
        <v/>
      </c>
      <c r="GN22" s="121" t="str">
        <f>IF(ISBLANK(tbl_task8[[คะแนนเต็ม]:[คะแนนเต็ม]]),"",(tbl_task8[26]/tbl_task8[[คะแนนเต็ม]:[คะแนนเต็ม]])*tbl_task8[[%]:[%]])</f>
        <v/>
      </c>
      <c r="GO22" s="121" t="str">
        <f>IF(ISBLANK(tbl_task8[[คะแนนเต็ม]:[คะแนนเต็ม]]),"",(tbl_task8[27]/tbl_task8[[คะแนนเต็ม]:[คะแนนเต็ม]])*tbl_task8[[%]:[%]])</f>
        <v/>
      </c>
      <c r="GP22" s="121" t="str">
        <f>IF(ISBLANK(tbl_task8[[คะแนนเต็ม]:[คะแนนเต็ม]]),"",(tbl_task8[28]/tbl_task8[[คะแนนเต็ม]:[คะแนนเต็ม]])*tbl_task8[[%]:[%]])</f>
        <v/>
      </c>
      <c r="GQ22" s="121" t="str">
        <f>IF(ISBLANK(tbl_task8[[คะแนนเต็ม]:[คะแนนเต็ม]]),"",(tbl_task8[29]/tbl_task8[[คะแนนเต็ม]:[คะแนนเต็ม]])*tbl_task8[[%]:[%]])</f>
        <v/>
      </c>
      <c r="GR22" s="121" t="str">
        <f>IF(ISBLANK(tbl_task8[[คะแนนเต็ม]:[คะแนนเต็ม]]),"",(tbl_task8[30]/tbl_task8[[คะแนนเต็ม]:[คะแนนเต็ม]])*tbl_task8[[%]:[%]])</f>
        <v/>
      </c>
      <c r="GS22" s="121" t="str">
        <f>IF(ISBLANK(tbl_task8[[คะแนนเต็ม]:[คะแนนเต็ม]]),"",(tbl_task8[31]/tbl_task8[[คะแนนเต็ม]:[คะแนนเต็ม]])*tbl_task8[[%]:[%]])</f>
        <v/>
      </c>
      <c r="GT22" s="121" t="str">
        <f>IF(ISBLANK(tbl_task8[[คะแนนเต็ม]:[คะแนนเต็ม]]),"",(tbl_task8[32]/tbl_task8[[คะแนนเต็ม]:[คะแนนเต็ม]])*tbl_task8[[%]:[%]])</f>
        <v/>
      </c>
      <c r="GU22" s="121" t="str">
        <f>IF(ISBLANK(tbl_task8[[คะแนนเต็ม]:[คะแนนเต็ม]]),"",(tbl_task8[33]/tbl_task8[[คะแนนเต็ม]:[คะแนนเต็ม]])*tbl_task8[[%]:[%]])</f>
        <v/>
      </c>
      <c r="GV22" s="121" t="str">
        <f>IF(ISBLANK(tbl_task8[[คะแนนเต็ม]:[คะแนนเต็ม]]),"",(tbl_task8[34]/tbl_task8[[คะแนนเต็ม]:[คะแนนเต็ม]])*tbl_task8[[%]:[%]])</f>
        <v/>
      </c>
      <c r="GW22" s="121" t="str">
        <f>IF(ISBLANK(tbl_task8[[คะแนนเต็ม]:[คะแนนเต็ม]]),"",(tbl_task8[35]/tbl_task8[[คะแนนเต็ม]:[คะแนนเต็ม]])*tbl_task8[[%]:[%]])</f>
        <v/>
      </c>
      <c r="GX22" s="121" t="str">
        <f>IF(ISBLANK(tbl_task8[[คะแนนเต็ม]:[คะแนนเต็ม]]),"",(tbl_task8[36]/tbl_task8[[คะแนนเต็ม]:[คะแนนเต็ม]])*tbl_task8[[%]:[%]])</f>
        <v/>
      </c>
      <c r="GY22" s="121" t="str">
        <f>IF(ISBLANK(tbl_task8[[คะแนนเต็ม]:[คะแนนเต็ม]]),"",(tbl_task8[37]/tbl_task8[[คะแนนเต็ม]:[คะแนนเต็ม]])*tbl_task8[[%]:[%]])</f>
        <v/>
      </c>
      <c r="GZ22" s="121" t="str">
        <f>IF(ISBLANK(tbl_task8[[คะแนนเต็ม]:[คะแนนเต็ม]]),"",(tbl_task8[38]/tbl_task8[[คะแนนเต็ม]:[คะแนนเต็ม]])*tbl_task8[[%]:[%]])</f>
        <v/>
      </c>
      <c r="HA22" s="121" t="str">
        <f>IF(ISBLANK(tbl_task8[[คะแนนเต็ม]:[คะแนนเต็ม]]),"",(tbl_task8[39]/tbl_task8[[คะแนนเต็ม]:[คะแนนเต็ม]])*tbl_task8[[%]:[%]])</f>
        <v/>
      </c>
      <c r="HB22" s="121" t="str">
        <f>IF(ISBLANK(tbl_task8[[คะแนนเต็ม]:[คะแนนเต็ม]]),"",(tbl_task8[40]/tbl_task8[[คะแนนเต็ม]:[คะแนนเต็ม]])*tbl_task8[[%]:[%]])</f>
        <v/>
      </c>
      <c r="HC22" s="121" t="str">
        <f>IF(ISBLANK(tbl_task8[[คะแนนเต็ม]:[คะแนนเต็ม]]),"",(tbl_task8[41]/tbl_task8[[คะแนนเต็ม]:[คะแนนเต็ม]])*tbl_task8[[%]:[%]])</f>
        <v/>
      </c>
      <c r="HD22" s="121" t="str">
        <f>IF(ISBLANK(tbl_task8[[คะแนนเต็ม]:[คะแนนเต็ม]]),"",(tbl_task8[42]/tbl_task8[[คะแนนเต็ม]:[คะแนนเต็ม]])*tbl_task8[[%]:[%]])</f>
        <v/>
      </c>
      <c r="HE22" s="121" t="str">
        <f>IF(ISBLANK(tbl_task8[[คะแนนเต็ม]:[คะแนนเต็ม]]),"",(tbl_task8[43]/tbl_task8[[คะแนนเต็ม]:[คะแนนเต็ม]])*tbl_task8[[%]:[%]])</f>
        <v/>
      </c>
      <c r="HF22" s="121" t="str">
        <f>IF(ISBLANK(tbl_task8[[คะแนนเต็ม]:[คะแนนเต็ม]]),"",(tbl_task8[44]/tbl_task8[[คะแนนเต็ม]:[คะแนนเต็ม]])*tbl_task8[[%]:[%]])</f>
        <v/>
      </c>
      <c r="HG22" s="121" t="str">
        <f>IF(ISBLANK(tbl_task8[[คะแนนเต็ม]:[คะแนนเต็ม]]),"",(tbl_task8[45]/tbl_task8[[คะแนนเต็ม]:[คะแนนเต็ม]])*tbl_task8[[%]:[%]])</f>
        <v/>
      </c>
      <c r="HH22" s="121" t="str">
        <f>IF(ISBLANK(tbl_task8[[คะแนนเต็ม]:[คะแนนเต็ม]]),"",(tbl_task8[46]/tbl_task8[[คะแนนเต็ม]:[คะแนนเต็ม]])*tbl_task8[[%]:[%]])</f>
        <v/>
      </c>
      <c r="HI22" s="121" t="str">
        <f>IF(ISBLANK(tbl_task8[[คะแนนเต็ม]:[คะแนนเต็ม]]),"",(tbl_task8[47]/tbl_task8[[คะแนนเต็ม]:[คะแนนเต็ม]])*tbl_task8[[%]:[%]])</f>
        <v/>
      </c>
      <c r="HJ22" s="121" t="str">
        <f>IF(ISBLANK(tbl_task8[[คะแนนเต็ม]:[คะแนนเต็ม]]),"",(tbl_task8[48]/tbl_task8[[คะแนนเต็ม]:[คะแนนเต็ม]])*tbl_task8[[%]:[%]])</f>
        <v/>
      </c>
      <c r="HK22" s="121" t="str">
        <f>IF(ISBLANK(tbl_task8[[คะแนนเต็ม]:[คะแนนเต็ม]]),"",(tbl_task8[49]/tbl_task8[[คะแนนเต็ม]:[คะแนนเต็ม]])*tbl_task8[[%]:[%]])</f>
        <v/>
      </c>
      <c r="HL22" s="121" t="str">
        <f>IF(ISBLANK(tbl_task8[[คะแนนเต็ม]:[คะแนนเต็ม]]),"",(tbl_task8[50]/tbl_task8[[คะแนนเต็ม]:[คะแนนเต็ม]])*tbl_task8[[%]:[%]])</f>
        <v/>
      </c>
      <c r="HM22" s="121" t="str">
        <f>IF(ISBLANK(tbl_task8[[คะแนนเต็ม]:[คะแนนเต็ม]]),"",(tbl_task8[51]/tbl_task8[[คะแนนเต็ม]:[คะแนนเต็ม]])*tbl_task8[[%]:[%]])</f>
        <v/>
      </c>
      <c r="HN22" s="121" t="str">
        <f>IF(ISBLANK(tbl_task8[[คะแนนเต็ม]:[คะแนนเต็ม]]),"",(tbl_task8[52]/tbl_task8[[คะแนนเต็ม]:[คะแนนเต็ม]])*tbl_task8[[%]:[%]])</f>
        <v/>
      </c>
      <c r="HO22" s="121" t="str">
        <f>IF(ISBLANK(tbl_task8[[คะแนนเต็ม]:[คะแนนเต็ม]]),"",(tbl_task8[53]/tbl_task8[[คะแนนเต็ม]:[คะแนนเต็ม]])*tbl_task8[[%]:[%]])</f>
        <v/>
      </c>
      <c r="HP22" s="121" t="str">
        <f>IF(ISBLANK(tbl_task8[[คะแนนเต็ม]:[คะแนนเต็ม]]),"",(tbl_task8[54]/tbl_task8[[คะแนนเต็ม]:[คะแนนเต็ม]])*tbl_task8[[%]:[%]])</f>
        <v/>
      </c>
      <c r="HQ22" s="121" t="str">
        <f>IF(ISBLANK(tbl_task8[[คะแนนเต็ม]:[คะแนนเต็ม]]),"",(tbl_task8[55]/tbl_task8[[คะแนนเต็ม]:[คะแนนเต็ม]])*tbl_task8[[%]:[%]])</f>
        <v/>
      </c>
      <c r="HR22" s="121" t="str">
        <f>IF(ISBLANK(tbl_task8[[คะแนนเต็ม]:[คะแนนเต็ม]]),"",(tbl_task8[56]/tbl_task8[[คะแนนเต็ม]:[คะแนนเต็ม]])*tbl_task8[[%]:[%]])</f>
        <v/>
      </c>
      <c r="HS22" s="121" t="str">
        <f>IF(ISBLANK(tbl_task8[[คะแนนเต็ม]:[คะแนนเต็ม]]),"",(tbl_task8[57]/tbl_task8[[คะแนนเต็ม]:[คะแนนเต็ม]])*tbl_task8[[%]:[%]])</f>
        <v/>
      </c>
      <c r="HT22" s="121" t="str">
        <f>IF(ISBLANK(tbl_task8[[คะแนนเต็ม]:[คะแนนเต็ม]]),"",(tbl_task8[58]/tbl_task8[[คะแนนเต็ม]:[คะแนนเต็ม]])*tbl_task8[[%]:[%]])</f>
        <v/>
      </c>
      <c r="HU22" s="121" t="str">
        <f>IF(ISBLANK(tbl_task8[[คะแนนเต็ม]:[คะแนนเต็ม]]),"",(tbl_task8[59]/tbl_task8[[คะแนนเต็ม]:[คะแนนเต็ม]])*tbl_task8[[%]:[%]])</f>
        <v/>
      </c>
      <c r="HV22" s="121" t="str">
        <f>IF(ISBLANK(tbl_task8[[คะแนนเต็ม]:[คะแนนเต็ม]]),"",(tbl_task8[60]/tbl_task8[[คะแนนเต็ม]:[คะแนนเต็ม]])*tbl_task8[[%]:[%]])</f>
        <v/>
      </c>
      <c r="HW22" s="121" t="str">
        <f>IF(ISBLANK(tbl_task8[[คะแนนเต็ม]:[คะแนนเต็ม]]),"",(tbl_task8[61]/tbl_task8[[คะแนนเต็ม]:[คะแนนเต็ม]])*tbl_task8[[%]:[%]])</f>
        <v/>
      </c>
      <c r="HX22" s="121" t="str">
        <f>IF(ISBLANK(tbl_task8[[คะแนนเต็ม]:[คะแนนเต็ม]]),"",(tbl_task8[62]/tbl_task8[[คะแนนเต็ม]:[คะแนนเต็ม]])*tbl_task8[[%]:[%]])</f>
        <v/>
      </c>
      <c r="HY22" s="121" t="str">
        <f>IF(ISBLANK(tbl_task8[[คะแนนเต็ม]:[คะแนนเต็ม]]),"",(tbl_task8[63]/tbl_task8[[คะแนนเต็ม]:[คะแนนเต็ม]])*tbl_task8[[%]:[%]])</f>
        <v/>
      </c>
      <c r="HZ22" s="121" t="str">
        <f>IF(ISBLANK(tbl_task8[[คะแนนเต็ม]:[คะแนนเต็ม]]),"",(tbl_task8[64]/tbl_task8[[คะแนนเต็ม]:[คะแนนเต็ม]])*tbl_task8[[%]:[%]])</f>
        <v/>
      </c>
      <c r="IA22" s="121" t="str">
        <f>IF(ISBLANK(tbl_task8[[คะแนนเต็ม]:[คะแนนเต็ม]]),"",(tbl_task8[65]/tbl_task8[[คะแนนเต็ม]:[คะแนนเต็ม]])*tbl_task8[[%]:[%]])</f>
        <v/>
      </c>
      <c r="IB22" s="121" t="str">
        <f>IF(ISBLANK(tbl_task8[[คะแนนเต็ม]:[คะแนนเต็ม]]),"",(tbl_task8[66]/tbl_task8[[คะแนนเต็ม]:[คะแนนเต็ม]])*tbl_task8[[%]:[%]])</f>
        <v/>
      </c>
      <c r="IC22" s="121" t="str">
        <f>IF(ISBLANK(tbl_task8[[คะแนนเต็ม]:[คะแนนเต็ม]]),"",(tbl_task8[67]/tbl_task8[[คะแนนเต็ม]:[คะแนนเต็ม]])*tbl_task8[[%]:[%]])</f>
        <v/>
      </c>
      <c r="ID22" s="121" t="str">
        <f>IF(ISBLANK(tbl_task8[[คะแนนเต็ม]:[คะแนนเต็ม]]),"",(tbl_task8[68]/tbl_task8[[คะแนนเต็ม]:[คะแนนเต็ม]])*tbl_task8[[%]:[%]])</f>
        <v/>
      </c>
      <c r="IE22" s="121" t="str">
        <f>IF(ISBLANK(tbl_task8[[คะแนนเต็ม]:[คะแนนเต็ม]]),"",(tbl_task8[69]/tbl_task8[[คะแนนเต็ม]:[คะแนนเต็ม]])*tbl_task8[[%]:[%]])</f>
        <v/>
      </c>
      <c r="IF22" s="121" t="str">
        <f>IF(ISBLANK(tbl_task8[[คะแนนเต็ม]:[คะแนนเต็ม]]),"",(tbl_task8[70]/tbl_task8[[คะแนนเต็ม]:[คะแนนเต็ม]])*tbl_task8[[%]:[%]])</f>
        <v/>
      </c>
      <c r="IG22" s="121" t="str">
        <f>IF(ISBLANK(tbl_task8[[คะแนนเต็ม]:[คะแนนเต็ม]]),"",(tbl_task8[71]/tbl_task8[[คะแนนเต็ม]:[คะแนนเต็ม]])*tbl_task8[[%]:[%]])</f>
        <v/>
      </c>
      <c r="IH22" s="121" t="str">
        <f>IF(ISBLANK(tbl_task8[[คะแนนเต็ม]:[คะแนนเต็ม]]),"",(tbl_task8[72]/tbl_task8[[คะแนนเต็ม]:[คะแนนเต็ม]])*tbl_task8[[%]:[%]])</f>
        <v/>
      </c>
      <c r="II22" s="121" t="str">
        <f>IF(ISBLANK(tbl_task8[[คะแนนเต็ม]:[คะแนนเต็ม]]),"",(tbl_task8[73]/tbl_task8[[คะแนนเต็ม]:[คะแนนเต็ม]])*tbl_task8[[%]:[%]])</f>
        <v/>
      </c>
      <c r="IJ22" s="121" t="str">
        <f>IF(ISBLANK(tbl_task8[[คะแนนเต็ม]:[คะแนนเต็ม]]),"",(tbl_task8[74]/tbl_task8[[คะแนนเต็ม]:[คะแนนเต็ม]])*tbl_task8[[%]:[%]])</f>
        <v/>
      </c>
      <c r="IK22" s="121" t="str">
        <f>IF(ISBLANK(tbl_task8[[คะแนนเต็ม]:[คะแนนเต็ม]]),"",(tbl_task8[75]/tbl_task8[[คะแนนเต็ม]:[คะแนนเต็ม]])*tbl_task8[[%]:[%]])</f>
        <v/>
      </c>
      <c r="IL22" s="121" t="str">
        <f>IF(ISBLANK(tbl_task8[[คะแนนเต็ม]:[คะแนนเต็ม]]),"",(tbl_task8[76]/tbl_task8[[คะแนนเต็ม]:[คะแนนเต็ม]])*tbl_task8[[%]:[%]])</f>
        <v/>
      </c>
      <c r="IM22" s="121" t="str">
        <f>IF(ISBLANK(tbl_task8[[คะแนนเต็ม]:[คะแนนเต็ม]]),"",(tbl_task8[77]/tbl_task8[[คะแนนเต็ม]:[คะแนนเต็ม]])*tbl_task8[[%]:[%]])</f>
        <v/>
      </c>
      <c r="IN22" s="121" t="str">
        <f>IF(ISBLANK(tbl_task8[[คะแนนเต็ม]:[คะแนนเต็ม]]),"",(tbl_task8[78]/tbl_task8[[คะแนนเต็ม]:[คะแนนเต็ม]])*tbl_task8[[%]:[%]])</f>
        <v/>
      </c>
      <c r="IO22" s="121" t="str">
        <f>IF(ISBLANK(tbl_task8[[คะแนนเต็ม]:[คะแนนเต็ม]]),"",(tbl_task8[79]/tbl_task8[[คะแนนเต็ม]:[คะแนนเต็ม]])*tbl_task8[[%]:[%]])</f>
        <v/>
      </c>
      <c r="IP22" s="121" t="str">
        <f>IF(ISBLANK(tbl_task8[[คะแนนเต็ม]:[คะแนนเต็ม]]),"",(tbl_task8[80]/tbl_task8[[คะแนนเต็ม]:[คะแนนเต็ม]])*tbl_task8[[%]:[%]])</f>
        <v/>
      </c>
      <c r="IQ22" s="121" t="str">
        <f>IF(ISBLANK(tbl_task8[[คะแนนเต็ม]:[คะแนนเต็ม]]),"",(tbl_task8[81]/tbl_task8[[คะแนนเต็ม]:[คะแนนเต็ม]])*tbl_task8[[%]:[%]])</f>
        <v/>
      </c>
      <c r="IR22" s="121" t="str">
        <f>IF(ISBLANK(tbl_task8[[คะแนนเต็ม]:[คะแนนเต็ม]]),"",(tbl_task8[82]/tbl_task8[[คะแนนเต็ม]:[คะแนนเต็ม]])*tbl_task8[[%]:[%]])</f>
        <v/>
      </c>
      <c r="IS22" s="121" t="str">
        <f>IF(ISBLANK(tbl_task8[[คะแนนเต็ม]:[คะแนนเต็ม]]),"",(tbl_task8[83]/tbl_task8[[คะแนนเต็ม]:[คะแนนเต็ม]])*tbl_task8[[%]:[%]])</f>
        <v/>
      </c>
      <c r="IT22" s="121" t="str">
        <f>IF(ISBLANK(tbl_task8[[คะแนนเต็ม]:[คะแนนเต็ม]]),"",(tbl_task8[84]/tbl_task8[[คะแนนเต็ม]:[คะแนนเต็ม]])*tbl_task8[[%]:[%]])</f>
        <v/>
      </c>
      <c r="IU22" s="121" t="str">
        <f>IF(ISBLANK(tbl_task8[[คะแนนเต็ม]:[คะแนนเต็ม]]),"",(tbl_task8[85]/tbl_task8[[คะแนนเต็ม]:[คะแนนเต็ม]])*tbl_task8[[%]:[%]])</f>
        <v/>
      </c>
      <c r="IV22" s="121" t="str">
        <f>IF(ISBLANK(tbl_task8[[คะแนนเต็ม]:[คะแนนเต็ม]]),"",(tbl_task8[86]/tbl_task8[[คะแนนเต็ม]:[คะแนนเต็ม]])*tbl_task8[[%]:[%]])</f>
        <v/>
      </c>
      <c r="IW22" s="121" t="str">
        <f>IF(ISBLANK(tbl_task8[[คะแนนเต็ม]:[คะแนนเต็ม]]),"",(tbl_task8[87]/tbl_task8[[คะแนนเต็ม]:[คะแนนเต็ม]])*tbl_task8[[%]:[%]])</f>
        <v/>
      </c>
      <c r="IX22" s="121" t="str">
        <f>IF(ISBLANK(tbl_task8[[คะแนนเต็ม]:[คะแนนเต็ม]]),"",(tbl_task8[88]/tbl_task8[[คะแนนเต็ม]:[คะแนนเต็ม]])*tbl_task8[[%]:[%]])</f>
        <v/>
      </c>
      <c r="IY22" s="121" t="str">
        <f>IF(ISBLANK(tbl_task8[[คะแนนเต็ม]:[คะแนนเต็ม]]),"",(tbl_task8[89]/tbl_task8[[คะแนนเต็ม]:[คะแนนเต็ม]])*tbl_task8[[%]:[%]])</f>
        <v/>
      </c>
      <c r="IZ22" s="121" t="str">
        <f>IF(ISBLANK(tbl_task8[[คะแนนเต็ม]:[คะแนนเต็ม]]),"",(tbl_task8[90]/tbl_task8[[คะแนนเต็ม]:[คะแนนเต็ม]])*tbl_task8[[%]:[%]])</f>
        <v/>
      </c>
      <c r="JA22" s="121" t="str">
        <f>IF(ISBLANK(tbl_task8[[คะแนนเต็ม]:[คะแนนเต็ม]]),"",(tbl_task8[91]/tbl_task8[[คะแนนเต็ม]:[คะแนนเต็ม]])*tbl_task8[[%]:[%]])</f>
        <v/>
      </c>
      <c r="JB22" s="121" t="str">
        <f>IF(ISBLANK(tbl_task8[[คะแนนเต็ม]:[คะแนนเต็ม]]),"",(tbl_task8[92]/tbl_task8[[คะแนนเต็ม]:[คะแนนเต็ม]])*tbl_task8[[%]:[%]])</f>
        <v/>
      </c>
      <c r="JC22" s="121" t="str">
        <f>IF(ISBLANK(tbl_task8[[คะแนนเต็ม]:[คะแนนเต็ม]]),"",(tbl_task8[93]/tbl_task8[[คะแนนเต็ม]:[คะแนนเต็ม]])*tbl_task8[[%]:[%]])</f>
        <v/>
      </c>
      <c r="JD22" s="121" t="str">
        <f>IF(ISBLANK(tbl_task8[[คะแนนเต็ม]:[คะแนนเต็ม]]),"",(tbl_task8[94]/tbl_task8[[คะแนนเต็ม]:[คะแนนเต็ม]])*tbl_task8[[%]:[%]])</f>
        <v/>
      </c>
      <c r="JE22" s="121" t="str">
        <f>IF(ISBLANK(tbl_task8[[คะแนนเต็ม]:[คะแนนเต็ม]]),"",(tbl_task8[95]/tbl_task8[[คะแนนเต็ม]:[คะแนนเต็ม]])*tbl_task8[[%]:[%]])</f>
        <v/>
      </c>
      <c r="JF22" s="121" t="str">
        <f>IF(ISBLANK(tbl_task8[[คะแนนเต็ม]:[คะแนนเต็ม]]),"",(tbl_task8[96]/tbl_task8[[คะแนนเต็ม]:[คะแนนเต็ม]])*tbl_task8[[%]:[%]])</f>
        <v/>
      </c>
      <c r="JG22" s="121" t="str">
        <f>IF(ISBLANK(tbl_task8[[คะแนนเต็ม]:[คะแนนเต็ม]]),"",(tbl_task8[97]/tbl_task8[[คะแนนเต็ม]:[คะแนนเต็ม]])*tbl_task8[[%]:[%]])</f>
        <v/>
      </c>
      <c r="JH22" s="121" t="str">
        <f>IF(ISBLANK(tbl_task8[[คะแนนเต็ม]:[คะแนนเต็ม]]),"",(tbl_task8[98]/tbl_task8[[คะแนนเต็ม]:[คะแนนเต็ม]])*tbl_task8[[%]:[%]])</f>
        <v/>
      </c>
      <c r="JI22" s="121" t="str">
        <f>IF(ISBLANK(tbl_task8[[คะแนนเต็ม]:[คะแนนเต็ม]]),"",(tbl_task8[99]/tbl_task8[[คะแนนเต็ม]:[คะแนนเต็ม]])*tbl_task8[[%]:[%]])</f>
        <v/>
      </c>
      <c r="JJ22" s="121" t="str">
        <f>IF(ISBLANK(tbl_task8[[คะแนนเต็ม]:[คะแนนเต็ม]]),"",(tbl_task8[100]/tbl_task8[[คะแนนเต็ม]:[คะแนนเต็ม]])*tbl_task8[[%]:[%]])</f>
        <v/>
      </c>
      <c r="JK22" s="121" t="str">
        <f>IF(ISBLANK(tbl_task8[[คะแนนเต็ม]:[คะแนนเต็ม]]),"",(tbl_task8[101]/tbl_task8[[คะแนนเต็ม]:[คะแนนเต็ม]])*tbl_task8[[%]:[%]])</f>
        <v/>
      </c>
      <c r="JL22" s="121" t="str">
        <f>IF(ISBLANK(tbl_task8[[คะแนนเต็ม]:[คะแนนเต็ม]]),"",(tbl_task8[102]/tbl_task8[[คะแนนเต็ม]:[คะแนนเต็ม]])*tbl_task8[[%]:[%]])</f>
        <v/>
      </c>
      <c r="JM22" s="121" t="str">
        <f>IF(ISBLANK(tbl_task8[[คะแนนเต็ม]:[คะแนนเต็ม]]),"",(tbl_task8[103]/tbl_task8[[คะแนนเต็ม]:[คะแนนเต็ม]])*tbl_task8[[%]:[%]])</f>
        <v/>
      </c>
      <c r="JN22" s="121" t="str">
        <f>IF(ISBLANK(tbl_task8[[คะแนนเต็ม]:[คะแนนเต็ม]]),"",(tbl_task8[104]/tbl_task8[[คะแนนเต็ม]:[คะแนนเต็ม]])*tbl_task8[[%]:[%]])</f>
        <v/>
      </c>
      <c r="JO22" s="121" t="str">
        <f>IF(ISBLANK(tbl_task8[[คะแนนเต็ม]:[คะแนนเต็ม]]),"",(tbl_task8[105]/tbl_task8[[คะแนนเต็ม]:[คะแนนเต็ม]])*tbl_task8[[%]:[%]])</f>
        <v/>
      </c>
      <c r="JP22" s="121" t="str">
        <f>IF(ISBLANK(tbl_task8[[คะแนนเต็ม]:[คะแนนเต็ม]]),"",(tbl_task8[106]/tbl_task8[[คะแนนเต็ม]:[คะแนนเต็ม]])*tbl_task8[[%]:[%]])</f>
        <v/>
      </c>
      <c r="JQ22" s="121" t="str">
        <f>IF(ISBLANK(tbl_task8[[คะแนนเต็ม]:[คะแนนเต็ม]]),"",(tbl_task8[107]/tbl_task8[[คะแนนเต็ม]:[คะแนนเต็ม]])*tbl_task8[[%]:[%]])</f>
        <v/>
      </c>
      <c r="JR22" s="121" t="str">
        <f>IF(ISBLANK(tbl_task8[[คะแนนเต็ม]:[คะแนนเต็ม]]),"",(tbl_task8[108]/tbl_task8[[คะแนนเต็ม]:[คะแนนเต็ม]])*tbl_task8[[%]:[%]])</f>
        <v/>
      </c>
      <c r="JS22" s="121" t="str">
        <f>IF(ISBLANK(tbl_task8[[คะแนนเต็ม]:[คะแนนเต็ม]]),"",(tbl_task8[109]/tbl_task8[[คะแนนเต็ม]:[คะแนนเต็ม]])*tbl_task8[[%]:[%]])</f>
        <v/>
      </c>
      <c r="JT22" s="121" t="str">
        <f>IF(ISBLANK(tbl_task8[[คะแนนเต็ม]:[คะแนนเต็ม]]),"",(tbl_task8[110]/tbl_task8[[คะแนนเต็ม]:[คะแนนเต็ม]])*tbl_task8[[%]:[%]])</f>
        <v/>
      </c>
      <c r="JU22" s="121" t="str">
        <f>IF(ISBLANK(tbl_task8[[คะแนนเต็ม]:[คะแนนเต็ม]]),"",(tbl_task8[111]/tbl_task8[[คะแนนเต็ม]:[คะแนนเต็ม]])*tbl_task8[[%]:[%]])</f>
        <v/>
      </c>
      <c r="JV22" s="121" t="str">
        <f>IF(ISBLANK(tbl_task8[[คะแนนเต็ม]:[คะแนนเต็ม]]),"",(tbl_task8[112]/tbl_task8[[คะแนนเต็ม]:[คะแนนเต็ม]])*tbl_task8[[%]:[%]])</f>
        <v/>
      </c>
      <c r="JW22" s="121" t="str">
        <f>IF(ISBLANK(tbl_task8[[คะแนนเต็ม]:[คะแนนเต็ม]]),"",(tbl_task8[113]/tbl_task8[[คะแนนเต็ม]:[คะแนนเต็ม]])*tbl_task8[[%]:[%]])</f>
        <v/>
      </c>
      <c r="JX22" s="121" t="str">
        <f>IF(ISBLANK(tbl_task8[[คะแนนเต็ม]:[คะแนนเต็ม]]),"",(tbl_task8[114]/tbl_task8[[คะแนนเต็ม]:[คะแนนเต็ม]])*tbl_task8[[%]:[%]])</f>
        <v/>
      </c>
      <c r="JY22" s="121" t="str">
        <f>IF(ISBLANK(tbl_task8[[คะแนนเต็ม]:[คะแนนเต็ม]]),"",(tbl_task8[115]/tbl_task8[[คะแนนเต็ม]:[คะแนนเต็ม]])*tbl_task8[[%]:[%]])</f>
        <v/>
      </c>
      <c r="JZ22" s="121" t="str">
        <f>IF(ISBLANK(tbl_task8[[คะแนนเต็ม]:[คะแนนเต็ม]]),"",(tbl_task8[116]/tbl_task8[[คะแนนเต็ม]:[คะแนนเต็ม]])*tbl_task8[[%]:[%]])</f>
        <v/>
      </c>
      <c r="KA22" s="121" t="str">
        <f>IF(ISBLANK(tbl_task8[[คะแนนเต็ม]:[คะแนนเต็ม]]),"",(tbl_task8[117]/tbl_task8[[คะแนนเต็ม]:[คะแนนเต็ม]])*tbl_task8[[%]:[%]])</f>
        <v/>
      </c>
      <c r="KB22" s="121" t="str">
        <f>IF(ISBLANK(tbl_task8[[คะแนนเต็ม]:[คะแนนเต็ม]]),"",(tbl_task8[118]/tbl_task8[[คะแนนเต็ม]:[คะแนนเต็ม]])*tbl_task8[[%]:[%]])</f>
        <v/>
      </c>
      <c r="KC22" s="121" t="str">
        <f>IF(ISBLANK(tbl_task8[[คะแนนเต็ม]:[คะแนนเต็ม]]),"",(tbl_task8[119]/tbl_task8[[คะแนนเต็ม]:[คะแนนเต็ม]])*tbl_task8[[%]:[%]])</f>
        <v/>
      </c>
      <c r="KD22" s="121" t="str">
        <f>IF(ISBLANK(tbl_task8[[คะแนนเต็ม]:[คะแนนเต็ม]]),"",(tbl_task8[120]/tbl_task8[[คะแนนเต็ม]:[คะแนนเต็ม]])*tbl_task8[[%]:[%]])</f>
        <v/>
      </c>
      <c r="KE22" s="121" t="str">
        <f>IF(ISBLANK(tbl_task8[[คะแนนเต็ม]:[คะแนนเต็ม]]),"",(tbl_task8[121]/tbl_task8[[คะแนนเต็ม]:[คะแนนเต็ม]])*tbl_task8[[%]:[%]])</f>
        <v/>
      </c>
      <c r="KF22" s="121" t="str">
        <f>IF(ISBLANK(tbl_task8[[คะแนนเต็ม]:[คะแนนเต็ม]]),"",(tbl_task8[122]/tbl_task8[[คะแนนเต็ม]:[คะแนนเต็ม]])*tbl_task8[[%]:[%]])</f>
        <v/>
      </c>
      <c r="KG22" s="121" t="str">
        <f>IF(ISBLANK(tbl_task8[[คะแนนเต็ม]:[คะแนนเต็ม]]),"",(tbl_task8[123]/tbl_task8[[คะแนนเต็ม]:[คะแนนเต็ม]])*tbl_task8[[%]:[%]])</f>
        <v/>
      </c>
      <c r="KH22" s="121" t="str">
        <f>IF(ISBLANK(tbl_task8[[คะแนนเต็ม]:[คะแนนเต็ม]]),"",(tbl_task8[124]/tbl_task8[[คะแนนเต็ม]:[คะแนนเต็ม]])*tbl_task8[[%]:[%]])</f>
        <v/>
      </c>
      <c r="KI22" s="121" t="str">
        <f>IF(ISBLANK(tbl_task8[[คะแนนเต็ม]:[คะแนนเต็ม]]),"",(tbl_task8[125]/tbl_task8[[คะแนนเต็ม]:[คะแนนเต็ม]])*tbl_task8[[%]:[%]])</f>
        <v/>
      </c>
      <c r="KJ22" s="121" t="str">
        <f>IF(ISBLANK(tbl_task8[[คะแนนเต็ม]:[คะแนนเต็ม]]),"",(tbl_task8[126]/tbl_task8[[คะแนนเต็ม]:[คะแนนเต็ม]])*tbl_task8[[%]:[%]])</f>
        <v/>
      </c>
      <c r="KK22" s="121" t="str">
        <f>IF(ISBLANK(tbl_task8[[คะแนนเต็ม]:[คะแนนเต็ม]]),"",(tbl_task8[127]/tbl_task8[[คะแนนเต็ม]:[คะแนนเต็ม]])*tbl_task8[[%]:[%]])</f>
        <v/>
      </c>
      <c r="KL22" s="121" t="str">
        <f>IF(ISBLANK(tbl_task8[[คะแนนเต็ม]:[คะแนนเต็ม]]),"",(tbl_task8[128]/tbl_task8[[คะแนนเต็ม]:[คะแนนเต็ม]])*tbl_task8[[%]:[%]])</f>
        <v/>
      </c>
      <c r="KM22" s="121" t="str">
        <f>IF(ISBLANK(tbl_task8[[คะแนนเต็ม]:[คะแนนเต็ม]]),"",(tbl_task8[129]/tbl_task8[[คะแนนเต็ม]:[คะแนนเต็ม]])*tbl_task8[[%]:[%]])</f>
        <v/>
      </c>
      <c r="KN22" s="121" t="str">
        <f>IF(ISBLANK(tbl_task8[[คะแนนเต็ม]:[คะแนนเต็ม]]),"",(tbl_task8[130]/tbl_task8[[คะแนนเต็ม]:[คะแนนเต็ม]])*tbl_task8[[%]:[%]])</f>
        <v/>
      </c>
      <c r="KO22" s="121" t="str">
        <f>IF(ISBLANK(tbl_task8[[คะแนนเต็ม]:[คะแนนเต็ม]]),"",(tbl_task8[131]/tbl_task8[[คะแนนเต็ม]:[คะแนนเต็ม]])*tbl_task8[[%]:[%]])</f>
        <v/>
      </c>
      <c r="KP22" s="121" t="str">
        <f>IF(ISBLANK(tbl_task8[[คะแนนเต็ม]:[คะแนนเต็ม]]),"",(tbl_task8[132]/tbl_task8[[คะแนนเต็ม]:[คะแนนเต็ม]])*tbl_task8[[%]:[%]])</f>
        <v/>
      </c>
      <c r="KQ22" s="121" t="str">
        <f>IF(ISBLANK(tbl_task8[[คะแนนเต็ม]:[คะแนนเต็ม]]),"",(tbl_task8[133]/tbl_task8[[คะแนนเต็ม]:[คะแนนเต็ม]])*tbl_task8[[%]:[%]])</f>
        <v/>
      </c>
      <c r="KR22" s="121" t="str">
        <f>IF(ISBLANK(tbl_task8[[คะแนนเต็ม]:[คะแนนเต็ม]]),"",(tbl_task8[134]/tbl_task8[[คะแนนเต็ม]:[คะแนนเต็ม]])*tbl_task8[[%]:[%]])</f>
        <v/>
      </c>
      <c r="KS22" s="121" t="str">
        <f>IF(ISBLANK(tbl_task8[[คะแนนเต็ม]:[คะแนนเต็ม]]),"",(tbl_task8[135]/tbl_task8[[คะแนนเต็ม]:[คะแนนเต็ม]])*tbl_task8[[%]:[%]])</f>
        <v/>
      </c>
      <c r="KT22" s="121" t="str">
        <f>IF(ISBLANK(tbl_task8[[คะแนนเต็ม]:[คะแนนเต็ม]]),"",(tbl_task8[136]/tbl_task8[[คะแนนเต็ม]:[คะแนนเต็ม]])*tbl_task8[[%]:[%]])</f>
        <v/>
      </c>
      <c r="KU22" s="121" t="str">
        <f>IF(ISBLANK(tbl_task8[[คะแนนเต็ม]:[คะแนนเต็ม]]),"",(tbl_task8[137]/tbl_task8[[คะแนนเต็ม]:[คะแนนเต็ม]])*tbl_task8[[%]:[%]])</f>
        <v/>
      </c>
      <c r="KV22" s="121" t="str">
        <f>IF(ISBLANK(tbl_task8[[คะแนนเต็ม]:[คะแนนเต็ม]]),"",(tbl_task8[138]/tbl_task8[[คะแนนเต็ม]:[คะแนนเต็ม]])*tbl_task8[[%]:[%]])</f>
        <v/>
      </c>
      <c r="KW22" s="121" t="str">
        <f>IF(ISBLANK(tbl_task8[[คะแนนเต็ม]:[คะแนนเต็ม]]),"",(tbl_task8[139]/tbl_task8[[คะแนนเต็ม]:[คะแนนเต็ม]])*tbl_task8[[%]:[%]])</f>
        <v/>
      </c>
      <c r="KX22" s="121" t="str">
        <f>IF(ISBLANK(tbl_task8[[คะแนนเต็ม]:[คะแนนเต็ม]]),"",(tbl_task8[140]/tbl_task8[[คะแนนเต็ม]:[คะแนนเต็ม]])*tbl_task8[[%]:[%]])</f>
        <v/>
      </c>
      <c r="KY22" s="121" t="str">
        <f>IF(ISBLANK(tbl_task8[[คะแนนเต็ม]:[คะแนนเต็ม]]),"",(tbl_task8[141]/tbl_task8[[คะแนนเต็ม]:[คะแนนเต็ม]])*tbl_task8[[%]:[%]])</f>
        <v/>
      </c>
      <c r="KZ22" s="121" t="str">
        <f>IF(ISBLANK(tbl_task8[[คะแนนเต็ม]:[คะแนนเต็ม]]),"",(tbl_task8[142]/tbl_task8[[คะแนนเต็ม]:[คะแนนเต็ม]])*tbl_task8[[%]:[%]])</f>
        <v/>
      </c>
      <c r="LA22" s="121" t="str">
        <f>IF(ISBLANK(tbl_task8[[คะแนนเต็ม]:[คะแนนเต็ม]]),"",(tbl_task8[143]/tbl_task8[[คะแนนเต็ม]:[คะแนนเต็ม]])*tbl_task8[[%]:[%]])</f>
        <v/>
      </c>
      <c r="LB22" s="121" t="str">
        <f>IF(ISBLANK(tbl_task8[[คะแนนเต็ม]:[คะแนนเต็ม]]),"",(tbl_task8[144]/tbl_task8[[คะแนนเต็ม]:[คะแนนเต็ม]])*tbl_task8[[%]:[%]])</f>
        <v/>
      </c>
      <c r="LC22" s="121" t="str">
        <f>IF(ISBLANK(tbl_task8[[คะแนนเต็ม]:[คะแนนเต็ม]]),"",(tbl_task8[145]/tbl_task8[[คะแนนเต็ม]:[คะแนนเต็ม]])*tbl_task8[[%]:[%]])</f>
        <v/>
      </c>
      <c r="LD22" s="121" t="str">
        <f>IF(ISBLANK(tbl_task8[[คะแนนเต็ม]:[คะแนนเต็ม]]),"",(tbl_task8[146]/tbl_task8[[คะแนนเต็ม]:[คะแนนเต็ม]])*tbl_task8[[%]:[%]])</f>
        <v/>
      </c>
      <c r="LE22" s="121" t="str">
        <f>IF(ISBLANK(tbl_task8[[คะแนนเต็ม]:[คะแนนเต็ม]]),"",(tbl_task8[147]/tbl_task8[[คะแนนเต็ม]:[คะแนนเต็ม]])*tbl_task8[[%]:[%]])</f>
        <v/>
      </c>
      <c r="LF22" s="121" t="str">
        <f>IF(ISBLANK(tbl_task8[[คะแนนเต็ม]:[คะแนนเต็ม]]),"",(tbl_task8[148]/tbl_task8[[คะแนนเต็ม]:[คะแนนเต็ม]])*tbl_task8[[%]:[%]])</f>
        <v/>
      </c>
      <c r="LG22" s="121" t="str">
        <f>IF(ISBLANK(tbl_task8[[คะแนนเต็ม]:[คะแนนเต็ม]]),"",(tbl_task8[149]/tbl_task8[[คะแนนเต็ม]:[คะแนนเต็ม]])*tbl_task8[[%]:[%]])</f>
        <v/>
      </c>
      <c r="LH22" s="121" t="str">
        <f>IF(ISBLANK(tbl_task8[[คะแนนเต็ม]:[คะแนนเต็ม]]),"",(tbl_task8[150]/tbl_task8[[คะแนนเต็ม]:[คะแนนเต็ม]])*tbl_task8[[%]:[%]])</f>
        <v/>
      </c>
      <c r="LI22" s="121" t="str">
        <f>IF(ISBLANK(tbl_task8[[คะแนนเต็ม]:[คะแนนเต็ม]]),"",(tbl_task8[151]/tbl_task8[[คะแนนเต็ม]:[คะแนนเต็ม]])*tbl_task8[[%]:[%]])</f>
        <v/>
      </c>
      <c r="LJ22" s="121" t="str">
        <f>IF(ISBLANK(tbl_task8[[คะแนนเต็ม]:[คะแนนเต็ม]]),"",(tbl_task8[152]/tbl_task8[[คะแนนเต็ม]:[คะแนนเต็ม]])*tbl_task8[[%]:[%]])</f>
        <v/>
      </c>
      <c r="LK22" s="121" t="str">
        <f>IF(ISBLANK(tbl_task8[[คะแนนเต็ม]:[คะแนนเต็ม]]),"",(tbl_task8[153]/tbl_task8[[คะแนนเต็ม]:[คะแนนเต็ม]])*tbl_task8[[%]:[%]])</f>
        <v/>
      </c>
      <c r="LL22" s="121" t="str">
        <f>IF(ISBLANK(tbl_task8[[คะแนนเต็ม]:[คะแนนเต็ม]]),"",(tbl_task8[154]/tbl_task8[[คะแนนเต็ม]:[คะแนนเต็ม]])*tbl_task8[[%]:[%]])</f>
        <v/>
      </c>
      <c r="LM22" s="121" t="str">
        <f>IF(ISBLANK(tbl_task8[[คะแนนเต็ม]:[คะแนนเต็ม]]),"",(tbl_task8[155]/tbl_task8[[คะแนนเต็ม]:[คะแนนเต็ม]])*tbl_task8[[%]:[%]])</f>
        <v/>
      </c>
      <c r="LN22" s="121" t="str">
        <f>IF(ISBLANK(tbl_task8[[คะแนนเต็ม]:[คะแนนเต็ม]]),"",(tbl_task8[156]/tbl_task8[[คะแนนเต็ม]:[คะแนนเต็ม]])*tbl_task8[[%]:[%]])</f>
        <v/>
      </c>
      <c r="LO22" s="121" t="str">
        <f>IF(ISBLANK(tbl_task8[[คะแนนเต็ม]:[คะแนนเต็ม]]),"",(tbl_task8[157]/tbl_task8[[คะแนนเต็ม]:[คะแนนเต็ม]])*tbl_task8[[%]:[%]])</f>
        <v/>
      </c>
      <c r="LP22" s="121" t="str">
        <f>IF(ISBLANK(tbl_task8[[คะแนนเต็ม]:[คะแนนเต็ม]]),"",(tbl_task8[158]/tbl_task8[[คะแนนเต็ม]:[คะแนนเต็ม]])*tbl_task8[[%]:[%]])</f>
        <v/>
      </c>
      <c r="LQ22" s="121" t="str">
        <f>IF(ISBLANK(tbl_task8[[คะแนนเต็ม]:[คะแนนเต็ม]]),"",(tbl_task8[159]/tbl_task8[[คะแนนเต็ม]:[คะแนนเต็ม]])*tbl_task8[[%]:[%]])</f>
        <v/>
      </c>
      <c r="LR22" s="121" t="str">
        <f>IF(ISBLANK(tbl_task8[[คะแนนเต็ม]:[คะแนนเต็ม]]),"",(tbl_task8[160]/tbl_task8[[คะแนนเต็ม]:[คะแนนเต็ม]])*tbl_task8[[%]:[%]])</f>
        <v/>
      </c>
      <c r="LS22" s="121" t="str">
        <f>IF(ISBLANK(tbl_task8[[คะแนนเต็ม]:[คะแนนเต็ม]]),"",(tbl_task8[161]/tbl_task8[[คะแนนเต็ม]:[คะแนนเต็ม]])*tbl_task8[[%]:[%]])</f>
        <v/>
      </c>
      <c r="LT22" s="121" t="str">
        <f>IF(ISBLANK(tbl_task8[[คะแนนเต็ม]:[คะแนนเต็ม]]),"",(tbl_task8[162]/tbl_task8[[คะแนนเต็ม]:[คะแนนเต็ม]])*tbl_task8[[%]:[%]])</f>
        <v/>
      </c>
      <c r="LU22" s="121" t="str">
        <f>IF(ISBLANK(tbl_task8[[คะแนนเต็ม]:[คะแนนเต็ม]]),"",(tbl_task8[163]/tbl_task8[[คะแนนเต็ม]:[คะแนนเต็ม]])*tbl_task8[[%]:[%]])</f>
        <v/>
      </c>
      <c r="LV22" s="121" t="str">
        <f>IF(ISBLANK(tbl_task8[[คะแนนเต็ม]:[คะแนนเต็ม]]),"",(tbl_task8[164]/tbl_task8[[คะแนนเต็ม]:[คะแนนเต็ม]])*tbl_task8[[%]:[%]])</f>
        <v/>
      </c>
      <c r="LW22" s="121" t="str">
        <f>IF(ISBLANK(tbl_task8[[คะแนนเต็ม]:[คะแนนเต็ม]]),"",(tbl_task8[165]/tbl_task8[[คะแนนเต็ม]:[คะแนนเต็ม]])*tbl_task8[[%]:[%]])</f>
        <v/>
      </c>
    </row>
    <row r="23" spans="1:335" ht="24" customHeight="1" x14ac:dyDescent="0.25">
      <c r="A23" s="24">
        <v>20</v>
      </c>
      <c r="B23" s="25"/>
      <c r="C23" s="26" t="str">
        <f>IF(ISBLANK(B23),"",VLOOKUP(B23,tbl_PLOs[],2,0))</f>
        <v/>
      </c>
      <c r="D23" s="103"/>
      <c r="E23" s="10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21" t="str">
        <f>IF(ISBLANK(tbl_task8[[คะแนนเต็ม]:[คะแนนเต็ม]]),"",(tbl_task8[1]/tbl_task8[[คะแนนเต็ม]:[คะแนนเต็ม]])*tbl_task8[[%]:[%]])</f>
        <v/>
      </c>
      <c r="FP23" s="121" t="str">
        <f>IF(ISBLANK(tbl_task8[[คะแนนเต็ม]:[คะแนนเต็ม]]),"",(tbl_task8[2]/tbl_task8[[คะแนนเต็ม]:[คะแนนเต็ม]])*tbl_task8[[%]:[%]])</f>
        <v/>
      </c>
      <c r="FQ23" s="121" t="str">
        <f>IF(ISBLANK(tbl_task8[[คะแนนเต็ม]:[คะแนนเต็ม]]),"",(tbl_task8[3]/tbl_task8[[คะแนนเต็ม]:[คะแนนเต็ม]])*tbl_task8[[%]:[%]])</f>
        <v/>
      </c>
      <c r="FR23" s="121" t="str">
        <f>IF(ISBLANK(tbl_task8[[คะแนนเต็ม]:[คะแนนเต็ม]]),"",(tbl_task8[4]/tbl_task8[[คะแนนเต็ม]:[คะแนนเต็ม]])*tbl_task8[[%]:[%]])</f>
        <v/>
      </c>
      <c r="FS23" s="121" t="str">
        <f>IF(ISBLANK(tbl_task8[[คะแนนเต็ม]:[คะแนนเต็ม]]),"",(tbl_task8[5]/tbl_task8[[คะแนนเต็ม]:[คะแนนเต็ม]])*tbl_task8[[%]:[%]])</f>
        <v/>
      </c>
      <c r="FT23" s="121" t="str">
        <f>IF(ISBLANK(tbl_task8[[คะแนนเต็ม]:[คะแนนเต็ม]]),"",(tbl_task8[6]/tbl_task8[[คะแนนเต็ม]:[คะแนนเต็ม]])*tbl_task8[[%]:[%]])</f>
        <v/>
      </c>
      <c r="FU23" s="121" t="str">
        <f>IF(ISBLANK(tbl_task8[[คะแนนเต็ม]:[คะแนนเต็ม]]),"",(tbl_task8[7]/tbl_task8[[คะแนนเต็ม]:[คะแนนเต็ม]])*tbl_task8[[%]:[%]])</f>
        <v/>
      </c>
      <c r="FV23" s="121" t="str">
        <f>IF(ISBLANK(tbl_task8[[คะแนนเต็ม]:[คะแนนเต็ม]]),"",(tbl_task8[8]/tbl_task8[[คะแนนเต็ม]:[คะแนนเต็ม]])*tbl_task8[[%]:[%]])</f>
        <v/>
      </c>
      <c r="FW23" s="121" t="str">
        <f>IF(ISBLANK(tbl_task8[[คะแนนเต็ม]:[คะแนนเต็ม]]),"",(tbl_task8[9]/tbl_task8[[คะแนนเต็ม]:[คะแนนเต็ม]])*tbl_task8[[%]:[%]])</f>
        <v/>
      </c>
      <c r="FX23" s="121" t="str">
        <f>IF(ISBLANK(tbl_task8[[คะแนนเต็ม]:[คะแนนเต็ม]]),"",(tbl_task8[10]/tbl_task8[[คะแนนเต็ม]:[คะแนนเต็ม]])*tbl_task8[[%]:[%]])</f>
        <v/>
      </c>
      <c r="FY23" s="121" t="str">
        <f>IF(ISBLANK(tbl_task8[[คะแนนเต็ม]:[คะแนนเต็ม]]),"",(tbl_task8[11]/tbl_task8[[คะแนนเต็ม]:[คะแนนเต็ม]])*tbl_task8[[%]:[%]])</f>
        <v/>
      </c>
      <c r="FZ23" s="121" t="str">
        <f>IF(ISBLANK(tbl_task8[[คะแนนเต็ม]:[คะแนนเต็ม]]),"",(tbl_task8[12]/tbl_task8[[คะแนนเต็ม]:[คะแนนเต็ม]])*tbl_task8[[%]:[%]])</f>
        <v/>
      </c>
      <c r="GA23" s="121" t="str">
        <f>IF(ISBLANK(tbl_task8[[คะแนนเต็ม]:[คะแนนเต็ม]]),"",(tbl_task8[13]/tbl_task8[[คะแนนเต็ม]:[คะแนนเต็ม]])*tbl_task8[[%]:[%]])</f>
        <v/>
      </c>
      <c r="GB23" s="121" t="str">
        <f>IF(ISBLANK(tbl_task8[[คะแนนเต็ม]:[คะแนนเต็ม]]),"",(tbl_task8[14]/tbl_task8[[คะแนนเต็ม]:[คะแนนเต็ม]])*tbl_task8[[%]:[%]])</f>
        <v/>
      </c>
      <c r="GC23" s="121" t="str">
        <f>IF(ISBLANK(tbl_task8[[คะแนนเต็ม]:[คะแนนเต็ม]]),"",(tbl_task8[15]/tbl_task8[[คะแนนเต็ม]:[คะแนนเต็ม]])*tbl_task8[[%]:[%]])</f>
        <v/>
      </c>
      <c r="GD23" s="121" t="str">
        <f>IF(ISBLANK(tbl_task8[[คะแนนเต็ม]:[คะแนนเต็ม]]),"",(tbl_task8[16]/tbl_task8[[คะแนนเต็ม]:[คะแนนเต็ม]])*tbl_task8[[%]:[%]])</f>
        <v/>
      </c>
      <c r="GE23" s="121" t="str">
        <f>IF(ISBLANK(tbl_task8[[คะแนนเต็ม]:[คะแนนเต็ม]]),"",(tbl_task8[17]/tbl_task8[[คะแนนเต็ม]:[คะแนนเต็ม]])*tbl_task8[[%]:[%]])</f>
        <v/>
      </c>
      <c r="GF23" s="121" t="str">
        <f>IF(ISBLANK(tbl_task8[[คะแนนเต็ม]:[คะแนนเต็ม]]),"",(tbl_task8[18]/tbl_task8[[คะแนนเต็ม]:[คะแนนเต็ม]])*tbl_task8[[%]:[%]])</f>
        <v/>
      </c>
      <c r="GG23" s="121" t="str">
        <f>IF(ISBLANK(tbl_task8[[คะแนนเต็ม]:[คะแนนเต็ม]]),"",(tbl_task8[19]/tbl_task8[[คะแนนเต็ม]:[คะแนนเต็ม]])*tbl_task8[[%]:[%]])</f>
        <v/>
      </c>
      <c r="GH23" s="121" t="str">
        <f>IF(ISBLANK(tbl_task8[[คะแนนเต็ม]:[คะแนนเต็ม]]),"",(tbl_task8[20]/tbl_task8[[คะแนนเต็ม]:[คะแนนเต็ม]])*tbl_task8[[%]:[%]])</f>
        <v/>
      </c>
      <c r="GI23" s="121" t="str">
        <f>IF(ISBLANK(tbl_task8[[คะแนนเต็ม]:[คะแนนเต็ม]]),"",(tbl_task8[21]/tbl_task8[[คะแนนเต็ม]:[คะแนนเต็ม]])*tbl_task8[[%]:[%]])</f>
        <v/>
      </c>
      <c r="GJ23" s="121" t="str">
        <f>IF(ISBLANK(tbl_task8[[คะแนนเต็ม]:[คะแนนเต็ม]]),"",(tbl_task8[22]/tbl_task8[[คะแนนเต็ม]:[คะแนนเต็ม]])*tbl_task8[[%]:[%]])</f>
        <v/>
      </c>
      <c r="GK23" s="121" t="str">
        <f>IF(ISBLANK(tbl_task8[[คะแนนเต็ม]:[คะแนนเต็ม]]),"",(tbl_task8[23]/tbl_task8[[คะแนนเต็ม]:[คะแนนเต็ม]])*tbl_task8[[%]:[%]])</f>
        <v/>
      </c>
      <c r="GL23" s="121" t="str">
        <f>IF(ISBLANK(tbl_task8[[คะแนนเต็ม]:[คะแนนเต็ม]]),"",(tbl_task8[24]/tbl_task8[[คะแนนเต็ม]:[คะแนนเต็ม]])*tbl_task8[[%]:[%]])</f>
        <v/>
      </c>
      <c r="GM23" s="121" t="str">
        <f>IF(ISBLANK(tbl_task8[[คะแนนเต็ม]:[คะแนนเต็ม]]),"",(tbl_task8[25]/tbl_task8[[คะแนนเต็ม]:[คะแนนเต็ม]])*tbl_task8[[%]:[%]])</f>
        <v/>
      </c>
      <c r="GN23" s="121" t="str">
        <f>IF(ISBLANK(tbl_task8[[คะแนนเต็ม]:[คะแนนเต็ม]]),"",(tbl_task8[26]/tbl_task8[[คะแนนเต็ม]:[คะแนนเต็ม]])*tbl_task8[[%]:[%]])</f>
        <v/>
      </c>
      <c r="GO23" s="121" t="str">
        <f>IF(ISBLANK(tbl_task8[[คะแนนเต็ม]:[คะแนนเต็ม]]),"",(tbl_task8[27]/tbl_task8[[คะแนนเต็ม]:[คะแนนเต็ม]])*tbl_task8[[%]:[%]])</f>
        <v/>
      </c>
      <c r="GP23" s="121" t="str">
        <f>IF(ISBLANK(tbl_task8[[คะแนนเต็ม]:[คะแนนเต็ม]]),"",(tbl_task8[28]/tbl_task8[[คะแนนเต็ม]:[คะแนนเต็ม]])*tbl_task8[[%]:[%]])</f>
        <v/>
      </c>
      <c r="GQ23" s="121" t="str">
        <f>IF(ISBLANK(tbl_task8[[คะแนนเต็ม]:[คะแนนเต็ม]]),"",(tbl_task8[29]/tbl_task8[[คะแนนเต็ม]:[คะแนนเต็ม]])*tbl_task8[[%]:[%]])</f>
        <v/>
      </c>
      <c r="GR23" s="121" t="str">
        <f>IF(ISBLANK(tbl_task8[[คะแนนเต็ม]:[คะแนนเต็ม]]),"",(tbl_task8[30]/tbl_task8[[คะแนนเต็ม]:[คะแนนเต็ม]])*tbl_task8[[%]:[%]])</f>
        <v/>
      </c>
      <c r="GS23" s="121" t="str">
        <f>IF(ISBLANK(tbl_task8[[คะแนนเต็ม]:[คะแนนเต็ม]]),"",(tbl_task8[31]/tbl_task8[[คะแนนเต็ม]:[คะแนนเต็ม]])*tbl_task8[[%]:[%]])</f>
        <v/>
      </c>
      <c r="GT23" s="121" t="str">
        <f>IF(ISBLANK(tbl_task8[[คะแนนเต็ม]:[คะแนนเต็ม]]),"",(tbl_task8[32]/tbl_task8[[คะแนนเต็ม]:[คะแนนเต็ม]])*tbl_task8[[%]:[%]])</f>
        <v/>
      </c>
      <c r="GU23" s="121" t="str">
        <f>IF(ISBLANK(tbl_task8[[คะแนนเต็ม]:[คะแนนเต็ม]]),"",(tbl_task8[33]/tbl_task8[[คะแนนเต็ม]:[คะแนนเต็ม]])*tbl_task8[[%]:[%]])</f>
        <v/>
      </c>
      <c r="GV23" s="121" t="str">
        <f>IF(ISBLANK(tbl_task8[[คะแนนเต็ม]:[คะแนนเต็ม]]),"",(tbl_task8[34]/tbl_task8[[คะแนนเต็ม]:[คะแนนเต็ม]])*tbl_task8[[%]:[%]])</f>
        <v/>
      </c>
      <c r="GW23" s="121" t="str">
        <f>IF(ISBLANK(tbl_task8[[คะแนนเต็ม]:[คะแนนเต็ม]]),"",(tbl_task8[35]/tbl_task8[[คะแนนเต็ม]:[คะแนนเต็ม]])*tbl_task8[[%]:[%]])</f>
        <v/>
      </c>
      <c r="GX23" s="121" t="str">
        <f>IF(ISBLANK(tbl_task8[[คะแนนเต็ม]:[คะแนนเต็ม]]),"",(tbl_task8[36]/tbl_task8[[คะแนนเต็ม]:[คะแนนเต็ม]])*tbl_task8[[%]:[%]])</f>
        <v/>
      </c>
      <c r="GY23" s="121" t="str">
        <f>IF(ISBLANK(tbl_task8[[คะแนนเต็ม]:[คะแนนเต็ม]]),"",(tbl_task8[37]/tbl_task8[[คะแนนเต็ม]:[คะแนนเต็ม]])*tbl_task8[[%]:[%]])</f>
        <v/>
      </c>
      <c r="GZ23" s="121" t="str">
        <f>IF(ISBLANK(tbl_task8[[คะแนนเต็ม]:[คะแนนเต็ม]]),"",(tbl_task8[38]/tbl_task8[[คะแนนเต็ม]:[คะแนนเต็ม]])*tbl_task8[[%]:[%]])</f>
        <v/>
      </c>
      <c r="HA23" s="121" t="str">
        <f>IF(ISBLANK(tbl_task8[[คะแนนเต็ม]:[คะแนนเต็ม]]),"",(tbl_task8[39]/tbl_task8[[คะแนนเต็ม]:[คะแนนเต็ม]])*tbl_task8[[%]:[%]])</f>
        <v/>
      </c>
      <c r="HB23" s="121" t="str">
        <f>IF(ISBLANK(tbl_task8[[คะแนนเต็ม]:[คะแนนเต็ม]]),"",(tbl_task8[40]/tbl_task8[[คะแนนเต็ม]:[คะแนนเต็ม]])*tbl_task8[[%]:[%]])</f>
        <v/>
      </c>
      <c r="HC23" s="121" t="str">
        <f>IF(ISBLANK(tbl_task8[[คะแนนเต็ม]:[คะแนนเต็ม]]),"",(tbl_task8[41]/tbl_task8[[คะแนนเต็ม]:[คะแนนเต็ม]])*tbl_task8[[%]:[%]])</f>
        <v/>
      </c>
      <c r="HD23" s="121" t="str">
        <f>IF(ISBLANK(tbl_task8[[คะแนนเต็ม]:[คะแนนเต็ม]]),"",(tbl_task8[42]/tbl_task8[[คะแนนเต็ม]:[คะแนนเต็ม]])*tbl_task8[[%]:[%]])</f>
        <v/>
      </c>
      <c r="HE23" s="121" t="str">
        <f>IF(ISBLANK(tbl_task8[[คะแนนเต็ม]:[คะแนนเต็ม]]),"",(tbl_task8[43]/tbl_task8[[คะแนนเต็ม]:[คะแนนเต็ม]])*tbl_task8[[%]:[%]])</f>
        <v/>
      </c>
      <c r="HF23" s="121" t="str">
        <f>IF(ISBLANK(tbl_task8[[คะแนนเต็ม]:[คะแนนเต็ม]]),"",(tbl_task8[44]/tbl_task8[[คะแนนเต็ม]:[คะแนนเต็ม]])*tbl_task8[[%]:[%]])</f>
        <v/>
      </c>
      <c r="HG23" s="121" t="str">
        <f>IF(ISBLANK(tbl_task8[[คะแนนเต็ม]:[คะแนนเต็ม]]),"",(tbl_task8[45]/tbl_task8[[คะแนนเต็ม]:[คะแนนเต็ม]])*tbl_task8[[%]:[%]])</f>
        <v/>
      </c>
      <c r="HH23" s="121" t="str">
        <f>IF(ISBLANK(tbl_task8[[คะแนนเต็ม]:[คะแนนเต็ม]]),"",(tbl_task8[46]/tbl_task8[[คะแนนเต็ม]:[คะแนนเต็ม]])*tbl_task8[[%]:[%]])</f>
        <v/>
      </c>
      <c r="HI23" s="121" t="str">
        <f>IF(ISBLANK(tbl_task8[[คะแนนเต็ม]:[คะแนนเต็ม]]),"",(tbl_task8[47]/tbl_task8[[คะแนนเต็ม]:[คะแนนเต็ม]])*tbl_task8[[%]:[%]])</f>
        <v/>
      </c>
      <c r="HJ23" s="121" t="str">
        <f>IF(ISBLANK(tbl_task8[[คะแนนเต็ม]:[คะแนนเต็ม]]),"",(tbl_task8[48]/tbl_task8[[คะแนนเต็ม]:[คะแนนเต็ม]])*tbl_task8[[%]:[%]])</f>
        <v/>
      </c>
      <c r="HK23" s="121" t="str">
        <f>IF(ISBLANK(tbl_task8[[คะแนนเต็ม]:[คะแนนเต็ม]]),"",(tbl_task8[49]/tbl_task8[[คะแนนเต็ม]:[คะแนนเต็ม]])*tbl_task8[[%]:[%]])</f>
        <v/>
      </c>
      <c r="HL23" s="121" t="str">
        <f>IF(ISBLANK(tbl_task8[[คะแนนเต็ม]:[คะแนนเต็ม]]),"",(tbl_task8[50]/tbl_task8[[คะแนนเต็ม]:[คะแนนเต็ม]])*tbl_task8[[%]:[%]])</f>
        <v/>
      </c>
      <c r="HM23" s="121" t="str">
        <f>IF(ISBLANK(tbl_task8[[คะแนนเต็ม]:[คะแนนเต็ม]]),"",(tbl_task8[51]/tbl_task8[[คะแนนเต็ม]:[คะแนนเต็ม]])*tbl_task8[[%]:[%]])</f>
        <v/>
      </c>
      <c r="HN23" s="121" t="str">
        <f>IF(ISBLANK(tbl_task8[[คะแนนเต็ม]:[คะแนนเต็ม]]),"",(tbl_task8[52]/tbl_task8[[คะแนนเต็ม]:[คะแนนเต็ม]])*tbl_task8[[%]:[%]])</f>
        <v/>
      </c>
      <c r="HO23" s="121" t="str">
        <f>IF(ISBLANK(tbl_task8[[คะแนนเต็ม]:[คะแนนเต็ม]]),"",(tbl_task8[53]/tbl_task8[[คะแนนเต็ม]:[คะแนนเต็ม]])*tbl_task8[[%]:[%]])</f>
        <v/>
      </c>
      <c r="HP23" s="121" t="str">
        <f>IF(ISBLANK(tbl_task8[[คะแนนเต็ม]:[คะแนนเต็ม]]),"",(tbl_task8[54]/tbl_task8[[คะแนนเต็ม]:[คะแนนเต็ม]])*tbl_task8[[%]:[%]])</f>
        <v/>
      </c>
      <c r="HQ23" s="121" t="str">
        <f>IF(ISBLANK(tbl_task8[[คะแนนเต็ม]:[คะแนนเต็ม]]),"",(tbl_task8[55]/tbl_task8[[คะแนนเต็ม]:[คะแนนเต็ม]])*tbl_task8[[%]:[%]])</f>
        <v/>
      </c>
      <c r="HR23" s="121" t="str">
        <f>IF(ISBLANK(tbl_task8[[คะแนนเต็ม]:[คะแนนเต็ม]]),"",(tbl_task8[56]/tbl_task8[[คะแนนเต็ม]:[คะแนนเต็ม]])*tbl_task8[[%]:[%]])</f>
        <v/>
      </c>
      <c r="HS23" s="121" t="str">
        <f>IF(ISBLANK(tbl_task8[[คะแนนเต็ม]:[คะแนนเต็ม]]),"",(tbl_task8[57]/tbl_task8[[คะแนนเต็ม]:[คะแนนเต็ม]])*tbl_task8[[%]:[%]])</f>
        <v/>
      </c>
      <c r="HT23" s="121" t="str">
        <f>IF(ISBLANK(tbl_task8[[คะแนนเต็ม]:[คะแนนเต็ม]]),"",(tbl_task8[58]/tbl_task8[[คะแนนเต็ม]:[คะแนนเต็ม]])*tbl_task8[[%]:[%]])</f>
        <v/>
      </c>
      <c r="HU23" s="121" t="str">
        <f>IF(ISBLANK(tbl_task8[[คะแนนเต็ม]:[คะแนนเต็ม]]),"",(tbl_task8[59]/tbl_task8[[คะแนนเต็ม]:[คะแนนเต็ม]])*tbl_task8[[%]:[%]])</f>
        <v/>
      </c>
      <c r="HV23" s="121" t="str">
        <f>IF(ISBLANK(tbl_task8[[คะแนนเต็ม]:[คะแนนเต็ม]]),"",(tbl_task8[60]/tbl_task8[[คะแนนเต็ม]:[คะแนนเต็ม]])*tbl_task8[[%]:[%]])</f>
        <v/>
      </c>
      <c r="HW23" s="121" t="str">
        <f>IF(ISBLANK(tbl_task8[[คะแนนเต็ม]:[คะแนนเต็ม]]),"",(tbl_task8[61]/tbl_task8[[คะแนนเต็ม]:[คะแนนเต็ม]])*tbl_task8[[%]:[%]])</f>
        <v/>
      </c>
      <c r="HX23" s="121" t="str">
        <f>IF(ISBLANK(tbl_task8[[คะแนนเต็ม]:[คะแนนเต็ม]]),"",(tbl_task8[62]/tbl_task8[[คะแนนเต็ม]:[คะแนนเต็ม]])*tbl_task8[[%]:[%]])</f>
        <v/>
      </c>
      <c r="HY23" s="121" t="str">
        <f>IF(ISBLANK(tbl_task8[[คะแนนเต็ม]:[คะแนนเต็ม]]),"",(tbl_task8[63]/tbl_task8[[คะแนนเต็ม]:[คะแนนเต็ม]])*tbl_task8[[%]:[%]])</f>
        <v/>
      </c>
      <c r="HZ23" s="121" t="str">
        <f>IF(ISBLANK(tbl_task8[[คะแนนเต็ม]:[คะแนนเต็ม]]),"",(tbl_task8[64]/tbl_task8[[คะแนนเต็ม]:[คะแนนเต็ม]])*tbl_task8[[%]:[%]])</f>
        <v/>
      </c>
      <c r="IA23" s="121" t="str">
        <f>IF(ISBLANK(tbl_task8[[คะแนนเต็ม]:[คะแนนเต็ม]]),"",(tbl_task8[65]/tbl_task8[[คะแนนเต็ม]:[คะแนนเต็ม]])*tbl_task8[[%]:[%]])</f>
        <v/>
      </c>
      <c r="IB23" s="121" t="str">
        <f>IF(ISBLANK(tbl_task8[[คะแนนเต็ม]:[คะแนนเต็ม]]),"",(tbl_task8[66]/tbl_task8[[คะแนนเต็ม]:[คะแนนเต็ม]])*tbl_task8[[%]:[%]])</f>
        <v/>
      </c>
      <c r="IC23" s="121" t="str">
        <f>IF(ISBLANK(tbl_task8[[คะแนนเต็ม]:[คะแนนเต็ม]]),"",(tbl_task8[67]/tbl_task8[[คะแนนเต็ม]:[คะแนนเต็ม]])*tbl_task8[[%]:[%]])</f>
        <v/>
      </c>
      <c r="ID23" s="121" t="str">
        <f>IF(ISBLANK(tbl_task8[[คะแนนเต็ม]:[คะแนนเต็ม]]),"",(tbl_task8[68]/tbl_task8[[คะแนนเต็ม]:[คะแนนเต็ม]])*tbl_task8[[%]:[%]])</f>
        <v/>
      </c>
      <c r="IE23" s="121" t="str">
        <f>IF(ISBLANK(tbl_task8[[คะแนนเต็ม]:[คะแนนเต็ม]]),"",(tbl_task8[69]/tbl_task8[[คะแนนเต็ม]:[คะแนนเต็ม]])*tbl_task8[[%]:[%]])</f>
        <v/>
      </c>
      <c r="IF23" s="121" t="str">
        <f>IF(ISBLANK(tbl_task8[[คะแนนเต็ม]:[คะแนนเต็ม]]),"",(tbl_task8[70]/tbl_task8[[คะแนนเต็ม]:[คะแนนเต็ม]])*tbl_task8[[%]:[%]])</f>
        <v/>
      </c>
      <c r="IG23" s="121" t="str">
        <f>IF(ISBLANK(tbl_task8[[คะแนนเต็ม]:[คะแนนเต็ม]]),"",(tbl_task8[71]/tbl_task8[[คะแนนเต็ม]:[คะแนนเต็ม]])*tbl_task8[[%]:[%]])</f>
        <v/>
      </c>
      <c r="IH23" s="121" t="str">
        <f>IF(ISBLANK(tbl_task8[[คะแนนเต็ม]:[คะแนนเต็ม]]),"",(tbl_task8[72]/tbl_task8[[คะแนนเต็ม]:[คะแนนเต็ม]])*tbl_task8[[%]:[%]])</f>
        <v/>
      </c>
      <c r="II23" s="121" t="str">
        <f>IF(ISBLANK(tbl_task8[[คะแนนเต็ม]:[คะแนนเต็ม]]),"",(tbl_task8[73]/tbl_task8[[คะแนนเต็ม]:[คะแนนเต็ม]])*tbl_task8[[%]:[%]])</f>
        <v/>
      </c>
      <c r="IJ23" s="121" t="str">
        <f>IF(ISBLANK(tbl_task8[[คะแนนเต็ม]:[คะแนนเต็ม]]),"",(tbl_task8[74]/tbl_task8[[คะแนนเต็ม]:[คะแนนเต็ม]])*tbl_task8[[%]:[%]])</f>
        <v/>
      </c>
      <c r="IK23" s="121" t="str">
        <f>IF(ISBLANK(tbl_task8[[คะแนนเต็ม]:[คะแนนเต็ม]]),"",(tbl_task8[75]/tbl_task8[[คะแนนเต็ม]:[คะแนนเต็ม]])*tbl_task8[[%]:[%]])</f>
        <v/>
      </c>
      <c r="IL23" s="121" t="str">
        <f>IF(ISBLANK(tbl_task8[[คะแนนเต็ม]:[คะแนนเต็ม]]),"",(tbl_task8[76]/tbl_task8[[คะแนนเต็ม]:[คะแนนเต็ม]])*tbl_task8[[%]:[%]])</f>
        <v/>
      </c>
      <c r="IM23" s="121" t="str">
        <f>IF(ISBLANK(tbl_task8[[คะแนนเต็ม]:[คะแนนเต็ม]]),"",(tbl_task8[77]/tbl_task8[[คะแนนเต็ม]:[คะแนนเต็ม]])*tbl_task8[[%]:[%]])</f>
        <v/>
      </c>
      <c r="IN23" s="121" t="str">
        <f>IF(ISBLANK(tbl_task8[[คะแนนเต็ม]:[คะแนนเต็ม]]),"",(tbl_task8[78]/tbl_task8[[คะแนนเต็ม]:[คะแนนเต็ม]])*tbl_task8[[%]:[%]])</f>
        <v/>
      </c>
      <c r="IO23" s="121" t="str">
        <f>IF(ISBLANK(tbl_task8[[คะแนนเต็ม]:[คะแนนเต็ม]]),"",(tbl_task8[79]/tbl_task8[[คะแนนเต็ม]:[คะแนนเต็ม]])*tbl_task8[[%]:[%]])</f>
        <v/>
      </c>
      <c r="IP23" s="121" t="str">
        <f>IF(ISBLANK(tbl_task8[[คะแนนเต็ม]:[คะแนนเต็ม]]),"",(tbl_task8[80]/tbl_task8[[คะแนนเต็ม]:[คะแนนเต็ม]])*tbl_task8[[%]:[%]])</f>
        <v/>
      </c>
      <c r="IQ23" s="121" t="str">
        <f>IF(ISBLANK(tbl_task8[[คะแนนเต็ม]:[คะแนนเต็ม]]),"",(tbl_task8[81]/tbl_task8[[คะแนนเต็ม]:[คะแนนเต็ม]])*tbl_task8[[%]:[%]])</f>
        <v/>
      </c>
      <c r="IR23" s="121" t="str">
        <f>IF(ISBLANK(tbl_task8[[คะแนนเต็ม]:[คะแนนเต็ม]]),"",(tbl_task8[82]/tbl_task8[[คะแนนเต็ม]:[คะแนนเต็ม]])*tbl_task8[[%]:[%]])</f>
        <v/>
      </c>
      <c r="IS23" s="121" t="str">
        <f>IF(ISBLANK(tbl_task8[[คะแนนเต็ม]:[คะแนนเต็ม]]),"",(tbl_task8[83]/tbl_task8[[คะแนนเต็ม]:[คะแนนเต็ม]])*tbl_task8[[%]:[%]])</f>
        <v/>
      </c>
      <c r="IT23" s="121" t="str">
        <f>IF(ISBLANK(tbl_task8[[คะแนนเต็ม]:[คะแนนเต็ม]]),"",(tbl_task8[84]/tbl_task8[[คะแนนเต็ม]:[คะแนนเต็ม]])*tbl_task8[[%]:[%]])</f>
        <v/>
      </c>
      <c r="IU23" s="121" t="str">
        <f>IF(ISBLANK(tbl_task8[[คะแนนเต็ม]:[คะแนนเต็ม]]),"",(tbl_task8[85]/tbl_task8[[คะแนนเต็ม]:[คะแนนเต็ม]])*tbl_task8[[%]:[%]])</f>
        <v/>
      </c>
      <c r="IV23" s="121" t="str">
        <f>IF(ISBLANK(tbl_task8[[คะแนนเต็ม]:[คะแนนเต็ม]]),"",(tbl_task8[86]/tbl_task8[[คะแนนเต็ม]:[คะแนนเต็ม]])*tbl_task8[[%]:[%]])</f>
        <v/>
      </c>
      <c r="IW23" s="121" t="str">
        <f>IF(ISBLANK(tbl_task8[[คะแนนเต็ม]:[คะแนนเต็ม]]),"",(tbl_task8[87]/tbl_task8[[คะแนนเต็ม]:[คะแนนเต็ม]])*tbl_task8[[%]:[%]])</f>
        <v/>
      </c>
      <c r="IX23" s="121" t="str">
        <f>IF(ISBLANK(tbl_task8[[คะแนนเต็ม]:[คะแนนเต็ม]]),"",(tbl_task8[88]/tbl_task8[[คะแนนเต็ม]:[คะแนนเต็ม]])*tbl_task8[[%]:[%]])</f>
        <v/>
      </c>
      <c r="IY23" s="121" t="str">
        <f>IF(ISBLANK(tbl_task8[[คะแนนเต็ม]:[คะแนนเต็ม]]),"",(tbl_task8[89]/tbl_task8[[คะแนนเต็ม]:[คะแนนเต็ม]])*tbl_task8[[%]:[%]])</f>
        <v/>
      </c>
      <c r="IZ23" s="121" t="str">
        <f>IF(ISBLANK(tbl_task8[[คะแนนเต็ม]:[คะแนนเต็ม]]),"",(tbl_task8[90]/tbl_task8[[คะแนนเต็ม]:[คะแนนเต็ม]])*tbl_task8[[%]:[%]])</f>
        <v/>
      </c>
      <c r="JA23" s="121" t="str">
        <f>IF(ISBLANK(tbl_task8[[คะแนนเต็ม]:[คะแนนเต็ม]]),"",(tbl_task8[91]/tbl_task8[[คะแนนเต็ม]:[คะแนนเต็ม]])*tbl_task8[[%]:[%]])</f>
        <v/>
      </c>
      <c r="JB23" s="121" t="str">
        <f>IF(ISBLANK(tbl_task8[[คะแนนเต็ม]:[คะแนนเต็ม]]),"",(tbl_task8[92]/tbl_task8[[คะแนนเต็ม]:[คะแนนเต็ม]])*tbl_task8[[%]:[%]])</f>
        <v/>
      </c>
      <c r="JC23" s="121" t="str">
        <f>IF(ISBLANK(tbl_task8[[คะแนนเต็ม]:[คะแนนเต็ม]]),"",(tbl_task8[93]/tbl_task8[[คะแนนเต็ม]:[คะแนนเต็ม]])*tbl_task8[[%]:[%]])</f>
        <v/>
      </c>
      <c r="JD23" s="121" t="str">
        <f>IF(ISBLANK(tbl_task8[[คะแนนเต็ม]:[คะแนนเต็ม]]),"",(tbl_task8[94]/tbl_task8[[คะแนนเต็ม]:[คะแนนเต็ม]])*tbl_task8[[%]:[%]])</f>
        <v/>
      </c>
      <c r="JE23" s="121" t="str">
        <f>IF(ISBLANK(tbl_task8[[คะแนนเต็ม]:[คะแนนเต็ม]]),"",(tbl_task8[95]/tbl_task8[[คะแนนเต็ม]:[คะแนนเต็ม]])*tbl_task8[[%]:[%]])</f>
        <v/>
      </c>
      <c r="JF23" s="121" t="str">
        <f>IF(ISBLANK(tbl_task8[[คะแนนเต็ม]:[คะแนนเต็ม]]),"",(tbl_task8[96]/tbl_task8[[คะแนนเต็ม]:[คะแนนเต็ม]])*tbl_task8[[%]:[%]])</f>
        <v/>
      </c>
      <c r="JG23" s="121" t="str">
        <f>IF(ISBLANK(tbl_task8[[คะแนนเต็ม]:[คะแนนเต็ม]]),"",(tbl_task8[97]/tbl_task8[[คะแนนเต็ม]:[คะแนนเต็ม]])*tbl_task8[[%]:[%]])</f>
        <v/>
      </c>
      <c r="JH23" s="121" t="str">
        <f>IF(ISBLANK(tbl_task8[[คะแนนเต็ม]:[คะแนนเต็ม]]),"",(tbl_task8[98]/tbl_task8[[คะแนนเต็ม]:[คะแนนเต็ม]])*tbl_task8[[%]:[%]])</f>
        <v/>
      </c>
      <c r="JI23" s="121" t="str">
        <f>IF(ISBLANK(tbl_task8[[คะแนนเต็ม]:[คะแนนเต็ม]]),"",(tbl_task8[99]/tbl_task8[[คะแนนเต็ม]:[คะแนนเต็ม]])*tbl_task8[[%]:[%]])</f>
        <v/>
      </c>
      <c r="JJ23" s="121" t="str">
        <f>IF(ISBLANK(tbl_task8[[คะแนนเต็ม]:[คะแนนเต็ม]]),"",(tbl_task8[100]/tbl_task8[[คะแนนเต็ม]:[คะแนนเต็ม]])*tbl_task8[[%]:[%]])</f>
        <v/>
      </c>
      <c r="JK23" s="121" t="str">
        <f>IF(ISBLANK(tbl_task8[[คะแนนเต็ม]:[คะแนนเต็ม]]),"",(tbl_task8[101]/tbl_task8[[คะแนนเต็ม]:[คะแนนเต็ม]])*tbl_task8[[%]:[%]])</f>
        <v/>
      </c>
      <c r="JL23" s="121" t="str">
        <f>IF(ISBLANK(tbl_task8[[คะแนนเต็ม]:[คะแนนเต็ม]]),"",(tbl_task8[102]/tbl_task8[[คะแนนเต็ม]:[คะแนนเต็ม]])*tbl_task8[[%]:[%]])</f>
        <v/>
      </c>
      <c r="JM23" s="121" t="str">
        <f>IF(ISBLANK(tbl_task8[[คะแนนเต็ม]:[คะแนนเต็ม]]),"",(tbl_task8[103]/tbl_task8[[คะแนนเต็ม]:[คะแนนเต็ม]])*tbl_task8[[%]:[%]])</f>
        <v/>
      </c>
      <c r="JN23" s="121" t="str">
        <f>IF(ISBLANK(tbl_task8[[คะแนนเต็ม]:[คะแนนเต็ม]]),"",(tbl_task8[104]/tbl_task8[[คะแนนเต็ม]:[คะแนนเต็ม]])*tbl_task8[[%]:[%]])</f>
        <v/>
      </c>
      <c r="JO23" s="121" t="str">
        <f>IF(ISBLANK(tbl_task8[[คะแนนเต็ม]:[คะแนนเต็ม]]),"",(tbl_task8[105]/tbl_task8[[คะแนนเต็ม]:[คะแนนเต็ม]])*tbl_task8[[%]:[%]])</f>
        <v/>
      </c>
      <c r="JP23" s="121" t="str">
        <f>IF(ISBLANK(tbl_task8[[คะแนนเต็ม]:[คะแนนเต็ม]]),"",(tbl_task8[106]/tbl_task8[[คะแนนเต็ม]:[คะแนนเต็ม]])*tbl_task8[[%]:[%]])</f>
        <v/>
      </c>
      <c r="JQ23" s="121" t="str">
        <f>IF(ISBLANK(tbl_task8[[คะแนนเต็ม]:[คะแนนเต็ม]]),"",(tbl_task8[107]/tbl_task8[[คะแนนเต็ม]:[คะแนนเต็ม]])*tbl_task8[[%]:[%]])</f>
        <v/>
      </c>
      <c r="JR23" s="121" t="str">
        <f>IF(ISBLANK(tbl_task8[[คะแนนเต็ม]:[คะแนนเต็ม]]),"",(tbl_task8[108]/tbl_task8[[คะแนนเต็ม]:[คะแนนเต็ม]])*tbl_task8[[%]:[%]])</f>
        <v/>
      </c>
      <c r="JS23" s="121" t="str">
        <f>IF(ISBLANK(tbl_task8[[คะแนนเต็ม]:[คะแนนเต็ม]]),"",(tbl_task8[109]/tbl_task8[[คะแนนเต็ม]:[คะแนนเต็ม]])*tbl_task8[[%]:[%]])</f>
        <v/>
      </c>
      <c r="JT23" s="121" t="str">
        <f>IF(ISBLANK(tbl_task8[[คะแนนเต็ม]:[คะแนนเต็ม]]),"",(tbl_task8[110]/tbl_task8[[คะแนนเต็ม]:[คะแนนเต็ม]])*tbl_task8[[%]:[%]])</f>
        <v/>
      </c>
      <c r="JU23" s="121" t="str">
        <f>IF(ISBLANK(tbl_task8[[คะแนนเต็ม]:[คะแนนเต็ม]]),"",(tbl_task8[111]/tbl_task8[[คะแนนเต็ม]:[คะแนนเต็ม]])*tbl_task8[[%]:[%]])</f>
        <v/>
      </c>
      <c r="JV23" s="121" t="str">
        <f>IF(ISBLANK(tbl_task8[[คะแนนเต็ม]:[คะแนนเต็ม]]),"",(tbl_task8[112]/tbl_task8[[คะแนนเต็ม]:[คะแนนเต็ม]])*tbl_task8[[%]:[%]])</f>
        <v/>
      </c>
      <c r="JW23" s="121" t="str">
        <f>IF(ISBLANK(tbl_task8[[คะแนนเต็ม]:[คะแนนเต็ม]]),"",(tbl_task8[113]/tbl_task8[[คะแนนเต็ม]:[คะแนนเต็ม]])*tbl_task8[[%]:[%]])</f>
        <v/>
      </c>
      <c r="JX23" s="121" t="str">
        <f>IF(ISBLANK(tbl_task8[[คะแนนเต็ม]:[คะแนนเต็ม]]),"",(tbl_task8[114]/tbl_task8[[คะแนนเต็ม]:[คะแนนเต็ม]])*tbl_task8[[%]:[%]])</f>
        <v/>
      </c>
      <c r="JY23" s="121" t="str">
        <f>IF(ISBLANK(tbl_task8[[คะแนนเต็ม]:[คะแนนเต็ม]]),"",(tbl_task8[115]/tbl_task8[[คะแนนเต็ม]:[คะแนนเต็ม]])*tbl_task8[[%]:[%]])</f>
        <v/>
      </c>
      <c r="JZ23" s="121" t="str">
        <f>IF(ISBLANK(tbl_task8[[คะแนนเต็ม]:[คะแนนเต็ม]]),"",(tbl_task8[116]/tbl_task8[[คะแนนเต็ม]:[คะแนนเต็ม]])*tbl_task8[[%]:[%]])</f>
        <v/>
      </c>
      <c r="KA23" s="121" t="str">
        <f>IF(ISBLANK(tbl_task8[[คะแนนเต็ม]:[คะแนนเต็ม]]),"",(tbl_task8[117]/tbl_task8[[คะแนนเต็ม]:[คะแนนเต็ม]])*tbl_task8[[%]:[%]])</f>
        <v/>
      </c>
      <c r="KB23" s="121" t="str">
        <f>IF(ISBLANK(tbl_task8[[คะแนนเต็ม]:[คะแนนเต็ม]]),"",(tbl_task8[118]/tbl_task8[[คะแนนเต็ม]:[คะแนนเต็ม]])*tbl_task8[[%]:[%]])</f>
        <v/>
      </c>
      <c r="KC23" s="121" t="str">
        <f>IF(ISBLANK(tbl_task8[[คะแนนเต็ม]:[คะแนนเต็ม]]),"",(tbl_task8[119]/tbl_task8[[คะแนนเต็ม]:[คะแนนเต็ม]])*tbl_task8[[%]:[%]])</f>
        <v/>
      </c>
      <c r="KD23" s="121" t="str">
        <f>IF(ISBLANK(tbl_task8[[คะแนนเต็ม]:[คะแนนเต็ม]]),"",(tbl_task8[120]/tbl_task8[[คะแนนเต็ม]:[คะแนนเต็ม]])*tbl_task8[[%]:[%]])</f>
        <v/>
      </c>
      <c r="KE23" s="121" t="str">
        <f>IF(ISBLANK(tbl_task8[[คะแนนเต็ม]:[คะแนนเต็ม]]),"",(tbl_task8[121]/tbl_task8[[คะแนนเต็ม]:[คะแนนเต็ม]])*tbl_task8[[%]:[%]])</f>
        <v/>
      </c>
      <c r="KF23" s="121" t="str">
        <f>IF(ISBLANK(tbl_task8[[คะแนนเต็ม]:[คะแนนเต็ม]]),"",(tbl_task8[122]/tbl_task8[[คะแนนเต็ม]:[คะแนนเต็ม]])*tbl_task8[[%]:[%]])</f>
        <v/>
      </c>
      <c r="KG23" s="121" t="str">
        <f>IF(ISBLANK(tbl_task8[[คะแนนเต็ม]:[คะแนนเต็ม]]),"",(tbl_task8[123]/tbl_task8[[คะแนนเต็ม]:[คะแนนเต็ม]])*tbl_task8[[%]:[%]])</f>
        <v/>
      </c>
      <c r="KH23" s="121" t="str">
        <f>IF(ISBLANK(tbl_task8[[คะแนนเต็ม]:[คะแนนเต็ม]]),"",(tbl_task8[124]/tbl_task8[[คะแนนเต็ม]:[คะแนนเต็ม]])*tbl_task8[[%]:[%]])</f>
        <v/>
      </c>
      <c r="KI23" s="121" t="str">
        <f>IF(ISBLANK(tbl_task8[[คะแนนเต็ม]:[คะแนนเต็ม]]),"",(tbl_task8[125]/tbl_task8[[คะแนนเต็ม]:[คะแนนเต็ม]])*tbl_task8[[%]:[%]])</f>
        <v/>
      </c>
      <c r="KJ23" s="121" t="str">
        <f>IF(ISBLANK(tbl_task8[[คะแนนเต็ม]:[คะแนนเต็ม]]),"",(tbl_task8[126]/tbl_task8[[คะแนนเต็ม]:[คะแนนเต็ม]])*tbl_task8[[%]:[%]])</f>
        <v/>
      </c>
      <c r="KK23" s="121" t="str">
        <f>IF(ISBLANK(tbl_task8[[คะแนนเต็ม]:[คะแนนเต็ม]]),"",(tbl_task8[127]/tbl_task8[[คะแนนเต็ม]:[คะแนนเต็ม]])*tbl_task8[[%]:[%]])</f>
        <v/>
      </c>
      <c r="KL23" s="121" t="str">
        <f>IF(ISBLANK(tbl_task8[[คะแนนเต็ม]:[คะแนนเต็ม]]),"",(tbl_task8[128]/tbl_task8[[คะแนนเต็ม]:[คะแนนเต็ม]])*tbl_task8[[%]:[%]])</f>
        <v/>
      </c>
      <c r="KM23" s="121" t="str">
        <f>IF(ISBLANK(tbl_task8[[คะแนนเต็ม]:[คะแนนเต็ม]]),"",(tbl_task8[129]/tbl_task8[[คะแนนเต็ม]:[คะแนนเต็ม]])*tbl_task8[[%]:[%]])</f>
        <v/>
      </c>
      <c r="KN23" s="121" t="str">
        <f>IF(ISBLANK(tbl_task8[[คะแนนเต็ม]:[คะแนนเต็ม]]),"",(tbl_task8[130]/tbl_task8[[คะแนนเต็ม]:[คะแนนเต็ม]])*tbl_task8[[%]:[%]])</f>
        <v/>
      </c>
      <c r="KO23" s="121" t="str">
        <f>IF(ISBLANK(tbl_task8[[คะแนนเต็ม]:[คะแนนเต็ม]]),"",(tbl_task8[131]/tbl_task8[[คะแนนเต็ม]:[คะแนนเต็ม]])*tbl_task8[[%]:[%]])</f>
        <v/>
      </c>
      <c r="KP23" s="121" t="str">
        <f>IF(ISBLANK(tbl_task8[[คะแนนเต็ม]:[คะแนนเต็ม]]),"",(tbl_task8[132]/tbl_task8[[คะแนนเต็ม]:[คะแนนเต็ม]])*tbl_task8[[%]:[%]])</f>
        <v/>
      </c>
      <c r="KQ23" s="121" t="str">
        <f>IF(ISBLANK(tbl_task8[[คะแนนเต็ม]:[คะแนนเต็ม]]),"",(tbl_task8[133]/tbl_task8[[คะแนนเต็ม]:[คะแนนเต็ม]])*tbl_task8[[%]:[%]])</f>
        <v/>
      </c>
      <c r="KR23" s="121" t="str">
        <f>IF(ISBLANK(tbl_task8[[คะแนนเต็ม]:[คะแนนเต็ม]]),"",(tbl_task8[134]/tbl_task8[[คะแนนเต็ม]:[คะแนนเต็ม]])*tbl_task8[[%]:[%]])</f>
        <v/>
      </c>
      <c r="KS23" s="121" t="str">
        <f>IF(ISBLANK(tbl_task8[[คะแนนเต็ม]:[คะแนนเต็ม]]),"",(tbl_task8[135]/tbl_task8[[คะแนนเต็ม]:[คะแนนเต็ม]])*tbl_task8[[%]:[%]])</f>
        <v/>
      </c>
      <c r="KT23" s="121" t="str">
        <f>IF(ISBLANK(tbl_task8[[คะแนนเต็ม]:[คะแนนเต็ม]]),"",(tbl_task8[136]/tbl_task8[[คะแนนเต็ม]:[คะแนนเต็ม]])*tbl_task8[[%]:[%]])</f>
        <v/>
      </c>
      <c r="KU23" s="121" t="str">
        <f>IF(ISBLANK(tbl_task8[[คะแนนเต็ม]:[คะแนนเต็ม]]),"",(tbl_task8[137]/tbl_task8[[คะแนนเต็ม]:[คะแนนเต็ม]])*tbl_task8[[%]:[%]])</f>
        <v/>
      </c>
      <c r="KV23" s="121" t="str">
        <f>IF(ISBLANK(tbl_task8[[คะแนนเต็ม]:[คะแนนเต็ม]]),"",(tbl_task8[138]/tbl_task8[[คะแนนเต็ม]:[คะแนนเต็ม]])*tbl_task8[[%]:[%]])</f>
        <v/>
      </c>
      <c r="KW23" s="121" t="str">
        <f>IF(ISBLANK(tbl_task8[[คะแนนเต็ม]:[คะแนนเต็ม]]),"",(tbl_task8[139]/tbl_task8[[คะแนนเต็ม]:[คะแนนเต็ม]])*tbl_task8[[%]:[%]])</f>
        <v/>
      </c>
      <c r="KX23" s="121" t="str">
        <f>IF(ISBLANK(tbl_task8[[คะแนนเต็ม]:[คะแนนเต็ม]]),"",(tbl_task8[140]/tbl_task8[[คะแนนเต็ม]:[คะแนนเต็ม]])*tbl_task8[[%]:[%]])</f>
        <v/>
      </c>
      <c r="KY23" s="121" t="str">
        <f>IF(ISBLANK(tbl_task8[[คะแนนเต็ม]:[คะแนนเต็ม]]),"",(tbl_task8[141]/tbl_task8[[คะแนนเต็ม]:[คะแนนเต็ม]])*tbl_task8[[%]:[%]])</f>
        <v/>
      </c>
      <c r="KZ23" s="121" t="str">
        <f>IF(ISBLANK(tbl_task8[[คะแนนเต็ม]:[คะแนนเต็ม]]),"",(tbl_task8[142]/tbl_task8[[คะแนนเต็ม]:[คะแนนเต็ม]])*tbl_task8[[%]:[%]])</f>
        <v/>
      </c>
      <c r="LA23" s="121" t="str">
        <f>IF(ISBLANK(tbl_task8[[คะแนนเต็ม]:[คะแนนเต็ม]]),"",(tbl_task8[143]/tbl_task8[[คะแนนเต็ม]:[คะแนนเต็ม]])*tbl_task8[[%]:[%]])</f>
        <v/>
      </c>
      <c r="LB23" s="121" t="str">
        <f>IF(ISBLANK(tbl_task8[[คะแนนเต็ม]:[คะแนนเต็ม]]),"",(tbl_task8[144]/tbl_task8[[คะแนนเต็ม]:[คะแนนเต็ม]])*tbl_task8[[%]:[%]])</f>
        <v/>
      </c>
      <c r="LC23" s="121" t="str">
        <f>IF(ISBLANK(tbl_task8[[คะแนนเต็ม]:[คะแนนเต็ม]]),"",(tbl_task8[145]/tbl_task8[[คะแนนเต็ม]:[คะแนนเต็ม]])*tbl_task8[[%]:[%]])</f>
        <v/>
      </c>
      <c r="LD23" s="121" t="str">
        <f>IF(ISBLANK(tbl_task8[[คะแนนเต็ม]:[คะแนนเต็ม]]),"",(tbl_task8[146]/tbl_task8[[คะแนนเต็ม]:[คะแนนเต็ม]])*tbl_task8[[%]:[%]])</f>
        <v/>
      </c>
      <c r="LE23" s="121" t="str">
        <f>IF(ISBLANK(tbl_task8[[คะแนนเต็ม]:[คะแนนเต็ม]]),"",(tbl_task8[147]/tbl_task8[[คะแนนเต็ม]:[คะแนนเต็ม]])*tbl_task8[[%]:[%]])</f>
        <v/>
      </c>
      <c r="LF23" s="121" t="str">
        <f>IF(ISBLANK(tbl_task8[[คะแนนเต็ม]:[คะแนนเต็ม]]),"",(tbl_task8[148]/tbl_task8[[คะแนนเต็ม]:[คะแนนเต็ม]])*tbl_task8[[%]:[%]])</f>
        <v/>
      </c>
      <c r="LG23" s="121" t="str">
        <f>IF(ISBLANK(tbl_task8[[คะแนนเต็ม]:[คะแนนเต็ม]]),"",(tbl_task8[149]/tbl_task8[[คะแนนเต็ม]:[คะแนนเต็ม]])*tbl_task8[[%]:[%]])</f>
        <v/>
      </c>
      <c r="LH23" s="121" t="str">
        <f>IF(ISBLANK(tbl_task8[[คะแนนเต็ม]:[คะแนนเต็ม]]),"",(tbl_task8[150]/tbl_task8[[คะแนนเต็ม]:[คะแนนเต็ม]])*tbl_task8[[%]:[%]])</f>
        <v/>
      </c>
      <c r="LI23" s="121" t="str">
        <f>IF(ISBLANK(tbl_task8[[คะแนนเต็ม]:[คะแนนเต็ม]]),"",(tbl_task8[151]/tbl_task8[[คะแนนเต็ม]:[คะแนนเต็ม]])*tbl_task8[[%]:[%]])</f>
        <v/>
      </c>
      <c r="LJ23" s="121" t="str">
        <f>IF(ISBLANK(tbl_task8[[คะแนนเต็ม]:[คะแนนเต็ม]]),"",(tbl_task8[152]/tbl_task8[[คะแนนเต็ม]:[คะแนนเต็ม]])*tbl_task8[[%]:[%]])</f>
        <v/>
      </c>
      <c r="LK23" s="121" t="str">
        <f>IF(ISBLANK(tbl_task8[[คะแนนเต็ม]:[คะแนนเต็ม]]),"",(tbl_task8[153]/tbl_task8[[คะแนนเต็ม]:[คะแนนเต็ม]])*tbl_task8[[%]:[%]])</f>
        <v/>
      </c>
      <c r="LL23" s="121" t="str">
        <f>IF(ISBLANK(tbl_task8[[คะแนนเต็ม]:[คะแนนเต็ม]]),"",(tbl_task8[154]/tbl_task8[[คะแนนเต็ม]:[คะแนนเต็ม]])*tbl_task8[[%]:[%]])</f>
        <v/>
      </c>
      <c r="LM23" s="121" t="str">
        <f>IF(ISBLANK(tbl_task8[[คะแนนเต็ม]:[คะแนนเต็ม]]),"",(tbl_task8[155]/tbl_task8[[คะแนนเต็ม]:[คะแนนเต็ม]])*tbl_task8[[%]:[%]])</f>
        <v/>
      </c>
      <c r="LN23" s="121" t="str">
        <f>IF(ISBLANK(tbl_task8[[คะแนนเต็ม]:[คะแนนเต็ม]]),"",(tbl_task8[156]/tbl_task8[[คะแนนเต็ม]:[คะแนนเต็ม]])*tbl_task8[[%]:[%]])</f>
        <v/>
      </c>
      <c r="LO23" s="121" t="str">
        <f>IF(ISBLANK(tbl_task8[[คะแนนเต็ม]:[คะแนนเต็ม]]),"",(tbl_task8[157]/tbl_task8[[คะแนนเต็ม]:[คะแนนเต็ม]])*tbl_task8[[%]:[%]])</f>
        <v/>
      </c>
      <c r="LP23" s="121" t="str">
        <f>IF(ISBLANK(tbl_task8[[คะแนนเต็ม]:[คะแนนเต็ม]]),"",(tbl_task8[158]/tbl_task8[[คะแนนเต็ม]:[คะแนนเต็ม]])*tbl_task8[[%]:[%]])</f>
        <v/>
      </c>
      <c r="LQ23" s="121" t="str">
        <f>IF(ISBLANK(tbl_task8[[คะแนนเต็ม]:[คะแนนเต็ม]]),"",(tbl_task8[159]/tbl_task8[[คะแนนเต็ม]:[คะแนนเต็ม]])*tbl_task8[[%]:[%]])</f>
        <v/>
      </c>
      <c r="LR23" s="121" t="str">
        <f>IF(ISBLANK(tbl_task8[[คะแนนเต็ม]:[คะแนนเต็ม]]),"",(tbl_task8[160]/tbl_task8[[คะแนนเต็ม]:[คะแนนเต็ม]])*tbl_task8[[%]:[%]])</f>
        <v/>
      </c>
      <c r="LS23" s="121" t="str">
        <f>IF(ISBLANK(tbl_task8[[คะแนนเต็ม]:[คะแนนเต็ม]]),"",(tbl_task8[161]/tbl_task8[[คะแนนเต็ม]:[คะแนนเต็ม]])*tbl_task8[[%]:[%]])</f>
        <v/>
      </c>
      <c r="LT23" s="121" t="str">
        <f>IF(ISBLANK(tbl_task8[[คะแนนเต็ม]:[คะแนนเต็ม]]),"",(tbl_task8[162]/tbl_task8[[คะแนนเต็ม]:[คะแนนเต็ม]])*tbl_task8[[%]:[%]])</f>
        <v/>
      </c>
      <c r="LU23" s="121" t="str">
        <f>IF(ISBLANK(tbl_task8[[คะแนนเต็ม]:[คะแนนเต็ม]]),"",(tbl_task8[163]/tbl_task8[[คะแนนเต็ม]:[คะแนนเต็ม]])*tbl_task8[[%]:[%]])</f>
        <v/>
      </c>
      <c r="LV23" s="121" t="str">
        <f>IF(ISBLANK(tbl_task8[[คะแนนเต็ม]:[คะแนนเต็ม]]),"",(tbl_task8[164]/tbl_task8[[คะแนนเต็ม]:[คะแนนเต็ม]])*tbl_task8[[%]:[%]])</f>
        <v/>
      </c>
      <c r="LW23" s="121" t="str">
        <f>IF(ISBLANK(tbl_task8[[คะแนนเต็ม]:[คะแนนเต็ม]]),"",(tbl_task8[165]/tbl_task8[[คะแนนเต็ม]:[คะแนนเต็ม]])*tbl_task8[[%]:[%]])</f>
        <v/>
      </c>
    </row>
    <row r="24" spans="1:335" ht="24" customHeight="1" x14ac:dyDescent="0.25">
      <c r="A24" s="24">
        <v>21</v>
      </c>
      <c r="B24" s="20"/>
      <c r="C24" s="5" t="str">
        <f>IF(ISBLANK(B24),"",VLOOKUP(B24,tbl_PLOs[],2,0))</f>
        <v/>
      </c>
      <c r="D24" s="102"/>
      <c r="E24" s="106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21" t="str">
        <f>IF(ISBLANK(tbl_task8[[คะแนนเต็ม]:[คะแนนเต็ม]]),"",(tbl_task8[1]/tbl_task8[[คะแนนเต็ม]:[คะแนนเต็ม]])*tbl_task8[[%]:[%]])</f>
        <v/>
      </c>
      <c r="FP24" s="121" t="str">
        <f>IF(ISBLANK(tbl_task8[[คะแนนเต็ม]:[คะแนนเต็ม]]),"",(tbl_task8[2]/tbl_task8[[คะแนนเต็ม]:[คะแนนเต็ม]])*tbl_task8[[%]:[%]])</f>
        <v/>
      </c>
      <c r="FQ24" s="121" t="str">
        <f>IF(ISBLANK(tbl_task8[[คะแนนเต็ม]:[คะแนนเต็ม]]),"",(tbl_task8[3]/tbl_task8[[คะแนนเต็ม]:[คะแนนเต็ม]])*tbl_task8[[%]:[%]])</f>
        <v/>
      </c>
      <c r="FR24" s="121" t="str">
        <f>IF(ISBLANK(tbl_task8[[คะแนนเต็ม]:[คะแนนเต็ม]]),"",(tbl_task8[4]/tbl_task8[[คะแนนเต็ม]:[คะแนนเต็ม]])*tbl_task8[[%]:[%]])</f>
        <v/>
      </c>
      <c r="FS24" s="121" t="str">
        <f>IF(ISBLANK(tbl_task8[[คะแนนเต็ม]:[คะแนนเต็ม]]),"",(tbl_task8[5]/tbl_task8[[คะแนนเต็ม]:[คะแนนเต็ม]])*tbl_task8[[%]:[%]])</f>
        <v/>
      </c>
      <c r="FT24" s="121" t="str">
        <f>IF(ISBLANK(tbl_task8[[คะแนนเต็ม]:[คะแนนเต็ม]]),"",(tbl_task8[6]/tbl_task8[[คะแนนเต็ม]:[คะแนนเต็ม]])*tbl_task8[[%]:[%]])</f>
        <v/>
      </c>
      <c r="FU24" s="121" t="str">
        <f>IF(ISBLANK(tbl_task8[[คะแนนเต็ม]:[คะแนนเต็ม]]),"",(tbl_task8[7]/tbl_task8[[คะแนนเต็ม]:[คะแนนเต็ม]])*tbl_task8[[%]:[%]])</f>
        <v/>
      </c>
      <c r="FV24" s="121" t="str">
        <f>IF(ISBLANK(tbl_task8[[คะแนนเต็ม]:[คะแนนเต็ม]]),"",(tbl_task8[8]/tbl_task8[[คะแนนเต็ม]:[คะแนนเต็ม]])*tbl_task8[[%]:[%]])</f>
        <v/>
      </c>
      <c r="FW24" s="121" t="str">
        <f>IF(ISBLANK(tbl_task8[[คะแนนเต็ม]:[คะแนนเต็ม]]),"",(tbl_task8[9]/tbl_task8[[คะแนนเต็ม]:[คะแนนเต็ม]])*tbl_task8[[%]:[%]])</f>
        <v/>
      </c>
      <c r="FX24" s="121" t="str">
        <f>IF(ISBLANK(tbl_task8[[คะแนนเต็ม]:[คะแนนเต็ม]]),"",(tbl_task8[10]/tbl_task8[[คะแนนเต็ม]:[คะแนนเต็ม]])*tbl_task8[[%]:[%]])</f>
        <v/>
      </c>
      <c r="FY24" s="121" t="str">
        <f>IF(ISBLANK(tbl_task8[[คะแนนเต็ม]:[คะแนนเต็ม]]),"",(tbl_task8[11]/tbl_task8[[คะแนนเต็ม]:[คะแนนเต็ม]])*tbl_task8[[%]:[%]])</f>
        <v/>
      </c>
      <c r="FZ24" s="121" t="str">
        <f>IF(ISBLANK(tbl_task8[[คะแนนเต็ม]:[คะแนนเต็ม]]),"",(tbl_task8[12]/tbl_task8[[คะแนนเต็ม]:[คะแนนเต็ม]])*tbl_task8[[%]:[%]])</f>
        <v/>
      </c>
      <c r="GA24" s="121" t="str">
        <f>IF(ISBLANK(tbl_task8[[คะแนนเต็ม]:[คะแนนเต็ม]]),"",(tbl_task8[13]/tbl_task8[[คะแนนเต็ม]:[คะแนนเต็ม]])*tbl_task8[[%]:[%]])</f>
        <v/>
      </c>
      <c r="GB24" s="121" t="str">
        <f>IF(ISBLANK(tbl_task8[[คะแนนเต็ม]:[คะแนนเต็ม]]),"",(tbl_task8[14]/tbl_task8[[คะแนนเต็ม]:[คะแนนเต็ม]])*tbl_task8[[%]:[%]])</f>
        <v/>
      </c>
      <c r="GC24" s="121" t="str">
        <f>IF(ISBLANK(tbl_task8[[คะแนนเต็ม]:[คะแนนเต็ม]]),"",(tbl_task8[15]/tbl_task8[[คะแนนเต็ม]:[คะแนนเต็ม]])*tbl_task8[[%]:[%]])</f>
        <v/>
      </c>
      <c r="GD24" s="121" t="str">
        <f>IF(ISBLANK(tbl_task8[[คะแนนเต็ม]:[คะแนนเต็ม]]),"",(tbl_task8[16]/tbl_task8[[คะแนนเต็ม]:[คะแนนเต็ม]])*tbl_task8[[%]:[%]])</f>
        <v/>
      </c>
      <c r="GE24" s="121" t="str">
        <f>IF(ISBLANK(tbl_task8[[คะแนนเต็ม]:[คะแนนเต็ม]]),"",(tbl_task8[17]/tbl_task8[[คะแนนเต็ม]:[คะแนนเต็ม]])*tbl_task8[[%]:[%]])</f>
        <v/>
      </c>
      <c r="GF24" s="121" t="str">
        <f>IF(ISBLANK(tbl_task8[[คะแนนเต็ม]:[คะแนนเต็ม]]),"",(tbl_task8[18]/tbl_task8[[คะแนนเต็ม]:[คะแนนเต็ม]])*tbl_task8[[%]:[%]])</f>
        <v/>
      </c>
      <c r="GG24" s="121" t="str">
        <f>IF(ISBLANK(tbl_task8[[คะแนนเต็ม]:[คะแนนเต็ม]]),"",(tbl_task8[19]/tbl_task8[[คะแนนเต็ม]:[คะแนนเต็ม]])*tbl_task8[[%]:[%]])</f>
        <v/>
      </c>
      <c r="GH24" s="121" t="str">
        <f>IF(ISBLANK(tbl_task8[[คะแนนเต็ม]:[คะแนนเต็ม]]),"",(tbl_task8[20]/tbl_task8[[คะแนนเต็ม]:[คะแนนเต็ม]])*tbl_task8[[%]:[%]])</f>
        <v/>
      </c>
      <c r="GI24" s="121" t="str">
        <f>IF(ISBLANK(tbl_task8[[คะแนนเต็ม]:[คะแนนเต็ม]]),"",(tbl_task8[21]/tbl_task8[[คะแนนเต็ม]:[คะแนนเต็ม]])*tbl_task8[[%]:[%]])</f>
        <v/>
      </c>
      <c r="GJ24" s="121" t="str">
        <f>IF(ISBLANK(tbl_task8[[คะแนนเต็ม]:[คะแนนเต็ม]]),"",(tbl_task8[22]/tbl_task8[[คะแนนเต็ม]:[คะแนนเต็ม]])*tbl_task8[[%]:[%]])</f>
        <v/>
      </c>
      <c r="GK24" s="121" t="str">
        <f>IF(ISBLANK(tbl_task8[[คะแนนเต็ม]:[คะแนนเต็ม]]),"",(tbl_task8[23]/tbl_task8[[คะแนนเต็ม]:[คะแนนเต็ม]])*tbl_task8[[%]:[%]])</f>
        <v/>
      </c>
      <c r="GL24" s="121" t="str">
        <f>IF(ISBLANK(tbl_task8[[คะแนนเต็ม]:[คะแนนเต็ม]]),"",(tbl_task8[24]/tbl_task8[[คะแนนเต็ม]:[คะแนนเต็ม]])*tbl_task8[[%]:[%]])</f>
        <v/>
      </c>
      <c r="GM24" s="121" t="str">
        <f>IF(ISBLANK(tbl_task8[[คะแนนเต็ม]:[คะแนนเต็ม]]),"",(tbl_task8[25]/tbl_task8[[คะแนนเต็ม]:[คะแนนเต็ม]])*tbl_task8[[%]:[%]])</f>
        <v/>
      </c>
      <c r="GN24" s="121" t="str">
        <f>IF(ISBLANK(tbl_task8[[คะแนนเต็ม]:[คะแนนเต็ม]]),"",(tbl_task8[26]/tbl_task8[[คะแนนเต็ม]:[คะแนนเต็ม]])*tbl_task8[[%]:[%]])</f>
        <v/>
      </c>
      <c r="GO24" s="121" t="str">
        <f>IF(ISBLANK(tbl_task8[[คะแนนเต็ม]:[คะแนนเต็ม]]),"",(tbl_task8[27]/tbl_task8[[คะแนนเต็ม]:[คะแนนเต็ม]])*tbl_task8[[%]:[%]])</f>
        <v/>
      </c>
      <c r="GP24" s="121" t="str">
        <f>IF(ISBLANK(tbl_task8[[คะแนนเต็ม]:[คะแนนเต็ม]]),"",(tbl_task8[28]/tbl_task8[[คะแนนเต็ม]:[คะแนนเต็ม]])*tbl_task8[[%]:[%]])</f>
        <v/>
      </c>
      <c r="GQ24" s="121" t="str">
        <f>IF(ISBLANK(tbl_task8[[คะแนนเต็ม]:[คะแนนเต็ม]]),"",(tbl_task8[29]/tbl_task8[[คะแนนเต็ม]:[คะแนนเต็ม]])*tbl_task8[[%]:[%]])</f>
        <v/>
      </c>
      <c r="GR24" s="121" t="str">
        <f>IF(ISBLANK(tbl_task8[[คะแนนเต็ม]:[คะแนนเต็ม]]),"",(tbl_task8[30]/tbl_task8[[คะแนนเต็ม]:[คะแนนเต็ม]])*tbl_task8[[%]:[%]])</f>
        <v/>
      </c>
      <c r="GS24" s="121" t="str">
        <f>IF(ISBLANK(tbl_task8[[คะแนนเต็ม]:[คะแนนเต็ม]]),"",(tbl_task8[31]/tbl_task8[[คะแนนเต็ม]:[คะแนนเต็ม]])*tbl_task8[[%]:[%]])</f>
        <v/>
      </c>
      <c r="GT24" s="121" t="str">
        <f>IF(ISBLANK(tbl_task8[[คะแนนเต็ม]:[คะแนนเต็ม]]),"",(tbl_task8[32]/tbl_task8[[คะแนนเต็ม]:[คะแนนเต็ม]])*tbl_task8[[%]:[%]])</f>
        <v/>
      </c>
      <c r="GU24" s="121" t="str">
        <f>IF(ISBLANK(tbl_task8[[คะแนนเต็ม]:[คะแนนเต็ม]]),"",(tbl_task8[33]/tbl_task8[[คะแนนเต็ม]:[คะแนนเต็ม]])*tbl_task8[[%]:[%]])</f>
        <v/>
      </c>
      <c r="GV24" s="121" t="str">
        <f>IF(ISBLANK(tbl_task8[[คะแนนเต็ม]:[คะแนนเต็ม]]),"",(tbl_task8[34]/tbl_task8[[คะแนนเต็ม]:[คะแนนเต็ม]])*tbl_task8[[%]:[%]])</f>
        <v/>
      </c>
      <c r="GW24" s="121" t="str">
        <f>IF(ISBLANK(tbl_task8[[คะแนนเต็ม]:[คะแนนเต็ม]]),"",(tbl_task8[35]/tbl_task8[[คะแนนเต็ม]:[คะแนนเต็ม]])*tbl_task8[[%]:[%]])</f>
        <v/>
      </c>
      <c r="GX24" s="121" t="str">
        <f>IF(ISBLANK(tbl_task8[[คะแนนเต็ม]:[คะแนนเต็ม]]),"",(tbl_task8[36]/tbl_task8[[คะแนนเต็ม]:[คะแนนเต็ม]])*tbl_task8[[%]:[%]])</f>
        <v/>
      </c>
      <c r="GY24" s="121" t="str">
        <f>IF(ISBLANK(tbl_task8[[คะแนนเต็ม]:[คะแนนเต็ม]]),"",(tbl_task8[37]/tbl_task8[[คะแนนเต็ม]:[คะแนนเต็ม]])*tbl_task8[[%]:[%]])</f>
        <v/>
      </c>
      <c r="GZ24" s="121" t="str">
        <f>IF(ISBLANK(tbl_task8[[คะแนนเต็ม]:[คะแนนเต็ม]]),"",(tbl_task8[38]/tbl_task8[[คะแนนเต็ม]:[คะแนนเต็ม]])*tbl_task8[[%]:[%]])</f>
        <v/>
      </c>
      <c r="HA24" s="121" t="str">
        <f>IF(ISBLANK(tbl_task8[[คะแนนเต็ม]:[คะแนนเต็ม]]),"",(tbl_task8[39]/tbl_task8[[คะแนนเต็ม]:[คะแนนเต็ม]])*tbl_task8[[%]:[%]])</f>
        <v/>
      </c>
      <c r="HB24" s="121" t="str">
        <f>IF(ISBLANK(tbl_task8[[คะแนนเต็ม]:[คะแนนเต็ม]]),"",(tbl_task8[40]/tbl_task8[[คะแนนเต็ม]:[คะแนนเต็ม]])*tbl_task8[[%]:[%]])</f>
        <v/>
      </c>
      <c r="HC24" s="121" t="str">
        <f>IF(ISBLANK(tbl_task8[[คะแนนเต็ม]:[คะแนนเต็ม]]),"",(tbl_task8[41]/tbl_task8[[คะแนนเต็ม]:[คะแนนเต็ม]])*tbl_task8[[%]:[%]])</f>
        <v/>
      </c>
      <c r="HD24" s="121" t="str">
        <f>IF(ISBLANK(tbl_task8[[คะแนนเต็ม]:[คะแนนเต็ม]]),"",(tbl_task8[42]/tbl_task8[[คะแนนเต็ม]:[คะแนนเต็ม]])*tbl_task8[[%]:[%]])</f>
        <v/>
      </c>
      <c r="HE24" s="121" t="str">
        <f>IF(ISBLANK(tbl_task8[[คะแนนเต็ม]:[คะแนนเต็ม]]),"",(tbl_task8[43]/tbl_task8[[คะแนนเต็ม]:[คะแนนเต็ม]])*tbl_task8[[%]:[%]])</f>
        <v/>
      </c>
      <c r="HF24" s="121" t="str">
        <f>IF(ISBLANK(tbl_task8[[คะแนนเต็ม]:[คะแนนเต็ม]]),"",(tbl_task8[44]/tbl_task8[[คะแนนเต็ม]:[คะแนนเต็ม]])*tbl_task8[[%]:[%]])</f>
        <v/>
      </c>
      <c r="HG24" s="121" t="str">
        <f>IF(ISBLANK(tbl_task8[[คะแนนเต็ม]:[คะแนนเต็ม]]),"",(tbl_task8[45]/tbl_task8[[คะแนนเต็ม]:[คะแนนเต็ม]])*tbl_task8[[%]:[%]])</f>
        <v/>
      </c>
      <c r="HH24" s="121" t="str">
        <f>IF(ISBLANK(tbl_task8[[คะแนนเต็ม]:[คะแนนเต็ม]]),"",(tbl_task8[46]/tbl_task8[[คะแนนเต็ม]:[คะแนนเต็ม]])*tbl_task8[[%]:[%]])</f>
        <v/>
      </c>
      <c r="HI24" s="121" t="str">
        <f>IF(ISBLANK(tbl_task8[[คะแนนเต็ม]:[คะแนนเต็ม]]),"",(tbl_task8[47]/tbl_task8[[คะแนนเต็ม]:[คะแนนเต็ม]])*tbl_task8[[%]:[%]])</f>
        <v/>
      </c>
      <c r="HJ24" s="121" t="str">
        <f>IF(ISBLANK(tbl_task8[[คะแนนเต็ม]:[คะแนนเต็ม]]),"",(tbl_task8[48]/tbl_task8[[คะแนนเต็ม]:[คะแนนเต็ม]])*tbl_task8[[%]:[%]])</f>
        <v/>
      </c>
      <c r="HK24" s="121" t="str">
        <f>IF(ISBLANK(tbl_task8[[คะแนนเต็ม]:[คะแนนเต็ม]]),"",(tbl_task8[49]/tbl_task8[[คะแนนเต็ม]:[คะแนนเต็ม]])*tbl_task8[[%]:[%]])</f>
        <v/>
      </c>
      <c r="HL24" s="121" t="str">
        <f>IF(ISBLANK(tbl_task8[[คะแนนเต็ม]:[คะแนนเต็ม]]),"",(tbl_task8[50]/tbl_task8[[คะแนนเต็ม]:[คะแนนเต็ม]])*tbl_task8[[%]:[%]])</f>
        <v/>
      </c>
      <c r="HM24" s="121" t="str">
        <f>IF(ISBLANK(tbl_task8[[คะแนนเต็ม]:[คะแนนเต็ม]]),"",(tbl_task8[51]/tbl_task8[[คะแนนเต็ม]:[คะแนนเต็ม]])*tbl_task8[[%]:[%]])</f>
        <v/>
      </c>
      <c r="HN24" s="121" t="str">
        <f>IF(ISBLANK(tbl_task8[[คะแนนเต็ม]:[คะแนนเต็ม]]),"",(tbl_task8[52]/tbl_task8[[คะแนนเต็ม]:[คะแนนเต็ม]])*tbl_task8[[%]:[%]])</f>
        <v/>
      </c>
      <c r="HO24" s="121" t="str">
        <f>IF(ISBLANK(tbl_task8[[คะแนนเต็ม]:[คะแนนเต็ม]]),"",(tbl_task8[53]/tbl_task8[[คะแนนเต็ม]:[คะแนนเต็ม]])*tbl_task8[[%]:[%]])</f>
        <v/>
      </c>
      <c r="HP24" s="121" t="str">
        <f>IF(ISBLANK(tbl_task8[[คะแนนเต็ม]:[คะแนนเต็ม]]),"",(tbl_task8[54]/tbl_task8[[คะแนนเต็ม]:[คะแนนเต็ม]])*tbl_task8[[%]:[%]])</f>
        <v/>
      </c>
      <c r="HQ24" s="121" t="str">
        <f>IF(ISBLANK(tbl_task8[[คะแนนเต็ม]:[คะแนนเต็ม]]),"",(tbl_task8[55]/tbl_task8[[คะแนนเต็ม]:[คะแนนเต็ม]])*tbl_task8[[%]:[%]])</f>
        <v/>
      </c>
      <c r="HR24" s="121" t="str">
        <f>IF(ISBLANK(tbl_task8[[คะแนนเต็ม]:[คะแนนเต็ม]]),"",(tbl_task8[56]/tbl_task8[[คะแนนเต็ม]:[คะแนนเต็ม]])*tbl_task8[[%]:[%]])</f>
        <v/>
      </c>
      <c r="HS24" s="121" t="str">
        <f>IF(ISBLANK(tbl_task8[[คะแนนเต็ม]:[คะแนนเต็ม]]),"",(tbl_task8[57]/tbl_task8[[คะแนนเต็ม]:[คะแนนเต็ม]])*tbl_task8[[%]:[%]])</f>
        <v/>
      </c>
      <c r="HT24" s="121" t="str">
        <f>IF(ISBLANK(tbl_task8[[คะแนนเต็ม]:[คะแนนเต็ม]]),"",(tbl_task8[58]/tbl_task8[[คะแนนเต็ม]:[คะแนนเต็ม]])*tbl_task8[[%]:[%]])</f>
        <v/>
      </c>
      <c r="HU24" s="121" t="str">
        <f>IF(ISBLANK(tbl_task8[[คะแนนเต็ม]:[คะแนนเต็ม]]),"",(tbl_task8[59]/tbl_task8[[คะแนนเต็ม]:[คะแนนเต็ม]])*tbl_task8[[%]:[%]])</f>
        <v/>
      </c>
      <c r="HV24" s="121" t="str">
        <f>IF(ISBLANK(tbl_task8[[คะแนนเต็ม]:[คะแนนเต็ม]]),"",(tbl_task8[60]/tbl_task8[[คะแนนเต็ม]:[คะแนนเต็ม]])*tbl_task8[[%]:[%]])</f>
        <v/>
      </c>
      <c r="HW24" s="121" t="str">
        <f>IF(ISBLANK(tbl_task8[[คะแนนเต็ม]:[คะแนนเต็ม]]),"",(tbl_task8[61]/tbl_task8[[คะแนนเต็ม]:[คะแนนเต็ม]])*tbl_task8[[%]:[%]])</f>
        <v/>
      </c>
      <c r="HX24" s="121" t="str">
        <f>IF(ISBLANK(tbl_task8[[คะแนนเต็ม]:[คะแนนเต็ม]]),"",(tbl_task8[62]/tbl_task8[[คะแนนเต็ม]:[คะแนนเต็ม]])*tbl_task8[[%]:[%]])</f>
        <v/>
      </c>
      <c r="HY24" s="121" t="str">
        <f>IF(ISBLANK(tbl_task8[[คะแนนเต็ม]:[คะแนนเต็ม]]),"",(tbl_task8[63]/tbl_task8[[คะแนนเต็ม]:[คะแนนเต็ม]])*tbl_task8[[%]:[%]])</f>
        <v/>
      </c>
      <c r="HZ24" s="121" t="str">
        <f>IF(ISBLANK(tbl_task8[[คะแนนเต็ม]:[คะแนนเต็ม]]),"",(tbl_task8[64]/tbl_task8[[คะแนนเต็ม]:[คะแนนเต็ม]])*tbl_task8[[%]:[%]])</f>
        <v/>
      </c>
      <c r="IA24" s="121" t="str">
        <f>IF(ISBLANK(tbl_task8[[คะแนนเต็ม]:[คะแนนเต็ม]]),"",(tbl_task8[65]/tbl_task8[[คะแนนเต็ม]:[คะแนนเต็ม]])*tbl_task8[[%]:[%]])</f>
        <v/>
      </c>
      <c r="IB24" s="121" t="str">
        <f>IF(ISBLANK(tbl_task8[[คะแนนเต็ม]:[คะแนนเต็ม]]),"",(tbl_task8[66]/tbl_task8[[คะแนนเต็ม]:[คะแนนเต็ม]])*tbl_task8[[%]:[%]])</f>
        <v/>
      </c>
      <c r="IC24" s="121" t="str">
        <f>IF(ISBLANK(tbl_task8[[คะแนนเต็ม]:[คะแนนเต็ม]]),"",(tbl_task8[67]/tbl_task8[[คะแนนเต็ม]:[คะแนนเต็ม]])*tbl_task8[[%]:[%]])</f>
        <v/>
      </c>
      <c r="ID24" s="121" t="str">
        <f>IF(ISBLANK(tbl_task8[[คะแนนเต็ม]:[คะแนนเต็ม]]),"",(tbl_task8[68]/tbl_task8[[คะแนนเต็ม]:[คะแนนเต็ม]])*tbl_task8[[%]:[%]])</f>
        <v/>
      </c>
      <c r="IE24" s="121" t="str">
        <f>IF(ISBLANK(tbl_task8[[คะแนนเต็ม]:[คะแนนเต็ม]]),"",(tbl_task8[69]/tbl_task8[[คะแนนเต็ม]:[คะแนนเต็ม]])*tbl_task8[[%]:[%]])</f>
        <v/>
      </c>
      <c r="IF24" s="121" t="str">
        <f>IF(ISBLANK(tbl_task8[[คะแนนเต็ม]:[คะแนนเต็ม]]),"",(tbl_task8[70]/tbl_task8[[คะแนนเต็ม]:[คะแนนเต็ม]])*tbl_task8[[%]:[%]])</f>
        <v/>
      </c>
      <c r="IG24" s="121" t="str">
        <f>IF(ISBLANK(tbl_task8[[คะแนนเต็ม]:[คะแนนเต็ม]]),"",(tbl_task8[71]/tbl_task8[[คะแนนเต็ม]:[คะแนนเต็ม]])*tbl_task8[[%]:[%]])</f>
        <v/>
      </c>
      <c r="IH24" s="121" t="str">
        <f>IF(ISBLANK(tbl_task8[[คะแนนเต็ม]:[คะแนนเต็ม]]),"",(tbl_task8[72]/tbl_task8[[คะแนนเต็ม]:[คะแนนเต็ม]])*tbl_task8[[%]:[%]])</f>
        <v/>
      </c>
      <c r="II24" s="121" t="str">
        <f>IF(ISBLANK(tbl_task8[[คะแนนเต็ม]:[คะแนนเต็ม]]),"",(tbl_task8[73]/tbl_task8[[คะแนนเต็ม]:[คะแนนเต็ม]])*tbl_task8[[%]:[%]])</f>
        <v/>
      </c>
      <c r="IJ24" s="121" t="str">
        <f>IF(ISBLANK(tbl_task8[[คะแนนเต็ม]:[คะแนนเต็ม]]),"",(tbl_task8[74]/tbl_task8[[คะแนนเต็ม]:[คะแนนเต็ม]])*tbl_task8[[%]:[%]])</f>
        <v/>
      </c>
      <c r="IK24" s="121" t="str">
        <f>IF(ISBLANK(tbl_task8[[คะแนนเต็ม]:[คะแนนเต็ม]]),"",(tbl_task8[75]/tbl_task8[[คะแนนเต็ม]:[คะแนนเต็ม]])*tbl_task8[[%]:[%]])</f>
        <v/>
      </c>
      <c r="IL24" s="121" t="str">
        <f>IF(ISBLANK(tbl_task8[[คะแนนเต็ม]:[คะแนนเต็ม]]),"",(tbl_task8[76]/tbl_task8[[คะแนนเต็ม]:[คะแนนเต็ม]])*tbl_task8[[%]:[%]])</f>
        <v/>
      </c>
      <c r="IM24" s="121" t="str">
        <f>IF(ISBLANK(tbl_task8[[คะแนนเต็ม]:[คะแนนเต็ม]]),"",(tbl_task8[77]/tbl_task8[[คะแนนเต็ม]:[คะแนนเต็ม]])*tbl_task8[[%]:[%]])</f>
        <v/>
      </c>
      <c r="IN24" s="121" t="str">
        <f>IF(ISBLANK(tbl_task8[[คะแนนเต็ม]:[คะแนนเต็ม]]),"",(tbl_task8[78]/tbl_task8[[คะแนนเต็ม]:[คะแนนเต็ม]])*tbl_task8[[%]:[%]])</f>
        <v/>
      </c>
      <c r="IO24" s="121" t="str">
        <f>IF(ISBLANK(tbl_task8[[คะแนนเต็ม]:[คะแนนเต็ม]]),"",(tbl_task8[79]/tbl_task8[[คะแนนเต็ม]:[คะแนนเต็ม]])*tbl_task8[[%]:[%]])</f>
        <v/>
      </c>
      <c r="IP24" s="121" t="str">
        <f>IF(ISBLANK(tbl_task8[[คะแนนเต็ม]:[คะแนนเต็ม]]),"",(tbl_task8[80]/tbl_task8[[คะแนนเต็ม]:[คะแนนเต็ม]])*tbl_task8[[%]:[%]])</f>
        <v/>
      </c>
      <c r="IQ24" s="121" t="str">
        <f>IF(ISBLANK(tbl_task8[[คะแนนเต็ม]:[คะแนนเต็ม]]),"",(tbl_task8[81]/tbl_task8[[คะแนนเต็ม]:[คะแนนเต็ม]])*tbl_task8[[%]:[%]])</f>
        <v/>
      </c>
      <c r="IR24" s="121" t="str">
        <f>IF(ISBLANK(tbl_task8[[คะแนนเต็ม]:[คะแนนเต็ม]]),"",(tbl_task8[82]/tbl_task8[[คะแนนเต็ม]:[คะแนนเต็ม]])*tbl_task8[[%]:[%]])</f>
        <v/>
      </c>
      <c r="IS24" s="121" t="str">
        <f>IF(ISBLANK(tbl_task8[[คะแนนเต็ม]:[คะแนนเต็ม]]),"",(tbl_task8[83]/tbl_task8[[คะแนนเต็ม]:[คะแนนเต็ม]])*tbl_task8[[%]:[%]])</f>
        <v/>
      </c>
      <c r="IT24" s="121" t="str">
        <f>IF(ISBLANK(tbl_task8[[คะแนนเต็ม]:[คะแนนเต็ม]]),"",(tbl_task8[84]/tbl_task8[[คะแนนเต็ม]:[คะแนนเต็ม]])*tbl_task8[[%]:[%]])</f>
        <v/>
      </c>
      <c r="IU24" s="121" t="str">
        <f>IF(ISBLANK(tbl_task8[[คะแนนเต็ม]:[คะแนนเต็ม]]),"",(tbl_task8[85]/tbl_task8[[คะแนนเต็ม]:[คะแนนเต็ม]])*tbl_task8[[%]:[%]])</f>
        <v/>
      </c>
      <c r="IV24" s="121" t="str">
        <f>IF(ISBLANK(tbl_task8[[คะแนนเต็ม]:[คะแนนเต็ม]]),"",(tbl_task8[86]/tbl_task8[[คะแนนเต็ม]:[คะแนนเต็ม]])*tbl_task8[[%]:[%]])</f>
        <v/>
      </c>
      <c r="IW24" s="121" t="str">
        <f>IF(ISBLANK(tbl_task8[[คะแนนเต็ม]:[คะแนนเต็ม]]),"",(tbl_task8[87]/tbl_task8[[คะแนนเต็ม]:[คะแนนเต็ม]])*tbl_task8[[%]:[%]])</f>
        <v/>
      </c>
      <c r="IX24" s="121" t="str">
        <f>IF(ISBLANK(tbl_task8[[คะแนนเต็ม]:[คะแนนเต็ม]]),"",(tbl_task8[88]/tbl_task8[[คะแนนเต็ม]:[คะแนนเต็ม]])*tbl_task8[[%]:[%]])</f>
        <v/>
      </c>
      <c r="IY24" s="121" t="str">
        <f>IF(ISBLANK(tbl_task8[[คะแนนเต็ม]:[คะแนนเต็ม]]),"",(tbl_task8[89]/tbl_task8[[คะแนนเต็ม]:[คะแนนเต็ม]])*tbl_task8[[%]:[%]])</f>
        <v/>
      </c>
      <c r="IZ24" s="121" t="str">
        <f>IF(ISBLANK(tbl_task8[[คะแนนเต็ม]:[คะแนนเต็ม]]),"",(tbl_task8[90]/tbl_task8[[คะแนนเต็ม]:[คะแนนเต็ม]])*tbl_task8[[%]:[%]])</f>
        <v/>
      </c>
      <c r="JA24" s="121" t="str">
        <f>IF(ISBLANK(tbl_task8[[คะแนนเต็ม]:[คะแนนเต็ม]]),"",(tbl_task8[91]/tbl_task8[[คะแนนเต็ม]:[คะแนนเต็ม]])*tbl_task8[[%]:[%]])</f>
        <v/>
      </c>
      <c r="JB24" s="121" t="str">
        <f>IF(ISBLANK(tbl_task8[[คะแนนเต็ม]:[คะแนนเต็ม]]),"",(tbl_task8[92]/tbl_task8[[คะแนนเต็ม]:[คะแนนเต็ม]])*tbl_task8[[%]:[%]])</f>
        <v/>
      </c>
      <c r="JC24" s="121" t="str">
        <f>IF(ISBLANK(tbl_task8[[คะแนนเต็ม]:[คะแนนเต็ม]]),"",(tbl_task8[93]/tbl_task8[[คะแนนเต็ม]:[คะแนนเต็ม]])*tbl_task8[[%]:[%]])</f>
        <v/>
      </c>
      <c r="JD24" s="121" t="str">
        <f>IF(ISBLANK(tbl_task8[[คะแนนเต็ม]:[คะแนนเต็ม]]),"",(tbl_task8[94]/tbl_task8[[คะแนนเต็ม]:[คะแนนเต็ม]])*tbl_task8[[%]:[%]])</f>
        <v/>
      </c>
      <c r="JE24" s="121" t="str">
        <f>IF(ISBLANK(tbl_task8[[คะแนนเต็ม]:[คะแนนเต็ม]]),"",(tbl_task8[95]/tbl_task8[[คะแนนเต็ม]:[คะแนนเต็ม]])*tbl_task8[[%]:[%]])</f>
        <v/>
      </c>
      <c r="JF24" s="121" t="str">
        <f>IF(ISBLANK(tbl_task8[[คะแนนเต็ม]:[คะแนนเต็ม]]),"",(tbl_task8[96]/tbl_task8[[คะแนนเต็ม]:[คะแนนเต็ม]])*tbl_task8[[%]:[%]])</f>
        <v/>
      </c>
      <c r="JG24" s="121" t="str">
        <f>IF(ISBLANK(tbl_task8[[คะแนนเต็ม]:[คะแนนเต็ม]]),"",(tbl_task8[97]/tbl_task8[[คะแนนเต็ม]:[คะแนนเต็ม]])*tbl_task8[[%]:[%]])</f>
        <v/>
      </c>
      <c r="JH24" s="121" t="str">
        <f>IF(ISBLANK(tbl_task8[[คะแนนเต็ม]:[คะแนนเต็ม]]),"",(tbl_task8[98]/tbl_task8[[คะแนนเต็ม]:[คะแนนเต็ม]])*tbl_task8[[%]:[%]])</f>
        <v/>
      </c>
      <c r="JI24" s="121" t="str">
        <f>IF(ISBLANK(tbl_task8[[คะแนนเต็ม]:[คะแนนเต็ม]]),"",(tbl_task8[99]/tbl_task8[[คะแนนเต็ม]:[คะแนนเต็ม]])*tbl_task8[[%]:[%]])</f>
        <v/>
      </c>
      <c r="JJ24" s="121" t="str">
        <f>IF(ISBLANK(tbl_task8[[คะแนนเต็ม]:[คะแนนเต็ม]]),"",(tbl_task8[100]/tbl_task8[[คะแนนเต็ม]:[คะแนนเต็ม]])*tbl_task8[[%]:[%]])</f>
        <v/>
      </c>
      <c r="JK24" s="121" t="str">
        <f>IF(ISBLANK(tbl_task8[[คะแนนเต็ม]:[คะแนนเต็ม]]),"",(tbl_task8[101]/tbl_task8[[คะแนนเต็ม]:[คะแนนเต็ม]])*tbl_task8[[%]:[%]])</f>
        <v/>
      </c>
      <c r="JL24" s="121" t="str">
        <f>IF(ISBLANK(tbl_task8[[คะแนนเต็ม]:[คะแนนเต็ม]]),"",(tbl_task8[102]/tbl_task8[[คะแนนเต็ม]:[คะแนนเต็ม]])*tbl_task8[[%]:[%]])</f>
        <v/>
      </c>
      <c r="JM24" s="121" t="str">
        <f>IF(ISBLANK(tbl_task8[[คะแนนเต็ม]:[คะแนนเต็ม]]),"",(tbl_task8[103]/tbl_task8[[คะแนนเต็ม]:[คะแนนเต็ม]])*tbl_task8[[%]:[%]])</f>
        <v/>
      </c>
      <c r="JN24" s="121" t="str">
        <f>IF(ISBLANK(tbl_task8[[คะแนนเต็ม]:[คะแนนเต็ม]]),"",(tbl_task8[104]/tbl_task8[[คะแนนเต็ม]:[คะแนนเต็ม]])*tbl_task8[[%]:[%]])</f>
        <v/>
      </c>
      <c r="JO24" s="121" t="str">
        <f>IF(ISBLANK(tbl_task8[[คะแนนเต็ม]:[คะแนนเต็ม]]),"",(tbl_task8[105]/tbl_task8[[คะแนนเต็ม]:[คะแนนเต็ม]])*tbl_task8[[%]:[%]])</f>
        <v/>
      </c>
      <c r="JP24" s="121" t="str">
        <f>IF(ISBLANK(tbl_task8[[คะแนนเต็ม]:[คะแนนเต็ม]]),"",(tbl_task8[106]/tbl_task8[[คะแนนเต็ม]:[คะแนนเต็ม]])*tbl_task8[[%]:[%]])</f>
        <v/>
      </c>
      <c r="JQ24" s="121" t="str">
        <f>IF(ISBLANK(tbl_task8[[คะแนนเต็ม]:[คะแนนเต็ม]]),"",(tbl_task8[107]/tbl_task8[[คะแนนเต็ม]:[คะแนนเต็ม]])*tbl_task8[[%]:[%]])</f>
        <v/>
      </c>
      <c r="JR24" s="121" t="str">
        <f>IF(ISBLANK(tbl_task8[[คะแนนเต็ม]:[คะแนนเต็ม]]),"",(tbl_task8[108]/tbl_task8[[คะแนนเต็ม]:[คะแนนเต็ม]])*tbl_task8[[%]:[%]])</f>
        <v/>
      </c>
      <c r="JS24" s="121" t="str">
        <f>IF(ISBLANK(tbl_task8[[คะแนนเต็ม]:[คะแนนเต็ม]]),"",(tbl_task8[109]/tbl_task8[[คะแนนเต็ม]:[คะแนนเต็ม]])*tbl_task8[[%]:[%]])</f>
        <v/>
      </c>
      <c r="JT24" s="121" t="str">
        <f>IF(ISBLANK(tbl_task8[[คะแนนเต็ม]:[คะแนนเต็ม]]),"",(tbl_task8[110]/tbl_task8[[คะแนนเต็ม]:[คะแนนเต็ม]])*tbl_task8[[%]:[%]])</f>
        <v/>
      </c>
      <c r="JU24" s="121" t="str">
        <f>IF(ISBLANK(tbl_task8[[คะแนนเต็ม]:[คะแนนเต็ม]]),"",(tbl_task8[111]/tbl_task8[[คะแนนเต็ม]:[คะแนนเต็ม]])*tbl_task8[[%]:[%]])</f>
        <v/>
      </c>
      <c r="JV24" s="121" t="str">
        <f>IF(ISBLANK(tbl_task8[[คะแนนเต็ม]:[คะแนนเต็ม]]),"",(tbl_task8[112]/tbl_task8[[คะแนนเต็ม]:[คะแนนเต็ม]])*tbl_task8[[%]:[%]])</f>
        <v/>
      </c>
      <c r="JW24" s="121" t="str">
        <f>IF(ISBLANK(tbl_task8[[คะแนนเต็ม]:[คะแนนเต็ม]]),"",(tbl_task8[113]/tbl_task8[[คะแนนเต็ม]:[คะแนนเต็ม]])*tbl_task8[[%]:[%]])</f>
        <v/>
      </c>
      <c r="JX24" s="121" t="str">
        <f>IF(ISBLANK(tbl_task8[[คะแนนเต็ม]:[คะแนนเต็ม]]),"",(tbl_task8[114]/tbl_task8[[คะแนนเต็ม]:[คะแนนเต็ม]])*tbl_task8[[%]:[%]])</f>
        <v/>
      </c>
      <c r="JY24" s="121" t="str">
        <f>IF(ISBLANK(tbl_task8[[คะแนนเต็ม]:[คะแนนเต็ม]]),"",(tbl_task8[115]/tbl_task8[[คะแนนเต็ม]:[คะแนนเต็ม]])*tbl_task8[[%]:[%]])</f>
        <v/>
      </c>
      <c r="JZ24" s="121" t="str">
        <f>IF(ISBLANK(tbl_task8[[คะแนนเต็ม]:[คะแนนเต็ม]]),"",(tbl_task8[116]/tbl_task8[[คะแนนเต็ม]:[คะแนนเต็ม]])*tbl_task8[[%]:[%]])</f>
        <v/>
      </c>
      <c r="KA24" s="121" t="str">
        <f>IF(ISBLANK(tbl_task8[[คะแนนเต็ม]:[คะแนนเต็ม]]),"",(tbl_task8[117]/tbl_task8[[คะแนนเต็ม]:[คะแนนเต็ม]])*tbl_task8[[%]:[%]])</f>
        <v/>
      </c>
      <c r="KB24" s="121" t="str">
        <f>IF(ISBLANK(tbl_task8[[คะแนนเต็ม]:[คะแนนเต็ม]]),"",(tbl_task8[118]/tbl_task8[[คะแนนเต็ม]:[คะแนนเต็ม]])*tbl_task8[[%]:[%]])</f>
        <v/>
      </c>
      <c r="KC24" s="121" t="str">
        <f>IF(ISBLANK(tbl_task8[[คะแนนเต็ม]:[คะแนนเต็ม]]),"",(tbl_task8[119]/tbl_task8[[คะแนนเต็ม]:[คะแนนเต็ม]])*tbl_task8[[%]:[%]])</f>
        <v/>
      </c>
      <c r="KD24" s="121" t="str">
        <f>IF(ISBLANK(tbl_task8[[คะแนนเต็ม]:[คะแนนเต็ม]]),"",(tbl_task8[120]/tbl_task8[[คะแนนเต็ม]:[คะแนนเต็ม]])*tbl_task8[[%]:[%]])</f>
        <v/>
      </c>
      <c r="KE24" s="121" t="str">
        <f>IF(ISBLANK(tbl_task8[[คะแนนเต็ม]:[คะแนนเต็ม]]),"",(tbl_task8[121]/tbl_task8[[คะแนนเต็ม]:[คะแนนเต็ม]])*tbl_task8[[%]:[%]])</f>
        <v/>
      </c>
      <c r="KF24" s="121" t="str">
        <f>IF(ISBLANK(tbl_task8[[คะแนนเต็ม]:[คะแนนเต็ม]]),"",(tbl_task8[122]/tbl_task8[[คะแนนเต็ม]:[คะแนนเต็ม]])*tbl_task8[[%]:[%]])</f>
        <v/>
      </c>
      <c r="KG24" s="121" t="str">
        <f>IF(ISBLANK(tbl_task8[[คะแนนเต็ม]:[คะแนนเต็ม]]),"",(tbl_task8[123]/tbl_task8[[คะแนนเต็ม]:[คะแนนเต็ม]])*tbl_task8[[%]:[%]])</f>
        <v/>
      </c>
      <c r="KH24" s="121" t="str">
        <f>IF(ISBLANK(tbl_task8[[คะแนนเต็ม]:[คะแนนเต็ม]]),"",(tbl_task8[124]/tbl_task8[[คะแนนเต็ม]:[คะแนนเต็ม]])*tbl_task8[[%]:[%]])</f>
        <v/>
      </c>
      <c r="KI24" s="121" t="str">
        <f>IF(ISBLANK(tbl_task8[[คะแนนเต็ม]:[คะแนนเต็ม]]),"",(tbl_task8[125]/tbl_task8[[คะแนนเต็ม]:[คะแนนเต็ม]])*tbl_task8[[%]:[%]])</f>
        <v/>
      </c>
      <c r="KJ24" s="121" t="str">
        <f>IF(ISBLANK(tbl_task8[[คะแนนเต็ม]:[คะแนนเต็ม]]),"",(tbl_task8[126]/tbl_task8[[คะแนนเต็ม]:[คะแนนเต็ม]])*tbl_task8[[%]:[%]])</f>
        <v/>
      </c>
      <c r="KK24" s="121" t="str">
        <f>IF(ISBLANK(tbl_task8[[คะแนนเต็ม]:[คะแนนเต็ม]]),"",(tbl_task8[127]/tbl_task8[[คะแนนเต็ม]:[คะแนนเต็ม]])*tbl_task8[[%]:[%]])</f>
        <v/>
      </c>
      <c r="KL24" s="121" t="str">
        <f>IF(ISBLANK(tbl_task8[[คะแนนเต็ม]:[คะแนนเต็ม]]),"",(tbl_task8[128]/tbl_task8[[คะแนนเต็ม]:[คะแนนเต็ม]])*tbl_task8[[%]:[%]])</f>
        <v/>
      </c>
      <c r="KM24" s="121" t="str">
        <f>IF(ISBLANK(tbl_task8[[คะแนนเต็ม]:[คะแนนเต็ม]]),"",(tbl_task8[129]/tbl_task8[[คะแนนเต็ม]:[คะแนนเต็ม]])*tbl_task8[[%]:[%]])</f>
        <v/>
      </c>
      <c r="KN24" s="121" t="str">
        <f>IF(ISBLANK(tbl_task8[[คะแนนเต็ม]:[คะแนนเต็ม]]),"",(tbl_task8[130]/tbl_task8[[คะแนนเต็ม]:[คะแนนเต็ม]])*tbl_task8[[%]:[%]])</f>
        <v/>
      </c>
      <c r="KO24" s="121" t="str">
        <f>IF(ISBLANK(tbl_task8[[คะแนนเต็ม]:[คะแนนเต็ม]]),"",(tbl_task8[131]/tbl_task8[[คะแนนเต็ม]:[คะแนนเต็ม]])*tbl_task8[[%]:[%]])</f>
        <v/>
      </c>
      <c r="KP24" s="121" t="str">
        <f>IF(ISBLANK(tbl_task8[[คะแนนเต็ม]:[คะแนนเต็ม]]),"",(tbl_task8[132]/tbl_task8[[คะแนนเต็ม]:[คะแนนเต็ม]])*tbl_task8[[%]:[%]])</f>
        <v/>
      </c>
      <c r="KQ24" s="121" t="str">
        <f>IF(ISBLANK(tbl_task8[[คะแนนเต็ม]:[คะแนนเต็ม]]),"",(tbl_task8[133]/tbl_task8[[คะแนนเต็ม]:[คะแนนเต็ม]])*tbl_task8[[%]:[%]])</f>
        <v/>
      </c>
      <c r="KR24" s="121" t="str">
        <f>IF(ISBLANK(tbl_task8[[คะแนนเต็ม]:[คะแนนเต็ม]]),"",(tbl_task8[134]/tbl_task8[[คะแนนเต็ม]:[คะแนนเต็ม]])*tbl_task8[[%]:[%]])</f>
        <v/>
      </c>
      <c r="KS24" s="121" t="str">
        <f>IF(ISBLANK(tbl_task8[[คะแนนเต็ม]:[คะแนนเต็ม]]),"",(tbl_task8[135]/tbl_task8[[คะแนนเต็ม]:[คะแนนเต็ม]])*tbl_task8[[%]:[%]])</f>
        <v/>
      </c>
      <c r="KT24" s="121" t="str">
        <f>IF(ISBLANK(tbl_task8[[คะแนนเต็ม]:[คะแนนเต็ม]]),"",(tbl_task8[136]/tbl_task8[[คะแนนเต็ม]:[คะแนนเต็ม]])*tbl_task8[[%]:[%]])</f>
        <v/>
      </c>
      <c r="KU24" s="121" t="str">
        <f>IF(ISBLANK(tbl_task8[[คะแนนเต็ม]:[คะแนนเต็ม]]),"",(tbl_task8[137]/tbl_task8[[คะแนนเต็ม]:[คะแนนเต็ม]])*tbl_task8[[%]:[%]])</f>
        <v/>
      </c>
      <c r="KV24" s="121" t="str">
        <f>IF(ISBLANK(tbl_task8[[คะแนนเต็ม]:[คะแนนเต็ม]]),"",(tbl_task8[138]/tbl_task8[[คะแนนเต็ม]:[คะแนนเต็ม]])*tbl_task8[[%]:[%]])</f>
        <v/>
      </c>
      <c r="KW24" s="121" t="str">
        <f>IF(ISBLANK(tbl_task8[[คะแนนเต็ม]:[คะแนนเต็ม]]),"",(tbl_task8[139]/tbl_task8[[คะแนนเต็ม]:[คะแนนเต็ม]])*tbl_task8[[%]:[%]])</f>
        <v/>
      </c>
      <c r="KX24" s="121" t="str">
        <f>IF(ISBLANK(tbl_task8[[คะแนนเต็ม]:[คะแนนเต็ม]]),"",(tbl_task8[140]/tbl_task8[[คะแนนเต็ม]:[คะแนนเต็ม]])*tbl_task8[[%]:[%]])</f>
        <v/>
      </c>
      <c r="KY24" s="121" t="str">
        <f>IF(ISBLANK(tbl_task8[[คะแนนเต็ม]:[คะแนนเต็ม]]),"",(tbl_task8[141]/tbl_task8[[คะแนนเต็ม]:[คะแนนเต็ม]])*tbl_task8[[%]:[%]])</f>
        <v/>
      </c>
      <c r="KZ24" s="121" t="str">
        <f>IF(ISBLANK(tbl_task8[[คะแนนเต็ม]:[คะแนนเต็ม]]),"",(tbl_task8[142]/tbl_task8[[คะแนนเต็ม]:[คะแนนเต็ม]])*tbl_task8[[%]:[%]])</f>
        <v/>
      </c>
      <c r="LA24" s="121" t="str">
        <f>IF(ISBLANK(tbl_task8[[คะแนนเต็ม]:[คะแนนเต็ม]]),"",(tbl_task8[143]/tbl_task8[[คะแนนเต็ม]:[คะแนนเต็ม]])*tbl_task8[[%]:[%]])</f>
        <v/>
      </c>
      <c r="LB24" s="121" t="str">
        <f>IF(ISBLANK(tbl_task8[[คะแนนเต็ม]:[คะแนนเต็ม]]),"",(tbl_task8[144]/tbl_task8[[คะแนนเต็ม]:[คะแนนเต็ม]])*tbl_task8[[%]:[%]])</f>
        <v/>
      </c>
      <c r="LC24" s="121" t="str">
        <f>IF(ISBLANK(tbl_task8[[คะแนนเต็ม]:[คะแนนเต็ม]]),"",(tbl_task8[145]/tbl_task8[[คะแนนเต็ม]:[คะแนนเต็ม]])*tbl_task8[[%]:[%]])</f>
        <v/>
      </c>
      <c r="LD24" s="121" t="str">
        <f>IF(ISBLANK(tbl_task8[[คะแนนเต็ม]:[คะแนนเต็ม]]),"",(tbl_task8[146]/tbl_task8[[คะแนนเต็ม]:[คะแนนเต็ม]])*tbl_task8[[%]:[%]])</f>
        <v/>
      </c>
      <c r="LE24" s="121" t="str">
        <f>IF(ISBLANK(tbl_task8[[คะแนนเต็ม]:[คะแนนเต็ม]]),"",(tbl_task8[147]/tbl_task8[[คะแนนเต็ม]:[คะแนนเต็ม]])*tbl_task8[[%]:[%]])</f>
        <v/>
      </c>
      <c r="LF24" s="121" t="str">
        <f>IF(ISBLANK(tbl_task8[[คะแนนเต็ม]:[คะแนนเต็ม]]),"",(tbl_task8[148]/tbl_task8[[คะแนนเต็ม]:[คะแนนเต็ม]])*tbl_task8[[%]:[%]])</f>
        <v/>
      </c>
      <c r="LG24" s="121" t="str">
        <f>IF(ISBLANK(tbl_task8[[คะแนนเต็ม]:[คะแนนเต็ม]]),"",(tbl_task8[149]/tbl_task8[[คะแนนเต็ม]:[คะแนนเต็ม]])*tbl_task8[[%]:[%]])</f>
        <v/>
      </c>
      <c r="LH24" s="121" t="str">
        <f>IF(ISBLANK(tbl_task8[[คะแนนเต็ม]:[คะแนนเต็ม]]),"",(tbl_task8[150]/tbl_task8[[คะแนนเต็ม]:[คะแนนเต็ม]])*tbl_task8[[%]:[%]])</f>
        <v/>
      </c>
      <c r="LI24" s="121" t="str">
        <f>IF(ISBLANK(tbl_task8[[คะแนนเต็ม]:[คะแนนเต็ม]]),"",(tbl_task8[151]/tbl_task8[[คะแนนเต็ม]:[คะแนนเต็ม]])*tbl_task8[[%]:[%]])</f>
        <v/>
      </c>
      <c r="LJ24" s="121" t="str">
        <f>IF(ISBLANK(tbl_task8[[คะแนนเต็ม]:[คะแนนเต็ม]]),"",(tbl_task8[152]/tbl_task8[[คะแนนเต็ม]:[คะแนนเต็ม]])*tbl_task8[[%]:[%]])</f>
        <v/>
      </c>
      <c r="LK24" s="121" t="str">
        <f>IF(ISBLANK(tbl_task8[[คะแนนเต็ม]:[คะแนนเต็ม]]),"",(tbl_task8[153]/tbl_task8[[คะแนนเต็ม]:[คะแนนเต็ม]])*tbl_task8[[%]:[%]])</f>
        <v/>
      </c>
      <c r="LL24" s="121" t="str">
        <f>IF(ISBLANK(tbl_task8[[คะแนนเต็ม]:[คะแนนเต็ม]]),"",(tbl_task8[154]/tbl_task8[[คะแนนเต็ม]:[คะแนนเต็ม]])*tbl_task8[[%]:[%]])</f>
        <v/>
      </c>
      <c r="LM24" s="121" t="str">
        <f>IF(ISBLANK(tbl_task8[[คะแนนเต็ม]:[คะแนนเต็ม]]),"",(tbl_task8[155]/tbl_task8[[คะแนนเต็ม]:[คะแนนเต็ม]])*tbl_task8[[%]:[%]])</f>
        <v/>
      </c>
      <c r="LN24" s="121" t="str">
        <f>IF(ISBLANK(tbl_task8[[คะแนนเต็ม]:[คะแนนเต็ม]]),"",(tbl_task8[156]/tbl_task8[[คะแนนเต็ม]:[คะแนนเต็ม]])*tbl_task8[[%]:[%]])</f>
        <v/>
      </c>
      <c r="LO24" s="121" t="str">
        <f>IF(ISBLANK(tbl_task8[[คะแนนเต็ม]:[คะแนนเต็ม]]),"",(tbl_task8[157]/tbl_task8[[คะแนนเต็ม]:[คะแนนเต็ม]])*tbl_task8[[%]:[%]])</f>
        <v/>
      </c>
      <c r="LP24" s="121" t="str">
        <f>IF(ISBLANK(tbl_task8[[คะแนนเต็ม]:[คะแนนเต็ม]]),"",(tbl_task8[158]/tbl_task8[[คะแนนเต็ม]:[คะแนนเต็ม]])*tbl_task8[[%]:[%]])</f>
        <v/>
      </c>
      <c r="LQ24" s="121" t="str">
        <f>IF(ISBLANK(tbl_task8[[คะแนนเต็ม]:[คะแนนเต็ม]]),"",(tbl_task8[159]/tbl_task8[[คะแนนเต็ม]:[คะแนนเต็ม]])*tbl_task8[[%]:[%]])</f>
        <v/>
      </c>
      <c r="LR24" s="121" t="str">
        <f>IF(ISBLANK(tbl_task8[[คะแนนเต็ม]:[คะแนนเต็ม]]),"",(tbl_task8[160]/tbl_task8[[คะแนนเต็ม]:[คะแนนเต็ม]])*tbl_task8[[%]:[%]])</f>
        <v/>
      </c>
      <c r="LS24" s="121" t="str">
        <f>IF(ISBLANK(tbl_task8[[คะแนนเต็ม]:[คะแนนเต็ม]]),"",(tbl_task8[161]/tbl_task8[[คะแนนเต็ม]:[คะแนนเต็ม]])*tbl_task8[[%]:[%]])</f>
        <v/>
      </c>
      <c r="LT24" s="121" t="str">
        <f>IF(ISBLANK(tbl_task8[[คะแนนเต็ม]:[คะแนนเต็ม]]),"",(tbl_task8[162]/tbl_task8[[คะแนนเต็ม]:[คะแนนเต็ม]])*tbl_task8[[%]:[%]])</f>
        <v/>
      </c>
      <c r="LU24" s="121" t="str">
        <f>IF(ISBLANK(tbl_task8[[คะแนนเต็ม]:[คะแนนเต็ม]]),"",(tbl_task8[163]/tbl_task8[[คะแนนเต็ม]:[คะแนนเต็ม]])*tbl_task8[[%]:[%]])</f>
        <v/>
      </c>
      <c r="LV24" s="121" t="str">
        <f>IF(ISBLANK(tbl_task8[[คะแนนเต็ม]:[คะแนนเต็ม]]),"",(tbl_task8[164]/tbl_task8[[คะแนนเต็ม]:[คะแนนเต็ม]])*tbl_task8[[%]:[%]])</f>
        <v/>
      </c>
      <c r="LW24" s="121" t="str">
        <f>IF(ISBLANK(tbl_task8[[คะแนนเต็ม]:[คะแนนเต็ม]]),"",(tbl_task8[165]/tbl_task8[[คะแนนเต็ม]:[คะแนนเต็ม]])*tbl_task8[[%]:[%]])</f>
        <v/>
      </c>
    </row>
    <row r="25" spans="1:335" ht="24" customHeight="1" x14ac:dyDescent="0.25">
      <c r="A25" s="24">
        <v>22</v>
      </c>
      <c r="B25" s="20"/>
      <c r="C25" s="5" t="str">
        <f>IF(ISBLANK(B25),"",VLOOKUP(B25,tbl_PLOs[],2,0))</f>
        <v/>
      </c>
      <c r="D25" s="102"/>
      <c r="E25" s="106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21" t="str">
        <f>IF(ISBLANK(tbl_task8[[คะแนนเต็ม]:[คะแนนเต็ม]]),"",(tbl_task8[1]/tbl_task8[[คะแนนเต็ม]:[คะแนนเต็ม]])*tbl_task8[[%]:[%]])</f>
        <v/>
      </c>
      <c r="FP25" s="121" t="str">
        <f>IF(ISBLANK(tbl_task8[[คะแนนเต็ม]:[คะแนนเต็ม]]),"",(tbl_task8[2]/tbl_task8[[คะแนนเต็ม]:[คะแนนเต็ม]])*tbl_task8[[%]:[%]])</f>
        <v/>
      </c>
      <c r="FQ25" s="121" t="str">
        <f>IF(ISBLANK(tbl_task8[[คะแนนเต็ม]:[คะแนนเต็ม]]),"",(tbl_task8[3]/tbl_task8[[คะแนนเต็ม]:[คะแนนเต็ม]])*tbl_task8[[%]:[%]])</f>
        <v/>
      </c>
      <c r="FR25" s="121" t="str">
        <f>IF(ISBLANK(tbl_task8[[คะแนนเต็ม]:[คะแนนเต็ม]]),"",(tbl_task8[4]/tbl_task8[[คะแนนเต็ม]:[คะแนนเต็ม]])*tbl_task8[[%]:[%]])</f>
        <v/>
      </c>
      <c r="FS25" s="121" t="str">
        <f>IF(ISBLANK(tbl_task8[[คะแนนเต็ม]:[คะแนนเต็ม]]),"",(tbl_task8[5]/tbl_task8[[คะแนนเต็ม]:[คะแนนเต็ม]])*tbl_task8[[%]:[%]])</f>
        <v/>
      </c>
      <c r="FT25" s="121" t="str">
        <f>IF(ISBLANK(tbl_task8[[คะแนนเต็ม]:[คะแนนเต็ม]]),"",(tbl_task8[6]/tbl_task8[[คะแนนเต็ม]:[คะแนนเต็ม]])*tbl_task8[[%]:[%]])</f>
        <v/>
      </c>
      <c r="FU25" s="121" t="str">
        <f>IF(ISBLANK(tbl_task8[[คะแนนเต็ม]:[คะแนนเต็ม]]),"",(tbl_task8[7]/tbl_task8[[คะแนนเต็ม]:[คะแนนเต็ม]])*tbl_task8[[%]:[%]])</f>
        <v/>
      </c>
      <c r="FV25" s="121" t="str">
        <f>IF(ISBLANK(tbl_task8[[คะแนนเต็ม]:[คะแนนเต็ม]]),"",(tbl_task8[8]/tbl_task8[[คะแนนเต็ม]:[คะแนนเต็ม]])*tbl_task8[[%]:[%]])</f>
        <v/>
      </c>
      <c r="FW25" s="121" t="str">
        <f>IF(ISBLANK(tbl_task8[[คะแนนเต็ม]:[คะแนนเต็ม]]),"",(tbl_task8[9]/tbl_task8[[คะแนนเต็ม]:[คะแนนเต็ม]])*tbl_task8[[%]:[%]])</f>
        <v/>
      </c>
      <c r="FX25" s="121" t="str">
        <f>IF(ISBLANK(tbl_task8[[คะแนนเต็ม]:[คะแนนเต็ม]]),"",(tbl_task8[10]/tbl_task8[[คะแนนเต็ม]:[คะแนนเต็ม]])*tbl_task8[[%]:[%]])</f>
        <v/>
      </c>
      <c r="FY25" s="121" t="str">
        <f>IF(ISBLANK(tbl_task8[[คะแนนเต็ม]:[คะแนนเต็ม]]),"",(tbl_task8[11]/tbl_task8[[คะแนนเต็ม]:[คะแนนเต็ม]])*tbl_task8[[%]:[%]])</f>
        <v/>
      </c>
      <c r="FZ25" s="121" t="str">
        <f>IF(ISBLANK(tbl_task8[[คะแนนเต็ม]:[คะแนนเต็ม]]),"",(tbl_task8[12]/tbl_task8[[คะแนนเต็ม]:[คะแนนเต็ม]])*tbl_task8[[%]:[%]])</f>
        <v/>
      </c>
      <c r="GA25" s="121" t="str">
        <f>IF(ISBLANK(tbl_task8[[คะแนนเต็ม]:[คะแนนเต็ม]]),"",(tbl_task8[13]/tbl_task8[[คะแนนเต็ม]:[คะแนนเต็ม]])*tbl_task8[[%]:[%]])</f>
        <v/>
      </c>
      <c r="GB25" s="121" t="str">
        <f>IF(ISBLANK(tbl_task8[[คะแนนเต็ม]:[คะแนนเต็ม]]),"",(tbl_task8[14]/tbl_task8[[คะแนนเต็ม]:[คะแนนเต็ม]])*tbl_task8[[%]:[%]])</f>
        <v/>
      </c>
      <c r="GC25" s="121" t="str">
        <f>IF(ISBLANK(tbl_task8[[คะแนนเต็ม]:[คะแนนเต็ม]]),"",(tbl_task8[15]/tbl_task8[[คะแนนเต็ม]:[คะแนนเต็ม]])*tbl_task8[[%]:[%]])</f>
        <v/>
      </c>
      <c r="GD25" s="121" t="str">
        <f>IF(ISBLANK(tbl_task8[[คะแนนเต็ม]:[คะแนนเต็ม]]),"",(tbl_task8[16]/tbl_task8[[คะแนนเต็ม]:[คะแนนเต็ม]])*tbl_task8[[%]:[%]])</f>
        <v/>
      </c>
      <c r="GE25" s="121" t="str">
        <f>IF(ISBLANK(tbl_task8[[คะแนนเต็ม]:[คะแนนเต็ม]]),"",(tbl_task8[17]/tbl_task8[[คะแนนเต็ม]:[คะแนนเต็ม]])*tbl_task8[[%]:[%]])</f>
        <v/>
      </c>
      <c r="GF25" s="121" t="str">
        <f>IF(ISBLANK(tbl_task8[[คะแนนเต็ม]:[คะแนนเต็ม]]),"",(tbl_task8[18]/tbl_task8[[คะแนนเต็ม]:[คะแนนเต็ม]])*tbl_task8[[%]:[%]])</f>
        <v/>
      </c>
      <c r="GG25" s="121" t="str">
        <f>IF(ISBLANK(tbl_task8[[คะแนนเต็ม]:[คะแนนเต็ม]]),"",(tbl_task8[19]/tbl_task8[[คะแนนเต็ม]:[คะแนนเต็ม]])*tbl_task8[[%]:[%]])</f>
        <v/>
      </c>
      <c r="GH25" s="121" t="str">
        <f>IF(ISBLANK(tbl_task8[[คะแนนเต็ม]:[คะแนนเต็ม]]),"",(tbl_task8[20]/tbl_task8[[คะแนนเต็ม]:[คะแนนเต็ม]])*tbl_task8[[%]:[%]])</f>
        <v/>
      </c>
      <c r="GI25" s="121" t="str">
        <f>IF(ISBLANK(tbl_task8[[คะแนนเต็ม]:[คะแนนเต็ม]]),"",(tbl_task8[21]/tbl_task8[[คะแนนเต็ม]:[คะแนนเต็ม]])*tbl_task8[[%]:[%]])</f>
        <v/>
      </c>
      <c r="GJ25" s="121" t="str">
        <f>IF(ISBLANK(tbl_task8[[คะแนนเต็ม]:[คะแนนเต็ม]]),"",(tbl_task8[22]/tbl_task8[[คะแนนเต็ม]:[คะแนนเต็ม]])*tbl_task8[[%]:[%]])</f>
        <v/>
      </c>
      <c r="GK25" s="121" t="str">
        <f>IF(ISBLANK(tbl_task8[[คะแนนเต็ม]:[คะแนนเต็ม]]),"",(tbl_task8[23]/tbl_task8[[คะแนนเต็ม]:[คะแนนเต็ม]])*tbl_task8[[%]:[%]])</f>
        <v/>
      </c>
      <c r="GL25" s="121" t="str">
        <f>IF(ISBLANK(tbl_task8[[คะแนนเต็ม]:[คะแนนเต็ม]]),"",(tbl_task8[24]/tbl_task8[[คะแนนเต็ม]:[คะแนนเต็ม]])*tbl_task8[[%]:[%]])</f>
        <v/>
      </c>
      <c r="GM25" s="121" t="str">
        <f>IF(ISBLANK(tbl_task8[[คะแนนเต็ม]:[คะแนนเต็ม]]),"",(tbl_task8[25]/tbl_task8[[คะแนนเต็ม]:[คะแนนเต็ม]])*tbl_task8[[%]:[%]])</f>
        <v/>
      </c>
      <c r="GN25" s="121" t="str">
        <f>IF(ISBLANK(tbl_task8[[คะแนนเต็ม]:[คะแนนเต็ม]]),"",(tbl_task8[26]/tbl_task8[[คะแนนเต็ม]:[คะแนนเต็ม]])*tbl_task8[[%]:[%]])</f>
        <v/>
      </c>
      <c r="GO25" s="121" t="str">
        <f>IF(ISBLANK(tbl_task8[[คะแนนเต็ม]:[คะแนนเต็ม]]),"",(tbl_task8[27]/tbl_task8[[คะแนนเต็ม]:[คะแนนเต็ม]])*tbl_task8[[%]:[%]])</f>
        <v/>
      </c>
      <c r="GP25" s="121" t="str">
        <f>IF(ISBLANK(tbl_task8[[คะแนนเต็ม]:[คะแนนเต็ม]]),"",(tbl_task8[28]/tbl_task8[[คะแนนเต็ม]:[คะแนนเต็ม]])*tbl_task8[[%]:[%]])</f>
        <v/>
      </c>
      <c r="GQ25" s="121" t="str">
        <f>IF(ISBLANK(tbl_task8[[คะแนนเต็ม]:[คะแนนเต็ม]]),"",(tbl_task8[29]/tbl_task8[[คะแนนเต็ม]:[คะแนนเต็ม]])*tbl_task8[[%]:[%]])</f>
        <v/>
      </c>
      <c r="GR25" s="121" t="str">
        <f>IF(ISBLANK(tbl_task8[[คะแนนเต็ม]:[คะแนนเต็ม]]),"",(tbl_task8[30]/tbl_task8[[คะแนนเต็ม]:[คะแนนเต็ม]])*tbl_task8[[%]:[%]])</f>
        <v/>
      </c>
      <c r="GS25" s="121" t="str">
        <f>IF(ISBLANK(tbl_task8[[คะแนนเต็ม]:[คะแนนเต็ม]]),"",(tbl_task8[31]/tbl_task8[[คะแนนเต็ม]:[คะแนนเต็ม]])*tbl_task8[[%]:[%]])</f>
        <v/>
      </c>
      <c r="GT25" s="121" t="str">
        <f>IF(ISBLANK(tbl_task8[[คะแนนเต็ม]:[คะแนนเต็ม]]),"",(tbl_task8[32]/tbl_task8[[คะแนนเต็ม]:[คะแนนเต็ม]])*tbl_task8[[%]:[%]])</f>
        <v/>
      </c>
      <c r="GU25" s="121" t="str">
        <f>IF(ISBLANK(tbl_task8[[คะแนนเต็ม]:[คะแนนเต็ม]]),"",(tbl_task8[33]/tbl_task8[[คะแนนเต็ม]:[คะแนนเต็ม]])*tbl_task8[[%]:[%]])</f>
        <v/>
      </c>
      <c r="GV25" s="121" t="str">
        <f>IF(ISBLANK(tbl_task8[[คะแนนเต็ม]:[คะแนนเต็ม]]),"",(tbl_task8[34]/tbl_task8[[คะแนนเต็ม]:[คะแนนเต็ม]])*tbl_task8[[%]:[%]])</f>
        <v/>
      </c>
      <c r="GW25" s="121" t="str">
        <f>IF(ISBLANK(tbl_task8[[คะแนนเต็ม]:[คะแนนเต็ม]]),"",(tbl_task8[35]/tbl_task8[[คะแนนเต็ม]:[คะแนนเต็ม]])*tbl_task8[[%]:[%]])</f>
        <v/>
      </c>
      <c r="GX25" s="121" t="str">
        <f>IF(ISBLANK(tbl_task8[[คะแนนเต็ม]:[คะแนนเต็ม]]),"",(tbl_task8[36]/tbl_task8[[คะแนนเต็ม]:[คะแนนเต็ม]])*tbl_task8[[%]:[%]])</f>
        <v/>
      </c>
      <c r="GY25" s="121" t="str">
        <f>IF(ISBLANK(tbl_task8[[คะแนนเต็ม]:[คะแนนเต็ม]]),"",(tbl_task8[37]/tbl_task8[[คะแนนเต็ม]:[คะแนนเต็ม]])*tbl_task8[[%]:[%]])</f>
        <v/>
      </c>
      <c r="GZ25" s="121" t="str">
        <f>IF(ISBLANK(tbl_task8[[คะแนนเต็ม]:[คะแนนเต็ม]]),"",(tbl_task8[38]/tbl_task8[[คะแนนเต็ม]:[คะแนนเต็ม]])*tbl_task8[[%]:[%]])</f>
        <v/>
      </c>
      <c r="HA25" s="121" t="str">
        <f>IF(ISBLANK(tbl_task8[[คะแนนเต็ม]:[คะแนนเต็ม]]),"",(tbl_task8[39]/tbl_task8[[คะแนนเต็ม]:[คะแนนเต็ม]])*tbl_task8[[%]:[%]])</f>
        <v/>
      </c>
      <c r="HB25" s="121" t="str">
        <f>IF(ISBLANK(tbl_task8[[คะแนนเต็ม]:[คะแนนเต็ม]]),"",(tbl_task8[40]/tbl_task8[[คะแนนเต็ม]:[คะแนนเต็ม]])*tbl_task8[[%]:[%]])</f>
        <v/>
      </c>
      <c r="HC25" s="121" t="str">
        <f>IF(ISBLANK(tbl_task8[[คะแนนเต็ม]:[คะแนนเต็ม]]),"",(tbl_task8[41]/tbl_task8[[คะแนนเต็ม]:[คะแนนเต็ม]])*tbl_task8[[%]:[%]])</f>
        <v/>
      </c>
      <c r="HD25" s="121" t="str">
        <f>IF(ISBLANK(tbl_task8[[คะแนนเต็ม]:[คะแนนเต็ม]]),"",(tbl_task8[42]/tbl_task8[[คะแนนเต็ม]:[คะแนนเต็ม]])*tbl_task8[[%]:[%]])</f>
        <v/>
      </c>
      <c r="HE25" s="121" t="str">
        <f>IF(ISBLANK(tbl_task8[[คะแนนเต็ม]:[คะแนนเต็ม]]),"",(tbl_task8[43]/tbl_task8[[คะแนนเต็ม]:[คะแนนเต็ม]])*tbl_task8[[%]:[%]])</f>
        <v/>
      </c>
      <c r="HF25" s="121" t="str">
        <f>IF(ISBLANK(tbl_task8[[คะแนนเต็ม]:[คะแนนเต็ม]]),"",(tbl_task8[44]/tbl_task8[[คะแนนเต็ม]:[คะแนนเต็ม]])*tbl_task8[[%]:[%]])</f>
        <v/>
      </c>
      <c r="HG25" s="121" t="str">
        <f>IF(ISBLANK(tbl_task8[[คะแนนเต็ม]:[คะแนนเต็ม]]),"",(tbl_task8[45]/tbl_task8[[คะแนนเต็ม]:[คะแนนเต็ม]])*tbl_task8[[%]:[%]])</f>
        <v/>
      </c>
      <c r="HH25" s="121" t="str">
        <f>IF(ISBLANK(tbl_task8[[คะแนนเต็ม]:[คะแนนเต็ม]]),"",(tbl_task8[46]/tbl_task8[[คะแนนเต็ม]:[คะแนนเต็ม]])*tbl_task8[[%]:[%]])</f>
        <v/>
      </c>
      <c r="HI25" s="121" t="str">
        <f>IF(ISBLANK(tbl_task8[[คะแนนเต็ม]:[คะแนนเต็ม]]),"",(tbl_task8[47]/tbl_task8[[คะแนนเต็ม]:[คะแนนเต็ม]])*tbl_task8[[%]:[%]])</f>
        <v/>
      </c>
      <c r="HJ25" s="121" t="str">
        <f>IF(ISBLANK(tbl_task8[[คะแนนเต็ม]:[คะแนนเต็ม]]),"",(tbl_task8[48]/tbl_task8[[คะแนนเต็ม]:[คะแนนเต็ม]])*tbl_task8[[%]:[%]])</f>
        <v/>
      </c>
      <c r="HK25" s="121" t="str">
        <f>IF(ISBLANK(tbl_task8[[คะแนนเต็ม]:[คะแนนเต็ม]]),"",(tbl_task8[49]/tbl_task8[[คะแนนเต็ม]:[คะแนนเต็ม]])*tbl_task8[[%]:[%]])</f>
        <v/>
      </c>
      <c r="HL25" s="121" t="str">
        <f>IF(ISBLANK(tbl_task8[[คะแนนเต็ม]:[คะแนนเต็ม]]),"",(tbl_task8[50]/tbl_task8[[คะแนนเต็ม]:[คะแนนเต็ม]])*tbl_task8[[%]:[%]])</f>
        <v/>
      </c>
      <c r="HM25" s="121" t="str">
        <f>IF(ISBLANK(tbl_task8[[คะแนนเต็ม]:[คะแนนเต็ม]]),"",(tbl_task8[51]/tbl_task8[[คะแนนเต็ม]:[คะแนนเต็ม]])*tbl_task8[[%]:[%]])</f>
        <v/>
      </c>
      <c r="HN25" s="121" t="str">
        <f>IF(ISBLANK(tbl_task8[[คะแนนเต็ม]:[คะแนนเต็ม]]),"",(tbl_task8[52]/tbl_task8[[คะแนนเต็ม]:[คะแนนเต็ม]])*tbl_task8[[%]:[%]])</f>
        <v/>
      </c>
      <c r="HO25" s="121" t="str">
        <f>IF(ISBLANK(tbl_task8[[คะแนนเต็ม]:[คะแนนเต็ม]]),"",(tbl_task8[53]/tbl_task8[[คะแนนเต็ม]:[คะแนนเต็ม]])*tbl_task8[[%]:[%]])</f>
        <v/>
      </c>
      <c r="HP25" s="121" t="str">
        <f>IF(ISBLANK(tbl_task8[[คะแนนเต็ม]:[คะแนนเต็ม]]),"",(tbl_task8[54]/tbl_task8[[คะแนนเต็ม]:[คะแนนเต็ม]])*tbl_task8[[%]:[%]])</f>
        <v/>
      </c>
      <c r="HQ25" s="121" t="str">
        <f>IF(ISBLANK(tbl_task8[[คะแนนเต็ม]:[คะแนนเต็ม]]),"",(tbl_task8[55]/tbl_task8[[คะแนนเต็ม]:[คะแนนเต็ม]])*tbl_task8[[%]:[%]])</f>
        <v/>
      </c>
      <c r="HR25" s="121" t="str">
        <f>IF(ISBLANK(tbl_task8[[คะแนนเต็ม]:[คะแนนเต็ม]]),"",(tbl_task8[56]/tbl_task8[[คะแนนเต็ม]:[คะแนนเต็ม]])*tbl_task8[[%]:[%]])</f>
        <v/>
      </c>
      <c r="HS25" s="121" t="str">
        <f>IF(ISBLANK(tbl_task8[[คะแนนเต็ม]:[คะแนนเต็ม]]),"",(tbl_task8[57]/tbl_task8[[คะแนนเต็ม]:[คะแนนเต็ม]])*tbl_task8[[%]:[%]])</f>
        <v/>
      </c>
      <c r="HT25" s="121" t="str">
        <f>IF(ISBLANK(tbl_task8[[คะแนนเต็ม]:[คะแนนเต็ม]]),"",(tbl_task8[58]/tbl_task8[[คะแนนเต็ม]:[คะแนนเต็ม]])*tbl_task8[[%]:[%]])</f>
        <v/>
      </c>
      <c r="HU25" s="121" t="str">
        <f>IF(ISBLANK(tbl_task8[[คะแนนเต็ม]:[คะแนนเต็ม]]),"",(tbl_task8[59]/tbl_task8[[คะแนนเต็ม]:[คะแนนเต็ม]])*tbl_task8[[%]:[%]])</f>
        <v/>
      </c>
      <c r="HV25" s="121" t="str">
        <f>IF(ISBLANK(tbl_task8[[คะแนนเต็ม]:[คะแนนเต็ม]]),"",(tbl_task8[60]/tbl_task8[[คะแนนเต็ม]:[คะแนนเต็ม]])*tbl_task8[[%]:[%]])</f>
        <v/>
      </c>
      <c r="HW25" s="121" t="str">
        <f>IF(ISBLANK(tbl_task8[[คะแนนเต็ม]:[คะแนนเต็ม]]),"",(tbl_task8[61]/tbl_task8[[คะแนนเต็ม]:[คะแนนเต็ม]])*tbl_task8[[%]:[%]])</f>
        <v/>
      </c>
      <c r="HX25" s="121" t="str">
        <f>IF(ISBLANK(tbl_task8[[คะแนนเต็ม]:[คะแนนเต็ม]]),"",(tbl_task8[62]/tbl_task8[[คะแนนเต็ม]:[คะแนนเต็ม]])*tbl_task8[[%]:[%]])</f>
        <v/>
      </c>
      <c r="HY25" s="121" t="str">
        <f>IF(ISBLANK(tbl_task8[[คะแนนเต็ม]:[คะแนนเต็ม]]),"",(tbl_task8[63]/tbl_task8[[คะแนนเต็ม]:[คะแนนเต็ม]])*tbl_task8[[%]:[%]])</f>
        <v/>
      </c>
      <c r="HZ25" s="121" t="str">
        <f>IF(ISBLANK(tbl_task8[[คะแนนเต็ม]:[คะแนนเต็ม]]),"",(tbl_task8[64]/tbl_task8[[คะแนนเต็ม]:[คะแนนเต็ม]])*tbl_task8[[%]:[%]])</f>
        <v/>
      </c>
      <c r="IA25" s="121" t="str">
        <f>IF(ISBLANK(tbl_task8[[คะแนนเต็ม]:[คะแนนเต็ม]]),"",(tbl_task8[65]/tbl_task8[[คะแนนเต็ม]:[คะแนนเต็ม]])*tbl_task8[[%]:[%]])</f>
        <v/>
      </c>
      <c r="IB25" s="121" t="str">
        <f>IF(ISBLANK(tbl_task8[[คะแนนเต็ม]:[คะแนนเต็ม]]),"",(tbl_task8[66]/tbl_task8[[คะแนนเต็ม]:[คะแนนเต็ม]])*tbl_task8[[%]:[%]])</f>
        <v/>
      </c>
      <c r="IC25" s="121" t="str">
        <f>IF(ISBLANK(tbl_task8[[คะแนนเต็ม]:[คะแนนเต็ม]]),"",(tbl_task8[67]/tbl_task8[[คะแนนเต็ม]:[คะแนนเต็ม]])*tbl_task8[[%]:[%]])</f>
        <v/>
      </c>
      <c r="ID25" s="121" t="str">
        <f>IF(ISBLANK(tbl_task8[[คะแนนเต็ม]:[คะแนนเต็ม]]),"",(tbl_task8[68]/tbl_task8[[คะแนนเต็ม]:[คะแนนเต็ม]])*tbl_task8[[%]:[%]])</f>
        <v/>
      </c>
      <c r="IE25" s="121" t="str">
        <f>IF(ISBLANK(tbl_task8[[คะแนนเต็ม]:[คะแนนเต็ม]]),"",(tbl_task8[69]/tbl_task8[[คะแนนเต็ม]:[คะแนนเต็ม]])*tbl_task8[[%]:[%]])</f>
        <v/>
      </c>
      <c r="IF25" s="121" t="str">
        <f>IF(ISBLANK(tbl_task8[[คะแนนเต็ม]:[คะแนนเต็ม]]),"",(tbl_task8[70]/tbl_task8[[คะแนนเต็ม]:[คะแนนเต็ม]])*tbl_task8[[%]:[%]])</f>
        <v/>
      </c>
      <c r="IG25" s="121" t="str">
        <f>IF(ISBLANK(tbl_task8[[คะแนนเต็ม]:[คะแนนเต็ม]]),"",(tbl_task8[71]/tbl_task8[[คะแนนเต็ม]:[คะแนนเต็ม]])*tbl_task8[[%]:[%]])</f>
        <v/>
      </c>
      <c r="IH25" s="121" t="str">
        <f>IF(ISBLANK(tbl_task8[[คะแนนเต็ม]:[คะแนนเต็ม]]),"",(tbl_task8[72]/tbl_task8[[คะแนนเต็ม]:[คะแนนเต็ม]])*tbl_task8[[%]:[%]])</f>
        <v/>
      </c>
      <c r="II25" s="121" t="str">
        <f>IF(ISBLANK(tbl_task8[[คะแนนเต็ม]:[คะแนนเต็ม]]),"",(tbl_task8[73]/tbl_task8[[คะแนนเต็ม]:[คะแนนเต็ม]])*tbl_task8[[%]:[%]])</f>
        <v/>
      </c>
      <c r="IJ25" s="121" t="str">
        <f>IF(ISBLANK(tbl_task8[[คะแนนเต็ม]:[คะแนนเต็ม]]),"",(tbl_task8[74]/tbl_task8[[คะแนนเต็ม]:[คะแนนเต็ม]])*tbl_task8[[%]:[%]])</f>
        <v/>
      </c>
      <c r="IK25" s="121" t="str">
        <f>IF(ISBLANK(tbl_task8[[คะแนนเต็ม]:[คะแนนเต็ม]]),"",(tbl_task8[75]/tbl_task8[[คะแนนเต็ม]:[คะแนนเต็ม]])*tbl_task8[[%]:[%]])</f>
        <v/>
      </c>
      <c r="IL25" s="121" t="str">
        <f>IF(ISBLANK(tbl_task8[[คะแนนเต็ม]:[คะแนนเต็ม]]),"",(tbl_task8[76]/tbl_task8[[คะแนนเต็ม]:[คะแนนเต็ม]])*tbl_task8[[%]:[%]])</f>
        <v/>
      </c>
      <c r="IM25" s="121" t="str">
        <f>IF(ISBLANK(tbl_task8[[คะแนนเต็ม]:[คะแนนเต็ม]]),"",(tbl_task8[77]/tbl_task8[[คะแนนเต็ม]:[คะแนนเต็ม]])*tbl_task8[[%]:[%]])</f>
        <v/>
      </c>
      <c r="IN25" s="121" t="str">
        <f>IF(ISBLANK(tbl_task8[[คะแนนเต็ม]:[คะแนนเต็ม]]),"",(tbl_task8[78]/tbl_task8[[คะแนนเต็ม]:[คะแนนเต็ม]])*tbl_task8[[%]:[%]])</f>
        <v/>
      </c>
      <c r="IO25" s="121" t="str">
        <f>IF(ISBLANK(tbl_task8[[คะแนนเต็ม]:[คะแนนเต็ม]]),"",(tbl_task8[79]/tbl_task8[[คะแนนเต็ม]:[คะแนนเต็ม]])*tbl_task8[[%]:[%]])</f>
        <v/>
      </c>
      <c r="IP25" s="121" t="str">
        <f>IF(ISBLANK(tbl_task8[[คะแนนเต็ม]:[คะแนนเต็ม]]),"",(tbl_task8[80]/tbl_task8[[คะแนนเต็ม]:[คะแนนเต็ม]])*tbl_task8[[%]:[%]])</f>
        <v/>
      </c>
      <c r="IQ25" s="121" t="str">
        <f>IF(ISBLANK(tbl_task8[[คะแนนเต็ม]:[คะแนนเต็ม]]),"",(tbl_task8[81]/tbl_task8[[คะแนนเต็ม]:[คะแนนเต็ม]])*tbl_task8[[%]:[%]])</f>
        <v/>
      </c>
      <c r="IR25" s="121" t="str">
        <f>IF(ISBLANK(tbl_task8[[คะแนนเต็ม]:[คะแนนเต็ม]]),"",(tbl_task8[82]/tbl_task8[[คะแนนเต็ม]:[คะแนนเต็ม]])*tbl_task8[[%]:[%]])</f>
        <v/>
      </c>
      <c r="IS25" s="121" t="str">
        <f>IF(ISBLANK(tbl_task8[[คะแนนเต็ม]:[คะแนนเต็ม]]),"",(tbl_task8[83]/tbl_task8[[คะแนนเต็ม]:[คะแนนเต็ม]])*tbl_task8[[%]:[%]])</f>
        <v/>
      </c>
      <c r="IT25" s="121" t="str">
        <f>IF(ISBLANK(tbl_task8[[คะแนนเต็ม]:[คะแนนเต็ม]]),"",(tbl_task8[84]/tbl_task8[[คะแนนเต็ม]:[คะแนนเต็ม]])*tbl_task8[[%]:[%]])</f>
        <v/>
      </c>
      <c r="IU25" s="121" t="str">
        <f>IF(ISBLANK(tbl_task8[[คะแนนเต็ม]:[คะแนนเต็ม]]),"",(tbl_task8[85]/tbl_task8[[คะแนนเต็ม]:[คะแนนเต็ม]])*tbl_task8[[%]:[%]])</f>
        <v/>
      </c>
      <c r="IV25" s="121" t="str">
        <f>IF(ISBLANK(tbl_task8[[คะแนนเต็ม]:[คะแนนเต็ม]]),"",(tbl_task8[86]/tbl_task8[[คะแนนเต็ม]:[คะแนนเต็ม]])*tbl_task8[[%]:[%]])</f>
        <v/>
      </c>
      <c r="IW25" s="121" t="str">
        <f>IF(ISBLANK(tbl_task8[[คะแนนเต็ม]:[คะแนนเต็ม]]),"",(tbl_task8[87]/tbl_task8[[คะแนนเต็ม]:[คะแนนเต็ม]])*tbl_task8[[%]:[%]])</f>
        <v/>
      </c>
      <c r="IX25" s="121" t="str">
        <f>IF(ISBLANK(tbl_task8[[คะแนนเต็ม]:[คะแนนเต็ม]]),"",(tbl_task8[88]/tbl_task8[[คะแนนเต็ม]:[คะแนนเต็ม]])*tbl_task8[[%]:[%]])</f>
        <v/>
      </c>
      <c r="IY25" s="121" t="str">
        <f>IF(ISBLANK(tbl_task8[[คะแนนเต็ม]:[คะแนนเต็ม]]),"",(tbl_task8[89]/tbl_task8[[คะแนนเต็ม]:[คะแนนเต็ม]])*tbl_task8[[%]:[%]])</f>
        <v/>
      </c>
      <c r="IZ25" s="121" t="str">
        <f>IF(ISBLANK(tbl_task8[[คะแนนเต็ม]:[คะแนนเต็ม]]),"",(tbl_task8[90]/tbl_task8[[คะแนนเต็ม]:[คะแนนเต็ม]])*tbl_task8[[%]:[%]])</f>
        <v/>
      </c>
      <c r="JA25" s="121" t="str">
        <f>IF(ISBLANK(tbl_task8[[คะแนนเต็ม]:[คะแนนเต็ม]]),"",(tbl_task8[91]/tbl_task8[[คะแนนเต็ม]:[คะแนนเต็ม]])*tbl_task8[[%]:[%]])</f>
        <v/>
      </c>
      <c r="JB25" s="121" t="str">
        <f>IF(ISBLANK(tbl_task8[[คะแนนเต็ม]:[คะแนนเต็ม]]),"",(tbl_task8[92]/tbl_task8[[คะแนนเต็ม]:[คะแนนเต็ม]])*tbl_task8[[%]:[%]])</f>
        <v/>
      </c>
      <c r="JC25" s="121" t="str">
        <f>IF(ISBLANK(tbl_task8[[คะแนนเต็ม]:[คะแนนเต็ม]]),"",(tbl_task8[93]/tbl_task8[[คะแนนเต็ม]:[คะแนนเต็ม]])*tbl_task8[[%]:[%]])</f>
        <v/>
      </c>
      <c r="JD25" s="121" t="str">
        <f>IF(ISBLANK(tbl_task8[[คะแนนเต็ม]:[คะแนนเต็ม]]),"",(tbl_task8[94]/tbl_task8[[คะแนนเต็ม]:[คะแนนเต็ม]])*tbl_task8[[%]:[%]])</f>
        <v/>
      </c>
      <c r="JE25" s="121" t="str">
        <f>IF(ISBLANK(tbl_task8[[คะแนนเต็ม]:[คะแนนเต็ม]]),"",(tbl_task8[95]/tbl_task8[[คะแนนเต็ม]:[คะแนนเต็ม]])*tbl_task8[[%]:[%]])</f>
        <v/>
      </c>
      <c r="JF25" s="121" t="str">
        <f>IF(ISBLANK(tbl_task8[[คะแนนเต็ม]:[คะแนนเต็ม]]),"",(tbl_task8[96]/tbl_task8[[คะแนนเต็ม]:[คะแนนเต็ม]])*tbl_task8[[%]:[%]])</f>
        <v/>
      </c>
      <c r="JG25" s="121" t="str">
        <f>IF(ISBLANK(tbl_task8[[คะแนนเต็ม]:[คะแนนเต็ม]]),"",(tbl_task8[97]/tbl_task8[[คะแนนเต็ม]:[คะแนนเต็ม]])*tbl_task8[[%]:[%]])</f>
        <v/>
      </c>
      <c r="JH25" s="121" t="str">
        <f>IF(ISBLANK(tbl_task8[[คะแนนเต็ม]:[คะแนนเต็ม]]),"",(tbl_task8[98]/tbl_task8[[คะแนนเต็ม]:[คะแนนเต็ม]])*tbl_task8[[%]:[%]])</f>
        <v/>
      </c>
      <c r="JI25" s="121" t="str">
        <f>IF(ISBLANK(tbl_task8[[คะแนนเต็ม]:[คะแนนเต็ม]]),"",(tbl_task8[99]/tbl_task8[[คะแนนเต็ม]:[คะแนนเต็ม]])*tbl_task8[[%]:[%]])</f>
        <v/>
      </c>
      <c r="JJ25" s="121" t="str">
        <f>IF(ISBLANK(tbl_task8[[คะแนนเต็ม]:[คะแนนเต็ม]]),"",(tbl_task8[100]/tbl_task8[[คะแนนเต็ม]:[คะแนนเต็ม]])*tbl_task8[[%]:[%]])</f>
        <v/>
      </c>
      <c r="JK25" s="121" t="str">
        <f>IF(ISBLANK(tbl_task8[[คะแนนเต็ม]:[คะแนนเต็ม]]),"",(tbl_task8[101]/tbl_task8[[คะแนนเต็ม]:[คะแนนเต็ม]])*tbl_task8[[%]:[%]])</f>
        <v/>
      </c>
      <c r="JL25" s="121" t="str">
        <f>IF(ISBLANK(tbl_task8[[คะแนนเต็ม]:[คะแนนเต็ม]]),"",(tbl_task8[102]/tbl_task8[[คะแนนเต็ม]:[คะแนนเต็ม]])*tbl_task8[[%]:[%]])</f>
        <v/>
      </c>
      <c r="JM25" s="121" t="str">
        <f>IF(ISBLANK(tbl_task8[[คะแนนเต็ม]:[คะแนนเต็ม]]),"",(tbl_task8[103]/tbl_task8[[คะแนนเต็ม]:[คะแนนเต็ม]])*tbl_task8[[%]:[%]])</f>
        <v/>
      </c>
      <c r="JN25" s="121" t="str">
        <f>IF(ISBLANK(tbl_task8[[คะแนนเต็ม]:[คะแนนเต็ม]]),"",(tbl_task8[104]/tbl_task8[[คะแนนเต็ม]:[คะแนนเต็ม]])*tbl_task8[[%]:[%]])</f>
        <v/>
      </c>
      <c r="JO25" s="121" t="str">
        <f>IF(ISBLANK(tbl_task8[[คะแนนเต็ม]:[คะแนนเต็ม]]),"",(tbl_task8[105]/tbl_task8[[คะแนนเต็ม]:[คะแนนเต็ม]])*tbl_task8[[%]:[%]])</f>
        <v/>
      </c>
      <c r="JP25" s="121" t="str">
        <f>IF(ISBLANK(tbl_task8[[คะแนนเต็ม]:[คะแนนเต็ม]]),"",(tbl_task8[106]/tbl_task8[[คะแนนเต็ม]:[คะแนนเต็ม]])*tbl_task8[[%]:[%]])</f>
        <v/>
      </c>
      <c r="JQ25" s="121" t="str">
        <f>IF(ISBLANK(tbl_task8[[คะแนนเต็ม]:[คะแนนเต็ม]]),"",(tbl_task8[107]/tbl_task8[[คะแนนเต็ม]:[คะแนนเต็ม]])*tbl_task8[[%]:[%]])</f>
        <v/>
      </c>
      <c r="JR25" s="121" t="str">
        <f>IF(ISBLANK(tbl_task8[[คะแนนเต็ม]:[คะแนนเต็ม]]),"",(tbl_task8[108]/tbl_task8[[คะแนนเต็ม]:[คะแนนเต็ม]])*tbl_task8[[%]:[%]])</f>
        <v/>
      </c>
      <c r="JS25" s="121" t="str">
        <f>IF(ISBLANK(tbl_task8[[คะแนนเต็ม]:[คะแนนเต็ม]]),"",(tbl_task8[109]/tbl_task8[[คะแนนเต็ม]:[คะแนนเต็ม]])*tbl_task8[[%]:[%]])</f>
        <v/>
      </c>
      <c r="JT25" s="121" t="str">
        <f>IF(ISBLANK(tbl_task8[[คะแนนเต็ม]:[คะแนนเต็ม]]),"",(tbl_task8[110]/tbl_task8[[คะแนนเต็ม]:[คะแนนเต็ม]])*tbl_task8[[%]:[%]])</f>
        <v/>
      </c>
      <c r="JU25" s="121" t="str">
        <f>IF(ISBLANK(tbl_task8[[คะแนนเต็ม]:[คะแนนเต็ม]]),"",(tbl_task8[111]/tbl_task8[[คะแนนเต็ม]:[คะแนนเต็ม]])*tbl_task8[[%]:[%]])</f>
        <v/>
      </c>
      <c r="JV25" s="121" t="str">
        <f>IF(ISBLANK(tbl_task8[[คะแนนเต็ม]:[คะแนนเต็ม]]),"",(tbl_task8[112]/tbl_task8[[คะแนนเต็ม]:[คะแนนเต็ม]])*tbl_task8[[%]:[%]])</f>
        <v/>
      </c>
      <c r="JW25" s="121" t="str">
        <f>IF(ISBLANK(tbl_task8[[คะแนนเต็ม]:[คะแนนเต็ม]]),"",(tbl_task8[113]/tbl_task8[[คะแนนเต็ม]:[คะแนนเต็ม]])*tbl_task8[[%]:[%]])</f>
        <v/>
      </c>
      <c r="JX25" s="121" t="str">
        <f>IF(ISBLANK(tbl_task8[[คะแนนเต็ม]:[คะแนนเต็ม]]),"",(tbl_task8[114]/tbl_task8[[คะแนนเต็ม]:[คะแนนเต็ม]])*tbl_task8[[%]:[%]])</f>
        <v/>
      </c>
      <c r="JY25" s="121" t="str">
        <f>IF(ISBLANK(tbl_task8[[คะแนนเต็ม]:[คะแนนเต็ม]]),"",(tbl_task8[115]/tbl_task8[[คะแนนเต็ม]:[คะแนนเต็ม]])*tbl_task8[[%]:[%]])</f>
        <v/>
      </c>
      <c r="JZ25" s="121" t="str">
        <f>IF(ISBLANK(tbl_task8[[คะแนนเต็ม]:[คะแนนเต็ม]]),"",(tbl_task8[116]/tbl_task8[[คะแนนเต็ม]:[คะแนนเต็ม]])*tbl_task8[[%]:[%]])</f>
        <v/>
      </c>
      <c r="KA25" s="121" t="str">
        <f>IF(ISBLANK(tbl_task8[[คะแนนเต็ม]:[คะแนนเต็ม]]),"",(tbl_task8[117]/tbl_task8[[คะแนนเต็ม]:[คะแนนเต็ม]])*tbl_task8[[%]:[%]])</f>
        <v/>
      </c>
      <c r="KB25" s="121" t="str">
        <f>IF(ISBLANK(tbl_task8[[คะแนนเต็ม]:[คะแนนเต็ม]]),"",(tbl_task8[118]/tbl_task8[[คะแนนเต็ม]:[คะแนนเต็ม]])*tbl_task8[[%]:[%]])</f>
        <v/>
      </c>
      <c r="KC25" s="121" t="str">
        <f>IF(ISBLANK(tbl_task8[[คะแนนเต็ม]:[คะแนนเต็ม]]),"",(tbl_task8[119]/tbl_task8[[คะแนนเต็ม]:[คะแนนเต็ม]])*tbl_task8[[%]:[%]])</f>
        <v/>
      </c>
      <c r="KD25" s="121" t="str">
        <f>IF(ISBLANK(tbl_task8[[คะแนนเต็ม]:[คะแนนเต็ม]]),"",(tbl_task8[120]/tbl_task8[[คะแนนเต็ม]:[คะแนนเต็ม]])*tbl_task8[[%]:[%]])</f>
        <v/>
      </c>
      <c r="KE25" s="121" t="str">
        <f>IF(ISBLANK(tbl_task8[[คะแนนเต็ม]:[คะแนนเต็ม]]),"",(tbl_task8[121]/tbl_task8[[คะแนนเต็ม]:[คะแนนเต็ม]])*tbl_task8[[%]:[%]])</f>
        <v/>
      </c>
      <c r="KF25" s="121" t="str">
        <f>IF(ISBLANK(tbl_task8[[คะแนนเต็ม]:[คะแนนเต็ม]]),"",(tbl_task8[122]/tbl_task8[[คะแนนเต็ม]:[คะแนนเต็ม]])*tbl_task8[[%]:[%]])</f>
        <v/>
      </c>
      <c r="KG25" s="121" t="str">
        <f>IF(ISBLANK(tbl_task8[[คะแนนเต็ม]:[คะแนนเต็ม]]),"",(tbl_task8[123]/tbl_task8[[คะแนนเต็ม]:[คะแนนเต็ม]])*tbl_task8[[%]:[%]])</f>
        <v/>
      </c>
      <c r="KH25" s="121" t="str">
        <f>IF(ISBLANK(tbl_task8[[คะแนนเต็ม]:[คะแนนเต็ม]]),"",(tbl_task8[124]/tbl_task8[[คะแนนเต็ม]:[คะแนนเต็ม]])*tbl_task8[[%]:[%]])</f>
        <v/>
      </c>
      <c r="KI25" s="121" t="str">
        <f>IF(ISBLANK(tbl_task8[[คะแนนเต็ม]:[คะแนนเต็ม]]),"",(tbl_task8[125]/tbl_task8[[คะแนนเต็ม]:[คะแนนเต็ม]])*tbl_task8[[%]:[%]])</f>
        <v/>
      </c>
      <c r="KJ25" s="121" t="str">
        <f>IF(ISBLANK(tbl_task8[[คะแนนเต็ม]:[คะแนนเต็ม]]),"",(tbl_task8[126]/tbl_task8[[คะแนนเต็ม]:[คะแนนเต็ม]])*tbl_task8[[%]:[%]])</f>
        <v/>
      </c>
      <c r="KK25" s="121" t="str">
        <f>IF(ISBLANK(tbl_task8[[คะแนนเต็ม]:[คะแนนเต็ม]]),"",(tbl_task8[127]/tbl_task8[[คะแนนเต็ม]:[คะแนนเต็ม]])*tbl_task8[[%]:[%]])</f>
        <v/>
      </c>
      <c r="KL25" s="121" t="str">
        <f>IF(ISBLANK(tbl_task8[[คะแนนเต็ม]:[คะแนนเต็ม]]),"",(tbl_task8[128]/tbl_task8[[คะแนนเต็ม]:[คะแนนเต็ม]])*tbl_task8[[%]:[%]])</f>
        <v/>
      </c>
      <c r="KM25" s="121" t="str">
        <f>IF(ISBLANK(tbl_task8[[คะแนนเต็ม]:[คะแนนเต็ม]]),"",(tbl_task8[129]/tbl_task8[[คะแนนเต็ม]:[คะแนนเต็ม]])*tbl_task8[[%]:[%]])</f>
        <v/>
      </c>
      <c r="KN25" s="121" t="str">
        <f>IF(ISBLANK(tbl_task8[[คะแนนเต็ม]:[คะแนนเต็ม]]),"",(tbl_task8[130]/tbl_task8[[คะแนนเต็ม]:[คะแนนเต็ม]])*tbl_task8[[%]:[%]])</f>
        <v/>
      </c>
      <c r="KO25" s="121" t="str">
        <f>IF(ISBLANK(tbl_task8[[คะแนนเต็ม]:[คะแนนเต็ม]]),"",(tbl_task8[131]/tbl_task8[[คะแนนเต็ม]:[คะแนนเต็ม]])*tbl_task8[[%]:[%]])</f>
        <v/>
      </c>
      <c r="KP25" s="121" t="str">
        <f>IF(ISBLANK(tbl_task8[[คะแนนเต็ม]:[คะแนนเต็ม]]),"",(tbl_task8[132]/tbl_task8[[คะแนนเต็ม]:[คะแนนเต็ม]])*tbl_task8[[%]:[%]])</f>
        <v/>
      </c>
      <c r="KQ25" s="121" t="str">
        <f>IF(ISBLANK(tbl_task8[[คะแนนเต็ม]:[คะแนนเต็ม]]),"",(tbl_task8[133]/tbl_task8[[คะแนนเต็ม]:[คะแนนเต็ม]])*tbl_task8[[%]:[%]])</f>
        <v/>
      </c>
      <c r="KR25" s="121" t="str">
        <f>IF(ISBLANK(tbl_task8[[คะแนนเต็ม]:[คะแนนเต็ม]]),"",(tbl_task8[134]/tbl_task8[[คะแนนเต็ม]:[คะแนนเต็ม]])*tbl_task8[[%]:[%]])</f>
        <v/>
      </c>
      <c r="KS25" s="121" t="str">
        <f>IF(ISBLANK(tbl_task8[[คะแนนเต็ม]:[คะแนนเต็ม]]),"",(tbl_task8[135]/tbl_task8[[คะแนนเต็ม]:[คะแนนเต็ม]])*tbl_task8[[%]:[%]])</f>
        <v/>
      </c>
      <c r="KT25" s="121" t="str">
        <f>IF(ISBLANK(tbl_task8[[คะแนนเต็ม]:[คะแนนเต็ม]]),"",(tbl_task8[136]/tbl_task8[[คะแนนเต็ม]:[คะแนนเต็ม]])*tbl_task8[[%]:[%]])</f>
        <v/>
      </c>
      <c r="KU25" s="121" t="str">
        <f>IF(ISBLANK(tbl_task8[[คะแนนเต็ม]:[คะแนนเต็ม]]),"",(tbl_task8[137]/tbl_task8[[คะแนนเต็ม]:[คะแนนเต็ม]])*tbl_task8[[%]:[%]])</f>
        <v/>
      </c>
      <c r="KV25" s="121" t="str">
        <f>IF(ISBLANK(tbl_task8[[คะแนนเต็ม]:[คะแนนเต็ม]]),"",(tbl_task8[138]/tbl_task8[[คะแนนเต็ม]:[คะแนนเต็ม]])*tbl_task8[[%]:[%]])</f>
        <v/>
      </c>
      <c r="KW25" s="121" t="str">
        <f>IF(ISBLANK(tbl_task8[[คะแนนเต็ม]:[คะแนนเต็ม]]),"",(tbl_task8[139]/tbl_task8[[คะแนนเต็ม]:[คะแนนเต็ม]])*tbl_task8[[%]:[%]])</f>
        <v/>
      </c>
      <c r="KX25" s="121" t="str">
        <f>IF(ISBLANK(tbl_task8[[คะแนนเต็ม]:[คะแนนเต็ม]]),"",(tbl_task8[140]/tbl_task8[[คะแนนเต็ม]:[คะแนนเต็ม]])*tbl_task8[[%]:[%]])</f>
        <v/>
      </c>
      <c r="KY25" s="121" t="str">
        <f>IF(ISBLANK(tbl_task8[[คะแนนเต็ม]:[คะแนนเต็ม]]),"",(tbl_task8[141]/tbl_task8[[คะแนนเต็ม]:[คะแนนเต็ม]])*tbl_task8[[%]:[%]])</f>
        <v/>
      </c>
      <c r="KZ25" s="121" t="str">
        <f>IF(ISBLANK(tbl_task8[[คะแนนเต็ม]:[คะแนนเต็ม]]),"",(tbl_task8[142]/tbl_task8[[คะแนนเต็ม]:[คะแนนเต็ม]])*tbl_task8[[%]:[%]])</f>
        <v/>
      </c>
      <c r="LA25" s="121" t="str">
        <f>IF(ISBLANK(tbl_task8[[คะแนนเต็ม]:[คะแนนเต็ม]]),"",(tbl_task8[143]/tbl_task8[[คะแนนเต็ม]:[คะแนนเต็ม]])*tbl_task8[[%]:[%]])</f>
        <v/>
      </c>
      <c r="LB25" s="121" t="str">
        <f>IF(ISBLANK(tbl_task8[[คะแนนเต็ม]:[คะแนนเต็ม]]),"",(tbl_task8[144]/tbl_task8[[คะแนนเต็ม]:[คะแนนเต็ม]])*tbl_task8[[%]:[%]])</f>
        <v/>
      </c>
      <c r="LC25" s="121" t="str">
        <f>IF(ISBLANK(tbl_task8[[คะแนนเต็ม]:[คะแนนเต็ม]]),"",(tbl_task8[145]/tbl_task8[[คะแนนเต็ม]:[คะแนนเต็ม]])*tbl_task8[[%]:[%]])</f>
        <v/>
      </c>
      <c r="LD25" s="121" t="str">
        <f>IF(ISBLANK(tbl_task8[[คะแนนเต็ม]:[คะแนนเต็ม]]),"",(tbl_task8[146]/tbl_task8[[คะแนนเต็ม]:[คะแนนเต็ม]])*tbl_task8[[%]:[%]])</f>
        <v/>
      </c>
      <c r="LE25" s="121" t="str">
        <f>IF(ISBLANK(tbl_task8[[คะแนนเต็ม]:[คะแนนเต็ม]]),"",(tbl_task8[147]/tbl_task8[[คะแนนเต็ม]:[คะแนนเต็ม]])*tbl_task8[[%]:[%]])</f>
        <v/>
      </c>
      <c r="LF25" s="121" t="str">
        <f>IF(ISBLANK(tbl_task8[[คะแนนเต็ม]:[คะแนนเต็ม]]),"",(tbl_task8[148]/tbl_task8[[คะแนนเต็ม]:[คะแนนเต็ม]])*tbl_task8[[%]:[%]])</f>
        <v/>
      </c>
      <c r="LG25" s="121" t="str">
        <f>IF(ISBLANK(tbl_task8[[คะแนนเต็ม]:[คะแนนเต็ม]]),"",(tbl_task8[149]/tbl_task8[[คะแนนเต็ม]:[คะแนนเต็ม]])*tbl_task8[[%]:[%]])</f>
        <v/>
      </c>
      <c r="LH25" s="121" t="str">
        <f>IF(ISBLANK(tbl_task8[[คะแนนเต็ม]:[คะแนนเต็ม]]),"",(tbl_task8[150]/tbl_task8[[คะแนนเต็ม]:[คะแนนเต็ม]])*tbl_task8[[%]:[%]])</f>
        <v/>
      </c>
      <c r="LI25" s="121" t="str">
        <f>IF(ISBLANK(tbl_task8[[คะแนนเต็ม]:[คะแนนเต็ม]]),"",(tbl_task8[151]/tbl_task8[[คะแนนเต็ม]:[คะแนนเต็ม]])*tbl_task8[[%]:[%]])</f>
        <v/>
      </c>
      <c r="LJ25" s="121" t="str">
        <f>IF(ISBLANK(tbl_task8[[คะแนนเต็ม]:[คะแนนเต็ม]]),"",(tbl_task8[152]/tbl_task8[[คะแนนเต็ม]:[คะแนนเต็ม]])*tbl_task8[[%]:[%]])</f>
        <v/>
      </c>
      <c r="LK25" s="121" t="str">
        <f>IF(ISBLANK(tbl_task8[[คะแนนเต็ม]:[คะแนนเต็ม]]),"",(tbl_task8[153]/tbl_task8[[คะแนนเต็ม]:[คะแนนเต็ม]])*tbl_task8[[%]:[%]])</f>
        <v/>
      </c>
      <c r="LL25" s="121" t="str">
        <f>IF(ISBLANK(tbl_task8[[คะแนนเต็ม]:[คะแนนเต็ม]]),"",(tbl_task8[154]/tbl_task8[[คะแนนเต็ม]:[คะแนนเต็ม]])*tbl_task8[[%]:[%]])</f>
        <v/>
      </c>
      <c r="LM25" s="121" t="str">
        <f>IF(ISBLANK(tbl_task8[[คะแนนเต็ม]:[คะแนนเต็ม]]),"",(tbl_task8[155]/tbl_task8[[คะแนนเต็ม]:[คะแนนเต็ม]])*tbl_task8[[%]:[%]])</f>
        <v/>
      </c>
      <c r="LN25" s="121" t="str">
        <f>IF(ISBLANK(tbl_task8[[คะแนนเต็ม]:[คะแนนเต็ม]]),"",(tbl_task8[156]/tbl_task8[[คะแนนเต็ม]:[คะแนนเต็ม]])*tbl_task8[[%]:[%]])</f>
        <v/>
      </c>
      <c r="LO25" s="121" t="str">
        <f>IF(ISBLANK(tbl_task8[[คะแนนเต็ม]:[คะแนนเต็ม]]),"",(tbl_task8[157]/tbl_task8[[คะแนนเต็ม]:[คะแนนเต็ม]])*tbl_task8[[%]:[%]])</f>
        <v/>
      </c>
      <c r="LP25" s="121" t="str">
        <f>IF(ISBLANK(tbl_task8[[คะแนนเต็ม]:[คะแนนเต็ม]]),"",(tbl_task8[158]/tbl_task8[[คะแนนเต็ม]:[คะแนนเต็ม]])*tbl_task8[[%]:[%]])</f>
        <v/>
      </c>
      <c r="LQ25" s="121" t="str">
        <f>IF(ISBLANK(tbl_task8[[คะแนนเต็ม]:[คะแนนเต็ม]]),"",(tbl_task8[159]/tbl_task8[[คะแนนเต็ม]:[คะแนนเต็ม]])*tbl_task8[[%]:[%]])</f>
        <v/>
      </c>
      <c r="LR25" s="121" t="str">
        <f>IF(ISBLANK(tbl_task8[[คะแนนเต็ม]:[คะแนนเต็ม]]),"",(tbl_task8[160]/tbl_task8[[คะแนนเต็ม]:[คะแนนเต็ม]])*tbl_task8[[%]:[%]])</f>
        <v/>
      </c>
      <c r="LS25" s="121" t="str">
        <f>IF(ISBLANK(tbl_task8[[คะแนนเต็ม]:[คะแนนเต็ม]]),"",(tbl_task8[161]/tbl_task8[[คะแนนเต็ม]:[คะแนนเต็ม]])*tbl_task8[[%]:[%]])</f>
        <v/>
      </c>
      <c r="LT25" s="121" t="str">
        <f>IF(ISBLANK(tbl_task8[[คะแนนเต็ม]:[คะแนนเต็ม]]),"",(tbl_task8[162]/tbl_task8[[คะแนนเต็ม]:[คะแนนเต็ม]])*tbl_task8[[%]:[%]])</f>
        <v/>
      </c>
      <c r="LU25" s="121" t="str">
        <f>IF(ISBLANK(tbl_task8[[คะแนนเต็ม]:[คะแนนเต็ม]]),"",(tbl_task8[163]/tbl_task8[[คะแนนเต็ม]:[คะแนนเต็ม]])*tbl_task8[[%]:[%]])</f>
        <v/>
      </c>
      <c r="LV25" s="121" t="str">
        <f>IF(ISBLANK(tbl_task8[[คะแนนเต็ม]:[คะแนนเต็ม]]),"",(tbl_task8[164]/tbl_task8[[คะแนนเต็ม]:[คะแนนเต็ม]])*tbl_task8[[%]:[%]])</f>
        <v/>
      </c>
      <c r="LW25" s="121" t="str">
        <f>IF(ISBLANK(tbl_task8[[คะแนนเต็ม]:[คะแนนเต็ม]]),"",(tbl_task8[165]/tbl_task8[[คะแนนเต็ม]:[คะแนนเต็ม]])*tbl_task8[[%]:[%]])</f>
        <v/>
      </c>
    </row>
    <row r="26" spans="1:335" ht="24" customHeight="1" x14ac:dyDescent="0.25">
      <c r="A26" s="24">
        <v>23</v>
      </c>
      <c r="B26" s="20"/>
      <c r="C26" s="5" t="str">
        <f>IF(ISBLANK(B26),"",VLOOKUP(B26,tbl_PLOs[],2,0))</f>
        <v/>
      </c>
      <c r="D26" s="102"/>
      <c r="E26" s="106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21" t="str">
        <f>IF(ISBLANK(tbl_task8[[คะแนนเต็ม]:[คะแนนเต็ม]]),"",(tbl_task8[1]/tbl_task8[[คะแนนเต็ม]:[คะแนนเต็ม]])*tbl_task8[[%]:[%]])</f>
        <v/>
      </c>
      <c r="FP26" s="121" t="str">
        <f>IF(ISBLANK(tbl_task8[[คะแนนเต็ม]:[คะแนนเต็ม]]),"",(tbl_task8[2]/tbl_task8[[คะแนนเต็ม]:[คะแนนเต็ม]])*tbl_task8[[%]:[%]])</f>
        <v/>
      </c>
      <c r="FQ26" s="121" t="str">
        <f>IF(ISBLANK(tbl_task8[[คะแนนเต็ม]:[คะแนนเต็ม]]),"",(tbl_task8[3]/tbl_task8[[คะแนนเต็ม]:[คะแนนเต็ม]])*tbl_task8[[%]:[%]])</f>
        <v/>
      </c>
      <c r="FR26" s="121" t="str">
        <f>IF(ISBLANK(tbl_task8[[คะแนนเต็ม]:[คะแนนเต็ม]]),"",(tbl_task8[4]/tbl_task8[[คะแนนเต็ม]:[คะแนนเต็ม]])*tbl_task8[[%]:[%]])</f>
        <v/>
      </c>
      <c r="FS26" s="121" t="str">
        <f>IF(ISBLANK(tbl_task8[[คะแนนเต็ม]:[คะแนนเต็ม]]),"",(tbl_task8[5]/tbl_task8[[คะแนนเต็ม]:[คะแนนเต็ม]])*tbl_task8[[%]:[%]])</f>
        <v/>
      </c>
      <c r="FT26" s="121" t="str">
        <f>IF(ISBLANK(tbl_task8[[คะแนนเต็ม]:[คะแนนเต็ม]]),"",(tbl_task8[6]/tbl_task8[[คะแนนเต็ม]:[คะแนนเต็ม]])*tbl_task8[[%]:[%]])</f>
        <v/>
      </c>
      <c r="FU26" s="121" t="str">
        <f>IF(ISBLANK(tbl_task8[[คะแนนเต็ม]:[คะแนนเต็ม]]),"",(tbl_task8[7]/tbl_task8[[คะแนนเต็ม]:[คะแนนเต็ม]])*tbl_task8[[%]:[%]])</f>
        <v/>
      </c>
      <c r="FV26" s="121" t="str">
        <f>IF(ISBLANK(tbl_task8[[คะแนนเต็ม]:[คะแนนเต็ม]]),"",(tbl_task8[8]/tbl_task8[[คะแนนเต็ม]:[คะแนนเต็ม]])*tbl_task8[[%]:[%]])</f>
        <v/>
      </c>
      <c r="FW26" s="121" t="str">
        <f>IF(ISBLANK(tbl_task8[[คะแนนเต็ม]:[คะแนนเต็ม]]),"",(tbl_task8[9]/tbl_task8[[คะแนนเต็ม]:[คะแนนเต็ม]])*tbl_task8[[%]:[%]])</f>
        <v/>
      </c>
      <c r="FX26" s="121" t="str">
        <f>IF(ISBLANK(tbl_task8[[คะแนนเต็ม]:[คะแนนเต็ม]]),"",(tbl_task8[10]/tbl_task8[[คะแนนเต็ม]:[คะแนนเต็ม]])*tbl_task8[[%]:[%]])</f>
        <v/>
      </c>
      <c r="FY26" s="121" t="str">
        <f>IF(ISBLANK(tbl_task8[[คะแนนเต็ม]:[คะแนนเต็ม]]),"",(tbl_task8[11]/tbl_task8[[คะแนนเต็ม]:[คะแนนเต็ม]])*tbl_task8[[%]:[%]])</f>
        <v/>
      </c>
      <c r="FZ26" s="121" t="str">
        <f>IF(ISBLANK(tbl_task8[[คะแนนเต็ม]:[คะแนนเต็ม]]),"",(tbl_task8[12]/tbl_task8[[คะแนนเต็ม]:[คะแนนเต็ม]])*tbl_task8[[%]:[%]])</f>
        <v/>
      </c>
      <c r="GA26" s="121" t="str">
        <f>IF(ISBLANK(tbl_task8[[คะแนนเต็ม]:[คะแนนเต็ม]]),"",(tbl_task8[13]/tbl_task8[[คะแนนเต็ม]:[คะแนนเต็ม]])*tbl_task8[[%]:[%]])</f>
        <v/>
      </c>
      <c r="GB26" s="121" t="str">
        <f>IF(ISBLANK(tbl_task8[[คะแนนเต็ม]:[คะแนนเต็ม]]),"",(tbl_task8[14]/tbl_task8[[คะแนนเต็ม]:[คะแนนเต็ม]])*tbl_task8[[%]:[%]])</f>
        <v/>
      </c>
      <c r="GC26" s="121" t="str">
        <f>IF(ISBLANK(tbl_task8[[คะแนนเต็ม]:[คะแนนเต็ม]]),"",(tbl_task8[15]/tbl_task8[[คะแนนเต็ม]:[คะแนนเต็ม]])*tbl_task8[[%]:[%]])</f>
        <v/>
      </c>
      <c r="GD26" s="121" t="str">
        <f>IF(ISBLANK(tbl_task8[[คะแนนเต็ม]:[คะแนนเต็ม]]),"",(tbl_task8[16]/tbl_task8[[คะแนนเต็ม]:[คะแนนเต็ม]])*tbl_task8[[%]:[%]])</f>
        <v/>
      </c>
      <c r="GE26" s="121" t="str">
        <f>IF(ISBLANK(tbl_task8[[คะแนนเต็ม]:[คะแนนเต็ม]]),"",(tbl_task8[17]/tbl_task8[[คะแนนเต็ม]:[คะแนนเต็ม]])*tbl_task8[[%]:[%]])</f>
        <v/>
      </c>
      <c r="GF26" s="121" t="str">
        <f>IF(ISBLANK(tbl_task8[[คะแนนเต็ม]:[คะแนนเต็ม]]),"",(tbl_task8[18]/tbl_task8[[คะแนนเต็ม]:[คะแนนเต็ม]])*tbl_task8[[%]:[%]])</f>
        <v/>
      </c>
      <c r="GG26" s="121" t="str">
        <f>IF(ISBLANK(tbl_task8[[คะแนนเต็ม]:[คะแนนเต็ม]]),"",(tbl_task8[19]/tbl_task8[[คะแนนเต็ม]:[คะแนนเต็ม]])*tbl_task8[[%]:[%]])</f>
        <v/>
      </c>
      <c r="GH26" s="121" t="str">
        <f>IF(ISBLANK(tbl_task8[[คะแนนเต็ม]:[คะแนนเต็ม]]),"",(tbl_task8[20]/tbl_task8[[คะแนนเต็ม]:[คะแนนเต็ม]])*tbl_task8[[%]:[%]])</f>
        <v/>
      </c>
      <c r="GI26" s="121" t="str">
        <f>IF(ISBLANK(tbl_task8[[คะแนนเต็ม]:[คะแนนเต็ม]]),"",(tbl_task8[21]/tbl_task8[[คะแนนเต็ม]:[คะแนนเต็ม]])*tbl_task8[[%]:[%]])</f>
        <v/>
      </c>
      <c r="GJ26" s="121" t="str">
        <f>IF(ISBLANK(tbl_task8[[คะแนนเต็ม]:[คะแนนเต็ม]]),"",(tbl_task8[22]/tbl_task8[[คะแนนเต็ม]:[คะแนนเต็ม]])*tbl_task8[[%]:[%]])</f>
        <v/>
      </c>
      <c r="GK26" s="121" t="str">
        <f>IF(ISBLANK(tbl_task8[[คะแนนเต็ม]:[คะแนนเต็ม]]),"",(tbl_task8[23]/tbl_task8[[คะแนนเต็ม]:[คะแนนเต็ม]])*tbl_task8[[%]:[%]])</f>
        <v/>
      </c>
      <c r="GL26" s="121" t="str">
        <f>IF(ISBLANK(tbl_task8[[คะแนนเต็ม]:[คะแนนเต็ม]]),"",(tbl_task8[24]/tbl_task8[[คะแนนเต็ม]:[คะแนนเต็ม]])*tbl_task8[[%]:[%]])</f>
        <v/>
      </c>
      <c r="GM26" s="121" t="str">
        <f>IF(ISBLANK(tbl_task8[[คะแนนเต็ม]:[คะแนนเต็ม]]),"",(tbl_task8[25]/tbl_task8[[คะแนนเต็ม]:[คะแนนเต็ม]])*tbl_task8[[%]:[%]])</f>
        <v/>
      </c>
      <c r="GN26" s="121" t="str">
        <f>IF(ISBLANK(tbl_task8[[คะแนนเต็ม]:[คะแนนเต็ม]]),"",(tbl_task8[26]/tbl_task8[[คะแนนเต็ม]:[คะแนนเต็ม]])*tbl_task8[[%]:[%]])</f>
        <v/>
      </c>
      <c r="GO26" s="121" t="str">
        <f>IF(ISBLANK(tbl_task8[[คะแนนเต็ม]:[คะแนนเต็ม]]),"",(tbl_task8[27]/tbl_task8[[คะแนนเต็ม]:[คะแนนเต็ม]])*tbl_task8[[%]:[%]])</f>
        <v/>
      </c>
      <c r="GP26" s="121" t="str">
        <f>IF(ISBLANK(tbl_task8[[คะแนนเต็ม]:[คะแนนเต็ม]]),"",(tbl_task8[28]/tbl_task8[[คะแนนเต็ม]:[คะแนนเต็ม]])*tbl_task8[[%]:[%]])</f>
        <v/>
      </c>
      <c r="GQ26" s="121" t="str">
        <f>IF(ISBLANK(tbl_task8[[คะแนนเต็ม]:[คะแนนเต็ม]]),"",(tbl_task8[29]/tbl_task8[[คะแนนเต็ม]:[คะแนนเต็ม]])*tbl_task8[[%]:[%]])</f>
        <v/>
      </c>
      <c r="GR26" s="121" t="str">
        <f>IF(ISBLANK(tbl_task8[[คะแนนเต็ม]:[คะแนนเต็ม]]),"",(tbl_task8[30]/tbl_task8[[คะแนนเต็ม]:[คะแนนเต็ม]])*tbl_task8[[%]:[%]])</f>
        <v/>
      </c>
      <c r="GS26" s="121" t="str">
        <f>IF(ISBLANK(tbl_task8[[คะแนนเต็ม]:[คะแนนเต็ม]]),"",(tbl_task8[31]/tbl_task8[[คะแนนเต็ม]:[คะแนนเต็ม]])*tbl_task8[[%]:[%]])</f>
        <v/>
      </c>
      <c r="GT26" s="121" t="str">
        <f>IF(ISBLANK(tbl_task8[[คะแนนเต็ม]:[คะแนนเต็ม]]),"",(tbl_task8[32]/tbl_task8[[คะแนนเต็ม]:[คะแนนเต็ม]])*tbl_task8[[%]:[%]])</f>
        <v/>
      </c>
      <c r="GU26" s="121" t="str">
        <f>IF(ISBLANK(tbl_task8[[คะแนนเต็ม]:[คะแนนเต็ม]]),"",(tbl_task8[33]/tbl_task8[[คะแนนเต็ม]:[คะแนนเต็ม]])*tbl_task8[[%]:[%]])</f>
        <v/>
      </c>
      <c r="GV26" s="121" t="str">
        <f>IF(ISBLANK(tbl_task8[[คะแนนเต็ม]:[คะแนนเต็ม]]),"",(tbl_task8[34]/tbl_task8[[คะแนนเต็ม]:[คะแนนเต็ม]])*tbl_task8[[%]:[%]])</f>
        <v/>
      </c>
      <c r="GW26" s="121" t="str">
        <f>IF(ISBLANK(tbl_task8[[คะแนนเต็ม]:[คะแนนเต็ม]]),"",(tbl_task8[35]/tbl_task8[[คะแนนเต็ม]:[คะแนนเต็ม]])*tbl_task8[[%]:[%]])</f>
        <v/>
      </c>
      <c r="GX26" s="121" t="str">
        <f>IF(ISBLANK(tbl_task8[[คะแนนเต็ม]:[คะแนนเต็ม]]),"",(tbl_task8[36]/tbl_task8[[คะแนนเต็ม]:[คะแนนเต็ม]])*tbl_task8[[%]:[%]])</f>
        <v/>
      </c>
      <c r="GY26" s="121" t="str">
        <f>IF(ISBLANK(tbl_task8[[คะแนนเต็ม]:[คะแนนเต็ม]]),"",(tbl_task8[37]/tbl_task8[[คะแนนเต็ม]:[คะแนนเต็ม]])*tbl_task8[[%]:[%]])</f>
        <v/>
      </c>
      <c r="GZ26" s="121" t="str">
        <f>IF(ISBLANK(tbl_task8[[คะแนนเต็ม]:[คะแนนเต็ม]]),"",(tbl_task8[38]/tbl_task8[[คะแนนเต็ม]:[คะแนนเต็ม]])*tbl_task8[[%]:[%]])</f>
        <v/>
      </c>
      <c r="HA26" s="121" t="str">
        <f>IF(ISBLANK(tbl_task8[[คะแนนเต็ม]:[คะแนนเต็ม]]),"",(tbl_task8[39]/tbl_task8[[คะแนนเต็ม]:[คะแนนเต็ม]])*tbl_task8[[%]:[%]])</f>
        <v/>
      </c>
      <c r="HB26" s="121" t="str">
        <f>IF(ISBLANK(tbl_task8[[คะแนนเต็ม]:[คะแนนเต็ม]]),"",(tbl_task8[40]/tbl_task8[[คะแนนเต็ม]:[คะแนนเต็ม]])*tbl_task8[[%]:[%]])</f>
        <v/>
      </c>
      <c r="HC26" s="121" t="str">
        <f>IF(ISBLANK(tbl_task8[[คะแนนเต็ม]:[คะแนนเต็ม]]),"",(tbl_task8[41]/tbl_task8[[คะแนนเต็ม]:[คะแนนเต็ม]])*tbl_task8[[%]:[%]])</f>
        <v/>
      </c>
      <c r="HD26" s="121" t="str">
        <f>IF(ISBLANK(tbl_task8[[คะแนนเต็ม]:[คะแนนเต็ม]]),"",(tbl_task8[42]/tbl_task8[[คะแนนเต็ม]:[คะแนนเต็ม]])*tbl_task8[[%]:[%]])</f>
        <v/>
      </c>
      <c r="HE26" s="121" t="str">
        <f>IF(ISBLANK(tbl_task8[[คะแนนเต็ม]:[คะแนนเต็ม]]),"",(tbl_task8[43]/tbl_task8[[คะแนนเต็ม]:[คะแนนเต็ม]])*tbl_task8[[%]:[%]])</f>
        <v/>
      </c>
      <c r="HF26" s="121" t="str">
        <f>IF(ISBLANK(tbl_task8[[คะแนนเต็ม]:[คะแนนเต็ม]]),"",(tbl_task8[44]/tbl_task8[[คะแนนเต็ม]:[คะแนนเต็ม]])*tbl_task8[[%]:[%]])</f>
        <v/>
      </c>
      <c r="HG26" s="121" t="str">
        <f>IF(ISBLANK(tbl_task8[[คะแนนเต็ม]:[คะแนนเต็ม]]),"",(tbl_task8[45]/tbl_task8[[คะแนนเต็ม]:[คะแนนเต็ม]])*tbl_task8[[%]:[%]])</f>
        <v/>
      </c>
      <c r="HH26" s="121" t="str">
        <f>IF(ISBLANK(tbl_task8[[คะแนนเต็ม]:[คะแนนเต็ม]]),"",(tbl_task8[46]/tbl_task8[[คะแนนเต็ม]:[คะแนนเต็ม]])*tbl_task8[[%]:[%]])</f>
        <v/>
      </c>
      <c r="HI26" s="121" t="str">
        <f>IF(ISBLANK(tbl_task8[[คะแนนเต็ม]:[คะแนนเต็ม]]),"",(tbl_task8[47]/tbl_task8[[คะแนนเต็ม]:[คะแนนเต็ม]])*tbl_task8[[%]:[%]])</f>
        <v/>
      </c>
      <c r="HJ26" s="121" t="str">
        <f>IF(ISBLANK(tbl_task8[[คะแนนเต็ม]:[คะแนนเต็ม]]),"",(tbl_task8[48]/tbl_task8[[คะแนนเต็ม]:[คะแนนเต็ม]])*tbl_task8[[%]:[%]])</f>
        <v/>
      </c>
      <c r="HK26" s="121" t="str">
        <f>IF(ISBLANK(tbl_task8[[คะแนนเต็ม]:[คะแนนเต็ม]]),"",(tbl_task8[49]/tbl_task8[[คะแนนเต็ม]:[คะแนนเต็ม]])*tbl_task8[[%]:[%]])</f>
        <v/>
      </c>
      <c r="HL26" s="121" t="str">
        <f>IF(ISBLANK(tbl_task8[[คะแนนเต็ม]:[คะแนนเต็ม]]),"",(tbl_task8[50]/tbl_task8[[คะแนนเต็ม]:[คะแนนเต็ม]])*tbl_task8[[%]:[%]])</f>
        <v/>
      </c>
      <c r="HM26" s="121" t="str">
        <f>IF(ISBLANK(tbl_task8[[คะแนนเต็ม]:[คะแนนเต็ม]]),"",(tbl_task8[51]/tbl_task8[[คะแนนเต็ม]:[คะแนนเต็ม]])*tbl_task8[[%]:[%]])</f>
        <v/>
      </c>
      <c r="HN26" s="121" t="str">
        <f>IF(ISBLANK(tbl_task8[[คะแนนเต็ม]:[คะแนนเต็ม]]),"",(tbl_task8[52]/tbl_task8[[คะแนนเต็ม]:[คะแนนเต็ม]])*tbl_task8[[%]:[%]])</f>
        <v/>
      </c>
      <c r="HO26" s="121" t="str">
        <f>IF(ISBLANK(tbl_task8[[คะแนนเต็ม]:[คะแนนเต็ม]]),"",(tbl_task8[53]/tbl_task8[[คะแนนเต็ม]:[คะแนนเต็ม]])*tbl_task8[[%]:[%]])</f>
        <v/>
      </c>
      <c r="HP26" s="121" t="str">
        <f>IF(ISBLANK(tbl_task8[[คะแนนเต็ม]:[คะแนนเต็ม]]),"",(tbl_task8[54]/tbl_task8[[คะแนนเต็ม]:[คะแนนเต็ม]])*tbl_task8[[%]:[%]])</f>
        <v/>
      </c>
      <c r="HQ26" s="121" t="str">
        <f>IF(ISBLANK(tbl_task8[[คะแนนเต็ม]:[คะแนนเต็ม]]),"",(tbl_task8[55]/tbl_task8[[คะแนนเต็ม]:[คะแนนเต็ม]])*tbl_task8[[%]:[%]])</f>
        <v/>
      </c>
      <c r="HR26" s="121" t="str">
        <f>IF(ISBLANK(tbl_task8[[คะแนนเต็ม]:[คะแนนเต็ม]]),"",(tbl_task8[56]/tbl_task8[[คะแนนเต็ม]:[คะแนนเต็ม]])*tbl_task8[[%]:[%]])</f>
        <v/>
      </c>
      <c r="HS26" s="121" t="str">
        <f>IF(ISBLANK(tbl_task8[[คะแนนเต็ม]:[คะแนนเต็ม]]),"",(tbl_task8[57]/tbl_task8[[คะแนนเต็ม]:[คะแนนเต็ม]])*tbl_task8[[%]:[%]])</f>
        <v/>
      </c>
      <c r="HT26" s="121" t="str">
        <f>IF(ISBLANK(tbl_task8[[คะแนนเต็ม]:[คะแนนเต็ม]]),"",(tbl_task8[58]/tbl_task8[[คะแนนเต็ม]:[คะแนนเต็ม]])*tbl_task8[[%]:[%]])</f>
        <v/>
      </c>
      <c r="HU26" s="121" t="str">
        <f>IF(ISBLANK(tbl_task8[[คะแนนเต็ม]:[คะแนนเต็ม]]),"",(tbl_task8[59]/tbl_task8[[คะแนนเต็ม]:[คะแนนเต็ม]])*tbl_task8[[%]:[%]])</f>
        <v/>
      </c>
      <c r="HV26" s="121" t="str">
        <f>IF(ISBLANK(tbl_task8[[คะแนนเต็ม]:[คะแนนเต็ม]]),"",(tbl_task8[60]/tbl_task8[[คะแนนเต็ม]:[คะแนนเต็ม]])*tbl_task8[[%]:[%]])</f>
        <v/>
      </c>
      <c r="HW26" s="121" t="str">
        <f>IF(ISBLANK(tbl_task8[[คะแนนเต็ม]:[คะแนนเต็ม]]),"",(tbl_task8[61]/tbl_task8[[คะแนนเต็ม]:[คะแนนเต็ม]])*tbl_task8[[%]:[%]])</f>
        <v/>
      </c>
      <c r="HX26" s="121" t="str">
        <f>IF(ISBLANK(tbl_task8[[คะแนนเต็ม]:[คะแนนเต็ม]]),"",(tbl_task8[62]/tbl_task8[[คะแนนเต็ม]:[คะแนนเต็ม]])*tbl_task8[[%]:[%]])</f>
        <v/>
      </c>
      <c r="HY26" s="121" t="str">
        <f>IF(ISBLANK(tbl_task8[[คะแนนเต็ม]:[คะแนนเต็ม]]),"",(tbl_task8[63]/tbl_task8[[คะแนนเต็ม]:[คะแนนเต็ม]])*tbl_task8[[%]:[%]])</f>
        <v/>
      </c>
      <c r="HZ26" s="121" t="str">
        <f>IF(ISBLANK(tbl_task8[[คะแนนเต็ม]:[คะแนนเต็ม]]),"",(tbl_task8[64]/tbl_task8[[คะแนนเต็ม]:[คะแนนเต็ม]])*tbl_task8[[%]:[%]])</f>
        <v/>
      </c>
      <c r="IA26" s="121" t="str">
        <f>IF(ISBLANK(tbl_task8[[คะแนนเต็ม]:[คะแนนเต็ม]]),"",(tbl_task8[65]/tbl_task8[[คะแนนเต็ม]:[คะแนนเต็ม]])*tbl_task8[[%]:[%]])</f>
        <v/>
      </c>
      <c r="IB26" s="121" t="str">
        <f>IF(ISBLANK(tbl_task8[[คะแนนเต็ม]:[คะแนนเต็ม]]),"",(tbl_task8[66]/tbl_task8[[คะแนนเต็ม]:[คะแนนเต็ม]])*tbl_task8[[%]:[%]])</f>
        <v/>
      </c>
      <c r="IC26" s="121" t="str">
        <f>IF(ISBLANK(tbl_task8[[คะแนนเต็ม]:[คะแนนเต็ม]]),"",(tbl_task8[67]/tbl_task8[[คะแนนเต็ม]:[คะแนนเต็ม]])*tbl_task8[[%]:[%]])</f>
        <v/>
      </c>
      <c r="ID26" s="121" t="str">
        <f>IF(ISBLANK(tbl_task8[[คะแนนเต็ม]:[คะแนนเต็ม]]),"",(tbl_task8[68]/tbl_task8[[คะแนนเต็ม]:[คะแนนเต็ม]])*tbl_task8[[%]:[%]])</f>
        <v/>
      </c>
      <c r="IE26" s="121" t="str">
        <f>IF(ISBLANK(tbl_task8[[คะแนนเต็ม]:[คะแนนเต็ม]]),"",(tbl_task8[69]/tbl_task8[[คะแนนเต็ม]:[คะแนนเต็ม]])*tbl_task8[[%]:[%]])</f>
        <v/>
      </c>
      <c r="IF26" s="121" t="str">
        <f>IF(ISBLANK(tbl_task8[[คะแนนเต็ม]:[คะแนนเต็ม]]),"",(tbl_task8[70]/tbl_task8[[คะแนนเต็ม]:[คะแนนเต็ม]])*tbl_task8[[%]:[%]])</f>
        <v/>
      </c>
      <c r="IG26" s="121" t="str">
        <f>IF(ISBLANK(tbl_task8[[คะแนนเต็ม]:[คะแนนเต็ม]]),"",(tbl_task8[71]/tbl_task8[[คะแนนเต็ม]:[คะแนนเต็ม]])*tbl_task8[[%]:[%]])</f>
        <v/>
      </c>
      <c r="IH26" s="121" t="str">
        <f>IF(ISBLANK(tbl_task8[[คะแนนเต็ม]:[คะแนนเต็ม]]),"",(tbl_task8[72]/tbl_task8[[คะแนนเต็ม]:[คะแนนเต็ม]])*tbl_task8[[%]:[%]])</f>
        <v/>
      </c>
      <c r="II26" s="121" t="str">
        <f>IF(ISBLANK(tbl_task8[[คะแนนเต็ม]:[คะแนนเต็ม]]),"",(tbl_task8[73]/tbl_task8[[คะแนนเต็ม]:[คะแนนเต็ม]])*tbl_task8[[%]:[%]])</f>
        <v/>
      </c>
      <c r="IJ26" s="121" t="str">
        <f>IF(ISBLANK(tbl_task8[[คะแนนเต็ม]:[คะแนนเต็ม]]),"",(tbl_task8[74]/tbl_task8[[คะแนนเต็ม]:[คะแนนเต็ม]])*tbl_task8[[%]:[%]])</f>
        <v/>
      </c>
      <c r="IK26" s="121" t="str">
        <f>IF(ISBLANK(tbl_task8[[คะแนนเต็ม]:[คะแนนเต็ม]]),"",(tbl_task8[75]/tbl_task8[[คะแนนเต็ม]:[คะแนนเต็ม]])*tbl_task8[[%]:[%]])</f>
        <v/>
      </c>
      <c r="IL26" s="121" t="str">
        <f>IF(ISBLANK(tbl_task8[[คะแนนเต็ม]:[คะแนนเต็ม]]),"",(tbl_task8[76]/tbl_task8[[คะแนนเต็ม]:[คะแนนเต็ม]])*tbl_task8[[%]:[%]])</f>
        <v/>
      </c>
      <c r="IM26" s="121" t="str">
        <f>IF(ISBLANK(tbl_task8[[คะแนนเต็ม]:[คะแนนเต็ม]]),"",(tbl_task8[77]/tbl_task8[[คะแนนเต็ม]:[คะแนนเต็ม]])*tbl_task8[[%]:[%]])</f>
        <v/>
      </c>
      <c r="IN26" s="121" t="str">
        <f>IF(ISBLANK(tbl_task8[[คะแนนเต็ม]:[คะแนนเต็ม]]),"",(tbl_task8[78]/tbl_task8[[คะแนนเต็ม]:[คะแนนเต็ม]])*tbl_task8[[%]:[%]])</f>
        <v/>
      </c>
      <c r="IO26" s="121" t="str">
        <f>IF(ISBLANK(tbl_task8[[คะแนนเต็ม]:[คะแนนเต็ม]]),"",(tbl_task8[79]/tbl_task8[[คะแนนเต็ม]:[คะแนนเต็ม]])*tbl_task8[[%]:[%]])</f>
        <v/>
      </c>
      <c r="IP26" s="121" t="str">
        <f>IF(ISBLANK(tbl_task8[[คะแนนเต็ม]:[คะแนนเต็ม]]),"",(tbl_task8[80]/tbl_task8[[คะแนนเต็ม]:[คะแนนเต็ม]])*tbl_task8[[%]:[%]])</f>
        <v/>
      </c>
      <c r="IQ26" s="121" t="str">
        <f>IF(ISBLANK(tbl_task8[[คะแนนเต็ม]:[คะแนนเต็ม]]),"",(tbl_task8[81]/tbl_task8[[คะแนนเต็ม]:[คะแนนเต็ม]])*tbl_task8[[%]:[%]])</f>
        <v/>
      </c>
      <c r="IR26" s="121" t="str">
        <f>IF(ISBLANK(tbl_task8[[คะแนนเต็ม]:[คะแนนเต็ม]]),"",(tbl_task8[82]/tbl_task8[[คะแนนเต็ม]:[คะแนนเต็ม]])*tbl_task8[[%]:[%]])</f>
        <v/>
      </c>
      <c r="IS26" s="121" t="str">
        <f>IF(ISBLANK(tbl_task8[[คะแนนเต็ม]:[คะแนนเต็ม]]),"",(tbl_task8[83]/tbl_task8[[คะแนนเต็ม]:[คะแนนเต็ม]])*tbl_task8[[%]:[%]])</f>
        <v/>
      </c>
      <c r="IT26" s="121" t="str">
        <f>IF(ISBLANK(tbl_task8[[คะแนนเต็ม]:[คะแนนเต็ม]]),"",(tbl_task8[84]/tbl_task8[[คะแนนเต็ม]:[คะแนนเต็ม]])*tbl_task8[[%]:[%]])</f>
        <v/>
      </c>
      <c r="IU26" s="121" t="str">
        <f>IF(ISBLANK(tbl_task8[[คะแนนเต็ม]:[คะแนนเต็ม]]),"",(tbl_task8[85]/tbl_task8[[คะแนนเต็ม]:[คะแนนเต็ม]])*tbl_task8[[%]:[%]])</f>
        <v/>
      </c>
      <c r="IV26" s="121" t="str">
        <f>IF(ISBLANK(tbl_task8[[คะแนนเต็ม]:[คะแนนเต็ม]]),"",(tbl_task8[86]/tbl_task8[[คะแนนเต็ม]:[คะแนนเต็ม]])*tbl_task8[[%]:[%]])</f>
        <v/>
      </c>
      <c r="IW26" s="121" t="str">
        <f>IF(ISBLANK(tbl_task8[[คะแนนเต็ม]:[คะแนนเต็ม]]),"",(tbl_task8[87]/tbl_task8[[คะแนนเต็ม]:[คะแนนเต็ม]])*tbl_task8[[%]:[%]])</f>
        <v/>
      </c>
      <c r="IX26" s="121" t="str">
        <f>IF(ISBLANK(tbl_task8[[คะแนนเต็ม]:[คะแนนเต็ม]]),"",(tbl_task8[88]/tbl_task8[[คะแนนเต็ม]:[คะแนนเต็ม]])*tbl_task8[[%]:[%]])</f>
        <v/>
      </c>
      <c r="IY26" s="121" t="str">
        <f>IF(ISBLANK(tbl_task8[[คะแนนเต็ม]:[คะแนนเต็ม]]),"",(tbl_task8[89]/tbl_task8[[คะแนนเต็ม]:[คะแนนเต็ม]])*tbl_task8[[%]:[%]])</f>
        <v/>
      </c>
      <c r="IZ26" s="121" t="str">
        <f>IF(ISBLANK(tbl_task8[[คะแนนเต็ม]:[คะแนนเต็ม]]),"",(tbl_task8[90]/tbl_task8[[คะแนนเต็ม]:[คะแนนเต็ม]])*tbl_task8[[%]:[%]])</f>
        <v/>
      </c>
      <c r="JA26" s="121" t="str">
        <f>IF(ISBLANK(tbl_task8[[คะแนนเต็ม]:[คะแนนเต็ม]]),"",(tbl_task8[91]/tbl_task8[[คะแนนเต็ม]:[คะแนนเต็ม]])*tbl_task8[[%]:[%]])</f>
        <v/>
      </c>
      <c r="JB26" s="121" t="str">
        <f>IF(ISBLANK(tbl_task8[[คะแนนเต็ม]:[คะแนนเต็ม]]),"",(tbl_task8[92]/tbl_task8[[คะแนนเต็ม]:[คะแนนเต็ม]])*tbl_task8[[%]:[%]])</f>
        <v/>
      </c>
      <c r="JC26" s="121" t="str">
        <f>IF(ISBLANK(tbl_task8[[คะแนนเต็ม]:[คะแนนเต็ม]]),"",(tbl_task8[93]/tbl_task8[[คะแนนเต็ม]:[คะแนนเต็ม]])*tbl_task8[[%]:[%]])</f>
        <v/>
      </c>
      <c r="JD26" s="121" t="str">
        <f>IF(ISBLANK(tbl_task8[[คะแนนเต็ม]:[คะแนนเต็ม]]),"",(tbl_task8[94]/tbl_task8[[คะแนนเต็ม]:[คะแนนเต็ม]])*tbl_task8[[%]:[%]])</f>
        <v/>
      </c>
      <c r="JE26" s="121" t="str">
        <f>IF(ISBLANK(tbl_task8[[คะแนนเต็ม]:[คะแนนเต็ม]]),"",(tbl_task8[95]/tbl_task8[[คะแนนเต็ม]:[คะแนนเต็ม]])*tbl_task8[[%]:[%]])</f>
        <v/>
      </c>
      <c r="JF26" s="121" t="str">
        <f>IF(ISBLANK(tbl_task8[[คะแนนเต็ม]:[คะแนนเต็ม]]),"",(tbl_task8[96]/tbl_task8[[คะแนนเต็ม]:[คะแนนเต็ม]])*tbl_task8[[%]:[%]])</f>
        <v/>
      </c>
      <c r="JG26" s="121" t="str">
        <f>IF(ISBLANK(tbl_task8[[คะแนนเต็ม]:[คะแนนเต็ม]]),"",(tbl_task8[97]/tbl_task8[[คะแนนเต็ม]:[คะแนนเต็ม]])*tbl_task8[[%]:[%]])</f>
        <v/>
      </c>
      <c r="JH26" s="121" t="str">
        <f>IF(ISBLANK(tbl_task8[[คะแนนเต็ม]:[คะแนนเต็ม]]),"",(tbl_task8[98]/tbl_task8[[คะแนนเต็ม]:[คะแนนเต็ม]])*tbl_task8[[%]:[%]])</f>
        <v/>
      </c>
      <c r="JI26" s="121" t="str">
        <f>IF(ISBLANK(tbl_task8[[คะแนนเต็ม]:[คะแนนเต็ม]]),"",(tbl_task8[99]/tbl_task8[[คะแนนเต็ม]:[คะแนนเต็ม]])*tbl_task8[[%]:[%]])</f>
        <v/>
      </c>
      <c r="JJ26" s="121" t="str">
        <f>IF(ISBLANK(tbl_task8[[คะแนนเต็ม]:[คะแนนเต็ม]]),"",(tbl_task8[100]/tbl_task8[[คะแนนเต็ม]:[คะแนนเต็ม]])*tbl_task8[[%]:[%]])</f>
        <v/>
      </c>
      <c r="JK26" s="121" t="str">
        <f>IF(ISBLANK(tbl_task8[[คะแนนเต็ม]:[คะแนนเต็ม]]),"",(tbl_task8[101]/tbl_task8[[คะแนนเต็ม]:[คะแนนเต็ม]])*tbl_task8[[%]:[%]])</f>
        <v/>
      </c>
      <c r="JL26" s="121" t="str">
        <f>IF(ISBLANK(tbl_task8[[คะแนนเต็ม]:[คะแนนเต็ม]]),"",(tbl_task8[102]/tbl_task8[[คะแนนเต็ม]:[คะแนนเต็ม]])*tbl_task8[[%]:[%]])</f>
        <v/>
      </c>
      <c r="JM26" s="121" t="str">
        <f>IF(ISBLANK(tbl_task8[[คะแนนเต็ม]:[คะแนนเต็ม]]),"",(tbl_task8[103]/tbl_task8[[คะแนนเต็ม]:[คะแนนเต็ม]])*tbl_task8[[%]:[%]])</f>
        <v/>
      </c>
      <c r="JN26" s="121" t="str">
        <f>IF(ISBLANK(tbl_task8[[คะแนนเต็ม]:[คะแนนเต็ม]]),"",(tbl_task8[104]/tbl_task8[[คะแนนเต็ม]:[คะแนนเต็ม]])*tbl_task8[[%]:[%]])</f>
        <v/>
      </c>
      <c r="JO26" s="121" t="str">
        <f>IF(ISBLANK(tbl_task8[[คะแนนเต็ม]:[คะแนนเต็ม]]),"",(tbl_task8[105]/tbl_task8[[คะแนนเต็ม]:[คะแนนเต็ม]])*tbl_task8[[%]:[%]])</f>
        <v/>
      </c>
      <c r="JP26" s="121" t="str">
        <f>IF(ISBLANK(tbl_task8[[คะแนนเต็ม]:[คะแนนเต็ม]]),"",(tbl_task8[106]/tbl_task8[[คะแนนเต็ม]:[คะแนนเต็ม]])*tbl_task8[[%]:[%]])</f>
        <v/>
      </c>
      <c r="JQ26" s="121" t="str">
        <f>IF(ISBLANK(tbl_task8[[คะแนนเต็ม]:[คะแนนเต็ม]]),"",(tbl_task8[107]/tbl_task8[[คะแนนเต็ม]:[คะแนนเต็ม]])*tbl_task8[[%]:[%]])</f>
        <v/>
      </c>
      <c r="JR26" s="121" t="str">
        <f>IF(ISBLANK(tbl_task8[[คะแนนเต็ม]:[คะแนนเต็ม]]),"",(tbl_task8[108]/tbl_task8[[คะแนนเต็ม]:[คะแนนเต็ม]])*tbl_task8[[%]:[%]])</f>
        <v/>
      </c>
      <c r="JS26" s="121" t="str">
        <f>IF(ISBLANK(tbl_task8[[คะแนนเต็ม]:[คะแนนเต็ม]]),"",(tbl_task8[109]/tbl_task8[[คะแนนเต็ม]:[คะแนนเต็ม]])*tbl_task8[[%]:[%]])</f>
        <v/>
      </c>
      <c r="JT26" s="121" t="str">
        <f>IF(ISBLANK(tbl_task8[[คะแนนเต็ม]:[คะแนนเต็ม]]),"",(tbl_task8[110]/tbl_task8[[คะแนนเต็ม]:[คะแนนเต็ม]])*tbl_task8[[%]:[%]])</f>
        <v/>
      </c>
      <c r="JU26" s="121" t="str">
        <f>IF(ISBLANK(tbl_task8[[คะแนนเต็ม]:[คะแนนเต็ม]]),"",(tbl_task8[111]/tbl_task8[[คะแนนเต็ม]:[คะแนนเต็ม]])*tbl_task8[[%]:[%]])</f>
        <v/>
      </c>
      <c r="JV26" s="121" t="str">
        <f>IF(ISBLANK(tbl_task8[[คะแนนเต็ม]:[คะแนนเต็ม]]),"",(tbl_task8[112]/tbl_task8[[คะแนนเต็ม]:[คะแนนเต็ม]])*tbl_task8[[%]:[%]])</f>
        <v/>
      </c>
      <c r="JW26" s="121" t="str">
        <f>IF(ISBLANK(tbl_task8[[คะแนนเต็ม]:[คะแนนเต็ม]]),"",(tbl_task8[113]/tbl_task8[[คะแนนเต็ม]:[คะแนนเต็ม]])*tbl_task8[[%]:[%]])</f>
        <v/>
      </c>
      <c r="JX26" s="121" t="str">
        <f>IF(ISBLANK(tbl_task8[[คะแนนเต็ม]:[คะแนนเต็ม]]),"",(tbl_task8[114]/tbl_task8[[คะแนนเต็ม]:[คะแนนเต็ม]])*tbl_task8[[%]:[%]])</f>
        <v/>
      </c>
      <c r="JY26" s="121" t="str">
        <f>IF(ISBLANK(tbl_task8[[คะแนนเต็ม]:[คะแนนเต็ม]]),"",(tbl_task8[115]/tbl_task8[[คะแนนเต็ม]:[คะแนนเต็ม]])*tbl_task8[[%]:[%]])</f>
        <v/>
      </c>
      <c r="JZ26" s="121" t="str">
        <f>IF(ISBLANK(tbl_task8[[คะแนนเต็ม]:[คะแนนเต็ม]]),"",(tbl_task8[116]/tbl_task8[[คะแนนเต็ม]:[คะแนนเต็ม]])*tbl_task8[[%]:[%]])</f>
        <v/>
      </c>
      <c r="KA26" s="121" t="str">
        <f>IF(ISBLANK(tbl_task8[[คะแนนเต็ม]:[คะแนนเต็ม]]),"",(tbl_task8[117]/tbl_task8[[คะแนนเต็ม]:[คะแนนเต็ม]])*tbl_task8[[%]:[%]])</f>
        <v/>
      </c>
      <c r="KB26" s="121" t="str">
        <f>IF(ISBLANK(tbl_task8[[คะแนนเต็ม]:[คะแนนเต็ม]]),"",(tbl_task8[118]/tbl_task8[[คะแนนเต็ม]:[คะแนนเต็ม]])*tbl_task8[[%]:[%]])</f>
        <v/>
      </c>
      <c r="KC26" s="121" t="str">
        <f>IF(ISBLANK(tbl_task8[[คะแนนเต็ม]:[คะแนนเต็ม]]),"",(tbl_task8[119]/tbl_task8[[คะแนนเต็ม]:[คะแนนเต็ม]])*tbl_task8[[%]:[%]])</f>
        <v/>
      </c>
      <c r="KD26" s="121" t="str">
        <f>IF(ISBLANK(tbl_task8[[คะแนนเต็ม]:[คะแนนเต็ม]]),"",(tbl_task8[120]/tbl_task8[[คะแนนเต็ม]:[คะแนนเต็ม]])*tbl_task8[[%]:[%]])</f>
        <v/>
      </c>
      <c r="KE26" s="121" t="str">
        <f>IF(ISBLANK(tbl_task8[[คะแนนเต็ม]:[คะแนนเต็ม]]),"",(tbl_task8[121]/tbl_task8[[คะแนนเต็ม]:[คะแนนเต็ม]])*tbl_task8[[%]:[%]])</f>
        <v/>
      </c>
      <c r="KF26" s="121" t="str">
        <f>IF(ISBLANK(tbl_task8[[คะแนนเต็ม]:[คะแนนเต็ม]]),"",(tbl_task8[122]/tbl_task8[[คะแนนเต็ม]:[คะแนนเต็ม]])*tbl_task8[[%]:[%]])</f>
        <v/>
      </c>
      <c r="KG26" s="121" t="str">
        <f>IF(ISBLANK(tbl_task8[[คะแนนเต็ม]:[คะแนนเต็ม]]),"",(tbl_task8[123]/tbl_task8[[คะแนนเต็ม]:[คะแนนเต็ม]])*tbl_task8[[%]:[%]])</f>
        <v/>
      </c>
      <c r="KH26" s="121" t="str">
        <f>IF(ISBLANK(tbl_task8[[คะแนนเต็ม]:[คะแนนเต็ม]]),"",(tbl_task8[124]/tbl_task8[[คะแนนเต็ม]:[คะแนนเต็ม]])*tbl_task8[[%]:[%]])</f>
        <v/>
      </c>
      <c r="KI26" s="121" t="str">
        <f>IF(ISBLANK(tbl_task8[[คะแนนเต็ม]:[คะแนนเต็ม]]),"",(tbl_task8[125]/tbl_task8[[คะแนนเต็ม]:[คะแนนเต็ม]])*tbl_task8[[%]:[%]])</f>
        <v/>
      </c>
      <c r="KJ26" s="121" t="str">
        <f>IF(ISBLANK(tbl_task8[[คะแนนเต็ม]:[คะแนนเต็ม]]),"",(tbl_task8[126]/tbl_task8[[คะแนนเต็ม]:[คะแนนเต็ม]])*tbl_task8[[%]:[%]])</f>
        <v/>
      </c>
      <c r="KK26" s="121" t="str">
        <f>IF(ISBLANK(tbl_task8[[คะแนนเต็ม]:[คะแนนเต็ม]]),"",(tbl_task8[127]/tbl_task8[[คะแนนเต็ม]:[คะแนนเต็ม]])*tbl_task8[[%]:[%]])</f>
        <v/>
      </c>
      <c r="KL26" s="121" t="str">
        <f>IF(ISBLANK(tbl_task8[[คะแนนเต็ม]:[คะแนนเต็ม]]),"",(tbl_task8[128]/tbl_task8[[คะแนนเต็ม]:[คะแนนเต็ม]])*tbl_task8[[%]:[%]])</f>
        <v/>
      </c>
      <c r="KM26" s="121" t="str">
        <f>IF(ISBLANK(tbl_task8[[คะแนนเต็ม]:[คะแนนเต็ม]]),"",(tbl_task8[129]/tbl_task8[[คะแนนเต็ม]:[คะแนนเต็ม]])*tbl_task8[[%]:[%]])</f>
        <v/>
      </c>
      <c r="KN26" s="121" t="str">
        <f>IF(ISBLANK(tbl_task8[[คะแนนเต็ม]:[คะแนนเต็ม]]),"",(tbl_task8[130]/tbl_task8[[คะแนนเต็ม]:[คะแนนเต็ม]])*tbl_task8[[%]:[%]])</f>
        <v/>
      </c>
      <c r="KO26" s="121" t="str">
        <f>IF(ISBLANK(tbl_task8[[คะแนนเต็ม]:[คะแนนเต็ม]]),"",(tbl_task8[131]/tbl_task8[[คะแนนเต็ม]:[คะแนนเต็ม]])*tbl_task8[[%]:[%]])</f>
        <v/>
      </c>
      <c r="KP26" s="121" t="str">
        <f>IF(ISBLANK(tbl_task8[[คะแนนเต็ม]:[คะแนนเต็ม]]),"",(tbl_task8[132]/tbl_task8[[คะแนนเต็ม]:[คะแนนเต็ม]])*tbl_task8[[%]:[%]])</f>
        <v/>
      </c>
      <c r="KQ26" s="121" t="str">
        <f>IF(ISBLANK(tbl_task8[[คะแนนเต็ม]:[คะแนนเต็ม]]),"",(tbl_task8[133]/tbl_task8[[คะแนนเต็ม]:[คะแนนเต็ม]])*tbl_task8[[%]:[%]])</f>
        <v/>
      </c>
      <c r="KR26" s="121" t="str">
        <f>IF(ISBLANK(tbl_task8[[คะแนนเต็ม]:[คะแนนเต็ม]]),"",(tbl_task8[134]/tbl_task8[[คะแนนเต็ม]:[คะแนนเต็ม]])*tbl_task8[[%]:[%]])</f>
        <v/>
      </c>
      <c r="KS26" s="121" t="str">
        <f>IF(ISBLANK(tbl_task8[[คะแนนเต็ม]:[คะแนนเต็ม]]),"",(tbl_task8[135]/tbl_task8[[คะแนนเต็ม]:[คะแนนเต็ม]])*tbl_task8[[%]:[%]])</f>
        <v/>
      </c>
      <c r="KT26" s="121" t="str">
        <f>IF(ISBLANK(tbl_task8[[คะแนนเต็ม]:[คะแนนเต็ม]]),"",(tbl_task8[136]/tbl_task8[[คะแนนเต็ม]:[คะแนนเต็ม]])*tbl_task8[[%]:[%]])</f>
        <v/>
      </c>
      <c r="KU26" s="121" t="str">
        <f>IF(ISBLANK(tbl_task8[[คะแนนเต็ม]:[คะแนนเต็ม]]),"",(tbl_task8[137]/tbl_task8[[คะแนนเต็ม]:[คะแนนเต็ม]])*tbl_task8[[%]:[%]])</f>
        <v/>
      </c>
      <c r="KV26" s="121" t="str">
        <f>IF(ISBLANK(tbl_task8[[คะแนนเต็ม]:[คะแนนเต็ม]]),"",(tbl_task8[138]/tbl_task8[[คะแนนเต็ม]:[คะแนนเต็ม]])*tbl_task8[[%]:[%]])</f>
        <v/>
      </c>
      <c r="KW26" s="121" t="str">
        <f>IF(ISBLANK(tbl_task8[[คะแนนเต็ม]:[คะแนนเต็ม]]),"",(tbl_task8[139]/tbl_task8[[คะแนนเต็ม]:[คะแนนเต็ม]])*tbl_task8[[%]:[%]])</f>
        <v/>
      </c>
      <c r="KX26" s="121" t="str">
        <f>IF(ISBLANK(tbl_task8[[คะแนนเต็ม]:[คะแนนเต็ม]]),"",(tbl_task8[140]/tbl_task8[[คะแนนเต็ม]:[คะแนนเต็ม]])*tbl_task8[[%]:[%]])</f>
        <v/>
      </c>
      <c r="KY26" s="121" t="str">
        <f>IF(ISBLANK(tbl_task8[[คะแนนเต็ม]:[คะแนนเต็ม]]),"",(tbl_task8[141]/tbl_task8[[คะแนนเต็ม]:[คะแนนเต็ม]])*tbl_task8[[%]:[%]])</f>
        <v/>
      </c>
      <c r="KZ26" s="121" t="str">
        <f>IF(ISBLANK(tbl_task8[[คะแนนเต็ม]:[คะแนนเต็ม]]),"",(tbl_task8[142]/tbl_task8[[คะแนนเต็ม]:[คะแนนเต็ม]])*tbl_task8[[%]:[%]])</f>
        <v/>
      </c>
      <c r="LA26" s="121" t="str">
        <f>IF(ISBLANK(tbl_task8[[คะแนนเต็ม]:[คะแนนเต็ม]]),"",(tbl_task8[143]/tbl_task8[[คะแนนเต็ม]:[คะแนนเต็ม]])*tbl_task8[[%]:[%]])</f>
        <v/>
      </c>
      <c r="LB26" s="121" t="str">
        <f>IF(ISBLANK(tbl_task8[[คะแนนเต็ม]:[คะแนนเต็ม]]),"",(tbl_task8[144]/tbl_task8[[คะแนนเต็ม]:[คะแนนเต็ม]])*tbl_task8[[%]:[%]])</f>
        <v/>
      </c>
      <c r="LC26" s="121" t="str">
        <f>IF(ISBLANK(tbl_task8[[คะแนนเต็ม]:[คะแนนเต็ม]]),"",(tbl_task8[145]/tbl_task8[[คะแนนเต็ม]:[คะแนนเต็ม]])*tbl_task8[[%]:[%]])</f>
        <v/>
      </c>
      <c r="LD26" s="121" t="str">
        <f>IF(ISBLANK(tbl_task8[[คะแนนเต็ม]:[คะแนนเต็ม]]),"",(tbl_task8[146]/tbl_task8[[คะแนนเต็ม]:[คะแนนเต็ม]])*tbl_task8[[%]:[%]])</f>
        <v/>
      </c>
      <c r="LE26" s="121" t="str">
        <f>IF(ISBLANK(tbl_task8[[คะแนนเต็ม]:[คะแนนเต็ม]]),"",(tbl_task8[147]/tbl_task8[[คะแนนเต็ม]:[คะแนนเต็ม]])*tbl_task8[[%]:[%]])</f>
        <v/>
      </c>
      <c r="LF26" s="121" t="str">
        <f>IF(ISBLANK(tbl_task8[[คะแนนเต็ม]:[คะแนนเต็ม]]),"",(tbl_task8[148]/tbl_task8[[คะแนนเต็ม]:[คะแนนเต็ม]])*tbl_task8[[%]:[%]])</f>
        <v/>
      </c>
      <c r="LG26" s="121" t="str">
        <f>IF(ISBLANK(tbl_task8[[คะแนนเต็ม]:[คะแนนเต็ม]]),"",(tbl_task8[149]/tbl_task8[[คะแนนเต็ม]:[คะแนนเต็ม]])*tbl_task8[[%]:[%]])</f>
        <v/>
      </c>
      <c r="LH26" s="121" t="str">
        <f>IF(ISBLANK(tbl_task8[[คะแนนเต็ม]:[คะแนนเต็ม]]),"",(tbl_task8[150]/tbl_task8[[คะแนนเต็ม]:[คะแนนเต็ม]])*tbl_task8[[%]:[%]])</f>
        <v/>
      </c>
      <c r="LI26" s="121" t="str">
        <f>IF(ISBLANK(tbl_task8[[คะแนนเต็ม]:[คะแนนเต็ม]]),"",(tbl_task8[151]/tbl_task8[[คะแนนเต็ม]:[คะแนนเต็ม]])*tbl_task8[[%]:[%]])</f>
        <v/>
      </c>
      <c r="LJ26" s="121" t="str">
        <f>IF(ISBLANK(tbl_task8[[คะแนนเต็ม]:[คะแนนเต็ม]]),"",(tbl_task8[152]/tbl_task8[[คะแนนเต็ม]:[คะแนนเต็ม]])*tbl_task8[[%]:[%]])</f>
        <v/>
      </c>
      <c r="LK26" s="121" t="str">
        <f>IF(ISBLANK(tbl_task8[[คะแนนเต็ม]:[คะแนนเต็ม]]),"",(tbl_task8[153]/tbl_task8[[คะแนนเต็ม]:[คะแนนเต็ม]])*tbl_task8[[%]:[%]])</f>
        <v/>
      </c>
      <c r="LL26" s="121" t="str">
        <f>IF(ISBLANK(tbl_task8[[คะแนนเต็ม]:[คะแนนเต็ม]]),"",(tbl_task8[154]/tbl_task8[[คะแนนเต็ม]:[คะแนนเต็ม]])*tbl_task8[[%]:[%]])</f>
        <v/>
      </c>
      <c r="LM26" s="121" t="str">
        <f>IF(ISBLANK(tbl_task8[[คะแนนเต็ม]:[คะแนนเต็ม]]),"",(tbl_task8[155]/tbl_task8[[คะแนนเต็ม]:[คะแนนเต็ม]])*tbl_task8[[%]:[%]])</f>
        <v/>
      </c>
      <c r="LN26" s="121" t="str">
        <f>IF(ISBLANK(tbl_task8[[คะแนนเต็ม]:[คะแนนเต็ม]]),"",(tbl_task8[156]/tbl_task8[[คะแนนเต็ม]:[คะแนนเต็ม]])*tbl_task8[[%]:[%]])</f>
        <v/>
      </c>
      <c r="LO26" s="121" t="str">
        <f>IF(ISBLANK(tbl_task8[[คะแนนเต็ม]:[คะแนนเต็ม]]),"",(tbl_task8[157]/tbl_task8[[คะแนนเต็ม]:[คะแนนเต็ม]])*tbl_task8[[%]:[%]])</f>
        <v/>
      </c>
      <c r="LP26" s="121" t="str">
        <f>IF(ISBLANK(tbl_task8[[คะแนนเต็ม]:[คะแนนเต็ม]]),"",(tbl_task8[158]/tbl_task8[[คะแนนเต็ม]:[คะแนนเต็ม]])*tbl_task8[[%]:[%]])</f>
        <v/>
      </c>
      <c r="LQ26" s="121" t="str">
        <f>IF(ISBLANK(tbl_task8[[คะแนนเต็ม]:[คะแนนเต็ม]]),"",(tbl_task8[159]/tbl_task8[[คะแนนเต็ม]:[คะแนนเต็ม]])*tbl_task8[[%]:[%]])</f>
        <v/>
      </c>
      <c r="LR26" s="121" t="str">
        <f>IF(ISBLANK(tbl_task8[[คะแนนเต็ม]:[คะแนนเต็ม]]),"",(tbl_task8[160]/tbl_task8[[คะแนนเต็ม]:[คะแนนเต็ม]])*tbl_task8[[%]:[%]])</f>
        <v/>
      </c>
      <c r="LS26" s="121" t="str">
        <f>IF(ISBLANK(tbl_task8[[คะแนนเต็ม]:[คะแนนเต็ม]]),"",(tbl_task8[161]/tbl_task8[[คะแนนเต็ม]:[คะแนนเต็ม]])*tbl_task8[[%]:[%]])</f>
        <v/>
      </c>
      <c r="LT26" s="121" t="str">
        <f>IF(ISBLANK(tbl_task8[[คะแนนเต็ม]:[คะแนนเต็ม]]),"",(tbl_task8[162]/tbl_task8[[คะแนนเต็ม]:[คะแนนเต็ม]])*tbl_task8[[%]:[%]])</f>
        <v/>
      </c>
      <c r="LU26" s="121" t="str">
        <f>IF(ISBLANK(tbl_task8[[คะแนนเต็ม]:[คะแนนเต็ม]]),"",(tbl_task8[163]/tbl_task8[[คะแนนเต็ม]:[คะแนนเต็ม]])*tbl_task8[[%]:[%]])</f>
        <v/>
      </c>
      <c r="LV26" s="121" t="str">
        <f>IF(ISBLANK(tbl_task8[[คะแนนเต็ม]:[คะแนนเต็ม]]),"",(tbl_task8[164]/tbl_task8[[คะแนนเต็ม]:[คะแนนเต็ม]])*tbl_task8[[%]:[%]])</f>
        <v/>
      </c>
      <c r="LW26" s="121" t="str">
        <f>IF(ISBLANK(tbl_task8[[คะแนนเต็ม]:[คะแนนเต็ม]]),"",(tbl_task8[165]/tbl_task8[[คะแนนเต็ม]:[คะแนนเต็ม]])*tbl_task8[[%]:[%]])</f>
        <v/>
      </c>
    </row>
    <row r="27" spans="1:335" ht="24" customHeight="1" x14ac:dyDescent="0.25">
      <c r="A27" s="24">
        <v>24</v>
      </c>
      <c r="B27" s="20"/>
      <c r="C27" s="5" t="str">
        <f>IF(ISBLANK(B27),"",VLOOKUP(B27,tbl_PLOs[],2,0))</f>
        <v/>
      </c>
      <c r="D27" s="102"/>
      <c r="E27" s="106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21" t="str">
        <f>IF(ISBLANK(tbl_task8[[คะแนนเต็ม]:[คะแนนเต็ม]]),"",(tbl_task8[1]/tbl_task8[[คะแนนเต็ม]:[คะแนนเต็ม]])*tbl_task8[[%]:[%]])</f>
        <v/>
      </c>
      <c r="FP27" s="121" t="str">
        <f>IF(ISBLANK(tbl_task8[[คะแนนเต็ม]:[คะแนนเต็ม]]),"",(tbl_task8[2]/tbl_task8[[คะแนนเต็ม]:[คะแนนเต็ม]])*tbl_task8[[%]:[%]])</f>
        <v/>
      </c>
      <c r="FQ27" s="121" t="str">
        <f>IF(ISBLANK(tbl_task8[[คะแนนเต็ม]:[คะแนนเต็ม]]),"",(tbl_task8[3]/tbl_task8[[คะแนนเต็ม]:[คะแนนเต็ม]])*tbl_task8[[%]:[%]])</f>
        <v/>
      </c>
      <c r="FR27" s="121" t="str">
        <f>IF(ISBLANK(tbl_task8[[คะแนนเต็ม]:[คะแนนเต็ม]]),"",(tbl_task8[4]/tbl_task8[[คะแนนเต็ม]:[คะแนนเต็ม]])*tbl_task8[[%]:[%]])</f>
        <v/>
      </c>
      <c r="FS27" s="121" t="str">
        <f>IF(ISBLANK(tbl_task8[[คะแนนเต็ม]:[คะแนนเต็ม]]),"",(tbl_task8[5]/tbl_task8[[คะแนนเต็ม]:[คะแนนเต็ม]])*tbl_task8[[%]:[%]])</f>
        <v/>
      </c>
      <c r="FT27" s="121" t="str">
        <f>IF(ISBLANK(tbl_task8[[คะแนนเต็ม]:[คะแนนเต็ม]]),"",(tbl_task8[6]/tbl_task8[[คะแนนเต็ม]:[คะแนนเต็ม]])*tbl_task8[[%]:[%]])</f>
        <v/>
      </c>
      <c r="FU27" s="121" t="str">
        <f>IF(ISBLANK(tbl_task8[[คะแนนเต็ม]:[คะแนนเต็ม]]),"",(tbl_task8[7]/tbl_task8[[คะแนนเต็ม]:[คะแนนเต็ม]])*tbl_task8[[%]:[%]])</f>
        <v/>
      </c>
      <c r="FV27" s="121" t="str">
        <f>IF(ISBLANK(tbl_task8[[คะแนนเต็ม]:[คะแนนเต็ม]]),"",(tbl_task8[8]/tbl_task8[[คะแนนเต็ม]:[คะแนนเต็ม]])*tbl_task8[[%]:[%]])</f>
        <v/>
      </c>
      <c r="FW27" s="121" t="str">
        <f>IF(ISBLANK(tbl_task8[[คะแนนเต็ม]:[คะแนนเต็ม]]),"",(tbl_task8[9]/tbl_task8[[คะแนนเต็ม]:[คะแนนเต็ม]])*tbl_task8[[%]:[%]])</f>
        <v/>
      </c>
      <c r="FX27" s="121" t="str">
        <f>IF(ISBLANK(tbl_task8[[คะแนนเต็ม]:[คะแนนเต็ม]]),"",(tbl_task8[10]/tbl_task8[[คะแนนเต็ม]:[คะแนนเต็ม]])*tbl_task8[[%]:[%]])</f>
        <v/>
      </c>
      <c r="FY27" s="121" t="str">
        <f>IF(ISBLANK(tbl_task8[[คะแนนเต็ม]:[คะแนนเต็ม]]),"",(tbl_task8[11]/tbl_task8[[คะแนนเต็ม]:[คะแนนเต็ม]])*tbl_task8[[%]:[%]])</f>
        <v/>
      </c>
      <c r="FZ27" s="121" t="str">
        <f>IF(ISBLANK(tbl_task8[[คะแนนเต็ม]:[คะแนนเต็ม]]),"",(tbl_task8[12]/tbl_task8[[คะแนนเต็ม]:[คะแนนเต็ม]])*tbl_task8[[%]:[%]])</f>
        <v/>
      </c>
      <c r="GA27" s="121" t="str">
        <f>IF(ISBLANK(tbl_task8[[คะแนนเต็ม]:[คะแนนเต็ม]]),"",(tbl_task8[13]/tbl_task8[[คะแนนเต็ม]:[คะแนนเต็ม]])*tbl_task8[[%]:[%]])</f>
        <v/>
      </c>
      <c r="GB27" s="121" t="str">
        <f>IF(ISBLANK(tbl_task8[[คะแนนเต็ม]:[คะแนนเต็ม]]),"",(tbl_task8[14]/tbl_task8[[คะแนนเต็ม]:[คะแนนเต็ม]])*tbl_task8[[%]:[%]])</f>
        <v/>
      </c>
      <c r="GC27" s="121" t="str">
        <f>IF(ISBLANK(tbl_task8[[คะแนนเต็ม]:[คะแนนเต็ม]]),"",(tbl_task8[15]/tbl_task8[[คะแนนเต็ม]:[คะแนนเต็ม]])*tbl_task8[[%]:[%]])</f>
        <v/>
      </c>
      <c r="GD27" s="121" t="str">
        <f>IF(ISBLANK(tbl_task8[[คะแนนเต็ม]:[คะแนนเต็ม]]),"",(tbl_task8[16]/tbl_task8[[คะแนนเต็ม]:[คะแนนเต็ม]])*tbl_task8[[%]:[%]])</f>
        <v/>
      </c>
      <c r="GE27" s="121" t="str">
        <f>IF(ISBLANK(tbl_task8[[คะแนนเต็ม]:[คะแนนเต็ม]]),"",(tbl_task8[17]/tbl_task8[[คะแนนเต็ม]:[คะแนนเต็ม]])*tbl_task8[[%]:[%]])</f>
        <v/>
      </c>
      <c r="GF27" s="121" t="str">
        <f>IF(ISBLANK(tbl_task8[[คะแนนเต็ม]:[คะแนนเต็ม]]),"",(tbl_task8[18]/tbl_task8[[คะแนนเต็ม]:[คะแนนเต็ม]])*tbl_task8[[%]:[%]])</f>
        <v/>
      </c>
      <c r="GG27" s="121" t="str">
        <f>IF(ISBLANK(tbl_task8[[คะแนนเต็ม]:[คะแนนเต็ม]]),"",(tbl_task8[19]/tbl_task8[[คะแนนเต็ม]:[คะแนนเต็ม]])*tbl_task8[[%]:[%]])</f>
        <v/>
      </c>
      <c r="GH27" s="121" t="str">
        <f>IF(ISBLANK(tbl_task8[[คะแนนเต็ม]:[คะแนนเต็ม]]),"",(tbl_task8[20]/tbl_task8[[คะแนนเต็ม]:[คะแนนเต็ม]])*tbl_task8[[%]:[%]])</f>
        <v/>
      </c>
      <c r="GI27" s="121" t="str">
        <f>IF(ISBLANK(tbl_task8[[คะแนนเต็ม]:[คะแนนเต็ม]]),"",(tbl_task8[21]/tbl_task8[[คะแนนเต็ม]:[คะแนนเต็ม]])*tbl_task8[[%]:[%]])</f>
        <v/>
      </c>
      <c r="GJ27" s="121" t="str">
        <f>IF(ISBLANK(tbl_task8[[คะแนนเต็ม]:[คะแนนเต็ม]]),"",(tbl_task8[22]/tbl_task8[[คะแนนเต็ม]:[คะแนนเต็ม]])*tbl_task8[[%]:[%]])</f>
        <v/>
      </c>
      <c r="GK27" s="121" t="str">
        <f>IF(ISBLANK(tbl_task8[[คะแนนเต็ม]:[คะแนนเต็ม]]),"",(tbl_task8[23]/tbl_task8[[คะแนนเต็ม]:[คะแนนเต็ม]])*tbl_task8[[%]:[%]])</f>
        <v/>
      </c>
      <c r="GL27" s="121" t="str">
        <f>IF(ISBLANK(tbl_task8[[คะแนนเต็ม]:[คะแนนเต็ม]]),"",(tbl_task8[24]/tbl_task8[[คะแนนเต็ม]:[คะแนนเต็ม]])*tbl_task8[[%]:[%]])</f>
        <v/>
      </c>
      <c r="GM27" s="121" t="str">
        <f>IF(ISBLANK(tbl_task8[[คะแนนเต็ม]:[คะแนนเต็ม]]),"",(tbl_task8[25]/tbl_task8[[คะแนนเต็ม]:[คะแนนเต็ม]])*tbl_task8[[%]:[%]])</f>
        <v/>
      </c>
      <c r="GN27" s="121" t="str">
        <f>IF(ISBLANK(tbl_task8[[คะแนนเต็ม]:[คะแนนเต็ม]]),"",(tbl_task8[26]/tbl_task8[[คะแนนเต็ม]:[คะแนนเต็ม]])*tbl_task8[[%]:[%]])</f>
        <v/>
      </c>
      <c r="GO27" s="121" t="str">
        <f>IF(ISBLANK(tbl_task8[[คะแนนเต็ม]:[คะแนนเต็ม]]),"",(tbl_task8[27]/tbl_task8[[คะแนนเต็ม]:[คะแนนเต็ม]])*tbl_task8[[%]:[%]])</f>
        <v/>
      </c>
      <c r="GP27" s="121" t="str">
        <f>IF(ISBLANK(tbl_task8[[คะแนนเต็ม]:[คะแนนเต็ม]]),"",(tbl_task8[28]/tbl_task8[[คะแนนเต็ม]:[คะแนนเต็ม]])*tbl_task8[[%]:[%]])</f>
        <v/>
      </c>
      <c r="GQ27" s="121" t="str">
        <f>IF(ISBLANK(tbl_task8[[คะแนนเต็ม]:[คะแนนเต็ม]]),"",(tbl_task8[29]/tbl_task8[[คะแนนเต็ม]:[คะแนนเต็ม]])*tbl_task8[[%]:[%]])</f>
        <v/>
      </c>
      <c r="GR27" s="121" t="str">
        <f>IF(ISBLANK(tbl_task8[[คะแนนเต็ม]:[คะแนนเต็ม]]),"",(tbl_task8[30]/tbl_task8[[คะแนนเต็ม]:[คะแนนเต็ม]])*tbl_task8[[%]:[%]])</f>
        <v/>
      </c>
      <c r="GS27" s="121" t="str">
        <f>IF(ISBLANK(tbl_task8[[คะแนนเต็ม]:[คะแนนเต็ม]]),"",(tbl_task8[31]/tbl_task8[[คะแนนเต็ม]:[คะแนนเต็ม]])*tbl_task8[[%]:[%]])</f>
        <v/>
      </c>
      <c r="GT27" s="121" t="str">
        <f>IF(ISBLANK(tbl_task8[[คะแนนเต็ม]:[คะแนนเต็ม]]),"",(tbl_task8[32]/tbl_task8[[คะแนนเต็ม]:[คะแนนเต็ม]])*tbl_task8[[%]:[%]])</f>
        <v/>
      </c>
      <c r="GU27" s="121" t="str">
        <f>IF(ISBLANK(tbl_task8[[คะแนนเต็ม]:[คะแนนเต็ม]]),"",(tbl_task8[33]/tbl_task8[[คะแนนเต็ม]:[คะแนนเต็ม]])*tbl_task8[[%]:[%]])</f>
        <v/>
      </c>
      <c r="GV27" s="121" t="str">
        <f>IF(ISBLANK(tbl_task8[[คะแนนเต็ม]:[คะแนนเต็ม]]),"",(tbl_task8[34]/tbl_task8[[คะแนนเต็ม]:[คะแนนเต็ม]])*tbl_task8[[%]:[%]])</f>
        <v/>
      </c>
      <c r="GW27" s="121" t="str">
        <f>IF(ISBLANK(tbl_task8[[คะแนนเต็ม]:[คะแนนเต็ม]]),"",(tbl_task8[35]/tbl_task8[[คะแนนเต็ม]:[คะแนนเต็ม]])*tbl_task8[[%]:[%]])</f>
        <v/>
      </c>
      <c r="GX27" s="121" t="str">
        <f>IF(ISBLANK(tbl_task8[[คะแนนเต็ม]:[คะแนนเต็ม]]),"",(tbl_task8[36]/tbl_task8[[คะแนนเต็ม]:[คะแนนเต็ม]])*tbl_task8[[%]:[%]])</f>
        <v/>
      </c>
      <c r="GY27" s="121" t="str">
        <f>IF(ISBLANK(tbl_task8[[คะแนนเต็ม]:[คะแนนเต็ม]]),"",(tbl_task8[37]/tbl_task8[[คะแนนเต็ม]:[คะแนนเต็ม]])*tbl_task8[[%]:[%]])</f>
        <v/>
      </c>
      <c r="GZ27" s="121" t="str">
        <f>IF(ISBLANK(tbl_task8[[คะแนนเต็ม]:[คะแนนเต็ม]]),"",(tbl_task8[38]/tbl_task8[[คะแนนเต็ม]:[คะแนนเต็ม]])*tbl_task8[[%]:[%]])</f>
        <v/>
      </c>
      <c r="HA27" s="121" t="str">
        <f>IF(ISBLANK(tbl_task8[[คะแนนเต็ม]:[คะแนนเต็ม]]),"",(tbl_task8[39]/tbl_task8[[คะแนนเต็ม]:[คะแนนเต็ม]])*tbl_task8[[%]:[%]])</f>
        <v/>
      </c>
      <c r="HB27" s="121" t="str">
        <f>IF(ISBLANK(tbl_task8[[คะแนนเต็ม]:[คะแนนเต็ม]]),"",(tbl_task8[40]/tbl_task8[[คะแนนเต็ม]:[คะแนนเต็ม]])*tbl_task8[[%]:[%]])</f>
        <v/>
      </c>
      <c r="HC27" s="121" t="str">
        <f>IF(ISBLANK(tbl_task8[[คะแนนเต็ม]:[คะแนนเต็ม]]),"",(tbl_task8[41]/tbl_task8[[คะแนนเต็ม]:[คะแนนเต็ม]])*tbl_task8[[%]:[%]])</f>
        <v/>
      </c>
      <c r="HD27" s="121" t="str">
        <f>IF(ISBLANK(tbl_task8[[คะแนนเต็ม]:[คะแนนเต็ม]]),"",(tbl_task8[42]/tbl_task8[[คะแนนเต็ม]:[คะแนนเต็ม]])*tbl_task8[[%]:[%]])</f>
        <v/>
      </c>
      <c r="HE27" s="121" t="str">
        <f>IF(ISBLANK(tbl_task8[[คะแนนเต็ม]:[คะแนนเต็ม]]),"",(tbl_task8[43]/tbl_task8[[คะแนนเต็ม]:[คะแนนเต็ม]])*tbl_task8[[%]:[%]])</f>
        <v/>
      </c>
      <c r="HF27" s="121" t="str">
        <f>IF(ISBLANK(tbl_task8[[คะแนนเต็ม]:[คะแนนเต็ม]]),"",(tbl_task8[44]/tbl_task8[[คะแนนเต็ม]:[คะแนนเต็ม]])*tbl_task8[[%]:[%]])</f>
        <v/>
      </c>
      <c r="HG27" s="121" t="str">
        <f>IF(ISBLANK(tbl_task8[[คะแนนเต็ม]:[คะแนนเต็ม]]),"",(tbl_task8[45]/tbl_task8[[คะแนนเต็ม]:[คะแนนเต็ม]])*tbl_task8[[%]:[%]])</f>
        <v/>
      </c>
      <c r="HH27" s="121" t="str">
        <f>IF(ISBLANK(tbl_task8[[คะแนนเต็ม]:[คะแนนเต็ม]]),"",(tbl_task8[46]/tbl_task8[[คะแนนเต็ม]:[คะแนนเต็ม]])*tbl_task8[[%]:[%]])</f>
        <v/>
      </c>
      <c r="HI27" s="121" t="str">
        <f>IF(ISBLANK(tbl_task8[[คะแนนเต็ม]:[คะแนนเต็ม]]),"",(tbl_task8[47]/tbl_task8[[คะแนนเต็ม]:[คะแนนเต็ม]])*tbl_task8[[%]:[%]])</f>
        <v/>
      </c>
      <c r="HJ27" s="121" t="str">
        <f>IF(ISBLANK(tbl_task8[[คะแนนเต็ม]:[คะแนนเต็ม]]),"",(tbl_task8[48]/tbl_task8[[คะแนนเต็ม]:[คะแนนเต็ม]])*tbl_task8[[%]:[%]])</f>
        <v/>
      </c>
      <c r="HK27" s="121" t="str">
        <f>IF(ISBLANK(tbl_task8[[คะแนนเต็ม]:[คะแนนเต็ม]]),"",(tbl_task8[49]/tbl_task8[[คะแนนเต็ม]:[คะแนนเต็ม]])*tbl_task8[[%]:[%]])</f>
        <v/>
      </c>
      <c r="HL27" s="121" t="str">
        <f>IF(ISBLANK(tbl_task8[[คะแนนเต็ม]:[คะแนนเต็ม]]),"",(tbl_task8[50]/tbl_task8[[คะแนนเต็ม]:[คะแนนเต็ม]])*tbl_task8[[%]:[%]])</f>
        <v/>
      </c>
      <c r="HM27" s="121" t="str">
        <f>IF(ISBLANK(tbl_task8[[คะแนนเต็ม]:[คะแนนเต็ม]]),"",(tbl_task8[51]/tbl_task8[[คะแนนเต็ม]:[คะแนนเต็ม]])*tbl_task8[[%]:[%]])</f>
        <v/>
      </c>
      <c r="HN27" s="121" t="str">
        <f>IF(ISBLANK(tbl_task8[[คะแนนเต็ม]:[คะแนนเต็ม]]),"",(tbl_task8[52]/tbl_task8[[คะแนนเต็ม]:[คะแนนเต็ม]])*tbl_task8[[%]:[%]])</f>
        <v/>
      </c>
      <c r="HO27" s="121" t="str">
        <f>IF(ISBLANK(tbl_task8[[คะแนนเต็ม]:[คะแนนเต็ม]]),"",(tbl_task8[53]/tbl_task8[[คะแนนเต็ม]:[คะแนนเต็ม]])*tbl_task8[[%]:[%]])</f>
        <v/>
      </c>
      <c r="HP27" s="121" t="str">
        <f>IF(ISBLANK(tbl_task8[[คะแนนเต็ม]:[คะแนนเต็ม]]),"",(tbl_task8[54]/tbl_task8[[คะแนนเต็ม]:[คะแนนเต็ม]])*tbl_task8[[%]:[%]])</f>
        <v/>
      </c>
      <c r="HQ27" s="121" t="str">
        <f>IF(ISBLANK(tbl_task8[[คะแนนเต็ม]:[คะแนนเต็ม]]),"",(tbl_task8[55]/tbl_task8[[คะแนนเต็ม]:[คะแนนเต็ม]])*tbl_task8[[%]:[%]])</f>
        <v/>
      </c>
      <c r="HR27" s="121" t="str">
        <f>IF(ISBLANK(tbl_task8[[คะแนนเต็ม]:[คะแนนเต็ม]]),"",(tbl_task8[56]/tbl_task8[[คะแนนเต็ม]:[คะแนนเต็ม]])*tbl_task8[[%]:[%]])</f>
        <v/>
      </c>
      <c r="HS27" s="121" t="str">
        <f>IF(ISBLANK(tbl_task8[[คะแนนเต็ม]:[คะแนนเต็ม]]),"",(tbl_task8[57]/tbl_task8[[คะแนนเต็ม]:[คะแนนเต็ม]])*tbl_task8[[%]:[%]])</f>
        <v/>
      </c>
      <c r="HT27" s="121" t="str">
        <f>IF(ISBLANK(tbl_task8[[คะแนนเต็ม]:[คะแนนเต็ม]]),"",(tbl_task8[58]/tbl_task8[[คะแนนเต็ม]:[คะแนนเต็ม]])*tbl_task8[[%]:[%]])</f>
        <v/>
      </c>
      <c r="HU27" s="121" t="str">
        <f>IF(ISBLANK(tbl_task8[[คะแนนเต็ม]:[คะแนนเต็ม]]),"",(tbl_task8[59]/tbl_task8[[คะแนนเต็ม]:[คะแนนเต็ม]])*tbl_task8[[%]:[%]])</f>
        <v/>
      </c>
      <c r="HV27" s="121" t="str">
        <f>IF(ISBLANK(tbl_task8[[คะแนนเต็ม]:[คะแนนเต็ม]]),"",(tbl_task8[60]/tbl_task8[[คะแนนเต็ม]:[คะแนนเต็ม]])*tbl_task8[[%]:[%]])</f>
        <v/>
      </c>
      <c r="HW27" s="121" t="str">
        <f>IF(ISBLANK(tbl_task8[[คะแนนเต็ม]:[คะแนนเต็ม]]),"",(tbl_task8[61]/tbl_task8[[คะแนนเต็ม]:[คะแนนเต็ม]])*tbl_task8[[%]:[%]])</f>
        <v/>
      </c>
      <c r="HX27" s="121" t="str">
        <f>IF(ISBLANK(tbl_task8[[คะแนนเต็ม]:[คะแนนเต็ม]]),"",(tbl_task8[62]/tbl_task8[[คะแนนเต็ม]:[คะแนนเต็ม]])*tbl_task8[[%]:[%]])</f>
        <v/>
      </c>
      <c r="HY27" s="121" t="str">
        <f>IF(ISBLANK(tbl_task8[[คะแนนเต็ม]:[คะแนนเต็ม]]),"",(tbl_task8[63]/tbl_task8[[คะแนนเต็ม]:[คะแนนเต็ม]])*tbl_task8[[%]:[%]])</f>
        <v/>
      </c>
      <c r="HZ27" s="121" t="str">
        <f>IF(ISBLANK(tbl_task8[[คะแนนเต็ม]:[คะแนนเต็ม]]),"",(tbl_task8[64]/tbl_task8[[คะแนนเต็ม]:[คะแนนเต็ม]])*tbl_task8[[%]:[%]])</f>
        <v/>
      </c>
      <c r="IA27" s="121" t="str">
        <f>IF(ISBLANK(tbl_task8[[คะแนนเต็ม]:[คะแนนเต็ม]]),"",(tbl_task8[65]/tbl_task8[[คะแนนเต็ม]:[คะแนนเต็ม]])*tbl_task8[[%]:[%]])</f>
        <v/>
      </c>
      <c r="IB27" s="121" t="str">
        <f>IF(ISBLANK(tbl_task8[[คะแนนเต็ม]:[คะแนนเต็ม]]),"",(tbl_task8[66]/tbl_task8[[คะแนนเต็ม]:[คะแนนเต็ม]])*tbl_task8[[%]:[%]])</f>
        <v/>
      </c>
      <c r="IC27" s="121" t="str">
        <f>IF(ISBLANK(tbl_task8[[คะแนนเต็ม]:[คะแนนเต็ม]]),"",(tbl_task8[67]/tbl_task8[[คะแนนเต็ม]:[คะแนนเต็ม]])*tbl_task8[[%]:[%]])</f>
        <v/>
      </c>
      <c r="ID27" s="121" t="str">
        <f>IF(ISBLANK(tbl_task8[[คะแนนเต็ม]:[คะแนนเต็ม]]),"",(tbl_task8[68]/tbl_task8[[คะแนนเต็ม]:[คะแนนเต็ม]])*tbl_task8[[%]:[%]])</f>
        <v/>
      </c>
      <c r="IE27" s="121" t="str">
        <f>IF(ISBLANK(tbl_task8[[คะแนนเต็ม]:[คะแนนเต็ม]]),"",(tbl_task8[69]/tbl_task8[[คะแนนเต็ม]:[คะแนนเต็ม]])*tbl_task8[[%]:[%]])</f>
        <v/>
      </c>
      <c r="IF27" s="121" t="str">
        <f>IF(ISBLANK(tbl_task8[[คะแนนเต็ม]:[คะแนนเต็ม]]),"",(tbl_task8[70]/tbl_task8[[คะแนนเต็ม]:[คะแนนเต็ม]])*tbl_task8[[%]:[%]])</f>
        <v/>
      </c>
      <c r="IG27" s="121" t="str">
        <f>IF(ISBLANK(tbl_task8[[คะแนนเต็ม]:[คะแนนเต็ม]]),"",(tbl_task8[71]/tbl_task8[[คะแนนเต็ม]:[คะแนนเต็ม]])*tbl_task8[[%]:[%]])</f>
        <v/>
      </c>
      <c r="IH27" s="121" t="str">
        <f>IF(ISBLANK(tbl_task8[[คะแนนเต็ม]:[คะแนนเต็ม]]),"",(tbl_task8[72]/tbl_task8[[คะแนนเต็ม]:[คะแนนเต็ม]])*tbl_task8[[%]:[%]])</f>
        <v/>
      </c>
      <c r="II27" s="121" t="str">
        <f>IF(ISBLANK(tbl_task8[[คะแนนเต็ม]:[คะแนนเต็ม]]),"",(tbl_task8[73]/tbl_task8[[คะแนนเต็ม]:[คะแนนเต็ม]])*tbl_task8[[%]:[%]])</f>
        <v/>
      </c>
      <c r="IJ27" s="121" t="str">
        <f>IF(ISBLANK(tbl_task8[[คะแนนเต็ม]:[คะแนนเต็ม]]),"",(tbl_task8[74]/tbl_task8[[คะแนนเต็ม]:[คะแนนเต็ม]])*tbl_task8[[%]:[%]])</f>
        <v/>
      </c>
      <c r="IK27" s="121" t="str">
        <f>IF(ISBLANK(tbl_task8[[คะแนนเต็ม]:[คะแนนเต็ม]]),"",(tbl_task8[75]/tbl_task8[[คะแนนเต็ม]:[คะแนนเต็ม]])*tbl_task8[[%]:[%]])</f>
        <v/>
      </c>
      <c r="IL27" s="121" t="str">
        <f>IF(ISBLANK(tbl_task8[[คะแนนเต็ม]:[คะแนนเต็ม]]),"",(tbl_task8[76]/tbl_task8[[คะแนนเต็ม]:[คะแนนเต็ม]])*tbl_task8[[%]:[%]])</f>
        <v/>
      </c>
      <c r="IM27" s="121" t="str">
        <f>IF(ISBLANK(tbl_task8[[คะแนนเต็ม]:[คะแนนเต็ม]]),"",(tbl_task8[77]/tbl_task8[[คะแนนเต็ม]:[คะแนนเต็ม]])*tbl_task8[[%]:[%]])</f>
        <v/>
      </c>
      <c r="IN27" s="121" t="str">
        <f>IF(ISBLANK(tbl_task8[[คะแนนเต็ม]:[คะแนนเต็ม]]),"",(tbl_task8[78]/tbl_task8[[คะแนนเต็ม]:[คะแนนเต็ม]])*tbl_task8[[%]:[%]])</f>
        <v/>
      </c>
      <c r="IO27" s="121" t="str">
        <f>IF(ISBLANK(tbl_task8[[คะแนนเต็ม]:[คะแนนเต็ม]]),"",(tbl_task8[79]/tbl_task8[[คะแนนเต็ม]:[คะแนนเต็ม]])*tbl_task8[[%]:[%]])</f>
        <v/>
      </c>
      <c r="IP27" s="121" t="str">
        <f>IF(ISBLANK(tbl_task8[[คะแนนเต็ม]:[คะแนนเต็ม]]),"",(tbl_task8[80]/tbl_task8[[คะแนนเต็ม]:[คะแนนเต็ม]])*tbl_task8[[%]:[%]])</f>
        <v/>
      </c>
      <c r="IQ27" s="121" t="str">
        <f>IF(ISBLANK(tbl_task8[[คะแนนเต็ม]:[คะแนนเต็ม]]),"",(tbl_task8[81]/tbl_task8[[คะแนนเต็ม]:[คะแนนเต็ม]])*tbl_task8[[%]:[%]])</f>
        <v/>
      </c>
      <c r="IR27" s="121" t="str">
        <f>IF(ISBLANK(tbl_task8[[คะแนนเต็ม]:[คะแนนเต็ม]]),"",(tbl_task8[82]/tbl_task8[[คะแนนเต็ม]:[คะแนนเต็ม]])*tbl_task8[[%]:[%]])</f>
        <v/>
      </c>
      <c r="IS27" s="121" t="str">
        <f>IF(ISBLANK(tbl_task8[[คะแนนเต็ม]:[คะแนนเต็ม]]),"",(tbl_task8[83]/tbl_task8[[คะแนนเต็ม]:[คะแนนเต็ม]])*tbl_task8[[%]:[%]])</f>
        <v/>
      </c>
      <c r="IT27" s="121" t="str">
        <f>IF(ISBLANK(tbl_task8[[คะแนนเต็ม]:[คะแนนเต็ม]]),"",(tbl_task8[84]/tbl_task8[[คะแนนเต็ม]:[คะแนนเต็ม]])*tbl_task8[[%]:[%]])</f>
        <v/>
      </c>
      <c r="IU27" s="121" t="str">
        <f>IF(ISBLANK(tbl_task8[[คะแนนเต็ม]:[คะแนนเต็ม]]),"",(tbl_task8[85]/tbl_task8[[คะแนนเต็ม]:[คะแนนเต็ม]])*tbl_task8[[%]:[%]])</f>
        <v/>
      </c>
      <c r="IV27" s="121" t="str">
        <f>IF(ISBLANK(tbl_task8[[คะแนนเต็ม]:[คะแนนเต็ม]]),"",(tbl_task8[86]/tbl_task8[[คะแนนเต็ม]:[คะแนนเต็ม]])*tbl_task8[[%]:[%]])</f>
        <v/>
      </c>
      <c r="IW27" s="121" t="str">
        <f>IF(ISBLANK(tbl_task8[[คะแนนเต็ม]:[คะแนนเต็ม]]),"",(tbl_task8[87]/tbl_task8[[คะแนนเต็ม]:[คะแนนเต็ม]])*tbl_task8[[%]:[%]])</f>
        <v/>
      </c>
      <c r="IX27" s="121" t="str">
        <f>IF(ISBLANK(tbl_task8[[คะแนนเต็ม]:[คะแนนเต็ม]]),"",(tbl_task8[88]/tbl_task8[[คะแนนเต็ม]:[คะแนนเต็ม]])*tbl_task8[[%]:[%]])</f>
        <v/>
      </c>
      <c r="IY27" s="121" t="str">
        <f>IF(ISBLANK(tbl_task8[[คะแนนเต็ม]:[คะแนนเต็ม]]),"",(tbl_task8[89]/tbl_task8[[คะแนนเต็ม]:[คะแนนเต็ม]])*tbl_task8[[%]:[%]])</f>
        <v/>
      </c>
      <c r="IZ27" s="121" t="str">
        <f>IF(ISBLANK(tbl_task8[[คะแนนเต็ม]:[คะแนนเต็ม]]),"",(tbl_task8[90]/tbl_task8[[คะแนนเต็ม]:[คะแนนเต็ม]])*tbl_task8[[%]:[%]])</f>
        <v/>
      </c>
      <c r="JA27" s="121" t="str">
        <f>IF(ISBLANK(tbl_task8[[คะแนนเต็ม]:[คะแนนเต็ม]]),"",(tbl_task8[91]/tbl_task8[[คะแนนเต็ม]:[คะแนนเต็ม]])*tbl_task8[[%]:[%]])</f>
        <v/>
      </c>
      <c r="JB27" s="121" t="str">
        <f>IF(ISBLANK(tbl_task8[[คะแนนเต็ม]:[คะแนนเต็ม]]),"",(tbl_task8[92]/tbl_task8[[คะแนนเต็ม]:[คะแนนเต็ม]])*tbl_task8[[%]:[%]])</f>
        <v/>
      </c>
      <c r="JC27" s="121" t="str">
        <f>IF(ISBLANK(tbl_task8[[คะแนนเต็ม]:[คะแนนเต็ม]]),"",(tbl_task8[93]/tbl_task8[[คะแนนเต็ม]:[คะแนนเต็ม]])*tbl_task8[[%]:[%]])</f>
        <v/>
      </c>
      <c r="JD27" s="121" t="str">
        <f>IF(ISBLANK(tbl_task8[[คะแนนเต็ม]:[คะแนนเต็ม]]),"",(tbl_task8[94]/tbl_task8[[คะแนนเต็ม]:[คะแนนเต็ม]])*tbl_task8[[%]:[%]])</f>
        <v/>
      </c>
      <c r="JE27" s="121" t="str">
        <f>IF(ISBLANK(tbl_task8[[คะแนนเต็ม]:[คะแนนเต็ม]]),"",(tbl_task8[95]/tbl_task8[[คะแนนเต็ม]:[คะแนนเต็ม]])*tbl_task8[[%]:[%]])</f>
        <v/>
      </c>
      <c r="JF27" s="121" t="str">
        <f>IF(ISBLANK(tbl_task8[[คะแนนเต็ม]:[คะแนนเต็ม]]),"",(tbl_task8[96]/tbl_task8[[คะแนนเต็ม]:[คะแนนเต็ม]])*tbl_task8[[%]:[%]])</f>
        <v/>
      </c>
      <c r="JG27" s="121" t="str">
        <f>IF(ISBLANK(tbl_task8[[คะแนนเต็ม]:[คะแนนเต็ม]]),"",(tbl_task8[97]/tbl_task8[[คะแนนเต็ม]:[คะแนนเต็ม]])*tbl_task8[[%]:[%]])</f>
        <v/>
      </c>
      <c r="JH27" s="121" t="str">
        <f>IF(ISBLANK(tbl_task8[[คะแนนเต็ม]:[คะแนนเต็ม]]),"",(tbl_task8[98]/tbl_task8[[คะแนนเต็ม]:[คะแนนเต็ม]])*tbl_task8[[%]:[%]])</f>
        <v/>
      </c>
      <c r="JI27" s="121" t="str">
        <f>IF(ISBLANK(tbl_task8[[คะแนนเต็ม]:[คะแนนเต็ม]]),"",(tbl_task8[99]/tbl_task8[[คะแนนเต็ม]:[คะแนนเต็ม]])*tbl_task8[[%]:[%]])</f>
        <v/>
      </c>
      <c r="JJ27" s="121" t="str">
        <f>IF(ISBLANK(tbl_task8[[คะแนนเต็ม]:[คะแนนเต็ม]]),"",(tbl_task8[100]/tbl_task8[[คะแนนเต็ม]:[คะแนนเต็ม]])*tbl_task8[[%]:[%]])</f>
        <v/>
      </c>
      <c r="JK27" s="121" t="str">
        <f>IF(ISBLANK(tbl_task8[[คะแนนเต็ม]:[คะแนนเต็ม]]),"",(tbl_task8[101]/tbl_task8[[คะแนนเต็ม]:[คะแนนเต็ม]])*tbl_task8[[%]:[%]])</f>
        <v/>
      </c>
      <c r="JL27" s="121" t="str">
        <f>IF(ISBLANK(tbl_task8[[คะแนนเต็ม]:[คะแนนเต็ม]]),"",(tbl_task8[102]/tbl_task8[[คะแนนเต็ม]:[คะแนนเต็ม]])*tbl_task8[[%]:[%]])</f>
        <v/>
      </c>
      <c r="JM27" s="121" t="str">
        <f>IF(ISBLANK(tbl_task8[[คะแนนเต็ม]:[คะแนนเต็ม]]),"",(tbl_task8[103]/tbl_task8[[คะแนนเต็ม]:[คะแนนเต็ม]])*tbl_task8[[%]:[%]])</f>
        <v/>
      </c>
      <c r="JN27" s="121" t="str">
        <f>IF(ISBLANK(tbl_task8[[คะแนนเต็ม]:[คะแนนเต็ม]]),"",(tbl_task8[104]/tbl_task8[[คะแนนเต็ม]:[คะแนนเต็ม]])*tbl_task8[[%]:[%]])</f>
        <v/>
      </c>
      <c r="JO27" s="121" t="str">
        <f>IF(ISBLANK(tbl_task8[[คะแนนเต็ม]:[คะแนนเต็ม]]),"",(tbl_task8[105]/tbl_task8[[คะแนนเต็ม]:[คะแนนเต็ม]])*tbl_task8[[%]:[%]])</f>
        <v/>
      </c>
      <c r="JP27" s="121" t="str">
        <f>IF(ISBLANK(tbl_task8[[คะแนนเต็ม]:[คะแนนเต็ม]]),"",(tbl_task8[106]/tbl_task8[[คะแนนเต็ม]:[คะแนนเต็ม]])*tbl_task8[[%]:[%]])</f>
        <v/>
      </c>
      <c r="JQ27" s="121" t="str">
        <f>IF(ISBLANK(tbl_task8[[คะแนนเต็ม]:[คะแนนเต็ม]]),"",(tbl_task8[107]/tbl_task8[[คะแนนเต็ม]:[คะแนนเต็ม]])*tbl_task8[[%]:[%]])</f>
        <v/>
      </c>
      <c r="JR27" s="121" t="str">
        <f>IF(ISBLANK(tbl_task8[[คะแนนเต็ม]:[คะแนนเต็ม]]),"",(tbl_task8[108]/tbl_task8[[คะแนนเต็ม]:[คะแนนเต็ม]])*tbl_task8[[%]:[%]])</f>
        <v/>
      </c>
      <c r="JS27" s="121" t="str">
        <f>IF(ISBLANK(tbl_task8[[คะแนนเต็ม]:[คะแนนเต็ม]]),"",(tbl_task8[109]/tbl_task8[[คะแนนเต็ม]:[คะแนนเต็ม]])*tbl_task8[[%]:[%]])</f>
        <v/>
      </c>
      <c r="JT27" s="121" t="str">
        <f>IF(ISBLANK(tbl_task8[[คะแนนเต็ม]:[คะแนนเต็ม]]),"",(tbl_task8[110]/tbl_task8[[คะแนนเต็ม]:[คะแนนเต็ม]])*tbl_task8[[%]:[%]])</f>
        <v/>
      </c>
      <c r="JU27" s="121" t="str">
        <f>IF(ISBLANK(tbl_task8[[คะแนนเต็ม]:[คะแนนเต็ม]]),"",(tbl_task8[111]/tbl_task8[[คะแนนเต็ม]:[คะแนนเต็ม]])*tbl_task8[[%]:[%]])</f>
        <v/>
      </c>
      <c r="JV27" s="121" t="str">
        <f>IF(ISBLANK(tbl_task8[[คะแนนเต็ม]:[คะแนนเต็ม]]),"",(tbl_task8[112]/tbl_task8[[คะแนนเต็ม]:[คะแนนเต็ม]])*tbl_task8[[%]:[%]])</f>
        <v/>
      </c>
      <c r="JW27" s="121" t="str">
        <f>IF(ISBLANK(tbl_task8[[คะแนนเต็ม]:[คะแนนเต็ม]]),"",(tbl_task8[113]/tbl_task8[[คะแนนเต็ม]:[คะแนนเต็ม]])*tbl_task8[[%]:[%]])</f>
        <v/>
      </c>
      <c r="JX27" s="121" t="str">
        <f>IF(ISBLANK(tbl_task8[[คะแนนเต็ม]:[คะแนนเต็ม]]),"",(tbl_task8[114]/tbl_task8[[คะแนนเต็ม]:[คะแนนเต็ม]])*tbl_task8[[%]:[%]])</f>
        <v/>
      </c>
      <c r="JY27" s="121" t="str">
        <f>IF(ISBLANK(tbl_task8[[คะแนนเต็ม]:[คะแนนเต็ม]]),"",(tbl_task8[115]/tbl_task8[[คะแนนเต็ม]:[คะแนนเต็ม]])*tbl_task8[[%]:[%]])</f>
        <v/>
      </c>
      <c r="JZ27" s="121" t="str">
        <f>IF(ISBLANK(tbl_task8[[คะแนนเต็ม]:[คะแนนเต็ม]]),"",(tbl_task8[116]/tbl_task8[[คะแนนเต็ม]:[คะแนนเต็ม]])*tbl_task8[[%]:[%]])</f>
        <v/>
      </c>
      <c r="KA27" s="121" t="str">
        <f>IF(ISBLANK(tbl_task8[[คะแนนเต็ม]:[คะแนนเต็ม]]),"",(tbl_task8[117]/tbl_task8[[คะแนนเต็ม]:[คะแนนเต็ม]])*tbl_task8[[%]:[%]])</f>
        <v/>
      </c>
      <c r="KB27" s="121" t="str">
        <f>IF(ISBLANK(tbl_task8[[คะแนนเต็ม]:[คะแนนเต็ม]]),"",(tbl_task8[118]/tbl_task8[[คะแนนเต็ม]:[คะแนนเต็ม]])*tbl_task8[[%]:[%]])</f>
        <v/>
      </c>
      <c r="KC27" s="121" t="str">
        <f>IF(ISBLANK(tbl_task8[[คะแนนเต็ม]:[คะแนนเต็ม]]),"",(tbl_task8[119]/tbl_task8[[คะแนนเต็ม]:[คะแนนเต็ม]])*tbl_task8[[%]:[%]])</f>
        <v/>
      </c>
      <c r="KD27" s="121" t="str">
        <f>IF(ISBLANK(tbl_task8[[คะแนนเต็ม]:[คะแนนเต็ม]]),"",(tbl_task8[120]/tbl_task8[[คะแนนเต็ม]:[คะแนนเต็ม]])*tbl_task8[[%]:[%]])</f>
        <v/>
      </c>
      <c r="KE27" s="121" t="str">
        <f>IF(ISBLANK(tbl_task8[[คะแนนเต็ม]:[คะแนนเต็ม]]),"",(tbl_task8[121]/tbl_task8[[คะแนนเต็ม]:[คะแนนเต็ม]])*tbl_task8[[%]:[%]])</f>
        <v/>
      </c>
      <c r="KF27" s="121" t="str">
        <f>IF(ISBLANK(tbl_task8[[คะแนนเต็ม]:[คะแนนเต็ม]]),"",(tbl_task8[122]/tbl_task8[[คะแนนเต็ม]:[คะแนนเต็ม]])*tbl_task8[[%]:[%]])</f>
        <v/>
      </c>
      <c r="KG27" s="121" t="str">
        <f>IF(ISBLANK(tbl_task8[[คะแนนเต็ม]:[คะแนนเต็ม]]),"",(tbl_task8[123]/tbl_task8[[คะแนนเต็ม]:[คะแนนเต็ม]])*tbl_task8[[%]:[%]])</f>
        <v/>
      </c>
      <c r="KH27" s="121" t="str">
        <f>IF(ISBLANK(tbl_task8[[คะแนนเต็ม]:[คะแนนเต็ม]]),"",(tbl_task8[124]/tbl_task8[[คะแนนเต็ม]:[คะแนนเต็ม]])*tbl_task8[[%]:[%]])</f>
        <v/>
      </c>
      <c r="KI27" s="121" t="str">
        <f>IF(ISBLANK(tbl_task8[[คะแนนเต็ม]:[คะแนนเต็ม]]),"",(tbl_task8[125]/tbl_task8[[คะแนนเต็ม]:[คะแนนเต็ม]])*tbl_task8[[%]:[%]])</f>
        <v/>
      </c>
      <c r="KJ27" s="121" t="str">
        <f>IF(ISBLANK(tbl_task8[[คะแนนเต็ม]:[คะแนนเต็ม]]),"",(tbl_task8[126]/tbl_task8[[คะแนนเต็ม]:[คะแนนเต็ม]])*tbl_task8[[%]:[%]])</f>
        <v/>
      </c>
      <c r="KK27" s="121" t="str">
        <f>IF(ISBLANK(tbl_task8[[คะแนนเต็ม]:[คะแนนเต็ม]]),"",(tbl_task8[127]/tbl_task8[[คะแนนเต็ม]:[คะแนนเต็ม]])*tbl_task8[[%]:[%]])</f>
        <v/>
      </c>
      <c r="KL27" s="121" t="str">
        <f>IF(ISBLANK(tbl_task8[[คะแนนเต็ม]:[คะแนนเต็ม]]),"",(tbl_task8[128]/tbl_task8[[คะแนนเต็ม]:[คะแนนเต็ม]])*tbl_task8[[%]:[%]])</f>
        <v/>
      </c>
      <c r="KM27" s="121" t="str">
        <f>IF(ISBLANK(tbl_task8[[คะแนนเต็ม]:[คะแนนเต็ม]]),"",(tbl_task8[129]/tbl_task8[[คะแนนเต็ม]:[คะแนนเต็ม]])*tbl_task8[[%]:[%]])</f>
        <v/>
      </c>
      <c r="KN27" s="121" t="str">
        <f>IF(ISBLANK(tbl_task8[[คะแนนเต็ม]:[คะแนนเต็ม]]),"",(tbl_task8[130]/tbl_task8[[คะแนนเต็ม]:[คะแนนเต็ม]])*tbl_task8[[%]:[%]])</f>
        <v/>
      </c>
      <c r="KO27" s="121" t="str">
        <f>IF(ISBLANK(tbl_task8[[คะแนนเต็ม]:[คะแนนเต็ม]]),"",(tbl_task8[131]/tbl_task8[[คะแนนเต็ม]:[คะแนนเต็ม]])*tbl_task8[[%]:[%]])</f>
        <v/>
      </c>
      <c r="KP27" s="121" t="str">
        <f>IF(ISBLANK(tbl_task8[[คะแนนเต็ม]:[คะแนนเต็ม]]),"",(tbl_task8[132]/tbl_task8[[คะแนนเต็ม]:[คะแนนเต็ม]])*tbl_task8[[%]:[%]])</f>
        <v/>
      </c>
      <c r="KQ27" s="121" t="str">
        <f>IF(ISBLANK(tbl_task8[[คะแนนเต็ม]:[คะแนนเต็ม]]),"",(tbl_task8[133]/tbl_task8[[คะแนนเต็ม]:[คะแนนเต็ม]])*tbl_task8[[%]:[%]])</f>
        <v/>
      </c>
      <c r="KR27" s="121" t="str">
        <f>IF(ISBLANK(tbl_task8[[คะแนนเต็ม]:[คะแนนเต็ม]]),"",(tbl_task8[134]/tbl_task8[[คะแนนเต็ม]:[คะแนนเต็ม]])*tbl_task8[[%]:[%]])</f>
        <v/>
      </c>
      <c r="KS27" s="121" t="str">
        <f>IF(ISBLANK(tbl_task8[[คะแนนเต็ม]:[คะแนนเต็ม]]),"",(tbl_task8[135]/tbl_task8[[คะแนนเต็ม]:[คะแนนเต็ม]])*tbl_task8[[%]:[%]])</f>
        <v/>
      </c>
      <c r="KT27" s="121" t="str">
        <f>IF(ISBLANK(tbl_task8[[คะแนนเต็ม]:[คะแนนเต็ม]]),"",(tbl_task8[136]/tbl_task8[[คะแนนเต็ม]:[คะแนนเต็ม]])*tbl_task8[[%]:[%]])</f>
        <v/>
      </c>
      <c r="KU27" s="121" t="str">
        <f>IF(ISBLANK(tbl_task8[[คะแนนเต็ม]:[คะแนนเต็ม]]),"",(tbl_task8[137]/tbl_task8[[คะแนนเต็ม]:[คะแนนเต็ม]])*tbl_task8[[%]:[%]])</f>
        <v/>
      </c>
      <c r="KV27" s="121" t="str">
        <f>IF(ISBLANK(tbl_task8[[คะแนนเต็ม]:[คะแนนเต็ม]]),"",(tbl_task8[138]/tbl_task8[[คะแนนเต็ม]:[คะแนนเต็ม]])*tbl_task8[[%]:[%]])</f>
        <v/>
      </c>
      <c r="KW27" s="121" t="str">
        <f>IF(ISBLANK(tbl_task8[[คะแนนเต็ม]:[คะแนนเต็ม]]),"",(tbl_task8[139]/tbl_task8[[คะแนนเต็ม]:[คะแนนเต็ม]])*tbl_task8[[%]:[%]])</f>
        <v/>
      </c>
      <c r="KX27" s="121" t="str">
        <f>IF(ISBLANK(tbl_task8[[คะแนนเต็ม]:[คะแนนเต็ม]]),"",(tbl_task8[140]/tbl_task8[[คะแนนเต็ม]:[คะแนนเต็ม]])*tbl_task8[[%]:[%]])</f>
        <v/>
      </c>
      <c r="KY27" s="121" t="str">
        <f>IF(ISBLANK(tbl_task8[[คะแนนเต็ม]:[คะแนนเต็ม]]),"",(tbl_task8[141]/tbl_task8[[คะแนนเต็ม]:[คะแนนเต็ม]])*tbl_task8[[%]:[%]])</f>
        <v/>
      </c>
      <c r="KZ27" s="121" t="str">
        <f>IF(ISBLANK(tbl_task8[[คะแนนเต็ม]:[คะแนนเต็ม]]),"",(tbl_task8[142]/tbl_task8[[คะแนนเต็ม]:[คะแนนเต็ม]])*tbl_task8[[%]:[%]])</f>
        <v/>
      </c>
      <c r="LA27" s="121" t="str">
        <f>IF(ISBLANK(tbl_task8[[คะแนนเต็ม]:[คะแนนเต็ม]]),"",(tbl_task8[143]/tbl_task8[[คะแนนเต็ม]:[คะแนนเต็ม]])*tbl_task8[[%]:[%]])</f>
        <v/>
      </c>
      <c r="LB27" s="121" t="str">
        <f>IF(ISBLANK(tbl_task8[[คะแนนเต็ม]:[คะแนนเต็ม]]),"",(tbl_task8[144]/tbl_task8[[คะแนนเต็ม]:[คะแนนเต็ม]])*tbl_task8[[%]:[%]])</f>
        <v/>
      </c>
      <c r="LC27" s="121" t="str">
        <f>IF(ISBLANK(tbl_task8[[คะแนนเต็ม]:[คะแนนเต็ม]]),"",(tbl_task8[145]/tbl_task8[[คะแนนเต็ม]:[คะแนนเต็ม]])*tbl_task8[[%]:[%]])</f>
        <v/>
      </c>
      <c r="LD27" s="121" t="str">
        <f>IF(ISBLANK(tbl_task8[[คะแนนเต็ม]:[คะแนนเต็ม]]),"",(tbl_task8[146]/tbl_task8[[คะแนนเต็ม]:[คะแนนเต็ม]])*tbl_task8[[%]:[%]])</f>
        <v/>
      </c>
      <c r="LE27" s="121" t="str">
        <f>IF(ISBLANK(tbl_task8[[คะแนนเต็ม]:[คะแนนเต็ม]]),"",(tbl_task8[147]/tbl_task8[[คะแนนเต็ม]:[คะแนนเต็ม]])*tbl_task8[[%]:[%]])</f>
        <v/>
      </c>
      <c r="LF27" s="121" t="str">
        <f>IF(ISBLANK(tbl_task8[[คะแนนเต็ม]:[คะแนนเต็ม]]),"",(tbl_task8[148]/tbl_task8[[คะแนนเต็ม]:[คะแนนเต็ม]])*tbl_task8[[%]:[%]])</f>
        <v/>
      </c>
      <c r="LG27" s="121" t="str">
        <f>IF(ISBLANK(tbl_task8[[คะแนนเต็ม]:[คะแนนเต็ม]]),"",(tbl_task8[149]/tbl_task8[[คะแนนเต็ม]:[คะแนนเต็ม]])*tbl_task8[[%]:[%]])</f>
        <v/>
      </c>
      <c r="LH27" s="121" t="str">
        <f>IF(ISBLANK(tbl_task8[[คะแนนเต็ม]:[คะแนนเต็ม]]),"",(tbl_task8[150]/tbl_task8[[คะแนนเต็ม]:[คะแนนเต็ม]])*tbl_task8[[%]:[%]])</f>
        <v/>
      </c>
      <c r="LI27" s="121" t="str">
        <f>IF(ISBLANK(tbl_task8[[คะแนนเต็ม]:[คะแนนเต็ม]]),"",(tbl_task8[151]/tbl_task8[[คะแนนเต็ม]:[คะแนนเต็ม]])*tbl_task8[[%]:[%]])</f>
        <v/>
      </c>
      <c r="LJ27" s="121" t="str">
        <f>IF(ISBLANK(tbl_task8[[คะแนนเต็ม]:[คะแนนเต็ม]]),"",(tbl_task8[152]/tbl_task8[[คะแนนเต็ม]:[คะแนนเต็ม]])*tbl_task8[[%]:[%]])</f>
        <v/>
      </c>
      <c r="LK27" s="121" t="str">
        <f>IF(ISBLANK(tbl_task8[[คะแนนเต็ม]:[คะแนนเต็ม]]),"",(tbl_task8[153]/tbl_task8[[คะแนนเต็ม]:[คะแนนเต็ม]])*tbl_task8[[%]:[%]])</f>
        <v/>
      </c>
      <c r="LL27" s="121" t="str">
        <f>IF(ISBLANK(tbl_task8[[คะแนนเต็ม]:[คะแนนเต็ม]]),"",(tbl_task8[154]/tbl_task8[[คะแนนเต็ม]:[คะแนนเต็ม]])*tbl_task8[[%]:[%]])</f>
        <v/>
      </c>
      <c r="LM27" s="121" t="str">
        <f>IF(ISBLANK(tbl_task8[[คะแนนเต็ม]:[คะแนนเต็ม]]),"",(tbl_task8[155]/tbl_task8[[คะแนนเต็ม]:[คะแนนเต็ม]])*tbl_task8[[%]:[%]])</f>
        <v/>
      </c>
      <c r="LN27" s="121" t="str">
        <f>IF(ISBLANK(tbl_task8[[คะแนนเต็ม]:[คะแนนเต็ม]]),"",(tbl_task8[156]/tbl_task8[[คะแนนเต็ม]:[คะแนนเต็ม]])*tbl_task8[[%]:[%]])</f>
        <v/>
      </c>
      <c r="LO27" s="121" t="str">
        <f>IF(ISBLANK(tbl_task8[[คะแนนเต็ม]:[คะแนนเต็ม]]),"",(tbl_task8[157]/tbl_task8[[คะแนนเต็ม]:[คะแนนเต็ม]])*tbl_task8[[%]:[%]])</f>
        <v/>
      </c>
      <c r="LP27" s="121" t="str">
        <f>IF(ISBLANK(tbl_task8[[คะแนนเต็ม]:[คะแนนเต็ม]]),"",(tbl_task8[158]/tbl_task8[[คะแนนเต็ม]:[คะแนนเต็ม]])*tbl_task8[[%]:[%]])</f>
        <v/>
      </c>
      <c r="LQ27" s="121" t="str">
        <f>IF(ISBLANK(tbl_task8[[คะแนนเต็ม]:[คะแนนเต็ม]]),"",(tbl_task8[159]/tbl_task8[[คะแนนเต็ม]:[คะแนนเต็ม]])*tbl_task8[[%]:[%]])</f>
        <v/>
      </c>
      <c r="LR27" s="121" t="str">
        <f>IF(ISBLANK(tbl_task8[[คะแนนเต็ม]:[คะแนนเต็ม]]),"",(tbl_task8[160]/tbl_task8[[คะแนนเต็ม]:[คะแนนเต็ม]])*tbl_task8[[%]:[%]])</f>
        <v/>
      </c>
      <c r="LS27" s="121" t="str">
        <f>IF(ISBLANK(tbl_task8[[คะแนนเต็ม]:[คะแนนเต็ม]]),"",(tbl_task8[161]/tbl_task8[[คะแนนเต็ม]:[คะแนนเต็ม]])*tbl_task8[[%]:[%]])</f>
        <v/>
      </c>
      <c r="LT27" s="121" t="str">
        <f>IF(ISBLANK(tbl_task8[[คะแนนเต็ม]:[คะแนนเต็ม]]),"",(tbl_task8[162]/tbl_task8[[คะแนนเต็ม]:[คะแนนเต็ม]])*tbl_task8[[%]:[%]])</f>
        <v/>
      </c>
      <c r="LU27" s="121" t="str">
        <f>IF(ISBLANK(tbl_task8[[คะแนนเต็ม]:[คะแนนเต็ม]]),"",(tbl_task8[163]/tbl_task8[[คะแนนเต็ม]:[คะแนนเต็ม]])*tbl_task8[[%]:[%]])</f>
        <v/>
      </c>
      <c r="LV27" s="121" t="str">
        <f>IF(ISBLANK(tbl_task8[[คะแนนเต็ม]:[คะแนนเต็ม]]),"",(tbl_task8[164]/tbl_task8[[คะแนนเต็ม]:[คะแนนเต็ม]])*tbl_task8[[%]:[%]])</f>
        <v/>
      </c>
      <c r="LW27" s="121" t="str">
        <f>IF(ISBLANK(tbl_task8[[คะแนนเต็ม]:[คะแนนเต็ม]]),"",(tbl_task8[165]/tbl_task8[[คะแนนเต็ม]:[คะแนนเต็ม]])*tbl_task8[[%]:[%]])</f>
        <v/>
      </c>
    </row>
    <row r="28" spans="1:335" ht="24" customHeight="1" x14ac:dyDescent="0.25">
      <c r="A28" s="24">
        <v>25</v>
      </c>
      <c r="B28" s="25"/>
      <c r="C28" s="26" t="str">
        <f>IF(ISBLANK(B28),"",VLOOKUP(B28,tbl_PLOs[],2,0))</f>
        <v/>
      </c>
      <c r="D28" s="103"/>
      <c r="E28" s="10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121" t="str">
        <f>IF(ISBLANK(tbl_task8[[คะแนนเต็ม]:[คะแนนเต็ม]]),"",(tbl_task8[1]/tbl_task8[[คะแนนเต็ม]:[คะแนนเต็ม]])*tbl_task8[[%]:[%]])</f>
        <v/>
      </c>
      <c r="FP28" s="121" t="str">
        <f>IF(ISBLANK(tbl_task8[[คะแนนเต็ม]:[คะแนนเต็ม]]),"",(tbl_task8[2]/tbl_task8[[คะแนนเต็ม]:[คะแนนเต็ม]])*tbl_task8[[%]:[%]])</f>
        <v/>
      </c>
      <c r="FQ28" s="121" t="str">
        <f>IF(ISBLANK(tbl_task8[[คะแนนเต็ม]:[คะแนนเต็ม]]),"",(tbl_task8[3]/tbl_task8[[คะแนนเต็ม]:[คะแนนเต็ม]])*tbl_task8[[%]:[%]])</f>
        <v/>
      </c>
      <c r="FR28" s="121" t="str">
        <f>IF(ISBLANK(tbl_task8[[คะแนนเต็ม]:[คะแนนเต็ม]]),"",(tbl_task8[4]/tbl_task8[[คะแนนเต็ม]:[คะแนนเต็ม]])*tbl_task8[[%]:[%]])</f>
        <v/>
      </c>
      <c r="FS28" s="121" t="str">
        <f>IF(ISBLANK(tbl_task8[[คะแนนเต็ม]:[คะแนนเต็ม]]),"",(tbl_task8[5]/tbl_task8[[คะแนนเต็ม]:[คะแนนเต็ม]])*tbl_task8[[%]:[%]])</f>
        <v/>
      </c>
      <c r="FT28" s="121" t="str">
        <f>IF(ISBLANK(tbl_task8[[คะแนนเต็ม]:[คะแนนเต็ม]]),"",(tbl_task8[6]/tbl_task8[[คะแนนเต็ม]:[คะแนนเต็ม]])*tbl_task8[[%]:[%]])</f>
        <v/>
      </c>
      <c r="FU28" s="121" t="str">
        <f>IF(ISBLANK(tbl_task8[[คะแนนเต็ม]:[คะแนนเต็ม]]),"",(tbl_task8[7]/tbl_task8[[คะแนนเต็ม]:[คะแนนเต็ม]])*tbl_task8[[%]:[%]])</f>
        <v/>
      </c>
      <c r="FV28" s="121" t="str">
        <f>IF(ISBLANK(tbl_task8[[คะแนนเต็ม]:[คะแนนเต็ม]]),"",(tbl_task8[8]/tbl_task8[[คะแนนเต็ม]:[คะแนนเต็ม]])*tbl_task8[[%]:[%]])</f>
        <v/>
      </c>
      <c r="FW28" s="121" t="str">
        <f>IF(ISBLANK(tbl_task8[[คะแนนเต็ม]:[คะแนนเต็ม]]),"",(tbl_task8[9]/tbl_task8[[คะแนนเต็ม]:[คะแนนเต็ม]])*tbl_task8[[%]:[%]])</f>
        <v/>
      </c>
      <c r="FX28" s="121" t="str">
        <f>IF(ISBLANK(tbl_task8[[คะแนนเต็ม]:[คะแนนเต็ม]]),"",(tbl_task8[10]/tbl_task8[[คะแนนเต็ม]:[คะแนนเต็ม]])*tbl_task8[[%]:[%]])</f>
        <v/>
      </c>
      <c r="FY28" s="121" t="str">
        <f>IF(ISBLANK(tbl_task8[[คะแนนเต็ม]:[คะแนนเต็ม]]),"",(tbl_task8[11]/tbl_task8[[คะแนนเต็ม]:[คะแนนเต็ม]])*tbl_task8[[%]:[%]])</f>
        <v/>
      </c>
      <c r="FZ28" s="121" t="str">
        <f>IF(ISBLANK(tbl_task8[[คะแนนเต็ม]:[คะแนนเต็ม]]),"",(tbl_task8[12]/tbl_task8[[คะแนนเต็ม]:[คะแนนเต็ม]])*tbl_task8[[%]:[%]])</f>
        <v/>
      </c>
      <c r="GA28" s="121" t="str">
        <f>IF(ISBLANK(tbl_task8[[คะแนนเต็ม]:[คะแนนเต็ม]]),"",(tbl_task8[13]/tbl_task8[[คะแนนเต็ม]:[คะแนนเต็ม]])*tbl_task8[[%]:[%]])</f>
        <v/>
      </c>
      <c r="GB28" s="121" t="str">
        <f>IF(ISBLANK(tbl_task8[[คะแนนเต็ม]:[คะแนนเต็ม]]),"",(tbl_task8[14]/tbl_task8[[คะแนนเต็ม]:[คะแนนเต็ม]])*tbl_task8[[%]:[%]])</f>
        <v/>
      </c>
      <c r="GC28" s="121" t="str">
        <f>IF(ISBLANK(tbl_task8[[คะแนนเต็ม]:[คะแนนเต็ม]]),"",(tbl_task8[15]/tbl_task8[[คะแนนเต็ม]:[คะแนนเต็ม]])*tbl_task8[[%]:[%]])</f>
        <v/>
      </c>
      <c r="GD28" s="121" t="str">
        <f>IF(ISBLANK(tbl_task8[[คะแนนเต็ม]:[คะแนนเต็ม]]),"",(tbl_task8[16]/tbl_task8[[คะแนนเต็ม]:[คะแนนเต็ม]])*tbl_task8[[%]:[%]])</f>
        <v/>
      </c>
      <c r="GE28" s="121" t="str">
        <f>IF(ISBLANK(tbl_task8[[คะแนนเต็ม]:[คะแนนเต็ม]]),"",(tbl_task8[17]/tbl_task8[[คะแนนเต็ม]:[คะแนนเต็ม]])*tbl_task8[[%]:[%]])</f>
        <v/>
      </c>
      <c r="GF28" s="121" t="str">
        <f>IF(ISBLANK(tbl_task8[[คะแนนเต็ม]:[คะแนนเต็ม]]),"",(tbl_task8[18]/tbl_task8[[คะแนนเต็ม]:[คะแนนเต็ม]])*tbl_task8[[%]:[%]])</f>
        <v/>
      </c>
      <c r="GG28" s="121" t="str">
        <f>IF(ISBLANK(tbl_task8[[คะแนนเต็ม]:[คะแนนเต็ม]]),"",(tbl_task8[19]/tbl_task8[[คะแนนเต็ม]:[คะแนนเต็ม]])*tbl_task8[[%]:[%]])</f>
        <v/>
      </c>
      <c r="GH28" s="121" t="str">
        <f>IF(ISBLANK(tbl_task8[[คะแนนเต็ม]:[คะแนนเต็ม]]),"",(tbl_task8[20]/tbl_task8[[คะแนนเต็ม]:[คะแนนเต็ม]])*tbl_task8[[%]:[%]])</f>
        <v/>
      </c>
      <c r="GI28" s="121" t="str">
        <f>IF(ISBLANK(tbl_task8[[คะแนนเต็ม]:[คะแนนเต็ม]]),"",(tbl_task8[21]/tbl_task8[[คะแนนเต็ม]:[คะแนนเต็ม]])*tbl_task8[[%]:[%]])</f>
        <v/>
      </c>
      <c r="GJ28" s="121" t="str">
        <f>IF(ISBLANK(tbl_task8[[คะแนนเต็ม]:[คะแนนเต็ม]]),"",(tbl_task8[22]/tbl_task8[[คะแนนเต็ม]:[คะแนนเต็ม]])*tbl_task8[[%]:[%]])</f>
        <v/>
      </c>
      <c r="GK28" s="121" t="str">
        <f>IF(ISBLANK(tbl_task8[[คะแนนเต็ม]:[คะแนนเต็ม]]),"",(tbl_task8[23]/tbl_task8[[คะแนนเต็ม]:[คะแนนเต็ม]])*tbl_task8[[%]:[%]])</f>
        <v/>
      </c>
      <c r="GL28" s="121" t="str">
        <f>IF(ISBLANK(tbl_task8[[คะแนนเต็ม]:[คะแนนเต็ม]]),"",(tbl_task8[24]/tbl_task8[[คะแนนเต็ม]:[คะแนนเต็ม]])*tbl_task8[[%]:[%]])</f>
        <v/>
      </c>
      <c r="GM28" s="121" t="str">
        <f>IF(ISBLANK(tbl_task8[[คะแนนเต็ม]:[คะแนนเต็ม]]),"",(tbl_task8[25]/tbl_task8[[คะแนนเต็ม]:[คะแนนเต็ม]])*tbl_task8[[%]:[%]])</f>
        <v/>
      </c>
      <c r="GN28" s="121" t="str">
        <f>IF(ISBLANK(tbl_task8[[คะแนนเต็ม]:[คะแนนเต็ม]]),"",(tbl_task8[26]/tbl_task8[[คะแนนเต็ม]:[คะแนนเต็ม]])*tbl_task8[[%]:[%]])</f>
        <v/>
      </c>
      <c r="GO28" s="121" t="str">
        <f>IF(ISBLANK(tbl_task8[[คะแนนเต็ม]:[คะแนนเต็ม]]),"",(tbl_task8[27]/tbl_task8[[คะแนนเต็ม]:[คะแนนเต็ม]])*tbl_task8[[%]:[%]])</f>
        <v/>
      </c>
      <c r="GP28" s="121" t="str">
        <f>IF(ISBLANK(tbl_task8[[คะแนนเต็ม]:[คะแนนเต็ม]]),"",(tbl_task8[28]/tbl_task8[[คะแนนเต็ม]:[คะแนนเต็ม]])*tbl_task8[[%]:[%]])</f>
        <v/>
      </c>
      <c r="GQ28" s="121" t="str">
        <f>IF(ISBLANK(tbl_task8[[คะแนนเต็ม]:[คะแนนเต็ม]]),"",(tbl_task8[29]/tbl_task8[[คะแนนเต็ม]:[คะแนนเต็ม]])*tbl_task8[[%]:[%]])</f>
        <v/>
      </c>
      <c r="GR28" s="121" t="str">
        <f>IF(ISBLANK(tbl_task8[[คะแนนเต็ม]:[คะแนนเต็ม]]),"",(tbl_task8[30]/tbl_task8[[คะแนนเต็ม]:[คะแนนเต็ม]])*tbl_task8[[%]:[%]])</f>
        <v/>
      </c>
      <c r="GS28" s="121" t="str">
        <f>IF(ISBLANK(tbl_task8[[คะแนนเต็ม]:[คะแนนเต็ม]]),"",(tbl_task8[31]/tbl_task8[[คะแนนเต็ม]:[คะแนนเต็ม]])*tbl_task8[[%]:[%]])</f>
        <v/>
      </c>
      <c r="GT28" s="121" t="str">
        <f>IF(ISBLANK(tbl_task8[[คะแนนเต็ม]:[คะแนนเต็ม]]),"",(tbl_task8[32]/tbl_task8[[คะแนนเต็ม]:[คะแนนเต็ม]])*tbl_task8[[%]:[%]])</f>
        <v/>
      </c>
      <c r="GU28" s="121" t="str">
        <f>IF(ISBLANK(tbl_task8[[คะแนนเต็ม]:[คะแนนเต็ม]]),"",(tbl_task8[33]/tbl_task8[[คะแนนเต็ม]:[คะแนนเต็ม]])*tbl_task8[[%]:[%]])</f>
        <v/>
      </c>
      <c r="GV28" s="121" t="str">
        <f>IF(ISBLANK(tbl_task8[[คะแนนเต็ม]:[คะแนนเต็ม]]),"",(tbl_task8[34]/tbl_task8[[คะแนนเต็ม]:[คะแนนเต็ม]])*tbl_task8[[%]:[%]])</f>
        <v/>
      </c>
      <c r="GW28" s="121" t="str">
        <f>IF(ISBLANK(tbl_task8[[คะแนนเต็ม]:[คะแนนเต็ม]]),"",(tbl_task8[35]/tbl_task8[[คะแนนเต็ม]:[คะแนนเต็ม]])*tbl_task8[[%]:[%]])</f>
        <v/>
      </c>
      <c r="GX28" s="121" t="str">
        <f>IF(ISBLANK(tbl_task8[[คะแนนเต็ม]:[คะแนนเต็ม]]),"",(tbl_task8[36]/tbl_task8[[คะแนนเต็ม]:[คะแนนเต็ม]])*tbl_task8[[%]:[%]])</f>
        <v/>
      </c>
      <c r="GY28" s="121" t="str">
        <f>IF(ISBLANK(tbl_task8[[คะแนนเต็ม]:[คะแนนเต็ม]]),"",(tbl_task8[37]/tbl_task8[[คะแนนเต็ม]:[คะแนนเต็ม]])*tbl_task8[[%]:[%]])</f>
        <v/>
      </c>
      <c r="GZ28" s="121" t="str">
        <f>IF(ISBLANK(tbl_task8[[คะแนนเต็ม]:[คะแนนเต็ม]]),"",(tbl_task8[38]/tbl_task8[[คะแนนเต็ม]:[คะแนนเต็ม]])*tbl_task8[[%]:[%]])</f>
        <v/>
      </c>
      <c r="HA28" s="121" t="str">
        <f>IF(ISBLANK(tbl_task8[[คะแนนเต็ม]:[คะแนนเต็ม]]),"",(tbl_task8[39]/tbl_task8[[คะแนนเต็ม]:[คะแนนเต็ม]])*tbl_task8[[%]:[%]])</f>
        <v/>
      </c>
      <c r="HB28" s="121" t="str">
        <f>IF(ISBLANK(tbl_task8[[คะแนนเต็ม]:[คะแนนเต็ม]]),"",(tbl_task8[40]/tbl_task8[[คะแนนเต็ม]:[คะแนนเต็ม]])*tbl_task8[[%]:[%]])</f>
        <v/>
      </c>
      <c r="HC28" s="121" t="str">
        <f>IF(ISBLANK(tbl_task8[[คะแนนเต็ม]:[คะแนนเต็ม]]),"",(tbl_task8[41]/tbl_task8[[คะแนนเต็ม]:[คะแนนเต็ม]])*tbl_task8[[%]:[%]])</f>
        <v/>
      </c>
      <c r="HD28" s="121" t="str">
        <f>IF(ISBLANK(tbl_task8[[คะแนนเต็ม]:[คะแนนเต็ม]]),"",(tbl_task8[42]/tbl_task8[[คะแนนเต็ม]:[คะแนนเต็ม]])*tbl_task8[[%]:[%]])</f>
        <v/>
      </c>
      <c r="HE28" s="121" t="str">
        <f>IF(ISBLANK(tbl_task8[[คะแนนเต็ม]:[คะแนนเต็ม]]),"",(tbl_task8[43]/tbl_task8[[คะแนนเต็ม]:[คะแนนเต็ม]])*tbl_task8[[%]:[%]])</f>
        <v/>
      </c>
      <c r="HF28" s="121" t="str">
        <f>IF(ISBLANK(tbl_task8[[คะแนนเต็ม]:[คะแนนเต็ม]]),"",(tbl_task8[44]/tbl_task8[[คะแนนเต็ม]:[คะแนนเต็ม]])*tbl_task8[[%]:[%]])</f>
        <v/>
      </c>
      <c r="HG28" s="121" t="str">
        <f>IF(ISBLANK(tbl_task8[[คะแนนเต็ม]:[คะแนนเต็ม]]),"",(tbl_task8[45]/tbl_task8[[คะแนนเต็ม]:[คะแนนเต็ม]])*tbl_task8[[%]:[%]])</f>
        <v/>
      </c>
      <c r="HH28" s="121" t="str">
        <f>IF(ISBLANK(tbl_task8[[คะแนนเต็ม]:[คะแนนเต็ม]]),"",(tbl_task8[46]/tbl_task8[[คะแนนเต็ม]:[คะแนนเต็ม]])*tbl_task8[[%]:[%]])</f>
        <v/>
      </c>
      <c r="HI28" s="121" t="str">
        <f>IF(ISBLANK(tbl_task8[[คะแนนเต็ม]:[คะแนนเต็ม]]),"",(tbl_task8[47]/tbl_task8[[คะแนนเต็ม]:[คะแนนเต็ม]])*tbl_task8[[%]:[%]])</f>
        <v/>
      </c>
      <c r="HJ28" s="121" t="str">
        <f>IF(ISBLANK(tbl_task8[[คะแนนเต็ม]:[คะแนนเต็ม]]),"",(tbl_task8[48]/tbl_task8[[คะแนนเต็ม]:[คะแนนเต็ม]])*tbl_task8[[%]:[%]])</f>
        <v/>
      </c>
      <c r="HK28" s="121" t="str">
        <f>IF(ISBLANK(tbl_task8[[คะแนนเต็ม]:[คะแนนเต็ม]]),"",(tbl_task8[49]/tbl_task8[[คะแนนเต็ม]:[คะแนนเต็ม]])*tbl_task8[[%]:[%]])</f>
        <v/>
      </c>
      <c r="HL28" s="121" t="str">
        <f>IF(ISBLANK(tbl_task8[[คะแนนเต็ม]:[คะแนนเต็ม]]),"",(tbl_task8[50]/tbl_task8[[คะแนนเต็ม]:[คะแนนเต็ม]])*tbl_task8[[%]:[%]])</f>
        <v/>
      </c>
      <c r="HM28" s="121" t="str">
        <f>IF(ISBLANK(tbl_task8[[คะแนนเต็ม]:[คะแนนเต็ม]]),"",(tbl_task8[51]/tbl_task8[[คะแนนเต็ม]:[คะแนนเต็ม]])*tbl_task8[[%]:[%]])</f>
        <v/>
      </c>
      <c r="HN28" s="121" t="str">
        <f>IF(ISBLANK(tbl_task8[[คะแนนเต็ม]:[คะแนนเต็ม]]),"",(tbl_task8[52]/tbl_task8[[คะแนนเต็ม]:[คะแนนเต็ม]])*tbl_task8[[%]:[%]])</f>
        <v/>
      </c>
      <c r="HO28" s="121" t="str">
        <f>IF(ISBLANK(tbl_task8[[คะแนนเต็ม]:[คะแนนเต็ม]]),"",(tbl_task8[53]/tbl_task8[[คะแนนเต็ม]:[คะแนนเต็ม]])*tbl_task8[[%]:[%]])</f>
        <v/>
      </c>
      <c r="HP28" s="121" t="str">
        <f>IF(ISBLANK(tbl_task8[[คะแนนเต็ม]:[คะแนนเต็ม]]),"",(tbl_task8[54]/tbl_task8[[คะแนนเต็ม]:[คะแนนเต็ม]])*tbl_task8[[%]:[%]])</f>
        <v/>
      </c>
      <c r="HQ28" s="121" t="str">
        <f>IF(ISBLANK(tbl_task8[[คะแนนเต็ม]:[คะแนนเต็ม]]),"",(tbl_task8[55]/tbl_task8[[คะแนนเต็ม]:[คะแนนเต็ม]])*tbl_task8[[%]:[%]])</f>
        <v/>
      </c>
      <c r="HR28" s="121" t="str">
        <f>IF(ISBLANK(tbl_task8[[คะแนนเต็ม]:[คะแนนเต็ม]]),"",(tbl_task8[56]/tbl_task8[[คะแนนเต็ม]:[คะแนนเต็ม]])*tbl_task8[[%]:[%]])</f>
        <v/>
      </c>
      <c r="HS28" s="121" t="str">
        <f>IF(ISBLANK(tbl_task8[[คะแนนเต็ม]:[คะแนนเต็ม]]),"",(tbl_task8[57]/tbl_task8[[คะแนนเต็ม]:[คะแนนเต็ม]])*tbl_task8[[%]:[%]])</f>
        <v/>
      </c>
      <c r="HT28" s="121" t="str">
        <f>IF(ISBLANK(tbl_task8[[คะแนนเต็ม]:[คะแนนเต็ม]]),"",(tbl_task8[58]/tbl_task8[[คะแนนเต็ม]:[คะแนนเต็ม]])*tbl_task8[[%]:[%]])</f>
        <v/>
      </c>
      <c r="HU28" s="121" t="str">
        <f>IF(ISBLANK(tbl_task8[[คะแนนเต็ม]:[คะแนนเต็ม]]),"",(tbl_task8[59]/tbl_task8[[คะแนนเต็ม]:[คะแนนเต็ม]])*tbl_task8[[%]:[%]])</f>
        <v/>
      </c>
      <c r="HV28" s="121" t="str">
        <f>IF(ISBLANK(tbl_task8[[คะแนนเต็ม]:[คะแนนเต็ม]]),"",(tbl_task8[60]/tbl_task8[[คะแนนเต็ม]:[คะแนนเต็ม]])*tbl_task8[[%]:[%]])</f>
        <v/>
      </c>
      <c r="HW28" s="121" t="str">
        <f>IF(ISBLANK(tbl_task8[[คะแนนเต็ม]:[คะแนนเต็ม]]),"",(tbl_task8[61]/tbl_task8[[คะแนนเต็ม]:[คะแนนเต็ม]])*tbl_task8[[%]:[%]])</f>
        <v/>
      </c>
      <c r="HX28" s="121" t="str">
        <f>IF(ISBLANK(tbl_task8[[คะแนนเต็ม]:[คะแนนเต็ม]]),"",(tbl_task8[62]/tbl_task8[[คะแนนเต็ม]:[คะแนนเต็ม]])*tbl_task8[[%]:[%]])</f>
        <v/>
      </c>
      <c r="HY28" s="121" t="str">
        <f>IF(ISBLANK(tbl_task8[[คะแนนเต็ม]:[คะแนนเต็ม]]),"",(tbl_task8[63]/tbl_task8[[คะแนนเต็ม]:[คะแนนเต็ม]])*tbl_task8[[%]:[%]])</f>
        <v/>
      </c>
      <c r="HZ28" s="121" t="str">
        <f>IF(ISBLANK(tbl_task8[[คะแนนเต็ม]:[คะแนนเต็ม]]),"",(tbl_task8[64]/tbl_task8[[คะแนนเต็ม]:[คะแนนเต็ม]])*tbl_task8[[%]:[%]])</f>
        <v/>
      </c>
      <c r="IA28" s="121" t="str">
        <f>IF(ISBLANK(tbl_task8[[คะแนนเต็ม]:[คะแนนเต็ม]]),"",(tbl_task8[65]/tbl_task8[[คะแนนเต็ม]:[คะแนนเต็ม]])*tbl_task8[[%]:[%]])</f>
        <v/>
      </c>
      <c r="IB28" s="121" t="str">
        <f>IF(ISBLANK(tbl_task8[[คะแนนเต็ม]:[คะแนนเต็ม]]),"",(tbl_task8[66]/tbl_task8[[คะแนนเต็ม]:[คะแนนเต็ม]])*tbl_task8[[%]:[%]])</f>
        <v/>
      </c>
      <c r="IC28" s="121" t="str">
        <f>IF(ISBLANK(tbl_task8[[คะแนนเต็ม]:[คะแนนเต็ม]]),"",(tbl_task8[67]/tbl_task8[[คะแนนเต็ม]:[คะแนนเต็ม]])*tbl_task8[[%]:[%]])</f>
        <v/>
      </c>
      <c r="ID28" s="121" t="str">
        <f>IF(ISBLANK(tbl_task8[[คะแนนเต็ม]:[คะแนนเต็ม]]),"",(tbl_task8[68]/tbl_task8[[คะแนนเต็ม]:[คะแนนเต็ม]])*tbl_task8[[%]:[%]])</f>
        <v/>
      </c>
      <c r="IE28" s="121" t="str">
        <f>IF(ISBLANK(tbl_task8[[คะแนนเต็ม]:[คะแนนเต็ม]]),"",(tbl_task8[69]/tbl_task8[[คะแนนเต็ม]:[คะแนนเต็ม]])*tbl_task8[[%]:[%]])</f>
        <v/>
      </c>
      <c r="IF28" s="121" t="str">
        <f>IF(ISBLANK(tbl_task8[[คะแนนเต็ม]:[คะแนนเต็ม]]),"",(tbl_task8[70]/tbl_task8[[คะแนนเต็ม]:[คะแนนเต็ม]])*tbl_task8[[%]:[%]])</f>
        <v/>
      </c>
      <c r="IG28" s="121" t="str">
        <f>IF(ISBLANK(tbl_task8[[คะแนนเต็ม]:[คะแนนเต็ม]]),"",(tbl_task8[71]/tbl_task8[[คะแนนเต็ม]:[คะแนนเต็ม]])*tbl_task8[[%]:[%]])</f>
        <v/>
      </c>
      <c r="IH28" s="121" t="str">
        <f>IF(ISBLANK(tbl_task8[[คะแนนเต็ม]:[คะแนนเต็ม]]),"",(tbl_task8[72]/tbl_task8[[คะแนนเต็ม]:[คะแนนเต็ม]])*tbl_task8[[%]:[%]])</f>
        <v/>
      </c>
      <c r="II28" s="121" t="str">
        <f>IF(ISBLANK(tbl_task8[[คะแนนเต็ม]:[คะแนนเต็ม]]),"",(tbl_task8[73]/tbl_task8[[คะแนนเต็ม]:[คะแนนเต็ม]])*tbl_task8[[%]:[%]])</f>
        <v/>
      </c>
      <c r="IJ28" s="121" t="str">
        <f>IF(ISBLANK(tbl_task8[[คะแนนเต็ม]:[คะแนนเต็ม]]),"",(tbl_task8[74]/tbl_task8[[คะแนนเต็ม]:[คะแนนเต็ม]])*tbl_task8[[%]:[%]])</f>
        <v/>
      </c>
      <c r="IK28" s="121" t="str">
        <f>IF(ISBLANK(tbl_task8[[คะแนนเต็ม]:[คะแนนเต็ม]]),"",(tbl_task8[75]/tbl_task8[[คะแนนเต็ม]:[คะแนนเต็ม]])*tbl_task8[[%]:[%]])</f>
        <v/>
      </c>
      <c r="IL28" s="121" t="str">
        <f>IF(ISBLANK(tbl_task8[[คะแนนเต็ม]:[คะแนนเต็ม]]),"",(tbl_task8[76]/tbl_task8[[คะแนนเต็ม]:[คะแนนเต็ม]])*tbl_task8[[%]:[%]])</f>
        <v/>
      </c>
      <c r="IM28" s="121" t="str">
        <f>IF(ISBLANK(tbl_task8[[คะแนนเต็ม]:[คะแนนเต็ม]]),"",(tbl_task8[77]/tbl_task8[[คะแนนเต็ม]:[คะแนนเต็ม]])*tbl_task8[[%]:[%]])</f>
        <v/>
      </c>
      <c r="IN28" s="121" t="str">
        <f>IF(ISBLANK(tbl_task8[[คะแนนเต็ม]:[คะแนนเต็ม]]),"",(tbl_task8[78]/tbl_task8[[คะแนนเต็ม]:[คะแนนเต็ม]])*tbl_task8[[%]:[%]])</f>
        <v/>
      </c>
      <c r="IO28" s="121" t="str">
        <f>IF(ISBLANK(tbl_task8[[คะแนนเต็ม]:[คะแนนเต็ม]]),"",(tbl_task8[79]/tbl_task8[[คะแนนเต็ม]:[คะแนนเต็ม]])*tbl_task8[[%]:[%]])</f>
        <v/>
      </c>
      <c r="IP28" s="121" t="str">
        <f>IF(ISBLANK(tbl_task8[[คะแนนเต็ม]:[คะแนนเต็ม]]),"",(tbl_task8[80]/tbl_task8[[คะแนนเต็ม]:[คะแนนเต็ม]])*tbl_task8[[%]:[%]])</f>
        <v/>
      </c>
      <c r="IQ28" s="121" t="str">
        <f>IF(ISBLANK(tbl_task8[[คะแนนเต็ม]:[คะแนนเต็ม]]),"",(tbl_task8[81]/tbl_task8[[คะแนนเต็ม]:[คะแนนเต็ม]])*tbl_task8[[%]:[%]])</f>
        <v/>
      </c>
      <c r="IR28" s="121" t="str">
        <f>IF(ISBLANK(tbl_task8[[คะแนนเต็ม]:[คะแนนเต็ม]]),"",(tbl_task8[82]/tbl_task8[[คะแนนเต็ม]:[คะแนนเต็ม]])*tbl_task8[[%]:[%]])</f>
        <v/>
      </c>
      <c r="IS28" s="121" t="str">
        <f>IF(ISBLANK(tbl_task8[[คะแนนเต็ม]:[คะแนนเต็ม]]),"",(tbl_task8[83]/tbl_task8[[คะแนนเต็ม]:[คะแนนเต็ม]])*tbl_task8[[%]:[%]])</f>
        <v/>
      </c>
      <c r="IT28" s="121" t="str">
        <f>IF(ISBLANK(tbl_task8[[คะแนนเต็ม]:[คะแนนเต็ม]]),"",(tbl_task8[84]/tbl_task8[[คะแนนเต็ม]:[คะแนนเต็ม]])*tbl_task8[[%]:[%]])</f>
        <v/>
      </c>
      <c r="IU28" s="121" t="str">
        <f>IF(ISBLANK(tbl_task8[[คะแนนเต็ม]:[คะแนนเต็ม]]),"",(tbl_task8[85]/tbl_task8[[คะแนนเต็ม]:[คะแนนเต็ม]])*tbl_task8[[%]:[%]])</f>
        <v/>
      </c>
      <c r="IV28" s="121" t="str">
        <f>IF(ISBLANK(tbl_task8[[คะแนนเต็ม]:[คะแนนเต็ม]]),"",(tbl_task8[86]/tbl_task8[[คะแนนเต็ม]:[คะแนนเต็ม]])*tbl_task8[[%]:[%]])</f>
        <v/>
      </c>
      <c r="IW28" s="121" t="str">
        <f>IF(ISBLANK(tbl_task8[[คะแนนเต็ม]:[คะแนนเต็ม]]),"",(tbl_task8[87]/tbl_task8[[คะแนนเต็ม]:[คะแนนเต็ม]])*tbl_task8[[%]:[%]])</f>
        <v/>
      </c>
      <c r="IX28" s="121" t="str">
        <f>IF(ISBLANK(tbl_task8[[คะแนนเต็ม]:[คะแนนเต็ม]]),"",(tbl_task8[88]/tbl_task8[[คะแนนเต็ม]:[คะแนนเต็ม]])*tbl_task8[[%]:[%]])</f>
        <v/>
      </c>
      <c r="IY28" s="121" t="str">
        <f>IF(ISBLANK(tbl_task8[[คะแนนเต็ม]:[คะแนนเต็ม]]),"",(tbl_task8[89]/tbl_task8[[คะแนนเต็ม]:[คะแนนเต็ม]])*tbl_task8[[%]:[%]])</f>
        <v/>
      </c>
      <c r="IZ28" s="121" t="str">
        <f>IF(ISBLANK(tbl_task8[[คะแนนเต็ม]:[คะแนนเต็ม]]),"",(tbl_task8[90]/tbl_task8[[คะแนนเต็ม]:[คะแนนเต็ม]])*tbl_task8[[%]:[%]])</f>
        <v/>
      </c>
      <c r="JA28" s="121" t="str">
        <f>IF(ISBLANK(tbl_task8[[คะแนนเต็ม]:[คะแนนเต็ม]]),"",(tbl_task8[91]/tbl_task8[[คะแนนเต็ม]:[คะแนนเต็ม]])*tbl_task8[[%]:[%]])</f>
        <v/>
      </c>
      <c r="JB28" s="121" t="str">
        <f>IF(ISBLANK(tbl_task8[[คะแนนเต็ม]:[คะแนนเต็ม]]),"",(tbl_task8[92]/tbl_task8[[คะแนนเต็ม]:[คะแนนเต็ม]])*tbl_task8[[%]:[%]])</f>
        <v/>
      </c>
      <c r="JC28" s="121" t="str">
        <f>IF(ISBLANK(tbl_task8[[คะแนนเต็ม]:[คะแนนเต็ม]]),"",(tbl_task8[93]/tbl_task8[[คะแนนเต็ม]:[คะแนนเต็ม]])*tbl_task8[[%]:[%]])</f>
        <v/>
      </c>
      <c r="JD28" s="121" t="str">
        <f>IF(ISBLANK(tbl_task8[[คะแนนเต็ม]:[คะแนนเต็ม]]),"",(tbl_task8[94]/tbl_task8[[คะแนนเต็ม]:[คะแนนเต็ม]])*tbl_task8[[%]:[%]])</f>
        <v/>
      </c>
      <c r="JE28" s="121" t="str">
        <f>IF(ISBLANK(tbl_task8[[คะแนนเต็ม]:[คะแนนเต็ม]]),"",(tbl_task8[95]/tbl_task8[[คะแนนเต็ม]:[คะแนนเต็ม]])*tbl_task8[[%]:[%]])</f>
        <v/>
      </c>
      <c r="JF28" s="121" t="str">
        <f>IF(ISBLANK(tbl_task8[[คะแนนเต็ม]:[คะแนนเต็ม]]),"",(tbl_task8[96]/tbl_task8[[คะแนนเต็ม]:[คะแนนเต็ม]])*tbl_task8[[%]:[%]])</f>
        <v/>
      </c>
      <c r="JG28" s="121" t="str">
        <f>IF(ISBLANK(tbl_task8[[คะแนนเต็ม]:[คะแนนเต็ม]]),"",(tbl_task8[97]/tbl_task8[[คะแนนเต็ม]:[คะแนนเต็ม]])*tbl_task8[[%]:[%]])</f>
        <v/>
      </c>
      <c r="JH28" s="121" t="str">
        <f>IF(ISBLANK(tbl_task8[[คะแนนเต็ม]:[คะแนนเต็ม]]),"",(tbl_task8[98]/tbl_task8[[คะแนนเต็ม]:[คะแนนเต็ม]])*tbl_task8[[%]:[%]])</f>
        <v/>
      </c>
      <c r="JI28" s="121" t="str">
        <f>IF(ISBLANK(tbl_task8[[คะแนนเต็ม]:[คะแนนเต็ม]]),"",(tbl_task8[99]/tbl_task8[[คะแนนเต็ม]:[คะแนนเต็ม]])*tbl_task8[[%]:[%]])</f>
        <v/>
      </c>
      <c r="JJ28" s="121" t="str">
        <f>IF(ISBLANK(tbl_task8[[คะแนนเต็ม]:[คะแนนเต็ม]]),"",(tbl_task8[100]/tbl_task8[[คะแนนเต็ม]:[คะแนนเต็ม]])*tbl_task8[[%]:[%]])</f>
        <v/>
      </c>
      <c r="JK28" s="121" t="str">
        <f>IF(ISBLANK(tbl_task8[[คะแนนเต็ม]:[คะแนนเต็ม]]),"",(tbl_task8[101]/tbl_task8[[คะแนนเต็ม]:[คะแนนเต็ม]])*tbl_task8[[%]:[%]])</f>
        <v/>
      </c>
      <c r="JL28" s="121" t="str">
        <f>IF(ISBLANK(tbl_task8[[คะแนนเต็ม]:[คะแนนเต็ม]]),"",(tbl_task8[102]/tbl_task8[[คะแนนเต็ม]:[คะแนนเต็ม]])*tbl_task8[[%]:[%]])</f>
        <v/>
      </c>
      <c r="JM28" s="121" t="str">
        <f>IF(ISBLANK(tbl_task8[[คะแนนเต็ม]:[คะแนนเต็ม]]),"",(tbl_task8[103]/tbl_task8[[คะแนนเต็ม]:[คะแนนเต็ม]])*tbl_task8[[%]:[%]])</f>
        <v/>
      </c>
      <c r="JN28" s="121" t="str">
        <f>IF(ISBLANK(tbl_task8[[คะแนนเต็ม]:[คะแนนเต็ม]]),"",(tbl_task8[104]/tbl_task8[[คะแนนเต็ม]:[คะแนนเต็ม]])*tbl_task8[[%]:[%]])</f>
        <v/>
      </c>
      <c r="JO28" s="121" t="str">
        <f>IF(ISBLANK(tbl_task8[[คะแนนเต็ม]:[คะแนนเต็ม]]),"",(tbl_task8[105]/tbl_task8[[คะแนนเต็ม]:[คะแนนเต็ม]])*tbl_task8[[%]:[%]])</f>
        <v/>
      </c>
      <c r="JP28" s="121" t="str">
        <f>IF(ISBLANK(tbl_task8[[คะแนนเต็ม]:[คะแนนเต็ม]]),"",(tbl_task8[106]/tbl_task8[[คะแนนเต็ม]:[คะแนนเต็ม]])*tbl_task8[[%]:[%]])</f>
        <v/>
      </c>
      <c r="JQ28" s="121" t="str">
        <f>IF(ISBLANK(tbl_task8[[คะแนนเต็ม]:[คะแนนเต็ม]]),"",(tbl_task8[107]/tbl_task8[[คะแนนเต็ม]:[คะแนนเต็ม]])*tbl_task8[[%]:[%]])</f>
        <v/>
      </c>
      <c r="JR28" s="121" t="str">
        <f>IF(ISBLANK(tbl_task8[[คะแนนเต็ม]:[คะแนนเต็ม]]),"",(tbl_task8[108]/tbl_task8[[คะแนนเต็ม]:[คะแนนเต็ม]])*tbl_task8[[%]:[%]])</f>
        <v/>
      </c>
      <c r="JS28" s="121" t="str">
        <f>IF(ISBLANK(tbl_task8[[คะแนนเต็ม]:[คะแนนเต็ม]]),"",(tbl_task8[109]/tbl_task8[[คะแนนเต็ม]:[คะแนนเต็ม]])*tbl_task8[[%]:[%]])</f>
        <v/>
      </c>
      <c r="JT28" s="121" t="str">
        <f>IF(ISBLANK(tbl_task8[[คะแนนเต็ม]:[คะแนนเต็ม]]),"",(tbl_task8[110]/tbl_task8[[คะแนนเต็ม]:[คะแนนเต็ม]])*tbl_task8[[%]:[%]])</f>
        <v/>
      </c>
      <c r="JU28" s="121" t="str">
        <f>IF(ISBLANK(tbl_task8[[คะแนนเต็ม]:[คะแนนเต็ม]]),"",(tbl_task8[111]/tbl_task8[[คะแนนเต็ม]:[คะแนนเต็ม]])*tbl_task8[[%]:[%]])</f>
        <v/>
      </c>
      <c r="JV28" s="121" t="str">
        <f>IF(ISBLANK(tbl_task8[[คะแนนเต็ม]:[คะแนนเต็ม]]),"",(tbl_task8[112]/tbl_task8[[คะแนนเต็ม]:[คะแนนเต็ม]])*tbl_task8[[%]:[%]])</f>
        <v/>
      </c>
      <c r="JW28" s="121" t="str">
        <f>IF(ISBLANK(tbl_task8[[คะแนนเต็ม]:[คะแนนเต็ม]]),"",(tbl_task8[113]/tbl_task8[[คะแนนเต็ม]:[คะแนนเต็ม]])*tbl_task8[[%]:[%]])</f>
        <v/>
      </c>
      <c r="JX28" s="121" t="str">
        <f>IF(ISBLANK(tbl_task8[[คะแนนเต็ม]:[คะแนนเต็ม]]),"",(tbl_task8[114]/tbl_task8[[คะแนนเต็ม]:[คะแนนเต็ม]])*tbl_task8[[%]:[%]])</f>
        <v/>
      </c>
      <c r="JY28" s="121" t="str">
        <f>IF(ISBLANK(tbl_task8[[คะแนนเต็ม]:[คะแนนเต็ม]]),"",(tbl_task8[115]/tbl_task8[[คะแนนเต็ม]:[คะแนนเต็ม]])*tbl_task8[[%]:[%]])</f>
        <v/>
      </c>
      <c r="JZ28" s="121" t="str">
        <f>IF(ISBLANK(tbl_task8[[คะแนนเต็ม]:[คะแนนเต็ม]]),"",(tbl_task8[116]/tbl_task8[[คะแนนเต็ม]:[คะแนนเต็ม]])*tbl_task8[[%]:[%]])</f>
        <v/>
      </c>
      <c r="KA28" s="121" t="str">
        <f>IF(ISBLANK(tbl_task8[[คะแนนเต็ม]:[คะแนนเต็ม]]),"",(tbl_task8[117]/tbl_task8[[คะแนนเต็ม]:[คะแนนเต็ม]])*tbl_task8[[%]:[%]])</f>
        <v/>
      </c>
      <c r="KB28" s="121" t="str">
        <f>IF(ISBLANK(tbl_task8[[คะแนนเต็ม]:[คะแนนเต็ม]]),"",(tbl_task8[118]/tbl_task8[[คะแนนเต็ม]:[คะแนนเต็ม]])*tbl_task8[[%]:[%]])</f>
        <v/>
      </c>
      <c r="KC28" s="121" t="str">
        <f>IF(ISBLANK(tbl_task8[[คะแนนเต็ม]:[คะแนนเต็ม]]),"",(tbl_task8[119]/tbl_task8[[คะแนนเต็ม]:[คะแนนเต็ม]])*tbl_task8[[%]:[%]])</f>
        <v/>
      </c>
      <c r="KD28" s="121" t="str">
        <f>IF(ISBLANK(tbl_task8[[คะแนนเต็ม]:[คะแนนเต็ม]]),"",(tbl_task8[120]/tbl_task8[[คะแนนเต็ม]:[คะแนนเต็ม]])*tbl_task8[[%]:[%]])</f>
        <v/>
      </c>
      <c r="KE28" s="121" t="str">
        <f>IF(ISBLANK(tbl_task8[[คะแนนเต็ม]:[คะแนนเต็ม]]),"",(tbl_task8[121]/tbl_task8[[คะแนนเต็ม]:[คะแนนเต็ม]])*tbl_task8[[%]:[%]])</f>
        <v/>
      </c>
      <c r="KF28" s="121" t="str">
        <f>IF(ISBLANK(tbl_task8[[คะแนนเต็ม]:[คะแนนเต็ม]]),"",(tbl_task8[122]/tbl_task8[[คะแนนเต็ม]:[คะแนนเต็ม]])*tbl_task8[[%]:[%]])</f>
        <v/>
      </c>
      <c r="KG28" s="121" t="str">
        <f>IF(ISBLANK(tbl_task8[[คะแนนเต็ม]:[คะแนนเต็ม]]),"",(tbl_task8[123]/tbl_task8[[คะแนนเต็ม]:[คะแนนเต็ม]])*tbl_task8[[%]:[%]])</f>
        <v/>
      </c>
      <c r="KH28" s="121" t="str">
        <f>IF(ISBLANK(tbl_task8[[คะแนนเต็ม]:[คะแนนเต็ม]]),"",(tbl_task8[124]/tbl_task8[[คะแนนเต็ม]:[คะแนนเต็ม]])*tbl_task8[[%]:[%]])</f>
        <v/>
      </c>
      <c r="KI28" s="121" t="str">
        <f>IF(ISBLANK(tbl_task8[[คะแนนเต็ม]:[คะแนนเต็ม]]),"",(tbl_task8[125]/tbl_task8[[คะแนนเต็ม]:[คะแนนเต็ม]])*tbl_task8[[%]:[%]])</f>
        <v/>
      </c>
      <c r="KJ28" s="121" t="str">
        <f>IF(ISBLANK(tbl_task8[[คะแนนเต็ม]:[คะแนนเต็ม]]),"",(tbl_task8[126]/tbl_task8[[คะแนนเต็ม]:[คะแนนเต็ม]])*tbl_task8[[%]:[%]])</f>
        <v/>
      </c>
      <c r="KK28" s="121" t="str">
        <f>IF(ISBLANK(tbl_task8[[คะแนนเต็ม]:[คะแนนเต็ม]]),"",(tbl_task8[127]/tbl_task8[[คะแนนเต็ม]:[คะแนนเต็ม]])*tbl_task8[[%]:[%]])</f>
        <v/>
      </c>
      <c r="KL28" s="121" t="str">
        <f>IF(ISBLANK(tbl_task8[[คะแนนเต็ม]:[คะแนนเต็ม]]),"",(tbl_task8[128]/tbl_task8[[คะแนนเต็ม]:[คะแนนเต็ม]])*tbl_task8[[%]:[%]])</f>
        <v/>
      </c>
      <c r="KM28" s="121" t="str">
        <f>IF(ISBLANK(tbl_task8[[คะแนนเต็ม]:[คะแนนเต็ม]]),"",(tbl_task8[129]/tbl_task8[[คะแนนเต็ม]:[คะแนนเต็ม]])*tbl_task8[[%]:[%]])</f>
        <v/>
      </c>
      <c r="KN28" s="121" t="str">
        <f>IF(ISBLANK(tbl_task8[[คะแนนเต็ม]:[คะแนนเต็ม]]),"",(tbl_task8[130]/tbl_task8[[คะแนนเต็ม]:[คะแนนเต็ม]])*tbl_task8[[%]:[%]])</f>
        <v/>
      </c>
      <c r="KO28" s="121" t="str">
        <f>IF(ISBLANK(tbl_task8[[คะแนนเต็ม]:[คะแนนเต็ม]]),"",(tbl_task8[131]/tbl_task8[[คะแนนเต็ม]:[คะแนนเต็ม]])*tbl_task8[[%]:[%]])</f>
        <v/>
      </c>
      <c r="KP28" s="121" t="str">
        <f>IF(ISBLANK(tbl_task8[[คะแนนเต็ม]:[คะแนนเต็ม]]),"",(tbl_task8[132]/tbl_task8[[คะแนนเต็ม]:[คะแนนเต็ม]])*tbl_task8[[%]:[%]])</f>
        <v/>
      </c>
      <c r="KQ28" s="121" t="str">
        <f>IF(ISBLANK(tbl_task8[[คะแนนเต็ม]:[คะแนนเต็ม]]),"",(tbl_task8[133]/tbl_task8[[คะแนนเต็ม]:[คะแนนเต็ม]])*tbl_task8[[%]:[%]])</f>
        <v/>
      </c>
      <c r="KR28" s="121" t="str">
        <f>IF(ISBLANK(tbl_task8[[คะแนนเต็ม]:[คะแนนเต็ม]]),"",(tbl_task8[134]/tbl_task8[[คะแนนเต็ม]:[คะแนนเต็ม]])*tbl_task8[[%]:[%]])</f>
        <v/>
      </c>
      <c r="KS28" s="121" t="str">
        <f>IF(ISBLANK(tbl_task8[[คะแนนเต็ม]:[คะแนนเต็ม]]),"",(tbl_task8[135]/tbl_task8[[คะแนนเต็ม]:[คะแนนเต็ม]])*tbl_task8[[%]:[%]])</f>
        <v/>
      </c>
      <c r="KT28" s="121" t="str">
        <f>IF(ISBLANK(tbl_task8[[คะแนนเต็ม]:[คะแนนเต็ม]]),"",(tbl_task8[136]/tbl_task8[[คะแนนเต็ม]:[คะแนนเต็ม]])*tbl_task8[[%]:[%]])</f>
        <v/>
      </c>
      <c r="KU28" s="121" t="str">
        <f>IF(ISBLANK(tbl_task8[[คะแนนเต็ม]:[คะแนนเต็ม]]),"",(tbl_task8[137]/tbl_task8[[คะแนนเต็ม]:[คะแนนเต็ม]])*tbl_task8[[%]:[%]])</f>
        <v/>
      </c>
      <c r="KV28" s="121" t="str">
        <f>IF(ISBLANK(tbl_task8[[คะแนนเต็ม]:[คะแนนเต็ม]]),"",(tbl_task8[138]/tbl_task8[[คะแนนเต็ม]:[คะแนนเต็ม]])*tbl_task8[[%]:[%]])</f>
        <v/>
      </c>
      <c r="KW28" s="121" t="str">
        <f>IF(ISBLANK(tbl_task8[[คะแนนเต็ม]:[คะแนนเต็ม]]),"",(tbl_task8[139]/tbl_task8[[คะแนนเต็ม]:[คะแนนเต็ม]])*tbl_task8[[%]:[%]])</f>
        <v/>
      </c>
      <c r="KX28" s="121" t="str">
        <f>IF(ISBLANK(tbl_task8[[คะแนนเต็ม]:[คะแนนเต็ม]]),"",(tbl_task8[140]/tbl_task8[[คะแนนเต็ม]:[คะแนนเต็ม]])*tbl_task8[[%]:[%]])</f>
        <v/>
      </c>
      <c r="KY28" s="121" t="str">
        <f>IF(ISBLANK(tbl_task8[[คะแนนเต็ม]:[คะแนนเต็ม]]),"",(tbl_task8[141]/tbl_task8[[คะแนนเต็ม]:[คะแนนเต็ม]])*tbl_task8[[%]:[%]])</f>
        <v/>
      </c>
      <c r="KZ28" s="121" t="str">
        <f>IF(ISBLANK(tbl_task8[[คะแนนเต็ม]:[คะแนนเต็ม]]),"",(tbl_task8[142]/tbl_task8[[คะแนนเต็ม]:[คะแนนเต็ม]])*tbl_task8[[%]:[%]])</f>
        <v/>
      </c>
      <c r="LA28" s="121" t="str">
        <f>IF(ISBLANK(tbl_task8[[คะแนนเต็ม]:[คะแนนเต็ม]]),"",(tbl_task8[143]/tbl_task8[[คะแนนเต็ม]:[คะแนนเต็ม]])*tbl_task8[[%]:[%]])</f>
        <v/>
      </c>
      <c r="LB28" s="121" t="str">
        <f>IF(ISBLANK(tbl_task8[[คะแนนเต็ม]:[คะแนนเต็ม]]),"",(tbl_task8[144]/tbl_task8[[คะแนนเต็ม]:[คะแนนเต็ม]])*tbl_task8[[%]:[%]])</f>
        <v/>
      </c>
      <c r="LC28" s="121" t="str">
        <f>IF(ISBLANK(tbl_task8[[คะแนนเต็ม]:[คะแนนเต็ม]]),"",(tbl_task8[145]/tbl_task8[[คะแนนเต็ม]:[คะแนนเต็ม]])*tbl_task8[[%]:[%]])</f>
        <v/>
      </c>
      <c r="LD28" s="121" t="str">
        <f>IF(ISBLANK(tbl_task8[[คะแนนเต็ม]:[คะแนนเต็ม]]),"",(tbl_task8[146]/tbl_task8[[คะแนนเต็ม]:[คะแนนเต็ม]])*tbl_task8[[%]:[%]])</f>
        <v/>
      </c>
      <c r="LE28" s="121" t="str">
        <f>IF(ISBLANK(tbl_task8[[คะแนนเต็ม]:[คะแนนเต็ม]]),"",(tbl_task8[147]/tbl_task8[[คะแนนเต็ม]:[คะแนนเต็ม]])*tbl_task8[[%]:[%]])</f>
        <v/>
      </c>
      <c r="LF28" s="121" t="str">
        <f>IF(ISBLANK(tbl_task8[[คะแนนเต็ม]:[คะแนนเต็ม]]),"",(tbl_task8[148]/tbl_task8[[คะแนนเต็ม]:[คะแนนเต็ม]])*tbl_task8[[%]:[%]])</f>
        <v/>
      </c>
      <c r="LG28" s="121" t="str">
        <f>IF(ISBLANK(tbl_task8[[คะแนนเต็ม]:[คะแนนเต็ม]]),"",(tbl_task8[149]/tbl_task8[[คะแนนเต็ม]:[คะแนนเต็ม]])*tbl_task8[[%]:[%]])</f>
        <v/>
      </c>
      <c r="LH28" s="121" t="str">
        <f>IF(ISBLANK(tbl_task8[[คะแนนเต็ม]:[คะแนนเต็ม]]),"",(tbl_task8[150]/tbl_task8[[คะแนนเต็ม]:[คะแนนเต็ม]])*tbl_task8[[%]:[%]])</f>
        <v/>
      </c>
      <c r="LI28" s="121" t="str">
        <f>IF(ISBLANK(tbl_task8[[คะแนนเต็ม]:[คะแนนเต็ม]]),"",(tbl_task8[151]/tbl_task8[[คะแนนเต็ม]:[คะแนนเต็ม]])*tbl_task8[[%]:[%]])</f>
        <v/>
      </c>
      <c r="LJ28" s="121" t="str">
        <f>IF(ISBLANK(tbl_task8[[คะแนนเต็ม]:[คะแนนเต็ม]]),"",(tbl_task8[152]/tbl_task8[[คะแนนเต็ม]:[คะแนนเต็ม]])*tbl_task8[[%]:[%]])</f>
        <v/>
      </c>
      <c r="LK28" s="121" t="str">
        <f>IF(ISBLANK(tbl_task8[[คะแนนเต็ม]:[คะแนนเต็ม]]),"",(tbl_task8[153]/tbl_task8[[คะแนนเต็ม]:[คะแนนเต็ม]])*tbl_task8[[%]:[%]])</f>
        <v/>
      </c>
      <c r="LL28" s="121" t="str">
        <f>IF(ISBLANK(tbl_task8[[คะแนนเต็ม]:[คะแนนเต็ม]]),"",(tbl_task8[154]/tbl_task8[[คะแนนเต็ม]:[คะแนนเต็ม]])*tbl_task8[[%]:[%]])</f>
        <v/>
      </c>
      <c r="LM28" s="121" t="str">
        <f>IF(ISBLANK(tbl_task8[[คะแนนเต็ม]:[คะแนนเต็ม]]),"",(tbl_task8[155]/tbl_task8[[คะแนนเต็ม]:[คะแนนเต็ม]])*tbl_task8[[%]:[%]])</f>
        <v/>
      </c>
      <c r="LN28" s="121" t="str">
        <f>IF(ISBLANK(tbl_task8[[คะแนนเต็ม]:[คะแนนเต็ม]]),"",(tbl_task8[156]/tbl_task8[[คะแนนเต็ม]:[คะแนนเต็ม]])*tbl_task8[[%]:[%]])</f>
        <v/>
      </c>
      <c r="LO28" s="121" t="str">
        <f>IF(ISBLANK(tbl_task8[[คะแนนเต็ม]:[คะแนนเต็ม]]),"",(tbl_task8[157]/tbl_task8[[คะแนนเต็ม]:[คะแนนเต็ม]])*tbl_task8[[%]:[%]])</f>
        <v/>
      </c>
      <c r="LP28" s="121" t="str">
        <f>IF(ISBLANK(tbl_task8[[คะแนนเต็ม]:[คะแนนเต็ม]]),"",(tbl_task8[158]/tbl_task8[[คะแนนเต็ม]:[คะแนนเต็ม]])*tbl_task8[[%]:[%]])</f>
        <v/>
      </c>
      <c r="LQ28" s="121" t="str">
        <f>IF(ISBLANK(tbl_task8[[คะแนนเต็ม]:[คะแนนเต็ม]]),"",(tbl_task8[159]/tbl_task8[[คะแนนเต็ม]:[คะแนนเต็ม]])*tbl_task8[[%]:[%]])</f>
        <v/>
      </c>
      <c r="LR28" s="121" t="str">
        <f>IF(ISBLANK(tbl_task8[[คะแนนเต็ม]:[คะแนนเต็ม]]),"",(tbl_task8[160]/tbl_task8[[คะแนนเต็ม]:[คะแนนเต็ม]])*tbl_task8[[%]:[%]])</f>
        <v/>
      </c>
      <c r="LS28" s="121" t="str">
        <f>IF(ISBLANK(tbl_task8[[คะแนนเต็ม]:[คะแนนเต็ม]]),"",(tbl_task8[161]/tbl_task8[[คะแนนเต็ม]:[คะแนนเต็ม]])*tbl_task8[[%]:[%]])</f>
        <v/>
      </c>
      <c r="LT28" s="121" t="str">
        <f>IF(ISBLANK(tbl_task8[[คะแนนเต็ม]:[คะแนนเต็ม]]),"",(tbl_task8[162]/tbl_task8[[คะแนนเต็ม]:[คะแนนเต็ม]])*tbl_task8[[%]:[%]])</f>
        <v/>
      </c>
      <c r="LU28" s="121" t="str">
        <f>IF(ISBLANK(tbl_task8[[คะแนนเต็ม]:[คะแนนเต็ม]]),"",(tbl_task8[163]/tbl_task8[[คะแนนเต็ม]:[คะแนนเต็ม]])*tbl_task8[[%]:[%]])</f>
        <v/>
      </c>
      <c r="LV28" s="121" t="str">
        <f>IF(ISBLANK(tbl_task8[[คะแนนเต็ม]:[คะแนนเต็ม]]),"",(tbl_task8[164]/tbl_task8[[คะแนนเต็ม]:[คะแนนเต็ม]])*tbl_task8[[%]:[%]])</f>
        <v/>
      </c>
      <c r="LW28" s="121" t="str">
        <f>IF(ISBLANK(tbl_task8[[คะแนนเต็ม]:[คะแนนเต็ม]]),"",(tbl_task8[165]/tbl_task8[[คะแนนเต็ม]:[คะแนนเต็ม]])*tbl_task8[[%]:[%]])</f>
        <v/>
      </c>
    </row>
    <row r="29" spans="1:335" s="34" customFormat="1" ht="24" customHeight="1" x14ac:dyDescent="0.25">
      <c r="A29" s="42" t="s">
        <v>11</v>
      </c>
      <c r="B29" s="109">
        <f>COUNTA(tbl_task8[SubPLOs])</f>
        <v>0</v>
      </c>
      <c r="C29" s="129"/>
      <c r="D29" s="108">
        <f>SUM(tbl_task8[คะแนนเต็ม])</f>
        <v>0</v>
      </c>
      <c r="E29" s="108">
        <f>SUM(tbl_task8[%])</f>
        <v>0</v>
      </c>
      <c r="F29" s="124">
        <f>SUM(tbl_task8[1])</f>
        <v>0</v>
      </c>
      <c r="G29" s="124">
        <f>SUM(tbl_task8[2])</f>
        <v>0</v>
      </c>
      <c r="H29" s="124">
        <f>SUM(tbl_task8[3])</f>
        <v>0</v>
      </c>
      <c r="I29" s="124">
        <f>SUM(tbl_task8[4])</f>
        <v>0</v>
      </c>
      <c r="J29" s="124">
        <f>SUM(tbl_task8[5])</f>
        <v>0</v>
      </c>
      <c r="K29" s="124">
        <f>SUM(tbl_task8[6])</f>
        <v>0</v>
      </c>
      <c r="L29" s="124">
        <f>SUM(tbl_task8[7])</f>
        <v>0</v>
      </c>
      <c r="M29" s="124">
        <f>SUM(tbl_task8[8])</f>
        <v>0</v>
      </c>
      <c r="N29" s="124">
        <f>SUM(tbl_task8[9])</f>
        <v>0</v>
      </c>
      <c r="O29" s="124">
        <f>SUM(tbl_task8[10])</f>
        <v>0</v>
      </c>
      <c r="P29" s="124">
        <f>SUM(tbl_task8[11])</f>
        <v>0</v>
      </c>
      <c r="Q29" s="124">
        <f>SUM(tbl_task8[12])</f>
        <v>0</v>
      </c>
      <c r="R29" s="124">
        <f>SUM(tbl_task8[13])</f>
        <v>0</v>
      </c>
      <c r="S29" s="124">
        <f>SUM(tbl_task8[14])</f>
        <v>0</v>
      </c>
      <c r="T29" s="124">
        <f>SUM(tbl_task8[15])</f>
        <v>0</v>
      </c>
      <c r="U29" s="124">
        <f>SUM(tbl_task8[16])</f>
        <v>0</v>
      </c>
      <c r="V29" s="124">
        <f>SUM(tbl_task8[17])</f>
        <v>0</v>
      </c>
      <c r="W29" s="124">
        <f>SUM(tbl_task8[18])</f>
        <v>0</v>
      </c>
      <c r="X29" s="124">
        <f>SUM(tbl_task8[19])</f>
        <v>0</v>
      </c>
      <c r="Y29" s="124">
        <f>SUM(tbl_task8[20])</f>
        <v>0</v>
      </c>
      <c r="Z29" s="124">
        <f>SUM(tbl_task8[21])</f>
        <v>0</v>
      </c>
      <c r="AA29" s="124">
        <f>SUM(tbl_task8[22])</f>
        <v>0</v>
      </c>
      <c r="AB29" s="124">
        <f>SUM(tbl_task8[23])</f>
        <v>0</v>
      </c>
      <c r="AC29" s="124">
        <f>SUM(tbl_task8[24])</f>
        <v>0</v>
      </c>
      <c r="AD29" s="124">
        <f>SUM(tbl_task8[25])</f>
        <v>0</v>
      </c>
      <c r="AE29" s="124">
        <f>SUM(tbl_task8[26])</f>
        <v>0</v>
      </c>
      <c r="AF29" s="124">
        <f>SUM(tbl_task8[27])</f>
        <v>0</v>
      </c>
      <c r="AG29" s="124">
        <f>SUM(tbl_task8[28])</f>
        <v>0</v>
      </c>
      <c r="AH29" s="124">
        <f>SUM(tbl_task8[29])</f>
        <v>0</v>
      </c>
      <c r="AI29" s="124">
        <f>SUM(tbl_task8[30])</f>
        <v>0</v>
      </c>
      <c r="AJ29" s="124">
        <f>SUM(tbl_task8[31])</f>
        <v>0</v>
      </c>
      <c r="AK29" s="124">
        <f>SUM(tbl_task8[32])</f>
        <v>0</v>
      </c>
      <c r="AL29" s="124">
        <f>SUM(tbl_task8[33])</f>
        <v>0</v>
      </c>
      <c r="AM29" s="124">
        <f>SUM(tbl_task8[34])</f>
        <v>0</v>
      </c>
      <c r="AN29" s="124">
        <f>SUM(tbl_task8[35])</f>
        <v>0</v>
      </c>
      <c r="AO29" s="124">
        <f>SUM(tbl_task8[36])</f>
        <v>0</v>
      </c>
      <c r="AP29" s="124">
        <f>SUM(tbl_task8[37])</f>
        <v>0</v>
      </c>
      <c r="AQ29" s="124">
        <f>SUM(tbl_task8[38])</f>
        <v>0</v>
      </c>
      <c r="AR29" s="124">
        <f>SUM(tbl_task8[39])</f>
        <v>0</v>
      </c>
      <c r="AS29" s="124">
        <f>SUM(tbl_task8[40])</f>
        <v>0</v>
      </c>
      <c r="AT29" s="124">
        <f>SUM(tbl_task8[41])</f>
        <v>0</v>
      </c>
      <c r="AU29" s="124">
        <f>SUM(tbl_task8[42])</f>
        <v>0</v>
      </c>
      <c r="AV29" s="124">
        <f>SUM(tbl_task8[43])</f>
        <v>0</v>
      </c>
      <c r="AW29" s="124">
        <f>SUM(tbl_task8[44])</f>
        <v>0</v>
      </c>
      <c r="AX29" s="124">
        <f>SUM(tbl_task8[45])</f>
        <v>0</v>
      </c>
      <c r="AY29" s="124">
        <f>SUM(tbl_task8[46])</f>
        <v>0</v>
      </c>
      <c r="AZ29" s="124">
        <f>SUM(tbl_task8[47])</f>
        <v>0</v>
      </c>
      <c r="BA29" s="124">
        <f>SUM(tbl_task8[48])</f>
        <v>0</v>
      </c>
      <c r="BB29" s="124">
        <f>SUM(tbl_task8[49])</f>
        <v>0</v>
      </c>
      <c r="BC29" s="124">
        <f>SUM(tbl_task8[50])</f>
        <v>0</v>
      </c>
      <c r="BD29" s="124">
        <f>SUM(tbl_task8[51])</f>
        <v>0</v>
      </c>
      <c r="BE29" s="124">
        <f>SUM(tbl_task8[52])</f>
        <v>0</v>
      </c>
      <c r="BF29" s="124">
        <f>SUM(tbl_task8[53])</f>
        <v>0</v>
      </c>
      <c r="BG29" s="124">
        <f>SUM(tbl_task8[54])</f>
        <v>0</v>
      </c>
      <c r="BH29" s="124">
        <f>SUM(tbl_task8[55])</f>
        <v>0</v>
      </c>
      <c r="BI29" s="124">
        <f>SUM(tbl_task8[56])</f>
        <v>0</v>
      </c>
      <c r="BJ29" s="124">
        <f>SUM(tbl_task8[57])</f>
        <v>0</v>
      </c>
      <c r="BK29" s="124">
        <f>SUM(tbl_task8[58])</f>
        <v>0</v>
      </c>
      <c r="BL29" s="124">
        <f>SUM(tbl_task8[59])</f>
        <v>0</v>
      </c>
      <c r="BM29" s="124">
        <f>SUM(tbl_task8[60])</f>
        <v>0</v>
      </c>
      <c r="BN29" s="124">
        <f>SUM(tbl_task8[61])</f>
        <v>0</v>
      </c>
      <c r="BO29" s="124">
        <f>SUM(tbl_task8[62])</f>
        <v>0</v>
      </c>
      <c r="BP29" s="124">
        <f>SUM(tbl_task8[63])</f>
        <v>0</v>
      </c>
      <c r="BQ29" s="124">
        <f>SUM(tbl_task8[64])</f>
        <v>0</v>
      </c>
      <c r="BR29" s="124">
        <f>SUM(tbl_task8[65])</f>
        <v>0</v>
      </c>
      <c r="BS29" s="124">
        <f>SUM(tbl_task8[66])</f>
        <v>0</v>
      </c>
      <c r="BT29" s="124">
        <f>SUM(tbl_task8[67])</f>
        <v>0</v>
      </c>
      <c r="BU29" s="124">
        <f>SUM(tbl_task8[68])</f>
        <v>0</v>
      </c>
      <c r="BV29" s="124">
        <f>SUM(tbl_task8[69])</f>
        <v>0</v>
      </c>
      <c r="BW29" s="124">
        <f>SUM(tbl_task8[70])</f>
        <v>0</v>
      </c>
      <c r="BX29" s="124">
        <f>SUM(tbl_task8[71])</f>
        <v>0</v>
      </c>
      <c r="BY29" s="124">
        <f>SUM(tbl_task8[72])</f>
        <v>0</v>
      </c>
      <c r="BZ29" s="124">
        <f>SUM(tbl_task8[73])</f>
        <v>0</v>
      </c>
      <c r="CA29" s="124">
        <f>SUM(tbl_task8[74])</f>
        <v>0</v>
      </c>
      <c r="CB29" s="124">
        <f>SUM(tbl_task8[75])</f>
        <v>0</v>
      </c>
      <c r="CC29" s="124">
        <f>SUM(tbl_task8[76])</f>
        <v>0</v>
      </c>
      <c r="CD29" s="124">
        <f>SUM(tbl_task8[77])</f>
        <v>0</v>
      </c>
      <c r="CE29" s="124">
        <f>SUM(tbl_task8[78])</f>
        <v>0</v>
      </c>
      <c r="CF29" s="124">
        <f>SUM(tbl_task8[79])</f>
        <v>0</v>
      </c>
      <c r="CG29" s="124">
        <f>SUM(tbl_task8[80])</f>
        <v>0</v>
      </c>
      <c r="CH29" s="124">
        <f>SUM(tbl_task8[81])</f>
        <v>0</v>
      </c>
      <c r="CI29" s="124">
        <f>SUM(tbl_task8[82])</f>
        <v>0</v>
      </c>
      <c r="CJ29" s="124">
        <f>SUM(tbl_task8[83])</f>
        <v>0</v>
      </c>
      <c r="CK29" s="124">
        <f>SUM(tbl_task8[84])</f>
        <v>0</v>
      </c>
      <c r="CL29" s="124">
        <f>SUM(tbl_task8[85])</f>
        <v>0</v>
      </c>
      <c r="CM29" s="124">
        <f>SUM(tbl_task8[86])</f>
        <v>0</v>
      </c>
      <c r="CN29" s="124">
        <f>SUM(tbl_task8[87])</f>
        <v>0</v>
      </c>
      <c r="CO29" s="124">
        <f>SUM(tbl_task8[88])</f>
        <v>0</v>
      </c>
      <c r="CP29" s="124">
        <f>SUM(tbl_task8[89])</f>
        <v>0</v>
      </c>
      <c r="CQ29" s="124">
        <f>SUM(tbl_task8[90])</f>
        <v>0</v>
      </c>
      <c r="CR29" s="124">
        <f>SUM(tbl_task8[91])</f>
        <v>0</v>
      </c>
      <c r="CS29" s="124">
        <f>SUM(tbl_task8[92])</f>
        <v>0</v>
      </c>
      <c r="CT29" s="124">
        <f>SUM(tbl_task8[93])</f>
        <v>0</v>
      </c>
      <c r="CU29" s="124">
        <f>SUM(tbl_task8[94])</f>
        <v>0</v>
      </c>
      <c r="CV29" s="124">
        <f>SUM(tbl_task8[95])</f>
        <v>0</v>
      </c>
      <c r="CW29" s="124">
        <f>SUM(tbl_task8[96])</f>
        <v>0</v>
      </c>
      <c r="CX29" s="124">
        <f>SUM(tbl_task8[97])</f>
        <v>0</v>
      </c>
      <c r="CY29" s="124">
        <f>SUM(tbl_task8[98])</f>
        <v>0</v>
      </c>
      <c r="CZ29" s="124">
        <f>SUM(tbl_task8[99])</f>
        <v>0</v>
      </c>
      <c r="DA29" s="124">
        <f>SUM(tbl_task8[100])</f>
        <v>0</v>
      </c>
      <c r="DB29" s="124">
        <f>SUM(tbl_task8[101])</f>
        <v>0</v>
      </c>
      <c r="DC29" s="124">
        <f>SUM(tbl_task8[102])</f>
        <v>0</v>
      </c>
      <c r="DD29" s="124">
        <f>SUM(tbl_task8[103])</f>
        <v>0</v>
      </c>
      <c r="DE29" s="124">
        <f>SUM(tbl_task8[104])</f>
        <v>0</v>
      </c>
      <c r="DF29" s="124">
        <f>SUM(tbl_task8[105])</f>
        <v>0</v>
      </c>
      <c r="DG29" s="124">
        <f>SUM(tbl_task8[106])</f>
        <v>0</v>
      </c>
      <c r="DH29" s="124">
        <f>SUM(tbl_task8[107])</f>
        <v>0</v>
      </c>
      <c r="DI29" s="124">
        <f>SUM(tbl_task8[108])</f>
        <v>0</v>
      </c>
      <c r="DJ29" s="124">
        <f>SUM(tbl_task8[109])</f>
        <v>0</v>
      </c>
      <c r="DK29" s="124">
        <f>SUM(tbl_task8[110])</f>
        <v>0</v>
      </c>
      <c r="DL29" s="124">
        <f>SUM(tbl_task8[111])</f>
        <v>0</v>
      </c>
      <c r="DM29" s="124">
        <f>SUM(tbl_task8[112])</f>
        <v>0</v>
      </c>
      <c r="DN29" s="124">
        <f>SUM(tbl_task8[113])</f>
        <v>0</v>
      </c>
      <c r="DO29" s="124">
        <f>SUM(tbl_task8[114])</f>
        <v>0</v>
      </c>
      <c r="DP29" s="124">
        <f>SUM(tbl_task8[115])</f>
        <v>0</v>
      </c>
      <c r="DQ29" s="124">
        <f>SUM(tbl_task8[116])</f>
        <v>0</v>
      </c>
      <c r="DR29" s="124">
        <f>SUM(tbl_task8[117])</f>
        <v>0</v>
      </c>
      <c r="DS29" s="124">
        <f>SUM(tbl_task8[118])</f>
        <v>0</v>
      </c>
      <c r="DT29" s="124">
        <f>SUM(tbl_task8[119])</f>
        <v>0</v>
      </c>
      <c r="DU29" s="124">
        <f>SUM(tbl_task8[120])</f>
        <v>0</v>
      </c>
      <c r="DV29" s="124">
        <f>SUM(tbl_task8[121])</f>
        <v>0</v>
      </c>
      <c r="DW29" s="124">
        <f>SUM(tbl_task8[122])</f>
        <v>0</v>
      </c>
      <c r="DX29" s="124">
        <f>SUM(tbl_task8[123])</f>
        <v>0</v>
      </c>
      <c r="DY29" s="124">
        <f>SUM(tbl_task8[124])</f>
        <v>0</v>
      </c>
      <c r="DZ29" s="124">
        <f>SUM(tbl_task8[125])</f>
        <v>0</v>
      </c>
      <c r="EA29" s="124">
        <f>SUM(tbl_task8[126])</f>
        <v>0</v>
      </c>
      <c r="EB29" s="124">
        <f>SUM(tbl_task8[127])</f>
        <v>0</v>
      </c>
      <c r="EC29" s="124">
        <f>SUM(tbl_task8[128])</f>
        <v>0</v>
      </c>
      <c r="ED29" s="124">
        <f>SUM(tbl_task8[129])</f>
        <v>0</v>
      </c>
      <c r="EE29" s="124">
        <f>SUM(tbl_task8[130])</f>
        <v>0</v>
      </c>
      <c r="EF29" s="124">
        <f>SUM(tbl_task8[131])</f>
        <v>0</v>
      </c>
      <c r="EG29" s="124">
        <f>SUM(tbl_task8[132])</f>
        <v>0</v>
      </c>
      <c r="EH29" s="124">
        <f>SUM(tbl_task8[133])</f>
        <v>0</v>
      </c>
      <c r="EI29" s="124">
        <f>SUM(tbl_task8[134])</f>
        <v>0</v>
      </c>
      <c r="EJ29" s="124">
        <f>SUM(tbl_task8[135])</f>
        <v>0</v>
      </c>
      <c r="EK29" s="124">
        <f>SUM(tbl_task8[136])</f>
        <v>0</v>
      </c>
      <c r="EL29" s="124">
        <f>SUM(tbl_task8[137])</f>
        <v>0</v>
      </c>
      <c r="EM29" s="124">
        <f>SUM(tbl_task8[138])</f>
        <v>0</v>
      </c>
      <c r="EN29" s="124">
        <f>SUM(tbl_task8[139])</f>
        <v>0</v>
      </c>
      <c r="EO29" s="124">
        <f>SUM(tbl_task8[140])</f>
        <v>0</v>
      </c>
      <c r="EP29" s="124">
        <f>SUM(tbl_task8[141])</f>
        <v>0</v>
      </c>
      <c r="EQ29" s="124">
        <f>SUM(tbl_task8[142])</f>
        <v>0</v>
      </c>
      <c r="ER29" s="124">
        <f>SUM(tbl_task8[143])</f>
        <v>0</v>
      </c>
      <c r="ES29" s="124">
        <f>SUM(tbl_task8[144])</f>
        <v>0</v>
      </c>
      <c r="ET29" s="124">
        <f>SUM(tbl_task8[145])</f>
        <v>0</v>
      </c>
      <c r="EU29" s="124">
        <f>SUM(tbl_task8[146])</f>
        <v>0</v>
      </c>
      <c r="EV29" s="124">
        <f>SUM(tbl_task8[147])</f>
        <v>0</v>
      </c>
      <c r="EW29" s="124">
        <f>SUM(tbl_task8[148])</f>
        <v>0</v>
      </c>
      <c r="EX29" s="124">
        <f>SUM(tbl_task8[149])</f>
        <v>0</v>
      </c>
      <c r="EY29" s="124">
        <f>SUM(tbl_task8[150])</f>
        <v>0</v>
      </c>
      <c r="EZ29" s="124">
        <f>SUM(tbl_task8[151])</f>
        <v>0</v>
      </c>
      <c r="FA29" s="124">
        <f>SUM(tbl_task8[152])</f>
        <v>0</v>
      </c>
      <c r="FB29" s="124">
        <f>SUM(tbl_task8[153])</f>
        <v>0</v>
      </c>
      <c r="FC29" s="124">
        <f>SUM(tbl_task8[154])</f>
        <v>0</v>
      </c>
      <c r="FD29" s="124">
        <f>SUM(tbl_task8[155])</f>
        <v>0</v>
      </c>
      <c r="FE29" s="124">
        <f>SUM(tbl_task8[156])</f>
        <v>0</v>
      </c>
      <c r="FF29" s="124">
        <f>SUM(tbl_task8[157])</f>
        <v>0</v>
      </c>
      <c r="FG29" s="124">
        <f>SUM(tbl_task8[158])</f>
        <v>0</v>
      </c>
      <c r="FH29" s="124">
        <f>SUM(tbl_task8[159])</f>
        <v>0</v>
      </c>
      <c r="FI29" s="124">
        <f>SUM(tbl_task8[160])</f>
        <v>0</v>
      </c>
      <c r="FJ29" s="124">
        <f>SUM(tbl_task8[161])</f>
        <v>0</v>
      </c>
      <c r="FK29" s="124">
        <f>SUM(tbl_task8[162])</f>
        <v>0</v>
      </c>
      <c r="FL29" s="124">
        <f>SUM(tbl_task8[163])</f>
        <v>0</v>
      </c>
      <c r="FM29" s="124">
        <f>SUM(tbl_task8[164])</f>
        <v>0</v>
      </c>
      <c r="FN29" s="124">
        <f>SUM(tbl_task8[165])</f>
        <v>0</v>
      </c>
      <c r="FO29" s="124">
        <f>SUM(tbl_task8[S1])</f>
        <v>0</v>
      </c>
      <c r="FP29" s="124">
        <f>SUM(tbl_task8[S2])</f>
        <v>0</v>
      </c>
      <c r="FQ29" s="124">
        <f>SUM(tbl_task8[S3])</f>
        <v>0</v>
      </c>
      <c r="FR29" s="124">
        <f>SUM(tbl_task8[S4])</f>
        <v>0</v>
      </c>
      <c r="FS29" s="124">
        <f>SUM(tbl_task8[S5])</f>
        <v>0</v>
      </c>
      <c r="FT29" s="124">
        <f>SUM(tbl_task8[S6])</f>
        <v>0</v>
      </c>
      <c r="FU29" s="124">
        <f>SUM(tbl_task8[S7])</f>
        <v>0</v>
      </c>
      <c r="FV29" s="124">
        <f>SUM(tbl_task8[S8])</f>
        <v>0</v>
      </c>
      <c r="FW29" s="124">
        <f>SUM(tbl_task8[S9])</f>
        <v>0</v>
      </c>
      <c r="FX29" s="124">
        <f>SUM(tbl_task8[S10])</f>
        <v>0</v>
      </c>
      <c r="FY29" s="124">
        <f>SUM(tbl_task8[S11])</f>
        <v>0</v>
      </c>
      <c r="FZ29" s="124">
        <f>SUM(tbl_task8[S12])</f>
        <v>0</v>
      </c>
      <c r="GA29" s="124">
        <f>SUM(tbl_task8[S13])</f>
        <v>0</v>
      </c>
      <c r="GB29" s="124">
        <f>SUM(tbl_task8[S14])</f>
        <v>0</v>
      </c>
      <c r="GC29" s="124">
        <f>SUM(tbl_task8[S15])</f>
        <v>0</v>
      </c>
      <c r="GD29" s="124">
        <f>SUM(tbl_task8[S16])</f>
        <v>0</v>
      </c>
      <c r="GE29" s="124">
        <f>SUM(tbl_task8[S17])</f>
        <v>0</v>
      </c>
      <c r="GF29" s="124">
        <f>SUM(tbl_task8[S18])</f>
        <v>0</v>
      </c>
      <c r="GG29" s="124">
        <f>SUM(tbl_task8[S19])</f>
        <v>0</v>
      </c>
      <c r="GH29" s="124">
        <f>SUM(tbl_task8[S20])</f>
        <v>0</v>
      </c>
      <c r="GI29" s="124">
        <f>SUM(tbl_task8[S21])</f>
        <v>0</v>
      </c>
      <c r="GJ29" s="124">
        <f>SUM(tbl_task8[S22])</f>
        <v>0</v>
      </c>
      <c r="GK29" s="124">
        <f>SUM(tbl_task8[S23])</f>
        <v>0</v>
      </c>
      <c r="GL29" s="124">
        <f>SUM(tbl_task8[S24])</f>
        <v>0</v>
      </c>
      <c r="GM29" s="124">
        <f>SUM(tbl_task8[S25])</f>
        <v>0</v>
      </c>
      <c r="GN29" s="124">
        <f>SUM(tbl_task8[S26])</f>
        <v>0</v>
      </c>
      <c r="GO29" s="124">
        <f>SUM(tbl_task8[S27])</f>
        <v>0</v>
      </c>
      <c r="GP29" s="124">
        <f>SUM(tbl_task8[S28])</f>
        <v>0</v>
      </c>
      <c r="GQ29" s="124">
        <f>SUM(tbl_task8[S29])</f>
        <v>0</v>
      </c>
      <c r="GR29" s="124">
        <f>SUM(tbl_task8[S30])</f>
        <v>0</v>
      </c>
      <c r="GS29" s="124">
        <f>SUM(tbl_task8[S31])</f>
        <v>0</v>
      </c>
      <c r="GT29" s="124">
        <f>SUM(tbl_task8[S32])</f>
        <v>0</v>
      </c>
      <c r="GU29" s="124">
        <f>SUM(tbl_task8[S33])</f>
        <v>0</v>
      </c>
      <c r="GV29" s="124">
        <f>SUM(tbl_task8[S34])</f>
        <v>0</v>
      </c>
      <c r="GW29" s="124">
        <f>SUM(tbl_task8[S35])</f>
        <v>0</v>
      </c>
      <c r="GX29" s="124">
        <f>SUM(tbl_task8[S36])</f>
        <v>0</v>
      </c>
      <c r="GY29" s="124">
        <f>SUM(tbl_task8[S37])</f>
        <v>0</v>
      </c>
      <c r="GZ29" s="124">
        <f>SUM(tbl_task8[S38])</f>
        <v>0</v>
      </c>
      <c r="HA29" s="124">
        <f>SUM(tbl_task8[S39])</f>
        <v>0</v>
      </c>
      <c r="HB29" s="124">
        <f>SUM(tbl_task8[S40])</f>
        <v>0</v>
      </c>
      <c r="HC29" s="124">
        <f>SUM(tbl_task8[S41])</f>
        <v>0</v>
      </c>
      <c r="HD29" s="124">
        <f>SUM(tbl_task8[S42])</f>
        <v>0</v>
      </c>
      <c r="HE29" s="124">
        <f>SUM(tbl_task8[S43])</f>
        <v>0</v>
      </c>
      <c r="HF29" s="124">
        <f>SUM(tbl_task8[S44])</f>
        <v>0</v>
      </c>
      <c r="HG29" s="124">
        <f>SUM(tbl_task8[S45])</f>
        <v>0</v>
      </c>
      <c r="HH29" s="124">
        <f>SUM(tbl_task8[S46])</f>
        <v>0</v>
      </c>
      <c r="HI29" s="124">
        <f>SUM(tbl_task8[S47])</f>
        <v>0</v>
      </c>
      <c r="HJ29" s="124">
        <f>SUM(tbl_task8[S48])</f>
        <v>0</v>
      </c>
      <c r="HK29" s="124">
        <f>SUM(tbl_task8[S49])</f>
        <v>0</v>
      </c>
      <c r="HL29" s="124">
        <f>SUM(tbl_task8[S50])</f>
        <v>0</v>
      </c>
      <c r="HM29" s="124">
        <f>SUM(tbl_task8[S51])</f>
        <v>0</v>
      </c>
      <c r="HN29" s="124">
        <f>SUM(tbl_task8[S52])</f>
        <v>0</v>
      </c>
      <c r="HO29" s="124">
        <f>SUM(tbl_task8[S53])</f>
        <v>0</v>
      </c>
      <c r="HP29" s="124">
        <f>SUM(tbl_task8[S54])</f>
        <v>0</v>
      </c>
      <c r="HQ29" s="124">
        <f>SUM(tbl_task8[S55])</f>
        <v>0</v>
      </c>
      <c r="HR29" s="124">
        <f>SUM(tbl_task8[S56])</f>
        <v>0</v>
      </c>
      <c r="HS29" s="124">
        <f>SUM(tbl_task8[S57])</f>
        <v>0</v>
      </c>
      <c r="HT29" s="124">
        <f>SUM(tbl_task8[S58])</f>
        <v>0</v>
      </c>
      <c r="HU29" s="124">
        <f>SUM(tbl_task8[S59])</f>
        <v>0</v>
      </c>
      <c r="HV29" s="124">
        <f>SUM(tbl_task8[S60])</f>
        <v>0</v>
      </c>
      <c r="HW29" s="124">
        <f>SUM(tbl_task8[S61])</f>
        <v>0</v>
      </c>
      <c r="HX29" s="124">
        <f>SUM(tbl_task8[S62])</f>
        <v>0</v>
      </c>
      <c r="HY29" s="124">
        <f>SUM(tbl_task8[S63])</f>
        <v>0</v>
      </c>
      <c r="HZ29" s="124">
        <f>SUM(tbl_task8[S64])</f>
        <v>0</v>
      </c>
      <c r="IA29" s="124">
        <f>SUM(tbl_task8[S65])</f>
        <v>0</v>
      </c>
      <c r="IB29" s="124">
        <f>SUM(tbl_task8[S66])</f>
        <v>0</v>
      </c>
      <c r="IC29" s="124">
        <f>SUM(tbl_task8[S67])</f>
        <v>0</v>
      </c>
      <c r="ID29" s="124">
        <f>SUM(tbl_task8[S68])</f>
        <v>0</v>
      </c>
      <c r="IE29" s="124">
        <f>SUM(tbl_task8[S69])</f>
        <v>0</v>
      </c>
      <c r="IF29" s="124">
        <f>SUM(tbl_task8[S70])</f>
        <v>0</v>
      </c>
      <c r="IG29" s="124">
        <f>SUM(tbl_task8[S71])</f>
        <v>0</v>
      </c>
      <c r="IH29" s="124">
        <f>SUM(tbl_task8[S72])</f>
        <v>0</v>
      </c>
      <c r="II29" s="124">
        <f>SUM(tbl_task8[S73])</f>
        <v>0</v>
      </c>
      <c r="IJ29" s="124">
        <f>SUM(tbl_task8[S74])</f>
        <v>0</v>
      </c>
      <c r="IK29" s="124">
        <f>SUM(tbl_task8[S75])</f>
        <v>0</v>
      </c>
      <c r="IL29" s="124">
        <f>SUM(tbl_task8[S76])</f>
        <v>0</v>
      </c>
      <c r="IM29" s="124">
        <f>SUM(tbl_task8[S77])</f>
        <v>0</v>
      </c>
      <c r="IN29" s="124">
        <f>SUM(tbl_task8[S78])</f>
        <v>0</v>
      </c>
      <c r="IO29" s="124">
        <f>SUM(tbl_task8[S79])</f>
        <v>0</v>
      </c>
      <c r="IP29" s="124">
        <f>SUM(tbl_task8[S80])</f>
        <v>0</v>
      </c>
      <c r="IQ29" s="124">
        <f>SUM(tbl_task8[S81])</f>
        <v>0</v>
      </c>
      <c r="IR29" s="124">
        <f>SUM(tbl_task8[S82])</f>
        <v>0</v>
      </c>
      <c r="IS29" s="124">
        <f>SUM(tbl_task8[S83])</f>
        <v>0</v>
      </c>
      <c r="IT29" s="124">
        <f>SUM(tbl_task8[S84])</f>
        <v>0</v>
      </c>
      <c r="IU29" s="124">
        <f>SUM(tbl_task8[S85])</f>
        <v>0</v>
      </c>
      <c r="IV29" s="124">
        <f>SUM(tbl_task8[S86])</f>
        <v>0</v>
      </c>
      <c r="IW29" s="124">
        <f>SUM(tbl_task8[S87])</f>
        <v>0</v>
      </c>
      <c r="IX29" s="124">
        <f>SUM(tbl_task8[S88])</f>
        <v>0</v>
      </c>
      <c r="IY29" s="124">
        <f>SUM(tbl_task8[S89])</f>
        <v>0</v>
      </c>
      <c r="IZ29" s="124">
        <f>SUM(tbl_task8[S90])</f>
        <v>0</v>
      </c>
      <c r="JA29" s="124">
        <f>SUM(tbl_task8[S91])</f>
        <v>0</v>
      </c>
      <c r="JB29" s="124">
        <f>SUM(tbl_task8[S92])</f>
        <v>0</v>
      </c>
      <c r="JC29" s="124">
        <f>SUM(tbl_task8[S93])</f>
        <v>0</v>
      </c>
      <c r="JD29" s="124">
        <f>SUM(tbl_task8[S94])</f>
        <v>0</v>
      </c>
      <c r="JE29" s="124">
        <f>SUM(tbl_task8[S95])</f>
        <v>0</v>
      </c>
      <c r="JF29" s="124">
        <f>SUM(tbl_task8[S96])</f>
        <v>0</v>
      </c>
      <c r="JG29" s="124">
        <f>SUM(tbl_task8[S97])</f>
        <v>0</v>
      </c>
      <c r="JH29" s="124">
        <f>SUM(tbl_task8[S98])</f>
        <v>0</v>
      </c>
      <c r="JI29" s="124">
        <f>SUM(tbl_task8[S99])</f>
        <v>0</v>
      </c>
      <c r="JJ29" s="124">
        <f>SUM(tbl_task8[S100])</f>
        <v>0</v>
      </c>
      <c r="JK29" s="124">
        <f>SUM(tbl_task8[S101])</f>
        <v>0</v>
      </c>
      <c r="JL29" s="124">
        <f>SUM(tbl_task8[S102])</f>
        <v>0</v>
      </c>
      <c r="JM29" s="124">
        <f>SUM(tbl_task8[S103])</f>
        <v>0</v>
      </c>
      <c r="JN29" s="124">
        <f>SUM(tbl_task8[S104])</f>
        <v>0</v>
      </c>
      <c r="JO29" s="124">
        <f>SUM(tbl_task8[S105])</f>
        <v>0</v>
      </c>
      <c r="JP29" s="124">
        <f>SUM(tbl_task8[S106])</f>
        <v>0</v>
      </c>
      <c r="JQ29" s="124">
        <f>SUM(tbl_task8[S107])</f>
        <v>0</v>
      </c>
      <c r="JR29" s="124">
        <f>SUM(tbl_task8[S108])</f>
        <v>0</v>
      </c>
      <c r="JS29" s="124">
        <f>SUM(tbl_task8[S109])</f>
        <v>0</v>
      </c>
      <c r="JT29" s="124">
        <f>SUM(tbl_task8[S110])</f>
        <v>0</v>
      </c>
      <c r="JU29" s="124">
        <f>SUM(tbl_task8[S111])</f>
        <v>0</v>
      </c>
      <c r="JV29" s="124">
        <f>SUM(tbl_task8[S112])</f>
        <v>0</v>
      </c>
      <c r="JW29" s="124">
        <f>SUM(tbl_task8[S113])</f>
        <v>0</v>
      </c>
      <c r="JX29" s="124">
        <f>SUM(tbl_task8[S114])</f>
        <v>0</v>
      </c>
      <c r="JY29" s="124">
        <f>SUM(tbl_task8[S115])</f>
        <v>0</v>
      </c>
      <c r="JZ29" s="124">
        <f>SUM(tbl_task8[S116])</f>
        <v>0</v>
      </c>
      <c r="KA29" s="124">
        <f>SUM(tbl_task8[S117])</f>
        <v>0</v>
      </c>
      <c r="KB29" s="124">
        <f>SUM(tbl_task8[S118])</f>
        <v>0</v>
      </c>
      <c r="KC29" s="124">
        <f>SUM(tbl_task8[S119])</f>
        <v>0</v>
      </c>
      <c r="KD29" s="124">
        <f>SUM(tbl_task8[S120])</f>
        <v>0</v>
      </c>
      <c r="KE29" s="124">
        <f>SUM(tbl_task8[S121])</f>
        <v>0</v>
      </c>
      <c r="KF29" s="124">
        <f>SUM(tbl_task8[S122])</f>
        <v>0</v>
      </c>
      <c r="KG29" s="124">
        <f>SUM(tbl_task8[S123])</f>
        <v>0</v>
      </c>
      <c r="KH29" s="124">
        <f>SUM(tbl_task8[S124])</f>
        <v>0</v>
      </c>
      <c r="KI29" s="124">
        <f>SUM(tbl_task8[S125])</f>
        <v>0</v>
      </c>
      <c r="KJ29" s="124">
        <f>SUM(tbl_task8[S126])</f>
        <v>0</v>
      </c>
      <c r="KK29" s="124">
        <f>SUM(tbl_task8[S127])</f>
        <v>0</v>
      </c>
      <c r="KL29" s="124">
        <f>SUM(tbl_task8[S128])</f>
        <v>0</v>
      </c>
      <c r="KM29" s="124">
        <f>SUM(tbl_task8[S129])</f>
        <v>0</v>
      </c>
      <c r="KN29" s="124">
        <f>SUM(tbl_task8[S130])</f>
        <v>0</v>
      </c>
      <c r="KO29" s="124">
        <f>SUM(tbl_task8[S131])</f>
        <v>0</v>
      </c>
      <c r="KP29" s="124">
        <f>SUM(tbl_task8[S132])</f>
        <v>0</v>
      </c>
      <c r="KQ29" s="124">
        <f>SUM(tbl_task8[S133])</f>
        <v>0</v>
      </c>
      <c r="KR29" s="124">
        <f>SUM(tbl_task8[S134])</f>
        <v>0</v>
      </c>
      <c r="KS29" s="124">
        <f>SUM(tbl_task8[S135])</f>
        <v>0</v>
      </c>
      <c r="KT29" s="124">
        <f>SUM(tbl_task8[S136])</f>
        <v>0</v>
      </c>
      <c r="KU29" s="124">
        <f>SUM(tbl_task8[S137])</f>
        <v>0</v>
      </c>
      <c r="KV29" s="124">
        <f>SUM(tbl_task8[S138])</f>
        <v>0</v>
      </c>
      <c r="KW29" s="124">
        <f>SUM(tbl_task8[S139])</f>
        <v>0</v>
      </c>
      <c r="KX29" s="124">
        <f>SUM(tbl_task8[S140])</f>
        <v>0</v>
      </c>
      <c r="KY29" s="124">
        <f>SUM(tbl_task8[S141])</f>
        <v>0</v>
      </c>
      <c r="KZ29" s="124">
        <f>SUM(tbl_task8[S142])</f>
        <v>0</v>
      </c>
      <c r="LA29" s="124">
        <f>SUM(tbl_task8[S143])</f>
        <v>0</v>
      </c>
      <c r="LB29" s="124">
        <f>SUM(tbl_task8[S144])</f>
        <v>0</v>
      </c>
      <c r="LC29" s="124">
        <f>SUM(tbl_task8[S145])</f>
        <v>0</v>
      </c>
      <c r="LD29" s="124">
        <f>SUM(tbl_task8[S146])</f>
        <v>0</v>
      </c>
      <c r="LE29" s="124">
        <f>SUM(tbl_task8[S147])</f>
        <v>0</v>
      </c>
      <c r="LF29" s="124">
        <f>SUM(tbl_task8[S148])</f>
        <v>0</v>
      </c>
      <c r="LG29" s="124">
        <f>SUM(tbl_task8[S149])</f>
        <v>0</v>
      </c>
      <c r="LH29" s="124">
        <f>SUM(tbl_task8[S150])</f>
        <v>0</v>
      </c>
      <c r="LI29" s="124">
        <f>SUM(tbl_task8[S151])</f>
        <v>0</v>
      </c>
      <c r="LJ29" s="124">
        <f>SUM(tbl_task8[S152])</f>
        <v>0</v>
      </c>
      <c r="LK29" s="124">
        <f>SUM(tbl_task8[S153])</f>
        <v>0</v>
      </c>
      <c r="LL29" s="124">
        <f>SUM(tbl_task8[S154])</f>
        <v>0</v>
      </c>
      <c r="LM29" s="124">
        <f>SUM(tbl_task8[S155])</f>
        <v>0</v>
      </c>
      <c r="LN29" s="124">
        <f>SUM(tbl_task8[S156])</f>
        <v>0</v>
      </c>
      <c r="LO29" s="124">
        <f>SUM(tbl_task8[S157])</f>
        <v>0</v>
      </c>
      <c r="LP29" s="124">
        <f>SUM(tbl_task8[S158])</f>
        <v>0</v>
      </c>
      <c r="LQ29" s="124">
        <f>SUM(tbl_task8[S159])</f>
        <v>0</v>
      </c>
      <c r="LR29" s="124">
        <f>SUM(tbl_task8[S160])</f>
        <v>0</v>
      </c>
      <c r="LS29" s="124">
        <f>SUM(tbl_task8[S161])</f>
        <v>0</v>
      </c>
      <c r="LT29" s="124">
        <f>SUM(tbl_task8[S162])</f>
        <v>0</v>
      </c>
      <c r="LU29" s="124">
        <f>SUM(tbl_task8[S163])</f>
        <v>0</v>
      </c>
      <c r="LV29" s="124">
        <f>SUM(tbl_task8[S164])</f>
        <v>0</v>
      </c>
      <c r="LW29" s="124">
        <f>SUM(tbl_task8[S165])</f>
        <v>0</v>
      </c>
    </row>
    <row r="30" spans="1:335" s="39" customFormat="1" ht="9" customHeight="1" x14ac:dyDescent="0.25">
      <c r="A30" s="23"/>
      <c r="B30" s="35"/>
      <c r="C30" s="36"/>
      <c r="D30" s="100"/>
      <c r="E30" s="37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</row>
    <row r="31" spans="1:335" ht="10.5" customHeight="1" x14ac:dyDescent="0.25">
      <c r="A31" s="23"/>
      <c r="B31" s="35"/>
      <c r="C31" s="36"/>
      <c r="D31" s="100"/>
      <c r="E31" s="37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</row>
    <row r="32" spans="1:335" x14ac:dyDescent="0.25">
      <c r="A32" s="6" t="s">
        <v>410</v>
      </c>
    </row>
    <row r="33" spans="1:170" ht="42" x14ac:dyDescent="0.25">
      <c r="A33" s="7" t="s">
        <v>10</v>
      </c>
      <c r="B33" s="21" t="s">
        <v>286</v>
      </c>
      <c r="C33" s="21" t="s">
        <v>451</v>
      </c>
      <c r="D33" s="21" t="s">
        <v>409</v>
      </c>
      <c r="E33" s="43" t="s">
        <v>249</v>
      </c>
      <c r="F33" s="122" t="s">
        <v>22</v>
      </c>
      <c r="G33" s="122" t="s">
        <v>23</v>
      </c>
      <c r="H33" s="122" t="s">
        <v>24</v>
      </c>
      <c r="I33" s="122" t="s">
        <v>25</v>
      </c>
      <c r="J33" s="122" t="s">
        <v>26</v>
      </c>
      <c r="K33" s="122" t="s">
        <v>27</v>
      </c>
      <c r="L33" s="122" t="s">
        <v>28</v>
      </c>
      <c r="M33" s="122" t="s">
        <v>29</v>
      </c>
      <c r="N33" s="122" t="s">
        <v>30</v>
      </c>
      <c r="O33" s="122" t="s">
        <v>31</v>
      </c>
      <c r="P33" s="122" t="s">
        <v>32</v>
      </c>
      <c r="Q33" s="122" t="s">
        <v>33</v>
      </c>
      <c r="R33" s="122" t="s">
        <v>34</v>
      </c>
      <c r="S33" s="122" t="s">
        <v>35</v>
      </c>
      <c r="T33" s="122" t="s">
        <v>36</v>
      </c>
      <c r="U33" s="122" t="s">
        <v>37</v>
      </c>
      <c r="V33" s="122" t="s">
        <v>38</v>
      </c>
      <c r="W33" s="122" t="s">
        <v>39</v>
      </c>
      <c r="X33" s="122" t="s">
        <v>40</v>
      </c>
      <c r="Y33" s="122" t="s">
        <v>41</v>
      </c>
      <c r="Z33" s="122" t="s">
        <v>42</v>
      </c>
      <c r="AA33" s="122" t="s">
        <v>43</v>
      </c>
      <c r="AB33" s="122" t="s">
        <v>44</v>
      </c>
      <c r="AC33" s="122" t="s">
        <v>45</v>
      </c>
      <c r="AD33" s="122" t="s">
        <v>46</v>
      </c>
      <c r="AE33" s="122" t="s">
        <v>47</v>
      </c>
      <c r="AF33" s="122" t="s">
        <v>48</v>
      </c>
      <c r="AG33" s="122" t="s">
        <v>49</v>
      </c>
      <c r="AH33" s="122" t="s">
        <v>50</v>
      </c>
      <c r="AI33" s="122" t="s">
        <v>51</v>
      </c>
      <c r="AJ33" s="122" t="s">
        <v>52</v>
      </c>
      <c r="AK33" s="122" t="s">
        <v>53</v>
      </c>
      <c r="AL33" s="122" t="s">
        <v>54</v>
      </c>
      <c r="AM33" s="122" t="s">
        <v>55</v>
      </c>
      <c r="AN33" s="122" t="s">
        <v>56</v>
      </c>
      <c r="AO33" s="122" t="s">
        <v>57</v>
      </c>
      <c r="AP33" s="122" t="s">
        <v>58</v>
      </c>
      <c r="AQ33" s="122" t="s">
        <v>59</v>
      </c>
      <c r="AR33" s="122" t="s">
        <v>60</v>
      </c>
      <c r="AS33" s="122" t="s">
        <v>61</v>
      </c>
      <c r="AT33" s="122" t="s">
        <v>62</v>
      </c>
      <c r="AU33" s="122" t="s">
        <v>63</v>
      </c>
      <c r="AV33" s="122" t="s">
        <v>64</v>
      </c>
      <c r="AW33" s="122" t="s">
        <v>65</v>
      </c>
      <c r="AX33" s="122" t="s">
        <v>66</v>
      </c>
      <c r="AY33" s="122" t="s">
        <v>67</v>
      </c>
      <c r="AZ33" s="122" t="s">
        <v>68</v>
      </c>
      <c r="BA33" s="122" t="s">
        <v>69</v>
      </c>
      <c r="BB33" s="122" t="s">
        <v>70</v>
      </c>
      <c r="BC33" s="122" t="s">
        <v>71</v>
      </c>
      <c r="BD33" s="122" t="s">
        <v>72</v>
      </c>
      <c r="BE33" s="122" t="s">
        <v>73</v>
      </c>
      <c r="BF33" s="122" t="s">
        <v>74</v>
      </c>
      <c r="BG33" s="122" t="s">
        <v>75</v>
      </c>
      <c r="BH33" s="122" t="s">
        <v>76</v>
      </c>
      <c r="BI33" s="122" t="s">
        <v>77</v>
      </c>
      <c r="BJ33" s="122" t="s">
        <v>78</v>
      </c>
      <c r="BK33" s="122" t="s">
        <v>79</v>
      </c>
      <c r="BL33" s="122" t="s">
        <v>80</v>
      </c>
      <c r="BM33" s="122" t="s">
        <v>81</v>
      </c>
      <c r="BN33" s="122" t="s">
        <v>82</v>
      </c>
      <c r="BO33" s="122" t="s">
        <v>83</v>
      </c>
      <c r="BP33" s="122" t="s">
        <v>84</v>
      </c>
      <c r="BQ33" s="122" t="s">
        <v>85</v>
      </c>
      <c r="BR33" s="122" t="s">
        <v>86</v>
      </c>
      <c r="BS33" s="122" t="s">
        <v>87</v>
      </c>
      <c r="BT33" s="122" t="s">
        <v>88</v>
      </c>
      <c r="BU33" s="122" t="s">
        <v>89</v>
      </c>
      <c r="BV33" s="122" t="s">
        <v>90</v>
      </c>
      <c r="BW33" s="122" t="s">
        <v>91</v>
      </c>
      <c r="BX33" s="122" t="s">
        <v>92</v>
      </c>
      <c r="BY33" s="122" t="s">
        <v>93</v>
      </c>
      <c r="BZ33" s="122" t="s">
        <v>94</v>
      </c>
      <c r="CA33" s="122" t="s">
        <v>95</v>
      </c>
      <c r="CB33" s="122" t="s">
        <v>96</v>
      </c>
      <c r="CC33" s="122" t="s">
        <v>97</v>
      </c>
      <c r="CD33" s="122" t="s">
        <v>98</v>
      </c>
      <c r="CE33" s="122" t="s">
        <v>99</v>
      </c>
      <c r="CF33" s="122" t="s">
        <v>100</v>
      </c>
      <c r="CG33" s="122" t="s">
        <v>101</v>
      </c>
      <c r="CH33" s="122" t="s">
        <v>102</v>
      </c>
      <c r="CI33" s="122" t="s">
        <v>103</v>
      </c>
      <c r="CJ33" s="122" t="s">
        <v>104</v>
      </c>
      <c r="CK33" s="122" t="s">
        <v>105</v>
      </c>
      <c r="CL33" s="122" t="s">
        <v>106</v>
      </c>
      <c r="CM33" s="122" t="s">
        <v>107</v>
      </c>
      <c r="CN33" s="122" t="s">
        <v>108</v>
      </c>
      <c r="CO33" s="122" t="s">
        <v>109</v>
      </c>
      <c r="CP33" s="122" t="s">
        <v>110</v>
      </c>
      <c r="CQ33" s="122" t="s">
        <v>111</v>
      </c>
      <c r="CR33" s="122" t="s">
        <v>112</v>
      </c>
      <c r="CS33" s="122" t="s">
        <v>113</v>
      </c>
      <c r="CT33" s="122" t="s">
        <v>114</v>
      </c>
      <c r="CU33" s="122" t="s">
        <v>115</v>
      </c>
      <c r="CV33" s="122" t="s">
        <v>116</v>
      </c>
      <c r="CW33" s="122" t="s">
        <v>117</v>
      </c>
      <c r="CX33" s="122" t="s">
        <v>118</v>
      </c>
      <c r="CY33" s="122" t="s">
        <v>119</v>
      </c>
      <c r="CZ33" s="122" t="s">
        <v>120</v>
      </c>
      <c r="DA33" s="122" t="s">
        <v>121</v>
      </c>
      <c r="DB33" s="122" t="s">
        <v>122</v>
      </c>
      <c r="DC33" s="122" t="s">
        <v>123</v>
      </c>
      <c r="DD33" s="122" t="s">
        <v>124</v>
      </c>
      <c r="DE33" s="122" t="s">
        <v>125</v>
      </c>
      <c r="DF33" s="122" t="s">
        <v>126</v>
      </c>
      <c r="DG33" s="122" t="s">
        <v>127</v>
      </c>
      <c r="DH33" s="122" t="s">
        <v>128</v>
      </c>
      <c r="DI33" s="122" t="s">
        <v>129</v>
      </c>
      <c r="DJ33" s="122" t="s">
        <v>130</v>
      </c>
      <c r="DK33" s="122" t="s">
        <v>131</v>
      </c>
      <c r="DL33" s="122" t="s">
        <v>132</v>
      </c>
      <c r="DM33" s="122" t="s">
        <v>133</v>
      </c>
      <c r="DN33" s="122" t="s">
        <v>134</v>
      </c>
      <c r="DO33" s="122" t="s">
        <v>135</v>
      </c>
      <c r="DP33" s="122" t="s">
        <v>136</v>
      </c>
      <c r="DQ33" s="122" t="s">
        <v>359</v>
      </c>
      <c r="DR33" s="122" t="s">
        <v>360</v>
      </c>
      <c r="DS33" s="122" t="s">
        <v>361</v>
      </c>
      <c r="DT33" s="122" t="s">
        <v>362</v>
      </c>
      <c r="DU33" s="122" t="s">
        <v>363</v>
      </c>
      <c r="DV33" s="122" t="s">
        <v>364</v>
      </c>
      <c r="DW33" s="122" t="s">
        <v>365</v>
      </c>
      <c r="DX33" s="122" t="s">
        <v>366</v>
      </c>
      <c r="DY33" s="122" t="s">
        <v>367</v>
      </c>
      <c r="DZ33" s="122" t="s">
        <v>368</v>
      </c>
      <c r="EA33" s="122" t="s">
        <v>369</v>
      </c>
      <c r="EB33" s="122" t="s">
        <v>370</v>
      </c>
      <c r="EC33" s="122" t="s">
        <v>371</v>
      </c>
      <c r="ED33" s="122" t="s">
        <v>372</v>
      </c>
      <c r="EE33" s="122" t="s">
        <v>373</v>
      </c>
      <c r="EF33" s="122" t="s">
        <v>374</v>
      </c>
      <c r="EG33" s="122" t="s">
        <v>375</v>
      </c>
      <c r="EH33" s="122" t="s">
        <v>376</v>
      </c>
      <c r="EI33" s="122" t="s">
        <v>377</v>
      </c>
      <c r="EJ33" s="122" t="s">
        <v>378</v>
      </c>
      <c r="EK33" s="122" t="s">
        <v>379</v>
      </c>
      <c r="EL33" s="122" t="s">
        <v>380</v>
      </c>
      <c r="EM33" s="122" t="s">
        <v>381</v>
      </c>
      <c r="EN33" s="122" t="s">
        <v>382</v>
      </c>
      <c r="EO33" s="122" t="s">
        <v>383</v>
      </c>
      <c r="EP33" s="122" t="s">
        <v>384</v>
      </c>
      <c r="EQ33" s="122" t="s">
        <v>385</v>
      </c>
      <c r="ER33" s="122" t="s">
        <v>386</v>
      </c>
      <c r="ES33" s="122" t="s">
        <v>387</v>
      </c>
      <c r="ET33" s="122" t="s">
        <v>388</v>
      </c>
      <c r="EU33" s="122" t="s">
        <v>389</v>
      </c>
      <c r="EV33" s="122" t="s">
        <v>390</v>
      </c>
      <c r="EW33" s="122" t="s">
        <v>391</v>
      </c>
      <c r="EX33" s="122" t="s">
        <v>392</v>
      </c>
      <c r="EY33" s="122" t="s">
        <v>393</v>
      </c>
      <c r="EZ33" s="122" t="s">
        <v>394</v>
      </c>
      <c r="FA33" s="122" t="s">
        <v>395</v>
      </c>
      <c r="FB33" s="122" t="s">
        <v>396</v>
      </c>
      <c r="FC33" s="122" t="s">
        <v>397</v>
      </c>
      <c r="FD33" s="122" t="s">
        <v>398</v>
      </c>
      <c r="FE33" s="122" t="s">
        <v>399</v>
      </c>
      <c r="FF33" s="122" t="s">
        <v>400</v>
      </c>
      <c r="FG33" s="122" t="s">
        <v>401</v>
      </c>
      <c r="FH33" s="122" t="s">
        <v>402</v>
      </c>
      <c r="FI33" s="122" t="s">
        <v>403</v>
      </c>
      <c r="FJ33" s="122" t="s">
        <v>404</v>
      </c>
      <c r="FK33" s="122" t="s">
        <v>405</v>
      </c>
      <c r="FL33" s="122" t="s">
        <v>406</v>
      </c>
      <c r="FM33" s="122" t="s">
        <v>407</v>
      </c>
      <c r="FN33" s="122" t="s">
        <v>408</v>
      </c>
    </row>
    <row r="34" spans="1:170" ht="84" x14ac:dyDescent="0.25">
      <c r="A34" s="135">
        <v>1</v>
      </c>
      <c r="B34" s="5" t="s">
        <v>617</v>
      </c>
      <c r="C34" s="136">
        <f>COUNTIFS(tbl_task8[SubPLOs],"&gt;=1",tbl_task8[SubPLOs],"&lt;2")</f>
        <v>0</v>
      </c>
      <c r="D34" s="136">
        <f>SUMIFS(tbl_task8[คะแนนเต็ม],tbl_task8[SubPLOs],"&gt;=1",tbl_task8[SubPLOs],"&lt;2")</f>
        <v>0</v>
      </c>
      <c r="E34" s="137">
        <f>SUMIFS(tbl_task8[%],tbl_task8[SubPLOs],"&gt;=1",tbl_task8[SubPLOs],"&lt;2")</f>
        <v>0</v>
      </c>
      <c r="F34" s="138">
        <f>SUMIFS(tbl_task8[S1],tbl_task8[[SubPLOs]:[SubPLOs]],"&gt;=1",tbl_task8[[SubPLOs]:[SubPLOs]],"&lt;2")</f>
        <v>0</v>
      </c>
      <c r="G34" s="138">
        <f>SUMIFS(tbl_task8[S2],tbl_task8[[SubPLOs]:[SubPLOs]],"&gt;=1",tbl_task8[[SubPLOs]:[SubPLOs]],"&lt;2")</f>
        <v>0</v>
      </c>
      <c r="H34" s="138">
        <f>SUMIFS(tbl_task8[S3],tbl_task8[[SubPLOs]:[SubPLOs]],"&gt;=1",tbl_task8[[SubPLOs]:[SubPLOs]],"&lt;2")</f>
        <v>0</v>
      </c>
      <c r="I34" s="138">
        <f>SUMIFS(tbl_task8[S4],tbl_task8[[SubPLOs]:[SubPLOs]],"&gt;=1",tbl_task8[[SubPLOs]:[SubPLOs]],"&lt;2")</f>
        <v>0</v>
      </c>
      <c r="J34" s="138">
        <f>SUMIFS(tbl_task8[S5],tbl_task8[[SubPLOs]:[SubPLOs]],"&gt;=1",tbl_task8[[SubPLOs]:[SubPLOs]],"&lt;2")</f>
        <v>0</v>
      </c>
      <c r="K34" s="138">
        <f>SUMIFS(tbl_task8[S6],tbl_task8[[SubPLOs]:[SubPLOs]],"&gt;=1",tbl_task8[[SubPLOs]:[SubPLOs]],"&lt;2")</f>
        <v>0</v>
      </c>
      <c r="L34" s="138">
        <f>SUMIFS(tbl_task8[S7],tbl_task8[[SubPLOs]:[SubPLOs]],"&gt;=1",tbl_task8[[SubPLOs]:[SubPLOs]],"&lt;2")</f>
        <v>0</v>
      </c>
      <c r="M34" s="138">
        <f>SUMIFS(tbl_task8[S8],tbl_task8[[SubPLOs]:[SubPLOs]],"&gt;=1",tbl_task8[[SubPLOs]:[SubPLOs]],"&lt;2")</f>
        <v>0</v>
      </c>
      <c r="N34" s="138">
        <f>SUMIFS(tbl_task8[S9],tbl_task8[[SubPLOs]:[SubPLOs]],"&gt;=1",tbl_task8[[SubPLOs]:[SubPLOs]],"&lt;2")</f>
        <v>0</v>
      </c>
      <c r="O34" s="138">
        <f>SUMIFS(tbl_task8[S10],tbl_task8[[SubPLOs]:[SubPLOs]],"&gt;=1",tbl_task8[[SubPLOs]:[SubPLOs]],"&lt;2")</f>
        <v>0</v>
      </c>
      <c r="P34" s="138">
        <f>SUMIFS(tbl_task8[S11],tbl_task8[[SubPLOs]:[SubPLOs]],"&gt;=1",tbl_task8[[SubPLOs]:[SubPLOs]],"&lt;2")</f>
        <v>0</v>
      </c>
      <c r="Q34" s="138">
        <f>SUMIFS(tbl_task8[S12],tbl_task8[[SubPLOs]:[SubPLOs]],"&gt;=1",tbl_task8[[SubPLOs]:[SubPLOs]],"&lt;2")</f>
        <v>0</v>
      </c>
      <c r="R34" s="138">
        <f>SUMIFS(tbl_task8[S13],tbl_task8[[SubPLOs]:[SubPLOs]],"&gt;=1",tbl_task8[[SubPLOs]:[SubPLOs]],"&lt;2")</f>
        <v>0</v>
      </c>
      <c r="S34" s="138">
        <f>SUMIFS(tbl_task8[S14],tbl_task8[[SubPLOs]:[SubPLOs]],"&gt;=1",tbl_task8[[SubPLOs]:[SubPLOs]],"&lt;2")</f>
        <v>0</v>
      </c>
      <c r="T34" s="138">
        <f>SUMIFS(tbl_task8[S15],tbl_task8[[SubPLOs]:[SubPLOs]],"&gt;=1",tbl_task8[[SubPLOs]:[SubPLOs]],"&lt;2")</f>
        <v>0</v>
      </c>
      <c r="U34" s="138">
        <f>SUMIFS(tbl_task8[S16],tbl_task8[[SubPLOs]:[SubPLOs]],"&gt;=1",tbl_task8[[SubPLOs]:[SubPLOs]],"&lt;2")</f>
        <v>0</v>
      </c>
      <c r="V34" s="138">
        <f>SUMIFS(tbl_task8[S17],tbl_task8[[SubPLOs]:[SubPLOs]],"&gt;=1",tbl_task8[[SubPLOs]:[SubPLOs]],"&lt;2")</f>
        <v>0</v>
      </c>
      <c r="W34" s="138">
        <f>SUMIFS(tbl_task8[S18],tbl_task8[[SubPLOs]:[SubPLOs]],"&gt;=1",tbl_task8[[SubPLOs]:[SubPLOs]],"&lt;2")</f>
        <v>0</v>
      </c>
      <c r="X34" s="138">
        <f>SUMIFS(tbl_task8[S19],tbl_task8[[SubPLOs]:[SubPLOs]],"&gt;=1",tbl_task8[[SubPLOs]:[SubPLOs]],"&lt;2")</f>
        <v>0</v>
      </c>
      <c r="Y34" s="138">
        <f>SUMIFS(tbl_task8[S20],tbl_task8[[SubPLOs]:[SubPLOs]],"&gt;=1",tbl_task8[[SubPLOs]:[SubPLOs]],"&lt;2")</f>
        <v>0</v>
      </c>
      <c r="Z34" s="138">
        <f>SUMIFS(tbl_task8[S21],tbl_task8[[SubPLOs]:[SubPLOs]],"&gt;=1",tbl_task8[[SubPLOs]:[SubPLOs]],"&lt;2")</f>
        <v>0</v>
      </c>
      <c r="AA34" s="138">
        <f>SUMIFS(tbl_task8[S22],tbl_task8[[SubPLOs]:[SubPLOs]],"&gt;=1",tbl_task8[[SubPLOs]:[SubPLOs]],"&lt;2")</f>
        <v>0</v>
      </c>
      <c r="AB34" s="138">
        <f>SUMIFS(tbl_task8[S23],tbl_task8[[SubPLOs]:[SubPLOs]],"&gt;=1",tbl_task8[[SubPLOs]:[SubPLOs]],"&lt;2")</f>
        <v>0</v>
      </c>
      <c r="AC34" s="138">
        <f>SUMIFS(tbl_task8[S24],tbl_task8[[SubPLOs]:[SubPLOs]],"&gt;=1",tbl_task8[[SubPLOs]:[SubPLOs]],"&lt;2")</f>
        <v>0</v>
      </c>
      <c r="AD34" s="138">
        <f>SUMIFS(tbl_task8[S25],tbl_task8[[SubPLOs]:[SubPLOs]],"&gt;=1",tbl_task8[[SubPLOs]:[SubPLOs]],"&lt;2")</f>
        <v>0</v>
      </c>
      <c r="AE34" s="138">
        <f>SUMIFS(tbl_task8[S26],tbl_task8[[SubPLOs]:[SubPLOs]],"&gt;=1",tbl_task8[[SubPLOs]:[SubPLOs]],"&lt;2")</f>
        <v>0</v>
      </c>
      <c r="AF34" s="138">
        <f>SUMIFS(tbl_task8[S27],tbl_task8[[SubPLOs]:[SubPLOs]],"&gt;=1",tbl_task8[[SubPLOs]:[SubPLOs]],"&lt;2")</f>
        <v>0</v>
      </c>
      <c r="AG34" s="138">
        <f>SUMIFS(tbl_task8[S28],tbl_task8[[SubPLOs]:[SubPLOs]],"&gt;=1",tbl_task8[[SubPLOs]:[SubPLOs]],"&lt;2")</f>
        <v>0</v>
      </c>
      <c r="AH34" s="138">
        <f>SUMIFS(tbl_task8[S29],tbl_task8[[SubPLOs]:[SubPLOs]],"&gt;=1",tbl_task8[[SubPLOs]:[SubPLOs]],"&lt;2")</f>
        <v>0</v>
      </c>
      <c r="AI34" s="138">
        <f>SUMIFS(tbl_task8[S30],tbl_task8[[SubPLOs]:[SubPLOs]],"&gt;=1",tbl_task8[[SubPLOs]:[SubPLOs]],"&lt;2")</f>
        <v>0</v>
      </c>
      <c r="AJ34" s="138">
        <f>SUMIFS(tbl_task8[S31],tbl_task8[[SubPLOs]:[SubPLOs]],"&gt;=1",tbl_task8[[SubPLOs]:[SubPLOs]],"&lt;2")</f>
        <v>0</v>
      </c>
      <c r="AK34" s="138">
        <f>SUMIFS(tbl_task8[S32],tbl_task8[[SubPLOs]:[SubPLOs]],"&gt;=1",tbl_task8[[SubPLOs]:[SubPLOs]],"&lt;2")</f>
        <v>0</v>
      </c>
      <c r="AL34" s="138">
        <f>SUMIFS(tbl_task8[S33],tbl_task8[[SubPLOs]:[SubPLOs]],"&gt;=1",tbl_task8[[SubPLOs]:[SubPLOs]],"&lt;2")</f>
        <v>0</v>
      </c>
      <c r="AM34" s="138">
        <f>SUMIFS(tbl_task8[S34],tbl_task8[[SubPLOs]:[SubPLOs]],"&gt;=1",tbl_task8[[SubPLOs]:[SubPLOs]],"&lt;2")</f>
        <v>0</v>
      </c>
      <c r="AN34" s="138">
        <f>SUMIFS(tbl_task8[S35],tbl_task8[[SubPLOs]:[SubPLOs]],"&gt;=1",tbl_task8[[SubPLOs]:[SubPLOs]],"&lt;2")</f>
        <v>0</v>
      </c>
      <c r="AO34" s="138">
        <f>SUMIFS(tbl_task8[S36],tbl_task8[[SubPLOs]:[SubPLOs]],"&gt;=1",tbl_task8[[SubPLOs]:[SubPLOs]],"&lt;2")</f>
        <v>0</v>
      </c>
      <c r="AP34" s="138">
        <f>SUMIFS(tbl_task8[S37],tbl_task8[[SubPLOs]:[SubPLOs]],"&gt;=1",tbl_task8[[SubPLOs]:[SubPLOs]],"&lt;2")</f>
        <v>0</v>
      </c>
      <c r="AQ34" s="138">
        <f>SUMIFS(tbl_task8[S38],tbl_task8[[SubPLOs]:[SubPLOs]],"&gt;=1",tbl_task8[[SubPLOs]:[SubPLOs]],"&lt;2")</f>
        <v>0</v>
      </c>
      <c r="AR34" s="138">
        <f>SUMIFS(tbl_task8[S39],tbl_task8[[SubPLOs]:[SubPLOs]],"&gt;=1",tbl_task8[[SubPLOs]:[SubPLOs]],"&lt;2")</f>
        <v>0</v>
      </c>
      <c r="AS34" s="138">
        <f>SUMIFS(tbl_task8[S40],tbl_task8[[SubPLOs]:[SubPLOs]],"&gt;=1",tbl_task8[[SubPLOs]:[SubPLOs]],"&lt;2")</f>
        <v>0</v>
      </c>
      <c r="AT34" s="138">
        <f>SUMIFS(tbl_task8[S41],tbl_task8[[SubPLOs]:[SubPLOs]],"&gt;=1",tbl_task8[[SubPLOs]:[SubPLOs]],"&lt;2")</f>
        <v>0</v>
      </c>
      <c r="AU34" s="138">
        <f>SUMIFS(tbl_task8[S42],tbl_task8[[SubPLOs]:[SubPLOs]],"&gt;=1",tbl_task8[[SubPLOs]:[SubPLOs]],"&lt;2")</f>
        <v>0</v>
      </c>
      <c r="AV34" s="138">
        <f>SUMIFS(tbl_task8[S43],tbl_task8[[SubPLOs]:[SubPLOs]],"&gt;=1",tbl_task8[[SubPLOs]:[SubPLOs]],"&lt;2")</f>
        <v>0</v>
      </c>
      <c r="AW34" s="138">
        <f>SUMIFS(tbl_task8[S44],tbl_task8[[SubPLOs]:[SubPLOs]],"&gt;=1",tbl_task8[[SubPLOs]:[SubPLOs]],"&lt;2")</f>
        <v>0</v>
      </c>
      <c r="AX34" s="138">
        <f>SUMIFS(tbl_task8[S45],tbl_task8[[SubPLOs]:[SubPLOs]],"&gt;=1",tbl_task8[[SubPLOs]:[SubPLOs]],"&lt;2")</f>
        <v>0</v>
      </c>
      <c r="AY34" s="138">
        <f>SUMIFS(tbl_task8[S46],tbl_task8[[SubPLOs]:[SubPLOs]],"&gt;=1",tbl_task8[[SubPLOs]:[SubPLOs]],"&lt;2")</f>
        <v>0</v>
      </c>
      <c r="AZ34" s="138">
        <f>SUMIFS(tbl_task8[S47],tbl_task8[[SubPLOs]:[SubPLOs]],"&gt;=1",tbl_task8[[SubPLOs]:[SubPLOs]],"&lt;2")</f>
        <v>0</v>
      </c>
      <c r="BA34" s="138">
        <f>SUMIFS(tbl_task8[S48],tbl_task8[[SubPLOs]:[SubPLOs]],"&gt;=1",tbl_task8[[SubPLOs]:[SubPLOs]],"&lt;2")</f>
        <v>0</v>
      </c>
      <c r="BB34" s="138">
        <f>SUMIFS(tbl_task8[S49],tbl_task8[[SubPLOs]:[SubPLOs]],"&gt;=1",tbl_task8[[SubPLOs]:[SubPLOs]],"&lt;2")</f>
        <v>0</v>
      </c>
      <c r="BC34" s="138">
        <f>SUMIFS(tbl_task8[S50],tbl_task8[[SubPLOs]:[SubPLOs]],"&gt;=1",tbl_task8[[SubPLOs]:[SubPLOs]],"&lt;2")</f>
        <v>0</v>
      </c>
      <c r="BD34" s="138">
        <f>SUMIFS(tbl_task8[S51],tbl_task8[[SubPLOs]:[SubPLOs]],"&gt;=1",tbl_task8[[SubPLOs]:[SubPLOs]],"&lt;2")</f>
        <v>0</v>
      </c>
      <c r="BE34" s="138">
        <f>SUMIFS(tbl_task8[S52],tbl_task8[[SubPLOs]:[SubPLOs]],"&gt;=1",tbl_task8[[SubPLOs]:[SubPLOs]],"&lt;2")</f>
        <v>0</v>
      </c>
      <c r="BF34" s="138">
        <f>SUMIFS(tbl_task8[S53],tbl_task8[[SubPLOs]:[SubPLOs]],"&gt;=1",tbl_task8[[SubPLOs]:[SubPLOs]],"&lt;2")</f>
        <v>0</v>
      </c>
      <c r="BG34" s="138">
        <f>SUMIFS(tbl_task8[S54],tbl_task8[[SubPLOs]:[SubPLOs]],"&gt;=1",tbl_task8[[SubPLOs]:[SubPLOs]],"&lt;2")</f>
        <v>0</v>
      </c>
      <c r="BH34" s="138">
        <f>SUMIFS(tbl_task8[S55],tbl_task8[[SubPLOs]:[SubPLOs]],"&gt;=1",tbl_task8[[SubPLOs]:[SubPLOs]],"&lt;2")</f>
        <v>0</v>
      </c>
      <c r="BI34" s="138">
        <f>SUMIFS(tbl_task8[S56],tbl_task8[[SubPLOs]:[SubPLOs]],"&gt;=1",tbl_task8[[SubPLOs]:[SubPLOs]],"&lt;2")</f>
        <v>0</v>
      </c>
      <c r="BJ34" s="138">
        <f>SUMIFS(tbl_task8[S57],tbl_task8[[SubPLOs]:[SubPLOs]],"&gt;=1",tbl_task8[[SubPLOs]:[SubPLOs]],"&lt;2")</f>
        <v>0</v>
      </c>
      <c r="BK34" s="138">
        <f>SUMIFS(tbl_task8[S58],tbl_task8[[SubPLOs]:[SubPLOs]],"&gt;=1",tbl_task8[[SubPLOs]:[SubPLOs]],"&lt;2")</f>
        <v>0</v>
      </c>
      <c r="BL34" s="138">
        <f>SUMIFS(tbl_task8[S59],tbl_task8[[SubPLOs]:[SubPLOs]],"&gt;=1",tbl_task8[[SubPLOs]:[SubPLOs]],"&lt;2")</f>
        <v>0</v>
      </c>
      <c r="BM34" s="138">
        <f>SUMIFS(tbl_task8[S60],tbl_task8[[SubPLOs]:[SubPLOs]],"&gt;=1",tbl_task8[[SubPLOs]:[SubPLOs]],"&lt;2")</f>
        <v>0</v>
      </c>
      <c r="BN34" s="138">
        <f>SUMIFS(tbl_task8[S61],tbl_task8[[SubPLOs]:[SubPLOs]],"&gt;=1",tbl_task8[[SubPLOs]:[SubPLOs]],"&lt;2")</f>
        <v>0</v>
      </c>
      <c r="BO34" s="138">
        <f>SUMIFS(tbl_task8[S62],tbl_task8[[SubPLOs]:[SubPLOs]],"&gt;=1",tbl_task8[[SubPLOs]:[SubPLOs]],"&lt;2")</f>
        <v>0</v>
      </c>
      <c r="BP34" s="138">
        <f>SUMIFS(tbl_task8[S63],tbl_task8[[SubPLOs]:[SubPLOs]],"&gt;=1",tbl_task8[[SubPLOs]:[SubPLOs]],"&lt;2")</f>
        <v>0</v>
      </c>
      <c r="BQ34" s="138">
        <f>SUMIFS(tbl_task8[S64],tbl_task8[[SubPLOs]:[SubPLOs]],"&gt;=1",tbl_task8[[SubPLOs]:[SubPLOs]],"&lt;2")</f>
        <v>0</v>
      </c>
      <c r="BR34" s="138">
        <f>SUMIFS(tbl_task8[S65],tbl_task8[[SubPLOs]:[SubPLOs]],"&gt;=1",tbl_task8[[SubPLOs]:[SubPLOs]],"&lt;2")</f>
        <v>0</v>
      </c>
      <c r="BS34" s="138">
        <f>SUMIFS(tbl_task8[S66],tbl_task8[[SubPLOs]:[SubPLOs]],"&gt;=1",tbl_task8[[SubPLOs]:[SubPLOs]],"&lt;2")</f>
        <v>0</v>
      </c>
      <c r="BT34" s="138">
        <f>SUMIFS(tbl_task8[S67],tbl_task8[[SubPLOs]:[SubPLOs]],"&gt;=1",tbl_task8[[SubPLOs]:[SubPLOs]],"&lt;2")</f>
        <v>0</v>
      </c>
      <c r="BU34" s="138">
        <f>SUMIFS(tbl_task8[S68],tbl_task8[[SubPLOs]:[SubPLOs]],"&gt;=1",tbl_task8[[SubPLOs]:[SubPLOs]],"&lt;2")</f>
        <v>0</v>
      </c>
      <c r="BV34" s="138">
        <f>SUMIFS(tbl_task8[S69],tbl_task8[[SubPLOs]:[SubPLOs]],"&gt;=1",tbl_task8[[SubPLOs]:[SubPLOs]],"&lt;2")</f>
        <v>0</v>
      </c>
      <c r="BW34" s="138">
        <f>SUMIFS(tbl_task8[S70],tbl_task8[[SubPLOs]:[SubPLOs]],"&gt;=1",tbl_task8[[SubPLOs]:[SubPLOs]],"&lt;2")</f>
        <v>0</v>
      </c>
      <c r="BX34" s="138">
        <f>SUMIFS(tbl_task8[S71],tbl_task8[[SubPLOs]:[SubPLOs]],"&gt;=1",tbl_task8[[SubPLOs]:[SubPLOs]],"&lt;2")</f>
        <v>0</v>
      </c>
      <c r="BY34" s="138">
        <f>SUMIFS(tbl_task8[S72],tbl_task8[[SubPLOs]:[SubPLOs]],"&gt;=1",tbl_task8[[SubPLOs]:[SubPLOs]],"&lt;2")</f>
        <v>0</v>
      </c>
      <c r="BZ34" s="138">
        <f>SUMIFS(tbl_task8[S73],tbl_task8[[SubPLOs]:[SubPLOs]],"&gt;=1",tbl_task8[[SubPLOs]:[SubPLOs]],"&lt;2")</f>
        <v>0</v>
      </c>
      <c r="CA34" s="138">
        <f>SUMIFS(tbl_task8[S74],tbl_task8[[SubPLOs]:[SubPLOs]],"&gt;=1",tbl_task8[[SubPLOs]:[SubPLOs]],"&lt;2")</f>
        <v>0</v>
      </c>
      <c r="CB34" s="138">
        <f>SUMIFS(tbl_task8[S75],tbl_task8[[SubPLOs]:[SubPLOs]],"&gt;=1",tbl_task8[[SubPLOs]:[SubPLOs]],"&lt;2")</f>
        <v>0</v>
      </c>
      <c r="CC34" s="138">
        <f>SUMIFS(tbl_task8[S76],tbl_task8[[SubPLOs]:[SubPLOs]],"&gt;=1",tbl_task8[[SubPLOs]:[SubPLOs]],"&lt;2")</f>
        <v>0</v>
      </c>
      <c r="CD34" s="138">
        <f>SUMIFS(tbl_task8[S77],tbl_task8[[SubPLOs]:[SubPLOs]],"&gt;=1",tbl_task8[[SubPLOs]:[SubPLOs]],"&lt;2")</f>
        <v>0</v>
      </c>
      <c r="CE34" s="138">
        <f>SUMIFS(tbl_task8[S78],tbl_task8[[SubPLOs]:[SubPLOs]],"&gt;=1",tbl_task8[[SubPLOs]:[SubPLOs]],"&lt;2")</f>
        <v>0</v>
      </c>
      <c r="CF34" s="138">
        <f>SUMIFS(tbl_task8[S79],tbl_task8[[SubPLOs]:[SubPLOs]],"&gt;=1",tbl_task8[[SubPLOs]:[SubPLOs]],"&lt;2")</f>
        <v>0</v>
      </c>
      <c r="CG34" s="138">
        <f>SUMIFS(tbl_task8[S80],tbl_task8[[SubPLOs]:[SubPLOs]],"&gt;=1",tbl_task8[[SubPLOs]:[SubPLOs]],"&lt;2")</f>
        <v>0</v>
      </c>
      <c r="CH34" s="138">
        <f>SUMIFS(tbl_task8[S81],tbl_task8[[SubPLOs]:[SubPLOs]],"&gt;=1",tbl_task8[[SubPLOs]:[SubPLOs]],"&lt;2")</f>
        <v>0</v>
      </c>
      <c r="CI34" s="138">
        <f>SUMIFS(tbl_task8[S82],tbl_task8[[SubPLOs]:[SubPLOs]],"&gt;=1",tbl_task8[[SubPLOs]:[SubPLOs]],"&lt;2")</f>
        <v>0</v>
      </c>
      <c r="CJ34" s="138">
        <f>SUMIFS(tbl_task8[S83],tbl_task8[[SubPLOs]:[SubPLOs]],"&gt;=1",tbl_task8[[SubPLOs]:[SubPLOs]],"&lt;2")</f>
        <v>0</v>
      </c>
      <c r="CK34" s="138">
        <f>SUMIFS(tbl_task8[S84],tbl_task8[[SubPLOs]:[SubPLOs]],"&gt;=1",tbl_task8[[SubPLOs]:[SubPLOs]],"&lt;2")</f>
        <v>0</v>
      </c>
      <c r="CL34" s="138">
        <f>SUMIFS(tbl_task8[S85],tbl_task8[[SubPLOs]:[SubPLOs]],"&gt;=1",tbl_task8[[SubPLOs]:[SubPLOs]],"&lt;2")</f>
        <v>0</v>
      </c>
      <c r="CM34" s="138">
        <f>SUMIFS(tbl_task8[S86],tbl_task8[[SubPLOs]:[SubPLOs]],"&gt;=1",tbl_task8[[SubPLOs]:[SubPLOs]],"&lt;2")</f>
        <v>0</v>
      </c>
      <c r="CN34" s="138">
        <f>SUMIFS(tbl_task8[S87],tbl_task8[[SubPLOs]:[SubPLOs]],"&gt;=1",tbl_task8[[SubPLOs]:[SubPLOs]],"&lt;2")</f>
        <v>0</v>
      </c>
      <c r="CO34" s="138">
        <f>SUMIFS(tbl_task8[S88],tbl_task8[[SubPLOs]:[SubPLOs]],"&gt;=1",tbl_task8[[SubPLOs]:[SubPLOs]],"&lt;2")</f>
        <v>0</v>
      </c>
      <c r="CP34" s="138">
        <f>SUMIFS(tbl_task8[S89],tbl_task8[[SubPLOs]:[SubPLOs]],"&gt;=1",tbl_task8[[SubPLOs]:[SubPLOs]],"&lt;2")</f>
        <v>0</v>
      </c>
      <c r="CQ34" s="138">
        <f>SUMIFS(tbl_task8[S90],tbl_task8[[SubPLOs]:[SubPLOs]],"&gt;=1",tbl_task8[[SubPLOs]:[SubPLOs]],"&lt;2")</f>
        <v>0</v>
      </c>
      <c r="CR34" s="138">
        <f>SUMIFS(tbl_task8[S91],tbl_task8[[SubPLOs]:[SubPLOs]],"&gt;=1",tbl_task8[[SubPLOs]:[SubPLOs]],"&lt;2")</f>
        <v>0</v>
      </c>
      <c r="CS34" s="138">
        <f>SUMIFS(tbl_task8[S92],tbl_task8[[SubPLOs]:[SubPLOs]],"&gt;=1",tbl_task8[[SubPLOs]:[SubPLOs]],"&lt;2")</f>
        <v>0</v>
      </c>
      <c r="CT34" s="138">
        <f>SUMIFS(tbl_task8[S93],tbl_task8[[SubPLOs]:[SubPLOs]],"&gt;=1",tbl_task8[[SubPLOs]:[SubPLOs]],"&lt;2")</f>
        <v>0</v>
      </c>
      <c r="CU34" s="138">
        <f>SUMIFS(tbl_task8[S94],tbl_task8[[SubPLOs]:[SubPLOs]],"&gt;=1",tbl_task8[[SubPLOs]:[SubPLOs]],"&lt;2")</f>
        <v>0</v>
      </c>
      <c r="CV34" s="138">
        <f>SUMIFS(tbl_task8[S95],tbl_task8[[SubPLOs]:[SubPLOs]],"&gt;=1",tbl_task8[[SubPLOs]:[SubPLOs]],"&lt;2")</f>
        <v>0</v>
      </c>
      <c r="CW34" s="138">
        <f>SUMIFS(tbl_task8[S96],tbl_task8[[SubPLOs]:[SubPLOs]],"&gt;=1",tbl_task8[[SubPLOs]:[SubPLOs]],"&lt;2")</f>
        <v>0</v>
      </c>
      <c r="CX34" s="138">
        <f>SUMIFS(tbl_task8[S97],tbl_task8[[SubPLOs]:[SubPLOs]],"&gt;=1",tbl_task8[[SubPLOs]:[SubPLOs]],"&lt;2")</f>
        <v>0</v>
      </c>
      <c r="CY34" s="138">
        <f>SUMIFS(tbl_task8[S98],tbl_task8[[SubPLOs]:[SubPLOs]],"&gt;=1",tbl_task8[[SubPLOs]:[SubPLOs]],"&lt;2")</f>
        <v>0</v>
      </c>
      <c r="CZ34" s="138">
        <f>SUMIFS(tbl_task8[S99],tbl_task8[[SubPLOs]:[SubPLOs]],"&gt;=1",tbl_task8[[SubPLOs]:[SubPLOs]],"&lt;2")</f>
        <v>0</v>
      </c>
      <c r="DA34" s="138">
        <f>SUMIFS(tbl_task8[S100],tbl_task8[[SubPLOs]:[SubPLOs]],"&gt;=1",tbl_task8[[SubPLOs]:[SubPLOs]],"&lt;2")</f>
        <v>0</v>
      </c>
      <c r="DB34" s="138">
        <f>SUMIFS(tbl_task8[S101],tbl_task8[[SubPLOs]:[SubPLOs]],"&gt;=1",tbl_task8[[SubPLOs]:[SubPLOs]],"&lt;2")</f>
        <v>0</v>
      </c>
      <c r="DC34" s="138">
        <f>SUMIFS(tbl_task8[S102],tbl_task8[[SubPLOs]:[SubPLOs]],"&gt;=1",tbl_task8[[SubPLOs]:[SubPLOs]],"&lt;2")</f>
        <v>0</v>
      </c>
      <c r="DD34" s="138">
        <f>SUMIFS(tbl_task8[S103],tbl_task8[[SubPLOs]:[SubPLOs]],"&gt;=1",tbl_task8[[SubPLOs]:[SubPLOs]],"&lt;2")</f>
        <v>0</v>
      </c>
      <c r="DE34" s="138">
        <f>SUMIFS(tbl_task8[S104],tbl_task8[[SubPLOs]:[SubPLOs]],"&gt;=1",tbl_task8[[SubPLOs]:[SubPLOs]],"&lt;2")</f>
        <v>0</v>
      </c>
      <c r="DF34" s="138">
        <f>SUMIFS(tbl_task8[S105],tbl_task8[[SubPLOs]:[SubPLOs]],"&gt;=1",tbl_task8[[SubPLOs]:[SubPLOs]],"&lt;2")</f>
        <v>0</v>
      </c>
      <c r="DG34" s="138">
        <f>SUMIFS(tbl_task8[S106],tbl_task8[[SubPLOs]:[SubPLOs]],"&gt;=1",tbl_task8[[SubPLOs]:[SubPLOs]],"&lt;2")</f>
        <v>0</v>
      </c>
      <c r="DH34" s="138">
        <f>SUMIFS(tbl_task8[S106],tbl_task8[[SubPLOs]:[SubPLOs]],"&gt;=1",tbl_task8[[SubPLOs]:[SubPLOs]],"&lt;2")</f>
        <v>0</v>
      </c>
      <c r="DI34" s="138">
        <f>SUMIFS(tbl_task8[S108],tbl_task8[[SubPLOs]:[SubPLOs]],"&gt;=1",tbl_task8[[SubPLOs]:[SubPLOs]],"&lt;2")</f>
        <v>0</v>
      </c>
      <c r="DJ34" s="138">
        <f>SUMIFS(tbl_task8[S109],tbl_task8[[SubPLOs]:[SubPLOs]],"&gt;=1",tbl_task8[[SubPLOs]:[SubPLOs]],"&lt;2")</f>
        <v>0</v>
      </c>
      <c r="DK34" s="138">
        <f>SUMIFS(tbl_task8[S110],tbl_task8[[SubPLOs]:[SubPLOs]],"&gt;=1",tbl_task8[[SubPLOs]:[SubPLOs]],"&lt;2")</f>
        <v>0</v>
      </c>
      <c r="DL34" s="138">
        <f>SUMIFS(tbl_task8[S111],tbl_task8[[SubPLOs]:[SubPLOs]],"&gt;=1",tbl_task8[[SubPLOs]:[SubPLOs]],"&lt;2")</f>
        <v>0</v>
      </c>
      <c r="DM34" s="138">
        <f>SUMIFS(tbl_task8[S112],tbl_task8[[SubPLOs]:[SubPLOs]],"&gt;=1",tbl_task8[[SubPLOs]:[SubPLOs]],"&lt;2")</f>
        <v>0</v>
      </c>
      <c r="DN34" s="138">
        <f>SUMIFS(tbl_task8[S113],tbl_task8[[SubPLOs]:[SubPLOs]],"&gt;=1",tbl_task8[[SubPLOs]:[SubPLOs]],"&lt;2")</f>
        <v>0</v>
      </c>
      <c r="DO34" s="138">
        <f>SUMIFS(tbl_task8[S114],tbl_task8[[SubPLOs]:[SubPLOs]],"&gt;=1",tbl_task8[[SubPLOs]:[SubPLOs]],"&lt;2")</f>
        <v>0</v>
      </c>
      <c r="DP34" s="138">
        <f>SUMIFS(tbl_task8[S115],tbl_task8[[SubPLOs]:[SubPLOs]],"&gt;=1",tbl_task8[[SubPLOs]:[SubPLOs]],"&lt;2")</f>
        <v>0</v>
      </c>
      <c r="DQ34" s="138">
        <f>SUMIFS(tbl_task8[S116],tbl_task8[[SubPLOs]:[SubPLOs]],"&gt;=1",tbl_task8[[SubPLOs]:[SubPLOs]],"&lt;2")</f>
        <v>0</v>
      </c>
      <c r="DR34" s="138">
        <f>SUMIFS(tbl_task8[S117],tbl_task8[[SubPLOs]:[SubPLOs]],"&gt;=1",tbl_task8[[SubPLOs]:[SubPLOs]],"&lt;2")</f>
        <v>0</v>
      </c>
      <c r="DS34" s="138">
        <f>SUMIFS(tbl_task8[S118],tbl_task8[[SubPLOs]:[SubPLOs]],"&gt;=1",tbl_task8[[SubPLOs]:[SubPLOs]],"&lt;2")</f>
        <v>0</v>
      </c>
      <c r="DT34" s="138">
        <f>SUMIFS(tbl_task8[S119],tbl_task8[[SubPLOs]:[SubPLOs]],"&gt;=1",tbl_task8[[SubPLOs]:[SubPLOs]],"&lt;2")</f>
        <v>0</v>
      </c>
      <c r="DU34" s="138">
        <f>SUMIFS(tbl_task8[S120],tbl_task8[[SubPLOs]:[SubPLOs]],"&gt;=1",tbl_task8[[SubPLOs]:[SubPLOs]],"&lt;2")</f>
        <v>0</v>
      </c>
      <c r="DV34" s="138">
        <f>SUMIFS(tbl_task8[S121],tbl_task8[[SubPLOs]:[SubPLOs]],"&gt;=1",tbl_task8[[SubPLOs]:[SubPLOs]],"&lt;2")</f>
        <v>0</v>
      </c>
      <c r="DW34" s="138">
        <f>SUMIFS(tbl_task8[S122],tbl_task8[[SubPLOs]:[SubPLOs]],"&gt;=1",tbl_task8[[SubPLOs]:[SubPLOs]],"&lt;2")</f>
        <v>0</v>
      </c>
      <c r="DX34" s="138">
        <f>SUMIFS(tbl_task8[S123],tbl_task8[[SubPLOs]:[SubPLOs]],"&gt;=1",tbl_task8[[SubPLOs]:[SubPLOs]],"&lt;2")</f>
        <v>0</v>
      </c>
      <c r="DY34" s="138">
        <f>SUMIFS(tbl_task8[S124],tbl_task8[[SubPLOs]:[SubPLOs]],"&gt;=1",tbl_task8[[SubPLOs]:[SubPLOs]],"&lt;2")</f>
        <v>0</v>
      </c>
      <c r="DZ34" s="138">
        <f>SUMIFS(tbl_task8[S125],tbl_task8[[SubPLOs]:[SubPLOs]],"&gt;=1",tbl_task8[[SubPLOs]:[SubPLOs]],"&lt;2")</f>
        <v>0</v>
      </c>
      <c r="EA34" s="138">
        <f>SUMIFS(tbl_task8[S126],tbl_task8[[SubPLOs]:[SubPLOs]],"&gt;=1",tbl_task8[[SubPLOs]:[SubPLOs]],"&lt;2")</f>
        <v>0</v>
      </c>
      <c r="EB34" s="138">
        <f>SUMIFS(tbl_task8[S127],tbl_task8[[SubPLOs]:[SubPLOs]],"&gt;=1",tbl_task8[[SubPLOs]:[SubPLOs]],"&lt;2")</f>
        <v>0</v>
      </c>
      <c r="EC34" s="138">
        <f>SUMIFS(tbl_task8[S128],tbl_task8[[SubPLOs]:[SubPLOs]],"&gt;=1",tbl_task8[[SubPLOs]:[SubPLOs]],"&lt;2")</f>
        <v>0</v>
      </c>
      <c r="ED34" s="138">
        <f>SUMIFS(tbl_task8[S129],tbl_task8[[SubPLOs]:[SubPLOs]],"&gt;=1",tbl_task8[[SubPLOs]:[SubPLOs]],"&lt;2")</f>
        <v>0</v>
      </c>
      <c r="EE34" s="138">
        <f>SUMIFS(tbl_task8[S130],tbl_task8[[SubPLOs]:[SubPLOs]],"&gt;=1",tbl_task8[[SubPLOs]:[SubPLOs]],"&lt;2")</f>
        <v>0</v>
      </c>
      <c r="EF34" s="138">
        <f>SUMIFS(tbl_task8[S131],tbl_task8[[SubPLOs]:[SubPLOs]],"&gt;=1",tbl_task8[[SubPLOs]:[SubPLOs]],"&lt;2")</f>
        <v>0</v>
      </c>
      <c r="EG34" s="138">
        <f>SUMIFS(tbl_task8[S132],tbl_task8[[SubPLOs]:[SubPLOs]],"&gt;=1",tbl_task8[[SubPLOs]:[SubPLOs]],"&lt;2")</f>
        <v>0</v>
      </c>
      <c r="EH34" s="138">
        <f>SUMIFS(tbl_task8[S133],tbl_task8[[SubPLOs]:[SubPLOs]],"&gt;=1",tbl_task8[[SubPLOs]:[SubPLOs]],"&lt;2")</f>
        <v>0</v>
      </c>
      <c r="EI34" s="138">
        <f>SUMIFS(tbl_task8[S134],tbl_task8[[SubPLOs]:[SubPLOs]],"&gt;=1",tbl_task8[[SubPLOs]:[SubPLOs]],"&lt;2")</f>
        <v>0</v>
      </c>
      <c r="EJ34" s="138">
        <f>SUMIFS(tbl_task8[S135],tbl_task8[[SubPLOs]:[SubPLOs]],"&gt;=1",tbl_task8[[SubPLOs]:[SubPLOs]],"&lt;2")</f>
        <v>0</v>
      </c>
      <c r="EK34" s="138">
        <f>SUMIFS(tbl_task8[S136],tbl_task8[[SubPLOs]:[SubPLOs]],"&gt;=1",tbl_task8[[SubPLOs]:[SubPLOs]],"&lt;2")</f>
        <v>0</v>
      </c>
      <c r="EL34" s="138">
        <f>SUMIFS(tbl_task8[S137],tbl_task8[[SubPLOs]:[SubPLOs]],"&gt;=1",tbl_task8[[SubPLOs]:[SubPLOs]],"&lt;2")</f>
        <v>0</v>
      </c>
      <c r="EM34" s="138">
        <f>SUMIFS(tbl_task8[S138],tbl_task8[[SubPLOs]:[SubPLOs]],"&gt;=1",tbl_task8[[SubPLOs]:[SubPLOs]],"&lt;2")</f>
        <v>0</v>
      </c>
      <c r="EN34" s="138">
        <f>SUMIFS(tbl_task8[S139],tbl_task8[[SubPLOs]:[SubPLOs]],"&gt;=1",tbl_task8[[SubPLOs]:[SubPLOs]],"&lt;2")</f>
        <v>0</v>
      </c>
      <c r="EO34" s="138">
        <f>SUMIFS(tbl_task8[S140],tbl_task8[[SubPLOs]:[SubPLOs]],"&gt;=1",tbl_task8[[SubPLOs]:[SubPLOs]],"&lt;2")</f>
        <v>0</v>
      </c>
      <c r="EP34" s="138">
        <f>SUMIFS(tbl_task8[S141],tbl_task8[[SubPLOs]:[SubPLOs]],"&gt;=1",tbl_task8[[SubPLOs]:[SubPLOs]],"&lt;2")</f>
        <v>0</v>
      </c>
      <c r="EQ34" s="138">
        <f>SUMIFS(tbl_task8[S142],tbl_task8[[SubPLOs]:[SubPLOs]],"&gt;=1",tbl_task8[[SubPLOs]:[SubPLOs]],"&lt;2")</f>
        <v>0</v>
      </c>
      <c r="ER34" s="138">
        <f>SUMIFS(tbl_task8[S143],tbl_task8[[SubPLOs]:[SubPLOs]],"&gt;=1",tbl_task8[[SubPLOs]:[SubPLOs]],"&lt;2")</f>
        <v>0</v>
      </c>
      <c r="ES34" s="138">
        <f>SUMIFS(tbl_task8[S144],tbl_task8[[SubPLOs]:[SubPLOs]],"&gt;=1",tbl_task8[[SubPLOs]:[SubPLOs]],"&lt;2")</f>
        <v>0</v>
      </c>
      <c r="ET34" s="138">
        <f>SUMIFS(tbl_task8[S145],tbl_task8[[SubPLOs]:[SubPLOs]],"&gt;=1",tbl_task8[[SubPLOs]:[SubPLOs]],"&lt;2")</f>
        <v>0</v>
      </c>
      <c r="EU34" s="138">
        <f>SUMIFS(tbl_task8[S146],tbl_task8[[SubPLOs]:[SubPLOs]],"&gt;=1",tbl_task8[[SubPLOs]:[SubPLOs]],"&lt;2")</f>
        <v>0</v>
      </c>
      <c r="EV34" s="138">
        <f>SUMIFS(tbl_task8[S147],tbl_task8[[SubPLOs]:[SubPLOs]],"&gt;=1",tbl_task8[[SubPLOs]:[SubPLOs]],"&lt;2")</f>
        <v>0</v>
      </c>
      <c r="EW34" s="138">
        <f>SUMIFS(tbl_task8[S148],tbl_task8[[SubPLOs]:[SubPLOs]],"&gt;=1",tbl_task8[[SubPLOs]:[SubPLOs]],"&lt;2")</f>
        <v>0</v>
      </c>
      <c r="EX34" s="138">
        <f>SUMIFS(tbl_task8[S149],tbl_task8[[SubPLOs]:[SubPLOs]],"&gt;=1",tbl_task8[[SubPLOs]:[SubPLOs]],"&lt;2")</f>
        <v>0</v>
      </c>
      <c r="EY34" s="138">
        <f>SUMIFS(tbl_task8[S150],tbl_task8[[SubPLOs]:[SubPLOs]],"&gt;=1",tbl_task8[[SubPLOs]:[SubPLOs]],"&lt;2")</f>
        <v>0</v>
      </c>
      <c r="EZ34" s="138">
        <f>SUMIFS(tbl_task8[S151],tbl_task8[[SubPLOs]:[SubPLOs]],"&gt;=1",tbl_task8[[SubPLOs]:[SubPLOs]],"&lt;2")</f>
        <v>0</v>
      </c>
      <c r="FA34" s="138">
        <f>SUMIFS(tbl_task8[S152],tbl_task8[[SubPLOs]:[SubPLOs]],"&gt;=1",tbl_task8[[SubPLOs]:[SubPLOs]],"&lt;2")</f>
        <v>0</v>
      </c>
      <c r="FB34" s="138">
        <f>SUMIFS(tbl_task8[S153],tbl_task8[[SubPLOs]:[SubPLOs]],"&gt;=1",tbl_task8[[SubPLOs]:[SubPLOs]],"&lt;2")</f>
        <v>0</v>
      </c>
      <c r="FC34" s="138">
        <f>SUMIFS(tbl_task8[S154],tbl_task8[[SubPLOs]:[SubPLOs]],"&gt;=1",tbl_task8[[SubPLOs]:[SubPLOs]],"&lt;2")</f>
        <v>0</v>
      </c>
      <c r="FD34" s="138">
        <f>SUMIFS(tbl_task8[S155],tbl_task8[[SubPLOs]:[SubPLOs]],"&gt;=1",tbl_task8[[SubPLOs]:[SubPLOs]],"&lt;2")</f>
        <v>0</v>
      </c>
      <c r="FE34" s="138">
        <f>SUMIFS(tbl_task8[S156],tbl_task8[[SubPLOs]:[SubPLOs]],"&gt;=1",tbl_task8[[SubPLOs]:[SubPLOs]],"&lt;2")</f>
        <v>0</v>
      </c>
      <c r="FF34" s="138">
        <f>SUMIFS(tbl_task8[S157],tbl_task8[[SubPLOs]:[SubPLOs]],"&gt;=1",tbl_task8[[SubPLOs]:[SubPLOs]],"&lt;2")</f>
        <v>0</v>
      </c>
      <c r="FG34" s="138">
        <f>SUMIFS(tbl_task8[S158],tbl_task8[[SubPLOs]:[SubPLOs]],"&gt;=1",tbl_task8[[SubPLOs]:[SubPLOs]],"&lt;2")</f>
        <v>0</v>
      </c>
      <c r="FH34" s="138">
        <f>SUMIFS(tbl_task8[S159],tbl_task8[[SubPLOs]:[SubPLOs]],"&gt;=1",tbl_task8[[SubPLOs]:[SubPLOs]],"&lt;2")</f>
        <v>0</v>
      </c>
      <c r="FI34" s="138">
        <f>SUMIFS(tbl_task8[S160],tbl_task8[[SubPLOs]:[SubPLOs]],"&gt;=1",tbl_task8[[SubPLOs]:[SubPLOs]],"&lt;2")</f>
        <v>0</v>
      </c>
      <c r="FJ34" s="138">
        <f>SUMIFS(tbl_task8[S161],tbl_task8[[SubPLOs]:[SubPLOs]],"&gt;=1",tbl_task8[[SubPLOs]:[SubPLOs]],"&lt;2")</f>
        <v>0</v>
      </c>
      <c r="FK34" s="138">
        <f>SUMIFS(tbl_task8[S162],tbl_task8[[SubPLOs]:[SubPLOs]],"&gt;=1",tbl_task8[[SubPLOs]:[SubPLOs]],"&lt;2")</f>
        <v>0</v>
      </c>
      <c r="FL34" s="138">
        <f>SUMIFS(tbl_task8[S163],tbl_task8[[SubPLOs]:[SubPLOs]],"&gt;=1",tbl_task8[[SubPLOs]:[SubPLOs]],"&lt;2")</f>
        <v>0</v>
      </c>
      <c r="FM34" s="138">
        <f>SUMIFS(tbl_task8[S164],tbl_task8[[SubPLOs]:[SubPLOs]],"&gt;=1",tbl_task8[[SubPLOs]:[SubPLOs]],"&lt;2")</f>
        <v>0</v>
      </c>
      <c r="FN34" s="138">
        <f>SUMIFS(tbl_task8[S165],tbl_task8[[SubPLOs]:[SubPLOs]],"&gt;=1",tbl_task8[[SubPLOs]:[SubPLOs]],"&lt;2")</f>
        <v>0</v>
      </c>
    </row>
    <row r="35" spans="1:170" ht="147" x14ac:dyDescent="0.25">
      <c r="A35" s="135">
        <v>2</v>
      </c>
      <c r="B35" s="5" t="s">
        <v>435</v>
      </c>
      <c r="C35" s="136">
        <f>COUNTIFS(tbl_task8[SubPLOs],"&gt;=2",tbl_task8[SubPLOs],"&lt;3")</f>
        <v>0</v>
      </c>
      <c r="D35" s="136">
        <f>SUMIFS(tbl_task8[คะแนนเต็ม],tbl_task8[SubPLOs],"&gt;=2",tbl_task8[SubPLOs],"&lt;3")</f>
        <v>0</v>
      </c>
      <c r="E35" s="137">
        <f>SUMIFS(tbl_task8[%],tbl_task8[SubPLOs],"&gt;=2",tbl_task8[SubPLOs],"&lt;3")</f>
        <v>0</v>
      </c>
      <c r="F35" s="138">
        <f>SUMIFS(tbl_task8[S1],tbl_task8[[SubPLOs]:[SubPLOs]],"&gt;=2",tbl_task8[[SubPLOs]:[SubPLOs]],"&lt;3")</f>
        <v>0</v>
      </c>
      <c r="G35" s="138">
        <f>SUMIFS(tbl_task8[S2],tbl_task8[[SubPLOs]:[SubPLOs]],"&gt;=2",tbl_task8[[SubPLOs]:[SubPLOs]],"&lt;3")</f>
        <v>0</v>
      </c>
      <c r="H35" s="138">
        <f>SUMIFS(tbl_task8[S3],tbl_task8[[SubPLOs]:[SubPLOs]],"&gt;=2",tbl_task8[[SubPLOs]:[SubPLOs]],"&lt;3")</f>
        <v>0</v>
      </c>
      <c r="I35" s="138">
        <f>SUMIFS(tbl_task8[S4],tbl_task8[[SubPLOs]:[SubPLOs]],"&gt;=2",tbl_task8[[SubPLOs]:[SubPLOs]],"&lt;3")</f>
        <v>0</v>
      </c>
      <c r="J35" s="138">
        <f>SUMIFS(tbl_task8[S5],tbl_task8[[SubPLOs]:[SubPLOs]],"&gt;=2",tbl_task8[[SubPLOs]:[SubPLOs]],"&lt;3")</f>
        <v>0</v>
      </c>
      <c r="K35" s="138">
        <f>SUMIFS(tbl_task8[S6],tbl_task8[[SubPLOs]:[SubPLOs]],"&gt;=2",tbl_task8[[SubPLOs]:[SubPLOs]],"&lt;3")</f>
        <v>0</v>
      </c>
      <c r="L35" s="138">
        <f>SUMIFS(tbl_task8[S7],tbl_task8[[SubPLOs]:[SubPLOs]],"&gt;=2",tbl_task8[[SubPLOs]:[SubPLOs]],"&lt;3")</f>
        <v>0</v>
      </c>
      <c r="M35" s="138">
        <f>SUMIFS(tbl_task8[S8],tbl_task8[[SubPLOs]:[SubPLOs]],"&gt;=2",tbl_task8[[SubPLOs]:[SubPLOs]],"&lt;3")</f>
        <v>0</v>
      </c>
      <c r="N35" s="138">
        <f>SUMIFS(tbl_task8[S9],tbl_task8[[SubPLOs]:[SubPLOs]],"&gt;=2",tbl_task8[[SubPLOs]:[SubPLOs]],"&lt;3")</f>
        <v>0</v>
      </c>
      <c r="O35" s="138">
        <f>SUMIFS(tbl_task8[S10],tbl_task8[[SubPLOs]:[SubPLOs]],"&gt;=2",tbl_task8[[SubPLOs]:[SubPLOs]],"&lt;3")</f>
        <v>0</v>
      </c>
      <c r="P35" s="138">
        <f>SUMIFS(tbl_task8[S11],tbl_task8[[SubPLOs]:[SubPLOs]],"&gt;=2",tbl_task8[[SubPLOs]:[SubPLOs]],"&lt;3")</f>
        <v>0</v>
      </c>
      <c r="Q35" s="138">
        <f>SUMIFS(tbl_task8[S12],tbl_task8[[SubPLOs]:[SubPLOs]],"&gt;=2",tbl_task8[[SubPLOs]:[SubPLOs]],"&lt;3")</f>
        <v>0</v>
      </c>
      <c r="R35" s="138">
        <f>SUMIFS(tbl_task8[S13],tbl_task8[[SubPLOs]:[SubPLOs]],"&gt;=2",tbl_task8[[SubPLOs]:[SubPLOs]],"&lt;3")</f>
        <v>0</v>
      </c>
      <c r="S35" s="138">
        <f>SUMIFS(tbl_task8[S14],tbl_task8[[SubPLOs]:[SubPLOs]],"&gt;=2",tbl_task8[[SubPLOs]:[SubPLOs]],"&lt;3")</f>
        <v>0</v>
      </c>
      <c r="T35" s="138">
        <f>SUMIFS(tbl_task8[S15],tbl_task8[[SubPLOs]:[SubPLOs]],"&gt;=2",tbl_task8[[SubPLOs]:[SubPLOs]],"&lt;3")</f>
        <v>0</v>
      </c>
      <c r="U35" s="138">
        <f>SUMIFS(tbl_task8[S16],tbl_task8[[SubPLOs]:[SubPLOs]],"&gt;=2",tbl_task8[[SubPLOs]:[SubPLOs]],"&lt;3")</f>
        <v>0</v>
      </c>
      <c r="V35" s="138">
        <f>SUMIFS(tbl_task8[S17],tbl_task8[[SubPLOs]:[SubPLOs]],"&gt;=2",tbl_task8[[SubPLOs]:[SubPLOs]],"&lt;3")</f>
        <v>0</v>
      </c>
      <c r="W35" s="138">
        <f>SUMIFS(tbl_task8[S18],tbl_task8[[SubPLOs]:[SubPLOs]],"&gt;=2",tbl_task8[[SubPLOs]:[SubPLOs]],"&lt;3")</f>
        <v>0</v>
      </c>
      <c r="X35" s="138">
        <f>SUMIFS(tbl_task8[S19],tbl_task8[[SubPLOs]:[SubPLOs]],"&gt;=2",tbl_task8[[SubPLOs]:[SubPLOs]],"&lt;3")</f>
        <v>0</v>
      </c>
      <c r="Y35" s="138">
        <f>SUMIFS(tbl_task8[S20],tbl_task8[[SubPLOs]:[SubPLOs]],"&gt;=2",tbl_task8[[SubPLOs]:[SubPLOs]],"&lt;3")</f>
        <v>0</v>
      </c>
      <c r="Z35" s="138">
        <f>SUMIFS(tbl_task8[S21],tbl_task8[[SubPLOs]:[SubPLOs]],"&gt;=2",tbl_task8[[SubPLOs]:[SubPLOs]],"&lt;3")</f>
        <v>0</v>
      </c>
      <c r="AA35" s="138">
        <f>SUMIFS(tbl_task8[S22],tbl_task8[[SubPLOs]:[SubPLOs]],"&gt;=2",tbl_task8[[SubPLOs]:[SubPLOs]],"&lt;3")</f>
        <v>0</v>
      </c>
      <c r="AB35" s="138">
        <f>SUMIFS(tbl_task8[S23],tbl_task8[[SubPLOs]:[SubPLOs]],"&gt;=2",tbl_task8[[SubPLOs]:[SubPLOs]],"&lt;3")</f>
        <v>0</v>
      </c>
      <c r="AC35" s="138">
        <f>SUMIFS(tbl_task8[S24],tbl_task8[[SubPLOs]:[SubPLOs]],"&gt;=2",tbl_task8[[SubPLOs]:[SubPLOs]],"&lt;3")</f>
        <v>0</v>
      </c>
      <c r="AD35" s="138">
        <f>SUMIFS(tbl_task8[S25],tbl_task8[[SubPLOs]:[SubPLOs]],"&gt;=2",tbl_task8[[SubPLOs]:[SubPLOs]],"&lt;3")</f>
        <v>0</v>
      </c>
      <c r="AE35" s="138">
        <f>SUMIFS(tbl_task8[S26],tbl_task8[[SubPLOs]:[SubPLOs]],"&gt;=2",tbl_task8[[SubPLOs]:[SubPLOs]],"&lt;3")</f>
        <v>0</v>
      </c>
      <c r="AF35" s="138">
        <f>SUMIFS(tbl_task8[S27],tbl_task8[[SubPLOs]:[SubPLOs]],"&gt;=2",tbl_task8[[SubPLOs]:[SubPLOs]],"&lt;3")</f>
        <v>0</v>
      </c>
      <c r="AG35" s="138">
        <f>SUMIFS(tbl_task8[S28],tbl_task8[[SubPLOs]:[SubPLOs]],"&gt;=2",tbl_task8[[SubPLOs]:[SubPLOs]],"&lt;3")</f>
        <v>0</v>
      </c>
      <c r="AH35" s="138">
        <f>SUMIFS(tbl_task8[S29],tbl_task8[[SubPLOs]:[SubPLOs]],"&gt;=2",tbl_task8[[SubPLOs]:[SubPLOs]],"&lt;3")</f>
        <v>0</v>
      </c>
      <c r="AI35" s="138">
        <f>SUMIFS(tbl_task8[S30],tbl_task8[[SubPLOs]:[SubPLOs]],"&gt;=2",tbl_task8[[SubPLOs]:[SubPLOs]],"&lt;3")</f>
        <v>0</v>
      </c>
      <c r="AJ35" s="138">
        <f>SUMIFS(tbl_task8[S31],tbl_task8[[SubPLOs]:[SubPLOs]],"&gt;=2",tbl_task8[[SubPLOs]:[SubPLOs]],"&lt;3")</f>
        <v>0</v>
      </c>
      <c r="AK35" s="138">
        <f>SUMIFS(tbl_task8[S32],tbl_task8[[SubPLOs]:[SubPLOs]],"&gt;=2",tbl_task8[[SubPLOs]:[SubPLOs]],"&lt;3")</f>
        <v>0</v>
      </c>
      <c r="AL35" s="138">
        <f>SUMIFS(tbl_task8[S33],tbl_task8[[SubPLOs]:[SubPLOs]],"&gt;=2",tbl_task8[[SubPLOs]:[SubPLOs]],"&lt;3")</f>
        <v>0</v>
      </c>
      <c r="AM35" s="138">
        <f>SUMIFS(tbl_task8[S34],tbl_task8[[SubPLOs]:[SubPLOs]],"&gt;=2",tbl_task8[[SubPLOs]:[SubPLOs]],"&lt;3")</f>
        <v>0</v>
      </c>
      <c r="AN35" s="138">
        <f>SUMIFS(tbl_task8[S35],tbl_task8[[SubPLOs]:[SubPLOs]],"&gt;=2",tbl_task8[[SubPLOs]:[SubPLOs]],"&lt;3")</f>
        <v>0</v>
      </c>
      <c r="AO35" s="138">
        <f>SUMIFS(tbl_task8[S36],tbl_task8[[SubPLOs]:[SubPLOs]],"&gt;=2",tbl_task8[[SubPLOs]:[SubPLOs]],"&lt;3")</f>
        <v>0</v>
      </c>
      <c r="AP35" s="138">
        <f>SUMIFS(tbl_task8[S37],tbl_task8[[SubPLOs]:[SubPLOs]],"&gt;=2",tbl_task8[[SubPLOs]:[SubPLOs]],"&lt;3")</f>
        <v>0</v>
      </c>
      <c r="AQ35" s="138">
        <f>SUMIFS(tbl_task8[S38],tbl_task8[[SubPLOs]:[SubPLOs]],"&gt;=2",tbl_task8[[SubPLOs]:[SubPLOs]],"&lt;3")</f>
        <v>0</v>
      </c>
      <c r="AR35" s="138">
        <f>SUMIFS(tbl_task8[S39],tbl_task8[[SubPLOs]:[SubPLOs]],"&gt;=2",tbl_task8[[SubPLOs]:[SubPLOs]],"&lt;3")</f>
        <v>0</v>
      </c>
      <c r="AS35" s="138">
        <f>SUMIFS(tbl_task8[S40],tbl_task8[[SubPLOs]:[SubPLOs]],"&gt;=2",tbl_task8[[SubPLOs]:[SubPLOs]],"&lt;3")</f>
        <v>0</v>
      </c>
      <c r="AT35" s="138">
        <f>SUMIFS(tbl_task8[S41],tbl_task8[[SubPLOs]:[SubPLOs]],"&gt;=2",tbl_task8[[SubPLOs]:[SubPLOs]],"&lt;3")</f>
        <v>0</v>
      </c>
      <c r="AU35" s="138">
        <f>SUMIFS(tbl_task8[S42],tbl_task8[[SubPLOs]:[SubPLOs]],"&gt;=2",tbl_task8[[SubPLOs]:[SubPLOs]],"&lt;3")</f>
        <v>0</v>
      </c>
      <c r="AV35" s="138">
        <f>SUMIFS(tbl_task8[S43],tbl_task8[[SubPLOs]:[SubPLOs]],"&gt;=2",tbl_task8[[SubPLOs]:[SubPLOs]],"&lt;3")</f>
        <v>0</v>
      </c>
      <c r="AW35" s="138">
        <f>SUMIFS(tbl_task8[S44],tbl_task8[[SubPLOs]:[SubPLOs]],"&gt;=2",tbl_task8[[SubPLOs]:[SubPLOs]],"&lt;3")</f>
        <v>0</v>
      </c>
      <c r="AX35" s="138">
        <f>SUMIFS(tbl_task8[S45],tbl_task8[[SubPLOs]:[SubPLOs]],"&gt;=2",tbl_task8[[SubPLOs]:[SubPLOs]],"&lt;3")</f>
        <v>0</v>
      </c>
      <c r="AY35" s="138">
        <f>SUMIFS(tbl_task8[S46],tbl_task8[[SubPLOs]:[SubPLOs]],"&gt;=2",tbl_task8[[SubPLOs]:[SubPLOs]],"&lt;3")</f>
        <v>0</v>
      </c>
      <c r="AZ35" s="138">
        <f>SUMIFS(tbl_task8[S47],tbl_task8[[SubPLOs]:[SubPLOs]],"&gt;=2",tbl_task8[[SubPLOs]:[SubPLOs]],"&lt;3")</f>
        <v>0</v>
      </c>
      <c r="BA35" s="138">
        <f>SUMIFS(tbl_task8[S48],tbl_task8[[SubPLOs]:[SubPLOs]],"&gt;=2",tbl_task8[[SubPLOs]:[SubPLOs]],"&lt;3")</f>
        <v>0</v>
      </c>
      <c r="BB35" s="138">
        <f>SUMIFS(tbl_task8[S49],tbl_task8[[SubPLOs]:[SubPLOs]],"&gt;=2",tbl_task8[[SubPLOs]:[SubPLOs]],"&lt;3")</f>
        <v>0</v>
      </c>
      <c r="BC35" s="138">
        <f>SUMIFS(tbl_task8[S50],tbl_task8[[SubPLOs]:[SubPLOs]],"&gt;=2",tbl_task8[[SubPLOs]:[SubPLOs]],"&lt;3")</f>
        <v>0</v>
      </c>
      <c r="BD35" s="138">
        <f>SUMIFS(tbl_task8[S51],tbl_task8[[SubPLOs]:[SubPLOs]],"&gt;=2",tbl_task8[[SubPLOs]:[SubPLOs]],"&lt;3")</f>
        <v>0</v>
      </c>
      <c r="BE35" s="138">
        <f>SUMIFS(tbl_task8[S52],tbl_task8[[SubPLOs]:[SubPLOs]],"&gt;=2",tbl_task8[[SubPLOs]:[SubPLOs]],"&lt;3")</f>
        <v>0</v>
      </c>
      <c r="BF35" s="138">
        <f>SUMIFS(tbl_task8[S53],tbl_task8[[SubPLOs]:[SubPLOs]],"&gt;=2",tbl_task8[[SubPLOs]:[SubPLOs]],"&lt;3")</f>
        <v>0</v>
      </c>
      <c r="BG35" s="138">
        <f>SUMIFS(tbl_task8[S54],tbl_task8[[SubPLOs]:[SubPLOs]],"&gt;=2",tbl_task8[[SubPLOs]:[SubPLOs]],"&lt;3")</f>
        <v>0</v>
      </c>
      <c r="BH35" s="138">
        <f>SUMIFS(tbl_task8[S55],tbl_task8[[SubPLOs]:[SubPLOs]],"&gt;=2",tbl_task8[[SubPLOs]:[SubPLOs]],"&lt;3")</f>
        <v>0</v>
      </c>
      <c r="BI35" s="138">
        <f>SUMIFS(tbl_task8[S56],tbl_task8[[SubPLOs]:[SubPLOs]],"&gt;=2",tbl_task8[[SubPLOs]:[SubPLOs]],"&lt;3")</f>
        <v>0</v>
      </c>
      <c r="BJ35" s="138">
        <f>SUMIFS(tbl_task8[S57],tbl_task8[[SubPLOs]:[SubPLOs]],"&gt;=2",tbl_task8[[SubPLOs]:[SubPLOs]],"&lt;3")</f>
        <v>0</v>
      </c>
      <c r="BK35" s="138">
        <f>SUMIFS(tbl_task8[S58],tbl_task8[[SubPLOs]:[SubPLOs]],"&gt;=2",tbl_task8[[SubPLOs]:[SubPLOs]],"&lt;3")</f>
        <v>0</v>
      </c>
      <c r="BL35" s="138">
        <f>SUMIFS(tbl_task8[S59],tbl_task8[[SubPLOs]:[SubPLOs]],"&gt;=2",tbl_task8[[SubPLOs]:[SubPLOs]],"&lt;3")</f>
        <v>0</v>
      </c>
      <c r="BM35" s="138">
        <f>SUMIFS(tbl_task8[S60],tbl_task8[[SubPLOs]:[SubPLOs]],"&gt;=2",tbl_task8[[SubPLOs]:[SubPLOs]],"&lt;3")</f>
        <v>0</v>
      </c>
      <c r="BN35" s="138">
        <f>SUMIFS(tbl_task8[S61],tbl_task8[[SubPLOs]:[SubPLOs]],"&gt;=2",tbl_task8[[SubPLOs]:[SubPLOs]],"&lt;3")</f>
        <v>0</v>
      </c>
      <c r="BO35" s="138">
        <f>SUMIFS(tbl_task8[S62],tbl_task8[[SubPLOs]:[SubPLOs]],"&gt;=2",tbl_task8[[SubPLOs]:[SubPLOs]],"&lt;3")</f>
        <v>0</v>
      </c>
      <c r="BP35" s="138">
        <f>SUMIFS(tbl_task8[S63],tbl_task8[[SubPLOs]:[SubPLOs]],"&gt;=2",tbl_task8[[SubPLOs]:[SubPLOs]],"&lt;3")</f>
        <v>0</v>
      </c>
      <c r="BQ35" s="138">
        <f>SUMIFS(tbl_task8[S64],tbl_task8[[SubPLOs]:[SubPLOs]],"&gt;=2",tbl_task8[[SubPLOs]:[SubPLOs]],"&lt;3")</f>
        <v>0</v>
      </c>
      <c r="BR35" s="138">
        <f>SUMIFS(tbl_task8[S65],tbl_task8[[SubPLOs]:[SubPLOs]],"&gt;=2",tbl_task8[[SubPLOs]:[SubPLOs]],"&lt;3")</f>
        <v>0</v>
      </c>
      <c r="BS35" s="138">
        <f>SUMIFS(tbl_task8[S66],tbl_task8[[SubPLOs]:[SubPLOs]],"&gt;=2",tbl_task8[[SubPLOs]:[SubPLOs]],"&lt;3")</f>
        <v>0</v>
      </c>
      <c r="BT35" s="138">
        <f>SUMIFS(tbl_task8[S67],tbl_task8[[SubPLOs]:[SubPLOs]],"&gt;=2",tbl_task8[[SubPLOs]:[SubPLOs]],"&lt;3")</f>
        <v>0</v>
      </c>
      <c r="BU35" s="138">
        <f>SUMIFS(tbl_task8[S68],tbl_task8[[SubPLOs]:[SubPLOs]],"&gt;=2",tbl_task8[[SubPLOs]:[SubPLOs]],"&lt;3")</f>
        <v>0</v>
      </c>
      <c r="BV35" s="138">
        <f>SUMIFS(tbl_task8[S69],tbl_task8[[SubPLOs]:[SubPLOs]],"&gt;=2",tbl_task8[[SubPLOs]:[SubPLOs]],"&lt;3")</f>
        <v>0</v>
      </c>
      <c r="BW35" s="138">
        <f>SUMIFS(tbl_task8[S70],tbl_task8[[SubPLOs]:[SubPLOs]],"&gt;=2",tbl_task8[[SubPLOs]:[SubPLOs]],"&lt;3")</f>
        <v>0</v>
      </c>
      <c r="BX35" s="138">
        <f>SUMIFS(tbl_task8[S71],tbl_task8[[SubPLOs]:[SubPLOs]],"&gt;=2",tbl_task8[[SubPLOs]:[SubPLOs]],"&lt;3")</f>
        <v>0</v>
      </c>
      <c r="BY35" s="138">
        <f>SUMIFS(tbl_task8[S72],tbl_task8[[SubPLOs]:[SubPLOs]],"&gt;=2",tbl_task8[[SubPLOs]:[SubPLOs]],"&lt;3")</f>
        <v>0</v>
      </c>
      <c r="BZ35" s="138">
        <f>SUMIFS(tbl_task8[S73],tbl_task8[[SubPLOs]:[SubPLOs]],"&gt;=2",tbl_task8[[SubPLOs]:[SubPLOs]],"&lt;3")</f>
        <v>0</v>
      </c>
      <c r="CA35" s="138">
        <f>SUMIFS(tbl_task8[S74],tbl_task8[[SubPLOs]:[SubPLOs]],"&gt;=2",tbl_task8[[SubPLOs]:[SubPLOs]],"&lt;3")</f>
        <v>0</v>
      </c>
      <c r="CB35" s="138">
        <f>SUMIFS(tbl_task8[S75],tbl_task8[[SubPLOs]:[SubPLOs]],"&gt;=2",tbl_task8[[SubPLOs]:[SubPLOs]],"&lt;3")</f>
        <v>0</v>
      </c>
      <c r="CC35" s="138">
        <f>SUMIFS(tbl_task8[S76],tbl_task8[[SubPLOs]:[SubPLOs]],"&gt;=2",tbl_task8[[SubPLOs]:[SubPLOs]],"&lt;3")</f>
        <v>0</v>
      </c>
      <c r="CD35" s="138">
        <f>SUMIFS(tbl_task8[S77],tbl_task8[[SubPLOs]:[SubPLOs]],"&gt;=2",tbl_task8[[SubPLOs]:[SubPLOs]],"&lt;3")</f>
        <v>0</v>
      </c>
      <c r="CE35" s="138">
        <f>SUMIFS(tbl_task8[S78],tbl_task8[[SubPLOs]:[SubPLOs]],"&gt;=2",tbl_task8[[SubPLOs]:[SubPLOs]],"&lt;3")</f>
        <v>0</v>
      </c>
      <c r="CF35" s="138">
        <f>SUMIFS(tbl_task8[S79],tbl_task8[[SubPLOs]:[SubPLOs]],"&gt;=2",tbl_task8[[SubPLOs]:[SubPLOs]],"&lt;3")</f>
        <v>0</v>
      </c>
      <c r="CG35" s="138">
        <f>SUMIFS(tbl_task8[S80],tbl_task8[[SubPLOs]:[SubPLOs]],"&gt;=2",tbl_task8[[SubPLOs]:[SubPLOs]],"&lt;3")</f>
        <v>0</v>
      </c>
      <c r="CH35" s="138">
        <f>SUMIFS(tbl_task8[S81],tbl_task8[[SubPLOs]:[SubPLOs]],"&gt;=2",tbl_task8[[SubPLOs]:[SubPLOs]],"&lt;3")</f>
        <v>0</v>
      </c>
      <c r="CI35" s="138">
        <f>SUMIFS(tbl_task8[S82],tbl_task8[[SubPLOs]:[SubPLOs]],"&gt;=2",tbl_task8[[SubPLOs]:[SubPLOs]],"&lt;3")</f>
        <v>0</v>
      </c>
      <c r="CJ35" s="138">
        <f>SUMIFS(tbl_task8[S83],tbl_task8[[SubPLOs]:[SubPLOs]],"&gt;=2",tbl_task8[[SubPLOs]:[SubPLOs]],"&lt;3")</f>
        <v>0</v>
      </c>
      <c r="CK35" s="138">
        <f>SUMIFS(tbl_task8[S84],tbl_task8[[SubPLOs]:[SubPLOs]],"&gt;=2",tbl_task8[[SubPLOs]:[SubPLOs]],"&lt;3")</f>
        <v>0</v>
      </c>
      <c r="CL35" s="138">
        <f>SUMIFS(tbl_task8[S85],tbl_task8[[SubPLOs]:[SubPLOs]],"&gt;=2",tbl_task8[[SubPLOs]:[SubPLOs]],"&lt;3")</f>
        <v>0</v>
      </c>
      <c r="CM35" s="138">
        <f>SUMIFS(tbl_task8[S86],tbl_task8[[SubPLOs]:[SubPLOs]],"&gt;=2",tbl_task8[[SubPLOs]:[SubPLOs]],"&lt;3")</f>
        <v>0</v>
      </c>
      <c r="CN35" s="138">
        <f>SUMIFS(tbl_task8[S87],tbl_task8[[SubPLOs]:[SubPLOs]],"&gt;=2",tbl_task8[[SubPLOs]:[SubPLOs]],"&lt;3")</f>
        <v>0</v>
      </c>
      <c r="CO35" s="138">
        <f>SUMIFS(tbl_task8[S88],tbl_task8[[SubPLOs]:[SubPLOs]],"&gt;=2",tbl_task8[[SubPLOs]:[SubPLOs]],"&lt;3")</f>
        <v>0</v>
      </c>
      <c r="CP35" s="138">
        <f>SUMIFS(tbl_task8[S89],tbl_task8[[SubPLOs]:[SubPLOs]],"&gt;=2",tbl_task8[[SubPLOs]:[SubPLOs]],"&lt;3")</f>
        <v>0</v>
      </c>
      <c r="CQ35" s="138">
        <f>SUMIFS(tbl_task8[S90],tbl_task8[[SubPLOs]:[SubPLOs]],"&gt;=2",tbl_task8[[SubPLOs]:[SubPLOs]],"&lt;3")</f>
        <v>0</v>
      </c>
      <c r="CR35" s="138">
        <f>SUMIFS(tbl_task8[S91],tbl_task8[[SubPLOs]:[SubPLOs]],"&gt;=2",tbl_task8[[SubPLOs]:[SubPLOs]],"&lt;3")</f>
        <v>0</v>
      </c>
      <c r="CS35" s="138">
        <f>SUMIFS(tbl_task8[S92],tbl_task8[[SubPLOs]:[SubPLOs]],"&gt;=2",tbl_task8[[SubPLOs]:[SubPLOs]],"&lt;3")</f>
        <v>0</v>
      </c>
      <c r="CT35" s="138">
        <f>SUMIFS(tbl_task8[S93],tbl_task8[[SubPLOs]:[SubPLOs]],"&gt;=2",tbl_task8[[SubPLOs]:[SubPLOs]],"&lt;3")</f>
        <v>0</v>
      </c>
      <c r="CU35" s="138">
        <f>SUMIFS(tbl_task8[S94],tbl_task8[[SubPLOs]:[SubPLOs]],"&gt;=2",tbl_task8[[SubPLOs]:[SubPLOs]],"&lt;3")</f>
        <v>0</v>
      </c>
      <c r="CV35" s="138">
        <f>SUMIFS(tbl_task8[S95],tbl_task8[[SubPLOs]:[SubPLOs]],"&gt;=2",tbl_task8[[SubPLOs]:[SubPLOs]],"&lt;3")</f>
        <v>0</v>
      </c>
      <c r="CW35" s="138">
        <f>SUMIFS(tbl_task8[S96],tbl_task8[[SubPLOs]:[SubPLOs]],"&gt;=2",tbl_task8[[SubPLOs]:[SubPLOs]],"&lt;3")</f>
        <v>0</v>
      </c>
      <c r="CX35" s="138">
        <f>SUMIFS(tbl_task8[S97],tbl_task8[[SubPLOs]:[SubPLOs]],"&gt;=2",tbl_task8[[SubPLOs]:[SubPLOs]],"&lt;3")</f>
        <v>0</v>
      </c>
      <c r="CY35" s="138">
        <f>SUMIFS(tbl_task8[S98],tbl_task8[[SubPLOs]:[SubPLOs]],"&gt;=2",tbl_task8[[SubPLOs]:[SubPLOs]],"&lt;3")</f>
        <v>0</v>
      </c>
      <c r="CZ35" s="138">
        <f>SUMIFS(tbl_task8[S99],tbl_task8[[SubPLOs]:[SubPLOs]],"&gt;=2",tbl_task8[[SubPLOs]:[SubPLOs]],"&lt;3")</f>
        <v>0</v>
      </c>
      <c r="DA35" s="138">
        <f>SUMIFS(tbl_task8[S100],tbl_task8[[SubPLOs]:[SubPLOs]],"&gt;=2",tbl_task8[[SubPLOs]:[SubPLOs]],"&lt;3")</f>
        <v>0</v>
      </c>
      <c r="DB35" s="138">
        <f>SUMIFS(tbl_task8[S101],tbl_task8[[SubPLOs]:[SubPLOs]],"&gt;=2",tbl_task8[[SubPLOs]:[SubPLOs]],"&lt;3")</f>
        <v>0</v>
      </c>
      <c r="DC35" s="138">
        <f>SUMIFS(tbl_task8[S102],tbl_task8[[SubPLOs]:[SubPLOs]],"&gt;=2",tbl_task8[[SubPLOs]:[SubPLOs]],"&lt;3")</f>
        <v>0</v>
      </c>
      <c r="DD35" s="138">
        <f>SUMIFS(tbl_task8[S103],tbl_task8[[SubPLOs]:[SubPLOs]],"&gt;=2",tbl_task8[[SubPLOs]:[SubPLOs]],"&lt;3")</f>
        <v>0</v>
      </c>
      <c r="DE35" s="138">
        <f>SUMIFS(tbl_task8[S104],tbl_task8[[SubPLOs]:[SubPLOs]],"&gt;=2",tbl_task8[[SubPLOs]:[SubPLOs]],"&lt;3")</f>
        <v>0</v>
      </c>
      <c r="DF35" s="138">
        <f>SUMIFS(tbl_task8[S105],tbl_task8[[SubPLOs]:[SubPLOs]],"&gt;=2",tbl_task8[[SubPLOs]:[SubPLOs]],"&lt;3")</f>
        <v>0</v>
      </c>
      <c r="DG35" s="138">
        <f>SUMIFS(tbl_task8[S106],tbl_task8[[SubPLOs]:[SubPLOs]],"&gt;=2",tbl_task8[[SubPLOs]:[SubPLOs]],"&lt;3")</f>
        <v>0</v>
      </c>
      <c r="DH35" s="138">
        <f>SUMIFS(tbl_task8[S106],tbl_task8[[SubPLOs]:[SubPLOs]],"&gt;=2",tbl_task8[[SubPLOs]:[SubPLOs]],"&lt;3")</f>
        <v>0</v>
      </c>
      <c r="DI35" s="138">
        <f>SUMIFS(tbl_task8[S108],tbl_task8[[SubPLOs]:[SubPLOs]],"&gt;=2",tbl_task8[[SubPLOs]:[SubPLOs]],"&lt;3")</f>
        <v>0</v>
      </c>
      <c r="DJ35" s="138">
        <f>SUMIFS(tbl_task8[S109],tbl_task8[[SubPLOs]:[SubPLOs]],"&gt;=2",tbl_task8[[SubPLOs]:[SubPLOs]],"&lt;3")</f>
        <v>0</v>
      </c>
      <c r="DK35" s="138">
        <f>SUMIFS(tbl_task8[S110],tbl_task8[[SubPLOs]:[SubPLOs]],"&gt;=2",tbl_task8[[SubPLOs]:[SubPLOs]],"&lt;3")</f>
        <v>0</v>
      </c>
      <c r="DL35" s="138">
        <f>SUMIFS(tbl_task8[S111],tbl_task8[[SubPLOs]:[SubPLOs]],"&gt;=2",tbl_task8[[SubPLOs]:[SubPLOs]],"&lt;3")</f>
        <v>0</v>
      </c>
      <c r="DM35" s="138">
        <f>SUMIFS(tbl_task8[S112],tbl_task8[[SubPLOs]:[SubPLOs]],"&gt;=2",tbl_task8[[SubPLOs]:[SubPLOs]],"&lt;3")</f>
        <v>0</v>
      </c>
      <c r="DN35" s="138">
        <f>SUMIFS(tbl_task8[S113],tbl_task8[[SubPLOs]:[SubPLOs]],"&gt;=2",tbl_task8[[SubPLOs]:[SubPLOs]],"&lt;3")</f>
        <v>0</v>
      </c>
      <c r="DO35" s="138">
        <f>SUMIFS(tbl_task8[S114],tbl_task8[[SubPLOs]:[SubPLOs]],"&gt;=2",tbl_task8[[SubPLOs]:[SubPLOs]],"&lt;3")</f>
        <v>0</v>
      </c>
      <c r="DP35" s="138">
        <f>SUMIFS(tbl_task8[S115],tbl_task8[[SubPLOs]:[SubPLOs]],"&gt;=2",tbl_task8[[SubPLOs]:[SubPLOs]],"&lt;3")</f>
        <v>0</v>
      </c>
      <c r="DQ35" s="138">
        <f>SUMIFS(tbl_task8[S116],tbl_task8[[SubPLOs]:[SubPLOs]],"&gt;=2",tbl_task8[[SubPLOs]:[SubPLOs]],"&lt;3")</f>
        <v>0</v>
      </c>
      <c r="DR35" s="138">
        <f>SUMIFS(tbl_task8[S117],tbl_task8[[SubPLOs]:[SubPLOs]],"&gt;=2",tbl_task8[[SubPLOs]:[SubPLOs]],"&lt;3")</f>
        <v>0</v>
      </c>
      <c r="DS35" s="138">
        <f>SUMIFS(tbl_task8[S118],tbl_task8[[SubPLOs]:[SubPLOs]],"&gt;=2",tbl_task8[[SubPLOs]:[SubPLOs]],"&lt;3")</f>
        <v>0</v>
      </c>
      <c r="DT35" s="138">
        <f>SUMIFS(tbl_task8[S119],tbl_task8[[SubPLOs]:[SubPLOs]],"&gt;=2",tbl_task8[[SubPLOs]:[SubPLOs]],"&lt;3")</f>
        <v>0</v>
      </c>
      <c r="DU35" s="138">
        <f>SUMIFS(tbl_task8[S120],tbl_task8[[SubPLOs]:[SubPLOs]],"&gt;=2",tbl_task8[[SubPLOs]:[SubPLOs]],"&lt;3")</f>
        <v>0</v>
      </c>
      <c r="DV35" s="138">
        <f>SUMIFS(tbl_task8[S121],tbl_task8[[SubPLOs]:[SubPLOs]],"&gt;=2",tbl_task8[[SubPLOs]:[SubPLOs]],"&lt;3")</f>
        <v>0</v>
      </c>
      <c r="DW35" s="138">
        <f>SUMIFS(tbl_task8[S122],tbl_task8[[SubPLOs]:[SubPLOs]],"&gt;=2",tbl_task8[[SubPLOs]:[SubPLOs]],"&lt;3")</f>
        <v>0</v>
      </c>
      <c r="DX35" s="138">
        <f>SUMIFS(tbl_task8[S123],tbl_task8[[SubPLOs]:[SubPLOs]],"&gt;=2",tbl_task8[[SubPLOs]:[SubPLOs]],"&lt;3")</f>
        <v>0</v>
      </c>
      <c r="DY35" s="138">
        <f>SUMIFS(tbl_task8[S124],tbl_task8[[SubPLOs]:[SubPLOs]],"&gt;=2",tbl_task8[[SubPLOs]:[SubPLOs]],"&lt;3")</f>
        <v>0</v>
      </c>
      <c r="DZ35" s="138">
        <f>SUMIFS(tbl_task8[S125],tbl_task8[[SubPLOs]:[SubPLOs]],"&gt;=2",tbl_task8[[SubPLOs]:[SubPLOs]],"&lt;3")</f>
        <v>0</v>
      </c>
      <c r="EA35" s="138">
        <f>SUMIFS(tbl_task8[S126],tbl_task8[[SubPLOs]:[SubPLOs]],"&gt;=2",tbl_task8[[SubPLOs]:[SubPLOs]],"&lt;3")</f>
        <v>0</v>
      </c>
      <c r="EB35" s="138">
        <f>SUMIFS(tbl_task8[S127],tbl_task8[[SubPLOs]:[SubPLOs]],"&gt;=2",tbl_task8[[SubPLOs]:[SubPLOs]],"&lt;3")</f>
        <v>0</v>
      </c>
      <c r="EC35" s="138">
        <f>SUMIFS(tbl_task8[S128],tbl_task8[[SubPLOs]:[SubPLOs]],"&gt;=2",tbl_task8[[SubPLOs]:[SubPLOs]],"&lt;3")</f>
        <v>0</v>
      </c>
      <c r="ED35" s="138">
        <f>SUMIFS(tbl_task8[S129],tbl_task8[[SubPLOs]:[SubPLOs]],"&gt;=2",tbl_task8[[SubPLOs]:[SubPLOs]],"&lt;3")</f>
        <v>0</v>
      </c>
      <c r="EE35" s="138">
        <f>SUMIFS(tbl_task8[S130],tbl_task8[[SubPLOs]:[SubPLOs]],"&gt;=2",tbl_task8[[SubPLOs]:[SubPLOs]],"&lt;3")</f>
        <v>0</v>
      </c>
      <c r="EF35" s="138">
        <f>SUMIFS(tbl_task8[S131],tbl_task8[[SubPLOs]:[SubPLOs]],"&gt;=2",tbl_task8[[SubPLOs]:[SubPLOs]],"&lt;3")</f>
        <v>0</v>
      </c>
      <c r="EG35" s="138">
        <f>SUMIFS(tbl_task8[S132],tbl_task8[[SubPLOs]:[SubPLOs]],"&gt;=2",tbl_task8[[SubPLOs]:[SubPLOs]],"&lt;3")</f>
        <v>0</v>
      </c>
      <c r="EH35" s="138">
        <f>SUMIFS(tbl_task8[S133],tbl_task8[[SubPLOs]:[SubPLOs]],"&gt;=2",tbl_task8[[SubPLOs]:[SubPLOs]],"&lt;3")</f>
        <v>0</v>
      </c>
      <c r="EI35" s="138">
        <f>SUMIFS(tbl_task8[S134],tbl_task8[[SubPLOs]:[SubPLOs]],"&gt;=2",tbl_task8[[SubPLOs]:[SubPLOs]],"&lt;3")</f>
        <v>0</v>
      </c>
      <c r="EJ35" s="138">
        <f>SUMIFS(tbl_task8[S135],tbl_task8[[SubPLOs]:[SubPLOs]],"&gt;=2",tbl_task8[[SubPLOs]:[SubPLOs]],"&lt;3")</f>
        <v>0</v>
      </c>
      <c r="EK35" s="138">
        <f>SUMIFS(tbl_task8[S136],tbl_task8[[SubPLOs]:[SubPLOs]],"&gt;=2",tbl_task8[[SubPLOs]:[SubPLOs]],"&lt;3")</f>
        <v>0</v>
      </c>
      <c r="EL35" s="138">
        <f>SUMIFS(tbl_task8[S137],tbl_task8[[SubPLOs]:[SubPLOs]],"&gt;=2",tbl_task8[[SubPLOs]:[SubPLOs]],"&lt;3")</f>
        <v>0</v>
      </c>
      <c r="EM35" s="138">
        <f>SUMIFS(tbl_task8[S138],tbl_task8[[SubPLOs]:[SubPLOs]],"&gt;=2",tbl_task8[[SubPLOs]:[SubPLOs]],"&lt;3")</f>
        <v>0</v>
      </c>
      <c r="EN35" s="138">
        <f>SUMIFS(tbl_task8[S139],tbl_task8[[SubPLOs]:[SubPLOs]],"&gt;=2",tbl_task8[[SubPLOs]:[SubPLOs]],"&lt;3")</f>
        <v>0</v>
      </c>
      <c r="EO35" s="138">
        <f>SUMIFS(tbl_task8[S140],tbl_task8[[SubPLOs]:[SubPLOs]],"&gt;=2",tbl_task8[[SubPLOs]:[SubPLOs]],"&lt;3")</f>
        <v>0</v>
      </c>
      <c r="EP35" s="138">
        <f>SUMIFS(tbl_task8[S141],tbl_task8[[SubPLOs]:[SubPLOs]],"&gt;=2",tbl_task8[[SubPLOs]:[SubPLOs]],"&lt;3")</f>
        <v>0</v>
      </c>
      <c r="EQ35" s="138">
        <f>SUMIFS(tbl_task8[S142],tbl_task8[[SubPLOs]:[SubPLOs]],"&gt;=2",tbl_task8[[SubPLOs]:[SubPLOs]],"&lt;3")</f>
        <v>0</v>
      </c>
      <c r="ER35" s="138">
        <f>SUMIFS(tbl_task8[S143],tbl_task8[[SubPLOs]:[SubPLOs]],"&gt;=2",tbl_task8[[SubPLOs]:[SubPLOs]],"&lt;3")</f>
        <v>0</v>
      </c>
      <c r="ES35" s="138">
        <f>SUMIFS(tbl_task8[S144],tbl_task8[[SubPLOs]:[SubPLOs]],"&gt;=2",tbl_task8[[SubPLOs]:[SubPLOs]],"&lt;3")</f>
        <v>0</v>
      </c>
      <c r="ET35" s="138">
        <f>SUMIFS(tbl_task8[S145],tbl_task8[[SubPLOs]:[SubPLOs]],"&gt;=2",tbl_task8[[SubPLOs]:[SubPLOs]],"&lt;3")</f>
        <v>0</v>
      </c>
      <c r="EU35" s="138">
        <f>SUMIFS(tbl_task8[S146],tbl_task8[[SubPLOs]:[SubPLOs]],"&gt;=2",tbl_task8[[SubPLOs]:[SubPLOs]],"&lt;3")</f>
        <v>0</v>
      </c>
      <c r="EV35" s="138">
        <f>SUMIFS(tbl_task8[S147],tbl_task8[[SubPLOs]:[SubPLOs]],"&gt;=2",tbl_task8[[SubPLOs]:[SubPLOs]],"&lt;3")</f>
        <v>0</v>
      </c>
      <c r="EW35" s="138">
        <f>SUMIFS(tbl_task8[S148],tbl_task8[[SubPLOs]:[SubPLOs]],"&gt;=2",tbl_task8[[SubPLOs]:[SubPLOs]],"&lt;3")</f>
        <v>0</v>
      </c>
      <c r="EX35" s="138">
        <f>SUMIFS(tbl_task8[S149],tbl_task8[[SubPLOs]:[SubPLOs]],"&gt;=2",tbl_task8[[SubPLOs]:[SubPLOs]],"&lt;3")</f>
        <v>0</v>
      </c>
      <c r="EY35" s="138">
        <f>SUMIFS(tbl_task8[S150],tbl_task8[[SubPLOs]:[SubPLOs]],"&gt;=2",tbl_task8[[SubPLOs]:[SubPLOs]],"&lt;3")</f>
        <v>0</v>
      </c>
      <c r="EZ35" s="138">
        <f>SUMIFS(tbl_task8[S151],tbl_task8[[SubPLOs]:[SubPLOs]],"&gt;=2",tbl_task8[[SubPLOs]:[SubPLOs]],"&lt;3")</f>
        <v>0</v>
      </c>
      <c r="FA35" s="138">
        <f>SUMIFS(tbl_task8[S152],tbl_task8[[SubPLOs]:[SubPLOs]],"&gt;=2",tbl_task8[[SubPLOs]:[SubPLOs]],"&lt;3")</f>
        <v>0</v>
      </c>
      <c r="FB35" s="138">
        <f>SUMIFS(tbl_task8[S153],tbl_task8[[SubPLOs]:[SubPLOs]],"&gt;=2",tbl_task8[[SubPLOs]:[SubPLOs]],"&lt;3")</f>
        <v>0</v>
      </c>
      <c r="FC35" s="138">
        <f>SUMIFS(tbl_task8[S154],tbl_task8[[SubPLOs]:[SubPLOs]],"&gt;=2",tbl_task8[[SubPLOs]:[SubPLOs]],"&lt;3")</f>
        <v>0</v>
      </c>
      <c r="FD35" s="138">
        <f>SUMIFS(tbl_task8[S155],tbl_task8[[SubPLOs]:[SubPLOs]],"&gt;=2",tbl_task8[[SubPLOs]:[SubPLOs]],"&lt;3")</f>
        <v>0</v>
      </c>
      <c r="FE35" s="138">
        <f>SUMIFS(tbl_task8[S156],tbl_task8[[SubPLOs]:[SubPLOs]],"&gt;=2",tbl_task8[[SubPLOs]:[SubPLOs]],"&lt;3")</f>
        <v>0</v>
      </c>
      <c r="FF35" s="138">
        <f>SUMIFS(tbl_task8[S157],tbl_task8[[SubPLOs]:[SubPLOs]],"&gt;=2",tbl_task8[[SubPLOs]:[SubPLOs]],"&lt;3")</f>
        <v>0</v>
      </c>
      <c r="FG35" s="138">
        <f>SUMIFS(tbl_task8[S158],tbl_task8[[SubPLOs]:[SubPLOs]],"&gt;=2",tbl_task8[[SubPLOs]:[SubPLOs]],"&lt;3")</f>
        <v>0</v>
      </c>
      <c r="FH35" s="138">
        <f>SUMIFS(tbl_task8[S159],tbl_task8[[SubPLOs]:[SubPLOs]],"&gt;=2",tbl_task8[[SubPLOs]:[SubPLOs]],"&lt;3")</f>
        <v>0</v>
      </c>
      <c r="FI35" s="138">
        <f>SUMIFS(tbl_task8[S160],tbl_task8[[SubPLOs]:[SubPLOs]],"&gt;=2",tbl_task8[[SubPLOs]:[SubPLOs]],"&lt;3")</f>
        <v>0</v>
      </c>
      <c r="FJ35" s="138">
        <f>SUMIFS(tbl_task8[S161],tbl_task8[[SubPLOs]:[SubPLOs]],"&gt;=2",tbl_task8[[SubPLOs]:[SubPLOs]],"&lt;3")</f>
        <v>0</v>
      </c>
      <c r="FK35" s="138">
        <f>SUMIFS(tbl_task8[S162],tbl_task8[[SubPLOs]:[SubPLOs]],"&gt;=2",tbl_task8[[SubPLOs]:[SubPLOs]],"&lt;3")</f>
        <v>0</v>
      </c>
      <c r="FL35" s="138">
        <f>SUMIFS(tbl_task8[S163],tbl_task8[[SubPLOs]:[SubPLOs]],"&gt;=2",tbl_task8[[SubPLOs]:[SubPLOs]],"&lt;3")</f>
        <v>0</v>
      </c>
      <c r="FM35" s="138">
        <f>SUMIFS(tbl_task8[S164],tbl_task8[[SubPLOs]:[SubPLOs]],"&gt;=2",tbl_task8[[SubPLOs]:[SubPLOs]],"&lt;3")</f>
        <v>0</v>
      </c>
      <c r="FN35" s="138">
        <f>SUMIFS(tbl_task8[S165],tbl_task8[[SubPLOs]:[SubPLOs]],"&gt;=2",tbl_task8[[SubPLOs]:[SubPLOs]],"&lt;3")</f>
        <v>0</v>
      </c>
    </row>
    <row r="36" spans="1:170" ht="63" x14ac:dyDescent="0.25">
      <c r="A36" s="135">
        <v>3</v>
      </c>
      <c r="B36" s="5" t="s">
        <v>436</v>
      </c>
      <c r="C36" s="136">
        <f>COUNTIFS(tbl_task8[SubPLOs],"&gt;=3",tbl_task8[SubPLOs],"&lt;4")</f>
        <v>0</v>
      </c>
      <c r="D36" s="136">
        <f>SUMIFS(tbl_task8[คะแนนเต็ม],tbl_task8[SubPLOs],"&gt;=3",tbl_task8[SubPLOs],"&lt;4")</f>
        <v>0</v>
      </c>
      <c r="E36" s="137">
        <f>SUMIFS(tbl_task8[%],tbl_task8[SubPLOs],"&gt;=3",tbl_task8[SubPLOs],"&lt;4")</f>
        <v>0</v>
      </c>
      <c r="F36" s="138">
        <f>SUMIFS(tbl_task8[S1],tbl_task8[[SubPLOs]:[SubPLOs]],"&gt;=3",tbl_task8[[SubPLOs]:[SubPLOs]],"&lt;4")</f>
        <v>0</v>
      </c>
      <c r="G36" s="138">
        <f>SUMIFS(tbl_task8[S2],tbl_task8[[SubPLOs]:[SubPLOs]],"&gt;=3",tbl_task8[[SubPLOs]:[SubPLOs]],"&lt;4")</f>
        <v>0</v>
      </c>
      <c r="H36" s="138">
        <f>SUMIFS(tbl_task8[S3],tbl_task8[[SubPLOs]:[SubPLOs]],"&gt;=3",tbl_task8[[SubPLOs]:[SubPLOs]],"&lt;4")</f>
        <v>0</v>
      </c>
      <c r="I36" s="138">
        <f>SUMIFS(tbl_task8[S4],tbl_task8[[SubPLOs]:[SubPLOs]],"&gt;=3",tbl_task8[[SubPLOs]:[SubPLOs]],"&lt;4")</f>
        <v>0</v>
      </c>
      <c r="J36" s="138">
        <f>SUMIFS(tbl_task8[S5],tbl_task8[[SubPLOs]:[SubPLOs]],"&gt;=3",tbl_task8[[SubPLOs]:[SubPLOs]],"&lt;4")</f>
        <v>0</v>
      </c>
      <c r="K36" s="138">
        <f>SUMIFS(tbl_task8[S6],tbl_task8[[SubPLOs]:[SubPLOs]],"&gt;=3",tbl_task8[[SubPLOs]:[SubPLOs]],"&lt;4")</f>
        <v>0</v>
      </c>
      <c r="L36" s="138">
        <f>SUMIFS(tbl_task8[S7],tbl_task8[[SubPLOs]:[SubPLOs]],"&gt;=3",tbl_task8[[SubPLOs]:[SubPLOs]],"&lt;4")</f>
        <v>0</v>
      </c>
      <c r="M36" s="138">
        <f>SUMIFS(tbl_task8[S8],tbl_task8[[SubPLOs]:[SubPLOs]],"&gt;=3",tbl_task8[[SubPLOs]:[SubPLOs]],"&lt;4")</f>
        <v>0</v>
      </c>
      <c r="N36" s="138">
        <f>SUMIFS(tbl_task8[S9],tbl_task8[[SubPLOs]:[SubPLOs]],"&gt;=3",tbl_task8[[SubPLOs]:[SubPLOs]],"&lt;4")</f>
        <v>0</v>
      </c>
      <c r="O36" s="138">
        <f>SUMIFS(tbl_task8[S10],tbl_task8[[SubPLOs]:[SubPLOs]],"&gt;=3",tbl_task8[[SubPLOs]:[SubPLOs]],"&lt;4")</f>
        <v>0</v>
      </c>
      <c r="P36" s="138">
        <f>SUMIFS(tbl_task8[S11],tbl_task8[[SubPLOs]:[SubPLOs]],"&gt;=3",tbl_task8[[SubPLOs]:[SubPLOs]],"&lt;4")</f>
        <v>0</v>
      </c>
      <c r="Q36" s="138">
        <f>SUMIFS(tbl_task8[S12],tbl_task8[[SubPLOs]:[SubPLOs]],"&gt;=3",tbl_task8[[SubPLOs]:[SubPLOs]],"&lt;4")</f>
        <v>0</v>
      </c>
      <c r="R36" s="138">
        <f>SUMIFS(tbl_task8[S13],tbl_task8[[SubPLOs]:[SubPLOs]],"&gt;=3",tbl_task8[[SubPLOs]:[SubPLOs]],"&lt;4")</f>
        <v>0</v>
      </c>
      <c r="S36" s="138">
        <f>SUMIFS(tbl_task8[S14],tbl_task8[[SubPLOs]:[SubPLOs]],"&gt;=3",tbl_task8[[SubPLOs]:[SubPLOs]],"&lt;4")</f>
        <v>0</v>
      </c>
      <c r="T36" s="138">
        <f>SUMIFS(tbl_task8[S15],tbl_task8[[SubPLOs]:[SubPLOs]],"&gt;=3",tbl_task8[[SubPLOs]:[SubPLOs]],"&lt;4")</f>
        <v>0</v>
      </c>
      <c r="U36" s="138">
        <f>SUMIFS(tbl_task8[S16],tbl_task8[[SubPLOs]:[SubPLOs]],"&gt;=3",tbl_task8[[SubPLOs]:[SubPLOs]],"&lt;4")</f>
        <v>0</v>
      </c>
      <c r="V36" s="138">
        <f>SUMIFS(tbl_task8[S17],tbl_task8[[SubPLOs]:[SubPLOs]],"&gt;=3",tbl_task8[[SubPLOs]:[SubPLOs]],"&lt;4")</f>
        <v>0</v>
      </c>
      <c r="W36" s="138">
        <f>SUMIFS(tbl_task8[S18],tbl_task8[[SubPLOs]:[SubPLOs]],"&gt;=3",tbl_task8[[SubPLOs]:[SubPLOs]],"&lt;4")</f>
        <v>0</v>
      </c>
      <c r="X36" s="138">
        <f>SUMIFS(tbl_task8[S19],tbl_task8[[SubPLOs]:[SubPLOs]],"&gt;=3",tbl_task8[[SubPLOs]:[SubPLOs]],"&lt;4")</f>
        <v>0</v>
      </c>
      <c r="Y36" s="138">
        <f>SUMIFS(tbl_task8[S20],tbl_task8[[SubPLOs]:[SubPLOs]],"&gt;=3",tbl_task8[[SubPLOs]:[SubPLOs]],"&lt;4")</f>
        <v>0</v>
      </c>
      <c r="Z36" s="138">
        <f>SUMIFS(tbl_task8[S21],tbl_task8[[SubPLOs]:[SubPLOs]],"&gt;=3",tbl_task8[[SubPLOs]:[SubPLOs]],"&lt;4")</f>
        <v>0</v>
      </c>
      <c r="AA36" s="138">
        <f>SUMIFS(tbl_task8[S22],tbl_task8[[SubPLOs]:[SubPLOs]],"&gt;=3",tbl_task8[[SubPLOs]:[SubPLOs]],"&lt;4")</f>
        <v>0</v>
      </c>
      <c r="AB36" s="138">
        <f>SUMIFS(tbl_task8[S23],tbl_task8[[SubPLOs]:[SubPLOs]],"&gt;=3",tbl_task8[[SubPLOs]:[SubPLOs]],"&lt;4")</f>
        <v>0</v>
      </c>
      <c r="AC36" s="138">
        <f>SUMIFS(tbl_task8[S24],tbl_task8[[SubPLOs]:[SubPLOs]],"&gt;=3",tbl_task8[[SubPLOs]:[SubPLOs]],"&lt;4")</f>
        <v>0</v>
      </c>
      <c r="AD36" s="138">
        <f>SUMIFS(tbl_task8[S25],tbl_task8[[SubPLOs]:[SubPLOs]],"&gt;=3",tbl_task8[[SubPLOs]:[SubPLOs]],"&lt;4")</f>
        <v>0</v>
      </c>
      <c r="AE36" s="138">
        <f>SUMIFS(tbl_task8[S26],tbl_task8[[SubPLOs]:[SubPLOs]],"&gt;=3",tbl_task8[[SubPLOs]:[SubPLOs]],"&lt;4")</f>
        <v>0</v>
      </c>
      <c r="AF36" s="138">
        <f>SUMIFS(tbl_task8[S27],tbl_task8[[SubPLOs]:[SubPLOs]],"&gt;=3",tbl_task8[[SubPLOs]:[SubPLOs]],"&lt;4")</f>
        <v>0</v>
      </c>
      <c r="AG36" s="138">
        <f>SUMIFS(tbl_task8[S28],tbl_task8[[SubPLOs]:[SubPLOs]],"&gt;=3",tbl_task8[[SubPLOs]:[SubPLOs]],"&lt;4")</f>
        <v>0</v>
      </c>
      <c r="AH36" s="138">
        <f>SUMIFS(tbl_task8[S29],tbl_task8[[SubPLOs]:[SubPLOs]],"&gt;=3",tbl_task8[[SubPLOs]:[SubPLOs]],"&lt;4")</f>
        <v>0</v>
      </c>
      <c r="AI36" s="138">
        <f>SUMIFS(tbl_task8[S30],tbl_task8[[SubPLOs]:[SubPLOs]],"&gt;=3",tbl_task8[[SubPLOs]:[SubPLOs]],"&lt;4")</f>
        <v>0</v>
      </c>
      <c r="AJ36" s="138">
        <f>SUMIFS(tbl_task8[S31],tbl_task8[[SubPLOs]:[SubPLOs]],"&gt;=3",tbl_task8[[SubPLOs]:[SubPLOs]],"&lt;4")</f>
        <v>0</v>
      </c>
      <c r="AK36" s="138">
        <f>SUMIFS(tbl_task8[S32],tbl_task8[[SubPLOs]:[SubPLOs]],"&gt;=3",tbl_task8[[SubPLOs]:[SubPLOs]],"&lt;4")</f>
        <v>0</v>
      </c>
      <c r="AL36" s="138">
        <f>SUMIFS(tbl_task8[S33],tbl_task8[[SubPLOs]:[SubPLOs]],"&gt;=3",tbl_task8[[SubPLOs]:[SubPLOs]],"&lt;4")</f>
        <v>0</v>
      </c>
      <c r="AM36" s="138">
        <f>SUMIFS(tbl_task8[S34],tbl_task8[[SubPLOs]:[SubPLOs]],"&gt;=3",tbl_task8[[SubPLOs]:[SubPLOs]],"&lt;4")</f>
        <v>0</v>
      </c>
      <c r="AN36" s="138">
        <f>SUMIFS(tbl_task8[S35],tbl_task8[[SubPLOs]:[SubPLOs]],"&gt;=3",tbl_task8[[SubPLOs]:[SubPLOs]],"&lt;4")</f>
        <v>0</v>
      </c>
      <c r="AO36" s="138">
        <f>SUMIFS(tbl_task8[S36],tbl_task8[[SubPLOs]:[SubPLOs]],"&gt;=3",tbl_task8[[SubPLOs]:[SubPLOs]],"&lt;4")</f>
        <v>0</v>
      </c>
      <c r="AP36" s="138">
        <f>SUMIFS(tbl_task8[S37],tbl_task8[[SubPLOs]:[SubPLOs]],"&gt;=3",tbl_task8[[SubPLOs]:[SubPLOs]],"&lt;4")</f>
        <v>0</v>
      </c>
      <c r="AQ36" s="138">
        <f>SUMIFS(tbl_task8[S38],tbl_task8[[SubPLOs]:[SubPLOs]],"&gt;=3",tbl_task8[[SubPLOs]:[SubPLOs]],"&lt;4")</f>
        <v>0</v>
      </c>
      <c r="AR36" s="138">
        <f>SUMIFS(tbl_task8[S39],tbl_task8[[SubPLOs]:[SubPLOs]],"&gt;=3",tbl_task8[[SubPLOs]:[SubPLOs]],"&lt;4")</f>
        <v>0</v>
      </c>
      <c r="AS36" s="138">
        <f>SUMIFS(tbl_task8[S40],tbl_task8[[SubPLOs]:[SubPLOs]],"&gt;=3",tbl_task8[[SubPLOs]:[SubPLOs]],"&lt;4")</f>
        <v>0</v>
      </c>
      <c r="AT36" s="138">
        <f>SUMIFS(tbl_task8[S41],tbl_task8[[SubPLOs]:[SubPLOs]],"&gt;=3",tbl_task8[[SubPLOs]:[SubPLOs]],"&lt;4")</f>
        <v>0</v>
      </c>
      <c r="AU36" s="138">
        <f>SUMIFS(tbl_task8[S42],tbl_task8[[SubPLOs]:[SubPLOs]],"&gt;=3",tbl_task8[[SubPLOs]:[SubPLOs]],"&lt;4")</f>
        <v>0</v>
      </c>
      <c r="AV36" s="138">
        <f>SUMIFS(tbl_task8[S43],tbl_task8[[SubPLOs]:[SubPLOs]],"&gt;=3",tbl_task8[[SubPLOs]:[SubPLOs]],"&lt;4")</f>
        <v>0</v>
      </c>
      <c r="AW36" s="138">
        <f>SUMIFS(tbl_task8[S44],tbl_task8[[SubPLOs]:[SubPLOs]],"&gt;=3",tbl_task8[[SubPLOs]:[SubPLOs]],"&lt;4")</f>
        <v>0</v>
      </c>
      <c r="AX36" s="138">
        <f>SUMIFS(tbl_task8[S45],tbl_task8[[SubPLOs]:[SubPLOs]],"&gt;=3",tbl_task8[[SubPLOs]:[SubPLOs]],"&lt;4")</f>
        <v>0</v>
      </c>
      <c r="AY36" s="138">
        <f>SUMIFS(tbl_task8[S46],tbl_task8[[SubPLOs]:[SubPLOs]],"&gt;=3",tbl_task8[[SubPLOs]:[SubPLOs]],"&lt;4")</f>
        <v>0</v>
      </c>
      <c r="AZ36" s="138">
        <f>SUMIFS(tbl_task8[S47],tbl_task8[[SubPLOs]:[SubPLOs]],"&gt;=3",tbl_task8[[SubPLOs]:[SubPLOs]],"&lt;4")</f>
        <v>0</v>
      </c>
      <c r="BA36" s="138">
        <f>SUMIFS(tbl_task8[S48],tbl_task8[[SubPLOs]:[SubPLOs]],"&gt;=3",tbl_task8[[SubPLOs]:[SubPLOs]],"&lt;4")</f>
        <v>0</v>
      </c>
      <c r="BB36" s="138">
        <f>SUMIFS(tbl_task8[S49],tbl_task8[[SubPLOs]:[SubPLOs]],"&gt;=3",tbl_task8[[SubPLOs]:[SubPLOs]],"&lt;4")</f>
        <v>0</v>
      </c>
      <c r="BC36" s="138">
        <f>SUMIFS(tbl_task8[S50],tbl_task8[[SubPLOs]:[SubPLOs]],"&gt;=3",tbl_task8[[SubPLOs]:[SubPLOs]],"&lt;4")</f>
        <v>0</v>
      </c>
      <c r="BD36" s="138">
        <f>SUMIFS(tbl_task8[S51],tbl_task8[[SubPLOs]:[SubPLOs]],"&gt;=3",tbl_task8[[SubPLOs]:[SubPLOs]],"&lt;4")</f>
        <v>0</v>
      </c>
      <c r="BE36" s="138">
        <f>SUMIFS(tbl_task8[S52],tbl_task8[[SubPLOs]:[SubPLOs]],"&gt;=3",tbl_task8[[SubPLOs]:[SubPLOs]],"&lt;4")</f>
        <v>0</v>
      </c>
      <c r="BF36" s="138">
        <f>SUMIFS(tbl_task8[S53],tbl_task8[[SubPLOs]:[SubPLOs]],"&gt;=3",tbl_task8[[SubPLOs]:[SubPLOs]],"&lt;4")</f>
        <v>0</v>
      </c>
      <c r="BG36" s="138">
        <f>SUMIFS(tbl_task8[S54],tbl_task8[[SubPLOs]:[SubPLOs]],"&gt;=3",tbl_task8[[SubPLOs]:[SubPLOs]],"&lt;4")</f>
        <v>0</v>
      </c>
      <c r="BH36" s="138">
        <f>SUMIFS(tbl_task8[S55],tbl_task8[[SubPLOs]:[SubPLOs]],"&gt;=3",tbl_task8[[SubPLOs]:[SubPLOs]],"&lt;4")</f>
        <v>0</v>
      </c>
      <c r="BI36" s="138">
        <f>SUMIFS(tbl_task8[S56],tbl_task8[[SubPLOs]:[SubPLOs]],"&gt;=3",tbl_task8[[SubPLOs]:[SubPLOs]],"&lt;4")</f>
        <v>0</v>
      </c>
      <c r="BJ36" s="138">
        <f>SUMIFS(tbl_task8[S57],tbl_task8[[SubPLOs]:[SubPLOs]],"&gt;=3",tbl_task8[[SubPLOs]:[SubPLOs]],"&lt;4")</f>
        <v>0</v>
      </c>
      <c r="BK36" s="138">
        <f>SUMIFS(tbl_task8[S58],tbl_task8[[SubPLOs]:[SubPLOs]],"&gt;=3",tbl_task8[[SubPLOs]:[SubPLOs]],"&lt;4")</f>
        <v>0</v>
      </c>
      <c r="BL36" s="138">
        <f>SUMIFS(tbl_task8[S59],tbl_task8[[SubPLOs]:[SubPLOs]],"&gt;=3",tbl_task8[[SubPLOs]:[SubPLOs]],"&lt;4")</f>
        <v>0</v>
      </c>
      <c r="BM36" s="138">
        <f>SUMIFS(tbl_task8[S60],tbl_task8[[SubPLOs]:[SubPLOs]],"&gt;=3",tbl_task8[[SubPLOs]:[SubPLOs]],"&lt;4")</f>
        <v>0</v>
      </c>
      <c r="BN36" s="138">
        <f>SUMIFS(tbl_task8[S61],tbl_task8[[SubPLOs]:[SubPLOs]],"&gt;=3",tbl_task8[[SubPLOs]:[SubPLOs]],"&lt;4")</f>
        <v>0</v>
      </c>
      <c r="BO36" s="138">
        <f>SUMIFS(tbl_task8[S62],tbl_task8[[SubPLOs]:[SubPLOs]],"&gt;=3",tbl_task8[[SubPLOs]:[SubPLOs]],"&lt;4")</f>
        <v>0</v>
      </c>
      <c r="BP36" s="138">
        <f>SUMIFS(tbl_task8[S63],tbl_task8[[SubPLOs]:[SubPLOs]],"&gt;=3",tbl_task8[[SubPLOs]:[SubPLOs]],"&lt;4")</f>
        <v>0</v>
      </c>
      <c r="BQ36" s="138">
        <f>SUMIFS(tbl_task8[S64],tbl_task8[[SubPLOs]:[SubPLOs]],"&gt;=3",tbl_task8[[SubPLOs]:[SubPLOs]],"&lt;4")</f>
        <v>0</v>
      </c>
      <c r="BR36" s="138">
        <f>SUMIFS(tbl_task8[S65],tbl_task8[[SubPLOs]:[SubPLOs]],"&gt;=3",tbl_task8[[SubPLOs]:[SubPLOs]],"&lt;4")</f>
        <v>0</v>
      </c>
      <c r="BS36" s="138">
        <f>SUMIFS(tbl_task8[S66],tbl_task8[[SubPLOs]:[SubPLOs]],"&gt;=3",tbl_task8[[SubPLOs]:[SubPLOs]],"&lt;4")</f>
        <v>0</v>
      </c>
      <c r="BT36" s="138">
        <f>SUMIFS(tbl_task8[S67],tbl_task8[[SubPLOs]:[SubPLOs]],"&gt;=3",tbl_task8[[SubPLOs]:[SubPLOs]],"&lt;4")</f>
        <v>0</v>
      </c>
      <c r="BU36" s="138">
        <f>SUMIFS(tbl_task8[S68],tbl_task8[[SubPLOs]:[SubPLOs]],"&gt;=3",tbl_task8[[SubPLOs]:[SubPLOs]],"&lt;4")</f>
        <v>0</v>
      </c>
      <c r="BV36" s="138">
        <f>SUMIFS(tbl_task8[S69],tbl_task8[[SubPLOs]:[SubPLOs]],"&gt;=3",tbl_task8[[SubPLOs]:[SubPLOs]],"&lt;4")</f>
        <v>0</v>
      </c>
      <c r="BW36" s="138">
        <f>SUMIFS(tbl_task8[S70],tbl_task8[[SubPLOs]:[SubPLOs]],"&gt;=3",tbl_task8[[SubPLOs]:[SubPLOs]],"&lt;4")</f>
        <v>0</v>
      </c>
      <c r="BX36" s="138">
        <f>SUMIFS(tbl_task8[S71],tbl_task8[[SubPLOs]:[SubPLOs]],"&gt;=3",tbl_task8[[SubPLOs]:[SubPLOs]],"&lt;4")</f>
        <v>0</v>
      </c>
      <c r="BY36" s="138">
        <f>SUMIFS(tbl_task8[S72],tbl_task8[[SubPLOs]:[SubPLOs]],"&gt;=3",tbl_task8[[SubPLOs]:[SubPLOs]],"&lt;4")</f>
        <v>0</v>
      </c>
      <c r="BZ36" s="138">
        <f>SUMIFS(tbl_task8[S73],tbl_task8[[SubPLOs]:[SubPLOs]],"&gt;=3",tbl_task8[[SubPLOs]:[SubPLOs]],"&lt;4")</f>
        <v>0</v>
      </c>
      <c r="CA36" s="138">
        <f>SUMIFS(tbl_task8[S74],tbl_task8[[SubPLOs]:[SubPLOs]],"&gt;=3",tbl_task8[[SubPLOs]:[SubPLOs]],"&lt;4")</f>
        <v>0</v>
      </c>
      <c r="CB36" s="138">
        <f>SUMIFS(tbl_task8[S75],tbl_task8[[SubPLOs]:[SubPLOs]],"&gt;=3",tbl_task8[[SubPLOs]:[SubPLOs]],"&lt;4")</f>
        <v>0</v>
      </c>
      <c r="CC36" s="138">
        <f>SUMIFS(tbl_task8[S76],tbl_task8[[SubPLOs]:[SubPLOs]],"&gt;=3",tbl_task8[[SubPLOs]:[SubPLOs]],"&lt;4")</f>
        <v>0</v>
      </c>
      <c r="CD36" s="138">
        <f>SUMIFS(tbl_task8[S77],tbl_task8[[SubPLOs]:[SubPLOs]],"&gt;=3",tbl_task8[[SubPLOs]:[SubPLOs]],"&lt;4")</f>
        <v>0</v>
      </c>
      <c r="CE36" s="138">
        <f>SUMIFS(tbl_task8[S78],tbl_task8[[SubPLOs]:[SubPLOs]],"&gt;=3",tbl_task8[[SubPLOs]:[SubPLOs]],"&lt;4")</f>
        <v>0</v>
      </c>
      <c r="CF36" s="138">
        <f>SUMIFS(tbl_task8[S79],tbl_task8[[SubPLOs]:[SubPLOs]],"&gt;=3",tbl_task8[[SubPLOs]:[SubPLOs]],"&lt;4")</f>
        <v>0</v>
      </c>
      <c r="CG36" s="138">
        <f>SUMIFS(tbl_task8[S80],tbl_task8[[SubPLOs]:[SubPLOs]],"&gt;=3",tbl_task8[[SubPLOs]:[SubPLOs]],"&lt;4")</f>
        <v>0</v>
      </c>
      <c r="CH36" s="138">
        <f>SUMIFS(tbl_task8[S81],tbl_task8[[SubPLOs]:[SubPLOs]],"&gt;=3",tbl_task8[[SubPLOs]:[SubPLOs]],"&lt;4")</f>
        <v>0</v>
      </c>
      <c r="CI36" s="138">
        <f>SUMIFS(tbl_task8[S82],tbl_task8[[SubPLOs]:[SubPLOs]],"&gt;=3",tbl_task8[[SubPLOs]:[SubPLOs]],"&lt;4")</f>
        <v>0</v>
      </c>
      <c r="CJ36" s="138">
        <f>SUMIFS(tbl_task8[S83],tbl_task8[[SubPLOs]:[SubPLOs]],"&gt;=3",tbl_task8[[SubPLOs]:[SubPLOs]],"&lt;4")</f>
        <v>0</v>
      </c>
      <c r="CK36" s="138">
        <f>SUMIFS(tbl_task8[S84],tbl_task8[[SubPLOs]:[SubPLOs]],"&gt;=3",tbl_task8[[SubPLOs]:[SubPLOs]],"&lt;4")</f>
        <v>0</v>
      </c>
      <c r="CL36" s="138">
        <f>SUMIFS(tbl_task8[S85],tbl_task8[[SubPLOs]:[SubPLOs]],"&gt;=3",tbl_task8[[SubPLOs]:[SubPLOs]],"&lt;4")</f>
        <v>0</v>
      </c>
      <c r="CM36" s="138">
        <f>SUMIFS(tbl_task8[S86],tbl_task8[[SubPLOs]:[SubPLOs]],"&gt;=3",tbl_task8[[SubPLOs]:[SubPLOs]],"&lt;4")</f>
        <v>0</v>
      </c>
      <c r="CN36" s="138">
        <f>SUMIFS(tbl_task8[S87],tbl_task8[[SubPLOs]:[SubPLOs]],"&gt;=3",tbl_task8[[SubPLOs]:[SubPLOs]],"&lt;4")</f>
        <v>0</v>
      </c>
      <c r="CO36" s="138">
        <f>SUMIFS(tbl_task8[S88],tbl_task8[[SubPLOs]:[SubPLOs]],"&gt;=3",tbl_task8[[SubPLOs]:[SubPLOs]],"&lt;4")</f>
        <v>0</v>
      </c>
      <c r="CP36" s="138">
        <f>SUMIFS(tbl_task8[S89],tbl_task8[[SubPLOs]:[SubPLOs]],"&gt;=3",tbl_task8[[SubPLOs]:[SubPLOs]],"&lt;4")</f>
        <v>0</v>
      </c>
      <c r="CQ36" s="138">
        <f>SUMIFS(tbl_task8[S90],tbl_task8[[SubPLOs]:[SubPLOs]],"&gt;=3",tbl_task8[[SubPLOs]:[SubPLOs]],"&lt;4")</f>
        <v>0</v>
      </c>
      <c r="CR36" s="138">
        <f>SUMIFS(tbl_task8[S91],tbl_task8[[SubPLOs]:[SubPLOs]],"&gt;=3",tbl_task8[[SubPLOs]:[SubPLOs]],"&lt;4")</f>
        <v>0</v>
      </c>
      <c r="CS36" s="138">
        <f>SUMIFS(tbl_task8[S92],tbl_task8[[SubPLOs]:[SubPLOs]],"&gt;=3",tbl_task8[[SubPLOs]:[SubPLOs]],"&lt;4")</f>
        <v>0</v>
      </c>
      <c r="CT36" s="138">
        <f>SUMIFS(tbl_task8[S93],tbl_task8[[SubPLOs]:[SubPLOs]],"&gt;=3",tbl_task8[[SubPLOs]:[SubPLOs]],"&lt;4")</f>
        <v>0</v>
      </c>
      <c r="CU36" s="138">
        <f>SUMIFS(tbl_task8[S94],tbl_task8[[SubPLOs]:[SubPLOs]],"&gt;=3",tbl_task8[[SubPLOs]:[SubPLOs]],"&lt;4")</f>
        <v>0</v>
      </c>
      <c r="CV36" s="138">
        <f>SUMIFS(tbl_task8[S95],tbl_task8[[SubPLOs]:[SubPLOs]],"&gt;=3",tbl_task8[[SubPLOs]:[SubPLOs]],"&lt;4")</f>
        <v>0</v>
      </c>
      <c r="CW36" s="138">
        <f>SUMIFS(tbl_task8[S96],tbl_task8[[SubPLOs]:[SubPLOs]],"&gt;=3",tbl_task8[[SubPLOs]:[SubPLOs]],"&lt;4")</f>
        <v>0</v>
      </c>
      <c r="CX36" s="138">
        <f>SUMIFS(tbl_task8[S97],tbl_task8[[SubPLOs]:[SubPLOs]],"&gt;=3",tbl_task8[[SubPLOs]:[SubPLOs]],"&lt;4")</f>
        <v>0</v>
      </c>
      <c r="CY36" s="138">
        <f>SUMIFS(tbl_task8[S98],tbl_task8[[SubPLOs]:[SubPLOs]],"&gt;=3",tbl_task8[[SubPLOs]:[SubPLOs]],"&lt;4")</f>
        <v>0</v>
      </c>
      <c r="CZ36" s="138">
        <f>SUMIFS(tbl_task8[S99],tbl_task8[[SubPLOs]:[SubPLOs]],"&gt;=3",tbl_task8[[SubPLOs]:[SubPLOs]],"&lt;4")</f>
        <v>0</v>
      </c>
      <c r="DA36" s="138">
        <f>SUMIFS(tbl_task8[S100],tbl_task8[[SubPLOs]:[SubPLOs]],"&gt;=3",tbl_task8[[SubPLOs]:[SubPLOs]],"&lt;4")</f>
        <v>0</v>
      </c>
      <c r="DB36" s="138">
        <f>SUMIFS(tbl_task8[S101],tbl_task8[[SubPLOs]:[SubPLOs]],"&gt;=3",tbl_task8[[SubPLOs]:[SubPLOs]],"&lt;4")</f>
        <v>0</v>
      </c>
      <c r="DC36" s="138">
        <f>SUMIFS(tbl_task8[S102],tbl_task8[[SubPLOs]:[SubPLOs]],"&gt;=3",tbl_task8[[SubPLOs]:[SubPLOs]],"&lt;4")</f>
        <v>0</v>
      </c>
      <c r="DD36" s="138">
        <f>SUMIFS(tbl_task8[S103],tbl_task8[[SubPLOs]:[SubPLOs]],"&gt;=3",tbl_task8[[SubPLOs]:[SubPLOs]],"&lt;4")</f>
        <v>0</v>
      </c>
      <c r="DE36" s="138">
        <f>SUMIFS(tbl_task8[S104],tbl_task8[[SubPLOs]:[SubPLOs]],"&gt;=3",tbl_task8[[SubPLOs]:[SubPLOs]],"&lt;4")</f>
        <v>0</v>
      </c>
      <c r="DF36" s="138">
        <f>SUMIFS(tbl_task8[S105],tbl_task8[[SubPLOs]:[SubPLOs]],"&gt;=3",tbl_task8[[SubPLOs]:[SubPLOs]],"&lt;4")</f>
        <v>0</v>
      </c>
      <c r="DG36" s="138">
        <f>SUMIFS(tbl_task8[S106],tbl_task8[[SubPLOs]:[SubPLOs]],"&gt;=3",tbl_task8[[SubPLOs]:[SubPLOs]],"&lt;4")</f>
        <v>0</v>
      </c>
      <c r="DH36" s="138">
        <f>SUMIFS(tbl_task8[S106],tbl_task8[[SubPLOs]:[SubPLOs]],"&gt;=3",tbl_task8[[SubPLOs]:[SubPLOs]],"&lt;4")</f>
        <v>0</v>
      </c>
      <c r="DI36" s="138">
        <f>SUMIFS(tbl_task8[S108],tbl_task8[[SubPLOs]:[SubPLOs]],"&gt;=3",tbl_task8[[SubPLOs]:[SubPLOs]],"&lt;4")</f>
        <v>0</v>
      </c>
      <c r="DJ36" s="138">
        <f>SUMIFS(tbl_task8[S109],tbl_task8[[SubPLOs]:[SubPLOs]],"&gt;=3",tbl_task8[[SubPLOs]:[SubPLOs]],"&lt;4")</f>
        <v>0</v>
      </c>
      <c r="DK36" s="138">
        <f>SUMIFS(tbl_task8[S110],tbl_task8[[SubPLOs]:[SubPLOs]],"&gt;=3",tbl_task8[[SubPLOs]:[SubPLOs]],"&lt;4")</f>
        <v>0</v>
      </c>
      <c r="DL36" s="138">
        <f>SUMIFS(tbl_task8[S111],tbl_task8[[SubPLOs]:[SubPLOs]],"&gt;=3",tbl_task8[[SubPLOs]:[SubPLOs]],"&lt;4")</f>
        <v>0</v>
      </c>
      <c r="DM36" s="138">
        <f>SUMIFS(tbl_task8[S112],tbl_task8[[SubPLOs]:[SubPLOs]],"&gt;=3",tbl_task8[[SubPLOs]:[SubPLOs]],"&lt;4")</f>
        <v>0</v>
      </c>
      <c r="DN36" s="138">
        <f>SUMIFS(tbl_task8[S113],tbl_task8[[SubPLOs]:[SubPLOs]],"&gt;=3",tbl_task8[[SubPLOs]:[SubPLOs]],"&lt;4")</f>
        <v>0</v>
      </c>
      <c r="DO36" s="138">
        <f>SUMIFS(tbl_task8[S114],tbl_task8[[SubPLOs]:[SubPLOs]],"&gt;=3",tbl_task8[[SubPLOs]:[SubPLOs]],"&lt;4")</f>
        <v>0</v>
      </c>
      <c r="DP36" s="138">
        <f>SUMIFS(tbl_task8[S115],tbl_task8[[SubPLOs]:[SubPLOs]],"&gt;=3",tbl_task8[[SubPLOs]:[SubPLOs]],"&lt;4")</f>
        <v>0</v>
      </c>
      <c r="DQ36" s="138">
        <f>SUMIFS(tbl_task8[S116],tbl_task8[[SubPLOs]:[SubPLOs]],"&gt;=3",tbl_task8[[SubPLOs]:[SubPLOs]],"&lt;4")</f>
        <v>0</v>
      </c>
      <c r="DR36" s="138">
        <f>SUMIFS(tbl_task8[S117],tbl_task8[[SubPLOs]:[SubPLOs]],"&gt;=3",tbl_task8[[SubPLOs]:[SubPLOs]],"&lt;4")</f>
        <v>0</v>
      </c>
      <c r="DS36" s="138">
        <f>SUMIFS(tbl_task8[S118],tbl_task8[[SubPLOs]:[SubPLOs]],"&gt;=3",tbl_task8[[SubPLOs]:[SubPLOs]],"&lt;4")</f>
        <v>0</v>
      </c>
      <c r="DT36" s="138">
        <f>SUMIFS(tbl_task8[S119],tbl_task8[[SubPLOs]:[SubPLOs]],"&gt;=3",tbl_task8[[SubPLOs]:[SubPLOs]],"&lt;4")</f>
        <v>0</v>
      </c>
      <c r="DU36" s="138">
        <f>SUMIFS(tbl_task8[S120],tbl_task8[[SubPLOs]:[SubPLOs]],"&gt;=3",tbl_task8[[SubPLOs]:[SubPLOs]],"&lt;4")</f>
        <v>0</v>
      </c>
      <c r="DV36" s="138">
        <f>SUMIFS(tbl_task8[S121],tbl_task8[[SubPLOs]:[SubPLOs]],"&gt;=3",tbl_task8[[SubPLOs]:[SubPLOs]],"&lt;4")</f>
        <v>0</v>
      </c>
      <c r="DW36" s="138">
        <f>SUMIFS(tbl_task8[S122],tbl_task8[[SubPLOs]:[SubPLOs]],"&gt;=3",tbl_task8[[SubPLOs]:[SubPLOs]],"&lt;4")</f>
        <v>0</v>
      </c>
      <c r="DX36" s="138">
        <f>SUMIFS(tbl_task8[S123],tbl_task8[[SubPLOs]:[SubPLOs]],"&gt;=3",tbl_task8[[SubPLOs]:[SubPLOs]],"&lt;4")</f>
        <v>0</v>
      </c>
      <c r="DY36" s="138">
        <f>SUMIFS(tbl_task8[S124],tbl_task8[[SubPLOs]:[SubPLOs]],"&gt;=3",tbl_task8[[SubPLOs]:[SubPLOs]],"&lt;4")</f>
        <v>0</v>
      </c>
      <c r="DZ36" s="138">
        <f>SUMIFS(tbl_task8[S125],tbl_task8[[SubPLOs]:[SubPLOs]],"&gt;=3",tbl_task8[[SubPLOs]:[SubPLOs]],"&lt;4")</f>
        <v>0</v>
      </c>
      <c r="EA36" s="138">
        <f>SUMIFS(tbl_task8[S126],tbl_task8[[SubPLOs]:[SubPLOs]],"&gt;=3",tbl_task8[[SubPLOs]:[SubPLOs]],"&lt;4")</f>
        <v>0</v>
      </c>
      <c r="EB36" s="138">
        <f>SUMIFS(tbl_task8[S127],tbl_task8[[SubPLOs]:[SubPLOs]],"&gt;=3",tbl_task8[[SubPLOs]:[SubPLOs]],"&lt;4")</f>
        <v>0</v>
      </c>
      <c r="EC36" s="138">
        <f>SUMIFS(tbl_task8[S128],tbl_task8[[SubPLOs]:[SubPLOs]],"&gt;=3",tbl_task8[[SubPLOs]:[SubPLOs]],"&lt;4")</f>
        <v>0</v>
      </c>
      <c r="ED36" s="138">
        <f>SUMIFS(tbl_task8[S129],tbl_task8[[SubPLOs]:[SubPLOs]],"&gt;=3",tbl_task8[[SubPLOs]:[SubPLOs]],"&lt;4")</f>
        <v>0</v>
      </c>
      <c r="EE36" s="138">
        <f>SUMIFS(tbl_task8[S130],tbl_task8[[SubPLOs]:[SubPLOs]],"&gt;=3",tbl_task8[[SubPLOs]:[SubPLOs]],"&lt;4")</f>
        <v>0</v>
      </c>
      <c r="EF36" s="138">
        <f>SUMIFS(tbl_task8[S131],tbl_task8[[SubPLOs]:[SubPLOs]],"&gt;=3",tbl_task8[[SubPLOs]:[SubPLOs]],"&lt;4")</f>
        <v>0</v>
      </c>
      <c r="EG36" s="138">
        <f>SUMIFS(tbl_task8[S132],tbl_task8[[SubPLOs]:[SubPLOs]],"&gt;=3",tbl_task8[[SubPLOs]:[SubPLOs]],"&lt;4")</f>
        <v>0</v>
      </c>
      <c r="EH36" s="138">
        <f>SUMIFS(tbl_task8[S133],tbl_task8[[SubPLOs]:[SubPLOs]],"&gt;=3",tbl_task8[[SubPLOs]:[SubPLOs]],"&lt;4")</f>
        <v>0</v>
      </c>
      <c r="EI36" s="138">
        <f>SUMIFS(tbl_task8[S134],tbl_task8[[SubPLOs]:[SubPLOs]],"&gt;=3",tbl_task8[[SubPLOs]:[SubPLOs]],"&lt;4")</f>
        <v>0</v>
      </c>
      <c r="EJ36" s="138">
        <f>SUMIFS(tbl_task8[S135],tbl_task8[[SubPLOs]:[SubPLOs]],"&gt;=3",tbl_task8[[SubPLOs]:[SubPLOs]],"&lt;4")</f>
        <v>0</v>
      </c>
      <c r="EK36" s="138">
        <f>SUMIFS(tbl_task8[S136],tbl_task8[[SubPLOs]:[SubPLOs]],"&gt;=3",tbl_task8[[SubPLOs]:[SubPLOs]],"&lt;4")</f>
        <v>0</v>
      </c>
      <c r="EL36" s="138">
        <f>SUMIFS(tbl_task8[S137],tbl_task8[[SubPLOs]:[SubPLOs]],"&gt;=3",tbl_task8[[SubPLOs]:[SubPLOs]],"&lt;4")</f>
        <v>0</v>
      </c>
      <c r="EM36" s="138">
        <f>SUMIFS(tbl_task8[S138],tbl_task8[[SubPLOs]:[SubPLOs]],"&gt;=3",tbl_task8[[SubPLOs]:[SubPLOs]],"&lt;4")</f>
        <v>0</v>
      </c>
      <c r="EN36" s="138">
        <f>SUMIFS(tbl_task8[S139],tbl_task8[[SubPLOs]:[SubPLOs]],"&gt;=3",tbl_task8[[SubPLOs]:[SubPLOs]],"&lt;4")</f>
        <v>0</v>
      </c>
      <c r="EO36" s="138">
        <f>SUMIFS(tbl_task8[S140],tbl_task8[[SubPLOs]:[SubPLOs]],"&gt;=3",tbl_task8[[SubPLOs]:[SubPLOs]],"&lt;4")</f>
        <v>0</v>
      </c>
      <c r="EP36" s="138">
        <f>SUMIFS(tbl_task8[S141],tbl_task8[[SubPLOs]:[SubPLOs]],"&gt;=3",tbl_task8[[SubPLOs]:[SubPLOs]],"&lt;4")</f>
        <v>0</v>
      </c>
      <c r="EQ36" s="138">
        <f>SUMIFS(tbl_task8[S142],tbl_task8[[SubPLOs]:[SubPLOs]],"&gt;=3",tbl_task8[[SubPLOs]:[SubPLOs]],"&lt;4")</f>
        <v>0</v>
      </c>
      <c r="ER36" s="138">
        <f>SUMIFS(tbl_task8[S143],tbl_task8[[SubPLOs]:[SubPLOs]],"&gt;=3",tbl_task8[[SubPLOs]:[SubPLOs]],"&lt;4")</f>
        <v>0</v>
      </c>
      <c r="ES36" s="138">
        <f>SUMIFS(tbl_task8[S144],tbl_task8[[SubPLOs]:[SubPLOs]],"&gt;=3",tbl_task8[[SubPLOs]:[SubPLOs]],"&lt;4")</f>
        <v>0</v>
      </c>
      <c r="ET36" s="138">
        <f>SUMIFS(tbl_task8[S145],tbl_task8[[SubPLOs]:[SubPLOs]],"&gt;=3",tbl_task8[[SubPLOs]:[SubPLOs]],"&lt;4")</f>
        <v>0</v>
      </c>
      <c r="EU36" s="138">
        <f>SUMIFS(tbl_task8[S146],tbl_task8[[SubPLOs]:[SubPLOs]],"&gt;=3",tbl_task8[[SubPLOs]:[SubPLOs]],"&lt;4")</f>
        <v>0</v>
      </c>
      <c r="EV36" s="138">
        <f>SUMIFS(tbl_task8[S147],tbl_task8[[SubPLOs]:[SubPLOs]],"&gt;=3",tbl_task8[[SubPLOs]:[SubPLOs]],"&lt;4")</f>
        <v>0</v>
      </c>
      <c r="EW36" s="138">
        <f>SUMIFS(tbl_task8[S148],tbl_task8[[SubPLOs]:[SubPLOs]],"&gt;=3",tbl_task8[[SubPLOs]:[SubPLOs]],"&lt;4")</f>
        <v>0</v>
      </c>
      <c r="EX36" s="138">
        <f>SUMIFS(tbl_task8[S149],tbl_task8[[SubPLOs]:[SubPLOs]],"&gt;=3",tbl_task8[[SubPLOs]:[SubPLOs]],"&lt;4")</f>
        <v>0</v>
      </c>
      <c r="EY36" s="138">
        <f>SUMIFS(tbl_task8[S150],tbl_task8[[SubPLOs]:[SubPLOs]],"&gt;=3",tbl_task8[[SubPLOs]:[SubPLOs]],"&lt;4")</f>
        <v>0</v>
      </c>
      <c r="EZ36" s="138">
        <f>SUMIFS(tbl_task8[S151],tbl_task8[[SubPLOs]:[SubPLOs]],"&gt;=3",tbl_task8[[SubPLOs]:[SubPLOs]],"&lt;4")</f>
        <v>0</v>
      </c>
      <c r="FA36" s="138">
        <f>SUMIFS(tbl_task8[S152],tbl_task8[[SubPLOs]:[SubPLOs]],"&gt;=3",tbl_task8[[SubPLOs]:[SubPLOs]],"&lt;4")</f>
        <v>0</v>
      </c>
      <c r="FB36" s="138">
        <f>SUMIFS(tbl_task8[S153],tbl_task8[[SubPLOs]:[SubPLOs]],"&gt;=3",tbl_task8[[SubPLOs]:[SubPLOs]],"&lt;4")</f>
        <v>0</v>
      </c>
      <c r="FC36" s="138">
        <f>SUMIFS(tbl_task8[S154],tbl_task8[[SubPLOs]:[SubPLOs]],"&gt;=3",tbl_task8[[SubPLOs]:[SubPLOs]],"&lt;4")</f>
        <v>0</v>
      </c>
      <c r="FD36" s="138">
        <f>SUMIFS(tbl_task8[S155],tbl_task8[[SubPLOs]:[SubPLOs]],"&gt;=3",tbl_task8[[SubPLOs]:[SubPLOs]],"&lt;4")</f>
        <v>0</v>
      </c>
      <c r="FE36" s="138">
        <f>SUMIFS(tbl_task8[S156],tbl_task8[[SubPLOs]:[SubPLOs]],"&gt;=3",tbl_task8[[SubPLOs]:[SubPLOs]],"&lt;4")</f>
        <v>0</v>
      </c>
      <c r="FF36" s="138">
        <f>SUMIFS(tbl_task8[S157],tbl_task8[[SubPLOs]:[SubPLOs]],"&gt;=3",tbl_task8[[SubPLOs]:[SubPLOs]],"&lt;4")</f>
        <v>0</v>
      </c>
      <c r="FG36" s="138">
        <f>SUMIFS(tbl_task8[S158],tbl_task8[[SubPLOs]:[SubPLOs]],"&gt;=3",tbl_task8[[SubPLOs]:[SubPLOs]],"&lt;4")</f>
        <v>0</v>
      </c>
      <c r="FH36" s="138">
        <f>SUMIFS(tbl_task8[S159],tbl_task8[[SubPLOs]:[SubPLOs]],"&gt;=3",tbl_task8[[SubPLOs]:[SubPLOs]],"&lt;4")</f>
        <v>0</v>
      </c>
      <c r="FI36" s="138">
        <f>SUMIFS(tbl_task8[S160],tbl_task8[[SubPLOs]:[SubPLOs]],"&gt;=3",tbl_task8[[SubPLOs]:[SubPLOs]],"&lt;4")</f>
        <v>0</v>
      </c>
      <c r="FJ36" s="138">
        <f>SUMIFS(tbl_task8[S161],tbl_task8[[SubPLOs]:[SubPLOs]],"&gt;=3",tbl_task8[[SubPLOs]:[SubPLOs]],"&lt;4")</f>
        <v>0</v>
      </c>
      <c r="FK36" s="138">
        <f>SUMIFS(tbl_task8[S162],tbl_task8[[SubPLOs]:[SubPLOs]],"&gt;=3",tbl_task8[[SubPLOs]:[SubPLOs]],"&lt;4")</f>
        <v>0</v>
      </c>
      <c r="FL36" s="138">
        <f>SUMIFS(tbl_task8[S163],tbl_task8[[SubPLOs]:[SubPLOs]],"&gt;=3",tbl_task8[[SubPLOs]:[SubPLOs]],"&lt;4")</f>
        <v>0</v>
      </c>
      <c r="FM36" s="138">
        <f>SUMIFS(tbl_task8[S164],tbl_task8[[SubPLOs]:[SubPLOs]],"&gt;=3",tbl_task8[[SubPLOs]:[SubPLOs]],"&lt;4")</f>
        <v>0</v>
      </c>
      <c r="FN36" s="138">
        <f>SUMIFS(tbl_task8[S165],tbl_task8[[SubPLOs]:[SubPLOs]],"&gt;=3",tbl_task8[[SubPLOs]:[SubPLOs]],"&lt;4")</f>
        <v>0</v>
      </c>
    </row>
    <row r="37" spans="1:170" ht="63" x14ac:dyDescent="0.25">
      <c r="A37" s="135">
        <v>4</v>
      </c>
      <c r="B37" s="5" t="s">
        <v>437</v>
      </c>
      <c r="C37" s="136">
        <f>COUNTIFS(tbl_task8[SubPLOs],"&gt;=4",tbl_task8[SubPLOs],"&lt;5")</f>
        <v>0</v>
      </c>
      <c r="D37" s="136">
        <f>SUMIFS(tbl_task8[คะแนนเต็ม],tbl_task8[SubPLOs],"&gt;=4",tbl_task8[SubPLOs],"&lt;5")</f>
        <v>0</v>
      </c>
      <c r="E37" s="137">
        <f>SUMIFS(tbl_task8[%],tbl_task8[SubPLOs],"&gt;=4",tbl_task8[SubPLOs],"&lt;5")</f>
        <v>0</v>
      </c>
      <c r="F37" s="138">
        <f>SUMIFS(tbl_task8[S1],tbl_task8[[SubPLOs]:[SubPLOs]],"&gt;=4",tbl_task8[[SubPLOs]:[SubPLOs]],"&lt;5")</f>
        <v>0</v>
      </c>
      <c r="G37" s="138">
        <f>SUMIFS(tbl_task8[S2],tbl_task8[[SubPLOs]:[SubPLOs]],"&gt;=4",tbl_task8[[SubPLOs]:[SubPLOs]],"&lt;5")</f>
        <v>0</v>
      </c>
      <c r="H37" s="138">
        <f>SUMIFS(tbl_task8[S3],tbl_task8[[SubPLOs]:[SubPLOs]],"&gt;=4",tbl_task8[[SubPLOs]:[SubPLOs]],"&lt;5")</f>
        <v>0</v>
      </c>
      <c r="I37" s="138">
        <f>SUMIFS(tbl_task8[S4],tbl_task8[[SubPLOs]:[SubPLOs]],"&gt;=4",tbl_task8[[SubPLOs]:[SubPLOs]],"&lt;5")</f>
        <v>0</v>
      </c>
      <c r="J37" s="138">
        <f>SUMIFS(tbl_task8[S5],tbl_task8[[SubPLOs]:[SubPLOs]],"&gt;=4",tbl_task8[[SubPLOs]:[SubPLOs]],"&lt;5")</f>
        <v>0</v>
      </c>
      <c r="K37" s="138">
        <f>SUMIFS(tbl_task8[S6],tbl_task8[[SubPLOs]:[SubPLOs]],"&gt;=4",tbl_task8[[SubPLOs]:[SubPLOs]],"&lt;5")</f>
        <v>0</v>
      </c>
      <c r="L37" s="138">
        <f>SUMIFS(tbl_task8[S7],tbl_task8[[SubPLOs]:[SubPLOs]],"&gt;=4",tbl_task8[[SubPLOs]:[SubPLOs]],"&lt;5")</f>
        <v>0</v>
      </c>
      <c r="M37" s="138">
        <f>SUMIFS(tbl_task8[S8],tbl_task8[[SubPLOs]:[SubPLOs]],"&gt;=4",tbl_task8[[SubPLOs]:[SubPLOs]],"&lt;5")</f>
        <v>0</v>
      </c>
      <c r="N37" s="138">
        <f>SUMIFS(tbl_task8[S9],tbl_task8[[SubPLOs]:[SubPLOs]],"&gt;=4",tbl_task8[[SubPLOs]:[SubPLOs]],"&lt;5")</f>
        <v>0</v>
      </c>
      <c r="O37" s="138">
        <f>SUMIFS(tbl_task8[S10],tbl_task8[[SubPLOs]:[SubPLOs]],"&gt;=4",tbl_task8[[SubPLOs]:[SubPLOs]],"&lt;5")</f>
        <v>0</v>
      </c>
      <c r="P37" s="138">
        <f>SUMIFS(tbl_task8[S11],tbl_task8[[SubPLOs]:[SubPLOs]],"&gt;=4",tbl_task8[[SubPLOs]:[SubPLOs]],"&lt;5")</f>
        <v>0</v>
      </c>
      <c r="Q37" s="138">
        <f>SUMIFS(tbl_task8[S12],tbl_task8[[SubPLOs]:[SubPLOs]],"&gt;=4",tbl_task8[[SubPLOs]:[SubPLOs]],"&lt;5")</f>
        <v>0</v>
      </c>
      <c r="R37" s="138">
        <f>SUMIFS(tbl_task8[S13],tbl_task8[[SubPLOs]:[SubPLOs]],"&gt;=4",tbl_task8[[SubPLOs]:[SubPLOs]],"&lt;5")</f>
        <v>0</v>
      </c>
      <c r="S37" s="138">
        <f>SUMIFS(tbl_task8[S14],tbl_task8[[SubPLOs]:[SubPLOs]],"&gt;=4",tbl_task8[[SubPLOs]:[SubPLOs]],"&lt;5")</f>
        <v>0</v>
      </c>
      <c r="T37" s="138">
        <f>SUMIFS(tbl_task8[S15],tbl_task8[[SubPLOs]:[SubPLOs]],"&gt;=4",tbl_task8[[SubPLOs]:[SubPLOs]],"&lt;5")</f>
        <v>0</v>
      </c>
      <c r="U37" s="138">
        <f>SUMIFS(tbl_task8[S16],tbl_task8[[SubPLOs]:[SubPLOs]],"&gt;=4",tbl_task8[[SubPLOs]:[SubPLOs]],"&lt;5")</f>
        <v>0</v>
      </c>
      <c r="V37" s="138">
        <f>SUMIFS(tbl_task8[S17],tbl_task8[[SubPLOs]:[SubPLOs]],"&gt;=4",tbl_task8[[SubPLOs]:[SubPLOs]],"&lt;5")</f>
        <v>0</v>
      </c>
      <c r="W37" s="138">
        <f>SUMIFS(tbl_task8[S18],tbl_task8[[SubPLOs]:[SubPLOs]],"&gt;=4",tbl_task8[[SubPLOs]:[SubPLOs]],"&lt;5")</f>
        <v>0</v>
      </c>
      <c r="X37" s="138">
        <f>SUMIFS(tbl_task8[S19],tbl_task8[[SubPLOs]:[SubPLOs]],"&gt;=4",tbl_task8[[SubPLOs]:[SubPLOs]],"&lt;5")</f>
        <v>0</v>
      </c>
      <c r="Y37" s="138">
        <f>SUMIFS(tbl_task8[S20],tbl_task8[[SubPLOs]:[SubPLOs]],"&gt;=4",tbl_task8[[SubPLOs]:[SubPLOs]],"&lt;5")</f>
        <v>0</v>
      </c>
      <c r="Z37" s="138">
        <f>SUMIFS(tbl_task8[S21],tbl_task8[[SubPLOs]:[SubPLOs]],"&gt;=4",tbl_task8[[SubPLOs]:[SubPLOs]],"&lt;5")</f>
        <v>0</v>
      </c>
      <c r="AA37" s="138">
        <f>SUMIFS(tbl_task8[S22],tbl_task8[[SubPLOs]:[SubPLOs]],"&gt;=4",tbl_task8[[SubPLOs]:[SubPLOs]],"&lt;5")</f>
        <v>0</v>
      </c>
      <c r="AB37" s="138">
        <f>SUMIFS(tbl_task8[S23],tbl_task8[[SubPLOs]:[SubPLOs]],"&gt;=4",tbl_task8[[SubPLOs]:[SubPLOs]],"&lt;5")</f>
        <v>0</v>
      </c>
      <c r="AC37" s="138">
        <f>SUMIFS(tbl_task8[S24],tbl_task8[[SubPLOs]:[SubPLOs]],"&gt;=4",tbl_task8[[SubPLOs]:[SubPLOs]],"&lt;5")</f>
        <v>0</v>
      </c>
      <c r="AD37" s="138">
        <f>SUMIFS(tbl_task8[S25],tbl_task8[[SubPLOs]:[SubPLOs]],"&gt;=4",tbl_task8[[SubPLOs]:[SubPLOs]],"&lt;5")</f>
        <v>0</v>
      </c>
      <c r="AE37" s="138">
        <f>SUMIFS(tbl_task8[S26],tbl_task8[[SubPLOs]:[SubPLOs]],"&gt;=4",tbl_task8[[SubPLOs]:[SubPLOs]],"&lt;5")</f>
        <v>0</v>
      </c>
      <c r="AF37" s="138">
        <f>SUMIFS(tbl_task8[S27],tbl_task8[[SubPLOs]:[SubPLOs]],"&gt;=4",tbl_task8[[SubPLOs]:[SubPLOs]],"&lt;5")</f>
        <v>0</v>
      </c>
      <c r="AG37" s="138">
        <f>SUMIFS(tbl_task8[S28],tbl_task8[[SubPLOs]:[SubPLOs]],"&gt;=4",tbl_task8[[SubPLOs]:[SubPLOs]],"&lt;5")</f>
        <v>0</v>
      </c>
      <c r="AH37" s="138">
        <f>SUMIFS(tbl_task8[S29],tbl_task8[[SubPLOs]:[SubPLOs]],"&gt;=4",tbl_task8[[SubPLOs]:[SubPLOs]],"&lt;5")</f>
        <v>0</v>
      </c>
      <c r="AI37" s="138">
        <f>SUMIFS(tbl_task8[S30],tbl_task8[[SubPLOs]:[SubPLOs]],"&gt;=4",tbl_task8[[SubPLOs]:[SubPLOs]],"&lt;5")</f>
        <v>0</v>
      </c>
      <c r="AJ37" s="138">
        <f>SUMIFS(tbl_task8[S31],tbl_task8[[SubPLOs]:[SubPLOs]],"&gt;=4",tbl_task8[[SubPLOs]:[SubPLOs]],"&lt;5")</f>
        <v>0</v>
      </c>
      <c r="AK37" s="138">
        <f>SUMIFS(tbl_task8[S32],tbl_task8[[SubPLOs]:[SubPLOs]],"&gt;=4",tbl_task8[[SubPLOs]:[SubPLOs]],"&lt;5")</f>
        <v>0</v>
      </c>
      <c r="AL37" s="138">
        <f>SUMIFS(tbl_task8[S33],tbl_task8[[SubPLOs]:[SubPLOs]],"&gt;=4",tbl_task8[[SubPLOs]:[SubPLOs]],"&lt;5")</f>
        <v>0</v>
      </c>
      <c r="AM37" s="138">
        <f>SUMIFS(tbl_task8[S34],tbl_task8[[SubPLOs]:[SubPLOs]],"&gt;=4",tbl_task8[[SubPLOs]:[SubPLOs]],"&lt;5")</f>
        <v>0</v>
      </c>
      <c r="AN37" s="138">
        <f>SUMIFS(tbl_task8[S35],tbl_task8[[SubPLOs]:[SubPLOs]],"&gt;=4",tbl_task8[[SubPLOs]:[SubPLOs]],"&lt;5")</f>
        <v>0</v>
      </c>
      <c r="AO37" s="138">
        <f>SUMIFS(tbl_task8[S36],tbl_task8[[SubPLOs]:[SubPLOs]],"&gt;=4",tbl_task8[[SubPLOs]:[SubPLOs]],"&lt;5")</f>
        <v>0</v>
      </c>
      <c r="AP37" s="138">
        <f>SUMIFS(tbl_task8[S37],tbl_task8[[SubPLOs]:[SubPLOs]],"&gt;=4",tbl_task8[[SubPLOs]:[SubPLOs]],"&lt;5")</f>
        <v>0</v>
      </c>
      <c r="AQ37" s="138">
        <f>SUMIFS(tbl_task8[S38],tbl_task8[[SubPLOs]:[SubPLOs]],"&gt;=4",tbl_task8[[SubPLOs]:[SubPLOs]],"&lt;5")</f>
        <v>0</v>
      </c>
      <c r="AR37" s="138">
        <f>SUMIFS(tbl_task8[S39],tbl_task8[[SubPLOs]:[SubPLOs]],"&gt;=4",tbl_task8[[SubPLOs]:[SubPLOs]],"&lt;5")</f>
        <v>0</v>
      </c>
      <c r="AS37" s="138">
        <f>SUMIFS(tbl_task8[S40],tbl_task8[[SubPLOs]:[SubPLOs]],"&gt;=4",tbl_task8[[SubPLOs]:[SubPLOs]],"&lt;5")</f>
        <v>0</v>
      </c>
      <c r="AT37" s="138">
        <f>SUMIFS(tbl_task8[S41],tbl_task8[[SubPLOs]:[SubPLOs]],"&gt;=4",tbl_task8[[SubPLOs]:[SubPLOs]],"&lt;5")</f>
        <v>0</v>
      </c>
      <c r="AU37" s="138">
        <f>SUMIFS(tbl_task8[S42],tbl_task8[[SubPLOs]:[SubPLOs]],"&gt;=4",tbl_task8[[SubPLOs]:[SubPLOs]],"&lt;5")</f>
        <v>0</v>
      </c>
      <c r="AV37" s="138">
        <f>SUMIFS(tbl_task8[S43],tbl_task8[[SubPLOs]:[SubPLOs]],"&gt;=4",tbl_task8[[SubPLOs]:[SubPLOs]],"&lt;5")</f>
        <v>0</v>
      </c>
      <c r="AW37" s="138">
        <f>SUMIFS(tbl_task8[S44],tbl_task8[[SubPLOs]:[SubPLOs]],"&gt;=4",tbl_task8[[SubPLOs]:[SubPLOs]],"&lt;5")</f>
        <v>0</v>
      </c>
      <c r="AX37" s="138">
        <f>SUMIFS(tbl_task8[S45],tbl_task8[[SubPLOs]:[SubPLOs]],"&gt;=4",tbl_task8[[SubPLOs]:[SubPLOs]],"&lt;5")</f>
        <v>0</v>
      </c>
      <c r="AY37" s="138">
        <f>SUMIFS(tbl_task8[S46],tbl_task8[[SubPLOs]:[SubPLOs]],"&gt;=4",tbl_task8[[SubPLOs]:[SubPLOs]],"&lt;5")</f>
        <v>0</v>
      </c>
      <c r="AZ37" s="138">
        <f>SUMIFS(tbl_task8[S47],tbl_task8[[SubPLOs]:[SubPLOs]],"&gt;=4",tbl_task8[[SubPLOs]:[SubPLOs]],"&lt;5")</f>
        <v>0</v>
      </c>
      <c r="BA37" s="138">
        <f>SUMIFS(tbl_task8[S48],tbl_task8[[SubPLOs]:[SubPLOs]],"&gt;=4",tbl_task8[[SubPLOs]:[SubPLOs]],"&lt;5")</f>
        <v>0</v>
      </c>
      <c r="BB37" s="138">
        <f>SUMIFS(tbl_task8[S49],tbl_task8[[SubPLOs]:[SubPLOs]],"&gt;=4",tbl_task8[[SubPLOs]:[SubPLOs]],"&lt;5")</f>
        <v>0</v>
      </c>
      <c r="BC37" s="138">
        <f>SUMIFS(tbl_task8[S50],tbl_task8[[SubPLOs]:[SubPLOs]],"&gt;=4",tbl_task8[[SubPLOs]:[SubPLOs]],"&lt;5")</f>
        <v>0</v>
      </c>
      <c r="BD37" s="138">
        <f>SUMIFS(tbl_task8[S51],tbl_task8[[SubPLOs]:[SubPLOs]],"&gt;=4",tbl_task8[[SubPLOs]:[SubPLOs]],"&lt;5")</f>
        <v>0</v>
      </c>
      <c r="BE37" s="138">
        <f>SUMIFS(tbl_task8[S52],tbl_task8[[SubPLOs]:[SubPLOs]],"&gt;=4",tbl_task8[[SubPLOs]:[SubPLOs]],"&lt;5")</f>
        <v>0</v>
      </c>
      <c r="BF37" s="138">
        <f>SUMIFS(tbl_task8[S53],tbl_task8[[SubPLOs]:[SubPLOs]],"&gt;=4",tbl_task8[[SubPLOs]:[SubPLOs]],"&lt;5")</f>
        <v>0</v>
      </c>
      <c r="BG37" s="138">
        <f>SUMIFS(tbl_task8[S54],tbl_task8[[SubPLOs]:[SubPLOs]],"&gt;=4",tbl_task8[[SubPLOs]:[SubPLOs]],"&lt;5")</f>
        <v>0</v>
      </c>
      <c r="BH37" s="138">
        <f>SUMIFS(tbl_task8[S55],tbl_task8[[SubPLOs]:[SubPLOs]],"&gt;=4",tbl_task8[[SubPLOs]:[SubPLOs]],"&lt;5")</f>
        <v>0</v>
      </c>
      <c r="BI37" s="138">
        <f>SUMIFS(tbl_task8[S56],tbl_task8[[SubPLOs]:[SubPLOs]],"&gt;=4",tbl_task8[[SubPLOs]:[SubPLOs]],"&lt;5")</f>
        <v>0</v>
      </c>
      <c r="BJ37" s="138">
        <f>SUMIFS(tbl_task8[S57],tbl_task8[[SubPLOs]:[SubPLOs]],"&gt;=4",tbl_task8[[SubPLOs]:[SubPLOs]],"&lt;5")</f>
        <v>0</v>
      </c>
      <c r="BK37" s="138">
        <f>SUMIFS(tbl_task8[S58],tbl_task8[[SubPLOs]:[SubPLOs]],"&gt;=4",tbl_task8[[SubPLOs]:[SubPLOs]],"&lt;5")</f>
        <v>0</v>
      </c>
      <c r="BL37" s="138">
        <f>SUMIFS(tbl_task8[S59],tbl_task8[[SubPLOs]:[SubPLOs]],"&gt;=4",tbl_task8[[SubPLOs]:[SubPLOs]],"&lt;5")</f>
        <v>0</v>
      </c>
      <c r="BM37" s="138">
        <f>SUMIFS(tbl_task8[S60],tbl_task8[[SubPLOs]:[SubPLOs]],"&gt;=4",tbl_task8[[SubPLOs]:[SubPLOs]],"&lt;5")</f>
        <v>0</v>
      </c>
      <c r="BN37" s="138">
        <f>SUMIFS(tbl_task8[S61],tbl_task8[[SubPLOs]:[SubPLOs]],"&gt;=4",tbl_task8[[SubPLOs]:[SubPLOs]],"&lt;5")</f>
        <v>0</v>
      </c>
      <c r="BO37" s="138">
        <f>SUMIFS(tbl_task8[S62],tbl_task8[[SubPLOs]:[SubPLOs]],"&gt;=4",tbl_task8[[SubPLOs]:[SubPLOs]],"&lt;5")</f>
        <v>0</v>
      </c>
      <c r="BP37" s="138">
        <f>SUMIFS(tbl_task8[S63],tbl_task8[[SubPLOs]:[SubPLOs]],"&gt;=4",tbl_task8[[SubPLOs]:[SubPLOs]],"&lt;5")</f>
        <v>0</v>
      </c>
      <c r="BQ37" s="138">
        <f>SUMIFS(tbl_task8[S64],tbl_task8[[SubPLOs]:[SubPLOs]],"&gt;=4",tbl_task8[[SubPLOs]:[SubPLOs]],"&lt;5")</f>
        <v>0</v>
      </c>
      <c r="BR37" s="138">
        <f>SUMIFS(tbl_task8[S65],tbl_task8[[SubPLOs]:[SubPLOs]],"&gt;=4",tbl_task8[[SubPLOs]:[SubPLOs]],"&lt;5")</f>
        <v>0</v>
      </c>
      <c r="BS37" s="138">
        <f>SUMIFS(tbl_task8[S66],tbl_task8[[SubPLOs]:[SubPLOs]],"&gt;=4",tbl_task8[[SubPLOs]:[SubPLOs]],"&lt;5")</f>
        <v>0</v>
      </c>
      <c r="BT37" s="138">
        <f>SUMIFS(tbl_task8[S67],tbl_task8[[SubPLOs]:[SubPLOs]],"&gt;=4",tbl_task8[[SubPLOs]:[SubPLOs]],"&lt;5")</f>
        <v>0</v>
      </c>
      <c r="BU37" s="138">
        <f>SUMIFS(tbl_task8[S68],tbl_task8[[SubPLOs]:[SubPLOs]],"&gt;=4",tbl_task8[[SubPLOs]:[SubPLOs]],"&lt;5")</f>
        <v>0</v>
      </c>
      <c r="BV37" s="138">
        <f>SUMIFS(tbl_task8[S69],tbl_task8[[SubPLOs]:[SubPLOs]],"&gt;=4",tbl_task8[[SubPLOs]:[SubPLOs]],"&lt;5")</f>
        <v>0</v>
      </c>
      <c r="BW37" s="138">
        <f>SUMIFS(tbl_task8[S70],tbl_task8[[SubPLOs]:[SubPLOs]],"&gt;=4",tbl_task8[[SubPLOs]:[SubPLOs]],"&lt;5")</f>
        <v>0</v>
      </c>
      <c r="BX37" s="138">
        <f>SUMIFS(tbl_task8[S71],tbl_task8[[SubPLOs]:[SubPLOs]],"&gt;=4",tbl_task8[[SubPLOs]:[SubPLOs]],"&lt;5")</f>
        <v>0</v>
      </c>
      <c r="BY37" s="138">
        <f>SUMIFS(tbl_task8[S72],tbl_task8[[SubPLOs]:[SubPLOs]],"&gt;=4",tbl_task8[[SubPLOs]:[SubPLOs]],"&lt;5")</f>
        <v>0</v>
      </c>
      <c r="BZ37" s="138">
        <f>SUMIFS(tbl_task8[S73],tbl_task8[[SubPLOs]:[SubPLOs]],"&gt;=4",tbl_task8[[SubPLOs]:[SubPLOs]],"&lt;5")</f>
        <v>0</v>
      </c>
      <c r="CA37" s="138">
        <f>SUMIFS(tbl_task8[S74],tbl_task8[[SubPLOs]:[SubPLOs]],"&gt;=4",tbl_task8[[SubPLOs]:[SubPLOs]],"&lt;5")</f>
        <v>0</v>
      </c>
      <c r="CB37" s="138">
        <f>SUMIFS(tbl_task8[S75],tbl_task8[[SubPLOs]:[SubPLOs]],"&gt;=4",tbl_task8[[SubPLOs]:[SubPLOs]],"&lt;5")</f>
        <v>0</v>
      </c>
      <c r="CC37" s="138">
        <f>SUMIFS(tbl_task8[S76],tbl_task8[[SubPLOs]:[SubPLOs]],"&gt;=4",tbl_task8[[SubPLOs]:[SubPLOs]],"&lt;5")</f>
        <v>0</v>
      </c>
      <c r="CD37" s="138">
        <f>SUMIFS(tbl_task8[S77],tbl_task8[[SubPLOs]:[SubPLOs]],"&gt;=4",tbl_task8[[SubPLOs]:[SubPLOs]],"&lt;5")</f>
        <v>0</v>
      </c>
      <c r="CE37" s="138">
        <f>SUMIFS(tbl_task8[S78],tbl_task8[[SubPLOs]:[SubPLOs]],"&gt;=4",tbl_task8[[SubPLOs]:[SubPLOs]],"&lt;5")</f>
        <v>0</v>
      </c>
      <c r="CF37" s="138">
        <f>SUMIFS(tbl_task8[S79],tbl_task8[[SubPLOs]:[SubPLOs]],"&gt;=4",tbl_task8[[SubPLOs]:[SubPLOs]],"&lt;5")</f>
        <v>0</v>
      </c>
      <c r="CG37" s="138">
        <f>SUMIFS(tbl_task8[S80],tbl_task8[[SubPLOs]:[SubPLOs]],"&gt;=4",tbl_task8[[SubPLOs]:[SubPLOs]],"&lt;5")</f>
        <v>0</v>
      </c>
      <c r="CH37" s="138">
        <f>SUMIFS(tbl_task8[S81],tbl_task8[[SubPLOs]:[SubPLOs]],"&gt;=4",tbl_task8[[SubPLOs]:[SubPLOs]],"&lt;5")</f>
        <v>0</v>
      </c>
      <c r="CI37" s="138">
        <f>SUMIFS(tbl_task8[S82],tbl_task8[[SubPLOs]:[SubPLOs]],"&gt;=4",tbl_task8[[SubPLOs]:[SubPLOs]],"&lt;5")</f>
        <v>0</v>
      </c>
      <c r="CJ37" s="138">
        <f>SUMIFS(tbl_task8[S83],tbl_task8[[SubPLOs]:[SubPLOs]],"&gt;=4",tbl_task8[[SubPLOs]:[SubPLOs]],"&lt;5")</f>
        <v>0</v>
      </c>
      <c r="CK37" s="138">
        <f>SUMIFS(tbl_task8[S84],tbl_task8[[SubPLOs]:[SubPLOs]],"&gt;=4",tbl_task8[[SubPLOs]:[SubPLOs]],"&lt;5")</f>
        <v>0</v>
      </c>
      <c r="CL37" s="138">
        <f>SUMIFS(tbl_task8[S85],tbl_task8[[SubPLOs]:[SubPLOs]],"&gt;=4",tbl_task8[[SubPLOs]:[SubPLOs]],"&lt;5")</f>
        <v>0</v>
      </c>
      <c r="CM37" s="138">
        <f>SUMIFS(tbl_task8[S86],tbl_task8[[SubPLOs]:[SubPLOs]],"&gt;=4",tbl_task8[[SubPLOs]:[SubPLOs]],"&lt;5")</f>
        <v>0</v>
      </c>
      <c r="CN37" s="138">
        <f>SUMIFS(tbl_task8[S87],tbl_task8[[SubPLOs]:[SubPLOs]],"&gt;=4",tbl_task8[[SubPLOs]:[SubPLOs]],"&lt;5")</f>
        <v>0</v>
      </c>
      <c r="CO37" s="138">
        <f>SUMIFS(tbl_task8[S88],tbl_task8[[SubPLOs]:[SubPLOs]],"&gt;=4",tbl_task8[[SubPLOs]:[SubPLOs]],"&lt;5")</f>
        <v>0</v>
      </c>
      <c r="CP37" s="138">
        <f>SUMIFS(tbl_task8[S89],tbl_task8[[SubPLOs]:[SubPLOs]],"&gt;=4",tbl_task8[[SubPLOs]:[SubPLOs]],"&lt;5")</f>
        <v>0</v>
      </c>
      <c r="CQ37" s="138">
        <f>SUMIFS(tbl_task8[S90],tbl_task8[[SubPLOs]:[SubPLOs]],"&gt;=4",tbl_task8[[SubPLOs]:[SubPLOs]],"&lt;5")</f>
        <v>0</v>
      </c>
      <c r="CR37" s="138">
        <f>SUMIFS(tbl_task8[S91],tbl_task8[[SubPLOs]:[SubPLOs]],"&gt;=4",tbl_task8[[SubPLOs]:[SubPLOs]],"&lt;5")</f>
        <v>0</v>
      </c>
      <c r="CS37" s="138">
        <f>SUMIFS(tbl_task8[S92],tbl_task8[[SubPLOs]:[SubPLOs]],"&gt;=4",tbl_task8[[SubPLOs]:[SubPLOs]],"&lt;5")</f>
        <v>0</v>
      </c>
      <c r="CT37" s="138">
        <f>SUMIFS(tbl_task8[S93],tbl_task8[[SubPLOs]:[SubPLOs]],"&gt;=4",tbl_task8[[SubPLOs]:[SubPLOs]],"&lt;5")</f>
        <v>0</v>
      </c>
      <c r="CU37" s="138">
        <f>SUMIFS(tbl_task8[S94],tbl_task8[[SubPLOs]:[SubPLOs]],"&gt;=4",tbl_task8[[SubPLOs]:[SubPLOs]],"&lt;5")</f>
        <v>0</v>
      </c>
      <c r="CV37" s="138">
        <f>SUMIFS(tbl_task8[S95],tbl_task8[[SubPLOs]:[SubPLOs]],"&gt;=4",tbl_task8[[SubPLOs]:[SubPLOs]],"&lt;5")</f>
        <v>0</v>
      </c>
      <c r="CW37" s="138">
        <f>SUMIFS(tbl_task8[S96],tbl_task8[[SubPLOs]:[SubPLOs]],"&gt;=4",tbl_task8[[SubPLOs]:[SubPLOs]],"&lt;5")</f>
        <v>0</v>
      </c>
      <c r="CX37" s="138">
        <f>SUMIFS(tbl_task8[S97],tbl_task8[[SubPLOs]:[SubPLOs]],"&gt;=4",tbl_task8[[SubPLOs]:[SubPLOs]],"&lt;5")</f>
        <v>0</v>
      </c>
      <c r="CY37" s="138">
        <f>SUMIFS(tbl_task8[S98],tbl_task8[[SubPLOs]:[SubPLOs]],"&gt;=4",tbl_task8[[SubPLOs]:[SubPLOs]],"&lt;5")</f>
        <v>0</v>
      </c>
      <c r="CZ37" s="138">
        <f>SUMIFS(tbl_task8[S99],tbl_task8[[SubPLOs]:[SubPLOs]],"&gt;=4",tbl_task8[[SubPLOs]:[SubPLOs]],"&lt;5")</f>
        <v>0</v>
      </c>
      <c r="DA37" s="138">
        <f>SUMIFS(tbl_task8[S100],tbl_task8[[SubPLOs]:[SubPLOs]],"&gt;=4",tbl_task8[[SubPLOs]:[SubPLOs]],"&lt;5")</f>
        <v>0</v>
      </c>
      <c r="DB37" s="138">
        <f>SUMIFS(tbl_task8[S101],tbl_task8[[SubPLOs]:[SubPLOs]],"&gt;=4",tbl_task8[[SubPLOs]:[SubPLOs]],"&lt;5")</f>
        <v>0</v>
      </c>
      <c r="DC37" s="138">
        <f>SUMIFS(tbl_task8[S102],tbl_task8[[SubPLOs]:[SubPLOs]],"&gt;=4",tbl_task8[[SubPLOs]:[SubPLOs]],"&lt;5")</f>
        <v>0</v>
      </c>
      <c r="DD37" s="138">
        <f>SUMIFS(tbl_task8[S103],tbl_task8[[SubPLOs]:[SubPLOs]],"&gt;=4",tbl_task8[[SubPLOs]:[SubPLOs]],"&lt;5")</f>
        <v>0</v>
      </c>
      <c r="DE37" s="138">
        <f>SUMIFS(tbl_task8[S104],tbl_task8[[SubPLOs]:[SubPLOs]],"&gt;=4",tbl_task8[[SubPLOs]:[SubPLOs]],"&lt;5")</f>
        <v>0</v>
      </c>
      <c r="DF37" s="138">
        <f>SUMIFS(tbl_task8[S105],tbl_task8[[SubPLOs]:[SubPLOs]],"&gt;=4",tbl_task8[[SubPLOs]:[SubPLOs]],"&lt;5")</f>
        <v>0</v>
      </c>
      <c r="DG37" s="138">
        <f>SUMIFS(tbl_task8[S106],tbl_task8[[SubPLOs]:[SubPLOs]],"&gt;=4",tbl_task8[[SubPLOs]:[SubPLOs]],"&lt;5")</f>
        <v>0</v>
      </c>
      <c r="DH37" s="138">
        <f>SUMIFS(tbl_task8[S106],tbl_task8[[SubPLOs]:[SubPLOs]],"&gt;=4",tbl_task8[[SubPLOs]:[SubPLOs]],"&lt;5")</f>
        <v>0</v>
      </c>
      <c r="DI37" s="138">
        <f>SUMIFS(tbl_task8[S108],tbl_task8[[SubPLOs]:[SubPLOs]],"&gt;=4",tbl_task8[[SubPLOs]:[SubPLOs]],"&lt;5")</f>
        <v>0</v>
      </c>
      <c r="DJ37" s="138">
        <f>SUMIFS(tbl_task8[S109],tbl_task8[[SubPLOs]:[SubPLOs]],"&gt;=4",tbl_task8[[SubPLOs]:[SubPLOs]],"&lt;5")</f>
        <v>0</v>
      </c>
      <c r="DK37" s="138">
        <f>SUMIFS(tbl_task8[S110],tbl_task8[[SubPLOs]:[SubPLOs]],"&gt;=4",tbl_task8[[SubPLOs]:[SubPLOs]],"&lt;5")</f>
        <v>0</v>
      </c>
      <c r="DL37" s="138">
        <f>SUMIFS(tbl_task8[S111],tbl_task8[[SubPLOs]:[SubPLOs]],"&gt;=4",tbl_task8[[SubPLOs]:[SubPLOs]],"&lt;5")</f>
        <v>0</v>
      </c>
      <c r="DM37" s="138">
        <f>SUMIFS(tbl_task8[S112],tbl_task8[[SubPLOs]:[SubPLOs]],"&gt;=4",tbl_task8[[SubPLOs]:[SubPLOs]],"&lt;5")</f>
        <v>0</v>
      </c>
      <c r="DN37" s="138">
        <f>SUMIFS(tbl_task8[S113],tbl_task8[[SubPLOs]:[SubPLOs]],"&gt;=4",tbl_task8[[SubPLOs]:[SubPLOs]],"&lt;5")</f>
        <v>0</v>
      </c>
      <c r="DO37" s="138">
        <f>SUMIFS(tbl_task8[S114],tbl_task8[[SubPLOs]:[SubPLOs]],"&gt;=4",tbl_task8[[SubPLOs]:[SubPLOs]],"&lt;5")</f>
        <v>0</v>
      </c>
      <c r="DP37" s="138">
        <f>SUMIFS(tbl_task8[S115],tbl_task8[[SubPLOs]:[SubPLOs]],"&gt;=4",tbl_task8[[SubPLOs]:[SubPLOs]],"&lt;5")</f>
        <v>0</v>
      </c>
      <c r="DQ37" s="138">
        <f>SUMIFS(tbl_task8[S116],tbl_task8[[SubPLOs]:[SubPLOs]],"&gt;=4",tbl_task8[[SubPLOs]:[SubPLOs]],"&lt;5")</f>
        <v>0</v>
      </c>
      <c r="DR37" s="138">
        <f>SUMIFS(tbl_task8[S117],tbl_task8[[SubPLOs]:[SubPLOs]],"&gt;=4",tbl_task8[[SubPLOs]:[SubPLOs]],"&lt;5")</f>
        <v>0</v>
      </c>
      <c r="DS37" s="138">
        <f>SUMIFS(tbl_task8[S118],tbl_task8[[SubPLOs]:[SubPLOs]],"&gt;=4",tbl_task8[[SubPLOs]:[SubPLOs]],"&lt;5")</f>
        <v>0</v>
      </c>
      <c r="DT37" s="138">
        <f>SUMIFS(tbl_task8[S119],tbl_task8[[SubPLOs]:[SubPLOs]],"&gt;=4",tbl_task8[[SubPLOs]:[SubPLOs]],"&lt;5")</f>
        <v>0</v>
      </c>
      <c r="DU37" s="138">
        <f>SUMIFS(tbl_task8[S120],tbl_task8[[SubPLOs]:[SubPLOs]],"&gt;=4",tbl_task8[[SubPLOs]:[SubPLOs]],"&lt;5")</f>
        <v>0</v>
      </c>
      <c r="DV37" s="138">
        <f>SUMIFS(tbl_task8[S121],tbl_task8[[SubPLOs]:[SubPLOs]],"&gt;=4",tbl_task8[[SubPLOs]:[SubPLOs]],"&lt;5")</f>
        <v>0</v>
      </c>
      <c r="DW37" s="138">
        <f>SUMIFS(tbl_task8[S122],tbl_task8[[SubPLOs]:[SubPLOs]],"&gt;=4",tbl_task8[[SubPLOs]:[SubPLOs]],"&lt;5")</f>
        <v>0</v>
      </c>
      <c r="DX37" s="138">
        <f>SUMIFS(tbl_task8[S123],tbl_task8[[SubPLOs]:[SubPLOs]],"&gt;=4",tbl_task8[[SubPLOs]:[SubPLOs]],"&lt;5")</f>
        <v>0</v>
      </c>
      <c r="DY37" s="138">
        <f>SUMIFS(tbl_task8[S124],tbl_task8[[SubPLOs]:[SubPLOs]],"&gt;=4",tbl_task8[[SubPLOs]:[SubPLOs]],"&lt;5")</f>
        <v>0</v>
      </c>
      <c r="DZ37" s="138">
        <f>SUMIFS(tbl_task8[S125],tbl_task8[[SubPLOs]:[SubPLOs]],"&gt;=4",tbl_task8[[SubPLOs]:[SubPLOs]],"&lt;5")</f>
        <v>0</v>
      </c>
      <c r="EA37" s="138">
        <f>SUMIFS(tbl_task8[S126],tbl_task8[[SubPLOs]:[SubPLOs]],"&gt;=4",tbl_task8[[SubPLOs]:[SubPLOs]],"&lt;5")</f>
        <v>0</v>
      </c>
      <c r="EB37" s="138">
        <f>SUMIFS(tbl_task8[S127],tbl_task8[[SubPLOs]:[SubPLOs]],"&gt;=4",tbl_task8[[SubPLOs]:[SubPLOs]],"&lt;5")</f>
        <v>0</v>
      </c>
      <c r="EC37" s="138">
        <f>SUMIFS(tbl_task8[S128],tbl_task8[[SubPLOs]:[SubPLOs]],"&gt;=4",tbl_task8[[SubPLOs]:[SubPLOs]],"&lt;5")</f>
        <v>0</v>
      </c>
      <c r="ED37" s="138">
        <f>SUMIFS(tbl_task8[S129],tbl_task8[[SubPLOs]:[SubPLOs]],"&gt;=4",tbl_task8[[SubPLOs]:[SubPLOs]],"&lt;5")</f>
        <v>0</v>
      </c>
      <c r="EE37" s="138">
        <f>SUMIFS(tbl_task8[S130],tbl_task8[[SubPLOs]:[SubPLOs]],"&gt;=4",tbl_task8[[SubPLOs]:[SubPLOs]],"&lt;5")</f>
        <v>0</v>
      </c>
      <c r="EF37" s="138">
        <f>SUMIFS(tbl_task8[S131],tbl_task8[[SubPLOs]:[SubPLOs]],"&gt;=4",tbl_task8[[SubPLOs]:[SubPLOs]],"&lt;5")</f>
        <v>0</v>
      </c>
      <c r="EG37" s="138">
        <f>SUMIFS(tbl_task8[S132],tbl_task8[[SubPLOs]:[SubPLOs]],"&gt;=4",tbl_task8[[SubPLOs]:[SubPLOs]],"&lt;5")</f>
        <v>0</v>
      </c>
      <c r="EH37" s="138">
        <f>SUMIFS(tbl_task8[S133],tbl_task8[[SubPLOs]:[SubPLOs]],"&gt;=4",tbl_task8[[SubPLOs]:[SubPLOs]],"&lt;5")</f>
        <v>0</v>
      </c>
      <c r="EI37" s="138">
        <f>SUMIFS(tbl_task8[S134],tbl_task8[[SubPLOs]:[SubPLOs]],"&gt;=4",tbl_task8[[SubPLOs]:[SubPLOs]],"&lt;5")</f>
        <v>0</v>
      </c>
      <c r="EJ37" s="138">
        <f>SUMIFS(tbl_task8[S135],tbl_task8[[SubPLOs]:[SubPLOs]],"&gt;=4",tbl_task8[[SubPLOs]:[SubPLOs]],"&lt;5")</f>
        <v>0</v>
      </c>
      <c r="EK37" s="138">
        <f>SUMIFS(tbl_task8[S136],tbl_task8[[SubPLOs]:[SubPLOs]],"&gt;=4",tbl_task8[[SubPLOs]:[SubPLOs]],"&lt;5")</f>
        <v>0</v>
      </c>
      <c r="EL37" s="138">
        <f>SUMIFS(tbl_task8[S137],tbl_task8[[SubPLOs]:[SubPLOs]],"&gt;=4",tbl_task8[[SubPLOs]:[SubPLOs]],"&lt;5")</f>
        <v>0</v>
      </c>
      <c r="EM37" s="138">
        <f>SUMIFS(tbl_task8[S138],tbl_task8[[SubPLOs]:[SubPLOs]],"&gt;=4",tbl_task8[[SubPLOs]:[SubPLOs]],"&lt;5")</f>
        <v>0</v>
      </c>
      <c r="EN37" s="138">
        <f>SUMIFS(tbl_task8[S139],tbl_task8[[SubPLOs]:[SubPLOs]],"&gt;=4",tbl_task8[[SubPLOs]:[SubPLOs]],"&lt;5")</f>
        <v>0</v>
      </c>
      <c r="EO37" s="138">
        <f>SUMIFS(tbl_task8[S140],tbl_task8[[SubPLOs]:[SubPLOs]],"&gt;=4",tbl_task8[[SubPLOs]:[SubPLOs]],"&lt;5")</f>
        <v>0</v>
      </c>
      <c r="EP37" s="138">
        <f>SUMIFS(tbl_task8[S141],tbl_task8[[SubPLOs]:[SubPLOs]],"&gt;=4",tbl_task8[[SubPLOs]:[SubPLOs]],"&lt;5")</f>
        <v>0</v>
      </c>
      <c r="EQ37" s="138">
        <f>SUMIFS(tbl_task8[S142],tbl_task8[[SubPLOs]:[SubPLOs]],"&gt;=4",tbl_task8[[SubPLOs]:[SubPLOs]],"&lt;5")</f>
        <v>0</v>
      </c>
      <c r="ER37" s="138">
        <f>SUMIFS(tbl_task8[S143],tbl_task8[[SubPLOs]:[SubPLOs]],"&gt;=4",tbl_task8[[SubPLOs]:[SubPLOs]],"&lt;5")</f>
        <v>0</v>
      </c>
      <c r="ES37" s="138">
        <f>SUMIFS(tbl_task8[S144],tbl_task8[[SubPLOs]:[SubPLOs]],"&gt;=4",tbl_task8[[SubPLOs]:[SubPLOs]],"&lt;5")</f>
        <v>0</v>
      </c>
      <c r="ET37" s="138">
        <f>SUMIFS(tbl_task8[S145],tbl_task8[[SubPLOs]:[SubPLOs]],"&gt;=4",tbl_task8[[SubPLOs]:[SubPLOs]],"&lt;5")</f>
        <v>0</v>
      </c>
      <c r="EU37" s="138">
        <f>SUMIFS(tbl_task8[S146],tbl_task8[[SubPLOs]:[SubPLOs]],"&gt;=4",tbl_task8[[SubPLOs]:[SubPLOs]],"&lt;5")</f>
        <v>0</v>
      </c>
      <c r="EV37" s="138">
        <f>SUMIFS(tbl_task8[S147],tbl_task8[[SubPLOs]:[SubPLOs]],"&gt;=4",tbl_task8[[SubPLOs]:[SubPLOs]],"&lt;5")</f>
        <v>0</v>
      </c>
      <c r="EW37" s="138">
        <f>SUMIFS(tbl_task8[S148],tbl_task8[[SubPLOs]:[SubPLOs]],"&gt;=4",tbl_task8[[SubPLOs]:[SubPLOs]],"&lt;5")</f>
        <v>0</v>
      </c>
      <c r="EX37" s="138">
        <f>SUMIFS(tbl_task8[S149],tbl_task8[[SubPLOs]:[SubPLOs]],"&gt;=4",tbl_task8[[SubPLOs]:[SubPLOs]],"&lt;5")</f>
        <v>0</v>
      </c>
      <c r="EY37" s="138">
        <f>SUMIFS(tbl_task8[S150],tbl_task8[[SubPLOs]:[SubPLOs]],"&gt;=4",tbl_task8[[SubPLOs]:[SubPLOs]],"&lt;5")</f>
        <v>0</v>
      </c>
      <c r="EZ37" s="138">
        <f>SUMIFS(tbl_task8[S151],tbl_task8[[SubPLOs]:[SubPLOs]],"&gt;=4",tbl_task8[[SubPLOs]:[SubPLOs]],"&lt;5")</f>
        <v>0</v>
      </c>
      <c r="FA37" s="138">
        <f>SUMIFS(tbl_task8[S152],tbl_task8[[SubPLOs]:[SubPLOs]],"&gt;=4",tbl_task8[[SubPLOs]:[SubPLOs]],"&lt;5")</f>
        <v>0</v>
      </c>
      <c r="FB37" s="138">
        <f>SUMIFS(tbl_task8[S153],tbl_task8[[SubPLOs]:[SubPLOs]],"&gt;=4",tbl_task8[[SubPLOs]:[SubPLOs]],"&lt;5")</f>
        <v>0</v>
      </c>
      <c r="FC37" s="138">
        <f>SUMIFS(tbl_task8[S154],tbl_task8[[SubPLOs]:[SubPLOs]],"&gt;=4",tbl_task8[[SubPLOs]:[SubPLOs]],"&lt;5")</f>
        <v>0</v>
      </c>
      <c r="FD37" s="138">
        <f>SUMIFS(tbl_task8[S155],tbl_task8[[SubPLOs]:[SubPLOs]],"&gt;=4",tbl_task8[[SubPLOs]:[SubPLOs]],"&lt;5")</f>
        <v>0</v>
      </c>
      <c r="FE37" s="138">
        <f>SUMIFS(tbl_task8[S156],tbl_task8[[SubPLOs]:[SubPLOs]],"&gt;=4",tbl_task8[[SubPLOs]:[SubPLOs]],"&lt;5")</f>
        <v>0</v>
      </c>
      <c r="FF37" s="138">
        <f>SUMIFS(tbl_task8[S157],tbl_task8[[SubPLOs]:[SubPLOs]],"&gt;=4",tbl_task8[[SubPLOs]:[SubPLOs]],"&lt;5")</f>
        <v>0</v>
      </c>
      <c r="FG37" s="138">
        <f>SUMIFS(tbl_task8[S158],tbl_task8[[SubPLOs]:[SubPLOs]],"&gt;=4",tbl_task8[[SubPLOs]:[SubPLOs]],"&lt;5")</f>
        <v>0</v>
      </c>
      <c r="FH37" s="138">
        <f>SUMIFS(tbl_task8[S159],tbl_task8[[SubPLOs]:[SubPLOs]],"&gt;=4",tbl_task8[[SubPLOs]:[SubPLOs]],"&lt;5")</f>
        <v>0</v>
      </c>
      <c r="FI37" s="138">
        <f>SUMIFS(tbl_task8[S160],tbl_task8[[SubPLOs]:[SubPLOs]],"&gt;=4",tbl_task8[[SubPLOs]:[SubPLOs]],"&lt;5")</f>
        <v>0</v>
      </c>
      <c r="FJ37" s="138">
        <f>SUMIFS(tbl_task8[S161],tbl_task8[[SubPLOs]:[SubPLOs]],"&gt;=4",tbl_task8[[SubPLOs]:[SubPLOs]],"&lt;5")</f>
        <v>0</v>
      </c>
      <c r="FK37" s="138">
        <f>SUMIFS(tbl_task8[S162],tbl_task8[[SubPLOs]:[SubPLOs]],"&gt;=4",tbl_task8[[SubPLOs]:[SubPLOs]],"&lt;5")</f>
        <v>0</v>
      </c>
      <c r="FL37" s="138">
        <f>SUMIFS(tbl_task8[S163],tbl_task8[[SubPLOs]:[SubPLOs]],"&gt;=4",tbl_task8[[SubPLOs]:[SubPLOs]],"&lt;5")</f>
        <v>0</v>
      </c>
      <c r="FM37" s="138">
        <f>SUMIFS(tbl_task8[S164],tbl_task8[[SubPLOs]:[SubPLOs]],"&gt;=4",tbl_task8[[SubPLOs]:[SubPLOs]],"&lt;5")</f>
        <v>0</v>
      </c>
      <c r="FN37" s="138">
        <f>SUMIFS(tbl_task8[S165],tbl_task8[[SubPLOs]:[SubPLOs]],"&gt;=4",tbl_task8[[SubPLOs]:[SubPLOs]],"&lt;5")</f>
        <v>0</v>
      </c>
    </row>
    <row r="38" spans="1:170" ht="84" x14ac:dyDescent="0.25">
      <c r="A38" s="135">
        <v>5</v>
      </c>
      <c r="B38" s="5" t="s">
        <v>438</v>
      </c>
      <c r="C38" s="136">
        <f>COUNTIFS(tbl_task8[SubPLOs],"&gt;=5",tbl_task8[SubPLOs],"&lt;6")</f>
        <v>0</v>
      </c>
      <c r="D38" s="136">
        <f>SUMIFS(tbl_task8[คะแนนเต็ม],tbl_task8[SubPLOs],"&gt;=5",tbl_task8[SubPLOs],"&lt;6")</f>
        <v>0</v>
      </c>
      <c r="E38" s="137">
        <f>SUMIFS(tbl_task8[%],tbl_task8[SubPLOs],"&gt;=5",tbl_task8[SubPLOs],"&lt;6")</f>
        <v>0</v>
      </c>
      <c r="F38" s="138">
        <f>SUMIFS(tbl_task8[S1],tbl_task8[[SubPLOs]:[SubPLOs]],"&gt;=5",tbl_task8[[SubPLOs]:[SubPLOs]],"&lt;6")</f>
        <v>0</v>
      </c>
      <c r="G38" s="138">
        <f>SUMIFS(tbl_task8[S2],tbl_task8[[SubPLOs]:[SubPLOs]],"&gt;=5",tbl_task8[[SubPLOs]:[SubPLOs]],"&lt;6")</f>
        <v>0</v>
      </c>
      <c r="H38" s="138">
        <f>SUMIFS(tbl_task8[S3],tbl_task8[[SubPLOs]:[SubPLOs]],"&gt;=5",tbl_task8[[SubPLOs]:[SubPLOs]],"&lt;6")</f>
        <v>0</v>
      </c>
      <c r="I38" s="138">
        <f>SUMIFS(tbl_task8[S4],tbl_task8[[SubPLOs]:[SubPLOs]],"&gt;=5",tbl_task8[[SubPLOs]:[SubPLOs]],"&lt;6")</f>
        <v>0</v>
      </c>
      <c r="J38" s="138">
        <f>SUMIFS(tbl_task8[S5],tbl_task8[[SubPLOs]:[SubPLOs]],"&gt;=5",tbl_task8[[SubPLOs]:[SubPLOs]],"&lt;6")</f>
        <v>0</v>
      </c>
      <c r="K38" s="138">
        <f>SUMIFS(tbl_task8[S6],tbl_task8[[SubPLOs]:[SubPLOs]],"&gt;=5",tbl_task8[[SubPLOs]:[SubPLOs]],"&lt;6")</f>
        <v>0</v>
      </c>
      <c r="L38" s="138">
        <f>SUMIFS(tbl_task8[S7],tbl_task8[[SubPLOs]:[SubPLOs]],"&gt;=5",tbl_task8[[SubPLOs]:[SubPLOs]],"&lt;6")</f>
        <v>0</v>
      </c>
      <c r="M38" s="138">
        <f>SUMIFS(tbl_task8[S8],tbl_task8[[SubPLOs]:[SubPLOs]],"&gt;=5",tbl_task8[[SubPLOs]:[SubPLOs]],"&lt;6")</f>
        <v>0</v>
      </c>
      <c r="N38" s="138">
        <f>SUMIFS(tbl_task8[S9],tbl_task8[[SubPLOs]:[SubPLOs]],"&gt;=5",tbl_task8[[SubPLOs]:[SubPLOs]],"&lt;6")</f>
        <v>0</v>
      </c>
      <c r="O38" s="138">
        <f>SUMIFS(tbl_task8[S10],tbl_task8[[SubPLOs]:[SubPLOs]],"&gt;=5",tbl_task8[[SubPLOs]:[SubPLOs]],"&lt;6")</f>
        <v>0</v>
      </c>
      <c r="P38" s="138">
        <f>SUMIFS(tbl_task8[S11],tbl_task8[[SubPLOs]:[SubPLOs]],"&gt;=5",tbl_task8[[SubPLOs]:[SubPLOs]],"&lt;6")</f>
        <v>0</v>
      </c>
      <c r="Q38" s="138">
        <f>SUMIFS(tbl_task8[S12],tbl_task8[[SubPLOs]:[SubPLOs]],"&gt;=5",tbl_task8[[SubPLOs]:[SubPLOs]],"&lt;6")</f>
        <v>0</v>
      </c>
      <c r="R38" s="138">
        <f>SUMIFS(tbl_task8[S13],tbl_task8[[SubPLOs]:[SubPLOs]],"&gt;=5",tbl_task8[[SubPLOs]:[SubPLOs]],"&lt;6")</f>
        <v>0</v>
      </c>
      <c r="S38" s="138">
        <f>SUMIFS(tbl_task8[S14],tbl_task8[[SubPLOs]:[SubPLOs]],"&gt;=5",tbl_task8[[SubPLOs]:[SubPLOs]],"&lt;6")</f>
        <v>0</v>
      </c>
      <c r="T38" s="138">
        <f>SUMIFS(tbl_task8[S15],tbl_task8[[SubPLOs]:[SubPLOs]],"&gt;=5",tbl_task8[[SubPLOs]:[SubPLOs]],"&lt;6")</f>
        <v>0</v>
      </c>
      <c r="U38" s="138">
        <f>SUMIFS(tbl_task8[S16],tbl_task8[[SubPLOs]:[SubPLOs]],"&gt;=5",tbl_task8[[SubPLOs]:[SubPLOs]],"&lt;6")</f>
        <v>0</v>
      </c>
      <c r="V38" s="138">
        <f>SUMIFS(tbl_task8[S17],tbl_task8[[SubPLOs]:[SubPLOs]],"&gt;=5",tbl_task8[[SubPLOs]:[SubPLOs]],"&lt;6")</f>
        <v>0</v>
      </c>
      <c r="W38" s="138">
        <f>SUMIFS(tbl_task8[S18],tbl_task8[[SubPLOs]:[SubPLOs]],"&gt;=5",tbl_task8[[SubPLOs]:[SubPLOs]],"&lt;6")</f>
        <v>0</v>
      </c>
      <c r="X38" s="138">
        <f>SUMIFS(tbl_task8[S19],tbl_task8[[SubPLOs]:[SubPLOs]],"&gt;=5",tbl_task8[[SubPLOs]:[SubPLOs]],"&lt;6")</f>
        <v>0</v>
      </c>
      <c r="Y38" s="138">
        <f>SUMIFS(tbl_task8[S20],tbl_task8[[SubPLOs]:[SubPLOs]],"&gt;=5",tbl_task8[[SubPLOs]:[SubPLOs]],"&lt;6")</f>
        <v>0</v>
      </c>
      <c r="Z38" s="138">
        <f>SUMIFS(tbl_task8[S21],tbl_task8[[SubPLOs]:[SubPLOs]],"&gt;=5",tbl_task8[[SubPLOs]:[SubPLOs]],"&lt;6")</f>
        <v>0</v>
      </c>
      <c r="AA38" s="138">
        <f>SUMIFS(tbl_task8[S22],tbl_task8[[SubPLOs]:[SubPLOs]],"&gt;=5",tbl_task8[[SubPLOs]:[SubPLOs]],"&lt;6")</f>
        <v>0</v>
      </c>
      <c r="AB38" s="138">
        <f>SUMIFS(tbl_task8[S23],tbl_task8[[SubPLOs]:[SubPLOs]],"&gt;=5",tbl_task8[[SubPLOs]:[SubPLOs]],"&lt;6")</f>
        <v>0</v>
      </c>
      <c r="AC38" s="138">
        <f>SUMIFS(tbl_task8[S24],tbl_task8[[SubPLOs]:[SubPLOs]],"&gt;=5",tbl_task8[[SubPLOs]:[SubPLOs]],"&lt;6")</f>
        <v>0</v>
      </c>
      <c r="AD38" s="138">
        <f>SUMIFS(tbl_task8[S25],tbl_task8[[SubPLOs]:[SubPLOs]],"&gt;=5",tbl_task8[[SubPLOs]:[SubPLOs]],"&lt;6")</f>
        <v>0</v>
      </c>
      <c r="AE38" s="138">
        <f>SUMIFS(tbl_task8[S26],tbl_task8[[SubPLOs]:[SubPLOs]],"&gt;=5",tbl_task8[[SubPLOs]:[SubPLOs]],"&lt;6")</f>
        <v>0</v>
      </c>
      <c r="AF38" s="138">
        <f>SUMIFS(tbl_task8[S27],tbl_task8[[SubPLOs]:[SubPLOs]],"&gt;=5",tbl_task8[[SubPLOs]:[SubPLOs]],"&lt;6")</f>
        <v>0</v>
      </c>
      <c r="AG38" s="138">
        <f>SUMIFS(tbl_task8[S28],tbl_task8[[SubPLOs]:[SubPLOs]],"&gt;=5",tbl_task8[[SubPLOs]:[SubPLOs]],"&lt;6")</f>
        <v>0</v>
      </c>
      <c r="AH38" s="138">
        <f>SUMIFS(tbl_task8[S29],tbl_task8[[SubPLOs]:[SubPLOs]],"&gt;=5",tbl_task8[[SubPLOs]:[SubPLOs]],"&lt;6")</f>
        <v>0</v>
      </c>
      <c r="AI38" s="138">
        <f>SUMIFS(tbl_task8[S30],tbl_task8[[SubPLOs]:[SubPLOs]],"&gt;=5",tbl_task8[[SubPLOs]:[SubPLOs]],"&lt;6")</f>
        <v>0</v>
      </c>
      <c r="AJ38" s="138">
        <f>SUMIFS(tbl_task8[S31],tbl_task8[[SubPLOs]:[SubPLOs]],"&gt;=5",tbl_task8[[SubPLOs]:[SubPLOs]],"&lt;6")</f>
        <v>0</v>
      </c>
      <c r="AK38" s="138">
        <f>SUMIFS(tbl_task8[S32],tbl_task8[[SubPLOs]:[SubPLOs]],"&gt;=5",tbl_task8[[SubPLOs]:[SubPLOs]],"&lt;6")</f>
        <v>0</v>
      </c>
      <c r="AL38" s="138">
        <f>SUMIFS(tbl_task8[S33],tbl_task8[[SubPLOs]:[SubPLOs]],"&gt;=5",tbl_task8[[SubPLOs]:[SubPLOs]],"&lt;6")</f>
        <v>0</v>
      </c>
      <c r="AM38" s="138">
        <f>SUMIFS(tbl_task8[S34],tbl_task8[[SubPLOs]:[SubPLOs]],"&gt;=5",tbl_task8[[SubPLOs]:[SubPLOs]],"&lt;6")</f>
        <v>0</v>
      </c>
      <c r="AN38" s="138">
        <f>SUMIFS(tbl_task8[S35],tbl_task8[[SubPLOs]:[SubPLOs]],"&gt;=5",tbl_task8[[SubPLOs]:[SubPLOs]],"&lt;6")</f>
        <v>0</v>
      </c>
      <c r="AO38" s="138">
        <f>SUMIFS(tbl_task8[S36],tbl_task8[[SubPLOs]:[SubPLOs]],"&gt;=5",tbl_task8[[SubPLOs]:[SubPLOs]],"&lt;6")</f>
        <v>0</v>
      </c>
      <c r="AP38" s="138">
        <f>SUMIFS(tbl_task8[S37],tbl_task8[[SubPLOs]:[SubPLOs]],"&gt;=5",tbl_task8[[SubPLOs]:[SubPLOs]],"&lt;6")</f>
        <v>0</v>
      </c>
      <c r="AQ38" s="138">
        <f>SUMIFS(tbl_task8[S38],tbl_task8[[SubPLOs]:[SubPLOs]],"&gt;=5",tbl_task8[[SubPLOs]:[SubPLOs]],"&lt;6")</f>
        <v>0</v>
      </c>
      <c r="AR38" s="138">
        <f>SUMIFS(tbl_task8[S39],tbl_task8[[SubPLOs]:[SubPLOs]],"&gt;=5",tbl_task8[[SubPLOs]:[SubPLOs]],"&lt;6")</f>
        <v>0</v>
      </c>
      <c r="AS38" s="138">
        <f>SUMIFS(tbl_task8[S40],tbl_task8[[SubPLOs]:[SubPLOs]],"&gt;=5",tbl_task8[[SubPLOs]:[SubPLOs]],"&lt;6")</f>
        <v>0</v>
      </c>
      <c r="AT38" s="138">
        <f>SUMIFS(tbl_task8[S41],tbl_task8[[SubPLOs]:[SubPLOs]],"&gt;=5",tbl_task8[[SubPLOs]:[SubPLOs]],"&lt;6")</f>
        <v>0</v>
      </c>
      <c r="AU38" s="138">
        <f>SUMIFS(tbl_task8[S42],tbl_task8[[SubPLOs]:[SubPLOs]],"&gt;=5",tbl_task8[[SubPLOs]:[SubPLOs]],"&lt;6")</f>
        <v>0</v>
      </c>
      <c r="AV38" s="138">
        <f>SUMIFS(tbl_task8[S43],tbl_task8[[SubPLOs]:[SubPLOs]],"&gt;=5",tbl_task8[[SubPLOs]:[SubPLOs]],"&lt;6")</f>
        <v>0</v>
      </c>
      <c r="AW38" s="138">
        <f>SUMIFS(tbl_task8[S44],tbl_task8[[SubPLOs]:[SubPLOs]],"&gt;=5",tbl_task8[[SubPLOs]:[SubPLOs]],"&lt;6")</f>
        <v>0</v>
      </c>
      <c r="AX38" s="138">
        <f>SUMIFS(tbl_task8[S45],tbl_task8[[SubPLOs]:[SubPLOs]],"&gt;=5",tbl_task8[[SubPLOs]:[SubPLOs]],"&lt;6")</f>
        <v>0</v>
      </c>
      <c r="AY38" s="138">
        <f>SUMIFS(tbl_task8[S46],tbl_task8[[SubPLOs]:[SubPLOs]],"&gt;=5",tbl_task8[[SubPLOs]:[SubPLOs]],"&lt;6")</f>
        <v>0</v>
      </c>
      <c r="AZ38" s="138">
        <f>SUMIFS(tbl_task8[S47],tbl_task8[[SubPLOs]:[SubPLOs]],"&gt;=5",tbl_task8[[SubPLOs]:[SubPLOs]],"&lt;6")</f>
        <v>0</v>
      </c>
      <c r="BA38" s="138">
        <f>SUMIFS(tbl_task8[S48],tbl_task8[[SubPLOs]:[SubPLOs]],"&gt;=5",tbl_task8[[SubPLOs]:[SubPLOs]],"&lt;6")</f>
        <v>0</v>
      </c>
      <c r="BB38" s="138">
        <f>SUMIFS(tbl_task8[S49],tbl_task8[[SubPLOs]:[SubPLOs]],"&gt;=5",tbl_task8[[SubPLOs]:[SubPLOs]],"&lt;6")</f>
        <v>0</v>
      </c>
      <c r="BC38" s="138">
        <f>SUMIFS(tbl_task8[S50],tbl_task8[[SubPLOs]:[SubPLOs]],"&gt;=5",tbl_task8[[SubPLOs]:[SubPLOs]],"&lt;6")</f>
        <v>0</v>
      </c>
      <c r="BD38" s="138">
        <f>SUMIFS(tbl_task8[S51],tbl_task8[[SubPLOs]:[SubPLOs]],"&gt;=5",tbl_task8[[SubPLOs]:[SubPLOs]],"&lt;6")</f>
        <v>0</v>
      </c>
      <c r="BE38" s="138">
        <f>SUMIFS(tbl_task8[S52],tbl_task8[[SubPLOs]:[SubPLOs]],"&gt;=5",tbl_task8[[SubPLOs]:[SubPLOs]],"&lt;6")</f>
        <v>0</v>
      </c>
      <c r="BF38" s="138">
        <f>SUMIFS(tbl_task8[S53],tbl_task8[[SubPLOs]:[SubPLOs]],"&gt;=5",tbl_task8[[SubPLOs]:[SubPLOs]],"&lt;6")</f>
        <v>0</v>
      </c>
      <c r="BG38" s="138">
        <f>SUMIFS(tbl_task8[S54],tbl_task8[[SubPLOs]:[SubPLOs]],"&gt;=5",tbl_task8[[SubPLOs]:[SubPLOs]],"&lt;6")</f>
        <v>0</v>
      </c>
      <c r="BH38" s="138">
        <f>SUMIFS(tbl_task8[S55],tbl_task8[[SubPLOs]:[SubPLOs]],"&gt;=5",tbl_task8[[SubPLOs]:[SubPLOs]],"&lt;6")</f>
        <v>0</v>
      </c>
      <c r="BI38" s="138">
        <f>SUMIFS(tbl_task8[S56],tbl_task8[[SubPLOs]:[SubPLOs]],"&gt;=5",tbl_task8[[SubPLOs]:[SubPLOs]],"&lt;6")</f>
        <v>0</v>
      </c>
      <c r="BJ38" s="138">
        <f>SUMIFS(tbl_task8[S57],tbl_task8[[SubPLOs]:[SubPLOs]],"&gt;=5",tbl_task8[[SubPLOs]:[SubPLOs]],"&lt;6")</f>
        <v>0</v>
      </c>
      <c r="BK38" s="138">
        <f>SUMIFS(tbl_task8[S58],tbl_task8[[SubPLOs]:[SubPLOs]],"&gt;=5",tbl_task8[[SubPLOs]:[SubPLOs]],"&lt;6")</f>
        <v>0</v>
      </c>
      <c r="BL38" s="138">
        <f>SUMIFS(tbl_task8[S59],tbl_task8[[SubPLOs]:[SubPLOs]],"&gt;=5",tbl_task8[[SubPLOs]:[SubPLOs]],"&lt;6")</f>
        <v>0</v>
      </c>
      <c r="BM38" s="138">
        <f>SUMIFS(tbl_task8[S60],tbl_task8[[SubPLOs]:[SubPLOs]],"&gt;=5",tbl_task8[[SubPLOs]:[SubPLOs]],"&lt;6")</f>
        <v>0</v>
      </c>
      <c r="BN38" s="138">
        <f>SUMIFS(tbl_task8[S61],tbl_task8[[SubPLOs]:[SubPLOs]],"&gt;=5",tbl_task8[[SubPLOs]:[SubPLOs]],"&lt;6")</f>
        <v>0</v>
      </c>
      <c r="BO38" s="138">
        <f>SUMIFS(tbl_task8[S62],tbl_task8[[SubPLOs]:[SubPLOs]],"&gt;=5",tbl_task8[[SubPLOs]:[SubPLOs]],"&lt;6")</f>
        <v>0</v>
      </c>
      <c r="BP38" s="138">
        <f>SUMIFS(tbl_task8[S63],tbl_task8[[SubPLOs]:[SubPLOs]],"&gt;=5",tbl_task8[[SubPLOs]:[SubPLOs]],"&lt;6")</f>
        <v>0</v>
      </c>
      <c r="BQ38" s="138">
        <f>SUMIFS(tbl_task8[S64],tbl_task8[[SubPLOs]:[SubPLOs]],"&gt;=5",tbl_task8[[SubPLOs]:[SubPLOs]],"&lt;6")</f>
        <v>0</v>
      </c>
      <c r="BR38" s="138">
        <f>SUMIFS(tbl_task8[S65],tbl_task8[[SubPLOs]:[SubPLOs]],"&gt;=5",tbl_task8[[SubPLOs]:[SubPLOs]],"&lt;6")</f>
        <v>0</v>
      </c>
      <c r="BS38" s="138">
        <f>SUMIFS(tbl_task8[S66],tbl_task8[[SubPLOs]:[SubPLOs]],"&gt;=5",tbl_task8[[SubPLOs]:[SubPLOs]],"&lt;6")</f>
        <v>0</v>
      </c>
      <c r="BT38" s="138">
        <f>SUMIFS(tbl_task8[S67],tbl_task8[[SubPLOs]:[SubPLOs]],"&gt;=5",tbl_task8[[SubPLOs]:[SubPLOs]],"&lt;6")</f>
        <v>0</v>
      </c>
      <c r="BU38" s="138">
        <f>SUMIFS(tbl_task8[S68],tbl_task8[[SubPLOs]:[SubPLOs]],"&gt;=5",tbl_task8[[SubPLOs]:[SubPLOs]],"&lt;6")</f>
        <v>0</v>
      </c>
      <c r="BV38" s="138">
        <f>SUMIFS(tbl_task8[S69],tbl_task8[[SubPLOs]:[SubPLOs]],"&gt;=5",tbl_task8[[SubPLOs]:[SubPLOs]],"&lt;6")</f>
        <v>0</v>
      </c>
      <c r="BW38" s="138">
        <f>SUMIFS(tbl_task8[S70],tbl_task8[[SubPLOs]:[SubPLOs]],"&gt;=5",tbl_task8[[SubPLOs]:[SubPLOs]],"&lt;6")</f>
        <v>0</v>
      </c>
      <c r="BX38" s="138">
        <f>SUMIFS(tbl_task8[S71],tbl_task8[[SubPLOs]:[SubPLOs]],"&gt;=5",tbl_task8[[SubPLOs]:[SubPLOs]],"&lt;6")</f>
        <v>0</v>
      </c>
      <c r="BY38" s="138">
        <f>SUMIFS(tbl_task8[S72],tbl_task8[[SubPLOs]:[SubPLOs]],"&gt;=5",tbl_task8[[SubPLOs]:[SubPLOs]],"&lt;6")</f>
        <v>0</v>
      </c>
      <c r="BZ38" s="138">
        <f>SUMIFS(tbl_task8[S73],tbl_task8[[SubPLOs]:[SubPLOs]],"&gt;=5",tbl_task8[[SubPLOs]:[SubPLOs]],"&lt;6")</f>
        <v>0</v>
      </c>
      <c r="CA38" s="138">
        <f>SUMIFS(tbl_task8[S74],tbl_task8[[SubPLOs]:[SubPLOs]],"&gt;=5",tbl_task8[[SubPLOs]:[SubPLOs]],"&lt;6")</f>
        <v>0</v>
      </c>
      <c r="CB38" s="138">
        <f>SUMIFS(tbl_task8[S75],tbl_task8[[SubPLOs]:[SubPLOs]],"&gt;=5",tbl_task8[[SubPLOs]:[SubPLOs]],"&lt;6")</f>
        <v>0</v>
      </c>
      <c r="CC38" s="138">
        <f>SUMIFS(tbl_task8[S76],tbl_task8[[SubPLOs]:[SubPLOs]],"&gt;=5",tbl_task8[[SubPLOs]:[SubPLOs]],"&lt;6")</f>
        <v>0</v>
      </c>
      <c r="CD38" s="138">
        <f>SUMIFS(tbl_task8[S77],tbl_task8[[SubPLOs]:[SubPLOs]],"&gt;=5",tbl_task8[[SubPLOs]:[SubPLOs]],"&lt;6")</f>
        <v>0</v>
      </c>
      <c r="CE38" s="138">
        <f>SUMIFS(tbl_task8[S78],tbl_task8[[SubPLOs]:[SubPLOs]],"&gt;=5",tbl_task8[[SubPLOs]:[SubPLOs]],"&lt;6")</f>
        <v>0</v>
      </c>
      <c r="CF38" s="138">
        <f>SUMIFS(tbl_task8[S79],tbl_task8[[SubPLOs]:[SubPLOs]],"&gt;=5",tbl_task8[[SubPLOs]:[SubPLOs]],"&lt;6")</f>
        <v>0</v>
      </c>
      <c r="CG38" s="138">
        <f>SUMIFS(tbl_task8[S80],tbl_task8[[SubPLOs]:[SubPLOs]],"&gt;=5",tbl_task8[[SubPLOs]:[SubPLOs]],"&lt;6")</f>
        <v>0</v>
      </c>
      <c r="CH38" s="138">
        <f>SUMIFS(tbl_task8[S81],tbl_task8[[SubPLOs]:[SubPLOs]],"&gt;=5",tbl_task8[[SubPLOs]:[SubPLOs]],"&lt;6")</f>
        <v>0</v>
      </c>
      <c r="CI38" s="138">
        <f>SUMIFS(tbl_task8[S82],tbl_task8[[SubPLOs]:[SubPLOs]],"&gt;=5",tbl_task8[[SubPLOs]:[SubPLOs]],"&lt;6")</f>
        <v>0</v>
      </c>
      <c r="CJ38" s="138">
        <f>SUMIFS(tbl_task8[S83],tbl_task8[[SubPLOs]:[SubPLOs]],"&gt;=5",tbl_task8[[SubPLOs]:[SubPLOs]],"&lt;6")</f>
        <v>0</v>
      </c>
      <c r="CK38" s="138">
        <f>SUMIFS(tbl_task8[S84],tbl_task8[[SubPLOs]:[SubPLOs]],"&gt;=5",tbl_task8[[SubPLOs]:[SubPLOs]],"&lt;6")</f>
        <v>0</v>
      </c>
      <c r="CL38" s="138">
        <f>SUMIFS(tbl_task8[S85],tbl_task8[[SubPLOs]:[SubPLOs]],"&gt;=5",tbl_task8[[SubPLOs]:[SubPLOs]],"&lt;6")</f>
        <v>0</v>
      </c>
      <c r="CM38" s="138">
        <f>SUMIFS(tbl_task8[S86],tbl_task8[[SubPLOs]:[SubPLOs]],"&gt;=5",tbl_task8[[SubPLOs]:[SubPLOs]],"&lt;6")</f>
        <v>0</v>
      </c>
      <c r="CN38" s="138">
        <f>SUMIFS(tbl_task8[S87],tbl_task8[[SubPLOs]:[SubPLOs]],"&gt;=5",tbl_task8[[SubPLOs]:[SubPLOs]],"&lt;6")</f>
        <v>0</v>
      </c>
      <c r="CO38" s="138">
        <f>SUMIFS(tbl_task8[S88],tbl_task8[[SubPLOs]:[SubPLOs]],"&gt;=5",tbl_task8[[SubPLOs]:[SubPLOs]],"&lt;6")</f>
        <v>0</v>
      </c>
      <c r="CP38" s="138">
        <f>SUMIFS(tbl_task8[S89],tbl_task8[[SubPLOs]:[SubPLOs]],"&gt;=5",tbl_task8[[SubPLOs]:[SubPLOs]],"&lt;6")</f>
        <v>0</v>
      </c>
      <c r="CQ38" s="138">
        <f>SUMIFS(tbl_task8[S90],tbl_task8[[SubPLOs]:[SubPLOs]],"&gt;=5",tbl_task8[[SubPLOs]:[SubPLOs]],"&lt;6")</f>
        <v>0</v>
      </c>
      <c r="CR38" s="138">
        <f>SUMIFS(tbl_task8[S91],tbl_task8[[SubPLOs]:[SubPLOs]],"&gt;=5",tbl_task8[[SubPLOs]:[SubPLOs]],"&lt;6")</f>
        <v>0</v>
      </c>
      <c r="CS38" s="138">
        <f>SUMIFS(tbl_task8[S92],tbl_task8[[SubPLOs]:[SubPLOs]],"&gt;=5",tbl_task8[[SubPLOs]:[SubPLOs]],"&lt;6")</f>
        <v>0</v>
      </c>
      <c r="CT38" s="138">
        <f>SUMIFS(tbl_task8[S93],tbl_task8[[SubPLOs]:[SubPLOs]],"&gt;=5",tbl_task8[[SubPLOs]:[SubPLOs]],"&lt;6")</f>
        <v>0</v>
      </c>
      <c r="CU38" s="138">
        <f>SUMIFS(tbl_task8[S94],tbl_task8[[SubPLOs]:[SubPLOs]],"&gt;=5",tbl_task8[[SubPLOs]:[SubPLOs]],"&lt;6")</f>
        <v>0</v>
      </c>
      <c r="CV38" s="138">
        <f>SUMIFS(tbl_task8[S95],tbl_task8[[SubPLOs]:[SubPLOs]],"&gt;=5",tbl_task8[[SubPLOs]:[SubPLOs]],"&lt;6")</f>
        <v>0</v>
      </c>
      <c r="CW38" s="138">
        <f>SUMIFS(tbl_task8[S96],tbl_task8[[SubPLOs]:[SubPLOs]],"&gt;=5",tbl_task8[[SubPLOs]:[SubPLOs]],"&lt;6")</f>
        <v>0</v>
      </c>
      <c r="CX38" s="138">
        <f>SUMIFS(tbl_task8[S97],tbl_task8[[SubPLOs]:[SubPLOs]],"&gt;=5",tbl_task8[[SubPLOs]:[SubPLOs]],"&lt;6")</f>
        <v>0</v>
      </c>
      <c r="CY38" s="138">
        <f>SUMIFS(tbl_task8[S98],tbl_task8[[SubPLOs]:[SubPLOs]],"&gt;=5",tbl_task8[[SubPLOs]:[SubPLOs]],"&lt;6")</f>
        <v>0</v>
      </c>
      <c r="CZ38" s="138">
        <f>SUMIFS(tbl_task8[S99],tbl_task8[[SubPLOs]:[SubPLOs]],"&gt;=5",tbl_task8[[SubPLOs]:[SubPLOs]],"&lt;6")</f>
        <v>0</v>
      </c>
      <c r="DA38" s="138">
        <f>SUMIFS(tbl_task8[S100],tbl_task8[[SubPLOs]:[SubPLOs]],"&gt;=5",tbl_task8[[SubPLOs]:[SubPLOs]],"&lt;6")</f>
        <v>0</v>
      </c>
      <c r="DB38" s="138">
        <f>SUMIFS(tbl_task8[S101],tbl_task8[[SubPLOs]:[SubPLOs]],"&gt;=5",tbl_task8[[SubPLOs]:[SubPLOs]],"&lt;6")</f>
        <v>0</v>
      </c>
      <c r="DC38" s="138">
        <f>SUMIFS(tbl_task8[S102],tbl_task8[[SubPLOs]:[SubPLOs]],"&gt;=5",tbl_task8[[SubPLOs]:[SubPLOs]],"&lt;6")</f>
        <v>0</v>
      </c>
      <c r="DD38" s="138">
        <f>SUMIFS(tbl_task8[S103],tbl_task8[[SubPLOs]:[SubPLOs]],"&gt;=5",tbl_task8[[SubPLOs]:[SubPLOs]],"&lt;6")</f>
        <v>0</v>
      </c>
      <c r="DE38" s="138">
        <f>SUMIFS(tbl_task8[S104],tbl_task8[[SubPLOs]:[SubPLOs]],"&gt;=5",tbl_task8[[SubPLOs]:[SubPLOs]],"&lt;6")</f>
        <v>0</v>
      </c>
      <c r="DF38" s="138">
        <f>SUMIFS(tbl_task8[S105],tbl_task8[[SubPLOs]:[SubPLOs]],"&gt;=5",tbl_task8[[SubPLOs]:[SubPLOs]],"&lt;6")</f>
        <v>0</v>
      </c>
      <c r="DG38" s="138">
        <f>SUMIFS(tbl_task8[S106],tbl_task8[[SubPLOs]:[SubPLOs]],"&gt;=5",tbl_task8[[SubPLOs]:[SubPLOs]],"&lt;6")</f>
        <v>0</v>
      </c>
      <c r="DH38" s="138">
        <f>SUMIFS(tbl_task8[S106],tbl_task8[[SubPLOs]:[SubPLOs]],"&gt;=5",tbl_task8[[SubPLOs]:[SubPLOs]],"&lt;6")</f>
        <v>0</v>
      </c>
      <c r="DI38" s="138">
        <f>SUMIFS(tbl_task8[S108],tbl_task8[[SubPLOs]:[SubPLOs]],"&gt;=5",tbl_task8[[SubPLOs]:[SubPLOs]],"&lt;6")</f>
        <v>0</v>
      </c>
      <c r="DJ38" s="138">
        <f>SUMIFS(tbl_task8[S109],tbl_task8[[SubPLOs]:[SubPLOs]],"&gt;=5",tbl_task8[[SubPLOs]:[SubPLOs]],"&lt;6")</f>
        <v>0</v>
      </c>
      <c r="DK38" s="138">
        <f>SUMIFS(tbl_task8[S110],tbl_task8[[SubPLOs]:[SubPLOs]],"&gt;=5",tbl_task8[[SubPLOs]:[SubPLOs]],"&lt;6")</f>
        <v>0</v>
      </c>
      <c r="DL38" s="138">
        <f>SUMIFS(tbl_task8[S111],tbl_task8[[SubPLOs]:[SubPLOs]],"&gt;=5",tbl_task8[[SubPLOs]:[SubPLOs]],"&lt;6")</f>
        <v>0</v>
      </c>
      <c r="DM38" s="138">
        <f>SUMIFS(tbl_task8[S112],tbl_task8[[SubPLOs]:[SubPLOs]],"&gt;=5",tbl_task8[[SubPLOs]:[SubPLOs]],"&lt;6")</f>
        <v>0</v>
      </c>
      <c r="DN38" s="138">
        <f>SUMIFS(tbl_task8[S113],tbl_task8[[SubPLOs]:[SubPLOs]],"&gt;=5",tbl_task8[[SubPLOs]:[SubPLOs]],"&lt;6")</f>
        <v>0</v>
      </c>
      <c r="DO38" s="138">
        <f>SUMIFS(tbl_task8[S114],tbl_task8[[SubPLOs]:[SubPLOs]],"&gt;=5",tbl_task8[[SubPLOs]:[SubPLOs]],"&lt;6")</f>
        <v>0</v>
      </c>
      <c r="DP38" s="138">
        <f>SUMIFS(tbl_task8[S115],tbl_task8[[SubPLOs]:[SubPLOs]],"&gt;=5",tbl_task8[[SubPLOs]:[SubPLOs]],"&lt;6")</f>
        <v>0</v>
      </c>
      <c r="DQ38" s="138">
        <f>SUMIFS(tbl_task8[S116],tbl_task8[[SubPLOs]:[SubPLOs]],"&gt;=5",tbl_task8[[SubPLOs]:[SubPLOs]],"&lt;6")</f>
        <v>0</v>
      </c>
      <c r="DR38" s="138">
        <f>SUMIFS(tbl_task8[S117],tbl_task8[[SubPLOs]:[SubPLOs]],"&gt;=5",tbl_task8[[SubPLOs]:[SubPLOs]],"&lt;6")</f>
        <v>0</v>
      </c>
      <c r="DS38" s="138">
        <f>SUMIFS(tbl_task8[S118],tbl_task8[[SubPLOs]:[SubPLOs]],"&gt;=5",tbl_task8[[SubPLOs]:[SubPLOs]],"&lt;6")</f>
        <v>0</v>
      </c>
      <c r="DT38" s="138">
        <f>SUMIFS(tbl_task8[S119],tbl_task8[[SubPLOs]:[SubPLOs]],"&gt;=5",tbl_task8[[SubPLOs]:[SubPLOs]],"&lt;6")</f>
        <v>0</v>
      </c>
      <c r="DU38" s="138">
        <f>SUMIFS(tbl_task8[S120],tbl_task8[[SubPLOs]:[SubPLOs]],"&gt;=5",tbl_task8[[SubPLOs]:[SubPLOs]],"&lt;6")</f>
        <v>0</v>
      </c>
      <c r="DV38" s="138">
        <f>SUMIFS(tbl_task8[S121],tbl_task8[[SubPLOs]:[SubPLOs]],"&gt;=5",tbl_task8[[SubPLOs]:[SubPLOs]],"&lt;6")</f>
        <v>0</v>
      </c>
      <c r="DW38" s="138">
        <f>SUMIFS(tbl_task8[S122],tbl_task8[[SubPLOs]:[SubPLOs]],"&gt;=5",tbl_task8[[SubPLOs]:[SubPLOs]],"&lt;6")</f>
        <v>0</v>
      </c>
      <c r="DX38" s="138">
        <f>SUMIFS(tbl_task8[S123],tbl_task8[[SubPLOs]:[SubPLOs]],"&gt;=5",tbl_task8[[SubPLOs]:[SubPLOs]],"&lt;6")</f>
        <v>0</v>
      </c>
      <c r="DY38" s="138">
        <f>SUMIFS(tbl_task8[S124],tbl_task8[[SubPLOs]:[SubPLOs]],"&gt;=5",tbl_task8[[SubPLOs]:[SubPLOs]],"&lt;6")</f>
        <v>0</v>
      </c>
      <c r="DZ38" s="138">
        <f>SUMIFS(tbl_task8[S125],tbl_task8[[SubPLOs]:[SubPLOs]],"&gt;=5",tbl_task8[[SubPLOs]:[SubPLOs]],"&lt;6")</f>
        <v>0</v>
      </c>
      <c r="EA38" s="138">
        <f>SUMIFS(tbl_task8[S126],tbl_task8[[SubPLOs]:[SubPLOs]],"&gt;=5",tbl_task8[[SubPLOs]:[SubPLOs]],"&lt;6")</f>
        <v>0</v>
      </c>
      <c r="EB38" s="138">
        <f>SUMIFS(tbl_task8[S127],tbl_task8[[SubPLOs]:[SubPLOs]],"&gt;=5",tbl_task8[[SubPLOs]:[SubPLOs]],"&lt;6")</f>
        <v>0</v>
      </c>
      <c r="EC38" s="138">
        <f>SUMIFS(tbl_task8[S128],tbl_task8[[SubPLOs]:[SubPLOs]],"&gt;=5",tbl_task8[[SubPLOs]:[SubPLOs]],"&lt;6")</f>
        <v>0</v>
      </c>
      <c r="ED38" s="138">
        <f>SUMIFS(tbl_task8[S129],tbl_task8[[SubPLOs]:[SubPLOs]],"&gt;=5",tbl_task8[[SubPLOs]:[SubPLOs]],"&lt;6")</f>
        <v>0</v>
      </c>
      <c r="EE38" s="138">
        <f>SUMIFS(tbl_task8[S130],tbl_task8[[SubPLOs]:[SubPLOs]],"&gt;=5",tbl_task8[[SubPLOs]:[SubPLOs]],"&lt;6")</f>
        <v>0</v>
      </c>
      <c r="EF38" s="138">
        <f>SUMIFS(tbl_task8[S131],tbl_task8[[SubPLOs]:[SubPLOs]],"&gt;=5",tbl_task8[[SubPLOs]:[SubPLOs]],"&lt;6")</f>
        <v>0</v>
      </c>
      <c r="EG38" s="138">
        <f>SUMIFS(tbl_task8[S132],tbl_task8[[SubPLOs]:[SubPLOs]],"&gt;=5",tbl_task8[[SubPLOs]:[SubPLOs]],"&lt;6")</f>
        <v>0</v>
      </c>
      <c r="EH38" s="138">
        <f>SUMIFS(tbl_task8[S133],tbl_task8[[SubPLOs]:[SubPLOs]],"&gt;=5",tbl_task8[[SubPLOs]:[SubPLOs]],"&lt;6")</f>
        <v>0</v>
      </c>
      <c r="EI38" s="138">
        <f>SUMIFS(tbl_task8[S134],tbl_task8[[SubPLOs]:[SubPLOs]],"&gt;=5",tbl_task8[[SubPLOs]:[SubPLOs]],"&lt;6")</f>
        <v>0</v>
      </c>
      <c r="EJ38" s="138">
        <f>SUMIFS(tbl_task8[S135],tbl_task8[[SubPLOs]:[SubPLOs]],"&gt;=5",tbl_task8[[SubPLOs]:[SubPLOs]],"&lt;6")</f>
        <v>0</v>
      </c>
      <c r="EK38" s="138">
        <f>SUMIFS(tbl_task8[S136],tbl_task8[[SubPLOs]:[SubPLOs]],"&gt;=5",tbl_task8[[SubPLOs]:[SubPLOs]],"&lt;6")</f>
        <v>0</v>
      </c>
      <c r="EL38" s="138">
        <f>SUMIFS(tbl_task8[S137],tbl_task8[[SubPLOs]:[SubPLOs]],"&gt;=5",tbl_task8[[SubPLOs]:[SubPLOs]],"&lt;6")</f>
        <v>0</v>
      </c>
      <c r="EM38" s="138">
        <f>SUMIFS(tbl_task8[S138],tbl_task8[[SubPLOs]:[SubPLOs]],"&gt;=5",tbl_task8[[SubPLOs]:[SubPLOs]],"&lt;6")</f>
        <v>0</v>
      </c>
      <c r="EN38" s="138">
        <f>SUMIFS(tbl_task8[S139],tbl_task8[[SubPLOs]:[SubPLOs]],"&gt;=5",tbl_task8[[SubPLOs]:[SubPLOs]],"&lt;6")</f>
        <v>0</v>
      </c>
      <c r="EO38" s="138">
        <f>SUMIFS(tbl_task8[S140],tbl_task8[[SubPLOs]:[SubPLOs]],"&gt;=5",tbl_task8[[SubPLOs]:[SubPLOs]],"&lt;6")</f>
        <v>0</v>
      </c>
      <c r="EP38" s="138">
        <f>SUMIFS(tbl_task8[S141],tbl_task8[[SubPLOs]:[SubPLOs]],"&gt;=5",tbl_task8[[SubPLOs]:[SubPLOs]],"&lt;6")</f>
        <v>0</v>
      </c>
      <c r="EQ38" s="138">
        <f>SUMIFS(tbl_task8[S142],tbl_task8[[SubPLOs]:[SubPLOs]],"&gt;=5",tbl_task8[[SubPLOs]:[SubPLOs]],"&lt;6")</f>
        <v>0</v>
      </c>
      <c r="ER38" s="138">
        <f>SUMIFS(tbl_task8[S143],tbl_task8[[SubPLOs]:[SubPLOs]],"&gt;=5",tbl_task8[[SubPLOs]:[SubPLOs]],"&lt;6")</f>
        <v>0</v>
      </c>
      <c r="ES38" s="138">
        <f>SUMIFS(tbl_task8[S144],tbl_task8[[SubPLOs]:[SubPLOs]],"&gt;=5",tbl_task8[[SubPLOs]:[SubPLOs]],"&lt;6")</f>
        <v>0</v>
      </c>
      <c r="ET38" s="138">
        <f>SUMIFS(tbl_task8[S145],tbl_task8[[SubPLOs]:[SubPLOs]],"&gt;=5",tbl_task8[[SubPLOs]:[SubPLOs]],"&lt;6")</f>
        <v>0</v>
      </c>
      <c r="EU38" s="138">
        <f>SUMIFS(tbl_task8[S146],tbl_task8[[SubPLOs]:[SubPLOs]],"&gt;=5",tbl_task8[[SubPLOs]:[SubPLOs]],"&lt;6")</f>
        <v>0</v>
      </c>
      <c r="EV38" s="138">
        <f>SUMIFS(tbl_task8[S147],tbl_task8[[SubPLOs]:[SubPLOs]],"&gt;=5",tbl_task8[[SubPLOs]:[SubPLOs]],"&lt;6")</f>
        <v>0</v>
      </c>
      <c r="EW38" s="138">
        <f>SUMIFS(tbl_task8[S148],tbl_task8[[SubPLOs]:[SubPLOs]],"&gt;=5",tbl_task8[[SubPLOs]:[SubPLOs]],"&lt;6")</f>
        <v>0</v>
      </c>
      <c r="EX38" s="138">
        <f>SUMIFS(tbl_task8[S149],tbl_task8[[SubPLOs]:[SubPLOs]],"&gt;=5",tbl_task8[[SubPLOs]:[SubPLOs]],"&lt;6")</f>
        <v>0</v>
      </c>
      <c r="EY38" s="138">
        <f>SUMIFS(tbl_task8[S150],tbl_task8[[SubPLOs]:[SubPLOs]],"&gt;=5",tbl_task8[[SubPLOs]:[SubPLOs]],"&lt;6")</f>
        <v>0</v>
      </c>
      <c r="EZ38" s="138">
        <f>SUMIFS(tbl_task8[S151],tbl_task8[[SubPLOs]:[SubPLOs]],"&gt;=5",tbl_task8[[SubPLOs]:[SubPLOs]],"&lt;6")</f>
        <v>0</v>
      </c>
      <c r="FA38" s="138">
        <f>SUMIFS(tbl_task8[S152],tbl_task8[[SubPLOs]:[SubPLOs]],"&gt;=5",tbl_task8[[SubPLOs]:[SubPLOs]],"&lt;6")</f>
        <v>0</v>
      </c>
      <c r="FB38" s="138">
        <f>SUMIFS(tbl_task8[S153],tbl_task8[[SubPLOs]:[SubPLOs]],"&gt;=5",tbl_task8[[SubPLOs]:[SubPLOs]],"&lt;6")</f>
        <v>0</v>
      </c>
      <c r="FC38" s="138">
        <f>SUMIFS(tbl_task8[S154],tbl_task8[[SubPLOs]:[SubPLOs]],"&gt;=5",tbl_task8[[SubPLOs]:[SubPLOs]],"&lt;6")</f>
        <v>0</v>
      </c>
      <c r="FD38" s="138">
        <f>SUMIFS(tbl_task8[S155],tbl_task8[[SubPLOs]:[SubPLOs]],"&gt;=5",tbl_task8[[SubPLOs]:[SubPLOs]],"&lt;6")</f>
        <v>0</v>
      </c>
      <c r="FE38" s="138">
        <f>SUMIFS(tbl_task8[S156],tbl_task8[[SubPLOs]:[SubPLOs]],"&gt;=5",tbl_task8[[SubPLOs]:[SubPLOs]],"&lt;6")</f>
        <v>0</v>
      </c>
      <c r="FF38" s="138">
        <f>SUMIFS(tbl_task8[S157],tbl_task8[[SubPLOs]:[SubPLOs]],"&gt;=5",tbl_task8[[SubPLOs]:[SubPLOs]],"&lt;6")</f>
        <v>0</v>
      </c>
      <c r="FG38" s="138">
        <f>SUMIFS(tbl_task8[S158],tbl_task8[[SubPLOs]:[SubPLOs]],"&gt;=5",tbl_task8[[SubPLOs]:[SubPLOs]],"&lt;6")</f>
        <v>0</v>
      </c>
      <c r="FH38" s="138">
        <f>SUMIFS(tbl_task8[S159],tbl_task8[[SubPLOs]:[SubPLOs]],"&gt;=5",tbl_task8[[SubPLOs]:[SubPLOs]],"&lt;6")</f>
        <v>0</v>
      </c>
      <c r="FI38" s="138">
        <f>SUMIFS(tbl_task8[S160],tbl_task8[[SubPLOs]:[SubPLOs]],"&gt;=5",tbl_task8[[SubPLOs]:[SubPLOs]],"&lt;6")</f>
        <v>0</v>
      </c>
      <c r="FJ38" s="138">
        <f>SUMIFS(tbl_task8[S161],tbl_task8[[SubPLOs]:[SubPLOs]],"&gt;=5",tbl_task8[[SubPLOs]:[SubPLOs]],"&lt;6")</f>
        <v>0</v>
      </c>
      <c r="FK38" s="138">
        <f>SUMIFS(tbl_task8[S162],tbl_task8[[SubPLOs]:[SubPLOs]],"&gt;=5",tbl_task8[[SubPLOs]:[SubPLOs]],"&lt;6")</f>
        <v>0</v>
      </c>
      <c r="FL38" s="138">
        <f>SUMIFS(tbl_task8[S163],tbl_task8[[SubPLOs]:[SubPLOs]],"&gt;=5",tbl_task8[[SubPLOs]:[SubPLOs]],"&lt;6")</f>
        <v>0</v>
      </c>
      <c r="FM38" s="138">
        <f>SUMIFS(tbl_task8[S164],tbl_task8[[SubPLOs]:[SubPLOs]],"&gt;=5",tbl_task8[[SubPLOs]:[SubPLOs]],"&lt;6")</f>
        <v>0</v>
      </c>
      <c r="FN38" s="138">
        <f>SUMIFS(tbl_task8[S165],tbl_task8[[SubPLOs]:[SubPLOs]],"&gt;=5",tbl_task8[[SubPLOs]:[SubPLOs]],"&lt;6")</f>
        <v>0</v>
      </c>
    </row>
    <row r="39" spans="1:170" ht="42" x14ac:dyDescent="0.25">
      <c r="A39" s="135">
        <v>6</v>
      </c>
      <c r="B39" s="5" t="s">
        <v>439</v>
      </c>
      <c r="C39" s="136">
        <f>COUNTIFS(tbl_task8[SubPLOs],"&gt;=6",tbl_task8[SubPLOs],"&lt;7")</f>
        <v>0</v>
      </c>
      <c r="D39" s="136">
        <f>SUMIFS(tbl_task8[คะแนนเต็ม],tbl_task8[SubPLOs],"&gt;=6",tbl_task8[SubPLOs],"&lt;7")</f>
        <v>0</v>
      </c>
      <c r="E39" s="137">
        <f>SUMIFS(tbl_task8[%],tbl_task8[SubPLOs],"&gt;=6",tbl_task8[SubPLOs],"&lt;7")</f>
        <v>0</v>
      </c>
      <c r="F39" s="138">
        <f>SUMIFS(tbl_task8[S1],tbl_task8[[SubPLOs]:[SubPLOs]],"&gt;=6",tbl_task8[[SubPLOs]:[SubPLOs]],"&lt;7")</f>
        <v>0</v>
      </c>
      <c r="G39" s="138">
        <f>SUMIFS(tbl_task8[S2],tbl_task8[[SubPLOs]:[SubPLOs]],"&gt;=6",tbl_task8[[SubPLOs]:[SubPLOs]],"&lt;7")</f>
        <v>0</v>
      </c>
      <c r="H39" s="138">
        <f>SUMIFS(tbl_task8[S3],tbl_task8[[SubPLOs]:[SubPLOs]],"&gt;=6",tbl_task8[[SubPLOs]:[SubPLOs]],"&lt;7")</f>
        <v>0</v>
      </c>
      <c r="I39" s="138">
        <f>SUMIFS(tbl_task8[S4],tbl_task8[[SubPLOs]:[SubPLOs]],"&gt;=6",tbl_task8[[SubPLOs]:[SubPLOs]],"&lt;7")</f>
        <v>0</v>
      </c>
      <c r="J39" s="138">
        <f>SUMIFS(tbl_task8[S5],tbl_task8[[SubPLOs]:[SubPLOs]],"&gt;=6",tbl_task8[[SubPLOs]:[SubPLOs]],"&lt;7")</f>
        <v>0</v>
      </c>
      <c r="K39" s="138">
        <f>SUMIFS(tbl_task8[S6],tbl_task8[[SubPLOs]:[SubPLOs]],"&gt;=6",tbl_task8[[SubPLOs]:[SubPLOs]],"&lt;7")</f>
        <v>0</v>
      </c>
      <c r="L39" s="138">
        <f>SUMIFS(tbl_task8[S7],tbl_task8[[SubPLOs]:[SubPLOs]],"&gt;=6",tbl_task8[[SubPLOs]:[SubPLOs]],"&lt;7")</f>
        <v>0</v>
      </c>
      <c r="M39" s="138">
        <f>SUMIFS(tbl_task8[S8],tbl_task8[[SubPLOs]:[SubPLOs]],"&gt;=6",tbl_task8[[SubPLOs]:[SubPLOs]],"&lt;7")</f>
        <v>0</v>
      </c>
      <c r="N39" s="138">
        <f>SUMIFS(tbl_task8[S9],tbl_task8[[SubPLOs]:[SubPLOs]],"&gt;=6",tbl_task8[[SubPLOs]:[SubPLOs]],"&lt;7")</f>
        <v>0</v>
      </c>
      <c r="O39" s="138">
        <f>SUMIFS(tbl_task8[S10],tbl_task8[[SubPLOs]:[SubPLOs]],"&gt;=6",tbl_task8[[SubPLOs]:[SubPLOs]],"&lt;7")</f>
        <v>0</v>
      </c>
      <c r="P39" s="138">
        <f>SUMIFS(tbl_task8[S11],tbl_task8[[SubPLOs]:[SubPLOs]],"&gt;=6",tbl_task8[[SubPLOs]:[SubPLOs]],"&lt;7")</f>
        <v>0</v>
      </c>
      <c r="Q39" s="138">
        <f>SUMIFS(tbl_task8[S12],tbl_task8[[SubPLOs]:[SubPLOs]],"&gt;=6",tbl_task8[[SubPLOs]:[SubPLOs]],"&lt;7")</f>
        <v>0</v>
      </c>
      <c r="R39" s="138">
        <f>SUMIFS(tbl_task8[S13],tbl_task8[[SubPLOs]:[SubPLOs]],"&gt;=6",tbl_task8[[SubPLOs]:[SubPLOs]],"&lt;7")</f>
        <v>0</v>
      </c>
      <c r="S39" s="138">
        <f>SUMIFS(tbl_task8[S14],tbl_task8[[SubPLOs]:[SubPLOs]],"&gt;=6",tbl_task8[[SubPLOs]:[SubPLOs]],"&lt;7")</f>
        <v>0</v>
      </c>
      <c r="T39" s="138">
        <f>SUMIFS(tbl_task8[S15],tbl_task8[[SubPLOs]:[SubPLOs]],"&gt;=6",tbl_task8[[SubPLOs]:[SubPLOs]],"&lt;7")</f>
        <v>0</v>
      </c>
      <c r="U39" s="138">
        <f>SUMIFS(tbl_task8[S16],tbl_task8[[SubPLOs]:[SubPLOs]],"&gt;=6",tbl_task8[[SubPLOs]:[SubPLOs]],"&lt;7")</f>
        <v>0</v>
      </c>
      <c r="V39" s="138">
        <f>SUMIFS(tbl_task8[S17],tbl_task8[[SubPLOs]:[SubPLOs]],"&gt;=6",tbl_task8[[SubPLOs]:[SubPLOs]],"&lt;7")</f>
        <v>0</v>
      </c>
      <c r="W39" s="138">
        <f>SUMIFS(tbl_task8[S18],tbl_task8[[SubPLOs]:[SubPLOs]],"&gt;=6",tbl_task8[[SubPLOs]:[SubPLOs]],"&lt;7")</f>
        <v>0</v>
      </c>
      <c r="X39" s="138">
        <f>SUMIFS(tbl_task8[S19],tbl_task8[[SubPLOs]:[SubPLOs]],"&gt;=6",tbl_task8[[SubPLOs]:[SubPLOs]],"&lt;7")</f>
        <v>0</v>
      </c>
      <c r="Y39" s="138">
        <f>SUMIFS(tbl_task8[S20],tbl_task8[[SubPLOs]:[SubPLOs]],"&gt;=6",tbl_task8[[SubPLOs]:[SubPLOs]],"&lt;7")</f>
        <v>0</v>
      </c>
      <c r="Z39" s="138">
        <f>SUMIFS(tbl_task8[S21],tbl_task8[[SubPLOs]:[SubPLOs]],"&gt;=6",tbl_task8[[SubPLOs]:[SubPLOs]],"&lt;7")</f>
        <v>0</v>
      </c>
      <c r="AA39" s="138">
        <f>SUMIFS(tbl_task8[S22],tbl_task8[[SubPLOs]:[SubPLOs]],"&gt;=6",tbl_task8[[SubPLOs]:[SubPLOs]],"&lt;7")</f>
        <v>0</v>
      </c>
      <c r="AB39" s="138">
        <f>SUMIFS(tbl_task8[S23],tbl_task8[[SubPLOs]:[SubPLOs]],"&gt;=6",tbl_task8[[SubPLOs]:[SubPLOs]],"&lt;7")</f>
        <v>0</v>
      </c>
      <c r="AC39" s="138">
        <f>SUMIFS(tbl_task8[S24],tbl_task8[[SubPLOs]:[SubPLOs]],"&gt;=6",tbl_task8[[SubPLOs]:[SubPLOs]],"&lt;7")</f>
        <v>0</v>
      </c>
      <c r="AD39" s="138">
        <f>SUMIFS(tbl_task8[S25],tbl_task8[[SubPLOs]:[SubPLOs]],"&gt;=6",tbl_task8[[SubPLOs]:[SubPLOs]],"&lt;7")</f>
        <v>0</v>
      </c>
      <c r="AE39" s="138">
        <f>SUMIFS(tbl_task8[S26],tbl_task8[[SubPLOs]:[SubPLOs]],"&gt;=6",tbl_task8[[SubPLOs]:[SubPLOs]],"&lt;7")</f>
        <v>0</v>
      </c>
      <c r="AF39" s="138">
        <f>SUMIFS(tbl_task8[S27],tbl_task8[[SubPLOs]:[SubPLOs]],"&gt;=6",tbl_task8[[SubPLOs]:[SubPLOs]],"&lt;7")</f>
        <v>0</v>
      </c>
      <c r="AG39" s="138">
        <f>SUMIFS(tbl_task8[S28],tbl_task8[[SubPLOs]:[SubPLOs]],"&gt;=6",tbl_task8[[SubPLOs]:[SubPLOs]],"&lt;7")</f>
        <v>0</v>
      </c>
      <c r="AH39" s="138">
        <f>SUMIFS(tbl_task8[S29],tbl_task8[[SubPLOs]:[SubPLOs]],"&gt;=6",tbl_task8[[SubPLOs]:[SubPLOs]],"&lt;7")</f>
        <v>0</v>
      </c>
      <c r="AI39" s="138">
        <f>SUMIFS(tbl_task8[S30],tbl_task8[[SubPLOs]:[SubPLOs]],"&gt;=6",tbl_task8[[SubPLOs]:[SubPLOs]],"&lt;7")</f>
        <v>0</v>
      </c>
      <c r="AJ39" s="138">
        <f>SUMIFS(tbl_task8[S31],tbl_task8[[SubPLOs]:[SubPLOs]],"&gt;=6",tbl_task8[[SubPLOs]:[SubPLOs]],"&lt;7")</f>
        <v>0</v>
      </c>
      <c r="AK39" s="138">
        <f>SUMIFS(tbl_task8[S32],tbl_task8[[SubPLOs]:[SubPLOs]],"&gt;=6",tbl_task8[[SubPLOs]:[SubPLOs]],"&lt;7")</f>
        <v>0</v>
      </c>
      <c r="AL39" s="138">
        <f>SUMIFS(tbl_task8[S33],tbl_task8[[SubPLOs]:[SubPLOs]],"&gt;=6",tbl_task8[[SubPLOs]:[SubPLOs]],"&lt;7")</f>
        <v>0</v>
      </c>
      <c r="AM39" s="138">
        <f>SUMIFS(tbl_task8[S34],tbl_task8[[SubPLOs]:[SubPLOs]],"&gt;=6",tbl_task8[[SubPLOs]:[SubPLOs]],"&lt;7")</f>
        <v>0</v>
      </c>
      <c r="AN39" s="138">
        <f>SUMIFS(tbl_task8[S35],tbl_task8[[SubPLOs]:[SubPLOs]],"&gt;=6",tbl_task8[[SubPLOs]:[SubPLOs]],"&lt;7")</f>
        <v>0</v>
      </c>
      <c r="AO39" s="138">
        <f>SUMIFS(tbl_task8[S36],tbl_task8[[SubPLOs]:[SubPLOs]],"&gt;=6",tbl_task8[[SubPLOs]:[SubPLOs]],"&lt;7")</f>
        <v>0</v>
      </c>
      <c r="AP39" s="138">
        <f>SUMIFS(tbl_task8[S37],tbl_task8[[SubPLOs]:[SubPLOs]],"&gt;=6",tbl_task8[[SubPLOs]:[SubPLOs]],"&lt;7")</f>
        <v>0</v>
      </c>
      <c r="AQ39" s="138">
        <f>SUMIFS(tbl_task8[S38],tbl_task8[[SubPLOs]:[SubPLOs]],"&gt;=6",tbl_task8[[SubPLOs]:[SubPLOs]],"&lt;7")</f>
        <v>0</v>
      </c>
      <c r="AR39" s="138">
        <f>SUMIFS(tbl_task8[S39],tbl_task8[[SubPLOs]:[SubPLOs]],"&gt;=6",tbl_task8[[SubPLOs]:[SubPLOs]],"&lt;7")</f>
        <v>0</v>
      </c>
      <c r="AS39" s="138">
        <f>SUMIFS(tbl_task8[S40],tbl_task8[[SubPLOs]:[SubPLOs]],"&gt;=6",tbl_task8[[SubPLOs]:[SubPLOs]],"&lt;7")</f>
        <v>0</v>
      </c>
      <c r="AT39" s="138">
        <f>SUMIFS(tbl_task8[S41],tbl_task8[[SubPLOs]:[SubPLOs]],"&gt;=6",tbl_task8[[SubPLOs]:[SubPLOs]],"&lt;7")</f>
        <v>0</v>
      </c>
      <c r="AU39" s="138">
        <f>SUMIFS(tbl_task8[S42],tbl_task8[[SubPLOs]:[SubPLOs]],"&gt;=6",tbl_task8[[SubPLOs]:[SubPLOs]],"&lt;7")</f>
        <v>0</v>
      </c>
      <c r="AV39" s="138">
        <f>SUMIFS(tbl_task8[S43],tbl_task8[[SubPLOs]:[SubPLOs]],"&gt;=6",tbl_task8[[SubPLOs]:[SubPLOs]],"&lt;7")</f>
        <v>0</v>
      </c>
      <c r="AW39" s="138">
        <f>SUMIFS(tbl_task8[S44],tbl_task8[[SubPLOs]:[SubPLOs]],"&gt;=6",tbl_task8[[SubPLOs]:[SubPLOs]],"&lt;7")</f>
        <v>0</v>
      </c>
      <c r="AX39" s="138">
        <f>SUMIFS(tbl_task8[S45],tbl_task8[[SubPLOs]:[SubPLOs]],"&gt;=6",tbl_task8[[SubPLOs]:[SubPLOs]],"&lt;7")</f>
        <v>0</v>
      </c>
      <c r="AY39" s="138">
        <f>SUMIFS(tbl_task8[S46],tbl_task8[[SubPLOs]:[SubPLOs]],"&gt;=6",tbl_task8[[SubPLOs]:[SubPLOs]],"&lt;7")</f>
        <v>0</v>
      </c>
      <c r="AZ39" s="138">
        <f>SUMIFS(tbl_task8[S47],tbl_task8[[SubPLOs]:[SubPLOs]],"&gt;=6",tbl_task8[[SubPLOs]:[SubPLOs]],"&lt;7")</f>
        <v>0</v>
      </c>
      <c r="BA39" s="138">
        <f>SUMIFS(tbl_task8[S48],tbl_task8[[SubPLOs]:[SubPLOs]],"&gt;=6",tbl_task8[[SubPLOs]:[SubPLOs]],"&lt;7")</f>
        <v>0</v>
      </c>
      <c r="BB39" s="138">
        <f>SUMIFS(tbl_task8[S49],tbl_task8[[SubPLOs]:[SubPLOs]],"&gt;=6",tbl_task8[[SubPLOs]:[SubPLOs]],"&lt;7")</f>
        <v>0</v>
      </c>
      <c r="BC39" s="138">
        <f>SUMIFS(tbl_task8[S50],tbl_task8[[SubPLOs]:[SubPLOs]],"&gt;=6",tbl_task8[[SubPLOs]:[SubPLOs]],"&lt;7")</f>
        <v>0</v>
      </c>
      <c r="BD39" s="138">
        <f>SUMIFS(tbl_task8[S51],tbl_task8[[SubPLOs]:[SubPLOs]],"&gt;=6",tbl_task8[[SubPLOs]:[SubPLOs]],"&lt;7")</f>
        <v>0</v>
      </c>
      <c r="BE39" s="138">
        <f>SUMIFS(tbl_task8[S52],tbl_task8[[SubPLOs]:[SubPLOs]],"&gt;=6",tbl_task8[[SubPLOs]:[SubPLOs]],"&lt;7")</f>
        <v>0</v>
      </c>
      <c r="BF39" s="138">
        <f>SUMIFS(tbl_task8[S53],tbl_task8[[SubPLOs]:[SubPLOs]],"&gt;=6",tbl_task8[[SubPLOs]:[SubPLOs]],"&lt;7")</f>
        <v>0</v>
      </c>
      <c r="BG39" s="138">
        <f>SUMIFS(tbl_task8[S54],tbl_task8[[SubPLOs]:[SubPLOs]],"&gt;=6",tbl_task8[[SubPLOs]:[SubPLOs]],"&lt;7")</f>
        <v>0</v>
      </c>
      <c r="BH39" s="138">
        <f>SUMIFS(tbl_task8[S55],tbl_task8[[SubPLOs]:[SubPLOs]],"&gt;=6",tbl_task8[[SubPLOs]:[SubPLOs]],"&lt;7")</f>
        <v>0</v>
      </c>
      <c r="BI39" s="138">
        <f>SUMIFS(tbl_task8[S56],tbl_task8[[SubPLOs]:[SubPLOs]],"&gt;=6",tbl_task8[[SubPLOs]:[SubPLOs]],"&lt;7")</f>
        <v>0</v>
      </c>
      <c r="BJ39" s="138">
        <f>SUMIFS(tbl_task8[S57],tbl_task8[[SubPLOs]:[SubPLOs]],"&gt;=6",tbl_task8[[SubPLOs]:[SubPLOs]],"&lt;7")</f>
        <v>0</v>
      </c>
      <c r="BK39" s="138">
        <f>SUMIFS(tbl_task8[S58],tbl_task8[[SubPLOs]:[SubPLOs]],"&gt;=6",tbl_task8[[SubPLOs]:[SubPLOs]],"&lt;7")</f>
        <v>0</v>
      </c>
      <c r="BL39" s="138">
        <f>SUMIFS(tbl_task8[S59],tbl_task8[[SubPLOs]:[SubPLOs]],"&gt;=6",tbl_task8[[SubPLOs]:[SubPLOs]],"&lt;7")</f>
        <v>0</v>
      </c>
      <c r="BM39" s="138">
        <f>SUMIFS(tbl_task8[S60],tbl_task8[[SubPLOs]:[SubPLOs]],"&gt;=6",tbl_task8[[SubPLOs]:[SubPLOs]],"&lt;7")</f>
        <v>0</v>
      </c>
      <c r="BN39" s="138">
        <f>SUMIFS(tbl_task8[S61],tbl_task8[[SubPLOs]:[SubPLOs]],"&gt;=6",tbl_task8[[SubPLOs]:[SubPLOs]],"&lt;7")</f>
        <v>0</v>
      </c>
      <c r="BO39" s="138">
        <f>SUMIFS(tbl_task8[S62],tbl_task8[[SubPLOs]:[SubPLOs]],"&gt;=6",tbl_task8[[SubPLOs]:[SubPLOs]],"&lt;7")</f>
        <v>0</v>
      </c>
      <c r="BP39" s="138">
        <f>SUMIFS(tbl_task8[S63],tbl_task8[[SubPLOs]:[SubPLOs]],"&gt;=6",tbl_task8[[SubPLOs]:[SubPLOs]],"&lt;7")</f>
        <v>0</v>
      </c>
      <c r="BQ39" s="138">
        <f>SUMIFS(tbl_task8[S64],tbl_task8[[SubPLOs]:[SubPLOs]],"&gt;=6",tbl_task8[[SubPLOs]:[SubPLOs]],"&lt;7")</f>
        <v>0</v>
      </c>
      <c r="BR39" s="138">
        <f>SUMIFS(tbl_task8[S65],tbl_task8[[SubPLOs]:[SubPLOs]],"&gt;=6",tbl_task8[[SubPLOs]:[SubPLOs]],"&lt;7")</f>
        <v>0</v>
      </c>
      <c r="BS39" s="138">
        <f>SUMIFS(tbl_task8[S66],tbl_task8[[SubPLOs]:[SubPLOs]],"&gt;=6",tbl_task8[[SubPLOs]:[SubPLOs]],"&lt;7")</f>
        <v>0</v>
      </c>
      <c r="BT39" s="138">
        <f>SUMIFS(tbl_task8[S67],tbl_task8[[SubPLOs]:[SubPLOs]],"&gt;=6",tbl_task8[[SubPLOs]:[SubPLOs]],"&lt;7")</f>
        <v>0</v>
      </c>
      <c r="BU39" s="138">
        <f>SUMIFS(tbl_task8[S68],tbl_task8[[SubPLOs]:[SubPLOs]],"&gt;=6",tbl_task8[[SubPLOs]:[SubPLOs]],"&lt;7")</f>
        <v>0</v>
      </c>
      <c r="BV39" s="138">
        <f>SUMIFS(tbl_task8[S69],tbl_task8[[SubPLOs]:[SubPLOs]],"&gt;=6",tbl_task8[[SubPLOs]:[SubPLOs]],"&lt;7")</f>
        <v>0</v>
      </c>
      <c r="BW39" s="138">
        <f>SUMIFS(tbl_task8[S70],tbl_task8[[SubPLOs]:[SubPLOs]],"&gt;=6",tbl_task8[[SubPLOs]:[SubPLOs]],"&lt;7")</f>
        <v>0</v>
      </c>
      <c r="BX39" s="138">
        <f>SUMIFS(tbl_task8[S71],tbl_task8[[SubPLOs]:[SubPLOs]],"&gt;=6",tbl_task8[[SubPLOs]:[SubPLOs]],"&lt;7")</f>
        <v>0</v>
      </c>
      <c r="BY39" s="138">
        <f>SUMIFS(tbl_task8[S72],tbl_task8[[SubPLOs]:[SubPLOs]],"&gt;=6",tbl_task8[[SubPLOs]:[SubPLOs]],"&lt;7")</f>
        <v>0</v>
      </c>
      <c r="BZ39" s="138">
        <f>SUMIFS(tbl_task8[S73],tbl_task8[[SubPLOs]:[SubPLOs]],"&gt;=6",tbl_task8[[SubPLOs]:[SubPLOs]],"&lt;7")</f>
        <v>0</v>
      </c>
      <c r="CA39" s="138">
        <f>SUMIFS(tbl_task8[S74],tbl_task8[[SubPLOs]:[SubPLOs]],"&gt;=6",tbl_task8[[SubPLOs]:[SubPLOs]],"&lt;7")</f>
        <v>0</v>
      </c>
      <c r="CB39" s="138">
        <f>SUMIFS(tbl_task8[S75],tbl_task8[[SubPLOs]:[SubPLOs]],"&gt;=6",tbl_task8[[SubPLOs]:[SubPLOs]],"&lt;7")</f>
        <v>0</v>
      </c>
      <c r="CC39" s="138">
        <f>SUMIFS(tbl_task8[S76],tbl_task8[[SubPLOs]:[SubPLOs]],"&gt;=6",tbl_task8[[SubPLOs]:[SubPLOs]],"&lt;7")</f>
        <v>0</v>
      </c>
      <c r="CD39" s="138">
        <f>SUMIFS(tbl_task8[S77],tbl_task8[[SubPLOs]:[SubPLOs]],"&gt;=6",tbl_task8[[SubPLOs]:[SubPLOs]],"&lt;7")</f>
        <v>0</v>
      </c>
      <c r="CE39" s="138">
        <f>SUMIFS(tbl_task8[S78],tbl_task8[[SubPLOs]:[SubPLOs]],"&gt;=6",tbl_task8[[SubPLOs]:[SubPLOs]],"&lt;7")</f>
        <v>0</v>
      </c>
      <c r="CF39" s="138">
        <f>SUMIFS(tbl_task8[S79],tbl_task8[[SubPLOs]:[SubPLOs]],"&gt;=6",tbl_task8[[SubPLOs]:[SubPLOs]],"&lt;7")</f>
        <v>0</v>
      </c>
      <c r="CG39" s="138">
        <f>SUMIFS(tbl_task8[S80],tbl_task8[[SubPLOs]:[SubPLOs]],"&gt;=6",tbl_task8[[SubPLOs]:[SubPLOs]],"&lt;7")</f>
        <v>0</v>
      </c>
      <c r="CH39" s="138">
        <f>SUMIFS(tbl_task8[S81],tbl_task8[[SubPLOs]:[SubPLOs]],"&gt;=6",tbl_task8[[SubPLOs]:[SubPLOs]],"&lt;7")</f>
        <v>0</v>
      </c>
      <c r="CI39" s="138">
        <f>SUMIFS(tbl_task8[S82],tbl_task8[[SubPLOs]:[SubPLOs]],"&gt;=6",tbl_task8[[SubPLOs]:[SubPLOs]],"&lt;7")</f>
        <v>0</v>
      </c>
      <c r="CJ39" s="138">
        <f>SUMIFS(tbl_task8[S83],tbl_task8[[SubPLOs]:[SubPLOs]],"&gt;=6",tbl_task8[[SubPLOs]:[SubPLOs]],"&lt;7")</f>
        <v>0</v>
      </c>
      <c r="CK39" s="138">
        <f>SUMIFS(tbl_task8[S84],tbl_task8[[SubPLOs]:[SubPLOs]],"&gt;=6",tbl_task8[[SubPLOs]:[SubPLOs]],"&lt;7")</f>
        <v>0</v>
      </c>
      <c r="CL39" s="138">
        <f>SUMIFS(tbl_task8[S85],tbl_task8[[SubPLOs]:[SubPLOs]],"&gt;=6",tbl_task8[[SubPLOs]:[SubPLOs]],"&lt;7")</f>
        <v>0</v>
      </c>
      <c r="CM39" s="138">
        <f>SUMIFS(tbl_task8[S86],tbl_task8[[SubPLOs]:[SubPLOs]],"&gt;=6",tbl_task8[[SubPLOs]:[SubPLOs]],"&lt;7")</f>
        <v>0</v>
      </c>
      <c r="CN39" s="138">
        <f>SUMIFS(tbl_task8[S87],tbl_task8[[SubPLOs]:[SubPLOs]],"&gt;=6",tbl_task8[[SubPLOs]:[SubPLOs]],"&lt;7")</f>
        <v>0</v>
      </c>
      <c r="CO39" s="138">
        <f>SUMIFS(tbl_task8[S88],tbl_task8[[SubPLOs]:[SubPLOs]],"&gt;=6",tbl_task8[[SubPLOs]:[SubPLOs]],"&lt;7")</f>
        <v>0</v>
      </c>
      <c r="CP39" s="138">
        <f>SUMIFS(tbl_task8[S89],tbl_task8[[SubPLOs]:[SubPLOs]],"&gt;=6",tbl_task8[[SubPLOs]:[SubPLOs]],"&lt;7")</f>
        <v>0</v>
      </c>
      <c r="CQ39" s="138">
        <f>SUMIFS(tbl_task8[S90],tbl_task8[[SubPLOs]:[SubPLOs]],"&gt;=6",tbl_task8[[SubPLOs]:[SubPLOs]],"&lt;7")</f>
        <v>0</v>
      </c>
      <c r="CR39" s="138">
        <f>SUMIFS(tbl_task8[S91],tbl_task8[[SubPLOs]:[SubPLOs]],"&gt;=6",tbl_task8[[SubPLOs]:[SubPLOs]],"&lt;7")</f>
        <v>0</v>
      </c>
      <c r="CS39" s="138">
        <f>SUMIFS(tbl_task8[S92],tbl_task8[[SubPLOs]:[SubPLOs]],"&gt;=6",tbl_task8[[SubPLOs]:[SubPLOs]],"&lt;7")</f>
        <v>0</v>
      </c>
      <c r="CT39" s="138">
        <f>SUMIFS(tbl_task8[S93],tbl_task8[[SubPLOs]:[SubPLOs]],"&gt;=6",tbl_task8[[SubPLOs]:[SubPLOs]],"&lt;7")</f>
        <v>0</v>
      </c>
      <c r="CU39" s="138">
        <f>SUMIFS(tbl_task8[S94],tbl_task8[[SubPLOs]:[SubPLOs]],"&gt;=6",tbl_task8[[SubPLOs]:[SubPLOs]],"&lt;7")</f>
        <v>0</v>
      </c>
      <c r="CV39" s="138">
        <f>SUMIFS(tbl_task8[S95],tbl_task8[[SubPLOs]:[SubPLOs]],"&gt;=6",tbl_task8[[SubPLOs]:[SubPLOs]],"&lt;7")</f>
        <v>0</v>
      </c>
      <c r="CW39" s="138">
        <f>SUMIFS(tbl_task8[S96],tbl_task8[[SubPLOs]:[SubPLOs]],"&gt;=6",tbl_task8[[SubPLOs]:[SubPLOs]],"&lt;7")</f>
        <v>0</v>
      </c>
      <c r="CX39" s="138">
        <f>SUMIFS(tbl_task8[S97],tbl_task8[[SubPLOs]:[SubPLOs]],"&gt;=6",tbl_task8[[SubPLOs]:[SubPLOs]],"&lt;7")</f>
        <v>0</v>
      </c>
      <c r="CY39" s="138">
        <f>SUMIFS(tbl_task8[S98],tbl_task8[[SubPLOs]:[SubPLOs]],"&gt;=6",tbl_task8[[SubPLOs]:[SubPLOs]],"&lt;7")</f>
        <v>0</v>
      </c>
      <c r="CZ39" s="138">
        <f>SUMIFS(tbl_task8[S99],tbl_task8[[SubPLOs]:[SubPLOs]],"&gt;=6",tbl_task8[[SubPLOs]:[SubPLOs]],"&lt;7")</f>
        <v>0</v>
      </c>
      <c r="DA39" s="138">
        <f>SUMIFS(tbl_task8[S100],tbl_task8[[SubPLOs]:[SubPLOs]],"&gt;=6",tbl_task8[[SubPLOs]:[SubPLOs]],"&lt;7")</f>
        <v>0</v>
      </c>
      <c r="DB39" s="138">
        <f>SUMIFS(tbl_task8[S101],tbl_task8[[SubPLOs]:[SubPLOs]],"&gt;=6",tbl_task8[[SubPLOs]:[SubPLOs]],"&lt;7")</f>
        <v>0</v>
      </c>
      <c r="DC39" s="138">
        <f>SUMIFS(tbl_task8[S102],tbl_task8[[SubPLOs]:[SubPLOs]],"&gt;=6",tbl_task8[[SubPLOs]:[SubPLOs]],"&lt;7")</f>
        <v>0</v>
      </c>
      <c r="DD39" s="138">
        <f>SUMIFS(tbl_task8[S103],tbl_task8[[SubPLOs]:[SubPLOs]],"&gt;=6",tbl_task8[[SubPLOs]:[SubPLOs]],"&lt;7")</f>
        <v>0</v>
      </c>
      <c r="DE39" s="138">
        <f>SUMIFS(tbl_task8[S104],tbl_task8[[SubPLOs]:[SubPLOs]],"&gt;=6",tbl_task8[[SubPLOs]:[SubPLOs]],"&lt;7")</f>
        <v>0</v>
      </c>
      <c r="DF39" s="138">
        <f>SUMIFS(tbl_task8[S105],tbl_task8[[SubPLOs]:[SubPLOs]],"&gt;=6",tbl_task8[[SubPLOs]:[SubPLOs]],"&lt;7")</f>
        <v>0</v>
      </c>
      <c r="DG39" s="138">
        <f>SUMIFS(tbl_task8[S106],tbl_task8[[SubPLOs]:[SubPLOs]],"&gt;=6",tbl_task8[[SubPLOs]:[SubPLOs]],"&lt;7")</f>
        <v>0</v>
      </c>
      <c r="DH39" s="138">
        <f>SUMIFS(tbl_task8[S106],tbl_task8[[SubPLOs]:[SubPLOs]],"&gt;=6",tbl_task8[[SubPLOs]:[SubPLOs]],"&lt;7")</f>
        <v>0</v>
      </c>
      <c r="DI39" s="138">
        <f>SUMIFS(tbl_task8[S108],tbl_task8[[SubPLOs]:[SubPLOs]],"&gt;=6",tbl_task8[[SubPLOs]:[SubPLOs]],"&lt;7")</f>
        <v>0</v>
      </c>
      <c r="DJ39" s="138">
        <f>SUMIFS(tbl_task8[S109],tbl_task8[[SubPLOs]:[SubPLOs]],"&gt;=6",tbl_task8[[SubPLOs]:[SubPLOs]],"&lt;7")</f>
        <v>0</v>
      </c>
      <c r="DK39" s="138">
        <f>SUMIFS(tbl_task8[S110],tbl_task8[[SubPLOs]:[SubPLOs]],"&gt;=6",tbl_task8[[SubPLOs]:[SubPLOs]],"&lt;7")</f>
        <v>0</v>
      </c>
      <c r="DL39" s="138">
        <f>SUMIFS(tbl_task8[S111],tbl_task8[[SubPLOs]:[SubPLOs]],"&gt;=6",tbl_task8[[SubPLOs]:[SubPLOs]],"&lt;7")</f>
        <v>0</v>
      </c>
      <c r="DM39" s="138">
        <f>SUMIFS(tbl_task8[S112],tbl_task8[[SubPLOs]:[SubPLOs]],"&gt;=6",tbl_task8[[SubPLOs]:[SubPLOs]],"&lt;7")</f>
        <v>0</v>
      </c>
      <c r="DN39" s="138">
        <f>SUMIFS(tbl_task8[S113],tbl_task8[[SubPLOs]:[SubPLOs]],"&gt;=6",tbl_task8[[SubPLOs]:[SubPLOs]],"&lt;7")</f>
        <v>0</v>
      </c>
      <c r="DO39" s="138">
        <f>SUMIFS(tbl_task8[S114],tbl_task8[[SubPLOs]:[SubPLOs]],"&gt;=6",tbl_task8[[SubPLOs]:[SubPLOs]],"&lt;7")</f>
        <v>0</v>
      </c>
      <c r="DP39" s="138">
        <f>SUMIFS(tbl_task8[S115],tbl_task8[[SubPLOs]:[SubPLOs]],"&gt;=6",tbl_task8[[SubPLOs]:[SubPLOs]],"&lt;7")</f>
        <v>0</v>
      </c>
      <c r="DQ39" s="138">
        <f>SUMIFS(tbl_task8[S116],tbl_task8[[SubPLOs]:[SubPLOs]],"&gt;=6",tbl_task8[[SubPLOs]:[SubPLOs]],"&lt;7")</f>
        <v>0</v>
      </c>
      <c r="DR39" s="138">
        <f>SUMIFS(tbl_task8[S117],tbl_task8[[SubPLOs]:[SubPLOs]],"&gt;=6",tbl_task8[[SubPLOs]:[SubPLOs]],"&lt;7")</f>
        <v>0</v>
      </c>
      <c r="DS39" s="138">
        <f>SUMIFS(tbl_task8[S118],tbl_task8[[SubPLOs]:[SubPLOs]],"&gt;=6",tbl_task8[[SubPLOs]:[SubPLOs]],"&lt;7")</f>
        <v>0</v>
      </c>
      <c r="DT39" s="138">
        <f>SUMIFS(tbl_task8[S119],tbl_task8[[SubPLOs]:[SubPLOs]],"&gt;=6",tbl_task8[[SubPLOs]:[SubPLOs]],"&lt;7")</f>
        <v>0</v>
      </c>
      <c r="DU39" s="138">
        <f>SUMIFS(tbl_task8[S120],tbl_task8[[SubPLOs]:[SubPLOs]],"&gt;=6",tbl_task8[[SubPLOs]:[SubPLOs]],"&lt;7")</f>
        <v>0</v>
      </c>
      <c r="DV39" s="138">
        <f>SUMIFS(tbl_task8[S121],tbl_task8[[SubPLOs]:[SubPLOs]],"&gt;=6",tbl_task8[[SubPLOs]:[SubPLOs]],"&lt;7")</f>
        <v>0</v>
      </c>
      <c r="DW39" s="138">
        <f>SUMIFS(tbl_task8[S122],tbl_task8[[SubPLOs]:[SubPLOs]],"&gt;=6",tbl_task8[[SubPLOs]:[SubPLOs]],"&lt;7")</f>
        <v>0</v>
      </c>
      <c r="DX39" s="138">
        <f>SUMIFS(tbl_task8[S123],tbl_task8[[SubPLOs]:[SubPLOs]],"&gt;=6",tbl_task8[[SubPLOs]:[SubPLOs]],"&lt;7")</f>
        <v>0</v>
      </c>
      <c r="DY39" s="138">
        <f>SUMIFS(tbl_task8[S124],tbl_task8[[SubPLOs]:[SubPLOs]],"&gt;=6",tbl_task8[[SubPLOs]:[SubPLOs]],"&lt;7")</f>
        <v>0</v>
      </c>
      <c r="DZ39" s="138">
        <f>SUMIFS(tbl_task8[S125],tbl_task8[[SubPLOs]:[SubPLOs]],"&gt;=6",tbl_task8[[SubPLOs]:[SubPLOs]],"&lt;7")</f>
        <v>0</v>
      </c>
      <c r="EA39" s="138">
        <f>SUMIFS(tbl_task8[S126],tbl_task8[[SubPLOs]:[SubPLOs]],"&gt;=6",tbl_task8[[SubPLOs]:[SubPLOs]],"&lt;7")</f>
        <v>0</v>
      </c>
      <c r="EB39" s="138">
        <f>SUMIFS(tbl_task8[S127],tbl_task8[[SubPLOs]:[SubPLOs]],"&gt;=6",tbl_task8[[SubPLOs]:[SubPLOs]],"&lt;7")</f>
        <v>0</v>
      </c>
      <c r="EC39" s="138">
        <f>SUMIFS(tbl_task8[S128],tbl_task8[[SubPLOs]:[SubPLOs]],"&gt;=6",tbl_task8[[SubPLOs]:[SubPLOs]],"&lt;7")</f>
        <v>0</v>
      </c>
      <c r="ED39" s="138">
        <f>SUMIFS(tbl_task8[S129],tbl_task8[[SubPLOs]:[SubPLOs]],"&gt;=6",tbl_task8[[SubPLOs]:[SubPLOs]],"&lt;7")</f>
        <v>0</v>
      </c>
      <c r="EE39" s="138">
        <f>SUMIFS(tbl_task8[S130],tbl_task8[[SubPLOs]:[SubPLOs]],"&gt;=6",tbl_task8[[SubPLOs]:[SubPLOs]],"&lt;7")</f>
        <v>0</v>
      </c>
      <c r="EF39" s="138">
        <f>SUMIFS(tbl_task8[S131],tbl_task8[[SubPLOs]:[SubPLOs]],"&gt;=6",tbl_task8[[SubPLOs]:[SubPLOs]],"&lt;7")</f>
        <v>0</v>
      </c>
      <c r="EG39" s="138">
        <f>SUMIFS(tbl_task8[S132],tbl_task8[[SubPLOs]:[SubPLOs]],"&gt;=6",tbl_task8[[SubPLOs]:[SubPLOs]],"&lt;7")</f>
        <v>0</v>
      </c>
      <c r="EH39" s="138">
        <f>SUMIFS(tbl_task8[S133],tbl_task8[[SubPLOs]:[SubPLOs]],"&gt;=6",tbl_task8[[SubPLOs]:[SubPLOs]],"&lt;7")</f>
        <v>0</v>
      </c>
      <c r="EI39" s="138">
        <f>SUMIFS(tbl_task8[S134],tbl_task8[[SubPLOs]:[SubPLOs]],"&gt;=6",tbl_task8[[SubPLOs]:[SubPLOs]],"&lt;7")</f>
        <v>0</v>
      </c>
      <c r="EJ39" s="138">
        <f>SUMIFS(tbl_task8[S135],tbl_task8[[SubPLOs]:[SubPLOs]],"&gt;=6",tbl_task8[[SubPLOs]:[SubPLOs]],"&lt;7")</f>
        <v>0</v>
      </c>
      <c r="EK39" s="138">
        <f>SUMIFS(tbl_task8[S136],tbl_task8[[SubPLOs]:[SubPLOs]],"&gt;=6",tbl_task8[[SubPLOs]:[SubPLOs]],"&lt;7")</f>
        <v>0</v>
      </c>
      <c r="EL39" s="138">
        <f>SUMIFS(tbl_task8[S137],tbl_task8[[SubPLOs]:[SubPLOs]],"&gt;=6",tbl_task8[[SubPLOs]:[SubPLOs]],"&lt;7")</f>
        <v>0</v>
      </c>
      <c r="EM39" s="138">
        <f>SUMIFS(tbl_task8[S138],tbl_task8[[SubPLOs]:[SubPLOs]],"&gt;=6",tbl_task8[[SubPLOs]:[SubPLOs]],"&lt;7")</f>
        <v>0</v>
      </c>
      <c r="EN39" s="138">
        <f>SUMIFS(tbl_task8[S139],tbl_task8[[SubPLOs]:[SubPLOs]],"&gt;=6",tbl_task8[[SubPLOs]:[SubPLOs]],"&lt;7")</f>
        <v>0</v>
      </c>
      <c r="EO39" s="138">
        <f>SUMIFS(tbl_task8[S140],tbl_task8[[SubPLOs]:[SubPLOs]],"&gt;=6",tbl_task8[[SubPLOs]:[SubPLOs]],"&lt;7")</f>
        <v>0</v>
      </c>
      <c r="EP39" s="138">
        <f>SUMIFS(tbl_task8[S141],tbl_task8[[SubPLOs]:[SubPLOs]],"&gt;=6",tbl_task8[[SubPLOs]:[SubPLOs]],"&lt;7")</f>
        <v>0</v>
      </c>
      <c r="EQ39" s="138">
        <f>SUMIFS(tbl_task8[S142],tbl_task8[[SubPLOs]:[SubPLOs]],"&gt;=6",tbl_task8[[SubPLOs]:[SubPLOs]],"&lt;7")</f>
        <v>0</v>
      </c>
      <c r="ER39" s="138">
        <f>SUMIFS(tbl_task8[S143],tbl_task8[[SubPLOs]:[SubPLOs]],"&gt;=6",tbl_task8[[SubPLOs]:[SubPLOs]],"&lt;7")</f>
        <v>0</v>
      </c>
      <c r="ES39" s="138">
        <f>SUMIFS(tbl_task8[S144],tbl_task8[[SubPLOs]:[SubPLOs]],"&gt;=6",tbl_task8[[SubPLOs]:[SubPLOs]],"&lt;7")</f>
        <v>0</v>
      </c>
      <c r="ET39" s="138">
        <f>SUMIFS(tbl_task8[S145],tbl_task8[[SubPLOs]:[SubPLOs]],"&gt;=6",tbl_task8[[SubPLOs]:[SubPLOs]],"&lt;7")</f>
        <v>0</v>
      </c>
      <c r="EU39" s="138">
        <f>SUMIFS(tbl_task8[S146],tbl_task8[[SubPLOs]:[SubPLOs]],"&gt;=6",tbl_task8[[SubPLOs]:[SubPLOs]],"&lt;7")</f>
        <v>0</v>
      </c>
      <c r="EV39" s="138">
        <f>SUMIFS(tbl_task8[S147],tbl_task8[[SubPLOs]:[SubPLOs]],"&gt;=6",tbl_task8[[SubPLOs]:[SubPLOs]],"&lt;7")</f>
        <v>0</v>
      </c>
      <c r="EW39" s="138">
        <f>SUMIFS(tbl_task8[S148],tbl_task8[[SubPLOs]:[SubPLOs]],"&gt;=6",tbl_task8[[SubPLOs]:[SubPLOs]],"&lt;7")</f>
        <v>0</v>
      </c>
      <c r="EX39" s="138">
        <f>SUMIFS(tbl_task8[S149],tbl_task8[[SubPLOs]:[SubPLOs]],"&gt;=6",tbl_task8[[SubPLOs]:[SubPLOs]],"&lt;7")</f>
        <v>0</v>
      </c>
      <c r="EY39" s="138">
        <f>SUMIFS(tbl_task8[S150],tbl_task8[[SubPLOs]:[SubPLOs]],"&gt;=6",tbl_task8[[SubPLOs]:[SubPLOs]],"&lt;7")</f>
        <v>0</v>
      </c>
      <c r="EZ39" s="138">
        <f>SUMIFS(tbl_task8[S151],tbl_task8[[SubPLOs]:[SubPLOs]],"&gt;=6",tbl_task8[[SubPLOs]:[SubPLOs]],"&lt;7")</f>
        <v>0</v>
      </c>
      <c r="FA39" s="138">
        <f>SUMIFS(tbl_task8[S152],tbl_task8[[SubPLOs]:[SubPLOs]],"&gt;=6",tbl_task8[[SubPLOs]:[SubPLOs]],"&lt;7")</f>
        <v>0</v>
      </c>
      <c r="FB39" s="138">
        <f>SUMIFS(tbl_task8[S153],tbl_task8[[SubPLOs]:[SubPLOs]],"&gt;=6",tbl_task8[[SubPLOs]:[SubPLOs]],"&lt;7")</f>
        <v>0</v>
      </c>
      <c r="FC39" s="138">
        <f>SUMIFS(tbl_task8[S154],tbl_task8[[SubPLOs]:[SubPLOs]],"&gt;=6",tbl_task8[[SubPLOs]:[SubPLOs]],"&lt;7")</f>
        <v>0</v>
      </c>
      <c r="FD39" s="138">
        <f>SUMIFS(tbl_task8[S155],tbl_task8[[SubPLOs]:[SubPLOs]],"&gt;=6",tbl_task8[[SubPLOs]:[SubPLOs]],"&lt;7")</f>
        <v>0</v>
      </c>
      <c r="FE39" s="138">
        <f>SUMIFS(tbl_task8[S156],tbl_task8[[SubPLOs]:[SubPLOs]],"&gt;=6",tbl_task8[[SubPLOs]:[SubPLOs]],"&lt;7")</f>
        <v>0</v>
      </c>
      <c r="FF39" s="138">
        <f>SUMIFS(tbl_task8[S157],tbl_task8[[SubPLOs]:[SubPLOs]],"&gt;=6",tbl_task8[[SubPLOs]:[SubPLOs]],"&lt;7")</f>
        <v>0</v>
      </c>
      <c r="FG39" s="138">
        <f>SUMIFS(tbl_task8[S158],tbl_task8[[SubPLOs]:[SubPLOs]],"&gt;=6",tbl_task8[[SubPLOs]:[SubPLOs]],"&lt;7")</f>
        <v>0</v>
      </c>
      <c r="FH39" s="138">
        <f>SUMIFS(tbl_task8[S159],tbl_task8[[SubPLOs]:[SubPLOs]],"&gt;=6",tbl_task8[[SubPLOs]:[SubPLOs]],"&lt;7")</f>
        <v>0</v>
      </c>
      <c r="FI39" s="138">
        <f>SUMIFS(tbl_task8[S160],tbl_task8[[SubPLOs]:[SubPLOs]],"&gt;=6",tbl_task8[[SubPLOs]:[SubPLOs]],"&lt;7")</f>
        <v>0</v>
      </c>
      <c r="FJ39" s="138">
        <f>SUMIFS(tbl_task8[S161],tbl_task8[[SubPLOs]:[SubPLOs]],"&gt;=6",tbl_task8[[SubPLOs]:[SubPLOs]],"&lt;7")</f>
        <v>0</v>
      </c>
      <c r="FK39" s="138">
        <f>SUMIFS(tbl_task8[S162],tbl_task8[[SubPLOs]:[SubPLOs]],"&gt;=6",tbl_task8[[SubPLOs]:[SubPLOs]],"&lt;7")</f>
        <v>0</v>
      </c>
      <c r="FL39" s="138">
        <f>SUMIFS(tbl_task8[S163],tbl_task8[[SubPLOs]:[SubPLOs]],"&gt;=6",tbl_task8[[SubPLOs]:[SubPLOs]],"&lt;7")</f>
        <v>0</v>
      </c>
      <c r="FM39" s="138">
        <f>SUMIFS(tbl_task8[S164],tbl_task8[[SubPLOs]:[SubPLOs]],"&gt;=6",tbl_task8[[SubPLOs]:[SubPLOs]],"&lt;7")</f>
        <v>0</v>
      </c>
      <c r="FN39" s="138">
        <f>SUMIFS(tbl_task8[S165],tbl_task8[[SubPLOs]:[SubPLOs]],"&gt;=6",tbl_task8[[SubPLOs]:[SubPLOs]],"&lt;7")</f>
        <v>0</v>
      </c>
    </row>
    <row r="40" spans="1:170" ht="42" x14ac:dyDescent="0.25">
      <c r="A40" s="135">
        <v>7</v>
      </c>
      <c r="B40" s="5" t="s">
        <v>440</v>
      </c>
      <c r="C40" s="136">
        <f>COUNTIFS(tbl_task8[SubPLOs],"&gt;=7",tbl_task8[SubPLOs],"&lt;8")</f>
        <v>0</v>
      </c>
      <c r="D40" s="136">
        <f>SUMIFS(tbl_task8[คะแนนเต็ม],tbl_task8[SubPLOs],"&gt;=7",tbl_task8[SubPLOs],"&lt;8")</f>
        <v>0</v>
      </c>
      <c r="E40" s="137">
        <f>SUMIFS(tbl_task8[%],tbl_task8[SubPLOs],"&gt;=7",tbl_task8[SubPLOs],"&lt;8")</f>
        <v>0</v>
      </c>
      <c r="F40" s="138">
        <f>SUMIFS(tbl_task8[S1],tbl_task8[[SubPLOs]:[SubPLOs]],"&gt;=7",tbl_task8[[SubPLOs]:[SubPLOs]],"&lt;8")</f>
        <v>0</v>
      </c>
      <c r="G40" s="138">
        <f>SUMIFS(tbl_task8[S2],tbl_task8[[SubPLOs]:[SubPLOs]],"&gt;=7",tbl_task8[[SubPLOs]:[SubPLOs]],"&lt;8")</f>
        <v>0</v>
      </c>
      <c r="H40" s="138">
        <f>SUMIFS(tbl_task8[S3],tbl_task8[[SubPLOs]:[SubPLOs]],"&gt;=7",tbl_task8[[SubPLOs]:[SubPLOs]],"&lt;8")</f>
        <v>0</v>
      </c>
      <c r="I40" s="138">
        <f>SUMIFS(tbl_task8[S4],tbl_task8[[SubPLOs]:[SubPLOs]],"&gt;=7",tbl_task8[[SubPLOs]:[SubPLOs]],"&lt;8")</f>
        <v>0</v>
      </c>
      <c r="J40" s="138">
        <f>SUMIFS(tbl_task8[S5],tbl_task8[[SubPLOs]:[SubPLOs]],"&gt;=7",tbl_task8[[SubPLOs]:[SubPLOs]],"&lt;8")</f>
        <v>0</v>
      </c>
      <c r="K40" s="138">
        <f>SUMIFS(tbl_task8[S6],tbl_task8[[SubPLOs]:[SubPLOs]],"&gt;=7",tbl_task8[[SubPLOs]:[SubPLOs]],"&lt;8")</f>
        <v>0</v>
      </c>
      <c r="L40" s="138">
        <f>SUMIFS(tbl_task8[S7],tbl_task8[[SubPLOs]:[SubPLOs]],"&gt;=7",tbl_task8[[SubPLOs]:[SubPLOs]],"&lt;8")</f>
        <v>0</v>
      </c>
      <c r="M40" s="138">
        <f>SUMIFS(tbl_task8[S8],tbl_task8[[SubPLOs]:[SubPLOs]],"&gt;=7",tbl_task8[[SubPLOs]:[SubPLOs]],"&lt;8")</f>
        <v>0</v>
      </c>
      <c r="N40" s="138">
        <f>SUMIFS(tbl_task8[S9],tbl_task8[[SubPLOs]:[SubPLOs]],"&gt;=7",tbl_task8[[SubPLOs]:[SubPLOs]],"&lt;8")</f>
        <v>0</v>
      </c>
      <c r="O40" s="138">
        <f>SUMIFS(tbl_task8[S10],tbl_task8[[SubPLOs]:[SubPLOs]],"&gt;=7",tbl_task8[[SubPLOs]:[SubPLOs]],"&lt;8")</f>
        <v>0</v>
      </c>
      <c r="P40" s="138">
        <f>SUMIFS(tbl_task8[S11],tbl_task8[[SubPLOs]:[SubPLOs]],"&gt;=7",tbl_task8[[SubPLOs]:[SubPLOs]],"&lt;8")</f>
        <v>0</v>
      </c>
      <c r="Q40" s="138">
        <f>SUMIFS(tbl_task8[S12],tbl_task8[[SubPLOs]:[SubPLOs]],"&gt;=7",tbl_task8[[SubPLOs]:[SubPLOs]],"&lt;8")</f>
        <v>0</v>
      </c>
      <c r="R40" s="138">
        <f>SUMIFS(tbl_task8[S13],tbl_task8[[SubPLOs]:[SubPLOs]],"&gt;=7",tbl_task8[[SubPLOs]:[SubPLOs]],"&lt;8")</f>
        <v>0</v>
      </c>
      <c r="S40" s="138">
        <f>SUMIFS(tbl_task8[S14],tbl_task8[[SubPLOs]:[SubPLOs]],"&gt;=7",tbl_task8[[SubPLOs]:[SubPLOs]],"&lt;8")</f>
        <v>0</v>
      </c>
      <c r="T40" s="138">
        <f>SUMIFS(tbl_task8[S15],tbl_task8[[SubPLOs]:[SubPLOs]],"&gt;=7",tbl_task8[[SubPLOs]:[SubPLOs]],"&lt;8")</f>
        <v>0</v>
      </c>
      <c r="U40" s="138">
        <f>SUMIFS(tbl_task8[S16],tbl_task8[[SubPLOs]:[SubPLOs]],"&gt;=7",tbl_task8[[SubPLOs]:[SubPLOs]],"&lt;8")</f>
        <v>0</v>
      </c>
      <c r="V40" s="138">
        <f>SUMIFS(tbl_task8[S17],tbl_task8[[SubPLOs]:[SubPLOs]],"&gt;=7",tbl_task8[[SubPLOs]:[SubPLOs]],"&lt;8")</f>
        <v>0</v>
      </c>
      <c r="W40" s="138">
        <f>SUMIFS(tbl_task8[S18],tbl_task8[[SubPLOs]:[SubPLOs]],"&gt;=7",tbl_task8[[SubPLOs]:[SubPLOs]],"&lt;8")</f>
        <v>0</v>
      </c>
      <c r="X40" s="138">
        <f>SUMIFS(tbl_task8[S19],tbl_task8[[SubPLOs]:[SubPLOs]],"&gt;=7",tbl_task8[[SubPLOs]:[SubPLOs]],"&lt;8")</f>
        <v>0</v>
      </c>
      <c r="Y40" s="138">
        <f>SUMIFS(tbl_task8[S20],tbl_task8[[SubPLOs]:[SubPLOs]],"&gt;=7",tbl_task8[[SubPLOs]:[SubPLOs]],"&lt;8")</f>
        <v>0</v>
      </c>
      <c r="Z40" s="138">
        <f>SUMIFS(tbl_task8[S21],tbl_task8[[SubPLOs]:[SubPLOs]],"&gt;=7",tbl_task8[[SubPLOs]:[SubPLOs]],"&lt;8")</f>
        <v>0</v>
      </c>
      <c r="AA40" s="138">
        <f>SUMIFS(tbl_task8[S22],tbl_task8[[SubPLOs]:[SubPLOs]],"&gt;=7",tbl_task8[[SubPLOs]:[SubPLOs]],"&lt;8")</f>
        <v>0</v>
      </c>
      <c r="AB40" s="138">
        <f>SUMIFS(tbl_task8[S23],tbl_task8[[SubPLOs]:[SubPLOs]],"&gt;=7",tbl_task8[[SubPLOs]:[SubPLOs]],"&lt;8")</f>
        <v>0</v>
      </c>
      <c r="AC40" s="138">
        <f>SUMIFS(tbl_task8[S24],tbl_task8[[SubPLOs]:[SubPLOs]],"&gt;=7",tbl_task8[[SubPLOs]:[SubPLOs]],"&lt;8")</f>
        <v>0</v>
      </c>
      <c r="AD40" s="138">
        <f>SUMIFS(tbl_task8[S25],tbl_task8[[SubPLOs]:[SubPLOs]],"&gt;=7",tbl_task8[[SubPLOs]:[SubPLOs]],"&lt;8")</f>
        <v>0</v>
      </c>
      <c r="AE40" s="138">
        <f>SUMIFS(tbl_task8[S26],tbl_task8[[SubPLOs]:[SubPLOs]],"&gt;=7",tbl_task8[[SubPLOs]:[SubPLOs]],"&lt;8")</f>
        <v>0</v>
      </c>
      <c r="AF40" s="138">
        <f>SUMIFS(tbl_task8[S27],tbl_task8[[SubPLOs]:[SubPLOs]],"&gt;=7",tbl_task8[[SubPLOs]:[SubPLOs]],"&lt;8")</f>
        <v>0</v>
      </c>
      <c r="AG40" s="138">
        <f>SUMIFS(tbl_task8[S28],tbl_task8[[SubPLOs]:[SubPLOs]],"&gt;=7",tbl_task8[[SubPLOs]:[SubPLOs]],"&lt;8")</f>
        <v>0</v>
      </c>
      <c r="AH40" s="138">
        <f>SUMIFS(tbl_task8[S29],tbl_task8[[SubPLOs]:[SubPLOs]],"&gt;=7",tbl_task8[[SubPLOs]:[SubPLOs]],"&lt;8")</f>
        <v>0</v>
      </c>
      <c r="AI40" s="138">
        <f>SUMIFS(tbl_task8[S30],tbl_task8[[SubPLOs]:[SubPLOs]],"&gt;=7",tbl_task8[[SubPLOs]:[SubPLOs]],"&lt;8")</f>
        <v>0</v>
      </c>
      <c r="AJ40" s="138">
        <f>SUMIFS(tbl_task8[S31],tbl_task8[[SubPLOs]:[SubPLOs]],"&gt;=7",tbl_task8[[SubPLOs]:[SubPLOs]],"&lt;8")</f>
        <v>0</v>
      </c>
      <c r="AK40" s="138">
        <f>SUMIFS(tbl_task8[S32],tbl_task8[[SubPLOs]:[SubPLOs]],"&gt;=7",tbl_task8[[SubPLOs]:[SubPLOs]],"&lt;8")</f>
        <v>0</v>
      </c>
      <c r="AL40" s="138">
        <f>SUMIFS(tbl_task8[S33],tbl_task8[[SubPLOs]:[SubPLOs]],"&gt;=7",tbl_task8[[SubPLOs]:[SubPLOs]],"&lt;8")</f>
        <v>0</v>
      </c>
      <c r="AM40" s="138">
        <f>SUMIFS(tbl_task8[S34],tbl_task8[[SubPLOs]:[SubPLOs]],"&gt;=7",tbl_task8[[SubPLOs]:[SubPLOs]],"&lt;8")</f>
        <v>0</v>
      </c>
      <c r="AN40" s="138">
        <f>SUMIFS(tbl_task8[S35],tbl_task8[[SubPLOs]:[SubPLOs]],"&gt;=7",tbl_task8[[SubPLOs]:[SubPLOs]],"&lt;8")</f>
        <v>0</v>
      </c>
      <c r="AO40" s="138">
        <f>SUMIFS(tbl_task8[S36],tbl_task8[[SubPLOs]:[SubPLOs]],"&gt;=7",tbl_task8[[SubPLOs]:[SubPLOs]],"&lt;8")</f>
        <v>0</v>
      </c>
      <c r="AP40" s="138">
        <f>SUMIFS(tbl_task8[S37],tbl_task8[[SubPLOs]:[SubPLOs]],"&gt;=7",tbl_task8[[SubPLOs]:[SubPLOs]],"&lt;8")</f>
        <v>0</v>
      </c>
      <c r="AQ40" s="138">
        <f>SUMIFS(tbl_task8[S38],tbl_task8[[SubPLOs]:[SubPLOs]],"&gt;=7",tbl_task8[[SubPLOs]:[SubPLOs]],"&lt;8")</f>
        <v>0</v>
      </c>
      <c r="AR40" s="138">
        <f>SUMIFS(tbl_task8[S39],tbl_task8[[SubPLOs]:[SubPLOs]],"&gt;=7",tbl_task8[[SubPLOs]:[SubPLOs]],"&lt;8")</f>
        <v>0</v>
      </c>
      <c r="AS40" s="138">
        <f>SUMIFS(tbl_task8[S40],tbl_task8[[SubPLOs]:[SubPLOs]],"&gt;=7",tbl_task8[[SubPLOs]:[SubPLOs]],"&lt;8")</f>
        <v>0</v>
      </c>
      <c r="AT40" s="138">
        <f>SUMIFS(tbl_task8[S41],tbl_task8[[SubPLOs]:[SubPLOs]],"&gt;=7",tbl_task8[[SubPLOs]:[SubPLOs]],"&lt;8")</f>
        <v>0</v>
      </c>
      <c r="AU40" s="138">
        <f>SUMIFS(tbl_task8[S42],tbl_task8[[SubPLOs]:[SubPLOs]],"&gt;=7",tbl_task8[[SubPLOs]:[SubPLOs]],"&lt;8")</f>
        <v>0</v>
      </c>
      <c r="AV40" s="138">
        <f>SUMIFS(tbl_task8[S43],tbl_task8[[SubPLOs]:[SubPLOs]],"&gt;=7",tbl_task8[[SubPLOs]:[SubPLOs]],"&lt;8")</f>
        <v>0</v>
      </c>
      <c r="AW40" s="138">
        <f>SUMIFS(tbl_task8[S44],tbl_task8[[SubPLOs]:[SubPLOs]],"&gt;=7",tbl_task8[[SubPLOs]:[SubPLOs]],"&lt;8")</f>
        <v>0</v>
      </c>
      <c r="AX40" s="138">
        <f>SUMIFS(tbl_task8[S45],tbl_task8[[SubPLOs]:[SubPLOs]],"&gt;=7",tbl_task8[[SubPLOs]:[SubPLOs]],"&lt;8")</f>
        <v>0</v>
      </c>
      <c r="AY40" s="138">
        <f>SUMIFS(tbl_task8[S46],tbl_task8[[SubPLOs]:[SubPLOs]],"&gt;=7",tbl_task8[[SubPLOs]:[SubPLOs]],"&lt;8")</f>
        <v>0</v>
      </c>
      <c r="AZ40" s="138">
        <f>SUMIFS(tbl_task8[S47],tbl_task8[[SubPLOs]:[SubPLOs]],"&gt;=7",tbl_task8[[SubPLOs]:[SubPLOs]],"&lt;8")</f>
        <v>0</v>
      </c>
      <c r="BA40" s="138">
        <f>SUMIFS(tbl_task8[S48],tbl_task8[[SubPLOs]:[SubPLOs]],"&gt;=7",tbl_task8[[SubPLOs]:[SubPLOs]],"&lt;8")</f>
        <v>0</v>
      </c>
      <c r="BB40" s="138">
        <f>SUMIFS(tbl_task8[S49],tbl_task8[[SubPLOs]:[SubPLOs]],"&gt;=7",tbl_task8[[SubPLOs]:[SubPLOs]],"&lt;8")</f>
        <v>0</v>
      </c>
      <c r="BC40" s="138">
        <f>SUMIFS(tbl_task8[S50],tbl_task8[[SubPLOs]:[SubPLOs]],"&gt;=7",tbl_task8[[SubPLOs]:[SubPLOs]],"&lt;8")</f>
        <v>0</v>
      </c>
      <c r="BD40" s="138">
        <f>SUMIFS(tbl_task8[S51],tbl_task8[[SubPLOs]:[SubPLOs]],"&gt;=7",tbl_task8[[SubPLOs]:[SubPLOs]],"&lt;8")</f>
        <v>0</v>
      </c>
      <c r="BE40" s="138">
        <f>SUMIFS(tbl_task8[S52],tbl_task8[[SubPLOs]:[SubPLOs]],"&gt;=7",tbl_task8[[SubPLOs]:[SubPLOs]],"&lt;8")</f>
        <v>0</v>
      </c>
      <c r="BF40" s="138">
        <f>SUMIFS(tbl_task8[S53],tbl_task8[[SubPLOs]:[SubPLOs]],"&gt;=7",tbl_task8[[SubPLOs]:[SubPLOs]],"&lt;8")</f>
        <v>0</v>
      </c>
      <c r="BG40" s="138">
        <f>SUMIFS(tbl_task8[S54],tbl_task8[[SubPLOs]:[SubPLOs]],"&gt;=7",tbl_task8[[SubPLOs]:[SubPLOs]],"&lt;8")</f>
        <v>0</v>
      </c>
      <c r="BH40" s="138">
        <f>SUMIFS(tbl_task8[S55],tbl_task8[[SubPLOs]:[SubPLOs]],"&gt;=7",tbl_task8[[SubPLOs]:[SubPLOs]],"&lt;8")</f>
        <v>0</v>
      </c>
      <c r="BI40" s="138">
        <f>SUMIFS(tbl_task8[S56],tbl_task8[[SubPLOs]:[SubPLOs]],"&gt;=7",tbl_task8[[SubPLOs]:[SubPLOs]],"&lt;8")</f>
        <v>0</v>
      </c>
      <c r="BJ40" s="138">
        <f>SUMIFS(tbl_task8[S57],tbl_task8[[SubPLOs]:[SubPLOs]],"&gt;=7",tbl_task8[[SubPLOs]:[SubPLOs]],"&lt;8")</f>
        <v>0</v>
      </c>
      <c r="BK40" s="138">
        <f>SUMIFS(tbl_task8[S58],tbl_task8[[SubPLOs]:[SubPLOs]],"&gt;=7",tbl_task8[[SubPLOs]:[SubPLOs]],"&lt;8")</f>
        <v>0</v>
      </c>
      <c r="BL40" s="138">
        <f>SUMIFS(tbl_task8[S59],tbl_task8[[SubPLOs]:[SubPLOs]],"&gt;=7",tbl_task8[[SubPLOs]:[SubPLOs]],"&lt;8")</f>
        <v>0</v>
      </c>
      <c r="BM40" s="138">
        <f>SUMIFS(tbl_task8[S60],tbl_task8[[SubPLOs]:[SubPLOs]],"&gt;=7",tbl_task8[[SubPLOs]:[SubPLOs]],"&lt;8")</f>
        <v>0</v>
      </c>
      <c r="BN40" s="138">
        <f>SUMIFS(tbl_task8[S61],tbl_task8[[SubPLOs]:[SubPLOs]],"&gt;=7",tbl_task8[[SubPLOs]:[SubPLOs]],"&lt;8")</f>
        <v>0</v>
      </c>
      <c r="BO40" s="138">
        <f>SUMIFS(tbl_task8[S62],tbl_task8[[SubPLOs]:[SubPLOs]],"&gt;=7",tbl_task8[[SubPLOs]:[SubPLOs]],"&lt;8")</f>
        <v>0</v>
      </c>
      <c r="BP40" s="138">
        <f>SUMIFS(tbl_task8[S63],tbl_task8[[SubPLOs]:[SubPLOs]],"&gt;=7",tbl_task8[[SubPLOs]:[SubPLOs]],"&lt;8")</f>
        <v>0</v>
      </c>
      <c r="BQ40" s="138">
        <f>SUMIFS(tbl_task8[S64],tbl_task8[[SubPLOs]:[SubPLOs]],"&gt;=7",tbl_task8[[SubPLOs]:[SubPLOs]],"&lt;8")</f>
        <v>0</v>
      </c>
      <c r="BR40" s="138">
        <f>SUMIFS(tbl_task8[S65],tbl_task8[[SubPLOs]:[SubPLOs]],"&gt;=7",tbl_task8[[SubPLOs]:[SubPLOs]],"&lt;8")</f>
        <v>0</v>
      </c>
      <c r="BS40" s="138">
        <f>SUMIFS(tbl_task8[S66],tbl_task8[[SubPLOs]:[SubPLOs]],"&gt;=7",tbl_task8[[SubPLOs]:[SubPLOs]],"&lt;8")</f>
        <v>0</v>
      </c>
      <c r="BT40" s="138">
        <f>SUMIFS(tbl_task8[S67],tbl_task8[[SubPLOs]:[SubPLOs]],"&gt;=7",tbl_task8[[SubPLOs]:[SubPLOs]],"&lt;8")</f>
        <v>0</v>
      </c>
      <c r="BU40" s="138">
        <f>SUMIFS(tbl_task8[S68],tbl_task8[[SubPLOs]:[SubPLOs]],"&gt;=7",tbl_task8[[SubPLOs]:[SubPLOs]],"&lt;8")</f>
        <v>0</v>
      </c>
      <c r="BV40" s="138">
        <f>SUMIFS(tbl_task8[S69],tbl_task8[[SubPLOs]:[SubPLOs]],"&gt;=7",tbl_task8[[SubPLOs]:[SubPLOs]],"&lt;8")</f>
        <v>0</v>
      </c>
      <c r="BW40" s="138">
        <f>SUMIFS(tbl_task8[S70],tbl_task8[[SubPLOs]:[SubPLOs]],"&gt;=7",tbl_task8[[SubPLOs]:[SubPLOs]],"&lt;8")</f>
        <v>0</v>
      </c>
      <c r="BX40" s="138">
        <f>SUMIFS(tbl_task8[S71],tbl_task8[[SubPLOs]:[SubPLOs]],"&gt;=7",tbl_task8[[SubPLOs]:[SubPLOs]],"&lt;8")</f>
        <v>0</v>
      </c>
      <c r="BY40" s="138">
        <f>SUMIFS(tbl_task8[S72],tbl_task8[[SubPLOs]:[SubPLOs]],"&gt;=7",tbl_task8[[SubPLOs]:[SubPLOs]],"&lt;8")</f>
        <v>0</v>
      </c>
      <c r="BZ40" s="138">
        <f>SUMIFS(tbl_task8[S73],tbl_task8[[SubPLOs]:[SubPLOs]],"&gt;=7",tbl_task8[[SubPLOs]:[SubPLOs]],"&lt;8")</f>
        <v>0</v>
      </c>
      <c r="CA40" s="138">
        <f>SUMIFS(tbl_task8[S74],tbl_task8[[SubPLOs]:[SubPLOs]],"&gt;=7",tbl_task8[[SubPLOs]:[SubPLOs]],"&lt;8")</f>
        <v>0</v>
      </c>
      <c r="CB40" s="138">
        <f>SUMIFS(tbl_task8[S75],tbl_task8[[SubPLOs]:[SubPLOs]],"&gt;=7",tbl_task8[[SubPLOs]:[SubPLOs]],"&lt;8")</f>
        <v>0</v>
      </c>
      <c r="CC40" s="138">
        <f>SUMIFS(tbl_task8[S76],tbl_task8[[SubPLOs]:[SubPLOs]],"&gt;=7",tbl_task8[[SubPLOs]:[SubPLOs]],"&lt;8")</f>
        <v>0</v>
      </c>
      <c r="CD40" s="138">
        <f>SUMIFS(tbl_task8[S77],tbl_task8[[SubPLOs]:[SubPLOs]],"&gt;=7",tbl_task8[[SubPLOs]:[SubPLOs]],"&lt;8")</f>
        <v>0</v>
      </c>
      <c r="CE40" s="138">
        <f>SUMIFS(tbl_task8[S78],tbl_task8[[SubPLOs]:[SubPLOs]],"&gt;=7",tbl_task8[[SubPLOs]:[SubPLOs]],"&lt;8")</f>
        <v>0</v>
      </c>
      <c r="CF40" s="138">
        <f>SUMIFS(tbl_task8[S79],tbl_task8[[SubPLOs]:[SubPLOs]],"&gt;=7",tbl_task8[[SubPLOs]:[SubPLOs]],"&lt;8")</f>
        <v>0</v>
      </c>
      <c r="CG40" s="138">
        <f>SUMIFS(tbl_task8[S80],tbl_task8[[SubPLOs]:[SubPLOs]],"&gt;=7",tbl_task8[[SubPLOs]:[SubPLOs]],"&lt;8")</f>
        <v>0</v>
      </c>
      <c r="CH40" s="138">
        <f>SUMIFS(tbl_task8[S81],tbl_task8[[SubPLOs]:[SubPLOs]],"&gt;=7",tbl_task8[[SubPLOs]:[SubPLOs]],"&lt;8")</f>
        <v>0</v>
      </c>
      <c r="CI40" s="138">
        <f>SUMIFS(tbl_task8[S82],tbl_task8[[SubPLOs]:[SubPLOs]],"&gt;=7",tbl_task8[[SubPLOs]:[SubPLOs]],"&lt;8")</f>
        <v>0</v>
      </c>
      <c r="CJ40" s="138">
        <f>SUMIFS(tbl_task8[S83],tbl_task8[[SubPLOs]:[SubPLOs]],"&gt;=7",tbl_task8[[SubPLOs]:[SubPLOs]],"&lt;8")</f>
        <v>0</v>
      </c>
      <c r="CK40" s="138">
        <f>SUMIFS(tbl_task8[S84],tbl_task8[[SubPLOs]:[SubPLOs]],"&gt;=7",tbl_task8[[SubPLOs]:[SubPLOs]],"&lt;8")</f>
        <v>0</v>
      </c>
      <c r="CL40" s="138">
        <f>SUMIFS(tbl_task8[S85],tbl_task8[[SubPLOs]:[SubPLOs]],"&gt;=7",tbl_task8[[SubPLOs]:[SubPLOs]],"&lt;8")</f>
        <v>0</v>
      </c>
      <c r="CM40" s="138">
        <f>SUMIFS(tbl_task8[S86],tbl_task8[[SubPLOs]:[SubPLOs]],"&gt;=7",tbl_task8[[SubPLOs]:[SubPLOs]],"&lt;8")</f>
        <v>0</v>
      </c>
      <c r="CN40" s="138">
        <f>SUMIFS(tbl_task8[S87],tbl_task8[[SubPLOs]:[SubPLOs]],"&gt;=7",tbl_task8[[SubPLOs]:[SubPLOs]],"&lt;8")</f>
        <v>0</v>
      </c>
      <c r="CO40" s="138">
        <f>SUMIFS(tbl_task8[S88],tbl_task8[[SubPLOs]:[SubPLOs]],"&gt;=7",tbl_task8[[SubPLOs]:[SubPLOs]],"&lt;8")</f>
        <v>0</v>
      </c>
      <c r="CP40" s="138">
        <f>SUMIFS(tbl_task8[S89],tbl_task8[[SubPLOs]:[SubPLOs]],"&gt;=7",tbl_task8[[SubPLOs]:[SubPLOs]],"&lt;8")</f>
        <v>0</v>
      </c>
      <c r="CQ40" s="138">
        <f>SUMIFS(tbl_task8[S90],tbl_task8[[SubPLOs]:[SubPLOs]],"&gt;=7",tbl_task8[[SubPLOs]:[SubPLOs]],"&lt;8")</f>
        <v>0</v>
      </c>
      <c r="CR40" s="138">
        <f>SUMIFS(tbl_task8[S91],tbl_task8[[SubPLOs]:[SubPLOs]],"&gt;=7",tbl_task8[[SubPLOs]:[SubPLOs]],"&lt;8")</f>
        <v>0</v>
      </c>
      <c r="CS40" s="138">
        <f>SUMIFS(tbl_task8[S92],tbl_task8[[SubPLOs]:[SubPLOs]],"&gt;=7",tbl_task8[[SubPLOs]:[SubPLOs]],"&lt;8")</f>
        <v>0</v>
      </c>
      <c r="CT40" s="138">
        <f>SUMIFS(tbl_task8[S93],tbl_task8[[SubPLOs]:[SubPLOs]],"&gt;=7",tbl_task8[[SubPLOs]:[SubPLOs]],"&lt;8")</f>
        <v>0</v>
      </c>
      <c r="CU40" s="138">
        <f>SUMIFS(tbl_task8[S94],tbl_task8[[SubPLOs]:[SubPLOs]],"&gt;=7",tbl_task8[[SubPLOs]:[SubPLOs]],"&lt;8")</f>
        <v>0</v>
      </c>
      <c r="CV40" s="138">
        <f>SUMIFS(tbl_task8[S95],tbl_task8[[SubPLOs]:[SubPLOs]],"&gt;=7",tbl_task8[[SubPLOs]:[SubPLOs]],"&lt;8")</f>
        <v>0</v>
      </c>
      <c r="CW40" s="138">
        <f>SUMIFS(tbl_task8[S96],tbl_task8[[SubPLOs]:[SubPLOs]],"&gt;=7",tbl_task8[[SubPLOs]:[SubPLOs]],"&lt;8")</f>
        <v>0</v>
      </c>
      <c r="CX40" s="138">
        <f>SUMIFS(tbl_task8[S97],tbl_task8[[SubPLOs]:[SubPLOs]],"&gt;=7",tbl_task8[[SubPLOs]:[SubPLOs]],"&lt;8")</f>
        <v>0</v>
      </c>
      <c r="CY40" s="138">
        <f>SUMIFS(tbl_task8[S98],tbl_task8[[SubPLOs]:[SubPLOs]],"&gt;=7",tbl_task8[[SubPLOs]:[SubPLOs]],"&lt;8")</f>
        <v>0</v>
      </c>
      <c r="CZ40" s="138">
        <f>SUMIFS(tbl_task8[S99],tbl_task8[[SubPLOs]:[SubPLOs]],"&gt;=7",tbl_task8[[SubPLOs]:[SubPLOs]],"&lt;8")</f>
        <v>0</v>
      </c>
      <c r="DA40" s="138">
        <f>SUMIFS(tbl_task8[S100],tbl_task8[[SubPLOs]:[SubPLOs]],"&gt;=7",tbl_task8[[SubPLOs]:[SubPLOs]],"&lt;8")</f>
        <v>0</v>
      </c>
      <c r="DB40" s="138">
        <f>SUMIFS(tbl_task8[S101],tbl_task8[[SubPLOs]:[SubPLOs]],"&gt;=7",tbl_task8[[SubPLOs]:[SubPLOs]],"&lt;8")</f>
        <v>0</v>
      </c>
      <c r="DC40" s="138">
        <f>SUMIFS(tbl_task8[S102],tbl_task8[[SubPLOs]:[SubPLOs]],"&gt;=7",tbl_task8[[SubPLOs]:[SubPLOs]],"&lt;8")</f>
        <v>0</v>
      </c>
      <c r="DD40" s="138">
        <f>SUMIFS(tbl_task8[S103],tbl_task8[[SubPLOs]:[SubPLOs]],"&gt;=7",tbl_task8[[SubPLOs]:[SubPLOs]],"&lt;8")</f>
        <v>0</v>
      </c>
      <c r="DE40" s="138">
        <f>SUMIFS(tbl_task8[S104],tbl_task8[[SubPLOs]:[SubPLOs]],"&gt;=7",tbl_task8[[SubPLOs]:[SubPLOs]],"&lt;8")</f>
        <v>0</v>
      </c>
      <c r="DF40" s="138">
        <f>SUMIFS(tbl_task8[S105],tbl_task8[[SubPLOs]:[SubPLOs]],"&gt;=7",tbl_task8[[SubPLOs]:[SubPLOs]],"&lt;8")</f>
        <v>0</v>
      </c>
      <c r="DG40" s="138">
        <f>SUMIFS(tbl_task8[S106],tbl_task8[[SubPLOs]:[SubPLOs]],"&gt;=7",tbl_task8[[SubPLOs]:[SubPLOs]],"&lt;8")</f>
        <v>0</v>
      </c>
      <c r="DH40" s="138">
        <f>SUMIFS(tbl_task8[S106],tbl_task8[[SubPLOs]:[SubPLOs]],"&gt;=7",tbl_task8[[SubPLOs]:[SubPLOs]],"&lt;8")</f>
        <v>0</v>
      </c>
      <c r="DI40" s="138">
        <f>SUMIFS(tbl_task8[S108],tbl_task8[[SubPLOs]:[SubPLOs]],"&gt;=7",tbl_task8[[SubPLOs]:[SubPLOs]],"&lt;8")</f>
        <v>0</v>
      </c>
      <c r="DJ40" s="138">
        <f>SUMIFS(tbl_task8[S109],tbl_task8[[SubPLOs]:[SubPLOs]],"&gt;=7",tbl_task8[[SubPLOs]:[SubPLOs]],"&lt;8")</f>
        <v>0</v>
      </c>
      <c r="DK40" s="138">
        <f>SUMIFS(tbl_task8[S110],tbl_task8[[SubPLOs]:[SubPLOs]],"&gt;=7",tbl_task8[[SubPLOs]:[SubPLOs]],"&lt;8")</f>
        <v>0</v>
      </c>
      <c r="DL40" s="138">
        <f>SUMIFS(tbl_task8[S111],tbl_task8[[SubPLOs]:[SubPLOs]],"&gt;=7",tbl_task8[[SubPLOs]:[SubPLOs]],"&lt;8")</f>
        <v>0</v>
      </c>
      <c r="DM40" s="138">
        <f>SUMIFS(tbl_task8[S112],tbl_task8[[SubPLOs]:[SubPLOs]],"&gt;=7",tbl_task8[[SubPLOs]:[SubPLOs]],"&lt;8")</f>
        <v>0</v>
      </c>
      <c r="DN40" s="138">
        <f>SUMIFS(tbl_task8[S113],tbl_task8[[SubPLOs]:[SubPLOs]],"&gt;=7",tbl_task8[[SubPLOs]:[SubPLOs]],"&lt;8")</f>
        <v>0</v>
      </c>
      <c r="DO40" s="138">
        <f>SUMIFS(tbl_task8[S114],tbl_task8[[SubPLOs]:[SubPLOs]],"&gt;=7",tbl_task8[[SubPLOs]:[SubPLOs]],"&lt;8")</f>
        <v>0</v>
      </c>
      <c r="DP40" s="138">
        <f>SUMIFS(tbl_task8[S115],tbl_task8[[SubPLOs]:[SubPLOs]],"&gt;=7",tbl_task8[[SubPLOs]:[SubPLOs]],"&lt;8")</f>
        <v>0</v>
      </c>
      <c r="DQ40" s="138">
        <f>SUMIFS(tbl_task8[S116],tbl_task8[[SubPLOs]:[SubPLOs]],"&gt;=7",tbl_task8[[SubPLOs]:[SubPLOs]],"&lt;8")</f>
        <v>0</v>
      </c>
      <c r="DR40" s="138">
        <f>SUMIFS(tbl_task8[S117],tbl_task8[[SubPLOs]:[SubPLOs]],"&gt;=7",tbl_task8[[SubPLOs]:[SubPLOs]],"&lt;8")</f>
        <v>0</v>
      </c>
      <c r="DS40" s="138">
        <f>SUMIFS(tbl_task8[S118],tbl_task8[[SubPLOs]:[SubPLOs]],"&gt;=7",tbl_task8[[SubPLOs]:[SubPLOs]],"&lt;8")</f>
        <v>0</v>
      </c>
      <c r="DT40" s="138">
        <f>SUMIFS(tbl_task8[S119],tbl_task8[[SubPLOs]:[SubPLOs]],"&gt;=7",tbl_task8[[SubPLOs]:[SubPLOs]],"&lt;8")</f>
        <v>0</v>
      </c>
      <c r="DU40" s="138">
        <f>SUMIFS(tbl_task8[S120],tbl_task8[[SubPLOs]:[SubPLOs]],"&gt;=7",tbl_task8[[SubPLOs]:[SubPLOs]],"&lt;8")</f>
        <v>0</v>
      </c>
      <c r="DV40" s="138">
        <f>SUMIFS(tbl_task8[S121],tbl_task8[[SubPLOs]:[SubPLOs]],"&gt;=7",tbl_task8[[SubPLOs]:[SubPLOs]],"&lt;8")</f>
        <v>0</v>
      </c>
      <c r="DW40" s="138">
        <f>SUMIFS(tbl_task8[S122],tbl_task8[[SubPLOs]:[SubPLOs]],"&gt;=7",tbl_task8[[SubPLOs]:[SubPLOs]],"&lt;8")</f>
        <v>0</v>
      </c>
      <c r="DX40" s="138">
        <f>SUMIFS(tbl_task8[S123],tbl_task8[[SubPLOs]:[SubPLOs]],"&gt;=7",tbl_task8[[SubPLOs]:[SubPLOs]],"&lt;8")</f>
        <v>0</v>
      </c>
      <c r="DY40" s="138">
        <f>SUMIFS(tbl_task8[S124],tbl_task8[[SubPLOs]:[SubPLOs]],"&gt;=7",tbl_task8[[SubPLOs]:[SubPLOs]],"&lt;8")</f>
        <v>0</v>
      </c>
      <c r="DZ40" s="138">
        <f>SUMIFS(tbl_task8[S125],tbl_task8[[SubPLOs]:[SubPLOs]],"&gt;=7",tbl_task8[[SubPLOs]:[SubPLOs]],"&lt;8")</f>
        <v>0</v>
      </c>
      <c r="EA40" s="138">
        <f>SUMIFS(tbl_task8[S126],tbl_task8[[SubPLOs]:[SubPLOs]],"&gt;=7",tbl_task8[[SubPLOs]:[SubPLOs]],"&lt;8")</f>
        <v>0</v>
      </c>
      <c r="EB40" s="138">
        <f>SUMIFS(tbl_task8[S127],tbl_task8[[SubPLOs]:[SubPLOs]],"&gt;=7",tbl_task8[[SubPLOs]:[SubPLOs]],"&lt;8")</f>
        <v>0</v>
      </c>
      <c r="EC40" s="138">
        <f>SUMIFS(tbl_task8[S128],tbl_task8[[SubPLOs]:[SubPLOs]],"&gt;=7",tbl_task8[[SubPLOs]:[SubPLOs]],"&lt;8")</f>
        <v>0</v>
      </c>
      <c r="ED40" s="138">
        <f>SUMIFS(tbl_task8[S129],tbl_task8[[SubPLOs]:[SubPLOs]],"&gt;=7",tbl_task8[[SubPLOs]:[SubPLOs]],"&lt;8")</f>
        <v>0</v>
      </c>
      <c r="EE40" s="138">
        <f>SUMIFS(tbl_task8[S130],tbl_task8[[SubPLOs]:[SubPLOs]],"&gt;=7",tbl_task8[[SubPLOs]:[SubPLOs]],"&lt;8")</f>
        <v>0</v>
      </c>
      <c r="EF40" s="138">
        <f>SUMIFS(tbl_task8[S131],tbl_task8[[SubPLOs]:[SubPLOs]],"&gt;=7",tbl_task8[[SubPLOs]:[SubPLOs]],"&lt;8")</f>
        <v>0</v>
      </c>
      <c r="EG40" s="138">
        <f>SUMIFS(tbl_task8[S132],tbl_task8[[SubPLOs]:[SubPLOs]],"&gt;=7",tbl_task8[[SubPLOs]:[SubPLOs]],"&lt;8")</f>
        <v>0</v>
      </c>
      <c r="EH40" s="138">
        <f>SUMIFS(tbl_task8[S133],tbl_task8[[SubPLOs]:[SubPLOs]],"&gt;=7",tbl_task8[[SubPLOs]:[SubPLOs]],"&lt;8")</f>
        <v>0</v>
      </c>
      <c r="EI40" s="138">
        <f>SUMIFS(tbl_task8[S134],tbl_task8[[SubPLOs]:[SubPLOs]],"&gt;=7",tbl_task8[[SubPLOs]:[SubPLOs]],"&lt;8")</f>
        <v>0</v>
      </c>
      <c r="EJ40" s="138">
        <f>SUMIFS(tbl_task8[S135],tbl_task8[[SubPLOs]:[SubPLOs]],"&gt;=7",tbl_task8[[SubPLOs]:[SubPLOs]],"&lt;8")</f>
        <v>0</v>
      </c>
      <c r="EK40" s="138">
        <f>SUMIFS(tbl_task8[S136],tbl_task8[[SubPLOs]:[SubPLOs]],"&gt;=7",tbl_task8[[SubPLOs]:[SubPLOs]],"&lt;8")</f>
        <v>0</v>
      </c>
      <c r="EL40" s="138">
        <f>SUMIFS(tbl_task8[S137],tbl_task8[[SubPLOs]:[SubPLOs]],"&gt;=7",tbl_task8[[SubPLOs]:[SubPLOs]],"&lt;8")</f>
        <v>0</v>
      </c>
      <c r="EM40" s="138">
        <f>SUMIFS(tbl_task8[S138],tbl_task8[[SubPLOs]:[SubPLOs]],"&gt;=7",tbl_task8[[SubPLOs]:[SubPLOs]],"&lt;8")</f>
        <v>0</v>
      </c>
      <c r="EN40" s="138">
        <f>SUMIFS(tbl_task8[S139],tbl_task8[[SubPLOs]:[SubPLOs]],"&gt;=7",tbl_task8[[SubPLOs]:[SubPLOs]],"&lt;8")</f>
        <v>0</v>
      </c>
      <c r="EO40" s="138">
        <f>SUMIFS(tbl_task8[S140],tbl_task8[[SubPLOs]:[SubPLOs]],"&gt;=7",tbl_task8[[SubPLOs]:[SubPLOs]],"&lt;8")</f>
        <v>0</v>
      </c>
      <c r="EP40" s="138">
        <f>SUMIFS(tbl_task8[S141],tbl_task8[[SubPLOs]:[SubPLOs]],"&gt;=7",tbl_task8[[SubPLOs]:[SubPLOs]],"&lt;8")</f>
        <v>0</v>
      </c>
      <c r="EQ40" s="138">
        <f>SUMIFS(tbl_task8[S142],tbl_task8[[SubPLOs]:[SubPLOs]],"&gt;=7",tbl_task8[[SubPLOs]:[SubPLOs]],"&lt;8")</f>
        <v>0</v>
      </c>
      <c r="ER40" s="138">
        <f>SUMIFS(tbl_task8[S143],tbl_task8[[SubPLOs]:[SubPLOs]],"&gt;=7",tbl_task8[[SubPLOs]:[SubPLOs]],"&lt;8")</f>
        <v>0</v>
      </c>
      <c r="ES40" s="138">
        <f>SUMIFS(tbl_task8[S144],tbl_task8[[SubPLOs]:[SubPLOs]],"&gt;=7",tbl_task8[[SubPLOs]:[SubPLOs]],"&lt;8")</f>
        <v>0</v>
      </c>
      <c r="ET40" s="138">
        <f>SUMIFS(tbl_task8[S145],tbl_task8[[SubPLOs]:[SubPLOs]],"&gt;=7",tbl_task8[[SubPLOs]:[SubPLOs]],"&lt;8")</f>
        <v>0</v>
      </c>
      <c r="EU40" s="138">
        <f>SUMIFS(tbl_task8[S146],tbl_task8[[SubPLOs]:[SubPLOs]],"&gt;=7",tbl_task8[[SubPLOs]:[SubPLOs]],"&lt;8")</f>
        <v>0</v>
      </c>
      <c r="EV40" s="138">
        <f>SUMIFS(tbl_task8[S147],tbl_task8[[SubPLOs]:[SubPLOs]],"&gt;=7",tbl_task8[[SubPLOs]:[SubPLOs]],"&lt;8")</f>
        <v>0</v>
      </c>
      <c r="EW40" s="138">
        <f>SUMIFS(tbl_task8[S148],tbl_task8[[SubPLOs]:[SubPLOs]],"&gt;=7",tbl_task8[[SubPLOs]:[SubPLOs]],"&lt;8")</f>
        <v>0</v>
      </c>
      <c r="EX40" s="138">
        <f>SUMIFS(tbl_task8[S149],tbl_task8[[SubPLOs]:[SubPLOs]],"&gt;=7",tbl_task8[[SubPLOs]:[SubPLOs]],"&lt;8")</f>
        <v>0</v>
      </c>
      <c r="EY40" s="138">
        <f>SUMIFS(tbl_task8[S150],tbl_task8[[SubPLOs]:[SubPLOs]],"&gt;=7",tbl_task8[[SubPLOs]:[SubPLOs]],"&lt;8")</f>
        <v>0</v>
      </c>
      <c r="EZ40" s="138">
        <f>SUMIFS(tbl_task8[S151],tbl_task8[[SubPLOs]:[SubPLOs]],"&gt;=7",tbl_task8[[SubPLOs]:[SubPLOs]],"&lt;8")</f>
        <v>0</v>
      </c>
      <c r="FA40" s="138">
        <f>SUMIFS(tbl_task8[S152],tbl_task8[[SubPLOs]:[SubPLOs]],"&gt;=7",tbl_task8[[SubPLOs]:[SubPLOs]],"&lt;8")</f>
        <v>0</v>
      </c>
      <c r="FB40" s="138">
        <f>SUMIFS(tbl_task8[S153],tbl_task8[[SubPLOs]:[SubPLOs]],"&gt;=7",tbl_task8[[SubPLOs]:[SubPLOs]],"&lt;8")</f>
        <v>0</v>
      </c>
      <c r="FC40" s="138">
        <f>SUMIFS(tbl_task8[S154],tbl_task8[[SubPLOs]:[SubPLOs]],"&gt;=7",tbl_task8[[SubPLOs]:[SubPLOs]],"&lt;8")</f>
        <v>0</v>
      </c>
      <c r="FD40" s="138">
        <f>SUMIFS(tbl_task8[S155],tbl_task8[[SubPLOs]:[SubPLOs]],"&gt;=7",tbl_task8[[SubPLOs]:[SubPLOs]],"&lt;8")</f>
        <v>0</v>
      </c>
      <c r="FE40" s="138">
        <f>SUMIFS(tbl_task8[S156],tbl_task8[[SubPLOs]:[SubPLOs]],"&gt;=7",tbl_task8[[SubPLOs]:[SubPLOs]],"&lt;8")</f>
        <v>0</v>
      </c>
      <c r="FF40" s="138">
        <f>SUMIFS(tbl_task8[S157],tbl_task8[[SubPLOs]:[SubPLOs]],"&gt;=7",tbl_task8[[SubPLOs]:[SubPLOs]],"&lt;8")</f>
        <v>0</v>
      </c>
      <c r="FG40" s="138">
        <f>SUMIFS(tbl_task8[S158],tbl_task8[[SubPLOs]:[SubPLOs]],"&gt;=7",tbl_task8[[SubPLOs]:[SubPLOs]],"&lt;8")</f>
        <v>0</v>
      </c>
      <c r="FH40" s="138">
        <f>SUMIFS(tbl_task8[S159],tbl_task8[[SubPLOs]:[SubPLOs]],"&gt;=7",tbl_task8[[SubPLOs]:[SubPLOs]],"&lt;8")</f>
        <v>0</v>
      </c>
      <c r="FI40" s="138">
        <f>SUMIFS(tbl_task8[S160],tbl_task8[[SubPLOs]:[SubPLOs]],"&gt;=7",tbl_task8[[SubPLOs]:[SubPLOs]],"&lt;8")</f>
        <v>0</v>
      </c>
      <c r="FJ40" s="138">
        <f>SUMIFS(tbl_task8[S161],tbl_task8[[SubPLOs]:[SubPLOs]],"&gt;=7",tbl_task8[[SubPLOs]:[SubPLOs]],"&lt;8")</f>
        <v>0</v>
      </c>
      <c r="FK40" s="138">
        <f>SUMIFS(tbl_task8[S162],tbl_task8[[SubPLOs]:[SubPLOs]],"&gt;=7",tbl_task8[[SubPLOs]:[SubPLOs]],"&lt;8")</f>
        <v>0</v>
      </c>
      <c r="FL40" s="138">
        <f>SUMIFS(tbl_task8[S163],tbl_task8[[SubPLOs]:[SubPLOs]],"&gt;=7",tbl_task8[[SubPLOs]:[SubPLOs]],"&lt;8")</f>
        <v>0</v>
      </c>
      <c r="FM40" s="138">
        <f>SUMIFS(tbl_task8[S164],tbl_task8[[SubPLOs]:[SubPLOs]],"&gt;=7",tbl_task8[[SubPLOs]:[SubPLOs]],"&lt;8")</f>
        <v>0</v>
      </c>
      <c r="FN40" s="138">
        <f>SUMIFS(tbl_task8[S165],tbl_task8[[SubPLOs]:[SubPLOs]],"&gt;=7",tbl_task8[[SubPLOs]:[SubPLOs]],"&lt;8")</f>
        <v>0</v>
      </c>
    </row>
    <row r="41" spans="1:170" ht="63" x14ac:dyDescent="0.25">
      <c r="A41" s="135">
        <v>8</v>
      </c>
      <c r="B41" s="5" t="s">
        <v>441</v>
      </c>
      <c r="C41" s="136">
        <f>COUNTIFS(tbl_task8[SubPLOs],"&gt;=8",tbl_task8[SubPLOs],"&lt;9")</f>
        <v>0</v>
      </c>
      <c r="D41" s="136">
        <f>SUMIFS(tbl_task8[คะแนนเต็ม],tbl_task8[SubPLOs],"&gt;=8",tbl_task8[SubPLOs],"&lt;9")</f>
        <v>0</v>
      </c>
      <c r="E41" s="137">
        <f>SUMIFS(tbl_task8[%],tbl_task8[SubPLOs],"&gt;=8",tbl_task8[SubPLOs],"&lt;9")</f>
        <v>0</v>
      </c>
      <c r="F41" s="138">
        <f>SUMIFS(tbl_task8[S1],tbl_task8[[SubPLOs]:[SubPLOs]],"&gt;=8",tbl_task8[[SubPLOs]:[SubPLOs]],"&lt;9")</f>
        <v>0</v>
      </c>
      <c r="G41" s="138">
        <f>SUMIFS(tbl_task8[S2],tbl_task8[[SubPLOs]:[SubPLOs]],"&gt;=8",tbl_task8[[SubPLOs]:[SubPLOs]],"&lt;9")</f>
        <v>0</v>
      </c>
      <c r="H41" s="138">
        <f>SUMIFS(tbl_task8[S3],tbl_task8[[SubPLOs]:[SubPLOs]],"&gt;=8",tbl_task8[[SubPLOs]:[SubPLOs]],"&lt;9")</f>
        <v>0</v>
      </c>
      <c r="I41" s="138">
        <f>SUMIFS(tbl_task8[S4],tbl_task8[[SubPLOs]:[SubPLOs]],"&gt;=8",tbl_task8[[SubPLOs]:[SubPLOs]],"&lt;9")</f>
        <v>0</v>
      </c>
      <c r="J41" s="138">
        <f>SUMIFS(tbl_task8[S5],tbl_task8[[SubPLOs]:[SubPLOs]],"&gt;=8",tbl_task8[[SubPLOs]:[SubPLOs]],"&lt;9")</f>
        <v>0</v>
      </c>
      <c r="K41" s="138">
        <f>SUMIFS(tbl_task8[S6],tbl_task8[[SubPLOs]:[SubPLOs]],"&gt;=8",tbl_task8[[SubPLOs]:[SubPLOs]],"&lt;9")</f>
        <v>0</v>
      </c>
      <c r="L41" s="138">
        <f>SUMIFS(tbl_task8[S7],tbl_task8[[SubPLOs]:[SubPLOs]],"&gt;=8",tbl_task8[[SubPLOs]:[SubPLOs]],"&lt;9")</f>
        <v>0</v>
      </c>
      <c r="M41" s="138">
        <f>SUMIFS(tbl_task8[S8],tbl_task8[[SubPLOs]:[SubPLOs]],"&gt;=8",tbl_task8[[SubPLOs]:[SubPLOs]],"&lt;9")</f>
        <v>0</v>
      </c>
      <c r="N41" s="138">
        <f>SUMIFS(tbl_task8[S9],tbl_task8[[SubPLOs]:[SubPLOs]],"&gt;=8",tbl_task8[[SubPLOs]:[SubPLOs]],"&lt;9")</f>
        <v>0</v>
      </c>
      <c r="O41" s="138">
        <f>SUMIFS(tbl_task8[S10],tbl_task8[[SubPLOs]:[SubPLOs]],"&gt;=8",tbl_task8[[SubPLOs]:[SubPLOs]],"&lt;9")</f>
        <v>0</v>
      </c>
      <c r="P41" s="138">
        <f>SUMIFS(tbl_task8[S11],tbl_task8[[SubPLOs]:[SubPLOs]],"&gt;=8",tbl_task8[[SubPLOs]:[SubPLOs]],"&lt;9")</f>
        <v>0</v>
      </c>
      <c r="Q41" s="138">
        <f>SUMIFS(tbl_task8[S12],tbl_task8[[SubPLOs]:[SubPLOs]],"&gt;=8",tbl_task8[[SubPLOs]:[SubPLOs]],"&lt;9")</f>
        <v>0</v>
      </c>
      <c r="R41" s="138">
        <f>SUMIFS(tbl_task8[S13],tbl_task8[[SubPLOs]:[SubPLOs]],"&gt;=8",tbl_task8[[SubPLOs]:[SubPLOs]],"&lt;9")</f>
        <v>0</v>
      </c>
      <c r="S41" s="138">
        <f>SUMIFS(tbl_task8[S14],tbl_task8[[SubPLOs]:[SubPLOs]],"&gt;=8",tbl_task8[[SubPLOs]:[SubPLOs]],"&lt;9")</f>
        <v>0</v>
      </c>
      <c r="T41" s="138">
        <f>SUMIFS(tbl_task8[S15],tbl_task8[[SubPLOs]:[SubPLOs]],"&gt;=8",tbl_task8[[SubPLOs]:[SubPLOs]],"&lt;9")</f>
        <v>0</v>
      </c>
      <c r="U41" s="138">
        <f>SUMIFS(tbl_task8[S16],tbl_task8[[SubPLOs]:[SubPLOs]],"&gt;=8",tbl_task8[[SubPLOs]:[SubPLOs]],"&lt;9")</f>
        <v>0</v>
      </c>
      <c r="V41" s="138">
        <f>SUMIFS(tbl_task8[S17],tbl_task8[[SubPLOs]:[SubPLOs]],"&gt;=8",tbl_task8[[SubPLOs]:[SubPLOs]],"&lt;9")</f>
        <v>0</v>
      </c>
      <c r="W41" s="138">
        <f>SUMIFS(tbl_task8[S18],tbl_task8[[SubPLOs]:[SubPLOs]],"&gt;=8",tbl_task8[[SubPLOs]:[SubPLOs]],"&lt;9")</f>
        <v>0</v>
      </c>
      <c r="X41" s="138">
        <f>SUMIFS(tbl_task8[S19],tbl_task8[[SubPLOs]:[SubPLOs]],"&gt;=8",tbl_task8[[SubPLOs]:[SubPLOs]],"&lt;9")</f>
        <v>0</v>
      </c>
      <c r="Y41" s="138">
        <f>SUMIFS(tbl_task8[S20],tbl_task8[[SubPLOs]:[SubPLOs]],"&gt;=8",tbl_task8[[SubPLOs]:[SubPLOs]],"&lt;9")</f>
        <v>0</v>
      </c>
      <c r="Z41" s="138">
        <f>SUMIFS(tbl_task8[S21],tbl_task8[[SubPLOs]:[SubPLOs]],"&gt;=8",tbl_task8[[SubPLOs]:[SubPLOs]],"&lt;9")</f>
        <v>0</v>
      </c>
      <c r="AA41" s="138">
        <f>SUMIFS(tbl_task8[S22],tbl_task8[[SubPLOs]:[SubPLOs]],"&gt;=8",tbl_task8[[SubPLOs]:[SubPLOs]],"&lt;9")</f>
        <v>0</v>
      </c>
      <c r="AB41" s="138">
        <f>SUMIFS(tbl_task8[S23],tbl_task8[[SubPLOs]:[SubPLOs]],"&gt;=8",tbl_task8[[SubPLOs]:[SubPLOs]],"&lt;9")</f>
        <v>0</v>
      </c>
      <c r="AC41" s="138">
        <f>SUMIFS(tbl_task8[S24],tbl_task8[[SubPLOs]:[SubPLOs]],"&gt;=8",tbl_task8[[SubPLOs]:[SubPLOs]],"&lt;9")</f>
        <v>0</v>
      </c>
      <c r="AD41" s="138">
        <f>SUMIFS(tbl_task8[S25],tbl_task8[[SubPLOs]:[SubPLOs]],"&gt;=8",tbl_task8[[SubPLOs]:[SubPLOs]],"&lt;9")</f>
        <v>0</v>
      </c>
      <c r="AE41" s="138">
        <f>SUMIFS(tbl_task8[S26],tbl_task8[[SubPLOs]:[SubPLOs]],"&gt;=8",tbl_task8[[SubPLOs]:[SubPLOs]],"&lt;9")</f>
        <v>0</v>
      </c>
      <c r="AF41" s="138">
        <f>SUMIFS(tbl_task8[S27],tbl_task8[[SubPLOs]:[SubPLOs]],"&gt;=8",tbl_task8[[SubPLOs]:[SubPLOs]],"&lt;9")</f>
        <v>0</v>
      </c>
      <c r="AG41" s="138">
        <f>SUMIFS(tbl_task8[S28],tbl_task8[[SubPLOs]:[SubPLOs]],"&gt;=8",tbl_task8[[SubPLOs]:[SubPLOs]],"&lt;9")</f>
        <v>0</v>
      </c>
      <c r="AH41" s="138">
        <f>SUMIFS(tbl_task8[S29],tbl_task8[[SubPLOs]:[SubPLOs]],"&gt;=8",tbl_task8[[SubPLOs]:[SubPLOs]],"&lt;9")</f>
        <v>0</v>
      </c>
      <c r="AI41" s="138">
        <f>SUMIFS(tbl_task8[S30],tbl_task8[[SubPLOs]:[SubPLOs]],"&gt;=8",tbl_task8[[SubPLOs]:[SubPLOs]],"&lt;9")</f>
        <v>0</v>
      </c>
      <c r="AJ41" s="138">
        <f>SUMIFS(tbl_task8[S31],tbl_task8[[SubPLOs]:[SubPLOs]],"&gt;=8",tbl_task8[[SubPLOs]:[SubPLOs]],"&lt;9")</f>
        <v>0</v>
      </c>
      <c r="AK41" s="138">
        <f>SUMIFS(tbl_task8[S32],tbl_task8[[SubPLOs]:[SubPLOs]],"&gt;=8",tbl_task8[[SubPLOs]:[SubPLOs]],"&lt;9")</f>
        <v>0</v>
      </c>
      <c r="AL41" s="138">
        <f>SUMIFS(tbl_task8[S33],tbl_task8[[SubPLOs]:[SubPLOs]],"&gt;=8",tbl_task8[[SubPLOs]:[SubPLOs]],"&lt;9")</f>
        <v>0</v>
      </c>
      <c r="AM41" s="138">
        <f>SUMIFS(tbl_task8[S34],tbl_task8[[SubPLOs]:[SubPLOs]],"&gt;=8",tbl_task8[[SubPLOs]:[SubPLOs]],"&lt;9")</f>
        <v>0</v>
      </c>
      <c r="AN41" s="138">
        <f>SUMIFS(tbl_task8[S35],tbl_task8[[SubPLOs]:[SubPLOs]],"&gt;=8",tbl_task8[[SubPLOs]:[SubPLOs]],"&lt;9")</f>
        <v>0</v>
      </c>
      <c r="AO41" s="138">
        <f>SUMIFS(tbl_task8[S36],tbl_task8[[SubPLOs]:[SubPLOs]],"&gt;=8",tbl_task8[[SubPLOs]:[SubPLOs]],"&lt;9")</f>
        <v>0</v>
      </c>
      <c r="AP41" s="138">
        <f>SUMIFS(tbl_task8[S37],tbl_task8[[SubPLOs]:[SubPLOs]],"&gt;=8",tbl_task8[[SubPLOs]:[SubPLOs]],"&lt;9")</f>
        <v>0</v>
      </c>
      <c r="AQ41" s="138">
        <f>SUMIFS(tbl_task8[S38],tbl_task8[[SubPLOs]:[SubPLOs]],"&gt;=8",tbl_task8[[SubPLOs]:[SubPLOs]],"&lt;9")</f>
        <v>0</v>
      </c>
      <c r="AR41" s="138">
        <f>SUMIFS(tbl_task8[S39],tbl_task8[[SubPLOs]:[SubPLOs]],"&gt;=8",tbl_task8[[SubPLOs]:[SubPLOs]],"&lt;9")</f>
        <v>0</v>
      </c>
      <c r="AS41" s="138">
        <f>SUMIFS(tbl_task8[S40],tbl_task8[[SubPLOs]:[SubPLOs]],"&gt;=8",tbl_task8[[SubPLOs]:[SubPLOs]],"&lt;9")</f>
        <v>0</v>
      </c>
      <c r="AT41" s="138">
        <f>SUMIFS(tbl_task8[S41],tbl_task8[[SubPLOs]:[SubPLOs]],"&gt;=8",tbl_task8[[SubPLOs]:[SubPLOs]],"&lt;9")</f>
        <v>0</v>
      </c>
      <c r="AU41" s="138">
        <f>SUMIFS(tbl_task8[S42],tbl_task8[[SubPLOs]:[SubPLOs]],"&gt;=8",tbl_task8[[SubPLOs]:[SubPLOs]],"&lt;9")</f>
        <v>0</v>
      </c>
      <c r="AV41" s="138">
        <f>SUMIFS(tbl_task8[S43],tbl_task8[[SubPLOs]:[SubPLOs]],"&gt;=8",tbl_task8[[SubPLOs]:[SubPLOs]],"&lt;9")</f>
        <v>0</v>
      </c>
      <c r="AW41" s="138">
        <f>SUMIFS(tbl_task8[S44],tbl_task8[[SubPLOs]:[SubPLOs]],"&gt;=8",tbl_task8[[SubPLOs]:[SubPLOs]],"&lt;9")</f>
        <v>0</v>
      </c>
      <c r="AX41" s="138">
        <f>SUMIFS(tbl_task8[S45],tbl_task8[[SubPLOs]:[SubPLOs]],"&gt;=8",tbl_task8[[SubPLOs]:[SubPLOs]],"&lt;9")</f>
        <v>0</v>
      </c>
      <c r="AY41" s="138">
        <f>SUMIFS(tbl_task8[S46],tbl_task8[[SubPLOs]:[SubPLOs]],"&gt;=8",tbl_task8[[SubPLOs]:[SubPLOs]],"&lt;9")</f>
        <v>0</v>
      </c>
      <c r="AZ41" s="138">
        <f>SUMIFS(tbl_task8[S47],tbl_task8[[SubPLOs]:[SubPLOs]],"&gt;=8",tbl_task8[[SubPLOs]:[SubPLOs]],"&lt;9")</f>
        <v>0</v>
      </c>
      <c r="BA41" s="138">
        <f>SUMIFS(tbl_task8[S48],tbl_task8[[SubPLOs]:[SubPLOs]],"&gt;=8",tbl_task8[[SubPLOs]:[SubPLOs]],"&lt;9")</f>
        <v>0</v>
      </c>
      <c r="BB41" s="138">
        <f>SUMIFS(tbl_task8[S49],tbl_task8[[SubPLOs]:[SubPLOs]],"&gt;=8",tbl_task8[[SubPLOs]:[SubPLOs]],"&lt;9")</f>
        <v>0</v>
      </c>
      <c r="BC41" s="138">
        <f>SUMIFS(tbl_task8[S50],tbl_task8[[SubPLOs]:[SubPLOs]],"&gt;=8",tbl_task8[[SubPLOs]:[SubPLOs]],"&lt;9")</f>
        <v>0</v>
      </c>
      <c r="BD41" s="138">
        <f>SUMIFS(tbl_task8[S51],tbl_task8[[SubPLOs]:[SubPLOs]],"&gt;=8",tbl_task8[[SubPLOs]:[SubPLOs]],"&lt;9")</f>
        <v>0</v>
      </c>
      <c r="BE41" s="138">
        <f>SUMIFS(tbl_task8[S52],tbl_task8[[SubPLOs]:[SubPLOs]],"&gt;=8",tbl_task8[[SubPLOs]:[SubPLOs]],"&lt;9")</f>
        <v>0</v>
      </c>
      <c r="BF41" s="138">
        <f>SUMIFS(tbl_task8[S53],tbl_task8[[SubPLOs]:[SubPLOs]],"&gt;=8",tbl_task8[[SubPLOs]:[SubPLOs]],"&lt;9")</f>
        <v>0</v>
      </c>
      <c r="BG41" s="138">
        <f>SUMIFS(tbl_task8[S54],tbl_task8[[SubPLOs]:[SubPLOs]],"&gt;=8",tbl_task8[[SubPLOs]:[SubPLOs]],"&lt;9")</f>
        <v>0</v>
      </c>
      <c r="BH41" s="138">
        <f>SUMIFS(tbl_task8[S55],tbl_task8[[SubPLOs]:[SubPLOs]],"&gt;=8",tbl_task8[[SubPLOs]:[SubPLOs]],"&lt;9")</f>
        <v>0</v>
      </c>
      <c r="BI41" s="138">
        <f>SUMIFS(tbl_task8[S56],tbl_task8[[SubPLOs]:[SubPLOs]],"&gt;=8",tbl_task8[[SubPLOs]:[SubPLOs]],"&lt;9")</f>
        <v>0</v>
      </c>
      <c r="BJ41" s="138">
        <f>SUMIFS(tbl_task8[S57],tbl_task8[[SubPLOs]:[SubPLOs]],"&gt;=8",tbl_task8[[SubPLOs]:[SubPLOs]],"&lt;9")</f>
        <v>0</v>
      </c>
      <c r="BK41" s="138">
        <f>SUMIFS(tbl_task8[S58],tbl_task8[[SubPLOs]:[SubPLOs]],"&gt;=8",tbl_task8[[SubPLOs]:[SubPLOs]],"&lt;9")</f>
        <v>0</v>
      </c>
      <c r="BL41" s="138">
        <f>SUMIFS(tbl_task8[S59],tbl_task8[[SubPLOs]:[SubPLOs]],"&gt;=8",tbl_task8[[SubPLOs]:[SubPLOs]],"&lt;9")</f>
        <v>0</v>
      </c>
      <c r="BM41" s="138">
        <f>SUMIFS(tbl_task8[S60],tbl_task8[[SubPLOs]:[SubPLOs]],"&gt;=8",tbl_task8[[SubPLOs]:[SubPLOs]],"&lt;9")</f>
        <v>0</v>
      </c>
      <c r="BN41" s="138">
        <f>SUMIFS(tbl_task8[S61],tbl_task8[[SubPLOs]:[SubPLOs]],"&gt;=8",tbl_task8[[SubPLOs]:[SubPLOs]],"&lt;9")</f>
        <v>0</v>
      </c>
      <c r="BO41" s="138">
        <f>SUMIFS(tbl_task8[S62],tbl_task8[[SubPLOs]:[SubPLOs]],"&gt;=8",tbl_task8[[SubPLOs]:[SubPLOs]],"&lt;9")</f>
        <v>0</v>
      </c>
      <c r="BP41" s="138">
        <f>SUMIFS(tbl_task8[S63],tbl_task8[[SubPLOs]:[SubPLOs]],"&gt;=8",tbl_task8[[SubPLOs]:[SubPLOs]],"&lt;9")</f>
        <v>0</v>
      </c>
      <c r="BQ41" s="138">
        <f>SUMIFS(tbl_task8[S64],tbl_task8[[SubPLOs]:[SubPLOs]],"&gt;=8",tbl_task8[[SubPLOs]:[SubPLOs]],"&lt;9")</f>
        <v>0</v>
      </c>
      <c r="BR41" s="138">
        <f>SUMIFS(tbl_task8[S65],tbl_task8[[SubPLOs]:[SubPLOs]],"&gt;=8",tbl_task8[[SubPLOs]:[SubPLOs]],"&lt;9")</f>
        <v>0</v>
      </c>
      <c r="BS41" s="138">
        <f>SUMIFS(tbl_task8[S66],tbl_task8[[SubPLOs]:[SubPLOs]],"&gt;=8",tbl_task8[[SubPLOs]:[SubPLOs]],"&lt;9")</f>
        <v>0</v>
      </c>
      <c r="BT41" s="138">
        <f>SUMIFS(tbl_task8[S67],tbl_task8[[SubPLOs]:[SubPLOs]],"&gt;=8",tbl_task8[[SubPLOs]:[SubPLOs]],"&lt;9")</f>
        <v>0</v>
      </c>
      <c r="BU41" s="138">
        <f>SUMIFS(tbl_task8[S68],tbl_task8[[SubPLOs]:[SubPLOs]],"&gt;=8",tbl_task8[[SubPLOs]:[SubPLOs]],"&lt;9")</f>
        <v>0</v>
      </c>
      <c r="BV41" s="138">
        <f>SUMIFS(tbl_task8[S69],tbl_task8[[SubPLOs]:[SubPLOs]],"&gt;=8",tbl_task8[[SubPLOs]:[SubPLOs]],"&lt;9")</f>
        <v>0</v>
      </c>
      <c r="BW41" s="138">
        <f>SUMIFS(tbl_task8[S70],tbl_task8[[SubPLOs]:[SubPLOs]],"&gt;=8",tbl_task8[[SubPLOs]:[SubPLOs]],"&lt;9")</f>
        <v>0</v>
      </c>
      <c r="BX41" s="138">
        <f>SUMIFS(tbl_task8[S71],tbl_task8[[SubPLOs]:[SubPLOs]],"&gt;=8",tbl_task8[[SubPLOs]:[SubPLOs]],"&lt;9")</f>
        <v>0</v>
      </c>
      <c r="BY41" s="138">
        <f>SUMIFS(tbl_task8[S72],tbl_task8[[SubPLOs]:[SubPLOs]],"&gt;=8",tbl_task8[[SubPLOs]:[SubPLOs]],"&lt;9")</f>
        <v>0</v>
      </c>
      <c r="BZ41" s="138">
        <f>SUMIFS(tbl_task8[S73],tbl_task8[[SubPLOs]:[SubPLOs]],"&gt;=8",tbl_task8[[SubPLOs]:[SubPLOs]],"&lt;9")</f>
        <v>0</v>
      </c>
      <c r="CA41" s="138">
        <f>SUMIFS(tbl_task8[S74],tbl_task8[[SubPLOs]:[SubPLOs]],"&gt;=8",tbl_task8[[SubPLOs]:[SubPLOs]],"&lt;9")</f>
        <v>0</v>
      </c>
      <c r="CB41" s="138">
        <f>SUMIFS(tbl_task8[S75],tbl_task8[[SubPLOs]:[SubPLOs]],"&gt;=8",tbl_task8[[SubPLOs]:[SubPLOs]],"&lt;9")</f>
        <v>0</v>
      </c>
      <c r="CC41" s="138">
        <f>SUMIFS(tbl_task8[S76],tbl_task8[[SubPLOs]:[SubPLOs]],"&gt;=8",tbl_task8[[SubPLOs]:[SubPLOs]],"&lt;9")</f>
        <v>0</v>
      </c>
      <c r="CD41" s="138">
        <f>SUMIFS(tbl_task8[S77],tbl_task8[[SubPLOs]:[SubPLOs]],"&gt;=8",tbl_task8[[SubPLOs]:[SubPLOs]],"&lt;9")</f>
        <v>0</v>
      </c>
      <c r="CE41" s="138">
        <f>SUMIFS(tbl_task8[S78],tbl_task8[[SubPLOs]:[SubPLOs]],"&gt;=8",tbl_task8[[SubPLOs]:[SubPLOs]],"&lt;9")</f>
        <v>0</v>
      </c>
      <c r="CF41" s="138">
        <f>SUMIFS(tbl_task8[S79],tbl_task8[[SubPLOs]:[SubPLOs]],"&gt;=8",tbl_task8[[SubPLOs]:[SubPLOs]],"&lt;9")</f>
        <v>0</v>
      </c>
      <c r="CG41" s="138">
        <f>SUMIFS(tbl_task8[S80],tbl_task8[[SubPLOs]:[SubPLOs]],"&gt;=8",tbl_task8[[SubPLOs]:[SubPLOs]],"&lt;9")</f>
        <v>0</v>
      </c>
      <c r="CH41" s="138">
        <f>SUMIFS(tbl_task8[S81],tbl_task8[[SubPLOs]:[SubPLOs]],"&gt;=8",tbl_task8[[SubPLOs]:[SubPLOs]],"&lt;9")</f>
        <v>0</v>
      </c>
      <c r="CI41" s="138">
        <f>SUMIFS(tbl_task8[S82],tbl_task8[[SubPLOs]:[SubPLOs]],"&gt;=8",tbl_task8[[SubPLOs]:[SubPLOs]],"&lt;9")</f>
        <v>0</v>
      </c>
      <c r="CJ41" s="138">
        <f>SUMIFS(tbl_task8[S83],tbl_task8[[SubPLOs]:[SubPLOs]],"&gt;=8",tbl_task8[[SubPLOs]:[SubPLOs]],"&lt;9")</f>
        <v>0</v>
      </c>
      <c r="CK41" s="138">
        <f>SUMIFS(tbl_task8[S84],tbl_task8[[SubPLOs]:[SubPLOs]],"&gt;=8",tbl_task8[[SubPLOs]:[SubPLOs]],"&lt;9")</f>
        <v>0</v>
      </c>
      <c r="CL41" s="138">
        <f>SUMIFS(tbl_task8[S85],tbl_task8[[SubPLOs]:[SubPLOs]],"&gt;=8",tbl_task8[[SubPLOs]:[SubPLOs]],"&lt;9")</f>
        <v>0</v>
      </c>
      <c r="CM41" s="138">
        <f>SUMIFS(tbl_task8[S86],tbl_task8[[SubPLOs]:[SubPLOs]],"&gt;=8",tbl_task8[[SubPLOs]:[SubPLOs]],"&lt;9")</f>
        <v>0</v>
      </c>
      <c r="CN41" s="138">
        <f>SUMIFS(tbl_task8[S87],tbl_task8[[SubPLOs]:[SubPLOs]],"&gt;=8",tbl_task8[[SubPLOs]:[SubPLOs]],"&lt;9")</f>
        <v>0</v>
      </c>
      <c r="CO41" s="138">
        <f>SUMIFS(tbl_task8[S88],tbl_task8[[SubPLOs]:[SubPLOs]],"&gt;=8",tbl_task8[[SubPLOs]:[SubPLOs]],"&lt;9")</f>
        <v>0</v>
      </c>
      <c r="CP41" s="138">
        <f>SUMIFS(tbl_task8[S89],tbl_task8[[SubPLOs]:[SubPLOs]],"&gt;=8",tbl_task8[[SubPLOs]:[SubPLOs]],"&lt;9")</f>
        <v>0</v>
      </c>
      <c r="CQ41" s="138">
        <f>SUMIFS(tbl_task8[S90],tbl_task8[[SubPLOs]:[SubPLOs]],"&gt;=8",tbl_task8[[SubPLOs]:[SubPLOs]],"&lt;9")</f>
        <v>0</v>
      </c>
      <c r="CR41" s="138">
        <f>SUMIFS(tbl_task8[S91],tbl_task8[[SubPLOs]:[SubPLOs]],"&gt;=8",tbl_task8[[SubPLOs]:[SubPLOs]],"&lt;9")</f>
        <v>0</v>
      </c>
      <c r="CS41" s="138">
        <f>SUMIFS(tbl_task8[S92],tbl_task8[[SubPLOs]:[SubPLOs]],"&gt;=8",tbl_task8[[SubPLOs]:[SubPLOs]],"&lt;9")</f>
        <v>0</v>
      </c>
      <c r="CT41" s="138">
        <f>SUMIFS(tbl_task8[S93],tbl_task8[[SubPLOs]:[SubPLOs]],"&gt;=8",tbl_task8[[SubPLOs]:[SubPLOs]],"&lt;9")</f>
        <v>0</v>
      </c>
      <c r="CU41" s="138">
        <f>SUMIFS(tbl_task8[S94],tbl_task8[[SubPLOs]:[SubPLOs]],"&gt;=8",tbl_task8[[SubPLOs]:[SubPLOs]],"&lt;9")</f>
        <v>0</v>
      </c>
      <c r="CV41" s="138">
        <f>SUMIFS(tbl_task8[S95],tbl_task8[[SubPLOs]:[SubPLOs]],"&gt;=8",tbl_task8[[SubPLOs]:[SubPLOs]],"&lt;9")</f>
        <v>0</v>
      </c>
      <c r="CW41" s="138">
        <f>SUMIFS(tbl_task8[S96],tbl_task8[[SubPLOs]:[SubPLOs]],"&gt;=8",tbl_task8[[SubPLOs]:[SubPLOs]],"&lt;9")</f>
        <v>0</v>
      </c>
      <c r="CX41" s="138">
        <f>SUMIFS(tbl_task8[S97],tbl_task8[[SubPLOs]:[SubPLOs]],"&gt;=8",tbl_task8[[SubPLOs]:[SubPLOs]],"&lt;9")</f>
        <v>0</v>
      </c>
      <c r="CY41" s="138">
        <f>SUMIFS(tbl_task8[S98],tbl_task8[[SubPLOs]:[SubPLOs]],"&gt;=8",tbl_task8[[SubPLOs]:[SubPLOs]],"&lt;9")</f>
        <v>0</v>
      </c>
      <c r="CZ41" s="138">
        <f>SUMIFS(tbl_task8[S99],tbl_task8[[SubPLOs]:[SubPLOs]],"&gt;=8",tbl_task8[[SubPLOs]:[SubPLOs]],"&lt;9")</f>
        <v>0</v>
      </c>
      <c r="DA41" s="138">
        <f>SUMIFS(tbl_task8[S100],tbl_task8[[SubPLOs]:[SubPLOs]],"&gt;=8",tbl_task8[[SubPLOs]:[SubPLOs]],"&lt;9")</f>
        <v>0</v>
      </c>
      <c r="DB41" s="138">
        <f>SUMIFS(tbl_task8[S101],tbl_task8[[SubPLOs]:[SubPLOs]],"&gt;=8",tbl_task8[[SubPLOs]:[SubPLOs]],"&lt;9")</f>
        <v>0</v>
      </c>
      <c r="DC41" s="138">
        <f>SUMIFS(tbl_task8[S102],tbl_task8[[SubPLOs]:[SubPLOs]],"&gt;=8",tbl_task8[[SubPLOs]:[SubPLOs]],"&lt;9")</f>
        <v>0</v>
      </c>
      <c r="DD41" s="138">
        <f>SUMIFS(tbl_task8[S103],tbl_task8[[SubPLOs]:[SubPLOs]],"&gt;=8",tbl_task8[[SubPLOs]:[SubPLOs]],"&lt;9")</f>
        <v>0</v>
      </c>
      <c r="DE41" s="138">
        <f>SUMIFS(tbl_task8[S104],tbl_task8[[SubPLOs]:[SubPLOs]],"&gt;=8",tbl_task8[[SubPLOs]:[SubPLOs]],"&lt;9")</f>
        <v>0</v>
      </c>
      <c r="DF41" s="138">
        <f>SUMIFS(tbl_task8[S105],tbl_task8[[SubPLOs]:[SubPLOs]],"&gt;=8",tbl_task8[[SubPLOs]:[SubPLOs]],"&lt;9")</f>
        <v>0</v>
      </c>
      <c r="DG41" s="138">
        <f>SUMIFS(tbl_task8[S106],tbl_task8[[SubPLOs]:[SubPLOs]],"&gt;=8",tbl_task8[[SubPLOs]:[SubPLOs]],"&lt;9")</f>
        <v>0</v>
      </c>
      <c r="DH41" s="138">
        <f>SUMIFS(tbl_task8[S106],tbl_task8[[SubPLOs]:[SubPLOs]],"&gt;=8",tbl_task8[[SubPLOs]:[SubPLOs]],"&lt;9")</f>
        <v>0</v>
      </c>
      <c r="DI41" s="138">
        <f>SUMIFS(tbl_task8[S108],tbl_task8[[SubPLOs]:[SubPLOs]],"&gt;=8",tbl_task8[[SubPLOs]:[SubPLOs]],"&lt;9")</f>
        <v>0</v>
      </c>
      <c r="DJ41" s="138">
        <f>SUMIFS(tbl_task8[S109],tbl_task8[[SubPLOs]:[SubPLOs]],"&gt;=8",tbl_task8[[SubPLOs]:[SubPLOs]],"&lt;9")</f>
        <v>0</v>
      </c>
      <c r="DK41" s="138">
        <f>SUMIFS(tbl_task8[S110],tbl_task8[[SubPLOs]:[SubPLOs]],"&gt;=8",tbl_task8[[SubPLOs]:[SubPLOs]],"&lt;9")</f>
        <v>0</v>
      </c>
      <c r="DL41" s="138">
        <f>SUMIFS(tbl_task8[S111],tbl_task8[[SubPLOs]:[SubPLOs]],"&gt;=8",tbl_task8[[SubPLOs]:[SubPLOs]],"&lt;9")</f>
        <v>0</v>
      </c>
      <c r="DM41" s="138">
        <f>SUMIFS(tbl_task8[S112],tbl_task8[[SubPLOs]:[SubPLOs]],"&gt;=8",tbl_task8[[SubPLOs]:[SubPLOs]],"&lt;9")</f>
        <v>0</v>
      </c>
      <c r="DN41" s="138">
        <f>SUMIFS(tbl_task8[S113],tbl_task8[[SubPLOs]:[SubPLOs]],"&gt;=8",tbl_task8[[SubPLOs]:[SubPLOs]],"&lt;9")</f>
        <v>0</v>
      </c>
      <c r="DO41" s="138">
        <f>SUMIFS(tbl_task8[S114],tbl_task8[[SubPLOs]:[SubPLOs]],"&gt;=8",tbl_task8[[SubPLOs]:[SubPLOs]],"&lt;9")</f>
        <v>0</v>
      </c>
      <c r="DP41" s="138">
        <f>SUMIFS(tbl_task8[S115],tbl_task8[[SubPLOs]:[SubPLOs]],"&gt;=8",tbl_task8[[SubPLOs]:[SubPLOs]],"&lt;9")</f>
        <v>0</v>
      </c>
      <c r="DQ41" s="138">
        <f>SUMIFS(tbl_task8[S116],tbl_task8[[SubPLOs]:[SubPLOs]],"&gt;=8",tbl_task8[[SubPLOs]:[SubPLOs]],"&lt;9")</f>
        <v>0</v>
      </c>
      <c r="DR41" s="138">
        <f>SUMIFS(tbl_task8[S117],tbl_task8[[SubPLOs]:[SubPLOs]],"&gt;=8",tbl_task8[[SubPLOs]:[SubPLOs]],"&lt;9")</f>
        <v>0</v>
      </c>
      <c r="DS41" s="138">
        <f>SUMIFS(tbl_task8[S118],tbl_task8[[SubPLOs]:[SubPLOs]],"&gt;=8",tbl_task8[[SubPLOs]:[SubPLOs]],"&lt;9")</f>
        <v>0</v>
      </c>
      <c r="DT41" s="138">
        <f>SUMIFS(tbl_task8[S119],tbl_task8[[SubPLOs]:[SubPLOs]],"&gt;=8",tbl_task8[[SubPLOs]:[SubPLOs]],"&lt;9")</f>
        <v>0</v>
      </c>
      <c r="DU41" s="138">
        <f>SUMIFS(tbl_task8[S120],tbl_task8[[SubPLOs]:[SubPLOs]],"&gt;=8",tbl_task8[[SubPLOs]:[SubPLOs]],"&lt;9")</f>
        <v>0</v>
      </c>
      <c r="DV41" s="138">
        <f>SUMIFS(tbl_task8[S121],tbl_task8[[SubPLOs]:[SubPLOs]],"&gt;=8",tbl_task8[[SubPLOs]:[SubPLOs]],"&lt;9")</f>
        <v>0</v>
      </c>
      <c r="DW41" s="138">
        <f>SUMIFS(tbl_task8[S122],tbl_task8[[SubPLOs]:[SubPLOs]],"&gt;=8",tbl_task8[[SubPLOs]:[SubPLOs]],"&lt;9")</f>
        <v>0</v>
      </c>
      <c r="DX41" s="138">
        <f>SUMIFS(tbl_task8[S123],tbl_task8[[SubPLOs]:[SubPLOs]],"&gt;=8",tbl_task8[[SubPLOs]:[SubPLOs]],"&lt;9")</f>
        <v>0</v>
      </c>
      <c r="DY41" s="138">
        <f>SUMIFS(tbl_task8[S124],tbl_task8[[SubPLOs]:[SubPLOs]],"&gt;=8",tbl_task8[[SubPLOs]:[SubPLOs]],"&lt;9")</f>
        <v>0</v>
      </c>
      <c r="DZ41" s="138">
        <f>SUMIFS(tbl_task8[S125],tbl_task8[[SubPLOs]:[SubPLOs]],"&gt;=8",tbl_task8[[SubPLOs]:[SubPLOs]],"&lt;9")</f>
        <v>0</v>
      </c>
      <c r="EA41" s="138">
        <f>SUMIFS(tbl_task8[S126],tbl_task8[[SubPLOs]:[SubPLOs]],"&gt;=8",tbl_task8[[SubPLOs]:[SubPLOs]],"&lt;9")</f>
        <v>0</v>
      </c>
      <c r="EB41" s="138">
        <f>SUMIFS(tbl_task8[S127],tbl_task8[[SubPLOs]:[SubPLOs]],"&gt;=8",tbl_task8[[SubPLOs]:[SubPLOs]],"&lt;9")</f>
        <v>0</v>
      </c>
      <c r="EC41" s="138">
        <f>SUMIFS(tbl_task8[S128],tbl_task8[[SubPLOs]:[SubPLOs]],"&gt;=8",tbl_task8[[SubPLOs]:[SubPLOs]],"&lt;9")</f>
        <v>0</v>
      </c>
      <c r="ED41" s="138">
        <f>SUMIFS(tbl_task8[S129],tbl_task8[[SubPLOs]:[SubPLOs]],"&gt;=8",tbl_task8[[SubPLOs]:[SubPLOs]],"&lt;9")</f>
        <v>0</v>
      </c>
      <c r="EE41" s="138">
        <f>SUMIFS(tbl_task8[S130],tbl_task8[[SubPLOs]:[SubPLOs]],"&gt;=8",tbl_task8[[SubPLOs]:[SubPLOs]],"&lt;9")</f>
        <v>0</v>
      </c>
      <c r="EF41" s="138">
        <f>SUMIFS(tbl_task8[S131],tbl_task8[[SubPLOs]:[SubPLOs]],"&gt;=8",tbl_task8[[SubPLOs]:[SubPLOs]],"&lt;9")</f>
        <v>0</v>
      </c>
      <c r="EG41" s="138">
        <f>SUMIFS(tbl_task8[S132],tbl_task8[[SubPLOs]:[SubPLOs]],"&gt;=8",tbl_task8[[SubPLOs]:[SubPLOs]],"&lt;9")</f>
        <v>0</v>
      </c>
      <c r="EH41" s="138">
        <f>SUMIFS(tbl_task8[S133],tbl_task8[[SubPLOs]:[SubPLOs]],"&gt;=8",tbl_task8[[SubPLOs]:[SubPLOs]],"&lt;9")</f>
        <v>0</v>
      </c>
      <c r="EI41" s="138">
        <f>SUMIFS(tbl_task8[S134],tbl_task8[[SubPLOs]:[SubPLOs]],"&gt;=8",tbl_task8[[SubPLOs]:[SubPLOs]],"&lt;9")</f>
        <v>0</v>
      </c>
      <c r="EJ41" s="138">
        <f>SUMIFS(tbl_task8[S135],tbl_task8[[SubPLOs]:[SubPLOs]],"&gt;=8",tbl_task8[[SubPLOs]:[SubPLOs]],"&lt;9")</f>
        <v>0</v>
      </c>
      <c r="EK41" s="138">
        <f>SUMIFS(tbl_task8[S136],tbl_task8[[SubPLOs]:[SubPLOs]],"&gt;=8",tbl_task8[[SubPLOs]:[SubPLOs]],"&lt;9")</f>
        <v>0</v>
      </c>
      <c r="EL41" s="138">
        <f>SUMIFS(tbl_task8[S137],tbl_task8[[SubPLOs]:[SubPLOs]],"&gt;=8",tbl_task8[[SubPLOs]:[SubPLOs]],"&lt;9")</f>
        <v>0</v>
      </c>
      <c r="EM41" s="138">
        <f>SUMIFS(tbl_task8[S138],tbl_task8[[SubPLOs]:[SubPLOs]],"&gt;=8",tbl_task8[[SubPLOs]:[SubPLOs]],"&lt;9")</f>
        <v>0</v>
      </c>
      <c r="EN41" s="138">
        <f>SUMIFS(tbl_task8[S139],tbl_task8[[SubPLOs]:[SubPLOs]],"&gt;=8",tbl_task8[[SubPLOs]:[SubPLOs]],"&lt;9")</f>
        <v>0</v>
      </c>
      <c r="EO41" s="138">
        <f>SUMIFS(tbl_task8[S140],tbl_task8[[SubPLOs]:[SubPLOs]],"&gt;=8",tbl_task8[[SubPLOs]:[SubPLOs]],"&lt;9")</f>
        <v>0</v>
      </c>
      <c r="EP41" s="138">
        <f>SUMIFS(tbl_task8[S141],tbl_task8[[SubPLOs]:[SubPLOs]],"&gt;=8",tbl_task8[[SubPLOs]:[SubPLOs]],"&lt;9")</f>
        <v>0</v>
      </c>
      <c r="EQ41" s="138">
        <f>SUMIFS(tbl_task8[S142],tbl_task8[[SubPLOs]:[SubPLOs]],"&gt;=8",tbl_task8[[SubPLOs]:[SubPLOs]],"&lt;9")</f>
        <v>0</v>
      </c>
      <c r="ER41" s="138">
        <f>SUMIFS(tbl_task8[S143],tbl_task8[[SubPLOs]:[SubPLOs]],"&gt;=8",tbl_task8[[SubPLOs]:[SubPLOs]],"&lt;9")</f>
        <v>0</v>
      </c>
      <c r="ES41" s="138">
        <f>SUMIFS(tbl_task8[S144],tbl_task8[[SubPLOs]:[SubPLOs]],"&gt;=8",tbl_task8[[SubPLOs]:[SubPLOs]],"&lt;9")</f>
        <v>0</v>
      </c>
      <c r="ET41" s="138">
        <f>SUMIFS(tbl_task8[S145],tbl_task8[[SubPLOs]:[SubPLOs]],"&gt;=8",tbl_task8[[SubPLOs]:[SubPLOs]],"&lt;9")</f>
        <v>0</v>
      </c>
      <c r="EU41" s="138">
        <f>SUMIFS(tbl_task8[S146],tbl_task8[[SubPLOs]:[SubPLOs]],"&gt;=8",tbl_task8[[SubPLOs]:[SubPLOs]],"&lt;9")</f>
        <v>0</v>
      </c>
      <c r="EV41" s="138">
        <f>SUMIFS(tbl_task8[S147],tbl_task8[[SubPLOs]:[SubPLOs]],"&gt;=8",tbl_task8[[SubPLOs]:[SubPLOs]],"&lt;9")</f>
        <v>0</v>
      </c>
      <c r="EW41" s="138">
        <f>SUMIFS(tbl_task8[S148],tbl_task8[[SubPLOs]:[SubPLOs]],"&gt;=8",tbl_task8[[SubPLOs]:[SubPLOs]],"&lt;9")</f>
        <v>0</v>
      </c>
      <c r="EX41" s="138">
        <f>SUMIFS(tbl_task8[S149],tbl_task8[[SubPLOs]:[SubPLOs]],"&gt;=8",tbl_task8[[SubPLOs]:[SubPLOs]],"&lt;9")</f>
        <v>0</v>
      </c>
      <c r="EY41" s="138">
        <f>SUMIFS(tbl_task8[S150],tbl_task8[[SubPLOs]:[SubPLOs]],"&gt;=8",tbl_task8[[SubPLOs]:[SubPLOs]],"&lt;9")</f>
        <v>0</v>
      </c>
      <c r="EZ41" s="138">
        <f>SUMIFS(tbl_task8[S151],tbl_task8[[SubPLOs]:[SubPLOs]],"&gt;=8",tbl_task8[[SubPLOs]:[SubPLOs]],"&lt;9")</f>
        <v>0</v>
      </c>
      <c r="FA41" s="138">
        <f>SUMIFS(tbl_task8[S152],tbl_task8[[SubPLOs]:[SubPLOs]],"&gt;=8",tbl_task8[[SubPLOs]:[SubPLOs]],"&lt;9")</f>
        <v>0</v>
      </c>
      <c r="FB41" s="138">
        <f>SUMIFS(tbl_task8[S153],tbl_task8[[SubPLOs]:[SubPLOs]],"&gt;=8",tbl_task8[[SubPLOs]:[SubPLOs]],"&lt;9")</f>
        <v>0</v>
      </c>
      <c r="FC41" s="138">
        <f>SUMIFS(tbl_task8[S154],tbl_task8[[SubPLOs]:[SubPLOs]],"&gt;=8",tbl_task8[[SubPLOs]:[SubPLOs]],"&lt;9")</f>
        <v>0</v>
      </c>
      <c r="FD41" s="138">
        <f>SUMIFS(tbl_task8[S155],tbl_task8[[SubPLOs]:[SubPLOs]],"&gt;=8",tbl_task8[[SubPLOs]:[SubPLOs]],"&lt;9")</f>
        <v>0</v>
      </c>
      <c r="FE41" s="138">
        <f>SUMIFS(tbl_task8[S156],tbl_task8[[SubPLOs]:[SubPLOs]],"&gt;=8",tbl_task8[[SubPLOs]:[SubPLOs]],"&lt;9")</f>
        <v>0</v>
      </c>
      <c r="FF41" s="138">
        <f>SUMIFS(tbl_task8[S157],tbl_task8[[SubPLOs]:[SubPLOs]],"&gt;=8",tbl_task8[[SubPLOs]:[SubPLOs]],"&lt;9")</f>
        <v>0</v>
      </c>
      <c r="FG41" s="138">
        <f>SUMIFS(tbl_task8[S158],tbl_task8[[SubPLOs]:[SubPLOs]],"&gt;=8",tbl_task8[[SubPLOs]:[SubPLOs]],"&lt;9")</f>
        <v>0</v>
      </c>
      <c r="FH41" s="138">
        <f>SUMIFS(tbl_task8[S159],tbl_task8[[SubPLOs]:[SubPLOs]],"&gt;=8",tbl_task8[[SubPLOs]:[SubPLOs]],"&lt;9")</f>
        <v>0</v>
      </c>
      <c r="FI41" s="138">
        <f>SUMIFS(tbl_task8[S160],tbl_task8[[SubPLOs]:[SubPLOs]],"&gt;=8",tbl_task8[[SubPLOs]:[SubPLOs]],"&lt;9")</f>
        <v>0</v>
      </c>
      <c r="FJ41" s="138">
        <f>SUMIFS(tbl_task8[S161],tbl_task8[[SubPLOs]:[SubPLOs]],"&gt;=8",tbl_task8[[SubPLOs]:[SubPLOs]],"&lt;9")</f>
        <v>0</v>
      </c>
      <c r="FK41" s="138">
        <f>SUMIFS(tbl_task8[S162],tbl_task8[[SubPLOs]:[SubPLOs]],"&gt;=8",tbl_task8[[SubPLOs]:[SubPLOs]],"&lt;9")</f>
        <v>0</v>
      </c>
      <c r="FL41" s="138">
        <f>SUMIFS(tbl_task8[S163],tbl_task8[[SubPLOs]:[SubPLOs]],"&gt;=8",tbl_task8[[SubPLOs]:[SubPLOs]],"&lt;9")</f>
        <v>0</v>
      </c>
      <c r="FM41" s="138">
        <f>SUMIFS(tbl_task8[S164],tbl_task8[[SubPLOs]:[SubPLOs]],"&gt;=8",tbl_task8[[SubPLOs]:[SubPLOs]],"&lt;9")</f>
        <v>0</v>
      </c>
      <c r="FN41" s="138">
        <f>SUMIFS(tbl_task8[S165],tbl_task8[[SubPLOs]:[SubPLOs]],"&gt;=8",tbl_task8[[SubPLOs]:[SubPLOs]],"&lt;9")</f>
        <v>0</v>
      </c>
    </row>
    <row r="42" spans="1:170" ht="63" x14ac:dyDescent="0.25">
      <c r="A42" s="135">
        <v>9</v>
      </c>
      <c r="B42" s="5" t="s">
        <v>442</v>
      </c>
      <c r="C42" s="136">
        <f>COUNTIFS(tbl_task8[SubPLOs],"&gt;=9",tbl_task8[SubPLOs],"&lt;10")</f>
        <v>0</v>
      </c>
      <c r="D42" s="136">
        <f>SUMIFS(tbl_task8[คะแนนเต็ม],tbl_task8[SubPLOs],"&gt;=9",tbl_task8[SubPLOs],"&lt;10")</f>
        <v>0</v>
      </c>
      <c r="E42" s="137">
        <f>SUMIFS(tbl_task8[%],tbl_task8[SubPLOs],"&gt;=9",tbl_task8[SubPLOs],"&lt;10")</f>
        <v>0</v>
      </c>
      <c r="F42" s="138">
        <f>SUMIFS(tbl_task8[S1],tbl_task8[[SubPLOs]:[SubPLOs]],"&gt;=9",tbl_task8[[SubPLOs]:[SubPLOs]],"&lt;10")</f>
        <v>0</v>
      </c>
      <c r="G42" s="138">
        <f>SUMIFS(tbl_task8[S2],tbl_task8[[SubPLOs]:[SubPLOs]],"&gt;=9",tbl_task8[[SubPLOs]:[SubPLOs]],"&lt;10")</f>
        <v>0</v>
      </c>
      <c r="H42" s="138">
        <f>SUMIFS(tbl_task8[S3],tbl_task8[[SubPLOs]:[SubPLOs]],"&gt;=9",tbl_task8[[SubPLOs]:[SubPLOs]],"&lt;10")</f>
        <v>0</v>
      </c>
      <c r="I42" s="138">
        <f>SUMIFS(tbl_task8[S4],tbl_task8[[SubPLOs]:[SubPLOs]],"&gt;=9",tbl_task8[[SubPLOs]:[SubPLOs]],"&lt;10")</f>
        <v>0</v>
      </c>
      <c r="J42" s="138">
        <f>SUMIFS(tbl_task8[S5],tbl_task8[[SubPLOs]:[SubPLOs]],"&gt;=9",tbl_task8[[SubPLOs]:[SubPLOs]],"&lt;10")</f>
        <v>0</v>
      </c>
      <c r="K42" s="138">
        <f>SUMIFS(tbl_task8[S6],tbl_task8[[SubPLOs]:[SubPLOs]],"&gt;=9",tbl_task8[[SubPLOs]:[SubPLOs]],"&lt;10")</f>
        <v>0</v>
      </c>
      <c r="L42" s="138">
        <f>SUMIFS(tbl_task8[S7],tbl_task8[[SubPLOs]:[SubPLOs]],"&gt;=9",tbl_task8[[SubPLOs]:[SubPLOs]],"&lt;10")</f>
        <v>0</v>
      </c>
      <c r="M42" s="138">
        <f>SUMIFS(tbl_task8[S8],tbl_task8[[SubPLOs]:[SubPLOs]],"&gt;=9",tbl_task8[[SubPLOs]:[SubPLOs]],"&lt;10")</f>
        <v>0</v>
      </c>
      <c r="N42" s="138">
        <f>SUMIFS(tbl_task8[S9],tbl_task8[[SubPLOs]:[SubPLOs]],"&gt;=9",tbl_task8[[SubPLOs]:[SubPLOs]],"&lt;10")</f>
        <v>0</v>
      </c>
      <c r="O42" s="138">
        <f>SUMIFS(tbl_task8[S10],tbl_task8[[SubPLOs]:[SubPLOs]],"&gt;=9",tbl_task8[[SubPLOs]:[SubPLOs]],"&lt;10")</f>
        <v>0</v>
      </c>
      <c r="P42" s="138">
        <f>SUMIFS(tbl_task8[S11],tbl_task8[[SubPLOs]:[SubPLOs]],"&gt;=9",tbl_task8[[SubPLOs]:[SubPLOs]],"&lt;10")</f>
        <v>0</v>
      </c>
      <c r="Q42" s="138">
        <f>SUMIFS(tbl_task8[S12],tbl_task8[[SubPLOs]:[SubPLOs]],"&gt;=9",tbl_task8[[SubPLOs]:[SubPLOs]],"&lt;10")</f>
        <v>0</v>
      </c>
      <c r="R42" s="138">
        <f>SUMIFS(tbl_task8[S13],tbl_task8[[SubPLOs]:[SubPLOs]],"&gt;=9",tbl_task8[[SubPLOs]:[SubPLOs]],"&lt;10")</f>
        <v>0</v>
      </c>
      <c r="S42" s="138">
        <f>SUMIFS(tbl_task8[S14],tbl_task8[[SubPLOs]:[SubPLOs]],"&gt;=9",tbl_task8[[SubPLOs]:[SubPLOs]],"&lt;10")</f>
        <v>0</v>
      </c>
      <c r="T42" s="138">
        <f>SUMIFS(tbl_task8[S15],tbl_task8[[SubPLOs]:[SubPLOs]],"&gt;=9",tbl_task8[[SubPLOs]:[SubPLOs]],"&lt;10")</f>
        <v>0</v>
      </c>
      <c r="U42" s="138">
        <f>SUMIFS(tbl_task8[S16],tbl_task8[[SubPLOs]:[SubPLOs]],"&gt;=9",tbl_task8[[SubPLOs]:[SubPLOs]],"&lt;10")</f>
        <v>0</v>
      </c>
      <c r="V42" s="138">
        <f>SUMIFS(tbl_task8[S17],tbl_task8[[SubPLOs]:[SubPLOs]],"&gt;=9",tbl_task8[[SubPLOs]:[SubPLOs]],"&lt;10")</f>
        <v>0</v>
      </c>
      <c r="W42" s="138">
        <f>SUMIFS(tbl_task8[S18],tbl_task8[[SubPLOs]:[SubPLOs]],"&gt;=9",tbl_task8[[SubPLOs]:[SubPLOs]],"&lt;10")</f>
        <v>0</v>
      </c>
      <c r="X42" s="138">
        <f>SUMIFS(tbl_task8[S19],tbl_task8[[SubPLOs]:[SubPLOs]],"&gt;=9",tbl_task8[[SubPLOs]:[SubPLOs]],"&lt;10")</f>
        <v>0</v>
      </c>
      <c r="Y42" s="138">
        <f>SUMIFS(tbl_task8[S20],tbl_task8[[SubPLOs]:[SubPLOs]],"&gt;=9",tbl_task8[[SubPLOs]:[SubPLOs]],"&lt;10")</f>
        <v>0</v>
      </c>
      <c r="Z42" s="138">
        <f>SUMIFS(tbl_task8[S21],tbl_task8[[SubPLOs]:[SubPLOs]],"&gt;=9",tbl_task8[[SubPLOs]:[SubPLOs]],"&lt;10")</f>
        <v>0</v>
      </c>
      <c r="AA42" s="138">
        <f>SUMIFS(tbl_task8[S22],tbl_task8[[SubPLOs]:[SubPLOs]],"&gt;=9",tbl_task8[[SubPLOs]:[SubPLOs]],"&lt;10")</f>
        <v>0</v>
      </c>
      <c r="AB42" s="138">
        <f>SUMIFS(tbl_task8[S23],tbl_task8[[SubPLOs]:[SubPLOs]],"&gt;=9",tbl_task8[[SubPLOs]:[SubPLOs]],"&lt;10")</f>
        <v>0</v>
      </c>
      <c r="AC42" s="138">
        <f>SUMIFS(tbl_task8[S24],tbl_task8[[SubPLOs]:[SubPLOs]],"&gt;=9",tbl_task8[[SubPLOs]:[SubPLOs]],"&lt;10")</f>
        <v>0</v>
      </c>
      <c r="AD42" s="138">
        <f>SUMIFS(tbl_task8[S25],tbl_task8[[SubPLOs]:[SubPLOs]],"&gt;=9",tbl_task8[[SubPLOs]:[SubPLOs]],"&lt;10")</f>
        <v>0</v>
      </c>
      <c r="AE42" s="138">
        <f>SUMIFS(tbl_task8[S26],tbl_task8[[SubPLOs]:[SubPLOs]],"&gt;=9",tbl_task8[[SubPLOs]:[SubPLOs]],"&lt;10")</f>
        <v>0</v>
      </c>
      <c r="AF42" s="138">
        <f>SUMIFS(tbl_task8[S27],tbl_task8[[SubPLOs]:[SubPLOs]],"&gt;=9",tbl_task8[[SubPLOs]:[SubPLOs]],"&lt;10")</f>
        <v>0</v>
      </c>
      <c r="AG42" s="138">
        <f>SUMIFS(tbl_task8[S28],tbl_task8[[SubPLOs]:[SubPLOs]],"&gt;=9",tbl_task8[[SubPLOs]:[SubPLOs]],"&lt;10")</f>
        <v>0</v>
      </c>
      <c r="AH42" s="138">
        <f>SUMIFS(tbl_task8[S29],tbl_task8[[SubPLOs]:[SubPLOs]],"&gt;=9",tbl_task8[[SubPLOs]:[SubPLOs]],"&lt;10")</f>
        <v>0</v>
      </c>
      <c r="AI42" s="138">
        <f>SUMIFS(tbl_task8[S30],tbl_task8[[SubPLOs]:[SubPLOs]],"&gt;=9",tbl_task8[[SubPLOs]:[SubPLOs]],"&lt;10")</f>
        <v>0</v>
      </c>
      <c r="AJ42" s="138">
        <f>SUMIFS(tbl_task8[S31],tbl_task8[[SubPLOs]:[SubPLOs]],"&gt;=9",tbl_task8[[SubPLOs]:[SubPLOs]],"&lt;10")</f>
        <v>0</v>
      </c>
      <c r="AK42" s="138">
        <f>SUMIFS(tbl_task8[S32],tbl_task8[[SubPLOs]:[SubPLOs]],"&gt;=9",tbl_task8[[SubPLOs]:[SubPLOs]],"&lt;10")</f>
        <v>0</v>
      </c>
      <c r="AL42" s="138">
        <f>SUMIFS(tbl_task8[S33],tbl_task8[[SubPLOs]:[SubPLOs]],"&gt;=9",tbl_task8[[SubPLOs]:[SubPLOs]],"&lt;10")</f>
        <v>0</v>
      </c>
      <c r="AM42" s="138">
        <f>SUMIFS(tbl_task8[S34],tbl_task8[[SubPLOs]:[SubPLOs]],"&gt;=9",tbl_task8[[SubPLOs]:[SubPLOs]],"&lt;10")</f>
        <v>0</v>
      </c>
      <c r="AN42" s="138">
        <f>SUMIFS(tbl_task8[S35],tbl_task8[[SubPLOs]:[SubPLOs]],"&gt;=9",tbl_task8[[SubPLOs]:[SubPLOs]],"&lt;10")</f>
        <v>0</v>
      </c>
      <c r="AO42" s="138">
        <f>SUMIFS(tbl_task8[S36],tbl_task8[[SubPLOs]:[SubPLOs]],"&gt;=9",tbl_task8[[SubPLOs]:[SubPLOs]],"&lt;10")</f>
        <v>0</v>
      </c>
      <c r="AP42" s="138">
        <f>SUMIFS(tbl_task8[S37],tbl_task8[[SubPLOs]:[SubPLOs]],"&gt;=9",tbl_task8[[SubPLOs]:[SubPLOs]],"&lt;10")</f>
        <v>0</v>
      </c>
      <c r="AQ42" s="138">
        <f>SUMIFS(tbl_task8[S38],tbl_task8[[SubPLOs]:[SubPLOs]],"&gt;=9",tbl_task8[[SubPLOs]:[SubPLOs]],"&lt;10")</f>
        <v>0</v>
      </c>
      <c r="AR42" s="138">
        <f>SUMIFS(tbl_task8[S39],tbl_task8[[SubPLOs]:[SubPLOs]],"&gt;=9",tbl_task8[[SubPLOs]:[SubPLOs]],"&lt;10")</f>
        <v>0</v>
      </c>
      <c r="AS42" s="138">
        <f>SUMIFS(tbl_task8[S40],tbl_task8[[SubPLOs]:[SubPLOs]],"&gt;=9",tbl_task8[[SubPLOs]:[SubPLOs]],"&lt;10")</f>
        <v>0</v>
      </c>
      <c r="AT42" s="138">
        <f>SUMIFS(tbl_task8[S41],tbl_task8[[SubPLOs]:[SubPLOs]],"&gt;=9",tbl_task8[[SubPLOs]:[SubPLOs]],"&lt;10")</f>
        <v>0</v>
      </c>
      <c r="AU42" s="138">
        <f>SUMIFS(tbl_task8[S42],tbl_task8[[SubPLOs]:[SubPLOs]],"&gt;=9",tbl_task8[[SubPLOs]:[SubPLOs]],"&lt;10")</f>
        <v>0</v>
      </c>
      <c r="AV42" s="138">
        <f>SUMIFS(tbl_task8[S43],tbl_task8[[SubPLOs]:[SubPLOs]],"&gt;=9",tbl_task8[[SubPLOs]:[SubPLOs]],"&lt;10")</f>
        <v>0</v>
      </c>
      <c r="AW42" s="138">
        <f>SUMIFS(tbl_task8[S44],tbl_task8[[SubPLOs]:[SubPLOs]],"&gt;=9",tbl_task8[[SubPLOs]:[SubPLOs]],"&lt;10")</f>
        <v>0</v>
      </c>
      <c r="AX42" s="138">
        <f>SUMIFS(tbl_task8[S45],tbl_task8[[SubPLOs]:[SubPLOs]],"&gt;=9",tbl_task8[[SubPLOs]:[SubPLOs]],"&lt;10")</f>
        <v>0</v>
      </c>
      <c r="AY42" s="138">
        <f>SUMIFS(tbl_task8[S46],tbl_task8[[SubPLOs]:[SubPLOs]],"&gt;=9",tbl_task8[[SubPLOs]:[SubPLOs]],"&lt;10")</f>
        <v>0</v>
      </c>
      <c r="AZ42" s="138">
        <f>SUMIFS(tbl_task8[S47],tbl_task8[[SubPLOs]:[SubPLOs]],"&gt;=9",tbl_task8[[SubPLOs]:[SubPLOs]],"&lt;10")</f>
        <v>0</v>
      </c>
      <c r="BA42" s="138">
        <f>SUMIFS(tbl_task8[S48],tbl_task8[[SubPLOs]:[SubPLOs]],"&gt;=9",tbl_task8[[SubPLOs]:[SubPLOs]],"&lt;10")</f>
        <v>0</v>
      </c>
      <c r="BB42" s="138">
        <f>SUMIFS(tbl_task8[S49],tbl_task8[[SubPLOs]:[SubPLOs]],"&gt;=9",tbl_task8[[SubPLOs]:[SubPLOs]],"&lt;10")</f>
        <v>0</v>
      </c>
      <c r="BC42" s="138">
        <f>SUMIFS(tbl_task8[S50],tbl_task8[[SubPLOs]:[SubPLOs]],"&gt;=9",tbl_task8[[SubPLOs]:[SubPLOs]],"&lt;10")</f>
        <v>0</v>
      </c>
      <c r="BD42" s="138">
        <f>SUMIFS(tbl_task8[S51],tbl_task8[[SubPLOs]:[SubPLOs]],"&gt;=9",tbl_task8[[SubPLOs]:[SubPLOs]],"&lt;10")</f>
        <v>0</v>
      </c>
      <c r="BE42" s="138">
        <f>SUMIFS(tbl_task8[S52],tbl_task8[[SubPLOs]:[SubPLOs]],"&gt;=9",tbl_task8[[SubPLOs]:[SubPLOs]],"&lt;10")</f>
        <v>0</v>
      </c>
      <c r="BF42" s="138">
        <f>SUMIFS(tbl_task8[S53],tbl_task8[[SubPLOs]:[SubPLOs]],"&gt;=9",tbl_task8[[SubPLOs]:[SubPLOs]],"&lt;10")</f>
        <v>0</v>
      </c>
      <c r="BG42" s="138">
        <f>SUMIFS(tbl_task8[S54],tbl_task8[[SubPLOs]:[SubPLOs]],"&gt;=9",tbl_task8[[SubPLOs]:[SubPLOs]],"&lt;10")</f>
        <v>0</v>
      </c>
      <c r="BH42" s="138">
        <f>SUMIFS(tbl_task8[S55],tbl_task8[[SubPLOs]:[SubPLOs]],"&gt;=9",tbl_task8[[SubPLOs]:[SubPLOs]],"&lt;10")</f>
        <v>0</v>
      </c>
      <c r="BI42" s="138">
        <f>SUMIFS(tbl_task8[S56],tbl_task8[[SubPLOs]:[SubPLOs]],"&gt;=9",tbl_task8[[SubPLOs]:[SubPLOs]],"&lt;10")</f>
        <v>0</v>
      </c>
      <c r="BJ42" s="138">
        <f>SUMIFS(tbl_task8[S57],tbl_task8[[SubPLOs]:[SubPLOs]],"&gt;=9",tbl_task8[[SubPLOs]:[SubPLOs]],"&lt;10")</f>
        <v>0</v>
      </c>
      <c r="BK42" s="138">
        <f>SUMIFS(tbl_task8[S58],tbl_task8[[SubPLOs]:[SubPLOs]],"&gt;=9",tbl_task8[[SubPLOs]:[SubPLOs]],"&lt;10")</f>
        <v>0</v>
      </c>
      <c r="BL42" s="138">
        <f>SUMIFS(tbl_task8[S59],tbl_task8[[SubPLOs]:[SubPLOs]],"&gt;=9",tbl_task8[[SubPLOs]:[SubPLOs]],"&lt;10")</f>
        <v>0</v>
      </c>
      <c r="BM42" s="138">
        <f>SUMIFS(tbl_task8[S60],tbl_task8[[SubPLOs]:[SubPLOs]],"&gt;=9",tbl_task8[[SubPLOs]:[SubPLOs]],"&lt;10")</f>
        <v>0</v>
      </c>
      <c r="BN42" s="138">
        <f>SUMIFS(tbl_task8[S61],tbl_task8[[SubPLOs]:[SubPLOs]],"&gt;=9",tbl_task8[[SubPLOs]:[SubPLOs]],"&lt;10")</f>
        <v>0</v>
      </c>
      <c r="BO42" s="138">
        <f>SUMIFS(tbl_task8[S62],tbl_task8[[SubPLOs]:[SubPLOs]],"&gt;=9",tbl_task8[[SubPLOs]:[SubPLOs]],"&lt;10")</f>
        <v>0</v>
      </c>
      <c r="BP42" s="138">
        <f>SUMIFS(tbl_task8[S63],tbl_task8[[SubPLOs]:[SubPLOs]],"&gt;=9",tbl_task8[[SubPLOs]:[SubPLOs]],"&lt;10")</f>
        <v>0</v>
      </c>
      <c r="BQ42" s="138">
        <f>SUMIFS(tbl_task8[S64],tbl_task8[[SubPLOs]:[SubPLOs]],"&gt;=9",tbl_task8[[SubPLOs]:[SubPLOs]],"&lt;10")</f>
        <v>0</v>
      </c>
      <c r="BR42" s="138">
        <f>SUMIFS(tbl_task8[S65],tbl_task8[[SubPLOs]:[SubPLOs]],"&gt;=9",tbl_task8[[SubPLOs]:[SubPLOs]],"&lt;10")</f>
        <v>0</v>
      </c>
      <c r="BS42" s="138">
        <f>SUMIFS(tbl_task8[S66],tbl_task8[[SubPLOs]:[SubPLOs]],"&gt;=9",tbl_task8[[SubPLOs]:[SubPLOs]],"&lt;10")</f>
        <v>0</v>
      </c>
      <c r="BT42" s="138">
        <f>SUMIFS(tbl_task8[S67],tbl_task8[[SubPLOs]:[SubPLOs]],"&gt;=9",tbl_task8[[SubPLOs]:[SubPLOs]],"&lt;10")</f>
        <v>0</v>
      </c>
      <c r="BU42" s="138">
        <f>SUMIFS(tbl_task8[S68],tbl_task8[[SubPLOs]:[SubPLOs]],"&gt;=9",tbl_task8[[SubPLOs]:[SubPLOs]],"&lt;10")</f>
        <v>0</v>
      </c>
      <c r="BV42" s="138">
        <f>SUMIFS(tbl_task8[S69],tbl_task8[[SubPLOs]:[SubPLOs]],"&gt;=9",tbl_task8[[SubPLOs]:[SubPLOs]],"&lt;10")</f>
        <v>0</v>
      </c>
      <c r="BW42" s="138">
        <f>SUMIFS(tbl_task8[S70],tbl_task8[[SubPLOs]:[SubPLOs]],"&gt;=9",tbl_task8[[SubPLOs]:[SubPLOs]],"&lt;10")</f>
        <v>0</v>
      </c>
      <c r="BX42" s="138">
        <f>SUMIFS(tbl_task8[S71],tbl_task8[[SubPLOs]:[SubPLOs]],"&gt;=9",tbl_task8[[SubPLOs]:[SubPLOs]],"&lt;10")</f>
        <v>0</v>
      </c>
      <c r="BY42" s="138">
        <f>SUMIFS(tbl_task8[S72],tbl_task8[[SubPLOs]:[SubPLOs]],"&gt;=9",tbl_task8[[SubPLOs]:[SubPLOs]],"&lt;10")</f>
        <v>0</v>
      </c>
      <c r="BZ42" s="138">
        <f>SUMIFS(tbl_task8[S73],tbl_task8[[SubPLOs]:[SubPLOs]],"&gt;=9",tbl_task8[[SubPLOs]:[SubPLOs]],"&lt;10")</f>
        <v>0</v>
      </c>
      <c r="CA42" s="138">
        <f>SUMIFS(tbl_task8[S74],tbl_task8[[SubPLOs]:[SubPLOs]],"&gt;=9",tbl_task8[[SubPLOs]:[SubPLOs]],"&lt;10")</f>
        <v>0</v>
      </c>
      <c r="CB42" s="138">
        <f>SUMIFS(tbl_task8[S75],tbl_task8[[SubPLOs]:[SubPLOs]],"&gt;=9",tbl_task8[[SubPLOs]:[SubPLOs]],"&lt;10")</f>
        <v>0</v>
      </c>
      <c r="CC42" s="138">
        <f>SUMIFS(tbl_task8[S76],tbl_task8[[SubPLOs]:[SubPLOs]],"&gt;=9",tbl_task8[[SubPLOs]:[SubPLOs]],"&lt;10")</f>
        <v>0</v>
      </c>
      <c r="CD42" s="138">
        <f>SUMIFS(tbl_task8[S77],tbl_task8[[SubPLOs]:[SubPLOs]],"&gt;=9",tbl_task8[[SubPLOs]:[SubPLOs]],"&lt;10")</f>
        <v>0</v>
      </c>
      <c r="CE42" s="138">
        <f>SUMIFS(tbl_task8[S78],tbl_task8[[SubPLOs]:[SubPLOs]],"&gt;=9",tbl_task8[[SubPLOs]:[SubPLOs]],"&lt;10")</f>
        <v>0</v>
      </c>
      <c r="CF42" s="138">
        <f>SUMIFS(tbl_task8[S79],tbl_task8[[SubPLOs]:[SubPLOs]],"&gt;=9",tbl_task8[[SubPLOs]:[SubPLOs]],"&lt;10")</f>
        <v>0</v>
      </c>
      <c r="CG42" s="138">
        <f>SUMIFS(tbl_task8[S80],tbl_task8[[SubPLOs]:[SubPLOs]],"&gt;=9",tbl_task8[[SubPLOs]:[SubPLOs]],"&lt;10")</f>
        <v>0</v>
      </c>
      <c r="CH42" s="138">
        <f>SUMIFS(tbl_task8[S81],tbl_task8[[SubPLOs]:[SubPLOs]],"&gt;=9",tbl_task8[[SubPLOs]:[SubPLOs]],"&lt;10")</f>
        <v>0</v>
      </c>
      <c r="CI42" s="138">
        <f>SUMIFS(tbl_task8[S82],tbl_task8[[SubPLOs]:[SubPLOs]],"&gt;=9",tbl_task8[[SubPLOs]:[SubPLOs]],"&lt;10")</f>
        <v>0</v>
      </c>
      <c r="CJ42" s="138">
        <f>SUMIFS(tbl_task8[S83],tbl_task8[[SubPLOs]:[SubPLOs]],"&gt;=9",tbl_task8[[SubPLOs]:[SubPLOs]],"&lt;10")</f>
        <v>0</v>
      </c>
      <c r="CK42" s="138">
        <f>SUMIFS(tbl_task8[S84],tbl_task8[[SubPLOs]:[SubPLOs]],"&gt;=9",tbl_task8[[SubPLOs]:[SubPLOs]],"&lt;10")</f>
        <v>0</v>
      </c>
      <c r="CL42" s="138">
        <f>SUMIFS(tbl_task8[S85],tbl_task8[[SubPLOs]:[SubPLOs]],"&gt;=9",tbl_task8[[SubPLOs]:[SubPLOs]],"&lt;10")</f>
        <v>0</v>
      </c>
      <c r="CM42" s="138">
        <f>SUMIFS(tbl_task8[S86],tbl_task8[[SubPLOs]:[SubPLOs]],"&gt;=9",tbl_task8[[SubPLOs]:[SubPLOs]],"&lt;10")</f>
        <v>0</v>
      </c>
      <c r="CN42" s="138">
        <f>SUMIFS(tbl_task8[S87],tbl_task8[[SubPLOs]:[SubPLOs]],"&gt;=9",tbl_task8[[SubPLOs]:[SubPLOs]],"&lt;10")</f>
        <v>0</v>
      </c>
      <c r="CO42" s="138">
        <f>SUMIFS(tbl_task8[S88],tbl_task8[[SubPLOs]:[SubPLOs]],"&gt;=9",tbl_task8[[SubPLOs]:[SubPLOs]],"&lt;10")</f>
        <v>0</v>
      </c>
      <c r="CP42" s="138">
        <f>SUMIFS(tbl_task8[S89],tbl_task8[[SubPLOs]:[SubPLOs]],"&gt;=9",tbl_task8[[SubPLOs]:[SubPLOs]],"&lt;10")</f>
        <v>0</v>
      </c>
      <c r="CQ42" s="138">
        <f>SUMIFS(tbl_task8[S90],tbl_task8[[SubPLOs]:[SubPLOs]],"&gt;=9",tbl_task8[[SubPLOs]:[SubPLOs]],"&lt;10")</f>
        <v>0</v>
      </c>
      <c r="CR42" s="138">
        <f>SUMIFS(tbl_task8[S91],tbl_task8[[SubPLOs]:[SubPLOs]],"&gt;=9",tbl_task8[[SubPLOs]:[SubPLOs]],"&lt;10")</f>
        <v>0</v>
      </c>
      <c r="CS42" s="138">
        <f>SUMIFS(tbl_task8[S92],tbl_task8[[SubPLOs]:[SubPLOs]],"&gt;=9",tbl_task8[[SubPLOs]:[SubPLOs]],"&lt;10")</f>
        <v>0</v>
      </c>
      <c r="CT42" s="138">
        <f>SUMIFS(tbl_task8[S93],tbl_task8[[SubPLOs]:[SubPLOs]],"&gt;=9",tbl_task8[[SubPLOs]:[SubPLOs]],"&lt;10")</f>
        <v>0</v>
      </c>
      <c r="CU42" s="138">
        <f>SUMIFS(tbl_task8[S94],tbl_task8[[SubPLOs]:[SubPLOs]],"&gt;=9",tbl_task8[[SubPLOs]:[SubPLOs]],"&lt;10")</f>
        <v>0</v>
      </c>
      <c r="CV42" s="138">
        <f>SUMIFS(tbl_task8[S95],tbl_task8[[SubPLOs]:[SubPLOs]],"&gt;=9",tbl_task8[[SubPLOs]:[SubPLOs]],"&lt;10")</f>
        <v>0</v>
      </c>
      <c r="CW42" s="138">
        <f>SUMIFS(tbl_task8[S96],tbl_task8[[SubPLOs]:[SubPLOs]],"&gt;=9",tbl_task8[[SubPLOs]:[SubPLOs]],"&lt;10")</f>
        <v>0</v>
      </c>
      <c r="CX42" s="138">
        <f>SUMIFS(tbl_task8[S97],tbl_task8[[SubPLOs]:[SubPLOs]],"&gt;=9",tbl_task8[[SubPLOs]:[SubPLOs]],"&lt;10")</f>
        <v>0</v>
      </c>
      <c r="CY42" s="138">
        <f>SUMIFS(tbl_task8[S98],tbl_task8[[SubPLOs]:[SubPLOs]],"&gt;=9",tbl_task8[[SubPLOs]:[SubPLOs]],"&lt;10")</f>
        <v>0</v>
      </c>
      <c r="CZ42" s="138">
        <f>SUMIFS(tbl_task8[S99],tbl_task8[[SubPLOs]:[SubPLOs]],"&gt;=9",tbl_task8[[SubPLOs]:[SubPLOs]],"&lt;10")</f>
        <v>0</v>
      </c>
      <c r="DA42" s="138">
        <f>SUMIFS(tbl_task8[S100],tbl_task8[[SubPLOs]:[SubPLOs]],"&gt;=9",tbl_task8[[SubPLOs]:[SubPLOs]],"&lt;10")</f>
        <v>0</v>
      </c>
      <c r="DB42" s="138">
        <f>SUMIFS(tbl_task8[S101],tbl_task8[[SubPLOs]:[SubPLOs]],"&gt;=9",tbl_task8[[SubPLOs]:[SubPLOs]],"&lt;10")</f>
        <v>0</v>
      </c>
      <c r="DC42" s="138">
        <f>SUMIFS(tbl_task8[S102],tbl_task8[[SubPLOs]:[SubPLOs]],"&gt;=9",tbl_task8[[SubPLOs]:[SubPLOs]],"&lt;10")</f>
        <v>0</v>
      </c>
      <c r="DD42" s="138">
        <f>SUMIFS(tbl_task8[S103],tbl_task8[[SubPLOs]:[SubPLOs]],"&gt;=9",tbl_task8[[SubPLOs]:[SubPLOs]],"&lt;10")</f>
        <v>0</v>
      </c>
      <c r="DE42" s="138">
        <f>SUMIFS(tbl_task8[S104],tbl_task8[[SubPLOs]:[SubPLOs]],"&gt;=9",tbl_task8[[SubPLOs]:[SubPLOs]],"&lt;10")</f>
        <v>0</v>
      </c>
      <c r="DF42" s="138">
        <f>SUMIFS(tbl_task8[S105],tbl_task8[[SubPLOs]:[SubPLOs]],"&gt;=9",tbl_task8[[SubPLOs]:[SubPLOs]],"&lt;10")</f>
        <v>0</v>
      </c>
      <c r="DG42" s="138">
        <f>SUMIFS(tbl_task8[S106],tbl_task8[[SubPLOs]:[SubPLOs]],"&gt;=9",tbl_task8[[SubPLOs]:[SubPLOs]],"&lt;10")</f>
        <v>0</v>
      </c>
      <c r="DH42" s="138">
        <f>SUMIFS(tbl_task8[S106],tbl_task8[[SubPLOs]:[SubPLOs]],"&gt;=9",tbl_task8[[SubPLOs]:[SubPLOs]],"&lt;10")</f>
        <v>0</v>
      </c>
      <c r="DI42" s="138">
        <f>SUMIFS(tbl_task8[S108],tbl_task8[[SubPLOs]:[SubPLOs]],"&gt;=9",tbl_task8[[SubPLOs]:[SubPLOs]],"&lt;10")</f>
        <v>0</v>
      </c>
      <c r="DJ42" s="138">
        <f>SUMIFS(tbl_task8[S109],tbl_task8[[SubPLOs]:[SubPLOs]],"&gt;=9",tbl_task8[[SubPLOs]:[SubPLOs]],"&lt;10")</f>
        <v>0</v>
      </c>
      <c r="DK42" s="138">
        <f>SUMIFS(tbl_task8[S110],tbl_task8[[SubPLOs]:[SubPLOs]],"&gt;=9",tbl_task8[[SubPLOs]:[SubPLOs]],"&lt;10")</f>
        <v>0</v>
      </c>
      <c r="DL42" s="138">
        <f>SUMIFS(tbl_task8[S111],tbl_task8[[SubPLOs]:[SubPLOs]],"&gt;=9",tbl_task8[[SubPLOs]:[SubPLOs]],"&lt;10")</f>
        <v>0</v>
      </c>
      <c r="DM42" s="138">
        <f>SUMIFS(tbl_task8[S112],tbl_task8[[SubPLOs]:[SubPLOs]],"&gt;=9",tbl_task8[[SubPLOs]:[SubPLOs]],"&lt;10")</f>
        <v>0</v>
      </c>
      <c r="DN42" s="138">
        <f>SUMIFS(tbl_task8[S113],tbl_task8[[SubPLOs]:[SubPLOs]],"&gt;=9",tbl_task8[[SubPLOs]:[SubPLOs]],"&lt;10")</f>
        <v>0</v>
      </c>
      <c r="DO42" s="138">
        <f>SUMIFS(tbl_task8[S114],tbl_task8[[SubPLOs]:[SubPLOs]],"&gt;=9",tbl_task8[[SubPLOs]:[SubPLOs]],"&lt;10")</f>
        <v>0</v>
      </c>
      <c r="DP42" s="138">
        <f>SUMIFS(tbl_task8[S115],tbl_task8[[SubPLOs]:[SubPLOs]],"&gt;=9",tbl_task8[[SubPLOs]:[SubPLOs]],"&lt;10")</f>
        <v>0</v>
      </c>
      <c r="DQ42" s="138">
        <f>SUMIFS(tbl_task8[S116],tbl_task8[[SubPLOs]:[SubPLOs]],"&gt;=9",tbl_task8[[SubPLOs]:[SubPLOs]],"&lt;10")</f>
        <v>0</v>
      </c>
      <c r="DR42" s="138">
        <f>SUMIFS(tbl_task8[S117],tbl_task8[[SubPLOs]:[SubPLOs]],"&gt;=9",tbl_task8[[SubPLOs]:[SubPLOs]],"&lt;10")</f>
        <v>0</v>
      </c>
      <c r="DS42" s="138">
        <f>SUMIFS(tbl_task8[S118],tbl_task8[[SubPLOs]:[SubPLOs]],"&gt;=9",tbl_task8[[SubPLOs]:[SubPLOs]],"&lt;10")</f>
        <v>0</v>
      </c>
      <c r="DT42" s="138">
        <f>SUMIFS(tbl_task8[S119],tbl_task8[[SubPLOs]:[SubPLOs]],"&gt;=9",tbl_task8[[SubPLOs]:[SubPLOs]],"&lt;10")</f>
        <v>0</v>
      </c>
      <c r="DU42" s="138">
        <f>SUMIFS(tbl_task8[S120],tbl_task8[[SubPLOs]:[SubPLOs]],"&gt;=9",tbl_task8[[SubPLOs]:[SubPLOs]],"&lt;10")</f>
        <v>0</v>
      </c>
      <c r="DV42" s="138">
        <f>SUMIFS(tbl_task8[S121],tbl_task8[[SubPLOs]:[SubPLOs]],"&gt;=9",tbl_task8[[SubPLOs]:[SubPLOs]],"&lt;10")</f>
        <v>0</v>
      </c>
      <c r="DW42" s="138">
        <f>SUMIFS(tbl_task8[S122],tbl_task8[[SubPLOs]:[SubPLOs]],"&gt;=9",tbl_task8[[SubPLOs]:[SubPLOs]],"&lt;10")</f>
        <v>0</v>
      </c>
      <c r="DX42" s="138">
        <f>SUMIFS(tbl_task8[S123],tbl_task8[[SubPLOs]:[SubPLOs]],"&gt;=9",tbl_task8[[SubPLOs]:[SubPLOs]],"&lt;10")</f>
        <v>0</v>
      </c>
      <c r="DY42" s="138">
        <f>SUMIFS(tbl_task8[S124],tbl_task8[[SubPLOs]:[SubPLOs]],"&gt;=9",tbl_task8[[SubPLOs]:[SubPLOs]],"&lt;10")</f>
        <v>0</v>
      </c>
      <c r="DZ42" s="138">
        <f>SUMIFS(tbl_task8[S125],tbl_task8[[SubPLOs]:[SubPLOs]],"&gt;=9",tbl_task8[[SubPLOs]:[SubPLOs]],"&lt;10")</f>
        <v>0</v>
      </c>
      <c r="EA42" s="138">
        <f>SUMIFS(tbl_task8[S126],tbl_task8[[SubPLOs]:[SubPLOs]],"&gt;=9",tbl_task8[[SubPLOs]:[SubPLOs]],"&lt;10")</f>
        <v>0</v>
      </c>
      <c r="EB42" s="138">
        <f>SUMIFS(tbl_task8[S127],tbl_task8[[SubPLOs]:[SubPLOs]],"&gt;=9",tbl_task8[[SubPLOs]:[SubPLOs]],"&lt;10")</f>
        <v>0</v>
      </c>
      <c r="EC42" s="138">
        <f>SUMIFS(tbl_task8[S128],tbl_task8[[SubPLOs]:[SubPLOs]],"&gt;=9",tbl_task8[[SubPLOs]:[SubPLOs]],"&lt;10")</f>
        <v>0</v>
      </c>
      <c r="ED42" s="138">
        <f>SUMIFS(tbl_task8[S129],tbl_task8[[SubPLOs]:[SubPLOs]],"&gt;=9",tbl_task8[[SubPLOs]:[SubPLOs]],"&lt;10")</f>
        <v>0</v>
      </c>
      <c r="EE42" s="138">
        <f>SUMIFS(tbl_task8[S130],tbl_task8[[SubPLOs]:[SubPLOs]],"&gt;=9",tbl_task8[[SubPLOs]:[SubPLOs]],"&lt;10")</f>
        <v>0</v>
      </c>
      <c r="EF42" s="138">
        <f>SUMIFS(tbl_task8[S131],tbl_task8[[SubPLOs]:[SubPLOs]],"&gt;=9",tbl_task8[[SubPLOs]:[SubPLOs]],"&lt;10")</f>
        <v>0</v>
      </c>
      <c r="EG42" s="138">
        <f>SUMIFS(tbl_task8[S132],tbl_task8[[SubPLOs]:[SubPLOs]],"&gt;=9",tbl_task8[[SubPLOs]:[SubPLOs]],"&lt;10")</f>
        <v>0</v>
      </c>
      <c r="EH42" s="138">
        <f>SUMIFS(tbl_task8[S133],tbl_task8[[SubPLOs]:[SubPLOs]],"&gt;=9",tbl_task8[[SubPLOs]:[SubPLOs]],"&lt;10")</f>
        <v>0</v>
      </c>
      <c r="EI42" s="138">
        <f>SUMIFS(tbl_task8[S134],tbl_task8[[SubPLOs]:[SubPLOs]],"&gt;=9",tbl_task8[[SubPLOs]:[SubPLOs]],"&lt;10")</f>
        <v>0</v>
      </c>
      <c r="EJ42" s="138">
        <f>SUMIFS(tbl_task8[S135],tbl_task8[[SubPLOs]:[SubPLOs]],"&gt;=9",tbl_task8[[SubPLOs]:[SubPLOs]],"&lt;10")</f>
        <v>0</v>
      </c>
      <c r="EK42" s="138">
        <f>SUMIFS(tbl_task8[S136],tbl_task8[[SubPLOs]:[SubPLOs]],"&gt;=9",tbl_task8[[SubPLOs]:[SubPLOs]],"&lt;10")</f>
        <v>0</v>
      </c>
      <c r="EL42" s="138">
        <f>SUMIFS(tbl_task8[S137],tbl_task8[[SubPLOs]:[SubPLOs]],"&gt;=9",tbl_task8[[SubPLOs]:[SubPLOs]],"&lt;10")</f>
        <v>0</v>
      </c>
      <c r="EM42" s="138">
        <f>SUMIFS(tbl_task8[S138],tbl_task8[[SubPLOs]:[SubPLOs]],"&gt;=9",tbl_task8[[SubPLOs]:[SubPLOs]],"&lt;10")</f>
        <v>0</v>
      </c>
      <c r="EN42" s="138">
        <f>SUMIFS(tbl_task8[S139],tbl_task8[[SubPLOs]:[SubPLOs]],"&gt;=9",tbl_task8[[SubPLOs]:[SubPLOs]],"&lt;10")</f>
        <v>0</v>
      </c>
      <c r="EO42" s="138">
        <f>SUMIFS(tbl_task8[S140],tbl_task8[[SubPLOs]:[SubPLOs]],"&gt;=9",tbl_task8[[SubPLOs]:[SubPLOs]],"&lt;10")</f>
        <v>0</v>
      </c>
      <c r="EP42" s="138">
        <f>SUMIFS(tbl_task8[S141],tbl_task8[[SubPLOs]:[SubPLOs]],"&gt;=9",tbl_task8[[SubPLOs]:[SubPLOs]],"&lt;10")</f>
        <v>0</v>
      </c>
      <c r="EQ42" s="138">
        <f>SUMIFS(tbl_task8[S142],tbl_task8[[SubPLOs]:[SubPLOs]],"&gt;=9",tbl_task8[[SubPLOs]:[SubPLOs]],"&lt;10")</f>
        <v>0</v>
      </c>
      <c r="ER42" s="138">
        <f>SUMIFS(tbl_task8[S143],tbl_task8[[SubPLOs]:[SubPLOs]],"&gt;=9",tbl_task8[[SubPLOs]:[SubPLOs]],"&lt;10")</f>
        <v>0</v>
      </c>
      <c r="ES42" s="138">
        <f>SUMIFS(tbl_task8[S144],tbl_task8[[SubPLOs]:[SubPLOs]],"&gt;=9",tbl_task8[[SubPLOs]:[SubPLOs]],"&lt;10")</f>
        <v>0</v>
      </c>
      <c r="ET42" s="138">
        <f>SUMIFS(tbl_task8[S145],tbl_task8[[SubPLOs]:[SubPLOs]],"&gt;=9",tbl_task8[[SubPLOs]:[SubPLOs]],"&lt;10")</f>
        <v>0</v>
      </c>
      <c r="EU42" s="138">
        <f>SUMIFS(tbl_task8[S146],tbl_task8[[SubPLOs]:[SubPLOs]],"&gt;=9",tbl_task8[[SubPLOs]:[SubPLOs]],"&lt;10")</f>
        <v>0</v>
      </c>
      <c r="EV42" s="138">
        <f>SUMIFS(tbl_task8[S147],tbl_task8[[SubPLOs]:[SubPLOs]],"&gt;=9",tbl_task8[[SubPLOs]:[SubPLOs]],"&lt;10")</f>
        <v>0</v>
      </c>
      <c r="EW42" s="138">
        <f>SUMIFS(tbl_task8[S148],tbl_task8[[SubPLOs]:[SubPLOs]],"&gt;=9",tbl_task8[[SubPLOs]:[SubPLOs]],"&lt;10")</f>
        <v>0</v>
      </c>
      <c r="EX42" s="138">
        <f>SUMIFS(tbl_task8[S149],tbl_task8[[SubPLOs]:[SubPLOs]],"&gt;=9",tbl_task8[[SubPLOs]:[SubPLOs]],"&lt;10")</f>
        <v>0</v>
      </c>
      <c r="EY42" s="138">
        <f>SUMIFS(tbl_task8[S150],tbl_task8[[SubPLOs]:[SubPLOs]],"&gt;=9",tbl_task8[[SubPLOs]:[SubPLOs]],"&lt;10")</f>
        <v>0</v>
      </c>
      <c r="EZ42" s="138">
        <f>SUMIFS(tbl_task8[S151],tbl_task8[[SubPLOs]:[SubPLOs]],"&gt;=9",tbl_task8[[SubPLOs]:[SubPLOs]],"&lt;10")</f>
        <v>0</v>
      </c>
      <c r="FA42" s="138">
        <f>SUMIFS(tbl_task8[S152],tbl_task8[[SubPLOs]:[SubPLOs]],"&gt;=9",tbl_task8[[SubPLOs]:[SubPLOs]],"&lt;10")</f>
        <v>0</v>
      </c>
      <c r="FB42" s="138">
        <f>SUMIFS(tbl_task8[S153],tbl_task8[[SubPLOs]:[SubPLOs]],"&gt;=9",tbl_task8[[SubPLOs]:[SubPLOs]],"&lt;10")</f>
        <v>0</v>
      </c>
      <c r="FC42" s="138">
        <f>SUMIFS(tbl_task8[S154],tbl_task8[[SubPLOs]:[SubPLOs]],"&gt;=9",tbl_task8[[SubPLOs]:[SubPLOs]],"&lt;10")</f>
        <v>0</v>
      </c>
      <c r="FD42" s="138">
        <f>SUMIFS(tbl_task8[S155],tbl_task8[[SubPLOs]:[SubPLOs]],"&gt;=9",tbl_task8[[SubPLOs]:[SubPLOs]],"&lt;10")</f>
        <v>0</v>
      </c>
      <c r="FE42" s="138">
        <f>SUMIFS(tbl_task8[S156],tbl_task8[[SubPLOs]:[SubPLOs]],"&gt;=9",tbl_task8[[SubPLOs]:[SubPLOs]],"&lt;10")</f>
        <v>0</v>
      </c>
      <c r="FF42" s="138">
        <f>SUMIFS(tbl_task8[S157],tbl_task8[[SubPLOs]:[SubPLOs]],"&gt;=9",tbl_task8[[SubPLOs]:[SubPLOs]],"&lt;10")</f>
        <v>0</v>
      </c>
      <c r="FG42" s="138">
        <f>SUMIFS(tbl_task8[S158],tbl_task8[[SubPLOs]:[SubPLOs]],"&gt;=9",tbl_task8[[SubPLOs]:[SubPLOs]],"&lt;10")</f>
        <v>0</v>
      </c>
      <c r="FH42" s="138">
        <f>SUMIFS(tbl_task8[S159],tbl_task8[[SubPLOs]:[SubPLOs]],"&gt;=9",tbl_task8[[SubPLOs]:[SubPLOs]],"&lt;10")</f>
        <v>0</v>
      </c>
      <c r="FI42" s="138">
        <f>SUMIFS(tbl_task8[S160],tbl_task8[[SubPLOs]:[SubPLOs]],"&gt;=9",tbl_task8[[SubPLOs]:[SubPLOs]],"&lt;10")</f>
        <v>0</v>
      </c>
      <c r="FJ42" s="138">
        <f>SUMIFS(tbl_task8[S161],tbl_task8[[SubPLOs]:[SubPLOs]],"&gt;=9",tbl_task8[[SubPLOs]:[SubPLOs]],"&lt;10")</f>
        <v>0</v>
      </c>
      <c r="FK42" s="138">
        <f>SUMIFS(tbl_task8[S162],tbl_task8[[SubPLOs]:[SubPLOs]],"&gt;=9",tbl_task8[[SubPLOs]:[SubPLOs]],"&lt;10")</f>
        <v>0</v>
      </c>
      <c r="FL42" s="138">
        <f>SUMIFS(tbl_task8[S163],tbl_task8[[SubPLOs]:[SubPLOs]],"&gt;=9",tbl_task8[[SubPLOs]:[SubPLOs]],"&lt;10")</f>
        <v>0</v>
      </c>
      <c r="FM42" s="138">
        <f>SUMIFS(tbl_task8[S164],tbl_task8[[SubPLOs]:[SubPLOs]],"&gt;=9",tbl_task8[[SubPLOs]:[SubPLOs]],"&lt;10")</f>
        <v>0</v>
      </c>
      <c r="FN42" s="138">
        <f>SUMIFS(tbl_task8[S165],tbl_task8[[SubPLOs]:[SubPLOs]],"&gt;=9",tbl_task8[[SubPLOs]:[SubPLOs]],"&lt;10")</f>
        <v>0</v>
      </c>
    </row>
    <row r="43" spans="1:170" ht="63" x14ac:dyDescent="0.25">
      <c r="A43" s="135">
        <v>10</v>
      </c>
      <c r="B43" s="5" t="s">
        <v>443</v>
      </c>
      <c r="C43" s="136">
        <f>COUNTIFS(tbl_task8[SubPLOs],"&gt;=10",tbl_task8[SubPLOs],"&lt;11")</f>
        <v>0</v>
      </c>
      <c r="D43" s="136">
        <f>SUMIFS(tbl_task8[คะแนนเต็ม],tbl_task8[SubPLOs],"&gt;=10",tbl_task8[SubPLOs],"&lt;11")</f>
        <v>0</v>
      </c>
      <c r="E43" s="137">
        <f>SUMIFS(tbl_task8[%],tbl_task8[SubPLOs],"&gt;=10",tbl_task8[SubPLOs],"&lt;11")</f>
        <v>0</v>
      </c>
      <c r="F43" s="138">
        <f>SUMIFS(tbl_task8[S1],tbl_task8[[SubPLOs]:[SubPLOs]],"&gt;=10",tbl_task8[[SubPLOs]:[SubPLOs]],"&lt;11")</f>
        <v>0</v>
      </c>
      <c r="G43" s="138">
        <f>SUMIFS(tbl_task8[S2],tbl_task8[[SubPLOs]:[SubPLOs]],"&gt;=10",tbl_task8[[SubPLOs]:[SubPLOs]],"&lt;11")</f>
        <v>0</v>
      </c>
      <c r="H43" s="138">
        <f>SUMIFS(tbl_task8[S3],tbl_task8[[SubPLOs]:[SubPLOs]],"&gt;=10",tbl_task8[[SubPLOs]:[SubPLOs]],"&lt;11")</f>
        <v>0</v>
      </c>
      <c r="I43" s="138">
        <f>SUMIFS(tbl_task8[S4],tbl_task8[[SubPLOs]:[SubPLOs]],"&gt;=10",tbl_task8[[SubPLOs]:[SubPLOs]],"&lt;11")</f>
        <v>0</v>
      </c>
      <c r="J43" s="138">
        <f>SUMIFS(tbl_task8[S5],tbl_task8[[SubPLOs]:[SubPLOs]],"&gt;=10",tbl_task8[[SubPLOs]:[SubPLOs]],"&lt;11")</f>
        <v>0</v>
      </c>
      <c r="K43" s="138">
        <f>SUMIFS(tbl_task8[S6],tbl_task8[[SubPLOs]:[SubPLOs]],"&gt;=10",tbl_task8[[SubPLOs]:[SubPLOs]],"&lt;11")</f>
        <v>0</v>
      </c>
      <c r="L43" s="138">
        <f>SUMIFS(tbl_task8[S7],tbl_task8[[SubPLOs]:[SubPLOs]],"&gt;=10",tbl_task8[[SubPLOs]:[SubPLOs]],"&lt;11")</f>
        <v>0</v>
      </c>
      <c r="M43" s="138">
        <f>SUMIFS(tbl_task8[S8],tbl_task8[[SubPLOs]:[SubPLOs]],"&gt;=10",tbl_task8[[SubPLOs]:[SubPLOs]],"&lt;11")</f>
        <v>0</v>
      </c>
      <c r="N43" s="138">
        <f>SUMIFS(tbl_task8[S9],tbl_task8[[SubPLOs]:[SubPLOs]],"&gt;=10",tbl_task8[[SubPLOs]:[SubPLOs]],"&lt;11")</f>
        <v>0</v>
      </c>
      <c r="O43" s="138">
        <f>SUMIFS(tbl_task8[S10],tbl_task8[[SubPLOs]:[SubPLOs]],"&gt;=10",tbl_task8[[SubPLOs]:[SubPLOs]],"&lt;11")</f>
        <v>0</v>
      </c>
      <c r="P43" s="138">
        <f>SUMIFS(tbl_task8[S11],tbl_task8[[SubPLOs]:[SubPLOs]],"&gt;=10",tbl_task8[[SubPLOs]:[SubPLOs]],"&lt;11")</f>
        <v>0</v>
      </c>
      <c r="Q43" s="138">
        <f>SUMIFS(tbl_task8[S12],tbl_task8[[SubPLOs]:[SubPLOs]],"&gt;=10",tbl_task8[[SubPLOs]:[SubPLOs]],"&lt;11")</f>
        <v>0</v>
      </c>
      <c r="R43" s="138">
        <f>SUMIFS(tbl_task8[S13],tbl_task8[[SubPLOs]:[SubPLOs]],"&gt;=10",tbl_task8[[SubPLOs]:[SubPLOs]],"&lt;11")</f>
        <v>0</v>
      </c>
      <c r="S43" s="138">
        <f>SUMIFS(tbl_task8[S14],tbl_task8[[SubPLOs]:[SubPLOs]],"&gt;=10",tbl_task8[[SubPLOs]:[SubPLOs]],"&lt;11")</f>
        <v>0</v>
      </c>
      <c r="T43" s="138">
        <f>SUMIFS(tbl_task8[S15],tbl_task8[[SubPLOs]:[SubPLOs]],"&gt;=10",tbl_task8[[SubPLOs]:[SubPLOs]],"&lt;11")</f>
        <v>0</v>
      </c>
      <c r="U43" s="138">
        <f>SUMIFS(tbl_task8[S16],tbl_task8[[SubPLOs]:[SubPLOs]],"&gt;=10",tbl_task8[[SubPLOs]:[SubPLOs]],"&lt;11")</f>
        <v>0</v>
      </c>
      <c r="V43" s="138">
        <f>SUMIFS(tbl_task8[S17],tbl_task8[[SubPLOs]:[SubPLOs]],"&gt;=10",tbl_task8[[SubPLOs]:[SubPLOs]],"&lt;11")</f>
        <v>0</v>
      </c>
      <c r="W43" s="138">
        <f>SUMIFS(tbl_task8[S18],tbl_task8[[SubPLOs]:[SubPLOs]],"&gt;=10",tbl_task8[[SubPLOs]:[SubPLOs]],"&lt;11")</f>
        <v>0</v>
      </c>
      <c r="X43" s="138">
        <f>SUMIFS(tbl_task8[S19],tbl_task8[[SubPLOs]:[SubPLOs]],"&gt;=10",tbl_task8[[SubPLOs]:[SubPLOs]],"&lt;11")</f>
        <v>0</v>
      </c>
      <c r="Y43" s="138">
        <f>SUMIFS(tbl_task8[S20],tbl_task8[[SubPLOs]:[SubPLOs]],"&gt;=10",tbl_task8[[SubPLOs]:[SubPLOs]],"&lt;11")</f>
        <v>0</v>
      </c>
      <c r="Z43" s="138">
        <f>SUMIFS(tbl_task8[S21],tbl_task8[[SubPLOs]:[SubPLOs]],"&gt;=10",tbl_task8[[SubPLOs]:[SubPLOs]],"&lt;11")</f>
        <v>0</v>
      </c>
      <c r="AA43" s="138">
        <f>SUMIFS(tbl_task8[S22],tbl_task8[[SubPLOs]:[SubPLOs]],"&gt;=10",tbl_task8[[SubPLOs]:[SubPLOs]],"&lt;11")</f>
        <v>0</v>
      </c>
      <c r="AB43" s="138">
        <f>SUMIFS(tbl_task8[S23],tbl_task8[[SubPLOs]:[SubPLOs]],"&gt;=10",tbl_task8[[SubPLOs]:[SubPLOs]],"&lt;11")</f>
        <v>0</v>
      </c>
      <c r="AC43" s="138">
        <f>SUMIFS(tbl_task8[S24],tbl_task8[[SubPLOs]:[SubPLOs]],"&gt;=10",tbl_task8[[SubPLOs]:[SubPLOs]],"&lt;11")</f>
        <v>0</v>
      </c>
      <c r="AD43" s="138">
        <f>SUMIFS(tbl_task8[S25],tbl_task8[[SubPLOs]:[SubPLOs]],"&gt;=10",tbl_task8[[SubPLOs]:[SubPLOs]],"&lt;11")</f>
        <v>0</v>
      </c>
      <c r="AE43" s="138">
        <f>SUMIFS(tbl_task8[S26],tbl_task8[[SubPLOs]:[SubPLOs]],"&gt;=10",tbl_task8[[SubPLOs]:[SubPLOs]],"&lt;11")</f>
        <v>0</v>
      </c>
      <c r="AF43" s="138">
        <f>SUMIFS(tbl_task8[S27],tbl_task8[[SubPLOs]:[SubPLOs]],"&gt;=10",tbl_task8[[SubPLOs]:[SubPLOs]],"&lt;11")</f>
        <v>0</v>
      </c>
      <c r="AG43" s="138">
        <f>SUMIFS(tbl_task8[S28],tbl_task8[[SubPLOs]:[SubPLOs]],"&gt;=10",tbl_task8[[SubPLOs]:[SubPLOs]],"&lt;11")</f>
        <v>0</v>
      </c>
      <c r="AH43" s="138">
        <f>SUMIFS(tbl_task8[S29],tbl_task8[[SubPLOs]:[SubPLOs]],"&gt;=10",tbl_task8[[SubPLOs]:[SubPLOs]],"&lt;11")</f>
        <v>0</v>
      </c>
      <c r="AI43" s="138">
        <f>SUMIFS(tbl_task8[S30],tbl_task8[[SubPLOs]:[SubPLOs]],"&gt;=10",tbl_task8[[SubPLOs]:[SubPLOs]],"&lt;11")</f>
        <v>0</v>
      </c>
      <c r="AJ43" s="138">
        <f>SUMIFS(tbl_task8[S31],tbl_task8[[SubPLOs]:[SubPLOs]],"&gt;=10",tbl_task8[[SubPLOs]:[SubPLOs]],"&lt;11")</f>
        <v>0</v>
      </c>
      <c r="AK43" s="138">
        <f>SUMIFS(tbl_task8[S32],tbl_task8[[SubPLOs]:[SubPLOs]],"&gt;=10",tbl_task8[[SubPLOs]:[SubPLOs]],"&lt;11")</f>
        <v>0</v>
      </c>
      <c r="AL43" s="138">
        <f>SUMIFS(tbl_task8[S33],tbl_task8[[SubPLOs]:[SubPLOs]],"&gt;=10",tbl_task8[[SubPLOs]:[SubPLOs]],"&lt;11")</f>
        <v>0</v>
      </c>
      <c r="AM43" s="138">
        <f>SUMIFS(tbl_task8[S34],tbl_task8[[SubPLOs]:[SubPLOs]],"&gt;=10",tbl_task8[[SubPLOs]:[SubPLOs]],"&lt;11")</f>
        <v>0</v>
      </c>
      <c r="AN43" s="138">
        <f>SUMIFS(tbl_task8[S35],tbl_task8[[SubPLOs]:[SubPLOs]],"&gt;=10",tbl_task8[[SubPLOs]:[SubPLOs]],"&lt;11")</f>
        <v>0</v>
      </c>
      <c r="AO43" s="138">
        <f>SUMIFS(tbl_task8[S36],tbl_task8[[SubPLOs]:[SubPLOs]],"&gt;=10",tbl_task8[[SubPLOs]:[SubPLOs]],"&lt;11")</f>
        <v>0</v>
      </c>
      <c r="AP43" s="138">
        <f>SUMIFS(tbl_task8[S37],tbl_task8[[SubPLOs]:[SubPLOs]],"&gt;=10",tbl_task8[[SubPLOs]:[SubPLOs]],"&lt;11")</f>
        <v>0</v>
      </c>
      <c r="AQ43" s="138">
        <f>SUMIFS(tbl_task8[S38],tbl_task8[[SubPLOs]:[SubPLOs]],"&gt;=10",tbl_task8[[SubPLOs]:[SubPLOs]],"&lt;11")</f>
        <v>0</v>
      </c>
      <c r="AR43" s="138">
        <f>SUMIFS(tbl_task8[S39],tbl_task8[[SubPLOs]:[SubPLOs]],"&gt;=10",tbl_task8[[SubPLOs]:[SubPLOs]],"&lt;11")</f>
        <v>0</v>
      </c>
      <c r="AS43" s="138">
        <f>SUMIFS(tbl_task8[S40],tbl_task8[[SubPLOs]:[SubPLOs]],"&gt;=10",tbl_task8[[SubPLOs]:[SubPLOs]],"&lt;11")</f>
        <v>0</v>
      </c>
      <c r="AT43" s="138">
        <f>SUMIFS(tbl_task8[S41],tbl_task8[[SubPLOs]:[SubPLOs]],"&gt;=10",tbl_task8[[SubPLOs]:[SubPLOs]],"&lt;11")</f>
        <v>0</v>
      </c>
      <c r="AU43" s="138">
        <f>SUMIFS(tbl_task8[S42],tbl_task8[[SubPLOs]:[SubPLOs]],"&gt;=10",tbl_task8[[SubPLOs]:[SubPLOs]],"&lt;11")</f>
        <v>0</v>
      </c>
      <c r="AV43" s="138">
        <f>SUMIFS(tbl_task8[S43],tbl_task8[[SubPLOs]:[SubPLOs]],"&gt;=10",tbl_task8[[SubPLOs]:[SubPLOs]],"&lt;11")</f>
        <v>0</v>
      </c>
      <c r="AW43" s="138">
        <f>SUMIFS(tbl_task8[S44],tbl_task8[[SubPLOs]:[SubPLOs]],"&gt;=10",tbl_task8[[SubPLOs]:[SubPLOs]],"&lt;11")</f>
        <v>0</v>
      </c>
      <c r="AX43" s="138">
        <f>SUMIFS(tbl_task8[S45],tbl_task8[[SubPLOs]:[SubPLOs]],"&gt;=10",tbl_task8[[SubPLOs]:[SubPLOs]],"&lt;11")</f>
        <v>0</v>
      </c>
      <c r="AY43" s="138">
        <f>SUMIFS(tbl_task8[S46],tbl_task8[[SubPLOs]:[SubPLOs]],"&gt;=10",tbl_task8[[SubPLOs]:[SubPLOs]],"&lt;11")</f>
        <v>0</v>
      </c>
      <c r="AZ43" s="138">
        <f>SUMIFS(tbl_task8[S47],tbl_task8[[SubPLOs]:[SubPLOs]],"&gt;=10",tbl_task8[[SubPLOs]:[SubPLOs]],"&lt;11")</f>
        <v>0</v>
      </c>
      <c r="BA43" s="138">
        <f>SUMIFS(tbl_task8[S48],tbl_task8[[SubPLOs]:[SubPLOs]],"&gt;=10",tbl_task8[[SubPLOs]:[SubPLOs]],"&lt;11")</f>
        <v>0</v>
      </c>
      <c r="BB43" s="138">
        <f>SUMIFS(tbl_task8[S49],tbl_task8[[SubPLOs]:[SubPLOs]],"&gt;=10",tbl_task8[[SubPLOs]:[SubPLOs]],"&lt;11")</f>
        <v>0</v>
      </c>
      <c r="BC43" s="138">
        <f>SUMIFS(tbl_task8[S50],tbl_task8[[SubPLOs]:[SubPLOs]],"&gt;=10",tbl_task8[[SubPLOs]:[SubPLOs]],"&lt;11")</f>
        <v>0</v>
      </c>
      <c r="BD43" s="138">
        <f>SUMIFS(tbl_task8[S51],tbl_task8[[SubPLOs]:[SubPLOs]],"&gt;=10",tbl_task8[[SubPLOs]:[SubPLOs]],"&lt;11")</f>
        <v>0</v>
      </c>
      <c r="BE43" s="138">
        <f>SUMIFS(tbl_task8[S52],tbl_task8[[SubPLOs]:[SubPLOs]],"&gt;=10",tbl_task8[[SubPLOs]:[SubPLOs]],"&lt;11")</f>
        <v>0</v>
      </c>
      <c r="BF43" s="138">
        <f>SUMIFS(tbl_task8[S53],tbl_task8[[SubPLOs]:[SubPLOs]],"&gt;=10",tbl_task8[[SubPLOs]:[SubPLOs]],"&lt;11")</f>
        <v>0</v>
      </c>
      <c r="BG43" s="138">
        <f>SUMIFS(tbl_task8[S54],tbl_task8[[SubPLOs]:[SubPLOs]],"&gt;=10",tbl_task8[[SubPLOs]:[SubPLOs]],"&lt;11")</f>
        <v>0</v>
      </c>
      <c r="BH43" s="138">
        <f>SUMIFS(tbl_task8[S55],tbl_task8[[SubPLOs]:[SubPLOs]],"&gt;=10",tbl_task8[[SubPLOs]:[SubPLOs]],"&lt;11")</f>
        <v>0</v>
      </c>
      <c r="BI43" s="138">
        <f>SUMIFS(tbl_task8[S56],tbl_task8[[SubPLOs]:[SubPLOs]],"&gt;=10",tbl_task8[[SubPLOs]:[SubPLOs]],"&lt;11")</f>
        <v>0</v>
      </c>
      <c r="BJ43" s="138">
        <f>SUMIFS(tbl_task8[S57],tbl_task8[[SubPLOs]:[SubPLOs]],"&gt;=10",tbl_task8[[SubPLOs]:[SubPLOs]],"&lt;11")</f>
        <v>0</v>
      </c>
      <c r="BK43" s="138">
        <f>SUMIFS(tbl_task8[S58],tbl_task8[[SubPLOs]:[SubPLOs]],"&gt;=10",tbl_task8[[SubPLOs]:[SubPLOs]],"&lt;11")</f>
        <v>0</v>
      </c>
      <c r="BL43" s="138">
        <f>SUMIFS(tbl_task8[S59],tbl_task8[[SubPLOs]:[SubPLOs]],"&gt;=10",tbl_task8[[SubPLOs]:[SubPLOs]],"&lt;11")</f>
        <v>0</v>
      </c>
      <c r="BM43" s="138">
        <f>SUMIFS(tbl_task8[S60],tbl_task8[[SubPLOs]:[SubPLOs]],"&gt;=10",tbl_task8[[SubPLOs]:[SubPLOs]],"&lt;11")</f>
        <v>0</v>
      </c>
      <c r="BN43" s="138">
        <f>SUMIFS(tbl_task8[S61],tbl_task8[[SubPLOs]:[SubPLOs]],"&gt;=10",tbl_task8[[SubPLOs]:[SubPLOs]],"&lt;11")</f>
        <v>0</v>
      </c>
      <c r="BO43" s="138">
        <f>SUMIFS(tbl_task8[S62],tbl_task8[[SubPLOs]:[SubPLOs]],"&gt;=10",tbl_task8[[SubPLOs]:[SubPLOs]],"&lt;11")</f>
        <v>0</v>
      </c>
      <c r="BP43" s="138">
        <f>SUMIFS(tbl_task8[S63],tbl_task8[[SubPLOs]:[SubPLOs]],"&gt;=10",tbl_task8[[SubPLOs]:[SubPLOs]],"&lt;11")</f>
        <v>0</v>
      </c>
      <c r="BQ43" s="138">
        <f>SUMIFS(tbl_task8[S64],tbl_task8[[SubPLOs]:[SubPLOs]],"&gt;=10",tbl_task8[[SubPLOs]:[SubPLOs]],"&lt;11")</f>
        <v>0</v>
      </c>
      <c r="BR43" s="138">
        <f>SUMIFS(tbl_task8[S65],tbl_task8[[SubPLOs]:[SubPLOs]],"&gt;=10",tbl_task8[[SubPLOs]:[SubPLOs]],"&lt;11")</f>
        <v>0</v>
      </c>
      <c r="BS43" s="138">
        <f>SUMIFS(tbl_task8[S66],tbl_task8[[SubPLOs]:[SubPLOs]],"&gt;=10",tbl_task8[[SubPLOs]:[SubPLOs]],"&lt;11")</f>
        <v>0</v>
      </c>
      <c r="BT43" s="138">
        <f>SUMIFS(tbl_task8[S67],tbl_task8[[SubPLOs]:[SubPLOs]],"&gt;=10",tbl_task8[[SubPLOs]:[SubPLOs]],"&lt;11")</f>
        <v>0</v>
      </c>
      <c r="BU43" s="138">
        <f>SUMIFS(tbl_task8[S68],tbl_task8[[SubPLOs]:[SubPLOs]],"&gt;=10",tbl_task8[[SubPLOs]:[SubPLOs]],"&lt;11")</f>
        <v>0</v>
      </c>
      <c r="BV43" s="138">
        <f>SUMIFS(tbl_task8[S69],tbl_task8[[SubPLOs]:[SubPLOs]],"&gt;=10",tbl_task8[[SubPLOs]:[SubPLOs]],"&lt;11")</f>
        <v>0</v>
      </c>
      <c r="BW43" s="138">
        <f>SUMIFS(tbl_task8[S70],tbl_task8[[SubPLOs]:[SubPLOs]],"&gt;=10",tbl_task8[[SubPLOs]:[SubPLOs]],"&lt;11")</f>
        <v>0</v>
      </c>
      <c r="BX43" s="138">
        <f>SUMIFS(tbl_task8[S71],tbl_task8[[SubPLOs]:[SubPLOs]],"&gt;=10",tbl_task8[[SubPLOs]:[SubPLOs]],"&lt;11")</f>
        <v>0</v>
      </c>
      <c r="BY43" s="138">
        <f>SUMIFS(tbl_task8[S72],tbl_task8[[SubPLOs]:[SubPLOs]],"&gt;=10",tbl_task8[[SubPLOs]:[SubPLOs]],"&lt;11")</f>
        <v>0</v>
      </c>
      <c r="BZ43" s="138">
        <f>SUMIFS(tbl_task8[S73],tbl_task8[[SubPLOs]:[SubPLOs]],"&gt;=10",tbl_task8[[SubPLOs]:[SubPLOs]],"&lt;11")</f>
        <v>0</v>
      </c>
      <c r="CA43" s="138">
        <f>SUMIFS(tbl_task8[S74],tbl_task8[[SubPLOs]:[SubPLOs]],"&gt;=10",tbl_task8[[SubPLOs]:[SubPLOs]],"&lt;11")</f>
        <v>0</v>
      </c>
      <c r="CB43" s="138">
        <f>SUMIFS(tbl_task8[S75],tbl_task8[[SubPLOs]:[SubPLOs]],"&gt;=10",tbl_task8[[SubPLOs]:[SubPLOs]],"&lt;11")</f>
        <v>0</v>
      </c>
      <c r="CC43" s="138">
        <f>SUMIFS(tbl_task8[S76],tbl_task8[[SubPLOs]:[SubPLOs]],"&gt;=10",tbl_task8[[SubPLOs]:[SubPLOs]],"&lt;11")</f>
        <v>0</v>
      </c>
      <c r="CD43" s="138">
        <f>SUMIFS(tbl_task8[S77],tbl_task8[[SubPLOs]:[SubPLOs]],"&gt;=10",tbl_task8[[SubPLOs]:[SubPLOs]],"&lt;11")</f>
        <v>0</v>
      </c>
      <c r="CE43" s="138">
        <f>SUMIFS(tbl_task8[S78],tbl_task8[[SubPLOs]:[SubPLOs]],"&gt;=10",tbl_task8[[SubPLOs]:[SubPLOs]],"&lt;11")</f>
        <v>0</v>
      </c>
      <c r="CF43" s="138">
        <f>SUMIFS(tbl_task8[S79],tbl_task8[[SubPLOs]:[SubPLOs]],"&gt;=10",tbl_task8[[SubPLOs]:[SubPLOs]],"&lt;11")</f>
        <v>0</v>
      </c>
      <c r="CG43" s="138">
        <f>SUMIFS(tbl_task8[S80],tbl_task8[[SubPLOs]:[SubPLOs]],"&gt;=10",tbl_task8[[SubPLOs]:[SubPLOs]],"&lt;11")</f>
        <v>0</v>
      </c>
      <c r="CH43" s="138">
        <f>SUMIFS(tbl_task8[S81],tbl_task8[[SubPLOs]:[SubPLOs]],"&gt;=10",tbl_task8[[SubPLOs]:[SubPLOs]],"&lt;11")</f>
        <v>0</v>
      </c>
      <c r="CI43" s="138">
        <f>SUMIFS(tbl_task8[S82],tbl_task8[[SubPLOs]:[SubPLOs]],"&gt;=10",tbl_task8[[SubPLOs]:[SubPLOs]],"&lt;11")</f>
        <v>0</v>
      </c>
      <c r="CJ43" s="138">
        <f>SUMIFS(tbl_task8[S83],tbl_task8[[SubPLOs]:[SubPLOs]],"&gt;=10",tbl_task8[[SubPLOs]:[SubPLOs]],"&lt;11")</f>
        <v>0</v>
      </c>
      <c r="CK43" s="138">
        <f>SUMIFS(tbl_task8[S84],tbl_task8[[SubPLOs]:[SubPLOs]],"&gt;=10",tbl_task8[[SubPLOs]:[SubPLOs]],"&lt;11")</f>
        <v>0</v>
      </c>
      <c r="CL43" s="138">
        <f>SUMIFS(tbl_task8[S85],tbl_task8[[SubPLOs]:[SubPLOs]],"&gt;=10",tbl_task8[[SubPLOs]:[SubPLOs]],"&lt;11")</f>
        <v>0</v>
      </c>
      <c r="CM43" s="138">
        <f>SUMIFS(tbl_task8[S86],tbl_task8[[SubPLOs]:[SubPLOs]],"&gt;=10",tbl_task8[[SubPLOs]:[SubPLOs]],"&lt;11")</f>
        <v>0</v>
      </c>
      <c r="CN43" s="138">
        <f>SUMIFS(tbl_task8[S87],tbl_task8[[SubPLOs]:[SubPLOs]],"&gt;=10",tbl_task8[[SubPLOs]:[SubPLOs]],"&lt;11")</f>
        <v>0</v>
      </c>
      <c r="CO43" s="138">
        <f>SUMIFS(tbl_task8[S88],tbl_task8[[SubPLOs]:[SubPLOs]],"&gt;=10",tbl_task8[[SubPLOs]:[SubPLOs]],"&lt;11")</f>
        <v>0</v>
      </c>
      <c r="CP43" s="138">
        <f>SUMIFS(tbl_task8[S89],tbl_task8[[SubPLOs]:[SubPLOs]],"&gt;=10",tbl_task8[[SubPLOs]:[SubPLOs]],"&lt;11")</f>
        <v>0</v>
      </c>
      <c r="CQ43" s="138">
        <f>SUMIFS(tbl_task8[S90],tbl_task8[[SubPLOs]:[SubPLOs]],"&gt;=10",tbl_task8[[SubPLOs]:[SubPLOs]],"&lt;11")</f>
        <v>0</v>
      </c>
      <c r="CR43" s="138">
        <f>SUMIFS(tbl_task8[S91],tbl_task8[[SubPLOs]:[SubPLOs]],"&gt;=10",tbl_task8[[SubPLOs]:[SubPLOs]],"&lt;11")</f>
        <v>0</v>
      </c>
      <c r="CS43" s="138">
        <f>SUMIFS(tbl_task8[S92],tbl_task8[[SubPLOs]:[SubPLOs]],"&gt;=10",tbl_task8[[SubPLOs]:[SubPLOs]],"&lt;11")</f>
        <v>0</v>
      </c>
      <c r="CT43" s="138">
        <f>SUMIFS(tbl_task8[S93],tbl_task8[[SubPLOs]:[SubPLOs]],"&gt;=10",tbl_task8[[SubPLOs]:[SubPLOs]],"&lt;11")</f>
        <v>0</v>
      </c>
      <c r="CU43" s="138">
        <f>SUMIFS(tbl_task8[S94],tbl_task8[[SubPLOs]:[SubPLOs]],"&gt;=10",tbl_task8[[SubPLOs]:[SubPLOs]],"&lt;11")</f>
        <v>0</v>
      </c>
      <c r="CV43" s="138">
        <f>SUMIFS(tbl_task8[S95],tbl_task8[[SubPLOs]:[SubPLOs]],"&gt;=10",tbl_task8[[SubPLOs]:[SubPLOs]],"&lt;11")</f>
        <v>0</v>
      </c>
      <c r="CW43" s="138">
        <f>SUMIFS(tbl_task8[S96],tbl_task8[[SubPLOs]:[SubPLOs]],"&gt;=10",tbl_task8[[SubPLOs]:[SubPLOs]],"&lt;11")</f>
        <v>0</v>
      </c>
      <c r="CX43" s="138">
        <f>SUMIFS(tbl_task8[S97],tbl_task8[[SubPLOs]:[SubPLOs]],"&gt;=10",tbl_task8[[SubPLOs]:[SubPLOs]],"&lt;11")</f>
        <v>0</v>
      </c>
      <c r="CY43" s="138">
        <f>SUMIFS(tbl_task8[S98],tbl_task8[[SubPLOs]:[SubPLOs]],"&gt;=10",tbl_task8[[SubPLOs]:[SubPLOs]],"&lt;11")</f>
        <v>0</v>
      </c>
      <c r="CZ43" s="138">
        <f>SUMIFS(tbl_task8[S99],tbl_task8[[SubPLOs]:[SubPLOs]],"&gt;=10",tbl_task8[[SubPLOs]:[SubPLOs]],"&lt;11")</f>
        <v>0</v>
      </c>
      <c r="DA43" s="138">
        <f>SUMIFS(tbl_task8[S100],tbl_task8[[SubPLOs]:[SubPLOs]],"&gt;=10",tbl_task8[[SubPLOs]:[SubPLOs]],"&lt;11")</f>
        <v>0</v>
      </c>
      <c r="DB43" s="138">
        <f>SUMIFS(tbl_task8[S101],tbl_task8[[SubPLOs]:[SubPLOs]],"&gt;=10",tbl_task8[[SubPLOs]:[SubPLOs]],"&lt;11")</f>
        <v>0</v>
      </c>
      <c r="DC43" s="138">
        <f>SUMIFS(tbl_task8[S102],tbl_task8[[SubPLOs]:[SubPLOs]],"&gt;=10",tbl_task8[[SubPLOs]:[SubPLOs]],"&lt;11")</f>
        <v>0</v>
      </c>
      <c r="DD43" s="138">
        <f>SUMIFS(tbl_task8[S103],tbl_task8[[SubPLOs]:[SubPLOs]],"&gt;=10",tbl_task8[[SubPLOs]:[SubPLOs]],"&lt;11")</f>
        <v>0</v>
      </c>
      <c r="DE43" s="138">
        <f>SUMIFS(tbl_task8[S104],tbl_task8[[SubPLOs]:[SubPLOs]],"&gt;=10",tbl_task8[[SubPLOs]:[SubPLOs]],"&lt;11")</f>
        <v>0</v>
      </c>
      <c r="DF43" s="138">
        <f>SUMIFS(tbl_task8[S105],tbl_task8[[SubPLOs]:[SubPLOs]],"&gt;=10",tbl_task8[[SubPLOs]:[SubPLOs]],"&lt;11")</f>
        <v>0</v>
      </c>
      <c r="DG43" s="138">
        <f>SUMIFS(tbl_task8[S106],tbl_task8[[SubPLOs]:[SubPLOs]],"&gt;=10",tbl_task8[[SubPLOs]:[SubPLOs]],"&lt;11")</f>
        <v>0</v>
      </c>
      <c r="DH43" s="138">
        <f>SUMIFS(tbl_task8[S106],tbl_task8[[SubPLOs]:[SubPLOs]],"&gt;=10",tbl_task8[[SubPLOs]:[SubPLOs]],"&lt;11")</f>
        <v>0</v>
      </c>
      <c r="DI43" s="138">
        <f>SUMIFS(tbl_task8[S108],tbl_task8[[SubPLOs]:[SubPLOs]],"&gt;=10",tbl_task8[[SubPLOs]:[SubPLOs]],"&lt;11")</f>
        <v>0</v>
      </c>
      <c r="DJ43" s="138">
        <f>SUMIFS(tbl_task8[S109],tbl_task8[[SubPLOs]:[SubPLOs]],"&gt;=10",tbl_task8[[SubPLOs]:[SubPLOs]],"&lt;11")</f>
        <v>0</v>
      </c>
      <c r="DK43" s="138">
        <f>SUMIFS(tbl_task8[S110],tbl_task8[[SubPLOs]:[SubPLOs]],"&gt;=10",tbl_task8[[SubPLOs]:[SubPLOs]],"&lt;11")</f>
        <v>0</v>
      </c>
      <c r="DL43" s="138">
        <f>SUMIFS(tbl_task8[S111],tbl_task8[[SubPLOs]:[SubPLOs]],"&gt;=10",tbl_task8[[SubPLOs]:[SubPLOs]],"&lt;11")</f>
        <v>0</v>
      </c>
      <c r="DM43" s="138">
        <f>SUMIFS(tbl_task8[S112],tbl_task8[[SubPLOs]:[SubPLOs]],"&gt;=10",tbl_task8[[SubPLOs]:[SubPLOs]],"&lt;11")</f>
        <v>0</v>
      </c>
      <c r="DN43" s="138">
        <f>SUMIFS(tbl_task8[S113],tbl_task8[[SubPLOs]:[SubPLOs]],"&gt;=10",tbl_task8[[SubPLOs]:[SubPLOs]],"&lt;11")</f>
        <v>0</v>
      </c>
      <c r="DO43" s="138">
        <f>SUMIFS(tbl_task8[S114],tbl_task8[[SubPLOs]:[SubPLOs]],"&gt;=10",tbl_task8[[SubPLOs]:[SubPLOs]],"&lt;11")</f>
        <v>0</v>
      </c>
      <c r="DP43" s="138">
        <f>SUMIFS(tbl_task8[S115],tbl_task8[[SubPLOs]:[SubPLOs]],"&gt;=10",tbl_task8[[SubPLOs]:[SubPLOs]],"&lt;11")</f>
        <v>0</v>
      </c>
      <c r="DQ43" s="138">
        <f>SUMIFS(tbl_task8[S116],tbl_task8[[SubPLOs]:[SubPLOs]],"&gt;=10",tbl_task8[[SubPLOs]:[SubPLOs]],"&lt;11")</f>
        <v>0</v>
      </c>
      <c r="DR43" s="138">
        <f>SUMIFS(tbl_task8[S117],tbl_task8[[SubPLOs]:[SubPLOs]],"&gt;=10",tbl_task8[[SubPLOs]:[SubPLOs]],"&lt;11")</f>
        <v>0</v>
      </c>
      <c r="DS43" s="138">
        <f>SUMIFS(tbl_task8[S118],tbl_task8[[SubPLOs]:[SubPLOs]],"&gt;=10",tbl_task8[[SubPLOs]:[SubPLOs]],"&lt;11")</f>
        <v>0</v>
      </c>
      <c r="DT43" s="138">
        <f>SUMIFS(tbl_task8[S119],tbl_task8[[SubPLOs]:[SubPLOs]],"&gt;=10",tbl_task8[[SubPLOs]:[SubPLOs]],"&lt;11")</f>
        <v>0</v>
      </c>
      <c r="DU43" s="138">
        <f>SUMIFS(tbl_task8[S120],tbl_task8[[SubPLOs]:[SubPLOs]],"&gt;=10",tbl_task8[[SubPLOs]:[SubPLOs]],"&lt;11")</f>
        <v>0</v>
      </c>
      <c r="DV43" s="138">
        <f>SUMIFS(tbl_task8[S121],tbl_task8[[SubPLOs]:[SubPLOs]],"&gt;=10",tbl_task8[[SubPLOs]:[SubPLOs]],"&lt;11")</f>
        <v>0</v>
      </c>
      <c r="DW43" s="138">
        <f>SUMIFS(tbl_task8[S122],tbl_task8[[SubPLOs]:[SubPLOs]],"&gt;=10",tbl_task8[[SubPLOs]:[SubPLOs]],"&lt;11")</f>
        <v>0</v>
      </c>
      <c r="DX43" s="138">
        <f>SUMIFS(tbl_task8[S123],tbl_task8[[SubPLOs]:[SubPLOs]],"&gt;=10",tbl_task8[[SubPLOs]:[SubPLOs]],"&lt;11")</f>
        <v>0</v>
      </c>
      <c r="DY43" s="138">
        <f>SUMIFS(tbl_task8[S124],tbl_task8[[SubPLOs]:[SubPLOs]],"&gt;=10",tbl_task8[[SubPLOs]:[SubPLOs]],"&lt;11")</f>
        <v>0</v>
      </c>
      <c r="DZ43" s="138">
        <f>SUMIFS(tbl_task8[S125],tbl_task8[[SubPLOs]:[SubPLOs]],"&gt;=10",tbl_task8[[SubPLOs]:[SubPLOs]],"&lt;11")</f>
        <v>0</v>
      </c>
      <c r="EA43" s="138">
        <f>SUMIFS(tbl_task8[S126],tbl_task8[[SubPLOs]:[SubPLOs]],"&gt;=10",tbl_task8[[SubPLOs]:[SubPLOs]],"&lt;11")</f>
        <v>0</v>
      </c>
      <c r="EB43" s="138">
        <f>SUMIFS(tbl_task8[S127],tbl_task8[[SubPLOs]:[SubPLOs]],"&gt;=10",tbl_task8[[SubPLOs]:[SubPLOs]],"&lt;11")</f>
        <v>0</v>
      </c>
      <c r="EC43" s="138">
        <f>SUMIFS(tbl_task8[S128],tbl_task8[[SubPLOs]:[SubPLOs]],"&gt;=10",tbl_task8[[SubPLOs]:[SubPLOs]],"&lt;11")</f>
        <v>0</v>
      </c>
      <c r="ED43" s="138">
        <f>SUMIFS(tbl_task8[S129],tbl_task8[[SubPLOs]:[SubPLOs]],"&gt;=10",tbl_task8[[SubPLOs]:[SubPLOs]],"&lt;11")</f>
        <v>0</v>
      </c>
      <c r="EE43" s="138">
        <f>SUMIFS(tbl_task8[S130],tbl_task8[[SubPLOs]:[SubPLOs]],"&gt;=10",tbl_task8[[SubPLOs]:[SubPLOs]],"&lt;11")</f>
        <v>0</v>
      </c>
      <c r="EF43" s="138">
        <f>SUMIFS(tbl_task8[S131],tbl_task8[[SubPLOs]:[SubPLOs]],"&gt;=10",tbl_task8[[SubPLOs]:[SubPLOs]],"&lt;11")</f>
        <v>0</v>
      </c>
      <c r="EG43" s="138">
        <f>SUMIFS(tbl_task8[S132],tbl_task8[[SubPLOs]:[SubPLOs]],"&gt;=10",tbl_task8[[SubPLOs]:[SubPLOs]],"&lt;11")</f>
        <v>0</v>
      </c>
      <c r="EH43" s="138">
        <f>SUMIFS(tbl_task8[S133],tbl_task8[[SubPLOs]:[SubPLOs]],"&gt;=10",tbl_task8[[SubPLOs]:[SubPLOs]],"&lt;11")</f>
        <v>0</v>
      </c>
      <c r="EI43" s="138">
        <f>SUMIFS(tbl_task8[S134],tbl_task8[[SubPLOs]:[SubPLOs]],"&gt;=10",tbl_task8[[SubPLOs]:[SubPLOs]],"&lt;11")</f>
        <v>0</v>
      </c>
      <c r="EJ43" s="138">
        <f>SUMIFS(tbl_task8[S135],tbl_task8[[SubPLOs]:[SubPLOs]],"&gt;=10",tbl_task8[[SubPLOs]:[SubPLOs]],"&lt;11")</f>
        <v>0</v>
      </c>
      <c r="EK43" s="138">
        <f>SUMIFS(tbl_task8[S136],tbl_task8[[SubPLOs]:[SubPLOs]],"&gt;=10",tbl_task8[[SubPLOs]:[SubPLOs]],"&lt;11")</f>
        <v>0</v>
      </c>
      <c r="EL43" s="138">
        <f>SUMIFS(tbl_task8[S137],tbl_task8[[SubPLOs]:[SubPLOs]],"&gt;=10",tbl_task8[[SubPLOs]:[SubPLOs]],"&lt;11")</f>
        <v>0</v>
      </c>
      <c r="EM43" s="138">
        <f>SUMIFS(tbl_task8[S138],tbl_task8[[SubPLOs]:[SubPLOs]],"&gt;=10",tbl_task8[[SubPLOs]:[SubPLOs]],"&lt;11")</f>
        <v>0</v>
      </c>
      <c r="EN43" s="138">
        <f>SUMIFS(tbl_task8[S139],tbl_task8[[SubPLOs]:[SubPLOs]],"&gt;=10",tbl_task8[[SubPLOs]:[SubPLOs]],"&lt;11")</f>
        <v>0</v>
      </c>
      <c r="EO43" s="138">
        <f>SUMIFS(tbl_task8[S140],tbl_task8[[SubPLOs]:[SubPLOs]],"&gt;=10",tbl_task8[[SubPLOs]:[SubPLOs]],"&lt;11")</f>
        <v>0</v>
      </c>
      <c r="EP43" s="138">
        <f>SUMIFS(tbl_task8[S141],tbl_task8[[SubPLOs]:[SubPLOs]],"&gt;=10",tbl_task8[[SubPLOs]:[SubPLOs]],"&lt;11")</f>
        <v>0</v>
      </c>
      <c r="EQ43" s="138">
        <f>SUMIFS(tbl_task8[S142],tbl_task8[[SubPLOs]:[SubPLOs]],"&gt;=10",tbl_task8[[SubPLOs]:[SubPLOs]],"&lt;11")</f>
        <v>0</v>
      </c>
      <c r="ER43" s="138">
        <f>SUMIFS(tbl_task8[S143],tbl_task8[[SubPLOs]:[SubPLOs]],"&gt;=10",tbl_task8[[SubPLOs]:[SubPLOs]],"&lt;11")</f>
        <v>0</v>
      </c>
      <c r="ES43" s="138">
        <f>SUMIFS(tbl_task8[S144],tbl_task8[[SubPLOs]:[SubPLOs]],"&gt;=10",tbl_task8[[SubPLOs]:[SubPLOs]],"&lt;11")</f>
        <v>0</v>
      </c>
      <c r="ET43" s="138">
        <f>SUMIFS(tbl_task8[S145],tbl_task8[[SubPLOs]:[SubPLOs]],"&gt;=10",tbl_task8[[SubPLOs]:[SubPLOs]],"&lt;11")</f>
        <v>0</v>
      </c>
      <c r="EU43" s="138">
        <f>SUMIFS(tbl_task8[S146],tbl_task8[[SubPLOs]:[SubPLOs]],"&gt;=10",tbl_task8[[SubPLOs]:[SubPLOs]],"&lt;11")</f>
        <v>0</v>
      </c>
      <c r="EV43" s="138">
        <f>SUMIFS(tbl_task8[S147],tbl_task8[[SubPLOs]:[SubPLOs]],"&gt;=10",tbl_task8[[SubPLOs]:[SubPLOs]],"&lt;11")</f>
        <v>0</v>
      </c>
      <c r="EW43" s="138">
        <f>SUMIFS(tbl_task8[S148],tbl_task8[[SubPLOs]:[SubPLOs]],"&gt;=10",tbl_task8[[SubPLOs]:[SubPLOs]],"&lt;11")</f>
        <v>0</v>
      </c>
      <c r="EX43" s="138">
        <f>SUMIFS(tbl_task8[S149],tbl_task8[[SubPLOs]:[SubPLOs]],"&gt;=10",tbl_task8[[SubPLOs]:[SubPLOs]],"&lt;11")</f>
        <v>0</v>
      </c>
      <c r="EY43" s="138">
        <f>SUMIFS(tbl_task8[S150],tbl_task8[[SubPLOs]:[SubPLOs]],"&gt;=10",tbl_task8[[SubPLOs]:[SubPLOs]],"&lt;11")</f>
        <v>0</v>
      </c>
      <c r="EZ43" s="138">
        <f>SUMIFS(tbl_task8[S151],tbl_task8[[SubPLOs]:[SubPLOs]],"&gt;=10",tbl_task8[[SubPLOs]:[SubPLOs]],"&lt;11")</f>
        <v>0</v>
      </c>
      <c r="FA43" s="138">
        <f>SUMIFS(tbl_task8[S152],tbl_task8[[SubPLOs]:[SubPLOs]],"&gt;=10",tbl_task8[[SubPLOs]:[SubPLOs]],"&lt;11")</f>
        <v>0</v>
      </c>
      <c r="FB43" s="138">
        <f>SUMIFS(tbl_task8[S153],tbl_task8[[SubPLOs]:[SubPLOs]],"&gt;=10",tbl_task8[[SubPLOs]:[SubPLOs]],"&lt;11")</f>
        <v>0</v>
      </c>
      <c r="FC43" s="138">
        <f>SUMIFS(tbl_task8[S154],tbl_task8[[SubPLOs]:[SubPLOs]],"&gt;=10",tbl_task8[[SubPLOs]:[SubPLOs]],"&lt;11")</f>
        <v>0</v>
      </c>
      <c r="FD43" s="138">
        <f>SUMIFS(tbl_task8[S155],tbl_task8[[SubPLOs]:[SubPLOs]],"&gt;=10",tbl_task8[[SubPLOs]:[SubPLOs]],"&lt;11")</f>
        <v>0</v>
      </c>
      <c r="FE43" s="138">
        <f>SUMIFS(tbl_task8[S156],tbl_task8[[SubPLOs]:[SubPLOs]],"&gt;=10",tbl_task8[[SubPLOs]:[SubPLOs]],"&lt;11")</f>
        <v>0</v>
      </c>
      <c r="FF43" s="138">
        <f>SUMIFS(tbl_task8[S157],tbl_task8[[SubPLOs]:[SubPLOs]],"&gt;=10",tbl_task8[[SubPLOs]:[SubPLOs]],"&lt;11")</f>
        <v>0</v>
      </c>
      <c r="FG43" s="138">
        <f>SUMIFS(tbl_task8[S158],tbl_task8[[SubPLOs]:[SubPLOs]],"&gt;=10",tbl_task8[[SubPLOs]:[SubPLOs]],"&lt;11")</f>
        <v>0</v>
      </c>
      <c r="FH43" s="138">
        <f>SUMIFS(tbl_task8[S159],tbl_task8[[SubPLOs]:[SubPLOs]],"&gt;=10",tbl_task8[[SubPLOs]:[SubPLOs]],"&lt;11")</f>
        <v>0</v>
      </c>
      <c r="FI43" s="138">
        <f>SUMIFS(tbl_task8[S160],tbl_task8[[SubPLOs]:[SubPLOs]],"&gt;=10",tbl_task8[[SubPLOs]:[SubPLOs]],"&lt;11")</f>
        <v>0</v>
      </c>
      <c r="FJ43" s="138">
        <f>SUMIFS(tbl_task8[S161],tbl_task8[[SubPLOs]:[SubPLOs]],"&gt;=10",tbl_task8[[SubPLOs]:[SubPLOs]],"&lt;11")</f>
        <v>0</v>
      </c>
      <c r="FK43" s="138">
        <f>SUMIFS(tbl_task8[S162],tbl_task8[[SubPLOs]:[SubPLOs]],"&gt;=10",tbl_task8[[SubPLOs]:[SubPLOs]],"&lt;11")</f>
        <v>0</v>
      </c>
      <c r="FL43" s="138">
        <f>SUMIFS(tbl_task8[S163],tbl_task8[[SubPLOs]:[SubPLOs]],"&gt;=10",tbl_task8[[SubPLOs]:[SubPLOs]],"&lt;11")</f>
        <v>0</v>
      </c>
      <c r="FM43" s="138">
        <f>SUMIFS(tbl_task8[S164],tbl_task8[[SubPLOs]:[SubPLOs]],"&gt;=10",tbl_task8[[SubPLOs]:[SubPLOs]],"&lt;11")</f>
        <v>0</v>
      </c>
      <c r="FN43" s="138">
        <f>SUMIFS(tbl_task8[S165],tbl_task8[[SubPLOs]:[SubPLOs]],"&gt;=10",tbl_task8[[SubPLOs]:[SubPLOs]],"&lt;11")</f>
        <v>0</v>
      </c>
    </row>
    <row r="44" spans="1:170" s="34" customFormat="1" x14ac:dyDescent="0.25">
      <c r="A44" s="125"/>
      <c r="B44" s="126" t="s">
        <v>11</v>
      </c>
      <c r="C44" s="127">
        <f>SUM(C34:C43)</f>
        <v>0</v>
      </c>
      <c r="D44" s="128">
        <f>SUM(D34:D43)</f>
        <v>0</v>
      </c>
      <c r="E44" s="128">
        <f>SUM(E34:E43)</f>
        <v>0</v>
      </c>
      <c r="F44" s="128">
        <f t="shared" ref="F44:BQ44" si="0">SUM(F34:F43)</f>
        <v>0</v>
      </c>
      <c r="G44" s="128">
        <f t="shared" si="0"/>
        <v>0</v>
      </c>
      <c r="H44" s="128">
        <f t="shared" si="0"/>
        <v>0</v>
      </c>
      <c r="I44" s="128">
        <f t="shared" si="0"/>
        <v>0</v>
      </c>
      <c r="J44" s="128">
        <f t="shared" si="0"/>
        <v>0</v>
      </c>
      <c r="K44" s="128">
        <f t="shared" si="0"/>
        <v>0</v>
      </c>
      <c r="L44" s="128">
        <f t="shared" si="0"/>
        <v>0</v>
      </c>
      <c r="M44" s="128">
        <f t="shared" si="0"/>
        <v>0</v>
      </c>
      <c r="N44" s="128">
        <f t="shared" si="0"/>
        <v>0</v>
      </c>
      <c r="O44" s="128">
        <f t="shared" si="0"/>
        <v>0</v>
      </c>
      <c r="P44" s="128">
        <f t="shared" si="0"/>
        <v>0</v>
      </c>
      <c r="Q44" s="128">
        <f t="shared" si="0"/>
        <v>0</v>
      </c>
      <c r="R44" s="128">
        <f t="shared" si="0"/>
        <v>0</v>
      </c>
      <c r="S44" s="128">
        <f t="shared" si="0"/>
        <v>0</v>
      </c>
      <c r="T44" s="128">
        <f t="shared" si="0"/>
        <v>0</v>
      </c>
      <c r="U44" s="128">
        <f t="shared" si="0"/>
        <v>0</v>
      </c>
      <c r="V44" s="128">
        <f t="shared" si="0"/>
        <v>0</v>
      </c>
      <c r="W44" s="128">
        <f t="shared" si="0"/>
        <v>0</v>
      </c>
      <c r="X44" s="128">
        <f t="shared" si="0"/>
        <v>0</v>
      </c>
      <c r="Y44" s="128">
        <f t="shared" si="0"/>
        <v>0</v>
      </c>
      <c r="Z44" s="128">
        <f t="shared" si="0"/>
        <v>0</v>
      </c>
      <c r="AA44" s="128">
        <f t="shared" si="0"/>
        <v>0</v>
      </c>
      <c r="AB44" s="128">
        <f t="shared" si="0"/>
        <v>0</v>
      </c>
      <c r="AC44" s="128">
        <f t="shared" si="0"/>
        <v>0</v>
      </c>
      <c r="AD44" s="128">
        <f t="shared" si="0"/>
        <v>0</v>
      </c>
      <c r="AE44" s="128">
        <f t="shared" si="0"/>
        <v>0</v>
      </c>
      <c r="AF44" s="128">
        <f t="shared" si="0"/>
        <v>0</v>
      </c>
      <c r="AG44" s="128">
        <f t="shared" si="0"/>
        <v>0</v>
      </c>
      <c r="AH44" s="128">
        <f t="shared" si="0"/>
        <v>0</v>
      </c>
      <c r="AI44" s="128">
        <f t="shared" si="0"/>
        <v>0</v>
      </c>
      <c r="AJ44" s="128">
        <f t="shared" si="0"/>
        <v>0</v>
      </c>
      <c r="AK44" s="128">
        <f t="shared" si="0"/>
        <v>0</v>
      </c>
      <c r="AL44" s="128">
        <f t="shared" si="0"/>
        <v>0</v>
      </c>
      <c r="AM44" s="128">
        <f t="shared" si="0"/>
        <v>0</v>
      </c>
      <c r="AN44" s="128">
        <f t="shared" si="0"/>
        <v>0</v>
      </c>
      <c r="AO44" s="128">
        <f t="shared" si="0"/>
        <v>0</v>
      </c>
      <c r="AP44" s="128">
        <f t="shared" si="0"/>
        <v>0</v>
      </c>
      <c r="AQ44" s="128">
        <f t="shared" si="0"/>
        <v>0</v>
      </c>
      <c r="AR44" s="128">
        <f t="shared" si="0"/>
        <v>0</v>
      </c>
      <c r="AS44" s="128">
        <f t="shared" si="0"/>
        <v>0</v>
      </c>
      <c r="AT44" s="128">
        <f t="shared" si="0"/>
        <v>0</v>
      </c>
      <c r="AU44" s="128">
        <f t="shared" si="0"/>
        <v>0</v>
      </c>
      <c r="AV44" s="128">
        <f t="shared" si="0"/>
        <v>0</v>
      </c>
      <c r="AW44" s="128">
        <f t="shared" si="0"/>
        <v>0</v>
      </c>
      <c r="AX44" s="128">
        <f t="shared" si="0"/>
        <v>0</v>
      </c>
      <c r="AY44" s="128">
        <f t="shared" si="0"/>
        <v>0</v>
      </c>
      <c r="AZ44" s="128">
        <f t="shared" si="0"/>
        <v>0</v>
      </c>
      <c r="BA44" s="128">
        <f t="shared" si="0"/>
        <v>0</v>
      </c>
      <c r="BB44" s="128">
        <f t="shared" si="0"/>
        <v>0</v>
      </c>
      <c r="BC44" s="128">
        <f t="shared" si="0"/>
        <v>0</v>
      </c>
      <c r="BD44" s="128">
        <f t="shared" si="0"/>
        <v>0</v>
      </c>
      <c r="BE44" s="128">
        <f t="shared" si="0"/>
        <v>0</v>
      </c>
      <c r="BF44" s="128">
        <f t="shared" si="0"/>
        <v>0</v>
      </c>
      <c r="BG44" s="128">
        <f t="shared" si="0"/>
        <v>0</v>
      </c>
      <c r="BH44" s="128">
        <f t="shared" si="0"/>
        <v>0</v>
      </c>
      <c r="BI44" s="128">
        <f t="shared" si="0"/>
        <v>0</v>
      </c>
      <c r="BJ44" s="128">
        <f t="shared" si="0"/>
        <v>0</v>
      </c>
      <c r="BK44" s="128">
        <f t="shared" si="0"/>
        <v>0</v>
      </c>
      <c r="BL44" s="128">
        <f t="shared" si="0"/>
        <v>0</v>
      </c>
      <c r="BM44" s="128">
        <f t="shared" si="0"/>
        <v>0</v>
      </c>
      <c r="BN44" s="128">
        <f t="shared" si="0"/>
        <v>0</v>
      </c>
      <c r="BO44" s="128">
        <f t="shared" si="0"/>
        <v>0</v>
      </c>
      <c r="BP44" s="128">
        <f t="shared" si="0"/>
        <v>0</v>
      </c>
      <c r="BQ44" s="128">
        <f t="shared" si="0"/>
        <v>0</v>
      </c>
      <c r="BR44" s="128">
        <f t="shared" ref="BR44:EC44" si="1">SUM(BR34:BR43)</f>
        <v>0</v>
      </c>
      <c r="BS44" s="128">
        <f t="shared" si="1"/>
        <v>0</v>
      </c>
      <c r="BT44" s="128">
        <f t="shared" si="1"/>
        <v>0</v>
      </c>
      <c r="BU44" s="128">
        <f t="shared" si="1"/>
        <v>0</v>
      </c>
      <c r="BV44" s="128">
        <f t="shared" si="1"/>
        <v>0</v>
      </c>
      <c r="BW44" s="128">
        <f t="shared" si="1"/>
        <v>0</v>
      </c>
      <c r="BX44" s="128">
        <f t="shared" si="1"/>
        <v>0</v>
      </c>
      <c r="BY44" s="128">
        <f t="shared" si="1"/>
        <v>0</v>
      </c>
      <c r="BZ44" s="128">
        <f t="shared" si="1"/>
        <v>0</v>
      </c>
      <c r="CA44" s="128">
        <f t="shared" si="1"/>
        <v>0</v>
      </c>
      <c r="CB44" s="128">
        <f t="shared" si="1"/>
        <v>0</v>
      </c>
      <c r="CC44" s="128">
        <f t="shared" si="1"/>
        <v>0</v>
      </c>
      <c r="CD44" s="128">
        <f t="shared" si="1"/>
        <v>0</v>
      </c>
      <c r="CE44" s="128">
        <f t="shared" si="1"/>
        <v>0</v>
      </c>
      <c r="CF44" s="128">
        <f t="shared" si="1"/>
        <v>0</v>
      </c>
      <c r="CG44" s="128">
        <f t="shared" si="1"/>
        <v>0</v>
      </c>
      <c r="CH44" s="128">
        <f t="shared" si="1"/>
        <v>0</v>
      </c>
      <c r="CI44" s="128">
        <f t="shared" si="1"/>
        <v>0</v>
      </c>
      <c r="CJ44" s="128">
        <f t="shared" si="1"/>
        <v>0</v>
      </c>
      <c r="CK44" s="128">
        <f t="shared" si="1"/>
        <v>0</v>
      </c>
      <c r="CL44" s="128">
        <f t="shared" si="1"/>
        <v>0</v>
      </c>
      <c r="CM44" s="128">
        <f t="shared" si="1"/>
        <v>0</v>
      </c>
      <c r="CN44" s="128">
        <f t="shared" si="1"/>
        <v>0</v>
      </c>
      <c r="CO44" s="128">
        <f t="shared" si="1"/>
        <v>0</v>
      </c>
      <c r="CP44" s="128">
        <f t="shared" si="1"/>
        <v>0</v>
      </c>
      <c r="CQ44" s="128">
        <f t="shared" si="1"/>
        <v>0</v>
      </c>
      <c r="CR44" s="128">
        <f t="shared" si="1"/>
        <v>0</v>
      </c>
      <c r="CS44" s="128">
        <f t="shared" si="1"/>
        <v>0</v>
      </c>
      <c r="CT44" s="128">
        <f t="shared" si="1"/>
        <v>0</v>
      </c>
      <c r="CU44" s="128">
        <f t="shared" si="1"/>
        <v>0</v>
      </c>
      <c r="CV44" s="128">
        <f t="shared" si="1"/>
        <v>0</v>
      </c>
      <c r="CW44" s="128">
        <f t="shared" si="1"/>
        <v>0</v>
      </c>
      <c r="CX44" s="128">
        <f t="shared" si="1"/>
        <v>0</v>
      </c>
      <c r="CY44" s="128">
        <f t="shared" si="1"/>
        <v>0</v>
      </c>
      <c r="CZ44" s="128">
        <f t="shared" si="1"/>
        <v>0</v>
      </c>
      <c r="DA44" s="128">
        <f t="shared" si="1"/>
        <v>0</v>
      </c>
      <c r="DB44" s="128">
        <f t="shared" si="1"/>
        <v>0</v>
      </c>
      <c r="DC44" s="128">
        <f t="shared" si="1"/>
        <v>0</v>
      </c>
      <c r="DD44" s="128">
        <f t="shared" si="1"/>
        <v>0</v>
      </c>
      <c r="DE44" s="128">
        <f t="shared" si="1"/>
        <v>0</v>
      </c>
      <c r="DF44" s="128">
        <f t="shared" si="1"/>
        <v>0</v>
      </c>
      <c r="DG44" s="128">
        <f t="shared" si="1"/>
        <v>0</v>
      </c>
      <c r="DH44" s="128">
        <f t="shared" si="1"/>
        <v>0</v>
      </c>
      <c r="DI44" s="128">
        <f t="shared" si="1"/>
        <v>0</v>
      </c>
      <c r="DJ44" s="128">
        <f t="shared" si="1"/>
        <v>0</v>
      </c>
      <c r="DK44" s="128">
        <f t="shared" si="1"/>
        <v>0</v>
      </c>
      <c r="DL44" s="128">
        <f t="shared" si="1"/>
        <v>0</v>
      </c>
      <c r="DM44" s="128">
        <f t="shared" si="1"/>
        <v>0</v>
      </c>
      <c r="DN44" s="128">
        <f t="shared" si="1"/>
        <v>0</v>
      </c>
      <c r="DO44" s="128">
        <f t="shared" si="1"/>
        <v>0</v>
      </c>
      <c r="DP44" s="128">
        <f t="shared" si="1"/>
        <v>0</v>
      </c>
      <c r="DQ44" s="128">
        <f t="shared" si="1"/>
        <v>0</v>
      </c>
      <c r="DR44" s="128">
        <f t="shared" si="1"/>
        <v>0</v>
      </c>
      <c r="DS44" s="128">
        <f t="shared" si="1"/>
        <v>0</v>
      </c>
      <c r="DT44" s="128">
        <f t="shared" si="1"/>
        <v>0</v>
      </c>
      <c r="DU44" s="128">
        <f t="shared" si="1"/>
        <v>0</v>
      </c>
      <c r="DV44" s="128">
        <f t="shared" si="1"/>
        <v>0</v>
      </c>
      <c r="DW44" s="128">
        <f t="shared" si="1"/>
        <v>0</v>
      </c>
      <c r="DX44" s="128">
        <f t="shared" si="1"/>
        <v>0</v>
      </c>
      <c r="DY44" s="128">
        <f t="shared" si="1"/>
        <v>0</v>
      </c>
      <c r="DZ44" s="128">
        <f t="shared" si="1"/>
        <v>0</v>
      </c>
      <c r="EA44" s="128">
        <f t="shared" si="1"/>
        <v>0</v>
      </c>
      <c r="EB44" s="128">
        <f t="shared" si="1"/>
        <v>0</v>
      </c>
      <c r="EC44" s="128">
        <f t="shared" si="1"/>
        <v>0</v>
      </c>
      <c r="ED44" s="128">
        <f t="shared" ref="ED44:FN44" si="2">SUM(ED34:ED43)</f>
        <v>0</v>
      </c>
      <c r="EE44" s="128">
        <f t="shared" si="2"/>
        <v>0</v>
      </c>
      <c r="EF44" s="128">
        <f t="shared" si="2"/>
        <v>0</v>
      </c>
      <c r="EG44" s="128">
        <f t="shared" si="2"/>
        <v>0</v>
      </c>
      <c r="EH44" s="128">
        <f t="shared" si="2"/>
        <v>0</v>
      </c>
      <c r="EI44" s="128">
        <f t="shared" si="2"/>
        <v>0</v>
      </c>
      <c r="EJ44" s="128">
        <f t="shared" si="2"/>
        <v>0</v>
      </c>
      <c r="EK44" s="128">
        <f t="shared" si="2"/>
        <v>0</v>
      </c>
      <c r="EL44" s="128">
        <f t="shared" si="2"/>
        <v>0</v>
      </c>
      <c r="EM44" s="128">
        <f t="shared" si="2"/>
        <v>0</v>
      </c>
      <c r="EN44" s="128">
        <f t="shared" si="2"/>
        <v>0</v>
      </c>
      <c r="EO44" s="128">
        <f t="shared" si="2"/>
        <v>0</v>
      </c>
      <c r="EP44" s="128">
        <f t="shared" si="2"/>
        <v>0</v>
      </c>
      <c r="EQ44" s="128">
        <f t="shared" si="2"/>
        <v>0</v>
      </c>
      <c r="ER44" s="128">
        <f t="shared" si="2"/>
        <v>0</v>
      </c>
      <c r="ES44" s="128">
        <f t="shared" si="2"/>
        <v>0</v>
      </c>
      <c r="ET44" s="128">
        <f t="shared" si="2"/>
        <v>0</v>
      </c>
      <c r="EU44" s="128">
        <f t="shared" si="2"/>
        <v>0</v>
      </c>
      <c r="EV44" s="128">
        <f t="shared" si="2"/>
        <v>0</v>
      </c>
      <c r="EW44" s="128">
        <f t="shared" si="2"/>
        <v>0</v>
      </c>
      <c r="EX44" s="128">
        <f t="shared" si="2"/>
        <v>0</v>
      </c>
      <c r="EY44" s="128">
        <f t="shared" si="2"/>
        <v>0</v>
      </c>
      <c r="EZ44" s="128">
        <f t="shared" si="2"/>
        <v>0</v>
      </c>
      <c r="FA44" s="128">
        <f t="shared" si="2"/>
        <v>0</v>
      </c>
      <c r="FB44" s="128">
        <f t="shared" si="2"/>
        <v>0</v>
      </c>
      <c r="FC44" s="128">
        <f t="shared" si="2"/>
        <v>0</v>
      </c>
      <c r="FD44" s="128">
        <f t="shared" si="2"/>
        <v>0</v>
      </c>
      <c r="FE44" s="128">
        <f t="shared" si="2"/>
        <v>0</v>
      </c>
      <c r="FF44" s="128">
        <f t="shared" si="2"/>
        <v>0</v>
      </c>
      <c r="FG44" s="128">
        <f t="shared" si="2"/>
        <v>0</v>
      </c>
      <c r="FH44" s="128">
        <f t="shared" si="2"/>
        <v>0</v>
      </c>
      <c r="FI44" s="128">
        <f t="shared" si="2"/>
        <v>0</v>
      </c>
      <c r="FJ44" s="128">
        <f t="shared" si="2"/>
        <v>0</v>
      </c>
      <c r="FK44" s="128">
        <f t="shared" si="2"/>
        <v>0</v>
      </c>
      <c r="FL44" s="128">
        <f t="shared" si="2"/>
        <v>0</v>
      </c>
      <c r="FM44" s="128">
        <f t="shared" si="2"/>
        <v>0</v>
      </c>
      <c r="FN44" s="128">
        <f t="shared" si="2"/>
        <v>0</v>
      </c>
    </row>
  </sheetData>
  <mergeCells count="1">
    <mergeCell ref="C1:P1"/>
  </mergeCells>
  <dataValidations count="2">
    <dataValidation type="decimal" operator="greaterThanOrEqual" allowBlank="1" showInputMessage="1" showErrorMessage="1" sqref="F4:FN28">
      <formula1>0</formula1>
    </dataValidation>
    <dataValidation type="whole" allowBlank="1" showInputMessage="1" showErrorMessage="1" sqref="F30:FN31">
      <formula1>1</formula1>
      <formula2>4</formula2>
    </dataValidation>
  </dataValidations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52" fitToHeight="0" orientation="landscape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W44"/>
  <sheetViews>
    <sheetView zoomScale="80" zoomScaleNormal="80" workbookViewId="0">
      <pane xSplit="5" ySplit="3" topLeftCell="EX4" activePane="bottomRight" state="frozen"/>
      <selection pane="topRight" activeCell="F1" sqref="F1"/>
      <selection pane="bottomLeft" activeCell="A4" sqref="A4"/>
      <selection pane="bottomRight" activeCell="B34" sqref="B34"/>
    </sheetView>
  </sheetViews>
  <sheetFormatPr defaultColWidth="9.09765625" defaultRowHeight="21" x14ac:dyDescent="0.25"/>
  <cols>
    <col min="1" max="1" width="5.69921875" style="3" customWidth="1"/>
    <col min="2" max="2" width="27.09765625" style="1" customWidth="1"/>
    <col min="3" max="3" width="28.3984375" style="2" customWidth="1"/>
    <col min="4" max="4" width="10.09765625" style="101" customWidth="1"/>
    <col min="5" max="5" width="11" style="3" customWidth="1"/>
    <col min="6" max="335" width="6.69921875" style="3" customWidth="1"/>
    <col min="336" max="16384" width="9.09765625" style="3"/>
  </cols>
  <sheetData>
    <row r="1" spans="1:335" s="110" customFormat="1" ht="27.75" customHeight="1" x14ac:dyDescent="0.25">
      <c r="A1" s="120" t="s">
        <v>272</v>
      </c>
      <c r="B1" s="119" t="s">
        <v>308</v>
      </c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</row>
    <row r="2" spans="1:335" s="111" customFormat="1" ht="13.5" customHeight="1" x14ac:dyDescent="0.25">
      <c r="A2" s="112"/>
      <c r="B2" s="112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4"/>
    </row>
    <row r="3" spans="1:335" s="32" customFormat="1" x14ac:dyDescent="0.6">
      <c r="A3" s="28" t="s">
        <v>137</v>
      </c>
      <c r="B3" s="29" t="s">
        <v>452</v>
      </c>
      <c r="C3" s="30" t="s">
        <v>453</v>
      </c>
      <c r="D3" s="104" t="s">
        <v>306</v>
      </c>
      <c r="E3" s="105" t="s">
        <v>307</v>
      </c>
      <c r="F3" s="31" t="s">
        <v>2</v>
      </c>
      <c r="G3" s="31" t="s">
        <v>0</v>
      </c>
      <c r="H3" s="31" t="s">
        <v>1</v>
      </c>
      <c r="I3" s="31" t="s">
        <v>4</v>
      </c>
      <c r="J3" s="31" t="s">
        <v>138</v>
      </c>
      <c r="K3" s="31" t="s">
        <v>139</v>
      </c>
      <c r="L3" s="31" t="s">
        <v>140</v>
      </c>
      <c r="M3" s="31" t="s">
        <v>141</v>
      </c>
      <c r="N3" s="31" t="s">
        <v>142</v>
      </c>
      <c r="O3" s="31" t="s">
        <v>143</v>
      </c>
      <c r="P3" s="31" t="s">
        <v>144</v>
      </c>
      <c r="Q3" s="31" t="s">
        <v>145</v>
      </c>
      <c r="R3" s="31" t="s">
        <v>146</v>
      </c>
      <c r="S3" s="31" t="s">
        <v>147</v>
      </c>
      <c r="T3" s="31" t="s">
        <v>148</v>
      </c>
      <c r="U3" s="31" t="s">
        <v>149</v>
      </c>
      <c r="V3" s="31" t="s">
        <v>150</v>
      </c>
      <c r="W3" s="31" t="s">
        <v>151</v>
      </c>
      <c r="X3" s="31" t="s">
        <v>152</v>
      </c>
      <c r="Y3" s="31" t="s">
        <v>153</v>
      </c>
      <c r="Z3" s="31" t="s">
        <v>154</v>
      </c>
      <c r="AA3" s="31" t="s">
        <v>155</v>
      </c>
      <c r="AB3" s="31" t="s">
        <v>156</v>
      </c>
      <c r="AC3" s="31" t="s">
        <v>157</v>
      </c>
      <c r="AD3" s="31" t="s">
        <v>158</v>
      </c>
      <c r="AE3" s="31" t="s">
        <v>159</v>
      </c>
      <c r="AF3" s="31" t="s">
        <v>160</v>
      </c>
      <c r="AG3" s="31" t="s">
        <v>161</v>
      </c>
      <c r="AH3" s="31" t="s">
        <v>162</v>
      </c>
      <c r="AI3" s="31" t="s">
        <v>163</v>
      </c>
      <c r="AJ3" s="31" t="s">
        <v>164</v>
      </c>
      <c r="AK3" s="31" t="s">
        <v>165</v>
      </c>
      <c r="AL3" s="31" t="s">
        <v>166</v>
      </c>
      <c r="AM3" s="31" t="s">
        <v>167</v>
      </c>
      <c r="AN3" s="31" t="s">
        <v>168</v>
      </c>
      <c r="AO3" s="31" t="s">
        <v>169</v>
      </c>
      <c r="AP3" s="31" t="s">
        <v>170</v>
      </c>
      <c r="AQ3" s="31" t="s">
        <v>171</v>
      </c>
      <c r="AR3" s="31" t="s">
        <v>172</v>
      </c>
      <c r="AS3" s="31" t="s">
        <v>173</v>
      </c>
      <c r="AT3" s="31" t="s">
        <v>174</v>
      </c>
      <c r="AU3" s="31" t="s">
        <v>175</v>
      </c>
      <c r="AV3" s="31" t="s">
        <v>176</v>
      </c>
      <c r="AW3" s="31" t="s">
        <v>177</v>
      </c>
      <c r="AX3" s="31" t="s">
        <v>178</v>
      </c>
      <c r="AY3" s="31" t="s">
        <v>179</v>
      </c>
      <c r="AZ3" s="31" t="s">
        <v>180</v>
      </c>
      <c r="BA3" s="31" t="s">
        <v>181</v>
      </c>
      <c r="BB3" s="31" t="s">
        <v>182</v>
      </c>
      <c r="BC3" s="31" t="s">
        <v>183</v>
      </c>
      <c r="BD3" s="31" t="s">
        <v>184</v>
      </c>
      <c r="BE3" s="31" t="s">
        <v>185</v>
      </c>
      <c r="BF3" s="31" t="s">
        <v>186</v>
      </c>
      <c r="BG3" s="31" t="s">
        <v>187</v>
      </c>
      <c r="BH3" s="31" t="s">
        <v>188</v>
      </c>
      <c r="BI3" s="31" t="s">
        <v>189</v>
      </c>
      <c r="BJ3" s="31" t="s">
        <v>190</v>
      </c>
      <c r="BK3" s="31" t="s">
        <v>191</v>
      </c>
      <c r="BL3" s="31" t="s">
        <v>192</v>
      </c>
      <c r="BM3" s="31" t="s">
        <v>193</v>
      </c>
      <c r="BN3" s="31" t="s">
        <v>194</v>
      </c>
      <c r="BO3" s="31" t="s">
        <v>195</v>
      </c>
      <c r="BP3" s="31" t="s">
        <v>196</v>
      </c>
      <c r="BQ3" s="31" t="s">
        <v>197</v>
      </c>
      <c r="BR3" s="31" t="s">
        <v>198</v>
      </c>
      <c r="BS3" s="31" t="s">
        <v>199</v>
      </c>
      <c r="BT3" s="31" t="s">
        <v>200</v>
      </c>
      <c r="BU3" s="31" t="s">
        <v>201</v>
      </c>
      <c r="BV3" s="31" t="s">
        <v>202</v>
      </c>
      <c r="BW3" s="31" t="s">
        <v>203</v>
      </c>
      <c r="BX3" s="31" t="s">
        <v>204</v>
      </c>
      <c r="BY3" s="31" t="s">
        <v>205</v>
      </c>
      <c r="BZ3" s="31" t="s">
        <v>206</v>
      </c>
      <c r="CA3" s="31" t="s">
        <v>207</v>
      </c>
      <c r="CB3" s="31" t="s">
        <v>208</v>
      </c>
      <c r="CC3" s="31" t="s">
        <v>209</v>
      </c>
      <c r="CD3" s="31" t="s">
        <v>210</v>
      </c>
      <c r="CE3" s="31" t="s">
        <v>211</v>
      </c>
      <c r="CF3" s="31" t="s">
        <v>212</v>
      </c>
      <c r="CG3" s="31" t="s">
        <v>213</v>
      </c>
      <c r="CH3" s="31" t="s">
        <v>214</v>
      </c>
      <c r="CI3" s="31" t="s">
        <v>215</v>
      </c>
      <c r="CJ3" s="31" t="s">
        <v>216</v>
      </c>
      <c r="CK3" s="31" t="s">
        <v>217</v>
      </c>
      <c r="CL3" s="31" t="s">
        <v>218</v>
      </c>
      <c r="CM3" s="31" t="s">
        <v>219</v>
      </c>
      <c r="CN3" s="31" t="s">
        <v>220</v>
      </c>
      <c r="CO3" s="31" t="s">
        <v>221</v>
      </c>
      <c r="CP3" s="31" t="s">
        <v>222</v>
      </c>
      <c r="CQ3" s="31" t="s">
        <v>223</v>
      </c>
      <c r="CR3" s="31" t="s">
        <v>224</v>
      </c>
      <c r="CS3" s="31" t="s">
        <v>225</v>
      </c>
      <c r="CT3" s="31" t="s">
        <v>226</v>
      </c>
      <c r="CU3" s="31" t="s">
        <v>227</v>
      </c>
      <c r="CV3" s="31" t="s">
        <v>228</v>
      </c>
      <c r="CW3" s="31" t="s">
        <v>229</v>
      </c>
      <c r="CX3" s="31" t="s">
        <v>230</v>
      </c>
      <c r="CY3" s="31" t="s">
        <v>231</v>
      </c>
      <c r="CZ3" s="31" t="s">
        <v>232</v>
      </c>
      <c r="DA3" s="31" t="s">
        <v>233</v>
      </c>
      <c r="DB3" s="31" t="s">
        <v>234</v>
      </c>
      <c r="DC3" s="31" t="s">
        <v>235</v>
      </c>
      <c r="DD3" s="31" t="s">
        <v>236</v>
      </c>
      <c r="DE3" s="31" t="s">
        <v>237</v>
      </c>
      <c r="DF3" s="31" t="s">
        <v>238</v>
      </c>
      <c r="DG3" s="31" t="s">
        <v>239</v>
      </c>
      <c r="DH3" s="31" t="s">
        <v>240</v>
      </c>
      <c r="DI3" s="31" t="s">
        <v>241</v>
      </c>
      <c r="DJ3" s="31" t="s">
        <v>242</v>
      </c>
      <c r="DK3" s="31" t="s">
        <v>243</v>
      </c>
      <c r="DL3" s="31" t="s">
        <v>244</v>
      </c>
      <c r="DM3" s="31" t="s">
        <v>245</v>
      </c>
      <c r="DN3" s="31" t="s">
        <v>246</v>
      </c>
      <c r="DO3" s="31" t="s">
        <v>247</v>
      </c>
      <c r="DP3" s="31" t="s">
        <v>248</v>
      </c>
      <c r="DQ3" s="31" t="s">
        <v>309</v>
      </c>
      <c r="DR3" s="31" t="s">
        <v>310</v>
      </c>
      <c r="DS3" s="31" t="s">
        <v>311</v>
      </c>
      <c r="DT3" s="31" t="s">
        <v>312</v>
      </c>
      <c r="DU3" s="31" t="s">
        <v>313</v>
      </c>
      <c r="DV3" s="31" t="s">
        <v>314</v>
      </c>
      <c r="DW3" s="31" t="s">
        <v>315</v>
      </c>
      <c r="DX3" s="31" t="s">
        <v>316</v>
      </c>
      <c r="DY3" s="31" t="s">
        <v>317</v>
      </c>
      <c r="DZ3" s="31" t="s">
        <v>318</v>
      </c>
      <c r="EA3" s="31" t="s">
        <v>319</v>
      </c>
      <c r="EB3" s="31" t="s">
        <v>320</v>
      </c>
      <c r="EC3" s="31" t="s">
        <v>321</v>
      </c>
      <c r="ED3" s="31" t="s">
        <v>322</v>
      </c>
      <c r="EE3" s="31" t="s">
        <v>323</v>
      </c>
      <c r="EF3" s="31" t="s">
        <v>324</v>
      </c>
      <c r="EG3" s="31" t="s">
        <v>325</v>
      </c>
      <c r="EH3" s="31" t="s">
        <v>326</v>
      </c>
      <c r="EI3" s="31" t="s">
        <v>327</v>
      </c>
      <c r="EJ3" s="31" t="s">
        <v>328</v>
      </c>
      <c r="EK3" s="31" t="s">
        <v>329</v>
      </c>
      <c r="EL3" s="31" t="s">
        <v>330</v>
      </c>
      <c r="EM3" s="31" t="s">
        <v>331</v>
      </c>
      <c r="EN3" s="31" t="s">
        <v>332</v>
      </c>
      <c r="EO3" s="31" t="s">
        <v>333</v>
      </c>
      <c r="EP3" s="31" t="s">
        <v>334</v>
      </c>
      <c r="EQ3" s="31" t="s">
        <v>335</v>
      </c>
      <c r="ER3" s="31" t="s">
        <v>336</v>
      </c>
      <c r="ES3" s="31" t="s">
        <v>337</v>
      </c>
      <c r="ET3" s="31" t="s">
        <v>338</v>
      </c>
      <c r="EU3" s="31" t="s">
        <v>339</v>
      </c>
      <c r="EV3" s="31" t="s">
        <v>340</v>
      </c>
      <c r="EW3" s="31" t="s">
        <v>341</v>
      </c>
      <c r="EX3" s="31" t="s">
        <v>342</v>
      </c>
      <c r="EY3" s="31" t="s">
        <v>343</v>
      </c>
      <c r="EZ3" s="31" t="s">
        <v>344</v>
      </c>
      <c r="FA3" s="31" t="s">
        <v>345</v>
      </c>
      <c r="FB3" s="31" t="s">
        <v>346</v>
      </c>
      <c r="FC3" s="31" t="s">
        <v>347</v>
      </c>
      <c r="FD3" s="31" t="s">
        <v>348</v>
      </c>
      <c r="FE3" s="31" t="s">
        <v>349</v>
      </c>
      <c r="FF3" s="31" t="s">
        <v>350</v>
      </c>
      <c r="FG3" s="31" t="s">
        <v>351</v>
      </c>
      <c r="FH3" s="31" t="s">
        <v>352</v>
      </c>
      <c r="FI3" s="31" t="s">
        <v>353</v>
      </c>
      <c r="FJ3" s="31" t="s">
        <v>354</v>
      </c>
      <c r="FK3" s="31" t="s">
        <v>355</v>
      </c>
      <c r="FL3" s="31" t="s">
        <v>356</v>
      </c>
      <c r="FM3" s="31" t="s">
        <v>357</v>
      </c>
      <c r="FN3" s="31" t="s">
        <v>358</v>
      </c>
      <c r="FO3" s="123" t="s">
        <v>22</v>
      </c>
      <c r="FP3" s="123" t="s">
        <v>23</v>
      </c>
      <c r="FQ3" s="123" t="s">
        <v>24</v>
      </c>
      <c r="FR3" s="123" t="s">
        <v>25</v>
      </c>
      <c r="FS3" s="123" t="s">
        <v>26</v>
      </c>
      <c r="FT3" s="123" t="s">
        <v>27</v>
      </c>
      <c r="FU3" s="123" t="s">
        <v>28</v>
      </c>
      <c r="FV3" s="123" t="s">
        <v>29</v>
      </c>
      <c r="FW3" s="123" t="s">
        <v>30</v>
      </c>
      <c r="FX3" s="123" t="s">
        <v>31</v>
      </c>
      <c r="FY3" s="123" t="s">
        <v>32</v>
      </c>
      <c r="FZ3" s="123" t="s">
        <v>33</v>
      </c>
      <c r="GA3" s="123" t="s">
        <v>34</v>
      </c>
      <c r="GB3" s="123" t="s">
        <v>35</v>
      </c>
      <c r="GC3" s="123" t="s">
        <v>36</v>
      </c>
      <c r="GD3" s="123" t="s">
        <v>37</v>
      </c>
      <c r="GE3" s="123" t="s">
        <v>38</v>
      </c>
      <c r="GF3" s="123" t="s">
        <v>39</v>
      </c>
      <c r="GG3" s="123" t="s">
        <v>40</v>
      </c>
      <c r="GH3" s="123" t="s">
        <v>41</v>
      </c>
      <c r="GI3" s="123" t="s">
        <v>42</v>
      </c>
      <c r="GJ3" s="123" t="s">
        <v>43</v>
      </c>
      <c r="GK3" s="123" t="s">
        <v>44</v>
      </c>
      <c r="GL3" s="123" t="s">
        <v>45</v>
      </c>
      <c r="GM3" s="123" t="s">
        <v>46</v>
      </c>
      <c r="GN3" s="123" t="s">
        <v>47</v>
      </c>
      <c r="GO3" s="123" t="s">
        <v>48</v>
      </c>
      <c r="GP3" s="123" t="s">
        <v>49</v>
      </c>
      <c r="GQ3" s="123" t="s">
        <v>50</v>
      </c>
      <c r="GR3" s="123" t="s">
        <v>51</v>
      </c>
      <c r="GS3" s="123" t="s">
        <v>52</v>
      </c>
      <c r="GT3" s="123" t="s">
        <v>53</v>
      </c>
      <c r="GU3" s="123" t="s">
        <v>54</v>
      </c>
      <c r="GV3" s="123" t="s">
        <v>55</v>
      </c>
      <c r="GW3" s="123" t="s">
        <v>56</v>
      </c>
      <c r="GX3" s="123" t="s">
        <v>57</v>
      </c>
      <c r="GY3" s="123" t="s">
        <v>58</v>
      </c>
      <c r="GZ3" s="123" t="s">
        <v>59</v>
      </c>
      <c r="HA3" s="123" t="s">
        <v>60</v>
      </c>
      <c r="HB3" s="123" t="s">
        <v>61</v>
      </c>
      <c r="HC3" s="123" t="s">
        <v>62</v>
      </c>
      <c r="HD3" s="123" t="s">
        <v>63</v>
      </c>
      <c r="HE3" s="123" t="s">
        <v>64</v>
      </c>
      <c r="HF3" s="123" t="s">
        <v>65</v>
      </c>
      <c r="HG3" s="123" t="s">
        <v>66</v>
      </c>
      <c r="HH3" s="123" t="s">
        <v>67</v>
      </c>
      <c r="HI3" s="123" t="s">
        <v>68</v>
      </c>
      <c r="HJ3" s="123" t="s">
        <v>69</v>
      </c>
      <c r="HK3" s="123" t="s">
        <v>70</v>
      </c>
      <c r="HL3" s="123" t="s">
        <v>71</v>
      </c>
      <c r="HM3" s="123" t="s">
        <v>72</v>
      </c>
      <c r="HN3" s="123" t="s">
        <v>73</v>
      </c>
      <c r="HO3" s="123" t="s">
        <v>74</v>
      </c>
      <c r="HP3" s="123" t="s">
        <v>75</v>
      </c>
      <c r="HQ3" s="123" t="s">
        <v>76</v>
      </c>
      <c r="HR3" s="123" t="s">
        <v>77</v>
      </c>
      <c r="HS3" s="123" t="s">
        <v>78</v>
      </c>
      <c r="HT3" s="123" t="s">
        <v>79</v>
      </c>
      <c r="HU3" s="123" t="s">
        <v>80</v>
      </c>
      <c r="HV3" s="123" t="s">
        <v>81</v>
      </c>
      <c r="HW3" s="123" t="s">
        <v>82</v>
      </c>
      <c r="HX3" s="123" t="s">
        <v>83</v>
      </c>
      <c r="HY3" s="123" t="s">
        <v>84</v>
      </c>
      <c r="HZ3" s="123" t="s">
        <v>85</v>
      </c>
      <c r="IA3" s="123" t="s">
        <v>86</v>
      </c>
      <c r="IB3" s="123" t="s">
        <v>87</v>
      </c>
      <c r="IC3" s="123" t="s">
        <v>88</v>
      </c>
      <c r="ID3" s="123" t="s">
        <v>89</v>
      </c>
      <c r="IE3" s="123" t="s">
        <v>90</v>
      </c>
      <c r="IF3" s="123" t="s">
        <v>91</v>
      </c>
      <c r="IG3" s="123" t="s">
        <v>92</v>
      </c>
      <c r="IH3" s="123" t="s">
        <v>93</v>
      </c>
      <c r="II3" s="123" t="s">
        <v>94</v>
      </c>
      <c r="IJ3" s="123" t="s">
        <v>95</v>
      </c>
      <c r="IK3" s="123" t="s">
        <v>96</v>
      </c>
      <c r="IL3" s="123" t="s">
        <v>97</v>
      </c>
      <c r="IM3" s="123" t="s">
        <v>98</v>
      </c>
      <c r="IN3" s="123" t="s">
        <v>99</v>
      </c>
      <c r="IO3" s="123" t="s">
        <v>100</v>
      </c>
      <c r="IP3" s="123" t="s">
        <v>101</v>
      </c>
      <c r="IQ3" s="123" t="s">
        <v>102</v>
      </c>
      <c r="IR3" s="123" t="s">
        <v>103</v>
      </c>
      <c r="IS3" s="123" t="s">
        <v>104</v>
      </c>
      <c r="IT3" s="123" t="s">
        <v>105</v>
      </c>
      <c r="IU3" s="123" t="s">
        <v>106</v>
      </c>
      <c r="IV3" s="123" t="s">
        <v>107</v>
      </c>
      <c r="IW3" s="123" t="s">
        <v>108</v>
      </c>
      <c r="IX3" s="123" t="s">
        <v>109</v>
      </c>
      <c r="IY3" s="123" t="s">
        <v>110</v>
      </c>
      <c r="IZ3" s="123" t="s">
        <v>111</v>
      </c>
      <c r="JA3" s="123" t="s">
        <v>112</v>
      </c>
      <c r="JB3" s="123" t="s">
        <v>113</v>
      </c>
      <c r="JC3" s="123" t="s">
        <v>114</v>
      </c>
      <c r="JD3" s="123" t="s">
        <v>115</v>
      </c>
      <c r="JE3" s="123" t="s">
        <v>116</v>
      </c>
      <c r="JF3" s="123" t="s">
        <v>117</v>
      </c>
      <c r="JG3" s="123" t="s">
        <v>118</v>
      </c>
      <c r="JH3" s="123" t="s">
        <v>119</v>
      </c>
      <c r="JI3" s="123" t="s">
        <v>120</v>
      </c>
      <c r="JJ3" s="123" t="s">
        <v>121</v>
      </c>
      <c r="JK3" s="123" t="s">
        <v>122</v>
      </c>
      <c r="JL3" s="123" t="s">
        <v>123</v>
      </c>
      <c r="JM3" s="123" t="s">
        <v>124</v>
      </c>
      <c r="JN3" s="123" t="s">
        <v>125</v>
      </c>
      <c r="JO3" s="123" t="s">
        <v>126</v>
      </c>
      <c r="JP3" s="123" t="s">
        <v>127</v>
      </c>
      <c r="JQ3" s="123" t="s">
        <v>128</v>
      </c>
      <c r="JR3" s="123" t="s">
        <v>129</v>
      </c>
      <c r="JS3" s="123" t="s">
        <v>130</v>
      </c>
      <c r="JT3" s="123" t="s">
        <v>131</v>
      </c>
      <c r="JU3" s="123" t="s">
        <v>132</v>
      </c>
      <c r="JV3" s="123" t="s">
        <v>133</v>
      </c>
      <c r="JW3" s="123" t="s">
        <v>134</v>
      </c>
      <c r="JX3" s="123" t="s">
        <v>135</v>
      </c>
      <c r="JY3" s="123" t="s">
        <v>136</v>
      </c>
      <c r="JZ3" s="123" t="s">
        <v>359</v>
      </c>
      <c r="KA3" s="123" t="s">
        <v>360</v>
      </c>
      <c r="KB3" s="123" t="s">
        <v>361</v>
      </c>
      <c r="KC3" s="123" t="s">
        <v>362</v>
      </c>
      <c r="KD3" s="123" t="s">
        <v>363</v>
      </c>
      <c r="KE3" s="123" t="s">
        <v>364</v>
      </c>
      <c r="KF3" s="123" t="s">
        <v>365</v>
      </c>
      <c r="KG3" s="123" t="s">
        <v>366</v>
      </c>
      <c r="KH3" s="123" t="s">
        <v>367</v>
      </c>
      <c r="KI3" s="123" t="s">
        <v>368</v>
      </c>
      <c r="KJ3" s="123" t="s">
        <v>369</v>
      </c>
      <c r="KK3" s="123" t="s">
        <v>370</v>
      </c>
      <c r="KL3" s="123" t="s">
        <v>371</v>
      </c>
      <c r="KM3" s="123" t="s">
        <v>372</v>
      </c>
      <c r="KN3" s="123" t="s">
        <v>373</v>
      </c>
      <c r="KO3" s="123" t="s">
        <v>374</v>
      </c>
      <c r="KP3" s="123" t="s">
        <v>375</v>
      </c>
      <c r="KQ3" s="123" t="s">
        <v>376</v>
      </c>
      <c r="KR3" s="123" t="s">
        <v>377</v>
      </c>
      <c r="KS3" s="123" t="s">
        <v>378</v>
      </c>
      <c r="KT3" s="123" t="s">
        <v>379</v>
      </c>
      <c r="KU3" s="123" t="s">
        <v>380</v>
      </c>
      <c r="KV3" s="123" t="s">
        <v>381</v>
      </c>
      <c r="KW3" s="123" t="s">
        <v>382</v>
      </c>
      <c r="KX3" s="123" t="s">
        <v>383</v>
      </c>
      <c r="KY3" s="123" t="s">
        <v>384</v>
      </c>
      <c r="KZ3" s="123" t="s">
        <v>385</v>
      </c>
      <c r="LA3" s="123" t="s">
        <v>386</v>
      </c>
      <c r="LB3" s="123" t="s">
        <v>387</v>
      </c>
      <c r="LC3" s="123" t="s">
        <v>388</v>
      </c>
      <c r="LD3" s="123" t="s">
        <v>389</v>
      </c>
      <c r="LE3" s="123" t="s">
        <v>390</v>
      </c>
      <c r="LF3" s="123" t="s">
        <v>391</v>
      </c>
      <c r="LG3" s="123" t="s">
        <v>392</v>
      </c>
      <c r="LH3" s="123" t="s">
        <v>393</v>
      </c>
      <c r="LI3" s="123" t="s">
        <v>394</v>
      </c>
      <c r="LJ3" s="123" t="s">
        <v>395</v>
      </c>
      <c r="LK3" s="123" t="s">
        <v>396</v>
      </c>
      <c r="LL3" s="123" t="s">
        <v>397</v>
      </c>
      <c r="LM3" s="123" t="s">
        <v>398</v>
      </c>
      <c r="LN3" s="123" t="s">
        <v>399</v>
      </c>
      <c r="LO3" s="123" t="s">
        <v>400</v>
      </c>
      <c r="LP3" s="123" t="s">
        <v>401</v>
      </c>
      <c r="LQ3" s="123" t="s">
        <v>402</v>
      </c>
      <c r="LR3" s="123" t="s">
        <v>403</v>
      </c>
      <c r="LS3" s="123" t="s">
        <v>404</v>
      </c>
      <c r="LT3" s="123" t="s">
        <v>405</v>
      </c>
      <c r="LU3" s="123" t="s">
        <v>406</v>
      </c>
      <c r="LV3" s="123" t="s">
        <v>407</v>
      </c>
      <c r="LW3" s="123" t="s">
        <v>408</v>
      </c>
    </row>
    <row r="4" spans="1:335" ht="23.25" customHeight="1" x14ac:dyDescent="0.25">
      <c r="A4" s="24">
        <v>1</v>
      </c>
      <c r="B4" s="20"/>
      <c r="C4" s="5" t="str">
        <f>IF(ISBLANK(B4),"",VLOOKUP(B4,tbl_PLOs[],2,0))</f>
        <v/>
      </c>
      <c r="D4" s="102"/>
      <c r="E4" s="10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22"/>
      <c r="FO4" s="121" t="str">
        <f>IF(ISBLANK(tbl_task9[[คะแนนเต็ม]:[คะแนนเต็ม]]),"",(tbl_task9[1]/tbl_task9[[คะแนนเต็ม]:[คะแนนเต็ม]])*tbl_task9[[%]:[%]])</f>
        <v/>
      </c>
      <c r="FP4" s="121" t="str">
        <f>IF(ISBLANK(tbl_task9[[คะแนนเต็ม]:[คะแนนเต็ม]]),"",(tbl_task9[2]/tbl_task9[[คะแนนเต็ม]:[คะแนนเต็ม]])*tbl_task9[[%]:[%]])</f>
        <v/>
      </c>
      <c r="FQ4" s="121" t="str">
        <f>IF(ISBLANK(tbl_task9[[คะแนนเต็ม]:[คะแนนเต็ม]]),"",(tbl_task9[3]/tbl_task9[[คะแนนเต็ม]:[คะแนนเต็ม]])*tbl_task9[[%]:[%]])</f>
        <v/>
      </c>
      <c r="FR4" s="121" t="str">
        <f>IF(ISBLANK(tbl_task9[[คะแนนเต็ม]:[คะแนนเต็ม]]),"",(tbl_task9[4]/tbl_task9[[คะแนนเต็ม]:[คะแนนเต็ม]])*tbl_task9[[%]:[%]])</f>
        <v/>
      </c>
      <c r="FS4" s="121" t="str">
        <f>IF(ISBLANK(tbl_task9[[คะแนนเต็ม]:[คะแนนเต็ม]]),"",(tbl_task9[5]/tbl_task9[[คะแนนเต็ม]:[คะแนนเต็ม]])*tbl_task9[[%]:[%]])</f>
        <v/>
      </c>
      <c r="FT4" s="121" t="str">
        <f>IF(ISBLANK(tbl_task9[[คะแนนเต็ม]:[คะแนนเต็ม]]),"",(tbl_task9[6]/tbl_task9[[คะแนนเต็ม]:[คะแนนเต็ม]])*tbl_task9[[%]:[%]])</f>
        <v/>
      </c>
      <c r="FU4" s="121" t="str">
        <f>IF(ISBLANK(tbl_task9[[คะแนนเต็ม]:[คะแนนเต็ม]]),"",(tbl_task9[7]/tbl_task9[[คะแนนเต็ม]:[คะแนนเต็ม]])*tbl_task9[[%]:[%]])</f>
        <v/>
      </c>
      <c r="FV4" s="121" t="str">
        <f>IF(ISBLANK(tbl_task9[[คะแนนเต็ม]:[คะแนนเต็ม]]),"",(tbl_task9[8]/tbl_task9[[คะแนนเต็ม]:[คะแนนเต็ม]])*tbl_task9[[%]:[%]])</f>
        <v/>
      </c>
      <c r="FW4" s="121" t="str">
        <f>IF(ISBLANK(tbl_task9[[คะแนนเต็ม]:[คะแนนเต็ม]]),"",(tbl_task9[9]/tbl_task9[[คะแนนเต็ม]:[คะแนนเต็ม]])*tbl_task9[[%]:[%]])</f>
        <v/>
      </c>
      <c r="FX4" s="121" t="str">
        <f>IF(ISBLANK(tbl_task9[[คะแนนเต็ม]:[คะแนนเต็ม]]),"",(tbl_task9[10]/tbl_task9[[คะแนนเต็ม]:[คะแนนเต็ม]])*tbl_task9[[%]:[%]])</f>
        <v/>
      </c>
      <c r="FY4" s="121" t="str">
        <f>IF(ISBLANK(tbl_task9[[คะแนนเต็ม]:[คะแนนเต็ม]]),"",(tbl_task9[11]/tbl_task9[[คะแนนเต็ม]:[คะแนนเต็ม]])*tbl_task9[[%]:[%]])</f>
        <v/>
      </c>
      <c r="FZ4" s="121" t="str">
        <f>IF(ISBLANK(tbl_task9[[คะแนนเต็ม]:[คะแนนเต็ม]]),"",(tbl_task9[12]/tbl_task9[[คะแนนเต็ม]:[คะแนนเต็ม]])*tbl_task9[[%]:[%]])</f>
        <v/>
      </c>
      <c r="GA4" s="121" t="str">
        <f>IF(ISBLANK(tbl_task9[[คะแนนเต็ม]:[คะแนนเต็ม]]),"",(tbl_task9[13]/tbl_task9[[คะแนนเต็ม]:[คะแนนเต็ม]])*tbl_task9[[%]:[%]])</f>
        <v/>
      </c>
      <c r="GB4" s="121" t="str">
        <f>IF(ISBLANK(tbl_task9[[คะแนนเต็ม]:[คะแนนเต็ม]]),"",(tbl_task9[14]/tbl_task9[[คะแนนเต็ม]:[คะแนนเต็ม]])*tbl_task9[[%]:[%]])</f>
        <v/>
      </c>
      <c r="GC4" s="121" t="str">
        <f>IF(ISBLANK(tbl_task9[[คะแนนเต็ม]:[คะแนนเต็ม]]),"",(tbl_task9[15]/tbl_task9[[คะแนนเต็ม]:[คะแนนเต็ม]])*tbl_task9[[%]:[%]])</f>
        <v/>
      </c>
      <c r="GD4" s="121" t="str">
        <f>IF(ISBLANK(tbl_task9[[คะแนนเต็ม]:[คะแนนเต็ม]]),"",(tbl_task9[16]/tbl_task9[[คะแนนเต็ม]:[คะแนนเต็ม]])*tbl_task9[[%]:[%]])</f>
        <v/>
      </c>
      <c r="GE4" s="121" t="str">
        <f>IF(ISBLANK(tbl_task9[[คะแนนเต็ม]:[คะแนนเต็ม]]),"",(tbl_task9[17]/tbl_task9[[คะแนนเต็ม]:[คะแนนเต็ม]])*tbl_task9[[%]:[%]])</f>
        <v/>
      </c>
      <c r="GF4" s="121" t="str">
        <f>IF(ISBLANK(tbl_task9[[คะแนนเต็ม]:[คะแนนเต็ม]]),"",(tbl_task9[18]/tbl_task9[[คะแนนเต็ม]:[คะแนนเต็ม]])*tbl_task9[[%]:[%]])</f>
        <v/>
      </c>
      <c r="GG4" s="121" t="str">
        <f>IF(ISBLANK(tbl_task9[[คะแนนเต็ม]:[คะแนนเต็ม]]),"",(tbl_task9[19]/tbl_task9[[คะแนนเต็ม]:[คะแนนเต็ม]])*tbl_task9[[%]:[%]])</f>
        <v/>
      </c>
      <c r="GH4" s="121" t="str">
        <f>IF(ISBLANK(tbl_task9[[คะแนนเต็ม]:[คะแนนเต็ม]]),"",(tbl_task9[20]/tbl_task9[[คะแนนเต็ม]:[คะแนนเต็ม]])*tbl_task9[[%]:[%]])</f>
        <v/>
      </c>
      <c r="GI4" s="121" t="str">
        <f>IF(ISBLANK(tbl_task9[[คะแนนเต็ม]:[คะแนนเต็ม]]),"",(tbl_task9[21]/tbl_task9[[คะแนนเต็ม]:[คะแนนเต็ม]])*tbl_task9[[%]:[%]])</f>
        <v/>
      </c>
      <c r="GJ4" s="121" t="str">
        <f>IF(ISBLANK(tbl_task9[[คะแนนเต็ม]:[คะแนนเต็ม]]),"",(tbl_task9[22]/tbl_task9[[คะแนนเต็ม]:[คะแนนเต็ม]])*tbl_task9[[%]:[%]])</f>
        <v/>
      </c>
      <c r="GK4" s="121" t="str">
        <f>IF(ISBLANK(tbl_task9[[คะแนนเต็ม]:[คะแนนเต็ม]]),"",(tbl_task9[23]/tbl_task9[[คะแนนเต็ม]:[คะแนนเต็ม]])*tbl_task9[[%]:[%]])</f>
        <v/>
      </c>
      <c r="GL4" s="121" t="str">
        <f>IF(ISBLANK(tbl_task9[[คะแนนเต็ม]:[คะแนนเต็ม]]),"",(tbl_task9[24]/tbl_task9[[คะแนนเต็ม]:[คะแนนเต็ม]])*tbl_task9[[%]:[%]])</f>
        <v/>
      </c>
      <c r="GM4" s="121" t="str">
        <f>IF(ISBLANK(tbl_task9[[คะแนนเต็ม]:[คะแนนเต็ม]]),"",(tbl_task9[25]/tbl_task9[[คะแนนเต็ม]:[คะแนนเต็ม]])*tbl_task9[[%]:[%]])</f>
        <v/>
      </c>
      <c r="GN4" s="121" t="str">
        <f>IF(ISBLANK(tbl_task9[[คะแนนเต็ม]:[คะแนนเต็ม]]),"",(tbl_task9[26]/tbl_task9[[คะแนนเต็ม]:[คะแนนเต็ม]])*tbl_task9[[%]:[%]])</f>
        <v/>
      </c>
      <c r="GO4" s="121" t="str">
        <f>IF(ISBLANK(tbl_task9[[คะแนนเต็ม]:[คะแนนเต็ม]]),"",(tbl_task9[27]/tbl_task9[[คะแนนเต็ม]:[คะแนนเต็ม]])*tbl_task9[[%]:[%]])</f>
        <v/>
      </c>
      <c r="GP4" s="121" t="str">
        <f>IF(ISBLANK(tbl_task9[[คะแนนเต็ม]:[คะแนนเต็ม]]),"",(tbl_task9[28]/tbl_task9[[คะแนนเต็ม]:[คะแนนเต็ม]])*tbl_task9[[%]:[%]])</f>
        <v/>
      </c>
      <c r="GQ4" s="121" t="str">
        <f>IF(ISBLANK(tbl_task9[[คะแนนเต็ม]:[คะแนนเต็ม]]),"",(tbl_task9[29]/tbl_task9[[คะแนนเต็ม]:[คะแนนเต็ม]])*tbl_task9[[%]:[%]])</f>
        <v/>
      </c>
      <c r="GR4" s="121" t="str">
        <f>IF(ISBLANK(tbl_task9[[คะแนนเต็ม]:[คะแนนเต็ม]]),"",(tbl_task9[30]/tbl_task9[[คะแนนเต็ม]:[คะแนนเต็ม]])*tbl_task9[[%]:[%]])</f>
        <v/>
      </c>
      <c r="GS4" s="121" t="str">
        <f>IF(ISBLANK(tbl_task9[[คะแนนเต็ม]:[คะแนนเต็ม]]),"",(tbl_task9[31]/tbl_task9[[คะแนนเต็ม]:[คะแนนเต็ม]])*tbl_task9[[%]:[%]])</f>
        <v/>
      </c>
      <c r="GT4" s="121" t="str">
        <f>IF(ISBLANK(tbl_task9[[คะแนนเต็ม]:[คะแนนเต็ม]]),"",(tbl_task9[32]/tbl_task9[[คะแนนเต็ม]:[คะแนนเต็ม]])*tbl_task9[[%]:[%]])</f>
        <v/>
      </c>
      <c r="GU4" s="121" t="str">
        <f>IF(ISBLANK(tbl_task9[[คะแนนเต็ม]:[คะแนนเต็ม]]),"",(tbl_task9[33]/tbl_task9[[คะแนนเต็ม]:[คะแนนเต็ม]])*tbl_task9[[%]:[%]])</f>
        <v/>
      </c>
      <c r="GV4" s="121" t="str">
        <f>IF(ISBLANK(tbl_task9[[คะแนนเต็ม]:[คะแนนเต็ม]]),"",(tbl_task9[34]/tbl_task9[[คะแนนเต็ม]:[คะแนนเต็ม]])*tbl_task9[[%]:[%]])</f>
        <v/>
      </c>
      <c r="GW4" s="121" t="str">
        <f>IF(ISBLANK(tbl_task9[[คะแนนเต็ม]:[คะแนนเต็ม]]),"",(tbl_task9[35]/tbl_task9[[คะแนนเต็ม]:[คะแนนเต็ม]])*tbl_task9[[%]:[%]])</f>
        <v/>
      </c>
      <c r="GX4" s="121" t="str">
        <f>IF(ISBLANK(tbl_task9[[คะแนนเต็ม]:[คะแนนเต็ม]]),"",(tbl_task9[36]/tbl_task9[[คะแนนเต็ม]:[คะแนนเต็ม]])*tbl_task9[[%]:[%]])</f>
        <v/>
      </c>
      <c r="GY4" s="121" t="str">
        <f>IF(ISBLANK(tbl_task9[[คะแนนเต็ม]:[คะแนนเต็ม]]),"",(tbl_task9[37]/tbl_task9[[คะแนนเต็ม]:[คะแนนเต็ม]])*tbl_task9[[%]:[%]])</f>
        <v/>
      </c>
      <c r="GZ4" s="121" t="str">
        <f>IF(ISBLANK(tbl_task9[[คะแนนเต็ม]:[คะแนนเต็ม]]),"",(tbl_task9[38]/tbl_task9[[คะแนนเต็ม]:[คะแนนเต็ม]])*tbl_task9[[%]:[%]])</f>
        <v/>
      </c>
      <c r="HA4" s="121" t="str">
        <f>IF(ISBLANK(tbl_task9[[คะแนนเต็ม]:[คะแนนเต็ม]]),"",(tbl_task9[39]/tbl_task9[[คะแนนเต็ม]:[คะแนนเต็ม]])*tbl_task9[[%]:[%]])</f>
        <v/>
      </c>
      <c r="HB4" s="121" t="str">
        <f>IF(ISBLANK(tbl_task9[[คะแนนเต็ม]:[คะแนนเต็ม]]),"",(tbl_task9[40]/tbl_task9[[คะแนนเต็ม]:[คะแนนเต็ม]])*tbl_task9[[%]:[%]])</f>
        <v/>
      </c>
      <c r="HC4" s="121" t="str">
        <f>IF(ISBLANK(tbl_task9[[คะแนนเต็ม]:[คะแนนเต็ม]]),"",(tbl_task9[41]/tbl_task9[[คะแนนเต็ม]:[คะแนนเต็ม]])*tbl_task9[[%]:[%]])</f>
        <v/>
      </c>
      <c r="HD4" s="121" t="str">
        <f>IF(ISBLANK(tbl_task9[[คะแนนเต็ม]:[คะแนนเต็ม]]),"",(tbl_task9[42]/tbl_task9[[คะแนนเต็ม]:[คะแนนเต็ม]])*tbl_task9[[%]:[%]])</f>
        <v/>
      </c>
      <c r="HE4" s="121" t="str">
        <f>IF(ISBLANK(tbl_task9[[คะแนนเต็ม]:[คะแนนเต็ม]]),"",(tbl_task9[43]/tbl_task9[[คะแนนเต็ม]:[คะแนนเต็ม]])*tbl_task9[[%]:[%]])</f>
        <v/>
      </c>
      <c r="HF4" s="121" t="str">
        <f>IF(ISBLANK(tbl_task9[[คะแนนเต็ม]:[คะแนนเต็ม]]),"",(tbl_task9[44]/tbl_task9[[คะแนนเต็ม]:[คะแนนเต็ม]])*tbl_task9[[%]:[%]])</f>
        <v/>
      </c>
      <c r="HG4" s="121" t="str">
        <f>IF(ISBLANK(tbl_task9[[คะแนนเต็ม]:[คะแนนเต็ม]]),"",(tbl_task9[45]/tbl_task9[[คะแนนเต็ม]:[คะแนนเต็ม]])*tbl_task9[[%]:[%]])</f>
        <v/>
      </c>
      <c r="HH4" s="121" t="str">
        <f>IF(ISBLANK(tbl_task9[[คะแนนเต็ม]:[คะแนนเต็ม]]),"",(tbl_task9[46]/tbl_task9[[คะแนนเต็ม]:[คะแนนเต็ม]])*tbl_task9[[%]:[%]])</f>
        <v/>
      </c>
      <c r="HI4" s="121" t="str">
        <f>IF(ISBLANK(tbl_task9[[คะแนนเต็ม]:[คะแนนเต็ม]]),"",(tbl_task9[47]/tbl_task9[[คะแนนเต็ม]:[คะแนนเต็ม]])*tbl_task9[[%]:[%]])</f>
        <v/>
      </c>
      <c r="HJ4" s="121" t="str">
        <f>IF(ISBLANK(tbl_task9[[คะแนนเต็ม]:[คะแนนเต็ม]]),"",(tbl_task9[48]/tbl_task9[[คะแนนเต็ม]:[คะแนนเต็ม]])*tbl_task9[[%]:[%]])</f>
        <v/>
      </c>
      <c r="HK4" s="121" t="str">
        <f>IF(ISBLANK(tbl_task9[[คะแนนเต็ม]:[คะแนนเต็ม]]),"",(tbl_task9[49]/tbl_task9[[คะแนนเต็ม]:[คะแนนเต็ม]])*tbl_task9[[%]:[%]])</f>
        <v/>
      </c>
      <c r="HL4" s="121" t="str">
        <f>IF(ISBLANK(tbl_task9[[คะแนนเต็ม]:[คะแนนเต็ม]]),"",(tbl_task9[50]/tbl_task9[[คะแนนเต็ม]:[คะแนนเต็ม]])*tbl_task9[[%]:[%]])</f>
        <v/>
      </c>
      <c r="HM4" s="121" t="str">
        <f>IF(ISBLANK(tbl_task9[[คะแนนเต็ม]:[คะแนนเต็ม]]),"",(tbl_task9[51]/tbl_task9[[คะแนนเต็ม]:[คะแนนเต็ม]])*tbl_task9[[%]:[%]])</f>
        <v/>
      </c>
      <c r="HN4" s="121" t="str">
        <f>IF(ISBLANK(tbl_task9[[คะแนนเต็ม]:[คะแนนเต็ม]]),"",(tbl_task9[52]/tbl_task9[[คะแนนเต็ม]:[คะแนนเต็ม]])*tbl_task9[[%]:[%]])</f>
        <v/>
      </c>
      <c r="HO4" s="121" t="str">
        <f>IF(ISBLANK(tbl_task9[[คะแนนเต็ม]:[คะแนนเต็ม]]),"",(tbl_task9[53]/tbl_task9[[คะแนนเต็ม]:[คะแนนเต็ม]])*tbl_task9[[%]:[%]])</f>
        <v/>
      </c>
      <c r="HP4" s="121" t="str">
        <f>IF(ISBLANK(tbl_task9[[คะแนนเต็ม]:[คะแนนเต็ม]]),"",(tbl_task9[54]/tbl_task9[[คะแนนเต็ม]:[คะแนนเต็ม]])*tbl_task9[[%]:[%]])</f>
        <v/>
      </c>
      <c r="HQ4" s="121" t="str">
        <f>IF(ISBLANK(tbl_task9[[คะแนนเต็ม]:[คะแนนเต็ม]]),"",(tbl_task9[55]/tbl_task9[[คะแนนเต็ม]:[คะแนนเต็ม]])*tbl_task9[[%]:[%]])</f>
        <v/>
      </c>
      <c r="HR4" s="121" t="str">
        <f>IF(ISBLANK(tbl_task9[[คะแนนเต็ม]:[คะแนนเต็ม]]),"",(tbl_task9[56]/tbl_task9[[คะแนนเต็ม]:[คะแนนเต็ม]])*tbl_task9[[%]:[%]])</f>
        <v/>
      </c>
      <c r="HS4" s="121" t="str">
        <f>IF(ISBLANK(tbl_task9[[คะแนนเต็ม]:[คะแนนเต็ม]]),"",(tbl_task9[57]/tbl_task9[[คะแนนเต็ม]:[คะแนนเต็ม]])*tbl_task9[[%]:[%]])</f>
        <v/>
      </c>
      <c r="HT4" s="121" t="str">
        <f>IF(ISBLANK(tbl_task9[[คะแนนเต็ม]:[คะแนนเต็ม]]),"",(tbl_task9[58]/tbl_task9[[คะแนนเต็ม]:[คะแนนเต็ม]])*tbl_task9[[%]:[%]])</f>
        <v/>
      </c>
      <c r="HU4" s="121" t="str">
        <f>IF(ISBLANK(tbl_task9[[คะแนนเต็ม]:[คะแนนเต็ม]]),"",(tbl_task9[59]/tbl_task9[[คะแนนเต็ม]:[คะแนนเต็ม]])*tbl_task9[[%]:[%]])</f>
        <v/>
      </c>
      <c r="HV4" s="121" t="str">
        <f>IF(ISBLANK(tbl_task9[[คะแนนเต็ม]:[คะแนนเต็ม]]),"",(tbl_task9[60]/tbl_task9[[คะแนนเต็ม]:[คะแนนเต็ม]])*tbl_task9[[%]:[%]])</f>
        <v/>
      </c>
      <c r="HW4" s="121" t="str">
        <f>IF(ISBLANK(tbl_task9[[คะแนนเต็ม]:[คะแนนเต็ม]]),"",(tbl_task9[61]/tbl_task9[[คะแนนเต็ม]:[คะแนนเต็ม]])*tbl_task9[[%]:[%]])</f>
        <v/>
      </c>
      <c r="HX4" s="121" t="str">
        <f>IF(ISBLANK(tbl_task9[[คะแนนเต็ม]:[คะแนนเต็ม]]),"",(tbl_task9[62]/tbl_task9[[คะแนนเต็ม]:[คะแนนเต็ม]])*tbl_task9[[%]:[%]])</f>
        <v/>
      </c>
      <c r="HY4" s="121" t="str">
        <f>IF(ISBLANK(tbl_task9[[คะแนนเต็ม]:[คะแนนเต็ม]]),"",(tbl_task9[63]/tbl_task9[[คะแนนเต็ม]:[คะแนนเต็ม]])*tbl_task9[[%]:[%]])</f>
        <v/>
      </c>
      <c r="HZ4" s="121" t="str">
        <f>IF(ISBLANK(tbl_task9[[คะแนนเต็ม]:[คะแนนเต็ม]]),"",(tbl_task9[64]/tbl_task9[[คะแนนเต็ม]:[คะแนนเต็ม]])*tbl_task9[[%]:[%]])</f>
        <v/>
      </c>
      <c r="IA4" s="121" t="str">
        <f>IF(ISBLANK(tbl_task9[[คะแนนเต็ม]:[คะแนนเต็ม]]),"",(tbl_task9[65]/tbl_task9[[คะแนนเต็ม]:[คะแนนเต็ม]])*tbl_task9[[%]:[%]])</f>
        <v/>
      </c>
      <c r="IB4" s="121" t="str">
        <f>IF(ISBLANK(tbl_task9[[คะแนนเต็ม]:[คะแนนเต็ม]]),"",(tbl_task9[66]/tbl_task9[[คะแนนเต็ม]:[คะแนนเต็ม]])*tbl_task9[[%]:[%]])</f>
        <v/>
      </c>
      <c r="IC4" s="121" t="str">
        <f>IF(ISBLANK(tbl_task9[[คะแนนเต็ม]:[คะแนนเต็ม]]),"",(tbl_task9[67]/tbl_task9[[คะแนนเต็ม]:[คะแนนเต็ม]])*tbl_task9[[%]:[%]])</f>
        <v/>
      </c>
      <c r="ID4" s="121" t="str">
        <f>IF(ISBLANK(tbl_task9[[คะแนนเต็ม]:[คะแนนเต็ม]]),"",(tbl_task9[68]/tbl_task9[[คะแนนเต็ม]:[คะแนนเต็ม]])*tbl_task9[[%]:[%]])</f>
        <v/>
      </c>
      <c r="IE4" s="121" t="str">
        <f>IF(ISBLANK(tbl_task9[[คะแนนเต็ม]:[คะแนนเต็ม]]),"",(tbl_task9[69]/tbl_task9[[คะแนนเต็ม]:[คะแนนเต็ม]])*tbl_task9[[%]:[%]])</f>
        <v/>
      </c>
      <c r="IF4" s="121" t="str">
        <f>IF(ISBLANK(tbl_task9[[คะแนนเต็ม]:[คะแนนเต็ม]]),"",(tbl_task9[70]/tbl_task9[[คะแนนเต็ม]:[คะแนนเต็ม]])*tbl_task9[[%]:[%]])</f>
        <v/>
      </c>
      <c r="IG4" s="121" t="str">
        <f>IF(ISBLANK(tbl_task9[[คะแนนเต็ม]:[คะแนนเต็ม]]),"",(tbl_task9[71]/tbl_task9[[คะแนนเต็ม]:[คะแนนเต็ม]])*tbl_task9[[%]:[%]])</f>
        <v/>
      </c>
      <c r="IH4" s="121" t="str">
        <f>IF(ISBLANK(tbl_task9[[คะแนนเต็ม]:[คะแนนเต็ม]]),"",(tbl_task9[72]/tbl_task9[[คะแนนเต็ม]:[คะแนนเต็ม]])*tbl_task9[[%]:[%]])</f>
        <v/>
      </c>
      <c r="II4" s="121" t="str">
        <f>IF(ISBLANK(tbl_task9[[คะแนนเต็ม]:[คะแนนเต็ม]]),"",(tbl_task9[73]/tbl_task9[[คะแนนเต็ม]:[คะแนนเต็ม]])*tbl_task9[[%]:[%]])</f>
        <v/>
      </c>
      <c r="IJ4" s="121" t="str">
        <f>IF(ISBLANK(tbl_task9[[คะแนนเต็ม]:[คะแนนเต็ม]]),"",(tbl_task9[74]/tbl_task9[[คะแนนเต็ม]:[คะแนนเต็ม]])*tbl_task9[[%]:[%]])</f>
        <v/>
      </c>
      <c r="IK4" s="121" t="str">
        <f>IF(ISBLANK(tbl_task9[[คะแนนเต็ม]:[คะแนนเต็ม]]),"",(tbl_task9[75]/tbl_task9[[คะแนนเต็ม]:[คะแนนเต็ม]])*tbl_task9[[%]:[%]])</f>
        <v/>
      </c>
      <c r="IL4" s="121" t="str">
        <f>IF(ISBLANK(tbl_task9[[คะแนนเต็ม]:[คะแนนเต็ม]]),"",(tbl_task9[76]/tbl_task9[[คะแนนเต็ม]:[คะแนนเต็ม]])*tbl_task9[[%]:[%]])</f>
        <v/>
      </c>
      <c r="IM4" s="121" t="str">
        <f>IF(ISBLANK(tbl_task9[[คะแนนเต็ม]:[คะแนนเต็ม]]),"",(tbl_task9[77]/tbl_task9[[คะแนนเต็ม]:[คะแนนเต็ม]])*tbl_task9[[%]:[%]])</f>
        <v/>
      </c>
      <c r="IN4" s="121" t="str">
        <f>IF(ISBLANK(tbl_task9[[คะแนนเต็ม]:[คะแนนเต็ม]]),"",(tbl_task9[78]/tbl_task9[[คะแนนเต็ม]:[คะแนนเต็ม]])*tbl_task9[[%]:[%]])</f>
        <v/>
      </c>
      <c r="IO4" s="121" t="str">
        <f>IF(ISBLANK(tbl_task9[[คะแนนเต็ม]:[คะแนนเต็ม]]),"",(tbl_task9[79]/tbl_task9[[คะแนนเต็ม]:[คะแนนเต็ม]])*tbl_task9[[%]:[%]])</f>
        <v/>
      </c>
      <c r="IP4" s="121" t="str">
        <f>IF(ISBLANK(tbl_task9[[คะแนนเต็ม]:[คะแนนเต็ม]]),"",(tbl_task9[80]/tbl_task9[[คะแนนเต็ม]:[คะแนนเต็ม]])*tbl_task9[[%]:[%]])</f>
        <v/>
      </c>
      <c r="IQ4" s="121" t="str">
        <f>IF(ISBLANK(tbl_task9[[คะแนนเต็ม]:[คะแนนเต็ม]]),"",(tbl_task9[81]/tbl_task9[[คะแนนเต็ม]:[คะแนนเต็ม]])*tbl_task9[[%]:[%]])</f>
        <v/>
      </c>
      <c r="IR4" s="121" t="str">
        <f>IF(ISBLANK(tbl_task9[[คะแนนเต็ม]:[คะแนนเต็ม]]),"",(tbl_task9[82]/tbl_task9[[คะแนนเต็ม]:[คะแนนเต็ม]])*tbl_task9[[%]:[%]])</f>
        <v/>
      </c>
      <c r="IS4" s="121" t="str">
        <f>IF(ISBLANK(tbl_task9[[คะแนนเต็ม]:[คะแนนเต็ม]]),"",(tbl_task9[83]/tbl_task9[[คะแนนเต็ม]:[คะแนนเต็ม]])*tbl_task9[[%]:[%]])</f>
        <v/>
      </c>
      <c r="IT4" s="121" t="str">
        <f>IF(ISBLANK(tbl_task9[[คะแนนเต็ม]:[คะแนนเต็ม]]),"",(tbl_task9[84]/tbl_task9[[คะแนนเต็ม]:[คะแนนเต็ม]])*tbl_task9[[%]:[%]])</f>
        <v/>
      </c>
      <c r="IU4" s="121" t="str">
        <f>IF(ISBLANK(tbl_task9[[คะแนนเต็ม]:[คะแนนเต็ม]]),"",(tbl_task9[85]/tbl_task9[[คะแนนเต็ม]:[คะแนนเต็ม]])*tbl_task9[[%]:[%]])</f>
        <v/>
      </c>
      <c r="IV4" s="121" t="str">
        <f>IF(ISBLANK(tbl_task9[[คะแนนเต็ม]:[คะแนนเต็ม]]),"",(tbl_task9[86]/tbl_task9[[คะแนนเต็ม]:[คะแนนเต็ม]])*tbl_task9[[%]:[%]])</f>
        <v/>
      </c>
      <c r="IW4" s="121" t="str">
        <f>IF(ISBLANK(tbl_task9[[คะแนนเต็ม]:[คะแนนเต็ม]]),"",(tbl_task9[87]/tbl_task9[[คะแนนเต็ม]:[คะแนนเต็ม]])*tbl_task9[[%]:[%]])</f>
        <v/>
      </c>
      <c r="IX4" s="121" t="str">
        <f>IF(ISBLANK(tbl_task9[[คะแนนเต็ม]:[คะแนนเต็ม]]),"",(tbl_task9[88]/tbl_task9[[คะแนนเต็ม]:[คะแนนเต็ม]])*tbl_task9[[%]:[%]])</f>
        <v/>
      </c>
      <c r="IY4" s="121" t="str">
        <f>IF(ISBLANK(tbl_task9[[คะแนนเต็ม]:[คะแนนเต็ม]]),"",(tbl_task9[89]/tbl_task9[[คะแนนเต็ม]:[คะแนนเต็ม]])*tbl_task9[[%]:[%]])</f>
        <v/>
      </c>
      <c r="IZ4" s="121" t="str">
        <f>IF(ISBLANK(tbl_task9[[คะแนนเต็ม]:[คะแนนเต็ม]]),"",(tbl_task9[90]/tbl_task9[[คะแนนเต็ม]:[คะแนนเต็ม]])*tbl_task9[[%]:[%]])</f>
        <v/>
      </c>
      <c r="JA4" s="121" t="str">
        <f>IF(ISBLANK(tbl_task9[[คะแนนเต็ม]:[คะแนนเต็ม]]),"",(tbl_task9[91]/tbl_task9[[คะแนนเต็ม]:[คะแนนเต็ม]])*tbl_task9[[%]:[%]])</f>
        <v/>
      </c>
      <c r="JB4" s="121" t="str">
        <f>IF(ISBLANK(tbl_task9[[คะแนนเต็ม]:[คะแนนเต็ม]]),"",(tbl_task9[92]/tbl_task9[[คะแนนเต็ม]:[คะแนนเต็ม]])*tbl_task9[[%]:[%]])</f>
        <v/>
      </c>
      <c r="JC4" s="121" t="str">
        <f>IF(ISBLANK(tbl_task9[[คะแนนเต็ม]:[คะแนนเต็ม]]),"",(tbl_task9[93]/tbl_task9[[คะแนนเต็ม]:[คะแนนเต็ม]])*tbl_task9[[%]:[%]])</f>
        <v/>
      </c>
      <c r="JD4" s="121" t="str">
        <f>IF(ISBLANK(tbl_task9[[คะแนนเต็ม]:[คะแนนเต็ม]]),"",(tbl_task9[94]/tbl_task9[[คะแนนเต็ม]:[คะแนนเต็ม]])*tbl_task9[[%]:[%]])</f>
        <v/>
      </c>
      <c r="JE4" s="121" t="str">
        <f>IF(ISBLANK(tbl_task9[[คะแนนเต็ม]:[คะแนนเต็ม]]),"",(tbl_task9[95]/tbl_task9[[คะแนนเต็ม]:[คะแนนเต็ม]])*tbl_task9[[%]:[%]])</f>
        <v/>
      </c>
      <c r="JF4" s="121" t="str">
        <f>IF(ISBLANK(tbl_task9[[คะแนนเต็ม]:[คะแนนเต็ม]]),"",(tbl_task9[96]/tbl_task9[[คะแนนเต็ม]:[คะแนนเต็ม]])*tbl_task9[[%]:[%]])</f>
        <v/>
      </c>
      <c r="JG4" s="121" t="str">
        <f>IF(ISBLANK(tbl_task9[[คะแนนเต็ม]:[คะแนนเต็ม]]),"",(tbl_task9[97]/tbl_task9[[คะแนนเต็ม]:[คะแนนเต็ม]])*tbl_task9[[%]:[%]])</f>
        <v/>
      </c>
      <c r="JH4" s="121" t="str">
        <f>IF(ISBLANK(tbl_task9[[คะแนนเต็ม]:[คะแนนเต็ม]]),"",(tbl_task9[98]/tbl_task9[[คะแนนเต็ม]:[คะแนนเต็ม]])*tbl_task9[[%]:[%]])</f>
        <v/>
      </c>
      <c r="JI4" s="121" t="str">
        <f>IF(ISBLANK(tbl_task9[[คะแนนเต็ม]:[คะแนนเต็ม]]),"",(tbl_task9[99]/tbl_task9[[คะแนนเต็ม]:[คะแนนเต็ม]])*tbl_task9[[%]:[%]])</f>
        <v/>
      </c>
      <c r="JJ4" s="121" t="str">
        <f>IF(ISBLANK(tbl_task9[[คะแนนเต็ม]:[คะแนนเต็ม]]),"",(tbl_task9[100]/tbl_task9[[คะแนนเต็ม]:[คะแนนเต็ม]])*tbl_task9[[%]:[%]])</f>
        <v/>
      </c>
      <c r="JK4" s="121" t="str">
        <f>IF(ISBLANK(tbl_task9[[คะแนนเต็ม]:[คะแนนเต็ม]]),"",(tbl_task9[101]/tbl_task9[[คะแนนเต็ม]:[คะแนนเต็ม]])*tbl_task9[[%]:[%]])</f>
        <v/>
      </c>
      <c r="JL4" s="121" t="str">
        <f>IF(ISBLANK(tbl_task9[[คะแนนเต็ม]:[คะแนนเต็ม]]),"",(tbl_task9[102]/tbl_task9[[คะแนนเต็ม]:[คะแนนเต็ม]])*tbl_task9[[%]:[%]])</f>
        <v/>
      </c>
      <c r="JM4" s="121" t="str">
        <f>IF(ISBLANK(tbl_task9[[คะแนนเต็ม]:[คะแนนเต็ม]]),"",(tbl_task9[103]/tbl_task9[[คะแนนเต็ม]:[คะแนนเต็ม]])*tbl_task9[[%]:[%]])</f>
        <v/>
      </c>
      <c r="JN4" s="121" t="str">
        <f>IF(ISBLANK(tbl_task9[[คะแนนเต็ม]:[คะแนนเต็ม]]),"",(tbl_task9[104]/tbl_task9[[คะแนนเต็ม]:[คะแนนเต็ม]])*tbl_task9[[%]:[%]])</f>
        <v/>
      </c>
      <c r="JO4" s="121" t="str">
        <f>IF(ISBLANK(tbl_task9[[คะแนนเต็ม]:[คะแนนเต็ม]]),"",(tbl_task9[105]/tbl_task9[[คะแนนเต็ม]:[คะแนนเต็ม]])*tbl_task9[[%]:[%]])</f>
        <v/>
      </c>
      <c r="JP4" s="121" t="str">
        <f>IF(ISBLANK(tbl_task9[[คะแนนเต็ม]:[คะแนนเต็ม]]),"",(tbl_task9[106]/tbl_task9[[คะแนนเต็ม]:[คะแนนเต็ม]])*tbl_task9[[%]:[%]])</f>
        <v/>
      </c>
      <c r="JQ4" s="121" t="str">
        <f>IF(ISBLANK(tbl_task9[[คะแนนเต็ม]:[คะแนนเต็ม]]),"",(tbl_task9[107]/tbl_task9[[คะแนนเต็ม]:[คะแนนเต็ม]])*tbl_task9[[%]:[%]])</f>
        <v/>
      </c>
      <c r="JR4" s="121" t="str">
        <f>IF(ISBLANK(tbl_task9[[คะแนนเต็ม]:[คะแนนเต็ม]]),"",(tbl_task9[108]/tbl_task9[[คะแนนเต็ม]:[คะแนนเต็ม]])*tbl_task9[[%]:[%]])</f>
        <v/>
      </c>
      <c r="JS4" s="121" t="str">
        <f>IF(ISBLANK(tbl_task9[[คะแนนเต็ม]:[คะแนนเต็ม]]),"",(tbl_task9[109]/tbl_task9[[คะแนนเต็ม]:[คะแนนเต็ม]])*tbl_task9[[%]:[%]])</f>
        <v/>
      </c>
      <c r="JT4" s="121" t="str">
        <f>IF(ISBLANK(tbl_task9[[คะแนนเต็ม]:[คะแนนเต็ม]]),"",(tbl_task9[110]/tbl_task9[[คะแนนเต็ม]:[คะแนนเต็ม]])*tbl_task9[[%]:[%]])</f>
        <v/>
      </c>
      <c r="JU4" s="121" t="str">
        <f>IF(ISBLANK(tbl_task9[[คะแนนเต็ม]:[คะแนนเต็ม]]),"",(tbl_task9[111]/tbl_task9[[คะแนนเต็ม]:[คะแนนเต็ม]])*tbl_task9[[%]:[%]])</f>
        <v/>
      </c>
      <c r="JV4" s="121" t="str">
        <f>IF(ISBLANK(tbl_task9[[คะแนนเต็ม]:[คะแนนเต็ม]]),"",(tbl_task9[112]/tbl_task9[[คะแนนเต็ม]:[คะแนนเต็ม]])*tbl_task9[[%]:[%]])</f>
        <v/>
      </c>
      <c r="JW4" s="121" t="str">
        <f>IF(ISBLANK(tbl_task9[[คะแนนเต็ม]:[คะแนนเต็ม]]),"",(tbl_task9[113]/tbl_task9[[คะแนนเต็ม]:[คะแนนเต็ม]])*tbl_task9[[%]:[%]])</f>
        <v/>
      </c>
      <c r="JX4" s="121" t="str">
        <f>IF(ISBLANK(tbl_task9[[คะแนนเต็ม]:[คะแนนเต็ม]]),"",(tbl_task9[114]/tbl_task9[[คะแนนเต็ม]:[คะแนนเต็ม]])*tbl_task9[[%]:[%]])</f>
        <v/>
      </c>
      <c r="JY4" s="121" t="str">
        <f>IF(ISBLANK(tbl_task9[[คะแนนเต็ม]:[คะแนนเต็ม]]),"",(tbl_task9[115]/tbl_task9[[คะแนนเต็ม]:[คะแนนเต็ม]])*tbl_task9[[%]:[%]])</f>
        <v/>
      </c>
      <c r="JZ4" s="121" t="str">
        <f>IF(ISBLANK(tbl_task9[[คะแนนเต็ม]:[คะแนนเต็ม]]),"",(tbl_task9[116]/tbl_task9[[คะแนนเต็ม]:[คะแนนเต็ม]])*tbl_task9[[%]:[%]])</f>
        <v/>
      </c>
      <c r="KA4" s="121" t="str">
        <f>IF(ISBLANK(tbl_task9[[คะแนนเต็ม]:[คะแนนเต็ม]]),"",(tbl_task9[117]/tbl_task9[[คะแนนเต็ม]:[คะแนนเต็ม]])*tbl_task9[[%]:[%]])</f>
        <v/>
      </c>
      <c r="KB4" s="121" t="str">
        <f>IF(ISBLANK(tbl_task9[[คะแนนเต็ม]:[คะแนนเต็ม]]),"",(tbl_task9[118]/tbl_task9[[คะแนนเต็ม]:[คะแนนเต็ม]])*tbl_task9[[%]:[%]])</f>
        <v/>
      </c>
      <c r="KC4" s="121" t="str">
        <f>IF(ISBLANK(tbl_task9[[คะแนนเต็ม]:[คะแนนเต็ม]]),"",(tbl_task9[119]/tbl_task9[[คะแนนเต็ม]:[คะแนนเต็ม]])*tbl_task9[[%]:[%]])</f>
        <v/>
      </c>
      <c r="KD4" s="121" t="str">
        <f>IF(ISBLANK(tbl_task9[[คะแนนเต็ม]:[คะแนนเต็ม]]),"",(tbl_task9[120]/tbl_task9[[คะแนนเต็ม]:[คะแนนเต็ม]])*tbl_task9[[%]:[%]])</f>
        <v/>
      </c>
      <c r="KE4" s="121" t="str">
        <f>IF(ISBLANK(tbl_task9[[คะแนนเต็ม]:[คะแนนเต็ม]]),"",(tbl_task9[121]/tbl_task9[[คะแนนเต็ม]:[คะแนนเต็ม]])*tbl_task9[[%]:[%]])</f>
        <v/>
      </c>
      <c r="KF4" s="121" t="str">
        <f>IF(ISBLANK(tbl_task9[[คะแนนเต็ม]:[คะแนนเต็ม]]),"",(tbl_task9[122]/tbl_task9[[คะแนนเต็ม]:[คะแนนเต็ม]])*tbl_task9[[%]:[%]])</f>
        <v/>
      </c>
      <c r="KG4" s="121" t="str">
        <f>IF(ISBLANK(tbl_task9[[คะแนนเต็ม]:[คะแนนเต็ม]]),"",(tbl_task9[123]/tbl_task9[[คะแนนเต็ม]:[คะแนนเต็ม]])*tbl_task9[[%]:[%]])</f>
        <v/>
      </c>
      <c r="KH4" s="121" t="str">
        <f>IF(ISBLANK(tbl_task9[[คะแนนเต็ม]:[คะแนนเต็ม]]),"",(tbl_task9[124]/tbl_task9[[คะแนนเต็ม]:[คะแนนเต็ม]])*tbl_task9[[%]:[%]])</f>
        <v/>
      </c>
      <c r="KI4" s="121" t="str">
        <f>IF(ISBLANK(tbl_task9[[คะแนนเต็ม]:[คะแนนเต็ม]]),"",(tbl_task9[125]/tbl_task9[[คะแนนเต็ม]:[คะแนนเต็ม]])*tbl_task9[[%]:[%]])</f>
        <v/>
      </c>
      <c r="KJ4" s="121" t="str">
        <f>IF(ISBLANK(tbl_task9[[คะแนนเต็ม]:[คะแนนเต็ม]]),"",(tbl_task9[126]/tbl_task9[[คะแนนเต็ม]:[คะแนนเต็ม]])*tbl_task9[[%]:[%]])</f>
        <v/>
      </c>
      <c r="KK4" s="121" t="str">
        <f>IF(ISBLANK(tbl_task9[[คะแนนเต็ม]:[คะแนนเต็ม]]),"",(tbl_task9[127]/tbl_task9[[คะแนนเต็ม]:[คะแนนเต็ม]])*tbl_task9[[%]:[%]])</f>
        <v/>
      </c>
      <c r="KL4" s="121" t="str">
        <f>IF(ISBLANK(tbl_task9[[คะแนนเต็ม]:[คะแนนเต็ม]]),"",(tbl_task9[128]/tbl_task9[[คะแนนเต็ม]:[คะแนนเต็ม]])*tbl_task9[[%]:[%]])</f>
        <v/>
      </c>
      <c r="KM4" s="121" t="str">
        <f>IF(ISBLANK(tbl_task9[[คะแนนเต็ม]:[คะแนนเต็ม]]),"",(tbl_task9[129]/tbl_task9[[คะแนนเต็ม]:[คะแนนเต็ม]])*tbl_task9[[%]:[%]])</f>
        <v/>
      </c>
      <c r="KN4" s="121" t="str">
        <f>IF(ISBLANK(tbl_task9[[คะแนนเต็ม]:[คะแนนเต็ม]]),"",(tbl_task9[130]/tbl_task9[[คะแนนเต็ม]:[คะแนนเต็ม]])*tbl_task9[[%]:[%]])</f>
        <v/>
      </c>
      <c r="KO4" s="121" t="str">
        <f>IF(ISBLANK(tbl_task9[[คะแนนเต็ม]:[คะแนนเต็ม]]),"",(tbl_task9[131]/tbl_task9[[คะแนนเต็ม]:[คะแนนเต็ม]])*tbl_task9[[%]:[%]])</f>
        <v/>
      </c>
      <c r="KP4" s="121" t="str">
        <f>IF(ISBLANK(tbl_task9[[คะแนนเต็ม]:[คะแนนเต็ม]]),"",(tbl_task9[132]/tbl_task9[[คะแนนเต็ม]:[คะแนนเต็ม]])*tbl_task9[[%]:[%]])</f>
        <v/>
      </c>
      <c r="KQ4" s="121" t="str">
        <f>IF(ISBLANK(tbl_task9[[คะแนนเต็ม]:[คะแนนเต็ม]]),"",(tbl_task9[133]/tbl_task9[[คะแนนเต็ม]:[คะแนนเต็ม]])*tbl_task9[[%]:[%]])</f>
        <v/>
      </c>
      <c r="KR4" s="121" t="str">
        <f>IF(ISBLANK(tbl_task9[[คะแนนเต็ม]:[คะแนนเต็ม]]),"",(tbl_task9[134]/tbl_task9[[คะแนนเต็ม]:[คะแนนเต็ม]])*tbl_task9[[%]:[%]])</f>
        <v/>
      </c>
      <c r="KS4" s="121" t="str">
        <f>IF(ISBLANK(tbl_task9[[คะแนนเต็ม]:[คะแนนเต็ม]]),"",(tbl_task9[135]/tbl_task9[[คะแนนเต็ม]:[คะแนนเต็ม]])*tbl_task9[[%]:[%]])</f>
        <v/>
      </c>
      <c r="KT4" s="121" t="str">
        <f>IF(ISBLANK(tbl_task9[[คะแนนเต็ม]:[คะแนนเต็ม]]),"",(tbl_task9[136]/tbl_task9[[คะแนนเต็ม]:[คะแนนเต็ม]])*tbl_task9[[%]:[%]])</f>
        <v/>
      </c>
      <c r="KU4" s="121" t="str">
        <f>IF(ISBLANK(tbl_task9[[คะแนนเต็ม]:[คะแนนเต็ม]]),"",(tbl_task9[137]/tbl_task9[[คะแนนเต็ม]:[คะแนนเต็ม]])*tbl_task9[[%]:[%]])</f>
        <v/>
      </c>
      <c r="KV4" s="121" t="str">
        <f>IF(ISBLANK(tbl_task9[[คะแนนเต็ม]:[คะแนนเต็ม]]),"",(tbl_task9[138]/tbl_task9[[คะแนนเต็ม]:[คะแนนเต็ม]])*tbl_task9[[%]:[%]])</f>
        <v/>
      </c>
      <c r="KW4" s="121" t="str">
        <f>IF(ISBLANK(tbl_task9[[คะแนนเต็ม]:[คะแนนเต็ม]]),"",(tbl_task9[139]/tbl_task9[[คะแนนเต็ม]:[คะแนนเต็ม]])*tbl_task9[[%]:[%]])</f>
        <v/>
      </c>
      <c r="KX4" s="121" t="str">
        <f>IF(ISBLANK(tbl_task9[[คะแนนเต็ม]:[คะแนนเต็ม]]),"",(tbl_task9[140]/tbl_task9[[คะแนนเต็ม]:[คะแนนเต็ม]])*tbl_task9[[%]:[%]])</f>
        <v/>
      </c>
      <c r="KY4" s="121" t="str">
        <f>IF(ISBLANK(tbl_task9[[คะแนนเต็ม]:[คะแนนเต็ม]]),"",(tbl_task9[141]/tbl_task9[[คะแนนเต็ม]:[คะแนนเต็ม]])*tbl_task9[[%]:[%]])</f>
        <v/>
      </c>
      <c r="KZ4" s="121" t="str">
        <f>IF(ISBLANK(tbl_task9[[คะแนนเต็ม]:[คะแนนเต็ม]]),"",(tbl_task9[142]/tbl_task9[[คะแนนเต็ม]:[คะแนนเต็ม]])*tbl_task9[[%]:[%]])</f>
        <v/>
      </c>
      <c r="LA4" s="121" t="str">
        <f>IF(ISBLANK(tbl_task9[[คะแนนเต็ม]:[คะแนนเต็ม]]),"",(tbl_task9[143]/tbl_task9[[คะแนนเต็ม]:[คะแนนเต็ม]])*tbl_task9[[%]:[%]])</f>
        <v/>
      </c>
      <c r="LB4" s="121" t="str">
        <f>IF(ISBLANK(tbl_task9[[คะแนนเต็ม]:[คะแนนเต็ม]]),"",(tbl_task9[144]/tbl_task9[[คะแนนเต็ม]:[คะแนนเต็ม]])*tbl_task9[[%]:[%]])</f>
        <v/>
      </c>
      <c r="LC4" s="121" t="str">
        <f>IF(ISBLANK(tbl_task9[[คะแนนเต็ม]:[คะแนนเต็ม]]),"",(tbl_task9[145]/tbl_task9[[คะแนนเต็ม]:[คะแนนเต็ม]])*tbl_task9[[%]:[%]])</f>
        <v/>
      </c>
      <c r="LD4" s="121" t="str">
        <f>IF(ISBLANK(tbl_task9[[คะแนนเต็ม]:[คะแนนเต็ม]]),"",(tbl_task9[146]/tbl_task9[[คะแนนเต็ม]:[คะแนนเต็ม]])*tbl_task9[[%]:[%]])</f>
        <v/>
      </c>
      <c r="LE4" s="121" t="str">
        <f>IF(ISBLANK(tbl_task9[[คะแนนเต็ม]:[คะแนนเต็ม]]),"",(tbl_task9[147]/tbl_task9[[คะแนนเต็ม]:[คะแนนเต็ม]])*tbl_task9[[%]:[%]])</f>
        <v/>
      </c>
      <c r="LF4" s="121" t="str">
        <f>IF(ISBLANK(tbl_task9[[คะแนนเต็ม]:[คะแนนเต็ม]]),"",(tbl_task9[148]/tbl_task9[[คะแนนเต็ม]:[คะแนนเต็ม]])*tbl_task9[[%]:[%]])</f>
        <v/>
      </c>
      <c r="LG4" s="121" t="str">
        <f>IF(ISBLANK(tbl_task9[[คะแนนเต็ม]:[คะแนนเต็ม]]),"",(tbl_task9[149]/tbl_task9[[คะแนนเต็ม]:[คะแนนเต็ม]])*tbl_task9[[%]:[%]])</f>
        <v/>
      </c>
      <c r="LH4" s="121" t="str">
        <f>IF(ISBLANK(tbl_task9[[คะแนนเต็ม]:[คะแนนเต็ม]]),"",(tbl_task9[150]/tbl_task9[[คะแนนเต็ม]:[คะแนนเต็ม]])*tbl_task9[[%]:[%]])</f>
        <v/>
      </c>
      <c r="LI4" s="121" t="str">
        <f>IF(ISBLANK(tbl_task9[[คะแนนเต็ม]:[คะแนนเต็ม]]),"",(tbl_task9[151]/tbl_task9[[คะแนนเต็ม]:[คะแนนเต็ม]])*tbl_task9[[%]:[%]])</f>
        <v/>
      </c>
      <c r="LJ4" s="121" t="str">
        <f>IF(ISBLANK(tbl_task9[[คะแนนเต็ม]:[คะแนนเต็ม]]),"",(tbl_task9[152]/tbl_task9[[คะแนนเต็ม]:[คะแนนเต็ม]])*tbl_task9[[%]:[%]])</f>
        <v/>
      </c>
      <c r="LK4" s="121" t="str">
        <f>IF(ISBLANK(tbl_task9[[คะแนนเต็ม]:[คะแนนเต็ม]]),"",(tbl_task9[153]/tbl_task9[[คะแนนเต็ม]:[คะแนนเต็ม]])*tbl_task9[[%]:[%]])</f>
        <v/>
      </c>
      <c r="LL4" s="121" t="str">
        <f>IF(ISBLANK(tbl_task9[[คะแนนเต็ม]:[คะแนนเต็ม]]),"",(tbl_task9[154]/tbl_task9[[คะแนนเต็ม]:[คะแนนเต็ม]])*tbl_task9[[%]:[%]])</f>
        <v/>
      </c>
      <c r="LM4" s="121" t="str">
        <f>IF(ISBLANK(tbl_task9[[คะแนนเต็ม]:[คะแนนเต็ม]]),"",(tbl_task9[155]/tbl_task9[[คะแนนเต็ม]:[คะแนนเต็ม]])*tbl_task9[[%]:[%]])</f>
        <v/>
      </c>
      <c r="LN4" s="121" t="str">
        <f>IF(ISBLANK(tbl_task9[[คะแนนเต็ม]:[คะแนนเต็ม]]),"",(tbl_task9[156]/tbl_task9[[คะแนนเต็ม]:[คะแนนเต็ม]])*tbl_task9[[%]:[%]])</f>
        <v/>
      </c>
      <c r="LO4" s="121" t="str">
        <f>IF(ISBLANK(tbl_task9[[คะแนนเต็ม]:[คะแนนเต็ม]]),"",(tbl_task9[157]/tbl_task9[[คะแนนเต็ม]:[คะแนนเต็ม]])*tbl_task9[[%]:[%]])</f>
        <v/>
      </c>
      <c r="LP4" s="121" t="str">
        <f>IF(ISBLANK(tbl_task9[[คะแนนเต็ม]:[คะแนนเต็ม]]),"",(tbl_task9[158]/tbl_task9[[คะแนนเต็ม]:[คะแนนเต็ม]])*tbl_task9[[%]:[%]])</f>
        <v/>
      </c>
      <c r="LQ4" s="121" t="str">
        <f>IF(ISBLANK(tbl_task9[[คะแนนเต็ม]:[คะแนนเต็ม]]),"",(tbl_task9[159]/tbl_task9[[คะแนนเต็ม]:[คะแนนเต็ม]])*tbl_task9[[%]:[%]])</f>
        <v/>
      </c>
      <c r="LR4" s="121" t="str">
        <f>IF(ISBLANK(tbl_task9[[คะแนนเต็ม]:[คะแนนเต็ม]]),"",(tbl_task9[160]/tbl_task9[[คะแนนเต็ม]:[คะแนนเต็ม]])*tbl_task9[[%]:[%]])</f>
        <v/>
      </c>
      <c r="LS4" s="121" t="str">
        <f>IF(ISBLANK(tbl_task9[[คะแนนเต็ม]:[คะแนนเต็ม]]),"",(tbl_task9[161]/tbl_task9[[คะแนนเต็ม]:[คะแนนเต็ม]])*tbl_task9[[%]:[%]])</f>
        <v/>
      </c>
      <c r="LT4" s="121" t="str">
        <f>IF(ISBLANK(tbl_task9[[คะแนนเต็ม]:[คะแนนเต็ม]]),"",(tbl_task9[162]/tbl_task9[[คะแนนเต็ม]:[คะแนนเต็ม]])*tbl_task9[[%]:[%]])</f>
        <v/>
      </c>
      <c r="LU4" s="121" t="str">
        <f>IF(ISBLANK(tbl_task9[[คะแนนเต็ม]:[คะแนนเต็ม]]),"",(tbl_task9[163]/tbl_task9[[คะแนนเต็ม]:[คะแนนเต็ม]])*tbl_task9[[%]:[%]])</f>
        <v/>
      </c>
      <c r="LV4" s="121" t="str">
        <f>IF(ISBLANK(tbl_task9[[คะแนนเต็ม]:[คะแนนเต็ม]]),"",(tbl_task9[164]/tbl_task9[[คะแนนเต็ม]:[คะแนนเต็ม]])*tbl_task9[[%]:[%]])</f>
        <v/>
      </c>
      <c r="LW4" s="121" t="str">
        <f>IF(ISBLANK(tbl_task9[[คะแนนเต็ม]:[คะแนนเต็ม]]),"",(tbl_task9[165]/tbl_task9[[คะแนนเต็ม]:[คะแนนเต็ม]])*tbl_task9[[%]:[%]])</f>
        <v/>
      </c>
    </row>
    <row r="5" spans="1:335" ht="23.25" customHeight="1" x14ac:dyDescent="0.25">
      <c r="A5" s="24">
        <v>2</v>
      </c>
      <c r="B5" s="20"/>
      <c r="C5" s="5" t="str">
        <f>IF(ISBLANK(B5),"",VLOOKUP(B5,tbl_PLOs[],2,0))</f>
        <v/>
      </c>
      <c r="D5" s="102"/>
      <c r="E5" s="10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22"/>
      <c r="FO5" s="121" t="str">
        <f>IF(ISBLANK(tbl_task9[[คะแนนเต็ม]:[คะแนนเต็ม]]),"",(tbl_task9[1]/tbl_task9[[คะแนนเต็ม]:[คะแนนเต็ม]])*tbl_task9[[%]:[%]])</f>
        <v/>
      </c>
      <c r="FP5" s="121" t="str">
        <f>IF(ISBLANK(tbl_task9[[คะแนนเต็ม]:[คะแนนเต็ม]]),"",(tbl_task9[2]/tbl_task9[[คะแนนเต็ม]:[คะแนนเต็ม]])*tbl_task9[[%]:[%]])</f>
        <v/>
      </c>
      <c r="FQ5" s="121" t="str">
        <f>IF(ISBLANK(tbl_task9[[คะแนนเต็ม]:[คะแนนเต็ม]]),"",(tbl_task9[3]/tbl_task9[[คะแนนเต็ม]:[คะแนนเต็ม]])*tbl_task9[[%]:[%]])</f>
        <v/>
      </c>
      <c r="FR5" s="121" t="str">
        <f>IF(ISBLANK(tbl_task9[[คะแนนเต็ม]:[คะแนนเต็ม]]),"",(tbl_task9[4]/tbl_task9[[คะแนนเต็ม]:[คะแนนเต็ม]])*tbl_task9[[%]:[%]])</f>
        <v/>
      </c>
      <c r="FS5" s="121" t="str">
        <f>IF(ISBLANK(tbl_task9[[คะแนนเต็ม]:[คะแนนเต็ม]]),"",(tbl_task9[5]/tbl_task9[[คะแนนเต็ม]:[คะแนนเต็ม]])*tbl_task9[[%]:[%]])</f>
        <v/>
      </c>
      <c r="FT5" s="121" t="str">
        <f>IF(ISBLANK(tbl_task9[[คะแนนเต็ม]:[คะแนนเต็ม]]),"",(tbl_task9[6]/tbl_task9[[คะแนนเต็ม]:[คะแนนเต็ม]])*tbl_task9[[%]:[%]])</f>
        <v/>
      </c>
      <c r="FU5" s="121" t="str">
        <f>IF(ISBLANK(tbl_task9[[คะแนนเต็ม]:[คะแนนเต็ม]]),"",(tbl_task9[7]/tbl_task9[[คะแนนเต็ม]:[คะแนนเต็ม]])*tbl_task9[[%]:[%]])</f>
        <v/>
      </c>
      <c r="FV5" s="121" t="str">
        <f>IF(ISBLANK(tbl_task9[[คะแนนเต็ม]:[คะแนนเต็ม]]),"",(tbl_task9[8]/tbl_task9[[คะแนนเต็ม]:[คะแนนเต็ม]])*tbl_task9[[%]:[%]])</f>
        <v/>
      </c>
      <c r="FW5" s="121" t="str">
        <f>IF(ISBLANK(tbl_task9[[คะแนนเต็ม]:[คะแนนเต็ม]]),"",(tbl_task9[9]/tbl_task9[[คะแนนเต็ม]:[คะแนนเต็ม]])*tbl_task9[[%]:[%]])</f>
        <v/>
      </c>
      <c r="FX5" s="121" t="str">
        <f>IF(ISBLANK(tbl_task9[[คะแนนเต็ม]:[คะแนนเต็ม]]),"",(tbl_task9[10]/tbl_task9[[คะแนนเต็ม]:[คะแนนเต็ม]])*tbl_task9[[%]:[%]])</f>
        <v/>
      </c>
      <c r="FY5" s="121" t="str">
        <f>IF(ISBLANK(tbl_task9[[คะแนนเต็ม]:[คะแนนเต็ม]]),"",(tbl_task9[11]/tbl_task9[[คะแนนเต็ม]:[คะแนนเต็ม]])*tbl_task9[[%]:[%]])</f>
        <v/>
      </c>
      <c r="FZ5" s="121" t="str">
        <f>IF(ISBLANK(tbl_task9[[คะแนนเต็ม]:[คะแนนเต็ม]]),"",(tbl_task9[12]/tbl_task9[[คะแนนเต็ม]:[คะแนนเต็ม]])*tbl_task9[[%]:[%]])</f>
        <v/>
      </c>
      <c r="GA5" s="121" t="str">
        <f>IF(ISBLANK(tbl_task9[[คะแนนเต็ม]:[คะแนนเต็ม]]),"",(tbl_task9[13]/tbl_task9[[คะแนนเต็ม]:[คะแนนเต็ม]])*tbl_task9[[%]:[%]])</f>
        <v/>
      </c>
      <c r="GB5" s="121" t="str">
        <f>IF(ISBLANK(tbl_task9[[คะแนนเต็ม]:[คะแนนเต็ม]]),"",(tbl_task9[14]/tbl_task9[[คะแนนเต็ม]:[คะแนนเต็ม]])*tbl_task9[[%]:[%]])</f>
        <v/>
      </c>
      <c r="GC5" s="121" t="str">
        <f>IF(ISBLANK(tbl_task9[[คะแนนเต็ม]:[คะแนนเต็ม]]),"",(tbl_task9[15]/tbl_task9[[คะแนนเต็ม]:[คะแนนเต็ม]])*tbl_task9[[%]:[%]])</f>
        <v/>
      </c>
      <c r="GD5" s="121" t="str">
        <f>IF(ISBLANK(tbl_task9[[คะแนนเต็ม]:[คะแนนเต็ม]]),"",(tbl_task9[16]/tbl_task9[[คะแนนเต็ม]:[คะแนนเต็ม]])*tbl_task9[[%]:[%]])</f>
        <v/>
      </c>
      <c r="GE5" s="121" t="str">
        <f>IF(ISBLANK(tbl_task9[[คะแนนเต็ม]:[คะแนนเต็ม]]),"",(tbl_task9[17]/tbl_task9[[คะแนนเต็ม]:[คะแนนเต็ม]])*tbl_task9[[%]:[%]])</f>
        <v/>
      </c>
      <c r="GF5" s="121" t="str">
        <f>IF(ISBLANK(tbl_task9[[คะแนนเต็ม]:[คะแนนเต็ม]]),"",(tbl_task9[18]/tbl_task9[[คะแนนเต็ม]:[คะแนนเต็ม]])*tbl_task9[[%]:[%]])</f>
        <v/>
      </c>
      <c r="GG5" s="121" t="str">
        <f>IF(ISBLANK(tbl_task9[[คะแนนเต็ม]:[คะแนนเต็ม]]),"",(tbl_task9[19]/tbl_task9[[คะแนนเต็ม]:[คะแนนเต็ม]])*tbl_task9[[%]:[%]])</f>
        <v/>
      </c>
      <c r="GH5" s="121" t="str">
        <f>IF(ISBLANK(tbl_task9[[คะแนนเต็ม]:[คะแนนเต็ม]]),"",(tbl_task9[20]/tbl_task9[[คะแนนเต็ม]:[คะแนนเต็ม]])*tbl_task9[[%]:[%]])</f>
        <v/>
      </c>
      <c r="GI5" s="121" t="str">
        <f>IF(ISBLANK(tbl_task9[[คะแนนเต็ม]:[คะแนนเต็ม]]),"",(tbl_task9[21]/tbl_task9[[คะแนนเต็ม]:[คะแนนเต็ม]])*tbl_task9[[%]:[%]])</f>
        <v/>
      </c>
      <c r="GJ5" s="121" t="str">
        <f>IF(ISBLANK(tbl_task9[[คะแนนเต็ม]:[คะแนนเต็ม]]),"",(tbl_task9[22]/tbl_task9[[คะแนนเต็ม]:[คะแนนเต็ม]])*tbl_task9[[%]:[%]])</f>
        <v/>
      </c>
      <c r="GK5" s="121" t="str">
        <f>IF(ISBLANK(tbl_task9[[คะแนนเต็ม]:[คะแนนเต็ม]]),"",(tbl_task9[23]/tbl_task9[[คะแนนเต็ม]:[คะแนนเต็ม]])*tbl_task9[[%]:[%]])</f>
        <v/>
      </c>
      <c r="GL5" s="121" t="str">
        <f>IF(ISBLANK(tbl_task9[[คะแนนเต็ม]:[คะแนนเต็ม]]),"",(tbl_task9[24]/tbl_task9[[คะแนนเต็ม]:[คะแนนเต็ม]])*tbl_task9[[%]:[%]])</f>
        <v/>
      </c>
      <c r="GM5" s="121" t="str">
        <f>IF(ISBLANK(tbl_task9[[คะแนนเต็ม]:[คะแนนเต็ม]]),"",(tbl_task9[25]/tbl_task9[[คะแนนเต็ม]:[คะแนนเต็ม]])*tbl_task9[[%]:[%]])</f>
        <v/>
      </c>
      <c r="GN5" s="121" t="str">
        <f>IF(ISBLANK(tbl_task9[[คะแนนเต็ม]:[คะแนนเต็ม]]),"",(tbl_task9[26]/tbl_task9[[คะแนนเต็ม]:[คะแนนเต็ม]])*tbl_task9[[%]:[%]])</f>
        <v/>
      </c>
      <c r="GO5" s="121" t="str">
        <f>IF(ISBLANK(tbl_task9[[คะแนนเต็ม]:[คะแนนเต็ม]]),"",(tbl_task9[27]/tbl_task9[[คะแนนเต็ม]:[คะแนนเต็ม]])*tbl_task9[[%]:[%]])</f>
        <v/>
      </c>
      <c r="GP5" s="121" t="str">
        <f>IF(ISBLANK(tbl_task9[[คะแนนเต็ม]:[คะแนนเต็ม]]),"",(tbl_task9[28]/tbl_task9[[คะแนนเต็ม]:[คะแนนเต็ม]])*tbl_task9[[%]:[%]])</f>
        <v/>
      </c>
      <c r="GQ5" s="121" t="str">
        <f>IF(ISBLANK(tbl_task9[[คะแนนเต็ม]:[คะแนนเต็ม]]),"",(tbl_task9[29]/tbl_task9[[คะแนนเต็ม]:[คะแนนเต็ม]])*tbl_task9[[%]:[%]])</f>
        <v/>
      </c>
      <c r="GR5" s="121" t="str">
        <f>IF(ISBLANK(tbl_task9[[คะแนนเต็ม]:[คะแนนเต็ม]]),"",(tbl_task9[30]/tbl_task9[[คะแนนเต็ม]:[คะแนนเต็ม]])*tbl_task9[[%]:[%]])</f>
        <v/>
      </c>
      <c r="GS5" s="121" t="str">
        <f>IF(ISBLANK(tbl_task9[[คะแนนเต็ม]:[คะแนนเต็ม]]),"",(tbl_task9[31]/tbl_task9[[คะแนนเต็ม]:[คะแนนเต็ม]])*tbl_task9[[%]:[%]])</f>
        <v/>
      </c>
      <c r="GT5" s="121" t="str">
        <f>IF(ISBLANK(tbl_task9[[คะแนนเต็ม]:[คะแนนเต็ม]]),"",(tbl_task9[32]/tbl_task9[[คะแนนเต็ม]:[คะแนนเต็ม]])*tbl_task9[[%]:[%]])</f>
        <v/>
      </c>
      <c r="GU5" s="121" t="str">
        <f>IF(ISBLANK(tbl_task9[[คะแนนเต็ม]:[คะแนนเต็ม]]),"",(tbl_task9[33]/tbl_task9[[คะแนนเต็ม]:[คะแนนเต็ม]])*tbl_task9[[%]:[%]])</f>
        <v/>
      </c>
      <c r="GV5" s="121" t="str">
        <f>IF(ISBLANK(tbl_task9[[คะแนนเต็ม]:[คะแนนเต็ม]]),"",(tbl_task9[34]/tbl_task9[[คะแนนเต็ม]:[คะแนนเต็ม]])*tbl_task9[[%]:[%]])</f>
        <v/>
      </c>
      <c r="GW5" s="121" t="str">
        <f>IF(ISBLANK(tbl_task9[[คะแนนเต็ม]:[คะแนนเต็ม]]),"",(tbl_task9[35]/tbl_task9[[คะแนนเต็ม]:[คะแนนเต็ม]])*tbl_task9[[%]:[%]])</f>
        <v/>
      </c>
      <c r="GX5" s="121" t="str">
        <f>IF(ISBLANK(tbl_task9[[คะแนนเต็ม]:[คะแนนเต็ม]]),"",(tbl_task9[36]/tbl_task9[[คะแนนเต็ม]:[คะแนนเต็ม]])*tbl_task9[[%]:[%]])</f>
        <v/>
      </c>
      <c r="GY5" s="121" t="str">
        <f>IF(ISBLANK(tbl_task9[[คะแนนเต็ม]:[คะแนนเต็ม]]),"",(tbl_task9[37]/tbl_task9[[คะแนนเต็ม]:[คะแนนเต็ม]])*tbl_task9[[%]:[%]])</f>
        <v/>
      </c>
      <c r="GZ5" s="121" t="str">
        <f>IF(ISBLANK(tbl_task9[[คะแนนเต็ม]:[คะแนนเต็ม]]),"",(tbl_task9[38]/tbl_task9[[คะแนนเต็ม]:[คะแนนเต็ม]])*tbl_task9[[%]:[%]])</f>
        <v/>
      </c>
      <c r="HA5" s="121" t="str">
        <f>IF(ISBLANK(tbl_task9[[คะแนนเต็ม]:[คะแนนเต็ม]]),"",(tbl_task9[39]/tbl_task9[[คะแนนเต็ม]:[คะแนนเต็ม]])*tbl_task9[[%]:[%]])</f>
        <v/>
      </c>
      <c r="HB5" s="121" t="str">
        <f>IF(ISBLANK(tbl_task9[[คะแนนเต็ม]:[คะแนนเต็ม]]),"",(tbl_task9[40]/tbl_task9[[คะแนนเต็ม]:[คะแนนเต็ม]])*tbl_task9[[%]:[%]])</f>
        <v/>
      </c>
      <c r="HC5" s="121" t="str">
        <f>IF(ISBLANK(tbl_task9[[คะแนนเต็ม]:[คะแนนเต็ม]]),"",(tbl_task9[41]/tbl_task9[[คะแนนเต็ม]:[คะแนนเต็ม]])*tbl_task9[[%]:[%]])</f>
        <v/>
      </c>
      <c r="HD5" s="121" t="str">
        <f>IF(ISBLANK(tbl_task9[[คะแนนเต็ม]:[คะแนนเต็ม]]),"",(tbl_task9[42]/tbl_task9[[คะแนนเต็ม]:[คะแนนเต็ม]])*tbl_task9[[%]:[%]])</f>
        <v/>
      </c>
      <c r="HE5" s="121" t="str">
        <f>IF(ISBLANK(tbl_task9[[คะแนนเต็ม]:[คะแนนเต็ม]]),"",(tbl_task9[43]/tbl_task9[[คะแนนเต็ม]:[คะแนนเต็ม]])*tbl_task9[[%]:[%]])</f>
        <v/>
      </c>
      <c r="HF5" s="121" t="str">
        <f>IF(ISBLANK(tbl_task9[[คะแนนเต็ม]:[คะแนนเต็ม]]),"",(tbl_task9[44]/tbl_task9[[คะแนนเต็ม]:[คะแนนเต็ม]])*tbl_task9[[%]:[%]])</f>
        <v/>
      </c>
      <c r="HG5" s="121" t="str">
        <f>IF(ISBLANK(tbl_task9[[คะแนนเต็ม]:[คะแนนเต็ม]]),"",(tbl_task9[45]/tbl_task9[[คะแนนเต็ม]:[คะแนนเต็ม]])*tbl_task9[[%]:[%]])</f>
        <v/>
      </c>
      <c r="HH5" s="121" t="str">
        <f>IF(ISBLANK(tbl_task9[[คะแนนเต็ม]:[คะแนนเต็ม]]),"",(tbl_task9[46]/tbl_task9[[คะแนนเต็ม]:[คะแนนเต็ม]])*tbl_task9[[%]:[%]])</f>
        <v/>
      </c>
      <c r="HI5" s="121" t="str">
        <f>IF(ISBLANK(tbl_task9[[คะแนนเต็ม]:[คะแนนเต็ม]]),"",(tbl_task9[47]/tbl_task9[[คะแนนเต็ม]:[คะแนนเต็ม]])*tbl_task9[[%]:[%]])</f>
        <v/>
      </c>
      <c r="HJ5" s="121" t="str">
        <f>IF(ISBLANK(tbl_task9[[คะแนนเต็ม]:[คะแนนเต็ม]]),"",(tbl_task9[48]/tbl_task9[[คะแนนเต็ม]:[คะแนนเต็ม]])*tbl_task9[[%]:[%]])</f>
        <v/>
      </c>
      <c r="HK5" s="121" t="str">
        <f>IF(ISBLANK(tbl_task9[[คะแนนเต็ม]:[คะแนนเต็ม]]),"",(tbl_task9[49]/tbl_task9[[คะแนนเต็ม]:[คะแนนเต็ม]])*tbl_task9[[%]:[%]])</f>
        <v/>
      </c>
      <c r="HL5" s="121" t="str">
        <f>IF(ISBLANK(tbl_task9[[คะแนนเต็ม]:[คะแนนเต็ม]]),"",(tbl_task9[50]/tbl_task9[[คะแนนเต็ม]:[คะแนนเต็ม]])*tbl_task9[[%]:[%]])</f>
        <v/>
      </c>
      <c r="HM5" s="121" t="str">
        <f>IF(ISBLANK(tbl_task9[[คะแนนเต็ม]:[คะแนนเต็ม]]),"",(tbl_task9[51]/tbl_task9[[คะแนนเต็ม]:[คะแนนเต็ม]])*tbl_task9[[%]:[%]])</f>
        <v/>
      </c>
      <c r="HN5" s="121" t="str">
        <f>IF(ISBLANK(tbl_task9[[คะแนนเต็ม]:[คะแนนเต็ม]]),"",(tbl_task9[52]/tbl_task9[[คะแนนเต็ม]:[คะแนนเต็ม]])*tbl_task9[[%]:[%]])</f>
        <v/>
      </c>
      <c r="HO5" s="121" t="str">
        <f>IF(ISBLANK(tbl_task9[[คะแนนเต็ม]:[คะแนนเต็ม]]),"",(tbl_task9[53]/tbl_task9[[คะแนนเต็ม]:[คะแนนเต็ม]])*tbl_task9[[%]:[%]])</f>
        <v/>
      </c>
      <c r="HP5" s="121" t="str">
        <f>IF(ISBLANK(tbl_task9[[คะแนนเต็ม]:[คะแนนเต็ม]]),"",(tbl_task9[54]/tbl_task9[[คะแนนเต็ม]:[คะแนนเต็ม]])*tbl_task9[[%]:[%]])</f>
        <v/>
      </c>
      <c r="HQ5" s="121" t="str">
        <f>IF(ISBLANK(tbl_task9[[คะแนนเต็ม]:[คะแนนเต็ม]]),"",(tbl_task9[55]/tbl_task9[[คะแนนเต็ม]:[คะแนนเต็ม]])*tbl_task9[[%]:[%]])</f>
        <v/>
      </c>
      <c r="HR5" s="121" t="str">
        <f>IF(ISBLANK(tbl_task9[[คะแนนเต็ม]:[คะแนนเต็ม]]),"",(tbl_task9[56]/tbl_task9[[คะแนนเต็ม]:[คะแนนเต็ม]])*tbl_task9[[%]:[%]])</f>
        <v/>
      </c>
      <c r="HS5" s="121" t="str">
        <f>IF(ISBLANK(tbl_task9[[คะแนนเต็ม]:[คะแนนเต็ม]]),"",(tbl_task9[57]/tbl_task9[[คะแนนเต็ม]:[คะแนนเต็ม]])*tbl_task9[[%]:[%]])</f>
        <v/>
      </c>
      <c r="HT5" s="121" t="str">
        <f>IF(ISBLANK(tbl_task9[[คะแนนเต็ม]:[คะแนนเต็ม]]),"",(tbl_task9[58]/tbl_task9[[คะแนนเต็ม]:[คะแนนเต็ม]])*tbl_task9[[%]:[%]])</f>
        <v/>
      </c>
      <c r="HU5" s="121" t="str">
        <f>IF(ISBLANK(tbl_task9[[คะแนนเต็ม]:[คะแนนเต็ม]]),"",(tbl_task9[59]/tbl_task9[[คะแนนเต็ม]:[คะแนนเต็ม]])*tbl_task9[[%]:[%]])</f>
        <v/>
      </c>
      <c r="HV5" s="121" t="str">
        <f>IF(ISBLANK(tbl_task9[[คะแนนเต็ม]:[คะแนนเต็ม]]),"",(tbl_task9[60]/tbl_task9[[คะแนนเต็ม]:[คะแนนเต็ม]])*tbl_task9[[%]:[%]])</f>
        <v/>
      </c>
      <c r="HW5" s="121" t="str">
        <f>IF(ISBLANK(tbl_task9[[คะแนนเต็ม]:[คะแนนเต็ม]]),"",(tbl_task9[61]/tbl_task9[[คะแนนเต็ม]:[คะแนนเต็ม]])*tbl_task9[[%]:[%]])</f>
        <v/>
      </c>
      <c r="HX5" s="121" t="str">
        <f>IF(ISBLANK(tbl_task9[[คะแนนเต็ม]:[คะแนนเต็ม]]),"",(tbl_task9[62]/tbl_task9[[คะแนนเต็ม]:[คะแนนเต็ม]])*tbl_task9[[%]:[%]])</f>
        <v/>
      </c>
      <c r="HY5" s="121" t="str">
        <f>IF(ISBLANK(tbl_task9[[คะแนนเต็ม]:[คะแนนเต็ม]]),"",(tbl_task9[63]/tbl_task9[[คะแนนเต็ม]:[คะแนนเต็ม]])*tbl_task9[[%]:[%]])</f>
        <v/>
      </c>
      <c r="HZ5" s="121" t="str">
        <f>IF(ISBLANK(tbl_task9[[คะแนนเต็ม]:[คะแนนเต็ม]]),"",(tbl_task9[64]/tbl_task9[[คะแนนเต็ม]:[คะแนนเต็ม]])*tbl_task9[[%]:[%]])</f>
        <v/>
      </c>
      <c r="IA5" s="121" t="str">
        <f>IF(ISBLANK(tbl_task9[[คะแนนเต็ม]:[คะแนนเต็ม]]),"",(tbl_task9[65]/tbl_task9[[คะแนนเต็ม]:[คะแนนเต็ม]])*tbl_task9[[%]:[%]])</f>
        <v/>
      </c>
      <c r="IB5" s="121" t="str">
        <f>IF(ISBLANK(tbl_task9[[คะแนนเต็ม]:[คะแนนเต็ม]]),"",(tbl_task9[66]/tbl_task9[[คะแนนเต็ม]:[คะแนนเต็ม]])*tbl_task9[[%]:[%]])</f>
        <v/>
      </c>
      <c r="IC5" s="121" t="str">
        <f>IF(ISBLANK(tbl_task9[[คะแนนเต็ม]:[คะแนนเต็ม]]),"",(tbl_task9[67]/tbl_task9[[คะแนนเต็ม]:[คะแนนเต็ม]])*tbl_task9[[%]:[%]])</f>
        <v/>
      </c>
      <c r="ID5" s="121" t="str">
        <f>IF(ISBLANK(tbl_task9[[คะแนนเต็ม]:[คะแนนเต็ม]]),"",(tbl_task9[68]/tbl_task9[[คะแนนเต็ม]:[คะแนนเต็ม]])*tbl_task9[[%]:[%]])</f>
        <v/>
      </c>
      <c r="IE5" s="121" t="str">
        <f>IF(ISBLANK(tbl_task9[[คะแนนเต็ม]:[คะแนนเต็ม]]),"",(tbl_task9[69]/tbl_task9[[คะแนนเต็ม]:[คะแนนเต็ม]])*tbl_task9[[%]:[%]])</f>
        <v/>
      </c>
      <c r="IF5" s="121" t="str">
        <f>IF(ISBLANK(tbl_task9[[คะแนนเต็ม]:[คะแนนเต็ม]]),"",(tbl_task9[70]/tbl_task9[[คะแนนเต็ม]:[คะแนนเต็ม]])*tbl_task9[[%]:[%]])</f>
        <v/>
      </c>
      <c r="IG5" s="121" t="str">
        <f>IF(ISBLANK(tbl_task9[[คะแนนเต็ม]:[คะแนนเต็ม]]),"",(tbl_task9[71]/tbl_task9[[คะแนนเต็ม]:[คะแนนเต็ม]])*tbl_task9[[%]:[%]])</f>
        <v/>
      </c>
      <c r="IH5" s="121" t="str">
        <f>IF(ISBLANK(tbl_task9[[คะแนนเต็ม]:[คะแนนเต็ม]]),"",(tbl_task9[72]/tbl_task9[[คะแนนเต็ม]:[คะแนนเต็ม]])*tbl_task9[[%]:[%]])</f>
        <v/>
      </c>
      <c r="II5" s="121" t="str">
        <f>IF(ISBLANK(tbl_task9[[คะแนนเต็ม]:[คะแนนเต็ม]]),"",(tbl_task9[73]/tbl_task9[[คะแนนเต็ม]:[คะแนนเต็ม]])*tbl_task9[[%]:[%]])</f>
        <v/>
      </c>
      <c r="IJ5" s="121" t="str">
        <f>IF(ISBLANK(tbl_task9[[คะแนนเต็ม]:[คะแนนเต็ม]]),"",(tbl_task9[74]/tbl_task9[[คะแนนเต็ม]:[คะแนนเต็ม]])*tbl_task9[[%]:[%]])</f>
        <v/>
      </c>
      <c r="IK5" s="121" t="str">
        <f>IF(ISBLANK(tbl_task9[[คะแนนเต็ม]:[คะแนนเต็ม]]),"",(tbl_task9[75]/tbl_task9[[คะแนนเต็ม]:[คะแนนเต็ม]])*tbl_task9[[%]:[%]])</f>
        <v/>
      </c>
      <c r="IL5" s="121" t="str">
        <f>IF(ISBLANK(tbl_task9[[คะแนนเต็ม]:[คะแนนเต็ม]]),"",(tbl_task9[76]/tbl_task9[[คะแนนเต็ม]:[คะแนนเต็ม]])*tbl_task9[[%]:[%]])</f>
        <v/>
      </c>
      <c r="IM5" s="121" t="str">
        <f>IF(ISBLANK(tbl_task9[[คะแนนเต็ม]:[คะแนนเต็ม]]),"",(tbl_task9[77]/tbl_task9[[คะแนนเต็ม]:[คะแนนเต็ม]])*tbl_task9[[%]:[%]])</f>
        <v/>
      </c>
      <c r="IN5" s="121" t="str">
        <f>IF(ISBLANK(tbl_task9[[คะแนนเต็ม]:[คะแนนเต็ม]]),"",(tbl_task9[78]/tbl_task9[[คะแนนเต็ม]:[คะแนนเต็ม]])*tbl_task9[[%]:[%]])</f>
        <v/>
      </c>
      <c r="IO5" s="121" t="str">
        <f>IF(ISBLANK(tbl_task9[[คะแนนเต็ม]:[คะแนนเต็ม]]),"",(tbl_task9[79]/tbl_task9[[คะแนนเต็ม]:[คะแนนเต็ม]])*tbl_task9[[%]:[%]])</f>
        <v/>
      </c>
      <c r="IP5" s="121" t="str">
        <f>IF(ISBLANK(tbl_task9[[คะแนนเต็ม]:[คะแนนเต็ม]]),"",(tbl_task9[80]/tbl_task9[[คะแนนเต็ม]:[คะแนนเต็ม]])*tbl_task9[[%]:[%]])</f>
        <v/>
      </c>
      <c r="IQ5" s="121" t="str">
        <f>IF(ISBLANK(tbl_task9[[คะแนนเต็ม]:[คะแนนเต็ม]]),"",(tbl_task9[81]/tbl_task9[[คะแนนเต็ม]:[คะแนนเต็ม]])*tbl_task9[[%]:[%]])</f>
        <v/>
      </c>
      <c r="IR5" s="121" t="str">
        <f>IF(ISBLANK(tbl_task9[[คะแนนเต็ม]:[คะแนนเต็ม]]),"",(tbl_task9[82]/tbl_task9[[คะแนนเต็ม]:[คะแนนเต็ม]])*tbl_task9[[%]:[%]])</f>
        <v/>
      </c>
      <c r="IS5" s="121" t="str">
        <f>IF(ISBLANK(tbl_task9[[คะแนนเต็ม]:[คะแนนเต็ม]]),"",(tbl_task9[83]/tbl_task9[[คะแนนเต็ม]:[คะแนนเต็ม]])*tbl_task9[[%]:[%]])</f>
        <v/>
      </c>
      <c r="IT5" s="121" t="str">
        <f>IF(ISBLANK(tbl_task9[[คะแนนเต็ม]:[คะแนนเต็ม]]),"",(tbl_task9[84]/tbl_task9[[คะแนนเต็ม]:[คะแนนเต็ม]])*tbl_task9[[%]:[%]])</f>
        <v/>
      </c>
      <c r="IU5" s="121" t="str">
        <f>IF(ISBLANK(tbl_task9[[คะแนนเต็ม]:[คะแนนเต็ม]]),"",(tbl_task9[85]/tbl_task9[[คะแนนเต็ม]:[คะแนนเต็ม]])*tbl_task9[[%]:[%]])</f>
        <v/>
      </c>
      <c r="IV5" s="121" t="str">
        <f>IF(ISBLANK(tbl_task9[[คะแนนเต็ม]:[คะแนนเต็ม]]),"",(tbl_task9[86]/tbl_task9[[คะแนนเต็ม]:[คะแนนเต็ม]])*tbl_task9[[%]:[%]])</f>
        <v/>
      </c>
      <c r="IW5" s="121" t="str">
        <f>IF(ISBLANK(tbl_task9[[คะแนนเต็ม]:[คะแนนเต็ม]]),"",(tbl_task9[87]/tbl_task9[[คะแนนเต็ม]:[คะแนนเต็ม]])*tbl_task9[[%]:[%]])</f>
        <v/>
      </c>
      <c r="IX5" s="121" t="str">
        <f>IF(ISBLANK(tbl_task9[[คะแนนเต็ม]:[คะแนนเต็ม]]),"",(tbl_task9[88]/tbl_task9[[คะแนนเต็ม]:[คะแนนเต็ม]])*tbl_task9[[%]:[%]])</f>
        <v/>
      </c>
      <c r="IY5" s="121" t="str">
        <f>IF(ISBLANK(tbl_task9[[คะแนนเต็ม]:[คะแนนเต็ม]]),"",(tbl_task9[89]/tbl_task9[[คะแนนเต็ม]:[คะแนนเต็ม]])*tbl_task9[[%]:[%]])</f>
        <v/>
      </c>
      <c r="IZ5" s="121" t="str">
        <f>IF(ISBLANK(tbl_task9[[คะแนนเต็ม]:[คะแนนเต็ม]]),"",(tbl_task9[90]/tbl_task9[[คะแนนเต็ม]:[คะแนนเต็ม]])*tbl_task9[[%]:[%]])</f>
        <v/>
      </c>
      <c r="JA5" s="121" t="str">
        <f>IF(ISBLANK(tbl_task9[[คะแนนเต็ม]:[คะแนนเต็ม]]),"",(tbl_task9[91]/tbl_task9[[คะแนนเต็ม]:[คะแนนเต็ม]])*tbl_task9[[%]:[%]])</f>
        <v/>
      </c>
      <c r="JB5" s="121" t="str">
        <f>IF(ISBLANK(tbl_task9[[คะแนนเต็ม]:[คะแนนเต็ม]]),"",(tbl_task9[92]/tbl_task9[[คะแนนเต็ม]:[คะแนนเต็ม]])*tbl_task9[[%]:[%]])</f>
        <v/>
      </c>
      <c r="JC5" s="121" t="str">
        <f>IF(ISBLANK(tbl_task9[[คะแนนเต็ม]:[คะแนนเต็ม]]),"",(tbl_task9[93]/tbl_task9[[คะแนนเต็ม]:[คะแนนเต็ม]])*tbl_task9[[%]:[%]])</f>
        <v/>
      </c>
      <c r="JD5" s="121" t="str">
        <f>IF(ISBLANK(tbl_task9[[คะแนนเต็ม]:[คะแนนเต็ม]]),"",(tbl_task9[94]/tbl_task9[[คะแนนเต็ม]:[คะแนนเต็ม]])*tbl_task9[[%]:[%]])</f>
        <v/>
      </c>
      <c r="JE5" s="121" t="str">
        <f>IF(ISBLANK(tbl_task9[[คะแนนเต็ม]:[คะแนนเต็ม]]),"",(tbl_task9[95]/tbl_task9[[คะแนนเต็ม]:[คะแนนเต็ม]])*tbl_task9[[%]:[%]])</f>
        <v/>
      </c>
      <c r="JF5" s="121" t="str">
        <f>IF(ISBLANK(tbl_task9[[คะแนนเต็ม]:[คะแนนเต็ม]]),"",(tbl_task9[96]/tbl_task9[[คะแนนเต็ม]:[คะแนนเต็ม]])*tbl_task9[[%]:[%]])</f>
        <v/>
      </c>
      <c r="JG5" s="121" t="str">
        <f>IF(ISBLANK(tbl_task9[[คะแนนเต็ม]:[คะแนนเต็ม]]),"",(tbl_task9[97]/tbl_task9[[คะแนนเต็ม]:[คะแนนเต็ม]])*tbl_task9[[%]:[%]])</f>
        <v/>
      </c>
      <c r="JH5" s="121" t="str">
        <f>IF(ISBLANK(tbl_task9[[คะแนนเต็ม]:[คะแนนเต็ม]]),"",(tbl_task9[98]/tbl_task9[[คะแนนเต็ม]:[คะแนนเต็ม]])*tbl_task9[[%]:[%]])</f>
        <v/>
      </c>
      <c r="JI5" s="121" t="str">
        <f>IF(ISBLANK(tbl_task9[[คะแนนเต็ม]:[คะแนนเต็ม]]),"",(tbl_task9[99]/tbl_task9[[คะแนนเต็ม]:[คะแนนเต็ม]])*tbl_task9[[%]:[%]])</f>
        <v/>
      </c>
      <c r="JJ5" s="121" t="str">
        <f>IF(ISBLANK(tbl_task9[[คะแนนเต็ม]:[คะแนนเต็ม]]),"",(tbl_task9[100]/tbl_task9[[คะแนนเต็ม]:[คะแนนเต็ม]])*tbl_task9[[%]:[%]])</f>
        <v/>
      </c>
      <c r="JK5" s="121" t="str">
        <f>IF(ISBLANK(tbl_task9[[คะแนนเต็ม]:[คะแนนเต็ม]]),"",(tbl_task9[101]/tbl_task9[[คะแนนเต็ม]:[คะแนนเต็ม]])*tbl_task9[[%]:[%]])</f>
        <v/>
      </c>
      <c r="JL5" s="121" t="str">
        <f>IF(ISBLANK(tbl_task9[[คะแนนเต็ม]:[คะแนนเต็ม]]),"",(tbl_task9[102]/tbl_task9[[คะแนนเต็ม]:[คะแนนเต็ม]])*tbl_task9[[%]:[%]])</f>
        <v/>
      </c>
      <c r="JM5" s="121" t="str">
        <f>IF(ISBLANK(tbl_task9[[คะแนนเต็ม]:[คะแนนเต็ม]]),"",(tbl_task9[103]/tbl_task9[[คะแนนเต็ม]:[คะแนนเต็ม]])*tbl_task9[[%]:[%]])</f>
        <v/>
      </c>
      <c r="JN5" s="121" t="str">
        <f>IF(ISBLANK(tbl_task9[[คะแนนเต็ม]:[คะแนนเต็ม]]),"",(tbl_task9[104]/tbl_task9[[คะแนนเต็ม]:[คะแนนเต็ม]])*tbl_task9[[%]:[%]])</f>
        <v/>
      </c>
      <c r="JO5" s="121" t="str">
        <f>IF(ISBLANK(tbl_task9[[คะแนนเต็ม]:[คะแนนเต็ม]]),"",(tbl_task9[105]/tbl_task9[[คะแนนเต็ม]:[คะแนนเต็ม]])*tbl_task9[[%]:[%]])</f>
        <v/>
      </c>
      <c r="JP5" s="121" t="str">
        <f>IF(ISBLANK(tbl_task9[[คะแนนเต็ม]:[คะแนนเต็ม]]),"",(tbl_task9[106]/tbl_task9[[คะแนนเต็ม]:[คะแนนเต็ม]])*tbl_task9[[%]:[%]])</f>
        <v/>
      </c>
      <c r="JQ5" s="121" t="str">
        <f>IF(ISBLANK(tbl_task9[[คะแนนเต็ม]:[คะแนนเต็ม]]),"",(tbl_task9[107]/tbl_task9[[คะแนนเต็ม]:[คะแนนเต็ม]])*tbl_task9[[%]:[%]])</f>
        <v/>
      </c>
      <c r="JR5" s="121" t="str">
        <f>IF(ISBLANK(tbl_task9[[คะแนนเต็ม]:[คะแนนเต็ม]]),"",(tbl_task9[108]/tbl_task9[[คะแนนเต็ม]:[คะแนนเต็ม]])*tbl_task9[[%]:[%]])</f>
        <v/>
      </c>
      <c r="JS5" s="121" t="str">
        <f>IF(ISBLANK(tbl_task9[[คะแนนเต็ม]:[คะแนนเต็ม]]),"",(tbl_task9[109]/tbl_task9[[คะแนนเต็ม]:[คะแนนเต็ม]])*tbl_task9[[%]:[%]])</f>
        <v/>
      </c>
      <c r="JT5" s="121" t="str">
        <f>IF(ISBLANK(tbl_task9[[คะแนนเต็ม]:[คะแนนเต็ม]]),"",(tbl_task9[110]/tbl_task9[[คะแนนเต็ม]:[คะแนนเต็ม]])*tbl_task9[[%]:[%]])</f>
        <v/>
      </c>
      <c r="JU5" s="121" t="str">
        <f>IF(ISBLANK(tbl_task9[[คะแนนเต็ม]:[คะแนนเต็ม]]),"",(tbl_task9[111]/tbl_task9[[คะแนนเต็ม]:[คะแนนเต็ม]])*tbl_task9[[%]:[%]])</f>
        <v/>
      </c>
      <c r="JV5" s="121" t="str">
        <f>IF(ISBLANK(tbl_task9[[คะแนนเต็ม]:[คะแนนเต็ม]]),"",(tbl_task9[112]/tbl_task9[[คะแนนเต็ม]:[คะแนนเต็ม]])*tbl_task9[[%]:[%]])</f>
        <v/>
      </c>
      <c r="JW5" s="121" t="str">
        <f>IF(ISBLANK(tbl_task9[[คะแนนเต็ม]:[คะแนนเต็ม]]),"",(tbl_task9[113]/tbl_task9[[คะแนนเต็ม]:[คะแนนเต็ม]])*tbl_task9[[%]:[%]])</f>
        <v/>
      </c>
      <c r="JX5" s="121" t="str">
        <f>IF(ISBLANK(tbl_task9[[คะแนนเต็ม]:[คะแนนเต็ม]]),"",(tbl_task9[114]/tbl_task9[[คะแนนเต็ม]:[คะแนนเต็ม]])*tbl_task9[[%]:[%]])</f>
        <v/>
      </c>
      <c r="JY5" s="121" t="str">
        <f>IF(ISBLANK(tbl_task9[[คะแนนเต็ม]:[คะแนนเต็ม]]),"",(tbl_task9[115]/tbl_task9[[คะแนนเต็ม]:[คะแนนเต็ม]])*tbl_task9[[%]:[%]])</f>
        <v/>
      </c>
      <c r="JZ5" s="121" t="str">
        <f>IF(ISBLANK(tbl_task9[[คะแนนเต็ม]:[คะแนนเต็ม]]),"",(tbl_task9[116]/tbl_task9[[คะแนนเต็ม]:[คะแนนเต็ม]])*tbl_task9[[%]:[%]])</f>
        <v/>
      </c>
      <c r="KA5" s="121" t="str">
        <f>IF(ISBLANK(tbl_task9[[คะแนนเต็ม]:[คะแนนเต็ม]]),"",(tbl_task9[117]/tbl_task9[[คะแนนเต็ม]:[คะแนนเต็ม]])*tbl_task9[[%]:[%]])</f>
        <v/>
      </c>
      <c r="KB5" s="121" t="str">
        <f>IF(ISBLANK(tbl_task9[[คะแนนเต็ม]:[คะแนนเต็ม]]),"",(tbl_task9[118]/tbl_task9[[คะแนนเต็ม]:[คะแนนเต็ม]])*tbl_task9[[%]:[%]])</f>
        <v/>
      </c>
      <c r="KC5" s="121" t="str">
        <f>IF(ISBLANK(tbl_task9[[คะแนนเต็ม]:[คะแนนเต็ม]]),"",(tbl_task9[119]/tbl_task9[[คะแนนเต็ม]:[คะแนนเต็ม]])*tbl_task9[[%]:[%]])</f>
        <v/>
      </c>
      <c r="KD5" s="121" t="str">
        <f>IF(ISBLANK(tbl_task9[[คะแนนเต็ม]:[คะแนนเต็ม]]),"",(tbl_task9[120]/tbl_task9[[คะแนนเต็ม]:[คะแนนเต็ม]])*tbl_task9[[%]:[%]])</f>
        <v/>
      </c>
      <c r="KE5" s="121" t="str">
        <f>IF(ISBLANK(tbl_task9[[คะแนนเต็ม]:[คะแนนเต็ม]]),"",(tbl_task9[121]/tbl_task9[[คะแนนเต็ม]:[คะแนนเต็ม]])*tbl_task9[[%]:[%]])</f>
        <v/>
      </c>
      <c r="KF5" s="121" t="str">
        <f>IF(ISBLANK(tbl_task9[[คะแนนเต็ม]:[คะแนนเต็ม]]),"",(tbl_task9[122]/tbl_task9[[คะแนนเต็ม]:[คะแนนเต็ม]])*tbl_task9[[%]:[%]])</f>
        <v/>
      </c>
      <c r="KG5" s="121" t="str">
        <f>IF(ISBLANK(tbl_task9[[คะแนนเต็ม]:[คะแนนเต็ม]]),"",(tbl_task9[123]/tbl_task9[[คะแนนเต็ม]:[คะแนนเต็ม]])*tbl_task9[[%]:[%]])</f>
        <v/>
      </c>
      <c r="KH5" s="121" t="str">
        <f>IF(ISBLANK(tbl_task9[[คะแนนเต็ม]:[คะแนนเต็ม]]),"",(tbl_task9[124]/tbl_task9[[คะแนนเต็ม]:[คะแนนเต็ม]])*tbl_task9[[%]:[%]])</f>
        <v/>
      </c>
      <c r="KI5" s="121" t="str">
        <f>IF(ISBLANK(tbl_task9[[คะแนนเต็ม]:[คะแนนเต็ม]]),"",(tbl_task9[125]/tbl_task9[[คะแนนเต็ม]:[คะแนนเต็ม]])*tbl_task9[[%]:[%]])</f>
        <v/>
      </c>
      <c r="KJ5" s="121" t="str">
        <f>IF(ISBLANK(tbl_task9[[คะแนนเต็ม]:[คะแนนเต็ม]]),"",(tbl_task9[126]/tbl_task9[[คะแนนเต็ม]:[คะแนนเต็ม]])*tbl_task9[[%]:[%]])</f>
        <v/>
      </c>
      <c r="KK5" s="121" t="str">
        <f>IF(ISBLANK(tbl_task9[[คะแนนเต็ม]:[คะแนนเต็ม]]),"",(tbl_task9[127]/tbl_task9[[คะแนนเต็ม]:[คะแนนเต็ม]])*tbl_task9[[%]:[%]])</f>
        <v/>
      </c>
      <c r="KL5" s="121" t="str">
        <f>IF(ISBLANK(tbl_task9[[คะแนนเต็ม]:[คะแนนเต็ม]]),"",(tbl_task9[128]/tbl_task9[[คะแนนเต็ม]:[คะแนนเต็ม]])*tbl_task9[[%]:[%]])</f>
        <v/>
      </c>
      <c r="KM5" s="121" t="str">
        <f>IF(ISBLANK(tbl_task9[[คะแนนเต็ม]:[คะแนนเต็ม]]),"",(tbl_task9[129]/tbl_task9[[คะแนนเต็ม]:[คะแนนเต็ม]])*tbl_task9[[%]:[%]])</f>
        <v/>
      </c>
      <c r="KN5" s="121" t="str">
        <f>IF(ISBLANK(tbl_task9[[คะแนนเต็ม]:[คะแนนเต็ม]]),"",(tbl_task9[130]/tbl_task9[[คะแนนเต็ม]:[คะแนนเต็ม]])*tbl_task9[[%]:[%]])</f>
        <v/>
      </c>
      <c r="KO5" s="121" t="str">
        <f>IF(ISBLANK(tbl_task9[[คะแนนเต็ม]:[คะแนนเต็ม]]),"",(tbl_task9[131]/tbl_task9[[คะแนนเต็ม]:[คะแนนเต็ม]])*tbl_task9[[%]:[%]])</f>
        <v/>
      </c>
      <c r="KP5" s="121" t="str">
        <f>IF(ISBLANK(tbl_task9[[คะแนนเต็ม]:[คะแนนเต็ม]]),"",(tbl_task9[132]/tbl_task9[[คะแนนเต็ม]:[คะแนนเต็ม]])*tbl_task9[[%]:[%]])</f>
        <v/>
      </c>
      <c r="KQ5" s="121" t="str">
        <f>IF(ISBLANK(tbl_task9[[คะแนนเต็ม]:[คะแนนเต็ม]]),"",(tbl_task9[133]/tbl_task9[[คะแนนเต็ม]:[คะแนนเต็ม]])*tbl_task9[[%]:[%]])</f>
        <v/>
      </c>
      <c r="KR5" s="121" t="str">
        <f>IF(ISBLANK(tbl_task9[[คะแนนเต็ม]:[คะแนนเต็ม]]),"",(tbl_task9[134]/tbl_task9[[คะแนนเต็ม]:[คะแนนเต็ม]])*tbl_task9[[%]:[%]])</f>
        <v/>
      </c>
      <c r="KS5" s="121" t="str">
        <f>IF(ISBLANK(tbl_task9[[คะแนนเต็ม]:[คะแนนเต็ม]]),"",(tbl_task9[135]/tbl_task9[[คะแนนเต็ม]:[คะแนนเต็ม]])*tbl_task9[[%]:[%]])</f>
        <v/>
      </c>
      <c r="KT5" s="121" t="str">
        <f>IF(ISBLANK(tbl_task9[[คะแนนเต็ม]:[คะแนนเต็ม]]),"",(tbl_task9[136]/tbl_task9[[คะแนนเต็ม]:[คะแนนเต็ม]])*tbl_task9[[%]:[%]])</f>
        <v/>
      </c>
      <c r="KU5" s="121" t="str">
        <f>IF(ISBLANK(tbl_task9[[คะแนนเต็ม]:[คะแนนเต็ม]]),"",(tbl_task9[137]/tbl_task9[[คะแนนเต็ม]:[คะแนนเต็ม]])*tbl_task9[[%]:[%]])</f>
        <v/>
      </c>
      <c r="KV5" s="121" t="str">
        <f>IF(ISBLANK(tbl_task9[[คะแนนเต็ม]:[คะแนนเต็ม]]),"",(tbl_task9[138]/tbl_task9[[คะแนนเต็ม]:[คะแนนเต็ม]])*tbl_task9[[%]:[%]])</f>
        <v/>
      </c>
      <c r="KW5" s="121" t="str">
        <f>IF(ISBLANK(tbl_task9[[คะแนนเต็ม]:[คะแนนเต็ม]]),"",(tbl_task9[139]/tbl_task9[[คะแนนเต็ม]:[คะแนนเต็ม]])*tbl_task9[[%]:[%]])</f>
        <v/>
      </c>
      <c r="KX5" s="121" t="str">
        <f>IF(ISBLANK(tbl_task9[[คะแนนเต็ม]:[คะแนนเต็ม]]),"",(tbl_task9[140]/tbl_task9[[คะแนนเต็ม]:[คะแนนเต็ม]])*tbl_task9[[%]:[%]])</f>
        <v/>
      </c>
      <c r="KY5" s="121" t="str">
        <f>IF(ISBLANK(tbl_task9[[คะแนนเต็ม]:[คะแนนเต็ม]]),"",(tbl_task9[141]/tbl_task9[[คะแนนเต็ม]:[คะแนนเต็ม]])*tbl_task9[[%]:[%]])</f>
        <v/>
      </c>
      <c r="KZ5" s="121" t="str">
        <f>IF(ISBLANK(tbl_task9[[คะแนนเต็ม]:[คะแนนเต็ม]]),"",(tbl_task9[142]/tbl_task9[[คะแนนเต็ม]:[คะแนนเต็ม]])*tbl_task9[[%]:[%]])</f>
        <v/>
      </c>
      <c r="LA5" s="121" t="str">
        <f>IF(ISBLANK(tbl_task9[[คะแนนเต็ม]:[คะแนนเต็ม]]),"",(tbl_task9[143]/tbl_task9[[คะแนนเต็ม]:[คะแนนเต็ม]])*tbl_task9[[%]:[%]])</f>
        <v/>
      </c>
      <c r="LB5" s="121" t="str">
        <f>IF(ISBLANK(tbl_task9[[คะแนนเต็ม]:[คะแนนเต็ม]]),"",(tbl_task9[144]/tbl_task9[[คะแนนเต็ม]:[คะแนนเต็ม]])*tbl_task9[[%]:[%]])</f>
        <v/>
      </c>
      <c r="LC5" s="121" t="str">
        <f>IF(ISBLANK(tbl_task9[[คะแนนเต็ม]:[คะแนนเต็ม]]),"",(tbl_task9[145]/tbl_task9[[คะแนนเต็ม]:[คะแนนเต็ม]])*tbl_task9[[%]:[%]])</f>
        <v/>
      </c>
      <c r="LD5" s="121" t="str">
        <f>IF(ISBLANK(tbl_task9[[คะแนนเต็ม]:[คะแนนเต็ม]]),"",(tbl_task9[146]/tbl_task9[[คะแนนเต็ม]:[คะแนนเต็ม]])*tbl_task9[[%]:[%]])</f>
        <v/>
      </c>
      <c r="LE5" s="121" t="str">
        <f>IF(ISBLANK(tbl_task9[[คะแนนเต็ม]:[คะแนนเต็ม]]),"",(tbl_task9[147]/tbl_task9[[คะแนนเต็ม]:[คะแนนเต็ม]])*tbl_task9[[%]:[%]])</f>
        <v/>
      </c>
      <c r="LF5" s="121" t="str">
        <f>IF(ISBLANK(tbl_task9[[คะแนนเต็ม]:[คะแนนเต็ม]]),"",(tbl_task9[148]/tbl_task9[[คะแนนเต็ม]:[คะแนนเต็ม]])*tbl_task9[[%]:[%]])</f>
        <v/>
      </c>
      <c r="LG5" s="121" t="str">
        <f>IF(ISBLANK(tbl_task9[[คะแนนเต็ม]:[คะแนนเต็ม]]),"",(tbl_task9[149]/tbl_task9[[คะแนนเต็ม]:[คะแนนเต็ม]])*tbl_task9[[%]:[%]])</f>
        <v/>
      </c>
      <c r="LH5" s="121" t="str">
        <f>IF(ISBLANK(tbl_task9[[คะแนนเต็ม]:[คะแนนเต็ม]]),"",(tbl_task9[150]/tbl_task9[[คะแนนเต็ม]:[คะแนนเต็ม]])*tbl_task9[[%]:[%]])</f>
        <v/>
      </c>
      <c r="LI5" s="121" t="str">
        <f>IF(ISBLANK(tbl_task9[[คะแนนเต็ม]:[คะแนนเต็ม]]),"",(tbl_task9[151]/tbl_task9[[คะแนนเต็ม]:[คะแนนเต็ม]])*tbl_task9[[%]:[%]])</f>
        <v/>
      </c>
      <c r="LJ5" s="121" t="str">
        <f>IF(ISBLANK(tbl_task9[[คะแนนเต็ม]:[คะแนนเต็ม]]),"",(tbl_task9[152]/tbl_task9[[คะแนนเต็ม]:[คะแนนเต็ม]])*tbl_task9[[%]:[%]])</f>
        <v/>
      </c>
      <c r="LK5" s="121" t="str">
        <f>IF(ISBLANK(tbl_task9[[คะแนนเต็ม]:[คะแนนเต็ม]]),"",(tbl_task9[153]/tbl_task9[[คะแนนเต็ม]:[คะแนนเต็ม]])*tbl_task9[[%]:[%]])</f>
        <v/>
      </c>
      <c r="LL5" s="121" t="str">
        <f>IF(ISBLANK(tbl_task9[[คะแนนเต็ม]:[คะแนนเต็ม]]),"",(tbl_task9[154]/tbl_task9[[คะแนนเต็ม]:[คะแนนเต็ม]])*tbl_task9[[%]:[%]])</f>
        <v/>
      </c>
      <c r="LM5" s="121" t="str">
        <f>IF(ISBLANK(tbl_task9[[คะแนนเต็ม]:[คะแนนเต็ม]]),"",(tbl_task9[155]/tbl_task9[[คะแนนเต็ม]:[คะแนนเต็ม]])*tbl_task9[[%]:[%]])</f>
        <v/>
      </c>
      <c r="LN5" s="121" t="str">
        <f>IF(ISBLANK(tbl_task9[[คะแนนเต็ม]:[คะแนนเต็ม]]),"",(tbl_task9[156]/tbl_task9[[คะแนนเต็ม]:[คะแนนเต็ม]])*tbl_task9[[%]:[%]])</f>
        <v/>
      </c>
      <c r="LO5" s="121" t="str">
        <f>IF(ISBLANK(tbl_task9[[คะแนนเต็ม]:[คะแนนเต็ม]]),"",(tbl_task9[157]/tbl_task9[[คะแนนเต็ม]:[คะแนนเต็ม]])*tbl_task9[[%]:[%]])</f>
        <v/>
      </c>
      <c r="LP5" s="121" t="str">
        <f>IF(ISBLANK(tbl_task9[[คะแนนเต็ม]:[คะแนนเต็ม]]),"",(tbl_task9[158]/tbl_task9[[คะแนนเต็ม]:[คะแนนเต็ม]])*tbl_task9[[%]:[%]])</f>
        <v/>
      </c>
      <c r="LQ5" s="121" t="str">
        <f>IF(ISBLANK(tbl_task9[[คะแนนเต็ม]:[คะแนนเต็ม]]),"",(tbl_task9[159]/tbl_task9[[คะแนนเต็ม]:[คะแนนเต็ม]])*tbl_task9[[%]:[%]])</f>
        <v/>
      </c>
      <c r="LR5" s="121" t="str">
        <f>IF(ISBLANK(tbl_task9[[คะแนนเต็ม]:[คะแนนเต็ม]]),"",(tbl_task9[160]/tbl_task9[[คะแนนเต็ม]:[คะแนนเต็ม]])*tbl_task9[[%]:[%]])</f>
        <v/>
      </c>
      <c r="LS5" s="121" t="str">
        <f>IF(ISBLANK(tbl_task9[[คะแนนเต็ม]:[คะแนนเต็ม]]),"",(tbl_task9[161]/tbl_task9[[คะแนนเต็ม]:[คะแนนเต็ม]])*tbl_task9[[%]:[%]])</f>
        <v/>
      </c>
      <c r="LT5" s="121" t="str">
        <f>IF(ISBLANK(tbl_task9[[คะแนนเต็ม]:[คะแนนเต็ม]]),"",(tbl_task9[162]/tbl_task9[[คะแนนเต็ม]:[คะแนนเต็ม]])*tbl_task9[[%]:[%]])</f>
        <v/>
      </c>
      <c r="LU5" s="121" t="str">
        <f>IF(ISBLANK(tbl_task9[[คะแนนเต็ม]:[คะแนนเต็ม]]),"",(tbl_task9[163]/tbl_task9[[คะแนนเต็ม]:[คะแนนเต็ม]])*tbl_task9[[%]:[%]])</f>
        <v/>
      </c>
      <c r="LV5" s="121" t="str">
        <f>IF(ISBLANK(tbl_task9[[คะแนนเต็ม]:[คะแนนเต็ม]]),"",(tbl_task9[164]/tbl_task9[[คะแนนเต็ม]:[คะแนนเต็ม]])*tbl_task9[[%]:[%]])</f>
        <v/>
      </c>
      <c r="LW5" s="121" t="str">
        <f>IF(ISBLANK(tbl_task9[[คะแนนเต็ม]:[คะแนนเต็ม]]),"",(tbl_task9[165]/tbl_task9[[คะแนนเต็ม]:[คะแนนเต็ม]])*tbl_task9[[%]:[%]])</f>
        <v/>
      </c>
    </row>
    <row r="6" spans="1:335" ht="24.75" customHeight="1" x14ac:dyDescent="0.25">
      <c r="A6" s="24">
        <v>3</v>
      </c>
      <c r="B6" s="20"/>
      <c r="C6" s="5" t="str">
        <f>IF(ISBLANK(B6),"",VLOOKUP(B6,tbl_PLOs[],2,0))</f>
        <v/>
      </c>
      <c r="D6" s="102"/>
      <c r="E6" s="10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22"/>
      <c r="FO6" s="121" t="str">
        <f>IF(ISBLANK(tbl_task9[[คะแนนเต็ม]:[คะแนนเต็ม]]),"",(tbl_task9[1]/tbl_task9[[คะแนนเต็ม]:[คะแนนเต็ม]])*tbl_task9[[%]:[%]])</f>
        <v/>
      </c>
      <c r="FP6" s="121" t="str">
        <f>IF(ISBLANK(tbl_task9[[คะแนนเต็ม]:[คะแนนเต็ม]]),"",(tbl_task9[2]/tbl_task9[[คะแนนเต็ม]:[คะแนนเต็ม]])*tbl_task9[[%]:[%]])</f>
        <v/>
      </c>
      <c r="FQ6" s="121" t="str">
        <f>IF(ISBLANK(tbl_task9[[คะแนนเต็ม]:[คะแนนเต็ม]]),"",(tbl_task9[3]/tbl_task9[[คะแนนเต็ม]:[คะแนนเต็ม]])*tbl_task9[[%]:[%]])</f>
        <v/>
      </c>
      <c r="FR6" s="121" t="str">
        <f>IF(ISBLANK(tbl_task9[[คะแนนเต็ม]:[คะแนนเต็ม]]),"",(tbl_task9[4]/tbl_task9[[คะแนนเต็ม]:[คะแนนเต็ม]])*tbl_task9[[%]:[%]])</f>
        <v/>
      </c>
      <c r="FS6" s="121" t="str">
        <f>IF(ISBLANK(tbl_task9[[คะแนนเต็ม]:[คะแนนเต็ม]]),"",(tbl_task9[5]/tbl_task9[[คะแนนเต็ม]:[คะแนนเต็ม]])*tbl_task9[[%]:[%]])</f>
        <v/>
      </c>
      <c r="FT6" s="121" t="str">
        <f>IF(ISBLANK(tbl_task9[[คะแนนเต็ม]:[คะแนนเต็ม]]),"",(tbl_task9[6]/tbl_task9[[คะแนนเต็ม]:[คะแนนเต็ม]])*tbl_task9[[%]:[%]])</f>
        <v/>
      </c>
      <c r="FU6" s="121" t="str">
        <f>IF(ISBLANK(tbl_task9[[คะแนนเต็ม]:[คะแนนเต็ม]]),"",(tbl_task9[7]/tbl_task9[[คะแนนเต็ม]:[คะแนนเต็ม]])*tbl_task9[[%]:[%]])</f>
        <v/>
      </c>
      <c r="FV6" s="121" t="str">
        <f>IF(ISBLANK(tbl_task9[[คะแนนเต็ม]:[คะแนนเต็ม]]),"",(tbl_task9[8]/tbl_task9[[คะแนนเต็ม]:[คะแนนเต็ม]])*tbl_task9[[%]:[%]])</f>
        <v/>
      </c>
      <c r="FW6" s="121" t="str">
        <f>IF(ISBLANK(tbl_task9[[คะแนนเต็ม]:[คะแนนเต็ม]]),"",(tbl_task9[9]/tbl_task9[[คะแนนเต็ม]:[คะแนนเต็ม]])*tbl_task9[[%]:[%]])</f>
        <v/>
      </c>
      <c r="FX6" s="121" t="str">
        <f>IF(ISBLANK(tbl_task9[[คะแนนเต็ม]:[คะแนนเต็ม]]),"",(tbl_task9[10]/tbl_task9[[คะแนนเต็ม]:[คะแนนเต็ม]])*tbl_task9[[%]:[%]])</f>
        <v/>
      </c>
      <c r="FY6" s="121" t="str">
        <f>IF(ISBLANK(tbl_task9[[คะแนนเต็ม]:[คะแนนเต็ม]]),"",(tbl_task9[11]/tbl_task9[[คะแนนเต็ม]:[คะแนนเต็ม]])*tbl_task9[[%]:[%]])</f>
        <v/>
      </c>
      <c r="FZ6" s="121" t="str">
        <f>IF(ISBLANK(tbl_task9[[คะแนนเต็ม]:[คะแนนเต็ม]]),"",(tbl_task9[12]/tbl_task9[[คะแนนเต็ม]:[คะแนนเต็ม]])*tbl_task9[[%]:[%]])</f>
        <v/>
      </c>
      <c r="GA6" s="121" t="str">
        <f>IF(ISBLANK(tbl_task9[[คะแนนเต็ม]:[คะแนนเต็ม]]),"",(tbl_task9[13]/tbl_task9[[คะแนนเต็ม]:[คะแนนเต็ม]])*tbl_task9[[%]:[%]])</f>
        <v/>
      </c>
      <c r="GB6" s="121" t="str">
        <f>IF(ISBLANK(tbl_task9[[คะแนนเต็ม]:[คะแนนเต็ม]]),"",(tbl_task9[14]/tbl_task9[[คะแนนเต็ม]:[คะแนนเต็ม]])*tbl_task9[[%]:[%]])</f>
        <v/>
      </c>
      <c r="GC6" s="121" t="str">
        <f>IF(ISBLANK(tbl_task9[[คะแนนเต็ม]:[คะแนนเต็ม]]),"",(tbl_task9[15]/tbl_task9[[คะแนนเต็ม]:[คะแนนเต็ม]])*tbl_task9[[%]:[%]])</f>
        <v/>
      </c>
      <c r="GD6" s="121" t="str">
        <f>IF(ISBLANK(tbl_task9[[คะแนนเต็ม]:[คะแนนเต็ม]]),"",(tbl_task9[16]/tbl_task9[[คะแนนเต็ม]:[คะแนนเต็ม]])*tbl_task9[[%]:[%]])</f>
        <v/>
      </c>
      <c r="GE6" s="121" t="str">
        <f>IF(ISBLANK(tbl_task9[[คะแนนเต็ม]:[คะแนนเต็ม]]),"",(tbl_task9[17]/tbl_task9[[คะแนนเต็ม]:[คะแนนเต็ม]])*tbl_task9[[%]:[%]])</f>
        <v/>
      </c>
      <c r="GF6" s="121" t="str">
        <f>IF(ISBLANK(tbl_task9[[คะแนนเต็ม]:[คะแนนเต็ม]]),"",(tbl_task9[18]/tbl_task9[[คะแนนเต็ม]:[คะแนนเต็ม]])*tbl_task9[[%]:[%]])</f>
        <v/>
      </c>
      <c r="GG6" s="121" t="str">
        <f>IF(ISBLANK(tbl_task9[[คะแนนเต็ม]:[คะแนนเต็ม]]),"",(tbl_task9[19]/tbl_task9[[คะแนนเต็ม]:[คะแนนเต็ม]])*tbl_task9[[%]:[%]])</f>
        <v/>
      </c>
      <c r="GH6" s="121" t="str">
        <f>IF(ISBLANK(tbl_task9[[คะแนนเต็ม]:[คะแนนเต็ม]]),"",(tbl_task9[20]/tbl_task9[[คะแนนเต็ม]:[คะแนนเต็ม]])*tbl_task9[[%]:[%]])</f>
        <v/>
      </c>
      <c r="GI6" s="121" t="str">
        <f>IF(ISBLANK(tbl_task9[[คะแนนเต็ม]:[คะแนนเต็ม]]),"",(tbl_task9[21]/tbl_task9[[คะแนนเต็ม]:[คะแนนเต็ม]])*tbl_task9[[%]:[%]])</f>
        <v/>
      </c>
      <c r="GJ6" s="121" t="str">
        <f>IF(ISBLANK(tbl_task9[[คะแนนเต็ม]:[คะแนนเต็ม]]),"",(tbl_task9[22]/tbl_task9[[คะแนนเต็ม]:[คะแนนเต็ม]])*tbl_task9[[%]:[%]])</f>
        <v/>
      </c>
      <c r="GK6" s="121" t="str">
        <f>IF(ISBLANK(tbl_task9[[คะแนนเต็ม]:[คะแนนเต็ม]]),"",(tbl_task9[23]/tbl_task9[[คะแนนเต็ม]:[คะแนนเต็ม]])*tbl_task9[[%]:[%]])</f>
        <v/>
      </c>
      <c r="GL6" s="121" t="str">
        <f>IF(ISBLANK(tbl_task9[[คะแนนเต็ม]:[คะแนนเต็ม]]),"",(tbl_task9[24]/tbl_task9[[คะแนนเต็ม]:[คะแนนเต็ม]])*tbl_task9[[%]:[%]])</f>
        <v/>
      </c>
      <c r="GM6" s="121" t="str">
        <f>IF(ISBLANK(tbl_task9[[คะแนนเต็ม]:[คะแนนเต็ม]]),"",(tbl_task9[25]/tbl_task9[[คะแนนเต็ม]:[คะแนนเต็ม]])*tbl_task9[[%]:[%]])</f>
        <v/>
      </c>
      <c r="GN6" s="121" t="str">
        <f>IF(ISBLANK(tbl_task9[[คะแนนเต็ม]:[คะแนนเต็ม]]),"",(tbl_task9[26]/tbl_task9[[คะแนนเต็ม]:[คะแนนเต็ม]])*tbl_task9[[%]:[%]])</f>
        <v/>
      </c>
      <c r="GO6" s="121" t="str">
        <f>IF(ISBLANK(tbl_task9[[คะแนนเต็ม]:[คะแนนเต็ม]]),"",(tbl_task9[27]/tbl_task9[[คะแนนเต็ม]:[คะแนนเต็ม]])*tbl_task9[[%]:[%]])</f>
        <v/>
      </c>
      <c r="GP6" s="121" t="str">
        <f>IF(ISBLANK(tbl_task9[[คะแนนเต็ม]:[คะแนนเต็ม]]),"",(tbl_task9[28]/tbl_task9[[คะแนนเต็ม]:[คะแนนเต็ม]])*tbl_task9[[%]:[%]])</f>
        <v/>
      </c>
      <c r="GQ6" s="121" t="str">
        <f>IF(ISBLANK(tbl_task9[[คะแนนเต็ม]:[คะแนนเต็ม]]),"",(tbl_task9[29]/tbl_task9[[คะแนนเต็ม]:[คะแนนเต็ม]])*tbl_task9[[%]:[%]])</f>
        <v/>
      </c>
      <c r="GR6" s="121" t="str">
        <f>IF(ISBLANK(tbl_task9[[คะแนนเต็ม]:[คะแนนเต็ม]]),"",(tbl_task9[30]/tbl_task9[[คะแนนเต็ม]:[คะแนนเต็ม]])*tbl_task9[[%]:[%]])</f>
        <v/>
      </c>
      <c r="GS6" s="121" t="str">
        <f>IF(ISBLANK(tbl_task9[[คะแนนเต็ม]:[คะแนนเต็ม]]),"",(tbl_task9[31]/tbl_task9[[คะแนนเต็ม]:[คะแนนเต็ม]])*tbl_task9[[%]:[%]])</f>
        <v/>
      </c>
      <c r="GT6" s="121" t="str">
        <f>IF(ISBLANK(tbl_task9[[คะแนนเต็ม]:[คะแนนเต็ม]]),"",(tbl_task9[32]/tbl_task9[[คะแนนเต็ม]:[คะแนนเต็ม]])*tbl_task9[[%]:[%]])</f>
        <v/>
      </c>
      <c r="GU6" s="121" t="str">
        <f>IF(ISBLANK(tbl_task9[[คะแนนเต็ม]:[คะแนนเต็ม]]),"",(tbl_task9[33]/tbl_task9[[คะแนนเต็ม]:[คะแนนเต็ม]])*tbl_task9[[%]:[%]])</f>
        <v/>
      </c>
      <c r="GV6" s="121" t="str">
        <f>IF(ISBLANK(tbl_task9[[คะแนนเต็ม]:[คะแนนเต็ม]]),"",(tbl_task9[34]/tbl_task9[[คะแนนเต็ม]:[คะแนนเต็ม]])*tbl_task9[[%]:[%]])</f>
        <v/>
      </c>
      <c r="GW6" s="121" t="str">
        <f>IF(ISBLANK(tbl_task9[[คะแนนเต็ม]:[คะแนนเต็ม]]),"",(tbl_task9[35]/tbl_task9[[คะแนนเต็ม]:[คะแนนเต็ม]])*tbl_task9[[%]:[%]])</f>
        <v/>
      </c>
      <c r="GX6" s="121" t="str">
        <f>IF(ISBLANK(tbl_task9[[คะแนนเต็ม]:[คะแนนเต็ม]]),"",(tbl_task9[36]/tbl_task9[[คะแนนเต็ม]:[คะแนนเต็ม]])*tbl_task9[[%]:[%]])</f>
        <v/>
      </c>
      <c r="GY6" s="121" t="str">
        <f>IF(ISBLANK(tbl_task9[[คะแนนเต็ม]:[คะแนนเต็ม]]),"",(tbl_task9[37]/tbl_task9[[คะแนนเต็ม]:[คะแนนเต็ม]])*tbl_task9[[%]:[%]])</f>
        <v/>
      </c>
      <c r="GZ6" s="121" t="str">
        <f>IF(ISBLANK(tbl_task9[[คะแนนเต็ม]:[คะแนนเต็ม]]),"",(tbl_task9[38]/tbl_task9[[คะแนนเต็ม]:[คะแนนเต็ม]])*tbl_task9[[%]:[%]])</f>
        <v/>
      </c>
      <c r="HA6" s="121" t="str">
        <f>IF(ISBLANK(tbl_task9[[คะแนนเต็ม]:[คะแนนเต็ม]]),"",(tbl_task9[39]/tbl_task9[[คะแนนเต็ม]:[คะแนนเต็ม]])*tbl_task9[[%]:[%]])</f>
        <v/>
      </c>
      <c r="HB6" s="121" t="str">
        <f>IF(ISBLANK(tbl_task9[[คะแนนเต็ม]:[คะแนนเต็ม]]),"",(tbl_task9[40]/tbl_task9[[คะแนนเต็ม]:[คะแนนเต็ม]])*tbl_task9[[%]:[%]])</f>
        <v/>
      </c>
      <c r="HC6" s="121" t="str">
        <f>IF(ISBLANK(tbl_task9[[คะแนนเต็ม]:[คะแนนเต็ม]]),"",(tbl_task9[41]/tbl_task9[[คะแนนเต็ม]:[คะแนนเต็ม]])*tbl_task9[[%]:[%]])</f>
        <v/>
      </c>
      <c r="HD6" s="121" t="str">
        <f>IF(ISBLANK(tbl_task9[[คะแนนเต็ม]:[คะแนนเต็ม]]),"",(tbl_task9[42]/tbl_task9[[คะแนนเต็ม]:[คะแนนเต็ม]])*tbl_task9[[%]:[%]])</f>
        <v/>
      </c>
      <c r="HE6" s="121" t="str">
        <f>IF(ISBLANK(tbl_task9[[คะแนนเต็ม]:[คะแนนเต็ม]]),"",(tbl_task9[43]/tbl_task9[[คะแนนเต็ม]:[คะแนนเต็ม]])*tbl_task9[[%]:[%]])</f>
        <v/>
      </c>
      <c r="HF6" s="121" t="str">
        <f>IF(ISBLANK(tbl_task9[[คะแนนเต็ม]:[คะแนนเต็ม]]),"",(tbl_task9[44]/tbl_task9[[คะแนนเต็ม]:[คะแนนเต็ม]])*tbl_task9[[%]:[%]])</f>
        <v/>
      </c>
      <c r="HG6" s="121" t="str">
        <f>IF(ISBLANK(tbl_task9[[คะแนนเต็ม]:[คะแนนเต็ม]]),"",(tbl_task9[45]/tbl_task9[[คะแนนเต็ม]:[คะแนนเต็ม]])*tbl_task9[[%]:[%]])</f>
        <v/>
      </c>
      <c r="HH6" s="121" t="str">
        <f>IF(ISBLANK(tbl_task9[[คะแนนเต็ม]:[คะแนนเต็ม]]),"",(tbl_task9[46]/tbl_task9[[คะแนนเต็ม]:[คะแนนเต็ม]])*tbl_task9[[%]:[%]])</f>
        <v/>
      </c>
      <c r="HI6" s="121" t="str">
        <f>IF(ISBLANK(tbl_task9[[คะแนนเต็ม]:[คะแนนเต็ม]]),"",(tbl_task9[47]/tbl_task9[[คะแนนเต็ม]:[คะแนนเต็ม]])*tbl_task9[[%]:[%]])</f>
        <v/>
      </c>
      <c r="HJ6" s="121" t="str">
        <f>IF(ISBLANK(tbl_task9[[คะแนนเต็ม]:[คะแนนเต็ม]]),"",(tbl_task9[48]/tbl_task9[[คะแนนเต็ม]:[คะแนนเต็ม]])*tbl_task9[[%]:[%]])</f>
        <v/>
      </c>
      <c r="HK6" s="121" t="str">
        <f>IF(ISBLANK(tbl_task9[[คะแนนเต็ม]:[คะแนนเต็ม]]),"",(tbl_task9[49]/tbl_task9[[คะแนนเต็ม]:[คะแนนเต็ม]])*tbl_task9[[%]:[%]])</f>
        <v/>
      </c>
      <c r="HL6" s="121" t="str">
        <f>IF(ISBLANK(tbl_task9[[คะแนนเต็ม]:[คะแนนเต็ม]]),"",(tbl_task9[50]/tbl_task9[[คะแนนเต็ม]:[คะแนนเต็ม]])*tbl_task9[[%]:[%]])</f>
        <v/>
      </c>
      <c r="HM6" s="121" t="str">
        <f>IF(ISBLANK(tbl_task9[[คะแนนเต็ม]:[คะแนนเต็ม]]),"",(tbl_task9[51]/tbl_task9[[คะแนนเต็ม]:[คะแนนเต็ม]])*tbl_task9[[%]:[%]])</f>
        <v/>
      </c>
      <c r="HN6" s="121" t="str">
        <f>IF(ISBLANK(tbl_task9[[คะแนนเต็ม]:[คะแนนเต็ม]]),"",(tbl_task9[52]/tbl_task9[[คะแนนเต็ม]:[คะแนนเต็ม]])*tbl_task9[[%]:[%]])</f>
        <v/>
      </c>
      <c r="HO6" s="121" t="str">
        <f>IF(ISBLANK(tbl_task9[[คะแนนเต็ม]:[คะแนนเต็ม]]),"",(tbl_task9[53]/tbl_task9[[คะแนนเต็ม]:[คะแนนเต็ม]])*tbl_task9[[%]:[%]])</f>
        <v/>
      </c>
      <c r="HP6" s="121" t="str">
        <f>IF(ISBLANK(tbl_task9[[คะแนนเต็ม]:[คะแนนเต็ม]]),"",(tbl_task9[54]/tbl_task9[[คะแนนเต็ม]:[คะแนนเต็ม]])*tbl_task9[[%]:[%]])</f>
        <v/>
      </c>
      <c r="HQ6" s="121" t="str">
        <f>IF(ISBLANK(tbl_task9[[คะแนนเต็ม]:[คะแนนเต็ม]]),"",(tbl_task9[55]/tbl_task9[[คะแนนเต็ม]:[คะแนนเต็ม]])*tbl_task9[[%]:[%]])</f>
        <v/>
      </c>
      <c r="HR6" s="121" t="str">
        <f>IF(ISBLANK(tbl_task9[[คะแนนเต็ม]:[คะแนนเต็ม]]),"",(tbl_task9[56]/tbl_task9[[คะแนนเต็ม]:[คะแนนเต็ม]])*tbl_task9[[%]:[%]])</f>
        <v/>
      </c>
      <c r="HS6" s="121" t="str">
        <f>IF(ISBLANK(tbl_task9[[คะแนนเต็ม]:[คะแนนเต็ม]]),"",(tbl_task9[57]/tbl_task9[[คะแนนเต็ม]:[คะแนนเต็ม]])*tbl_task9[[%]:[%]])</f>
        <v/>
      </c>
      <c r="HT6" s="121" t="str">
        <f>IF(ISBLANK(tbl_task9[[คะแนนเต็ม]:[คะแนนเต็ม]]),"",(tbl_task9[58]/tbl_task9[[คะแนนเต็ม]:[คะแนนเต็ม]])*tbl_task9[[%]:[%]])</f>
        <v/>
      </c>
      <c r="HU6" s="121" t="str">
        <f>IF(ISBLANK(tbl_task9[[คะแนนเต็ม]:[คะแนนเต็ม]]),"",(tbl_task9[59]/tbl_task9[[คะแนนเต็ม]:[คะแนนเต็ม]])*tbl_task9[[%]:[%]])</f>
        <v/>
      </c>
      <c r="HV6" s="121" t="str">
        <f>IF(ISBLANK(tbl_task9[[คะแนนเต็ม]:[คะแนนเต็ม]]),"",(tbl_task9[60]/tbl_task9[[คะแนนเต็ม]:[คะแนนเต็ม]])*tbl_task9[[%]:[%]])</f>
        <v/>
      </c>
      <c r="HW6" s="121" t="str">
        <f>IF(ISBLANK(tbl_task9[[คะแนนเต็ม]:[คะแนนเต็ม]]),"",(tbl_task9[61]/tbl_task9[[คะแนนเต็ม]:[คะแนนเต็ม]])*tbl_task9[[%]:[%]])</f>
        <v/>
      </c>
      <c r="HX6" s="121" t="str">
        <f>IF(ISBLANK(tbl_task9[[คะแนนเต็ม]:[คะแนนเต็ม]]),"",(tbl_task9[62]/tbl_task9[[คะแนนเต็ม]:[คะแนนเต็ม]])*tbl_task9[[%]:[%]])</f>
        <v/>
      </c>
      <c r="HY6" s="121" t="str">
        <f>IF(ISBLANK(tbl_task9[[คะแนนเต็ม]:[คะแนนเต็ม]]),"",(tbl_task9[63]/tbl_task9[[คะแนนเต็ม]:[คะแนนเต็ม]])*tbl_task9[[%]:[%]])</f>
        <v/>
      </c>
      <c r="HZ6" s="121" t="str">
        <f>IF(ISBLANK(tbl_task9[[คะแนนเต็ม]:[คะแนนเต็ม]]),"",(tbl_task9[64]/tbl_task9[[คะแนนเต็ม]:[คะแนนเต็ม]])*tbl_task9[[%]:[%]])</f>
        <v/>
      </c>
      <c r="IA6" s="121" t="str">
        <f>IF(ISBLANK(tbl_task9[[คะแนนเต็ม]:[คะแนนเต็ม]]),"",(tbl_task9[65]/tbl_task9[[คะแนนเต็ม]:[คะแนนเต็ม]])*tbl_task9[[%]:[%]])</f>
        <v/>
      </c>
      <c r="IB6" s="121" t="str">
        <f>IF(ISBLANK(tbl_task9[[คะแนนเต็ม]:[คะแนนเต็ม]]),"",(tbl_task9[66]/tbl_task9[[คะแนนเต็ม]:[คะแนนเต็ม]])*tbl_task9[[%]:[%]])</f>
        <v/>
      </c>
      <c r="IC6" s="121" t="str">
        <f>IF(ISBLANK(tbl_task9[[คะแนนเต็ม]:[คะแนนเต็ม]]),"",(tbl_task9[67]/tbl_task9[[คะแนนเต็ม]:[คะแนนเต็ม]])*tbl_task9[[%]:[%]])</f>
        <v/>
      </c>
      <c r="ID6" s="121" t="str">
        <f>IF(ISBLANK(tbl_task9[[คะแนนเต็ม]:[คะแนนเต็ม]]),"",(tbl_task9[68]/tbl_task9[[คะแนนเต็ม]:[คะแนนเต็ม]])*tbl_task9[[%]:[%]])</f>
        <v/>
      </c>
      <c r="IE6" s="121" t="str">
        <f>IF(ISBLANK(tbl_task9[[คะแนนเต็ม]:[คะแนนเต็ม]]),"",(tbl_task9[69]/tbl_task9[[คะแนนเต็ม]:[คะแนนเต็ม]])*tbl_task9[[%]:[%]])</f>
        <v/>
      </c>
      <c r="IF6" s="121" t="str">
        <f>IF(ISBLANK(tbl_task9[[คะแนนเต็ม]:[คะแนนเต็ม]]),"",(tbl_task9[70]/tbl_task9[[คะแนนเต็ม]:[คะแนนเต็ม]])*tbl_task9[[%]:[%]])</f>
        <v/>
      </c>
      <c r="IG6" s="121" t="str">
        <f>IF(ISBLANK(tbl_task9[[คะแนนเต็ม]:[คะแนนเต็ม]]),"",(tbl_task9[71]/tbl_task9[[คะแนนเต็ม]:[คะแนนเต็ม]])*tbl_task9[[%]:[%]])</f>
        <v/>
      </c>
      <c r="IH6" s="121" t="str">
        <f>IF(ISBLANK(tbl_task9[[คะแนนเต็ม]:[คะแนนเต็ม]]),"",(tbl_task9[72]/tbl_task9[[คะแนนเต็ม]:[คะแนนเต็ม]])*tbl_task9[[%]:[%]])</f>
        <v/>
      </c>
      <c r="II6" s="121" t="str">
        <f>IF(ISBLANK(tbl_task9[[คะแนนเต็ม]:[คะแนนเต็ม]]),"",(tbl_task9[73]/tbl_task9[[คะแนนเต็ม]:[คะแนนเต็ม]])*tbl_task9[[%]:[%]])</f>
        <v/>
      </c>
      <c r="IJ6" s="121" t="str">
        <f>IF(ISBLANK(tbl_task9[[คะแนนเต็ม]:[คะแนนเต็ม]]),"",(tbl_task9[74]/tbl_task9[[คะแนนเต็ม]:[คะแนนเต็ม]])*tbl_task9[[%]:[%]])</f>
        <v/>
      </c>
      <c r="IK6" s="121" t="str">
        <f>IF(ISBLANK(tbl_task9[[คะแนนเต็ม]:[คะแนนเต็ม]]),"",(tbl_task9[75]/tbl_task9[[คะแนนเต็ม]:[คะแนนเต็ม]])*tbl_task9[[%]:[%]])</f>
        <v/>
      </c>
      <c r="IL6" s="121" t="str">
        <f>IF(ISBLANK(tbl_task9[[คะแนนเต็ม]:[คะแนนเต็ม]]),"",(tbl_task9[76]/tbl_task9[[คะแนนเต็ม]:[คะแนนเต็ม]])*tbl_task9[[%]:[%]])</f>
        <v/>
      </c>
      <c r="IM6" s="121" t="str">
        <f>IF(ISBLANK(tbl_task9[[คะแนนเต็ม]:[คะแนนเต็ม]]),"",(tbl_task9[77]/tbl_task9[[คะแนนเต็ม]:[คะแนนเต็ม]])*tbl_task9[[%]:[%]])</f>
        <v/>
      </c>
      <c r="IN6" s="121" t="str">
        <f>IF(ISBLANK(tbl_task9[[คะแนนเต็ม]:[คะแนนเต็ม]]),"",(tbl_task9[78]/tbl_task9[[คะแนนเต็ม]:[คะแนนเต็ม]])*tbl_task9[[%]:[%]])</f>
        <v/>
      </c>
      <c r="IO6" s="121" t="str">
        <f>IF(ISBLANK(tbl_task9[[คะแนนเต็ม]:[คะแนนเต็ม]]),"",(tbl_task9[79]/tbl_task9[[คะแนนเต็ม]:[คะแนนเต็ม]])*tbl_task9[[%]:[%]])</f>
        <v/>
      </c>
      <c r="IP6" s="121" t="str">
        <f>IF(ISBLANK(tbl_task9[[คะแนนเต็ม]:[คะแนนเต็ม]]),"",(tbl_task9[80]/tbl_task9[[คะแนนเต็ม]:[คะแนนเต็ม]])*tbl_task9[[%]:[%]])</f>
        <v/>
      </c>
      <c r="IQ6" s="121" t="str">
        <f>IF(ISBLANK(tbl_task9[[คะแนนเต็ม]:[คะแนนเต็ม]]),"",(tbl_task9[81]/tbl_task9[[คะแนนเต็ม]:[คะแนนเต็ม]])*tbl_task9[[%]:[%]])</f>
        <v/>
      </c>
      <c r="IR6" s="121" t="str">
        <f>IF(ISBLANK(tbl_task9[[คะแนนเต็ม]:[คะแนนเต็ม]]),"",(tbl_task9[82]/tbl_task9[[คะแนนเต็ม]:[คะแนนเต็ม]])*tbl_task9[[%]:[%]])</f>
        <v/>
      </c>
      <c r="IS6" s="121" t="str">
        <f>IF(ISBLANK(tbl_task9[[คะแนนเต็ม]:[คะแนนเต็ม]]),"",(tbl_task9[83]/tbl_task9[[คะแนนเต็ม]:[คะแนนเต็ม]])*tbl_task9[[%]:[%]])</f>
        <v/>
      </c>
      <c r="IT6" s="121" t="str">
        <f>IF(ISBLANK(tbl_task9[[คะแนนเต็ม]:[คะแนนเต็ม]]),"",(tbl_task9[84]/tbl_task9[[คะแนนเต็ม]:[คะแนนเต็ม]])*tbl_task9[[%]:[%]])</f>
        <v/>
      </c>
      <c r="IU6" s="121" t="str">
        <f>IF(ISBLANK(tbl_task9[[คะแนนเต็ม]:[คะแนนเต็ม]]),"",(tbl_task9[85]/tbl_task9[[คะแนนเต็ม]:[คะแนนเต็ม]])*tbl_task9[[%]:[%]])</f>
        <v/>
      </c>
      <c r="IV6" s="121" t="str">
        <f>IF(ISBLANK(tbl_task9[[คะแนนเต็ม]:[คะแนนเต็ม]]),"",(tbl_task9[86]/tbl_task9[[คะแนนเต็ม]:[คะแนนเต็ม]])*tbl_task9[[%]:[%]])</f>
        <v/>
      </c>
      <c r="IW6" s="121" t="str">
        <f>IF(ISBLANK(tbl_task9[[คะแนนเต็ม]:[คะแนนเต็ม]]),"",(tbl_task9[87]/tbl_task9[[คะแนนเต็ม]:[คะแนนเต็ม]])*tbl_task9[[%]:[%]])</f>
        <v/>
      </c>
      <c r="IX6" s="121" t="str">
        <f>IF(ISBLANK(tbl_task9[[คะแนนเต็ม]:[คะแนนเต็ม]]),"",(tbl_task9[88]/tbl_task9[[คะแนนเต็ม]:[คะแนนเต็ม]])*tbl_task9[[%]:[%]])</f>
        <v/>
      </c>
      <c r="IY6" s="121" t="str">
        <f>IF(ISBLANK(tbl_task9[[คะแนนเต็ม]:[คะแนนเต็ม]]),"",(tbl_task9[89]/tbl_task9[[คะแนนเต็ม]:[คะแนนเต็ม]])*tbl_task9[[%]:[%]])</f>
        <v/>
      </c>
      <c r="IZ6" s="121" t="str">
        <f>IF(ISBLANK(tbl_task9[[คะแนนเต็ม]:[คะแนนเต็ม]]),"",(tbl_task9[90]/tbl_task9[[คะแนนเต็ม]:[คะแนนเต็ม]])*tbl_task9[[%]:[%]])</f>
        <v/>
      </c>
      <c r="JA6" s="121" t="str">
        <f>IF(ISBLANK(tbl_task9[[คะแนนเต็ม]:[คะแนนเต็ม]]),"",(tbl_task9[91]/tbl_task9[[คะแนนเต็ม]:[คะแนนเต็ม]])*tbl_task9[[%]:[%]])</f>
        <v/>
      </c>
      <c r="JB6" s="121" t="str">
        <f>IF(ISBLANK(tbl_task9[[คะแนนเต็ม]:[คะแนนเต็ม]]),"",(tbl_task9[92]/tbl_task9[[คะแนนเต็ม]:[คะแนนเต็ม]])*tbl_task9[[%]:[%]])</f>
        <v/>
      </c>
      <c r="JC6" s="121" t="str">
        <f>IF(ISBLANK(tbl_task9[[คะแนนเต็ม]:[คะแนนเต็ม]]),"",(tbl_task9[93]/tbl_task9[[คะแนนเต็ม]:[คะแนนเต็ม]])*tbl_task9[[%]:[%]])</f>
        <v/>
      </c>
      <c r="JD6" s="121" t="str">
        <f>IF(ISBLANK(tbl_task9[[คะแนนเต็ม]:[คะแนนเต็ม]]),"",(tbl_task9[94]/tbl_task9[[คะแนนเต็ม]:[คะแนนเต็ม]])*tbl_task9[[%]:[%]])</f>
        <v/>
      </c>
      <c r="JE6" s="121" t="str">
        <f>IF(ISBLANK(tbl_task9[[คะแนนเต็ม]:[คะแนนเต็ม]]),"",(tbl_task9[95]/tbl_task9[[คะแนนเต็ม]:[คะแนนเต็ม]])*tbl_task9[[%]:[%]])</f>
        <v/>
      </c>
      <c r="JF6" s="121" t="str">
        <f>IF(ISBLANK(tbl_task9[[คะแนนเต็ม]:[คะแนนเต็ม]]),"",(tbl_task9[96]/tbl_task9[[คะแนนเต็ม]:[คะแนนเต็ม]])*tbl_task9[[%]:[%]])</f>
        <v/>
      </c>
      <c r="JG6" s="121" t="str">
        <f>IF(ISBLANK(tbl_task9[[คะแนนเต็ม]:[คะแนนเต็ม]]),"",(tbl_task9[97]/tbl_task9[[คะแนนเต็ม]:[คะแนนเต็ม]])*tbl_task9[[%]:[%]])</f>
        <v/>
      </c>
      <c r="JH6" s="121" t="str">
        <f>IF(ISBLANK(tbl_task9[[คะแนนเต็ม]:[คะแนนเต็ม]]),"",(tbl_task9[98]/tbl_task9[[คะแนนเต็ม]:[คะแนนเต็ม]])*tbl_task9[[%]:[%]])</f>
        <v/>
      </c>
      <c r="JI6" s="121" t="str">
        <f>IF(ISBLANK(tbl_task9[[คะแนนเต็ม]:[คะแนนเต็ม]]),"",(tbl_task9[99]/tbl_task9[[คะแนนเต็ม]:[คะแนนเต็ม]])*tbl_task9[[%]:[%]])</f>
        <v/>
      </c>
      <c r="JJ6" s="121" t="str">
        <f>IF(ISBLANK(tbl_task9[[คะแนนเต็ม]:[คะแนนเต็ม]]),"",(tbl_task9[100]/tbl_task9[[คะแนนเต็ม]:[คะแนนเต็ม]])*tbl_task9[[%]:[%]])</f>
        <v/>
      </c>
      <c r="JK6" s="121" t="str">
        <f>IF(ISBLANK(tbl_task9[[คะแนนเต็ม]:[คะแนนเต็ม]]),"",(tbl_task9[101]/tbl_task9[[คะแนนเต็ม]:[คะแนนเต็ม]])*tbl_task9[[%]:[%]])</f>
        <v/>
      </c>
      <c r="JL6" s="121" t="str">
        <f>IF(ISBLANK(tbl_task9[[คะแนนเต็ม]:[คะแนนเต็ม]]),"",(tbl_task9[102]/tbl_task9[[คะแนนเต็ม]:[คะแนนเต็ม]])*tbl_task9[[%]:[%]])</f>
        <v/>
      </c>
      <c r="JM6" s="121" t="str">
        <f>IF(ISBLANK(tbl_task9[[คะแนนเต็ม]:[คะแนนเต็ม]]),"",(tbl_task9[103]/tbl_task9[[คะแนนเต็ม]:[คะแนนเต็ม]])*tbl_task9[[%]:[%]])</f>
        <v/>
      </c>
      <c r="JN6" s="121" t="str">
        <f>IF(ISBLANK(tbl_task9[[คะแนนเต็ม]:[คะแนนเต็ม]]),"",(tbl_task9[104]/tbl_task9[[คะแนนเต็ม]:[คะแนนเต็ม]])*tbl_task9[[%]:[%]])</f>
        <v/>
      </c>
      <c r="JO6" s="121" t="str">
        <f>IF(ISBLANK(tbl_task9[[คะแนนเต็ม]:[คะแนนเต็ม]]),"",(tbl_task9[105]/tbl_task9[[คะแนนเต็ม]:[คะแนนเต็ม]])*tbl_task9[[%]:[%]])</f>
        <v/>
      </c>
      <c r="JP6" s="121" t="str">
        <f>IF(ISBLANK(tbl_task9[[คะแนนเต็ม]:[คะแนนเต็ม]]),"",(tbl_task9[106]/tbl_task9[[คะแนนเต็ม]:[คะแนนเต็ม]])*tbl_task9[[%]:[%]])</f>
        <v/>
      </c>
      <c r="JQ6" s="121" t="str">
        <f>IF(ISBLANK(tbl_task9[[คะแนนเต็ม]:[คะแนนเต็ม]]),"",(tbl_task9[107]/tbl_task9[[คะแนนเต็ม]:[คะแนนเต็ม]])*tbl_task9[[%]:[%]])</f>
        <v/>
      </c>
      <c r="JR6" s="121" t="str">
        <f>IF(ISBLANK(tbl_task9[[คะแนนเต็ม]:[คะแนนเต็ม]]),"",(tbl_task9[108]/tbl_task9[[คะแนนเต็ม]:[คะแนนเต็ม]])*tbl_task9[[%]:[%]])</f>
        <v/>
      </c>
      <c r="JS6" s="121" t="str">
        <f>IF(ISBLANK(tbl_task9[[คะแนนเต็ม]:[คะแนนเต็ม]]),"",(tbl_task9[109]/tbl_task9[[คะแนนเต็ม]:[คะแนนเต็ม]])*tbl_task9[[%]:[%]])</f>
        <v/>
      </c>
      <c r="JT6" s="121" t="str">
        <f>IF(ISBLANK(tbl_task9[[คะแนนเต็ม]:[คะแนนเต็ม]]),"",(tbl_task9[110]/tbl_task9[[คะแนนเต็ม]:[คะแนนเต็ม]])*tbl_task9[[%]:[%]])</f>
        <v/>
      </c>
      <c r="JU6" s="121" t="str">
        <f>IF(ISBLANK(tbl_task9[[คะแนนเต็ม]:[คะแนนเต็ม]]),"",(tbl_task9[111]/tbl_task9[[คะแนนเต็ม]:[คะแนนเต็ม]])*tbl_task9[[%]:[%]])</f>
        <v/>
      </c>
      <c r="JV6" s="121" t="str">
        <f>IF(ISBLANK(tbl_task9[[คะแนนเต็ม]:[คะแนนเต็ม]]),"",(tbl_task9[112]/tbl_task9[[คะแนนเต็ม]:[คะแนนเต็ม]])*tbl_task9[[%]:[%]])</f>
        <v/>
      </c>
      <c r="JW6" s="121" t="str">
        <f>IF(ISBLANK(tbl_task9[[คะแนนเต็ม]:[คะแนนเต็ม]]),"",(tbl_task9[113]/tbl_task9[[คะแนนเต็ม]:[คะแนนเต็ม]])*tbl_task9[[%]:[%]])</f>
        <v/>
      </c>
      <c r="JX6" s="121" t="str">
        <f>IF(ISBLANK(tbl_task9[[คะแนนเต็ม]:[คะแนนเต็ม]]),"",(tbl_task9[114]/tbl_task9[[คะแนนเต็ม]:[คะแนนเต็ม]])*tbl_task9[[%]:[%]])</f>
        <v/>
      </c>
      <c r="JY6" s="121" t="str">
        <f>IF(ISBLANK(tbl_task9[[คะแนนเต็ม]:[คะแนนเต็ม]]),"",(tbl_task9[115]/tbl_task9[[คะแนนเต็ม]:[คะแนนเต็ม]])*tbl_task9[[%]:[%]])</f>
        <v/>
      </c>
      <c r="JZ6" s="121" t="str">
        <f>IF(ISBLANK(tbl_task9[[คะแนนเต็ม]:[คะแนนเต็ม]]),"",(tbl_task9[116]/tbl_task9[[คะแนนเต็ม]:[คะแนนเต็ม]])*tbl_task9[[%]:[%]])</f>
        <v/>
      </c>
      <c r="KA6" s="121" t="str">
        <f>IF(ISBLANK(tbl_task9[[คะแนนเต็ม]:[คะแนนเต็ม]]),"",(tbl_task9[117]/tbl_task9[[คะแนนเต็ม]:[คะแนนเต็ม]])*tbl_task9[[%]:[%]])</f>
        <v/>
      </c>
      <c r="KB6" s="121" t="str">
        <f>IF(ISBLANK(tbl_task9[[คะแนนเต็ม]:[คะแนนเต็ม]]),"",(tbl_task9[118]/tbl_task9[[คะแนนเต็ม]:[คะแนนเต็ม]])*tbl_task9[[%]:[%]])</f>
        <v/>
      </c>
      <c r="KC6" s="121" t="str">
        <f>IF(ISBLANK(tbl_task9[[คะแนนเต็ม]:[คะแนนเต็ม]]),"",(tbl_task9[119]/tbl_task9[[คะแนนเต็ม]:[คะแนนเต็ม]])*tbl_task9[[%]:[%]])</f>
        <v/>
      </c>
      <c r="KD6" s="121" t="str">
        <f>IF(ISBLANK(tbl_task9[[คะแนนเต็ม]:[คะแนนเต็ม]]),"",(tbl_task9[120]/tbl_task9[[คะแนนเต็ม]:[คะแนนเต็ม]])*tbl_task9[[%]:[%]])</f>
        <v/>
      </c>
      <c r="KE6" s="121" t="str">
        <f>IF(ISBLANK(tbl_task9[[คะแนนเต็ม]:[คะแนนเต็ม]]),"",(tbl_task9[121]/tbl_task9[[คะแนนเต็ม]:[คะแนนเต็ม]])*tbl_task9[[%]:[%]])</f>
        <v/>
      </c>
      <c r="KF6" s="121" t="str">
        <f>IF(ISBLANK(tbl_task9[[คะแนนเต็ม]:[คะแนนเต็ม]]),"",(tbl_task9[122]/tbl_task9[[คะแนนเต็ม]:[คะแนนเต็ม]])*tbl_task9[[%]:[%]])</f>
        <v/>
      </c>
      <c r="KG6" s="121" t="str">
        <f>IF(ISBLANK(tbl_task9[[คะแนนเต็ม]:[คะแนนเต็ม]]),"",(tbl_task9[123]/tbl_task9[[คะแนนเต็ม]:[คะแนนเต็ม]])*tbl_task9[[%]:[%]])</f>
        <v/>
      </c>
      <c r="KH6" s="121" t="str">
        <f>IF(ISBLANK(tbl_task9[[คะแนนเต็ม]:[คะแนนเต็ม]]),"",(tbl_task9[124]/tbl_task9[[คะแนนเต็ม]:[คะแนนเต็ม]])*tbl_task9[[%]:[%]])</f>
        <v/>
      </c>
      <c r="KI6" s="121" t="str">
        <f>IF(ISBLANK(tbl_task9[[คะแนนเต็ม]:[คะแนนเต็ม]]),"",(tbl_task9[125]/tbl_task9[[คะแนนเต็ม]:[คะแนนเต็ม]])*tbl_task9[[%]:[%]])</f>
        <v/>
      </c>
      <c r="KJ6" s="121" t="str">
        <f>IF(ISBLANK(tbl_task9[[คะแนนเต็ม]:[คะแนนเต็ม]]),"",(tbl_task9[126]/tbl_task9[[คะแนนเต็ม]:[คะแนนเต็ม]])*tbl_task9[[%]:[%]])</f>
        <v/>
      </c>
      <c r="KK6" s="121" t="str">
        <f>IF(ISBLANK(tbl_task9[[คะแนนเต็ม]:[คะแนนเต็ม]]),"",(tbl_task9[127]/tbl_task9[[คะแนนเต็ม]:[คะแนนเต็ม]])*tbl_task9[[%]:[%]])</f>
        <v/>
      </c>
      <c r="KL6" s="121" t="str">
        <f>IF(ISBLANK(tbl_task9[[คะแนนเต็ม]:[คะแนนเต็ม]]),"",(tbl_task9[128]/tbl_task9[[คะแนนเต็ม]:[คะแนนเต็ม]])*tbl_task9[[%]:[%]])</f>
        <v/>
      </c>
      <c r="KM6" s="121" t="str">
        <f>IF(ISBLANK(tbl_task9[[คะแนนเต็ม]:[คะแนนเต็ม]]),"",(tbl_task9[129]/tbl_task9[[คะแนนเต็ม]:[คะแนนเต็ม]])*tbl_task9[[%]:[%]])</f>
        <v/>
      </c>
      <c r="KN6" s="121" t="str">
        <f>IF(ISBLANK(tbl_task9[[คะแนนเต็ม]:[คะแนนเต็ม]]),"",(tbl_task9[130]/tbl_task9[[คะแนนเต็ม]:[คะแนนเต็ม]])*tbl_task9[[%]:[%]])</f>
        <v/>
      </c>
      <c r="KO6" s="121" t="str">
        <f>IF(ISBLANK(tbl_task9[[คะแนนเต็ม]:[คะแนนเต็ม]]),"",(tbl_task9[131]/tbl_task9[[คะแนนเต็ม]:[คะแนนเต็ม]])*tbl_task9[[%]:[%]])</f>
        <v/>
      </c>
      <c r="KP6" s="121" t="str">
        <f>IF(ISBLANK(tbl_task9[[คะแนนเต็ม]:[คะแนนเต็ม]]),"",(tbl_task9[132]/tbl_task9[[คะแนนเต็ม]:[คะแนนเต็ม]])*tbl_task9[[%]:[%]])</f>
        <v/>
      </c>
      <c r="KQ6" s="121" t="str">
        <f>IF(ISBLANK(tbl_task9[[คะแนนเต็ม]:[คะแนนเต็ม]]),"",(tbl_task9[133]/tbl_task9[[คะแนนเต็ม]:[คะแนนเต็ม]])*tbl_task9[[%]:[%]])</f>
        <v/>
      </c>
      <c r="KR6" s="121" t="str">
        <f>IF(ISBLANK(tbl_task9[[คะแนนเต็ม]:[คะแนนเต็ม]]),"",(tbl_task9[134]/tbl_task9[[คะแนนเต็ม]:[คะแนนเต็ม]])*tbl_task9[[%]:[%]])</f>
        <v/>
      </c>
      <c r="KS6" s="121" t="str">
        <f>IF(ISBLANK(tbl_task9[[คะแนนเต็ม]:[คะแนนเต็ม]]),"",(tbl_task9[135]/tbl_task9[[คะแนนเต็ม]:[คะแนนเต็ม]])*tbl_task9[[%]:[%]])</f>
        <v/>
      </c>
      <c r="KT6" s="121" t="str">
        <f>IF(ISBLANK(tbl_task9[[คะแนนเต็ม]:[คะแนนเต็ม]]),"",(tbl_task9[136]/tbl_task9[[คะแนนเต็ม]:[คะแนนเต็ม]])*tbl_task9[[%]:[%]])</f>
        <v/>
      </c>
      <c r="KU6" s="121" t="str">
        <f>IF(ISBLANK(tbl_task9[[คะแนนเต็ม]:[คะแนนเต็ม]]),"",(tbl_task9[137]/tbl_task9[[คะแนนเต็ม]:[คะแนนเต็ม]])*tbl_task9[[%]:[%]])</f>
        <v/>
      </c>
      <c r="KV6" s="121" t="str">
        <f>IF(ISBLANK(tbl_task9[[คะแนนเต็ม]:[คะแนนเต็ม]]),"",(tbl_task9[138]/tbl_task9[[คะแนนเต็ม]:[คะแนนเต็ม]])*tbl_task9[[%]:[%]])</f>
        <v/>
      </c>
      <c r="KW6" s="121" t="str">
        <f>IF(ISBLANK(tbl_task9[[คะแนนเต็ม]:[คะแนนเต็ม]]),"",(tbl_task9[139]/tbl_task9[[คะแนนเต็ม]:[คะแนนเต็ม]])*tbl_task9[[%]:[%]])</f>
        <v/>
      </c>
      <c r="KX6" s="121" t="str">
        <f>IF(ISBLANK(tbl_task9[[คะแนนเต็ม]:[คะแนนเต็ม]]),"",(tbl_task9[140]/tbl_task9[[คะแนนเต็ม]:[คะแนนเต็ม]])*tbl_task9[[%]:[%]])</f>
        <v/>
      </c>
      <c r="KY6" s="121" t="str">
        <f>IF(ISBLANK(tbl_task9[[คะแนนเต็ม]:[คะแนนเต็ม]]),"",(tbl_task9[141]/tbl_task9[[คะแนนเต็ม]:[คะแนนเต็ม]])*tbl_task9[[%]:[%]])</f>
        <v/>
      </c>
      <c r="KZ6" s="121" t="str">
        <f>IF(ISBLANK(tbl_task9[[คะแนนเต็ม]:[คะแนนเต็ม]]),"",(tbl_task9[142]/tbl_task9[[คะแนนเต็ม]:[คะแนนเต็ม]])*tbl_task9[[%]:[%]])</f>
        <v/>
      </c>
      <c r="LA6" s="121" t="str">
        <f>IF(ISBLANK(tbl_task9[[คะแนนเต็ม]:[คะแนนเต็ม]]),"",(tbl_task9[143]/tbl_task9[[คะแนนเต็ม]:[คะแนนเต็ม]])*tbl_task9[[%]:[%]])</f>
        <v/>
      </c>
      <c r="LB6" s="121" t="str">
        <f>IF(ISBLANK(tbl_task9[[คะแนนเต็ม]:[คะแนนเต็ม]]),"",(tbl_task9[144]/tbl_task9[[คะแนนเต็ม]:[คะแนนเต็ม]])*tbl_task9[[%]:[%]])</f>
        <v/>
      </c>
      <c r="LC6" s="121" t="str">
        <f>IF(ISBLANK(tbl_task9[[คะแนนเต็ม]:[คะแนนเต็ม]]),"",(tbl_task9[145]/tbl_task9[[คะแนนเต็ม]:[คะแนนเต็ม]])*tbl_task9[[%]:[%]])</f>
        <v/>
      </c>
      <c r="LD6" s="121" t="str">
        <f>IF(ISBLANK(tbl_task9[[คะแนนเต็ม]:[คะแนนเต็ม]]),"",(tbl_task9[146]/tbl_task9[[คะแนนเต็ม]:[คะแนนเต็ม]])*tbl_task9[[%]:[%]])</f>
        <v/>
      </c>
      <c r="LE6" s="121" t="str">
        <f>IF(ISBLANK(tbl_task9[[คะแนนเต็ม]:[คะแนนเต็ม]]),"",(tbl_task9[147]/tbl_task9[[คะแนนเต็ม]:[คะแนนเต็ม]])*tbl_task9[[%]:[%]])</f>
        <v/>
      </c>
      <c r="LF6" s="121" t="str">
        <f>IF(ISBLANK(tbl_task9[[คะแนนเต็ม]:[คะแนนเต็ม]]),"",(tbl_task9[148]/tbl_task9[[คะแนนเต็ม]:[คะแนนเต็ม]])*tbl_task9[[%]:[%]])</f>
        <v/>
      </c>
      <c r="LG6" s="121" t="str">
        <f>IF(ISBLANK(tbl_task9[[คะแนนเต็ม]:[คะแนนเต็ม]]),"",(tbl_task9[149]/tbl_task9[[คะแนนเต็ม]:[คะแนนเต็ม]])*tbl_task9[[%]:[%]])</f>
        <v/>
      </c>
      <c r="LH6" s="121" t="str">
        <f>IF(ISBLANK(tbl_task9[[คะแนนเต็ม]:[คะแนนเต็ม]]),"",(tbl_task9[150]/tbl_task9[[คะแนนเต็ม]:[คะแนนเต็ม]])*tbl_task9[[%]:[%]])</f>
        <v/>
      </c>
      <c r="LI6" s="121" t="str">
        <f>IF(ISBLANK(tbl_task9[[คะแนนเต็ม]:[คะแนนเต็ม]]),"",(tbl_task9[151]/tbl_task9[[คะแนนเต็ม]:[คะแนนเต็ม]])*tbl_task9[[%]:[%]])</f>
        <v/>
      </c>
      <c r="LJ6" s="121" t="str">
        <f>IF(ISBLANK(tbl_task9[[คะแนนเต็ม]:[คะแนนเต็ม]]),"",(tbl_task9[152]/tbl_task9[[คะแนนเต็ม]:[คะแนนเต็ม]])*tbl_task9[[%]:[%]])</f>
        <v/>
      </c>
      <c r="LK6" s="121" t="str">
        <f>IF(ISBLANK(tbl_task9[[คะแนนเต็ม]:[คะแนนเต็ม]]),"",(tbl_task9[153]/tbl_task9[[คะแนนเต็ม]:[คะแนนเต็ม]])*tbl_task9[[%]:[%]])</f>
        <v/>
      </c>
      <c r="LL6" s="121" t="str">
        <f>IF(ISBLANK(tbl_task9[[คะแนนเต็ม]:[คะแนนเต็ม]]),"",(tbl_task9[154]/tbl_task9[[คะแนนเต็ม]:[คะแนนเต็ม]])*tbl_task9[[%]:[%]])</f>
        <v/>
      </c>
      <c r="LM6" s="121" t="str">
        <f>IF(ISBLANK(tbl_task9[[คะแนนเต็ม]:[คะแนนเต็ม]]),"",(tbl_task9[155]/tbl_task9[[คะแนนเต็ม]:[คะแนนเต็ม]])*tbl_task9[[%]:[%]])</f>
        <v/>
      </c>
      <c r="LN6" s="121" t="str">
        <f>IF(ISBLANK(tbl_task9[[คะแนนเต็ม]:[คะแนนเต็ม]]),"",(tbl_task9[156]/tbl_task9[[คะแนนเต็ม]:[คะแนนเต็ม]])*tbl_task9[[%]:[%]])</f>
        <v/>
      </c>
      <c r="LO6" s="121" t="str">
        <f>IF(ISBLANK(tbl_task9[[คะแนนเต็ม]:[คะแนนเต็ม]]),"",(tbl_task9[157]/tbl_task9[[คะแนนเต็ม]:[คะแนนเต็ม]])*tbl_task9[[%]:[%]])</f>
        <v/>
      </c>
      <c r="LP6" s="121" t="str">
        <f>IF(ISBLANK(tbl_task9[[คะแนนเต็ม]:[คะแนนเต็ม]]),"",(tbl_task9[158]/tbl_task9[[คะแนนเต็ม]:[คะแนนเต็ม]])*tbl_task9[[%]:[%]])</f>
        <v/>
      </c>
      <c r="LQ6" s="121" t="str">
        <f>IF(ISBLANK(tbl_task9[[คะแนนเต็ม]:[คะแนนเต็ม]]),"",(tbl_task9[159]/tbl_task9[[คะแนนเต็ม]:[คะแนนเต็ม]])*tbl_task9[[%]:[%]])</f>
        <v/>
      </c>
      <c r="LR6" s="121" t="str">
        <f>IF(ISBLANK(tbl_task9[[คะแนนเต็ม]:[คะแนนเต็ม]]),"",(tbl_task9[160]/tbl_task9[[คะแนนเต็ม]:[คะแนนเต็ม]])*tbl_task9[[%]:[%]])</f>
        <v/>
      </c>
      <c r="LS6" s="121" t="str">
        <f>IF(ISBLANK(tbl_task9[[คะแนนเต็ม]:[คะแนนเต็ม]]),"",(tbl_task9[161]/tbl_task9[[คะแนนเต็ม]:[คะแนนเต็ม]])*tbl_task9[[%]:[%]])</f>
        <v/>
      </c>
      <c r="LT6" s="121" t="str">
        <f>IF(ISBLANK(tbl_task9[[คะแนนเต็ม]:[คะแนนเต็ม]]),"",(tbl_task9[162]/tbl_task9[[คะแนนเต็ม]:[คะแนนเต็ม]])*tbl_task9[[%]:[%]])</f>
        <v/>
      </c>
      <c r="LU6" s="121" t="str">
        <f>IF(ISBLANK(tbl_task9[[คะแนนเต็ม]:[คะแนนเต็ม]]),"",(tbl_task9[163]/tbl_task9[[คะแนนเต็ม]:[คะแนนเต็ม]])*tbl_task9[[%]:[%]])</f>
        <v/>
      </c>
      <c r="LV6" s="121" t="str">
        <f>IF(ISBLANK(tbl_task9[[คะแนนเต็ม]:[คะแนนเต็ม]]),"",(tbl_task9[164]/tbl_task9[[คะแนนเต็ม]:[คะแนนเต็ม]])*tbl_task9[[%]:[%]])</f>
        <v/>
      </c>
      <c r="LW6" s="121" t="str">
        <f>IF(ISBLANK(tbl_task9[[คะแนนเต็ม]:[คะแนนเต็ม]]),"",(tbl_task9[165]/tbl_task9[[คะแนนเต็ม]:[คะแนนเต็ม]])*tbl_task9[[%]:[%]])</f>
        <v/>
      </c>
    </row>
    <row r="7" spans="1:335" ht="22.5" customHeight="1" x14ac:dyDescent="0.25">
      <c r="A7" s="24">
        <v>4</v>
      </c>
      <c r="B7" s="33"/>
      <c r="C7" s="5" t="str">
        <f>IF(ISBLANK(B7),"",VLOOKUP(B7,tbl_PLOs[],2,0))</f>
        <v/>
      </c>
      <c r="D7" s="102"/>
      <c r="E7" s="10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22"/>
      <c r="FO7" s="121" t="str">
        <f>IF(ISBLANK(tbl_task9[[คะแนนเต็ม]:[คะแนนเต็ม]]),"",(tbl_task9[1]/tbl_task9[[คะแนนเต็ม]:[คะแนนเต็ม]])*tbl_task9[[%]:[%]])</f>
        <v/>
      </c>
      <c r="FP7" s="121" t="str">
        <f>IF(ISBLANK(tbl_task9[[คะแนนเต็ม]:[คะแนนเต็ม]]),"",(tbl_task9[2]/tbl_task9[[คะแนนเต็ม]:[คะแนนเต็ม]])*tbl_task9[[%]:[%]])</f>
        <v/>
      </c>
      <c r="FQ7" s="121" t="str">
        <f>IF(ISBLANK(tbl_task9[[คะแนนเต็ม]:[คะแนนเต็ม]]),"",(tbl_task9[3]/tbl_task9[[คะแนนเต็ม]:[คะแนนเต็ม]])*tbl_task9[[%]:[%]])</f>
        <v/>
      </c>
      <c r="FR7" s="121" t="str">
        <f>IF(ISBLANK(tbl_task9[[คะแนนเต็ม]:[คะแนนเต็ม]]),"",(tbl_task9[4]/tbl_task9[[คะแนนเต็ม]:[คะแนนเต็ม]])*tbl_task9[[%]:[%]])</f>
        <v/>
      </c>
      <c r="FS7" s="121" t="str">
        <f>IF(ISBLANK(tbl_task9[[คะแนนเต็ม]:[คะแนนเต็ม]]),"",(tbl_task9[5]/tbl_task9[[คะแนนเต็ม]:[คะแนนเต็ม]])*tbl_task9[[%]:[%]])</f>
        <v/>
      </c>
      <c r="FT7" s="121" t="str">
        <f>IF(ISBLANK(tbl_task9[[คะแนนเต็ม]:[คะแนนเต็ม]]),"",(tbl_task9[6]/tbl_task9[[คะแนนเต็ม]:[คะแนนเต็ม]])*tbl_task9[[%]:[%]])</f>
        <v/>
      </c>
      <c r="FU7" s="121" t="str">
        <f>IF(ISBLANK(tbl_task9[[คะแนนเต็ม]:[คะแนนเต็ม]]),"",(tbl_task9[7]/tbl_task9[[คะแนนเต็ม]:[คะแนนเต็ม]])*tbl_task9[[%]:[%]])</f>
        <v/>
      </c>
      <c r="FV7" s="121" t="str">
        <f>IF(ISBLANK(tbl_task9[[คะแนนเต็ม]:[คะแนนเต็ม]]),"",(tbl_task9[8]/tbl_task9[[คะแนนเต็ม]:[คะแนนเต็ม]])*tbl_task9[[%]:[%]])</f>
        <v/>
      </c>
      <c r="FW7" s="121" t="str">
        <f>IF(ISBLANK(tbl_task9[[คะแนนเต็ม]:[คะแนนเต็ม]]),"",(tbl_task9[9]/tbl_task9[[คะแนนเต็ม]:[คะแนนเต็ม]])*tbl_task9[[%]:[%]])</f>
        <v/>
      </c>
      <c r="FX7" s="121" t="str">
        <f>IF(ISBLANK(tbl_task9[[คะแนนเต็ม]:[คะแนนเต็ม]]),"",(tbl_task9[10]/tbl_task9[[คะแนนเต็ม]:[คะแนนเต็ม]])*tbl_task9[[%]:[%]])</f>
        <v/>
      </c>
      <c r="FY7" s="121" t="str">
        <f>IF(ISBLANK(tbl_task9[[คะแนนเต็ม]:[คะแนนเต็ม]]),"",(tbl_task9[11]/tbl_task9[[คะแนนเต็ม]:[คะแนนเต็ม]])*tbl_task9[[%]:[%]])</f>
        <v/>
      </c>
      <c r="FZ7" s="121" t="str">
        <f>IF(ISBLANK(tbl_task9[[คะแนนเต็ม]:[คะแนนเต็ม]]),"",(tbl_task9[12]/tbl_task9[[คะแนนเต็ม]:[คะแนนเต็ม]])*tbl_task9[[%]:[%]])</f>
        <v/>
      </c>
      <c r="GA7" s="121" t="str">
        <f>IF(ISBLANK(tbl_task9[[คะแนนเต็ม]:[คะแนนเต็ม]]),"",(tbl_task9[13]/tbl_task9[[คะแนนเต็ม]:[คะแนนเต็ม]])*tbl_task9[[%]:[%]])</f>
        <v/>
      </c>
      <c r="GB7" s="121" t="str">
        <f>IF(ISBLANK(tbl_task9[[คะแนนเต็ม]:[คะแนนเต็ม]]),"",(tbl_task9[14]/tbl_task9[[คะแนนเต็ม]:[คะแนนเต็ม]])*tbl_task9[[%]:[%]])</f>
        <v/>
      </c>
      <c r="GC7" s="121" t="str">
        <f>IF(ISBLANK(tbl_task9[[คะแนนเต็ม]:[คะแนนเต็ม]]),"",(tbl_task9[15]/tbl_task9[[คะแนนเต็ม]:[คะแนนเต็ม]])*tbl_task9[[%]:[%]])</f>
        <v/>
      </c>
      <c r="GD7" s="121" t="str">
        <f>IF(ISBLANK(tbl_task9[[คะแนนเต็ม]:[คะแนนเต็ม]]),"",(tbl_task9[16]/tbl_task9[[คะแนนเต็ม]:[คะแนนเต็ม]])*tbl_task9[[%]:[%]])</f>
        <v/>
      </c>
      <c r="GE7" s="121" t="str">
        <f>IF(ISBLANK(tbl_task9[[คะแนนเต็ม]:[คะแนนเต็ม]]),"",(tbl_task9[17]/tbl_task9[[คะแนนเต็ม]:[คะแนนเต็ม]])*tbl_task9[[%]:[%]])</f>
        <v/>
      </c>
      <c r="GF7" s="121" t="str">
        <f>IF(ISBLANK(tbl_task9[[คะแนนเต็ม]:[คะแนนเต็ม]]),"",(tbl_task9[18]/tbl_task9[[คะแนนเต็ม]:[คะแนนเต็ม]])*tbl_task9[[%]:[%]])</f>
        <v/>
      </c>
      <c r="GG7" s="121" t="str">
        <f>IF(ISBLANK(tbl_task9[[คะแนนเต็ม]:[คะแนนเต็ม]]),"",(tbl_task9[19]/tbl_task9[[คะแนนเต็ม]:[คะแนนเต็ม]])*tbl_task9[[%]:[%]])</f>
        <v/>
      </c>
      <c r="GH7" s="121" t="str">
        <f>IF(ISBLANK(tbl_task9[[คะแนนเต็ม]:[คะแนนเต็ม]]),"",(tbl_task9[20]/tbl_task9[[คะแนนเต็ม]:[คะแนนเต็ม]])*tbl_task9[[%]:[%]])</f>
        <v/>
      </c>
      <c r="GI7" s="121" t="str">
        <f>IF(ISBLANK(tbl_task9[[คะแนนเต็ม]:[คะแนนเต็ม]]),"",(tbl_task9[21]/tbl_task9[[คะแนนเต็ม]:[คะแนนเต็ม]])*tbl_task9[[%]:[%]])</f>
        <v/>
      </c>
      <c r="GJ7" s="121" t="str">
        <f>IF(ISBLANK(tbl_task9[[คะแนนเต็ม]:[คะแนนเต็ม]]),"",(tbl_task9[22]/tbl_task9[[คะแนนเต็ม]:[คะแนนเต็ม]])*tbl_task9[[%]:[%]])</f>
        <v/>
      </c>
      <c r="GK7" s="121" t="str">
        <f>IF(ISBLANK(tbl_task9[[คะแนนเต็ม]:[คะแนนเต็ม]]),"",(tbl_task9[23]/tbl_task9[[คะแนนเต็ม]:[คะแนนเต็ม]])*tbl_task9[[%]:[%]])</f>
        <v/>
      </c>
      <c r="GL7" s="121" t="str">
        <f>IF(ISBLANK(tbl_task9[[คะแนนเต็ม]:[คะแนนเต็ม]]),"",(tbl_task9[24]/tbl_task9[[คะแนนเต็ม]:[คะแนนเต็ม]])*tbl_task9[[%]:[%]])</f>
        <v/>
      </c>
      <c r="GM7" s="121" t="str">
        <f>IF(ISBLANK(tbl_task9[[คะแนนเต็ม]:[คะแนนเต็ม]]),"",(tbl_task9[25]/tbl_task9[[คะแนนเต็ม]:[คะแนนเต็ม]])*tbl_task9[[%]:[%]])</f>
        <v/>
      </c>
      <c r="GN7" s="121" t="str">
        <f>IF(ISBLANK(tbl_task9[[คะแนนเต็ม]:[คะแนนเต็ม]]),"",(tbl_task9[26]/tbl_task9[[คะแนนเต็ม]:[คะแนนเต็ม]])*tbl_task9[[%]:[%]])</f>
        <v/>
      </c>
      <c r="GO7" s="121" t="str">
        <f>IF(ISBLANK(tbl_task9[[คะแนนเต็ม]:[คะแนนเต็ม]]),"",(tbl_task9[27]/tbl_task9[[คะแนนเต็ม]:[คะแนนเต็ม]])*tbl_task9[[%]:[%]])</f>
        <v/>
      </c>
      <c r="GP7" s="121" t="str">
        <f>IF(ISBLANK(tbl_task9[[คะแนนเต็ม]:[คะแนนเต็ม]]),"",(tbl_task9[28]/tbl_task9[[คะแนนเต็ม]:[คะแนนเต็ม]])*tbl_task9[[%]:[%]])</f>
        <v/>
      </c>
      <c r="GQ7" s="121" t="str">
        <f>IF(ISBLANK(tbl_task9[[คะแนนเต็ม]:[คะแนนเต็ม]]),"",(tbl_task9[29]/tbl_task9[[คะแนนเต็ม]:[คะแนนเต็ม]])*tbl_task9[[%]:[%]])</f>
        <v/>
      </c>
      <c r="GR7" s="121" t="str">
        <f>IF(ISBLANK(tbl_task9[[คะแนนเต็ม]:[คะแนนเต็ม]]),"",(tbl_task9[30]/tbl_task9[[คะแนนเต็ม]:[คะแนนเต็ม]])*tbl_task9[[%]:[%]])</f>
        <v/>
      </c>
      <c r="GS7" s="121" t="str">
        <f>IF(ISBLANK(tbl_task9[[คะแนนเต็ม]:[คะแนนเต็ม]]),"",(tbl_task9[31]/tbl_task9[[คะแนนเต็ม]:[คะแนนเต็ม]])*tbl_task9[[%]:[%]])</f>
        <v/>
      </c>
      <c r="GT7" s="121" t="str">
        <f>IF(ISBLANK(tbl_task9[[คะแนนเต็ม]:[คะแนนเต็ม]]),"",(tbl_task9[32]/tbl_task9[[คะแนนเต็ม]:[คะแนนเต็ม]])*tbl_task9[[%]:[%]])</f>
        <v/>
      </c>
      <c r="GU7" s="121" t="str">
        <f>IF(ISBLANK(tbl_task9[[คะแนนเต็ม]:[คะแนนเต็ม]]),"",(tbl_task9[33]/tbl_task9[[คะแนนเต็ม]:[คะแนนเต็ม]])*tbl_task9[[%]:[%]])</f>
        <v/>
      </c>
      <c r="GV7" s="121" t="str">
        <f>IF(ISBLANK(tbl_task9[[คะแนนเต็ม]:[คะแนนเต็ม]]),"",(tbl_task9[34]/tbl_task9[[คะแนนเต็ม]:[คะแนนเต็ม]])*tbl_task9[[%]:[%]])</f>
        <v/>
      </c>
      <c r="GW7" s="121" t="str">
        <f>IF(ISBLANK(tbl_task9[[คะแนนเต็ม]:[คะแนนเต็ม]]),"",(tbl_task9[35]/tbl_task9[[คะแนนเต็ม]:[คะแนนเต็ม]])*tbl_task9[[%]:[%]])</f>
        <v/>
      </c>
      <c r="GX7" s="121" t="str">
        <f>IF(ISBLANK(tbl_task9[[คะแนนเต็ม]:[คะแนนเต็ม]]),"",(tbl_task9[36]/tbl_task9[[คะแนนเต็ม]:[คะแนนเต็ม]])*tbl_task9[[%]:[%]])</f>
        <v/>
      </c>
      <c r="GY7" s="121" t="str">
        <f>IF(ISBLANK(tbl_task9[[คะแนนเต็ม]:[คะแนนเต็ม]]),"",(tbl_task9[37]/tbl_task9[[คะแนนเต็ม]:[คะแนนเต็ม]])*tbl_task9[[%]:[%]])</f>
        <v/>
      </c>
      <c r="GZ7" s="121" t="str">
        <f>IF(ISBLANK(tbl_task9[[คะแนนเต็ม]:[คะแนนเต็ม]]),"",(tbl_task9[38]/tbl_task9[[คะแนนเต็ม]:[คะแนนเต็ม]])*tbl_task9[[%]:[%]])</f>
        <v/>
      </c>
      <c r="HA7" s="121" t="str">
        <f>IF(ISBLANK(tbl_task9[[คะแนนเต็ม]:[คะแนนเต็ม]]),"",(tbl_task9[39]/tbl_task9[[คะแนนเต็ม]:[คะแนนเต็ม]])*tbl_task9[[%]:[%]])</f>
        <v/>
      </c>
      <c r="HB7" s="121" t="str">
        <f>IF(ISBLANK(tbl_task9[[คะแนนเต็ม]:[คะแนนเต็ม]]),"",(tbl_task9[40]/tbl_task9[[คะแนนเต็ม]:[คะแนนเต็ม]])*tbl_task9[[%]:[%]])</f>
        <v/>
      </c>
      <c r="HC7" s="121" t="str">
        <f>IF(ISBLANK(tbl_task9[[คะแนนเต็ม]:[คะแนนเต็ม]]),"",(tbl_task9[41]/tbl_task9[[คะแนนเต็ม]:[คะแนนเต็ม]])*tbl_task9[[%]:[%]])</f>
        <v/>
      </c>
      <c r="HD7" s="121" t="str">
        <f>IF(ISBLANK(tbl_task9[[คะแนนเต็ม]:[คะแนนเต็ม]]),"",(tbl_task9[42]/tbl_task9[[คะแนนเต็ม]:[คะแนนเต็ม]])*tbl_task9[[%]:[%]])</f>
        <v/>
      </c>
      <c r="HE7" s="121" t="str">
        <f>IF(ISBLANK(tbl_task9[[คะแนนเต็ม]:[คะแนนเต็ม]]),"",(tbl_task9[43]/tbl_task9[[คะแนนเต็ม]:[คะแนนเต็ม]])*tbl_task9[[%]:[%]])</f>
        <v/>
      </c>
      <c r="HF7" s="121" t="str">
        <f>IF(ISBLANK(tbl_task9[[คะแนนเต็ม]:[คะแนนเต็ม]]),"",(tbl_task9[44]/tbl_task9[[คะแนนเต็ม]:[คะแนนเต็ม]])*tbl_task9[[%]:[%]])</f>
        <v/>
      </c>
      <c r="HG7" s="121" t="str">
        <f>IF(ISBLANK(tbl_task9[[คะแนนเต็ม]:[คะแนนเต็ม]]),"",(tbl_task9[45]/tbl_task9[[คะแนนเต็ม]:[คะแนนเต็ม]])*tbl_task9[[%]:[%]])</f>
        <v/>
      </c>
      <c r="HH7" s="121" t="str">
        <f>IF(ISBLANK(tbl_task9[[คะแนนเต็ม]:[คะแนนเต็ม]]),"",(tbl_task9[46]/tbl_task9[[คะแนนเต็ม]:[คะแนนเต็ม]])*tbl_task9[[%]:[%]])</f>
        <v/>
      </c>
      <c r="HI7" s="121" t="str">
        <f>IF(ISBLANK(tbl_task9[[คะแนนเต็ม]:[คะแนนเต็ม]]),"",(tbl_task9[47]/tbl_task9[[คะแนนเต็ม]:[คะแนนเต็ม]])*tbl_task9[[%]:[%]])</f>
        <v/>
      </c>
      <c r="HJ7" s="121" t="str">
        <f>IF(ISBLANK(tbl_task9[[คะแนนเต็ม]:[คะแนนเต็ม]]),"",(tbl_task9[48]/tbl_task9[[คะแนนเต็ม]:[คะแนนเต็ม]])*tbl_task9[[%]:[%]])</f>
        <v/>
      </c>
      <c r="HK7" s="121" t="str">
        <f>IF(ISBLANK(tbl_task9[[คะแนนเต็ม]:[คะแนนเต็ม]]),"",(tbl_task9[49]/tbl_task9[[คะแนนเต็ม]:[คะแนนเต็ม]])*tbl_task9[[%]:[%]])</f>
        <v/>
      </c>
      <c r="HL7" s="121" t="str">
        <f>IF(ISBLANK(tbl_task9[[คะแนนเต็ม]:[คะแนนเต็ม]]),"",(tbl_task9[50]/tbl_task9[[คะแนนเต็ม]:[คะแนนเต็ม]])*tbl_task9[[%]:[%]])</f>
        <v/>
      </c>
      <c r="HM7" s="121" t="str">
        <f>IF(ISBLANK(tbl_task9[[คะแนนเต็ม]:[คะแนนเต็ม]]),"",(tbl_task9[51]/tbl_task9[[คะแนนเต็ม]:[คะแนนเต็ม]])*tbl_task9[[%]:[%]])</f>
        <v/>
      </c>
      <c r="HN7" s="121" t="str">
        <f>IF(ISBLANK(tbl_task9[[คะแนนเต็ม]:[คะแนนเต็ม]]),"",(tbl_task9[52]/tbl_task9[[คะแนนเต็ม]:[คะแนนเต็ม]])*tbl_task9[[%]:[%]])</f>
        <v/>
      </c>
      <c r="HO7" s="121" t="str">
        <f>IF(ISBLANK(tbl_task9[[คะแนนเต็ม]:[คะแนนเต็ม]]),"",(tbl_task9[53]/tbl_task9[[คะแนนเต็ม]:[คะแนนเต็ม]])*tbl_task9[[%]:[%]])</f>
        <v/>
      </c>
      <c r="HP7" s="121" t="str">
        <f>IF(ISBLANK(tbl_task9[[คะแนนเต็ม]:[คะแนนเต็ม]]),"",(tbl_task9[54]/tbl_task9[[คะแนนเต็ม]:[คะแนนเต็ม]])*tbl_task9[[%]:[%]])</f>
        <v/>
      </c>
      <c r="HQ7" s="121" t="str">
        <f>IF(ISBLANK(tbl_task9[[คะแนนเต็ม]:[คะแนนเต็ม]]),"",(tbl_task9[55]/tbl_task9[[คะแนนเต็ม]:[คะแนนเต็ม]])*tbl_task9[[%]:[%]])</f>
        <v/>
      </c>
      <c r="HR7" s="121" t="str">
        <f>IF(ISBLANK(tbl_task9[[คะแนนเต็ม]:[คะแนนเต็ม]]),"",(tbl_task9[56]/tbl_task9[[คะแนนเต็ม]:[คะแนนเต็ม]])*tbl_task9[[%]:[%]])</f>
        <v/>
      </c>
      <c r="HS7" s="121" t="str">
        <f>IF(ISBLANK(tbl_task9[[คะแนนเต็ม]:[คะแนนเต็ม]]),"",(tbl_task9[57]/tbl_task9[[คะแนนเต็ม]:[คะแนนเต็ม]])*tbl_task9[[%]:[%]])</f>
        <v/>
      </c>
      <c r="HT7" s="121" t="str">
        <f>IF(ISBLANK(tbl_task9[[คะแนนเต็ม]:[คะแนนเต็ม]]),"",(tbl_task9[58]/tbl_task9[[คะแนนเต็ม]:[คะแนนเต็ม]])*tbl_task9[[%]:[%]])</f>
        <v/>
      </c>
      <c r="HU7" s="121" t="str">
        <f>IF(ISBLANK(tbl_task9[[คะแนนเต็ม]:[คะแนนเต็ม]]),"",(tbl_task9[59]/tbl_task9[[คะแนนเต็ม]:[คะแนนเต็ม]])*tbl_task9[[%]:[%]])</f>
        <v/>
      </c>
      <c r="HV7" s="121" t="str">
        <f>IF(ISBLANK(tbl_task9[[คะแนนเต็ม]:[คะแนนเต็ม]]),"",(tbl_task9[60]/tbl_task9[[คะแนนเต็ม]:[คะแนนเต็ม]])*tbl_task9[[%]:[%]])</f>
        <v/>
      </c>
      <c r="HW7" s="121" t="str">
        <f>IF(ISBLANK(tbl_task9[[คะแนนเต็ม]:[คะแนนเต็ม]]),"",(tbl_task9[61]/tbl_task9[[คะแนนเต็ม]:[คะแนนเต็ม]])*tbl_task9[[%]:[%]])</f>
        <v/>
      </c>
      <c r="HX7" s="121" t="str">
        <f>IF(ISBLANK(tbl_task9[[คะแนนเต็ม]:[คะแนนเต็ม]]),"",(tbl_task9[62]/tbl_task9[[คะแนนเต็ม]:[คะแนนเต็ม]])*tbl_task9[[%]:[%]])</f>
        <v/>
      </c>
      <c r="HY7" s="121" t="str">
        <f>IF(ISBLANK(tbl_task9[[คะแนนเต็ม]:[คะแนนเต็ม]]),"",(tbl_task9[63]/tbl_task9[[คะแนนเต็ม]:[คะแนนเต็ม]])*tbl_task9[[%]:[%]])</f>
        <v/>
      </c>
      <c r="HZ7" s="121" t="str">
        <f>IF(ISBLANK(tbl_task9[[คะแนนเต็ม]:[คะแนนเต็ม]]),"",(tbl_task9[64]/tbl_task9[[คะแนนเต็ม]:[คะแนนเต็ม]])*tbl_task9[[%]:[%]])</f>
        <v/>
      </c>
      <c r="IA7" s="121" t="str">
        <f>IF(ISBLANK(tbl_task9[[คะแนนเต็ม]:[คะแนนเต็ม]]),"",(tbl_task9[65]/tbl_task9[[คะแนนเต็ม]:[คะแนนเต็ม]])*tbl_task9[[%]:[%]])</f>
        <v/>
      </c>
      <c r="IB7" s="121" t="str">
        <f>IF(ISBLANK(tbl_task9[[คะแนนเต็ม]:[คะแนนเต็ม]]),"",(tbl_task9[66]/tbl_task9[[คะแนนเต็ม]:[คะแนนเต็ม]])*tbl_task9[[%]:[%]])</f>
        <v/>
      </c>
      <c r="IC7" s="121" t="str">
        <f>IF(ISBLANK(tbl_task9[[คะแนนเต็ม]:[คะแนนเต็ม]]),"",(tbl_task9[67]/tbl_task9[[คะแนนเต็ม]:[คะแนนเต็ม]])*tbl_task9[[%]:[%]])</f>
        <v/>
      </c>
      <c r="ID7" s="121" t="str">
        <f>IF(ISBLANK(tbl_task9[[คะแนนเต็ม]:[คะแนนเต็ม]]),"",(tbl_task9[68]/tbl_task9[[คะแนนเต็ม]:[คะแนนเต็ม]])*tbl_task9[[%]:[%]])</f>
        <v/>
      </c>
      <c r="IE7" s="121" t="str">
        <f>IF(ISBLANK(tbl_task9[[คะแนนเต็ม]:[คะแนนเต็ม]]),"",(tbl_task9[69]/tbl_task9[[คะแนนเต็ม]:[คะแนนเต็ม]])*tbl_task9[[%]:[%]])</f>
        <v/>
      </c>
      <c r="IF7" s="121" t="str">
        <f>IF(ISBLANK(tbl_task9[[คะแนนเต็ม]:[คะแนนเต็ม]]),"",(tbl_task9[70]/tbl_task9[[คะแนนเต็ม]:[คะแนนเต็ม]])*tbl_task9[[%]:[%]])</f>
        <v/>
      </c>
      <c r="IG7" s="121" t="str">
        <f>IF(ISBLANK(tbl_task9[[คะแนนเต็ม]:[คะแนนเต็ม]]),"",(tbl_task9[71]/tbl_task9[[คะแนนเต็ม]:[คะแนนเต็ม]])*tbl_task9[[%]:[%]])</f>
        <v/>
      </c>
      <c r="IH7" s="121" t="str">
        <f>IF(ISBLANK(tbl_task9[[คะแนนเต็ม]:[คะแนนเต็ม]]),"",(tbl_task9[72]/tbl_task9[[คะแนนเต็ม]:[คะแนนเต็ม]])*tbl_task9[[%]:[%]])</f>
        <v/>
      </c>
      <c r="II7" s="121" t="str">
        <f>IF(ISBLANK(tbl_task9[[คะแนนเต็ม]:[คะแนนเต็ม]]),"",(tbl_task9[73]/tbl_task9[[คะแนนเต็ม]:[คะแนนเต็ม]])*tbl_task9[[%]:[%]])</f>
        <v/>
      </c>
      <c r="IJ7" s="121" t="str">
        <f>IF(ISBLANK(tbl_task9[[คะแนนเต็ม]:[คะแนนเต็ม]]),"",(tbl_task9[74]/tbl_task9[[คะแนนเต็ม]:[คะแนนเต็ม]])*tbl_task9[[%]:[%]])</f>
        <v/>
      </c>
      <c r="IK7" s="121" t="str">
        <f>IF(ISBLANK(tbl_task9[[คะแนนเต็ม]:[คะแนนเต็ม]]),"",(tbl_task9[75]/tbl_task9[[คะแนนเต็ม]:[คะแนนเต็ม]])*tbl_task9[[%]:[%]])</f>
        <v/>
      </c>
      <c r="IL7" s="121" t="str">
        <f>IF(ISBLANK(tbl_task9[[คะแนนเต็ม]:[คะแนนเต็ม]]),"",(tbl_task9[76]/tbl_task9[[คะแนนเต็ม]:[คะแนนเต็ม]])*tbl_task9[[%]:[%]])</f>
        <v/>
      </c>
      <c r="IM7" s="121" t="str">
        <f>IF(ISBLANK(tbl_task9[[คะแนนเต็ม]:[คะแนนเต็ม]]),"",(tbl_task9[77]/tbl_task9[[คะแนนเต็ม]:[คะแนนเต็ม]])*tbl_task9[[%]:[%]])</f>
        <v/>
      </c>
      <c r="IN7" s="121" t="str">
        <f>IF(ISBLANK(tbl_task9[[คะแนนเต็ม]:[คะแนนเต็ม]]),"",(tbl_task9[78]/tbl_task9[[คะแนนเต็ม]:[คะแนนเต็ม]])*tbl_task9[[%]:[%]])</f>
        <v/>
      </c>
      <c r="IO7" s="121" t="str">
        <f>IF(ISBLANK(tbl_task9[[คะแนนเต็ม]:[คะแนนเต็ม]]),"",(tbl_task9[79]/tbl_task9[[คะแนนเต็ม]:[คะแนนเต็ม]])*tbl_task9[[%]:[%]])</f>
        <v/>
      </c>
      <c r="IP7" s="121" t="str">
        <f>IF(ISBLANK(tbl_task9[[คะแนนเต็ม]:[คะแนนเต็ม]]),"",(tbl_task9[80]/tbl_task9[[คะแนนเต็ม]:[คะแนนเต็ม]])*tbl_task9[[%]:[%]])</f>
        <v/>
      </c>
      <c r="IQ7" s="121" t="str">
        <f>IF(ISBLANK(tbl_task9[[คะแนนเต็ม]:[คะแนนเต็ม]]),"",(tbl_task9[81]/tbl_task9[[คะแนนเต็ม]:[คะแนนเต็ม]])*tbl_task9[[%]:[%]])</f>
        <v/>
      </c>
      <c r="IR7" s="121" t="str">
        <f>IF(ISBLANK(tbl_task9[[คะแนนเต็ม]:[คะแนนเต็ม]]),"",(tbl_task9[82]/tbl_task9[[คะแนนเต็ม]:[คะแนนเต็ม]])*tbl_task9[[%]:[%]])</f>
        <v/>
      </c>
      <c r="IS7" s="121" t="str">
        <f>IF(ISBLANK(tbl_task9[[คะแนนเต็ม]:[คะแนนเต็ม]]),"",(tbl_task9[83]/tbl_task9[[คะแนนเต็ม]:[คะแนนเต็ม]])*tbl_task9[[%]:[%]])</f>
        <v/>
      </c>
      <c r="IT7" s="121" t="str">
        <f>IF(ISBLANK(tbl_task9[[คะแนนเต็ม]:[คะแนนเต็ม]]),"",(tbl_task9[84]/tbl_task9[[คะแนนเต็ม]:[คะแนนเต็ม]])*tbl_task9[[%]:[%]])</f>
        <v/>
      </c>
      <c r="IU7" s="121" t="str">
        <f>IF(ISBLANK(tbl_task9[[คะแนนเต็ม]:[คะแนนเต็ม]]),"",(tbl_task9[85]/tbl_task9[[คะแนนเต็ม]:[คะแนนเต็ม]])*tbl_task9[[%]:[%]])</f>
        <v/>
      </c>
      <c r="IV7" s="121" t="str">
        <f>IF(ISBLANK(tbl_task9[[คะแนนเต็ม]:[คะแนนเต็ม]]),"",(tbl_task9[86]/tbl_task9[[คะแนนเต็ม]:[คะแนนเต็ม]])*tbl_task9[[%]:[%]])</f>
        <v/>
      </c>
      <c r="IW7" s="121" t="str">
        <f>IF(ISBLANK(tbl_task9[[คะแนนเต็ม]:[คะแนนเต็ม]]),"",(tbl_task9[87]/tbl_task9[[คะแนนเต็ม]:[คะแนนเต็ม]])*tbl_task9[[%]:[%]])</f>
        <v/>
      </c>
      <c r="IX7" s="121" t="str">
        <f>IF(ISBLANK(tbl_task9[[คะแนนเต็ม]:[คะแนนเต็ม]]),"",(tbl_task9[88]/tbl_task9[[คะแนนเต็ม]:[คะแนนเต็ม]])*tbl_task9[[%]:[%]])</f>
        <v/>
      </c>
      <c r="IY7" s="121" t="str">
        <f>IF(ISBLANK(tbl_task9[[คะแนนเต็ม]:[คะแนนเต็ม]]),"",(tbl_task9[89]/tbl_task9[[คะแนนเต็ม]:[คะแนนเต็ม]])*tbl_task9[[%]:[%]])</f>
        <v/>
      </c>
      <c r="IZ7" s="121" t="str">
        <f>IF(ISBLANK(tbl_task9[[คะแนนเต็ม]:[คะแนนเต็ม]]),"",(tbl_task9[90]/tbl_task9[[คะแนนเต็ม]:[คะแนนเต็ม]])*tbl_task9[[%]:[%]])</f>
        <v/>
      </c>
      <c r="JA7" s="121" t="str">
        <f>IF(ISBLANK(tbl_task9[[คะแนนเต็ม]:[คะแนนเต็ม]]),"",(tbl_task9[91]/tbl_task9[[คะแนนเต็ม]:[คะแนนเต็ม]])*tbl_task9[[%]:[%]])</f>
        <v/>
      </c>
      <c r="JB7" s="121" t="str">
        <f>IF(ISBLANK(tbl_task9[[คะแนนเต็ม]:[คะแนนเต็ม]]),"",(tbl_task9[92]/tbl_task9[[คะแนนเต็ม]:[คะแนนเต็ม]])*tbl_task9[[%]:[%]])</f>
        <v/>
      </c>
      <c r="JC7" s="121" t="str">
        <f>IF(ISBLANK(tbl_task9[[คะแนนเต็ม]:[คะแนนเต็ม]]),"",(tbl_task9[93]/tbl_task9[[คะแนนเต็ม]:[คะแนนเต็ม]])*tbl_task9[[%]:[%]])</f>
        <v/>
      </c>
      <c r="JD7" s="121" t="str">
        <f>IF(ISBLANK(tbl_task9[[คะแนนเต็ม]:[คะแนนเต็ม]]),"",(tbl_task9[94]/tbl_task9[[คะแนนเต็ม]:[คะแนนเต็ม]])*tbl_task9[[%]:[%]])</f>
        <v/>
      </c>
      <c r="JE7" s="121" t="str">
        <f>IF(ISBLANK(tbl_task9[[คะแนนเต็ม]:[คะแนนเต็ม]]),"",(tbl_task9[95]/tbl_task9[[คะแนนเต็ม]:[คะแนนเต็ม]])*tbl_task9[[%]:[%]])</f>
        <v/>
      </c>
      <c r="JF7" s="121" t="str">
        <f>IF(ISBLANK(tbl_task9[[คะแนนเต็ม]:[คะแนนเต็ม]]),"",(tbl_task9[96]/tbl_task9[[คะแนนเต็ม]:[คะแนนเต็ม]])*tbl_task9[[%]:[%]])</f>
        <v/>
      </c>
      <c r="JG7" s="121" t="str">
        <f>IF(ISBLANK(tbl_task9[[คะแนนเต็ม]:[คะแนนเต็ม]]),"",(tbl_task9[97]/tbl_task9[[คะแนนเต็ม]:[คะแนนเต็ม]])*tbl_task9[[%]:[%]])</f>
        <v/>
      </c>
      <c r="JH7" s="121" t="str">
        <f>IF(ISBLANK(tbl_task9[[คะแนนเต็ม]:[คะแนนเต็ม]]),"",(tbl_task9[98]/tbl_task9[[คะแนนเต็ม]:[คะแนนเต็ม]])*tbl_task9[[%]:[%]])</f>
        <v/>
      </c>
      <c r="JI7" s="121" t="str">
        <f>IF(ISBLANK(tbl_task9[[คะแนนเต็ม]:[คะแนนเต็ม]]),"",(tbl_task9[99]/tbl_task9[[คะแนนเต็ม]:[คะแนนเต็ม]])*tbl_task9[[%]:[%]])</f>
        <v/>
      </c>
      <c r="JJ7" s="121" t="str">
        <f>IF(ISBLANK(tbl_task9[[คะแนนเต็ม]:[คะแนนเต็ม]]),"",(tbl_task9[100]/tbl_task9[[คะแนนเต็ม]:[คะแนนเต็ม]])*tbl_task9[[%]:[%]])</f>
        <v/>
      </c>
      <c r="JK7" s="121" t="str">
        <f>IF(ISBLANK(tbl_task9[[คะแนนเต็ม]:[คะแนนเต็ม]]),"",(tbl_task9[101]/tbl_task9[[คะแนนเต็ม]:[คะแนนเต็ม]])*tbl_task9[[%]:[%]])</f>
        <v/>
      </c>
      <c r="JL7" s="121" t="str">
        <f>IF(ISBLANK(tbl_task9[[คะแนนเต็ม]:[คะแนนเต็ม]]),"",(tbl_task9[102]/tbl_task9[[คะแนนเต็ม]:[คะแนนเต็ม]])*tbl_task9[[%]:[%]])</f>
        <v/>
      </c>
      <c r="JM7" s="121" t="str">
        <f>IF(ISBLANK(tbl_task9[[คะแนนเต็ม]:[คะแนนเต็ม]]),"",(tbl_task9[103]/tbl_task9[[คะแนนเต็ม]:[คะแนนเต็ม]])*tbl_task9[[%]:[%]])</f>
        <v/>
      </c>
      <c r="JN7" s="121" t="str">
        <f>IF(ISBLANK(tbl_task9[[คะแนนเต็ม]:[คะแนนเต็ม]]),"",(tbl_task9[104]/tbl_task9[[คะแนนเต็ม]:[คะแนนเต็ม]])*tbl_task9[[%]:[%]])</f>
        <v/>
      </c>
      <c r="JO7" s="121" t="str">
        <f>IF(ISBLANK(tbl_task9[[คะแนนเต็ม]:[คะแนนเต็ม]]),"",(tbl_task9[105]/tbl_task9[[คะแนนเต็ม]:[คะแนนเต็ม]])*tbl_task9[[%]:[%]])</f>
        <v/>
      </c>
      <c r="JP7" s="121" t="str">
        <f>IF(ISBLANK(tbl_task9[[คะแนนเต็ม]:[คะแนนเต็ม]]),"",(tbl_task9[106]/tbl_task9[[คะแนนเต็ม]:[คะแนนเต็ม]])*tbl_task9[[%]:[%]])</f>
        <v/>
      </c>
      <c r="JQ7" s="121" t="str">
        <f>IF(ISBLANK(tbl_task9[[คะแนนเต็ม]:[คะแนนเต็ม]]),"",(tbl_task9[107]/tbl_task9[[คะแนนเต็ม]:[คะแนนเต็ม]])*tbl_task9[[%]:[%]])</f>
        <v/>
      </c>
      <c r="JR7" s="121" t="str">
        <f>IF(ISBLANK(tbl_task9[[คะแนนเต็ม]:[คะแนนเต็ม]]),"",(tbl_task9[108]/tbl_task9[[คะแนนเต็ม]:[คะแนนเต็ม]])*tbl_task9[[%]:[%]])</f>
        <v/>
      </c>
      <c r="JS7" s="121" t="str">
        <f>IF(ISBLANK(tbl_task9[[คะแนนเต็ม]:[คะแนนเต็ม]]),"",(tbl_task9[109]/tbl_task9[[คะแนนเต็ม]:[คะแนนเต็ม]])*tbl_task9[[%]:[%]])</f>
        <v/>
      </c>
      <c r="JT7" s="121" t="str">
        <f>IF(ISBLANK(tbl_task9[[คะแนนเต็ม]:[คะแนนเต็ม]]),"",(tbl_task9[110]/tbl_task9[[คะแนนเต็ม]:[คะแนนเต็ม]])*tbl_task9[[%]:[%]])</f>
        <v/>
      </c>
      <c r="JU7" s="121" t="str">
        <f>IF(ISBLANK(tbl_task9[[คะแนนเต็ม]:[คะแนนเต็ม]]),"",(tbl_task9[111]/tbl_task9[[คะแนนเต็ม]:[คะแนนเต็ม]])*tbl_task9[[%]:[%]])</f>
        <v/>
      </c>
      <c r="JV7" s="121" t="str">
        <f>IF(ISBLANK(tbl_task9[[คะแนนเต็ม]:[คะแนนเต็ม]]),"",(tbl_task9[112]/tbl_task9[[คะแนนเต็ม]:[คะแนนเต็ม]])*tbl_task9[[%]:[%]])</f>
        <v/>
      </c>
      <c r="JW7" s="121" t="str">
        <f>IF(ISBLANK(tbl_task9[[คะแนนเต็ม]:[คะแนนเต็ม]]),"",(tbl_task9[113]/tbl_task9[[คะแนนเต็ม]:[คะแนนเต็ม]])*tbl_task9[[%]:[%]])</f>
        <v/>
      </c>
      <c r="JX7" s="121" t="str">
        <f>IF(ISBLANK(tbl_task9[[คะแนนเต็ม]:[คะแนนเต็ม]]),"",(tbl_task9[114]/tbl_task9[[คะแนนเต็ม]:[คะแนนเต็ม]])*tbl_task9[[%]:[%]])</f>
        <v/>
      </c>
      <c r="JY7" s="121" t="str">
        <f>IF(ISBLANK(tbl_task9[[คะแนนเต็ม]:[คะแนนเต็ม]]),"",(tbl_task9[115]/tbl_task9[[คะแนนเต็ม]:[คะแนนเต็ม]])*tbl_task9[[%]:[%]])</f>
        <v/>
      </c>
      <c r="JZ7" s="121" t="str">
        <f>IF(ISBLANK(tbl_task9[[คะแนนเต็ม]:[คะแนนเต็ม]]),"",(tbl_task9[116]/tbl_task9[[คะแนนเต็ม]:[คะแนนเต็ม]])*tbl_task9[[%]:[%]])</f>
        <v/>
      </c>
      <c r="KA7" s="121" t="str">
        <f>IF(ISBLANK(tbl_task9[[คะแนนเต็ม]:[คะแนนเต็ม]]),"",(tbl_task9[117]/tbl_task9[[คะแนนเต็ม]:[คะแนนเต็ม]])*tbl_task9[[%]:[%]])</f>
        <v/>
      </c>
      <c r="KB7" s="121" t="str">
        <f>IF(ISBLANK(tbl_task9[[คะแนนเต็ม]:[คะแนนเต็ม]]),"",(tbl_task9[118]/tbl_task9[[คะแนนเต็ม]:[คะแนนเต็ม]])*tbl_task9[[%]:[%]])</f>
        <v/>
      </c>
      <c r="KC7" s="121" t="str">
        <f>IF(ISBLANK(tbl_task9[[คะแนนเต็ม]:[คะแนนเต็ม]]),"",(tbl_task9[119]/tbl_task9[[คะแนนเต็ม]:[คะแนนเต็ม]])*tbl_task9[[%]:[%]])</f>
        <v/>
      </c>
      <c r="KD7" s="121" t="str">
        <f>IF(ISBLANK(tbl_task9[[คะแนนเต็ม]:[คะแนนเต็ม]]),"",(tbl_task9[120]/tbl_task9[[คะแนนเต็ม]:[คะแนนเต็ม]])*tbl_task9[[%]:[%]])</f>
        <v/>
      </c>
      <c r="KE7" s="121" t="str">
        <f>IF(ISBLANK(tbl_task9[[คะแนนเต็ม]:[คะแนนเต็ม]]),"",(tbl_task9[121]/tbl_task9[[คะแนนเต็ม]:[คะแนนเต็ม]])*tbl_task9[[%]:[%]])</f>
        <v/>
      </c>
      <c r="KF7" s="121" t="str">
        <f>IF(ISBLANK(tbl_task9[[คะแนนเต็ม]:[คะแนนเต็ม]]),"",(tbl_task9[122]/tbl_task9[[คะแนนเต็ม]:[คะแนนเต็ม]])*tbl_task9[[%]:[%]])</f>
        <v/>
      </c>
      <c r="KG7" s="121" t="str">
        <f>IF(ISBLANK(tbl_task9[[คะแนนเต็ม]:[คะแนนเต็ม]]),"",(tbl_task9[123]/tbl_task9[[คะแนนเต็ม]:[คะแนนเต็ม]])*tbl_task9[[%]:[%]])</f>
        <v/>
      </c>
      <c r="KH7" s="121" t="str">
        <f>IF(ISBLANK(tbl_task9[[คะแนนเต็ม]:[คะแนนเต็ม]]),"",(tbl_task9[124]/tbl_task9[[คะแนนเต็ม]:[คะแนนเต็ม]])*tbl_task9[[%]:[%]])</f>
        <v/>
      </c>
      <c r="KI7" s="121" t="str">
        <f>IF(ISBLANK(tbl_task9[[คะแนนเต็ม]:[คะแนนเต็ม]]),"",(tbl_task9[125]/tbl_task9[[คะแนนเต็ม]:[คะแนนเต็ม]])*tbl_task9[[%]:[%]])</f>
        <v/>
      </c>
      <c r="KJ7" s="121" t="str">
        <f>IF(ISBLANK(tbl_task9[[คะแนนเต็ม]:[คะแนนเต็ม]]),"",(tbl_task9[126]/tbl_task9[[คะแนนเต็ม]:[คะแนนเต็ม]])*tbl_task9[[%]:[%]])</f>
        <v/>
      </c>
      <c r="KK7" s="121" t="str">
        <f>IF(ISBLANK(tbl_task9[[คะแนนเต็ม]:[คะแนนเต็ม]]),"",(tbl_task9[127]/tbl_task9[[คะแนนเต็ม]:[คะแนนเต็ม]])*tbl_task9[[%]:[%]])</f>
        <v/>
      </c>
      <c r="KL7" s="121" t="str">
        <f>IF(ISBLANK(tbl_task9[[คะแนนเต็ม]:[คะแนนเต็ม]]),"",(tbl_task9[128]/tbl_task9[[คะแนนเต็ม]:[คะแนนเต็ม]])*tbl_task9[[%]:[%]])</f>
        <v/>
      </c>
      <c r="KM7" s="121" t="str">
        <f>IF(ISBLANK(tbl_task9[[คะแนนเต็ม]:[คะแนนเต็ม]]),"",(tbl_task9[129]/tbl_task9[[คะแนนเต็ม]:[คะแนนเต็ม]])*tbl_task9[[%]:[%]])</f>
        <v/>
      </c>
      <c r="KN7" s="121" t="str">
        <f>IF(ISBLANK(tbl_task9[[คะแนนเต็ม]:[คะแนนเต็ม]]),"",(tbl_task9[130]/tbl_task9[[คะแนนเต็ม]:[คะแนนเต็ม]])*tbl_task9[[%]:[%]])</f>
        <v/>
      </c>
      <c r="KO7" s="121" t="str">
        <f>IF(ISBLANK(tbl_task9[[คะแนนเต็ม]:[คะแนนเต็ม]]),"",(tbl_task9[131]/tbl_task9[[คะแนนเต็ม]:[คะแนนเต็ม]])*tbl_task9[[%]:[%]])</f>
        <v/>
      </c>
      <c r="KP7" s="121" t="str">
        <f>IF(ISBLANK(tbl_task9[[คะแนนเต็ม]:[คะแนนเต็ม]]),"",(tbl_task9[132]/tbl_task9[[คะแนนเต็ม]:[คะแนนเต็ม]])*tbl_task9[[%]:[%]])</f>
        <v/>
      </c>
      <c r="KQ7" s="121" t="str">
        <f>IF(ISBLANK(tbl_task9[[คะแนนเต็ม]:[คะแนนเต็ม]]),"",(tbl_task9[133]/tbl_task9[[คะแนนเต็ม]:[คะแนนเต็ม]])*tbl_task9[[%]:[%]])</f>
        <v/>
      </c>
      <c r="KR7" s="121" t="str">
        <f>IF(ISBLANK(tbl_task9[[คะแนนเต็ม]:[คะแนนเต็ม]]),"",(tbl_task9[134]/tbl_task9[[คะแนนเต็ม]:[คะแนนเต็ม]])*tbl_task9[[%]:[%]])</f>
        <v/>
      </c>
      <c r="KS7" s="121" t="str">
        <f>IF(ISBLANK(tbl_task9[[คะแนนเต็ม]:[คะแนนเต็ม]]),"",(tbl_task9[135]/tbl_task9[[คะแนนเต็ม]:[คะแนนเต็ม]])*tbl_task9[[%]:[%]])</f>
        <v/>
      </c>
      <c r="KT7" s="121" t="str">
        <f>IF(ISBLANK(tbl_task9[[คะแนนเต็ม]:[คะแนนเต็ม]]),"",(tbl_task9[136]/tbl_task9[[คะแนนเต็ม]:[คะแนนเต็ม]])*tbl_task9[[%]:[%]])</f>
        <v/>
      </c>
      <c r="KU7" s="121" t="str">
        <f>IF(ISBLANK(tbl_task9[[คะแนนเต็ม]:[คะแนนเต็ม]]),"",(tbl_task9[137]/tbl_task9[[คะแนนเต็ม]:[คะแนนเต็ม]])*tbl_task9[[%]:[%]])</f>
        <v/>
      </c>
      <c r="KV7" s="121" t="str">
        <f>IF(ISBLANK(tbl_task9[[คะแนนเต็ม]:[คะแนนเต็ม]]),"",(tbl_task9[138]/tbl_task9[[คะแนนเต็ม]:[คะแนนเต็ม]])*tbl_task9[[%]:[%]])</f>
        <v/>
      </c>
      <c r="KW7" s="121" t="str">
        <f>IF(ISBLANK(tbl_task9[[คะแนนเต็ม]:[คะแนนเต็ม]]),"",(tbl_task9[139]/tbl_task9[[คะแนนเต็ม]:[คะแนนเต็ม]])*tbl_task9[[%]:[%]])</f>
        <v/>
      </c>
      <c r="KX7" s="121" t="str">
        <f>IF(ISBLANK(tbl_task9[[คะแนนเต็ม]:[คะแนนเต็ม]]),"",(tbl_task9[140]/tbl_task9[[คะแนนเต็ม]:[คะแนนเต็ม]])*tbl_task9[[%]:[%]])</f>
        <v/>
      </c>
      <c r="KY7" s="121" t="str">
        <f>IF(ISBLANK(tbl_task9[[คะแนนเต็ม]:[คะแนนเต็ม]]),"",(tbl_task9[141]/tbl_task9[[คะแนนเต็ม]:[คะแนนเต็ม]])*tbl_task9[[%]:[%]])</f>
        <v/>
      </c>
      <c r="KZ7" s="121" t="str">
        <f>IF(ISBLANK(tbl_task9[[คะแนนเต็ม]:[คะแนนเต็ม]]),"",(tbl_task9[142]/tbl_task9[[คะแนนเต็ม]:[คะแนนเต็ม]])*tbl_task9[[%]:[%]])</f>
        <v/>
      </c>
      <c r="LA7" s="121" t="str">
        <f>IF(ISBLANK(tbl_task9[[คะแนนเต็ม]:[คะแนนเต็ม]]),"",(tbl_task9[143]/tbl_task9[[คะแนนเต็ม]:[คะแนนเต็ม]])*tbl_task9[[%]:[%]])</f>
        <v/>
      </c>
      <c r="LB7" s="121" t="str">
        <f>IF(ISBLANK(tbl_task9[[คะแนนเต็ม]:[คะแนนเต็ม]]),"",(tbl_task9[144]/tbl_task9[[คะแนนเต็ม]:[คะแนนเต็ม]])*tbl_task9[[%]:[%]])</f>
        <v/>
      </c>
      <c r="LC7" s="121" t="str">
        <f>IF(ISBLANK(tbl_task9[[คะแนนเต็ม]:[คะแนนเต็ม]]),"",(tbl_task9[145]/tbl_task9[[คะแนนเต็ม]:[คะแนนเต็ม]])*tbl_task9[[%]:[%]])</f>
        <v/>
      </c>
      <c r="LD7" s="121" t="str">
        <f>IF(ISBLANK(tbl_task9[[คะแนนเต็ม]:[คะแนนเต็ม]]),"",(tbl_task9[146]/tbl_task9[[คะแนนเต็ม]:[คะแนนเต็ม]])*tbl_task9[[%]:[%]])</f>
        <v/>
      </c>
      <c r="LE7" s="121" t="str">
        <f>IF(ISBLANK(tbl_task9[[คะแนนเต็ม]:[คะแนนเต็ม]]),"",(tbl_task9[147]/tbl_task9[[คะแนนเต็ม]:[คะแนนเต็ม]])*tbl_task9[[%]:[%]])</f>
        <v/>
      </c>
      <c r="LF7" s="121" t="str">
        <f>IF(ISBLANK(tbl_task9[[คะแนนเต็ม]:[คะแนนเต็ม]]),"",(tbl_task9[148]/tbl_task9[[คะแนนเต็ม]:[คะแนนเต็ม]])*tbl_task9[[%]:[%]])</f>
        <v/>
      </c>
      <c r="LG7" s="121" t="str">
        <f>IF(ISBLANK(tbl_task9[[คะแนนเต็ม]:[คะแนนเต็ม]]),"",(tbl_task9[149]/tbl_task9[[คะแนนเต็ม]:[คะแนนเต็ม]])*tbl_task9[[%]:[%]])</f>
        <v/>
      </c>
      <c r="LH7" s="121" t="str">
        <f>IF(ISBLANK(tbl_task9[[คะแนนเต็ม]:[คะแนนเต็ม]]),"",(tbl_task9[150]/tbl_task9[[คะแนนเต็ม]:[คะแนนเต็ม]])*tbl_task9[[%]:[%]])</f>
        <v/>
      </c>
      <c r="LI7" s="121" t="str">
        <f>IF(ISBLANK(tbl_task9[[คะแนนเต็ม]:[คะแนนเต็ม]]),"",(tbl_task9[151]/tbl_task9[[คะแนนเต็ม]:[คะแนนเต็ม]])*tbl_task9[[%]:[%]])</f>
        <v/>
      </c>
      <c r="LJ7" s="121" t="str">
        <f>IF(ISBLANK(tbl_task9[[คะแนนเต็ม]:[คะแนนเต็ม]]),"",(tbl_task9[152]/tbl_task9[[คะแนนเต็ม]:[คะแนนเต็ม]])*tbl_task9[[%]:[%]])</f>
        <v/>
      </c>
      <c r="LK7" s="121" t="str">
        <f>IF(ISBLANK(tbl_task9[[คะแนนเต็ม]:[คะแนนเต็ม]]),"",(tbl_task9[153]/tbl_task9[[คะแนนเต็ม]:[คะแนนเต็ม]])*tbl_task9[[%]:[%]])</f>
        <v/>
      </c>
      <c r="LL7" s="121" t="str">
        <f>IF(ISBLANK(tbl_task9[[คะแนนเต็ม]:[คะแนนเต็ม]]),"",(tbl_task9[154]/tbl_task9[[คะแนนเต็ม]:[คะแนนเต็ม]])*tbl_task9[[%]:[%]])</f>
        <v/>
      </c>
      <c r="LM7" s="121" t="str">
        <f>IF(ISBLANK(tbl_task9[[คะแนนเต็ม]:[คะแนนเต็ม]]),"",(tbl_task9[155]/tbl_task9[[คะแนนเต็ม]:[คะแนนเต็ม]])*tbl_task9[[%]:[%]])</f>
        <v/>
      </c>
      <c r="LN7" s="121" t="str">
        <f>IF(ISBLANK(tbl_task9[[คะแนนเต็ม]:[คะแนนเต็ม]]),"",(tbl_task9[156]/tbl_task9[[คะแนนเต็ม]:[คะแนนเต็ม]])*tbl_task9[[%]:[%]])</f>
        <v/>
      </c>
      <c r="LO7" s="121" t="str">
        <f>IF(ISBLANK(tbl_task9[[คะแนนเต็ม]:[คะแนนเต็ม]]),"",(tbl_task9[157]/tbl_task9[[คะแนนเต็ม]:[คะแนนเต็ม]])*tbl_task9[[%]:[%]])</f>
        <v/>
      </c>
      <c r="LP7" s="121" t="str">
        <f>IF(ISBLANK(tbl_task9[[คะแนนเต็ม]:[คะแนนเต็ม]]),"",(tbl_task9[158]/tbl_task9[[คะแนนเต็ม]:[คะแนนเต็ม]])*tbl_task9[[%]:[%]])</f>
        <v/>
      </c>
      <c r="LQ7" s="121" t="str">
        <f>IF(ISBLANK(tbl_task9[[คะแนนเต็ม]:[คะแนนเต็ม]]),"",(tbl_task9[159]/tbl_task9[[คะแนนเต็ม]:[คะแนนเต็ม]])*tbl_task9[[%]:[%]])</f>
        <v/>
      </c>
      <c r="LR7" s="121" t="str">
        <f>IF(ISBLANK(tbl_task9[[คะแนนเต็ม]:[คะแนนเต็ม]]),"",(tbl_task9[160]/tbl_task9[[คะแนนเต็ม]:[คะแนนเต็ม]])*tbl_task9[[%]:[%]])</f>
        <v/>
      </c>
      <c r="LS7" s="121" t="str">
        <f>IF(ISBLANK(tbl_task9[[คะแนนเต็ม]:[คะแนนเต็ม]]),"",(tbl_task9[161]/tbl_task9[[คะแนนเต็ม]:[คะแนนเต็ม]])*tbl_task9[[%]:[%]])</f>
        <v/>
      </c>
      <c r="LT7" s="121" t="str">
        <f>IF(ISBLANK(tbl_task9[[คะแนนเต็ม]:[คะแนนเต็ม]]),"",(tbl_task9[162]/tbl_task9[[คะแนนเต็ม]:[คะแนนเต็ม]])*tbl_task9[[%]:[%]])</f>
        <v/>
      </c>
      <c r="LU7" s="121" t="str">
        <f>IF(ISBLANK(tbl_task9[[คะแนนเต็ม]:[คะแนนเต็ม]]),"",(tbl_task9[163]/tbl_task9[[คะแนนเต็ม]:[คะแนนเต็ม]])*tbl_task9[[%]:[%]])</f>
        <v/>
      </c>
      <c r="LV7" s="121" t="str">
        <f>IF(ISBLANK(tbl_task9[[คะแนนเต็ม]:[คะแนนเต็ม]]),"",(tbl_task9[164]/tbl_task9[[คะแนนเต็ม]:[คะแนนเต็ม]])*tbl_task9[[%]:[%]])</f>
        <v/>
      </c>
      <c r="LW7" s="121" t="str">
        <f>IF(ISBLANK(tbl_task9[[คะแนนเต็ม]:[คะแนนเต็ม]]),"",(tbl_task9[165]/tbl_task9[[คะแนนเต็ม]:[คะแนนเต็ม]])*tbl_task9[[%]:[%]])</f>
        <v/>
      </c>
    </row>
    <row r="8" spans="1:335" ht="24.75" customHeight="1" x14ac:dyDescent="0.25">
      <c r="A8" s="24">
        <v>5</v>
      </c>
      <c r="B8" s="33"/>
      <c r="C8" s="5" t="str">
        <f>IF(ISBLANK(B8),"",VLOOKUP(B8,tbl_PLOs[],2,0))</f>
        <v/>
      </c>
      <c r="D8" s="102"/>
      <c r="E8" s="10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22"/>
      <c r="FO8" s="121" t="str">
        <f>IF(ISBLANK(tbl_task9[[คะแนนเต็ม]:[คะแนนเต็ม]]),"",(tbl_task9[1]/tbl_task9[[คะแนนเต็ม]:[คะแนนเต็ม]])*tbl_task9[[%]:[%]])</f>
        <v/>
      </c>
      <c r="FP8" s="121" t="str">
        <f>IF(ISBLANK(tbl_task9[[คะแนนเต็ม]:[คะแนนเต็ม]]),"",(tbl_task9[2]/tbl_task9[[คะแนนเต็ม]:[คะแนนเต็ม]])*tbl_task9[[%]:[%]])</f>
        <v/>
      </c>
      <c r="FQ8" s="121" t="str">
        <f>IF(ISBLANK(tbl_task9[[คะแนนเต็ม]:[คะแนนเต็ม]]),"",(tbl_task9[3]/tbl_task9[[คะแนนเต็ม]:[คะแนนเต็ม]])*tbl_task9[[%]:[%]])</f>
        <v/>
      </c>
      <c r="FR8" s="121" t="str">
        <f>IF(ISBLANK(tbl_task9[[คะแนนเต็ม]:[คะแนนเต็ม]]),"",(tbl_task9[4]/tbl_task9[[คะแนนเต็ม]:[คะแนนเต็ม]])*tbl_task9[[%]:[%]])</f>
        <v/>
      </c>
      <c r="FS8" s="121" t="str">
        <f>IF(ISBLANK(tbl_task9[[คะแนนเต็ม]:[คะแนนเต็ม]]),"",(tbl_task9[5]/tbl_task9[[คะแนนเต็ม]:[คะแนนเต็ม]])*tbl_task9[[%]:[%]])</f>
        <v/>
      </c>
      <c r="FT8" s="121" t="str">
        <f>IF(ISBLANK(tbl_task9[[คะแนนเต็ม]:[คะแนนเต็ม]]),"",(tbl_task9[6]/tbl_task9[[คะแนนเต็ม]:[คะแนนเต็ม]])*tbl_task9[[%]:[%]])</f>
        <v/>
      </c>
      <c r="FU8" s="121" t="str">
        <f>IF(ISBLANK(tbl_task9[[คะแนนเต็ม]:[คะแนนเต็ม]]),"",(tbl_task9[7]/tbl_task9[[คะแนนเต็ม]:[คะแนนเต็ม]])*tbl_task9[[%]:[%]])</f>
        <v/>
      </c>
      <c r="FV8" s="121" t="str">
        <f>IF(ISBLANK(tbl_task9[[คะแนนเต็ม]:[คะแนนเต็ม]]),"",(tbl_task9[8]/tbl_task9[[คะแนนเต็ม]:[คะแนนเต็ม]])*tbl_task9[[%]:[%]])</f>
        <v/>
      </c>
      <c r="FW8" s="121" t="str">
        <f>IF(ISBLANK(tbl_task9[[คะแนนเต็ม]:[คะแนนเต็ม]]),"",(tbl_task9[9]/tbl_task9[[คะแนนเต็ม]:[คะแนนเต็ม]])*tbl_task9[[%]:[%]])</f>
        <v/>
      </c>
      <c r="FX8" s="121" t="str">
        <f>IF(ISBLANK(tbl_task9[[คะแนนเต็ม]:[คะแนนเต็ม]]),"",(tbl_task9[10]/tbl_task9[[คะแนนเต็ม]:[คะแนนเต็ม]])*tbl_task9[[%]:[%]])</f>
        <v/>
      </c>
      <c r="FY8" s="121" t="str">
        <f>IF(ISBLANK(tbl_task9[[คะแนนเต็ม]:[คะแนนเต็ม]]),"",(tbl_task9[11]/tbl_task9[[คะแนนเต็ม]:[คะแนนเต็ม]])*tbl_task9[[%]:[%]])</f>
        <v/>
      </c>
      <c r="FZ8" s="121" t="str">
        <f>IF(ISBLANK(tbl_task9[[คะแนนเต็ม]:[คะแนนเต็ม]]),"",(tbl_task9[12]/tbl_task9[[คะแนนเต็ม]:[คะแนนเต็ม]])*tbl_task9[[%]:[%]])</f>
        <v/>
      </c>
      <c r="GA8" s="121" t="str">
        <f>IF(ISBLANK(tbl_task9[[คะแนนเต็ม]:[คะแนนเต็ม]]),"",(tbl_task9[13]/tbl_task9[[คะแนนเต็ม]:[คะแนนเต็ม]])*tbl_task9[[%]:[%]])</f>
        <v/>
      </c>
      <c r="GB8" s="121" t="str">
        <f>IF(ISBLANK(tbl_task9[[คะแนนเต็ม]:[คะแนนเต็ม]]),"",(tbl_task9[14]/tbl_task9[[คะแนนเต็ม]:[คะแนนเต็ม]])*tbl_task9[[%]:[%]])</f>
        <v/>
      </c>
      <c r="GC8" s="121" t="str">
        <f>IF(ISBLANK(tbl_task9[[คะแนนเต็ม]:[คะแนนเต็ม]]),"",(tbl_task9[15]/tbl_task9[[คะแนนเต็ม]:[คะแนนเต็ม]])*tbl_task9[[%]:[%]])</f>
        <v/>
      </c>
      <c r="GD8" s="121" t="str">
        <f>IF(ISBLANK(tbl_task9[[คะแนนเต็ม]:[คะแนนเต็ม]]),"",(tbl_task9[16]/tbl_task9[[คะแนนเต็ม]:[คะแนนเต็ม]])*tbl_task9[[%]:[%]])</f>
        <v/>
      </c>
      <c r="GE8" s="121" t="str">
        <f>IF(ISBLANK(tbl_task9[[คะแนนเต็ม]:[คะแนนเต็ม]]),"",(tbl_task9[17]/tbl_task9[[คะแนนเต็ม]:[คะแนนเต็ม]])*tbl_task9[[%]:[%]])</f>
        <v/>
      </c>
      <c r="GF8" s="121" t="str">
        <f>IF(ISBLANK(tbl_task9[[คะแนนเต็ม]:[คะแนนเต็ม]]),"",(tbl_task9[18]/tbl_task9[[คะแนนเต็ม]:[คะแนนเต็ม]])*tbl_task9[[%]:[%]])</f>
        <v/>
      </c>
      <c r="GG8" s="121" t="str">
        <f>IF(ISBLANK(tbl_task9[[คะแนนเต็ม]:[คะแนนเต็ม]]),"",(tbl_task9[19]/tbl_task9[[คะแนนเต็ม]:[คะแนนเต็ม]])*tbl_task9[[%]:[%]])</f>
        <v/>
      </c>
      <c r="GH8" s="121" t="str">
        <f>IF(ISBLANK(tbl_task9[[คะแนนเต็ม]:[คะแนนเต็ม]]),"",(tbl_task9[20]/tbl_task9[[คะแนนเต็ม]:[คะแนนเต็ม]])*tbl_task9[[%]:[%]])</f>
        <v/>
      </c>
      <c r="GI8" s="121" t="str">
        <f>IF(ISBLANK(tbl_task9[[คะแนนเต็ม]:[คะแนนเต็ม]]),"",(tbl_task9[21]/tbl_task9[[คะแนนเต็ม]:[คะแนนเต็ม]])*tbl_task9[[%]:[%]])</f>
        <v/>
      </c>
      <c r="GJ8" s="121" t="str">
        <f>IF(ISBLANK(tbl_task9[[คะแนนเต็ม]:[คะแนนเต็ม]]),"",(tbl_task9[22]/tbl_task9[[คะแนนเต็ม]:[คะแนนเต็ม]])*tbl_task9[[%]:[%]])</f>
        <v/>
      </c>
      <c r="GK8" s="121" t="str">
        <f>IF(ISBLANK(tbl_task9[[คะแนนเต็ม]:[คะแนนเต็ม]]),"",(tbl_task9[23]/tbl_task9[[คะแนนเต็ม]:[คะแนนเต็ม]])*tbl_task9[[%]:[%]])</f>
        <v/>
      </c>
      <c r="GL8" s="121" t="str">
        <f>IF(ISBLANK(tbl_task9[[คะแนนเต็ม]:[คะแนนเต็ม]]),"",(tbl_task9[24]/tbl_task9[[คะแนนเต็ม]:[คะแนนเต็ม]])*tbl_task9[[%]:[%]])</f>
        <v/>
      </c>
      <c r="GM8" s="121" t="str">
        <f>IF(ISBLANK(tbl_task9[[คะแนนเต็ม]:[คะแนนเต็ม]]),"",(tbl_task9[25]/tbl_task9[[คะแนนเต็ม]:[คะแนนเต็ม]])*tbl_task9[[%]:[%]])</f>
        <v/>
      </c>
      <c r="GN8" s="121" t="str">
        <f>IF(ISBLANK(tbl_task9[[คะแนนเต็ม]:[คะแนนเต็ม]]),"",(tbl_task9[26]/tbl_task9[[คะแนนเต็ม]:[คะแนนเต็ม]])*tbl_task9[[%]:[%]])</f>
        <v/>
      </c>
      <c r="GO8" s="121" t="str">
        <f>IF(ISBLANK(tbl_task9[[คะแนนเต็ม]:[คะแนนเต็ม]]),"",(tbl_task9[27]/tbl_task9[[คะแนนเต็ม]:[คะแนนเต็ม]])*tbl_task9[[%]:[%]])</f>
        <v/>
      </c>
      <c r="GP8" s="121" t="str">
        <f>IF(ISBLANK(tbl_task9[[คะแนนเต็ม]:[คะแนนเต็ม]]),"",(tbl_task9[28]/tbl_task9[[คะแนนเต็ม]:[คะแนนเต็ม]])*tbl_task9[[%]:[%]])</f>
        <v/>
      </c>
      <c r="GQ8" s="121" t="str">
        <f>IF(ISBLANK(tbl_task9[[คะแนนเต็ม]:[คะแนนเต็ม]]),"",(tbl_task9[29]/tbl_task9[[คะแนนเต็ม]:[คะแนนเต็ม]])*tbl_task9[[%]:[%]])</f>
        <v/>
      </c>
      <c r="GR8" s="121" t="str">
        <f>IF(ISBLANK(tbl_task9[[คะแนนเต็ม]:[คะแนนเต็ม]]),"",(tbl_task9[30]/tbl_task9[[คะแนนเต็ม]:[คะแนนเต็ม]])*tbl_task9[[%]:[%]])</f>
        <v/>
      </c>
      <c r="GS8" s="121" t="str">
        <f>IF(ISBLANK(tbl_task9[[คะแนนเต็ม]:[คะแนนเต็ม]]),"",(tbl_task9[31]/tbl_task9[[คะแนนเต็ม]:[คะแนนเต็ม]])*tbl_task9[[%]:[%]])</f>
        <v/>
      </c>
      <c r="GT8" s="121" t="str">
        <f>IF(ISBLANK(tbl_task9[[คะแนนเต็ม]:[คะแนนเต็ม]]),"",(tbl_task9[32]/tbl_task9[[คะแนนเต็ม]:[คะแนนเต็ม]])*tbl_task9[[%]:[%]])</f>
        <v/>
      </c>
      <c r="GU8" s="121" t="str">
        <f>IF(ISBLANK(tbl_task9[[คะแนนเต็ม]:[คะแนนเต็ม]]),"",(tbl_task9[33]/tbl_task9[[คะแนนเต็ม]:[คะแนนเต็ม]])*tbl_task9[[%]:[%]])</f>
        <v/>
      </c>
      <c r="GV8" s="121" t="str">
        <f>IF(ISBLANK(tbl_task9[[คะแนนเต็ม]:[คะแนนเต็ม]]),"",(tbl_task9[34]/tbl_task9[[คะแนนเต็ม]:[คะแนนเต็ม]])*tbl_task9[[%]:[%]])</f>
        <v/>
      </c>
      <c r="GW8" s="121" t="str">
        <f>IF(ISBLANK(tbl_task9[[คะแนนเต็ม]:[คะแนนเต็ม]]),"",(tbl_task9[35]/tbl_task9[[คะแนนเต็ม]:[คะแนนเต็ม]])*tbl_task9[[%]:[%]])</f>
        <v/>
      </c>
      <c r="GX8" s="121" t="str">
        <f>IF(ISBLANK(tbl_task9[[คะแนนเต็ม]:[คะแนนเต็ม]]),"",(tbl_task9[36]/tbl_task9[[คะแนนเต็ม]:[คะแนนเต็ม]])*tbl_task9[[%]:[%]])</f>
        <v/>
      </c>
      <c r="GY8" s="121" t="str">
        <f>IF(ISBLANK(tbl_task9[[คะแนนเต็ม]:[คะแนนเต็ม]]),"",(tbl_task9[37]/tbl_task9[[คะแนนเต็ม]:[คะแนนเต็ม]])*tbl_task9[[%]:[%]])</f>
        <v/>
      </c>
      <c r="GZ8" s="121" t="str">
        <f>IF(ISBLANK(tbl_task9[[คะแนนเต็ม]:[คะแนนเต็ม]]),"",(tbl_task9[38]/tbl_task9[[คะแนนเต็ม]:[คะแนนเต็ม]])*tbl_task9[[%]:[%]])</f>
        <v/>
      </c>
      <c r="HA8" s="121" t="str">
        <f>IF(ISBLANK(tbl_task9[[คะแนนเต็ม]:[คะแนนเต็ม]]),"",(tbl_task9[39]/tbl_task9[[คะแนนเต็ม]:[คะแนนเต็ม]])*tbl_task9[[%]:[%]])</f>
        <v/>
      </c>
      <c r="HB8" s="121" t="str">
        <f>IF(ISBLANK(tbl_task9[[คะแนนเต็ม]:[คะแนนเต็ม]]),"",(tbl_task9[40]/tbl_task9[[คะแนนเต็ม]:[คะแนนเต็ม]])*tbl_task9[[%]:[%]])</f>
        <v/>
      </c>
      <c r="HC8" s="121" t="str">
        <f>IF(ISBLANK(tbl_task9[[คะแนนเต็ม]:[คะแนนเต็ม]]),"",(tbl_task9[41]/tbl_task9[[คะแนนเต็ม]:[คะแนนเต็ม]])*tbl_task9[[%]:[%]])</f>
        <v/>
      </c>
      <c r="HD8" s="121" t="str">
        <f>IF(ISBLANK(tbl_task9[[คะแนนเต็ม]:[คะแนนเต็ม]]),"",(tbl_task9[42]/tbl_task9[[คะแนนเต็ม]:[คะแนนเต็ม]])*tbl_task9[[%]:[%]])</f>
        <v/>
      </c>
      <c r="HE8" s="121" t="str">
        <f>IF(ISBLANK(tbl_task9[[คะแนนเต็ม]:[คะแนนเต็ม]]),"",(tbl_task9[43]/tbl_task9[[คะแนนเต็ม]:[คะแนนเต็ม]])*tbl_task9[[%]:[%]])</f>
        <v/>
      </c>
      <c r="HF8" s="121" t="str">
        <f>IF(ISBLANK(tbl_task9[[คะแนนเต็ม]:[คะแนนเต็ม]]),"",(tbl_task9[44]/tbl_task9[[คะแนนเต็ม]:[คะแนนเต็ม]])*tbl_task9[[%]:[%]])</f>
        <v/>
      </c>
      <c r="HG8" s="121" t="str">
        <f>IF(ISBLANK(tbl_task9[[คะแนนเต็ม]:[คะแนนเต็ม]]),"",(tbl_task9[45]/tbl_task9[[คะแนนเต็ม]:[คะแนนเต็ม]])*tbl_task9[[%]:[%]])</f>
        <v/>
      </c>
      <c r="HH8" s="121" t="str">
        <f>IF(ISBLANK(tbl_task9[[คะแนนเต็ม]:[คะแนนเต็ม]]),"",(tbl_task9[46]/tbl_task9[[คะแนนเต็ม]:[คะแนนเต็ม]])*tbl_task9[[%]:[%]])</f>
        <v/>
      </c>
      <c r="HI8" s="121" t="str">
        <f>IF(ISBLANK(tbl_task9[[คะแนนเต็ม]:[คะแนนเต็ม]]),"",(tbl_task9[47]/tbl_task9[[คะแนนเต็ม]:[คะแนนเต็ม]])*tbl_task9[[%]:[%]])</f>
        <v/>
      </c>
      <c r="HJ8" s="121" t="str">
        <f>IF(ISBLANK(tbl_task9[[คะแนนเต็ม]:[คะแนนเต็ม]]),"",(tbl_task9[48]/tbl_task9[[คะแนนเต็ม]:[คะแนนเต็ม]])*tbl_task9[[%]:[%]])</f>
        <v/>
      </c>
      <c r="HK8" s="121" t="str">
        <f>IF(ISBLANK(tbl_task9[[คะแนนเต็ม]:[คะแนนเต็ม]]),"",(tbl_task9[49]/tbl_task9[[คะแนนเต็ม]:[คะแนนเต็ม]])*tbl_task9[[%]:[%]])</f>
        <v/>
      </c>
      <c r="HL8" s="121" t="str">
        <f>IF(ISBLANK(tbl_task9[[คะแนนเต็ม]:[คะแนนเต็ม]]),"",(tbl_task9[50]/tbl_task9[[คะแนนเต็ม]:[คะแนนเต็ม]])*tbl_task9[[%]:[%]])</f>
        <v/>
      </c>
      <c r="HM8" s="121" t="str">
        <f>IF(ISBLANK(tbl_task9[[คะแนนเต็ม]:[คะแนนเต็ม]]),"",(tbl_task9[51]/tbl_task9[[คะแนนเต็ม]:[คะแนนเต็ม]])*tbl_task9[[%]:[%]])</f>
        <v/>
      </c>
      <c r="HN8" s="121" t="str">
        <f>IF(ISBLANK(tbl_task9[[คะแนนเต็ม]:[คะแนนเต็ม]]),"",(tbl_task9[52]/tbl_task9[[คะแนนเต็ม]:[คะแนนเต็ม]])*tbl_task9[[%]:[%]])</f>
        <v/>
      </c>
      <c r="HO8" s="121" t="str">
        <f>IF(ISBLANK(tbl_task9[[คะแนนเต็ม]:[คะแนนเต็ม]]),"",(tbl_task9[53]/tbl_task9[[คะแนนเต็ม]:[คะแนนเต็ม]])*tbl_task9[[%]:[%]])</f>
        <v/>
      </c>
      <c r="HP8" s="121" t="str">
        <f>IF(ISBLANK(tbl_task9[[คะแนนเต็ม]:[คะแนนเต็ม]]),"",(tbl_task9[54]/tbl_task9[[คะแนนเต็ม]:[คะแนนเต็ม]])*tbl_task9[[%]:[%]])</f>
        <v/>
      </c>
      <c r="HQ8" s="121" t="str">
        <f>IF(ISBLANK(tbl_task9[[คะแนนเต็ม]:[คะแนนเต็ม]]),"",(tbl_task9[55]/tbl_task9[[คะแนนเต็ม]:[คะแนนเต็ม]])*tbl_task9[[%]:[%]])</f>
        <v/>
      </c>
      <c r="HR8" s="121" t="str">
        <f>IF(ISBLANK(tbl_task9[[คะแนนเต็ม]:[คะแนนเต็ม]]),"",(tbl_task9[56]/tbl_task9[[คะแนนเต็ม]:[คะแนนเต็ม]])*tbl_task9[[%]:[%]])</f>
        <v/>
      </c>
      <c r="HS8" s="121" t="str">
        <f>IF(ISBLANK(tbl_task9[[คะแนนเต็ม]:[คะแนนเต็ม]]),"",(tbl_task9[57]/tbl_task9[[คะแนนเต็ม]:[คะแนนเต็ม]])*tbl_task9[[%]:[%]])</f>
        <v/>
      </c>
      <c r="HT8" s="121" t="str">
        <f>IF(ISBLANK(tbl_task9[[คะแนนเต็ม]:[คะแนนเต็ม]]),"",(tbl_task9[58]/tbl_task9[[คะแนนเต็ม]:[คะแนนเต็ม]])*tbl_task9[[%]:[%]])</f>
        <v/>
      </c>
      <c r="HU8" s="121" t="str">
        <f>IF(ISBLANK(tbl_task9[[คะแนนเต็ม]:[คะแนนเต็ม]]),"",(tbl_task9[59]/tbl_task9[[คะแนนเต็ม]:[คะแนนเต็ม]])*tbl_task9[[%]:[%]])</f>
        <v/>
      </c>
      <c r="HV8" s="121" t="str">
        <f>IF(ISBLANK(tbl_task9[[คะแนนเต็ม]:[คะแนนเต็ม]]),"",(tbl_task9[60]/tbl_task9[[คะแนนเต็ม]:[คะแนนเต็ม]])*tbl_task9[[%]:[%]])</f>
        <v/>
      </c>
      <c r="HW8" s="121" t="str">
        <f>IF(ISBLANK(tbl_task9[[คะแนนเต็ม]:[คะแนนเต็ม]]),"",(tbl_task9[61]/tbl_task9[[คะแนนเต็ม]:[คะแนนเต็ม]])*tbl_task9[[%]:[%]])</f>
        <v/>
      </c>
      <c r="HX8" s="121" t="str">
        <f>IF(ISBLANK(tbl_task9[[คะแนนเต็ม]:[คะแนนเต็ม]]),"",(tbl_task9[62]/tbl_task9[[คะแนนเต็ม]:[คะแนนเต็ม]])*tbl_task9[[%]:[%]])</f>
        <v/>
      </c>
      <c r="HY8" s="121" t="str">
        <f>IF(ISBLANK(tbl_task9[[คะแนนเต็ม]:[คะแนนเต็ม]]),"",(tbl_task9[63]/tbl_task9[[คะแนนเต็ม]:[คะแนนเต็ม]])*tbl_task9[[%]:[%]])</f>
        <v/>
      </c>
      <c r="HZ8" s="121" t="str">
        <f>IF(ISBLANK(tbl_task9[[คะแนนเต็ม]:[คะแนนเต็ม]]),"",(tbl_task9[64]/tbl_task9[[คะแนนเต็ม]:[คะแนนเต็ม]])*tbl_task9[[%]:[%]])</f>
        <v/>
      </c>
      <c r="IA8" s="121" t="str">
        <f>IF(ISBLANK(tbl_task9[[คะแนนเต็ม]:[คะแนนเต็ม]]),"",(tbl_task9[65]/tbl_task9[[คะแนนเต็ม]:[คะแนนเต็ม]])*tbl_task9[[%]:[%]])</f>
        <v/>
      </c>
      <c r="IB8" s="121" t="str">
        <f>IF(ISBLANK(tbl_task9[[คะแนนเต็ม]:[คะแนนเต็ม]]),"",(tbl_task9[66]/tbl_task9[[คะแนนเต็ม]:[คะแนนเต็ม]])*tbl_task9[[%]:[%]])</f>
        <v/>
      </c>
      <c r="IC8" s="121" t="str">
        <f>IF(ISBLANK(tbl_task9[[คะแนนเต็ม]:[คะแนนเต็ม]]),"",(tbl_task9[67]/tbl_task9[[คะแนนเต็ม]:[คะแนนเต็ม]])*tbl_task9[[%]:[%]])</f>
        <v/>
      </c>
      <c r="ID8" s="121" t="str">
        <f>IF(ISBLANK(tbl_task9[[คะแนนเต็ม]:[คะแนนเต็ม]]),"",(tbl_task9[68]/tbl_task9[[คะแนนเต็ม]:[คะแนนเต็ม]])*tbl_task9[[%]:[%]])</f>
        <v/>
      </c>
      <c r="IE8" s="121" t="str">
        <f>IF(ISBLANK(tbl_task9[[คะแนนเต็ม]:[คะแนนเต็ม]]),"",(tbl_task9[69]/tbl_task9[[คะแนนเต็ม]:[คะแนนเต็ม]])*tbl_task9[[%]:[%]])</f>
        <v/>
      </c>
      <c r="IF8" s="121" t="str">
        <f>IF(ISBLANK(tbl_task9[[คะแนนเต็ม]:[คะแนนเต็ม]]),"",(tbl_task9[70]/tbl_task9[[คะแนนเต็ม]:[คะแนนเต็ม]])*tbl_task9[[%]:[%]])</f>
        <v/>
      </c>
      <c r="IG8" s="121" t="str">
        <f>IF(ISBLANK(tbl_task9[[คะแนนเต็ม]:[คะแนนเต็ม]]),"",(tbl_task9[71]/tbl_task9[[คะแนนเต็ม]:[คะแนนเต็ม]])*tbl_task9[[%]:[%]])</f>
        <v/>
      </c>
      <c r="IH8" s="121" t="str">
        <f>IF(ISBLANK(tbl_task9[[คะแนนเต็ม]:[คะแนนเต็ม]]),"",(tbl_task9[72]/tbl_task9[[คะแนนเต็ม]:[คะแนนเต็ม]])*tbl_task9[[%]:[%]])</f>
        <v/>
      </c>
      <c r="II8" s="121" t="str">
        <f>IF(ISBLANK(tbl_task9[[คะแนนเต็ม]:[คะแนนเต็ม]]),"",(tbl_task9[73]/tbl_task9[[คะแนนเต็ม]:[คะแนนเต็ม]])*tbl_task9[[%]:[%]])</f>
        <v/>
      </c>
      <c r="IJ8" s="121" t="str">
        <f>IF(ISBLANK(tbl_task9[[คะแนนเต็ม]:[คะแนนเต็ม]]),"",(tbl_task9[74]/tbl_task9[[คะแนนเต็ม]:[คะแนนเต็ม]])*tbl_task9[[%]:[%]])</f>
        <v/>
      </c>
      <c r="IK8" s="121" t="str">
        <f>IF(ISBLANK(tbl_task9[[คะแนนเต็ม]:[คะแนนเต็ม]]),"",(tbl_task9[75]/tbl_task9[[คะแนนเต็ม]:[คะแนนเต็ม]])*tbl_task9[[%]:[%]])</f>
        <v/>
      </c>
      <c r="IL8" s="121" t="str">
        <f>IF(ISBLANK(tbl_task9[[คะแนนเต็ม]:[คะแนนเต็ม]]),"",(tbl_task9[76]/tbl_task9[[คะแนนเต็ม]:[คะแนนเต็ม]])*tbl_task9[[%]:[%]])</f>
        <v/>
      </c>
      <c r="IM8" s="121" t="str">
        <f>IF(ISBLANK(tbl_task9[[คะแนนเต็ม]:[คะแนนเต็ม]]),"",(tbl_task9[77]/tbl_task9[[คะแนนเต็ม]:[คะแนนเต็ม]])*tbl_task9[[%]:[%]])</f>
        <v/>
      </c>
      <c r="IN8" s="121" t="str">
        <f>IF(ISBLANK(tbl_task9[[คะแนนเต็ม]:[คะแนนเต็ม]]),"",(tbl_task9[78]/tbl_task9[[คะแนนเต็ม]:[คะแนนเต็ม]])*tbl_task9[[%]:[%]])</f>
        <v/>
      </c>
      <c r="IO8" s="121" t="str">
        <f>IF(ISBLANK(tbl_task9[[คะแนนเต็ม]:[คะแนนเต็ม]]),"",(tbl_task9[79]/tbl_task9[[คะแนนเต็ม]:[คะแนนเต็ม]])*tbl_task9[[%]:[%]])</f>
        <v/>
      </c>
      <c r="IP8" s="121" t="str">
        <f>IF(ISBLANK(tbl_task9[[คะแนนเต็ม]:[คะแนนเต็ม]]),"",(tbl_task9[80]/tbl_task9[[คะแนนเต็ม]:[คะแนนเต็ม]])*tbl_task9[[%]:[%]])</f>
        <v/>
      </c>
      <c r="IQ8" s="121" t="str">
        <f>IF(ISBLANK(tbl_task9[[คะแนนเต็ม]:[คะแนนเต็ม]]),"",(tbl_task9[81]/tbl_task9[[คะแนนเต็ม]:[คะแนนเต็ม]])*tbl_task9[[%]:[%]])</f>
        <v/>
      </c>
      <c r="IR8" s="121" t="str">
        <f>IF(ISBLANK(tbl_task9[[คะแนนเต็ม]:[คะแนนเต็ม]]),"",(tbl_task9[82]/tbl_task9[[คะแนนเต็ม]:[คะแนนเต็ม]])*tbl_task9[[%]:[%]])</f>
        <v/>
      </c>
      <c r="IS8" s="121" t="str">
        <f>IF(ISBLANK(tbl_task9[[คะแนนเต็ม]:[คะแนนเต็ม]]),"",(tbl_task9[83]/tbl_task9[[คะแนนเต็ม]:[คะแนนเต็ม]])*tbl_task9[[%]:[%]])</f>
        <v/>
      </c>
      <c r="IT8" s="121" t="str">
        <f>IF(ISBLANK(tbl_task9[[คะแนนเต็ม]:[คะแนนเต็ม]]),"",(tbl_task9[84]/tbl_task9[[คะแนนเต็ม]:[คะแนนเต็ม]])*tbl_task9[[%]:[%]])</f>
        <v/>
      </c>
      <c r="IU8" s="121" t="str">
        <f>IF(ISBLANK(tbl_task9[[คะแนนเต็ม]:[คะแนนเต็ม]]),"",(tbl_task9[85]/tbl_task9[[คะแนนเต็ม]:[คะแนนเต็ม]])*tbl_task9[[%]:[%]])</f>
        <v/>
      </c>
      <c r="IV8" s="121" t="str">
        <f>IF(ISBLANK(tbl_task9[[คะแนนเต็ม]:[คะแนนเต็ม]]),"",(tbl_task9[86]/tbl_task9[[คะแนนเต็ม]:[คะแนนเต็ม]])*tbl_task9[[%]:[%]])</f>
        <v/>
      </c>
      <c r="IW8" s="121" t="str">
        <f>IF(ISBLANK(tbl_task9[[คะแนนเต็ม]:[คะแนนเต็ม]]),"",(tbl_task9[87]/tbl_task9[[คะแนนเต็ม]:[คะแนนเต็ม]])*tbl_task9[[%]:[%]])</f>
        <v/>
      </c>
      <c r="IX8" s="121" t="str">
        <f>IF(ISBLANK(tbl_task9[[คะแนนเต็ม]:[คะแนนเต็ม]]),"",(tbl_task9[88]/tbl_task9[[คะแนนเต็ม]:[คะแนนเต็ม]])*tbl_task9[[%]:[%]])</f>
        <v/>
      </c>
      <c r="IY8" s="121" t="str">
        <f>IF(ISBLANK(tbl_task9[[คะแนนเต็ม]:[คะแนนเต็ม]]),"",(tbl_task9[89]/tbl_task9[[คะแนนเต็ม]:[คะแนนเต็ม]])*tbl_task9[[%]:[%]])</f>
        <v/>
      </c>
      <c r="IZ8" s="121" t="str">
        <f>IF(ISBLANK(tbl_task9[[คะแนนเต็ม]:[คะแนนเต็ม]]),"",(tbl_task9[90]/tbl_task9[[คะแนนเต็ม]:[คะแนนเต็ม]])*tbl_task9[[%]:[%]])</f>
        <v/>
      </c>
      <c r="JA8" s="121" t="str">
        <f>IF(ISBLANK(tbl_task9[[คะแนนเต็ม]:[คะแนนเต็ม]]),"",(tbl_task9[91]/tbl_task9[[คะแนนเต็ม]:[คะแนนเต็ม]])*tbl_task9[[%]:[%]])</f>
        <v/>
      </c>
      <c r="JB8" s="121" t="str">
        <f>IF(ISBLANK(tbl_task9[[คะแนนเต็ม]:[คะแนนเต็ม]]),"",(tbl_task9[92]/tbl_task9[[คะแนนเต็ม]:[คะแนนเต็ม]])*tbl_task9[[%]:[%]])</f>
        <v/>
      </c>
      <c r="JC8" s="121" t="str">
        <f>IF(ISBLANK(tbl_task9[[คะแนนเต็ม]:[คะแนนเต็ม]]),"",(tbl_task9[93]/tbl_task9[[คะแนนเต็ม]:[คะแนนเต็ม]])*tbl_task9[[%]:[%]])</f>
        <v/>
      </c>
      <c r="JD8" s="121" t="str">
        <f>IF(ISBLANK(tbl_task9[[คะแนนเต็ม]:[คะแนนเต็ม]]),"",(tbl_task9[94]/tbl_task9[[คะแนนเต็ม]:[คะแนนเต็ม]])*tbl_task9[[%]:[%]])</f>
        <v/>
      </c>
      <c r="JE8" s="121" t="str">
        <f>IF(ISBLANK(tbl_task9[[คะแนนเต็ม]:[คะแนนเต็ม]]),"",(tbl_task9[95]/tbl_task9[[คะแนนเต็ม]:[คะแนนเต็ม]])*tbl_task9[[%]:[%]])</f>
        <v/>
      </c>
      <c r="JF8" s="121" t="str">
        <f>IF(ISBLANK(tbl_task9[[คะแนนเต็ม]:[คะแนนเต็ม]]),"",(tbl_task9[96]/tbl_task9[[คะแนนเต็ม]:[คะแนนเต็ม]])*tbl_task9[[%]:[%]])</f>
        <v/>
      </c>
      <c r="JG8" s="121" t="str">
        <f>IF(ISBLANK(tbl_task9[[คะแนนเต็ม]:[คะแนนเต็ม]]),"",(tbl_task9[97]/tbl_task9[[คะแนนเต็ม]:[คะแนนเต็ม]])*tbl_task9[[%]:[%]])</f>
        <v/>
      </c>
      <c r="JH8" s="121" t="str">
        <f>IF(ISBLANK(tbl_task9[[คะแนนเต็ม]:[คะแนนเต็ม]]),"",(tbl_task9[98]/tbl_task9[[คะแนนเต็ม]:[คะแนนเต็ม]])*tbl_task9[[%]:[%]])</f>
        <v/>
      </c>
      <c r="JI8" s="121" t="str">
        <f>IF(ISBLANK(tbl_task9[[คะแนนเต็ม]:[คะแนนเต็ม]]),"",(tbl_task9[99]/tbl_task9[[คะแนนเต็ม]:[คะแนนเต็ม]])*tbl_task9[[%]:[%]])</f>
        <v/>
      </c>
      <c r="JJ8" s="121" t="str">
        <f>IF(ISBLANK(tbl_task9[[คะแนนเต็ม]:[คะแนนเต็ม]]),"",(tbl_task9[100]/tbl_task9[[คะแนนเต็ม]:[คะแนนเต็ม]])*tbl_task9[[%]:[%]])</f>
        <v/>
      </c>
      <c r="JK8" s="121" t="str">
        <f>IF(ISBLANK(tbl_task9[[คะแนนเต็ม]:[คะแนนเต็ม]]),"",(tbl_task9[101]/tbl_task9[[คะแนนเต็ม]:[คะแนนเต็ม]])*tbl_task9[[%]:[%]])</f>
        <v/>
      </c>
      <c r="JL8" s="121" t="str">
        <f>IF(ISBLANK(tbl_task9[[คะแนนเต็ม]:[คะแนนเต็ม]]),"",(tbl_task9[102]/tbl_task9[[คะแนนเต็ม]:[คะแนนเต็ม]])*tbl_task9[[%]:[%]])</f>
        <v/>
      </c>
      <c r="JM8" s="121" t="str">
        <f>IF(ISBLANK(tbl_task9[[คะแนนเต็ม]:[คะแนนเต็ม]]),"",(tbl_task9[103]/tbl_task9[[คะแนนเต็ม]:[คะแนนเต็ม]])*tbl_task9[[%]:[%]])</f>
        <v/>
      </c>
      <c r="JN8" s="121" t="str">
        <f>IF(ISBLANK(tbl_task9[[คะแนนเต็ม]:[คะแนนเต็ม]]),"",(tbl_task9[104]/tbl_task9[[คะแนนเต็ม]:[คะแนนเต็ม]])*tbl_task9[[%]:[%]])</f>
        <v/>
      </c>
      <c r="JO8" s="121" t="str">
        <f>IF(ISBLANK(tbl_task9[[คะแนนเต็ม]:[คะแนนเต็ม]]),"",(tbl_task9[105]/tbl_task9[[คะแนนเต็ม]:[คะแนนเต็ม]])*tbl_task9[[%]:[%]])</f>
        <v/>
      </c>
      <c r="JP8" s="121" t="str">
        <f>IF(ISBLANK(tbl_task9[[คะแนนเต็ม]:[คะแนนเต็ม]]),"",(tbl_task9[106]/tbl_task9[[คะแนนเต็ม]:[คะแนนเต็ม]])*tbl_task9[[%]:[%]])</f>
        <v/>
      </c>
      <c r="JQ8" s="121" t="str">
        <f>IF(ISBLANK(tbl_task9[[คะแนนเต็ม]:[คะแนนเต็ม]]),"",(tbl_task9[107]/tbl_task9[[คะแนนเต็ม]:[คะแนนเต็ม]])*tbl_task9[[%]:[%]])</f>
        <v/>
      </c>
      <c r="JR8" s="121" t="str">
        <f>IF(ISBLANK(tbl_task9[[คะแนนเต็ม]:[คะแนนเต็ม]]),"",(tbl_task9[108]/tbl_task9[[คะแนนเต็ม]:[คะแนนเต็ม]])*tbl_task9[[%]:[%]])</f>
        <v/>
      </c>
      <c r="JS8" s="121" t="str">
        <f>IF(ISBLANK(tbl_task9[[คะแนนเต็ม]:[คะแนนเต็ม]]),"",(tbl_task9[109]/tbl_task9[[คะแนนเต็ม]:[คะแนนเต็ม]])*tbl_task9[[%]:[%]])</f>
        <v/>
      </c>
      <c r="JT8" s="121" t="str">
        <f>IF(ISBLANK(tbl_task9[[คะแนนเต็ม]:[คะแนนเต็ม]]),"",(tbl_task9[110]/tbl_task9[[คะแนนเต็ม]:[คะแนนเต็ม]])*tbl_task9[[%]:[%]])</f>
        <v/>
      </c>
      <c r="JU8" s="121" t="str">
        <f>IF(ISBLANK(tbl_task9[[คะแนนเต็ม]:[คะแนนเต็ม]]),"",(tbl_task9[111]/tbl_task9[[คะแนนเต็ม]:[คะแนนเต็ม]])*tbl_task9[[%]:[%]])</f>
        <v/>
      </c>
      <c r="JV8" s="121" t="str">
        <f>IF(ISBLANK(tbl_task9[[คะแนนเต็ม]:[คะแนนเต็ม]]),"",(tbl_task9[112]/tbl_task9[[คะแนนเต็ม]:[คะแนนเต็ม]])*tbl_task9[[%]:[%]])</f>
        <v/>
      </c>
      <c r="JW8" s="121" t="str">
        <f>IF(ISBLANK(tbl_task9[[คะแนนเต็ม]:[คะแนนเต็ม]]),"",(tbl_task9[113]/tbl_task9[[คะแนนเต็ม]:[คะแนนเต็ม]])*tbl_task9[[%]:[%]])</f>
        <v/>
      </c>
      <c r="JX8" s="121" t="str">
        <f>IF(ISBLANK(tbl_task9[[คะแนนเต็ม]:[คะแนนเต็ม]]),"",(tbl_task9[114]/tbl_task9[[คะแนนเต็ม]:[คะแนนเต็ม]])*tbl_task9[[%]:[%]])</f>
        <v/>
      </c>
      <c r="JY8" s="121" t="str">
        <f>IF(ISBLANK(tbl_task9[[คะแนนเต็ม]:[คะแนนเต็ม]]),"",(tbl_task9[115]/tbl_task9[[คะแนนเต็ม]:[คะแนนเต็ม]])*tbl_task9[[%]:[%]])</f>
        <v/>
      </c>
      <c r="JZ8" s="121" t="str">
        <f>IF(ISBLANK(tbl_task9[[คะแนนเต็ม]:[คะแนนเต็ม]]),"",(tbl_task9[116]/tbl_task9[[คะแนนเต็ม]:[คะแนนเต็ม]])*tbl_task9[[%]:[%]])</f>
        <v/>
      </c>
      <c r="KA8" s="121" t="str">
        <f>IF(ISBLANK(tbl_task9[[คะแนนเต็ม]:[คะแนนเต็ม]]),"",(tbl_task9[117]/tbl_task9[[คะแนนเต็ม]:[คะแนนเต็ม]])*tbl_task9[[%]:[%]])</f>
        <v/>
      </c>
      <c r="KB8" s="121" t="str">
        <f>IF(ISBLANK(tbl_task9[[คะแนนเต็ม]:[คะแนนเต็ม]]),"",(tbl_task9[118]/tbl_task9[[คะแนนเต็ม]:[คะแนนเต็ม]])*tbl_task9[[%]:[%]])</f>
        <v/>
      </c>
      <c r="KC8" s="121" t="str">
        <f>IF(ISBLANK(tbl_task9[[คะแนนเต็ม]:[คะแนนเต็ม]]),"",(tbl_task9[119]/tbl_task9[[คะแนนเต็ม]:[คะแนนเต็ม]])*tbl_task9[[%]:[%]])</f>
        <v/>
      </c>
      <c r="KD8" s="121" t="str">
        <f>IF(ISBLANK(tbl_task9[[คะแนนเต็ม]:[คะแนนเต็ม]]),"",(tbl_task9[120]/tbl_task9[[คะแนนเต็ม]:[คะแนนเต็ม]])*tbl_task9[[%]:[%]])</f>
        <v/>
      </c>
      <c r="KE8" s="121" t="str">
        <f>IF(ISBLANK(tbl_task9[[คะแนนเต็ม]:[คะแนนเต็ม]]),"",(tbl_task9[121]/tbl_task9[[คะแนนเต็ม]:[คะแนนเต็ม]])*tbl_task9[[%]:[%]])</f>
        <v/>
      </c>
      <c r="KF8" s="121" t="str">
        <f>IF(ISBLANK(tbl_task9[[คะแนนเต็ม]:[คะแนนเต็ม]]),"",(tbl_task9[122]/tbl_task9[[คะแนนเต็ม]:[คะแนนเต็ม]])*tbl_task9[[%]:[%]])</f>
        <v/>
      </c>
      <c r="KG8" s="121" t="str">
        <f>IF(ISBLANK(tbl_task9[[คะแนนเต็ม]:[คะแนนเต็ม]]),"",(tbl_task9[123]/tbl_task9[[คะแนนเต็ม]:[คะแนนเต็ม]])*tbl_task9[[%]:[%]])</f>
        <v/>
      </c>
      <c r="KH8" s="121" t="str">
        <f>IF(ISBLANK(tbl_task9[[คะแนนเต็ม]:[คะแนนเต็ม]]),"",(tbl_task9[124]/tbl_task9[[คะแนนเต็ม]:[คะแนนเต็ม]])*tbl_task9[[%]:[%]])</f>
        <v/>
      </c>
      <c r="KI8" s="121" t="str">
        <f>IF(ISBLANK(tbl_task9[[คะแนนเต็ม]:[คะแนนเต็ม]]),"",(tbl_task9[125]/tbl_task9[[คะแนนเต็ม]:[คะแนนเต็ม]])*tbl_task9[[%]:[%]])</f>
        <v/>
      </c>
      <c r="KJ8" s="121" t="str">
        <f>IF(ISBLANK(tbl_task9[[คะแนนเต็ม]:[คะแนนเต็ม]]),"",(tbl_task9[126]/tbl_task9[[คะแนนเต็ม]:[คะแนนเต็ม]])*tbl_task9[[%]:[%]])</f>
        <v/>
      </c>
      <c r="KK8" s="121" t="str">
        <f>IF(ISBLANK(tbl_task9[[คะแนนเต็ม]:[คะแนนเต็ม]]),"",(tbl_task9[127]/tbl_task9[[คะแนนเต็ม]:[คะแนนเต็ม]])*tbl_task9[[%]:[%]])</f>
        <v/>
      </c>
      <c r="KL8" s="121" t="str">
        <f>IF(ISBLANK(tbl_task9[[คะแนนเต็ม]:[คะแนนเต็ม]]),"",(tbl_task9[128]/tbl_task9[[คะแนนเต็ม]:[คะแนนเต็ม]])*tbl_task9[[%]:[%]])</f>
        <v/>
      </c>
      <c r="KM8" s="121" t="str">
        <f>IF(ISBLANK(tbl_task9[[คะแนนเต็ม]:[คะแนนเต็ม]]),"",(tbl_task9[129]/tbl_task9[[คะแนนเต็ม]:[คะแนนเต็ม]])*tbl_task9[[%]:[%]])</f>
        <v/>
      </c>
      <c r="KN8" s="121" t="str">
        <f>IF(ISBLANK(tbl_task9[[คะแนนเต็ม]:[คะแนนเต็ม]]),"",(tbl_task9[130]/tbl_task9[[คะแนนเต็ม]:[คะแนนเต็ม]])*tbl_task9[[%]:[%]])</f>
        <v/>
      </c>
      <c r="KO8" s="121" t="str">
        <f>IF(ISBLANK(tbl_task9[[คะแนนเต็ม]:[คะแนนเต็ม]]),"",(tbl_task9[131]/tbl_task9[[คะแนนเต็ม]:[คะแนนเต็ม]])*tbl_task9[[%]:[%]])</f>
        <v/>
      </c>
      <c r="KP8" s="121" t="str">
        <f>IF(ISBLANK(tbl_task9[[คะแนนเต็ม]:[คะแนนเต็ม]]),"",(tbl_task9[132]/tbl_task9[[คะแนนเต็ม]:[คะแนนเต็ม]])*tbl_task9[[%]:[%]])</f>
        <v/>
      </c>
      <c r="KQ8" s="121" t="str">
        <f>IF(ISBLANK(tbl_task9[[คะแนนเต็ม]:[คะแนนเต็ม]]),"",(tbl_task9[133]/tbl_task9[[คะแนนเต็ม]:[คะแนนเต็ม]])*tbl_task9[[%]:[%]])</f>
        <v/>
      </c>
      <c r="KR8" s="121" t="str">
        <f>IF(ISBLANK(tbl_task9[[คะแนนเต็ม]:[คะแนนเต็ม]]),"",(tbl_task9[134]/tbl_task9[[คะแนนเต็ม]:[คะแนนเต็ม]])*tbl_task9[[%]:[%]])</f>
        <v/>
      </c>
      <c r="KS8" s="121" t="str">
        <f>IF(ISBLANK(tbl_task9[[คะแนนเต็ม]:[คะแนนเต็ม]]),"",(tbl_task9[135]/tbl_task9[[คะแนนเต็ม]:[คะแนนเต็ม]])*tbl_task9[[%]:[%]])</f>
        <v/>
      </c>
      <c r="KT8" s="121" t="str">
        <f>IF(ISBLANK(tbl_task9[[คะแนนเต็ม]:[คะแนนเต็ม]]),"",(tbl_task9[136]/tbl_task9[[คะแนนเต็ม]:[คะแนนเต็ม]])*tbl_task9[[%]:[%]])</f>
        <v/>
      </c>
      <c r="KU8" s="121" t="str">
        <f>IF(ISBLANK(tbl_task9[[คะแนนเต็ม]:[คะแนนเต็ม]]),"",(tbl_task9[137]/tbl_task9[[คะแนนเต็ม]:[คะแนนเต็ม]])*tbl_task9[[%]:[%]])</f>
        <v/>
      </c>
      <c r="KV8" s="121" t="str">
        <f>IF(ISBLANK(tbl_task9[[คะแนนเต็ม]:[คะแนนเต็ม]]),"",(tbl_task9[138]/tbl_task9[[คะแนนเต็ม]:[คะแนนเต็ม]])*tbl_task9[[%]:[%]])</f>
        <v/>
      </c>
      <c r="KW8" s="121" t="str">
        <f>IF(ISBLANK(tbl_task9[[คะแนนเต็ม]:[คะแนนเต็ม]]),"",(tbl_task9[139]/tbl_task9[[คะแนนเต็ม]:[คะแนนเต็ม]])*tbl_task9[[%]:[%]])</f>
        <v/>
      </c>
      <c r="KX8" s="121" t="str">
        <f>IF(ISBLANK(tbl_task9[[คะแนนเต็ม]:[คะแนนเต็ม]]),"",(tbl_task9[140]/tbl_task9[[คะแนนเต็ม]:[คะแนนเต็ม]])*tbl_task9[[%]:[%]])</f>
        <v/>
      </c>
      <c r="KY8" s="121" t="str">
        <f>IF(ISBLANK(tbl_task9[[คะแนนเต็ม]:[คะแนนเต็ม]]),"",(tbl_task9[141]/tbl_task9[[คะแนนเต็ม]:[คะแนนเต็ม]])*tbl_task9[[%]:[%]])</f>
        <v/>
      </c>
      <c r="KZ8" s="121" t="str">
        <f>IF(ISBLANK(tbl_task9[[คะแนนเต็ม]:[คะแนนเต็ม]]),"",(tbl_task9[142]/tbl_task9[[คะแนนเต็ม]:[คะแนนเต็ม]])*tbl_task9[[%]:[%]])</f>
        <v/>
      </c>
      <c r="LA8" s="121" t="str">
        <f>IF(ISBLANK(tbl_task9[[คะแนนเต็ม]:[คะแนนเต็ม]]),"",(tbl_task9[143]/tbl_task9[[คะแนนเต็ม]:[คะแนนเต็ม]])*tbl_task9[[%]:[%]])</f>
        <v/>
      </c>
      <c r="LB8" s="121" t="str">
        <f>IF(ISBLANK(tbl_task9[[คะแนนเต็ม]:[คะแนนเต็ม]]),"",(tbl_task9[144]/tbl_task9[[คะแนนเต็ม]:[คะแนนเต็ม]])*tbl_task9[[%]:[%]])</f>
        <v/>
      </c>
      <c r="LC8" s="121" t="str">
        <f>IF(ISBLANK(tbl_task9[[คะแนนเต็ม]:[คะแนนเต็ม]]),"",(tbl_task9[145]/tbl_task9[[คะแนนเต็ม]:[คะแนนเต็ม]])*tbl_task9[[%]:[%]])</f>
        <v/>
      </c>
      <c r="LD8" s="121" t="str">
        <f>IF(ISBLANK(tbl_task9[[คะแนนเต็ม]:[คะแนนเต็ม]]),"",(tbl_task9[146]/tbl_task9[[คะแนนเต็ม]:[คะแนนเต็ม]])*tbl_task9[[%]:[%]])</f>
        <v/>
      </c>
      <c r="LE8" s="121" t="str">
        <f>IF(ISBLANK(tbl_task9[[คะแนนเต็ม]:[คะแนนเต็ม]]),"",(tbl_task9[147]/tbl_task9[[คะแนนเต็ม]:[คะแนนเต็ม]])*tbl_task9[[%]:[%]])</f>
        <v/>
      </c>
      <c r="LF8" s="121" t="str">
        <f>IF(ISBLANK(tbl_task9[[คะแนนเต็ม]:[คะแนนเต็ม]]),"",(tbl_task9[148]/tbl_task9[[คะแนนเต็ม]:[คะแนนเต็ม]])*tbl_task9[[%]:[%]])</f>
        <v/>
      </c>
      <c r="LG8" s="121" t="str">
        <f>IF(ISBLANK(tbl_task9[[คะแนนเต็ม]:[คะแนนเต็ม]]),"",(tbl_task9[149]/tbl_task9[[คะแนนเต็ม]:[คะแนนเต็ม]])*tbl_task9[[%]:[%]])</f>
        <v/>
      </c>
      <c r="LH8" s="121" t="str">
        <f>IF(ISBLANK(tbl_task9[[คะแนนเต็ม]:[คะแนนเต็ม]]),"",(tbl_task9[150]/tbl_task9[[คะแนนเต็ม]:[คะแนนเต็ม]])*tbl_task9[[%]:[%]])</f>
        <v/>
      </c>
      <c r="LI8" s="121" t="str">
        <f>IF(ISBLANK(tbl_task9[[คะแนนเต็ม]:[คะแนนเต็ม]]),"",(tbl_task9[151]/tbl_task9[[คะแนนเต็ม]:[คะแนนเต็ม]])*tbl_task9[[%]:[%]])</f>
        <v/>
      </c>
      <c r="LJ8" s="121" t="str">
        <f>IF(ISBLANK(tbl_task9[[คะแนนเต็ม]:[คะแนนเต็ม]]),"",(tbl_task9[152]/tbl_task9[[คะแนนเต็ม]:[คะแนนเต็ม]])*tbl_task9[[%]:[%]])</f>
        <v/>
      </c>
      <c r="LK8" s="121" t="str">
        <f>IF(ISBLANK(tbl_task9[[คะแนนเต็ม]:[คะแนนเต็ม]]),"",(tbl_task9[153]/tbl_task9[[คะแนนเต็ม]:[คะแนนเต็ม]])*tbl_task9[[%]:[%]])</f>
        <v/>
      </c>
      <c r="LL8" s="121" t="str">
        <f>IF(ISBLANK(tbl_task9[[คะแนนเต็ม]:[คะแนนเต็ม]]),"",(tbl_task9[154]/tbl_task9[[คะแนนเต็ม]:[คะแนนเต็ม]])*tbl_task9[[%]:[%]])</f>
        <v/>
      </c>
      <c r="LM8" s="121" t="str">
        <f>IF(ISBLANK(tbl_task9[[คะแนนเต็ม]:[คะแนนเต็ม]]),"",(tbl_task9[155]/tbl_task9[[คะแนนเต็ม]:[คะแนนเต็ม]])*tbl_task9[[%]:[%]])</f>
        <v/>
      </c>
      <c r="LN8" s="121" t="str">
        <f>IF(ISBLANK(tbl_task9[[คะแนนเต็ม]:[คะแนนเต็ม]]),"",(tbl_task9[156]/tbl_task9[[คะแนนเต็ม]:[คะแนนเต็ม]])*tbl_task9[[%]:[%]])</f>
        <v/>
      </c>
      <c r="LO8" s="121" t="str">
        <f>IF(ISBLANK(tbl_task9[[คะแนนเต็ม]:[คะแนนเต็ม]]),"",(tbl_task9[157]/tbl_task9[[คะแนนเต็ม]:[คะแนนเต็ม]])*tbl_task9[[%]:[%]])</f>
        <v/>
      </c>
      <c r="LP8" s="121" t="str">
        <f>IF(ISBLANK(tbl_task9[[คะแนนเต็ม]:[คะแนนเต็ม]]),"",(tbl_task9[158]/tbl_task9[[คะแนนเต็ม]:[คะแนนเต็ม]])*tbl_task9[[%]:[%]])</f>
        <v/>
      </c>
      <c r="LQ8" s="121" t="str">
        <f>IF(ISBLANK(tbl_task9[[คะแนนเต็ม]:[คะแนนเต็ม]]),"",(tbl_task9[159]/tbl_task9[[คะแนนเต็ม]:[คะแนนเต็ม]])*tbl_task9[[%]:[%]])</f>
        <v/>
      </c>
      <c r="LR8" s="121" t="str">
        <f>IF(ISBLANK(tbl_task9[[คะแนนเต็ม]:[คะแนนเต็ม]]),"",(tbl_task9[160]/tbl_task9[[คะแนนเต็ม]:[คะแนนเต็ม]])*tbl_task9[[%]:[%]])</f>
        <v/>
      </c>
      <c r="LS8" s="121" t="str">
        <f>IF(ISBLANK(tbl_task9[[คะแนนเต็ม]:[คะแนนเต็ม]]),"",(tbl_task9[161]/tbl_task9[[คะแนนเต็ม]:[คะแนนเต็ม]])*tbl_task9[[%]:[%]])</f>
        <v/>
      </c>
      <c r="LT8" s="121" t="str">
        <f>IF(ISBLANK(tbl_task9[[คะแนนเต็ม]:[คะแนนเต็ม]]),"",(tbl_task9[162]/tbl_task9[[คะแนนเต็ม]:[คะแนนเต็ม]])*tbl_task9[[%]:[%]])</f>
        <v/>
      </c>
      <c r="LU8" s="121" t="str">
        <f>IF(ISBLANK(tbl_task9[[คะแนนเต็ม]:[คะแนนเต็ม]]),"",(tbl_task9[163]/tbl_task9[[คะแนนเต็ม]:[คะแนนเต็ม]])*tbl_task9[[%]:[%]])</f>
        <v/>
      </c>
      <c r="LV8" s="121" t="str">
        <f>IF(ISBLANK(tbl_task9[[คะแนนเต็ม]:[คะแนนเต็ม]]),"",(tbl_task9[164]/tbl_task9[[คะแนนเต็ม]:[คะแนนเต็ม]])*tbl_task9[[%]:[%]])</f>
        <v/>
      </c>
      <c r="LW8" s="121" t="str">
        <f>IF(ISBLANK(tbl_task9[[คะแนนเต็ม]:[คะแนนเต็ม]]),"",(tbl_task9[165]/tbl_task9[[คะแนนเต็ม]:[คะแนนเต็ม]])*tbl_task9[[%]:[%]])</f>
        <v/>
      </c>
    </row>
    <row r="9" spans="1:335" x14ac:dyDescent="0.25">
      <c r="A9" s="24">
        <v>6</v>
      </c>
      <c r="B9" s="20"/>
      <c r="C9" s="5" t="str">
        <f>IF(ISBLANK(B9),"",VLOOKUP(B9,tbl_PLOs[],2,0))</f>
        <v/>
      </c>
      <c r="D9" s="102"/>
      <c r="E9" s="106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22"/>
      <c r="FO9" s="121" t="str">
        <f>IF(ISBLANK(tbl_task9[[คะแนนเต็ม]:[คะแนนเต็ม]]),"",(tbl_task9[1]/tbl_task9[[คะแนนเต็ม]:[คะแนนเต็ม]])*tbl_task9[[%]:[%]])</f>
        <v/>
      </c>
      <c r="FP9" s="121" t="str">
        <f>IF(ISBLANK(tbl_task9[[คะแนนเต็ม]:[คะแนนเต็ม]]),"",(tbl_task9[2]/tbl_task9[[คะแนนเต็ม]:[คะแนนเต็ม]])*tbl_task9[[%]:[%]])</f>
        <v/>
      </c>
      <c r="FQ9" s="121" t="str">
        <f>IF(ISBLANK(tbl_task9[[คะแนนเต็ม]:[คะแนนเต็ม]]),"",(tbl_task9[3]/tbl_task9[[คะแนนเต็ม]:[คะแนนเต็ม]])*tbl_task9[[%]:[%]])</f>
        <v/>
      </c>
      <c r="FR9" s="121" t="str">
        <f>IF(ISBLANK(tbl_task9[[คะแนนเต็ม]:[คะแนนเต็ม]]),"",(tbl_task9[4]/tbl_task9[[คะแนนเต็ม]:[คะแนนเต็ม]])*tbl_task9[[%]:[%]])</f>
        <v/>
      </c>
      <c r="FS9" s="121" t="str">
        <f>IF(ISBLANK(tbl_task9[[คะแนนเต็ม]:[คะแนนเต็ม]]),"",(tbl_task9[5]/tbl_task9[[คะแนนเต็ม]:[คะแนนเต็ม]])*tbl_task9[[%]:[%]])</f>
        <v/>
      </c>
      <c r="FT9" s="121" t="str">
        <f>IF(ISBLANK(tbl_task9[[คะแนนเต็ม]:[คะแนนเต็ม]]),"",(tbl_task9[6]/tbl_task9[[คะแนนเต็ม]:[คะแนนเต็ม]])*tbl_task9[[%]:[%]])</f>
        <v/>
      </c>
      <c r="FU9" s="121" t="str">
        <f>IF(ISBLANK(tbl_task9[[คะแนนเต็ม]:[คะแนนเต็ม]]),"",(tbl_task9[7]/tbl_task9[[คะแนนเต็ม]:[คะแนนเต็ม]])*tbl_task9[[%]:[%]])</f>
        <v/>
      </c>
      <c r="FV9" s="121" t="str">
        <f>IF(ISBLANK(tbl_task9[[คะแนนเต็ม]:[คะแนนเต็ม]]),"",(tbl_task9[8]/tbl_task9[[คะแนนเต็ม]:[คะแนนเต็ม]])*tbl_task9[[%]:[%]])</f>
        <v/>
      </c>
      <c r="FW9" s="121" t="str">
        <f>IF(ISBLANK(tbl_task9[[คะแนนเต็ม]:[คะแนนเต็ม]]),"",(tbl_task9[9]/tbl_task9[[คะแนนเต็ม]:[คะแนนเต็ม]])*tbl_task9[[%]:[%]])</f>
        <v/>
      </c>
      <c r="FX9" s="121" t="str">
        <f>IF(ISBLANK(tbl_task9[[คะแนนเต็ม]:[คะแนนเต็ม]]),"",(tbl_task9[10]/tbl_task9[[คะแนนเต็ม]:[คะแนนเต็ม]])*tbl_task9[[%]:[%]])</f>
        <v/>
      </c>
      <c r="FY9" s="121" t="str">
        <f>IF(ISBLANK(tbl_task9[[คะแนนเต็ม]:[คะแนนเต็ม]]),"",(tbl_task9[11]/tbl_task9[[คะแนนเต็ม]:[คะแนนเต็ม]])*tbl_task9[[%]:[%]])</f>
        <v/>
      </c>
      <c r="FZ9" s="121" t="str">
        <f>IF(ISBLANK(tbl_task9[[คะแนนเต็ม]:[คะแนนเต็ม]]),"",(tbl_task9[12]/tbl_task9[[คะแนนเต็ม]:[คะแนนเต็ม]])*tbl_task9[[%]:[%]])</f>
        <v/>
      </c>
      <c r="GA9" s="121" t="str">
        <f>IF(ISBLANK(tbl_task9[[คะแนนเต็ม]:[คะแนนเต็ม]]),"",(tbl_task9[13]/tbl_task9[[คะแนนเต็ม]:[คะแนนเต็ม]])*tbl_task9[[%]:[%]])</f>
        <v/>
      </c>
      <c r="GB9" s="121" t="str">
        <f>IF(ISBLANK(tbl_task9[[คะแนนเต็ม]:[คะแนนเต็ม]]),"",(tbl_task9[14]/tbl_task9[[คะแนนเต็ม]:[คะแนนเต็ม]])*tbl_task9[[%]:[%]])</f>
        <v/>
      </c>
      <c r="GC9" s="121" t="str">
        <f>IF(ISBLANK(tbl_task9[[คะแนนเต็ม]:[คะแนนเต็ม]]),"",(tbl_task9[15]/tbl_task9[[คะแนนเต็ม]:[คะแนนเต็ม]])*tbl_task9[[%]:[%]])</f>
        <v/>
      </c>
      <c r="GD9" s="121" t="str">
        <f>IF(ISBLANK(tbl_task9[[คะแนนเต็ม]:[คะแนนเต็ม]]),"",(tbl_task9[16]/tbl_task9[[คะแนนเต็ม]:[คะแนนเต็ม]])*tbl_task9[[%]:[%]])</f>
        <v/>
      </c>
      <c r="GE9" s="121" t="str">
        <f>IF(ISBLANK(tbl_task9[[คะแนนเต็ม]:[คะแนนเต็ม]]),"",(tbl_task9[17]/tbl_task9[[คะแนนเต็ม]:[คะแนนเต็ม]])*tbl_task9[[%]:[%]])</f>
        <v/>
      </c>
      <c r="GF9" s="121" t="str">
        <f>IF(ISBLANK(tbl_task9[[คะแนนเต็ม]:[คะแนนเต็ม]]),"",(tbl_task9[18]/tbl_task9[[คะแนนเต็ม]:[คะแนนเต็ม]])*tbl_task9[[%]:[%]])</f>
        <v/>
      </c>
      <c r="GG9" s="121" t="str">
        <f>IF(ISBLANK(tbl_task9[[คะแนนเต็ม]:[คะแนนเต็ม]]),"",(tbl_task9[19]/tbl_task9[[คะแนนเต็ม]:[คะแนนเต็ม]])*tbl_task9[[%]:[%]])</f>
        <v/>
      </c>
      <c r="GH9" s="121" t="str">
        <f>IF(ISBLANK(tbl_task9[[คะแนนเต็ม]:[คะแนนเต็ม]]),"",(tbl_task9[20]/tbl_task9[[คะแนนเต็ม]:[คะแนนเต็ม]])*tbl_task9[[%]:[%]])</f>
        <v/>
      </c>
      <c r="GI9" s="121" t="str">
        <f>IF(ISBLANK(tbl_task9[[คะแนนเต็ม]:[คะแนนเต็ม]]),"",(tbl_task9[21]/tbl_task9[[คะแนนเต็ม]:[คะแนนเต็ม]])*tbl_task9[[%]:[%]])</f>
        <v/>
      </c>
      <c r="GJ9" s="121" t="str">
        <f>IF(ISBLANK(tbl_task9[[คะแนนเต็ม]:[คะแนนเต็ม]]),"",(tbl_task9[22]/tbl_task9[[คะแนนเต็ม]:[คะแนนเต็ม]])*tbl_task9[[%]:[%]])</f>
        <v/>
      </c>
      <c r="GK9" s="121" t="str">
        <f>IF(ISBLANK(tbl_task9[[คะแนนเต็ม]:[คะแนนเต็ม]]),"",(tbl_task9[23]/tbl_task9[[คะแนนเต็ม]:[คะแนนเต็ม]])*tbl_task9[[%]:[%]])</f>
        <v/>
      </c>
      <c r="GL9" s="121" t="str">
        <f>IF(ISBLANK(tbl_task9[[คะแนนเต็ม]:[คะแนนเต็ม]]),"",(tbl_task9[24]/tbl_task9[[คะแนนเต็ม]:[คะแนนเต็ม]])*tbl_task9[[%]:[%]])</f>
        <v/>
      </c>
      <c r="GM9" s="121" t="str">
        <f>IF(ISBLANK(tbl_task9[[คะแนนเต็ม]:[คะแนนเต็ม]]),"",(tbl_task9[25]/tbl_task9[[คะแนนเต็ม]:[คะแนนเต็ม]])*tbl_task9[[%]:[%]])</f>
        <v/>
      </c>
      <c r="GN9" s="121" t="str">
        <f>IF(ISBLANK(tbl_task9[[คะแนนเต็ม]:[คะแนนเต็ม]]),"",(tbl_task9[26]/tbl_task9[[คะแนนเต็ม]:[คะแนนเต็ม]])*tbl_task9[[%]:[%]])</f>
        <v/>
      </c>
      <c r="GO9" s="121" t="str">
        <f>IF(ISBLANK(tbl_task9[[คะแนนเต็ม]:[คะแนนเต็ม]]),"",(tbl_task9[27]/tbl_task9[[คะแนนเต็ม]:[คะแนนเต็ม]])*tbl_task9[[%]:[%]])</f>
        <v/>
      </c>
      <c r="GP9" s="121" t="str">
        <f>IF(ISBLANK(tbl_task9[[คะแนนเต็ม]:[คะแนนเต็ม]]),"",(tbl_task9[28]/tbl_task9[[คะแนนเต็ม]:[คะแนนเต็ม]])*tbl_task9[[%]:[%]])</f>
        <v/>
      </c>
      <c r="GQ9" s="121" t="str">
        <f>IF(ISBLANK(tbl_task9[[คะแนนเต็ม]:[คะแนนเต็ม]]),"",(tbl_task9[29]/tbl_task9[[คะแนนเต็ม]:[คะแนนเต็ม]])*tbl_task9[[%]:[%]])</f>
        <v/>
      </c>
      <c r="GR9" s="121" t="str">
        <f>IF(ISBLANK(tbl_task9[[คะแนนเต็ม]:[คะแนนเต็ม]]),"",(tbl_task9[30]/tbl_task9[[คะแนนเต็ม]:[คะแนนเต็ม]])*tbl_task9[[%]:[%]])</f>
        <v/>
      </c>
      <c r="GS9" s="121" t="str">
        <f>IF(ISBLANK(tbl_task9[[คะแนนเต็ม]:[คะแนนเต็ม]]),"",(tbl_task9[31]/tbl_task9[[คะแนนเต็ม]:[คะแนนเต็ม]])*tbl_task9[[%]:[%]])</f>
        <v/>
      </c>
      <c r="GT9" s="121" t="str">
        <f>IF(ISBLANK(tbl_task9[[คะแนนเต็ม]:[คะแนนเต็ม]]),"",(tbl_task9[32]/tbl_task9[[คะแนนเต็ม]:[คะแนนเต็ม]])*tbl_task9[[%]:[%]])</f>
        <v/>
      </c>
      <c r="GU9" s="121" t="str">
        <f>IF(ISBLANK(tbl_task9[[คะแนนเต็ม]:[คะแนนเต็ม]]),"",(tbl_task9[33]/tbl_task9[[คะแนนเต็ม]:[คะแนนเต็ม]])*tbl_task9[[%]:[%]])</f>
        <v/>
      </c>
      <c r="GV9" s="121" t="str">
        <f>IF(ISBLANK(tbl_task9[[คะแนนเต็ม]:[คะแนนเต็ม]]),"",(tbl_task9[34]/tbl_task9[[คะแนนเต็ม]:[คะแนนเต็ม]])*tbl_task9[[%]:[%]])</f>
        <v/>
      </c>
      <c r="GW9" s="121" t="str">
        <f>IF(ISBLANK(tbl_task9[[คะแนนเต็ม]:[คะแนนเต็ม]]),"",(tbl_task9[35]/tbl_task9[[คะแนนเต็ม]:[คะแนนเต็ม]])*tbl_task9[[%]:[%]])</f>
        <v/>
      </c>
      <c r="GX9" s="121" t="str">
        <f>IF(ISBLANK(tbl_task9[[คะแนนเต็ม]:[คะแนนเต็ม]]),"",(tbl_task9[36]/tbl_task9[[คะแนนเต็ม]:[คะแนนเต็ม]])*tbl_task9[[%]:[%]])</f>
        <v/>
      </c>
      <c r="GY9" s="121" t="str">
        <f>IF(ISBLANK(tbl_task9[[คะแนนเต็ม]:[คะแนนเต็ม]]),"",(tbl_task9[37]/tbl_task9[[คะแนนเต็ม]:[คะแนนเต็ม]])*tbl_task9[[%]:[%]])</f>
        <v/>
      </c>
      <c r="GZ9" s="121" t="str">
        <f>IF(ISBLANK(tbl_task9[[คะแนนเต็ม]:[คะแนนเต็ม]]),"",(tbl_task9[38]/tbl_task9[[คะแนนเต็ม]:[คะแนนเต็ม]])*tbl_task9[[%]:[%]])</f>
        <v/>
      </c>
      <c r="HA9" s="121" t="str">
        <f>IF(ISBLANK(tbl_task9[[คะแนนเต็ม]:[คะแนนเต็ม]]),"",(tbl_task9[39]/tbl_task9[[คะแนนเต็ม]:[คะแนนเต็ม]])*tbl_task9[[%]:[%]])</f>
        <v/>
      </c>
      <c r="HB9" s="121" t="str">
        <f>IF(ISBLANK(tbl_task9[[คะแนนเต็ม]:[คะแนนเต็ม]]),"",(tbl_task9[40]/tbl_task9[[คะแนนเต็ม]:[คะแนนเต็ม]])*tbl_task9[[%]:[%]])</f>
        <v/>
      </c>
      <c r="HC9" s="121" t="str">
        <f>IF(ISBLANK(tbl_task9[[คะแนนเต็ม]:[คะแนนเต็ม]]),"",(tbl_task9[41]/tbl_task9[[คะแนนเต็ม]:[คะแนนเต็ม]])*tbl_task9[[%]:[%]])</f>
        <v/>
      </c>
      <c r="HD9" s="121" t="str">
        <f>IF(ISBLANK(tbl_task9[[คะแนนเต็ม]:[คะแนนเต็ม]]),"",(tbl_task9[42]/tbl_task9[[คะแนนเต็ม]:[คะแนนเต็ม]])*tbl_task9[[%]:[%]])</f>
        <v/>
      </c>
      <c r="HE9" s="121" t="str">
        <f>IF(ISBLANK(tbl_task9[[คะแนนเต็ม]:[คะแนนเต็ม]]),"",(tbl_task9[43]/tbl_task9[[คะแนนเต็ม]:[คะแนนเต็ม]])*tbl_task9[[%]:[%]])</f>
        <v/>
      </c>
      <c r="HF9" s="121" t="str">
        <f>IF(ISBLANK(tbl_task9[[คะแนนเต็ม]:[คะแนนเต็ม]]),"",(tbl_task9[44]/tbl_task9[[คะแนนเต็ม]:[คะแนนเต็ม]])*tbl_task9[[%]:[%]])</f>
        <v/>
      </c>
      <c r="HG9" s="121" t="str">
        <f>IF(ISBLANK(tbl_task9[[คะแนนเต็ม]:[คะแนนเต็ม]]),"",(tbl_task9[45]/tbl_task9[[คะแนนเต็ม]:[คะแนนเต็ม]])*tbl_task9[[%]:[%]])</f>
        <v/>
      </c>
      <c r="HH9" s="121" t="str">
        <f>IF(ISBLANK(tbl_task9[[คะแนนเต็ม]:[คะแนนเต็ม]]),"",(tbl_task9[46]/tbl_task9[[คะแนนเต็ม]:[คะแนนเต็ม]])*tbl_task9[[%]:[%]])</f>
        <v/>
      </c>
      <c r="HI9" s="121" t="str">
        <f>IF(ISBLANK(tbl_task9[[คะแนนเต็ม]:[คะแนนเต็ม]]),"",(tbl_task9[47]/tbl_task9[[คะแนนเต็ม]:[คะแนนเต็ม]])*tbl_task9[[%]:[%]])</f>
        <v/>
      </c>
      <c r="HJ9" s="121" t="str">
        <f>IF(ISBLANK(tbl_task9[[คะแนนเต็ม]:[คะแนนเต็ม]]),"",(tbl_task9[48]/tbl_task9[[คะแนนเต็ม]:[คะแนนเต็ม]])*tbl_task9[[%]:[%]])</f>
        <v/>
      </c>
      <c r="HK9" s="121" t="str">
        <f>IF(ISBLANK(tbl_task9[[คะแนนเต็ม]:[คะแนนเต็ม]]),"",(tbl_task9[49]/tbl_task9[[คะแนนเต็ม]:[คะแนนเต็ม]])*tbl_task9[[%]:[%]])</f>
        <v/>
      </c>
      <c r="HL9" s="121" t="str">
        <f>IF(ISBLANK(tbl_task9[[คะแนนเต็ม]:[คะแนนเต็ม]]),"",(tbl_task9[50]/tbl_task9[[คะแนนเต็ม]:[คะแนนเต็ม]])*tbl_task9[[%]:[%]])</f>
        <v/>
      </c>
      <c r="HM9" s="121" t="str">
        <f>IF(ISBLANK(tbl_task9[[คะแนนเต็ม]:[คะแนนเต็ม]]),"",(tbl_task9[51]/tbl_task9[[คะแนนเต็ม]:[คะแนนเต็ม]])*tbl_task9[[%]:[%]])</f>
        <v/>
      </c>
      <c r="HN9" s="121" t="str">
        <f>IF(ISBLANK(tbl_task9[[คะแนนเต็ม]:[คะแนนเต็ม]]),"",(tbl_task9[52]/tbl_task9[[คะแนนเต็ม]:[คะแนนเต็ม]])*tbl_task9[[%]:[%]])</f>
        <v/>
      </c>
      <c r="HO9" s="121" t="str">
        <f>IF(ISBLANK(tbl_task9[[คะแนนเต็ม]:[คะแนนเต็ม]]),"",(tbl_task9[53]/tbl_task9[[คะแนนเต็ม]:[คะแนนเต็ม]])*tbl_task9[[%]:[%]])</f>
        <v/>
      </c>
      <c r="HP9" s="121" t="str">
        <f>IF(ISBLANK(tbl_task9[[คะแนนเต็ม]:[คะแนนเต็ม]]),"",(tbl_task9[54]/tbl_task9[[คะแนนเต็ม]:[คะแนนเต็ม]])*tbl_task9[[%]:[%]])</f>
        <v/>
      </c>
      <c r="HQ9" s="121" t="str">
        <f>IF(ISBLANK(tbl_task9[[คะแนนเต็ม]:[คะแนนเต็ม]]),"",(tbl_task9[55]/tbl_task9[[คะแนนเต็ม]:[คะแนนเต็ม]])*tbl_task9[[%]:[%]])</f>
        <v/>
      </c>
      <c r="HR9" s="121" t="str">
        <f>IF(ISBLANK(tbl_task9[[คะแนนเต็ม]:[คะแนนเต็ม]]),"",(tbl_task9[56]/tbl_task9[[คะแนนเต็ม]:[คะแนนเต็ม]])*tbl_task9[[%]:[%]])</f>
        <v/>
      </c>
      <c r="HS9" s="121" t="str">
        <f>IF(ISBLANK(tbl_task9[[คะแนนเต็ม]:[คะแนนเต็ม]]),"",(tbl_task9[57]/tbl_task9[[คะแนนเต็ม]:[คะแนนเต็ม]])*tbl_task9[[%]:[%]])</f>
        <v/>
      </c>
      <c r="HT9" s="121" t="str">
        <f>IF(ISBLANK(tbl_task9[[คะแนนเต็ม]:[คะแนนเต็ม]]),"",(tbl_task9[58]/tbl_task9[[คะแนนเต็ม]:[คะแนนเต็ม]])*tbl_task9[[%]:[%]])</f>
        <v/>
      </c>
      <c r="HU9" s="121" t="str">
        <f>IF(ISBLANK(tbl_task9[[คะแนนเต็ม]:[คะแนนเต็ม]]),"",(tbl_task9[59]/tbl_task9[[คะแนนเต็ม]:[คะแนนเต็ม]])*tbl_task9[[%]:[%]])</f>
        <v/>
      </c>
      <c r="HV9" s="121" t="str">
        <f>IF(ISBLANK(tbl_task9[[คะแนนเต็ม]:[คะแนนเต็ม]]),"",(tbl_task9[60]/tbl_task9[[คะแนนเต็ม]:[คะแนนเต็ม]])*tbl_task9[[%]:[%]])</f>
        <v/>
      </c>
      <c r="HW9" s="121" t="str">
        <f>IF(ISBLANK(tbl_task9[[คะแนนเต็ม]:[คะแนนเต็ม]]),"",(tbl_task9[61]/tbl_task9[[คะแนนเต็ม]:[คะแนนเต็ม]])*tbl_task9[[%]:[%]])</f>
        <v/>
      </c>
      <c r="HX9" s="121" t="str">
        <f>IF(ISBLANK(tbl_task9[[คะแนนเต็ม]:[คะแนนเต็ม]]),"",(tbl_task9[62]/tbl_task9[[คะแนนเต็ม]:[คะแนนเต็ม]])*tbl_task9[[%]:[%]])</f>
        <v/>
      </c>
      <c r="HY9" s="121" t="str">
        <f>IF(ISBLANK(tbl_task9[[คะแนนเต็ม]:[คะแนนเต็ม]]),"",(tbl_task9[63]/tbl_task9[[คะแนนเต็ม]:[คะแนนเต็ม]])*tbl_task9[[%]:[%]])</f>
        <v/>
      </c>
      <c r="HZ9" s="121" t="str">
        <f>IF(ISBLANK(tbl_task9[[คะแนนเต็ม]:[คะแนนเต็ม]]),"",(tbl_task9[64]/tbl_task9[[คะแนนเต็ม]:[คะแนนเต็ม]])*tbl_task9[[%]:[%]])</f>
        <v/>
      </c>
      <c r="IA9" s="121" t="str">
        <f>IF(ISBLANK(tbl_task9[[คะแนนเต็ม]:[คะแนนเต็ม]]),"",(tbl_task9[65]/tbl_task9[[คะแนนเต็ม]:[คะแนนเต็ม]])*tbl_task9[[%]:[%]])</f>
        <v/>
      </c>
      <c r="IB9" s="121" t="str">
        <f>IF(ISBLANK(tbl_task9[[คะแนนเต็ม]:[คะแนนเต็ม]]),"",(tbl_task9[66]/tbl_task9[[คะแนนเต็ม]:[คะแนนเต็ม]])*tbl_task9[[%]:[%]])</f>
        <v/>
      </c>
      <c r="IC9" s="121" t="str">
        <f>IF(ISBLANK(tbl_task9[[คะแนนเต็ม]:[คะแนนเต็ม]]),"",(tbl_task9[67]/tbl_task9[[คะแนนเต็ม]:[คะแนนเต็ม]])*tbl_task9[[%]:[%]])</f>
        <v/>
      </c>
      <c r="ID9" s="121" t="str">
        <f>IF(ISBLANK(tbl_task9[[คะแนนเต็ม]:[คะแนนเต็ม]]),"",(tbl_task9[68]/tbl_task9[[คะแนนเต็ม]:[คะแนนเต็ม]])*tbl_task9[[%]:[%]])</f>
        <v/>
      </c>
      <c r="IE9" s="121" t="str">
        <f>IF(ISBLANK(tbl_task9[[คะแนนเต็ม]:[คะแนนเต็ม]]),"",(tbl_task9[69]/tbl_task9[[คะแนนเต็ม]:[คะแนนเต็ม]])*tbl_task9[[%]:[%]])</f>
        <v/>
      </c>
      <c r="IF9" s="121" t="str">
        <f>IF(ISBLANK(tbl_task9[[คะแนนเต็ม]:[คะแนนเต็ม]]),"",(tbl_task9[70]/tbl_task9[[คะแนนเต็ม]:[คะแนนเต็ม]])*tbl_task9[[%]:[%]])</f>
        <v/>
      </c>
      <c r="IG9" s="121" t="str">
        <f>IF(ISBLANK(tbl_task9[[คะแนนเต็ม]:[คะแนนเต็ม]]),"",(tbl_task9[71]/tbl_task9[[คะแนนเต็ม]:[คะแนนเต็ม]])*tbl_task9[[%]:[%]])</f>
        <v/>
      </c>
      <c r="IH9" s="121" t="str">
        <f>IF(ISBLANK(tbl_task9[[คะแนนเต็ม]:[คะแนนเต็ม]]),"",(tbl_task9[72]/tbl_task9[[คะแนนเต็ม]:[คะแนนเต็ม]])*tbl_task9[[%]:[%]])</f>
        <v/>
      </c>
      <c r="II9" s="121" t="str">
        <f>IF(ISBLANK(tbl_task9[[คะแนนเต็ม]:[คะแนนเต็ม]]),"",(tbl_task9[73]/tbl_task9[[คะแนนเต็ม]:[คะแนนเต็ม]])*tbl_task9[[%]:[%]])</f>
        <v/>
      </c>
      <c r="IJ9" s="121" t="str">
        <f>IF(ISBLANK(tbl_task9[[คะแนนเต็ม]:[คะแนนเต็ม]]),"",(tbl_task9[74]/tbl_task9[[คะแนนเต็ม]:[คะแนนเต็ม]])*tbl_task9[[%]:[%]])</f>
        <v/>
      </c>
      <c r="IK9" s="121" t="str">
        <f>IF(ISBLANK(tbl_task9[[คะแนนเต็ม]:[คะแนนเต็ม]]),"",(tbl_task9[75]/tbl_task9[[คะแนนเต็ม]:[คะแนนเต็ม]])*tbl_task9[[%]:[%]])</f>
        <v/>
      </c>
      <c r="IL9" s="121" t="str">
        <f>IF(ISBLANK(tbl_task9[[คะแนนเต็ม]:[คะแนนเต็ม]]),"",(tbl_task9[76]/tbl_task9[[คะแนนเต็ม]:[คะแนนเต็ม]])*tbl_task9[[%]:[%]])</f>
        <v/>
      </c>
      <c r="IM9" s="121" t="str">
        <f>IF(ISBLANK(tbl_task9[[คะแนนเต็ม]:[คะแนนเต็ม]]),"",(tbl_task9[77]/tbl_task9[[คะแนนเต็ม]:[คะแนนเต็ม]])*tbl_task9[[%]:[%]])</f>
        <v/>
      </c>
      <c r="IN9" s="121" t="str">
        <f>IF(ISBLANK(tbl_task9[[คะแนนเต็ม]:[คะแนนเต็ม]]),"",(tbl_task9[78]/tbl_task9[[คะแนนเต็ม]:[คะแนนเต็ม]])*tbl_task9[[%]:[%]])</f>
        <v/>
      </c>
      <c r="IO9" s="121" t="str">
        <f>IF(ISBLANK(tbl_task9[[คะแนนเต็ม]:[คะแนนเต็ม]]),"",(tbl_task9[79]/tbl_task9[[คะแนนเต็ม]:[คะแนนเต็ม]])*tbl_task9[[%]:[%]])</f>
        <v/>
      </c>
      <c r="IP9" s="121" t="str">
        <f>IF(ISBLANK(tbl_task9[[คะแนนเต็ม]:[คะแนนเต็ม]]),"",(tbl_task9[80]/tbl_task9[[คะแนนเต็ม]:[คะแนนเต็ม]])*tbl_task9[[%]:[%]])</f>
        <v/>
      </c>
      <c r="IQ9" s="121" t="str">
        <f>IF(ISBLANK(tbl_task9[[คะแนนเต็ม]:[คะแนนเต็ม]]),"",(tbl_task9[81]/tbl_task9[[คะแนนเต็ม]:[คะแนนเต็ม]])*tbl_task9[[%]:[%]])</f>
        <v/>
      </c>
      <c r="IR9" s="121" t="str">
        <f>IF(ISBLANK(tbl_task9[[คะแนนเต็ม]:[คะแนนเต็ม]]),"",(tbl_task9[82]/tbl_task9[[คะแนนเต็ม]:[คะแนนเต็ม]])*tbl_task9[[%]:[%]])</f>
        <v/>
      </c>
      <c r="IS9" s="121" t="str">
        <f>IF(ISBLANK(tbl_task9[[คะแนนเต็ม]:[คะแนนเต็ม]]),"",(tbl_task9[83]/tbl_task9[[คะแนนเต็ม]:[คะแนนเต็ม]])*tbl_task9[[%]:[%]])</f>
        <v/>
      </c>
      <c r="IT9" s="121" t="str">
        <f>IF(ISBLANK(tbl_task9[[คะแนนเต็ม]:[คะแนนเต็ม]]),"",(tbl_task9[84]/tbl_task9[[คะแนนเต็ม]:[คะแนนเต็ม]])*tbl_task9[[%]:[%]])</f>
        <v/>
      </c>
      <c r="IU9" s="121" t="str">
        <f>IF(ISBLANK(tbl_task9[[คะแนนเต็ม]:[คะแนนเต็ม]]),"",(tbl_task9[85]/tbl_task9[[คะแนนเต็ม]:[คะแนนเต็ม]])*tbl_task9[[%]:[%]])</f>
        <v/>
      </c>
      <c r="IV9" s="121" t="str">
        <f>IF(ISBLANK(tbl_task9[[คะแนนเต็ม]:[คะแนนเต็ม]]),"",(tbl_task9[86]/tbl_task9[[คะแนนเต็ม]:[คะแนนเต็ม]])*tbl_task9[[%]:[%]])</f>
        <v/>
      </c>
      <c r="IW9" s="121" t="str">
        <f>IF(ISBLANK(tbl_task9[[คะแนนเต็ม]:[คะแนนเต็ม]]),"",(tbl_task9[87]/tbl_task9[[คะแนนเต็ม]:[คะแนนเต็ม]])*tbl_task9[[%]:[%]])</f>
        <v/>
      </c>
      <c r="IX9" s="121" t="str">
        <f>IF(ISBLANK(tbl_task9[[คะแนนเต็ม]:[คะแนนเต็ม]]),"",(tbl_task9[88]/tbl_task9[[คะแนนเต็ม]:[คะแนนเต็ม]])*tbl_task9[[%]:[%]])</f>
        <v/>
      </c>
      <c r="IY9" s="121" t="str">
        <f>IF(ISBLANK(tbl_task9[[คะแนนเต็ม]:[คะแนนเต็ม]]),"",(tbl_task9[89]/tbl_task9[[คะแนนเต็ม]:[คะแนนเต็ม]])*tbl_task9[[%]:[%]])</f>
        <v/>
      </c>
      <c r="IZ9" s="121" t="str">
        <f>IF(ISBLANK(tbl_task9[[คะแนนเต็ม]:[คะแนนเต็ม]]),"",(tbl_task9[90]/tbl_task9[[คะแนนเต็ม]:[คะแนนเต็ม]])*tbl_task9[[%]:[%]])</f>
        <v/>
      </c>
      <c r="JA9" s="121" t="str">
        <f>IF(ISBLANK(tbl_task9[[คะแนนเต็ม]:[คะแนนเต็ม]]),"",(tbl_task9[91]/tbl_task9[[คะแนนเต็ม]:[คะแนนเต็ม]])*tbl_task9[[%]:[%]])</f>
        <v/>
      </c>
      <c r="JB9" s="121" t="str">
        <f>IF(ISBLANK(tbl_task9[[คะแนนเต็ม]:[คะแนนเต็ม]]),"",(tbl_task9[92]/tbl_task9[[คะแนนเต็ม]:[คะแนนเต็ม]])*tbl_task9[[%]:[%]])</f>
        <v/>
      </c>
      <c r="JC9" s="121" t="str">
        <f>IF(ISBLANK(tbl_task9[[คะแนนเต็ม]:[คะแนนเต็ม]]),"",(tbl_task9[93]/tbl_task9[[คะแนนเต็ม]:[คะแนนเต็ม]])*tbl_task9[[%]:[%]])</f>
        <v/>
      </c>
      <c r="JD9" s="121" t="str">
        <f>IF(ISBLANK(tbl_task9[[คะแนนเต็ม]:[คะแนนเต็ม]]),"",(tbl_task9[94]/tbl_task9[[คะแนนเต็ม]:[คะแนนเต็ม]])*tbl_task9[[%]:[%]])</f>
        <v/>
      </c>
      <c r="JE9" s="121" t="str">
        <f>IF(ISBLANK(tbl_task9[[คะแนนเต็ม]:[คะแนนเต็ม]]),"",(tbl_task9[95]/tbl_task9[[คะแนนเต็ม]:[คะแนนเต็ม]])*tbl_task9[[%]:[%]])</f>
        <v/>
      </c>
      <c r="JF9" s="121" t="str">
        <f>IF(ISBLANK(tbl_task9[[คะแนนเต็ม]:[คะแนนเต็ม]]),"",(tbl_task9[96]/tbl_task9[[คะแนนเต็ม]:[คะแนนเต็ม]])*tbl_task9[[%]:[%]])</f>
        <v/>
      </c>
      <c r="JG9" s="121" t="str">
        <f>IF(ISBLANK(tbl_task9[[คะแนนเต็ม]:[คะแนนเต็ม]]),"",(tbl_task9[97]/tbl_task9[[คะแนนเต็ม]:[คะแนนเต็ม]])*tbl_task9[[%]:[%]])</f>
        <v/>
      </c>
      <c r="JH9" s="121" t="str">
        <f>IF(ISBLANK(tbl_task9[[คะแนนเต็ม]:[คะแนนเต็ม]]),"",(tbl_task9[98]/tbl_task9[[คะแนนเต็ม]:[คะแนนเต็ม]])*tbl_task9[[%]:[%]])</f>
        <v/>
      </c>
      <c r="JI9" s="121" t="str">
        <f>IF(ISBLANK(tbl_task9[[คะแนนเต็ม]:[คะแนนเต็ม]]),"",(tbl_task9[99]/tbl_task9[[คะแนนเต็ม]:[คะแนนเต็ม]])*tbl_task9[[%]:[%]])</f>
        <v/>
      </c>
      <c r="JJ9" s="121" t="str">
        <f>IF(ISBLANK(tbl_task9[[คะแนนเต็ม]:[คะแนนเต็ม]]),"",(tbl_task9[100]/tbl_task9[[คะแนนเต็ม]:[คะแนนเต็ม]])*tbl_task9[[%]:[%]])</f>
        <v/>
      </c>
      <c r="JK9" s="121" t="str">
        <f>IF(ISBLANK(tbl_task9[[คะแนนเต็ม]:[คะแนนเต็ม]]),"",(tbl_task9[101]/tbl_task9[[คะแนนเต็ม]:[คะแนนเต็ม]])*tbl_task9[[%]:[%]])</f>
        <v/>
      </c>
      <c r="JL9" s="121" t="str">
        <f>IF(ISBLANK(tbl_task9[[คะแนนเต็ม]:[คะแนนเต็ม]]),"",(tbl_task9[102]/tbl_task9[[คะแนนเต็ม]:[คะแนนเต็ม]])*tbl_task9[[%]:[%]])</f>
        <v/>
      </c>
      <c r="JM9" s="121" t="str">
        <f>IF(ISBLANK(tbl_task9[[คะแนนเต็ม]:[คะแนนเต็ม]]),"",(tbl_task9[103]/tbl_task9[[คะแนนเต็ม]:[คะแนนเต็ม]])*tbl_task9[[%]:[%]])</f>
        <v/>
      </c>
      <c r="JN9" s="121" t="str">
        <f>IF(ISBLANK(tbl_task9[[คะแนนเต็ม]:[คะแนนเต็ม]]),"",(tbl_task9[104]/tbl_task9[[คะแนนเต็ม]:[คะแนนเต็ม]])*tbl_task9[[%]:[%]])</f>
        <v/>
      </c>
      <c r="JO9" s="121" t="str">
        <f>IF(ISBLANK(tbl_task9[[คะแนนเต็ม]:[คะแนนเต็ม]]),"",(tbl_task9[105]/tbl_task9[[คะแนนเต็ม]:[คะแนนเต็ม]])*tbl_task9[[%]:[%]])</f>
        <v/>
      </c>
      <c r="JP9" s="121" t="str">
        <f>IF(ISBLANK(tbl_task9[[คะแนนเต็ม]:[คะแนนเต็ม]]),"",(tbl_task9[106]/tbl_task9[[คะแนนเต็ม]:[คะแนนเต็ม]])*tbl_task9[[%]:[%]])</f>
        <v/>
      </c>
      <c r="JQ9" s="121" t="str">
        <f>IF(ISBLANK(tbl_task9[[คะแนนเต็ม]:[คะแนนเต็ม]]),"",(tbl_task9[107]/tbl_task9[[คะแนนเต็ม]:[คะแนนเต็ม]])*tbl_task9[[%]:[%]])</f>
        <v/>
      </c>
      <c r="JR9" s="121" t="str">
        <f>IF(ISBLANK(tbl_task9[[คะแนนเต็ม]:[คะแนนเต็ม]]),"",(tbl_task9[108]/tbl_task9[[คะแนนเต็ม]:[คะแนนเต็ม]])*tbl_task9[[%]:[%]])</f>
        <v/>
      </c>
      <c r="JS9" s="121" t="str">
        <f>IF(ISBLANK(tbl_task9[[คะแนนเต็ม]:[คะแนนเต็ม]]),"",(tbl_task9[109]/tbl_task9[[คะแนนเต็ม]:[คะแนนเต็ม]])*tbl_task9[[%]:[%]])</f>
        <v/>
      </c>
      <c r="JT9" s="121" t="str">
        <f>IF(ISBLANK(tbl_task9[[คะแนนเต็ม]:[คะแนนเต็ม]]),"",(tbl_task9[110]/tbl_task9[[คะแนนเต็ม]:[คะแนนเต็ม]])*tbl_task9[[%]:[%]])</f>
        <v/>
      </c>
      <c r="JU9" s="121" t="str">
        <f>IF(ISBLANK(tbl_task9[[คะแนนเต็ม]:[คะแนนเต็ม]]),"",(tbl_task9[111]/tbl_task9[[คะแนนเต็ม]:[คะแนนเต็ม]])*tbl_task9[[%]:[%]])</f>
        <v/>
      </c>
      <c r="JV9" s="121" t="str">
        <f>IF(ISBLANK(tbl_task9[[คะแนนเต็ม]:[คะแนนเต็ม]]),"",(tbl_task9[112]/tbl_task9[[คะแนนเต็ม]:[คะแนนเต็ม]])*tbl_task9[[%]:[%]])</f>
        <v/>
      </c>
      <c r="JW9" s="121" t="str">
        <f>IF(ISBLANK(tbl_task9[[คะแนนเต็ม]:[คะแนนเต็ม]]),"",(tbl_task9[113]/tbl_task9[[คะแนนเต็ม]:[คะแนนเต็ม]])*tbl_task9[[%]:[%]])</f>
        <v/>
      </c>
      <c r="JX9" s="121" t="str">
        <f>IF(ISBLANK(tbl_task9[[คะแนนเต็ม]:[คะแนนเต็ม]]),"",(tbl_task9[114]/tbl_task9[[คะแนนเต็ม]:[คะแนนเต็ม]])*tbl_task9[[%]:[%]])</f>
        <v/>
      </c>
      <c r="JY9" s="121" t="str">
        <f>IF(ISBLANK(tbl_task9[[คะแนนเต็ม]:[คะแนนเต็ม]]),"",(tbl_task9[115]/tbl_task9[[คะแนนเต็ม]:[คะแนนเต็ม]])*tbl_task9[[%]:[%]])</f>
        <v/>
      </c>
      <c r="JZ9" s="121" t="str">
        <f>IF(ISBLANK(tbl_task9[[คะแนนเต็ม]:[คะแนนเต็ม]]),"",(tbl_task9[116]/tbl_task9[[คะแนนเต็ม]:[คะแนนเต็ม]])*tbl_task9[[%]:[%]])</f>
        <v/>
      </c>
      <c r="KA9" s="121" t="str">
        <f>IF(ISBLANK(tbl_task9[[คะแนนเต็ม]:[คะแนนเต็ม]]),"",(tbl_task9[117]/tbl_task9[[คะแนนเต็ม]:[คะแนนเต็ม]])*tbl_task9[[%]:[%]])</f>
        <v/>
      </c>
      <c r="KB9" s="121" t="str">
        <f>IF(ISBLANK(tbl_task9[[คะแนนเต็ม]:[คะแนนเต็ม]]),"",(tbl_task9[118]/tbl_task9[[คะแนนเต็ม]:[คะแนนเต็ม]])*tbl_task9[[%]:[%]])</f>
        <v/>
      </c>
      <c r="KC9" s="121" t="str">
        <f>IF(ISBLANK(tbl_task9[[คะแนนเต็ม]:[คะแนนเต็ม]]),"",(tbl_task9[119]/tbl_task9[[คะแนนเต็ม]:[คะแนนเต็ม]])*tbl_task9[[%]:[%]])</f>
        <v/>
      </c>
      <c r="KD9" s="121" t="str">
        <f>IF(ISBLANK(tbl_task9[[คะแนนเต็ม]:[คะแนนเต็ม]]),"",(tbl_task9[120]/tbl_task9[[คะแนนเต็ม]:[คะแนนเต็ม]])*tbl_task9[[%]:[%]])</f>
        <v/>
      </c>
      <c r="KE9" s="121" t="str">
        <f>IF(ISBLANK(tbl_task9[[คะแนนเต็ม]:[คะแนนเต็ม]]),"",(tbl_task9[121]/tbl_task9[[คะแนนเต็ม]:[คะแนนเต็ม]])*tbl_task9[[%]:[%]])</f>
        <v/>
      </c>
      <c r="KF9" s="121" t="str">
        <f>IF(ISBLANK(tbl_task9[[คะแนนเต็ม]:[คะแนนเต็ม]]),"",(tbl_task9[122]/tbl_task9[[คะแนนเต็ม]:[คะแนนเต็ม]])*tbl_task9[[%]:[%]])</f>
        <v/>
      </c>
      <c r="KG9" s="121" t="str">
        <f>IF(ISBLANK(tbl_task9[[คะแนนเต็ม]:[คะแนนเต็ม]]),"",(tbl_task9[123]/tbl_task9[[คะแนนเต็ม]:[คะแนนเต็ม]])*tbl_task9[[%]:[%]])</f>
        <v/>
      </c>
      <c r="KH9" s="121" t="str">
        <f>IF(ISBLANK(tbl_task9[[คะแนนเต็ม]:[คะแนนเต็ม]]),"",(tbl_task9[124]/tbl_task9[[คะแนนเต็ม]:[คะแนนเต็ม]])*tbl_task9[[%]:[%]])</f>
        <v/>
      </c>
      <c r="KI9" s="121" t="str">
        <f>IF(ISBLANK(tbl_task9[[คะแนนเต็ม]:[คะแนนเต็ม]]),"",(tbl_task9[125]/tbl_task9[[คะแนนเต็ม]:[คะแนนเต็ม]])*tbl_task9[[%]:[%]])</f>
        <v/>
      </c>
      <c r="KJ9" s="121" t="str">
        <f>IF(ISBLANK(tbl_task9[[คะแนนเต็ม]:[คะแนนเต็ม]]),"",(tbl_task9[126]/tbl_task9[[คะแนนเต็ม]:[คะแนนเต็ม]])*tbl_task9[[%]:[%]])</f>
        <v/>
      </c>
      <c r="KK9" s="121" t="str">
        <f>IF(ISBLANK(tbl_task9[[คะแนนเต็ม]:[คะแนนเต็ม]]),"",(tbl_task9[127]/tbl_task9[[คะแนนเต็ม]:[คะแนนเต็ม]])*tbl_task9[[%]:[%]])</f>
        <v/>
      </c>
      <c r="KL9" s="121" t="str">
        <f>IF(ISBLANK(tbl_task9[[คะแนนเต็ม]:[คะแนนเต็ม]]),"",(tbl_task9[128]/tbl_task9[[คะแนนเต็ม]:[คะแนนเต็ม]])*tbl_task9[[%]:[%]])</f>
        <v/>
      </c>
      <c r="KM9" s="121" t="str">
        <f>IF(ISBLANK(tbl_task9[[คะแนนเต็ม]:[คะแนนเต็ม]]),"",(tbl_task9[129]/tbl_task9[[คะแนนเต็ม]:[คะแนนเต็ม]])*tbl_task9[[%]:[%]])</f>
        <v/>
      </c>
      <c r="KN9" s="121" t="str">
        <f>IF(ISBLANK(tbl_task9[[คะแนนเต็ม]:[คะแนนเต็ม]]),"",(tbl_task9[130]/tbl_task9[[คะแนนเต็ม]:[คะแนนเต็ม]])*tbl_task9[[%]:[%]])</f>
        <v/>
      </c>
      <c r="KO9" s="121" t="str">
        <f>IF(ISBLANK(tbl_task9[[คะแนนเต็ม]:[คะแนนเต็ม]]),"",(tbl_task9[131]/tbl_task9[[คะแนนเต็ม]:[คะแนนเต็ม]])*tbl_task9[[%]:[%]])</f>
        <v/>
      </c>
      <c r="KP9" s="121" t="str">
        <f>IF(ISBLANK(tbl_task9[[คะแนนเต็ม]:[คะแนนเต็ม]]),"",(tbl_task9[132]/tbl_task9[[คะแนนเต็ม]:[คะแนนเต็ม]])*tbl_task9[[%]:[%]])</f>
        <v/>
      </c>
      <c r="KQ9" s="121" t="str">
        <f>IF(ISBLANK(tbl_task9[[คะแนนเต็ม]:[คะแนนเต็ม]]),"",(tbl_task9[133]/tbl_task9[[คะแนนเต็ม]:[คะแนนเต็ม]])*tbl_task9[[%]:[%]])</f>
        <v/>
      </c>
      <c r="KR9" s="121" t="str">
        <f>IF(ISBLANK(tbl_task9[[คะแนนเต็ม]:[คะแนนเต็ม]]),"",(tbl_task9[134]/tbl_task9[[คะแนนเต็ม]:[คะแนนเต็ม]])*tbl_task9[[%]:[%]])</f>
        <v/>
      </c>
      <c r="KS9" s="121" t="str">
        <f>IF(ISBLANK(tbl_task9[[คะแนนเต็ม]:[คะแนนเต็ม]]),"",(tbl_task9[135]/tbl_task9[[คะแนนเต็ม]:[คะแนนเต็ม]])*tbl_task9[[%]:[%]])</f>
        <v/>
      </c>
      <c r="KT9" s="121" t="str">
        <f>IF(ISBLANK(tbl_task9[[คะแนนเต็ม]:[คะแนนเต็ม]]),"",(tbl_task9[136]/tbl_task9[[คะแนนเต็ม]:[คะแนนเต็ม]])*tbl_task9[[%]:[%]])</f>
        <v/>
      </c>
      <c r="KU9" s="121" t="str">
        <f>IF(ISBLANK(tbl_task9[[คะแนนเต็ม]:[คะแนนเต็ม]]),"",(tbl_task9[137]/tbl_task9[[คะแนนเต็ม]:[คะแนนเต็ม]])*tbl_task9[[%]:[%]])</f>
        <v/>
      </c>
      <c r="KV9" s="121" t="str">
        <f>IF(ISBLANK(tbl_task9[[คะแนนเต็ม]:[คะแนนเต็ม]]),"",(tbl_task9[138]/tbl_task9[[คะแนนเต็ม]:[คะแนนเต็ม]])*tbl_task9[[%]:[%]])</f>
        <v/>
      </c>
      <c r="KW9" s="121" t="str">
        <f>IF(ISBLANK(tbl_task9[[คะแนนเต็ม]:[คะแนนเต็ม]]),"",(tbl_task9[139]/tbl_task9[[คะแนนเต็ม]:[คะแนนเต็ม]])*tbl_task9[[%]:[%]])</f>
        <v/>
      </c>
      <c r="KX9" s="121" t="str">
        <f>IF(ISBLANK(tbl_task9[[คะแนนเต็ม]:[คะแนนเต็ม]]),"",(tbl_task9[140]/tbl_task9[[คะแนนเต็ม]:[คะแนนเต็ม]])*tbl_task9[[%]:[%]])</f>
        <v/>
      </c>
      <c r="KY9" s="121" t="str">
        <f>IF(ISBLANK(tbl_task9[[คะแนนเต็ม]:[คะแนนเต็ม]]),"",(tbl_task9[141]/tbl_task9[[คะแนนเต็ม]:[คะแนนเต็ม]])*tbl_task9[[%]:[%]])</f>
        <v/>
      </c>
      <c r="KZ9" s="121" t="str">
        <f>IF(ISBLANK(tbl_task9[[คะแนนเต็ม]:[คะแนนเต็ม]]),"",(tbl_task9[142]/tbl_task9[[คะแนนเต็ม]:[คะแนนเต็ม]])*tbl_task9[[%]:[%]])</f>
        <v/>
      </c>
      <c r="LA9" s="121" t="str">
        <f>IF(ISBLANK(tbl_task9[[คะแนนเต็ม]:[คะแนนเต็ม]]),"",(tbl_task9[143]/tbl_task9[[คะแนนเต็ม]:[คะแนนเต็ม]])*tbl_task9[[%]:[%]])</f>
        <v/>
      </c>
      <c r="LB9" s="121" t="str">
        <f>IF(ISBLANK(tbl_task9[[คะแนนเต็ม]:[คะแนนเต็ม]]),"",(tbl_task9[144]/tbl_task9[[คะแนนเต็ม]:[คะแนนเต็ม]])*tbl_task9[[%]:[%]])</f>
        <v/>
      </c>
      <c r="LC9" s="121" t="str">
        <f>IF(ISBLANK(tbl_task9[[คะแนนเต็ม]:[คะแนนเต็ม]]),"",(tbl_task9[145]/tbl_task9[[คะแนนเต็ม]:[คะแนนเต็ม]])*tbl_task9[[%]:[%]])</f>
        <v/>
      </c>
      <c r="LD9" s="121" t="str">
        <f>IF(ISBLANK(tbl_task9[[คะแนนเต็ม]:[คะแนนเต็ม]]),"",(tbl_task9[146]/tbl_task9[[คะแนนเต็ม]:[คะแนนเต็ม]])*tbl_task9[[%]:[%]])</f>
        <v/>
      </c>
      <c r="LE9" s="121" t="str">
        <f>IF(ISBLANK(tbl_task9[[คะแนนเต็ม]:[คะแนนเต็ม]]),"",(tbl_task9[147]/tbl_task9[[คะแนนเต็ม]:[คะแนนเต็ม]])*tbl_task9[[%]:[%]])</f>
        <v/>
      </c>
      <c r="LF9" s="121" t="str">
        <f>IF(ISBLANK(tbl_task9[[คะแนนเต็ม]:[คะแนนเต็ม]]),"",(tbl_task9[148]/tbl_task9[[คะแนนเต็ม]:[คะแนนเต็ม]])*tbl_task9[[%]:[%]])</f>
        <v/>
      </c>
      <c r="LG9" s="121" t="str">
        <f>IF(ISBLANK(tbl_task9[[คะแนนเต็ม]:[คะแนนเต็ม]]),"",(tbl_task9[149]/tbl_task9[[คะแนนเต็ม]:[คะแนนเต็ม]])*tbl_task9[[%]:[%]])</f>
        <v/>
      </c>
      <c r="LH9" s="121" t="str">
        <f>IF(ISBLANK(tbl_task9[[คะแนนเต็ม]:[คะแนนเต็ม]]),"",(tbl_task9[150]/tbl_task9[[คะแนนเต็ม]:[คะแนนเต็ม]])*tbl_task9[[%]:[%]])</f>
        <v/>
      </c>
      <c r="LI9" s="121" t="str">
        <f>IF(ISBLANK(tbl_task9[[คะแนนเต็ม]:[คะแนนเต็ม]]),"",(tbl_task9[151]/tbl_task9[[คะแนนเต็ม]:[คะแนนเต็ม]])*tbl_task9[[%]:[%]])</f>
        <v/>
      </c>
      <c r="LJ9" s="121" t="str">
        <f>IF(ISBLANK(tbl_task9[[คะแนนเต็ม]:[คะแนนเต็ม]]),"",(tbl_task9[152]/tbl_task9[[คะแนนเต็ม]:[คะแนนเต็ม]])*tbl_task9[[%]:[%]])</f>
        <v/>
      </c>
      <c r="LK9" s="121" t="str">
        <f>IF(ISBLANK(tbl_task9[[คะแนนเต็ม]:[คะแนนเต็ม]]),"",(tbl_task9[153]/tbl_task9[[คะแนนเต็ม]:[คะแนนเต็ม]])*tbl_task9[[%]:[%]])</f>
        <v/>
      </c>
      <c r="LL9" s="121" t="str">
        <f>IF(ISBLANK(tbl_task9[[คะแนนเต็ม]:[คะแนนเต็ม]]),"",(tbl_task9[154]/tbl_task9[[คะแนนเต็ม]:[คะแนนเต็ม]])*tbl_task9[[%]:[%]])</f>
        <v/>
      </c>
      <c r="LM9" s="121" t="str">
        <f>IF(ISBLANK(tbl_task9[[คะแนนเต็ม]:[คะแนนเต็ม]]),"",(tbl_task9[155]/tbl_task9[[คะแนนเต็ม]:[คะแนนเต็ม]])*tbl_task9[[%]:[%]])</f>
        <v/>
      </c>
      <c r="LN9" s="121" t="str">
        <f>IF(ISBLANK(tbl_task9[[คะแนนเต็ม]:[คะแนนเต็ม]]),"",(tbl_task9[156]/tbl_task9[[คะแนนเต็ม]:[คะแนนเต็ม]])*tbl_task9[[%]:[%]])</f>
        <v/>
      </c>
      <c r="LO9" s="121" t="str">
        <f>IF(ISBLANK(tbl_task9[[คะแนนเต็ม]:[คะแนนเต็ม]]),"",(tbl_task9[157]/tbl_task9[[คะแนนเต็ม]:[คะแนนเต็ม]])*tbl_task9[[%]:[%]])</f>
        <v/>
      </c>
      <c r="LP9" s="121" t="str">
        <f>IF(ISBLANK(tbl_task9[[คะแนนเต็ม]:[คะแนนเต็ม]]),"",(tbl_task9[158]/tbl_task9[[คะแนนเต็ม]:[คะแนนเต็ม]])*tbl_task9[[%]:[%]])</f>
        <v/>
      </c>
      <c r="LQ9" s="121" t="str">
        <f>IF(ISBLANK(tbl_task9[[คะแนนเต็ม]:[คะแนนเต็ม]]),"",(tbl_task9[159]/tbl_task9[[คะแนนเต็ม]:[คะแนนเต็ม]])*tbl_task9[[%]:[%]])</f>
        <v/>
      </c>
      <c r="LR9" s="121" t="str">
        <f>IF(ISBLANK(tbl_task9[[คะแนนเต็ม]:[คะแนนเต็ม]]),"",(tbl_task9[160]/tbl_task9[[คะแนนเต็ม]:[คะแนนเต็ม]])*tbl_task9[[%]:[%]])</f>
        <v/>
      </c>
      <c r="LS9" s="121" t="str">
        <f>IF(ISBLANK(tbl_task9[[คะแนนเต็ม]:[คะแนนเต็ม]]),"",(tbl_task9[161]/tbl_task9[[คะแนนเต็ม]:[คะแนนเต็ม]])*tbl_task9[[%]:[%]])</f>
        <v/>
      </c>
      <c r="LT9" s="121" t="str">
        <f>IF(ISBLANK(tbl_task9[[คะแนนเต็ม]:[คะแนนเต็ม]]),"",(tbl_task9[162]/tbl_task9[[คะแนนเต็ม]:[คะแนนเต็ม]])*tbl_task9[[%]:[%]])</f>
        <v/>
      </c>
      <c r="LU9" s="121" t="str">
        <f>IF(ISBLANK(tbl_task9[[คะแนนเต็ม]:[คะแนนเต็ม]]),"",(tbl_task9[163]/tbl_task9[[คะแนนเต็ม]:[คะแนนเต็ม]])*tbl_task9[[%]:[%]])</f>
        <v/>
      </c>
      <c r="LV9" s="121" t="str">
        <f>IF(ISBLANK(tbl_task9[[คะแนนเต็ม]:[คะแนนเต็ม]]),"",(tbl_task9[164]/tbl_task9[[คะแนนเต็ม]:[คะแนนเต็ม]])*tbl_task9[[%]:[%]])</f>
        <v/>
      </c>
      <c r="LW9" s="121" t="str">
        <f>IF(ISBLANK(tbl_task9[[คะแนนเต็ม]:[คะแนนเต็ม]]),"",(tbl_task9[165]/tbl_task9[[คะแนนเต็ม]:[คะแนนเต็ม]])*tbl_task9[[%]:[%]])</f>
        <v/>
      </c>
    </row>
    <row r="10" spans="1:335" ht="24" customHeight="1" x14ac:dyDescent="0.25">
      <c r="A10" s="24">
        <v>7</v>
      </c>
      <c r="B10" s="20"/>
      <c r="C10" s="5" t="str">
        <f>IF(ISBLANK(B10),"",VLOOKUP(B10,tbl_PLOs[],2,0))</f>
        <v/>
      </c>
      <c r="D10" s="102"/>
      <c r="E10" s="106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22"/>
      <c r="FO10" s="121" t="str">
        <f>IF(ISBLANK(tbl_task9[[คะแนนเต็ม]:[คะแนนเต็ม]]),"",(tbl_task9[1]/tbl_task9[[คะแนนเต็ม]:[คะแนนเต็ม]])*tbl_task9[[%]:[%]])</f>
        <v/>
      </c>
      <c r="FP10" s="121" t="str">
        <f>IF(ISBLANK(tbl_task9[[คะแนนเต็ม]:[คะแนนเต็ม]]),"",(tbl_task9[2]/tbl_task9[[คะแนนเต็ม]:[คะแนนเต็ม]])*tbl_task9[[%]:[%]])</f>
        <v/>
      </c>
      <c r="FQ10" s="121" t="str">
        <f>IF(ISBLANK(tbl_task9[[คะแนนเต็ม]:[คะแนนเต็ม]]),"",(tbl_task9[3]/tbl_task9[[คะแนนเต็ม]:[คะแนนเต็ม]])*tbl_task9[[%]:[%]])</f>
        <v/>
      </c>
      <c r="FR10" s="121" t="str">
        <f>IF(ISBLANK(tbl_task9[[คะแนนเต็ม]:[คะแนนเต็ม]]),"",(tbl_task9[4]/tbl_task9[[คะแนนเต็ม]:[คะแนนเต็ม]])*tbl_task9[[%]:[%]])</f>
        <v/>
      </c>
      <c r="FS10" s="121" t="str">
        <f>IF(ISBLANK(tbl_task9[[คะแนนเต็ม]:[คะแนนเต็ม]]),"",(tbl_task9[5]/tbl_task9[[คะแนนเต็ม]:[คะแนนเต็ม]])*tbl_task9[[%]:[%]])</f>
        <v/>
      </c>
      <c r="FT10" s="121" t="str">
        <f>IF(ISBLANK(tbl_task9[[คะแนนเต็ม]:[คะแนนเต็ม]]),"",(tbl_task9[6]/tbl_task9[[คะแนนเต็ม]:[คะแนนเต็ม]])*tbl_task9[[%]:[%]])</f>
        <v/>
      </c>
      <c r="FU10" s="121" t="str">
        <f>IF(ISBLANK(tbl_task9[[คะแนนเต็ม]:[คะแนนเต็ม]]),"",(tbl_task9[7]/tbl_task9[[คะแนนเต็ม]:[คะแนนเต็ม]])*tbl_task9[[%]:[%]])</f>
        <v/>
      </c>
      <c r="FV10" s="121" t="str">
        <f>IF(ISBLANK(tbl_task9[[คะแนนเต็ม]:[คะแนนเต็ม]]),"",(tbl_task9[8]/tbl_task9[[คะแนนเต็ม]:[คะแนนเต็ม]])*tbl_task9[[%]:[%]])</f>
        <v/>
      </c>
      <c r="FW10" s="121" t="str">
        <f>IF(ISBLANK(tbl_task9[[คะแนนเต็ม]:[คะแนนเต็ม]]),"",(tbl_task9[9]/tbl_task9[[คะแนนเต็ม]:[คะแนนเต็ม]])*tbl_task9[[%]:[%]])</f>
        <v/>
      </c>
      <c r="FX10" s="121" t="str">
        <f>IF(ISBLANK(tbl_task9[[คะแนนเต็ม]:[คะแนนเต็ม]]),"",(tbl_task9[10]/tbl_task9[[คะแนนเต็ม]:[คะแนนเต็ม]])*tbl_task9[[%]:[%]])</f>
        <v/>
      </c>
      <c r="FY10" s="121" t="str">
        <f>IF(ISBLANK(tbl_task9[[คะแนนเต็ม]:[คะแนนเต็ม]]),"",(tbl_task9[11]/tbl_task9[[คะแนนเต็ม]:[คะแนนเต็ม]])*tbl_task9[[%]:[%]])</f>
        <v/>
      </c>
      <c r="FZ10" s="121" t="str">
        <f>IF(ISBLANK(tbl_task9[[คะแนนเต็ม]:[คะแนนเต็ม]]),"",(tbl_task9[12]/tbl_task9[[คะแนนเต็ม]:[คะแนนเต็ม]])*tbl_task9[[%]:[%]])</f>
        <v/>
      </c>
      <c r="GA10" s="121" t="str">
        <f>IF(ISBLANK(tbl_task9[[คะแนนเต็ม]:[คะแนนเต็ม]]),"",(tbl_task9[13]/tbl_task9[[คะแนนเต็ม]:[คะแนนเต็ม]])*tbl_task9[[%]:[%]])</f>
        <v/>
      </c>
      <c r="GB10" s="121" t="str">
        <f>IF(ISBLANK(tbl_task9[[คะแนนเต็ม]:[คะแนนเต็ม]]),"",(tbl_task9[14]/tbl_task9[[คะแนนเต็ม]:[คะแนนเต็ม]])*tbl_task9[[%]:[%]])</f>
        <v/>
      </c>
      <c r="GC10" s="121" t="str">
        <f>IF(ISBLANK(tbl_task9[[คะแนนเต็ม]:[คะแนนเต็ม]]),"",(tbl_task9[15]/tbl_task9[[คะแนนเต็ม]:[คะแนนเต็ม]])*tbl_task9[[%]:[%]])</f>
        <v/>
      </c>
      <c r="GD10" s="121" t="str">
        <f>IF(ISBLANK(tbl_task9[[คะแนนเต็ม]:[คะแนนเต็ม]]),"",(tbl_task9[16]/tbl_task9[[คะแนนเต็ม]:[คะแนนเต็ม]])*tbl_task9[[%]:[%]])</f>
        <v/>
      </c>
      <c r="GE10" s="121" t="str">
        <f>IF(ISBLANK(tbl_task9[[คะแนนเต็ม]:[คะแนนเต็ม]]),"",(tbl_task9[17]/tbl_task9[[คะแนนเต็ม]:[คะแนนเต็ม]])*tbl_task9[[%]:[%]])</f>
        <v/>
      </c>
      <c r="GF10" s="121" t="str">
        <f>IF(ISBLANK(tbl_task9[[คะแนนเต็ม]:[คะแนนเต็ม]]),"",(tbl_task9[18]/tbl_task9[[คะแนนเต็ม]:[คะแนนเต็ม]])*tbl_task9[[%]:[%]])</f>
        <v/>
      </c>
      <c r="GG10" s="121" t="str">
        <f>IF(ISBLANK(tbl_task9[[คะแนนเต็ม]:[คะแนนเต็ม]]),"",(tbl_task9[19]/tbl_task9[[คะแนนเต็ม]:[คะแนนเต็ม]])*tbl_task9[[%]:[%]])</f>
        <v/>
      </c>
      <c r="GH10" s="121" t="str">
        <f>IF(ISBLANK(tbl_task9[[คะแนนเต็ม]:[คะแนนเต็ม]]),"",(tbl_task9[20]/tbl_task9[[คะแนนเต็ม]:[คะแนนเต็ม]])*tbl_task9[[%]:[%]])</f>
        <v/>
      </c>
      <c r="GI10" s="121" t="str">
        <f>IF(ISBLANK(tbl_task9[[คะแนนเต็ม]:[คะแนนเต็ม]]),"",(tbl_task9[21]/tbl_task9[[คะแนนเต็ม]:[คะแนนเต็ม]])*tbl_task9[[%]:[%]])</f>
        <v/>
      </c>
      <c r="GJ10" s="121" t="str">
        <f>IF(ISBLANK(tbl_task9[[คะแนนเต็ม]:[คะแนนเต็ม]]),"",(tbl_task9[22]/tbl_task9[[คะแนนเต็ม]:[คะแนนเต็ม]])*tbl_task9[[%]:[%]])</f>
        <v/>
      </c>
      <c r="GK10" s="121" t="str">
        <f>IF(ISBLANK(tbl_task9[[คะแนนเต็ม]:[คะแนนเต็ม]]),"",(tbl_task9[23]/tbl_task9[[คะแนนเต็ม]:[คะแนนเต็ม]])*tbl_task9[[%]:[%]])</f>
        <v/>
      </c>
      <c r="GL10" s="121" t="str">
        <f>IF(ISBLANK(tbl_task9[[คะแนนเต็ม]:[คะแนนเต็ม]]),"",(tbl_task9[24]/tbl_task9[[คะแนนเต็ม]:[คะแนนเต็ม]])*tbl_task9[[%]:[%]])</f>
        <v/>
      </c>
      <c r="GM10" s="121" t="str">
        <f>IF(ISBLANK(tbl_task9[[คะแนนเต็ม]:[คะแนนเต็ม]]),"",(tbl_task9[25]/tbl_task9[[คะแนนเต็ม]:[คะแนนเต็ม]])*tbl_task9[[%]:[%]])</f>
        <v/>
      </c>
      <c r="GN10" s="121" t="str">
        <f>IF(ISBLANK(tbl_task9[[คะแนนเต็ม]:[คะแนนเต็ม]]),"",(tbl_task9[26]/tbl_task9[[คะแนนเต็ม]:[คะแนนเต็ม]])*tbl_task9[[%]:[%]])</f>
        <v/>
      </c>
      <c r="GO10" s="121" t="str">
        <f>IF(ISBLANK(tbl_task9[[คะแนนเต็ม]:[คะแนนเต็ม]]),"",(tbl_task9[27]/tbl_task9[[คะแนนเต็ม]:[คะแนนเต็ม]])*tbl_task9[[%]:[%]])</f>
        <v/>
      </c>
      <c r="GP10" s="121" t="str">
        <f>IF(ISBLANK(tbl_task9[[คะแนนเต็ม]:[คะแนนเต็ม]]),"",(tbl_task9[28]/tbl_task9[[คะแนนเต็ม]:[คะแนนเต็ม]])*tbl_task9[[%]:[%]])</f>
        <v/>
      </c>
      <c r="GQ10" s="121" t="str">
        <f>IF(ISBLANK(tbl_task9[[คะแนนเต็ม]:[คะแนนเต็ม]]),"",(tbl_task9[29]/tbl_task9[[คะแนนเต็ม]:[คะแนนเต็ม]])*tbl_task9[[%]:[%]])</f>
        <v/>
      </c>
      <c r="GR10" s="121" t="str">
        <f>IF(ISBLANK(tbl_task9[[คะแนนเต็ม]:[คะแนนเต็ม]]),"",(tbl_task9[30]/tbl_task9[[คะแนนเต็ม]:[คะแนนเต็ม]])*tbl_task9[[%]:[%]])</f>
        <v/>
      </c>
      <c r="GS10" s="121" t="str">
        <f>IF(ISBLANK(tbl_task9[[คะแนนเต็ม]:[คะแนนเต็ม]]),"",(tbl_task9[31]/tbl_task9[[คะแนนเต็ม]:[คะแนนเต็ม]])*tbl_task9[[%]:[%]])</f>
        <v/>
      </c>
      <c r="GT10" s="121" t="str">
        <f>IF(ISBLANK(tbl_task9[[คะแนนเต็ม]:[คะแนนเต็ม]]),"",(tbl_task9[32]/tbl_task9[[คะแนนเต็ม]:[คะแนนเต็ม]])*tbl_task9[[%]:[%]])</f>
        <v/>
      </c>
      <c r="GU10" s="121" t="str">
        <f>IF(ISBLANK(tbl_task9[[คะแนนเต็ม]:[คะแนนเต็ม]]),"",(tbl_task9[33]/tbl_task9[[คะแนนเต็ม]:[คะแนนเต็ม]])*tbl_task9[[%]:[%]])</f>
        <v/>
      </c>
      <c r="GV10" s="121" t="str">
        <f>IF(ISBLANK(tbl_task9[[คะแนนเต็ม]:[คะแนนเต็ม]]),"",(tbl_task9[34]/tbl_task9[[คะแนนเต็ม]:[คะแนนเต็ม]])*tbl_task9[[%]:[%]])</f>
        <v/>
      </c>
      <c r="GW10" s="121" t="str">
        <f>IF(ISBLANK(tbl_task9[[คะแนนเต็ม]:[คะแนนเต็ม]]),"",(tbl_task9[35]/tbl_task9[[คะแนนเต็ม]:[คะแนนเต็ม]])*tbl_task9[[%]:[%]])</f>
        <v/>
      </c>
      <c r="GX10" s="121" t="str">
        <f>IF(ISBLANK(tbl_task9[[คะแนนเต็ม]:[คะแนนเต็ม]]),"",(tbl_task9[36]/tbl_task9[[คะแนนเต็ม]:[คะแนนเต็ม]])*tbl_task9[[%]:[%]])</f>
        <v/>
      </c>
      <c r="GY10" s="121" t="str">
        <f>IF(ISBLANK(tbl_task9[[คะแนนเต็ม]:[คะแนนเต็ม]]),"",(tbl_task9[37]/tbl_task9[[คะแนนเต็ม]:[คะแนนเต็ม]])*tbl_task9[[%]:[%]])</f>
        <v/>
      </c>
      <c r="GZ10" s="121" t="str">
        <f>IF(ISBLANK(tbl_task9[[คะแนนเต็ม]:[คะแนนเต็ม]]),"",(tbl_task9[38]/tbl_task9[[คะแนนเต็ม]:[คะแนนเต็ม]])*tbl_task9[[%]:[%]])</f>
        <v/>
      </c>
      <c r="HA10" s="121" t="str">
        <f>IF(ISBLANK(tbl_task9[[คะแนนเต็ม]:[คะแนนเต็ม]]),"",(tbl_task9[39]/tbl_task9[[คะแนนเต็ม]:[คะแนนเต็ม]])*tbl_task9[[%]:[%]])</f>
        <v/>
      </c>
      <c r="HB10" s="121" t="str">
        <f>IF(ISBLANK(tbl_task9[[คะแนนเต็ม]:[คะแนนเต็ม]]),"",(tbl_task9[40]/tbl_task9[[คะแนนเต็ม]:[คะแนนเต็ม]])*tbl_task9[[%]:[%]])</f>
        <v/>
      </c>
      <c r="HC10" s="121" t="str">
        <f>IF(ISBLANK(tbl_task9[[คะแนนเต็ม]:[คะแนนเต็ม]]),"",(tbl_task9[41]/tbl_task9[[คะแนนเต็ม]:[คะแนนเต็ม]])*tbl_task9[[%]:[%]])</f>
        <v/>
      </c>
      <c r="HD10" s="121" t="str">
        <f>IF(ISBLANK(tbl_task9[[คะแนนเต็ม]:[คะแนนเต็ม]]),"",(tbl_task9[42]/tbl_task9[[คะแนนเต็ม]:[คะแนนเต็ม]])*tbl_task9[[%]:[%]])</f>
        <v/>
      </c>
      <c r="HE10" s="121" t="str">
        <f>IF(ISBLANK(tbl_task9[[คะแนนเต็ม]:[คะแนนเต็ม]]),"",(tbl_task9[43]/tbl_task9[[คะแนนเต็ม]:[คะแนนเต็ม]])*tbl_task9[[%]:[%]])</f>
        <v/>
      </c>
      <c r="HF10" s="121" t="str">
        <f>IF(ISBLANK(tbl_task9[[คะแนนเต็ม]:[คะแนนเต็ม]]),"",(tbl_task9[44]/tbl_task9[[คะแนนเต็ม]:[คะแนนเต็ม]])*tbl_task9[[%]:[%]])</f>
        <v/>
      </c>
      <c r="HG10" s="121" t="str">
        <f>IF(ISBLANK(tbl_task9[[คะแนนเต็ม]:[คะแนนเต็ม]]),"",(tbl_task9[45]/tbl_task9[[คะแนนเต็ม]:[คะแนนเต็ม]])*tbl_task9[[%]:[%]])</f>
        <v/>
      </c>
      <c r="HH10" s="121" t="str">
        <f>IF(ISBLANK(tbl_task9[[คะแนนเต็ม]:[คะแนนเต็ม]]),"",(tbl_task9[46]/tbl_task9[[คะแนนเต็ม]:[คะแนนเต็ม]])*tbl_task9[[%]:[%]])</f>
        <v/>
      </c>
      <c r="HI10" s="121" t="str">
        <f>IF(ISBLANK(tbl_task9[[คะแนนเต็ม]:[คะแนนเต็ม]]),"",(tbl_task9[47]/tbl_task9[[คะแนนเต็ม]:[คะแนนเต็ม]])*tbl_task9[[%]:[%]])</f>
        <v/>
      </c>
      <c r="HJ10" s="121" t="str">
        <f>IF(ISBLANK(tbl_task9[[คะแนนเต็ม]:[คะแนนเต็ม]]),"",(tbl_task9[48]/tbl_task9[[คะแนนเต็ม]:[คะแนนเต็ม]])*tbl_task9[[%]:[%]])</f>
        <v/>
      </c>
      <c r="HK10" s="121" t="str">
        <f>IF(ISBLANK(tbl_task9[[คะแนนเต็ม]:[คะแนนเต็ม]]),"",(tbl_task9[49]/tbl_task9[[คะแนนเต็ม]:[คะแนนเต็ม]])*tbl_task9[[%]:[%]])</f>
        <v/>
      </c>
      <c r="HL10" s="121" t="str">
        <f>IF(ISBLANK(tbl_task9[[คะแนนเต็ม]:[คะแนนเต็ม]]),"",(tbl_task9[50]/tbl_task9[[คะแนนเต็ม]:[คะแนนเต็ม]])*tbl_task9[[%]:[%]])</f>
        <v/>
      </c>
      <c r="HM10" s="121" t="str">
        <f>IF(ISBLANK(tbl_task9[[คะแนนเต็ม]:[คะแนนเต็ม]]),"",(tbl_task9[51]/tbl_task9[[คะแนนเต็ม]:[คะแนนเต็ม]])*tbl_task9[[%]:[%]])</f>
        <v/>
      </c>
      <c r="HN10" s="121" t="str">
        <f>IF(ISBLANK(tbl_task9[[คะแนนเต็ม]:[คะแนนเต็ม]]),"",(tbl_task9[52]/tbl_task9[[คะแนนเต็ม]:[คะแนนเต็ม]])*tbl_task9[[%]:[%]])</f>
        <v/>
      </c>
      <c r="HO10" s="121" t="str">
        <f>IF(ISBLANK(tbl_task9[[คะแนนเต็ม]:[คะแนนเต็ม]]),"",(tbl_task9[53]/tbl_task9[[คะแนนเต็ม]:[คะแนนเต็ม]])*tbl_task9[[%]:[%]])</f>
        <v/>
      </c>
      <c r="HP10" s="121" t="str">
        <f>IF(ISBLANK(tbl_task9[[คะแนนเต็ม]:[คะแนนเต็ม]]),"",(tbl_task9[54]/tbl_task9[[คะแนนเต็ม]:[คะแนนเต็ม]])*tbl_task9[[%]:[%]])</f>
        <v/>
      </c>
      <c r="HQ10" s="121" t="str">
        <f>IF(ISBLANK(tbl_task9[[คะแนนเต็ม]:[คะแนนเต็ม]]),"",(tbl_task9[55]/tbl_task9[[คะแนนเต็ม]:[คะแนนเต็ม]])*tbl_task9[[%]:[%]])</f>
        <v/>
      </c>
      <c r="HR10" s="121" t="str">
        <f>IF(ISBLANK(tbl_task9[[คะแนนเต็ม]:[คะแนนเต็ม]]),"",(tbl_task9[56]/tbl_task9[[คะแนนเต็ม]:[คะแนนเต็ม]])*tbl_task9[[%]:[%]])</f>
        <v/>
      </c>
      <c r="HS10" s="121" t="str">
        <f>IF(ISBLANK(tbl_task9[[คะแนนเต็ม]:[คะแนนเต็ม]]),"",(tbl_task9[57]/tbl_task9[[คะแนนเต็ม]:[คะแนนเต็ม]])*tbl_task9[[%]:[%]])</f>
        <v/>
      </c>
      <c r="HT10" s="121" t="str">
        <f>IF(ISBLANK(tbl_task9[[คะแนนเต็ม]:[คะแนนเต็ม]]),"",(tbl_task9[58]/tbl_task9[[คะแนนเต็ม]:[คะแนนเต็ม]])*tbl_task9[[%]:[%]])</f>
        <v/>
      </c>
      <c r="HU10" s="121" t="str">
        <f>IF(ISBLANK(tbl_task9[[คะแนนเต็ม]:[คะแนนเต็ม]]),"",(tbl_task9[59]/tbl_task9[[คะแนนเต็ม]:[คะแนนเต็ม]])*tbl_task9[[%]:[%]])</f>
        <v/>
      </c>
      <c r="HV10" s="121" t="str">
        <f>IF(ISBLANK(tbl_task9[[คะแนนเต็ม]:[คะแนนเต็ม]]),"",(tbl_task9[60]/tbl_task9[[คะแนนเต็ม]:[คะแนนเต็ม]])*tbl_task9[[%]:[%]])</f>
        <v/>
      </c>
      <c r="HW10" s="121" t="str">
        <f>IF(ISBLANK(tbl_task9[[คะแนนเต็ม]:[คะแนนเต็ม]]),"",(tbl_task9[61]/tbl_task9[[คะแนนเต็ม]:[คะแนนเต็ม]])*tbl_task9[[%]:[%]])</f>
        <v/>
      </c>
      <c r="HX10" s="121" t="str">
        <f>IF(ISBLANK(tbl_task9[[คะแนนเต็ม]:[คะแนนเต็ม]]),"",(tbl_task9[62]/tbl_task9[[คะแนนเต็ม]:[คะแนนเต็ม]])*tbl_task9[[%]:[%]])</f>
        <v/>
      </c>
      <c r="HY10" s="121" t="str">
        <f>IF(ISBLANK(tbl_task9[[คะแนนเต็ม]:[คะแนนเต็ม]]),"",(tbl_task9[63]/tbl_task9[[คะแนนเต็ม]:[คะแนนเต็ม]])*tbl_task9[[%]:[%]])</f>
        <v/>
      </c>
      <c r="HZ10" s="121" t="str">
        <f>IF(ISBLANK(tbl_task9[[คะแนนเต็ม]:[คะแนนเต็ม]]),"",(tbl_task9[64]/tbl_task9[[คะแนนเต็ม]:[คะแนนเต็ม]])*tbl_task9[[%]:[%]])</f>
        <v/>
      </c>
      <c r="IA10" s="121" t="str">
        <f>IF(ISBLANK(tbl_task9[[คะแนนเต็ม]:[คะแนนเต็ม]]),"",(tbl_task9[65]/tbl_task9[[คะแนนเต็ม]:[คะแนนเต็ม]])*tbl_task9[[%]:[%]])</f>
        <v/>
      </c>
      <c r="IB10" s="121" t="str">
        <f>IF(ISBLANK(tbl_task9[[คะแนนเต็ม]:[คะแนนเต็ม]]),"",(tbl_task9[66]/tbl_task9[[คะแนนเต็ม]:[คะแนนเต็ม]])*tbl_task9[[%]:[%]])</f>
        <v/>
      </c>
      <c r="IC10" s="121" t="str">
        <f>IF(ISBLANK(tbl_task9[[คะแนนเต็ม]:[คะแนนเต็ม]]),"",(tbl_task9[67]/tbl_task9[[คะแนนเต็ม]:[คะแนนเต็ม]])*tbl_task9[[%]:[%]])</f>
        <v/>
      </c>
      <c r="ID10" s="121" t="str">
        <f>IF(ISBLANK(tbl_task9[[คะแนนเต็ม]:[คะแนนเต็ม]]),"",(tbl_task9[68]/tbl_task9[[คะแนนเต็ม]:[คะแนนเต็ม]])*tbl_task9[[%]:[%]])</f>
        <v/>
      </c>
      <c r="IE10" s="121" t="str">
        <f>IF(ISBLANK(tbl_task9[[คะแนนเต็ม]:[คะแนนเต็ม]]),"",(tbl_task9[69]/tbl_task9[[คะแนนเต็ม]:[คะแนนเต็ม]])*tbl_task9[[%]:[%]])</f>
        <v/>
      </c>
      <c r="IF10" s="121" t="str">
        <f>IF(ISBLANK(tbl_task9[[คะแนนเต็ม]:[คะแนนเต็ม]]),"",(tbl_task9[70]/tbl_task9[[คะแนนเต็ม]:[คะแนนเต็ม]])*tbl_task9[[%]:[%]])</f>
        <v/>
      </c>
      <c r="IG10" s="121" t="str">
        <f>IF(ISBLANK(tbl_task9[[คะแนนเต็ม]:[คะแนนเต็ม]]),"",(tbl_task9[71]/tbl_task9[[คะแนนเต็ม]:[คะแนนเต็ม]])*tbl_task9[[%]:[%]])</f>
        <v/>
      </c>
      <c r="IH10" s="121" t="str">
        <f>IF(ISBLANK(tbl_task9[[คะแนนเต็ม]:[คะแนนเต็ม]]),"",(tbl_task9[72]/tbl_task9[[คะแนนเต็ม]:[คะแนนเต็ม]])*tbl_task9[[%]:[%]])</f>
        <v/>
      </c>
      <c r="II10" s="121" t="str">
        <f>IF(ISBLANK(tbl_task9[[คะแนนเต็ม]:[คะแนนเต็ม]]),"",(tbl_task9[73]/tbl_task9[[คะแนนเต็ม]:[คะแนนเต็ม]])*tbl_task9[[%]:[%]])</f>
        <v/>
      </c>
      <c r="IJ10" s="121" t="str">
        <f>IF(ISBLANK(tbl_task9[[คะแนนเต็ม]:[คะแนนเต็ม]]),"",(tbl_task9[74]/tbl_task9[[คะแนนเต็ม]:[คะแนนเต็ม]])*tbl_task9[[%]:[%]])</f>
        <v/>
      </c>
      <c r="IK10" s="121" t="str">
        <f>IF(ISBLANK(tbl_task9[[คะแนนเต็ม]:[คะแนนเต็ม]]),"",(tbl_task9[75]/tbl_task9[[คะแนนเต็ม]:[คะแนนเต็ม]])*tbl_task9[[%]:[%]])</f>
        <v/>
      </c>
      <c r="IL10" s="121" t="str">
        <f>IF(ISBLANK(tbl_task9[[คะแนนเต็ม]:[คะแนนเต็ม]]),"",(tbl_task9[76]/tbl_task9[[คะแนนเต็ม]:[คะแนนเต็ม]])*tbl_task9[[%]:[%]])</f>
        <v/>
      </c>
      <c r="IM10" s="121" t="str">
        <f>IF(ISBLANK(tbl_task9[[คะแนนเต็ม]:[คะแนนเต็ม]]),"",(tbl_task9[77]/tbl_task9[[คะแนนเต็ม]:[คะแนนเต็ม]])*tbl_task9[[%]:[%]])</f>
        <v/>
      </c>
      <c r="IN10" s="121" t="str">
        <f>IF(ISBLANK(tbl_task9[[คะแนนเต็ม]:[คะแนนเต็ม]]),"",(tbl_task9[78]/tbl_task9[[คะแนนเต็ม]:[คะแนนเต็ม]])*tbl_task9[[%]:[%]])</f>
        <v/>
      </c>
      <c r="IO10" s="121" t="str">
        <f>IF(ISBLANK(tbl_task9[[คะแนนเต็ม]:[คะแนนเต็ม]]),"",(tbl_task9[79]/tbl_task9[[คะแนนเต็ม]:[คะแนนเต็ม]])*tbl_task9[[%]:[%]])</f>
        <v/>
      </c>
      <c r="IP10" s="121" t="str">
        <f>IF(ISBLANK(tbl_task9[[คะแนนเต็ม]:[คะแนนเต็ม]]),"",(tbl_task9[80]/tbl_task9[[คะแนนเต็ม]:[คะแนนเต็ม]])*tbl_task9[[%]:[%]])</f>
        <v/>
      </c>
      <c r="IQ10" s="121" t="str">
        <f>IF(ISBLANK(tbl_task9[[คะแนนเต็ม]:[คะแนนเต็ม]]),"",(tbl_task9[81]/tbl_task9[[คะแนนเต็ม]:[คะแนนเต็ม]])*tbl_task9[[%]:[%]])</f>
        <v/>
      </c>
      <c r="IR10" s="121" t="str">
        <f>IF(ISBLANK(tbl_task9[[คะแนนเต็ม]:[คะแนนเต็ม]]),"",(tbl_task9[82]/tbl_task9[[คะแนนเต็ม]:[คะแนนเต็ม]])*tbl_task9[[%]:[%]])</f>
        <v/>
      </c>
      <c r="IS10" s="121" t="str">
        <f>IF(ISBLANK(tbl_task9[[คะแนนเต็ม]:[คะแนนเต็ม]]),"",(tbl_task9[83]/tbl_task9[[คะแนนเต็ม]:[คะแนนเต็ม]])*tbl_task9[[%]:[%]])</f>
        <v/>
      </c>
      <c r="IT10" s="121" t="str">
        <f>IF(ISBLANK(tbl_task9[[คะแนนเต็ม]:[คะแนนเต็ม]]),"",(tbl_task9[84]/tbl_task9[[คะแนนเต็ม]:[คะแนนเต็ม]])*tbl_task9[[%]:[%]])</f>
        <v/>
      </c>
      <c r="IU10" s="121" t="str">
        <f>IF(ISBLANK(tbl_task9[[คะแนนเต็ม]:[คะแนนเต็ม]]),"",(tbl_task9[85]/tbl_task9[[คะแนนเต็ม]:[คะแนนเต็ม]])*tbl_task9[[%]:[%]])</f>
        <v/>
      </c>
      <c r="IV10" s="121" t="str">
        <f>IF(ISBLANK(tbl_task9[[คะแนนเต็ม]:[คะแนนเต็ม]]),"",(tbl_task9[86]/tbl_task9[[คะแนนเต็ม]:[คะแนนเต็ม]])*tbl_task9[[%]:[%]])</f>
        <v/>
      </c>
      <c r="IW10" s="121" t="str">
        <f>IF(ISBLANK(tbl_task9[[คะแนนเต็ม]:[คะแนนเต็ม]]),"",(tbl_task9[87]/tbl_task9[[คะแนนเต็ม]:[คะแนนเต็ม]])*tbl_task9[[%]:[%]])</f>
        <v/>
      </c>
      <c r="IX10" s="121" t="str">
        <f>IF(ISBLANK(tbl_task9[[คะแนนเต็ม]:[คะแนนเต็ม]]),"",(tbl_task9[88]/tbl_task9[[คะแนนเต็ม]:[คะแนนเต็ม]])*tbl_task9[[%]:[%]])</f>
        <v/>
      </c>
      <c r="IY10" s="121" t="str">
        <f>IF(ISBLANK(tbl_task9[[คะแนนเต็ม]:[คะแนนเต็ม]]),"",(tbl_task9[89]/tbl_task9[[คะแนนเต็ม]:[คะแนนเต็ม]])*tbl_task9[[%]:[%]])</f>
        <v/>
      </c>
      <c r="IZ10" s="121" t="str">
        <f>IF(ISBLANK(tbl_task9[[คะแนนเต็ม]:[คะแนนเต็ม]]),"",(tbl_task9[90]/tbl_task9[[คะแนนเต็ม]:[คะแนนเต็ม]])*tbl_task9[[%]:[%]])</f>
        <v/>
      </c>
      <c r="JA10" s="121" t="str">
        <f>IF(ISBLANK(tbl_task9[[คะแนนเต็ม]:[คะแนนเต็ม]]),"",(tbl_task9[91]/tbl_task9[[คะแนนเต็ม]:[คะแนนเต็ม]])*tbl_task9[[%]:[%]])</f>
        <v/>
      </c>
      <c r="JB10" s="121" t="str">
        <f>IF(ISBLANK(tbl_task9[[คะแนนเต็ม]:[คะแนนเต็ม]]),"",(tbl_task9[92]/tbl_task9[[คะแนนเต็ม]:[คะแนนเต็ม]])*tbl_task9[[%]:[%]])</f>
        <v/>
      </c>
      <c r="JC10" s="121" t="str">
        <f>IF(ISBLANK(tbl_task9[[คะแนนเต็ม]:[คะแนนเต็ม]]),"",(tbl_task9[93]/tbl_task9[[คะแนนเต็ม]:[คะแนนเต็ม]])*tbl_task9[[%]:[%]])</f>
        <v/>
      </c>
      <c r="JD10" s="121" t="str">
        <f>IF(ISBLANK(tbl_task9[[คะแนนเต็ม]:[คะแนนเต็ม]]),"",(tbl_task9[94]/tbl_task9[[คะแนนเต็ม]:[คะแนนเต็ม]])*tbl_task9[[%]:[%]])</f>
        <v/>
      </c>
      <c r="JE10" s="121" t="str">
        <f>IF(ISBLANK(tbl_task9[[คะแนนเต็ม]:[คะแนนเต็ม]]),"",(tbl_task9[95]/tbl_task9[[คะแนนเต็ม]:[คะแนนเต็ม]])*tbl_task9[[%]:[%]])</f>
        <v/>
      </c>
      <c r="JF10" s="121" t="str">
        <f>IF(ISBLANK(tbl_task9[[คะแนนเต็ม]:[คะแนนเต็ม]]),"",(tbl_task9[96]/tbl_task9[[คะแนนเต็ม]:[คะแนนเต็ม]])*tbl_task9[[%]:[%]])</f>
        <v/>
      </c>
      <c r="JG10" s="121" t="str">
        <f>IF(ISBLANK(tbl_task9[[คะแนนเต็ม]:[คะแนนเต็ม]]),"",(tbl_task9[97]/tbl_task9[[คะแนนเต็ม]:[คะแนนเต็ม]])*tbl_task9[[%]:[%]])</f>
        <v/>
      </c>
      <c r="JH10" s="121" t="str">
        <f>IF(ISBLANK(tbl_task9[[คะแนนเต็ม]:[คะแนนเต็ม]]),"",(tbl_task9[98]/tbl_task9[[คะแนนเต็ม]:[คะแนนเต็ม]])*tbl_task9[[%]:[%]])</f>
        <v/>
      </c>
      <c r="JI10" s="121" t="str">
        <f>IF(ISBLANK(tbl_task9[[คะแนนเต็ม]:[คะแนนเต็ม]]),"",(tbl_task9[99]/tbl_task9[[คะแนนเต็ม]:[คะแนนเต็ม]])*tbl_task9[[%]:[%]])</f>
        <v/>
      </c>
      <c r="JJ10" s="121" t="str">
        <f>IF(ISBLANK(tbl_task9[[คะแนนเต็ม]:[คะแนนเต็ม]]),"",(tbl_task9[100]/tbl_task9[[คะแนนเต็ม]:[คะแนนเต็ม]])*tbl_task9[[%]:[%]])</f>
        <v/>
      </c>
      <c r="JK10" s="121" t="str">
        <f>IF(ISBLANK(tbl_task9[[คะแนนเต็ม]:[คะแนนเต็ม]]),"",(tbl_task9[101]/tbl_task9[[คะแนนเต็ม]:[คะแนนเต็ม]])*tbl_task9[[%]:[%]])</f>
        <v/>
      </c>
      <c r="JL10" s="121" t="str">
        <f>IF(ISBLANK(tbl_task9[[คะแนนเต็ม]:[คะแนนเต็ม]]),"",(tbl_task9[102]/tbl_task9[[คะแนนเต็ม]:[คะแนนเต็ม]])*tbl_task9[[%]:[%]])</f>
        <v/>
      </c>
      <c r="JM10" s="121" t="str">
        <f>IF(ISBLANK(tbl_task9[[คะแนนเต็ม]:[คะแนนเต็ม]]),"",(tbl_task9[103]/tbl_task9[[คะแนนเต็ม]:[คะแนนเต็ม]])*tbl_task9[[%]:[%]])</f>
        <v/>
      </c>
      <c r="JN10" s="121" t="str">
        <f>IF(ISBLANK(tbl_task9[[คะแนนเต็ม]:[คะแนนเต็ม]]),"",(tbl_task9[104]/tbl_task9[[คะแนนเต็ม]:[คะแนนเต็ม]])*tbl_task9[[%]:[%]])</f>
        <v/>
      </c>
      <c r="JO10" s="121" t="str">
        <f>IF(ISBLANK(tbl_task9[[คะแนนเต็ม]:[คะแนนเต็ม]]),"",(tbl_task9[105]/tbl_task9[[คะแนนเต็ม]:[คะแนนเต็ม]])*tbl_task9[[%]:[%]])</f>
        <v/>
      </c>
      <c r="JP10" s="121" t="str">
        <f>IF(ISBLANK(tbl_task9[[คะแนนเต็ม]:[คะแนนเต็ม]]),"",(tbl_task9[106]/tbl_task9[[คะแนนเต็ม]:[คะแนนเต็ม]])*tbl_task9[[%]:[%]])</f>
        <v/>
      </c>
      <c r="JQ10" s="121" t="str">
        <f>IF(ISBLANK(tbl_task9[[คะแนนเต็ม]:[คะแนนเต็ม]]),"",(tbl_task9[107]/tbl_task9[[คะแนนเต็ม]:[คะแนนเต็ม]])*tbl_task9[[%]:[%]])</f>
        <v/>
      </c>
      <c r="JR10" s="121" t="str">
        <f>IF(ISBLANK(tbl_task9[[คะแนนเต็ม]:[คะแนนเต็ม]]),"",(tbl_task9[108]/tbl_task9[[คะแนนเต็ม]:[คะแนนเต็ม]])*tbl_task9[[%]:[%]])</f>
        <v/>
      </c>
      <c r="JS10" s="121" t="str">
        <f>IF(ISBLANK(tbl_task9[[คะแนนเต็ม]:[คะแนนเต็ม]]),"",(tbl_task9[109]/tbl_task9[[คะแนนเต็ม]:[คะแนนเต็ม]])*tbl_task9[[%]:[%]])</f>
        <v/>
      </c>
      <c r="JT10" s="121" t="str">
        <f>IF(ISBLANK(tbl_task9[[คะแนนเต็ม]:[คะแนนเต็ม]]),"",(tbl_task9[110]/tbl_task9[[คะแนนเต็ม]:[คะแนนเต็ม]])*tbl_task9[[%]:[%]])</f>
        <v/>
      </c>
      <c r="JU10" s="121" t="str">
        <f>IF(ISBLANK(tbl_task9[[คะแนนเต็ม]:[คะแนนเต็ม]]),"",(tbl_task9[111]/tbl_task9[[คะแนนเต็ม]:[คะแนนเต็ม]])*tbl_task9[[%]:[%]])</f>
        <v/>
      </c>
      <c r="JV10" s="121" t="str">
        <f>IF(ISBLANK(tbl_task9[[คะแนนเต็ม]:[คะแนนเต็ม]]),"",(tbl_task9[112]/tbl_task9[[คะแนนเต็ม]:[คะแนนเต็ม]])*tbl_task9[[%]:[%]])</f>
        <v/>
      </c>
      <c r="JW10" s="121" t="str">
        <f>IF(ISBLANK(tbl_task9[[คะแนนเต็ม]:[คะแนนเต็ม]]),"",(tbl_task9[113]/tbl_task9[[คะแนนเต็ม]:[คะแนนเต็ม]])*tbl_task9[[%]:[%]])</f>
        <v/>
      </c>
      <c r="JX10" s="121" t="str">
        <f>IF(ISBLANK(tbl_task9[[คะแนนเต็ม]:[คะแนนเต็ม]]),"",(tbl_task9[114]/tbl_task9[[คะแนนเต็ม]:[คะแนนเต็ม]])*tbl_task9[[%]:[%]])</f>
        <v/>
      </c>
      <c r="JY10" s="121" t="str">
        <f>IF(ISBLANK(tbl_task9[[คะแนนเต็ม]:[คะแนนเต็ม]]),"",(tbl_task9[115]/tbl_task9[[คะแนนเต็ม]:[คะแนนเต็ม]])*tbl_task9[[%]:[%]])</f>
        <v/>
      </c>
      <c r="JZ10" s="121" t="str">
        <f>IF(ISBLANK(tbl_task9[[คะแนนเต็ม]:[คะแนนเต็ม]]),"",(tbl_task9[116]/tbl_task9[[คะแนนเต็ม]:[คะแนนเต็ม]])*tbl_task9[[%]:[%]])</f>
        <v/>
      </c>
      <c r="KA10" s="121" t="str">
        <f>IF(ISBLANK(tbl_task9[[คะแนนเต็ม]:[คะแนนเต็ม]]),"",(tbl_task9[117]/tbl_task9[[คะแนนเต็ม]:[คะแนนเต็ม]])*tbl_task9[[%]:[%]])</f>
        <v/>
      </c>
      <c r="KB10" s="121" t="str">
        <f>IF(ISBLANK(tbl_task9[[คะแนนเต็ม]:[คะแนนเต็ม]]),"",(tbl_task9[118]/tbl_task9[[คะแนนเต็ม]:[คะแนนเต็ม]])*tbl_task9[[%]:[%]])</f>
        <v/>
      </c>
      <c r="KC10" s="121" t="str">
        <f>IF(ISBLANK(tbl_task9[[คะแนนเต็ม]:[คะแนนเต็ม]]),"",(tbl_task9[119]/tbl_task9[[คะแนนเต็ม]:[คะแนนเต็ม]])*tbl_task9[[%]:[%]])</f>
        <v/>
      </c>
      <c r="KD10" s="121" t="str">
        <f>IF(ISBLANK(tbl_task9[[คะแนนเต็ม]:[คะแนนเต็ม]]),"",(tbl_task9[120]/tbl_task9[[คะแนนเต็ม]:[คะแนนเต็ม]])*tbl_task9[[%]:[%]])</f>
        <v/>
      </c>
      <c r="KE10" s="121" t="str">
        <f>IF(ISBLANK(tbl_task9[[คะแนนเต็ม]:[คะแนนเต็ม]]),"",(tbl_task9[121]/tbl_task9[[คะแนนเต็ม]:[คะแนนเต็ม]])*tbl_task9[[%]:[%]])</f>
        <v/>
      </c>
      <c r="KF10" s="121" t="str">
        <f>IF(ISBLANK(tbl_task9[[คะแนนเต็ม]:[คะแนนเต็ม]]),"",(tbl_task9[122]/tbl_task9[[คะแนนเต็ม]:[คะแนนเต็ม]])*tbl_task9[[%]:[%]])</f>
        <v/>
      </c>
      <c r="KG10" s="121" t="str">
        <f>IF(ISBLANK(tbl_task9[[คะแนนเต็ม]:[คะแนนเต็ม]]),"",(tbl_task9[123]/tbl_task9[[คะแนนเต็ม]:[คะแนนเต็ม]])*tbl_task9[[%]:[%]])</f>
        <v/>
      </c>
      <c r="KH10" s="121" t="str">
        <f>IF(ISBLANK(tbl_task9[[คะแนนเต็ม]:[คะแนนเต็ม]]),"",(tbl_task9[124]/tbl_task9[[คะแนนเต็ม]:[คะแนนเต็ม]])*tbl_task9[[%]:[%]])</f>
        <v/>
      </c>
      <c r="KI10" s="121" t="str">
        <f>IF(ISBLANK(tbl_task9[[คะแนนเต็ม]:[คะแนนเต็ม]]),"",(tbl_task9[125]/tbl_task9[[คะแนนเต็ม]:[คะแนนเต็ม]])*tbl_task9[[%]:[%]])</f>
        <v/>
      </c>
      <c r="KJ10" s="121" t="str">
        <f>IF(ISBLANK(tbl_task9[[คะแนนเต็ม]:[คะแนนเต็ม]]),"",(tbl_task9[126]/tbl_task9[[คะแนนเต็ม]:[คะแนนเต็ม]])*tbl_task9[[%]:[%]])</f>
        <v/>
      </c>
      <c r="KK10" s="121" t="str">
        <f>IF(ISBLANK(tbl_task9[[คะแนนเต็ม]:[คะแนนเต็ม]]),"",(tbl_task9[127]/tbl_task9[[คะแนนเต็ม]:[คะแนนเต็ม]])*tbl_task9[[%]:[%]])</f>
        <v/>
      </c>
      <c r="KL10" s="121" t="str">
        <f>IF(ISBLANK(tbl_task9[[คะแนนเต็ม]:[คะแนนเต็ม]]),"",(tbl_task9[128]/tbl_task9[[คะแนนเต็ม]:[คะแนนเต็ม]])*tbl_task9[[%]:[%]])</f>
        <v/>
      </c>
      <c r="KM10" s="121" t="str">
        <f>IF(ISBLANK(tbl_task9[[คะแนนเต็ม]:[คะแนนเต็ม]]),"",(tbl_task9[129]/tbl_task9[[คะแนนเต็ม]:[คะแนนเต็ม]])*tbl_task9[[%]:[%]])</f>
        <v/>
      </c>
      <c r="KN10" s="121" t="str">
        <f>IF(ISBLANK(tbl_task9[[คะแนนเต็ม]:[คะแนนเต็ม]]),"",(tbl_task9[130]/tbl_task9[[คะแนนเต็ม]:[คะแนนเต็ม]])*tbl_task9[[%]:[%]])</f>
        <v/>
      </c>
      <c r="KO10" s="121" t="str">
        <f>IF(ISBLANK(tbl_task9[[คะแนนเต็ม]:[คะแนนเต็ม]]),"",(tbl_task9[131]/tbl_task9[[คะแนนเต็ม]:[คะแนนเต็ม]])*tbl_task9[[%]:[%]])</f>
        <v/>
      </c>
      <c r="KP10" s="121" t="str">
        <f>IF(ISBLANK(tbl_task9[[คะแนนเต็ม]:[คะแนนเต็ม]]),"",(tbl_task9[132]/tbl_task9[[คะแนนเต็ม]:[คะแนนเต็ม]])*tbl_task9[[%]:[%]])</f>
        <v/>
      </c>
      <c r="KQ10" s="121" t="str">
        <f>IF(ISBLANK(tbl_task9[[คะแนนเต็ม]:[คะแนนเต็ม]]),"",(tbl_task9[133]/tbl_task9[[คะแนนเต็ม]:[คะแนนเต็ม]])*tbl_task9[[%]:[%]])</f>
        <v/>
      </c>
      <c r="KR10" s="121" t="str">
        <f>IF(ISBLANK(tbl_task9[[คะแนนเต็ม]:[คะแนนเต็ม]]),"",(tbl_task9[134]/tbl_task9[[คะแนนเต็ม]:[คะแนนเต็ม]])*tbl_task9[[%]:[%]])</f>
        <v/>
      </c>
      <c r="KS10" s="121" t="str">
        <f>IF(ISBLANK(tbl_task9[[คะแนนเต็ม]:[คะแนนเต็ม]]),"",(tbl_task9[135]/tbl_task9[[คะแนนเต็ม]:[คะแนนเต็ม]])*tbl_task9[[%]:[%]])</f>
        <v/>
      </c>
      <c r="KT10" s="121" t="str">
        <f>IF(ISBLANK(tbl_task9[[คะแนนเต็ม]:[คะแนนเต็ม]]),"",(tbl_task9[136]/tbl_task9[[คะแนนเต็ม]:[คะแนนเต็ม]])*tbl_task9[[%]:[%]])</f>
        <v/>
      </c>
      <c r="KU10" s="121" t="str">
        <f>IF(ISBLANK(tbl_task9[[คะแนนเต็ม]:[คะแนนเต็ม]]),"",(tbl_task9[137]/tbl_task9[[คะแนนเต็ม]:[คะแนนเต็ม]])*tbl_task9[[%]:[%]])</f>
        <v/>
      </c>
      <c r="KV10" s="121" t="str">
        <f>IF(ISBLANK(tbl_task9[[คะแนนเต็ม]:[คะแนนเต็ม]]),"",(tbl_task9[138]/tbl_task9[[คะแนนเต็ม]:[คะแนนเต็ม]])*tbl_task9[[%]:[%]])</f>
        <v/>
      </c>
      <c r="KW10" s="121" t="str">
        <f>IF(ISBLANK(tbl_task9[[คะแนนเต็ม]:[คะแนนเต็ม]]),"",(tbl_task9[139]/tbl_task9[[คะแนนเต็ม]:[คะแนนเต็ม]])*tbl_task9[[%]:[%]])</f>
        <v/>
      </c>
      <c r="KX10" s="121" t="str">
        <f>IF(ISBLANK(tbl_task9[[คะแนนเต็ม]:[คะแนนเต็ม]]),"",(tbl_task9[140]/tbl_task9[[คะแนนเต็ม]:[คะแนนเต็ม]])*tbl_task9[[%]:[%]])</f>
        <v/>
      </c>
      <c r="KY10" s="121" t="str">
        <f>IF(ISBLANK(tbl_task9[[คะแนนเต็ม]:[คะแนนเต็ม]]),"",(tbl_task9[141]/tbl_task9[[คะแนนเต็ม]:[คะแนนเต็ม]])*tbl_task9[[%]:[%]])</f>
        <v/>
      </c>
      <c r="KZ10" s="121" t="str">
        <f>IF(ISBLANK(tbl_task9[[คะแนนเต็ม]:[คะแนนเต็ม]]),"",(tbl_task9[142]/tbl_task9[[คะแนนเต็ม]:[คะแนนเต็ม]])*tbl_task9[[%]:[%]])</f>
        <v/>
      </c>
      <c r="LA10" s="121" t="str">
        <f>IF(ISBLANK(tbl_task9[[คะแนนเต็ม]:[คะแนนเต็ม]]),"",(tbl_task9[143]/tbl_task9[[คะแนนเต็ม]:[คะแนนเต็ม]])*tbl_task9[[%]:[%]])</f>
        <v/>
      </c>
      <c r="LB10" s="121" t="str">
        <f>IF(ISBLANK(tbl_task9[[คะแนนเต็ม]:[คะแนนเต็ม]]),"",(tbl_task9[144]/tbl_task9[[คะแนนเต็ม]:[คะแนนเต็ม]])*tbl_task9[[%]:[%]])</f>
        <v/>
      </c>
      <c r="LC10" s="121" t="str">
        <f>IF(ISBLANK(tbl_task9[[คะแนนเต็ม]:[คะแนนเต็ม]]),"",(tbl_task9[145]/tbl_task9[[คะแนนเต็ม]:[คะแนนเต็ม]])*tbl_task9[[%]:[%]])</f>
        <v/>
      </c>
      <c r="LD10" s="121" t="str">
        <f>IF(ISBLANK(tbl_task9[[คะแนนเต็ม]:[คะแนนเต็ม]]),"",(tbl_task9[146]/tbl_task9[[คะแนนเต็ม]:[คะแนนเต็ม]])*tbl_task9[[%]:[%]])</f>
        <v/>
      </c>
      <c r="LE10" s="121" t="str">
        <f>IF(ISBLANK(tbl_task9[[คะแนนเต็ม]:[คะแนนเต็ม]]),"",(tbl_task9[147]/tbl_task9[[คะแนนเต็ม]:[คะแนนเต็ม]])*tbl_task9[[%]:[%]])</f>
        <v/>
      </c>
      <c r="LF10" s="121" t="str">
        <f>IF(ISBLANK(tbl_task9[[คะแนนเต็ม]:[คะแนนเต็ม]]),"",(tbl_task9[148]/tbl_task9[[คะแนนเต็ม]:[คะแนนเต็ม]])*tbl_task9[[%]:[%]])</f>
        <v/>
      </c>
      <c r="LG10" s="121" t="str">
        <f>IF(ISBLANK(tbl_task9[[คะแนนเต็ม]:[คะแนนเต็ม]]),"",(tbl_task9[149]/tbl_task9[[คะแนนเต็ม]:[คะแนนเต็ม]])*tbl_task9[[%]:[%]])</f>
        <v/>
      </c>
      <c r="LH10" s="121" t="str">
        <f>IF(ISBLANK(tbl_task9[[คะแนนเต็ม]:[คะแนนเต็ม]]),"",(tbl_task9[150]/tbl_task9[[คะแนนเต็ม]:[คะแนนเต็ม]])*tbl_task9[[%]:[%]])</f>
        <v/>
      </c>
      <c r="LI10" s="121" t="str">
        <f>IF(ISBLANK(tbl_task9[[คะแนนเต็ม]:[คะแนนเต็ม]]),"",(tbl_task9[151]/tbl_task9[[คะแนนเต็ม]:[คะแนนเต็ม]])*tbl_task9[[%]:[%]])</f>
        <v/>
      </c>
      <c r="LJ10" s="121" t="str">
        <f>IF(ISBLANK(tbl_task9[[คะแนนเต็ม]:[คะแนนเต็ม]]),"",(tbl_task9[152]/tbl_task9[[คะแนนเต็ม]:[คะแนนเต็ม]])*tbl_task9[[%]:[%]])</f>
        <v/>
      </c>
      <c r="LK10" s="121" t="str">
        <f>IF(ISBLANK(tbl_task9[[คะแนนเต็ม]:[คะแนนเต็ม]]),"",(tbl_task9[153]/tbl_task9[[คะแนนเต็ม]:[คะแนนเต็ม]])*tbl_task9[[%]:[%]])</f>
        <v/>
      </c>
      <c r="LL10" s="121" t="str">
        <f>IF(ISBLANK(tbl_task9[[คะแนนเต็ม]:[คะแนนเต็ม]]),"",(tbl_task9[154]/tbl_task9[[คะแนนเต็ม]:[คะแนนเต็ม]])*tbl_task9[[%]:[%]])</f>
        <v/>
      </c>
      <c r="LM10" s="121" t="str">
        <f>IF(ISBLANK(tbl_task9[[คะแนนเต็ม]:[คะแนนเต็ม]]),"",(tbl_task9[155]/tbl_task9[[คะแนนเต็ม]:[คะแนนเต็ม]])*tbl_task9[[%]:[%]])</f>
        <v/>
      </c>
      <c r="LN10" s="121" t="str">
        <f>IF(ISBLANK(tbl_task9[[คะแนนเต็ม]:[คะแนนเต็ม]]),"",(tbl_task9[156]/tbl_task9[[คะแนนเต็ม]:[คะแนนเต็ม]])*tbl_task9[[%]:[%]])</f>
        <v/>
      </c>
      <c r="LO10" s="121" t="str">
        <f>IF(ISBLANK(tbl_task9[[คะแนนเต็ม]:[คะแนนเต็ม]]),"",(tbl_task9[157]/tbl_task9[[คะแนนเต็ม]:[คะแนนเต็ม]])*tbl_task9[[%]:[%]])</f>
        <v/>
      </c>
      <c r="LP10" s="121" t="str">
        <f>IF(ISBLANK(tbl_task9[[คะแนนเต็ม]:[คะแนนเต็ม]]),"",(tbl_task9[158]/tbl_task9[[คะแนนเต็ม]:[คะแนนเต็ม]])*tbl_task9[[%]:[%]])</f>
        <v/>
      </c>
      <c r="LQ10" s="121" t="str">
        <f>IF(ISBLANK(tbl_task9[[คะแนนเต็ม]:[คะแนนเต็ม]]),"",(tbl_task9[159]/tbl_task9[[คะแนนเต็ม]:[คะแนนเต็ม]])*tbl_task9[[%]:[%]])</f>
        <v/>
      </c>
      <c r="LR10" s="121" t="str">
        <f>IF(ISBLANK(tbl_task9[[คะแนนเต็ม]:[คะแนนเต็ม]]),"",(tbl_task9[160]/tbl_task9[[คะแนนเต็ม]:[คะแนนเต็ม]])*tbl_task9[[%]:[%]])</f>
        <v/>
      </c>
      <c r="LS10" s="121" t="str">
        <f>IF(ISBLANK(tbl_task9[[คะแนนเต็ม]:[คะแนนเต็ม]]),"",(tbl_task9[161]/tbl_task9[[คะแนนเต็ม]:[คะแนนเต็ม]])*tbl_task9[[%]:[%]])</f>
        <v/>
      </c>
      <c r="LT10" s="121" t="str">
        <f>IF(ISBLANK(tbl_task9[[คะแนนเต็ม]:[คะแนนเต็ม]]),"",(tbl_task9[162]/tbl_task9[[คะแนนเต็ม]:[คะแนนเต็ม]])*tbl_task9[[%]:[%]])</f>
        <v/>
      </c>
      <c r="LU10" s="121" t="str">
        <f>IF(ISBLANK(tbl_task9[[คะแนนเต็ม]:[คะแนนเต็ม]]),"",(tbl_task9[163]/tbl_task9[[คะแนนเต็ม]:[คะแนนเต็ม]])*tbl_task9[[%]:[%]])</f>
        <v/>
      </c>
      <c r="LV10" s="121" t="str">
        <f>IF(ISBLANK(tbl_task9[[คะแนนเต็ม]:[คะแนนเต็ม]]),"",(tbl_task9[164]/tbl_task9[[คะแนนเต็ม]:[คะแนนเต็ม]])*tbl_task9[[%]:[%]])</f>
        <v/>
      </c>
      <c r="LW10" s="121" t="str">
        <f>IF(ISBLANK(tbl_task9[[คะแนนเต็ม]:[คะแนนเต็ม]]),"",(tbl_task9[165]/tbl_task9[[คะแนนเต็ม]:[คะแนนเต็ม]])*tbl_task9[[%]:[%]])</f>
        <v/>
      </c>
    </row>
    <row r="11" spans="1:335" ht="24" customHeight="1" x14ac:dyDescent="0.25">
      <c r="A11" s="24">
        <v>8</v>
      </c>
      <c r="B11" s="20"/>
      <c r="C11" s="5" t="str">
        <f>IF(ISBLANK(B11),"",VLOOKUP(B11,tbl_PLOs[],2,0))</f>
        <v/>
      </c>
      <c r="D11" s="102"/>
      <c r="E11" s="106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22"/>
      <c r="FO11" s="121" t="str">
        <f>IF(ISBLANK(tbl_task9[[คะแนนเต็ม]:[คะแนนเต็ม]]),"",(tbl_task9[1]/tbl_task9[[คะแนนเต็ม]:[คะแนนเต็ม]])*tbl_task9[[%]:[%]])</f>
        <v/>
      </c>
      <c r="FP11" s="121" t="str">
        <f>IF(ISBLANK(tbl_task9[[คะแนนเต็ม]:[คะแนนเต็ม]]),"",(tbl_task9[2]/tbl_task9[[คะแนนเต็ม]:[คะแนนเต็ม]])*tbl_task9[[%]:[%]])</f>
        <v/>
      </c>
      <c r="FQ11" s="121" t="str">
        <f>IF(ISBLANK(tbl_task9[[คะแนนเต็ม]:[คะแนนเต็ม]]),"",(tbl_task9[3]/tbl_task9[[คะแนนเต็ม]:[คะแนนเต็ม]])*tbl_task9[[%]:[%]])</f>
        <v/>
      </c>
      <c r="FR11" s="121" t="str">
        <f>IF(ISBLANK(tbl_task9[[คะแนนเต็ม]:[คะแนนเต็ม]]),"",(tbl_task9[4]/tbl_task9[[คะแนนเต็ม]:[คะแนนเต็ม]])*tbl_task9[[%]:[%]])</f>
        <v/>
      </c>
      <c r="FS11" s="121" t="str">
        <f>IF(ISBLANK(tbl_task9[[คะแนนเต็ม]:[คะแนนเต็ม]]),"",(tbl_task9[5]/tbl_task9[[คะแนนเต็ม]:[คะแนนเต็ม]])*tbl_task9[[%]:[%]])</f>
        <v/>
      </c>
      <c r="FT11" s="121" t="str">
        <f>IF(ISBLANK(tbl_task9[[คะแนนเต็ม]:[คะแนนเต็ม]]),"",(tbl_task9[6]/tbl_task9[[คะแนนเต็ม]:[คะแนนเต็ม]])*tbl_task9[[%]:[%]])</f>
        <v/>
      </c>
      <c r="FU11" s="121" t="str">
        <f>IF(ISBLANK(tbl_task9[[คะแนนเต็ม]:[คะแนนเต็ม]]),"",(tbl_task9[7]/tbl_task9[[คะแนนเต็ม]:[คะแนนเต็ม]])*tbl_task9[[%]:[%]])</f>
        <v/>
      </c>
      <c r="FV11" s="121" t="str">
        <f>IF(ISBLANK(tbl_task9[[คะแนนเต็ม]:[คะแนนเต็ม]]),"",(tbl_task9[8]/tbl_task9[[คะแนนเต็ม]:[คะแนนเต็ม]])*tbl_task9[[%]:[%]])</f>
        <v/>
      </c>
      <c r="FW11" s="121" t="str">
        <f>IF(ISBLANK(tbl_task9[[คะแนนเต็ม]:[คะแนนเต็ม]]),"",(tbl_task9[9]/tbl_task9[[คะแนนเต็ม]:[คะแนนเต็ม]])*tbl_task9[[%]:[%]])</f>
        <v/>
      </c>
      <c r="FX11" s="121" t="str">
        <f>IF(ISBLANK(tbl_task9[[คะแนนเต็ม]:[คะแนนเต็ม]]),"",(tbl_task9[10]/tbl_task9[[คะแนนเต็ม]:[คะแนนเต็ม]])*tbl_task9[[%]:[%]])</f>
        <v/>
      </c>
      <c r="FY11" s="121" t="str">
        <f>IF(ISBLANK(tbl_task9[[คะแนนเต็ม]:[คะแนนเต็ม]]),"",(tbl_task9[11]/tbl_task9[[คะแนนเต็ม]:[คะแนนเต็ม]])*tbl_task9[[%]:[%]])</f>
        <v/>
      </c>
      <c r="FZ11" s="121" t="str">
        <f>IF(ISBLANK(tbl_task9[[คะแนนเต็ม]:[คะแนนเต็ม]]),"",(tbl_task9[12]/tbl_task9[[คะแนนเต็ม]:[คะแนนเต็ม]])*tbl_task9[[%]:[%]])</f>
        <v/>
      </c>
      <c r="GA11" s="121" t="str">
        <f>IF(ISBLANK(tbl_task9[[คะแนนเต็ม]:[คะแนนเต็ม]]),"",(tbl_task9[13]/tbl_task9[[คะแนนเต็ม]:[คะแนนเต็ม]])*tbl_task9[[%]:[%]])</f>
        <v/>
      </c>
      <c r="GB11" s="121" t="str">
        <f>IF(ISBLANK(tbl_task9[[คะแนนเต็ม]:[คะแนนเต็ม]]),"",(tbl_task9[14]/tbl_task9[[คะแนนเต็ม]:[คะแนนเต็ม]])*tbl_task9[[%]:[%]])</f>
        <v/>
      </c>
      <c r="GC11" s="121" t="str">
        <f>IF(ISBLANK(tbl_task9[[คะแนนเต็ม]:[คะแนนเต็ม]]),"",(tbl_task9[15]/tbl_task9[[คะแนนเต็ม]:[คะแนนเต็ม]])*tbl_task9[[%]:[%]])</f>
        <v/>
      </c>
      <c r="GD11" s="121" t="str">
        <f>IF(ISBLANK(tbl_task9[[คะแนนเต็ม]:[คะแนนเต็ม]]),"",(tbl_task9[16]/tbl_task9[[คะแนนเต็ม]:[คะแนนเต็ม]])*tbl_task9[[%]:[%]])</f>
        <v/>
      </c>
      <c r="GE11" s="121" t="str">
        <f>IF(ISBLANK(tbl_task9[[คะแนนเต็ม]:[คะแนนเต็ม]]),"",(tbl_task9[17]/tbl_task9[[คะแนนเต็ม]:[คะแนนเต็ม]])*tbl_task9[[%]:[%]])</f>
        <v/>
      </c>
      <c r="GF11" s="121" t="str">
        <f>IF(ISBLANK(tbl_task9[[คะแนนเต็ม]:[คะแนนเต็ม]]),"",(tbl_task9[18]/tbl_task9[[คะแนนเต็ม]:[คะแนนเต็ม]])*tbl_task9[[%]:[%]])</f>
        <v/>
      </c>
      <c r="GG11" s="121" t="str">
        <f>IF(ISBLANK(tbl_task9[[คะแนนเต็ม]:[คะแนนเต็ม]]),"",(tbl_task9[19]/tbl_task9[[คะแนนเต็ม]:[คะแนนเต็ม]])*tbl_task9[[%]:[%]])</f>
        <v/>
      </c>
      <c r="GH11" s="121" t="str">
        <f>IF(ISBLANK(tbl_task9[[คะแนนเต็ม]:[คะแนนเต็ม]]),"",(tbl_task9[20]/tbl_task9[[คะแนนเต็ม]:[คะแนนเต็ม]])*tbl_task9[[%]:[%]])</f>
        <v/>
      </c>
      <c r="GI11" s="121" t="str">
        <f>IF(ISBLANK(tbl_task9[[คะแนนเต็ม]:[คะแนนเต็ม]]),"",(tbl_task9[21]/tbl_task9[[คะแนนเต็ม]:[คะแนนเต็ม]])*tbl_task9[[%]:[%]])</f>
        <v/>
      </c>
      <c r="GJ11" s="121" t="str">
        <f>IF(ISBLANK(tbl_task9[[คะแนนเต็ม]:[คะแนนเต็ม]]),"",(tbl_task9[22]/tbl_task9[[คะแนนเต็ม]:[คะแนนเต็ม]])*tbl_task9[[%]:[%]])</f>
        <v/>
      </c>
      <c r="GK11" s="121" t="str">
        <f>IF(ISBLANK(tbl_task9[[คะแนนเต็ม]:[คะแนนเต็ม]]),"",(tbl_task9[23]/tbl_task9[[คะแนนเต็ม]:[คะแนนเต็ม]])*tbl_task9[[%]:[%]])</f>
        <v/>
      </c>
      <c r="GL11" s="121" t="str">
        <f>IF(ISBLANK(tbl_task9[[คะแนนเต็ม]:[คะแนนเต็ม]]),"",(tbl_task9[24]/tbl_task9[[คะแนนเต็ม]:[คะแนนเต็ม]])*tbl_task9[[%]:[%]])</f>
        <v/>
      </c>
      <c r="GM11" s="121" t="str">
        <f>IF(ISBLANK(tbl_task9[[คะแนนเต็ม]:[คะแนนเต็ม]]),"",(tbl_task9[25]/tbl_task9[[คะแนนเต็ม]:[คะแนนเต็ม]])*tbl_task9[[%]:[%]])</f>
        <v/>
      </c>
      <c r="GN11" s="121" t="str">
        <f>IF(ISBLANK(tbl_task9[[คะแนนเต็ม]:[คะแนนเต็ม]]),"",(tbl_task9[26]/tbl_task9[[คะแนนเต็ม]:[คะแนนเต็ม]])*tbl_task9[[%]:[%]])</f>
        <v/>
      </c>
      <c r="GO11" s="121" t="str">
        <f>IF(ISBLANK(tbl_task9[[คะแนนเต็ม]:[คะแนนเต็ม]]),"",(tbl_task9[27]/tbl_task9[[คะแนนเต็ม]:[คะแนนเต็ม]])*tbl_task9[[%]:[%]])</f>
        <v/>
      </c>
      <c r="GP11" s="121" t="str">
        <f>IF(ISBLANK(tbl_task9[[คะแนนเต็ม]:[คะแนนเต็ม]]),"",(tbl_task9[28]/tbl_task9[[คะแนนเต็ม]:[คะแนนเต็ม]])*tbl_task9[[%]:[%]])</f>
        <v/>
      </c>
      <c r="GQ11" s="121" t="str">
        <f>IF(ISBLANK(tbl_task9[[คะแนนเต็ม]:[คะแนนเต็ม]]),"",(tbl_task9[29]/tbl_task9[[คะแนนเต็ม]:[คะแนนเต็ม]])*tbl_task9[[%]:[%]])</f>
        <v/>
      </c>
      <c r="GR11" s="121" t="str">
        <f>IF(ISBLANK(tbl_task9[[คะแนนเต็ม]:[คะแนนเต็ม]]),"",(tbl_task9[30]/tbl_task9[[คะแนนเต็ม]:[คะแนนเต็ม]])*tbl_task9[[%]:[%]])</f>
        <v/>
      </c>
      <c r="GS11" s="121" t="str">
        <f>IF(ISBLANK(tbl_task9[[คะแนนเต็ม]:[คะแนนเต็ม]]),"",(tbl_task9[31]/tbl_task9[[คะแนนเต็ม]:[คะแนนเต็ม]])*tbl_task9[[%]:[%]])</f>
        <v/>
      </c>
      <c r="GT11" s="121" t="str">
        <f>IF(ISBLANK(tbl_task9[[คะแนนเต็ม]:[คะแนนเต็ม]]),"",(tbl_task9[32]/tbl_task9[[คะแนนเต็ม]:[คะแนนเต็ม]])*tbl_task9[[%]:[%]])</f>
        <v/>
      </c>
      <c r="GU11" s="121" t="str">
        <f>IF(ISBLANK(tbl_task9[[คะแนนเต็ม]:[คะแนนเต็ม]]),"",(tbl_task9[33]/tbl_task9[[คะแนนเต็ม]:[คะแนนเต็ม]])*tbl_task9[[%]:[%]])</f>
        <v/>
      </c>
      <c r="GV11" s="121" t="str">
        <f>IF(ISBLANK(tbl_task9[[คะแนนเต็ม]:[คะแนนเต็ม]]),"",(tbl_task9[34]/tbl_task9[[คะแนนเต็ม]:[คะแนนเต็ม]])*tbl_task9[[%]:[%]])</f>
        <v/>
      </c>
      <c r="GW11" s="121" t="str">
        <f>IF(ISBLANK(tbl_task9[[คะแนนเต็ม]:[คะแนนเต็ม]]),"",(tbl_task9[35]/tbl_task9[[คะแนนเต็ม]:[คะแนนเต็ม]])*tbl_task9[[%]:[%]])</f>
        <v/>
      </c>
      <c r="GX11" s="121" t="str">
        <f>IF(ISBLANK(tbl_task9[[คะแนนเต็ม]:[คะแนนเต็ม]]),"",(tbl_task9[36]/tbl_task9[[คะแนนเต็ม]:[คะแนนเต็ม]])*tbl_task9[[%]:[%]])</f>
        <v/>
      </c>
      <c r="GY11" s="121" t="str">
        <f>IF(ISBLANK(tbl_task9[[คะแนนเต็ม]:[คะแนนเต็ม]]),"",(tbl_task9[37]/tbl_task9[[คะแนนเต็ม]:[คะแนนเต็ม]])*tbl_task9[[%]:[%]])</f>
        <v/>
      </c>
      <c r="GZ11" s="121" t="str">
        <f>IF(ISBLANK(tbl_task9[[คะแนนเต็ม]:[คะแนนเต็ม]]),"",(tbl_task9[38]/tbl_task9[[คะแนนเต็ม]:[คะแนนเต็ม]])*tbl_task9[[%]:[%]])</f>
        <v/>
      </c>
      <c r="HA11" s="121" t="str">
        <f>IF(ISBLANK(tbl_task9[[คะแนนเต็ม]:[คะแนนเต็ม]]),"",(tbl_task9[39]/tbl_task9[[คะแนนเต็ม]:[คะแนนเต็ม]])*tbl_task9[[%]:[%]])</f>
        <v/>
      </c>
      <c r="HB11" s="121" t="str">
        <f>IF(ISBLANK(tbl_task9[[คะแนนเต็ม]:[คะแนนเต็ม]]),"",(tbl_task9[40]/tbl_task9[[คะแนนเต็ม]:[คะแนนเต็ม]])*tbl_task9[[%]:[%]])</f>
        <v/>
      </c>
      <c r="HC11" s="121" t="str">
        <f>IF(ISBLANK(tbl_task9[[คะแนนเต็ม]:[คะแนนเต็ม]]),"",(tbl_task9[41]/tbl_task9[[คะแนนเต็ม]:[คะแนนเต็ม]])*tbl_task9[[%]:[%]])</f>
        <v/>
      </c>
      <c r="HD11" s="121" t="str">
        <f>IF(ISBLANK(tbl_task9[[คะแนนเต็ม]:[คะแนนเต็ม]]),"",(tbl_task9[42]/tbl_task9[[คะแนนเต็ม]:[คะแนนเต็ม]])*tbl_task9[[%]:[%]])</f>
        <v/>
      </c>
      <c r="HE11" s="121" t="str">
        <f>IF(ISBLANK(tbl_task9[[คะแนนเต็ม]:[คะแนนเต็ม]]),"",(tbl_task9[43]/tbl_task9[[คะแนนเต็ม]:[คะแนนเต็ม]])*tbl_task9[[%]:[%]])</f>
        <v/>
      </c>
      <c r="HF11" s="121" t="str">
        <f>IF(ISBLANK(tbl_task9[[คะแนนเต็ม]:[คะแนนเต็ม]]),"",(tbl_task9[44]/tbl_task9[[คะแนนเต็ม]:[คะแนนเต็ม]])*tbl_task9[[%]:[%]])</f>
        <v/>
      </c>
      <c r="HG11" s="121" t="str">
        <f>IF(ISBLANK(tbl_task9[[คะแนนเต็ม]:[คะแนนเต็ม]]),"",(tbl_task9[45]/tbl_task9[[คะแนนเต็ม]:[คะแนนเต็ม]])*tbl_task9[[%]:[%]])</f>
        <v/>
      </c>
      <c r="HH11" s="121" t="str">
        <f>IF(ISBLANK(tbl_task9[[คะแนนเต็ม]:[คะแนนเต็ม]]),"",(tbl_task9[46]/tbl_task9[[คะแนนเต็ม]:[คะแนนเต็ม]])*tbl_task9[[%]:[%]])</f>
        <v/>
      </c>
      <c r="HI11" s="121" t="str">
        <f>IF(ISBLANK(tbl_task9[[คะแนนเต็ม]:[คะแนนเต็ม]]),"",(tbl_task9[47]/tbl_task9[[คะแนนเต็ม]:[คะแนนเต็ม]])*tbl_task9[[%]:[%]])</f>
        <v/>
      </c>
      <c r="HJ11" s="121" t="str">
        <f>IF(ISBLANK(tbl_task9[[คะแนนเต็ม]:[คะแนนเต็ม]]),"",(tbl_task9[48]/tbl_task9[[คะแนนเต็ม]:[คะแนนเต็ม]])*tbl_task9[[%]:[%]])</f>
        <v/>
      </c>
      <c r="HK11" s="121" t="str">
        <f>IF(ISBLANK(tbl_task9[[คะแนนเต็ม]:[คะแนนเต็ม]]),"",(tbl_task9[49]/tbl_task9[[คะแนนเต็ม]:[คะแนนเต็ม]])*tbl_task9[[%]:[%]])</f>
        <v/>
      </c>
      <c r="HL11" s="121" t="str">
        <f>IF(ISBLANK(tbl_task9[[คะแนนเต็ม]:[คะแนนเต็ม]]),"",(tbl_task9[50]/tbl_task9[[คะแนนเต็ม]:[คะแนนเต็ม]])*tbl_task9[[%]:[%]])</f>
        <v/>
      </c>
      <c r="HM11" s="121" t="str">
        <f>IF(ISBLANK(tbl_task9[[คะแนนเต็ม]:[คะแนนเต็ม]]),"",(tbl_task9[51]/tbl_task9[[คะแนนเต็ม]:[คะแนนเต็ม]])*tbl_task9[[%]:[%]])</f>
        <v/>
      </c>
      <c r="HN11" s="121" t="str">
        <f>IF(ISBLANK(tbl_task9[[คะแนนเต็ม]:[คะแนนเต็ม]]),"",(tbl_task9[52]/tbl_task9[[คะแนนเต็ม]:[คะแนนเต็ม]])*tbl_task9[[%]:[%]])</f>
        <v/>
      </c>
      <c r="HO11" s="121" t="str">
        <f>IF(ISBLANK(tbl_task9[[คะแนนเต็ม]:[คะแนนเต็ม]]),"",(tbl_task9[53]/tbl_task9[[คะแนนเต็ม]:[คะแนนเต็ม]])*tbl_task9[[%]:[%]])</f>
        <v/>
      </c>
      <c r="HP11" s="121" t="str">
        <f>IF(ISBLANK(tbl_task9[[คะแนนเต็ม]:[คะแนนเต็ม]]),"",(tbl_task9[54]/tbl_task9[[คะแนนเต็ม]:[คะแนนเต็ม]])*tbl_task9[[%]:[%]])</f>
        <v/>
      </c>
      <c r="HQ11" s="121" t="str">
        <f>IF(ISBLANK(tbl_task9[[คะแนนเต็ม]:[คะแนนเต็ม]]),"",(tbl_task9[55]/tbl_task9[[คะแนนเต็ม]:[คะแนนเต็ม]])*tbl_task9[[%]:[%]])</f>
        <v/>
      </c>
      <c r="HR11" s="121" t="str">
        <f>IF(ISBLANK(tbl_task9[[คะแนนเต็ม]:[คะแนนเต็ม]]),"",(tbl_task9[56]/tbl_task9[[คะแนนเต็ม]:[คะแนนเต็ม]])*tbl_task9[[%]:[%]])</f>
        <v/>
      </c>
      <c r="HS11" s="121" t="str">
        <f>IF(ISBLANK(tbl_task9[[คะแนนเต็ม]:[คะแนนเต็ม]]),"",(tbl_task9[57]/tbl_task9[[คะแนนเต็ม]:[คะแนนเต็ม]])*tbl_task9[[%]:[%]])</f>
        <v/>
      </c>
      <c r="HT11" s="121" t="str">
        <f>IF(ISBLANK(tbl_task9[[คะแนนเต็ม]:[คะแนนเต็ม]]),"",(tbl_task9[58]/tbl_task9[[คะแนนเต็ม]:[คะแนนเต็ม]])*tbl_task9[[%]:[%]])</f>
        <v/>
      </c>
      <c r="HU11" s="121" t="str">
        <f>IF(ISBLANK(tbl_task9[[คะแนนเต็ม]:[คะแนนเต็ม]]),"",(tbl_task9[59]/tbl_task9[[คะแนนเต็ม]:[คะแนนเต็ม]])*tbl_task9[[%]:[%]])</f>
        <v/>
      </c>
      <c r="HV11" s="121" t="str">
        <f>IF(ISBLANK(tbl_task9[[คะแนนเต็ม]:[คะแนนเต็ม]]),"",(tbl_task9[60]/tbl_task9[[คะแนนเต็ม]:[คะแนนเต็ม]])*tbl_task9[[%]:[%]])</f>
        <v/>
      </c>
      <c r="HW11" s="121" t="str">
        <f>IF(ISBLANK(tbl_task9[[คะแนนเต็ม]:[คะแนนเต็ม]]),"",(tbl_task9[61]/tbl_task9[[คะแนนเต็ม]:[คะแนนเต็ม]])*tbl_task9[[%]:[%]])</f>
        <v/>
      </c>
      <c r="HX11" s="121" t="str">
        <f>IF(ISBLANK(tbl_task9[[คะแนนเต็ม]:[คะแนนเต็ม]]),"",(tbl_task9[62]/tbl_task9[[คะแนนเต็ม]:[คะแนนเต็ม]])*tbl_task9[[%]:[%]])</f>
        <v/>
      </c>
      <c r="HY11" s="121" t="str">
        <f>IF(ISBLANK(tbl_task9[[คะแนนเต็ม]:[คะแนนเต็ม]]),"",(tbl_task9[63]/tbl_task9[[คะแนนเต็ม]:[คะแนนเต็ม]])*tbl_task9[[%]:[%]])</f>
        <v/>
      </c>
      <c r="HZ11" s="121" t="str">
        <f>IF(ISBLANK(tbl_task9[[คะแนนเต็ม]:[คะแนนเต็ม]]),"",(tbl_task9[64]/tbl_task9[[คะแนนเต็ม]:[คะแนนเต็ม]])*tbl_task9[[%]:[%]])</f>
        <v/>
      </c>
      <c r="IA11" s="121" t="str">
        <f>IF(ISBLANK(tbl_task9[[คะแนนเต็ม]:[คะแนนเต็ม]]),"",(tbl_task9[65]/tbl_task9[[คะแนนเต็ม]:[คะแนนเต็ม]])*tbl_task9[[%]:[%]])</f>
        <v/>
      </c>
      <c r="IB11" s="121" t="str">
        <f>IF(ISBLANK(tbl_task9[[คะแนนเต็ม]:[คะแนนเต็ม]]),"",(tbl_task9[66]/tbl_task9[[คะแนนเต็ม]:[คะแนนเต็ม]])*tbl_task9[[%]:[%]])</f>
        <v/>
      </c>
      <c r="IC11" s="121" t="str">
        <f>IF(ISBLANK(tbl_task9[[คะแนนเต็ม]:[คะแนนเต็ม]]),"",(tbl_task9[67]/tbl_task9[[คะแนนเต็ม]:[คะแนนเต็ม]])*tbl_task9[[%]:[%]])</f>
        <v/>
      </c>
      <c r="ID11" s="121" t="str">
        <f>IF(ISBLANK(tbl_task9[[คะแนนเต็ม]:[คะแนนเต็ม]]),"",(tbl_task9[68]/tbl_task9[[คะแนนเต็ม]:[คะแนนเต็ม]])*tbl_task9[[%]:[%]])</f>
        <v/>
      </c>
      <c r="IE11" s="121" t="str">
        <f>IF(ISBLANK(tbl_task9[[คะแนนเต็ม]:[คะแนนเต็ม]]),"",(tbl_task9[69]/tbl_task9[[คะแนนเต็ม]:[คะแนนเต็ม]])*tbl_task9[[%]:[%]])</f>
        <v/>
      </c>
      <c r="IF11" s="121" t="str">
        <f>IF(ISBLANK(tbl_task9[[คะแนนเต็ม]:[คะแนนเต็ม]]),"",(tbl_task9[70]/tbl_task9[[คะแนนเต็ม]:[คะแนนเต็ม]])*tbl_task9[[%]:[%]])</f>
        <v/>
      </c>
      <c r="IG11" s="121" t="str">
        <f>IF(ISBLANK(tbl_task9[[คะแนนเต็ม]:[คะแนนเต็ม]]),"",(tbl_task9[71]/tbl_task9[[คะแนนเต็ม]:[คะแนนเต็ม]])*tbl_task9[[%]:[%]])</f>
        <v/>
      </c>
      <c r="IH11" s="121" t="str">
        <f>IF(ISBLANK(tbl_task9[[คะแนนเต็ม]:[คะแนนเต็ม]]),"",(tbl_task9[72]/tbl_task9[[คะแนนเต็ม]:[คะแนนเต็ม]])*tbl_task9[[%]:[%]])</f>
        <v/>
      </c>
      <c r="II11" s="121" t="str">
        <f>IF(ISBLANK(tbl_task9[[คะแนนเต็ม]:[คะแนนเต็ม]]),"",(tbl_task9[73]/tbl_task9[[คะแนนเต็ม]:[คะแนนเต็ม]])*tbl_task9[[%]:[%]])</f>
        <v/>
      </c>
      <c r="IJ11" s="121" t="str">
        <f>IF(ISBLANK(tbl_task9[[คะแนนเต็ม]:[คะแนนเต็ม]]),"",(tbl_task9[74]/tbl_task9[[คะแนนเต็ม]:[คะแนนเต็ม]])*tbl_task9[[%]:[%]])</f>
        <v/>
      </c>
      <c r="IK11" s="121" t="str">
        <f>IF(ISBLANK(tbl_task9[[คะแนนเต็ม]:[คะแนนเต็ม]]),"",(tbl_task9[75]/tbl_task9[[คะแนนเต็ม]:[คะแนนเต็ม]])*tbl_task9[[%]:[%]])</f>
        <v/>
      </c>
      <c r="IL11" s="121" t="str">
        <f>IF(ISBLANK(tbl_task9[[คะแนนเต็ม]:[คะแนนเต็ม]]),"",(tbl_task9[76]/tbl_task9[[คะแนนเต็ม]:[คะแนนเต็ม]])*tbl_task9[[%]:[%]])</f>
        <v/>
      </c>
      <c r="IM11" s="121" t="str">
        <f>IF(ISBLANK(tbl_task9[[คะแนนเต็ม]:[คะแนนเต็ม]]),"",(tbl_task9[77]/tbl_task9[[คะแนนเต็ม]:[คะแนนเต็ม]])*tbl_task9[[%]:[%]])</f>
        <v/>
      </c>
      <c r="IN11" s="121" t="str">
        <f>IF(ISBLANK(tbl_task9[[คะแนนเต็ม]:[คะแนนเต็ม]]),"",(tbl_task9[78]/tbl_task9[[คะแนนเต็ม]:[คะแนนเต็ม]])*tbl_task9[[%]:[%]])</f>
        <v/>
      </c>
      <c r="IO11" s="121" t="str">
        <f>IF(ISBLANK(tbl_task9[[คะแนนเต็ม]:[คะแนนเต็ม]]),"",(tbl_task9[79]/tbl_task9[[คะแนนเต็ม]:[คะแนนเต็ม]])*tbl_task9[[%]:[%]])</f>
        <v/>
      </c>
      <c r="IP11" s="121" t="str">
        <f>IF(ISBLANK(tbl_task9[[คะแนนเต็ม]:[คะแนนเต็ม]]),"",(tbl_task9[80]/tbl_task9[[คะแนนเต็ม]:[คะแนนเต็ม]])*tbl_task9[[%]:[%]])</f>
        <v/>
      </c>
      <c r="IQ11" s="121" t="str">
        <f>IF(ISBLANK(tbl_task9[[คะแนนเต็ม]:[คะแนนเต็ม]]),"",(tbl_task9[81]/tbl_task9[[คะแนนเต็ม]:[คะแนนเต็ม]])*tbl_task9[[%]:[%]])</f>
        <v/>
      </c>
      <c r="IR11" s="121" t="str">
        <f>IF(ISBLANK(tbl_task9[[คะแนนเต็ม]:[คะแนนเต็ม]]),"",(tbl_task9[82]/tbl_task9[[คะแนนเต็ม]:[คะแนนเต็ม]])*tbl_task9[[%]:[%]])</f>
        <v/>
      </c>
      <c r="IS11" s="121" t="str">
        <f>IF(ISBLANK(tbl_task9[[คะแนนเต็ม]:[คะแนนเต็ม]]),"",(tbl_task9[83]/tbl_task9[[คะแนนเต็ม]:[คะแนนเต็ม]])*tbl_task9[[%]:[%]])</f>
        <v/>
      </c>
      <c r="IT11" s="121" t="str">
        <f>IF(ISBLANK(tbl_task9[[คะแนนเต็ม]:[คะแนนเต็ม]]),"",(tbl_task9[84]/tbl_task9[[คะแนนเต็ม]:[คะแนนเต็ม]])*tbl_task9[[%]:[%]])</f>
        <v/>
      </c>
      <c r="IU11" s="121" t="str">
        <f>IF(ISBLANK(tbl_task9[[คะแนนเต็ม]:[คะแนนเต็ม]]),"",(tbl_task9[85]/tbl_task9[[คะแนนเต็ม]:[คะแนนเต็ม]])*tbl_task9[[%]:[%]])</f>
        <v/>
      </c>
      <c r="IV11" s="121" t="str">
        <f>IF(ISBLANK(tbl_task9[[คะแนนเต็ม]:[คะแนนเต็ม]]),"",(tbl_task9[86]/tbl_task9[[คะแนนเต็ม]:[คะแนนเต็ม]])*tbl_task9[[%]:[%]])</f>
        <v/>
      </c>
      <c r="IW11" s="121" t="str">
        <f>IF(ISBLANK(tbl_task9[[คะแนนเต็ม]:[คะแนนเต็ม]]),"",(tbl_task9[87]/tbl_task9[[คะแนนเต็ม]:[คะแนนเต็ม]])*tbl_task9[[%]:[%]])</f>
        <v/>
      </c>
      <c r="IX11" s="121" t="str">
        <f>IF(ISBLANK(tbl_task9[[คะแนนเต็ม]:[คะแนนเต็ม]]),"",(tbl_task9[88]/tbl_task9[[คะแนนเต็ม]:[คะแนนเต็ม]])*tbl_task9[[%]:[%]])</f>
        <v/>
      </c>
      <c r="IY11" s="121" t="str">
        <f>IF(ISBLANK(tbl_task9[[คะแนนเต็ม]:[คะแนนเต็ม]]),"",(tbl_task9[89]/tbl_task9[[คะแนนเต็ม]:[คะแนนเต็ม]])*tbl_task9[[%]:[%]])</f>
        <v/>
      </c>
      <c r="IZ11" s="121" t="str">
        <f>IF(ISBLANK(tbl_task9[[คะแนนเต็ม]:[คะแนนเต็ม]]),"",(tbl_task9[90]/tbl_task9[[คะแนนเต็ม]:[คะแนนเต็ม]])*tbl_task9[[%]:[%]])</f>
        <v/>
      </c>
      <c r="JA11" s="121" t="str">
        <f>IF(ISBLANK(tbl_task9[[คะแนนเต็ม]:[คะแนนเต็ม]]),"",(tbl_task9[91]/tbl_task9[[คะแนนเต็ม]:[คะแนนเต็ม]])*tbl_task9[[%]:[%]])</f>
        <v/>
      </c>
      <c r="JB11" s="121" t="str">
        <f>IF(ISBLANK(tbl_task9[[คะแนนเต็ม]:[คะแนนเต็ม]]),"",(tbl_task9[92]/tbl_task9[[คะแนนเต็ม]:[คะแนนเต็ม]])*tbl_task9[[%]:[%]])</f>
        <v/>
      </c>
      <c r="JC11" s="121" t="str">
        <f>IF(ISBLANK(tbl_task9[[คะแนนเต็ม]:[คะแนนเต็ม]]),"",(tbl_task9[93]/tbl_task9[[คะแนนเต็ม]:[คะแนนเต็ม]])*tbl_task9[[%]:[%]])</f>
        <v/>
      </c>
      <c r="JD11" s="121" t="str">
        <f>IF(ISBLANK(tbl_task9[[คะแนนเต็ม]:[คะแนนเต็ม]]),"",(tbl_task9[94]/tbl_task9[[คะแนนเต็ม]:[คะแนนเต็ม]])*tbl_task9[[%]:[%]])</f>
        <v/>
      </c>
      <c r="JE11" s="121" t="str">
        <f>IF(ISBLANK(tbl_task9[[คะแนนเต็ม]:[คะแนนเต็ม]]),"",(tbl_task9[95]/tbl_task9[[คะแนนเต็ม]:[คะแนนเต็ม]])*tbl_task9[[%]:[%]])</f>
        <v/>
      </c>
      <c r="JF11" s="121" t="str">
        <f>IF(ISBLANK(tbl_task9[[คะแนนเต็ม]:[คะแนนเต็ม]]),"",(tbl_task9[96]/tbl_task9[[คะแนนเต็ม]:[คะแนนเต็ม]])*tbl_task9[[%]:[%]])</f>
        <v/>
      </c>
      <c r="JG11" s="121" t="str">
        <f>IF(ISBLANK(tbl_task9[[คะแนนเต็ม]:[คะแนนเต็ม]]),"",(tbl_task9[97]/tbl_task9[[คะแนนเต็ม]:[คะแนนเต็ม]])*tbl_task9[[%]:[%]])</f>
        <v/>
      </c>
      <c r="JH11" s="121" t="str">
        <f>IF(ISBLANK(tbl_task9[[คะแนนเต็ม]:[คะแนนเต็ม]]),"",(tbl_task9[98]/tbl_task9[[คะแนนเต็ม]:[คะแนนเต็ม]])*tbl_task9[[%]:[%]])</f>
        <v/>
      </c>
      <c r="JI11" s="121" t="str">
        <f>IF(ISBLANK(tbl_task9[[คะแนนเต็ม]:[คะแนนเต็ม]]),"",(tbl_task9[99]/tbl_task9[[คะแนนเต็ม]:[คะแนนเต็ม]])*tbl_task9[[%]:[%]])</f>
        <v/>
      </c>
      <c r="JJ11" s="121" t="str">
        <f>IF(ISBLANK(tbl_task9[[คะแนนเต็ม]:[คะแนนเต็ม]]),"",(tbl_task9[100]/tbl_task9[[คะแนนเต็ม]:[คะแนนเต็ม]])*tbl_task9[[%]:[%]])</f>
        <v/>
      </c>
      <c r="JK11" s="121" t="str">
        <f>IF(ISBLANK(tbl_task9[[คะแนนเต็ม]:[คะแนนเต็ม]]),"",(tbl_task9[101]/tbl_task9[[คะแนนเต็ม]:[คะแนนเต็ม]])*tbl_task9[[%]:[%]])</f>
        <v/>
      </c>
      <c r="JL11" s="121" t="str">
        <f>IF(ISBLANK(tbl_task9[[คะแนนเต็ม]:[คะแนนเต็ม]]),"",(tbl_task9[102]/tbl_task9[[คะแนนเต็ม]:[คะแนนเต็ม]])*tbl_task9[[%]:[%]])</f>
        <v/>
      </c>
      <c r="JM11" s="121" t="str">
        <f>IF(ISBLANK(tbl_task9[[คะแนนเต็ม]:[คะแนนเต็ม]]),"",(tbl_task9[103]/tbl_task9[[คะแนนเต็ม]:[คะแนนเต็ม]])*tbl_task9[[%]:[%]])</f>
        <v/>
      </c>
      <c r="JN11" s="121" t="str">
        <f>IF(ISBLANK(tbl_task9[[คะแนนเต็ม]:[คะแนนเต็ม]]),"",(tbl_task9[104]/tbl_task9[[คะแนนเต็ม]:[คะแนนเต็ม]])*tbl_task9[[%]:[%]])</f>
        <v/>
      </c>
      <c r="JO11" s="121" t="str">
        <f>IF(ISBLANK(tbl_task9[[คะแนนเต็ม]:[คะแนนเต็ม]]),"",(tbl_task9[105]/tbl_task9[[คะแนนเต็ม]:[คะแนนเต็ม]])*tbl_task9[[%]:[%]])</f>
        <v/>
      </c>
      <c r="JP11" s="121" t="str">
        <f>IF(ISBLANK(tbl_task9[[คะแนนเต็ม]:[คะแนนเต็ม]]),"",(tbl_task9[106]/tbl_task9[[คะแนนเต็ม]:[คะแนนเต็ม]])*tbl_task9[[%]:[%]])</f>
        <v/>
      </c>
      <c r="JQ11" s="121" t="str">
        <f>IF(ISBLANK(tbl_task9[[คะแนนเต็ม]:[คะแนนเต็ม]]),"",(tbl_task9[107]/tbl_task9[[คะแนนเต็ม]:[คะแนนเต็ม]])*tbl_task9[[%]:[%]])</f>
        <v/>
      </c>
      <c r="JR11" s="121" t="str">
        <f>IF(ISBLANK(tbl_task9[[คะแนนเต็ม]:[คะแนนเต็ม]]),"",(tbl_task9[108]/tbl_task9[[คะแนนเต็ม]:[คะแนนเต็ม]])*tbl_task9[[%]:[%]])</f>
        <v/>
      </c>
      <c r="JS11" s="121" t="str">
        <f>IF(ISBLANK(tbl_task9[[คะแนนเต็ม]:[คะแนนเต็ม]]),"",(tbl_task9[109]/tbl_task9[[คะแนนเต็ม]:[คะแนนเต็ม]])*tbl_task9[[%]:[%]])</f>
        <v/>
      </c>
      <c r="JT11" s="121" t="str">
        <f>IF(ISBLANK(tbl_task9[[คะแนนเต็ม]:[คะแนนเต็ม]]),"",(tbl_task9[110]/tbl_task9[[คะแนนเต็ม]:[คะแนนเต็ม]])*tbl_task9[[%]:[%]])</f>
        <v/>
      </c>
      <c r="JU11" s="121" t="str">
        <f>IF(ISBLANK(tbl_task9[[คะแนนเต็ม]:[คะแนนเต็ม]]),"",(tbl_task9[111]/tbl_task9[[คะแนนเต็ม]:[คะแนนเต็ม]])*tbl_task9[[%]:[%]])</f>
        <v/>
      </c>
      <c r="JV11" s="121" t="str">
        <f>IF(ISBLANK(tbl_task9[[คะแนนเต็ม]:[คะแนนเต็ม]]),"",(tbl_task9[112]/tbl_task9[[คะแนนเต็ม]:[คะแนนเต็ม]])*tbl_task9[[%]:[%]])</f>
        <v/>
      </c>
      <c r="JW11" s="121" t="str">
        <f>IF(ISBLANK(tbl_task9[[คะแนนเต็ม]:[คะแนนเต็ม]]),"",(tbl_task9[113]/tbl_task9[[คะแนนเต็ม]:[คะแนนเต็ม]])*tbl_task9[[%]:[%]])</f>
        <v/>
      </c>
      <c r="JX11" s="121" t="str">
        <f>IF(ISBLANK(tbl_task9[[คะแนนเต็ม]:[คะแนนเต็ม]]),"",(tbl_task9[114]/tbl_task9[[คะแนนเต็ม]:[คะแนนเต็ม]])*tbl_task9[[%]:[%]])</f>
        <v/>
      </c>
      <c r="JY11" s="121" t="str">
        <f>IF(ISBLANK(tbl_task9[[คะแนนเต็ม]:[คะแนนเต็ม]]),"",(tbl_task9[115]/tbl_task9[[คะแนนเต็ม]:[คะแนนเต็ม]])*tbl_task9[[%]:[%]])</f>
        <v/>
      </c>
      <c r="JZ11" s="121" t="str">
        <f>IF(ISBLANK(tbl_task9[[คะแนนเต็ม]:[คะแนนเต็ม]]),"",(tbl_task9[116]/tbl_task9[[คะแนนเต็ม]:[คะแนนเต็ม]])*tbl_task9[[%]:[%]])</f>
        <v/>
      </c>
      <c r="KA11" s="121" t="str">
        <f>IF(ISBLANK(tbl_task9[[คะแนนเต็ม]:[คะแนนเต็ม]]),"",(tbl_task9[117]/tbl_task9[[คะแนนเต็ม]:[คะแนนเต็ม]])*tbl_task9[[%]:[%]])</f>
        <v/>
      </c>
      <c r="KB11" s="121" t="str">
        <f>IF(ISBLANK(tbl_task9[[คะแนนเต็ม]:[คะแนนเต็ม]]),"",(tbl_task9[118]/tbl_task9[[คะแนนเต็ม]:[คะแนนเต็ม]])*tbl_task9[[%]:[%]])</f>
        <v/>
      </c>
      <c r="KC11" s="121" t="str">
        <f>IF(ISBLANK(tbl_task9[[คะแนนเต็ม]:[คะแนนเต็ม]]),"",(tbl_task9[119]/tbl_task9[[คะแนนเต็ม]:[คะแนนเต็ม]])*tbl_task9[[%]:[%]])</f>
        <v/>
      </c>
      <c r="KD11" s="121" t="str">
        <f>IF(ISBLANK(tbl_task9[[คะแนนเต็ม]:[คะแนนเต็ม]]),"",(tbl_task9[120]/tbl_task9[[คะแนนเต็ม]:[คะแนนเต็ม]])*tbl_task9[[%]:[%]])</f>
        <v/>
      </c>
      <c r="KE11" s="121" t="str">
        <f>IF(ISBLANK(tbl_task9[[คะแนนเต็ม]:[คะแนนเต็ม]]),"",(tbl_task9[121]/tbl_task9[[คะแนนเต็ม]:[คะแนนเต็ม]])*tbl_task9[[%]:[%]])</f>
        <v/>
      </c>
      <c r="KF11" s="121" t="str">
        <f>IF(ISBLANK(tbl_task9[[คะแนนเต็ม]:[คะแนนเต็ม]]),"",(tbl_task9[122]/tbl_task9[[คะแนนเต็ม]:[คะแนนเต็ม]])*tbl_task9[[%]:[%]])</f>
        <v/>
      </c>
      <c r="KG11" s="121" t="str">
        <f>IF(ISBLANK(tbl_task9[[คะแนนเต็ม]:[คะแนนเต็ม]]),"",(tbl_task9[123]/tbl_task9[[คะแนนเต็ม]:[คะแนนเต็ม]])*tbl_task9[[%]:[%]])</f>
        <v/>
      </c>
      <c r="KH11" s="121" t="str">
        <f>IF(ISBLANK(tbl_task9[[คะแนนเต็ม]:[คะแนนเต็ม]]),"",(tbl_task9[124]/tbl_task9[[คะแนนเต็ม]:[คะแนนเต็ม]])*tbl_task9[[%]:[%]])</f>
        <v/>
      </c>
      <c r="KI11" s="121" t="str">
        <f>IF(ISBLANK(tbl_task9[[คะแนนเต็ม]:[คะแนนเต็ม]]),"",(tbl_task9[125]/tbl_task9[[คะแนนเต็ม]:[คะแนนเต็ม]])*tbl_task9[[%]:[%]])</f>
        <v/>
      </c>
      <c r="KJ11" s="121" t="str">
        <f>IF(ISBLANK(tbl_task9[[คะแนนเต็ม]:[คะแนนเต็ม]]),"",(tbl_task9[126]/tbl_task9[[คะแนนเต็ม]:[คะแนนเต็ม]])*tbl_task9[[%]:[%]])</f>
        <v/>
      </c>
      <c r="KK11" s="121" t="str">
        <f>IF(ISBLANK(tbl_task9[[คะแนนเต็ม]:[คะแนนเต็ม]]),"",(tbl_task9[127]/tbl_task9[[คะแนนเต็ม]:[คะแนนเต็ม]])*tbl_task9[[%]:[%]])</f>
        <v/>
      </c>
      <c r="KL11" s="121" t="str">
        <f>IF(ISBLANK(tbl_task9[[คะแนนเต็ม]:[คะแนนเต็ม]]),"",(tbl_task9[128]/tbl_task9[[คะแนนเต็ม]:[คะแนนเต็ม]])*tbl_task9[[%]:[%]])</f>
        <v/>
      </c>
      <c r="KM11" s="121" t="str">
        <f>IF(ISBLANK(tbl_task9[[คะแนนเต็ม]:[คะแนนเต็ม]]),"",(tbl_task9[129]/tbl_task9[[คะแนนเต็ม]:[คะแนนเต็ม]])*tbl_task9[[%]:[%]])</f>
        <v/>
      </c>
      <c r="KN11" s="121" t="str">
        <f>IF(ISBLANK(tbl_task9[[คะแนนเต็ม]:[คะแนนเต็ม]]),"",(tbl_task9[130]/tbl_task9[[คะแนนเต็ม]:[คะแนนเต็ม]])*tbl_task9[[%]:[%]])</f>
        <v/>
      </c>
      <c r="KO11" s="121" t="str">
        <f>IF(ISBLANK(tbl_task9[[คะแนนเต็ม]:[คะแนนเต็ม]]),"",(tbl_task9[131]/tbl_task9[[คะแนนเต็ม]:[คะแนนเต็ม]])*tbl_task9[[%]:[%]])</f>
        <v/>
      </c>
      <c r="KP11" s="121" t="str">
        <f>IF(ISBLANK(tbl_task9[[คะแนนเต็ม]:[คะแนนเต็ม]]),"",(tbl_task9[132]/tbl_task9[[คะแนนเต็ม]:[คะแนนเต็ม]])*tbl_task9[[%]:[%]])</f>
        <v/>
      </c>
      <c r="KQ11" s="121" t="str">
        <f>IF(ISBLANK(tbl_task9[[คะแนนเต็ม]:[คะแนนเต็ม]]),"",(tbl_task9[133]/tbl_task9[[คะแนนเต็ม]:[คะแนนเต็ม]])*tbl_task9[[%]:[%]])</f>
        <v/>
      </c>
      <c r="KR11" s="121" t="str">
        <f>IF(ISBLANK(tbl_task9[[คะแนนเต็ม]:[คะแนนเต็ม]]),"",(tbl_task9[134]/tbl_task9[[คะแนนเต็ม]:[คะแนนเต็ม]])*tbl_task9[[%]:[%]])</f>
        <v/>
      </c>
      <c r="KS11" s="121" t="str">
        <f>IF(ISBLANK(tbl_task9[[คะแนนเต็ม]:[คะแนนเต็ม]]),"",(tbl_task9[135]/tbl_task9[[คะแนนเต็ม]:[คะแนนเต็ม]])*tbl_task9[[%]:[%]])</f>
        <v/>
      </c>
      <c r="KT11" s="121" t="str">
        <f>IF(ISBLANK(tbl_task9[[คะแนนเต็ม]:[คะแนนเต็ม]]),"",(tbl_task9[136]/tbl_task9[[คะแนนเต็ม]:[คะแนนเต็ม]])*tbl_task9[[%]:[%]])</f>
        <v/>
      </c>
      <c r="KU11" s="121" t="str">
        <f>IF(ISBLANK(tbl_task9[[คะแนนเต็ม]:[คะแนนเต็ม]]),"",(tbl_task9[137]/tbl_task9[[คะแนนเต็ม]:[คะแนนเต็ม]])*tbl_task9[[%]:[%]])</f>
        <v/>
      </c>
      <c r="KV11" s="121" t="str">
        <f>IF(ISBLANK(tbl_task9[[คะแนนเต็ม]:[คะแนนเต็ม]]),"",(tbl_task9[138]/tbl_task9[[คะแนนเต็ม]:[คะแนนเต็ม]])*tbl_task9[[%]:[%]])</f>
        <v/>
      </c>
      <c r="KW11" s="121" t="str">
        <f>IF(ISBLANK(tbl_task9[[คะแนนเต็ม]:[คะแนนเต็ม]]),"",(tbl_task9[139]/tbl_task9[[คะแนนเต็ม]:[คะแนนเต็ม]])*tbl_task9[[%]:[%]])</f>
        <v/>
      </c>
      <c r="KX11" s="121" t="str">
        <f>IF(ISBLANK(tbl_task9[[คะแนนเต็ม]:[คะแนนเต็ม]]),"",(tbl_task9[140]/tbl_task9[[คะแนนเต็ม]:[คะแนนเต็ม]])*tbl_task9[[%]:[%]])</f>
        <v/>
      </c>
      <c r="KY11" s="121" t="str">
        <f>IF(ISBLANK(tbl_task9[[คะแนนเต็ม]:[คะแนนเต็ม]]),"",(tbl_task9[141]/tbl_task9[[คะแนนเต็ม]:[คะแนนเต็ม]])*tbl_task9[[%]:[%]])</f>
        <v/>
      </c>
      <c r="KZ11" s="121" t="str">
        <f>IF(ISBLANK(tbl_task9[[คะแนนเต็ม]:[คะแนนเต็ม]]),"",(tbl_task9[142]/tbl_task9[[คะแนนเต็ม]:[คะแนนเต็ม]])*tbl_task9[[%]:[%]])</f>
        <v/>
      </c>
      <c r="LA11" s="121" t="str">
        <f>IF(ISBLANK(tbl_task9[[คะแนนเต็ม]:[คะแนนเต็ม]]),"",(tbl_task9[143]/tbl_task9[[คะแนนเต็ม]:[คะแนนเต็ม]])*tbl_task9[[%]:[%]])</f>
        <v/>
      </c>
      <c r="LB11" s="121" t="str">
        <f>IF(ISBLANK(tbl_task9[[คะแนนเต็ม]:[คะแนนเต็ม]]),"",(tbl_task9[144]/tbl_task9[[คะแนนเต็ม]:[คะแนนเต็ม]])*tbl_task9[[%]:[%]])</f>
        <v/>
      </c>
      <c r="LC11" s="121" t="str">
        <f>IF(ISBLANK(tbl_task9[[คะแนนเต็ม]:[คะแนนเต็ม]]),"",(tbl_task9[145]/tbl_task9[[คะแนนเต็ม]:[คะแนนเต็ม]])*tbl_task9[[%]:[%]])</f>
        <v/>
      </c>
      <c r="LD11" s="121" t="str">
        <f>IF(ISBLANK(tbl_task9[[คะแนนเต็ม]:[คะแนนเต็ม]]),"",(tbl_task9[146]/tbl_task9[[คะแนนเต็ม]:[คะแนนเต็ม]])*tbl_task9[[%]:[%]])</f>
        <v/>
      </c>
      <c r="LE11" s="121" t="str">
        <f>IF(ISBLANK(tbl_task9[[คะแนนเต็ม]:[คะแนนเต็ม]]),"",(tbl_task9[147]/tbl_task9[[คะแนนเต็ม]:[คะแนนเต็ม]])*tbl_task9[[%]:[%]])</f>
        <v/>
      </c>
      <c r="LF11" s="121" t="str">
        <f>IF(ISBLANK(tbl_task9[[คะแนนเต็ม]:[คะแนนเต็ม]]),"",(tbl_task9[148]/tbl_task9[[คะแนนเต็ม]:[คะแนนเต็ม]])*tbl_task9[[%]:[%]])</f>
        <v/>
      </c>
      <c r="LG11" s="121" t="str">
        <f>IF(ISBLANK(tbl_task9[[คะแนนเต็ม]:[คะแนนเต็ม]]),"",(tbl_task9[149]/tbl_task9[[คะแนนเต็ม]:[คะแนนเต็ม]])*tbl_task9[[%]:[%]])</f>
        <v/>
      </c>
      <c r="LH11" s="121" t="str">
        <f>IF(ISBLANK(tbl_task9[[คะแนนเต็ม]:[คะแนนเต็ม]]),"",(tbl_task9[150]/tbl_task9[[คะแนนเต็ม]:[คะแนนเต็ม]])*tbl_task9[[%]:[%]])</f>
        <v/>
      </c>
      <c r="LI11" s="121" t="str">
        <f>IF(ISBLANK(tbl_task9[[คะแนนเต็ม]:[คะแนนเต็ม]]),"",(tbl_task9[151]/tbl_task9[[คะแนนเต็ม]:[คะแนนเต็ม]])*tbl_task9[[%]:[%]])</f>
        <v/>
      </c>
      <c r="LJ11" s="121" t="str">
        <f>IF(ISBLANK(tbl_task9[[คะแนนเต็ม]:[คะแนนเต็ม]]),"",(tbl_task9[152]/tbl_task9[[คะแนนเต็ม]:[คะแนนเต็ม]])*tbl_task9[[%]:[%]])</f>
        <v/>
      </c>
      <c r="LK11" s="121" t="str">
        <f>IF(ISBLANK(tbl_task9[[คะแนนเต็ม]:[คะแนนเต็ม]]),"",(tbl_task9[153]/tbl_task9[[คะแนนเต็ม]:[คะแนนเต็ม]])*tbl_task9[[%]:[%]])</f>
        <v/>
      </c>
      <c r="LL11" s="121" t="str">
        <f>IF(ISBLANK(tbl_task9[[คะแนนเต็ม]:[คะแนนเต็ม]]),"",(tbl_task9[154]/tbl_task9[[คะแนนเต็ม]:[คะแนนเต็ม]])*tbl_task9[[%]:[%]])</f>
        <v/>
      </c>
      <c r="LM11" s="121" t="str">
        <f>IF(ISBLANK(tbl_task9[[คะแนนเต็ม]:[คะแนนเต็ม]]),"",(tbl_task9[155]/tbl_task9[[คะแนนเต็ม]:[คะแนนเต็ม]])*tbl_task9[[%]:[%]])</f>
        <v/>
      </c>
      <c r="LN11" s="121" t="str">
        <f>IF(ISBLANK(tbl_task9[[คะแนนเต็ม]:[คะแนนเต็ม]]),"",(tbl_task9[156]/tbl_task9[[คะแนนเต็ม]:[คะแนนเต็ม]])*tbl_task9[[%]:[%]])</f>
        <v/>
      </c>
      <c r="LO11" s="121" t="str">
        <f>IF(ISBLANK(tbl_task9[[คะแนนเต็ม]:[คะแนนเต็ม]]),"",(tbl_task9[157]/tbl_task9[[คะแนนเต็ม]:[คะแนนเต็ม]])*tbl_task9[[%]:[%]])</f>
        <v/>
      </c>
      <c r="LP11" s="121" t="str">
        <f>IF(ISBLANK(tbl_task9[[คะแนนเต็ม]:[คะแนนเต็ม]]),"",(tbl_task9[158]/tbl_task9[[คะแนนเต็ม]:[คะแนนเต็ม]])*tbl_task9[[%]:[%]])</f>
        <v/>
      </c>
      <c r="LQ11" s="121" t="str">
        <f>IF(ISBLANK(tbl_task9[[คะแนนเต็ม]:[คะแนนเต็ม]]),"",(tbl_task9[159]/tbl_task9[[คะแนนเต็ม]:[คะแนนเต็ม]])*tbl_task9[[%]:[%]])</f>
        <v/>
      </c>
      <c r="LR11" s="121" t="str">
        <f>IF(ISBLANK(tbl_task9[[คะแนนเต็ม]:[คะแนนเต็ม]]),"",(tbl_task9[160]/tbl_task9[[คะแนนเต็ม]:[คะแนนเต็ม]])*tbl_task9[[%]:[%]])</f>
        <v/>
      </c>
      <c r="LS11" s="121" t="str">
        <f>IF(ISBLANK(tbl_task9[[คะแนนเต็ม]:[คะแนนเต็ม]]),"",(tbl_task9[161]/tbl_task9[[คะแนนเต็ม]:[คะแนนเต็ม]])*tbl_task9[[%]:[%]])</f>
        <v/>
      </c>
      <c r="LT11" s="121" t="str">
        <f>IF(ISBLANK(tbl_task9[[คะแนนเต็ม]:[คะแนนเต็ม]]),"",(tbl_task9[162]/tbl_task9[[คะแนนเต็ม]:[คะแนนเต็ม]])*tbl_task9[[%]:[%]])</f>
        <v/>
      </c>
      <c r="LU11" s="121" t="str">
        <f>IF(ISBLANK(tbl_task9[[คะแนนเต็ม]:[คะแนนเต็ม]]),"",(tbl_task9[163]/tbl_task9[[คะแนนเต็ม]:[คะแนนเต็ม]])*tbl_task9[[%]:[%]])</f>
        <v/>
      </c>
      <c r="LV11" s="121" t="str">
        <f>IF(ISBLANK(tbl_task9[[คะแนนเต็ม]:[คะแนนเต็ม]]),"",(tbl_task9[164]/tbl_task9[[คะแนนเต็ม]:[คะแนนเต็ม]])*tbl_task9[[%]:[%]])</f>
        <v/>
      </c>
      <c r="LW11" s="121" t="str">
        <f>IF(ISBLANK(tbl_task9[[คะแนนเต็ม]:[คะแนนเต็ม]]),"",(tbl_task9[165]/tbl_task9[[คะแนนเต็ม]:[คะแนนเต็ม]])*tbl_task9[[%]:[%]])</f>
        <v/>
      </c>
    </row>
    <row r="12" spans="1:335" ht="24" customHeight="1" x14ac:dyDescent="0.25">
      <c r="A12" s="24">
        <v>9</v>
      </c>
      <c r="B12" s="20"/>
      <c r="C12" s="5" t="str">
        <f>IF(ISBLANK(B12),"",VLOOKUP(B12,tbl_PLOs[],2,0))</f>
        <v/>
      </c>
      <c r="D12" s="102"/>
      <c r="E12" s="106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22"/>
      <c r="FO12" s="121" t="str">
        <f>IF(ISBLANK(tbl_task9[[คะแนนเต็ม]:[คะแนนเต็ม]]),"",(tbl_task9[1]/tbl_task9[[คะแนนเต็ม]:[คะแนนเต็ม]])*tbl_task9[[%]:[%]])</f>
        <v/>
      </c>
      <c r="FP12" s="121" t="str">
        <f>IF(ISBLANK(tbl_task9[[คะแนนเต็ม]:[คะแนนเต็ม]]),"",(tbl_task9[2]/tbl_task9[[คะแนนเต็ม]:[คะแนนเต็ม]])*tbl_task9[[%]:[%]])</f>
        <v/>
      </c>
      <c r="FQ12" s="121" t="str">
        <f>IF(ISBLANK(tbl_task9[[คะแนนเต็ม]:[คะแนนเต็ม]]),"",(tbl_task9[3]/tbl_task9[[คะแนนเต็ม]:[คะแนนเต็ม]])*tbl_task9[[%]:[%]])</f>
        <v/>
      </c>
      <c r="FR12" s="121" t="str">
        <f>IF(ISBLANK(tbl_task9[[คะแนนเต็ม]:[คะแนนเต็ม]]),"",(tbl_task9[4]/tbl_task9[[คะแนนเต็ม]:[คะแนนเต็ม]])*tbl_task9[[%]:[%]])</f>
        <v/>
      </c>
      <c r="FS12" s="121" t="str">
        <f>IF(ISBLANK(tbl_task9[[คะแนนเต็ม]:[คะแนนเต็ม]]),"",(tbl_task9[5]/tbl_task9[[คะแนนเต็ม]:[คะแนนเต็ม]])*tbl_task9[[%]:[%]])</f>
        <v/>
      </c>
      <c r="FT12" s="121" t="str">
        <f>IF(ISBLANK(tbl_task9[[คะแนนเต็ม]:[คะแนนเต็ม]]),"",(tbl_task9[6]/tbl_task9[[คะแนนเต็ม]:[คะแนนเต็ม]])*tbl_task9[[%]:[%]])</f>
        <v/>
      </c>
      <c r="FU12" s="121" t="str">
        <f>IF(ISBLANK(tbl_task9[[คะแนนเต็ม]:[คะแนนเต็ม]]),"",(tbl_task9[7]/tbl_task9[[คะแนนเต็ม]:[คะแนนเต็ม]])*tbl_task9[[%]:[%]])</f>
        <v/>
      </c>
      <c r="FV12" s="121" t="str">
        <f>IF(ISBLANK(tbl_task9[[คะแนนเต็ม]:[คะแนนเต็ม]]),"",(tbl_task9[8]/tbl_task9[[คะแนนเต็ม]:[คะแนนเต็ม]])*tbl_task9[[%]:[%]])</f>
        <v/>
      </c>
      <c r="FW12" s="121" t="str">
        <f>IF(ISBLANK(tbl_task9[[คะแนนเต็ม]:[คะแนนเต็ม]]),"",(tbl_task9[9]/tbl_task9[[คะแนนเต็ม]:[คะแนนเต็ม]])*tbl_task9[[%]:[%]])</f>
        <v/>
      </c>
      <c r="FX12" s="121" t="str">
        <f>IF(ISBLANK(tbl_task9[[คะแนนเต็ม]:[คะแนนเต็ม]]),"",(tbl_task9[10]/tbl_task9[[คะแนนเต็ม]:[คะแนนเต็ม]])*tbl_task9[[%]:[%]])</f>
        <v/>
      </c>
      <c r="FY12" s="121" t="str">
        <f>IF(ISBLANK(tbl_task9[[คะแนนเต็ม]:[คะแนนเต็ม]]),"",(tbl_task9[11]/tbl_task9[[คะแนนเต็ม]:[คะแนนเต็ม]])*tbl_task9[[%]:[%]])</f>
        <v/>
      </c>
      <c r="FZ12" s="121" t="str">
        <f>IF(ISBLANK(tbl_task9[[คะแนนเต็ม]:[คะแนนเต็ม]]),"",(tbl_task9[12]/tbl_task9[[คะแนนเต็ม]:[คะแนนเต็ม]])*tbl_task9[[%]:[%]])</f>
        <v/>
      </c>
      <c r="GA12" s="121" t="str">
        <f>IF(ISBLANK(tbl_task9[[คะแนนเต็ม]:[คะแนนเต็ม]]),"",(tbl_task9[13]/tbl_task9[[คะแนนเต็ม]:[คะแนนเต็ม]])*tbl_task9[[%]:[%]])</f>
        <v/>
      </c>
      <c r="GB12" s="121" t="str">
        <f>IF(ISBLANK(tbl_task9[[คะแนนเต็ม]:[คะแนนเต็ม]]),"",(tbl_task9[14]/tbl_task9[[คะแนนเต็ม]:[คะแนนเต็ม]])*tbl_task9[[%]:[%]])</f>
        <v/>
      </c>
      <c r="GC12" s="121" t="str">
        <f>IF(ISBLANK(tbl_task9[[คะแนนเต็ม]:[คะแนนเต็ม]]),"",(tbl_task9[15]/tbl_task9[[คะแนนเต็ม]:[คะแนนเต็ม]])*tbl_task9[[%]:[%]])</f>
        <v/>
      </c>
      <c r="GD12" s="121" t="str">
        <f>IF(ISBLANK(tbl_task9[[คะแนนเต็ม]:[คะแนนเต็ม]]),"",(tbl_task9[16]/tbl_task9[[คะแนนเต็ม]:[คะแนนเต็ม]])*tbl_task9[[%]:[%]])</f>
        <v/>
      </c>
      <c r="GE12" s="121" t="str">
        <f>IF(ISBLANK(tbl_task9[[คะแนนเต็ม]:[คะแนนเต็ม]]),"",(tbl_task9[17]/tbl_task9[[คะแนนเต็ม]:[คะแนนเต็ม]])*tbl_task9[[%]:[%]])</f>
        <v/>
      </c>
      <c r="GF12" s="121" t="str">
        <f>IF(ISBLANK(tbl_task9[[คะแนนเต็ม]:[คะแนนเต็ม]]),"",(tbl_task9[18]/tbl_task9[[คะแนนเต็ม]:[คะแนนเต็ม]])*tbl_task9[[%]:[%]])</f>
        <v/>
      </c>
      <c r="GG12" s="121" t="str">
        <f>IF(ISBLANK(tbl_task9[[คะแนนเต็ม]:[คะแนนเต็ม]]),"",(tbl_task9[19]/tbl_task9[[คะแนนเต็ม]:[คะแนนเต็ม]])*tbl_task9[[%]:[%]])</f>
        <v/>
      </c>
      <c r="GH12" s="121" t="str">
        <f>IF(ISBLANK(tbl_task9[[คะแนนเต็ม]:[คะแนนเต็ม]]),"",(tbl_task9[20]/tbl_task9[[คะแนนเต็ม]:[คะแนนเต็ม]])*tbl_task9[[%]:[%]])</f>
        <v/>
      </c>
      <c r="GI12" s="121" t="str">
        <f>IF(ISBLANK(tbl_task9[[คะแนนเต็ม]:[คะแนนเต็ม]]),"",(tbl_task9[21]/tbl_task9[[คะแนนเต็ม]:[คะแนนเต็ม]])*tbl_task9[[%]:[%]])</f>
        <v/>
      </c>
      <c r="GJ12" s="121" t="str">
        <f>IF(ISBLANK(tbl_task9[[คะแนนเต็ม]:[คะแนนเต็ม]]),"",(tbl_task9[22]/tbl_task9[[คะแนนเต็ม]:[คะแนนเต็ม]])*tbl_task9[[%]:[%]])</f>
        <v/>
      </c>
      <c r="GK12" s="121" t="str">
        <f>IF(ISBLANK(tbl_task9[[คะแนนเต็ม]:[คะแนนเต็ม]]),"",(tbl_task9[23]/tbl_task9[[คะแนนเต็ม]:[คะแนนเต็ม]])*tbl_task9[[%]:[%]])</f>
        <v/>
      </c>
      <c r="GL12" s="121" t="str">
        <f>IF(ISBLANK(tbl_task9[[คะแนนเต็ม]:[คะแนนเต็ม]]),"",(tbl_task9[24]/tbl_task9[[คะแนนเต็ม]:[คะแนนเต็ม]])*tbl_task9[[%]:[%]])</f>
        <v/>
      </c>
      <c r="GM12" s="121" t="str">
        <f>IF(ISBLANK(tbl_task9[[คะแนนเต็ม]:[คะแนนเต็ม]]),"",(tbl_task9[25]/tbl_task9[[คะแนนเต็ม]:[คะแนนเต็ม]])*tbl_task9[[%]:[%]])</f>
        <v/>
      </c>
      <c r="GN12" s="121" t="str">
        <f>IF(ISBLANK(tbl_task9[[คะแนนเต็ม]:[คะแนนเต็ม]]),"",(tbl_task9[26]/tbl_task9[[คะแนนเต็ม]:[คะแนนเต็ม]])*tbl_task9[[%]:[%]])</f>
        <v/>
      </c>
      <c r="GO12" s="121" t="str">
        <f>IF(ISBLANK(tbl_task9[[คะแนนเต็ม]:[คะแนนเต็ม]]),"",(tbl_task9[27]/tbl_task9[[คะแนนเต็ม]:[คะแนนเต็ม]])*tbl_task9[[%]:[%]])</f>
        <v/>
      </c>
      <c r="GP12" s="121" t="str">
        <f>IF(ISBLANK(tbl_task9[[คะแนนเต็ม]:[คะแนนเต็ม]]),"",(tbl_task9[28]/tbl_task9[[คะแนนเต็ม]:[คะแนนเต็ม]])*tbl_task9[[%]:[%]])</f>
        <v/>
      </c>
      <c r="GQ12" s="121" t="str">
        <f>IF(ISBLANK(tbl_task9[[คะแนนเต็ม]:[คะแนนเต็ม]]),"",(tbl_task9[29]/tbl_task9[[คะแนนเต็ม]:[คะแนนเต็ม]])*tbl_task9[[%]:[%]])</f>
        <v/>
      </c>
      <c r="GR12" s="121" t="str">
        <f>IF(ISBLANK(tbl_task9[[คะแนนเต็ม]:[คะแนนเต็ม]]),"",(tbl_task9[30]/tbl_task9[[คะแนนเต็ม]:[คะแนนเต็ม]])*tbl_task9[[%]:[%]])</f>
        <v/>
      </c>
      <c r="GS12" s="121" t="str">
        <f>IF(ISBLANK(tbl_task9[[คะแนนเต็ม]:[คะแนนเต็ม]]),"",(tbl_task9[31]/tbl_task9[[คะแนนเต็ม]:[คะแนนเต็ม]])*tbl_task9[[%]:[%]])</f>
        <v/>
      </c>
      <c r="GT12" s="121" t="str">
        <f>IF(ISBLANK(tbl_task9[[คะแนนเต็ม]:[คะแนนเต็ม]]),"",(tbl_task9[32]/tbl_task9[[คะแนนเต็ม]:[คะแนนเต็ม]])*tbl_task9[[%]:[%]])</f>
        <v/>
      </c>
      <c r="GU12" s="121" t="str">
        <f>IF(ISBLANK(tbl_task9[[คะแนนเต็ม]:[คะแนนเต็ม]]),"",(tbl_task9[33]/tbl_task9[[คะแนนเต็ม]:[คะแนนเต็ม]])*tbl_task9[[%]:[%]])</f>
        <v/>
      </c>
      <c r="GV12" s="121" t="str">
        <f>IF(ISBLANK(tbl_task9[[คะแนนเต็ม]:[คะแนนเต็ม]]),"",(tbl_task9[34]/tbl_task9[[คะแนนเต็ม]:[คะแนนเต็ม]])*tbl_task9[[%]:[%]])</f>
        <v/>
      </c>
      <c r="GW12" s="121" t="str">
        <f>IF(ISBLANK(tbl_task9[[คะแนนเต็ม]:[คะแนนเต็ม]]),"",(tbl_task9[35]/tbl_task9[[คะแนนเต็ม]:[คะแนนเต็ม]])*tbl_task9[[%]:[%]])</f>
        <v/>
      </c>
      <c r="GX12" s="121" t="str">
        <f>IF(ISBLANK(tbl_task9[[คะแนนเต็ม]:[คะแนนเต็ม]]),"",(tbl_task9[36]/tbl_task9[[คะแนนเต็ม]:[คะแนนเต็ม]])*tbl_task9[[%]:[%]])</f>
        <v/>
      </c>
      <c r="GY12" s="121" t="str">
        <f>IF(ISBLANK(tbl_task9[[คะแนนเต็ม]:[คะแนนเต็ม]]),"",(tbl_task9[37]/tbl_task9[[คะแนนเต็ม]:[คะแนนเต็ม]])*tbl_task9[[%]:[%]])</f>
        <v/>
      </c>
      <c r="GZ12" s="121" t="str">
        <f>IF(ISBLANK(tbl_task9[[คะแนนเต็ม]:[คะแนนเต็ม]]),"",(tbl_task9[38]/tbl_task9[[คะแนนเต็ม]:[คะแนนเต็ม]])*tbl_task9[[%]:[%]])</f>
        <v/>
      </c>
      <c r="HA12" s="121" t="str">
        <f>IF(ISBLANK(tbl_task9[[คะแนนเต็ม]:[คะแนนเต็ม]]),"",(tbl_task9[39]/tbl_task9[[คะแนนเต็ม]:[คะแนนเต็ม]])*tbl_task9[[%]:[%]])</f>
        <v/>
      </c>
      <c r="HB12" s="121" t="str">
        <f>IF(ISBLANK(tbl_task9[[คะแนนเต็ม]:[คะแนนเต็ม]]),"",(tbl_task9[40]/tbl_task9[[คะแนนเต็ม]:[คะแนนเต็ม]])*tbl_task9[[%]:[%]])</f>
        <v/>
      </c>
      <c r="HC12" s="121" t="str">
        <f>IF(ISBLANK(tbl_task9[[คะแนนเต็ม]:[คะแนนเต็ม]]),"",(tbl_task9[41]/tbl_task9[[คะแนนเต็ม]:[คะแนนเต็ม]])*tbl_task9[[%]:[%]])</f>
        <v/>
      </c>
      <c r="HD12" s="121" t="str">
        <f>IF(ISBLANK(tbl_task9[[คะแนนเต็ม]:[คะแนนเต็ม]]),"",(tbl_task9[42]/tbl_task9[[คะแนนเต็ม]:[คะแนนเต็ม]])*tbl_task9[[%]:[%]])</f>
        <v/>
      </c>
      <c r="HE12" s="121" t="str">
        <f>IF(ISBLANK(tbl_task9[[คะแนนเต็ม]:[คะแนนเต็ม]]),"",(tbl_task9[43]/tbl_task9[[คะแนนเต็ม]:[คะแนนเต็ม]])*tbl_task9[[%]:[%]])</f>
        <v/>
      </c>
      <c r="HF12" s="121" t="str">
        <f>IF(ISBLANK(tbl_task9[[คะแนนเต็ม]:[คะแนนเต็ม]]),"",(tbl_task9[44]/tbl_task9[[คะแนนเต็ม]:[คะแนนเต็ม]])*tbl_task9[[%]:[%]])</f>
        <v/>
      </c>
      <c r="HG12" s="121" t="str">
        <f>IF(ISBLANK(tbl_task9[[คะแนนเต็ม]:[คะแนนเต็ม]]),"",(tbl_task9[45]/tbl_task9[[คะแนนเต็ม]:[คะแนนเต็ม]])*tbl_task9[[%]:[%]])</f>
        <v/>
      </c>
      <c r="HH12" s="121" t="str">
        <f>IF(ISBLANK(tbl_task9[[คะแนนเต็ม]:[คะแนนเต็ม]]),"",(tbl_task9[46]/tbl_task9[[คะแนนเต็ม]:[คะแนนเต็ม]])*tbl_task9[[%]:[%]])</f>
        <v/>
      </c>
      <c r="HI12" s="121" t="str">
        <f>IF(ISBLANK(tbl_task9[[คะแนนเต็ม]:[คะแนนเต็ม]]),"",(tbl_task9[47]/tbl_task9[[คะแนนเต็ม]:[คะแนนเต็ม]])*tbl_task9[[%]:[%]])</f>
        <v/>
      </c>
      <c r="HJ12" s="121" t="str">
        <f>IF(ISBLANK(tbl_task9[[คะแนนเต็ม]:[คะแนนเต็ม]]),"",(tbl_task9[48]/tbl_task9[[คะแนนเต็ม]:[คะแนนเต็ม]])*tbl_task9[[%]:[%]])</f>
        <v/>
      </c>
      <c r="HK12" s="121" t="str">
        <f>IF(ISBLANK(tbl_task9[[คะแนนเต็ม]:[คะแนนเต็ม]]),"",(tbl_task9[49]/tbl_task9[[คะแนนเต็ม]:[คะแนนเต็ม]])*tbl_task9[[%]:[%]])</f>
        <v/>
      </c>
      <c r="HL12" s="121" t="str">
        <f>IF(ISBLANK(tbl_task9[[คะแนนเต็ม]:[คะแนนเต็ม]]),"",(tbl_task9[50]/tbl_task9[[คะแนนเต็ม]:[คะแนนเต็ม]])*tbl_task9[[%]:[%]])</f>
        <v/>
      </c>
      <c r="HM12" s="121" t="str">
        <f>IF(ISBLANK(tbl_task9[[คะแนนเต็ม]:[คะแนนเต็ม]]),"",(tbl_task9[51]/tbl_task9[[คะแนนเต็ม]:[คะแนนเต็ม]])*tbl_task9[[%]:[%]])</f>
        <v/>
      </c>
      <c r="HN12" s="121" t="str">
        <f>IF(ISBLANK(tbl_task9[[คะแนนเต็ม]:[คะแนนเต็ม]]),"",(tbl_task9[52]/tbl_task9[[คะแนนเต็ม]:[คะแนนเต็ม]])*tbl_task9[[%]:[%]])</f>
        <v/>
      </c>
      <c r="HO12" s="121" t="str">
        <f>IF(ISBLANK(tbl_task9[[คะแนนเต็ม]:[คะแนนเต็ม]]),"",(tbl_task9[53]/tbl_task9[[คะแนนเต็ม]:[คะแนนเต็ม]])*tbl_task9[[%]:[%]])</f>
        <v/>
      </c>
      <c r="HP12" s="121" t="str">
        <f>IF(ISBLANK(tbl_task9[[คะแนนเต็ม]:[คะแนนเต็ม]]),"",(tbl_task9[54]/tbl_task9[[คะแนนเต็ม]:[คะแนนเต็ม]])*tbl_task9[[%]:[%]])</f>
        <v/>
      </c>
      <c r="HQ12" s="121" t="str">
        <f>IF(ISBLANK(tbl_task9[[คะแนนเต็ม]:[คะแนนเต็ม]]),"",(tbl_task9[55]/tbl_task9[[คะแนนเต็ม]:[คะแนนเต็ม]])*tbl_task9[[%]:[%]])</f>
        <v/>
      </c>
      <c r="HR12" s="121" t="str">
        <f>IF(ISBLANK(tbl_task9[[คะแนนเต็ม]:[คะแนนเต็ม]]),"",(tbl_task9[56]/tbl_task9[[คะแนนเต็ม]:[คะแนนเต็ม]])*tbl_task9[[%]:[%]])</f>
        <v/>
      </c>
      <c r="HS12" s="121" t="str">
        <f>IF(ISBLANK(tbl_task9[[คะแนนเต็ม]:[คะแนนเต็ม]]),"",(tbl_task9[57]/tbl_task9[[คะแนนเต็ม]:[คะแนนเต็ม]])*tbl_task9[[%]:[%]])</f>
        <v/>
      </c>
      <c r="HT12" s="121" t="str">
        <f>IF(ISBLANK(tbl_task9[[คะแนนเต็ม]:[คะแนนเต็ม]]),"",(tbl_task9[58]/tbl_task9[[คะแนนเต็ม]:[คะแนนเต็ม]])*tbl_task9[[%]:[%]])</f>
        <v/>
      </c>
      <c r="HU12" s="121" t="str">
        <f>IF(ISBLANK(tbl_task9[[คะแนนเต็ม]:[คะแนนเต็ม]]),"",(tbl_task9[59]/tbl_task9[[คะแนนเต็ม]:[คะแนนเต็ม]])*tbl_task9[[%]:[%]])</f>
        <v/>
      </c>
      <c r="HV12" s="121" t="str">
        <f>IF(ISBLANK(tbl_task9[[คะแนนเต็ม]:[คะแนนเต็ม]]),"",(tbl_task9[60]/tbl_task9[[คะแนนเต็ม]:[คะแนนเต็ม]])*tbl_task9[[%]:[%]])</f>
        <v/>
      </c>
      <c r="HW12" s="121" t="str">
        <f>IF(ISBLANK(tbl_task9[[คะแนนเต็ม]:[คะแนนเต็ม]]),"",(tbl_task9[61]/tbl_task9[[คะแนนเต็ม]:[คะแนนเต็ม]])*tbl_task9[[%]:[%]])</f>
        <v/>
      </c>
      <c r="HX12" s="121" t="str">
        <f>IF(ISBLANK(tbl_task9[[คะแนนเต็ม]:[คะแนนเต็ม]]),"",(tbl_task9[62]/tbl_task9[[คะแนนเต็ม]:[คะแนนเต็ม]])*tbl_task9[[%]:[%]])</f>
        <v/>
      </c>
      <c r="HY12" s="121" t="str">
        <f>IF(ISBLANK(tbl_task9[[คะแนนเต็ม]:[คะแนนเต็ม]]),"",(tbl_task9[63]/tbl_task9[[คะแนนเต็ม]:[คะแนนเต็ม]])*tbl_task9[[%]:[%]])</f>
        <v/>
      </c>
      <c r="HZ12" s="121" t="str">
        <f>IF(ISBLANK(tbl_task9[[คะแนนเต็ม]:[คะแนนเต็ม]]),"",(tbl_task9[64]/tbl_task9[[คะแนนเต็ม]:[คะแนนเต็ม]])*tbl_task9[[%]:[%]])</f>
        <v/>
      </c>
      <c r="IA12" s="121" t="str">
        <f>IF(ISBLANK(tbl_task9[[คะแนนเต็ม]:[คะแนนเต็ม]]),"",(tbl_task9[65]/tbl_task9[[คะแนนเต็ม]:[คะแนนเต็ม]])*tbl_task9[[%]:[%]])</f>
        <v/>
      </c>
      <c r="IB12" s="121" t="str">
        <f>IF(ISBLANK(tbl_task9[[คะแนนเต็ม]:[คะแนนเต็ม]]),"",(tbl_task9[66]/tbl_task9[[คะแนนเต็ม]:[คะแนนเต็ม]])*tbl_task9[[%]:[%]])</f>
        <v/>
      </c>
      <c r="IC12" s="121" t="str">
        <f>IF(ISBLANK(tbl_task9[[คะแนนเต็ม]:[คะแนนเต็ม]]),"",(tbl_task9[67]/tbl_task9[[คะแนนเต็ม]:[คะแนนเต็ม]])*tbl_task9[[%]:[%]])</f>
        <v/>
      </c>
      <c r="ID12" s="121" t="str">
        <f>IF(ISBLANK(tbl_task9[[คะแนนเต็ม]:[คะแนนเต็ม]]),"",(tbl_task9[68]/tbl_task9[[คะแนนเต็ม]:[คะแนนเต็ม]])*tbl_task9[[%]:[%]])</f>
        <v/>
      </c>
      <c r="IE12" s="121" t="str">
        <f>IF(ISBLANK(tbl_task9[[คะแนนเต็ม]:[คะแนนเต็ม]]),"",(tbl_task9[69]/tbl_task9[[คะแนนเต็ม]:[คะแนนเต็ม]])*tbl_task9[[%]:[%]])</f>
        <v/>
      </c>
      <c r="IF12" s="121" t="str">
        <f>IF(ISBLANK(tbl_task9[[คะแนนเต็ม]:[คะแนนเต็ม]]),"",(tbl_task9[70]/tbl_task9[[คะแนนเต็ม]:[คะแนนเต็ม]])*tbl_task9[[%]:[%]])</f>
        <v/>
      </c>
      <c r="IG12" s="121" t="str">
        <f>IF(ISBLANK(tbl_task9[[คะแนนเต็ม]:[คะแนนเต็ม]]),"",(tbl_task9[71]/tbl_task9[[คะแนนเต็ม]:[คะแนนเต็ม]])*tbl_task9[[%]:[%]])</f>
        <v/>
      </c>
      <c r="IH12" s="121" t="str">
        <f>IF(ISBLANK(tbl_task9[[คะแนนเต็ม]:[คะแนนเต็ม]]),"",(tbl_task9[72]/tbl_task9[[คะแนนเต็ม]:[คะแนนเต็ม]])*tbl_task9[[%]:[%]])</f>
        <v/>
      </c>
      <c r="II12" s="121" t="str">
        <f>IF(ISBLANK(tbl_task9[[คะแนนเต็ม]:[คะแนนเต็ม]]),"",(tbl_task9[73]/tbl_task9[[คะแนนเต็ม]:[คะแนนเต็ม]])*tbl_task9[[%]:[%]])</f>
        <v/>
      </c>
      <c r="IJ12" s="121" t="str">
        <f>IF(ISBLANK(tbl_task9[[คะแนนเต็ม]:[คะแนนเต็ม]]),"",(tbl_task9[74]/tbl_task9[[คะแนนเต็ม]:[คะแนนเต็ม]])*tbl_task9[[%]:[%]])</f>
        <v/>
      </c>
      <c r="IK12" s="121" t="str">
        <f>IF(ISBLANK(tbl_task9[[คะแนนเต็ม]:[คะแนนเต็ม]]),"",(tbl_task9[75]/tbl_task9[[คะแนนเต็ม]:[คะแนนเต็ม]])*tbl_task9[[%]:[%]])</f>
        <v/>
      </c>
      <c r="IL12" s="121" t="str">
        <f>IF(ISBLANK(tbl_task9[[คะแนนเต็ม]:[คะแนนเต็ม]]),"",(tbl_task9[76]/tbl_task9[[คะแนนเต็ม]:[คะแนนเต็ม]])*tbl_task9[[%]:[%]])</f>
        <v/>
      </c>
      <c r="IM12" s="121" t="str">
        <f>IF(ISBLANK(tbl_task9[[คะแนนเต็ม]:[คะแนนเต็ม]]),"",(tbl_task9[77]/tbl_task9[[คะแนนเต็ม]:[คะแนนเต็ม]])*tbl_task9[[%]:[%]])</f>
        <v/>
      </c>
      <c r="IN12" s="121" t="str">
        <f>IF(ISBLANK(tbl_task9[[คะแนนเต็ม]:[คะแนนเต็ม]]),"",(tbl_task9[78]/tbl_task9[[คะแนนเต็ม]:[คะแนนเต็ม]])*tbl_task9[[%]:[%]])</f>
        <v/>
      </c>
      <c r="IO12" s="121" t="str">
        <f>IF(ISBLANK(tbl_task9[[คะแนนเต็ม]:[คะแนนเต็ม]]),"",(tbl_task9[79]/tbl_task9[[คะแนนเต็ม]:[คะแนนเต็ม]])*tbl_task9[[%]:[%]])</f>
        <v/>
      </c>
      <c r="IP12" s="121" t="str">
        <f>IF(ISBLANK(tbl_task9[[คะแนนเต็ม]:[คะแนนเต็ม]]),"",(tbl_task9[80]/tbl_task9[[คะแนนเต็ม]:[คะแนนเต็ม]])*tbl_task9[[%]:[%]])</f>
        <v/>
      </c>
      <c r="IQ12" s="121" t="str">
        <f>IF(ISBLANK(tbl_task9[[คะแนนเต็ม]:[คะแนนเต็ม]]),"",(tbl_task9[81]/tbl_task9[[คะแนนเต็ม]:[คะแนนเต็ม]])*tbl_task9[[%]:[%]])</f>
        <v/>
      </c>
      <c r="IR12" s="121" t="str">
        <f>IF(ISBLANK(tbl_task9[[คะแนนเต็ม]:[คะแนนเต็ม]]),"",(tbl_task9[82]/tbl_task9[[คะแนนเต็ม]:[คะแนนเต็ม]])*tbl_task9[[%]:[%]])</f>
        <v/>
      </c>
      <c r="IS12" s="121" t="str">
        <f>IF(ISBLANK(tbl_task9[[คะแนนเต็ม]:[คะแนนเต็ม]]),"",(tbl_task9[83]/tbl_task9[[คะแนนเต็ม]:[คะแนนเต็ม]])*tbl_task9[[%]:[%]])</f>
        <v/>
      </c>
      <c r="IT12" s="121" t="str">
        <f>IF(ISBLANK(tbl_task9[[คะแนนเต็ม]:[คะแนนเต็ม]]),"",(tbl_task9[84]/tbl_task9[[คะแนนเต็ม]:[คะแนนเต็ม]])*tbl_task9[[%]:[%]])</f>
        <v/>
      </c>
      <c r="IU12" s="121" t="str">
        <f>IF(ISBLANK(tbl_task9[[คะแนนเต็ม]:[คะแนนเต็ม]]),"",(tbl_task9[85]/tbl_task9[[คะแนนเต็ม]:[คะแนนเต็ม]])*tbl_task9[[%]:[%]])</f>
        <v/>
      </c>
      <c r="IV12" s="121" t="str">
        <f>IF(ISBLANK(tbl_task9[[คะแนนเต็ม]:[คะแนนเต็ม]]),"",(tbl_task9[86]/tbl_task9[[คะแนนเต็ม]:[คะแนนเต็ม]])*tbl_task9[[%]:[%]])</f>
        <v/>
      </c>
      <c r="IW12" s="121" t="str">
        <f>IF(ISBLANK(tbl_task9[[คะแนนเต็ม]:[คะแนนเต็ม]]),"",(tbl_task9[87]/tbl_task9[[คะแนนเต็ม]:[คะแนนเต็ม]])*tbl_task9[[%]:[%]])</f>
        <v/>
      </c>
      <c r="IX12" s="121" t="str">
        <f>IF(ISBLANK(tbl_task9[[คะแนนเต็ม]:[คะแนนเต็ม]]),"",(tbl_task9[88]/tbl_task9[[คะแนนเต็ม]:[คะแนนเต็ม]])*tbl_task9[[%]:[%]])</f>
        <v/>
      </c>
      <c r="IY12" s="121" t="str">
        <f>IF(ISBLANK(tbl_task9[[คะแนนเต็ม]:[คะแนนเต็ม]]),"",(tbl_task9[89]/tbl_task9[[คะแนนเต็ม]:[คะแนนเต็ม]])*tbl_task9[[%]:[%]])</f>
        <v/>
      </c>
      <c r="IZ12" s="121" t="str">
        <f>IF(ISBLANK(tbl_task9[[คะแนนเต็ม]:[คะแนนเต็ม]]),"",(tbl_task9[90]/tbl_task9[[คะแนนเต็ม]:[คะแนนเต็ม]])*tbl_task9[[%]:[%]])</f>
        <v/>
      </c>
      <c r="JA12" s="121" t="str">
        <f>IF(ISBLANK(tbl_task9[[คะแนนเต็ม]:[คะแนนเต็ม]]),"",(tbl_task9[91]/tbl_task9[[คะแนนเต็ม]:[คะแนนเต็ม]])*tbl_task9[[%]:[%]])</f>
        <v/>
      </c>
      <c r="JB12" s="121" t="str">
        <f>IF(ISBLANK(tbl_task9[[คะแนนเต็ม]:[คะแนนเต็ม]]),"",(tbl_task9[92]/tbl_task9[[คะแนนเต็ม]:[คะแนนเต็ม]])*tbl_task9[[%]:[%]])</f>
        <v/>
      </c>
      <c r="JC12" s="121" t="str">
        <f>IF(ISBLANK(tbl_task9[[คะแนนเต็ม]:[คะแนนเต็ม]]),"",(tbl_task9[93]/tbl_task9[[คะแนนเต็ม]:[คะแนนเต็ม]])*tbl_task9[[%]:[%]])</f>
        <v/>
      </c>
      <c r="JD12" s="121" t="str">
        <f>IF(ISBLANK(tbl_task9[[คะแนนเต็ม]:[คะแนนเต็ม]]),"",(tbl_task9[94]/tbl_task9[[คะแนนเต็ม]:[คะแนนเต็ม]])*tbl_task9[[%]:[%]])</f>
        <v/>
      </c>
      <c r="JE12" s="121" t="str">
        <f>IF(ISBLANK(tbl_task9[[คะแนนเต็ม]:[คะแนนเต็ม]]),"",(tbl_task9[95]/tbl_task9[[คะแนนเต็ม]:[คะแนนเต็ม]])*tbl_task9[[%]:[%]])</f>
        <v/>
      </c>
      <c r="JF12" s="121" t="str">
        <f>IF(ISBLANK(tbl_task9[[คะแนนเต็ม]:[คะแนนเต็ม]]),"",(tbl_task9[96]/tbl_task9[[คะแนนเต็ม]:[คะแนนเต็ม]])*tbl_task9[[%]:[%]])</f>
        <v/>
      </c>
      <c r="JG12" s="121" t="str">
        <f>IF(ISBLANK(tbl_task9[[คะแนนเต็ม]:[คะแนนเต็ม]]),"",(tbl_task9[97]/tbl_task9[[คะแนนเต็ม]:[คะแนนเต็ม]])*tbl_task9[[%]:[%]])</f>
        <v/>
      </c>
      <c r="JH12" s="121" t="str">
        <f>IF(ISBLANK(tbl_task9[[คะแนนเต็ม]:[คะแนนเต็ม]]),"",(tbl_task9[98]/tbl_task9[[คะแนนเต็ม]:[คะแนนเต็ม]])*tbl_task9[[%]:[%]])</f>
        <v/>
      </c>
      <c r="JI12" s="121" t="str">
        <f>IF(ISBLANK(tbl_task9[[คะแนนเต็ม]:[คะแนนเต็ม]]),"",(tbl_task9[99]/tbl_task9[[คะแนนเต็ม]:[คะแนนเต็ม]])*tbl_task9[[%]:[%]])</f>
        <v/>
      </c>
      <c r="JJ12" s="121" t="str">
        <f>IF(ISBLANK(tbl_task9[[คะแนนเต็ม]:[คะแนนเต็ม]]),"",(tbl_task9[100]/tbl_task9[[คะแนนเต็ม]:[คะแนนเต็ม]])*tbl_task9[[%]:[%]])</f>
        <v/>
      </c>
      <c r="JK12" s="121" t="str">
        <f>IF(ISBLANK(tbl_task9[[คะแนนเต็ม]:[คะแนนเต็ม]]),"",(tbl_task9[101]/tbl_task9[[คะแนนเต็ม]:[คะแนนเต็ม]])*tbl_task9[[%]:[%]])</f>
        <v/>
      </c>
      <c r="JL12" s="121" t="str">
        <f>IF(ISBLANK(tbl_task9[[คะแนนเต็ม]:[คะแนนเต็ม]]),"",(tbl_task9[102]/tbl_task9[[คะแนนเต็ม]:[คะแนนเต็ม]])*tbl_task9[[%]:[%]])</f>
        <v/>
      </c>
      <c r="JM12" s="121" t="str">
        <f>IF(ISBLANK(tbl_task9[[คะแนนเต็ม]:[คะแนนเต็ม]]),"",(tbl_task9[103]/tbl_task9[[คะแนนเต็ม]:[คะแนนเต็ม]])*tbl_task9[[%]:[%]])</f>
        <v/>
      </c>
      <c r="JN12" s="121" t="str">
        <f>IF(ISBLANK(tbl_task9[[คะแนนเต็ม]:[คะแนนเต็ม]]),"",(tbl_task9[104]/tbl_task9[[คะแนนเต็ม]:[คะแนนเต็ม]])*tbl_task9[[%]:[%]])</f>
        <v/>
      </c>
      <c r="JO12" s="121" t="str">
        <f>IF(ISBLANK(tbl_task9[[คะแนนเต็ม]:[คะแนนเต็ม]]),"",(tbl_task9[105]/tbl_task9[[คะแนนเต็ม]:[คะแนนเต็ม]])*tbl_task9[[%]:[%]])</f>
        <v/>
      </c>
      <c r="JP12" s="121" t="str">
        <f>IF(ISBLANK(tbl_task9[[คะแนนเต็ม]:[คะแนนเต็ม]]),"",(tbl_task9[106]/tbl_task9[[คะแนนเต็ม]:[คะแนนเต็ม]])*tbl_task9[[%]:[%]])</f>
        <v/>
      </c>
      <c r="JQ12" s="121" t="str">
        <f>IF(ISBLANK(tbl_task9[[คะแนนเต็ม]:[คะแนนเต็ม]]),"",(tbl_task9[107]/tbl_task9[[คะแนนเต็ม]:[คะแนนเต็ม]])*tbl_task9[[%]:[%]])</f>
        <v/>
      </c>
      <c r="JR12" s="121" t="str">
        <f>IF(ISBLANK(tbl_task9[[คะแนนเต็ม]:[คะแนนเต็ม]]),"",(tbl_task9[108]/tbl_task9[[คะแนนเต็ม]:[คะแนนเต็ม]])*tbl_task9[[%]:[%]])</f>
        <v/>
      </c>
      <c r="JS12" s="121" t="str">
        <f>IF(ISBLANK(tbl_task9[[คะแนนเต็ม]:[คะแนนเต็ม]]),"",(tbl_task9[109]/tbl_task9[[คะแนนเต็ม]:[คะแนนเต็ม]])*tbl_task9[[%]:[%]])</f>
        <v/>
      </c>
      <c r="JT12" s="121" t="str">
        <f>IF(ISBLANK(tbl_task9[[คะแนนเต็ม]:[คะแนนเต็ม]]),"",(tbl_task9[110]/tbl_task9[[คะแนนเต็ม]:[คะแนนเต็ม]])*tbl_task9[[%]:[%]])</f>
        <v/>
      </c>
      <c r="JU12" s="121" t="str">
        <f>IF(ISBLANK(tbl_task9[[คะแนนเต็ม]:[คะแนนเต็ม]]),"",(tbl_task9[111]/tbl_task9[[คะแนนเต็ม]:[คะแนนเต็ม]])*tbl_task9[[%]:[%]])</f>
        <v/>
      </c>
      <c r="JV12" s="121" t="str">
        <f>IF(ISBLANK(tbl_task9[[คะแนนเต็ม]:[คะแนนเต็ม]]),"",(tbl_task9[112]/tbl_task9[[คะแนนเต็ม]:[คะแนนเต็ม]])*tbl_task9[[%]:[%]])</f>
        <v/>
      </c>
      <c r="JW12" s="121" t="str">
        <f>IF(ISBLANK(tbl_task9[[คะแนนเต็ม]:[คะแนนเต็ม]]),"",(tbl_task9[113]/tbl_task9[[คะแนนเต็ม]:[คะแนนเต็ม]])*tbl_task9[[%]:[%]])</f>
        <v/>
      </c>
      <c r="JX12" s="121" t="str">
        <f>IF(ISBLANK(tbl_task9[[คะแนนเต็ม]:[คะแนนเต็ม]]),"",(tbl_task9[114]/tbl_task9[[คะแนนเต็ม]:[คะแนนเต็ม]])*tbl_task9[[%]:[%]])</f>
        <v/>
      </c>
      <c r="JY12" s="121" t="str">
        <f>IF(ISBLANK(tbl_task9[[คะแนนเต็ม]:[คะแนนเต็ม]]),"",(tbl_task9[115]/tbl_task9[[คะแนนเต็ม]:[คะแนนเต็ม]])*tbl_task9[[%]:[%]])</f>
        <v/>
      </c>
      <c r="JZ12" s="121" t="str">
        <f>IF(ISBLANK(tbl_task9[[คะแนนเต็ม]:[คะแนนเต็ม]]),"",(tbl_task9[116]/tbl_task9[[คะแนนเต็ม]:[คะแนนเต็ม]])*tbl_task9[[%]:[%]])</f>
        <v/>
      </c>
      <c r="KA12" s="121" t="str">
        <f>IF(ISBLANK(tbl_task9[[คะแนนเต็ม]:[คะแนนเต็ม]]),"",(tbl_task9[117]/tbl_task9[[คะแนนเต็ม]:[คะแนนเต็ม]])*tbl_task9[[%]:[%]])</f>
        <v/>
      </c>
      <c r="KB12" s="121" t="str">
        <f>IF(ISBLANK(tbl_task9[[คะแนนเต็ม]:[คะแนนเต็ม]]),"",(tbl_task9[118]/tbl_task9[[คะแนนเต็ม]:[คะแนนเต็ม]])*tbl_task9[[%]:[%]])</f>
        <v/>
      </c>
      <c r="KC12" s="121" t="str">
        <f>IF(ISBLANK(tbl_task9[[คะแนนเต็ม]:[คะแนนเต็ม]]),"",(tbl_task9[119]/tbl_task9[[คะแนนเต็ม]:[คะแนนเต็ม]])*tbl_task9[[%]:[%]])</f>
        <v/>
      </c>
      <c r="KD12" s="121" t="str">
        <f>IF(ISBLANK(tbl_task9[[คะแนนเต็ม]:[คะแนนเต็ม]]),"",(tbl_task9[120]/tbl_task9[[คะแนนเต็ม]:[คะแนนเต็ม]])*tbl_task9[[%]:[%]])</f>
        <v/>
      </c>
      <c r="KE12" s="121" t="str">
        <f>IF(ISBLANK(tbl_task9[[คะแนนเต็ม]:[คะแนนเต็ม]]),"",(tbl_task9[121]/tbl_task9[[คะแนนเต็ม]:[คะแนนเต็ม]])*tbl_task9[[%]:[%]])</f>
        <v/>
      </c>
      <c r="KF12" s="121" t="str">
        <f>IF(ISBLANK(tbl_task9[[คะแนนเต็ม]:[คะแนนเต็ม]]),"",(tbl_task9[122]/tbl_task9[[คะแนนเต็ม]:[คะแนนเต็ม]])*tbl_task9[[%]:[%]])</f>
        <v/>
      </c>
      <c r="KG12" s="121" t="str">
        <f>IF(ISBLANK(tbl_task9[[คะแนนเต็ม]:[คะแนนเต็ม]]),"",(tbl_task9[123]/tbl_task9[[คะแนนเต็ม]:[คะแนนเต็ม]])*tbl_task9[[%]:[%]])</f>
        <v/>
      </c>
      <c r="KH12" s="121" t="str">
        <f>IF(ISBLANK(tbl_task9[[คะแนนเต็ม]:[คะแนนเต็ม]]),"",(tbl_task9[124]/tbl_task9[[คะแนนเต็ม]:[คะแนนเต็ม]])*tbl_task9[[%]:[%]])</f>
        <v/>
      </c>
      <c r="KI12" s="121" t="str">
        <f>IF(ISBLANK(tbl_task9[[คะแนนเต็ม]:[คะแนนเต็ม]]),"",(tbl_task9[125]/tbl_task9[[คะแนนเต็ม]:[คะแนนเต็ม]])*tbl_task9[[%]:[%]])</f>
        <v/>
      </c>
      <c r="KJ12" s="121" t="str">
        <f>IF(ISBLANK(tbl_task9[[คะแนนเต็ม]:[คะแนนเต็ม]]),"",(tbl_task9[126]/tbl_task9[[คะแนนเต็ม]:[คะแนนเต็ม]])*tbl_task9[[%]:[%]])</f>
        <v/>
      </c>
      <c r="KK12" s="121" t="str">
        <f>IF(ISBLANK(tbl_task9[[คะแนนเต็ม]:[คะแนนเต็ม]]),"",(tbl_task9[127]/tbl_task9[[คะแนนเต็ม]:[คะแนนเต็ม]])*tbl_task9[[%]:[%]])</f>
        <v/>
      </c>
      <c r="KL12" s="121" t="str">
        <f>IF(ISBLANK(tbl_task9[[คะแนนเต็ม]:[คะแนนเต็ม]]),"",(tbl_task9[128]/tbl_task9[[คะแนนเต็ม]:[คะแนนเต็ม]])*tbl_task9[[%]:[%]])</f>
        <v/>
      </c>
      <c r="KM12" s="121" t="str">
        <f>IF(ISBLANK(tbl_task9[[คะแนนเต็ม]:[คะแนนเต็ม]]),"",(tbl_task9[129]/tbl_task9[[คะแนนเต็ม]:[คะแนนเต็ม]])*tbl_task9[[%]:[%]])</f>
        <v/>
      </c>
      <c r="KN12" s="121" t="str">
        <f>IF(ISBLANK(tbl_task9[[คะแนนเต็ม]:[คะแนนเต็ม]]),"",(tbl_task9[130]/tbl_task9[[คะแนนเต็ม]:[คะแนนเต็ม]])*tbl_task9[[%]:[%]])</f>
        <v/>
      </c>
      <c r="KO12" s="121" t="str">
        <f>IF(ISBLANK(tbl_task9[[คะแนนเต็ม]:[คะแนนเต็ม]]),"",(tbl_task9[131]/tbl_task9[[คะแนนเต็ม]:[คะแนนเต็ม]])*tbl_task9[[%]:[%]])</f>
        <v/>
      </c>
      <c r="KP12" s="121" t="str">
        <f>IF(ISBLANK(tbl_task9[[คะแนนเต็ม]:[คะแนนเต็ม]]),"",(tbl_task9[132]/tbl_task9[[คะแนนเต็ม]:[คะแนนเต็ม]])*tbl_task9[[%]:[%]])</f>
        <v/>
      </c>
      <c r="KQ12" s="121" t="str">
        <f>IF(ISBLANK(tbl_task9[[คะแนนเต็ม]:[คะแนนเต็ม]]),"",(tbl_task9[133]/tbl_task9[[คะแนนเต็ม]:[คะแนนเต็ม]])*tbl_task9[[%]:[%]])</f>
        <v/>
      </c>
      <c r="KR12" s="121" t="str">
        <f>IF(ISBLANK(tbl_task9[[คะแนนเต็ม]:[คะแนนเต็ม]]),"",(tbl_task9[134]/tbl_task9[[คะแนนเต็ม]:[คะแนนเต็ม]])*tbl_task9[[%]:[%]])</f>
        <v/>
      </c>
      <c r="KS12" s="121" t="str">
        <f>IF(ISBLANK(tbl_task9[[คะแนนเต็ม]:[คะแนนเต็ม]]),"",(tbl_task9[135]/tbl_task9[[คะแนนเต็ม]:[คะแนนเต็ม]])*tbl_task9[[%]:[%]])</f>
        <v/>
      </c>
      <c r="KT12" s="121" t="str">
        <f>IF(ISBLANK(tbl_task9[[คะแนนเต็ม]:[คะแนนเต็ม]]),"",(tbl_task9[136]/tbl_task9[[คะแนนเต็ม]:[คะแนนเต็ม]])*tbl_task9[[%]:[%]])</f>
        <v/>
      </c>
      <c r="KU12" s="121" t="str">
        <f>IF(ISBLANK(tbl_task9[[คะแนนเต็ม]:[คะแนนเต็ม]]),"",(tbl_task9[137]/tbl_task9[[คะแนนเต็ม]:[คะแนนเต็ม]])*tbl_task9[[%]:[%]])</f>
        <v/>
      </c>
      <c r="KV12" s="121" t="str">
        <f>IF(ISBLANK(tbl_task9[[คะแนนเต็ม]:[คะแนนเต็ม]]),"",(tbl_task9[138]/tbl_task9[[คะแนนเต็ม]:[คะแนนเต็ม]])*tbl_task9[[%]:[%]])</f>
        <v/>
      </c>
      <c r="KW12" s="121" t="str">
        <f>IF(ISBLANK(tbl_task9[[คะแนนเต็ม]:[คะแนนเต็ม]]),"",(tbl_task9[139]/tbl_task9[[คะแนนเต็ม]:[คะแนนเต็ม]])*tbl_task9[[%]:[%]])</f>
        <v/>
      </c>
      <c r="KX12" s="121" t="str">
        <f>IF(ISBLANK(tbl_task9[[คะแนนเต็ม]:[คะแนนเต็ม]]),"",(tbl_task9[140]/tbl_task9[[คะแนนเต็ม]:[คะแนนเต็ม]])*tbl_task9[[%]:[%]])</f>
        <v/>
      </c>
      <c r="KY12" s="121" t="str">
        <f>IF(ISBLANK(tbl_task9[[คะแนนเต็ม]:[คะแนนเต็ม]]),"",(tbl_task9[141]/tbl_task9[[คะแนนเต็ม]:[คะแนนเต็ม]])*tbl_task9[[%]:[%]])</f>
        <v/>
      </c>
      <c r="KZ12" s="121" t="str">
        <f>IF(ISBLANK(tbl_task9[[คะแนนเต็ม]:[คะแนนเต็ม]]),"",(tbl_task9[142]/tbl_task9[[คะแนนเต็ม]:[คะแนนเต็ม]])*tbl_task9[[%]:[%]])</f>
        <v/>
      </c>
      <c r="LA12" s="121" t="str">
        <f>IF(ISBLANK(tbl_task9[[คะแนนเต็ม]:[คะแนนเต็ม]]),"",(tbl_task9[143]/tbl_task9[[คะแนนเต็ม]:[คะแนนเต็ม]])*tbl_task9[[%]:[%]])</f>
        <v/>
      </c>
      <c r="LB12" s="121" t="str">
        <f>IF(ISBLANK(tbl_task9[[คะแนนเต็ม]:[คะแนนเต็ม]]),"",(tbl_task9[144]/tbl_task9[[คะแนนเต็ม]:[คะแนนเต็ม]])*tbl_task9[[%]:[%]])</f>
        <v/>
      </c>
      <c r="LC12" s="121" t="str">
        <f>IF(ISBLANK(tbl_task9[[คะแนนเต็ม]:[คะแนนเต็ม]]),"",(tbl_task9[145]/tbl_task9[[คะแนนเต็ม]:[คะแนนเต็ม]])*tbl_task9[[%]:[%]])</f>
        <v/>
      </c>
      <c r="LD12" s="121" t="str">
        <f>IF(ISBLANK(tbl_task9[[คะแนนเต็ม]:[คะแนนเต็ม]]),"",(tbl_task9[146]/tbl_task9[[คะแนนเต็ม]:[คะแนนเต็ม]])*tbl_task9[[%]:[%]])</f>
        <v/>
      </c>
      <c r="LE12" s="121" t="str">
        <f>IF(ISBLANK(tbl_task9[[คะแนนเต็ม]:[คะแนนเต็ม]]),"",(tbl_task9[147]/tbl_task9[[คะแนนเต็ม]:[คะแนนเต็ม]])*tbl_task9[[%]:[%]])</f>
        <v/>
      </c>
      <c r="LF12" s="121" t="str">
        <f>IF(ISBLANK(tbl_task9[[คะแนนเต็ม]:[คะแนนเต็ม]]),"",(tbl_task9[148]/tbl_task9[[คะแนนเต็ม]:[คะแนนเต็ม]])*tbl_task9[[%]:[%]])</f>
        <v/>
      </c>
      <c r="LG12" s="121" t="str">
        <f>IF(ISBLANK(tbl_task9[[คะแนนเต็ม]:[คะแนนเต็ม]]),"",(tbl_task9[149]/tbl_task9[[คะแนนเต็ม]:[คะแนนเต็ม]])*tbl_task9[[%]:[%]])</f>
        <v/>
      </c>
      <c r="LH12" s="121" t="str">
        <f>IF(ISBLANK(tbl_task9[[คะแนนเต็ม]:[คะแนนเต็ม]]),"",(tbl_task9[150]/tbl_task9[[คะแนนเต็ม]:[คะแนนเต็ม]])*tbl_task9[[%]:[%]])</f>
        <v/>
      </c>
      <c r="LI12" s="121" t="str">
        <f>IF(ISBLANK(tbl_task9[[คะแนนเต็ม]:[คะแนนเต็ม]]),"",(tbl_task9[151]/tbl_task9[[คะแนนเต็ม]:[คะแนนเต็ม]])*tbl_task9[[%]:[%]])</f>
        <v/>
      </c>
      <c r="LJ12" s="121" t="str">
        <f>IF(ISBLANK(tbl_task9[[คะแนนเต็ม]:[คะแนนเต็ม]]),"",(tbl_task9[152]/tbl_task9[[คะแนนเต็ม]:[คะแนนเต็ม]])*tbl_task9[[%]:[%]])</f>
        <v/>
      </c>
      <c r="LK12" s="121" t="str">
        <f>IF(ISBLANK(tbl_task9[[คะแนนเต็ม]:[คะแนนเต็ม]]),"",(tbl_task9[153]/tbl_task9[[คะแนนเต็ม]:[คะแนนเต็ม]])*tbl_task9[[%]:[%]])</f>
        <v/>
      </c>
      <c r="LL12" s="121" t="str">
        <f>IF(ISBLANK(tbl_task9[[คะแนนเต็ม]:[คะแนนเต็ม]]),"",(tbl_task9[154]/tbl_task9[[คะแนนเต็ม]:[คะแนนเต็ม]])*tbl_task9[[%]:[%]])</f>
        <v/>
      </c>
      <c r="LM12" s="121" t="str">
        <f>IF(ISBLANK(tbl_task9[[คะแนนเต็ม]:[คะแนนเต็ม]]),"",(tbl_task9[155]/tbl_task9[[คะแนนเต็ม]:[คะแนนเต็ม]])*tbl_task9[[%]:[%]])</f>
        <v/>
      </c>
      <c r="LN12" s="121" t="str">
        <f>IF(ISBLANK(tbl_task9[[คะแนนเต็ม]:[คะแนนเต็ม]]),"",(tbl_task9[156]/tbl_task9[[คะแนนเต็ม]:[คะแนนเต็ม]])*tbl_task9[[%]:[%]])</f>
        <v/>
      </c>
      <c r="LO12" s="121" t="str">
        <f>IF(ISBLANK(tbl_task9[[คะแนนเต็ม]:[คะแนนเต็ม]]),"",(tbl_task9[157]/tbl_task9[[คะแนนเต็ม]:[คะแนนเต็ม]])*tbl_task9[[%]:[%]])</f>
        <v/>
      </c>
      <c r="LP12" s="121" t="str">
        <f>IF(ISBLANK(tbl_task9[[คะแนนเต็ม]:[คะแนนเต็ม]]),"",(tbl_task9[158]/tbl_task9[[คะแนนเต็ม]:[คะแนนเต็ม]])*tbl_task9[[%]:[%]])</f>
        <v/>
      </c>
      <c r="LQ12" s="121" t="str">
        <f>IF(ISBLANK(tbl_task9[[คะแนนเต็ม]:[คะแนนเต็ม]]),"",(tbl_task9[159]/tbl_task9[[คะแนนเต็ม]:[คะแนนเต็ม]])*tbl_task9[[%]:[%]])</f>
        <v/>
      </c>
      <c r="LR12" s="121" t="str">
        <f>IF(ISBLANK(tbl_task9[[คะแนนเต็ม]:[คะแนนเต็ม]]),"",(tbl_task9[160]/tbl_task9[[คะแนนเต็ม]:[คะแนนเต็ม]])*tbl_task9[[%]:[%]])</f>
        <v/>
      </c>
      <c r="LS12" s="121" t="str">
        <f>IF(ISBLANK(tbl_task9[[คะแนนเต็ม]:[คะแนนเต็ม]]),"",(tbl_task9[161]/tbl_task9[[คะแนนเต็ม]:[คะแนนเต็ม]])*tbl_task9[[%]:[%]])</f>
        <v/>
      </c>
      <c r="LT12" s="121" t="str">
        <f>IF(ISBLANK(tbl_task9[[คะแนนเต็ม]:[คะแนนเต็ม]]),"",(tbl_task9[162]/tbl_task9[[คะแนนเต็ม]:[คะแนนเต็ม]])*tbl_task9[[%]:[%]])</f>
        <v/>
      </c>
      <c r="LU12" s="121" t="str">
        <f>IF(ISBLANK(tbl_task9[[คะแนนเต็ม]:[คะแนนเต็ม]]),"",(tbl_task9[163]/tbl_task9[[คะแนนเต็ม]:[คะแนนเต็ม]])*tbl_task9[[%]:[%]])</f>
        <v/>
      </c>
      <c r="LV12" s="121" t="str">
        <f>IF(ISBLANK(tbl_task9[[คะแนนเต็ม]:[คะแนนเต็ม]]),"",(tbl_task9[164]/tbl_task9[[คะแนนเต็ม]:[คะแนนเต็ม]])*tbl_task9[[%]:[%]])</f>
        <v/>
      </c>
      <c r="LW12" s="121" t="str">
        <f>IF(ISBLANK(tbl_task9[[คะแนนเต็ม]:[คะแนนเต็ม]]),"",(tbl_task9[165]/tbl_task9[[คะแนนเต็ม]:[คะแนนเต็ม]])*tbl_task9[[%]:[%]])</f>
        <v/>
      </c>
    </row>
    <row r="13" spans="1:335" ht="24" customHeight="1" x14ac:dyDescent="0.25">
      <c r="A13" s="24">
        <v>10</v>
      </c>
      <c r="B13" s="20"/>
      <c r="C13" s="5" t="str">
        <f>IF(ISBLANK(B13),"",VLOOKUP(B13,tbl_PLOs[],2,0))</f>
        <v/>
      </c>
      <c r="D13" s="102"/>
      <c r="E13" s="106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22"/>
      <c r="FO13" s="121" t="str">
        <f>IF(ISBLANK(tbl_task9[[คะแนนเต็ม]:[คะแนนเต็ม]]),"",(tbl_task9[1]/tbl_task9[[คะแนนเต็ม]:[คะแนนเต็ม]])*tbl_task9[[%]:[%]])</f>
        <v/>
      </c>
      <c r="FP13" s="121" t="str">
        <f>IF(ISBLANK(tbl_task9[[คะแนนเต็ม]:[คะแนนเต็ม]]),"",(tbl_task9[2]/tbl_task9[[คะแนนเต็ม]:[คะแนนเต็ม]])*tbl_task9[[%]:[%]])</f>
        <v/>
      </c>
      <c r="FQ13" s="121" t="str">
        <f>IF(ISBLANK(tbl_task9[[คะแนนเต็ม]:[คะแนนเต็ม]]),"",(tbl_task9[3]/tbl_task9[[คะแนนเต็ม]:[คะแนนเต็ม]])*tbl_task9[[%]:[%]])</f>
        <v/>
      </c>
      <c r="FR13" s="121" t="str">
        <f>IF(ISBLANK(tbl_task9[[คะแนนเต็ม]:[คะแนนเต็ม]]),"",(tbl_task9[4]/tbl_task9[[คะแนนเต็ม]:[คะแนนเต็ม]])*tbl_task9[[%]:[%]])</f>
        <v/>
      </c>
      <c r="FS13" s="121" t="str">
        <f>IF(ISBLANK(tbl_task9[[คะแนนเต็ม]:[คะแนนเต็ม]]),"",(tbl_task9[5]/tbl_task9[[คะแนนเต็ม]:[คะแนนเต็ม]])*tbl_task9[[%]:[%]])</f>
        <v/>
      </c>
      <c r="FT13" s="121" t="str">
        <f>IF(ISBLANK(tbl_task9[[คะแนนเต็ม]:[คะแนนเต็ม]]),"",(tbl_task9[6]/tbl_task9[[คะแนนเต็ม]:[คะแนนเต็ม]])*tbl_task9[[%]:[%]])</f>
        <v/>
      </c>
      <c r="FU13" s="121" t="str">
        <f>IF(ISBLANK(tbl_task9[[คะแนนเต็ม]:[คะแนนเต็ม]]),"",(tbl_task9[7]/tbl_task9[[คะแนนเต็ม]:[คะแนนเต็ม]])*tbl_task9[[%]:[%]])</f>
        <v/>
      </c>
      <c r="FV13" s="121" t="str">
        <f>IF(ISBLANK(tbl_task9[[คะแนนเต็ม]:[คะแนนเต็ม]]),"",(tbl_task9[8]/tbl_task9[[คะแนนเต็ม]:[คะแนนเต็ม]])*tbl_task9[[%]:[%]])</f>
        <v/>
      </c>
      <c r="FW13" s="121" t="str">
        <f>IF(ISBLANK(tbl_task9[[คะแนนเต็ม]:[คะแนนเต็ม]]),"",(tbl_task9[9]/tbl_task9[[คะแนนเต็ม]:[คะแนนเต็ม]])*tbl_task9[[%]:[%]])</f>
        <v/>
      </c>
      <c r="FX13" s="121" t="str">
        <f>IF(ISBLANK(tbl_task9[[คะแนนเต็ม]:[คะแนนเต็ม]]),"",(tbl_task9[10]/tbl_task9[[คะแนนเต็ม]:[คะแนนเต็ม]])*tbl_task9[[%]:[%]])</f>
        <v/>
      </c>
      <c r="FY13" s="121" t="str">
        <f>IF(ISBLANK(tbl_task9[[คะแนนเต็ม]:[คะแนนเต็ม]]),"",(tbl_task9[11]/tbl_task9[[คะแนนเต็ม]:[คะแนนเต็ม]])*tbl_task9[[%]:[%]])</f>
        <v/>
      </c>
      <c r="FZ13" s="121" t="str">
        <f>IF(ISBLANK(tbl_task9[[คะแนนเต็ม]:[คะแนนเต็ม]]),"",(tbl_task9[12]/tbl_task9[[คะแนนเต็ม]:[คะแนนเต็ม]])*tbl_task9[[%]:[%]])</f>
        <v/>
      </c>
      <c r="GA13" s="121" t="str">
        <f>IF(ISBLANK(tbl_task9[[คะแนนเต็ม]:[คะแนนเต็ม]]),"",(tbl_task9[13]/tbl_task9[[คะแนนเต็ม]:[คะแนนเต็ม]])*tbl_task9[[%]:[%]])</f>
        <v/>
      </c>
      <c r="GB13" s="121" t="str">
        <f>IF(ISBLANK(tbl_task9[[คะแนนเต็ม]:[คะแนนเต็ม]]),"",(tbl_task9[14]/tbl_task9[[คะแนนเต็ม]:[คะแนนเต็ม]])*tbl_task9[[%]:[%]])</f>
        <v/>
      </c>
      <c r="GC13" s="121" t="str">
        <f>IF(ISBLANK(tbl_task9[[คะแนนเต็ม]:[คะแนนเต็ม]]),"",(tbl_task9[15]/tbl_task9[[คะแนนเต็ม]:[คะแนนเต็ม]])*tbl_task9[[%]:[%]])</f>
        <v/>
      </c>
      <c r="GD13" s="121" t="str">
        <f>IF(ISBLANK(tbl_task9[[คะแนนเต็ม]:[คะแนนเต็ม]]),"",(tbl_task9[16]/tbl_task9[[คะแนนเต็ม]:[คะแนนเต็ม]])*tbl_task9[[%]:[%]])</f>
        <v/>
      </c>
      <c r="GE13" s="121" t="str">
        <f>IF(ISBLANK(tbl_task9[[คะแนนเต็ม]:[คะแนนเต็ม]]),"",(tbl_task9[17]/tbl_task9[[คะแนนเต็ม]:[คะแนนเต็ม]])*tbl_task9[[%]:[%]])</f>
        <v/>
      </c>
      <c r="GF13" s="121" t="str">
        <f>IF(ISBLANK(tbl_task9[[คะแนนเต็ม]:[คะแนนเต็ม]]),"",(tbl_task9[18]/tbl_task9[[คะแนนเต็ม]:[คะแนนเต็ม]])*tbl_task9[[%]:[%]])</f>
        <v/>
      </c>
      <c r="GG13" s="121" t="str">
        <f>IF(ISBLANK(tbl_task9[[คะแนนเต็ม]:[คะแนนเต็ม]]),"",(tbl_task9[19]/tbl_task9[[คะแนนเต็ม]:[คะแนนเต็ม]])*tbl_task9[[%]:[%]])</f>
        <v/>
      </c>
      <c r="GH13" s="121" t="str">
        <f>IF(ISBLANK(tbl_task9[[คะแนนเต็ม]:[คะแนนเต็ม]]),"",(tbl_task9[20]/tbl_task9[[คะแนนเต็ม]:[คะแนนเต็ม]])*tbl_task9[[%]:[%]])</f>
        <v/>
      </c>
      <c r="GI13" s="121" t="str">
        <f>IF(ISBLANK(tbl_task9[[คะแนนเต็ม]:[คะแนนเต็ม]]),"",(tbl_task9[21]/tbl_task9[[คะแนนเต็ม]:[คะแนนเต็ม]])*tbl_task9[[%]:[%]])</f>
        <v/>
      </c>
      <c r="GJ13" s="121" t="str">
        <f>IF(ISBLANK(tbl_task9[[คะแนนเต็ม]:[คะแนนเต็ม]]),"",(tbl_task9[22]/tbl_task9[[คะแนนเต็ม]:[คะแนนเต็ม]])*tbl_task9[[%]:[%]])</f>
        <v/>
      </c>
      <c r="GK13" s="121" t="str">
        <f>IF(ISBLANK(tbl_task9[[คะแนนเต็ม]:[คะแนนเต็ม]]),"",(tbl_task9[23]/tbl_task9[[คะแนนเต็ม]:[คะแนนเต็ม]])*tbl_task9[[%]:[%]])</f>
        <v/>
      </c>
      <c r="GL13" s="121" t="str">
        <f>IF(ISBLANK(tbl_task9[[คะแนนเต็ม]:[คะแนนเต็ม]]),"",(tbl_task9[24]/tbl_task9[[คะแนนเต็ม]:[คะแนนเต็ม]])*tbl_task9[[%]:[%]])</f>
        <v/>
      </c>
      <c r="GM13" s="121" t="str">
        <f>IF(ISBLANK(tbl_task9[[คะแนนเต็ม]:[คะแนนเต็ม]]),"",(tbl_task9[25]/tbl_task9[[คะแนนเต็ม]:[คะแนนเต็ม]])*tbl_task9[[%]:[%]])</f>
        <v/>
      </c>
      <c r="GN13" s="121" t="str">
        <f>IF(ISBLANK(tbl_task9[[คะแนนเต็ม]:[คะแนนเต็ม]]),"",(tbl_task9[26]/tbl_task9[[คะแนนเต็ม]:[คะแนนเต็ม]])*tbl_task9[[%]:[%]])</f>
        <v/>
      </c>
      <c r="GO13" s="121" t="str">
        <f>IF(ISBLANK(tbl_task9[[คะแนนเต็ม]:[คะแนนเต็ม]]),"",(tbl_task9[27]/tbl_task9[[คะแนนเต็ม]:[คะแนนเต็ม]])*tbl_task9[[%]:[%]])</f>
        <v/>
      </c>
      <c r="GP13" s="121" t="str">
        <f>IF(ISBLANK(tbl_task9[[คะแนนเต็ม]:[คะแนนเต็ม]]),"",(tbl_task9[28]/tbl_task9[[คะแนนเต็ม]:[คะแนนเต็ม]])*tbl_task9[[%]:[%]])</f>
        <v/>
      </c>
      <c r="GQ13" s="121" t="str">
        <f>IF(ISBLANK(tbl_task9[[คะแนนเต็ม]:[คะแนนเต็ม]]),"",(tbl_task9[29]/tbl_task9[[คะแนนเต็ม]:[คะแนนเต็ม]])*tbl_task9[[%]:[%]])</f>
        <v/>
      </c>
      <c r="GR13" s="121" t="str">
        <f>IF(ISBLANK(tbl_task9[[คะแนนเต็ม]:[คะแนนเต็ม]]),"",(tbl_task9[30]/tbl_task9[[คะแนนเต็ม]:[คะแนนเต็ม]])*tbl_task9[[%]:[%]])</f>
        <v/>
      </c>
      <c r="GS13" s="121" t="str">
        <f>IF(ISBLANK(tbl_task9[[คะแนนเต็ม]:[คะแนนเต็ม]]),"",(tbl_task9[31]/tbl_task9[[คะแนนเต็ม]:[คะแนนเต็ม]])*tbl_task9[[%]:[%]])</f>
        <v/>
      </c>
      <c r="GT13" s="121" t="str">
        <f>IF(ISBLANK(tbl_task9[[คะแนนเต็ม]:[คะแนนเต็ม]]),"",(tbl_task9[32]/tbl_task9[[คะแนนเต็ม]:[คะแนนเต็ม]])*tbl_task9[[%]:[%]])</f>
        <v/>
      </c>
      <c r="GU13" s="121" t="str">
        <f>IF(ISBLANK(tbl_task9[[คะแนนเต็ม]:[คะแนนเต็ม]]),"",(tbl_task9[33]/tbl_task9[[คะแนนเต็ม]:[คะแนนเต็ม]])*tbl_task9[[%]:[%]])</f>
        <v/>
      </c>
      <c r="GV13" s="121" t="str">
        <f>IF(ISBLANK(tbl_task9[[คะแนนเต็ม]:[คะแนนเต็ม]]),"",(tbl_task9[34]/tbl_task9[[คะแนนเต็ม]:[คะแนนเต็ม]])*tbl_task9[[%]:[%]])</f>
        <v/>
      </c>
      <c r="GW13" s="121" t="str">
        <f>IF(ISBLANK(tbl_task9[[คะแนนเต็ม]:[คะแนนเต็ม]]),"",(tbl_task9[35]/tbl_task9[[คะแนนเต็ม]:[คะแนนเต็ม]])*tbl_task9[[%]:[%]])</f>
        <v/>
      </c>
      <c r="GX13" s="121" t="str">
        <f>IF(ISBLANK(tbl_task9[[คะแนนเต็ม]:[คะแนนเต็ม]]),"",(tbl_task9[36]/tbl_task9[[คะแนนเต็ม]:[คะแนนเต็ม]])*tbl_task9[[%]:[%]])</f>
        <v/>
      </c>
      <c r="GY13" s="121" t="str">
        <f>IF(ISBLANK(tbl_task9[[คะแนนเต็ม]:[คะแนนเต็ม]]),"",(tbl_task9[37]/tbl_task9[[คะแนนเต็ม]:[คะแนนเต็ม]])*tbl_task9[[%]:[%]])</f>
        <v/>
      </c>
      <c r="GZ13" s="121" t="str">
        <f>IF(ISBLANK(tbl_task9[[คะแนนเต็ม]:[คะแนนเต็ม]]),"",(tbl_task9[38]/tbl_task9[[คะแนนเต็ม]:[คะแนนเต็ม]])*tbl_task9[[%]:[%]])</f>
        <v/>
      </c>
      <c r="HA13" s="121" t="str">
        <f>IF(ISBLANK(tbl_task9[[คะแนนเต็ม]:[คะแนนเต็ม]]),"",(tbl_task9[39]/tbl_task9[[คะแนนเต็ม]:[คะแนนเต็ม]])*tbl_task9[[%]:[%]])</f>
        <v/>
      </c>
      <c r="HB13" s="121" t="str">
        <f>IF(ISBLANK(tbl_task9[[คะแนนเต็ม]:[คะแนนเต็ม]]),"",(tbl_task9[40]/tbl_task9[[คะแนนเต็ม]:[คะแนนเต็ม]])*tbl_task9[[%]:[%]])</f>
        <v/>
      </c>
      <c r="HC13" s="121" t="str">
        <f>IF(ISBLANK(tbl_task9[[คะแนนเต็ม]:[คะแนนเต็ม]]),"",(tbl_task9[41]/tbl_task9[[คะแนนเต็ม]:[คะแนนเต็ม]])*tbl_task9[[%]:[%]])</f>
        <v/>
      </c>
      <c r="HD13" s="121" t="str">
        <f>IF(ISBLANK(tbl_task9[[คะแนนเต็ม]:[คะแนนเต็ม]]),"",(tbl_task9[42]/tbl_task9[[คะแนนเต็ม]:[คะแนนเต็ม]])*tbl_task9[[%]:[%]])</f>
        <v/>
      </c>
      <c r="HE13" s="121" t="str">
        <f>IF(ISBLANK(tbl_task9[[คะแนนเต็ม]:[คะแนนเต็ม]]),"",(tbl_task9[43]/tbl_task9[[คะแนนเต็ม]:[คะแนนเต็ม]])*tbl_task9[[%]:[%]])</f>
        <v/>
      </c>
      <c r="HF13" s="121" t="str">
        <f>IF(ISBLANK(tbl_task9[[คะแนนเต็ม]:[คะแนนเต็ม]]),"",(tbl_task9[44]/tbl_task9[[คะแนนเต็ม]:[คะแนนเต็ม]])*tbl_task9[[%]:[%]])</f>
        <v/>
      </c>
      <c r="HG13" s="121" t="str">
        <f>IF(ISBLANK(tbl_task9[[คะแนนเต็ม]:[คะแนนเต็ม]]),"",(tbl_task9[45]/tbl_task9[[คะแนนเต็ม]:[คะแนนเต็ม]])*tbl_task9[[%]:[%]])</f>
        <v/>
      </c>
      <c r="HH13" s="121" t="str">
        <f>IF(ISBLANK(tbl_task9[[คะแนนเต็ม]:[คะแนนเต็ม]]),"",(tbl_task9[46]/tbl_task9[[คะแนนเต็ม]:[คะแนนเต็ม]])*tbl_task9[[%]:[%]])</f>
        <v/>
      </c>
      <c r="HI13" s="121" t="str">
        <f>IF(ISBLANK(tbl_task9[[คะแนนเต็ม]:[คะแนนเต็ม]]),"",(tbl_task9[47]/tbl_task9[[คะแนนเต็ม]:[คะแนนเต็ม]])*tbl_task9[[%]:[%]])</f>
        <v/>
      </c>
      <c r="HJ13" s="121" t="str">
        <f>IF(ISBLANK(tbl_task9[[คะแนนเต็ม]:[คะแนนเต็ม]]),"",(tbl_task9[48]/tbl_task9[[คะแนนเต็ม]:[คะแนนเต็ม]])*tbl_task9[[%]:[%]])</f>
        <v/>
      </c>
      <c r="HK13" s="121" t="str">
        <f>IF(ISBLANK(tbl_task9[[คะแนนเต็ม]:[คะแนนเต็ม]]),"",(tbl_task9[49]/tbl_task9[[คะแนนเต็ม]:[คะแนนเต็ม]])*tbl_task9[[%]:[%]])</f>
        <v/>
      </c>
      <c r="HL13" s="121" t="str">
        <f>IF(ISBLANK(tbl_task9[[คะแนนเต็ม]:[คะแนนเต็ม]]),"",(tbl_task9[50]/tbl_task9[[คะแนนเต็ม]:[คะแนนเต็ม]])*tbl_task9[[%]:[%]])</f>
        <v/>
      </c>
      <c r="HM13" s="121" t="str">
        <f>IF(ISBLANK(tbl_task9[[คะแนนเต็ม]:[คะแนนเต็ม]]),"",(tbl_task9[51]/tbl_task9[[คะแนนเต็ม]:[คะแนนเต็ม]])*tbl_task9[[%]:[%]])</f>
        <v/>
      </c>
      <c r="HN13" s="121" t="str">
        <f>IF(ISBLANK(tbl_task9[[คะแนนเต็ม]:[คะแนนเต็ม]]),"",(tbl_task9[52]/tbl_task9[[คะแนนเต็ม]:[คะแนนเต็ม]])*tbl_task9[[%]:[%]])</f>
        <v/>
      </c>
      <c r="HO13" s="121" t="str">
        <f>IF(ISBLANK(tbl_task9[[คะแนนเต็ม]:[คะแนนเต็ม]]),"",(tbl_task9[53]/tbl_task9[[คะแนนเต็ม]:[คะแนนเต็ม]])*tbl_task9[[%]:[%]])</f>
        <v/>
      </c>
      <c r="HP13" s="121" t="str">
        <f>IF(ISBLANK(tbl_task9[[คะแนนเต็ม]:[คะแนนเต็ม]]),"",(tbl_task9[54]/tbl_task9[[คะแนนเต็ม]:[คะแนนเต็ม]])*tbl_task9[[%]:[%]])</f>
        <v/>
      </c>
      <c r="HQ13" s="121" t="str">
        <f>IF(ISBLANK(tbl_task9[[คะแนนเต็ม]:[คะแนนเต็ม]]),"",(tbl_task9[55]/tbl_task9[[คะแนนเต็ม]:[คะแนนเต็ม]])*tbl_task9[[%]:[%]])</f>
        <v/>
      </c>
      <c r="HR13" s="121" t="str">
        <f>IF(ISBLANK(tbl_task9[[คะแนนเต็ม]:[คะแนนเต็ม]]),"",(tbl_task9[56]/tbl_task9[[คะแนนเต็ม]:[คะแนนเต็ม]])*tbl_task9[[%]:[%]])</f>
        <v/>
      </c>
      <c r="HS13" s="121" t="str">
        <f>IF(ISBLANK(tbl_task9[[คะแนนเต็ม]:[คะแนนเต็ม]]),"",(tbl_task9[57]/tbl_task9[[คะแนนเต็ม]:[คะแนนเต็ม]])*tbl_task9[[%]:[%]])</f>
        <v/>
      </c>
      <c r="HT13" s="121" t="str">
        <f>IF(ISBLANK(tbl_task9[[คะแนนเต็ม]:[คะแนนเต็ม]]),"",(tbl_task9[58]/tbl_task9[[คะแนนเต็ม]:[คะแนนเต็ม]])*tbl_task9[[%]:[%]])</f>
        <v/>
      </c>
      <c r="HU13" s="121" t="str">
        <f>IF(ISBLANK(tbl_task9[[คะแนนเต็ม]:[คะแนนเต็ม]]),"",(tbl_task9[59]/tbl_task9[[คะแนนเต็ม]:[คะแนนเต็ม]])*tbl_task9[[%]:[%]])</f>
        <v/>
      </c>
      <c r="HV13" s="121" t="str">
        <f>IF(ISBLANK(tbl_task9[[คะแนนเต็ม]:[คะแนนเต็ม]]),"",(tbl_task9[60]/tbl_task9[[คะแนนเต็ม]:[คะแนนเต็ม]])*tbl_task9[[%]:[%]])</f>
        <v/>
      </c>
      <c r="HW13" s="121" t="str">
        <f>IF(ISBLANK(tbl_task9[[คะแนนเต็ม]:[คะแนนเต็ม]]),"",(tbl_task9[61]/tbl_task9[[คะแนนเต็ม]:[คะแนนเต็ม]])*tbl_task9[[%]:[%]])</f>
        <v/>
      </c>
      <c r="HX13" s="121" t="str">
        <f>IF(ISBLANK(tbl_task9[[คะแนนเต็ม]:[คะแนนเต็ม]]),"",(tbl_task9[62]/tbl_task9[[คะแนนเต็ม]:[คะแนนเต็ม]])*tbl_task9[[%]:[%]])</f>
        <v/>
      </c>
      <c r="HY13" s="121" t="str">
        <f>IF(ISBLANK(tbl_task9[[คะแนนเต็ม]:[คะแนนเต็ม]]),"",(tbl_task9[63]/tbl_task9[[คะแนนเต็ม]:[คะแนนเต็ม]])*tbl_task9[[%]:[%]])</f>
        <v/>
      </c>
      <c r="HZ13" s="121" t="str">
        <f>IF(ISBLANK(tbl_task9[[คะแนนเต็ม]:[คะแนนเต็ม]]),"",(tbl_task9[64]/tbl_task9[[คะแนนเต็ม]:[คะแนนเต็ม]])*tbl_task9[[%]:[%]])</f>
        <v/>
      </c>
      <c r="IA13" s="121" t="str">
        <f>IF(ISBLANK(tbl_task9[[คะแนนเต็ม]:[คะแนนเต็ม]]),"",(tbl_task9[65]/tbl_task9[[คะแนนเต็ม]:[คะแนนเต็ม]])*tbl_task9[[%]:[%]])</f>
        <v/>
      </c>
      <c r="IB13" s="121" t="str">
        <f>IF(ISBLANK(tbl_task9[[คะแนนเต็ม]:[คะแนนเต็ม]]),"",(tbl_task9[66]/tbl_task9[[คะแนนเต็ม]:[คะแนนเต็ม]])*tbl_task9[[%]:[%]])</f>
        <v/>
      </c>
      <c r="IC13" s="121" t="str">
        <f>IF(ISBLANK(tbl_task9[[คะแนนเต็ม]:[คะแนนเต็ม]]),"",(tbl_task9[67]/tbl_task9[[คะแนนเต็ม]:[คะแนนเต็ม]])*tbl_task9[[%]:[%]])</f>
        <v/>
      </c>
      <c r="ID13" s="121" t="str">
        <f>IF(ISBLANK(tbl_task9[[คะแนนเต็ม]:[คะแนนเต็ม]]),"",(tbl_task9[68]/tbl_task9[[คะแนนเต็ม]:[คะแนนเต็ม]])*tbl_task9[[%]:[%]])</f>
        <v/>
      </c>
      <c r="IE13" s="121" t="str">
        <f>IF(ISBLANK(tbl_task9[[คะแนนเต็ม]:[คะแนนเต็ม]]),"",(tbl_task9[69]/tbl_task9[[คะแนนเต็ม]:[คะแนนเต็ม]])*tbl_task9[[%]:[%]])</f>
        <v/>
      </c>
      <c r="IF13" s="121" t="str">
        <f>IF(ISBLANK(tbl_task9[[คะแนนเต็ม]:[คะแนนเต็ม]]),"",(tbl_task9[70]/tbl_task9[[คะแนนเต็ม]:[คะแนนเต็ม]])*tbl_task9[[%]:[%]])</f>
        <v/>
      </c>
      <c r="IG13" s="121" t="str">
        <f>IF(ISBLANK(tbl_task9[[คะแนนเต็ม]:[คะแนนเต็ม]]),"",(tbl_task9[71]/tbl_task9[[คะแนนเต็ม]:[คะแนนเต็ม]])*tbl_task9[[%]:[%]])</f>
        <v/>
      </c>
      <c r="IH13" s="121" t="str">
        <f>IF(ISBLANK(tbl_task9[[คะแนนเต็ม]:[คะแนนเต็ม]]),"",(tbl_task9[72]/tbl_task9[[คะแนนเต็ม]:[คะแนนเต็ม]])*tbl_task9[[%]:[%]])</f>
        <v/>
      </c>
      <c r="II13" s="121" t="str">
        <f>IF(ISBLANK(tbl_task9[[คะแนนเต็ม]:[คะแนนเต็ม]]),"",(tbl_task9[73]/tbl_task9[[คะแนนเต็ม]:[คะแนนเต็ม]])*tbl_task9[[%]:[%]])</f>
        <v/>
      </c>
      <c r="IJ13" s="121" t="str">
        <f>IF(ISBLANK(tbl_task9[[คะแนนเต็ม]:[คะแนนเต็ม]]),"",(tbl_task9[74]/tbl_task9[[คะแนนเต็ม]:[คะแนนเต็ม]])*tbl_task9[[%]:[%]])</f>
        <v/>
      </c>
      <c r="IK13" s="121" t="str">
        <f>IF(ISBLANK(tbl_task9[[คะแนนเต็ม]:[คะแนนเต็ม]]),"",(tbl_task9[75]/tbl_task9[[คะแนนเต็ม]:[คะแนนเต็ม]])*tbl_task9[[%]:[%]])</f>
        <v/>
      </c>
      <c r="IL13" s="121" t="str">
        <f>IF(ISBLANK(tbl_task9[[คะแนนเต็ม]:[คะแนนเต็ม]]),"",(tbl_task9[76]/tbl_task9[[คะแนนเต็ม]:[คะแนนเต็ม]])*tbl_task9[[%]:[%]])</f>
        <v/>
      </c>
      <c r="IM13" s="121" t="str">
        <f>IF(ISBLANK(tbl_task9[[คะแนนเต็ม]:[คะแนนเต็ม]]),"",(tbl_task9[77]/tbl_task9[[คะแนนเต็ม]:[คะแนนเต็ม]])*tbl_task9[[%]:[%]])</f>
        <v/>
      </c>
      <c r="IN13" s="121" t="str">
        <f>IF(ISBLANK(tbl_task9[[คะแนนเต็ม]:[คะแนนเต็ม]]),"",(tbl_task9[78]/tbl_task9[[คะแนนเต็ม]:[คะแนนเต็ม]])*tbl_task9[[%]:[%]])</f>
        <v/>
      </c>
      <c r="IO13" s="121" t="str">
        <f>IF(ISBLANK(tbl_task9[[คะแนนเต็ม]:[คะแนนเต็ม]]),"",(tbl_task9[79]/tbl_task9[[คะแนนเต็ม]:[คะแนนเต็ม]])*tbl_task9[[%]:[%]])</f>
        <v/>
      </c>
      <c r="IP13" s="121" t="str">
        <f>IF(ISBLANK(tbl_task9[[คะแนนเต็ม]:[คะแนนเต็ม]]),"",(tbl_task9[80]/tbl_task9[[คะแนนเต็ม]:[คะแนนเต็ม]])*tbl_task9[[%]:[%]])</f>
        <v/>
      </c>
      <c r="IQ13" s="121" t="str">
        <f>IF(ISBLANK(tbl_task9[[คะแนนเต็ม]:[คะแนนเต็ม]]),"",(tbl_task9[81]/tbl_task9[[คะแนนเต็ม]:[คะแนนเต็ม]])*tbl_task9[[%]:[%]])</f>
        <v/>
      </c>
      <c r="IR13" s="121" t="str">
        <f>IF(ISBLANK(tbl_task9[[คะแนนเต็ม]:[คะแนนเต็ม]]),"",(tbl_task9[82]/tbl_task9[[คะแนนเต็ม]:[คะแนนเต็ม]])*tbl_task9[[%]:[%]])</f>
        <v/>
      </c>
      <c r="IS13" s="121" t="str">
        <f>IF(ISBLANK(tbl_task9[[คะแนนเต็ม]:[คะแนนเต็ม]]),"",(tbl_task9[83]/tbl_task9[[คะแนนเต็ม]:[คะแนนเต็ม]])*tbl_task9[[%]:[%]])</f>
        <v/>
      </c>
      <c r="IT13" s="121" t="str">
        <f>IF(ISBLANK(tbl_task9[[คะแนนเต็ม]:[คะแนนเต็ม]]),"",(tbl_task9[84]/tbl_task9[[คะแนนเต็ม]:[คะแนนเต็ม]])*tbl_task9[[%]:[%]])</f>
        <v/>
      </c>
      <c r="IU13" s="121" t="str">
        <f>IF(ISBLANK(tbl_task9[[คะแนนเต็ม]:[คะแนนเต็ม]]),"",(tbl_task9[85]/tbl_task9[[คะแนนเต็ม]:[คะแนนเต็ม]])*tbl_task9[[%]:[%]])</f>
        <v/>
      </c>
      <c r="IV13" s="121" t="str">
        <f>IF(ISBLANK(tbl_task9[[คะแนนเต็ม]:[คะแนนเต็ม]]),"",(tbl_task9[86]/tbl_task9[[คะแนนเต็ม]:[คะแนนเต็ม]])*tbl_task9[[%]:[%]])</f>
        <v/>
      </c>
      <c r="IW13" s="121" t="str">
        <f>IF(ISBLANK(tbl_task9[[คะแนนเต็ม]:[คะแนนเต็ม]]),"",(tbl_task9[87]/tbl_task9[[คะแนนเต็ม]:[คะแนนเต็ม]])*tbl_task9[[%]:[%]])</f>
        <v/>
      </c>
      <c r="IX13" s="121" t="str">
        <f>IF(ISBLANK(tbl_task9[[คะแนนเต็ม]:[คะแนนเต็ม]]),"",(tbl_task9[88]/tbl_task9[[คะแนนเต็ม]:[คะแนนเต็ม]])*tbl_task9[[%]:[%]])</f>
        <v/>
      </c>
      <c r="IY13" s="121" t="str">
        <f>IF(ISBLANK(tbl_task9[[คะแนนเต็ม]:[คะแนนเต็ม]]),"",(tbl_task9[89]/tbl_task9[[คะแนนเต็ม]:[คะแนนเต็ม]])*tbl_task9[[%]:[%]])</f>
        <v/>
      </c>
      <c r="IZ13" s="121" t="str">
        <f>IF(ISBLANK(tbl_task9[[คะแนนเต็ม]:[คะแนนเต็ม]]),"",(tbl_task9[90]/tbl_task9[[คะแนนเต็ม]:[คะแนนเต็ม]])*tbl_task9[[%]:[%]])</f>
        <v/>
      </c>
      <c r="JA13" s="121" t="str">
        <f>IF(ISBLANK(tbl_task9[[คะแนนเต็ม]:[คะแนนเต็ม]]),"",(tbl_task9[91]/tbl_task9[[คะแนนเต็ม]:[คะแนนเต็ม]])*tbl_task9[[%]:[%]])</f>
        <v/>
      </c>
      <c r="JB13" s="121" t="str">
        <f>IF(ISBLANK(tbl_task9[[คะแนนเต็ม]:[คะแนนเต็ม]]),"",(tbl_task9[92]/tbl_task9[[คะแนนเต็ม]:[คะแนนเต็ม]])*tbl_task9[[%]:[%]])</f>
        <v/>
      </c>
      <c r="JC13" s="121" t="str">
        <f>IF(ISBLANK(tbl_task9[[คะแนนเต็ม]:[คะแนนเต็ม]]),"",(tbl_task9[93]/tbl_task9[[คะแนนเต็ม]:[คะแนนเต็ม]])*tbl_task9[[%]:[%]])</f>
        <v/>
      </c>
      <c r="JD13" s="121" t="str">
        <f>IF(ISBLANK(tbl_task9[[คะแนนเต็ม]:[คะแนนเต็ม]]),"",(tbl_task9[94]/tbl_task9[[คะแนนเต็ม]:[คะแนนเต็ม]])*tbl_task9[[%]:[%]])</f>
        <v/>
      </c>
      <c r="JE13" s="121" t="str">
        <f>IF(ISBLANK(tbl_task9[[คะแนนเต็ม]:[คะแนนเต็ม]]),"",(tbl_task9[95]/tbl_task9[[คะแนนเต็ม]:[คะแนนเต็ม]])*tbl_task9[[%]:[%]])</f>
        <v/>
      </c>
      <c r="JF13" s="121" t="str">
        <f>IF(ISBLANK(tbl_task9[[คะแนนเต็ม]:[คะแนนเต็ม]]),"",(tbl_task9[96]/tbl_task9[[คะแนนเต็ม]:[คะแนนเต็ม]])*tbl_task9[[%]:[%]])</f>
        <v/>
      </c>
      <c r="JG13" s="121" t="str">
        <f>IF(ISBLANK(tbl_task9[[คะแนนเต็ม]:[คะแนนเต็ม]]),"",(tbl_task9[97]/tbl_task9[[คะแนนเต็ม]:[คะแนนเต็ม]])*tbl_task9[[%]:[%]])</f>
        <v/>
      </c>
      <c r="JH13" s="121" t="str">
        <f>IF(ISBLANK(tbl_task9[[คะแนนเต็ม]:[คะแนนเต็ม]]),"",(tbl_task9[98]/tbl_task9[[คะแนนเต็ม]:[คะแนนเต็ม]])*tbl_task9[[%]:[%]])</f>
        <v/>
      </c>
      <c r="JI13" s="121" t="str">
        <f>IF(ISBLANK(tbl_task9[[คะแนนเต็ม]:[คะแนนเต็ม]]),"",(tbl_task9[99]/tbl_task9[[คะแนนเต็ม]:[คะแนนเต็ม]])*tbl_task9[[%]:[%]])</f>
        <v/>
      </c>
      <c r="JJ13" s="121" t="str">
        <f>IF(ISBLANK(tbl_task9[[คะแนนเต็ม]:[คะแนนเต็ม]]),"",(tbl_task9[100]/tbl_task9[[คะแนนเต็ม]:[คะแนนเต็ม]])*tbl_task9[[%]:[%]])</f>
        <v/>
      </c>
      <c r="JK13" s="121" t="str">
        <f>IF(ISBLANK(tbl_task9[[คะแนนเต็ม]:[คะแนนเต็ม]]),"",(tbl_task9[101]/tbl_task9[[คะแนนเต็ม]:[คะแนนเต็ม]])*tbl_task9[[%]:[%]])</f>
        <v/>
      </c>
      <c r="JL13" s="121" t="str">
        <f>IF(ISBLANK(tbl_task9[[คะแนนเต็ม]:[คะแนนเต็ม]]),"",(tbl_task9[102]/tbl_task9[[คะแนนเต็ม]:[คะแนนเต็ม]])*tbl_task9[[%]:[%]])</f>
        <v/>
      </c>
      <c r="JM13" s="121" t="str">
        <f>IF(ISBLANK(tbl_task9[[คะแนนเต็ม]:[คะแนนเต็ม]]),"",(tbl_task9[103]/tbl_task9[[คะแนนเต็ม]:[คะแนนเต็ม]])*tbl_task9[[%]:[%]])</f>
        <v/>
      </c>
      <c r="JN13" s="121" t="str">
        <f>IF(ISBLANK(tbl_task9[[คะแนนเต็ม]:[คะแนนเต็ม]]),"",(tbl_task9[104]/tbl_task9[[คะแนนเต็ม]:[คะแนนเต็ม]])*tbl_task9[[%]:[%]])</f>
        <v/>
      </c>
      <c r="JO13" s="121" t="str">
        <f>IF(ISBLANK(tbl_task9[[คะแนนเต็ม]:[คะแนนเต็ม]]),"",(tbl_task9[105]/tbl_task9[[คะแนนเต็ม]:[คะแนนเต็ม]])*tbl_task9[[%]:[%]])</f>
        <v/>
      </c>
      <c r="JP13" s="121" t="str">
        <f>IF(ISBLANK(tbl_task9[[คะแนนเต็ม]:[คะแนนเต็ม]]),"",(tbl_task9[106]/tbl_task9[[คะแนนเต็ม]:[คะแนนเต็ม]])*tbl_task9[[%]:[%]])</f>
        <v/>
      </c>
      <c r="JQ13" s="121" t="str">
        <f>IF(ISBLANK(tbl_task9[[คะแนนเต็ม]:[คะแนนเต็ม]]),"",(tbl_task9[107]/tbl_task9[[คะแนนเต็ม]:[คะแนนเต็ม]])*tbl_task9[[%]:[%]])</f>
        <v/>
      </c>
      <c r="JR13" s="121" t="str">
        <f>IF(ISBLANK(tbl_task9[[คะแนนเต็ม]:[คะแนนเต็ม]]),"",(tbl_task9[108]/tbl_task9[[คะแนนเต็ม]:[คะแนนเต็ม]])*tbl_task9[[%]:[%]])</f>
        <v/>
      </c>
      <c r="JS13" s="121" t="str">
        <f>IF(ISBLANK(tbl_task9[[คะแนนเต็ม]:[คะแนนเต็ม]]),"",(tbl_task9[109]/tbl_task9[[คะแนนเต็ม]:[คะแนนเต็ม]])*tbl_task9[[%]:[%]])</f>
        <v/>
      </c>
      <c r="JT13" s="121" t="str">
        <f>IF(ISBLANK(tbl_task9[[คะแนนเต็ม]:[คะแนนเต็ม]]),"",(tbl_task9[110]/tbl_task9[[คะแนนเต็ม]:[คะแนนเต็ม]])*tbl_task9[[%]:[%]])</f>
        <v/>
      </c>
      <c r="JU13" s="121" t="str">
        <f>IF(ISBLANK(tbl_task9[[คะแนนเต็ม]:[คะแนนเต็ม]]),"",(tbl_task9[111]/tbl_task9[[คะแนนเต็ม]:[คะแนนเต็ม]])*tbl_task9[[%]:[%]])</f>
        <v/>
      </c>
      <c r="JV13" s="121" t="str">
        <f>IF(ISBLANK(tbl_task9[[คะแนนเต็ม]:[คะแนนเต็ม]]),"",(tbl_task9[112]/tbl_task9[[คะแนนเต็ม]:[คะแนนเต็ม]])*tbl_task9[[%]:[%]])</f>
        <v/>
      </c>
      <c r="JW13" s="121" t="str">
        <f>IF(ISBLANK(tbl_task9[[คะแนนเต็ม]:[คะแนนเต็ม]]),"",(tbl_task9[113]/tbl_task9[[คะแนนเต็ม]:[คะแนนเต็ม]])*tbl_task9[[%]:[%]])</f>
        <v/>
      </c>
      <c r="JX13" s="121" t="str">
        <f>IF(ISBLANK(tbl_task9[[คะแนนเต็ม]:[คะแนนเต็ม]]),"",(tbl_task9[114]/tbl_task9[[คะแนนเต็ม]:[คะแนนเต็ม]])*tbl_task9[[%]:[%]])</f>
        <v/>
      </c>
      <c r="JY13" s="121" t="str">
        <f>IF(ISBLANK(tbl_task9[[คะแนนเต็ม]:[คะแนนเต็ม]]),"",(tbl_task9[115]/tbl_task9[[คะแนนเต็ม]:[คะแนนเต็ม]])*tbl_task9[[%]:[%]])</f>
        <v/>
      </c>
      <c r="JZ13" s="121" t="str">
        <f>IF(ISBLANK(tbl_task9[[คะแนนเต็ม]:[คะแนนเต็ม]]),"",(tbl_task9[116]/tbl_task9[[คะแนนเต็ม]:[คะแนนเต็ม]])*tbl_task9[[%]:[%]])</f>
        <v/>
      </c>
      <c r="KA13" s="121" t="str">
        <f>IF(ISBLANK(tbl_task9[[คะแนนเต็ม]:[คะแนนเต็ม]]),"",(tbl_task9[117]/tbl_task9[[คะแนนเต็ม]:[คะแนนเต็ม]])*tbl_task9[[%]:[%]])</f>
        <v/>
      </c>
      <c r="KB13" s="121" t="str">
        <f>IF(ISBLANK(tbl_task9[[คะแนนเต็ม]:[คะแนนเต็ม]]),"",(tbl_task9[118]/tbl_task9[[คะแนนเต็ม]:[คะแนนเต็ม]])*tbl_task9[[%]:[%]])</f>
        <v/>
      </c>
      <c r="KC13" s="121" t="str">
        <f>IF(ISBLANK(tbl_task9[[คะแนนเต็ม]:[คะแนนเต็ม]]),"",(tbl_task9[119]/tbl_task9[[คะแนนเต็ม]:[คะแนนเต็ม]])*tbl_task9[[%]:[%]])</f>
        <v/>
      </c>
      <c r="KD13" s="121" t="str">
        <f>IF(ISBLANK(tbl_task9[[คะแนนเต็ม]:[คะแนนเต็ม]]),"",(tbl_task9[120]/tbl_task9[[คะแนนเต็ม]:[คะแนนเต็ม]])*tbl_task9[[%]:[%]])</f>
        <v/>
      </c>
      <c r="KE13" s="121" t="str">
        <f>IF(ISBLANK(tbl_task9[[คะแนนเต็ม]:[คะแนนเต็ม]]),"",(tbl_task9[121]/tbl_task9[[คะแนนเต็ม]:[คะแนนเต็ม]])*tbl_task9[[%]:[%]])</f>
        <v/>
      </c>
      <c r="KF13" s="121" t="str">
        <f>IF(ISBLANK(tbl_task9[[คะแนนเต็ม]:[คะแนนเต็ม]]),"",(tbl_task9[122]/tbl_task9[[คะแนนเต็ม]:[คะแนนเต็ม]])*tbl_task9[[%]:[%]])</f>
        <v/>
      </c>
      <c r="KG13" s="121" t="str">
        <f>IF(ISBLANK(tbl_task9[[คะแนนเต็ม]:[คะแนนเต็ม]]),"",(tbl_task9[123]/tbl_task9[[คะแนนเต็ม]:[คะแนนเต็ม]])*tbl_task9[[%]:[%]])</f>
        <v/>
      </c>
      <c r="KH13" s="121" t="str">
        <f>IF(ISBLANK(tbl_task9[[คะแนนเต็ม]:[คะแนนเต็ม]]),"",(tbl_task9[124]/tbl_task9[[คะแนนเต็ม]:[คะแนนเต็ม]])*tbl_task9[[%]:[%]])</f>
        <v/>
      </c>
      <c r="KI13" s="121" t="str">
        <f>IF(ISBLANK(tbl_task9[[คะแนนเต็ม]:[คะแนนเต็ม]]),"",(tbl_task9[125]/tbl_task9[[คะแนนเต็ม]:[คะแนนเต็ม]])*tbl_task9[[%]:[%]])</f>
        <v/>
      </c>
      <c r="KJ13" s="121" t="str">
        <f>IF(ISBLANK(tbl_task9[[คะแนนเต็ม]:[คะแนนเต็ม]]),"",(tbl_task9[126]/tbl_task9[[คะแนนเต็ม]:[คะแนนเต็ม]])*tbl_task9[[%]:[%]])</f>
        <v/>
      </c>
      <c r="KK13" s="121" t="str">
        <f>IF(ISBLANK(tbl_task9[[คะแนนเต็ม]:[คะแนนเต็ม]]),"",(tbl_task9[127]/tbl_task9[[คะแนนเต็ม]:[คะแนนเต็ม]])*tbl_task9[[%]:[%]])</f>
        <v/>
      </c>
      <c r="KL13" s="121" t="str">
        <f>IF(ISBLANK(tbl_task9[[คะแนนเต็ม]:[คะแนนเต็ม]]),"",(tbl_task9[128]/tbl_task9[[คะแนนเต็ม]:[คะแนนเต็ม]])*tbl_task9[[%]:[%]])</f>
        <v/>
      </c>
      <c r="KM13" s="121" t="str">
        <f>IF(ISBLANK(tbl_task9[[คะแนนเต็ม]:[คะแนนเต็ม]]),"",(tbl_task9[129]/tbl_task9[[คะแนนเต็ม]:[คะแนนเต็ม]])*tbl_task9[[%]:[%]])</f>
        <v/>
      </c>
      <c r="KN13" s="121" t="str">
        <f>IF(ISBLANK(tbl_task9[[คะแนนเต็ม]:[คะแนนเต็ม]]),"",(tbl_task9[130]/tbl_task9[[คะแนนเต็ม]:[คะแนนเต็ม]])*tbl_task9[[%]:[%]])</f>
        <v/>
      </c>
      <c r="KO13" s="121" t="str">
        <f>IF(ISBLANK(tbl_task9[[คะแนนเต็ม]:[คะแนนเต็ม]]),"",(tbl_task9[131]/tbl_task9[[คะแนนเต็ม]:[คะแนนเต็ม]])*tbl_task9[[%]:[%]])</f>
        <v/>
      </c>
      <c r="KP13" s="121" t="str">
        <f>IF(ISBLANK(tbl_task9[[คะแนนเต็ม]:[คะแนนเต็ม]]),"",(tbl_task9[132]/tbl_task9[[คะแนนเต็ม]:[คะแนนเต็ม]])*tbl_task9[[%]:[%]])</f>
        <v/>
      </c>
      <c r="KQ13" s="121" t="str">
        <f>IF(ISBLANK(tbl_task9[[คะแนนเต็ม]:[คะแนนเต็ม]]),"",(tbl_task9[133]/tbl_task9[[คะแนนเต็ม]:[คะแนนเต็ม]])*tbl_task9[[%]:[%]])</f>
        <v/>
      </c>
      <c r="KR13" s="121" t="str">
        <f>IF(ISBLANK(tbl_task9[[คะแนนเต็ม]:[คะแนนเต็ม]]),"",(tbl_task9[134]/tbl_task9[[คะแนนเต็ม]:[คะแนนเต็ม]])*tbl_task9[[%]:[%]])</f>
        <v/>
      </c>
      <c r="KS13" s="121" t="str">
        <f>IF(ISBLANK(tbl_task9[[คะแนนเต็ม]:[คะแนนเต็ม]]),"",(tbl_task9[135]/tbl_task9[[คะแนนเต็ม]:[คะแนนเต็ม]])*tbl_task9[[%]:[%]])</f>
        <v/>
      </c>
      <c r="KT13" s="121" t="str">
        <f>IF(ISBLANK(tbl_task9[[คะแนนเต็ม]:[คะแนนเต็ม]]),"",(tbl_task9[136]/tbl_task9[[คะแนนเต็ม]:[คะแนนเต็ม]])*tbl_task9[[%]:[%]])</f>
        <v/>
      </c>
      <c r="KU13" s="121" t="str">
        <f>IF(ISBLANK(tbl_task9[[คะแนนเต็ม]:[คะแนนเต็ม]]),"",(tbl_task9[137]/tbl_task9[[คะแนนเต็ม]:[คะแนนเต็ม]])*tbl_task9[[%]:[%]])</f>
        <v/>
      </c>
      <c r="KV13" s="121" t="str">
        <f>IF(ISBLANK(tbl_task9[[คะแนนเต็ม]:[คะแนนเต็ม]]),"",(tbl_task9[138]/tbl_task9[[คะแนนเต็ม]:[คะแนนเต็ม]])*tbl_task9[[%]:[%]])</f>
        <v/>
      </c>
      <c r="KW13" s="121" t="str">
        <f>IF(ISBLANK(tbl_task9[[คะแนนเต็ม]:[คะแนนเต็ม]]),"",(tbl_task9[139]/tbl_task9[[คะแนนเต็ม]:[คะแนนเต็ม]])*tbl_task9[[%]:[%]])</f>
        <v/>
      </c>
      <c r="KX13" s="121" t="str">
        <f>IF(ISBLANK(tbl_task9[[คะแนนเต็ม]:[คะแนนเต็ม]]),"",(tbl_task9[140]/tbl_task9[[คะแนนเต็ม]:[คะแนนเต็ม]])*tbl_task9[[%]:[%]])</f>
        <v/>
      </c>
      <c r="KY13" s="121" t="str">
        <f>IF(ISBLANK(tbl_task9[[คะแนนเต็ม]:[คะแนนเต็ม]]),"",(tbl_task9[141]/tbl_task9[[คะแนนเต็ม]:[คะแนนเต็ม]])*tbl_task9[[%]:[%]])</f>
        <v/>
      </c>
      <c r="KZ13" s="121" t="str">
        <f>IF(ISBLANK(tbl_task9[[คะแนนเต็ม]:[คะแนนเต็ม]]),"",(tbl_task9[142]/tbl_task9[[คะแนนเต็ม]:[คะแนนเต็ม]])*tbl_task9[[%]:[%]])</f>
        <v/>
      </c>
      <c r="LA13" s="121" t="str">
        <f>IF(ISBLANK(tbl_task9[[คะแนนเต็ม]:[คะแนนเต็ม]]),"",(tbl_task9[143]/tbl_task9[[คะแนนเต็ม]:[คะแนนเต็ม]])*tbl_task9[[%]:[%]])</f>
        <v/>
      </c>
      <c r="LB13" s="121" t="str">
        <f>IF(ISBLANK(tbl_task9[[คะแนนเต็ม]:[คะแนนเต็ม]]),"",(tbl_task9[144]/tbl_task9[[คะแนนเต็ม]:[คะแนนเต็ม]])*tbl_task9[[%]:[%]])</f>
        <v/>
      </c>
      <c r="LC13" s="121" t="str">
        <f>IF(ISBLANK(tbl_task9[[คะแนนเต็ม]:[คะแนนเต็ม]]),"",(tbl_task9[145]/tbl_task9[[คะแนนเต็ม]:[คะแนนเต็ม]])*tbl_task9[[%]:[%]])</f>
        <v/>
      </c>
      <c r="LD13" s="121" t="str">
        <f>IF(ISBLANK(tbl_task9[[คะแนนเต็ม]:[คะแนนเต็ม]]),"",(tbl_task9[146]/tbl_task9[[คะแนนเต็ม]:[คะแนนเต็ม]])*tbl_task9[[%]:[%]])</f>
        <v/>
      </c>
      <c r="LE13" s="121" t="str">
        <f>IF(ISBLANK(tbl_task9[[คะแนนเต็ม]:[คะแนนเต็ม]]),"",(tbl_task9[147]/tbl_task9[[คะแนนเต็ม]:[คะแนนเต็ม]])*tbl_task9[[%]:[%]])</f>
        <v/>
      </c>
      <c r="LF13" s="121" t="str">
        <f>IF(ISBLANK(tbl_task9[[คะแนนเต็ม]:[คะแนนเต็ม]]),"",(tbl_task9[148]/tbl_task9[[คะแนนเต็ม]:[คะแนนเต็ม]])*tbl_task9[[%]:[%]])</f>
        <v/>
      </c>
      <c r="LG13" s="121" t="str">
        <f>IF(ISBLANK(tbl_task9[[คะแนนเต็ม]:[คะแนนเต็ม]]),"",(tbl_task9[149]/tbl_task9[[คะแนนเต็ม]:[คะแนนเต็ม]])*tbl_task9[[%]:[%]])</f>
        <v/>
      </c>
      <c r="LH13" s="121" t="str">
        <f>IF(ISBLANK(tbl_task9[[คะแนนเต็ม]:[คะแนนเต็ม]]),"",(tbl_task9[150]/tbl_task9[[คะแนนเต็ม]:[คะแนนเต็ม]])*tbl_task9[[%]:[%]])</f>
        <v/>
      </c>
      <c r="LI13" s="121" t="str">
        <f>IF(ISBLANK(tbl_task9[[คะแนนเต็ม]:[คะแนนเต็ม]]),"",(tbl_task9[151]/tbl_task9[[คะแนนเต็ม]:[คะแนนเต็ม]])*tbl_task9[[%]:[%]])</f>
        <v/>
      </c>
      <c r="LJ13" s="121" t="str">
        <f>IF(ISBLANK(tbl_task9[[คะแนนเต็ม]:[คะแนนเต็ม]]),"",(tbl_task9[152]/tbl_task9[[คะแนนเต็ม]:[คะแนนเต็ม]])*tbl_task9[[%]:[%]])</f>
        <v/>
      </c>
      <c r="LK13" s="121" t="str">
        <f>IF(ISBLANK(tbl_task9[[คะแนนเต็ม]:[คะแนนเต็ม]]),"",(tbl_task9[153]/tbl_task9[[คะแนนเต็ม]:[คะแนนเต็ม]])*tbl_task9[[%]:[%]])</f>
        <v/>
      </c>
      <c r="LL13" s="121" t="str">
        <f>IF(ISBLANK(tbl_task9[[คะแนนเต็ม]:[คะแนนเต็ม]]),"",(tbl_task9[154]/tbl_task9[[คะแนนเต็ม]:[คะแนนเต็ม]])*tbl_task9[[%]:[%]])</f>
        <v/>
      </c>
      <c r="LM13" s="121" t="str">
        <f>IF(ISBLANK(tbl_task9[[คะแนนเต็ม]:[คะแนนเต็ม]]),"",(tbl_task9[155]/tbl_task9[[คะแนนเต็ม]:[คะแนนเต็ม]])*tbl_task9[[%]:[%]])</f>
        <v/>
      </c>
      <c r="LN13" s="121" t="str">
        <f>IF(ISBLANK(tbl_task9[[คะแนนเต็ม]:[คะแนนเต็ม]]),"",(tbl_task9[156]/tbl_task9[[คะแนนเต็ม]:[คะแนนเต็ม]])*tbl_task9[[%]:[%]])</f>
        <v/>
      </c>
      <c r="LO13" s="121" t="str">
        <f>IF(ISBLANK(tbl_task9[[คะแนนเต็ม]:[คะแนนเต็ม]]),"",(tbl_task9[157]/tbl_task9[[คะแนนเต็ม]:[คะแนนเต็ม]])*tbl_task9[[%]:[%]])</f>
        <v/>
      </c>
      <c r="LP13" s="121" t="str">
        <f>IF(ISBLANK(tbl_task9[[คะแนนเต็ม]:[คะแนนเต็ม]]),"",(tbl_task9[158]/tbl_task9[[คะแนนเต็ม]:[คะแนนเต็ม]])*tbl_task9[[%]:[%]])</f>
        <v/>
      </c>
      <c r="LQ13" s="121" t="str">
        <f>IF(ISBLANK(tbl_task9[[คะแนนเต็ม]:[คะแนนเต็ม]]),"",(tbl_task9[159]/tbl_task9[[คะแนนเต็ม]:[คะแนนเต็ม]])*tbl_task9[[%]:[%]])</f>
        <v/>
      </c>
      <c r="LR13" s="121" t="str">
        <f>IF(ISBLANK(tbl_task9[[คะแนนเต็ม]:[คะแนนเต็ม]]),"",(tbl_task9[160]/tbl_task9[[คะแนนเต็ม]:[คะแนนเต็ม]])*tbl_task9[[%]:[%]])</f>
        <v/>
      </c>
      <c r="LS13" s="121" t="str">
        <f>IF(ISBLANK(tbl_task9[[คะแนนเต็ม]:[คะแนนเต็ม]]),"",(tbl_task9[161]/tbl_task9[[คะแนนเต็ม]:[คะแนนเต็ม]])*tbl_task9[[%]:[%]])</f>
        <v/>
      </c>
      <c r="LT13" s="121" t="str">
        <f>IF(ISBLANK(tbl_task9[[คะแนนเต็ม]:[คะแนนเต็ม]]),"",(tbl_task9[162]/tbl_task9[[คะแนนเต็ม]:[คะแนนเต็ม]])*tbl_task9[[%]:[%]])</f>
        <v/>
      </c>
      <c r="LU13" s="121" t="str">
        <f>IF(ISBLANK(tbl_task9[[คะแนนเต็ม]:[คะแนนเต็ม]]),"",(tbl_task9[163]/tbl_task9[[คะแนนเต็ม]:[คะแนนเต็ม]])*tbl_task9[[%]:[%]])</f>
        <v/>
      </c>
      <c r="LV13" s="121" t="str">
        <f>IF(ISBLANK(tbl_task9[[คะแนนเต็ม]:[คะแนนเต็ม]]),"",(tbl_task9[164]/tbl_task9[[คะแนนเต็ม]:[คะแนนเต็ม]])*tbl_task9[[%]:[%]])</f>
        <v/>
      </c>
      <c r="LW13" s="121" t="str">
        <f>IF(ISBLANK(tbl_task9[[คะแนนเต็ม]:[คะแนนเต็ม]]),"",(tbl_task9[165]/tbl_task9[[คะแนนเต็ม]:[คะแนนเต็ม]])*tbl_task9[[%]:[%]])</f>
        <v/>
      </c>
    </row>
    <row r="14" spans="1:335" ht="24" customHeight="1" x14ac:dyDescent="0.25">
      <c r="A14" s="24">
        <v>11</v>
      </c>
      <c r="B14" s="20"/>
      <c r="C14" s="5" t="str">
        <f>IF(ISBLANK(B14),"",VLOOKUP(B14,tbl_PLOs[],2,0))</f>
        <v/>
      </c>
      <c r="D14" s="102"/>
      <c r="E14" s="106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21" t="str">
        <f>IF(ISBLANK(tbl_task9[[คะแนนเต็ม]:[คะแนนเต็ม]]),"",(tbl_task9[1]/tbl_task9[[คะแนนเต็ม]:[คะแนนเต็ม]])*tbl_task9[[%]:[%]])</f>
        <v/>
      </c>
      <c r="FP14" s="121" t="str">
        <f>IF(ISBLANK(tbl_task9[[คะแนนเต็ม]:[คะแนนเต็ม]]),"",(tbl_task9[2]/tbl_task9[[คะแนนเต็ม]:[คะแนนเต็ม]])*tbl_task9[[%]:[%]])</f>
        <v/>
      </c>
      <c r="FQ14" s="121" t="str">
        <f>IF(ISBLANK(tbl_task9[[คะแนนเต็ม]:[คะแนนเต็ม]]),"",(tbl_task9[3]/tbl_task9[[คะแนนเต็ม]:[คะแนนเต็ม]])*tbl_task9[[%]:[%]])</f>
        <v/>
      </c>
      <c r="FR14" s="121" t="str">
        <f>IF(ISBLANK(tbl_task9[[คะแนนเต็ม]:[คะแนนเต็ม]]),"",(tbl_task9[4]/tbl_task9[[คะแนนเต็ม]:[คะแนนเต็ม]])*tbl_task9[[%]:[%]])</f>
        <v/>
      </c>
      <c r="FS14" s="121" t="str">
        <f>IF(ISBLANK(tbl_task9[[คะแนนเต็ม]:[คะแนนเต็ม]]),"",(tbl_task9[5]/tbl_task9[[คะแนนเต็ม]:[คะแนนเต็ม]])*tbl_task9[[%]:[%]])</f>
        <v/>
      </c>
      <c r="FT14" s="121" t="str">
        <f>IF(ISBLANK(tbl_task9[[คะแนนเต็ม]:[คะแนนเต็ม]]),"",(tbl_task9[6]/tbl_task9[[คะแนนเต็ม]:[คะแนนเต็ม]])*tbl_task9[[%]:[%]])</f>
        <v/>
      </c>
      <c r="FU14" s="121" t="str">
        <f>IF(ISBLANK(tbl_task9[[คะแนนเต็ม]:[คะแนนเต็ม]]),"",(tbl_task9[7]/tbl_task9[[คะแนนเต็ม]:[คะแนนเต็ม]])*tbl_task9[[%]:[%]])</f>
        <v/>
      </c>
      <c r="FV14" s="121" t="str">
        <f>IF(ISBLANK(tbl_task9[[คะแนนเต็ม]:[คะแนนเต็ม]]),"",(tbl_task9[8]/tbl_task9[[คะแนนเต็ม]:[คะแนนเต็ม]])*tbl_task9[[%]:[%]])</f>
        <v/>
      </c>
      <c r="FW14" s="121" t="str">
        <f>IF(ISBLANK(tbl_task9[[คะแนนเต็ม]:[คะแนนเต็ม]]),"",(tbl_task9[9]/tbl_task9[[คะแนนเต็ม]:[คะแนนเต็ม]])*tbl_task9[[%]:[%]])</f>
        <v/>
      </c>
      <c r="FX14" s="121" t="str">
        <f>IF(ISBLANK(tbl_task9[[คะแนนเต็ม]:[คะแนนเต็ม]]),"",(tbl_task9[10]/tbl_task9[[คะแนนเต็ม]:[คะแนนเต็ม]])*tbl_task9[[%]:[%]])</f>
        <v/>
      </c>
      <c r="FY14" s="121" t="str">
        <f>IF(ISBLANK(tbl_task9[[คะแนนเต็ม]:[คะแนนเต็ม]]),"",(tbl_task9[11]/tbl_task9[[คะแนนเต็ม]:[คะแนนเต็ม]])*tbl_task9[[%]:[%]])</f>
        <v/>
      </c>
      <c r="FZ14" s="121" t="str">
        <f>IF(ISBLANK(tbl_task9[[คะแนนเต็ม]:[คะแนนเต็ม]]),"",(tbl_task9[12]/tbl_task9[[คะแนนเต็ม]:[คะแนนเต็ม]])*tbl_task9[[%]:[%]])</f>
        <v/>
      </c>
      <c r="GA14" s="121" t="str">
        <f>IF(ISBLANK(tbl_task9[[คะแนนเต็ม]:[คะแนนเต็ม]]),"",(tbl_task9[13]/tbl_task9[[คะแนนเต็ม]:[คะแนนเต็ม]])*tbl_task9[[%]:[%]])</f>
        <v/>
      </c>
      <c r="GB14" s="121" t="str">
        <f>IF(ISBLANK(tbl_task9[[คะแนนเต็ม]:[คะแนนเต็ม]]),"",(tbl_task9[14]/tbl_task9[[คะแนนเต็ม]:[คะแนนเต็ม]])*tbl_task9[[%]:[%]])</f>
        <v/>
      </c>
      <c r="GC14" s="121" t="str">
        <f>IF(ISBLANK(tbl_task9[[คะแนนเต็ม]:[คะแนนเต็ม]]),"",(tbl_task9[15]/tbl_task9[[คะแนนเต็ม]:[คะแนนเต็ม]])*tbl_task9[[%]:[%]])</f>
        <v/>
      </c>
      <c r="GD14" s="121" t="str">
        <f>IF(ISBLANK(tbl_task9[[คะแนนเต็ม]:[คะแนนเต็ม]]),"",(tbl_task9[16]/tbl_task9[[คะแนนเต็ม]:[คะแนนเต็ม]])*tbl_task9[[%]:[%]])</f>
        <v/>
      </c>
      <c r="GE14" s="121" t="str">
        <f>IF(ISBLANK(tbl_task9[[คะแนนเต็ม]:[คะแนนเต็ม]]),"",(tbl_task9[17]/tbl_task9[[คะแนนเต็ม]:[คะแนนเต็ม]])*tbl_task9[[%]:[%]])</f>
        <v/>
      </c>
      <c r="GF14" s="121" t="str">
        <f>IF(ISBLANK(tbl_task9[[คะแนนเต็ม]:[คะแนนเต็ม]]),"",(tbl_task9[18]/tbl_task9[[คะแนนเต็ม]:[คะแนนเต็ม]])*tbl_task9[[%]:[%]])</f>
        <v/>
      </c>
      <c r="GG14" s="121" t="str">
        <f>IF(ISBLANK(tbl_task9[[คะแนนเต็ม]:[คะแนนเต็ม]]),"",(tbl_task9[19]/tbl_task9[[คะแนนเต็ม]:[คะแนนเต็ม]])*tbl_task9[[%]:[%]])</f>
        <v/>
      </c>
      <c r="GH14" s="121" t="str">
        <f>IF(ISBLANK(tbl_task9[[คะแนนเต็ม]:[คะแนนเต็ม]]),"",(tbl_task9[20]/tbl_task9[[คะแนนเต็ม]:[คะแนนเต็ม]])*tbl_task9[[%]:[%]])</f>
        <v/>
      </c>
      <c r="GI14" s="121" t="str">
        <f>IF(ISBLANK(tbl_task9[[คะแนนเต็ม]:[คะแนนเต็ม]]),"",(tbl_task9[21]/tbl_task9[[คะแนนเต็ม]:[คะแนนเต็ม]])*tbl_task9[[%]:[%]])</f>
        <v/>
      </c>
      <c r="GJ14" s="121" t="str">
        <f>IF(ISBLANK(tbl_task9[[คะแนนเต็ม]:[คะแนนเต็ม]]),"",(tbl_task9[22]/tbl_task9[[คะแนนเต็ม]:[คะแนนเต็ม]])*tbl_task9[[%]:[%]])</f>
        <v/>
      </c>
      <c r="GK14" s="121" t="str">
        <f>IF(ISBLANK(tbl_task9[[คะแนนเต็ม]:[คะแนนเต็ม]]),"",(tbl_task9[23]/tbl_task9[[คะแนนเต็ม]:[คะแนนเต็ม]])*tbl_task9[[%]:[%]])</f>
        <v/>
      </c>
      <c r="GL14" s="121" t="str">
        <f>IF(ISBLANK(tbl_task9[[คะแนนเต็ม]:[คะแนนเต็ม]]),"",(tbl_task9[24]/tbl_task9[[คะแนนเต็ม]:[คะแนนเต็ม]])*tbl_task9[[%]:[%]])</f>
        <v/>
      </c>
      <c r="GM14" s="121" t="str">
        <f>IF(ISBLANK(tbl_task9[[คะแนนเต็ม]:[คะแนนเต็ม]]),"",(tbl_task9[25]/tbl_task9[[คะแนนเต็ม]:[คะแนนเต็ม]])*tbl_task9[[%]:[%]])</f>
        <v/>
      </c>
      <c r="GN14" s="121" t="str">
        <f>IF(ISBLANK(tbl_task9[[คะแนนเต็ม]:[คะแนนเต็ม]]),"",(tbl_task9[26]/tbl_task9[[คะแนนเต็ม]:[คะแนนเต็ม]])*tbl_task9[[%]:[%]])</f>
        <v/>
      </c>
      <c r="GO14" s="121" t="str">
        <f>IF(ISBLANK(tbl_task9[[คะแนนเต็ม]:[คะแนนเต็ม]]),"",(tbl_task9[27]/tbl_task9[[คะแนนเต็ม]:[คะแนนเต็ม]])*tbl_task9[[%]:[%]])</f>
        <v/>
      </c>
      <c r="GP14" s="121" t="str">
        <f>IF(ISBLANK(tbl_task9[[คะแนนเต็ม]:[คะแนนเต็ม]]),"",(tbl_task9[28]/tbl_task9[[คะแนนเต็ม]:[คะแนนเต็ม]])*tbl_task9[[%]:[%]])</f>
        <v/>
      </c>
      <c r="GQ14" s="121" t="str">
        <f>IF(ISBLANK(tbl_task9[[คะแนนเต็ม]:[คะแนนเต็ม]]),"",(tbl_task9[29]/tbl_task9[[คะแนนเต็ม]:[คะแนนเต็ม]])*tbl_task9[[%]:[%]])</f>
        <v/>
      </c>
      <c r="GR14" s="121" t="str">
        <f>IF(ISBLANK(tbl_task9[[คะแนนเต็ม]:[คะแนนเต็ม]]),"",(tbl_task9[30]/tbl_task9[[คะแนนเต็ม]:[คะแนนเต็ม]])*tbl_task9[[%]:[%]])</f>
        <v/>
      </c>
      <c r="GS14" s="121" t="str">
        <f>IF(ISBLANK(tbl_task9[[คะแนนเต็ม]:[คะแนนเต็ม]]),"",(tbl_task9[31]/tbl_task9[[คะแนนเต็ม]:[คะแนนเต็ม]])*tbl_task9[[%]:[%]])</f>
        <v/>
      </c>
      <c r="GT14" s="121" t="str">
        <f>IF(ISBLANK(tbl_task9[[คะแนนเต็ม]:[คะแนนเต็ม]]),"",(tbl_task9[32]/tbl_task9[[คะแนนเต็ม]:[คะแนนเต็ม]])*tbl_task9[[%]:[%]])</f>
        <v/>
      </c>
      <c r="GU14" s="121" t="str">
        <f>IF(ISBLANK(tbl_task9[[คะแนนเต็ม]:[คะแนนเต็ม]]),"",(tbl_task9[33]/tbl_task9[[คะแนนเต็ม]:[คะแนนเต็ม]])*tbl_task9[[%]:[%]])</f>
        <v/>
      </c>
      <c r="GV14" s="121" t="str">
        <f>IF(ISBLANK(tbl_task9[[คะแนนเต็ม]:[คะแนนเต็ม]]),"",(tbl_task9[34]/tbl_task9[[คะแนนเต็ม]:[คะแนนเต็ม]])*tbl_task9[[%]:[%]])</f>
        <v/>
      </c>
      <c r="GW14" s="121" t="str">
        <f>IF(ISBLANK(tbl_task9[[คะแนนเต็ม]:[คะแนนเต็ม]]),"",(tbl_task9[35]/tbl_task9[[คะแนนเต็ม]:[คะแนนเต็ม]])*tbl_task9[[%]:[%]])</f>
        <v/>
      </c>
      <c r="GX14" s="121" t="str">
        <f>IF(ISBLANK(tbl_task9[[คะแนนเต็ม]:[คะแนนเต็ม]]),"",(tbl_task9[36]/tbl_task9[[คะแนนเต็ม]:[คะแนนเต็ม]])*tbl_task9[[%]:[%]])</f>
        <v/>
      </c>
      <c r="GY14" s="121" t="str">
        <f>IF(ISBLANK(tbl_task9[[คะแนนเต็ม]:[คะแนนเต็ม]]),"",(tbl_task9[37]/tbl_task9[[คะแนนเต็ม]:[คะแนนเต็ม]])*tbl_task9[[%]:[%]])</f>
        <v/>
      </c>
      <c r="GZ14" s="121" t="str">
        <f>IF(ISBLANK(tbl_task9[[คะแนนเต็ม]:[คะแนนเต็ม]]),"",(tbl_task9[38]/tbl_task9[[คะแนนเต็ม]:[คะแนนเต็ม]])*tbl_task9[[%]:[%]])</f>
        <v/>
      </c>
      <c r="HA14" s="121" t="str">
        <f>IF(ISBLANK(tbl_task9[[คะแนนเต็ม]:[คะแนนเต็ม]]),"",(tbl_task9[39]/tbl_task9[[คะแนนเต็ม]:[คะแนนเต็ม]])*tbl_task9[[%]:[%]])</f>
        <v/>
      </c>
      <c r="HB14" s="121" t="str">
        <f>IF(ISBLANK(tbl_task9[[คะแนนเต็ม]:[คะแนนเต็ม]]),"",(tbl_task9[40]/tbl_task9[[คะแนนเต็ม]:[คะแนนเต็ม]])*tbl_task9[[%]:[%]])</f>
        <v/>
      </c>
      <c r="HC14" s="121" t="str">
        <f>IF(ISBLANK(tbl_task9[[คะแนนเต็ม]:[คะแนนเต็ม]]),"",(tbl_task9[41]/tbl_task9[[คะแนนเต็ม]:[คะแนนเต็ม]])*tbl_task9[[%]:[%]])</f>
        <v/>
      </c>
      <c r="HD14" s="121" t="str">
        <f>IF(ISBLANK(tbl_task9[[คะแนนเต็ม]:[คะแนนเต็ม]]),"",(tbl_task9[42]/tbl_task9[[คะแนนเต็ม]:[คะแนนเต็ม]])*tbl_task9[[%]:[%]])</f>
        <v/>
      </c>
      <c r="HE14" s="121" t="str">
        <f>IF(ISBLANK(tbl_task9[[คะแนนเต็ม]:[คะแนนเต็ม]]),"",(tbl_task9[43]/tbl_task9[[คะแนนเต็ม]:[คะแนนเต็ม]])*tbl_task9[[%]:[%]])</f>
        <v/>
      </c>
      <c r="HF14" s="121" t="str">
        <f>IF(ISBLANK(tbl_task9[[คะแนนเต็ม]:[คะแนนเต็ม]]),"",(tbl_task9[44]/tbl_task9[[คะแนนเต็ม]:[คะแนนเต็ม]])*tbl_task9[[%]:[%]])</f>
        <v/>
      </c>
      <c r="HG14" s="121" t="str">
        <f>IF(ISBLANK(tbl_task9[[คะแนนเต็ม]:[คะแนนเต็ม]]),"",(tbl_task9[45]/tbl_task9[[คะแนนเต็ม]:[คะแนนเต็ม]])*tbl_task9[[%]:[%]])</f>
        <v/>
      </c>
      <c r="HH14" s="121" t="str">
        <f>IF(ISBLANK(tbl_task9[[คะแนนเต็ม]:[คะแนนเต็ม]]),"",(tbl_task9[46]/tbl_task9[[คะแนนเต็ม]:[คะแนนเต็ม]])*tbl_task9[[%]:[%]])</f>
        <v/>
      </c>
      <c r="HI14" s="121" t="str">
        <f>IF(ISBLANK(tbl_task9[[คะแนนเต็ม]:[คะแนนเต็ม]]),"",(tbl_task9[47]/tbl_task9[[คะแนนเต็ม]:[คะแนนเต็ม]])*tbl_task9[[%]:[%]])</f>
        <v/>
      </c>
      <c r="HJ14" s="121" t="str">
        <f>IF(ISBLANK(tbl_task9[[คะแนนเต็ม]:[คะแนนเต็ม]]),"",(tbl_task9[48]/tbl_task9[[คะแนนเต็ม]:[คะแนนเต็ม]])*tbl_task9[[%]:[%]])</f>
        <v/>
      </c>
      <c r="HK14" s="121" t="str">
        <f>IF(ISBLANK(tbl_task9[[คะแนนเต็ม]:[คะแนนเต็ม]]),"",(tbl_task9[49]/tbl_task9[[คะแนนเต็ม]:[คะแนนเต็ม]])*tbl_task9[[%]:[%]])</f>
        <v/>
      </c>
      <c r="HL14" s="121" t="str">
        <f>IF(ISBLANK(tbl_task9[[คะแนนเต็ม]:[คะแนนเต็ม]]),"",(tbl_task9[50]/tbl_task9[[คะแนนเต็ม]:[คะแนนเต็ม]])*tbl_task9[[%]:[%]])</f>
        <v/>
      </c>
      <c r="HM14" s="121" t="str">
        <f>IF(ISBLANK(tbl_task9[[คะแนนเต็ม]:[คะแนนเต็ม]]),"",(tbl_task9[51]/tbl_task9[[คะแนนเต็ม]:[คะแนนเต็ม]])*tbl_task9[[%]:[%]])</f>
        <v/>
      </c>
      <c r="HN14" s="121" t="str">
        <f>IF(ISBLANK(tbl_task9[[คะแนนเต็ม]:[คะแนนเต็ม]]),"",(tbl_task9[52]/tbl_task9[[คะแนนเต็ม]:[คะแนนเต็ม]])*tbl_task9[[%]:[%]])</f>
        <v/>
      </c>
      <c r="HO14" s="121" t="str">
        <f>IF(ISBLANK(tbl_task9[[คะแนนเต็ม]:[คะแนนเต็ม]]),"",(tbl_task9[53]/tbl_task9[[คะแนนเต็ม]:[คะแนนเต็ม]])*tbl_task9[[%]:[%]])</f>
        <v/>
      </c>
      <c r="HP14" s="121" t="str">
        <f>IF(ISBLANK(tbl_task9[[คะแนนเต็ม]:[คะแนนเต็ม]]),"",(tbl_task9[54]/tbl_task9[[คะแนนเต็ม]:[คะแนนเต็ม]])*tbl_task9[[%]:[%]])</f>
        <v/>
      </c>
      <c r="HQ14" s="121" t="str">
        <f>IF(ISBLANK(tbl_task9[[คะแนนเต็ม]:[คะแนนเต็ม]]),"",(tbl_task9[55]/tbl_task9[[คะแนนเต็ม]:[คะแนนเต็ม]])*tbl_task9[[%]:[%]])</f>
        <v/>
      </c>
      <c r="HR14" s="121" t="str">
        <f>IF(ISBLANK(tbl_task9[[คะแนนเต็ม]:[คะแนนเต็ม]]),"",(tbl_task9[56]/tbl_task9[[คะแนนเต็ม]:[คะแนนเต็ม]])*tbl_task9[[%]:[%]])</f>
        <v/>
      </c>
      <c r="HS14" s="121" t="str">
        <f>IF(ISBLANK(tbl_task9[[คะแนนเต็ม]:[คะแนนเต็ม]]),"",(tbl_task9[57]/tbl_task9[[คะแนนเต็ม]:[คะแนนเต็ม]])*tbl_task9[[%]:[%]])</f>
        <v/>
      </c>
      <c r="HT14" s="121" t="str">
        <f>IF(ISBLANK(tbl_task9[[คะแนนเต็ม]:[คะแนนเต็ม]]),"",(tbl_task9[58]/tbl_task9[[คะแนนเต็ม]:[คะแนนเต็ม]])*tbl_task9[[%]:[%]])</f>
        <v/>
      </c>
      <c r="HU14" s="121" t="str">
        <f>IF(ISBLANK(tbl_task9[[คะแนนเต็ม]:[คะแนนเต็ม]]),"",(tbl_task9[59]/tbl_task9[[คะแนนเต็ม]:[คะแนนเต็ม]])*tbl_task9[[%]:[%]])</f>
        <v/>
      </c>
      <c r="HV14" s="121" t="str">
        <f>IF(ISBLANK(tbl_task9[[คะแนนเต็ม]:[คะแนนเต็ม]]),"",(tbl_task9[60]/tbl_task9[[คะแนนเต็ม]:[คะแนนเต็ม]])*tbl_task9[[%]:[%]])</f>
        <v/>
      </c>
      <c r="HW14" s="121" t="str">
        <f>IF(ISBLANK(tbl_task9[[คะแนนเต็ม]:[คะแนนเต็ม]]),"",(tbl_task9[61]/tbl_task9[[คะแนนเต็ม]:[คะแนนเต็ม]])*tbl_task9[[%]:[%]])</f>
        <v/>
      </c>
      <c r="HX14" s="121" t="str">
        <f>IF(ISBLANK(tbl_task9[[คะแนนเต็ม]:[คะแนนเต็ม]]),"",(tbl_task9[62]/tbl_task9[[คะแนนเต็ม]:[คะแนนเต็ม]])*tbl_task9[[%]:[%]])</f>
        <v/>
      </c>
      <c r="HY14" s="121" t="str">
        <f>IF(ISBLANK(tbl_task9[[คะแนนเต็ม]:[คะแนนเต็ม]]),"",(tbl_task9[63]/tbl_task9[[คะแนนเต็ม]:[คะแนนเต็ม]])*tbl_task9[[%]:[%]])</f>
        <v/>
      </c>
      <c r="HZ14" s="121" t="str">
        <f>IF(ISBLANK(tbl_task9[[คะแนนเต็ม]:[คะแนนเต็ม]]),"",(tbl_task9[64]/tbl_task9[[คะแนนเต็ม]:[คะแนนเต็ม]])*tbl_task9[[%]:[%]])</f>
        <v/>
      </c>
      <c r="IA14" s="121" t="str">
        <f>IF(ISBLANK(tbl_task9[[คะแนนเต็ม]:[คะแนนเต็ม]]),"",(tbl_task9[65]/tbl_task9[[คะแนนเต็ม]:[คะแนนเต็ม]])*tbl_task9[[%]:[%]])</f>
        <v/>
      </c>
      <c r="IB14" s="121" t="str">
        <f>IF(ISBLANK(tbl_task9[[คะแนนเต็ม]:[คะแนนเต็ม]]),"",(tbl_task9[66]/tbl_task9[[คะแนนเต็ม]:[คะแนนเต็ม]])*tbl_task9[[%]:[%]])</f>
        <v/>
      </c>
      <c r="IC14" s="121" t="str">
        <f>IF(ISBLANK(tbl_task9[[คะแนนเต็ม]:[คะแนนเต็ม]]),"",(tbl_task9[67]/tbl_task9[[คะแนนเต็ม]:[คะแนนเต็ม]])*tbl_task9[[%]:[%]])</f>
        <v/>
      </c>
      <c r="ID14" s="121" t="str">
        <f>IF(ISBLANK(tbl_task9[[คะแนนเต็ม]:[คะแนนเต็ม]]),"",(tbl_task9[68]/tbl_task9[[คะแนนเต็ม]:[คะแนนเต็ม]])*tbl_task9[[%]:[%]])</f>
        <v/>
      </c>
      <c r="IE14" s="121" t="str">
        <f>IF(ISBLANK(tbl_task9[[คะแนนเต็ม]:[คะแนนเต็ม]]),"",(tbl_task9[69]/tbl_task9[[คะแนนเต็ม]:[คะแนนเต็ม]])*tbl_task9[[%]:[%]])</f>
        <v/>
      </c>
      <c r="IF14" s="121" t="str">
        <f>IF(ISBLANK(tbl_task9[[คะแนนเต็ม]:[คะแนนเต็ม]]),"",(tbl_task9[70]/tbl_task9[[คะแนนเต็ม]:[คะแนนเต็ม]])*tbl_task9[[%]:[%]])</f>
        <v/>
      </c>
      <c r="IG14" s="121" t="str">
        <f>IF(ISBLANK(tbl_task9[[คะแนนเต็ม]:[คะแนนเต็ม]]),"",(tbl_task9[71]/tbl_task9[[คะแนนเต็ม]:[คะแนนเต็ม]])*tbl_task9[[%]:[%]])</f>
        <v/>
      </c>
      <c r="IH14" s="121" t="str">
        <f>IF(ISBLANK(tbl_task9[[คะแนนเต็ม]:[คะแนนเต็ม]]),"",(tbl_task9[72]/tbl_task9[[คะแนนเต็ม]:[คะแนนเต็ม]])*tbl_task9[[%]:[%]])</f>
        <v/>
      </c>
      <c r="II14" s="121" t="str">
        <f>IF(ISBLANK(tbl_task9[[คะแนนเต็ม]:[คะแนนเต็ม]]),"",(tbl_task9[73]/tbl_task9[[คะแนนเต็ม]:[คะแนนเต็ม]])*tbl_task9[[%]:[%]])</f>
        <v/>
      </c>
      <c r="IJ14" s="121" t="str">
        <f>IF(ISBLANK(tbl_task9[[คะแนนเต็ม]:[คะแนนเต็ม]]),"",(tbl_task9[74]/tbl_task9[[คะแนนเต็ม]:[คะแนนเต็ม]])*tbl_task9[[%]:[%]])</f>
        <v/>
      </c>
      <c r="IK14" s="121" t="str">
        <f>IF(ISBLANK(tbl_task9[[คะแนนเต็ม]:[คะแนนเต็ม]]),"",(tbl_task9[75]/tbl_task9[[คะแนนเต็ม]:[คะแนนเต็ม]])*tbl_task9[[%]:[%]])</f>
        <v/>
      </c>
      <c r="IL14" s="121" t="str">
        <f>IF(ISBLANK(tbl_task9[[คะแนนเต็ม]:[คะแนนเต็ม]]),"",(tbl_task9[76]/tbl_task9[[คะแนนเต็ม]:[คะแนนเต็ม]])*tbl_task9[[%]:[%]])</f>
        <v/>
      </c>
      <c r="IM14" s="121" t="str">
        <f>IF(ISBLANK(tbl_task9[[คะแนนเต็ม]:[คะแนนเต็ม]]),"",(tbl_task9[77]/tbl_task9[[คะแนนเต็ม]:[คะแนนเต็ม]])*tbl_task9[[%]:[%]])</f>
        <v/>
      </c>
      <c r="IN14" s="121" t="str">
        <f>IF(ISBLANK(tbl_task9[[คะแนนเต็ม]:[คะแนนเต็ม]]),"",(tbl_task9[78]/tbl_task9[[คะแนนเต็ม]:[คะแนนเต็ม]])*tbl_task9[[%]:[%]])</f>
        <v/>
      </c>
      <c r="IO14" s="121" t="str">
        <f>IF(ISBLANK(tbl_task9[[คะแนนเต็ม]:[คะแนนเต็ม]]),"",(tbl_task9[79]/tbl_task9[[คะแนนเต็ม]:[คะแนนเต็ม]])*tbl_task9[[%]:[%]])</f>
        <v/>
      </c>
      <c r="IP14" s="121" t="str">
        <f>IF(ISBLANK(tbl_task9[[คะแนนเต็ม]:[คะแนนเต็ม]]),"",(tbl_task9[80]/tbl_task9[[คะแนนเต็ม]:[คะแนนเต็ม]])*tbl_task9[[%]:[%]])</f>
        <v/>
      </c>
      <c r="IQ14" s="121" t="str">
        <f>IF(ISBLANK(tbl_task9[[คะแนนเต็ม]:[คะแนนเต็ม]]),"",(tbl_task9[81]/tbl_task9[[คะแนนเต็ม]:[คะแนนเต็ม]])*tbl_task9[[%]:[%]])</f>
        <v/>
      </c>
      <c r="IR14" s="121" t="str">
        <f>IF(ISBLANK(tbl_task9[[คะแนนเต็ม]:[คะแนนเต็ม]]),"",(tbl_task9[82]/tbl_task9[[คะแนนเต็ม]:[คะแนนเต็ม]])*tbl_task9[[%]:[%]])</f>
        <v/>
      </c>
      <c r="IS14" s="121" t="str">
        <f>IF(ISBLANK(tbl_task9[[คะแนนเต็ม]:[คะแนนเต็ม]]),"",(tbl_task9[83]/tbl_task9[[คะแนนเต็ม]:[คะแนนเต็ม]])*tbl_task9[[%]:[%]])</f>
        <v/>
      </c>
      <c r="IT14" s="121" t="str">
        <f>IF(ISBLANK(tbl_task9[[คะแนนเต็ม]:[คะแนนเต็ม]]),"",(tbl_task9[84]/tbl_task9[[คะแนนเต็ม]:[คะแนนเต็ม]])*tbl_task9[[%]:[%]])</f>
        <v/>
      </c>
      <c r="IU14" s="121" t="str">
        <f>IF(ISBLANK(tbl_task9[[คะแนนเต็ม]:[คะแนนเต็ม]]),"",(tbl_task9[85]/tbl_task9[[คะแนนเต็ม]:[คะแนนเต็ม]])*tbl_task9[[%]:[%]])</f>
        <v/>
      </c>
      <c r="IV14" s="121" t="str">
        <f>IF(ISBLANK(tbl_task9[[คะแนนเต็ม]:[คะแนนเต็ม]]),"",(tbl_task9[86]/tbl_task9[[คะแนนเต็ม]:[คะแนนเต็ม]])*tbl_task9[[%]:[%]])</f>
        <v/>
      </c>
      <c r="IW14" s="121" t="str">
        <f>IF(ISBLANK(tbl_task9[[คะแนนเต็ม]:[คะแนนเต็ม]]),"",(tbl_task9[87]/tbl_task9[[คะแนนเต็ม]:[คะแนนเต็ม]])*tbl_task9[[%]:[%]])</f>
        <v/>
      </c>
      <c r="IX14" s="121" t="str">
        <f>IF(ISBLANK(tbl_task9[[คะแนนเต็ม]:[คะแนนเต็ม]]),"",(tbl_task9[88]/tbl_task9[[คะแนนเต็ม]:[คะแนนเต็ม]])*tbl_task9[[%]:[%]])</f>
        <v/>
      </c>
      <c r="IY14" s="121" t="str">
        <f>IF(ISBLANK(tbl_task9[[คะแนนเต็ม]:[คะแนนเต็ม]]),"",(tbl_task9[89]/tbl_task9[[คะแนนเต็ม]:[คะแนนเต็ม]])*tbl_task9[[%]:[%]])</f>
        <v/>
      </c>
      <c r="IZ14" s="121" t="str">
        <f>IF(ISBLANK(tbl_task9[[คะแนนเต็ม]:[คะแนนเต็ม]]),"",(tbl_task9[90]/tbl_task9[[คะแนนเต็ม]:[คะแนนเต็ม]])*tbl_task9[[%]:[%]])</f>
        <v/>
      </c>
      <c r="JA14" s="121" t="str">
        <f>IF(ISBLANK(tbl_task9[[คะแนนเต็ม]:[คะแนนเต็ม]]),"",(tbl_task9[91]/tbl_task9[[คะแนนเต็ม]:[คะแนนเต็ม]])*tbl_task9[[%]:[%]])</f>
        <v/>
      </c>
      <c r="JB14" s="121" t="str">
        <f>IF(ISBLANK(tbl_task9[[คะแนนเต็ม]:[คะแนนเต็ม]]),"",(tbl_task9[92]/tbl_task9[[คะแนนเต็ม]:[คะแนนเต็ม]])*tbl_task9[[%]:[%]])</f>
        <v/>
      </c>
      <c r="JC14" s="121" t="str">
        <f>IF(ISBLANK(tbl_task9[[คะแนนเต็ม]:[คะแนนเต็ม]]),"",(tbl_task9[93]/tbl_task9[[คะแนนเต็ม]:[คะแนนเต็ม]])*tbl_task9[[%]:[%]])</f>
        <v/>
      </c>
      <c r="JD14" s="121" t="str">
        <f>IF(ISBLANK(tbl_task9[[คะแนนเต็ม]:[คะแนนเต็ม]]),"",(tbl_task9[94]/tbl_task9[[คะแนนเต็ม]:[คะแนนเต็ม]])*tbl_task9[[%]:[%]])</f>
        <v/>
      </c>
      <c r="JE14" s="121" t="str">
        <f>IF(ISBLANK(tbl_task9[[คะแนนเต็ม]:[คะแนนเต็ม]]),"",(tbl_task9[95]/tbl_task9[[คะแนนเต็ม]:[คะแนนเต็ม]])*tbl_task9[[%]:[%]])</f>
        <v/>
      </c>
      <c r="JF14" s="121" t="str">
        <f>IF(ISBLANK(tbl_task9[[คะแนนเต็ม]:[คะแนนเต็ม]]),"",(tbl_task9[96]/tbl_task9[[คะแนนเต็ม]:[คะแนนเต็ม]])*tbl_task9[[%]:[%]])</f>
        <v/>
      </c>
      <c r="JG14" s="121" t="str">
        <f>IF(ISBLANK(tbl_task9[[คะแนนเต็ม]:[คะแนนเต็ม]]),"",(tbl_task9[97]/tbl_task9[[คะแนนเต็ม]:[คะแนนเต็ม]])*tbl_task9[[%]:[%]])</f>
        <v/>
      </c>
      <c r="JH14" s="121" t="str">
        <f>IF(ISBLANK(tbl_task9[[คะแนนเต็ม]:[คะแนนเต็ม]]),"",(tbl_task9[98]/tbl_task9[[คะแนนเต็ม]:[คะแนนเต็ม]])*tbl_task9[[%]:[%]])</f>
        <v/>
      </c>
      <c r="JI14" s="121" t="str">
        <f>IF(ISBLANK(tbl_task9[[คะแนนเต็ม]:[คะแนนเต็ม]]),"",(tbl_task9[99]/tbl_task9[[คะแนนเต็ม]:[คะแนนเต็ม]])*tbl_task9[[%]:[%]])</f>
        <v/>
      </c>
      <c r="JJ14" s="121" t="str">
        <f>IF(ISBLANK(tbl_task9[[คะแนนเต็ม]:[คะแนนเต็ม]]),"",(tbl_task9[100]/tbl_task9[[คะแนนเต็ม]:[คะแนนเต็ม]])*tbl_task9[[%]:[%]])</f>
        <v/>
      </c>
      <c r="JK14" s="121" t="str">
        <f>IF(ISBLANK(tbl_task9[[คะแนนเต็ม]:[คะแนนเต็ม]]),"",(tbl_task9[101]/tbl_task9[[คะแนนเต็ม]:[คะแนนเต็ม]])*tbl_task9[[%]:[%]])</f>
        <v/>
      </c>
      <c r="JL14" s="121" t="str">
        <f>IF(ISBLANK(tbl_task9[[คะแนนเต็ม]:[คะแนนเต็ม]]),"",(tbl_task9[102]/tbl_task9[[คะแนนเต็ม]:[คะแนนเต็ม]])*tbl_task9[[%]:[%]])</f>
        <v/>
      </c>
      <c r="JM14" s="121" t="str">
        <f>IF(ISBLANK(tbl_task9[[คะแนนเต็ม]:[คะแนนเต็ม]]),"",(tbl_task9[103]/tbl_task9[[คะแนนเต็ม]:[คะแนนเต็ม]])*tbl_task9[[%]:[%]])</f>
        <v/>
      </c>
      <c r="JN14" s="121" t="str">
        <f>IF(ISBLANK(tbl_task9[[คะแนนเต็ม]:[คะแนนเต็ม]]),"",(tbl_task9[104]/tbl_task9[[คะแนนเต็ม]:[คะแนนเต็ม]])*tbl_task9[[%]:[%]])</f>
        <v/>
      </c>
      <c r="JO14" s="121" t="str">
        <f>IF(ISBLANK(tbl_task9[[คะแนนเต็ม]:[คะแนนเต็ม]]),"",(tbl_task9[105]/tbl_task9[[คะแนนเต็ม]:[คะแนนเต็ม]])*tbl_task9[[%]:[%]])</f>
        <v/>
      </c>
      <c r="JP14" s="121" t="str">
        <f>IF(ISBLANK(tbl_task9[[คะแนนเต็ม]:[คะแนนเต็ม]]),"",(tbl_task9[106]/tbl_task9[[คะแนนเต็ม]:[คะแนนเต็ม]])*tbl_task9[[%]:[%]])</f>
        <v/>
      </c>
      <c r="JQ14" s="121" t="str">
        <f>IF(ISBLANK(tbl_task9[[คะแนนเต็ม]:[คะแนนเต็ม]]),"",(tbl_task9[107]/tbl_task9[[คะแนนเต็ม]:[คะแนนเต็ม]])*tbl_task9[[%]:[%]])</f>
        <v/>
      </c>
      <c r="JR14" s="121" t="str">
        <f>IF(ISBLANK(tbl_task9[[คะแนนเต็ม]:[คะแนนเต็ม]]),"",(tbl_task9[108]/tbl_task9[[คะแนนเต็ม]:[คะแนนเต็ม]])*tbl_task9[[%]:[%]])</f>
        <v/>
      </c>
      <c r="JS14" s="121" t="str">
        <f>IF(ISBLANK(tbl_task9[[คะแนนเต็ม]:[คะแนนเต็ม]]),"",(tbl_task9[109]/tbl_task9[[คะแนนเต็ม]:[คะแนนเต็ม]])*tbl_task9[[%]:[%]])</f>
        <v/>
      </c>
      <c r="JT14" s="121" t="str">
        <f>IF(ISBLANK(tbl_task9[[คะแนนเต็ม]:[คะแนนเต็ม]]),"",(tbl_task9[110]/tbl_task9[[คะแนนเต็ม]:[คะแนนเต็ม]])*tbl_task9[[%]:[%]])</f>
        <v/>
      </c>
      <c r="JU14" s="121" t="str">
        <f>IF(ISBLANK(tbl_task9[[คะแนนเต็ม]:[คะแนนเต็ม]]),"",(tbl_task9[111]/tbl_task9[[คะแนนเต็ม]:[คะแนนเต็ม]])*tbl_task9[[%]:[%]])</f>
        <v/>
      </c>
      <c r="JV14" s="121" t="str">
        <f>IF(ISBLANK(tbl_task9[[คะแนนเต็ม]:[คะแนนเต็ม]]),"",(tbl_task9[112]/tbl_task9[[คะแนนเต็ม]:[คะแนนเต็ม]])*tbl_task9[[%]:[%]])</f>
        <v/>
      </c>
      <c r="JW14" s="121" t="str">
        <f>IF(ISBLANK(tbl_task9[[คะแนนเต็ม]:[คะแนนเต็ม]]),"",(tbl_task9[113]/tbl_task9[[คะแนนเต็ม]:[คะแนนเต็ม]])*tbl_task9[[%]:[%]])</f>
        <v/>
      </c>
      <c r="JX14" s="121" t="str">
        <f>IF(ISBLANK(tbl_task9[[คะแนนเต็ม]:[คะแนนเต็ม]]),"",(tbl_task9[114]/tbl_task9[[คะแนนเต็ม]:[คะแนนเต็ม]])*tbl_task9[[%]:[%]])</f>
        <v/>
      </c>
      <c r="JY14" s="121" t="str">
        <f>IF(ISBLANK(tbl_task9[[คะแนนเต็ม]:[คะแนนเต็ม]]),"",(tbl_task9[115]/tbl_task9[[คะแนนเต็ม]:[คะแนนเต็ม]])*tbl_task9[[%]:[%]])</f>
        <v/>
      </c>
      <c r="JZ14" s="121" t="str">
        <f>IF(ISBLANK(tbl_task9[[คะแนนเต็ม]:[คะแนนเต็ม]]),"",(tbl_task9[116]/tbl_task9[[คะแนนเต็ม]:[คะแนนเต็ม]])*tbl_task9[[%]:[%]])</f>
        <v/>
      </c>
      <c r="KA14" s="121" t="str">
        <f>IF(ISBLANK(tbl_task9[[คะแนนเต็ม]:[คะแนนเต็ม]]),"",(tbl_task9[117]/tbl_task9[[คะแนนเต็ม]:[คะแนนเต็ม]])*tbl_task9[[%]:[%]])</f>
        <v/>
      </c>
      <c r="KB14" s="121" t="str">
        <f>IF(ISBLANK(tbl_task9[[คะแนนเต็ม]:[คะแนนเต็ม]]),"",(tbl_task9[118]/tbl_task9[[คะแนนเต็ม]:[คะแนนเต็ม]])*tbl_task9[[%]:[%]])</f>
        <v/>
      </c>
      <c r="KC14" s="121" t="str">
        <f>IF(ISBLANK(tbl_task9[[คะแนนเต็ม]:[คะแนนเต็ม]]),"",(tbl_task9[119]/tbl_task9[[คะแนนเต็ม]:[คะแนนเต็ม]])*tbl_task9[[%]:[%]])</f>
        <v/>
      </c>
      <c r="KD14" s="121" t="str">
        <f>IF(ISBLANK(tbl_task9[[คะแนนเต็ม]:[คะแนนเต็ม]]),"",(tbl_task9[120]/tbl_task9[[คะแนนเต็ม]:[คะแนนเต็ม]])*tbl_task9[[%]:[%]])</f>
        <v/>
      </c>
      <c r="KE14" s="121" t="str">
        <f>IF(ISBLANK(tbl_task9[[คะแนนเต็ม]:[คะแนนเต็ม]]),"",(tbl_task9[121]/tbl_task9[[คะแนนเต็ม]:[คะแนนเต็ม]])*tbl_task9[[%]:[%]])</f>
        <v/>
      </c>
      <c r="KF14" s="121" t="str">
        <f>IF(ISBLANK(tbl_task9[[คะแนนเต็ม]:[คะแนนเต็ม]]),"",(tbl_task9[122]/tbl_task9[[คะแนนเต็ม]:[คะแนนเต็ม]])*tbl_task9[[%]:[%]])</f>
        <v/>
      </c>
      <c r="KG14" s="121" t="str">
        <f>IF(ISBLANK(tbl_task9[[คะแนนเต็ม]:[คะแนนเต็ม]]),"",(tbl_task9[123]/tbl_task9[[คะแนนเต็ม]:[คะแนนเต็ม]])*tbl_task9[[%]:[%]])</f>
        <v/>
      </c>
      <c r="KH14" s="121" t="str">
        <f>IF(ISBLANK(tbl_task9[[คะแนนเต็ม]:[คะแนนเต็ม]]),"",(tbl_task9[124]/tbl_task9[[คะแนนเต็ม]:[คะแนนเต็ม]])*tbl_task9[[%]:[%]])</f>
        <v/>
      </c>
      <c r="KI14" s="121" t="str">
        <f>IF(ISBLANK(tbl_task9[[คะแนนเต็ม]:[คะแนนเต็ม]]),"",(tbl_task9[125]/tbl_task9[[คะแนนเต็ม]:[คะแนนเต็ม]])*tbl_task9[[%]:[%]])</f>
        <v/>
      </c>
      <c r="KJ14" s="121" t="str">
        <f>IF(ISBLANK(tbl_task9[[คะแนนเต็ม]:[คะแนนเต็ม]]),"",(tbl_task9[126]/tbl_task9[[คะแนนเต็ม]:[คะแนนเต็ม]])*tbl_task9[[%]:[%]])</f>
        <v/>
      </c>
      <c r="KK14" s="121" t="str">
        <f>IF(ISBLANK(tbl_task9[[คะแนนเต็ม]:[คะแนนเต็ม]]),"",(tbl_task9[127]/tbl_task9[[คะแนนเต็ม]:[คะแนนเต็ม]])*tbl_task9[[%]:[%]])</f>
        <v/>
      </c>
      <c r="KL14" s="121" t="str">
        <f>IF(ISBLANK(tbl_task9[[คะแนนเต็ม]:[คะแนนเต็ม]]),"",(tbl_task9[128]/tbl_task9[[คะแนนเต็ม]:[คะแนนเต็ม]])*tbl_task9[[%]:[%]])</f>
        <v/>
      </c>
      <c r="KM14" s="121" t="str">
        <f>IF(ISBLANK(tbl_task9[[คะแนนเต็ม]:[คะแนนเต็ม]]),"",(tbl_task9[129]/tbl_task9[[คะแนนเต็ม]:[คะแนนเต็ม]])*tbl_task9[[%]:[%]])</f>
        <v/>
      </c>
      <c r="KN14" s="121" t="str">
        <f>IF(ISBLANK(tbl_task9[[คะแนนเต็ม]:[คะแนนเต็ม]]),"",(tbl_task9[130]/tbl_task9[[คะแนนเต็ม]:[คะแนนเต็ม]])*tbl_task9[[%]:[%]])</f>
        <v/>
      </c>
      <c r="KO14" s="121" t="str">
        <f>IF(ISBLANK(tbl_task9[[คะแนนเต็ม]:[คะแนนเต็ม]]),"",(tbl_task9[131]/tbl_task9[[คะแนนเต็ม]:[คะแนนเต็ม]])*tbl_task9[[%]:[%]])</f>
        <v/>
      </c>
      <c r="KP14" s="121" t="str">
        <f>IF(ISBLANK(tbl_task9[[คะแนนเต็ม]:[คะแนนเต็ม]]),"",(tbl_task9[132]/tbl_task9[[คะแนนเต็ม]:[คะแนนเต็ม]])*tbl_task9[[%]:[%]])</f>
        <v/>
      </c>
      <c r="KQ14" s="121" t="str">
        <f>IF(ISBLANK(tbl_task9[[คะแนนเต็ม]:[คะแนนเต็ม]]),"",(tbl_task9[133]/tbl_task9[[คะแนนเต็ม]:[คะแนนเต็ม]])*tbl_task9[[%]:[%]])</f>
        <v/>
      </c>
      <c r="KR14" s="121" t="str">
        <f>IF(ISBLANK(tbl_task9[[คะแนนเต็ม]:[คะแนนเต็ม]]),"",(tbl_task9[134]/tbl_task9[[คะแนนเต็ม]:[คะแนนเต็ม]])*tbl_task9[[%]:[%]])</f>
        <v/>
      </c>
      <c r="KS14" s="121" t="str">
        <f>IF(ISBLANK(tbl_task9[[คะแนนเต็ม]:[คะแนนเต็ม]]),"",(tbl_task9[135]/tbl_task9[[คะแนนเต็ม]:[คะแนนเต็ม]])*tbl_task9[[%]:[%]])</f>
        <v/>
      </c>
      <c r="KT14" s="121" t="str">
        <f>IF(ISBLANK(tbl_task9[[คะแนนเต็ม]:[คะแนนเต็ม]]),"",(tbl_task9[136]/tbl_task9[[คะแนนเต็ม]:[คะแนนเต็ม]])*tbl_task9[[%]:[%]])</f>
        <v/>
      </c>
      <c r="KU14" s="121" t="str">
        <f>IF(ISBLANK(tbl_task9[[คะแนนเต็ม]:[คะแนนเต็ม]]),"",(tbl_task9[137]/tbl_task9[[คะแนนเต็ม]:[คะแนนเต็ม]])*tbl_task9[[%]:[%]])</f>
        <v/>
      </c>
      <c r="KV14" s="121" t="str">
        <f>IF(ISBLANK(tbl_task9[[คะแนนเต็ม]:[คะแนนเต็ม]]),"",(tbl_task9[138]/tbl_task9[[คะแนนเต็ม]:[คะแนนเต็ม]])*tbl_task9[[%]:[%]])</f>
        <v/>
      </c>
      <c r="KW14" s="121" t="str">
        <f>IF(ISBLANK(tbl_task9[[คะแนนเต็ม]:[คะแนนเต็ม]]),"",(tbl_task9[139]/tbl_task9[[คะแนนเต็ม]:[คะแนนเต็ม]])*tbl_task9[[%]:[%]])</f>
        <v/>
      </c>
      <c r="KX14" s="121" t="str">
        <f>IF(ISBLANK(tbl_task9[[คะแนนเต็ม]:[คะแนนเต็ม]]),"",(tbl_task9[140]/tbl_task9[[คะแนนเต็ม]:[คะแนนเต็ม]])*tbl_task9[[%]:[%]])</f>
        <v/>
      </c>
      <c r="KY14" s="121" t="str">
        <f>IF(ISBLANK(tbl_task9[[คะแนนเต็ม]:[คะแนนเต็ม]]),"",(tbl_task9[141]/tbl_task9[[คะแนนเต็ม]:[คะแนนเต็ม]])*tbl_task9[[%]:[%]])</f>
        <v/>
      </c>
      <c r="KZ14" s="121" t="str">
        <f>IF(ISBLANK(tbl_task9[[คะแนนเต็ม]:[คะแนนเต็ม]]),"",(tbl_task9[142]/tbl_task9[[คะแนนเต็ม]:[คะแนนเต็ม]])*tbl_task9[[%]:[%]])</f>
        <v/>
      </c>
      <c r="LA14" s="121" t="str">
        <f>IF(ISBLANK(tbl_task9[[คะแนนเต็ม]:[คะแนนเต็ม]]),"",(tbl_task9[143]/tbl_task9[[คะแนนเต็ม]:[คะแนนเต็ม]])*tbl_task9[[%]:[%]])</f>
        <v/>
      </c>
      <c r="LB14" s="121" t="str">
        <f>IF(ISBLANK(tbl_task9[[คะแนนเต็ม]:[คะแนนเต็ม]]),"",(tbl_task9[144]/tbl_task9[[คะแนนเต็ม]:[คะแนนเต็ม]])*tbl_task9[[%]:[%]])</f>
        <v/>
      </c>
      <c r="LC14" s="121" t="str">
        <f>IF(ISBLANK(tbl_task9[[คะแนนเต็ม]:[คะแนนเต็ม]]),"",(tbl_task9[145]/tbl_task9[[คะแนนเต็ม]:[คะแนนเต็ม]])*tbl_task9[[%]:[%]])</f>
        <v/>
      </c>
      <c r="LD14" s="121" t="str">
        <f>IF(ISBLANK(tbl_task9[[คะแนนเต็ม]:[คะแนนเต็ม]]),"",(tbl_task9[146]/tbl_task9[[คะแนนเต็ม]:[คะแนนเต็ม]])*tbl_task9[[%]:[%]])</f>
        <v/>
      </c>
      <c r="LE14" s="121" t="str">
        <f>IF(ISBLANK(tbl_task9[[คะแนนเต็ม]:[คะแนนเต็ม]]),"",(tbl_task9[147]/tbl_task9[[คะแนนเต็ม]:[คะแนนเต็ม]])*tbl_task9[[%]:[%]])</f>
        <v/>
      </c>
      <c r="LF14" s="121" t="str">
        <f>IF(ISBLANK(tbl_task9[[คะแนนเต็ม]:[คะแนนเต็ม]]),"",(tbl_task9[148]/tbl_task9[[คะแนนเต็ม]:[คะแนนเต็ม]])*tbl_task9[[%]:[%]])</f>
        <v/>
      </c>
      <c r="LG14" s="121" t="str">
        <f>IF(ISBLANK(tbl_task9[[คะแนนเต็ม]:[คะแนนเต็ม]]),"",(tbl_task9[149]/tbl_task9[[คะแนนเต็ม]:[คะแนนเต็ม]])*tbl_task9[[%]:[%]])</f>
        <v/>
      </c>
      <c r="LH14" s="121" t="str">
        <f>IF(ISBLANK(tbl_task9[[คะแนนเต็ม]:[คะแนนเต็ม]]),"",(tbl_task9[150]/tbl_task9[[คะแนนเต็ม]:[คะแนนเต็ม]])*tbl_task9[[%]:[%]])</f>
        <v/>
      </c>
      <c r="LI14" s="121" t="str">
        <f>IF(ISBLANK(tbl_task9[[คะแนนเต็ม]:[คะแนนเต็ม]]),"",(tbl_task9[151]/tbl_task9[[คะแนนเต็ม]:[คะแนนเต็ม]])*tbl_task9[[%]:[%]])</f>
        <v/>
      </c>
      <c r="LJ14" s="121" t="str">
        <f>IF(ISBLANK(tbl_task9[[คะแนนเต็ม]:[คะแนนเต็ม]]),"",(tbl_task9[152]/tbl_task9[[คะแนนเต็ม]:[คะแนนเต็ม]])*tbl_task9[[%]:[%]])</f>
        <v/>
      </c>
      <c r="LK14" s="121" t="str">
        <f>IF(ISBLANK(tbl_task9[[คะแนนเต็ม]:[คะแนนเต็ม]]),"",(tbl_task9[153]/tbl_task9[[คะแนนเต็ม]:[คะแนนเต็ม]])*tbl_task9[[%]:[%]])</f>
        <v/>
      </c>
      <c r="LL14" s="121" t="str">
        <f>IF(ISBLANK(tbl_task9[[คะแนนเต็ม]:[คะแนนเต็ม]]),"",(tbl_task9[154]/tbl_task9[[คะแนนเต็ม]:[คะแนนเต็ม]])*tbl_task9[[%]:[%]])</f>
        <v/>
      </c>
      <c r="LM14" s="121" t="str">
        <f>IF(ISBLANK(tbl_task9[[คะแนนเต็ม]:[คะแนนเต็ม]]),"",(tbl_task9[155]/tbl_task9[[คะแนนเต็ม]:[คะแนนเต็ม]])*tbl_task9[[%]:[%]])</f>
        <v/>
      </c>
      <c r="LN14" s="121" t="str">
        <f>IF(ISBLANK(tbl_task9[[คะแนนเต็ม]:[คะแนนเต็ม]]),"",(tbl_task9[156]/tbl_task9[[คะแนนเต็ม]:[คะแนนเต็ม]])*tbl_task9[[%]:[%]])</f>
        <v/>
      </c>
      <c r="LO14" s="121" t="str">
        <f>IF(ISBLANK(tbl_task9[[คะแนนเต็ม]:[คะแนนเต็ม]]),"",(tbl_task9[157]/tbl_task9[[คะแนนเต็ม]:[คะแนนเต็ม]])*tbl_task9[[%]:[%]])</f>
        <v/>
      </c>
      <c r="LP14" s="121" t="str">
        <f>IF(ISBLANK(tbl_task9[[คะแนนเต็ม]:[คะแนนเต็ม]]),"",(tbl_task9[158]/tbl_task9[[คะแนนเต็ม]:[คะแนนเต็ม]])*tbl_task9[[%]:[%]])</f>
        <v/>
      </c>
      <c r="LQ14" s="121" t="str">
        <f>IF(ISBLANK(tbl_task9[[คะแนนเต็ม]:[คะแนนเต็ม]]),"",(tbl_task9[159]/tbl_task9[[คะแนนเต็ม]:[คะแนนเต็ม]])*tbl_task9[[%]:[%]])</f>
        <v/>
      </c>
      <c r="LR14" s="121" t="str">
        <f>IF(ISBLANK(tbl_task9[[คะแนนเต็ม]:[คะแนนเต็ม]]),"",(tbl_task9[160]/tbl_task9[[คะแนนเต็ม]:[คะแนนเต็ม]])*tbl_task9[[%]:[%]])</f>
        <v/>
      </c>
      <c r="LS14" s="121" t="str">
        <f>IF(ISBLANK(tbl_task9[[คะแนนเต็ม]:[คะแนนเต็ม]]),"",(tbl_task9[161]/tbl_task9[[คะแนนเต็ม]:[คะแนนเต็ม]])*tbl_task9[[%]:[%]])</f>
        <v/>
      </c>
      <c r="LT14" s="121" t="str">
        <f>IF(ISBLANK(tbl_task9[[คะแนนเต็ม]:[คะแนนเต็ม]]),"",(tbl_task9[162]/tbl_task9[[คะแนนเต็ม]:[คะแนนเต็ม]])*tbl_task9[[%]:[%]])</f>
        <v/>
      </c>
      <c r="LU14" s="121" t="str">
        <f>IF(ISBLANK(tbl_task9[[คะแนนเต็ม]:[คะแนนเต็ม]]),"",(tbl_task9[163]/tbl_task9[[คะแนนเต็ม]:[คะแนนเต็ม]])*tbl_task9[[%]:[%]])</f>
        <v/>
      </c>
      <c r="LV14" s="121" t="str">
        <f>IF(ISBLANK(tbl_task9[[คะแนนเต็ม]:[คะแนนเต็ม]]),"",(tbl_task9[164]/tbl_task9[[คะแนนเต็ม]:[คะแนนเต็ม]])*tbl_task9[[%]:[%]])</f>
        <v/>
      </c>
      <c r="LW14" s="121" t="str">
        <f>IF(ISBLANK(tbl_task9[[คะแนนเต็ม]:[คะแนนเต็ม]]),"",(tbl_task9[165]/tbl_task9[[คะแนนเต็ม]:[คะแนนเต็ม]])*tbl_task9[[%]:[%]])</f>
        <v/>
      </c>
    </row>
    <row r="15" spans="1:335" ht="24" customHeight="1" x14ac:dyDescent="0.25">
      <c r="A15" s="24">
        <v>12</v>
      </c>
      <c r="B15" s="20"/>
      <c r="C15" s="5" t="str">
        <f>IF(ISBLANK(B15),"",VLOOKUP(B15,tbl_PLOs[],2,0))</f>
        <v/>
      </c>
      <c r="D15" s="102"/>
      <c r="E15" s="106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121" t="str">
        <f>IF(ISBLANK(tbl_task9[[คะแนนเต็ม]:[คะแนนเต็ม]]),"",(tbl_task9[1]/tbl_task9[[คะแนนเต็ม]:[คะแนนเต็ม]])*tbl_task9[[%]:[%]])</f>
        <v/>
      </c>
      <c r="FP15" s="121" t="str">
        <f>IF(ISBLANK(tbl_task9[[คะแนนเต็ม]:[คะแนนเต็ม]]),"",(tbl_task9[2]/tbl_task9[[คะแนนเต็ม]:[คะแนนเต็ม]])*tbl_task9[[%]:[%]])</f>
        <v/>
      </c>
      <c r="FQ15" s="121" t="str">
        <f>IF(ISBLANK(tbl_task9[[คะแนนเต็ม]:[คะแนนเต็ม]]),"",(tbl_task9[3]/tbl_task9[[คะแนนเต็ม]:[คะแนนเต็ม]])*tbl_task9[[%]:[%]])</f>
        <v/>
      </c>
      <c r="FR15" s="121" t="str">
        <f>IF(ISBLANK(tbl_task9[[คะแนนเต็ม]:[คะแนนเต็ม]]),"",(tbl_task9[4]/tbl_task9[[คะแนนเต็ม]:[คะแนนเต็ม]])*tbl_task9[[%]:[%]])</f>
        <v/>
      </c>
      <c r="FS15" s="121" t="str">
        <f>IF(ISBLANK(tbl_task9[[คะแนนเต็ม]:[คะแนนเต็ม]]),"",(tbl_task9[5]/tbl_task9[[คะแนนเต็ม]:[คะแนนเต็ม]])*tbl_task9[[%]:[%]])</f>
        <v/>
      </c>
      <c r="FT15" s="121" t="str">
        <f>IF(ISBLANK(tbl_task9[[คะแนนเต็ม]:[คะแนนเต็ม]]),"",(tbl_task9[6]/tbl_task9[[คะแนนเต็ม]:[คะแนนเต็ม]])*tbl_task9[[%]:[%]])</f>
        <v/>
      </c>
      <c r="FU15" s="121" t="str">
        <f>IF(ISBLANK(tbl_task9[[คะแนนเต็ม]:[คะแนนเต็ม]]),"",(tbl_task9[7]/tbl_task9[[คะแนนเต็ม]:[คะแนนเต็ม]])*tbl_task9[[%]:[%]])</f>
        <v/>
      </c>
      <c r="FV15" s="121" t="str">
        <f>IF(ISBLANK(tbl_task9[[คะแนนเต็ม]:[คะแนนเต็ม]]),"",(tbl_task9[8]/tbl_task9[[คะแนนเต็ม]:[คะแนนเต็ม]])*tbl_task9[[%]:[%]])</f>
        <v/>
      </c>
      <c r="FW15" s="121" t="str">
        <f>IF(ISBLANK(tbl_task9[[คะแนนเต็ม]:[คะแนนเต็ม]]),"",(tbl_task9[9]/tbl_task9[[คะแนนเต็ม]:[คะแนนเต็ม]])*tbl_task9[[%]:[%]])</f>
        <v/>
      </c>
      <c r="FX15" s="121" t="str">
        <f>IF(ISBLANK(tbl_task9[[คะแนนเต็ม]:[คะแนนเต็ม]]),"",(tbl_task9[10]/tbl_task9[[คะแนนเต็ม]:[คะแนนเต็ม]])*tbl_task9[[%]:[%]])</f>
        <v/>
      </c>
      <c r="FY15" s="121" t="str">
        <f>IF(ISBLANK(tbl_task9[[คะแนนเต็ม]:[คะแนนเต็ม]]),"",(tbl_task9[11]/tbl_task9[[คะแนนเต็ม]:[คะแนนเต็ม]])*tbl_task9[[%]:[%]])</f>
        <v/>
      </c>
      <c r="FZ15" s="121" t="str">
        <f>IF(ISBLANK(tbl_task9[[คะแนนเต็ม]:[คะแนนเต็ม]]),"",(tbl_task9[12]/tbl_task9[[คะแนนเต็ม]:[คะแนนเต็ม]])*tbl_task9[[%]:[%]])</f>
        <v/>
      </c>
      <c r="GA15" s="121" t="str">
        <f>IF(ISBLANK(tbl_task9[[คะแนนเต็ม]:[คะแนนเต็ม]]),"",(tbl_task9[13]/tbl_task9[[คะแนนเต็ม]:[คะแนนเต็ม]])*tbl_task9[[%]:[%]])</f>
        <v/>
      </c>
      <c r="GB15" s="121" t="str">
        <f>IF(ISBLANK(tbl_task9[[คะแนนเต็ม]:[คะแนนเต็ม]]),"",(tbl_task9[14]/tbl_task9[[คะแนนเต็ม]:[คะแนนเต็ม]])*tbl_task9[[%]:[%]])</f>
        <v/>
      </c>
      <c r="GC15" s="121" t="str">
        <f>IF(ISBLANK(tbl_task9[[คะแนนเต็ม]:[คะแนนเต็ม]]),"",(tbl_task9[15]/tbl_task9[[คะแนนเต็ม]:[คะแนนเต็ม]])*tbl_task9[[%]:[%]])</f>
        <v/>
      </c>
      <c r="GD15" s="121" t="str">
        <f>IF(ISBLANK(tbl_task9[[คะแนนเต็ม]:[คะแนนเต็ม]]),"",(tbl_task9[16]/tbl_task9[[คะแนนเต็ม]:[คะแนนเต็ม]])*tbl_task9[[%]:[%]])</f>
        <v/>
      </c>
      <c r="GE15" s="121" t="str">
        <f>IF(ISBLANK(tbl_task9[[คะแนนเต็ม]:[คะแนนเต็ม]]),"",(tbl_task9[17]/tbl_task9[[คะแนนเต็ม]:[คะแนนเต็ม]])*tbl_task9[[%]:[%]])</f>
        <v/>
      </c>
      <c r="GF15" s="121" t="str">
        <f>IF(ISBLANK(tbl_task9[[คะแนนเต็ม]:[คะแนนเต็ม]]),"",(tbl_task9[18]/tbl_task9[[คะแนนเต็ม]:[คะแนนเต็ม]])*tbl_task9[[%]:[%]])</f>
        <v/>
      </c>
      <c r="GG15" s="121" t="str">
        <f>IF(ISBLANK(tbl_task9[[คะแนนเต็ม]:[คะแนนเต็ม]]),"",(tbl_task9[19]/tbl_task9[[คะแนนเต็ม]:[คะแนนเต็ม]])*tbl_task9[[%]:[%]])</f>
        <v/>
      </c>
      <c r="GH15" s="121" t="str">
        <f>IF(ISBLANK(tbl_task9[[คะแนนเต็ม]:[คะแนนเต็ม]]),"",(tbl_task9[20]/tbl_task9[[คะแนนเต็ม]:[คะแนนเต็ม]])*tbl_task9[[%]:[%]])</f>
        <v/>
      </c>
      <c r="GI15" s="121" t="str">
        <f>IF(ISBLANK(tbl_task9[[คะแนนเต็ม]:[คะแนนเต็ม]]),"",(tbl_task9[21]/tbl_task9[[คะแนนเต็ม]:[คะแนนเต็ม]])*tbl_task9[[%]:[%]])</f>
        <v/>
      </c>
      <c r="GJ15" s="121" t="str">
        <f>IF(ISBLANK(tbl_task9[[คะแนนเต็ม]:[คะแนนเต็ม]]),"",(tbl_task9[22]/tbl_task9[[คะแนนเต็ม]:[คะแนนเต็ม]])*tbl_task9[[%]:[%]])</f>
        <v/>
      </c>
      <c r="GK15" s="121" t="str">
        <f>IF(ISBLANK(tbl_task9[[คะแนนเต็ม]:[คะแนนเต็ม]]),"",(tbl_task9[23]/tbl_task9[[คะแนนเต็ม]:[คะแนนเต็ม]])*tbl_task9[[%]:[%]])</f>
        <v/>
      </c>
      <c r="GL15" s="121" t="str">
        <f>IF(ISBLANK(tbl_task9[[คะแนนเต็ม]:[คะแนนเต็ม]]),"",(tbl_task9[24]/tbl_task9[[คะแนนเต็ม]:[คะแนนเต็ม]])*tbl_task9[[%]:[%]])</f>
        <v/>
      </c>
      <c r="GM15" s="121" t="str">
        <f>IF(ISBLANK(tbl_task9[[คะแนนเต็ม]:[คะแนนเต็ม]]),"",(tbl_task9[25]/tbl_task9[[คะแนนเต็ม]:[คะแนนเต็ม]])*tbl_task9[[%]:[%]])</f>
        <v/>
      </c>
      <c r="GN15" s="121" t="str">
        <f>IF(ISBLANK(tbl_task9[[คะแนนเต็ม]:[คะแนนเต็ม]]),"",(tbl_task9[26]/tbl_task9[[คะแนนเต็ม]:[คะแนนเต็ม]])*tbl_task9[[%]:[%]])</f>
        <v/>
      </c>
      <c r="GO15" s="121" t="str">
        <f>IF(ISBLANK(tbl_task9[[คะแนนเต็ม]:[คะแนนเต็ม]]),"",(tbl_task9[27]/tbl_task9[[คะแนนเต็ม]:[คะแนนเต็ม]])*tbl_task9[[%]:[%]])</f>
        <v/>
      </c>
      <c r="GP15" s="121" t="str">
        <f>IF(ISBLANK(tbl_task9[[คะแนนเต็ม]:[คะแนนเต็ม]]),"",(tbl_task9[28]/tbl_task9[[คะแนนเต็ม]:[คะแนนเต็ม]])*tbl_task9[[%]:[%]])</f>
        <v/>
      </c>
      <c r="GQ15" s="121" t="str">
        <f>IF(ISBLANK(tbl_task9[[คะแนนเต็ม]:[คะแนนเต็ม]]),"",(tbl_task9[29]/tbl_task9[[คะแนนเต็ม]:[คะแนนเต็ม]])*tbl_task9[[%]:[%]])</f>
        <v/>
      </c>
      <c r="GR15" s="121" t="str">
        <f>IF(ISBLANK(tbl_task9[[คะแนนเต็ม]:[คะแนนเต็ม]]),"",(tbl_task9[30]/tbl_task9[[คะแนนเต็ม]:[คะแนนเต็ม]])*tbl_task9[[%]:[%]])</f>
        <v/>
      </c>
      <c r="GS15" s="121" t="str">
        <f>IF(ISBLANK(tbl_task9[[คะแนนเต็ม]:[คะแนนเต็ม]]),"",(tbl_task9[31]/tbl_task9[[คะแนนเต็ม]:[คะแนนเต็ม]])*tbl_task9[[%]:[%]])</f>
        <v/>
      </c>
      <c r="GT15" s="121" t="str">
        <f>IF(ISBLANK(tbl_task9[[คะแนนเต็ม]:[คะแนนเต็ม]]),"",(tbl_task9[32]/tbl_task9[[คะแนนเต็ม]:[คะแนนเต็ม]])*tbl_task9[[%]:[%]])</f>
        <v/>
      </c>
      <c r="GU15" s="121" t="str">
        <f>IF(ISBLANK(tbl_task9[[คะแนนเต็ม]:[คะแนนเต็ม]]),"",(tbl_task9[33]/tbl_task9[[คะแนนเต็ม]:[คะแนนเต็ม]])*tbl_task9[[%]:[%]])</f>
        <v/>
      </c>
      <c r="GV15" s="121" t="str">
        <f>IF(ISBLANK(tbl_task9[[คะแนนเต็ม]:[คะแนนเต็ม]]),"",(tbl_task9[34]/tbl_task9[[คะแนนเต็ม]:[คะแนนเต็ม]])*tbl_task9[[%]:[%]])</f>
        <v/>
      </c>
      <c r="GW15" s="121" t="str">
        <f>IF(ISBLANK(tbl_task9[[คะแนนเต็ม]:[คะแนนเต็ม]]),"",(tbl_task9[35]/tbl_task9[[คะแนนเต็ม]:[คะแนนเต็ม]])*tbl_task9[[%]:[%]])</f>
        <v/>
      </c>
      <c r="GX15" s="121" t="str">
        <f>IF(ISBLANK(tbl_task9[[คะแนนเต็ม]:[คะแนนเต็ม]]),"",(tbl_task9[36]/tbl_task9[[คะแนนเต็ม]:[คะแนนเต็ม]])*tbl_task9[[%]:[%]])</f>
        <v/>
      </c>
      <c r="GY15" s="121" t="str">
        <f>IF(ISBLANK(tbl_task9[[คะแนนเต็ม]:[คะแนนเต็ม]]),"",(tbl_task9[37]/tbl_task9[[คะแนนเต็ม]:[คะแนนเต็ม]])*tbl_task9[[%]:[%]])</f>
        <v/>
      </c>
      <c r="GZ15" s="121" t="str">
        <f>IF(ISBLANK(tbl_task9[[คะแนนเต็ม]:[คะแนนเต็ม]]),"",(tbl_task9[38]/tbl_task9[[คะแนนเต็ม]:[คะแนนเต็ม]])*tbl_task9[[%]:[%]])</f>
        <v/>
      </c>
      <c r="HA15" s="121" t="str">
        <f>IF(ISBLANK(tbl_task9[[คะแนนเต็ม]:[คะแนนเต็ม]]),"",(tbl_task9[39]/tbl_task9[[คะแนนเต็ม]:[คะแนนเต็ม]])*tbl_task9[[%]:[%]])</f>
        <v/>
      </c>
      <c r="HB15" s="121" t="str">
        <f>IF(ISBLANK(tbl_task9[[คะแนนเต็ม]:[คะแนนเต็ม]]),"",(tbl_task9[40]/tbl_task9[[คะแนนเต็ม]:[คะแนนเต็ม]])*tbl_task9[[%]:[%]])</f>
        <v/>
      </c>
      <c r="HC15" s="121" t="str">
        <f>IF(ISBLANK(tbl_task9[[คะแนนเต็ม]:[คะแนนเต็ม]]),"",(tbl_task9[41]/tbl_task9[[คะแนนเต็ม]:[คะแนนเต็ม]])*tbl_task9[[%]:[%]])</f>
        <v/>
      </c>
      <c r="HD15" s="121" t="str">
        <f>IF(ISBLANK(tbl_task9[[คะแนนเต็ม]:[คะแนนเต็ม]]),"",(tbl_task9[42]/tbl_task9[[คะแนนเต็ม]:[คะแนนเต็ม]])*tbl_task9[[%]:[%]])</f>
        <v/>
      </c>
      <c r="HE15" s="121" t="str">
        <f>IF(ISBLANK(tbl_task9[[คะแนนเต็ม]:[คะแนนเต็ม]]),"",(tbl_task9[43]/tbl_task9[[คะแนนเต็ม]:[คะแนนเต็ม]])*tbl_task9[[%]:[%]])</f>
        <v/>
      </c>
      <c r="HF15" s="121" t="str">
        <f>IF(ISBLANK(tbl_task9[[คะแนนเต็ม]:[คะแนนเต็ม]]),"",(tbl_task9[44]/tbl_task9[[คะแนนเต็ม]:[คะแนนเต็ม]])*tbl_task9[[%]:[%]])</f>
        <v/>
      </c>
      <c r="HG15" s="121" t="str">
        <f>IF(ISBLANK(tbl_task9[[คะแนนเต็ม]:[คะแนนเต็ม]]),"",(tbl_task9[45]/tbl_task9[[คะแนนเต็ม]:[คะแนนเต็ม]])*tbl_task9[[%]:[%]])</f>
        <v/>
      </c>
      <c r="HH15" s="121" t="str">
        <f>IF(ISBLANK(tbl_task9[[คะแนนเต็ม]:[คะแนนเต็ม]]),"",(tbl_task9[46]/tbl_task9[[คะแนนเต็ม]:[คะแนนเต็ม]])*tbl_task9[[%]:[%]])</f>
        <v/>
      </c>
      <c r="HI15" s="121" t="str">
        <f>IF(ISBLANK(tbl_task9[[คะแนนเต็ม]:[คะแนนเต็ม]]),"",(tbl_task9[47]/tbl_task9[[คะแนนเต็ม]:[คะแนนเต็ม]])*tbl_task9[[%]:[%]])</f>
        <v/>
      </c>
      <c r="HJ15" s="121" t="str">
        <f>IF(ISBLANK(tbl_task9[[คะแนนเต็ม]:[คะแนนเต็ม]]),"",(tbl_task9[48]/tbl_task9[[คะแนนเต็ม]:[คะแนนเต็ม]])*tbl_task9[[%]:[%]])</f>
        <v/>
      </c>
      <c r="HK15" s="121" t="str">
        <f>IF(ISBLANK(tbl_task9[[คะแนนเต็ม]:[คะแนนเต็ม]]),"",(tbl_task9[49]/tbl_task9[[คะแนนเต็ม]:[คะแนนเต็ม]])*tbl_task9[[%]:[%]])</f>
        <v/>
      </c>
      <c r="HL15" s="121" t="str">
        <f>IF(ISBLANK(tbl_task9[[คะแนนเต็ม]:[คะแนนเต็ม]]),"",(tbl_task9[50]/tbl_task9[[คะแนนเต็ม]:[คะแนนเต็ม]])*tbl_task9[[%]:[%]])</f>
        <v/>
      </c>
      <c r="HM15" s="121" t="str">
        <f>IF(ISBLANK(tbl_task9[[คะแนนเต็ม]:[คะแนนเต็ม]]),"",(tbl_task9[51]/tbl_task9[[คะแนนเต็ม]:[คะแนนเต็ม]])*tbl_task9[[%]:[%]])</f>
        <v/>
      </c>
      <c r="HN15" s="121" t="str">
        <f>IF(ISBLANK(tbl_task9[[คะแนนเต็ม]:[คะแนนเต็ม]]),"",(tbl_task9[52]/tbl_task9[[คะแนนเต็ม]:[คะแนนเต็ม]])*tbl_task9[[%]:[%]])</f>
        <v/>
      </c>
      <c r="HO15" s="121" t="str">
        <f>IF(ISBLANK(tbl_task9[[คะแนนเต็ม]:[คะแนนเต็ม]]),"",(tbl_task9[53]/tbl_task9[[คะแนนเต็ม]:[คะแนนเต็ม]])*tbl_task9[[%]:[%]])</f>
        <v/>
      </c>
      <c r="HP15" s="121" t="str">
        <f>IF(ISBLANK(tbl_task9[[คะแนนเต็ม]:[คะแนนเต็ม]]),"",(tbl_task9[54]/tbl_task9[[คะแนนเต็ม]:[คะแนนเต็ม]])*tbl_task9[[%]:[%]])</f>
        <v/>
      </c>
      <c r="HQ15" s="121" t="str">
        <f>IF(ISBLANK(tbl_task9[[คะแนนเต็ม]:[คะแนนเต็ม]]),"",(tbl_task9[55]/tbl_task9[[คะแนนเต็ม]:[คะแนนเต็ม]])*tbl_task9[[%]:[%]])</f>
        <v/>
      </c>
      <c r="HR15" s="121" t="str">
        <f>IF(ISBLANK(tbl_task9[[คะแนนเต็ม]:[คะแนนเต็ม]]),"",(tbl_task9[56]/tbl_task9[[คะแนนเต็ม]:[คะแนนเต็ม]])*tbl_task9[[%]:[%]])</f>
        <v/>
      </c>
      <c r="HS15" s="121" t="str">
        <f>IF(ISBLANK(tbl_task9[[คะแนนเต็ม]:[คะแนนเต็ม]]),"",(tbl_task9[57]/tbl_task9[[คะแนนเต็ม]:[คะแนนเต็ม]])*tbl_task9[[%]:[%]])</f>
        <v/>
      </c>
      <c r="HT15" s="121" t="str">
        <f>IF(ISBLANK(tbl_task9[[คะแนนเต็ม]:[คะแนนเต็ม]]),"",(tbl_task9[58]/tbl_task9[[คะแนนเต็ม]:[คะแนนเต็ม]])*tbl_task9[[%]:[%]])</f>
        <v/>
      </c>
      <c r="HU15" s="121" t="str">
        <f>IF(ISBLANK(tbl_task9[[คะแนนเต็ม]:[คะแนนเต็ม]]),"",(tbl_task9[59]/tbl_task9[[คะแนนเต็ม]:[คะแนนเต็ม]])*tbl_task9[[%]:[%]])</f>
        <v/>
      </c>
      <c r="HV15" s="121" t="str">
        <f>IF(ISBLANK(tbl_task9[[คะแนนเต็ม]:[คะแนนเต็ม]]),"",(tbl_task9[60]/tbl_task9[[คะแนนเต็ม]:[คะแนนเต็ม]])*tbl_task9[[%]:[%]])</f>
        <v/>
      </c>
      <c r="HW15" s="121" t="str">
        <f>IF(ISBLANK(tbl_task9[[คะแนนเต็ม]:[คะแนนเต็ม]]),"",(tbl_task9[61]/tbl_task9[[คะแนนเต็ม]:[คะแนนเต็ม]])*tbl_task9[[%]:[%]])</f>
        <v/>
      </c>
      <c r="HX15" s="121" t="str">
        <f>IF(ISBLANK(tbl_task9[[คะแนนเต็ม]:[คะแนนเต็ม]]),"",(tbl_task9[62]/tbl_task9[[คะแนนเต็ม]:[คะแนนเต็ม]])*tbl_task9[[%]:[%]])</f>
        <v/>
      </c>
      <c r="HY15" s="121" t="str">
        <f>IF(ISBLANK(tbl_task9[[คะแนนเต็ม]:[คะแนนเต็ม]]),"",(tbl_task9[63]/tbl_task9[[คะแนนเต็ม]:[คะแนนเต็ม]])*tbl_task9[[%]:[%]])</f>
        <v/>
      </c>
      <c r="HZ15" s="121" t="str">
        <f>IF(ISBLANK(tbl_task9[[คะแนนเต็ม]:[คะแนนเต็ม]]),"",(tbl_task9[64]/tbl_task9[[คะแนนเต็ม]:[คะแนนเต็ม]])*tbl_task9[[%]:[%]])</f>
        <v/>
      </c>
      <c r="IA15" s="121" t="str">
        <f>IF(ISBLANK(tbl_task9[[คะแนนเต็ม]:[คะแนนเต็ม]]),"",(tbl_task9[65]/tbl_task9[[คะแนนเต็ม]:[คะแนนเต็ม]])*tbl_task9[[%]:[%]])</f>
        <v/>
      </c>
      <c r="IB15" s="121" t="str">
        <f>IF(ISBLANK(tbl_task9[[คะแนนเต็ม]:[คะแนนเต็ม]]),"",(tbl_task9[66]/tbl_task9[[คะแนนเต็ม]:[คะแนนเต็ม]])*tbl_task9[[%]:[%]])</f>
        <v/>
      </c>
      <c r="IC15" s="121" t="str">
        <f>IF(ISBLANK(tbl_task9[[คะแนนเต็ม]:[คะแนนเต็ม]]),"",(tbl_task9[67]/tbl_task9[[คะแนนเต็ม]:[คะแนนเต็ม]])*tbl_task9[[%]:[%]])</f>
        <v/>
      </c>
      <c r="ID15" s="121" t="str">
        <f>IF(ISBLANK(tbl_task9[[คะแนนเต็ม]:[คะแนนเต็ม]]),"",(tbl_task9[68]/tbl_task9[[คะแนนเต็ม]:[คะแนนเต็ม]])*tbl_task9[[%]:[%]])</f>
        <v/>
      </c>
      <c r="IE15" s="121" t="str">
        <f>IF(ISBLANK(tbl_task9[[คะแนนเต็ม]:[คะแนนเต็ม]]),"",(tbl_task9[69]/tbl_task9[[คะแนนเต็ม]:[คะแนนเต็ม]])*tbl_task9[[%]:[%]])</f>
        <v/>
      </c>
      <c r="IF15" s="121" t="str">
        <f>IF(ISBLANK(tbl_task9[[คะแนนเต็ม]:[คะแนนเต็ม]]),"",(tbl_task9[70]/tbl_task9[[คะแนนเต็ม]:[คะแนนเต็ม]])*tbl_task9[[%]:[%]])</f>
        <v/>
      </c>
      <c r="IG15" s="121" t="str">
        <f>IF(ISBLANK(tbl_task9[[คะแนนเต็ม]:[คะแนนเต็ม]]),"",(tbl_task9[71]/tbl_task9[[คะแนนเต็ม]:[คะแนนเต็ม]])*tbl_task9[[%]:[%]])</f>
        <v/>
      </c>
      <c r="IH15" s="121" t="str">
        <f>IF(ISBLANK(tbl_task9[[คะแนนเต็ม]:[คะแนนเต็ม]]),"",(tbl_task9[72]/tbl_task9[[คะแนนเต็ม]:[คะแนนเต็ม]])*tbl_task9[[%]:[%]])</f>
        <v/>
      </c>
      <c r="II15" s="121" t="str">
        <f>IF(ISBLANK(tbl_task9[[คะแนนเต็ม]:[คะแนนเต็ม]]),"",(tbl_task9[73]/tbl_task9[[คะแนนเต็ม]:[คะแนนเต็ม]])*tbl_task9[[%]:[%]])</f>
        <v/>
      </c>
      <c r="IJ15" s="121" t="str">
        <f>IF(ISBLANK(tbl_task9[[คะแนนเต็ม]:[คะแนนเต็ม]]),"",(tbl_task9[74]/tbl_task9[[คะแนนเต็ม]:[คะแนนเต็ม]])*tbl_task9[[%]:[%]])</f>
        <v/>
      </c>
      <c r="IK15" s="121" t="str">
        <f>IF(ISBLANK(tbl_task9[[คะแนนเต็ม]:[คะแนนเต็ม]]),"",(tbl_task9[75]/tbl_task9[[คะแนนเต็ม]:[คะแนนเต็ม]])*tbl_task9[[%]:[%]])</f>
        <v/>
      </c>
      <c r="IL15" s="121" t="str">
        <f>IF(ISBLANK(tbl_task9[[คะแนนเต็ม]:[คะแนนเต็ม]]),"",(tbl_task9[76]/tbl_task9[[คะแนนเต็ม]:[คะแนนเต็ม]])*tbl_task9[[%]:[%]])</f>
        <v/>
      </c>
      <c r="IM15" s="121" t="str">
        <f>IF(ISBLANK(tbl_task9[[คะแนนเต็ม]:[คะแนนเต็ม]]),"",(tbl_task9[77]/tbl_task9[[คะแนนเต็ม]:[คะแนนเต็ม]])*tbl_task9[[%]:[%]])</f>
        <v/>
      </c>
      <c r="IN15" s="121" t="str">
        <f>IF(ISBLANK(tbl_task9[[คะแนนเต็ม]:[คะแนนเต็ม]]),"",(tbl_task9[78]/tbl_task9[[คะแนนเต็ม]:[คะแนนเต็ม]])*tbl_task9[[%]:[%]])</f>
        <v/>
      </c>
      <c r="IO15" s="121" t="str">
        <f>IF(ISBLANK(tbl_task9[[คะแนนเต็ม]:[คะแนนเต็ม]]),"",(tbl_task9[79]/tbl_task9[[คะแนนเต็ม]:[คะแนนเต็ม]])*tbl_task9[[%]:[%]])</f>
        <v/>
      </c>
      <c r="IP15" s="121" t="str">
        <f>IF(ISBLANK(tbl_task9[[คะแนนเต็ม]:[คะแนนเต็ม]]),"",(tbl_task9[80]/tbl_task9[[คะแนนเต็ม]:[คะแนนเต็ม]])*tbl_task9[[%]:[%]])</f>
        <v/>
      </c>
      <c r="IQ15" s="121" t="str">
        <f>IF(ISBLANK(tbl_task9[[คะแนนเต็ม]:[คะแนนเต็ม]]),"",(tbl_task9[81]/tbl_task9[[คะแนนเต็ม]:[คะแนนเต็ม]])*tbl_task9[[%]:[%]])</f>
        <v/>
      </c>
      <c r="IR15" s="121" t="str">
        <f>IF(ISBLANK(tbl_task9[[คะแนนเต็ม]:[คะแนนเต็ม]]),"",(tbl_task9[82]/tbl_task9[[คะแนนเต็ม]:[คะแนนเต็ม]])*tbl_task9[[%]:[%]])</f>
        <v/>
      </c>
      <c r="IS15" s="121" t="str">
        <f>IF(ISBLANK(tbl_task9[[คะแนนเต็ม]:[คะแนนเต็ม]]),"",(tbl_task9[83]/tbl_task9[[คะแนนเต็ม]:[คะแนนเต็ม]])*tbl_task9[[%]:[%]])</f>
        <v/>
      </c>
      <c r="IT15" s="121" t="str">
        <f>IF(ISBLANK(tbl_task9[[คะแนนเต็ม]:[คะแนนเต็ม]]),"",(tbl_task9[84]/tbl_task9[[คะแนนเต็ม]:[คะแนนเต็ม]])*tbl_task9[[%]:[%]])</f>
        <v/>
      </c>
      <c r="IU15" s="121" t="str">
        <f>IF(ISBLANK(tbl_task9[[คะแนนเต็ม]:[คะแนนเต็ม]]),"",(tbl_task9[85]/tbl_task9[[คะแนนเต็ม]:[คะแนนเต็ม]])*tbl_task9[[%]:[%]])</f>
        <v/>
      </c>
      <c r="IV15" s="121" t="str">
        <f>IF(ISBLANK(tbl_task9[[คะแนนเต็ม]:[คะแนนเต็ม]]),"",(tbl_task9[86]/tbl_task9[[คะแนนเต็ม]:[คะแนนเต็ม]])*tbl_task9[[%]:[%]])</f>
        <v/>
      </c>
      <c r="IW15" s="121" t="str">
        <f>IF(ISBLANK(tbl_task9[[คะแนนเต็ม]:[คะแนนเต็ม]]),"",(tbl_task9[87]/tbl_task9[[คะแนนเต็ม]:[คะแนนเต็ม]])*tbl_task9[[%]:[%]])</f>
        <v/>
      </c>
      <c r="IX15" s="121" t="str">
        <f>IF(ISBLANK(tbl_task9[[คะแนนเต็ม]:[คะแนนเต็ม]]),"",(tbl_task9[88]/tbl_task9[[คะแนนเต็ม]:[คะแนนเต็ม]])*tbl_task9[[%]:[%]])</f>
        <v/>
      </c>
      <c r="IY15" s="121" t="str">
        <f>IF(ISBLANK(tbl_task9[[คะแนนเต็ม]:[คะแนนเต็ม]]),"",(tbl_task9[89]/tbl_task9[[คะแนนเต็ม]:[คะแนนเต็ม]])*tbl_task9[[%]:[%]])</f>
        <v/>
      </c>
      <c r="IZ15" s="121" t="str">
        <f>IF(ISBLANK(tbl_task9[[คะแนนเต็ม]:[คะแนนเต็ม]]),"",(tbl_task9[90]/tbl_task9[[คะแนนเต็ม]:[คะแนนเต็ม]])*tbl_task9[[%]:[%]])</f>
        <v/>
      </c>
      <c r="JA15" s="121" t="str">
        <f>IF(ISBLANK(tbl_task9[[คะแนนเต็ม]:[คะแนนเต็ม]]),"",(tbl_task9[91]/tbl_task9[[คะแนนเต็ม]:[คะแนนเต็ม]])*tbl_task9[[%]:[%]])</f>
        <v/>
      </c>
      <c r="JB15" s="121" t="str">
        <f>IF(ISBLANK(tbl_task9[[คะแนนเต็ม]:[คะแนนเต็ม]]),"",(tbl_task9[92]/tbl_task9[[คะแนนเต็ม]:[คะแนนเต็ม]])*tbl_task9[[%]:[%]])</f>
        <v/>
      </c>
      <c r="JC15" s="121" t="str">
        <f>IF(ISBLANK(tbl_task9[[คะแนนเต็ม]:[คะแนนเต็ม]]),"",(tbl_task9[93]/tbl_task9[[คะแนนเต็ม]:[คะแนนเต็ม]])*tbl_task9[[%]:[%]])</f>
        <v/>
      </c>
      <c r="JD15" s="121" t="str">
        <f>IF(ISBLANK(tbl_task9[[คะแนนเต็ม]:[คะแนนเต็ม]]),"",(tbl_task9[94]/tbl_task9[[คะแนนเต็ม]:[คะแนนเต็ม]])*tbl_task9[[%]:[%]])</f>
        <v/>
      </c>
      <c r="JE15" s="121" t="str">
        <f>IF(ISBLANK(tbl_task9[[คะแนนเต็ม]:[คะแนนเต็ม]]),"",(tbl_task9[95]/tbl_task9[[คะแนนเต็ม]:[คะแนนเต็ม]])*tbl_task9[[%]:[%]])</f>
        <v/>
      </c>
      <c r="JF15" s="121" t="str">
        <f>IF(ISBLANK(tbl_task9[[คะแนนเต็ม]:[คะแนนเต็ม]]),"",(tbl_task9[96]/tbl_task9[[คะแนนเต็ม]:[คะแนนเต็ม]])*tbl_task9[[%]:[%]])</f>
        <v/>
      </c>
      <c r="JG15" s="121" t="str">
        <f>IF(ISBLANK(tbl_task9[[คะแนนเต็ม]:[คะแนนเต็ม]]),"",(tbl_task9[97]/tbl_task9[[คะแนนเต็ม]:[คะแนนเต็ม]])*tbl_task9[[%]:[%]])</f>
        <v/>
      </c>
      <c r="JH15" s="121" t="str">
        <f>IF(ISBLANK(tbl_task9[[คะแนนเต็ม]:[คะแนนเต็ม]]),"",(tbl_task9[98]/tbl_task9[[คะแนนเต็ม]:[คะแนนเต็ม]])*tbl_task9[[%]:[%]])</f>
        <v/>
      </c>
      <c r="JI15" s="121" t="str">
        <f>IF(ISBLANK(tbl_task9[[คะแนนเต็ม]:[คะแนนเต็ม]]),"",(tbl_task9[99]/tbl_task9[[คะแนนเต็ม]:[คะแนนเต็ม]])*tbl_task9[[%]:[%]])</f>
        <v/>
      </c>
      <c r="JJ15" s="121" t="str">
        <f>IF(ISBLANK(tbl_task9[[คะแนนเต็ม]:[คะแนนเต็ม]]),"",(tbl_task9[100]/tbl_task9[[คะแนนเต็ม]:[คะแนนเต็ม]])*tbl_task9[[%]:[%]])</f>
        <v/>
      </c>
      <c r="JK15" s="121" t="str">
        <f>IF(ISBLANK(tbl_task9[[คะแนนเต็ม]:[คะแนนเต็ม]]),"",(tbl_task9[101]/tbl_task9[[คะแนนเต็ม]:[คะแนนเต็ม]])*tbl_task9[[%]:[%]])</f>
        <v/>
      </c>
      <c r="JL15" s="121" t="str">
        <f>IF(ISBLANK(tbl_task9[[คะแนนเต็ม]:[คะแนนเต็ม]]),"",(tbl_task9[102]/tbl_task9[[คะแนนเต็ม]:[คะแนนเต็ม]])*tbl_task9[[%]:[%]])</f>
        <v/>
      </c>
      <c r="JM15" s="121" t="str">
        <f>IF(ISBLANK(tbl_task9[[คะแนนเต็ม]:[คะแนนเต็ม]]),"",(tbl_task9[103]/tbl_task9[[คะแนนเต็ม]:[คะแนนเต็ม]])*tbl_task9[[%]:[%]])</f>
        <v/>
      </c>
      <c r="JN15" s="121" t="str">
        <f>IF(ISBLANK(tbl_task9[[คะแนนเต็ม]:[คะแนนเต็ม]]),"",(tbl_task9[104]/tbl_task9[[คะแนนเต็ม]:[คะแนนเต็ม]])*tbl_task9[[%]:[%]])</f>
        <v/>
      </c>
      <c r="JO15" s="121" t="str">
        <f>IF(ISBLANK(tbl_task9[[คะแนนเต็ม]:[คะแนนเต็ม]]),"",(tbl_task9[105]/tbl_task9[[คะแนนเต็ม]:[คะแนนเต็ม]])*tbl_task9[[%]:[%]])</f>
        <v/>
      </c>
      <c r="JP15" s="121" t="str">
        <f>IF(ISBLANK(tbl_task9[[คะแนนเต็ม]:[คะแนนเต็ม]]),"",(tbl_task9[106]/tbl_task9[[คะแนนเต็ม]:[คะแนนเต็ม]])*tbl_task9[[%]:[%]])</f>
        <v/>
      </c>
      <c r="JQ15" s="121" t="str">
        <f>IF(ISBLANK(tbl_task9[[คะแนนเต็ม]:[คะแนนเต็ม]]),"",(tbl_task9[107]/tbl_task9[[คะแนนเต็ม]:[คะแนนเต็ม]])*tbl_task9[[%]:[%]])</f>
        <v/>
      </c>
      <c r="JR15" s="121" t="str">
        <f>IF(ISBLANK(tbl_task9[[คะแนนเต็ม]:[คะแนนเต็ม]]),"",(tbl_task9[108]/tbl_task9[[คะแนนเต็ม]:[คะแนนเต็ม]])*tbl_task9[[%]:[%]])</f>
        <v/>
      </c>
      <c r="JS15" s="121" t="str">
        <f>IF(ISBLANK(tbl_task9[[คะแนนเต็ม]:[คะแนนเต็ม]]),"",(tbl_task9[109]/tbl_task9[[คะแนนเต็ม]:[คะแนนเต็ม]])*tbl_task9[[%]:[%]])</f>
        <v/>
      </c>
      <c r="JT15" s="121" t="str">
        <f>IF(ISBLANK(tbl_task9[[คะแนนเต็ม]:[คะแนนเต็ม]]),"",(tbl_task9[110]/tbl_task9[[คะแนนเต็ม]:[คะแนนเต็ม]])*tbl_task9[[%]:[%]])</f>
        <v/>
      </c>
      <c r="JU15" s="121" t="str">
        <f>IF(ISBLANK(tbl_task9[[คะแนนเต็ม]:[คะแนนเต็ม]]),"",(tbl_task9[111]/tbl_task9[[คะแนนเต็ม]:[คะแนนเต็ม]])*tbl_task9[[%]:[%]])</f>
        <v/>
      </c>
      <c r="JV15" s="121" t="str">
        <f>IF(ISBLANK(tbl_task9[[คะแนนเต็ม]:[คะแนนเต็ม]]),"",(tbl_task9[112]/tbl_task9[[คะแนนเต็ม]:[คะแนนเต็ม]])*tbl_task9[[%]:[%]])</f>
        <v/>
      </c>
      <c r="JW15" s="121" t="str">
        <f>IF(ISBLANK(tbl_task9[[คะแนนเต็ม]:[คะแนนเต็ม]]),"",(tbl_task9[113]/tbl_task9[[คะแนนเต็ม]:[คะแนนเต็ม]])*tbl_task9[[%]:[%]])</f>
        <v/>
      </c>
      <c r="JX15" s="121" t="str">
        <f>IF(ISBLANK(tbl_task9[[คะแนนเต็ม]:[คะแนนเต็ม]]),"",(tbl_task9[114]/tbl_task9[[คะแนนเต็ม]:[คะแนนเต็ม]])*tbl_task9[[%]:[%]])</f>
        <v/>
      </c>
      <c r="JY15" s="121" t="str">
        <f>IF(ISBLANK(tbl_task9[[คะแนนเต็ม]:[คะแนนเต็ม]]),"",(tbl_task9[115]/tbl_task9[[คะแนนเต็ม]:[คะแนนเต็ม]])*tbl_task9[[%]:[%]])</f>
        <v/>
      </c>
      <c r="JZ15" s="121" t="str">
        <f>IF(ISBLANK(tbl_task9[[คะแนนเต็ม]:[คะแนนเต็ม]]),"",(tbl_task9[116]/tbl_task9[[คะแนนเต็ม]:[คะแนนเต็ม]])*tbl_task9[[%]:[%]])</f>
        <v/>
      </c>
      <c r="KA15" s="121" t="str">
        <f>IF(ISBLANK(tbl_task9[[คะแนนเต็ม]:[คะแนนเต็ม]]),"",(tbl_task9[117]/tbl_task9[[คะแนนเต็ม]:[คะแนนเต็ม]])*tbl_task9[[%]:[%]])</f>
        <v/>
      </c>
      <c r="KB15" s="121" t="str">
        <f>IF(ISBLANK(tbl_task9[[คะแนนเต็ม]:[คะแนนเต็ม]]),"",(tbl_task9[118]/tbl_task9[[คะแนนเต็ม]:[คะแนนเต็ม]])*tbl_task9[[%]:[%]])</f>
        <v/>
      </c>
      <c r="KC15" s="121" t="str">
        <f>IF(ISBLANK(tbl_task9[[คะแนนเต็ม]:[คะแนนเต็ม]]),"",(tbl_task9[119]/tbl_task9[[คะแนนเต็ม]:[คะแนนเต็ม]])*tbl_task9[[%]:[%]])</f>
        <v/>
      </c>
      <c r="KD15" s="121" t="str">
        <f>IF(ISBLANK(tbl_task9[[คะแนนเต็ม]:[คะแนนเต็ม]]),"",(tbl_task9[120]/tbl_task9[[คะแนนเต็ม]:[คะแนนเต็ม]])*tbl_task9[[%]:[%]])</f>
        <v/>
      </c>
      <c r="KE15" s="121" t="str">
        <f>IF(ISBLANK(tbl_task9[[คะแนนเต็ม]:[คะแนนเต็ม]]),"",(tbl_task9[121]/tbl_task9[[คะแนนเต็ม]:[คะแนนเต็ม]])*tbl_task9[[%]:[%]])</f>
        <v/>
      </c>
      <c r="KF15" s="121" t="str">
        <f>IF(ISBLANK(tbl_task9[[คะแนนเต็ม]:[คะแนนเต็ม]]),"",(tbl_task9[122]/tbl_task9[[คะแนนเต็ม]:[คะแนนเต็ม]])*tbl_task9[[%]:[%]])</f>
        <v/>
      </c>
      <c r="KG15" s="121" t="str">
        <f>IF(ISBLANK(tbl_task9[[คะแนนเต็ม]:[คะแนนเต็ม]]),"",(tbl_task9[123]/tbl_task9[[คะแนนเต็ม]:[คะแนนเต็ม]])*tbl_task9[[%]:[%]])</f>
        <v/>
      </c>
      <c r="KH15" s="121" t="str">
        <f>IF(ISBLANK(tbl_task9[[คะแนนเต็ม]:[คะแนนเต็ม]]),"",(tbl_task9[124]/tbl_task9[[คะแนนเต็ม]:[คะแนนเต็ม]])*tbl_task9[[%]:[%]])</f>
        <v/>
      </c>
      <c r="KI15" s="121" t="str">
        <f>IF(ISBLANK(tbl_task9[[คะแนนเต็ม]:[คะแนนเต็ม]]),"",(tbl_task9[125]/tbl_task9[[คะแนนเต็ม]:[คะแนนเต็ม]])*tbl_task9[[%]:[%]])</f>
        <v/>
      </c>
      <c r="KJ15" s="121" t="str">
        <f>IF(ISBLANK(tbl_task9[[คะแนนเต็ม]:[คะแนนเต็ม]]),"",(tbl_task9[126]/tbl_task9[[คะแนนเต็ม]:[คะแนนเต็ม]])*tbl_task9[[%]:[%]])</f>
        <v/>
      </c>
      <c r="KK15" s="121" t="str">
        <f>IF(ISBLANK(tbl_task9[[คะแนนเต็ม]:[คะแนนเต็ม]]),"",(tbl_task9[127]/tbl_task9[[คะแนนเต็ม]:[คะแนนเต็ม]])*tbl_task9[[%]:[%]])</f>
        <v/>
      </c>
      <c r="KL15" s="121" t="str">
        <f>IF(ISBLANK(tbl_task9[[คะแนนเต็ม]:[คะแนนเต็ม]]),"",(tbl_task9[128]/tbl_task9[[คะแนนเต็ม]:[คะแนนเต็ม]])*tbl_task9[[%]:[%]])</f>
        <v/>
      </c>
      <c r="KM15" s="121" t="str">
        <f>IF(ISBLANK(tbl_task9[[คะแนนเต็ม]:[คะแนนเต็ม]]),"",(tbl_task9[129]/tbl_task9[[คะแนนเต็ม]:[คะแนนเต็ม]])*tbl_task9[[%]:[%]])</f>
        <v/>
      </c>
      <c r="KN15" s="121" t="str">
        <f>IF(ISBLANK(tbl_task9[[คะแนนเต็ม]:[คะแนนเต็ม]]),"",(tbl_task9[130]/tbl_task9[[คะแนนเต็ม]:[คะแนนเต็ม]])*tbl_task9[[%]:[%]])</f>
        <v/>
      </c>
      <c r="KO15" s="121" t="str">
        <f>IF(ISBLANK(tbl_task9[[คะแนนเต็ม]:[คะแนนเต็ม]]),"",(tbl_task9[131]/tbl_task9[[คะแนนเต็ม]:[คะแนนเต็ม]])*tbl_task9[[%]:[%]])</f>
        <v/>
      </c>
      <c r="KP15" s="121" t="str">
        <f>IF(ISBLANK(tbl_task9[[คะแนนเต็ม]:[คะแนนเต็ม]]),"",(tbl_task9[132]/tbl_task9[[คะแนนเต็ม]:[คะแนนเต็ม]])*tbl_task9[[%]:[%]])</f>
        <v/>
      </c>
      <c r="KQ15" s="121" t="str">
        <f>IF(ISBLANK(tbl_task9[[คะแนนเต็ม]:[คะแนนเต็ม]]),"",(tbl_task9[133]/tbl_task9[[คะแนนเต็ม]:[คะแนนเต็ม]])*tbl_task9[[%]:[%]])</f>
        <v/>
      </c>
      <c r="KR15" s="121" t="str">
        <f>IF(ISBLANK(tbl_task9[[คะแนนเต็ม]:[คะแนนเต็ม]]),"",(tbl_task9[134]/tbl_task9[[คะแนนเต็ม]:[คะแนนเต็ม]])*tbl_task9[[%]:[%]])</f>
        <v/>
      </c>
      <c r="KS15" s="121" t="str">
        <f>IF(ISBLANK(tbl_task9[[คะแนนเต็ม]:[คะแนนเต็ม]]),"",(tbl_task9[135]/tbl_task9[[คะแนนเต็ม]:[คะแนนเต็ม]])*tbl_task9[[%]:[%]])</f>
        <v/>
      </c>
      <c r="KT15" s="121" t="str">
        <f>IF(ISBLANK(tbl_task9[[คะแนนเต็ม]:[คะแนนเต็ม]]),"",(tbl_task9[136]/tbl_task9[[คะแนนเต็ม]:[คะแนนเต็ม]])*tbl_task9[[%]:[%]])</f>
        <v/>
      </c>
      <c r="KU15" s="121" t="str">
        <f>IF(ISBLANK(tbl_task9[[คะแนนเต็ม]:[คะแนนเต็ม]]),"",(tbl_task9[137]/tbl_task9[[คะแนนเต็ม]:[คะแนนเต็ม]])*tbl_task9[[%]:[%]])</f>
        <v/>
      </c>
      <c r="KV15" s="121" t="str">
        <f>IF(ISBLANK(tbl_task9[[คะแนนเต็ม]:[คะแนนเต็ม]]),"",(tbl_task9[138]/tbl_task9[[คะแนนเต็ม]:[คะแนนเต็ม]])*tbl_task9[[%]:[%]])</f>
        <v/>
      </c>
      <c r="KW15" s="121" t="str">
        <f>IF(ISBLANK(tbl_task9[[คะแนนเต็ม]:[คะแนนเต็ม]]),"",(tbl_task9[139]/tbl_task9[[คะแนนเต็ม]:[คะแนนเต็ม]])*tbl_task9[[%]:[%]])</f>
        <v/>
      </c>
      <c r="KX15" s="121" t="str">
        <f>IF(ISBLANK(tbl_task9[[คะแนนเต็ม]:[คะแนนเต็ม]]),"",(tbl_task9[140]/tbl_task9[[คะแนนเต็ม]:[คะแนนเต็ม]])*tbl_task9[[%]:[%]])</f>
        <v/>
      </c>
      <c r="KY15" s="121" t="str">
        <f>IF(ISBLANK(tbl_task9[[คะแนนเต็ม]:[คะแนนเต็ม]]),"",(tbl_task9[141]/tbl_task9[[คะแนนเต็ม]:[คะแนนเต็ม]])*tbl_task9[[%]:[%]])</f>
        <v/>
      </c>
      <c r="KZ15" s="121" t="str">
        <f>IF(ISBLANK(tbl_task9[[คะแนนเต็ม]:[คะแนนเต็ม]]),"",(tbl_task9[142]/tbl_task9[[คะแนนเต็ม]:[คะแนนเต็ม]])*tbl_task9[[%]:[%]])</f>
        <v/>
      </c>
      <c r="LA15" s="121" t="str">
        <f>IF(ISBLANK(tbl_task9[[คะแนนเต็ม]:[คะแนนเต็ม]]),"",(tbl_task9[143]/tbl_task9[[คะแนนเต็ม]:[คะแนนเต็ม]])*tbl_task9[[%]:[%]])</f>
        <v/>
      </c>
      <c r="LB15" s="121" t="str">
        <f>IF(ISBLANK(tbl_task9[[คะแนนเต็ม]:[คะแนนเต็ม]]),"",(tbl_task9[144]/tbl_task9[[คะแนนเต็ม]:[คะแนนเต็ม]])*tbl_task9[[%]:[%]])</f>
        <v/>
      </c>
      <c r="LC15" s="121" t="str">
        <f>IF(ISBLANK(tbl_task9[[คะแนนเต็ม]:[คะแนนเต็ม]]),"",(tbl_task9[145]/tbl_task9[[คะแนนเต็ม]:[คะแนนเต็ม]])*tbl_task9[[%]:[%]])</f>
        <v/>
      </c>
      <c r="LD15" s="121" t="str">
        <f>IF(ISBLANK(tbl_task9[[คะแนนเต็ม]:[คะแนนเต็ม]]),"",(tbl_task9[146]/tbl_task9[[คะแนนเต็ม]:[คะแนนเต็ม]])*tbl_task9[[%]:[%]])</f>
        <v/>
      </c>
      <c r="LE15" s="121" t="str">
        <f>IF(ISBLANK(tbl_task9[[คะแนนเต็ม]:[คะแนนเต็ม]]),"",(tbl_task9[147]/tbl_task9[[คะแนนเต็ม]:[คะแนนเต็ม]])*tbl_task9[[%]:[%]])</f>
        <v/>
      </c>
      <c r="LF15" s="121" t="str">
        <f>IF(ISBLANK(tbl_task9[[คะแนนเต็ม]:[คะแนนเต็ม]]),"",(tbl_task9[148]/tbl_task9[[คะแนนเต็ม]:[คะแนนเต็ม]])*tbl_task9[[%]:[%]])</f>
        <v/>
      </c>
      <c r="LG15" s="121" t="str">
        <f>IF(ISBLANK(tbl_task9[[คะแนนเต็ม]:[คะแนนเต็ม]]),"",(tbl_task9[149]/tbl_task9[[คะแนนเต็ม]:[คะแนนเต็ม]])*tbl_task9[[%]:[%]])</f>
        <v/>
      </c>
      <c r="LH15" s="121" t="str">
        <f>IF(ISBLANK(tbl_task9[[คะแนนเต็ม]:[คะแนนเต็ม]]),"",(tbl_task9[150]/tbl_task9[[คะแนนเต็ม]:[คะแนนเต็ม]])*tbl_task9[[%]:[%]])</f>
        <v/>
      </c>
      <c r="LI15" s="121" t="str">
        <f>IF(ISBLANK(tbl_task9[[คะแนนเต็ม]:[คะแนนเต็ม]]),"",(tbl_task9[151]/tbl_task9[[คะแนนเต็ม]:[คะแนนเต็ม]])*tbl_task9[[%]:[%]])</f>
        <v/>
      </c>
      <c r="LJ15" s="121" t="str">
        <f>IF(ISBLANK(tbl_task9[[คะแนนเต็ม]:[คะแนนเต็ม]]),"",(tbl_task9[152]/tbl_task9[[คะแนนเต็ม]:[คะแนนเต็ม]])*tbl_task9[[%]:[%]])</f>
        <v/>
      </c>
      <c r="LK15" s="121" t="str">
        <f>IF(ISBLANK(tbl_task9[[คะแนนเต็ม]:[คะแนนเต็ม]]),"",(tbl_task9[153]/tbl_task9[[คะแนนเต็ม]:[คะแนนเต็ม]])*tbl_task9[[%]:[%]])</f>
        <v/>
      </c>
      <c r="LL15" s="121" t="str">
        <f>IF(ISBLANK(tbl_task9[[คะแนนเต็ม]:[คะแนนเต็ม]]),"",(tbl_task9[154]/tbl_task9[[คะแนนเต็ม]:[คะแนนเต็ม]])*tbl_task9[[%]:[%]])</f>
        <v/>
      </c>
      <c r="LM15" s="121" t="str">
        <f>IF(ISBLANK(tbl_task9[[คะแนนเต็ม]:[คะแนนเต็ม]]),"",(tbl_task9[155]/tbl_task9[[คะแนนเต็ม]:[คะแนนเต็ม]])*tbl_task9[[%]:[%]])</f>
        <v/>
      </c>
      <c r="LN15" s="121" t="str">
        <f>IF(ISBLANK(tbl_task9[[คะแนนเต็ม]:[คะแนนเต็ม]]),"",(tbl_task9[156]/tbl_task9[[คะแนนเต็ม]:[คะแนนเต็ม]])*tbl_task9[[%]:[%]])</f>
        <v/>
      </c>
      <c r="LO15" s="121" t="str">
        <f>IF(ISBLANK(tbl_task9[[คะแนนเต็ม]:[คะแนนเต็ม]]),"",(tbl_task9[157]/tbl_task9[[คะแนนเต็ม]:[คะแนนเต็ม]])*tbl_task9[[%]:[%]])</f>
        <v/>
      </c>
      <c r="LP15" s="121" t="str">
        <f>IF(ISBLANK(tbl_task9[[คะแนนเต็ม]:[คะแนนเต็ม]]),"",(tbl_task9[158]/tbl_task9[[คะแนนเต็ม]:[คะแนนเต็ม]])*tbl_task9[[%]:[%]])</f>
        <v/>
      </c>
      <c r="LQ15" s="121" t="str">
        <f>IF(ISBLANK(tbl_task9[[คะแนนเต็ม]:[คะแนนเต็ม]]),"",(tbl_task9[159]/tbl_task9[[คะแนนเต็ม]:[คะแนนเต็ม]])*tbl_task9[[%]:[%]])</f>
        <v/>
      </c>
      <c r="LR15" s="121" t="str">
        <f>IF(ISBLANK(tbl_task9[[คะแนนเต็ม]:[คะแนนเต็ม]]),"",(tbl_task9[160]/tbl_task9[[คะแนนเต็ม]:[คะแนนเต็ม]])*tbl_task9[[%]:[%]])</f>
        <v/>
      </c>
      <c r="LS15" s="121" t="str">
        <f>IF(ISBLANK(tbl_task9[[คะแนนเต็ม]:[คะแนนเต็ม]]),"",(tbl_task9[161]/tbl_task9[[คะแนนเต็ม]:[คะแนนเต็ม]])*tbl_task9[[%]:[%]])</f>
        <v/>
      </c>
      <c r="LT15" s="121" t="str">
        <f>IF(ISBLANK(tbl_task9[[คะแนนเต็ม]:[คะแนนเต็ม]]),"",(tbl_task9[162]/tbl_task9[[คะแนนเต็ม]:[คะแนนเต็ม]])*tbl_task9[[%]:[%]])</f>
        <v/>
      </c>
      <c r="LU15" s="121" t="str">
        <f>IF(ISBLANK(tbl_task9[[คะแนนเต็ม]:[คะแนนเต็ม]]),"",(tbl_task9[163]/tbl_task9[[คะแนนเต็ม]:[คะแนนเต็ม]])*tbl_task9[[%]:[%]])</f>
        <v/>
      </c>
      <c r="LV15" s="121" t="str">
        <f>IF(ISBLANK(tbl_task9[[คะแนนเต็ม]:[คะแนนเต็ม]]),"",(tbl_task9[164]/tbl_task9[[คะแนนเต็ม]:[คะแนนเต็ม]])*tbl_task9[[%]:[%]])</f>
        <v/>
      </c>
      <c r="LW15" s="121" t="str">
        <f>IF(ISBLANK(tbl_task9[[คะแนนเต็ม]:[คะแนนเต็ม]]),"",(tbl_task9[165]/tbl_task9[[คะแนนเต็ม]:[คะแนนเต็ม]])*tbl_task9[[%]:[%]])</f>
        <v/>
      </c>
    </row>
    <row r="16" spans="1:335" ht="24" customHeight="1" x14ac:dyDescent="0.25">
      <c r="A16" s="24">
        <v>13</v>
      </c>
      <c r="B16" s="20"/>
      <c r="C16" s="5" t="str">
        <f>IF(ISBLANK(B16),"",VLOOKUP(B16,tbl_PLOs[],2,0))</f>
        <v/>
      </c>
      <c r="D16" s="102"/>
      <c r="E16" s="106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121" t="str">
        <f>IF(ISBLANK(tbl_task9[[คะแนนเต็ม]:[คะแนนเต็ม]]),"",(tbl_task9[1]/tbl_task9[[คะแนนเต็ม]:[คะแนนเต็ม]])*tbl_task9[[%]:[%]])</f>
        <v/>
      </c>
      <c r="FP16" s="121" t="str">
        <f>IF(ISBLANK(tbl_task9[[คะแนนเต็ม]:[คะแนนเต็ม]]),"",(tbl_task9[2]/tbl_task9[[คะแนนเต็ม]:[คะแนนเต็ม]])*tbl_task9[[%]:[%]])</f>
        <v/>
      </c>
      <c r="FQ16" s="121" t="str">
        <f>IF(ISBLANK(tbl_task9[[คะแนนเต็ม]:[คะแนนเต็ม]]),"",(tbl_task9[3]/tbl_task9[[คะแนนเต็ม]:[คะแนนเต็ม]])*tbl_task9[[%]:[%]])</f>
        <v/>
      </c>
      <c r="FR16" s="121" t="str">
        <f>IF(ISBLANK(tbl_task9[[คะแนนเต็ม]:[คะแนนเต็ม]]),"",(tbl_task9[4]/tbl_task9[[คะแนนเต็ม]:[คะแนนเต็ม]])*tbl_task9[[%]:[%]])</f>
        <v/>
      </c>
      <c r="FS16" s="121" t="str">
        <f>IF(ISBLANK(tbl_task9[[คะแนนเต็ม]:[คะแนนเต็ม]]),"",(tbl_task9[5]/tbl_task9[[คะแนนเต็ม]:[คะแนนเต็ม]])*tbl_task9[[%]:[%]])</f>
        <v/>
      </c>
      <c r="FT16" s="121" t="str">
        <f>IF(ISBLANK(tbl_task9[[คะแนนเต็ม]:[คะแนนเต็ม]]),"",(tbl_task9[6]/tbl_task9[[คะแนนเต็ม]:[คะแนนเต็ม]])*tbl_task9[[%]:[%]])</f>
        <v/>
      </c>
      <c r="FU16" s="121" t="str">
        <f>IF(ISBLANK(tbl_task9[[คะแนนเต็ม]:[คะแนนเต็ม]]),"",(tbl_task9[7]/tbl_task9[[คะแนนเต็ม]:[คะแนนเต็ม]])*tbl_task9[[%]:[%]])</f>
        <v/>
      </c>
      <c r="FV16" s="121" t="str">
        <f>IF(ISBLANK(tbl_task9[[คะแนนเต็ม]:[คะแนนเต็ม]]),"",(tbl_task9[8]/tbl_task9[[คะแนนเต็ม]:[คะแนนเต็ม]])*tbl_task9[[%]:[%]])</f>
        <v/>
      </c>
      <c r="FW16" s="121" t="str">
        <f>IF(ISBLANK(tbl_task9[[คะแนนเต็ม]:[คะแนนเต็ม]]),"",(tbl_task9[9]/tbl_task9[[คะแนนเต็ม]:[คะแนนเต็ม]])*tbl_task9[[%]:[%]])</f>
        <v/>
      </c>
      <c r="FX16" s="121" t="str">
        <f>IF(ISBLANK(tbl_task9[[คะแนนเต็ม]:[คะแนนเต็ม]]),"",(tbl_task9[10]/tbl_task9[[คะแนนเต็ม]:[คะแนนเต็ม]])*tbl_task9[[%]:[%]])</f>
        <v/>
      </c>
      <c r="FY16" s="121" t="str">
        <f>IF(ISBLANK(tbl_task9[[คะแนนเต็ม]:[คะแนนเต็ม]]),"",(tbl_task9[11]/tbl_task9[[คะแนนเต็ม]:[คะแนนเต็ม]])*tbl_task9[[%]:[%]])</f>
        <v/>
      </c>
      <c r="FZ16" s="121" t="str">
        <f>IF(ISBLANK(tbl_task9[[คะแนนเต็ม]:[คะแนนเต็ม]]),"",(tbl_task9[12]/tbl_task9[[คะแนนเต็ม]:[คะแนนเต็ม]])*tbl_task9[[%]:[%]])</f>
        <v/>
      </c>
      <c r="GA16" s="121" t="str">
        <f>IF(ISBLANK(tbl_task9[[คะแนนเต็ม]:[คะแนนเต็ม]]),"",(tbl_task9[13]/tbl_task9[[คะแนนเต็ม]:[คะแนนเต็ม]])*tbl_task9[[%]:[%]])</f>
        <v/>
      </c>
      <c r="GB16" s="121" t="str">
        <f>IF(ISBLANK(tbl_task9[[คะแนนเต็ม]:[คะแนนเต็ม]]),"",(tbl_task9[14]/tbl_task9[[คะแนนเต็ม]:[คะแนนเต็ม]])*tbl_task9[[%]:[%]])</f>
        <v/>
      </c>
      <c r="GC16" s="121" t="str">
        <f>IF(ISBLANK(tbl_task9[[คะแนนเต็ม]:[คะแนนเต็ม]]),"",(tbl_task9[15]/tbl_task9[[คะแนนเต็ม]:[คะแนนเต็ม]])*tbl_task9[[%]:[%]])</f>
        <v/>
      </c>
      <c r="GD16" s="121" t="str">
        <f>IF(ISBLANK(tbl_task9[[คะแนนเต็ม]:[คะแนนเต็ม]]),"",(tbl_task9[16]/tbl_task9[[คะแนนเต็ม]:[คะแนนเต็ม]])*tbl_task9[[%]:[%]])</f>
        <v/>
      </c>
      <c r="GE16" s="121" t="str">
        <f>IF(ISBLANK(tbl_task9[[คะแนนเต็ม]:[คะแนนเต็ม]]),"",(tbl_task9[17]/tbl_task9[[คะแนนเต็ม]:[คะแนนเต็ม]])*tbl_task9[[%]:[%]])</f>
        <v/>
      </c>
      <c r="GF16" s="121" t="str">
        <f>IF(ISBLANK(tbl_task9[[คะแนนเต็ม]:[คะแนนเต็ม]]),"",(tbl_task9[18]/tbl_task9[[คะแนนเต็ม]:[คะแนนเต็ม]])*tbl_task9[[%]:[%]])</f>
        <v/>
      </c>
      <c r="GG16" s="121" t="str">
        <f>IF(ISBLANK(tbl_task9[[คะแนนเต็ม]:[คะแนนเต็ม]]),"",(tbl_task9[19]/tbl_task9[[คะแนนเต็ม]:[คะแนนเต็ม]])*tbl_task9[[%]:[%]])</f>
        <v/>
      </c>
      <c r="GH16" s="121" t="str">
        <f>IF(ISBLANK(tbl_task9[[คะแนนเต็ม]:[คะแนนเต็ม]]),"",(tbl_task9[20]/tbl_task9[[คะแนนเต็ม]:[คะแนนเต็ม]])*tbl_task9[[%]:[%]])</f>
        <v/>
      </c>
      <c r="GI16" s="121" t="str">
        <f>IF(ISBLANK(tbl_task9[[คะแนนเต็ม]:[คะแนนเต็ม]]),"",(tbl_task9[21]/tbl_task9[[คะแนนเต็ม]:[คะแนนเต็ม]])*tbl_task9[[%]:[%]])</f>
        <v/>
      </c>
      <c r="GJ16" s="121" t="str">
        <f>IF(ISBLANK(tbl_task9[[คะแนนเต็ม]:[คะแนนเต็ม]]),"",(tbl_task9[22]/tbl_task9[[คะแนนเต็ม]:[คะแนนเต็ม]])*tbl_task9[[%]:[%]])</f>
        <v/>
      </c>
      <c r="GK16" s="121" t="str">
        <f>IF(ISBLANK(tbl_task9[[คะแนนเต็ม]:[คะแนนเต็ม]]),"",(tbl_task9[23]/tbl_task9[[คะแนนเต็ม]:[คะแนนเต็ม]])*tbl_task9[[%]:[%]])</f>
        <v/>
      </c>
      <c r="GL16" s="121" t="str">
        <f>IF(ISBLANK(tbl_task9[[คะแนนเต็ม]:[คะแนนเต็ม]]),"",(tbl_task9[24]/tbl_task9[[คะแนนเต็ม]:[คะแนนเต็ม]])*tbl_task9[[%]:[%]])</f>
        <v/>
      </c>
      <c r="GM16" s="121" t="str">
        <f>IF(ISBLANK(tbl_task9[[คะแนนเต็ม]:[คะแนนเต็ม]]),"",(tbl_task9[25]/tbl_task9[[คะแนนเต็ม]:[คะแนนเต็ม]])*tbl_task9[[%]:[%]])</f>
        <v/>
      </c>
      <c r="GN16" s="121" t="str">
        <f>IF(ISBLANK(tbl_task9[[คะแนนเต็ม]:[คะแนนเต็ม]]),"",(tbl_task9[26]/tbl_task9[[คะแนนเต็ม]:[คะแนนเต็ม]])*tbl_task9[[%]:[%]])</f>
        <v/>
      </c>
      <c r="GO16" s="121" t="str">
        <f>IF(ISBLANK(tbl_task9[[คะแนนเต็ม]:[คะแนนเต็ม]]),"",(tbl_task9[27]/tbl_task9[[คะแนนเต็ม]:[คะแนนเต็ม]])*tbl_task9[[%]:[%]])</f>
        <v/>
      </c>
      <c r="GP16" s="121" t="str">
        <f>IF(ISBLANK(tbl_task9[[คะแนนเต็ม]:[คะแนนเต็ม]]),"",(tbl_task9[28]/tbl_task9[[คะแนนเต็ม]:[คะแนนเต็ม]])*tbl_task9[[%]:[%]])</f>
        <v/>
      </c>
      <c r="GQ16" s="121" t="str">
        <f>IF(ISBLANK(tbl_task9[[คะแนนเต็ม]:[คะแนนเต็ม]]),"",(tbl_task9[29]/tbl_task9[[คะแนนเต็ม]:[คะแนนเต็ม]])*tbl_task9[[%]:[%]])</f>
        <v/>
      </c>
      <c r="GR16" s="121" t="str">
        <f>IF(ISBLANK(tbl_task9[[คะแนนเต็ม]:[คะแนนเต็ม]]),"",(tbl_task9[30]/tbl_task9[[คะแนนเต็ม]:[คะแนนเต็ม]])*tbl_task9[[%]:[%]])</f>
        <v/>
      </c>
      <c r="GS16" s="121" t="str">
        <f>IF(ISBLANK(tbl_task9[[คะแนนเต็ม]:[คะแนนเต็ม]]),"",(tbl_task9[31]/tbl_task9[[คะแนนเต็ม]:[คะแนนเต็ม]])*tbl_task9[[%]:[%]])</f>
        <v/>
      </c>
      <c r="GT16" s="121" t="str">
        <f>IF(ISBLANK(tbl_task9[[คะแนนเต็ม]:[คะแนนเต็ม]]),"",(tbl_task9[32]/tbl_task9[[คะแนนเต็ม]:[คะแนนเต็ม]])*tbl_task9[[%]:[%]])</f>
        <v/>
      </c>
      <c r="GU16" s="121" t="str">
        <f>IF(ISBLANK(tbl_task9[[คะแนนเต็ม]:[คะแนนเต็ม]]),"",(tbl_task9[33]/tbl_task9[[คะแนนเต็ม]:[คะแนนเต็ม]])*tbl_task9[[%]:[%]])</f>
        <v/>
      </c>
      <c r="GV16" s="121" t="str">
        <f>IF(ISBLANK(tbl_task9[[คะแนนเต็ม]:[คะแนนเต็ม]]),"",(tbl_task9[34]/tbl_task9[[คะแนนเต็ม]:[คะแนนเต็ม]])*tbl_task9[[%]:[%]])</f>
        <v/>
      </c>
      <c r="GW16" s="121" t="str">
        <f>IF(ISBLANK(tbl_task9[[คะแนนเต็ม]:[คะแนนเต็ม]]),"",(tbl_task9[35]/tbl_task9[[คะแนนเต็ม]:[คะแนนเต็ม]])*tbl_task9[[%]:[%]])</f>
        <v/>
      </c>
      <c r="GX16" s="121" t="str">
        <f>IF(ISBLANK(tbl_task9[[คะแนนเต็ม]:[คะแนนเต็ม]]),"",(tbl_task9[36]/tbl_task9[[คะแนนเต็ม]:[คะแนนเต็ม]])*tbl_task9[[%]:[%]])</f>
        <v/>
      </c>
      <c r="GY16" s="121" t="str">
        <f>IF(ISBLANK(tbl_task9[[คะแนนเต็ม]:[คะแนนเต็ม]]),"",(tbl_task9[37]/tbl_task9[[คะแนนเต็ม]:[คะแนนเต็ม]])*tbl_task9[[%]:[%]])</f>
        <v/>
      </c>
      <c r="GZ16" s="121" t="str">
        <f>IF(ISBLANK(tbl_task9[[คะแนนเต็ม]:[คะแนนเต็ม]]),"",(tbl_task9[38]/tbl_task9[[คะแนนเต็ม]:[คะแนนเต็ม]])*tbl_task9[[%]:[%]])</f>
        <v/>
      </c>
      <c r="HA16" s="121" t="str">
        <f>IF(ISBLANK(tbl_task9[[คะแนนเต็ม]:[คะแนนเต็ม]]),"",(tbl_task9[39]/tbl_task9[[คะแนนเต็ม]:[คะแนนเต็ม]])*tbl_task9[[%]:[%]])</f>
        <v/>
      </c>
      <c r="HB16" s="121" t="str">
        <f>IF(ISBLANK(tbl_task9[[คะแนนเต็ม]:[คะแนนเต็ม]]),"",(tbl_task9[40]/tbl_task9[[คะแนนเต็ม]:[คะแนนเต็ม]])*tbl_task9[[%]:[%]])</f>
        <v/>
      </c>
      <c r="HC16" s="121" t="str">
        <f>IF(ISBLANK(tbl_task9[[คะแนนเต็ม]:[คะแนนเต็ม]]),"",(tbl_task9[41]/tbl_task9[[คะแนนเต็ม]:[คะแนนเต็ม]])*tbl_task9[[%]:[%]])</f>
        <v/>
      </c>
      <c r="HD16" s="121" t="str">
        <f>IF(ISBLANK(tbl_task9[[คะแนนเต็ม]:[คะแนนเต็ม]]),"",(tbl_task9[42]/tbl_task9[[คะแนนเต็ม]:[คะแนนเต็ม]])*tbl_task9[[%]:[%]])</f>
        <v/>
      </c>
      <c r="HE16" s="121" t="str">
        <f>IF(ISBLANK(tbl_task9[[คะแนนเต็ม]:[คะแนนเต็ม]]),"",(tbl_task9[43]/tbl_task9[[คะแนนเต็ม]:[คะแนนเต็ม]])*tbl_task9[[%]:[%]])</f>
        <v/>
      </c>
      <c r="HF16" s="121" t="str">
        <f>IF(ISBLANK(tbl_task9[[คะแนนเต็ม]:[คะแนนเต็ม]]),"",(tbl_task9[44]/tbl_task9[[คะแนนเต็ม]:[คะแนนเต็ม]])*tbl_task9[[%]:[%]])</f>
        <v/>
      </c>
      <c r="HG16" s="121" t="str">
        <f>IF(ISBLANK(tbl_task9[[คะแนนเต็ม]:[คะแนนเต็ม]]),"",(tbl_task9[45]/tbl_task9[[คะแนนเต็ม]:[คะแนนเต็ม]])*tbl_task9[[%]:[%]])</f>
        <v/>
      </c>
      <c r="HH16" s="121" t="str">
        <f>IF(ISBLANK(tbl_task9[[คะแนนเต็ม]:[คะแนนเต็ม]]),"",(tbl_task9[46]/tbl_task9[[คะแนนเต็ม]:[คะแนนเต็ม]])*tbl_task9[[%]:[%]])</f>
        <v/>
      </c>
      <c r="HI16" s="121" t="str">
        <f>IF(ISBLANK(tbl_task9[[คะแนนเต็ม]:[คะแนนเต็ม]]),"",(tbl_task9[47]/tbl_task9[[คะแนนเต็ม]:[คะแนนเต็ม]])*tbl_task9[[%]:[%]])</f>
        <v/>
      </c>
      <c r="HJ16" s="121" t="str">
        <f>IF(ISBLANK(tbl_task9[[คะแนนเต็ม]:[คะแนนเต็ม]]),"",(tbl_task9[48]/tbl_task9[[คะแนนเต็ม]:[คะแนนเต็ม]])*tbl_task9[[%]:[%]])</f>
        <v/>
      </c>
      <c r="HK16" s="121" t="str">
        <f>IF(ISBLANK(tbl_task9[[คะแนนเต็ม]:[คะแนนเต็ม]]),"",(tbl_task9[49]/tbl_task9[[คะแนนเต็ม]:[คะแนนเต็ม]])*tbl_task9[[%]:[%]])</f>
        <v/>
      </c>
      <c r="HL16" s="121" t="str">
        <f>IF(ISBLANK(tbl_task9[[คะแนนเต็ม]:[คะแนนเต็ม]]),"",(tbl_task9[50]/tbl_task9[[คะแนนเต็ม]:[คะแนนเต็ม]])*tbl_task9[[%]:[%]])</f>
        <v/>
      </c>
      <c r="HM16" s="121" t="str">
        <f>IF(ISBLANK(tbl_task9[[คะแนนเต็ม]:[คะแนนเต็ม]]),"",(tbl_task9[51]/tbl_task9[[คะแนนเต็ม]:[คะแนนเต็ม]])*tbl_task9[[%]:[%]])</f>
        <v/>
      </c>
      <c r="HN16" s="121" t="str">
        <f>IF(ISBLANK(tbl_task9[[คะแนนเต็ม]:[คะแนนเต็ม]]),"",(tbl_task9[52]/tbl_task9[[คะแนนเต็ม]:[คะแนนเต็ม]])*tbl_task9[[%]:[%]])</f>
        <v/>
      </c>
      <c r="HO16" s="121" t="str">
        <f>IF(ISBLANK(tbl_task9[[คะแนนเต็ม]:[คะแนนเต็ม]]),"",(tbl_task9[53]/tbl_task9[[คะแนนเต็ม]:[คะแนนเต็ม]])*tbl_task9[[%]:[%]])</f>
        <v/>
      </c>
      <c r="HP16" s="121" t="str">
        <f>IF(ISBLANK(tbl_task9[[คะแนนเต็ม]:[คะแนนเต็ม]]),"",(tbl_task9[54]/tbl_task9[[คะแนนเต็ม]:[คะแนนเต็ม]])*tbl_task9[[%]:[%]])</f>
        <v/>
      </c>
      <c r="HQ16" s="121" t="str">
        <f>IF(ISBLANK(tbl_task9[[คะแนนเต็ม]:[คะแนนเต็ม]]),"",(tbl_task9[55]/tbl_task9[[คะแนนเต็ม]:[คะแนนเต็ม]])*tbl_task9[[%]:[%]])</f>
        <v/>
      </c>
      <c r="HR16" s="121" t="str">
        <f>IF(ISBLANK(tbl_task9[[คะแนนเต็ม]:[คะแนนเต็ม]]),"",(tbl_task9[56]/tbl_task9[[คะแนนเต็ม]:[คะแนนเต็ม]])*tbl_task9[[%]:[%]])</f>
        <v/>
      </c>
      <c r="HS16" s="121" t="str">
        <f>IF(ISBLANK(tbl_task9[[คะแนนเต็ม]:[คะแนนเต็ม]]),"",(tbl_task9[57]/tbl_task9[[คะแนนเต็ม]:[คะแนนเต็ม]])*tbl_task9[[%]:[%]])</f>
        <v/>
      </c>
      <c r="HT16" s="121" t="str">
        <f>IF(ISBLANK(tbl_task9[[คะแนนเต็ม]:[คะแนนเต็ม]]),"",(tbl_task9[58]/tbl_task9[[คะแนนเต็ม]:[คะแนนเต็ม]])*tbl_task9[[%]:[%]])</f>
        <v/>
      </c>
      <c r="HU16" s="121" t="str">
        <f>IF(ISBLANK(tbl_task9[[คะแนนเต็ม]:[คะแนนเต็ม]]),"",(tbl_task9[59]/tbl_task9[[คะแนนเต็ม]:[คะแนนเต็ม]])*tbl_task9[[%]:[%]])</f>
        <v/>
      </c>
      <c r="HV16" s="121" t="str">
        <f>IF(ISBLANK(tbl_task9[[คะแนนเต็ม]:[คะแนนเต็ม]]),"",(tbl_task9[60]/tbl_task9[[คะแนนเต็ม]:[คะแนนเต็ม]])*tbl_task9[[%]:[%]])</f>
        <v/>
      </c>
      <c r="HW16" s="121" t="str">
        <f>IF(ISBLANK(tbl_task9[[คะแนนเต็ม]:[คะแนนเต็ม]]),"",(tbl_task9[61]/tbl_task9[[คะแนนเต็ม]:[คะแนนเต็ม]])*tbl_task9[[%]:[%]])</f>
        <v/>
      </c>
      <c r="HX16" s="121" t="str">
        <f>IF(ISBLANK(tbl_task9[[คะแนนเต็ม]:[คะแนนเต็ม]]),"",(tbl_task9[62]/tbl_task9[[คะแนนเต็ม]:[คะแนนเต็ม]])*tbl_task9[[%]:[%]])</f>
        <v/>
      </c>
      <c r="HY16" s="121" t="str">
        <f>IF(ISBLANK(tbl_task9[[คะแนนเต็ม]:[คะแนนเต็ม]]),"",(tbl_task9[63]/tbl_task9[[คะแนนเต็ม]:[คะแนนเต็ม]])*tbl_task9[[%]:[%]])</f>
        <v/>
      </c>
      <c r="HZ16" s="121" t="str">
        <f>IF(ISBLANK(tbl_task9[[คะแนนเต็ม]:[คะแนนเต็ม]]),"",(tbl_task9[64]/tbl_task9[[คะแนนเต็ม]:[คะแนนเต็ม]])*tbl_task9[[%]:[%]])</f>
        <v/>
      </c>
      <c r="IA16" s="121" t="str">
        <f>IF(ISBLANK(tbl_task9[[คะแนนเต็ม]:[คะแนนเต็ม]]),"",(tbl_task9[65]/tbl_task9[[คะแนนเต็ม]:[คะแนนเต็ม]])*tbl_task9[[%]:[%]])</f>
        <v/>
      </c>
      <c r="IB16" s="121" t="str">
        <f>IF(ISBLANK(tbl_task9[[คะแนนเต็ม]:[คะแนนเต็ม]]),"",(tbl_task9[66]/tbl_task9[[คะแนนเต็ม]:[คะแนนเต็ม]])*tbl_task9[[%]:[%]])</f>
        <v/>
      </c>
      <c r="IC16" s="121" t="str">
        <f>IF(ISBLANK(tbl_task9[[คะแนนเต็ม]:[คะแนนเต็ม]]),"",(tbl_task9[67]/tbl_task9[[คะแนนเต็ม]:[คะแนนเต็ม]])*tbl_task9[[%]:[%]])</f>
        <v/>
      </c>
      <c r="ID16" s="121" t="str">
        <f>IF(ISBLANK(tbl_task9[[คะแนนเต็ม]:[คะแนนเต็ม]]),"",(tbl_task9[68]/tbl_task9[[คะแนนเต็ม]:[คะแนนเต็ม]])*tbl_task9[[%]:[%]])</f>
        <v/>
      </c>
      <c r="IE16" s="121" t="str">
        <f>IF(ISBLANK(tbl_task9[[คะแนนเต็ม]:[คะแนนเต็ม]]),"",(tbl_task9[69]/tbl_task9[[คะแนนเต็ม]:[คะแนนเต็ม]])*tbl_task9[[%]:[%]])</f>
        <v/>
      </c>
      <c r="IF16" s="121" t="str">
        <f>IF(ISBLANK(tbl_task9[[คะแนนเต็ม]:[คะแนนเต็ม]]),"",(tbl_task9[70]/tbl_task9[[คะแนนเต็ม]:[คะแนนเต็ม]])*tbl_task9[[%]:[%]])</f>
        <v/>
      </c>
      <c r="IG16" s="121" t="str">
        <f>IF(ISBLANK(tbl_task9[[คะแนนเต็ม]:[คะแนนเต็ม]]),"",(tbl_task9[71]/tbl_task9[[คะแนนเต็ม]:[คะแนนเต็ม]])*tbl_task9[[%]:[%]])</f>
        <v/>
      </c>
      <c r="IH16" s="121" t="str">
        <f>IF(ISBLANK(tbl_task9[[คะแนนเต็ม]:[คะแนนเต็ม]]),"",(tbl_task9[72]/tbl_task9[[คะแนนเต็ม]:[คะแนนเต็ม]])*tbl_task9[[%]:[%]])</f>
        <v/>
      </c>
      <c r="II16" s="121" t="str">
        <f>IF(ISBLANK(tbl_task9[[คะแนนเต็ม]:[คะแนนเต็ม]]),"",(tbl_task9[73]/tbl_task9[[คะแนนเต็ม]:[คะแนนเต็ม]])*tbl_task9[[%]:[%]])</f>
        <v/>
      </c>
      <c r="IJ16" s="121" t="str">
        <f>IF(ISBLANK(tbl_task9[[คะแนนเต็ม]:[คะแนนเต็ม]]),"",(tbl_task9[74]/tbl_task9[[คะแนนเต็ม]:[คะแนนเต็ม]])*tbl_task9[[%]:[%]])</f>
        <v/>
      </c>
      <c r="IK16" s="121" t="str">
        <f>IF(ISBLANK(tbl_task9[[คะแนนเต็ม]:[คะแนนเต็ม]]),"",(tbl_task9[75]/tbl_task9[[คะแนนเต็ม]:[คะแนนเต็ม]])*tbl_task9[[%]:[%]])</f>
        <v/>
      </c>
      <c r="IL16" s="121" t="str">
        <f>IF(ISBLANK(tbl_task9[[คะแนนเต็ม]:[คะแนนเต็ม]]),"",(tbl_task9[76]/tbl_task9[[คะแนนเต็ม]:[คะแนนเต็ม]])*tbl_task9[[%]:[%]])</f>
        <v/>
      </c>
      <c r="IM16" s="121" t="str">
        <f>IF(ISBLANK(tbl_task9[[คะแนนเต็ม]:[คะแนนเต็ม]]),"",(tbl_task9[77]/tbl_task9[[คะแนนเต็ม]:[คะแนนเต็ม]])*tbl_task9[[%]:[%]])</f>
        <v/>
      </c>
      <c r="IN16" s="121" t="str">
        <f>IF(ISBLANK(tbl_task9[[คะแนนเต็ม]:[คะแนนเต็ม]]),"",(tbl_task9[78]/tbl_task9[[คะแนนเต็ม]:[คะแนนเต็ม]])*tbl_task9[[%]:[%]])</f>
        <v/>
      </c>
      <c r="IO16" s="121" t="str">
        <f>IF(ISBLANK(tbl_task9[[คะแนนเต็ม]:[คะแนนเต็ม]]),"",(tbl_task9[79]/tbl_task9[[คะแนนเต็ม]:[คะแนนเต็ม]])*tbl_task9[[%]:[%]])</f>
        <v/>
      </c>
      <c r="IP16" s="121" t="str">
        <f>IF(ISBLANK(tbl_task9[[คะแนนเต็ม]:[คะแนนเต็ม]]),"",(tbl_task9[80]/tbl_task9[[คะแนนเต็ม]:[คะแนนเต็ม]])*tbl_task9[[%]:[%]])</f>
        <v/>
      </c>
      <c r="IQ16" s="121" t="str">
        <f>IF(ISBLANK(tbl_task9[[คะแนนเต็ม]:[คะแนนเต็ม]]),"",(tbl_task9[81]/tbl_task9[[คะแนนเต็ม]:[คะแนนเต็ม]])*tbl_task9[[%]:[%]])</f>
        <v/>
      </c>
      <c r="IR16" s="121" t="str">
        <f>IF(ISBLANK(tbl_task9[[คะแนนเต็ม]:[คะแนนเต็ม]]),"",(tbl_task9[82]/tbl_task9[[คะแนนเต็ม]:[คะแนนเต็ม]])*tbl_task9[[%]:[%]])</f>
        <v/>
      </c>
      <c r="IS16" s="121" t="str">
        <f>IF(ISBLANK(tbl_task9[[คะแนนเต็ม]:[คะแนนเต็ม]]),"",(tbl_task9[83]/tbl_task9[[คะแนนเต็ม]:[คะแนนเต็ม]])*tbl_task9[[%]:[%]])</f>
        <v/>
      </c>
      <c r="IT16" s="121" t="str">
        <f>IF(ISBLANK(tbl_task9[[คะแนนเต็ม]:[คะแนนเต็ม]]),"",(tbl_task9[84]/tbl_task9[[คะแนนเต็ม]:[คะแนนเต็ม]])*tbl_task9[[%]:[%]])</f>
        <v/>
      </c>
      <c r="IU16" s="121" t="str">
        <f>IF(ISBLANK(tbl_task9[[คะแนนเต็ม]:[คะแนนเต็ม]]),"",(tbl_task9[85]/tbl_task9[[คะแนนเต็ม]:[คะแนนเต็ม]])*tbl_task9[[%]:[%]])</f>
        <v/>
      </c>
      <c r="IV16" s="121" t="str">
        <f>IF(ISBLANK(tbl_task9[[คะแนนเต็ม]:[คะแนนเต็ม]]),"",(tbl_task9[86]/tbl_task9[[คะแนนเต็ม]:[คะแนนเต็ม]])*tbl_task9[[%]:[%]])</f>
        <v/>
      </c>
      <c r="IW16" s="121" t="str">
        <f>IF(ISBLANK(tbl_task9[[คะแนนเต็ม]:[คะแนนเต็ม]]),"",(tbl_task9[87]/tbl_task9[[คะแนนเต็ม]:[คะแนนเต็ม]])*tbl_task9[[%]:[%]])</f>
        <v/>
      </c>
      <c r="IX16" s="121" t="str">
        <f>IF(ISBLANK(tbl_task9[[คะแนนเต็ม]:[คะแนนเต็ม]]),"",(tbl_task9[88]/tbl_task9[[คะแนนเต็ม]:[คะแนนเต็ม]])*tbl_task9[[%]:[%]])</f>
        <v/>
      </c>
      <c r="IY16" s="121" t="str">
        <f>IF(ISBLANK(tbl_task9[[คะแนนเต็ม]:[คะแนนเต็ม]]),"",(tbl_task9[89]/tbl_task9[[คะแนนเต็ม]:[คะแนนเต็ม]])*tbl_task9[[%]:[%]])</f>
        <v/>
      </c>
      <c r="IZ16" s="121" t="str">
        <f>IF(ISBLANK(tbl_task9[[คะแนนเต็ม]:[คะแนนเต็ม]]),"",(tbl_task9[90]/tbl_task9[[คะแนนเต็ม]:[คะแนนเต็ม]])*tbl_task9[[%]:[%]])</f>
        <v/>
      </c>
      <c r="JA16" s="121" t="str">
        <f>IF(ISBLANK(tbl_task9[[คะแนนเต็ม]:[คะแนนเต็ม]]),"",(tbl_task9[91]/tbl_task9[[คะแนนเต็ม]:[คะแนนเต็ม]])*tbl_task9[[%]:[%]])</f>
        <v/>
      </c>
      <c r="JB16" s="121" t="str">
        <f>IF(ISBLANK(tbl_task9[[คะแนนเต็ม]:[คะแนนเต็ม]]),"",(tbl_task9[92]/tbl_task9[[คะแนนเต็ม]:[คะแนนเต็ม]])*tbl_task9[[%]:[%]])</f>
        <v/>
      </c>
      <c r="JC16" s="121" t="str">
        <f>IF(ISBLANK(tbl_task9[[คะแนนเต็ม]:[คะแนนเต็ม]]),"",(tbl_task9[93]/tbl_task9[[คะแนนเต็ม]:[คะแนนเต็ม]])*tbl_task9[[%]:[%]])</f>
        <v/>
      </c>
      <c r="JD16" s="121" t="str">
        <f>IF(ISBLANK(tbl_task9[[คะแนนเต็ม]:[คะแนนเต็ม]]),"",(tbl_task9[94]/tbl_task9[[คะแนนเต็ม]:[คะแนนเต็ม]])*tbl_task9[[%]:[%]])</f>
        <v/>
      </c>
      <c r="JE16" s="121" t="str">
        <f>IF(ISBLANK(tbl_task9[[คะแนนเต็ม]:[คะแนนเต็ม]]),"",(tbl_task9[95]/tbl_task9[[คะแนนเต็ม]:[คะแนนเต็ม]])*tbl_task9[[%]:[%]])</f>
        <v/>
      </c>
      <c r="JF16" s="121" t="str">
        <f>IF(ISBLANK(tbl_task9[[คะแนนเต็ม]:[คะแนนเต็ม]]),"",(tbl_task9[96]/tbl_task9[[คะแนนเต็ม]:[คะแนนเต็ม]])*tbl_task9[[%]:[%]])</f>
        <v/>
      </c>
      <c r="JG16" s="121" t="str">
        <f>IF(ISBLANK(tbl_task9[[คะแนนเต็ม]:[คะแนนเต็ม]]),"",(tbl_task9[97]/tbl_task9[[คะแนนเต็ม]:[คะแนนเต็ม]])*tbl_task9[[%]:[%]])</f>
        <v/>
      </c>
      <c r="JH16" s="121" t="str">
        <f>IF(ISBLANK(tbl_task9[[คะแนนเต็ม]:[คะแนนเต็ม]]),"",(tbl_task9[98]/tbl_task9[[คะแนนเต็ม]:[คะแนนเต็ม]])*tbl_task9[[%]:[%]])</f>
        <v/>
      </c>
      <c r="JI16" s="121" t="str">
        <f>IF(ISBLANK(tbl_task9[[คะแนนเต็ม]:[คะแนนเต็ม]]),"",(tbl_task9[99]/tbl_task9[[คะแนนเต็ม]:[คะแนนเต็ม]])*tbl_task9[[%]:[%]])</f>
        <v/>
      </c>
      <c r="JJ16" s="121" t="str">
        <f>IF(ISBLANK(tbl_task9[[คะแนนเต็ม]:[คะแนนเต็ม]]),"",(tbl_task9[100]/tbl_task9[[คะแนนเต็ม]:[คะแนนเต็ม]])*tbl_task9[[%]:[%]])</f>
        <v/>
      </c>
      <c r="JK16" s="121" t="str">
        <f>IF(ISBLANK(tbl_task9[[คะแนนเต็ม]:[คะแนนเต็ม]]),"",(tbl_task9[101]/tbl_task9[[คะแนนเต็ม]:[คะแนนเต็ม]])*tbl_task9[[%]:[%]])</f>
        <v/>
      </c>
      <c r="JL16" s="121" t="str">
        <f>IF(ISBLANK(tbl_task9[[คะแนนเต็ม]:[คะแนนเต็ม]]),"",(tbl_task9[102]/tbl_task9[[คะแนนเต็ม]:[คะแนนเต็ม]])*tbl_task9[[%]:[%]])</f>
        <v/>
      </c>
      <c r="JM16" s="121" t="str">
        <f>IF(ISBLANK(tbl_task9[[คะแนนเต็ม]:[คะแนนเต็ม]]),"",(tbl_task9[103]/tbl_task9[[คะแนนเต็ม]:[คะแนนเต็ม]])*tbl_task9[[%]:[%]])</f>
        <v/>
      </c>
      <c r="JN16" s="121" t="str">
        <f>IF(ISBLANK(tbl_task9[[คะแนนเต็ม]:[คะแนนเต็ม]]),"",(tbl_task9[104]/tbl_task9[[คะแนนเต็ม]:[คะแนนเต็ม]])*tbl_task9[[%]:[%]])</f>
        <v/>
      </c>
      <c r="JO16" s="121" t="str">
        <f>IF(ISBLANK(tbl_task9[[คะแนนเต็ม]:[คะแนนเต็ม]]),"",(tbl_task9[105]/tbl_task9[[คะแนนเต็ม]:[คะแนนเต็ม]])*tbl_task9[[%]:[%]])</f>
        <v/>
      </c>
      <c r="JP16" s="121" t="str">
        <f>IF(ISBLANK(tbl_task9[[คะแนนเต็ม]:[คะแนนเต็ม]]),"",(tbl_task9[106]/tbl_task9[[คะแนนเต็ม]:[คะแนนเต็ม]])*tbl_task9[[%]:[%]])</f>
        <v/>
      </c>
      <c r="JQ16" s="121" t="str">
        <f>IF(ISBLANK(tbl_task9[[คะแนนเต็ม]:[คะแนนเต็ม]]),"",(tbl_task9[107]/tbl_task9[[คะแนนเต็ม]:[คะแนนเต็ม]])*tbl_task9[[%]:[%]])</f>
        <v/>
      </c>
      <c r="JR16" s="121" t="str">
        <f>IF(ISBLANK(tbl_task9[[คะแนนเต็ม]:[คะแนนเต็ม]]),"",(tbl_task9[108]/tbl_task9[[คะแนนเต็ม]:[คะแนนเต็ม]])*tbl_task9[[%]:[%]])</f>
        <v/>
      </c>
      <c r="JS16" s="121" t="str">
        <f>IF(ISBLANK(tbl_task9[[คะแนนเต็ม]:[คะแนนเต็ม]]),"",(tbl_task9[109]/tbl_task9[[คะแนนเต็ม]:[คะแนนเต็ม]])*tbl_task9[[%]:[%]])</f>
        <v/>
      </c>
      <c r="JT16" s="121" t="str">
        <f>IF(ISBLANK(tbl_task9[[คะแนนเต็ม]:[คะแนนเต็ม]]),"",(tbl_task9[110]/tbl_task9[[คะแนนเต็ม]:[คะแนนเต็ม]])*tbl_task9[[%]:[%]])</f>
        <v/>
      </c>
      <c r="JU16" s="121" t="str">
        <f>IF(ISBLANK(tbl_task9[[คะแนนเต็ม]:[คะแนนเต็ม]]),"",(tbl_task9[111]/tbl_task9[[คะแนนเต็ม]:[คะแนนเต็ม]])*tbl_task9[[%]:[%]])</f>
        <v/>
      </c>
      <c r="JV16" s="121" t="str">
        <f>IF(ISBLANK(tbl_task9[[คะแนนเต็ม]:[คะแนนเต็ม]]),"",(tbl_task9[112]/tbl_task9[[คะแนนเต็ม]:[คะแนนเต็ม]])*tbl_task9[[%]:[%]])</f>
        <v/>
      </c>
      <c r="JW16" s="121" t="str">
        <f>IF(ISBLANK(tbl_task9[[คะแนนเต็ม]:[คะแนนเต็ม]]),"",(tbl_task9[113]/tbl_task9[[คะแนนเต็ม]:[คะแนนเต็ม]])*tbl_task9[[%]:[%]])</f>
        <v/>
      </c>
      <c r="JX16" s="121" t="str">
        <f>IF(ISBLANK(tbl_task9[[คะแนนเต็ม]:[คะแนนเต็ม]]),"",(tbl_task9[114]/tbl_task9[[คะแนนเต็ม]:[คะแนนเต็ม]])*tbl_task9[[%]:[%]])</f>
        <v/>
      </c>
      <c r="JY16" s="121" t="str">
        <f>IF(ISBLANK(tbl_task9[[คะแนนเต็ม]:[คะแนนเต็ม]]),"",(tbl_task9[115]/tbl_task9[[คะแนนเต็ม]:[คะแนนเต็ม]])*tbl_task9[[%]:[%]])</f>
        <v/>
      </c>
      <c r="JZ16" s="121" t="str">
        <f>IF(ISBLANK(tbl_task9[[คะแนนเต็ม]:[คะแนนเต็ม]]),"",(tbl_task9[116]/tbl_task9[[คะแนนเต็ม]:[คะแนนเต็ม]])*tbl_task9[[%]:[%]])</f>
        <v/>
      </c>
      <c r="KA16" s="121" t="str">
        <f>IF(ISBLANK(tbl_task9[[คะแนนเต็ม]:[คะแนนเต็ม]]),"",(tbl_task9[117]/tbl_task9[[คะแนนเต็ม]:[คะแนนเต็ม]])*tbl_task9[[%]:[%]])</f>
        <v/>
      </c>
      <c r="KB16" s="121" t="str">
        <f>IF(ISBLANK(tbl_task9[[คะแนนเต็ม]:[คะแนนเต็ม]]),"",(tbl_task9[118]/tbl_task9[[คะแนนเต็ม]:[คะแนนเต็ม]])*tbl_task9[[%]:[%]])</f>
        <v/>
      </c>
      <c r="KC16" s="121" t="str">
        <f>IF(ISBLANK(tbl_task9[[คะแนนเต็ม]:[คะแนนเต็ม]]),"",(tbl_task9[119]/tbl_task9[[คะแนนเต็ม]:[คะแนนเต็ม]])*tbl_task9[[%]:[%]])</f>
        <v/>
      </c>
      <c r="KD16" s="121" t="str">
        <f>IF(ISBLANK(tbl_task9[[คะแนนเต็ม]:[คะแนนเต็ม]]),"",(tbl_task9[120]/tbl_task9[[คะแนนเต็ม]:[คะแนนเต็ม]])*tbl_task9[[%]:[%]])</f>
        <v/>
      </c>
      <c r="KE16" s="121" t="str">
        <f>IF(ISBLANK(tbl_task9[[คะแนนเต็ม]:[คะแนนเต็ม]]),"",(tbl_task9[121]/tbl_task9[[คะแนนเต็ม]:[คะแนนเต็ม]])*tbl_task9[[%]:[%]])</f>
        <v/>
      </c>
      <c r="KF16" s="121" t="str">
        <f>IF(ISBLANK(tbl_task9[[คะแนนเต็ม]:[คะแนนเต็ม]]),"",(tbl_task9[122]/tbl_task9[[คะแนนเต็ม]:[คะแนนเต็ม]])*tbl_task9[[%]:[%]])</f>
        <v/>
      </c>
      <c r="KG16" s="121" t="str">
        <f>IF(ISBLANK(tbl_task9[[คะแนนเต็ม]:[คะแนนเต็ม]]),"",(tbl_task9[123]/tbl_task9[[คะแนนเต็ม]:[คะแนนเต็ม]])*tbl_task9[[%]:[%]])</f>
        <v/>
      </c>
      <c r="KH16" s="121" t="str">
        <f>IF(ISBLANK(tbl_task9[[คะแนนเต็ม]:[คะแนนเต็ม]]),"",(tbl_task9[124]/tbl_task9[[คะแนนเต็ม]:[คะแนนเต็ม]])*tbl_task9[[%]:[%]])</f>
        <v/>
      </c>
      <c r="KI16" s="121" t="str">
        <f>IF(ISBLANK(tbl_task9[[คะแนนเต็ม]:[คะแนนเต็ม]]),"",(tbl_task9[125]/tbl_task9[[คะแนนเต็ม]:[คะแนนเต็ม]])*tbl_task9[[%]:[%]])</f>
        <v/>
      </c>
      <c r="KJ16" s="121" t="str">
        <f>IF(ISBLANK(tbl_task9[[คะแนนเต็ม]:[คะแนนเต็ม]]),"",(tbl_task9[126]/tbl_task9[[คะแนนเต็ม]:[คะแนนเต็ม]])*tbl_task9[[%]:[%]])</f>
        <v/>
      </c>
      <c r="KK16" s="121" t="str">
        <f>IF(ISBLANK(tbl_task9[[คะแนนเต็ม]:[คะแนนเต็ม]]),"",(tbl_task9[127]/tbl_task9[[คะแนนเต็ม]:[คะแนนเต็ม]])*tbl_task9[[%]:[%]])</f>
        <v/>
      </c>
      <c r="KL16" s="121" t="str">
        <f>IF(ISBLANK(tbl_task9[[คะแนนเต็ม]:[คะแนนเต็ม]]),"",(tbl_task9[128]/tbl_task9[[คะแนนเต็ม]:[คะแนนเต็ม]])*tbl_task9[[%]:[%]])</f>
        <v/>
      </c>
      <c r="KM16" s="121" t="str">
        <f>IF(ISBLANK(tbl_task9[[คะแนนเต็ม]:[คะแนนเต็ม]]),"",(tbl_task9[129]/tbl_task9[[คะแนนเต็ม]:[คะแนนเต็ม]])*tbl_task9[[%]:[%]])</f>
        <v/>
      </c>
      <c r="KN16" s="121" t="str">
        <f>IF(ISBLANK(tbl_task9[[คะแนนเต็ม]:[คะแนนเต็ม]]),"",(tbl_task9[130]/tbl_task9[[คะแนนเต็ม]:[คะแนนเต็ม]])*tbl_task9[[%]:[%]])</f>
        <v/>
      </c>
      <c r="KO16" s="121" t="str">
        <f>IF(ISBLANK(tbl_task9[[คะแนนเต็ม]:[คะแนนเต็ม]]),"",(tbl_task9[131]/tbl_task9[[คะแนนเต็ม]:[คะแนนเต็ม]])*tbl_task9[[%]:[%]])</f>
        <v/>
      </c>
      <c r="KP16" s="121" t="str">
        <f>IF(ISBLANK(tbl_task9[[คะแนนเต็ม]:[คะแนนเต็ม]]),"",(tbl_task9[132]/tbl_task9[[คะแนนเต็ม]:[คะแนนเต็ม]])*tbl_task9[[%]:[%]])</f>
        <v/>
      </c>
      <c r="KQ16" s="121" t="str">
        <f>IF(ISBLANK(tbl_task9[[คะแนนเต็ม]:[คะแนนเต็ม]]),"",(tbl_task9[133]/tbl_task9[[คะแนนเต็ม]:[คะแนนเต็ม]])*tbl_task9[[%]:[%]])</f>
        <v/>
      </c>
      <c r="KR16" s="121" t="str">
        <f>IF(ISBLANK(tbl_task9[[คะแนนเต็ม]:[คะแนนเต็ม]]),"",(tbl_task9[134]/tbl_task9[[คะแนนเต็ม]:[คะแนนเต็ม]])*tbl_task9[[%]:[%]])</f>
        <v/>
      </c>
      <c r="KS16" s="121" t="str">
        <f>IF(ISBLANK(tbl_task9[[คะแนนเต็ม]:[คะแนนเต็ม]]),"",(tbl_task9[135]/tbl_task9[[คะแนนเต็ม]:[คะแนนเต็ม]])*tbl_task9[[%]:[%]])</f>
        <v/>
      </c>
      <c r="KT16" s="121" t="str">
        <f>IF(ISBLANK(tbl_task9[[คะแนนเต็ม]:[คะแนนเต็ม]]),"",(tbl_task9[136]/tbl_task9[[คะแนนเต็ม]:[คะแนนเต็ม]])*tbl_task9[[%]:[%]])</f>
        <v/>
      </c>
      <c r="KU16" s="121" t="str">
        <f>IF(ISBLANK(tbl_task9[[คะแนนเต็ม]:[คะแนนเต็ม]]),"",(tbl_task9[137]/tbl_task9[[คะแนนเต็ม]:[คะแนนเต็ม]])*tbl_task9[[%]:[%]])</f>
        <v/>
      </c>
      <c r="KV16" s="121" t="str">
        <f>IF(ISBLANK(tbl_task9[[คะแนนเต็ม]:[คะแนนเต็ม]]),"",(tbl_task9[138]/tbl_task9[[คะแนนเต็ม]:[คะแนนเต็ม]])*tbl_task9[[%]:[%]])</f>
        <v/>
      </c>
      <c r="KW16" s="121" t="str">
        <f>IF(ISBLANK(tbl_task9[[คะแนนเต็ม]:[คะแนนเต็ม]]),"",(tbl_task9[139]/tbl_task9[[คะแนนเต็ม]:[คะแนนเต็ม]])*tbl_task9[[%]:[%]])</f>
        <v/>
      </c>
      <c r="KX16" s="121" t="str">
        <f>IF(ISBLANK(tbl_task9[[คะแนนเต็ม]:[คะแนนเต็ม]]),"",(tbl_task9[140]/tbl_task9[[คะแนนเต็ม]:[คะแนนเต็ม]])*tbl_task9[[%]:[%]])</f>
        <v/>
      </c>
      <c r="KY16" s="121" t="str">
        <f>IF(ISBLANK(tbl_task9[[คะแนนเต็ม]:[คะแนนเต็ม]]),"",(tbl_task9[141]/tbl_task9[[คะแนนเต็ม]:[คะแนนเต็ม]])*tbl_task9[[%]:[%]])</f>
        <v/>
      </c>
      <c r="KZ16" s="121" t="str">
        <f>IF(ISBLANK(tbl_task9[[คะแนนเต็ม]:[คะแนนเต็ม]]),"",(tbl_task9[142]/tbl_task9[[คะแนนเต็ม]:[คะแนนเต็ม]])*tbl_task9[[%]:[%]])</f>
        <v/>
      </c>
      <c r="LA16" s="121" t="str">
        <f>IF(ISBLANK(tbl_task9[[คะแนนเต็ม]:[คะแนนเต็ม]]),"",(tbl_task9[143]/tbl_task9[[คะแนนเต็ม]:[คะแนนเต็ม]])*tbl_task9[[%]:[%]])</f>
        <v/>
      </c>
      <c r="LB16" s="121" t="str">
        <f>IF(ISBLANK(tbl_task9[[คะแนนเต็ม]:[คะแนนเต็ม]]),"",(tbl_task9[144]/tbl_task9[[คะแนนเต็ม]:[คะแนนเต็ม]])*tbl_task9[[%]:[%]])</f>
        <v/>
      </c>
      <c r="LC16" s="121" t="str">
        <f>IF(ISBLANK(tbl_task9[[คะแนนเต็ม]:[คะแนนเต็ม]]),"",(tbl_task9[145]/tbl_task9[[คะแนนเต็ม]:[คะแนนเต็ม]])*tbl_task9[[%]:[%]])</f>
        <v/>
      </c>
      <c r="LD16" s="121" t="str">
        <f>IF(ISBLANK(tbl_task9[[คะแนนเต็ม]:[คะแนนเต็ม]]),"",(tbl_task9[146]/tbl_task9[[คะแนนเต็ม]:[คะแนนเต็ม]])*tbl_task9[[%]:[%]])</f>
        <v/>
      </c>
      <c r="LE16" s="121" t="str">
        <f>IF(ISBLANK(tbl_task9[[คะแนนเต็ม]:[คะแนนเต็ม]]),"",(tbl_task9[147]/tbl_task9[[คะแนนเต็ม]:[คะแนนเต็ม]])*tbl_task9[[%]:[%]])</f>
        <v/>
      </c>
      <c r="LF16" s="121" t="str">
        <f>IF(ISBLANK(tbl_task9[[คะแนนเต็ม]:[คะแนนเต็ม]]),"",(tbl_task9[148]/tbl_task9[[คะแนนเต็ม]:[คะแนนเต็ม]])*tbl_task9[[%]:[%]])</f>
        <v/>
      </c>
      <c r="LG16" s="121" t="str">
        <f>IF(ISBLANK(tbl_task9[[คะแนนเต็ม]:[คะแนนเต็ม]]),"",(tbl_task9[149]/tbl_task9[[คะแนนเต็ม]:[คะแนนเต็ม]])*tbl_task9[[%]:[%]])</f>
        <v/>
      </c>
      <c r="LH16" s="121" t="str">
        <f>IF(ISBLANK(tbl_task9[[คะแนนเต็ม]:[คะแนนเต็ม]]),"",(tbl_task9[150]/tbl_task9[[คะแนนเต็ม]:[คะแนนเต็ม]])*tbl_task9[[%]:[%]])</f>
        <v/>
      </c>
      <c r="LI16" s="121" t="str">
        <f>IF(ISBLANK(tbl_task9[[คะแนนเต็ม]:[คะแนนเต็ม]]),"",(tbl_task9[151]/tbl_task9[[คะแนนเต็ม]:[คะแนนเต็ม]])*tbl_task9[[%]:[%]])</f>
        <v/>
      </c>
      <c r="LJ16" s="121" t="str">
        <f>IF(ISBLANK(tbl_task9[[คะแนนเต็ม]:[คะแนนเต็ม]]),"",(tbl_task9[152]/tbl_task9[[คะแนนเต็ม]:[คะแนนเต็ม]])*tbl_task9[[%]:[%]])</f>
        <v/>
      </c>
      <c r="LK16" s="121" t="str">
        <f>IF(ISBLANK(tbl_task9[[คะแนนเต็ม]:[คะแนนเต็ม]]),"",(tbl_task9[153]/tbl_task9[[คะแนนเต็ม]:[คะแนนเต็ม]])*tbl_task9[[%]:[%]])</f>
        <v/>
      </c>
      <c r="LL16" s="121" t="str">
        <f>IF(ISBLANK(tbl_task9[[คะแนนเต็ม]:[คะแนนเต็ม]]),"",(tbl_task9[154]/tbl_task9[[คะแนนเต็ม]:[คะแนนเต็ม]])*tbl_task9[[%]:[%]])</f>
        <v/>
      </c>
      <c r="LM16" s="121" t="str">
        <f>IF(ISBLANK(tbl_task9[[คะแนนเต็ม]:[คะแนนเต็ม]]),"",(tbl_task9[155]/tbl_task9[[คะแนนเต็ม]:[คะแนนเต็ม]])*tbl_task9[[%]:[%]])</f>
        <v/>
      </c>
      <c r="LN16" s="121" t="str">
        <f>IF(ISBLANK(tbl_task9[[คะแนนเต็ม]:[คะแนนเต็ม]]),"",(tbl_task9[156]/tbl_task9[[คะแนนเต็ม]:[คะแนนเต็ม]])*tbl_task9[[%]:[%]])</f>
        <v/>
      </c>
      <c r="LO16" s="121" t="str">
        <f>IF(ISBLANK(tbl_task9[[คะแนนเต็ม]:[คะแนนเต็ม]]),"",(tbl_task9[157]/tbl_task9[[คะแนนเต็ม]:[คะแนนเต็ม]])*tbl_task9[[%]:[%]])</f>
        <v/>
      </c>
      <c r="LP16" s="121" t="str">
        <f>IF(ISBLANK(tbl_task9[[คะแนนเต็ม]:[คะแนนเต็ม]]),"",(tbl_task9[158]/tbl_task9[[คะแนนเต็ม]:[คะแนนเต็ม]])*tbl_task9[[%]:[%]])</f>
        <v/>
      </c>
      <c r="LQ16" s="121" t="str">
        <f>IF(ISBLANK(tbl_task9[[คะแนนเต็ม]:[คะแนนเต็ม]]),"",(tbl_task9[159]/tbl_task9[[คะแนนเต็ม]:[คะแนนเต็ม]])*tbl_task9[[%]:[%]])</f>
        <v/>
      </c>
      <c r="LR16" s="121" t="str">
        <f>IF(ISBLANK(tbl_task9[[คะแนนเต็ม]:[คะแนนเต็ม]]),"",(tbl_task9[160]/tbl_task9[[คะแนนเต็ม]:[คะแนนเต็ม]])*tbl_task9[[%]:[%]])</f>
        <v/>
      </c>
      <c r="LS16" s="121" t="str">
        <f>IF(ISBLANK(tbl_task9[[คะแนนเต็ม]:[คะแนนเต็ม]]),"",(tbl_task9[161]/tbl_task9[[คะแนนเต็ม]:[คะแนนเต็ม]])*tbl_task9[[%]:[%]])</f>
        <v/>
      </c>
      <c r="LT16" s="121" t="str">
        <f>IF(ISBLANK(tbl_task9[[คะแนนเต็ม]:[คะแนนเต็ม]]),"",(tbl_task9[162]/tbl_task9[[คะแนนเต็ม]:[คะแนนเต็ม]])*tbl_task9[[%]:[%]])</f>
        <v/>
      </c>
      <c r="LU16" s="121" t="str">
        <f>IF(ISBLANK(tbl_task9[[คะแนนเต็ม]:[คะแนนเต็ม]]),"",(tbl_task9[163]/tbl_task9[[คะแนนเต็ม]:[คะแนนเต็ม]])*tbl_task9[[%]:[%]])</f>
        <v/>
      </c>
      <c r="LV16" s="121" t="str">
        <f>IF(ISBLANK(tbl_task9[[คะแนนเต็ม]:[คะแนนเต็ม]]),"",(tbl_task9[164]/tbl_task9[[คะแนนเต็ม]:[คะแนนเต็ม]])*tbl_task9[[%]:[%]])</f>
        <v/>
      </c>
      <c r="LW16" s="121" t="str">
        <f>IF(ISBLANK(tbl_task9[[คะแนนเต็ม]:[คะแนนเต็ม]]),"",(tbl_task9[165]/tbl_task9[[คะแนนเต็ม]:[คะแนนเต็ม]])*tbl_task9[[%]:[%]])</f>
        <v/>
      </c>
    </row>
    <row r="17" spans="1:335" ht="24" customHeight="1" x14ac:dyDescent="0.25">
      <c r="A17" s="24">
        <v>14</v>
      </c>
      <c r="B17" s="20"/>
      <c r="C17" s="5" t="str">
        <f>IF(ISBLANK(B17),"",VLOOKUP(B17,tbl_PLOs[],2,0))</f>
        <v/>
      </c>
      <c r="D17" s="102"/>
      <c r="E17" s="10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121" t="str">
        <f>IF(ISBLANK(tbl_task9[[คะแนนเต็ม]:[คะแนนเต็ม]]),"",(tbl_task9[1]/tbl_task9[[คะแนนเต็ม]:[คะแนนเต็ม]])*tbl_task9[[%]:[%]])</f>
        <v/>
      </c>
      <c r="FP17" s="121" t="str">
        <f>IF(ISBLANK(tbl_task9[[คะแนนเต็ม]:[คะแนนเต็ม]]),"",(tbl_task9[2]/tbl_task9[[คะแนนเต็ม]:[คะแนนเต็ม]])*tbl_task9[[%]:[%]])</f>
        <v/>
      </c>
      <c r="FQ17" s="121" t="str">
        <f>IF(ISBLANK(tbl_task9[[คะแนนเต็ม]:[คะแนนเต็ม]]),"",(tbl_task9[3]/tbl_task9[[คะแนนเต็ม]:[คะแนนเต็ม]])*tbl_task9[[%]:[%]])</f>
        <v/>
      </c>
      <c r="FR17" s="121" t="str">
        <f>IF(ISBLANK(tbl_task9[[คะแนนเต็ม]:[คะแนนเต็ม]]),"",(tbl_task9[4]/tbl_task9[[คะแนนเต็ม]:[คะแนนเต็ม]])*tbl_task9[[%]:[%]])</f>
        <v/>
      </c>
      <c r="FS17" s="121" t="str">
        <f>IF(ISBLANK(tbl_task9[[คะแนนเต็ม]:[คะแนนเต็ม]]),"",(tbl_task9[5]/tbl_task9[[คะแนนเต็ม]:[คะแนนเต็ม]])*tbl_task9[[%]:[%]])</f>
        <v/>
      </c>
      <c r="FT17" s="121" t="str">
        <f>IF(ISBLANK(tbl_task9[[คะแนนเต็ม]:[คะแนนเต็ม]]),"",(tbl_task9[6]/tbl_task9[[คะแนนเต็ม]:[คะแนนเต็ม]])*tbl_task9[[%]:[%]])</f>
        <v/>
      </c>
      <c r="FU17" s="121" t="str">
        <f>IF(ISBLANK(tbl_task9[[คะแนนเต็ม]:[คะแนนเต็ม]]),"",(tbl_task9[7]/tbl_task9[[คะแนนเต็ม]:[คะแนนเต็ม]])*tbl_task9[[%]:[%]])</f>
        <v/>
      </c>
      <c r="FV17" s="121" t="str">
        <f>IF(ISBLANK(tbl_task9[[คะแนนเต็ม]:[คะแนนเต็ม]]),"",(tbl_task9[8]/tbl_task9[[คะแนนเต็ม]:[คะแนนเต็ม]])*tbl_task9[[%]:[%]])</f>
        <v/>
      </c>
      <c r="FW17" s="121" t="str">
        <f>IF(ISBLANK(tbl_task9[[คะแนนเต็ม]:[คะแนนเต็ม]]),"",(tbl_task9[9]/tbl_task9[[คะแนนเต็ม]:[คะแนนเต็ม]])*tbl_task9[[%]:[%]])</f>
        <v/>
      </c>
      <c r="FX17" s="121" t="str">
        <f>IF(ISBLANK(tbl_task9[[คะแนนเต็ม]:[คะแนนเต็ม]]),"",(tbl_task9[10]/tbl_task9[[คะแนนเต็ม]:[คะแนนเต็ม]])*tbl_task9[[%]:[%]])</f>
        <v/>
      </c>
      <c r="FY17" s="121" t="str">
        <f>IF(ISBLANK(tbl_task9[[คะแนนเต็ม]:[คะแนนเต็ม]]),"",(tbl_task9[11]/tbl_task9[[คะแนนเต็ม]:[คะแนนเต็ม]])*tbl_task9[[%]:[%]])</f>
        <v/>
      </c>
      <c r="FZ17" s="121" t="str">
        <f>IF(ISBLANK(tbl_task9[[คะแนนเต็ม]:[คะแนนเต็ม]]),"",(tbl_task9[12]/tbl_task9[[คะแนนเต็ม]:[คะแนนเต็ม]])*tbl_task9[[%]:[%]])</f>
        <v/>
      </c>
      <c r="GA17" s="121" t="str">
        <f>IF(ISBLANK(tbl_task9[[คะแนนเต็ม]:[คะแนนเต็ม]]),"",(tbl_task9[13]/tbl_task9[[คะแนนเต็ม]:[คะแนนเต็ม]])*tbl_task9[[%]:[%]])</f>
        <v/>
      </c>
      <c r="GB17" s="121" t="str">
        <f>IF(ISBLANK(tbl_task9[[คะแนนเต็ม]:[คะแนนเต็ม]]),"",(tbl_task9[14]/tbl_task9[[คะแนนเต็ม]:[คะแนนเต็ม]])*tbl_task9[[%]:[%]])</f>
        <v/>
      </c>
      <c r="GC17" s="121" t="str">
        <f>IF(ISBLANK(tbl_task9[[คะแนนเต็ม]:[คะแนนเต็ม]]),"",(tbl_task9[15]/tbl_task9[[คะแนนเต็ม]:[คะแนนเต็ม]])*tbl_task9[[%]:[%]])</f>
        <v/>
      </c>
      <c r="GD17" s="121" t="str">
        <f>IF(ISBLANK(tbl_task9[[คะแนนเต็ม]:[คะแนนเต็ม]]),"",(tbl_task9[16]/tbl_task9[[คะแนนเต็ม]:[คะแนนเต็ม]])*tbl_task9[[%]:[%]])</f>
        <v/>
      </c>
      <c r="GE17" s="121" t="str">
        <f>IF(ISBLANK(tbl_task9[[คะแนนเต็ม]:[คะแนนเต็ม]]),"",(tbl_task9[17]/tbl_task9[[คะแนนเต็ม]:[คะแนนเต็ม]])*tbl_task9[[%]:[%]])</f>
        <v/>
      </c>
      <c r="GF17" s="121" t="str">
        <f>IF(ISBLANK(tbl_task9[[คะแนนเต็ม]:[คะแนนเต็ม]]),"",(tbl_task9[18]/tbl_task9[[คะแนนเต็ม]:[คะแนนเต็ม]])*tbl_task9[[%]:[%]])</f>
        <v/>
      </c>
      <c r="GG17" s="121" t="str">
        <f>IF(ISBLANK(tbl_task9[[คะแนนเต็ม]:[คะแนนเต็ม]]),"",(tbl_task9[19]/tbl_task9[[คะแนนเต็ม]:[คะแนนเต็ม]])*tbl_task9[[%]:[%]])</f>
        <v/>
      </c>
      <c r="GH17" s="121" t="str">
        <f>IF(ISBLANK(tbl_task9[[คะแนนเต็ม]:[คะแนนเต็ม]]),"",(tbl_task9[20]/tbl_task9[[คะแนนเต็ม]:[คะแนนเต็ม]])*tbl_task9[[%]:[%]])</f>
        <v/>
      </c>
      <c r="GI17" s="121" t="str">
        <f>IF(ISBLANK(tbl_task9[[คะแนนเต็ม]:[คะแนนเต็ม]]),"",(tbl_task9[21]/tbl_task9[[คะแนนเต็ม]:[คะแนนเต็ม]])*tbl_task9[[%]:[%]])</f>
        <v/>
      </c>
      <c r="GJ17" s="121" t="str">
        <f>IF(ISBLANK(tbl_task9[[คะแนนเต็ม]:[คะแนนเต็ม]]),"",(tbl_task9[22]/tbl_task9[[คะแนนเต็ม]:[คะแนนเต็ม]])*tbl_task9[[%]:[%]])</f>
        <v/>
      </c>
      <c r="GK17" s="121" t="str">
        <f>IF(ISBLANK(tbl_task9[[คะแนนเต็ม]:[คะแนนเต็ม]]),"",(tbl_task9[23]/tbl_task9[[คะแนนเต็ม]:[คะแนนเต็ม]])*tbl_task9[[%]:[%]])</f>
        <v/>
      </c>
      <c r="GL17" s="121" t="str">
        <f>IF(ISBLANK(tbl_task9[[คะแนนเต็ม]:[คะแนนเต็ม]]),"",(tbl_task9[24]/tbl_task9[[คะแนนเต็ม]:[คะแนนเต็ม]])*tbl_task9[[%]:[%]])</f>
        <v/>
      </c>
      <c r="GM17" s="121" t="str">
        <f>IF(ISBLANK(tbl_task9[[คะแนนเต็ม]:[คะแนนเต็ม]]),"",(tbl_task9[25]/tbl_task9[[คะแนนเต็ม]:[คะแนนเต็ม]])*tbl_task9[[%]:[%]])</f>
        <v/>
      </c>
      <c r="GN17" s="121" t="str">
        <f>IF(ISBLANK(tbl_task9[[คะแนนเต็ม]:[คะแนนเต็ม]]),"",(tbl_task9[26]/tbl_task9[[คะแนนเต็ม]:[คะแนนเต็ม]])*tbl_task9[[%]:[%]])</f>
        <v/>
      </c>
      <c r="GO17" s="121" t="str">
        <f>IF(ISBLANK(tbl_task9[[คะแนนเต็ม]:[คะแนนเต็ม]]),"",(tbl_task9[27]/tbl_task9[[คะแนนเต็ม]:[คะแนนเต็ม]])*tbl_task9[[%]:[%]])</f>
        <v/>
      </c>
      <c r="GP17" s="121" t="str">
        <f>IF(ISBLANK(tbl_task9[[คะแนนเต็ม]:[คะแนนเต็ม]]),"",(tbl_task9[28]/tbl_task9[[คะแนนเต็ม]:[คะแนนเต็ม]])*tbl_task9[[%]:[%]])</f>
        <v/>
      </c>
      <c r="GQ17" s="121" t="str">
        <f>IF(ISBLANK(tbl_task9[[คะแนนเต็ม]:[คะแนนเต็ม]]),"",(tbl_task9[29]/tbl_task9[[คะแนนเต็ม]:[คะแนนเต็ม]])*tbl_task9[[%]:[%]])</f>
        <v/>
      </c>
      <c r="GR17" s="121" t="str">
        <f>IF(ISBLANK(tbl_task9[[คะแนนเต็ม]:[คะแนนเต็ม]]),"",(tbl_task9[30]/tbl_task9[[คะแนนเต็ม]:[คะแนนเต็ม]])*tbl_task9[[%]:[%]])</f>
        <v/>
      </c>
      <c r="GS17" s="121" t="str">
        <f>IF(ISBLANK(tbl_task9[[คะแนนเต็ม]:[คะแนนเต็ม]]),"",(tbl_task9[31]/tbl_task9[[คะแนนเต็ม]:[คะแนนเต็ม]])*tbl_task9[[%]:[%]])</f>
        <v/>
      </c>
      <c r="GT17" s="121" t="str">
        <f>IF(ISBLANK(tbl_task9[[คะแนนเต็ม]:[คะแนนเต็ม]]),"",(tbl_task9[32]/tbl_task9[[คะแนนเต็ม]:[คะแนนเต็ม]])*tbl_task9[[%]:[%]])</f>
        <v/>
      </c>
      <c r="GU17" s="121" t="str">
        <f>IF(ISBLANK(tbl_task9[[คะแนนเต็ม]:[คะแนนเต็ม]]),"",(tbl_task9[33]/tbl_task9[[คะแนนเต็ม]:[คะแนนเต็ม]])*tbl_task9[[%]:[%]])</f>
        <v/>
      </c>
      <c r="GV17" s="121" t="str">
        <f>IF(ISBLANK(tbl_task9[[คะแนนเต็ม]:[คะแนนเต็ม]]),"",(tbl_task9[34]/tbl_task9[[คะแนนเต็ม]:[คะแนนเต็ม]])*tbl_task9[[%]:[%]])</f>
        <v/>
      </c>
      <c r="GW17" s="121" t="str">
        <f>IF(ISBLANK(tbl_task9[[คะแนนเต็ม]:[คะแนนเต็ม]]),"",(tbl_task9[35]/tbl_task9[[คะแนนเต็ม]:[คะแนนเต็ม]])*tbl_task9[[%]:[%]])</f>
        <v/>
      </c>
      <c r="GX17" s="121" t="str">
        <f>IF(ISBLANK(tbl_task9[[คะแนนเต็ม]:[คะแนนเต็ม]]),"",(tbl_task9[36]/tbl_task9[[คะแนนเต็ม]:[คะแนนเต็ม]])*tbl_task9[[%]:[%]])</f>
        <v/>
      </c>
      <c r="GY17" s="121" t="str">
        <f>IF(ISBLANK(tbl_task9[[คะแนนเต็ม]:[คะแนนเต็ม]]),"",(tbl_task9[37]/tbl_task9[[คะแนนเต็ม]:[คะแนนเต็ม]])*tbl_task9[[%]:[%]])</f>
        <v/>
      </c>
      <c r="GZ17" s="121" t="str">
        <f>IF(ISBLANK(tbl_task9[[คะแนนเต็ม]:[คะแนนเต็ม]]),"",(tbl_task9[38]/tbl_task9[[คะแนนเต็ม]:[คะแนนเต็ม]])*tbl_task9[[%]:[%]])</f>
        <v/>
      </c>
      <c r="HA17" s="121" t="str">
        <f>IF(ISBLANK(tbl_task9[[คะแนนเต็ม]:[คะแนนเต็ม]]),"",(tbl_task9[39]/tbl_task9[[คะแนนเต็ม]:[คะแนนเต็ม]])*tbl_task9[[%]:[%]])</f>
        <v/>
      </c>
      <c r="HB17" s="121" t="str">
        <f>IF(ISBLANK(tbl_task9[[คะแนนเต็ม]:[คะแนนเต็ม]]),"",(tbl_task9[40]/tbl_task9[[คะแนนเต็ม]:[คะแนนเต็ม]])*tbl_task9[[%]:[%]])</f>
        <v/>
      </c>
      <c r="HC17" s="121" t="str">
        <f>IF(ISBLANK(tbl_task9[[คะแนนเต็ม]:[คะแนนเต็ม]]),"",(tbl_task9[41]/tbl_task9[[คะแนนเต็ม]:[คะแนนเต็ม]])*tbl_task9[[%]:[%]])</f>
        <v/>
      </c>
      <c r="HD17" s="121" t="str">
        <f>IF(ISBLANK(tbl_task9[[คะแนนเต็ม]:[คะแนนเต็ม]]),"",(tbl_task9[42]/tbl_task9[[คะแนนเต็ม]:[คะแนนเต็ม]])*tbl_task9[[%]:[%]])</f>
        <v/>
      </c>
      <c r="HE17" s="121" t="str">
        <f>IF(ISBLANK(tbl_task9[[คะแนนเต็ม]:[คะแนนเต็ม]]),"",(tbl_task9[43]/tbl_task9[[คะแนนเต็ม]:[คะแนนเต็ม]])*tbl_task9[[%]:[%]])</f>
        <v/>
      </c>
      <c r="HF17" s="121" t="str">
        <f>IF(ISBLANK(tbl_task9[[คะแนนเต็ม]:[คะแนนเต็ม]]),"",(tbl_task9[44]/tbl_task9[[คะแนนเต็ม]:[คะแนนเต็ม]])*tbl_task9[[%]:[%]])</f>
        <v/>
      </c>
      <c r="HG17" s="121" t="str">
        <f>IF(ISBLANK(tbl_task9[[คะแนนเต็ม]:[คะแนนเต็ม]]),"",(tbl_task9[45]/tbl_task9[[คะแนนเต็ม]:[คะแนนเต็ม]])*tbl_task9[[%]:[%]])</f>
        <v/>
      </c>
      <c r="HH17" s="121" t="str">
        <f>IF(ISBLANK(tbl_task9[[คะแนนเต็ม]:[คะแนนเต็ม]]),"",(tbl_task9[46]/tbl_task9[[คะแนนเต็ม]:[คะแนนเต็ม]])*tbl_task9[[%]:[%]])</f>
        <v/>
      </c>
      <c r="HI17" s="121" t="str">
        <f>IF(ISBLANK(tbl_task9[[คะแนนเต็ม]:[คะแนนเต็ม]]),"",(tbl_task9[47]/tbl_task9[[คะแนนเต็ม]:[คะแนนเต็ม]])*tbl_task9[[%]:[%]])</f>
        <v/>
      </c>
      <c r="HJ17" s="121" t="str">
        <f>IF(ISBLANK(tbl_task9[[คะแนนเต็ม]:[คะแนนเต็ม]]),"",(tbl_task9[48]/tbl_task9[[คะแนนเต็ม]:[คะแนนเต็ม]])*tbl_task9[[%]:[%]])</f>
        <v/>
      </c>
      <c r="HK17" s="121" t="str">
        <f>IF(ISBLANK(tbl_task9[[คะแนนเต็ม]:[คะแนนเต็ม]]),"",(tbl_task9[49]/tbl_task9[[คะแนนเต็ม]:[คะแนนเต็ม]])*tbl_task9[[%]:[%]])</f>
        <v/>
      </c>
      <c r="HL17" s="121" t="str">
        <f>IF(ISBLANK(tbl_task9[[คะแนนเต็ม]:[คะแนนเต็ม]]),"",(tbl_task9[50]/tbl_task9[[คะแนนเต็ม]:[คะแนนเต็ม]])*tbl_task9[[%]:[%]])</f>
        <v/>
      </c>
      <c r="HM17" s="121" t="str">
        <f>IF(ISBLANK(tbl_task9[[คะแนนเต็ม]:[คะแนนเต็ม]]),"",(tbl_task9[51]/tbl_task9[[คะแนนเต็ม]:[คะแนนเต็ม]])*tbl_task9[[%]:[%]])</f>
        <v/>
      </c>
      <c r="HN17" s="121" t="str">
        <f>IF(ISBLANK(tbl_task9[[คะแนนเต็ม]:[คะแนนเต็ม]]),"",(tbl_task9[52]/tbl_task9[[คะแนนเต็ม]:[คะแนนเต็ม]])*tbl_task9[[%]:[%]])</f>
        <v/>
      </c>
      <c r="HO17" s="121" t="str">
        <f>IF(ISBLANK(tbl_task9[[คะแนนเต็ม]:[คะแนนเต็ม]]),"",(tbl_task9[53]/tbl_task9[[คะแนนเต็ม]:[คะแนนเต็ม]])*tbl_task9[[%]:[%]])</f>
        <v/>
      </c>
      <c r="HP17" s="121" t="str">
        <f>IF(ISBLANK(tbl_task9[[คะแนนเต็ม]:[คะแนนเต็ม]]),"",(tbl_task9[54]/tbl_task9[[คะแนนเต็ม]:[คะแนนเต็ม]])*tbl_task9[[%]:[%]])</f>
        <v/>
      </c>
      <c r="HQ17" s="121" t="str">
        <f>IF(ISBLANK(tbl_task9[[คะแนนเต็ม]:[คะแนนเต็ม]]),"",(tbl_task9[55]/tbl_task9[[คะแนนเต็ม]:[คะแนนเต็ม]])*tbl_task9[[%]:[%]])</f>
        <v/>
      </c>
      <c r="HR17" s="121" t="str">
        <f>IF(ISBLANK(tbl_task9[[คะแนนเต็ม]:[คะแนนเต็ม]]),"",(tbl_task9[56]/tbl_task9[[คะแนนเต็ม]:[คะแนนเต็ม]])*tbl_task9[[%]:[%]])</f>
        <v/>
      </c>
      <c r="HS17" s="121" t="str">
        <f>IF(ISBLANK(tbl_task9[[คะแนนเต็ม]:[คะแนนเต็ม]]),"",(tbl_task9[57]/tbl_task9[[คะแนนเต็ม]:[คะแนนเต็ม]])*tbl_task9[[%]:[%]])</f>
        <v/>
      </c>
      <c r="HT17" s="121" t="str">
        <f>IF(ISBLANK(tbl_task9[[คะแนนเต็ม]:[คะแนนเต็ม]]),"",(tbl_task9[58]/tbl_task9[[คะแนนเต็ม]:[คะแนนเต็ม]])*tbl_task9[[%]:[%]])</f>
        <v/>
      </c>
      <c r="HU17" s="121" t="str">
        <f>IF(ISBLANK(tbl_task9[[คะแนนเต็ม]:[คะแนนเต็ม]]),"",(tbl_task9[59]/tbl_task9[[คะแนนเต็ม]:[คะแนนเต็ม]])*tbl_task9[[%]:[%]])</f>
        <v/>
      </c>
      <c r="HV17" s="121" t="str">
        <f>IF(ISBLANK(tbl_task9[[คะแนนเต็ม]:[คะแนนเต็ม]]),"",(tbl_task9[60]/tbl_task9[[คะแนนเต็ม]:[คะแนนเต็ม]])*tbl_task9[[%]:[%]])</f>
        <v/>
      </c>
      <c r="HW17" s="121" t="str">
        <f>IF(ISBLANK(tbl_task9[[คะแนนเต็ม]:[คะแนนเต็ม]]),"",(tbl_task9[61]/tbl_task9[[คะแนนเต็ม]:[คะแนนเต็ม]])*tbl_task9[[%]:[%]])</f>
        <v/>
      </c>
      <c r="HX17" s="121" t="str">
        <f>IF(ISBLANK(tbl_task9[[คะแนนเต็ม]:[คะแนนเต็ม]]),"",(tbl_task9[62]/tbl_task9[[คะแนนเต็ม]:[คะแนนเต็ม]])*tbl_task9[[%]:[%]])</f>
        <v/>
      </c>
      <c r="HY17" s="121" t="str">
        <f>IF(ISBLANK(tbl_task9[[คะแนนเต็ม]:[คะแนนเต็ม]]),"",(tbl_task9[63]/tbl_task9[[คะแนนเต็ม]:[คะแนนเต็ม]])*tbl_task9[[%]:[%]])</f>
        <v/>
      </c>
      <c r="HZ17" s="121" t="str">
        <f>IF(ISBLANK(tbl_task9[[คะแนนเต็ม]:[คะแนนเต็ม]]),"",(tbl_task9[64]/tbl_task9[[คะแนนเต็ม]:[คะแนนเต็ม]])*tbl_task9[[%]:[%]])</f>
        <v/>
      </c>
      <c r="IA17" s="121" t="str">
        <f>IF(ISBLANK(tbl_task9[[คะแนนเต็ม]:[คะแนนเต็ม]]),"",(tbl_task9[65]/tbl_task9[[คะแนนเต็ม]:[คะแนนเต็ม]])*tbl_task9[[%]:[%]])</f>
        <v/>
      </c>
      <c r="IB17" s="121" t="str">
        <f>IF(ISBLANK(tbl_task9[[คะแนนเต็ม]:[คะแนนเต็ม]]),"",(tbl_task9[66]/tbl_task9[[คะแนนเต็ม]:[คะแนนเต็ม]])*tbl_task9[[%]:[%]])</f>
        <v/>
      </c>
      <c r="IC17" s="121" t="str">
        <f>IF(ISBLANK(tbl_task9[[คะแนนเต็ม]:[คะแนนเต็ม]]),"",(tbl_task9[67]/tbl_task9[[คะแนนเต็ม]:[คะแนนเต็ม]])*tbl_task9[[%]:[%]])</f>
        <v/>
      </c>
      <c r="ID17" s="121" t="str">
        <f>IF(ISBLANK(tbl_task9[[คะแนนเต็ม]:[คะแนนเต็ม]]),"",(tbl_task9[68]/tbl_task9[[คะแนนเต็ม]:[คะแนนเต็ม]])*tbl_task9[[%]:[%]])</f>
        <v/>
      </c>
      <c r="IE17" s="121" t="str">
        <f>IF(ISBLANK(tbl_task9[[คะแนนเต็ม]:[คะแนนเต็ม]]),"",(tbl_task9[69]/tbl_task9[[คะแนนเต็ม]:[คะแนนเต็ม]])*tbl_task9[[%]:[%]])</f>
        <v/>
      </c>
      <c r="IF17" s="121" t="str">
        <f>IF(ISBLANK(tbl_task9[[คะแนนเต็ม]:[คะแนนเต็ม]]),"",(tbl_task9[70]/tbl_task9[[คะแนนเต็ม]:[คะแนนเต็ม]])*tbl_task9[[%]:[%]])</f>
        <v/>
      </c>
      <c r="IG17" s="121" t="str">
        <f>IF(ISBLANK(tbl_task9[[คะแนนเต็ม]:[คะแนนเต็ม]]),"",(tbl_task9[71]/tbl_task9[[คะแนนเต็ม]:[คะแนนเต็ม]])*tbl_task9[[%]:[%]])</f>
        <v/>
      </c>
      <c r="IH17" s="121" t="str">
        <f>IF(ISBLANK(tbl_task9[[คะแนนเต็ม]:[คะแนนเต็ม]]),"",(tbl_task9[72]/tbl_task9[[คะแนนเต็ม]:[คะแนนเต็ม]])*tbl_task9[[%]:[%]])</f>
        <v/>
      </c>
      <c r="II17" s="121" t="str">
        <f>IF(ISBLANK(tbl_task9[[คะแนนเต็ม]:[คะแนนเต็ม]]),"",(tbl_task9[73]/tbl_task9[[คะแนนเต็ม]:[คะแนนเต็ม]])*tbl_task9[[%]:[%]])</f>
        <v/>
      </c>
      <c r="IJ17" s="121" t="str">
        <f>IF(ISBLANK(tbl_task9[[คะแนนเต็ม]:[คะแนนเต็ม]]),"",(tbl_task9[74]/tbl_task9[[คะแนนเต็ม]:[คะแนนเต็ม]])*tbl_task9[[%]:[%]])</f>
        <v/>
      </c>
      <c r="IK17" s="121" t="str">
        <f>IF(ISBLANK(tbl_task9[[คะแนนเต็ม]:[คะแนนเต็ม]]),"",(tbl_task9[75]/tbl_task9[[คะแนนเต็ม]:[คะแนนเต็ม]])*tbl_task9[[%]:[%]])</f>
        <v/>
      </c>
      <c r="IL17" s="121" t="str">
        <f>IF(ISBLANK(tbl_task9[[คะแนนเต็ม]:[คะแนนเต็ม]]),"",(tbl_task9[76]/tbl_task9[[คะแนนเต็ม]:[คะแนนเต็ม]])*tbl_task9[[%]:[%]])</f>
        <v/>
      </c>
      <c r="IM17" s="121" t="str">
        <f>IF(ISBLANK(tbl_task9[[คะแนนเต็ม]:[คะแนนเต็ม]]),"",(tbl_task9[77]/tbl_task9[[คะแนนเต็ม]:[คะแนนเต็ม]])*tbl_task9[[%]:[%]])</f>
        <v/>
      </c>
      <c r="IN17" s="121" t="str">
        <f>IF(ISBLANK(tbl_task9[[คะแนนเต็ม]:[คะแนนเต็ม]]),"",(tbl_task9[78]/tbl_task9[[คะแนนเต็ม]:[คะแนนเต็ม]])*tbl_task9[[%]:[%]])</f>
        <v/>
      </c>
      <c r="IO17" s="121" t="str">
        <f>IF(ISBLANK(tbl_task9[[คะแนนเต็ม]:[คะแนนเต็ม]]),"",(tbl_task9[79]/tbl_task9[[คะแนนเต็ม]:[คะแนนเต็ม]])*tbl_task9[[%]:[%]])</f>
        <v/>
      </c>
      <c r="IP17" s="121" t="str">
        <f>IF(ISBLANK(tbl_task9[[คะแนนเต็ม]:[คะแนนเต็ม]]),"",(tbl_task9[80]/tbl_task9[[คะแนนเต็ม]:[คะแนนเต็ม]])*tbl_task9[[%]:[%]])</f>
        <v/>
      </c>
      <c r="IQ17" s="121" t="str">
        <f>IF(ISBLANK(tbl_task9[[คะแนนเต็ม]:[คะแนนเต็ม]]),"",(tbl_task9[81]/tbl_task9[[คะแนนเต็ม]:[คะแนนเต็ม]])*tbl_task9[[%]:[%]])</f>
        <v/>
      </c>
      <c r="IR17" s="121" t="str">
        <f>IF(ISBLANK(tbl_task9[[คะแนนเต็ม]:[คะแนนเต็ม]]),"",(tbl_task9[82]/tbl_task9[[คะแนนเต็ม]:[คะแนนเต็ม]])*tbl_task9[[%]:[%]])</f>
        <v/>
      </c>
      <c r="IS17" s="121" t="str">
        <f>IF(ISBLANK(tbl_task9[[คะแนนเต็ม]:[คะแนนเต็ม]]),"",(tbl_task9[83]/tbl_task9[[คะแนนเต็ม]:[คะแนนเต็ม]])*tbl_task9[[%]:[%]])</f>
        <v/>
      </c>
      <c r="IT17" s="121" t="str">
        <f>IF(ISBLANK(tbl_task9[[คะแนนเต็ม]:[คะแนนเต็ม]]),"",(tbl_task9[84]/tbl_task9[[คะแนนเต็ม]:[คะแนนเต็ม]])*tbl_task9[[%]:[%]])</f>
        <v/>
      </c>
      <c r="IU17" s="121" t="str">
        <f>IF(ISBLANK(tbl_task9[[คะแนนเต็ม]:[คะแนนเต็ม]]),"",(tbl_task9[85]/tbl_task9[[คะแนนเต็ม]:[คะแนนเต็ม]])*tbl_task9[[%]:[%]])</f>
        <v/>
      </c>
      <c r="IV17" s="121" t="str">
        <f>IF(ISBLANK(tbl_task9[[คะแนนเต็ม]:[คะแนนเต็ม]]),"",(tbl_task9[86]/tbl_task9[[คะแนนเต็ม]:[คะแนนเต็ม]])*tbl_task9[[%]:[%]])</f>
        <v/>
      </c>
      <c r="IW17" s="121" t="str">
        <f>IF(ISBLANK(tbl_task9[[คะแนนเต็ม]:[คะแนนเต็ม]]),"",(tbl_task9[87]/tbl_task9[[คะแนนเต็ม]:[คะแนนเต็ม]])*tbl_task9[[%]:[%]])</f>
        <v/>
      </c>
      <c r="IX17" s="121" t="str">
        <f>IF(ISBLANK(tbl_task9[[คะแนนเต็ม]:[คะแนนเต็ม]]),"",(tbl_task9[88]/tbl_task9[[คะแนนเต็ม]:[คะแนนเต็ม]])*tbl_task9[[%]:[%]])</f>
        <v/>
      </c>
      <c r="IY17" s="121" t="str">
        <f>IF(ISBLANK(tbl_task9[[คะแนนเต็ม]:[คะแนนเต็ม]]),"",(tbl_task9[89]/tbl_task9[[คะแนนเต็ม]:[คะแนนเต็ม]])*tbl_task9[[%]:[%]])</f>
        <v/>
      </c>
      <c r="IZ17" s="121" t="str">
        <f>IF(ISBLANK(tbl_task9[[คะแนนเต็ม]:[คะแนนเต็ม]]),"",(tbl_task9[90]/tbl_task9[[คะแนนเต็ม]:[คะแนนเต็ม]])*tbl_task9[[%]:[%]])</f>
        <v/>
      </c>
      <c r="JA17" s="121" t="str">
        <f>IF(ISBLANK(tbl_task9[[คะแนนเต็ม]:[คะแนนเต็ม]]),"",(tbl_task9[91]/tbl_task9[[คะแนนเต็ม]:[คะแนนเต็ม]])*tbl_task9[[%]:[%]])</f>
        <v/>
      </c>
      <c r="JB17" s="121" t="str">
        <f>IF(ISBLANK(tbl_task9[[คะแนนเต็ม]:[คะแนนเต็ม]]),"",(tbl_task9[92]/tbl_task9[[คะแนนเต็ม]:[คะแนนเต็ม]])*tbl_task9[[%]:[%]])</f>
        <v/>
      </c>
      <c r="JC17" s="121" t="str">
        <f>IF(ISBLANK(tbl_task9[[คะแนนเต็ม]:[คะแนนเต็ม]]),"",(tbl_task9[93]/tbl_task9[[คะแนนเต็ม]:[คะแนนเต็ม]])*tbl_task9[[%]:[%]])</f>
        <v/>
      </c>
      <c r="JD17" s="121" t="str">
        <f>IF(ISBLANK(tbl_task9[[คะแนนเต็ม]:[คะแนนเต็ม]]),"",(tbl_task9[94]/tbl_task9[[คะแนนเต็ม]:[คะแนนเต็ม]])*tbl_task9[[%]:[%]])</f>
        <v/>
      </c>
      <c r="JE17" s="121" t="str">
        <f>IF(ISBLANK(tbl_task9[[คะแนนเต็ม]:[คะแนนเต็ม]]),"",(tbl_task9[95]/tbl_task9[[คะแนนเต็ม]:[คะแนนเต็ม]])*tbl_task9[[%]:[%]])</f>
        <v/>
      </c>
      <c r="JF17" s="121" t="str">
        <f>IF(ISBLANK(tbl_task9[[คะแนนเต็ม]:[คะแนนเต็ม]]),"",(tbl_task9[96]/tbl_task9[[คะแนนเต็ม]:[คะแนนเต็ม]])*tbl_task9[[%]:[%]])</f>
        <v/>
      </c>
      <c r="JG17" s="121" t="str">
        <f>IF(ISBLANK(tbl_task9[[คะแนนเต็ม]:[คะแนนเต็ม]]),"",(tbl_task9[97]/tbl_task9[[คะแนนเต็ม]:[คะแนนเต็ม]])*tbl_task9[[%]:[%]])</f>
        <v/>
      </c>
      <c r="JH17" s="121" t="str">
        <f>IF(ISBLANK(tbl_task9[[คะแนนเต็ม]:[คะแนนเต็ม]]),"",(tbl_task9[98]/tbl_task9[[คะแนนเต็ม]:[คะแนนเต็ม]])*tbl_task9[[%]:[%]])</f>
        <v/>
      </c>
      <c r="JI17" s="121" t="str">
        <f>IF(ISBLANK(tbl_task9[[คะแนนเต็ม]:[คะแนนเต็ม]]),"",(tbl_task9[99]/tbl_task9[[คะแนนเต็ม]:[คะแนนเต็ม]])*tbl_task9[[%]:[%]])</f>
        <v/>
      </c>
      <c r="JJ17" s="121" t="str">
        <f>IF(ISBLANK(tbl_task9[[คะแนนเต็ม]:[คะแนนเต็ม]]),"",(tbl_task9[100]/tbl_task9[[คะแนนเต็ม]:[คะแนนเต็ม]])*tbl_task9[[%]:[%]])</f>
        <v/>
      </c>
      <c r="JK17" s="121" t="str">
        <f>IF(ISBLANK(tbl_task9[[คะแนนเต็ม]:[คะแนนเต็ม]]),"",(tbl_task9[101]/tbl_task9[[คะแนนเต็ม]:[คะแนนเต็ม]])*tbl_task9[[%]:[%]])</f>
        <v/>
      </c>
      <c r="JL17" s="121" t="str">
        <f>IF(ISBLANK(tbl_task9[[คะแนนเต็ม]:[คะแนนเต็ม]]),"",(tbl_task9[102]/tbl_task9[[คะแนนเต็ม]:[คะแนนเต็ม]])*tbl_task9[[%]:[%]])</f>
        <v/>
      </c>
      <c r="JM17" s="121" t="str">
        <f>IF(ISBLANK(tbl_task9[[คะแนนเต็ม]:[คะแนนเต็ม]]),"",(tbl_task9[103]/tbl_task9[[คะแนนเต็ม]:[คะแนนเต็ม]])*tbl_task9[[%]:[%]])</f>
        <v/>
      </c>
      <c r="JN17" s="121" t="str">
        <f>IF(ISBLANK(tbl_task9[[คะแนนเต็ม]:[คะแนนเต็ม]]),"",(tbl_task9[104]/tbl_task9[[คะแนนเต็ม]:[คะแนนเต็ม]])*tbl_task9[[%]:[%]])</f>
        <v/>
      </c>
      <c r="JO17" s="121" t="str">
        <f>IF(ISBLANK(tbl_task9[[คะแนนเต็ม]:[คะแนนเต็ม]]),"",(tbl_task9[105]/tbl_task9[[คะแนนเต็ม]:[คะแนนเต็ม]])*tbl_task9[[%]:[%]])</f>
        <v/>
      </c>
      <c r="JP17" s="121" t="str">
        <f>IF(ISBLANK(tbl_task9[[คะแนนเต็ม]:[คะแนนเต็ม]]),"",(tbl_task9[106]/tbl_task9[[คะแนนเต็ม]:[คะแนนเต็ม]])*tbl_task9[[%]:[%]])</f>
        <v/>
      </c>
      <c r="JQ17" s="121" t="str">
        <f>IF(ISBLANK(tbl_task9[[คะแนนเต็ม]:[คะแนนเต็ม]]),"",(tbl_task9[107]/tbl_task9[[คะแนนเต็ม]:[คะแนนเต็ม]])*tbl_task9[[%]:[%]])</f>
        <v/>
      </c>
      <c r="JR17" s="121" t="str">
        <f>IF(ISBLANK(tbl_task9[[คะแนนเต็ม]:[คะแนนเต็ม]]),"",(tbl_task9[108]/tbl_task9[[คะแนนเต็ม]:[คะแนนเต็ม]])*tbl_task9[[%]:[%]])</f>
        <v/>
      </c>
      <c r="JS17" s="121" t="str">
        <f>IF(ISBLANK(tbl_task9[[คะแนนเต็ม]:[คะแนนเต็ม]]),"",(tbl_task9[109]/tbl_task9[[คะแนนเต็ม]:[คะแนนเต็ม]])*tbl_task9[[%]:[%]])</f>
        <v/>
      </c>
      <c r="JT17" s="121" t="str">
        <f>IF(ISBLANK(tbl_task9[[คะแนนเต็ม]:[คะแนนเต็ม]]),"",(tbl_task9[110]/tbl_task9[[คะแนนเต็ม]:[คะแนนเต็ม]])*tbl_task9[[%]:[%]])</f>
        <v/>
      </c>
      <c r="JU17" s="121" t="str">
        <f>IF(ISBLANK(tbl_task9[[คะแนนเต็ม]:[คะแนนเต็ม]]),"",(tbl_task9[111]/tbl_task9[[คะแนนเต็ม]:[คะแนนเต็ม]])*tbl_task9[[%]:[%]])</f>
        <v/>
      </c>
      <c r="JV17" s="121" t="str">
        <f>IF(ISBLANK(tbl_task9[[คะแนนเต็ม]:[คะแนนเต็ม]]),"",(tbl_task9[112]/tbl_task9[[คะแนนเต็ม]:[คะแนนเต็ม]])*tbl_task9[[%]:[%]])</f>
        <v/>
      </c>
      <c r="JW17" s="121" t="str">
        <f>IF(ISBLANK(tbl_task9[[คะแนนเต็ม]:[คะแนนเต็ม]]),"",(tbl_task9[113]/tbl_task9[[คะแนนเต็ม]:[คะแนนเต็ม]])*tbl_task9[[%]:[%]])</f>
        <v/>
      </c>
      <c r="JX17" s="121" t="str">
        <f>IF(ISBLANK(tbl_task9[[คะแนนเต็ม]:[คะแนนเต็ม]]),"",(tbl_task9[114]/tbl_task9[[คะแนนเต็ม]:[คะแนนเต็ม]])*tbl_task9[[%]:[%]])</f>
        <v/>
      </c>
      <c r="JY17" s="121" t="str">
        <f>IF(ISBLANK(tbl_task9[[คะแนนเต็ม]:[คะแนนเต็ม]]),"",(tbl_task9[115]/tbl_task9[[คะแนนเต็ม]:[คะแนนเต็ม]])*tbl_task9[[%]:[%]])</f>
        <v/>
      </c>
      <c r="JZ17" s="121" t="str">
        <f>IF(ISBLANK(tbl_task9[[คะแนนเต็ม]:[คะแนนเต็ม]]),"",(tbl_task9[116]/tbl_task9[[คะแนนเต็ม]:[คะแนนเต็ม]])*tbl_task9[[%]:[%]])</f>
        <v/>
      </c>
      <c r="KA17" s="121" t="str">
        <f>IF(ISBLANK(tbl_task9[[คะแนนเต็ม]:[คะแนนเต็ม]]),"",(tbl_task9[117]/tbl_task9[[คะแนนเต็ม]:[คะแนนเต็ม]])*tbl_task9[[%]:[%]])</f>
        <v/>
      </c>
      <c r="KB17" s="121" t="str">
        <f>IF(ISBLANK(tbl_task9[[คะแนนเต็ม]:[คะแนนเต็ม]]),"",(tbl_task9[118]/tbl_task9[[คะแนนเต็ม]:[คะแนนเต็ม]])*tbl_task9[[%]:[%]])</f>
        <v/>
      </c>
      <c r="KC17" s="121" t="str">
        <f>IF(ISBLANK(tbl_task9[[คะแนนเต็ม]:[คะแนนเต็ม]]),"",(tbl_task9[119]/tbl_task9[[คะแนนเต็ม]:[คะแนนเต็ม]])*tbl_task9[[%]:[%]])</f>
        <v/>
      </c>
      <c r="KD17" s="121" t="str">
        <f>IF(ISBLANK(tbl_task9[[คะแนนเต็ม]:[คะแนนเต็ม]]),"",(tbl_task9[120]/tbl_task9[[คะแนนเต็ม]:[คะแนนเต็ม]])*tbl_task9[[%]:[%]])</f>
        <v/>
      </c>
      <c r="KE17" s="121" t="str">
        <f>IF(ISBLANK(tbl_task9[[คะแนนเต็ม]:[คะแนนเต็ม]]),"",(tbl_task9[121]/tbl_task9[[คะแนนเต็ม]:[คะแนนเต็ม]])*tbl_task9[[%]:[%]])</f>
        <v/>
      </c>
      <c r="KF17" s="121" t="str">
        <f>IF(ISBLANK(tbl_task9[[คะแนนเต็ม]:[คะแนนเต็ม]]),"",(tbl_task9[122]/tbl_task9[[คะแนนเต็ม]:[คะแนนเต็ม]])*tbl_task9[[%]:[%]])</f>
        <v/>
      </c>
      <c r="KG17" s="121" t="str">
        <f>IF(ISBLANK(tbl_task9[[คะแนนเต็ม]:[คะแนนเต็ม]]),"",(tbl_task9[123]/tbl_task9[[คะแนนเต็ม]:[คะแนนเต็ม]])*tbl_task9[[%]:[%]])</f>
        <v/>
      </c>
      <c r="KH17" s="121" t="str">
        <f>IF(ISBLANK(tbl_task9[[คะแนนเต็ม]:[คะแนนเต็ม]]),"",(tbl_task9[124]/tbl_task9[[คะแนนเต็ม]:[คะแนนเต็ม]])*tbl_task9[[%]:[%]])</f>
        <v/>
      </c>
      <c r="KI17" s="121" t="str">
        <f>IF(ISBLANK(tbl_task9[[คะแนนเต็ม]:[คะแนนเต็ม]]),"",(tbl_task9[125]/tbl_task9[[คะแนนเต็ม]:[คะแนนเต็ม]])*tbl_task9[[%]:[%]])</f>
        <v/>
      </c>
      <c r="KJ17" s="121" t="str">
        <f>IF(ISBLANK(tbl_task9[[คะแนนเต็ม]:[คะแนนเต็ม]]),"",(tbl_task9[126]/tbl_task9[[คะแนนเต็ม]:[คะแนนเต็ม]])*tbl_task9[[%]:[%]])</f>
        <v/>
      </c>
      <c r="KK17" s="121" t="str">
        <f>IF(ISBLANK(tbl_task9[[คะแนนเต็ม]:[คะแนนเต็ม]]),"",(tbl_task9[127]/tbl_task9[[คะแนนเต็ม]:[คะแนนเต็ม]])*tbl_task9[[%]:[%]])</f>
        <v/>
      </c>
      <c r="KL17" s="121" t="str">
        <f>IF(ISBLANK(tbl_task9[[คะแนนเต็ม]:[คะแนนเต็ม]]),"",(tbl_task9[128]/tbl_task9[[คะแนนเต็ม]:[คะแนนเต็ม]])*tbl_task9[[%]:[%]])</f>
        <v/>
      </c>
      <c r="KM17" s="121" t="str">
        <f>IF(ISBLANK(tbl_task9[[คะแนนเต็ม]:[คะแนนเต็ม]]),"",(tbl_task9[129]/tbl_task9[[คะแนนเต็ม]:[คะแนนเต็ม]])*tbl_task9[[%]:[%]])</f>
        <v/>
      </c>
      <c r="KN17" s="121" t="str">
        <f>IF(ISBLANK(tbl_task9[[คะแนนเต็ม]:[คะแนนเต็ม]]),"",(tbl_task9[130]/tbl_task9[[คะแนนเต็ม]:[คะแนนเต็ม]])*tbl_task9[[%]:[%]])</f>
        <v/>
      </c>
      <c r="KO17" s="121" t="str">
        <f>IF(ISBLANK(tbl_task9[[คะแนนเต็ม]:[คะแนนเต็ม]]),"",(tbl_task9[131]/tbl_task9[[คะแนนเต็ม]:[คะแนนเต็ม]])*tbl_task9[[%]:[%]])</f>
        <v/>
      </c>
      <c r="KP17" s="121" t="str">
        <f>IF(ISBLANK(tbl_task9[[คะแนนเต็ม]:[คะแนนเต็ม]]),"",(tbl_task9[132]/tbl_task9[[คะแนนเต็ม]:[คะแนนเต็ม]])*tbl_task9[[%]:[%]])</f>
        <v/>
      </c>
      <c r="KQ17" s="121" t="str">
        <f>IF(ISBLANK(tbl_task9[[คะแนนเต็ม]:[คะแนนเต็ม]]),"",(tbl_task9[133]/tbl_task9[[คะแนนเต็ม]:[คะแนนเต็ม]])*tbl_task9[[%]:[%]])</f>
        <v/>
      </c>
      <c r="KR17" s="121" t="str">
        <f>IF(ISBLANK(tbl_task9[[คะแนนเต็ม]:[คะแนนเต็ม]]),"",(tbl_task9[134]/tbl_task9[[คะแนนเต็ม]:[คะแนนเต็ม]])*tbl_task9[[%]:[%]])</f>
        <v/>
      </c>
      <c r="KS17" s="121" t="str">
        <f>IF(ISBLANK(tbl_task9[[คะแนนเต็ม]:[คะแนนเต็ม]]),"",(tbl_task9[135]/tbl_task9[[คะแนนเต็ม]:[คะแนนเต็ม]])*tbl_task9[[%]:[%]])</f>
        <v/>
      </c>
      <c r="KT17" s="121" t="str">
        <f>IF(ISBLANK(tbl_task9[[คะแนนเต็ม]:[คะแนนเต็ม]]),"",(tbl_task9[136]/tbl_task9[[คะแนนเต็ม]:[คะแนนเต็ม]])*tbl_task9[[%]:[%]])</f>
        <v/>
      </c>
      <c r="KU17" s="121" t="str">
        <f>IF(ISBLANK(tbl_task9[[คะแนนเต็ม]:[คะแนนเต็ม]]),"",(tbl_task9[137]/tbl_task9[[คะแนนเต็ม]:[คะแนนเต็ม]])*tbl_task9[[%]:[%]])</f>
        <v/>
      </c>
      <c r="KV17" s="121" t="str">
        <f>IF(ISBLANK(tbl_task9[[คะแนนเต็ม]:[คะแนนเต็ม]]),"",(tbl_task9[138]/tbl_task9[[คะแนนเต็ม]:[คะแนนเต็ม]])*tbl_task9[[%]:[%]])</f>
        <v/>
      </c>
      <c r="KW17" s="121" t="str">
        <f>IF(ISBLANK(tbl_task9[[คะแนนเต็ม]:[คะแนนเต็ม]]),"",(tbl_task9[139]/tbl_task9[[คะแนนเต็ม]:[คะแนนเต็ม]])*tbl_task9[[%]:[%]])</f>
        <v/>
      </c>
      <c r="KX17" s="121" t="str">
        <f>IF(ISBLANK(tbl_task9[[คะแนนเต็ม]:[คะแนนเต็ม]]),"",(tbl_task9[140]/tbl_task9[[คะแนนเต็ม]:[คะแนนเต็ม]])*tbl_task9[[%]:[%]])</f>
        <v/>
      </c>
      <c r="KY17" s="121" t="str">
        <f>IF(ISBLANK(tbl_task9[[คะแนนเต็ม]:[คะแนนเต็ม]]),"",(tbl_task9[141]/tbl_task9[[คะแนนเต็ม]:[คะแนนเต็ม]])*tbl_task9[[%]:[%]])</f>
        <v/>
      </c>
      <c r="KZ17" s="121" t="str">
        <f>IF(ISBLANK(tbl_task9[[คะแนนเต็ม]:[คะแนนเต็ม]]),"",(tbl_task9[142]/tbl_task9[[คะแนนเต็ม]:[คะแนนเต็ม]])*tbl_task9[[%]:[%]])</f>
        <v/>
      </c>
      <c r="LA17" s="121" t="str">
        <f>IF(ISBLANK(tbl_task9[[คะแนนเต็ม]:[คะแนนเต็ม]]),"",(tbl_task9[143]/tbl_task9[[คะแนนเต็ม]:[คะแนนเต็ม]])*tbl_task9[[%]:[%]])</f>
        <v/>
      </c>
      <c r="LB17" s="121" t="str">
        <f>IF(ISBLANK(tbl_task9[[คะแนนเต็ม]:[คะแนนเต็ม]]),"",(tbl_task9[144]/tbl_task9[[คะแนนเต็ม]:[คะแนนเต็ม]])*tbl_task9[[%]:[%]])</f>
        <v/>
      </c>
      <c r="LC17" s="121" t="str">
        <f>IF(ISBLANK(tbl_task9[[คะแนนเต็ม]:[คะแนนเต็ม]]),"",(tbl_task9[145]/tbl_task9[[คะแนนเต็ม]:[คะแนนเต็ม]])*tbl_task9[[%]:[%]])</f>
        <v/>
      </c>
      <c r="LD17" s="121" t="str">
        <f>IF(ISBLANK(tbl_task9[[คะแนนเต็ม]:[คะแนนเต็ม]]),"",(tbl_task9[146]/tbl_task9[[คะแนนเต็ม]:[คะแนนเต็ม]])*tbl_task9[[%]:[%]])</f>
        <v/>
      </c>
      <c r="LE17" s="121" t="str">
        <f>IF(ISBLANK(tbl_task9[[คะแนนเต็ม]:[คะแนนเต็ม]]),"",(tbl_task9[147]/tbl_task9[[คะแนนเต็ม]:[คะแนนเต็ม]])*tbl_task9[[%]:[%]])</f>
        <v/>
      </c>
      <c r="LF17" s="121" t="str">
        <f>IF(ISBLANK(tbl_task9[[คะแนนเต็ม]:[คะแนนเต็ม]]),"",(tbl_task9[148]/tbl_task9[[คะแนนเต็ม]:[คะแนนเต็ม]])*tbl_task9[[%]:[%]])</f>
        <v/>
      </c>
      <c r="LG17" s="121" t="str">
        <f>IF(ISBLANK(tbl_task9[[คะแนนเต็ม]:[คะแนนเต็ม]]),"",(tbl_task9[149]/tbl_task9[[คะแนนเต็ม]:[คะแนนเต็ม]])*tbl_task9[[%]:[%]])</f>
        <v/>
      </c>
      <c r="LH17" s="121" t="str">
        <f>IF(ISBLANK(tbl_task9[[คะแนนเต็ม]:[คะแนนเต็ม]]),"",(tbl_task9[150]/tbl_task9[[คะแนนเต็ม]:[คะแนนเต็ม]])*tbl_task9[[%]:[%]])</f>
        <v/>
      </c>
      <c r="LI17" s="121" t="str">
        <f>IF(ISBLANK(tbl_task9[[คะแนนเต็ม]:[คะแนนเต็ม]]),"",(tbl_task9[151]/tbl_task9[[คะแนนเต็ม]:[คะแนนเต็ม]])*tbl_task9[[%]:[%]])</f>
        <v/>
      </c>
      <c r="LJ17" s="121" t="str">
        <f>IF(ISBLANK(tbl_task9[[คะแนนเต็ม]:[คะแนนเต็ม]]),"",(tbl_task9[152]/tbl_task9[[คะแนนเต็ม]:[คะแนนเต็ม]])*tbl_task9[[%]:[%]])</f>
        <v/>
      </c>
      <c r="LK17" s="121" t="str">
        <f>IF(ISBLANK(tbl_task9[[คะแนนเต็ม]:[คะแนนเต็ม]]),"",(tbl_task9[153]/tbl_task9[[คะแนนเต็ม]:[คะแนนเต็ม]])*tbl_task9[[%]:[%]])</f>
        <v/>
      </c>
      <c r="LL17" s="121" t="str">
        <f>IF(ISBLANK(tbl_task9[[คะแนนเต็ม]:[คะแนนเต็ม]]),"",(tbl_task9[154]/tbl_task9[[คะแนนเต็ม]:[คะแนนเต็ม]])*tbl_task9[[%]:[%]])</f>
        <v/>
      </c>
      <c r="LM17" s="121" t="str">
        <f>IF(ISBLANK(tbl_task9[[คะแนนเต็ม]:[คะแนนเต็ม]]),"",(tbl_task9[155]/tbl_task9[[คะแนนเต็ม]:[คะแนนเต็ม]])*tbl_task9[[%]:[%]])</f>
        <v/>
      </c>
      <c r="LN17" s="121" t="str">
        <f>IF(ISBLANK(tbl_task9[[คะแนนเต็ม]:[คะแนนเต็ม]]),"",(tbl_task9[156]/tbl_task9[[คะแนนเต็ม]:[คะแนนเต็ม]])*tbl_task9[[%]:[%]])</f>
        <v/>
      </c>
      <c r="LO17" s="121" t="str">
        <f>IF(ISBLANK(tbl_task9[[คะแนนเต็ม]:[คะแนนเต็ม]]),"",(tbl_task9[157]/tbl_task9[[คะแนนเต็ม]:[คะแนนเต็ม]])*tbl_task9[[%]:[%]])</f>
        <v/>
      </c>
      <c r="LP17" s="121" t="str">
        <f>IF(ISBLANK(tbl_task9[[คะแนนเต็ม]:[คะแนนเต็ม]]),"",(tbl_task9[158]/tbl_task9[[คะแนนเต็ม]:[คะแนนเต็ม]])*tbl_task9[[%]:[%]])</f>
        <v/>
      </c>
      <c r="LQ17" s="121" t="str">
        <f>IF(ISBLANK(tbl_task9[[คะแนนเต็ม]:[คะแนนเต็ม]]),"",(tbl_task9[159]/tbl_task9[[คะแนนเต็ม]:[คะแนนเต็ม]])*tbl_task9[[%]:[%]])</f>
        <v/>
      </c>
      <c r="LR17" s="121" t="str">
        <f>IF(ISBLANK(tbl_task9[[คะแนนเต็ม]:[คะแนนเต็ม]]),"",(tbl_task9[160]/tbl_task9[[คะแนนเต็ม]:[คะแนนเต็ม]])*tbl_task9[[%]:[%]])</f>
        <v/>
      </c>
      <c r="LS17" s="121" t="str">
        <f>IF(ISBLANK(tbl_task9[[คะแนนเต็ม]:[คะแนนเต็ม]]),"",(tbl_task9[161]/tbl_task9[[คะแนนเต็ม]:[คะแนนเต็ม]])*tbl_task9[[%]:[%]])</f>
        <v/>
      </c>
      <c r="LT17" s="121" t="str">
        <f>IF(ISBLANK(tbl_task9[[คะแนนเต็ม]:[คะแนนเต็ม]]),"",(tbl_task9[162]/tbl_task9[[คะแนนเต็ม]:[คะแนนเต็ม]])*tbl_task9[[%]:[%]])</f>
        <v/>
      </c>
      <c r="LU17" s="121" t="str">
        <f>IF(ISBLANK(tbl_task9[[คะแนนเต็ม]:[คะแนนเต็ม]]),"",(tbl_task9[163]/tbl_task9[[คะแนนเต็ม]:[คะแนนเต็ม]])*tbl_task9[[%]:[%]])</f>
        <v/>
      </c>
      <c r="LV17" s="121" t="str">
        <f>IF(ISBLANK(tbl_task9[[คะแนนเต็ม]:[คะแนนเต็ม]]),"",(tbl_task9[164]/tbl_task9[[คะแนนเต็ม]:[คะแนนเต็ม]])*tbl_task9[[%]:[%]])</f>
        <v/>
      </c>
      <c r="LW17" s="121" t="str">
        <f>IF(ISBLANK(tbl_task9[[คะแนนเต็ม]:[คะแนนเต็ม]]),"",(tbl_task9[165]/tbl_task9[[คะแนนเต็ม]:[คะแนนเต็ม]])*tbl_task9[[%]:[%]])</f>
        <v/>
      </c>
    </row>
    <row r="18" spans="1:335" ht="24" customHeight="1" x14ac:dyDescent="0.25">
      <c r="A18" s="24">
        <v>15</v>
      </c>
      <c r="B18" s="20"/>
      <c r="C18" s="5" t="str">
        <f>IF(ISBLANK(B18),"",VLOOKUP(B18,tbl_PLOs[],2,0))</f>
        <v/>
      </c>
      <c r="D18" s="102"/>
      <c r="E18" s="106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121" t="str">
        <f>IF(ISBLANK(tbl_task9[[คะแนนเต็ม]:[คะแนนเต็ม]]),"",(tbl_task9[1]/tbl_task9[[คะแนนเต็ม]:[คะแนนเต็ม]])*tbl_task9[[%]:[%]])</f>
        <v/>
      </c>
      <c r="FP18" s="121" t="str">
        <f>IF(ISBLANK(tbl_task9[[คะแนนเต็ม]:[คะแนนเต็ม]]),"",(tbl_task9[2]/tbl_task9[[คะแนนเต็ม]:[คะแนนเต็ม]])*tbl_task9[[%]:[%]])</f>
        <v/>
      </c>
      <c r="FQ18" s="121" t="str">
        <f>IF(ISBLANK(tbl_task9[[คะแนนเต็ม]:[คะแนนเต็ม]]),"",(tbl_task9[3]/tbl_task9[[คะแนนเต็ม]:[คะแนนเต็ม]])*tbl_task9[[%]:[%]])</f>
        <v/>
      </c>
      <c r="FR18" s="121" t="str">
        <f>IF(ISBLANK(tbl_task9[[คะแนนเต็ม]:[คะแนนเต็ม]]),"",(tbl_task9[4]/tbl_task9[[คะแนนเต็ม]:[คะแนนเต็ม]])*tbl_task9[[%]:[%]])</f>
        <v/>
      </c>
      <c r="FS18" s="121" t="str">
        <f>IF(ISBLANK(tbl_task9[[คะแนนเต็ม]:[คะแนนเต็ม]]),"",(tbl_task9[5]/tbl_task9[[คะแนนเต็ม]:[คะแนนเต็ม]])*tbl_task9[[%]:[%]])</f>
        <v/>
      </c>
      <c r="FT18" s="121" t="str">
        <f>IF(ISBLANK(tbl_task9[[คะแนนเต็ม]:[คะแนนเต็ม]]),"",(tbl_task9[6]/tbl_task9[[คะแนนเต็ม]:[คะแนนเต็ม]])*tbl_task9[[%]:[%]])</f>
        <v/>
      </c>
      <c r="FU18" s="121" t="str">
        <f>IF(ISBLANK(tbl_task9[[คะแนนเต็ม]:[คะแนนเต็ม]]),"",(tbl_task9[7]/tbl_task9[[คะแนนเต็ม]:[คะแนนเต็ม]])*tbl_task9[[%]:[%]])</f>
        <v/>
      </c>
      <c r="FV18" s="121" t="str">
        <f>IF(ISBLANK(tbl_task9[[คะแนนเต็ม]:[คะแนนเต็ม]]),"",(tbl_task9[8]/tbl_task9[[คะแนนเต็ม]:[คะแนนเต็ม]])*tbl_task9[[%]:[%]])</f>
        <v/>
      </c>
      <c r="FW18" s="121" t="str">
        <f>IF(ISBLANK(tbl_task9[[คะแนนเต็ม]:[คะแนนเต็ม]]),"",(tbl_task9[9]/tbl_task9[[คะแนนเต็ม]:[คะแนนเต็ม]])*tbl_task9[[%]:[%]])</f>
        <v/>
      </c>
      <c r="FX18" s="121" t="str">
        <f>IF(ISBLANK(tbl_task9[[คะแนนเต็ม]:[คะแนนเต็ม]]),"",(tbl_task9[10]/tbl_task9[[คะแนนเต็ม]:[คะแนนเต็ม]])*tbl_task9[[%]:[%]])</f>
        <v/>
      </c>
      <c r="FY18" s="121" t="str">
        <f>IF(ISBLANK(tbl_task9[[คะแนนเต็ม]:[คะแนนเต็ม]]),"",(tbl_task9[11]/tbl_task9[[คะแนนเต็ม]:[คะแนนเต็ม]])*tbl_task9[[%]:[%]])</f>
        <v/>
      </c>
      <c r="FZ18" s="121" t="str">
        <f>IF(ISBLANK(tbl_task9[[คะแนนเต็ม]:[คะแนนเต็ม]]),"",(tbl_task9[12]/tbl_task9[[คะแนนเต็ม]:[คะแนนเต็ม]])*tbl_task9[[%]:[%]])</f>
        <v/>
      </c>
      <c r="GA18" s="121" t="str">
        <f>IF(ISBLANK(tbl_task9[[คะแนนเต็ม]:[คะแนนเต็ม]]),"",(tbl_task9[13]/tbl_task9[[คะแนนเต็ม]:[คะแนนเต็ม]])*tbl_task9[[%]:[%]])</f>
        <v/>
      </c>
      <c r="GB18" s="121" t="str">
        <f>IF(ISBLANK(tbl_task9[[คะแนนเต็ม]:[คะแนนเต็ม]]),"",(tbl_task9[14]/tbl_task9[[คะแนนเต็ม]:[คะแนนเต็ม]])*tbl_task9[[%]:[%]])</f>
        <v/>
      </c>
      <c r="GC18" s="121" t="str">
        <f>IF(ISBLANK(tbl_task9[[คะแนนเต็ม]:[คะแนนเต็ม]]),"",(tbl_task9[15]/tbl_task9[[คะแนนเต็ม]:[คะแนนเต็ม]])*tbl_task9[[%]:[%]])</f>
        <v/>
      </c>
      <c r="GD18" s="121" t="str">
        <f>IF(ISBLANK(tbl_task9[[คะแนนเต็ม]:[คะแนนเต็ม]]),"",(tbl_task9[16]/tbl_task9[[คะแนนเต็ม]:[คะแนนเต็ม]])*tbl_task9[[%]:[%]])</f>
        <v/>
      </c>
      <c r="GE18" s="121" t="str">
        <f>IF(ISBLANK(tbl_task9[[คะแนนเต็ม]:[คะแนนเต็ม]]),"",(tbl_task9[17]/tbl_task9[[คะแนนเต็ม]:[คะแนนเต็ม]])*tbl_task9[[%]:[%]])</f>
        <v/>
      </c>
      <c r="GF18" s="121" t="str">
        <f>IF(ISBLANK(tbl_task9[[คะแนนเต็ม]:[คะแนนเต็ม]]),"",(tbl_task9[18]/tbl_task9[[คะแนนเต็ม]:[คะแนนเต็ม]])*tbl_task9[[%]:[%]])</f>
        <v/>
      </c>
      <c r="GG18" s="121" t="str">
        <f>IF(ISBLANK(tbl_task9[[คะแนนเต็ม]:[คะแนนเต็ม]]),"",(tbl_task9[19]/tbl_task9[[คะแนนเต็ม]:[คะแนนเต็ม]])*tbl_task9[[%]:[%]])</f>
        <v/>
      </c>
      <c r="GH18" s="121" t="str">
        <f>IF(ISBLANK(tbl_task9[[คะแนนเต็ม]:[คะแนนเต็ม]]),"",(tbl_task9[20]/tbl_task9[[คะแนนเต็ม]:[คะแนนเต็ม]])*tbl_task9[[%]:[%]])</f>
        <v/>
      </c>
      <c r="GI18" s="121" t="str">
        <f>IF(ISBLANK(tbl_task9[[คะแนนเต็ม]:[คะแนนเต็ม]]),"",(tbl_task9[21]/tbl_task9[[คะแนนเต็ม]:[คะแนนเต็ม]])*tbl_task9[[%]:[%]])</f>
        <v/>
      </c>
      <c r="GJ18" s="121" t="str">
        <f>IF(ISBLANK(tbl_task9[[คะแนนเต็ม]:[คะแนนเต็ม]]),"",(tbl_task9[22]/tbl_task9[[คะแนนเต็ม]:[คะแนนเต็ม]])*tbl_task9[[%]:[%]])</f>
        <v/>
      </c>
      <c r="GK18" s="121" t="str">
        <f>IF(ISBLANK(tbl_task9[[คะแนนเต็ม]:[คะแนนเต็ม]]),"",(tbl_task9[23]/tbl_task9[[คะแนนเต็ม]:[คะแนนเต็ม]])*tbl_task9[[%]:[%]])</f>
        <v/>
      </c>
      <c r="GL18" s="121" t="str">
        <f>IF(ISBLANK(tbl_task9[[คะแนนเต็ม]:[คะแนนเต็ม]]),"",(tbl_task9[24]/tbl_task9[[คะแนนเต็ม]:[คะแนนเต็ม]])*tbl_task9[[%]:[%]])</f>
        <v/>
      </c>
      <c r="GM18" s="121" t="str">
        <f>IF(ISBLANK(tbl_task9[[คะแนนเต็ม]:[คะแนนเต็ม]]),"",(tbl_task9[25]/tbl_task9[[คะแนนเต็ม]:[คะแนนเต็ม]])*tbl_task9[[%]:[%]])</f>
        <v/>
      </c>
      <c r="GN18" s="121" t="str">
        <f>IF(ISBLANK(tbl_task9[[คะแนนเต็ม]:[คะแนนเต็ม]]),"",(tbl_task9[26]/tbl_task9[[คะแนนเต็ม]:[คะแนนเต็ม]])*tbl_task9[[%]:[%]])</f>
        <v/>
      </c>
      <c r="GO18" s="121" t="str">
        <f>IF(ISBLANK(tbl_task9[[คะแนนเต็ม]:[คะแนนเต็ม]]),"",(tbl_task9[27]/tbl_task9[[คะแนนเต็ม]:[คะแนนเต็ม]])*tbl_task9[[%]:[%]])</f>
        <v/>
      </c>
      <c r="GP18" s="121" t="str">
        <f>IF(ISBLANK(tbl_task9[[คะแนนเต็ม]:[คะแนนเต็ม]]),"",(tbl_task9[28]/tbl_task9[[คะแนนเต็ม]:[คะแนนเต็ม]])*tbl_task9[[%]:[%]])</f>
        <v/>
      </c>
      <c r="GQ18" s="121" t="str">
        <f>IF(ISBLANK(tbl_task9[[คะแนนเต็ม]:[คะแนนเต็ม]]),"",(tbl_task9[29]/tbl_task9[[คะแนนเต็ม]:[คะแนนเต็ม]])*tbl_task9[[%]:[%]])</f>
        <v/>
      </c>
      <c r="GR18" s="121" t="str">
        <f>IF(ISBLANK(tbl_task9[[คะแนนเต็ม]:[คะแนนเต็ม]]),"",(tbl_task9[30]/tbl_task9[[คะแนนเต็ม]:[คะแนนเต็ม]])*tbl_task9[[%]:[%]])</f>
        <v/>
      </c>
      <c r="GS18" s="121" t="str">
        <f>IF(ISBLANK(tbl_task9[[คะแนนเต็ม]:[คะแนนเต็ม]]),"",(tbl_task9[31]/tbl_task9[[คะแนนเต็ม]:[คะแนนเต็ม]])*tbl_task9[[%]:[%]])</f>
        <v/>
      </c>
      <c r="GT18" s="121" t="str">
        <f>IF(ISBLANK(tbl_task9[[คะแนนเต็ม]:[คะแนนเต็ม]]),"",(tbl_task9[32]/tbl_task9[[คะแนนเต็ม]:[คะแนนเต็ม]])*tbl_task9[[%]:[%]])</f>
        <v/>
      </c>
      <c r="GU18" s="121" t="str">
        <f>IF(ISBLANK(tbl_task9[[คะแนนเต็ม]:[คะแนนเต็ม]]),"",(tbl_task9[33]/tbl_task9[[คะแนนเต็ม]:[คะแนนเต็ม]])*tbl_task9[[%]:[%]])</f>
        <v/>
      </c>
      <c r="GV18" s="121" t="str">
        <f>IF(ISBLANK(tbl_task9[[คะแนนเต็ม]:[คะแนนเต็ม]]),"",(tbl_task9[34]/tbl_task9[[คะแนนเต็ม]:[คะแนนเต็ม]])*tbl_task9[[%]:[%]])</f>
        <v/>
      </c>
      <c r="GW18" s="121" t="str">
        <f>IF(ISBLANK(tbl_task9[[คะแนนเต็ม]:[คะแนนเต็ม]]),"",(tbl_task9[35]/tbl_task9[[คะแนนเต็ม]:[คะแนนเต็ม]])*tbl_task9[[%]:[%]])</f>
        <v/>
      </c>
      <c r="GX18" s="121" t="str">
        <f>IF(ISBLANK(tbl_task9[[คะแนนเต็ม]:[คะแนนเต็ม]]),"",(tbl_task9[36]/tbl_task9[[คะแนนเต็ม]:[คะแนนเต็ม]])*tbl_task9[[%]:[%]])</f>
        <v/>
      </c>
      <c r="GY18" s="121" t="str">
        <f>IF(ISBLANK(tbl_task9[[คะแนนเต็ม]:[คะแนนเต็ม]]),"",(tbl_task9[37]/tbl_task9[[คะแนนเต็ม]:[คะแนนเต็ม]])*tbl_task9[[%]:[%]])</f>
        <v/>
      </c>
      <c r="GZ18" s="121" t="str">
        <f>IF(ISBLANK(tbl_task9[[คะแนนเต็ม]:[คะแนนเต็ม]]),"",(tbl_task9[38]/tbl_task9[[คะแนนเต็ม]:[คะแนนเต็ม]])*tbl_task9[[%]:[%]])</f>
        <v/>
      </c>
      <c r="HA18" s="121" t="str">
        <f>IF(ISBLANK(tbl_task9[[คะแนนเต็ม]:[คะแนนเต็ม]]),"",(tbl_task9[39]/tbl_task9[[คะแนนเต็ม]:[คะแนนเต็ม]])*tbl_task9[[%]:[%]])</f>
        <v/>
      </c>
      <c r="HB18" s="121" t="str">
        <f>IF(ISBLANK(tbl_task9[[คะแนนเต็ม]:[คะแนนเต็ม]]),"",(tbl_task9[40]/tbl_task9[[คะแนนเต็ม]:[คะแนนเต็ม]])*tbl_task9[[%]:[%]])</f>
        <v/>
      </c>
      <c r="HC18" s="121" t="str">
        <f>IF(ISBLANK(tbl_task9[[คะแนนเต็ม]:[คะแนนเต็ม]]),"",(tbl_task9[41]/tbl_task9[[คะแนนเต็ม]:[คะแนนเต็ม]])*tbl_task9[[%]:[%]])</f>
        <v/>
      </c>
      <c r="HD18" s="121" t="str">
        <f>IF(ISBLANK(tbl_task9[[คะแนนเต็ม]:[คะแนนเต็ม]]),"",(tbl_task9[42]/tbl_task9[[คะแนนเต็ม]:[คะแนนเต็ม]])*tbl_task9[[%]:[%]])</f>
        <v/>
      </c>
      <c r="HE18" s="121" t="str">
        <f>IF(ISBLANK(tbl_task9[[คะแนนเต็ม]:[คะแนนเต็ม]]),"",(tbl_task9[43]/tbl_task9[[คะแนนเต็ม]:[คะแนนเต็ม]])*tbl_task9[[%]:[%]])</f>
        <v/>
      </c>
      <c r="HF18" s="121" t="str">
        <f>IF(ISBLANK(tbl_task9[[คะแนนเต็ม]:[คะแนนเต็ม]]),"",(tbl_task9[44]/tbl_task9[[คะแนนเต็ม]:[คะแนนเต็ม]])*tbl_task9[[%]:[%]])</f>
        <v/>
      </c>
      <c r="HG18" s="121" t="str">
        <f>IF(ISBLANK(tbl_task9[[คะแนนเต็ม]:[คะแนนเต็ม]]),"",(tbl_task9[45]/tbl_task9[[คะแนนเต็ม]:[คะแนนเต็ม]])*tbl_task9[[%]:[%]])</f>
        <v/>
      </c>
      <c r="HH18" s="121" t="str">
        <f>IF(ISBLANK(tbl_task9[[คะแนนเต็ม]:[คะแนนเต็ม]]),"",(tbl_task9[46]/tbl_task9[[คะแนนเต็ม]:[คะแนนเต็ม]])*tbl_task9[[%]:[%]])</f>
        <v/>
      </c>
      <c r="HI18" s="121" t="str">
        <f>IF(ISBLANK(tbl_task9[[คะแนนเต็ม]:[คะแนนเต็ม]]),"",(tbl_task9[47]/tbl_task9[[คะแนนเต็ม]:[คะแนนเต็ม]])*tbl_task9[[%]:[%]])</f>
        <v/>
      </c>
      <c r="HJ18" s="121" t="str">
        <f>IF(ISBLANK(tbl_task9[[คะแนนเต็ม]:[คะแนนเต็ม]]),"",(tbl_task9[48]/tbl_task9[[คะแนนเต็ม]:[คะแนนเต็ม]])*tbl_task9[[%]:[%]])</f>
        <v/>
      </c>
      <c r="HK18" s="121" t="str">
        <f>IF(ISBLANK(tbl_task9[[คะแนนเต็ม]:[คะแนนเต็ม]]),"",(tbl_task9[49]/tbl_task9[[คะแนนเต็ม]:[คะแนนเต็ม]])*tbl_task9[[%]:[%]])</f>
        <v/>
      </c>
      <c r="HL18" s="121" t="str">
        <f>IF(ISBLANK(tbl_task9[[คะแนนเต็ม]:[คะแนนเต็ม]]),"",(tbl_task9[50]/tbl_task9[[คะแนนเต็ม]:[คะแนนเต็ม]])*tbl_task9[[%]:[%]])</f>
        <v/>
      </c>
      <c r="HM18" s="121" t="str">
        <f>IF(ISBLANK(tbl_task9[[คะแนนเต็ม]:[คะแนนเต็ม]]),"",(tbl_task9[51]/tbl_task9[[คะแนนเต็ม]:[คะแนนเต็ม]])*tbl_task9[[%]:[%]])</f>
        <v/>
      </c>
      <c r="HN18" s="121" t="str">
        <f>IF(ISBLANK(tbl_task9[[คะแนนเต็ม]:[คะแนนเต็ม]]),"",(tbl_task9[52]/tbl_task9[[คะแนนเต็ม]:[คะแนนเต็ม]])*tbl_task9[[%]:[%]])</f>
        <v/>
      </c>
      <c r="HO18" s="121" t="str">
        <f>IF(ISBLANK(tbl_task9[[คะแนนเต็ม]:[คะแนนเต็ม]]),"",(tbl_task9[53]/tbl_task9[[คะแนนเต็ม]:[คะแนนเต็ม]])*tbl_task9[[%]:[%]])</f>
        <v/>
      </c>
      <c r="HP18" s="121" t="str">
        <f>IF(ISBLANK(tbl_task9[[คะแนนเต็ม]:[คะแนนเต็ม]]),"",(tbl_task9[54]/tbl_task9[[คะแนนเต็ม]:[คะแนนเต็ม]])*tbl_task9[[%]:[%]])</f>
        <v/>
      </c>
      <c r="HQ18" s="121" t="str">
        <f>IF(ISBLANK(tbl_task9[[คะแนนเต็ม]:[คะแนนเต็ม]]),"",(tbl_task9[55]/tbl_task9[[คะแนนเต็ม]:[คะแนนเต็ม]])*tbl_task9[[%]:[%]])</f>
        <v/>
      </c>
      <c r="HR18" s="121" t="str">
        <f>IF(ISBLANK(tbl_task9[[คะแนนเต็ม]:[คะแนนเต็ม]]),"",(tbl_task9[56]/tbl_task9[[คะแนนเต็ม]:[คะแนนเต็ม]])*tbl_task9[[%]:[%]])</f>
        <v/>
      </c>
      <c r="HS18" s="121" t="str">
        <f>IF(ISBLANK(tbl_task9[[คะแนนเต็ม]:[คะแนนเต็ม]]),"",(tbl_task9[57]/tbl_task9[[คะแนนเต็ม]:[คะแนนเต็ม]])*tbl_task9[[%]:[%]])</f>
        <v/>
      </c>
      <c r="HT18" s="121" t="str">
        <f>IF(ISBLANK(tbl_task9[[คะแนนเต็ม]:[คะแนนเต็ม]]),"",(tbl_task9[58]/tbl_task9[[คะแนนเต็ม]:[คะแนนเต็ม]])*tbl_task9[[%]:[%]])</f>
        <v/>
      </c>
      <c r="HU18" s="121" t="str">
        <f>IF(ISBLANK(tbl_task9[[คะแนนเต็ม]:[คะแนนเต็ม]]),"",(tbl_task9[59]/tbl_task9[[คะแนนเต็ม]:[คะแนนเต็ม]])*tbl_task9[[%]:[%]])</f>
        <v/>
      </c>
      <c r="HV18" s="121" t="str">
        <f>IF(ISBLANK(tbl_task9[[คะแนนเต็ม]:[คะแนนเต็ม]]),"",(tbl_task9[60]/tbl_task9[[คะแนนเต็ม]:[คะแนนเต็ม]])*tbl_task9[[%]:[%]])</f>
        <v/>
      </c>
      <c r="HW18" s="121" t="str">
        <f>IF(ISBLANK(tbl_task9[[คะแนนเต็ม]:[คะแนนเต็ม]]),"",(tbl_task9[61]/tbl_task9[[คะแนนเต็ม]:[คะแนนเต็ม]])*tbl_task9[[%]:[%]])</f>
        <v/>
      </c>
      <c r="HX18" s="121" t="str">
        <f>IF(ISBLANK(tbl_task9[[คะแนนเต็ม]:[คะแนนเต็ม]]),"",(tbl_task9[62]/tbl_task9[[คะแนนเต็ม]:[คะแนนเต็ม]])*tbl_task9[[%]:[%]])</f>
        <v/>
      </c>
      <c r="HY18" s="121" t="str">
        <f>IF(ISBLANK(tbl_task9[[คะแนนเต็ม]:[คะแนนเต็ม]]),"",(tbl_task9[63]/tbl_task9[[คะแนนเต็ม]:[คะแนนเต็ม]])*tbl_task9[[%]:[%]])</f>
        <v/>
      </c>
      <c r="HZ18" s="121" t="str">
        <f>IF(ISBLANK(tbl_task9[[คะแนนเต็ม]:[คะแนนเต็ม]]),"",(tbl_task9[64]/tbl_task9[[คะแนนเต็ม]:[คะแนนเต็ม]])*tbl_task9[[%]:[%]])</f>
        <v/>
      </c>
      <c r="IA18" s="121" t="str">
        <f>IF(ISBLANK(tbl_task9[[คะแนนเต็ม]:[คะแนนเต็ม]]),"",(tbl_task9[65]/tbl_task9[[คะแนนเต็ม]:[คะแนนเต็ม]])*tbl_task9[[%]:[%]])</f>
        <v/>
      </c>
      <c r="IB18" s="121" t="str">
        <f>IF(ISBLANK(tbl_task9[[คะแนนเต็ม]:[คะแนนเต็ม]]),"",(tbl_task9[66]/tbl_task9[[คะแนนเต็ม]:[คะแนนเต็ม]])*tbl_task9[[%]:[%]])</f>
        <v/>
      </c>
      <c r="IC18" s="121" t="str">
        <f>IF(ISBLANK(tbl_task9[[คะแนนเต็ม]:[คะแนนเต็ม]]),"",(tbl_task9[67]/tbl_task9[[คะแนนเต็ม]:[คะแนนเต็ม]])*tbl_task9[[%]:[%]])</f>
        <v/>
      </c>
      <c r="ID18" s="121" t="str">
        <f>IF(ISBLANK(tbl_task9[[คะแนนเต็ม]:[คะแนนเต็ม]]),"",(tbl_task9[68]/tbl_task9[[คะแนนเต็ม]:[คะแนนเต็ม]])*tbl_task9[[%]:[%]])</f>
        <v/>
      </c>
      <c r="IE18" s="121" t="str">
        <f>IF(ISBLANK(tbl_task9[[คะแนนเต็ม]:[คะแนนเต็ม]]),"",(tbl_task9[69]/tbl_task9[[คะแนนเต็ม]:[คะแนนเต็ม]])*tbl_task9[[%]:[%]])</f>
        <v/>
      </c>
      <c r="IF18" s="121" t="str">
        <f>IF(ISBLANK(tbl_task9[[คะแนนเต็ม]:[คะแนนเต็ม]]),"",(tbl_task9[70]/tbl_task9[[คะแนนเต็ม]:[คะแนนเต็ม]])*tbl_task9[[%]:[%]])</f>
        <v/>
      </c>
      <c r="IG18" s="121" t="str">
        <f>IF(ISBLANK(tbl_task9[[คะแนนเต็ม]:[คะแนนเต็ม]]),"",(tbl_task9[71]/tbl_task9[[คะแนนเต็ม]:[คะแนนเต็ม]])*tbl_task9[[%]:[%]])</f>
        <v/>
      </c>
      <c r="IH18" s="121" t="str">
        <f>IF(ISBLANK(tbl_task9[[คะแนนเต็ม]:[คะแนนเต็ม]]),"",(tbl_task9[72]/tbl_task9[[คะแนนเต็ม]:[คะแนนเต็ม]])*tbl_task9[[%]:[%]])</f>
        <v/>
      </c>
      <c r="II18" s="121" t="str">
        <f>IF(ISBLANK(tbl_task9[[คะแนนเต็ม]:[คะแนนเต็ม]]),"",(tbl_task9[73]/tbl_task9[[คะแนนเต็ม]:[คะแนนเต็ม]])*tbl_task9[[%]:[%]])</f>
        <v/>
      </c>
      <c r="IJ18" s="121" t="str">
        <f>IF(ISBLANK(tbl_task9[[คะแนนเต็ม]:[คะแนนเต็ม]]),"",(tbl_task9[74]/tbl_task9[[คะแนนเต็ม]:[คะแนนเต็ม]])*tbl_task9[[%]:[%]])</f>
        <v/>
      </c>
      <c r="IK18" s="121" t="str">
        <f>IF(ISBLANK(tbl_task9[[คะแนนเต็ม]:[คะแนนเต็ม]]),"",(tbl_task9[75]/tbl_task9[[คะแนนเต็ม]:[คะแนนเต็ม]])*tbl_task9[[%]:[%]])</f>
        <v/>
      </c>
      <c r="IL18" s="121" t="str">
        <f>IF(ISBLANK(tbl_task9[[คะแนนเต็ม]:[คะแนนเต็ม]]),"",(tbl_task9[76]/tbl_task9[[คะแนนเต็ม]:[คะแนนเต็ม]])*tbl_task9[[%]:[%]])</f>
        <v/>
      </c>
      <c r="IM18" s="121" t="str">
        <f>IF(ISBLANK(tbl_task9[[คะแนนเต็ม]:[คะแนนเต็ม]]),"",(tbl_task9[77]/tbl_task9[[คะแนนเต็ม]:[คะแนนเต็ม]])*tbl_task9[[%]:[%]])</f>
        <v/>
      </c>
      <c r="IN18" s="121" t="str">
        <f>IF(ISBLANK(tbl_task9[[คะแนนเต็ม]:[คะแนนเต็ม]]),"",(tbl_task9[78]/tbl_task9[[คะแนนเต็ม]:[คะแนนเต็ม]])*tbl_task9[[%]:[%]])</f>
        <v/>
      </c>
      <c r="IO18" s="121" t="str">
        <f>IF(ISBLANK(tbl_task9[[คะแนนเต็ม]:[คะแนนเต็ม]]),"",(tbl_task9[79]/tbl_task9[[คะแนนเต็ม]:[คะแนนเต็ม]])*tbl_task9[[%]:[%]])</f>
        <v/>
      </c>
      <c r="IP18" s="121" t="str">
        <f>IF(ISBLANK(tbl_task9[[คะแนนเต็ม]:[คะแนนเต็ม]]),"",(tbl_task9[80]/tbl_task9[[คะแนนเต็ม]:[คะแนนเต็ม]])*tbl_task9[[%]:[%]])</f>
        <v/>
      </c>
      <c r="IQ18" s="121" t="str">
        <f>IF(ISBLANK(tbl_task9[[คะแนนเต็ม]:[คะแนนเต็ม]]),"",(tbl_task9[81]/tbl_task9[[คะแนนเต็ม]:[คะแนนเต็ม]])*tbl_task9[[%]:[%]])</f>
        <v/>
      </c>
      <c r="IR18" s="121" t="str">
        <f>IF(ISBLANK(tbl_task9[[คะแนนเต็ม]:[คะแนนเต็ม]]),"",(tbl_task9[82]/tbl_task9[[คะแนนเต็ม]:[คะแนนเต็ม]])*tbl_task9[[%]:[%]])</f>
        <v/>
      </c>
      <c r="IS18" s="121" t="str">
        <f>IF(ISBLANK(tbl_task9[[คะแนนเต็ม]:[คะแนนเต็ม]]),"",(tbl_task9[83]/tbl_task9[[คะแนนเต็ม]:[คะแนนเต็ม]])*tbl_task9[[%]:[%]])</f>
        <v/>
      </c>
      <c r="IT18" s="121" t="str">
        <f>IF(ISBLANK(tbl_task9[[คะแนนเต็ม]:[คะแนนเต็ม]]),"",(tbl_task9[84]/tbl_task9[[คะแนนเต็ม]:[คะแนนเต็ม]])*tbl_task9[[%]:[%]])</f>
        <v/>
      </c>
      <c r="IU18" s="121" t="str">
        <f>IF(ISBLANK(tbl_task9[[คะแนนเต็ม]:[คะแนนเต็ม]]),"",(tbl_task9[85]/tbl_task9[[คะแนนเต็ม]:[คะแนนเต็ม]])*tbl_task9[[%]:[%]])</f>
        <v/>
      </c>
      <c r="IV18" s="121" t="str">
        <f>IF(ISBLANK(tbl_task9[[คะแนนเต็ม]:[คะแนนเต็ม]]),"",(tbl_task9[86]/tbl_task9[[คะแนนเต็ม]:[คะแนนเต็ม]])*tbl_task9[[%]:[%]])</f>
        <v/>
      </c>
      <c r="IW18" s="121" t="str">
        <f>IF(ISBLANK(tbl_task9[[คะแนนเต็ม]:[คะแนนเต็ม]]),"",(tbl_task9[87]/tbl_task9[[คะแนนเต็ม]:[คะแนนเต็ม]])*tbl_task9[[%]:[%]])</f>
        <v/>
      </c>
      <c r="IX18" s="121" t="str">
        <f>IF(ISBLANK(tbl_task9[[คะแนนเต็ม]:[คะแนนเต็ม]]),"",(tbl_task9[88]/tbl_task9[[คะแนนเต็ม]:[คะแนนเต็ม]])*tbl_task9[[%]:[%]])</f>
        <v/>
      </c>
      <c r="IY18" s="121" t="str">
        <f>IF(ISBLANK(tbl_task9[[คะแนนเต็ม]:[คะแนนเต็ม]]),"",(tbl_task9[89]/tbl_task9[[คะแนนเต็ม]:[คะแนนเต็ม]])*tbl_task9[[%]:[%]])</f>
        <v/>
      </c>
      <c r="IZ18" s="121" t="str">
        <f>IF(ISBLANK(tbl_task9[[คะแนนเต็ม]:[คะแนนเต็ม]]),"",(tbl_task9[90]/tbl_task9[[คะแนนเต็ม]:[คะแนนเต็ม]])*tbl_task9[[%]:[%]])</f>
        <v/>
      </c>
      <c r="JA18" s="121" t="str">
        <f>IF(ISBLANK(tbl_task9[[คะแนนเต็ม]:[คะแนนเต็ม]]),"",(tbl_task9[91]/tbl_task9[[คะแนนเต็ม]:[คะแนนเต็ม]])*tbl_task9[[%]:[%]])</f>
        <v/>
      </c>
      <c r="JB18" s="121" t="str">
        <f>IF(ISBLANK(tbl_task9[[คะแนนเต็ม]:[คะแนนเต็ม]]),"",(tbl_task9[92]/tbl_task9[[คะแนนเต็ม]:[คะแนนเต็ม]])*tbl_task9[[%]:[%]])</f>
        <v/>
      </c>
      <c r="JC18" s="121" t="str">
        <f>IF(ISBLANK(tbl_task9[[คะแนนเต็ม]:[คะแนนเต็ม]]),"",(tbl_task9[93]/tbl_task9[[คะแนนเต็ม]:[คะแนนเต็ม]])*tbl_task9[[%]:[%]])</f>
        <v/>
      </c>
      <c r="JD18" s="121" t="str">
        <f>IF(ISBLANK(tbl_task9[[คะแนนเต็ม]:[คะแนนเต็ม]]),"",(tbl_task9[94]/tbl_task9[[คะแนนเต็ม]:[คะแนนเต็ม]])*tbl_task9[[%]:[%]])</f>
        <v/>
      </c>
      <c r="JE18" s="121" t="str">
        <f>IF(ISBLANK(tbl_task9[[คะแนนเต็ม]:[คะแนนเต็ม]]),"",(tbl_task9[95]/tbl_task9[[คะแนนเต็ม]:[คะแนนเต็ม]])*tbl_task9[[%]:[%]])</f>
        <v/>
      </c>
      <c r="JF18" s="121" t="str">
        <f>IF(ISBLANK(tbl_task9[[คะแนนเต็ม]:[คะแนนเต็ม]]),"",(tbl_task9[96]/tbl_task9[[คะแนนเต็ม]:[คะแนนเต็ม]])*tbl_task9[[%]:[%]])</f>
        <v/>
      </c>
      <c r="JG18" s="121" t="str">
        <f>IF(ISBLANK(tbl_task9[[คะแนนเต็ม]:[คะแนนเต็ม]]),"",(tbl_task9[97]/tbl_task9[[คะแนนเต็ม]:[คะแนนเต็ม]])*tbl_task9[[%]:[%]])</f>
        <v/>
      </c>
      <c r="JH18" s="121" t="str">
        <f>IF(ISBLANK(tbl_task9[[คะแนนเต็ม]:[คะแนนเต็ม]]),"",(tbl_task9[98]/tbl_task9[[คะแนนเต็ม]:[คะแนนเต็ม]])*tbl_task9[[%]:[%]])</f>
        <v/>
      </c>
      <c r="JI18" s="121" t="str">
        <f>IF(ISBLANK(tbl_task9[[คะแนนเต็ม]:[คะแนนเต็ม]]),"",(tbl_task9[99]/tbl_task9[[คะแนนเต็ม]:[คะแนนเต็ม]])*tbl_task9[[%]:[%]])</f>
        <v/>
      </c>
      <c r="JJ18" s="121" t="str">
        <f>IF(ISBLANK(tbl_task9[[คะแนนเต็ม]:[คะแนนเต็ม]]),"",(tbl_task9[100]/tbl_task9[[คะแนนเต็ม]:[คะแนนเต็ม]])*tbl_task9[[%]:[%]])</f>
        <v/>
      </c>
      <c r="JK18" s="121" t="str">
        <f>IF(ISBLANK(tbl_task9[[คะแนนเต็ม]:[คะแนนเต็ม]]),"",(tbl_task9[101]/tbl_task9[[คะแนนเต็ม]:[คะแนนเต็ม]])*tbl_task9[[%]:[%]])</f>
        <v/>
      </c>
      <c r="JL18" s="121" t="str">
        <f>IF(ISBLANK(tbl_task9[[คะแนนเต็ม]:[คะแนนเต็ม]]),"",(tbl_task9[102]/tbl_task9[[คะแนนเต็ม]:[คะแนนเต็ม]])*tbl_task9[[%]:[%]])</f>
        <v/>
      </c>
      <c r="JM18" s="121" t="str">
        <f>IF(ISBLANK(tbl_task9[[คะแนนเต็ม]:[คะแนนเต็ม]]),"",(tbl_task9[103]/tbl_task9[[คะแนนเต็ม]:[คะแนนเต็ม]])*tbl_task9[[%]:[%]])</f>
        <v/>
      </c>
      <c r="JN18" s="121" t="str">
        <f>IF(ISBLANK(tbl_task9[[คะแนนเต็ม]:[คะแนนเต็ม]]),"",(tbl_task9[104]/tbl_task9[[คะแนนเต็ม]:[คะแนนเต็ม]])*tbl_task9[[%]:[%]])</f>
        <v/>
      </c>
      <c r="JO18" s="121" t="str">
        <f>IF(ISBLANK(tbl_task9[[คะแนนเต็ม]:[คะแนนเต็ม]]),"",(tbl_task9[105]/tbl_task9[[คะแนนเต็ม]:[คะแนนเต็ม]])*tbl_task9[[%]:[%]])</f>
        <v/>
      </c>
      <c r="JP18" s="121" t="str">
        <f>IF(ISBLANK(tbl_task9[[คะแนนเต็ม]:[คะแนนเต็ม]]),"",(tbl_task9[106]/tbl_task9[[คะแนนเต็ม]:[คะแนนเต็ม]])*tbl_task9[[%]:[%]])</f>
        <v/>
      </c>
      <c r="JQ18" s="121" t="str">
        <f>IF(ISBLANK(tbl_task9[[คะแนนเต็ม]:[คะแนนเต็ม]]),"",(tbl_task9[107]/tbl_task9[[คะแนนเต็ม]:[คะแนนเต็ม]])*tbl_task9[[%]:[%]])</f>
        <v/>
      </c>
      <c r="JR18" s="121" t="str">
        <f>IF(ISBLANK(tbl_task9[[คะแนนเต็ม]:[คะแนนเต็ม]]),"",(tbl_task9[108]/tbl_task9[[คะแนนเต็ม]:[คะแนนเต็ม]])*tbl_task9[[%]:[%]])</f>
        <v/>
      </c>
      <c r="JS18" s="121" t="str">
        <f>IF(ISBLANK(tbl_task9[[คะแนนเต็ม]:[คะแนนเต็ม]]),"",(tbl_task9[109]/tbl_task9[[คะแนนเต็ม]:[คะแนนเต็ม]])*tbl_task9[[%]:[%]])</f>
        <v/>
      </c>
      <c r="JT18" s="121" t="str">
        <f>IF(ISBLANK(tbl_task9[[คะแนนเต็ม]:[คะแนนเต็ม]]),"",(tbl_task9[110]/tbl_task9[[คะแนนเต็ม]:[คะแนนเต็ม]])*tbl_task9[[%]:[%]])</f>
        <v/>
      </c>
      <c r="JU18" s="121" t="str">
        <f>IF(ISBLANK(tbl_task9[[คะแนนเต็ม]:[คะแนนเต็ม]]),"",(tbl_task9[111]/tbl_task9[[คะแนนเต็ม]:[คะแนนเต็ม]])*tbl_task9[[%]:[%]])</f>
        <v/>
      </c>
      <c r="JV18" s="121" t="str">
        <f>IF(ISBLANK(tbl_task9[[คะแนนเต็ม]:[คะแนนเต็ม]]),"",(tbl_task9[112]/tbl_task9[[คะแนนเต็ม]:[คะแนนเต็ม]])*tbl_task9[[%]:[%]])</f>
        <v/>
      </c>
      <c r="JW18" s="121" t="str">
        <f>IF(ISBLANK(tbl_task9[[คะแนนเต็ม]:[คะแนนเต็ม]]),"",(tbl_task9[113]/tbl_task9[[คะแนนเต็ม]:[คะแนนเต็ม]])*tbl_task9[[%]:[%]])</f>
        <v/>
      </c>
      <c r="JX18" s="121" t="str">
        <f>IF(ISBLANK(tbl_task9[[คะแนนเต็ม]:[คะแนนเต็ม]]),"",(tbl_task9[114]/tbl_task9[[คะแนนเต็ม]:[คะแนนเต็ม]])*tbl_task9[[%]:[%]])</f>
        <v/>
      </c>
      <c r="JY18" s="121" t="str">
        <f>IF(ISBLANK(tbl_task9[[คะแนนเต็ม]:[คะแนนเต็ม]]),"",(tbl_task9[115]/tbl_task9[[คะแนนเต็ม]:[คะแนนเต็ม]])*tbl_task9[[%]:[%]])</f>
        <v/>
      </c>
      <c r="JZ18" s="121" t="str">
        <f>IF(ISBLANK(tbl_task9[[คะแนนเต็ม]:[คะแนนเต็ม]]),"",(tbl_task9[116]/tbl_task9[[คะแนนเต็ม]:[คะแนนเต็ม]])*tbl_task9[[%]:[%]])</f>
        <v/>
      </c>
      <c r="KA18" s="121" t="str">
        <f>IF(ISBLANK(tbl_task9[[คะแนนเต็ม]:[คะแนนเต็ม]]),"",(tbl_task9[117]/tbl_task9[[คะแนนเต็ม]:[คะแนนเต็ม]])*tbl_task9[[%]:[%]])</f>
        <v/>
      </c>
      <c r="KB18" s="121" t="str">
        <f>IF(ISBLANK(tbl_task9[[คะแนนเต็ม]:[คะแนนเต็ม]]),"",(tbl_task9[118]/tbl_task9[[คะแนนเต็ม]:[คะแนนเต็ม]])*tbl_task9[[%]:[%]])</f>
        <v/>
      </c>
      <c r="KC18" s="121" t="str">
        <f>IF(ISBLANK(tbl_task9[[คะแนนเต็ม]:[คะแนนเต็ม]]),"",(tbl_task9[119]/tbl_task9[[คะแนนเต็ม]:[คะแนนเต็ม]])*tbl_task9[[%]:[%]])</f>
        <v/>
      </c>
      <c r="KD18" s="121" t="str">
        <f>IF(ISBLANK(tbl_task9[[คะแนนเต็ม]:[คะแนนเต็ม]]),"",(tbl_task9[120]/tbl_task9[[คะแนนเต็ม]:[คะแนนเต็ม]])*tbl_task9[[%]:[%]])</f>
        <v/>
      </c>
      <c r="KE18" s="121" t="str">
        <f>IF(ISBLANK(tbl_task9[[คะแนนเต็ม]:[คะแนนเต็ม]]),"",(tbl_task9[121]/tbl_task9[[คะแนนเต็ม]:[คะแนนเต็ม]])*tbl_task9[[%]:[%]])</f>
        <v/>
      </c>
      <c r="KF18" s="121" t="str">
        <f>IF(ISBLANK(tbl_task9[[คะแนนเต็ม]:[คะแนนเต็ม]]),"",(tbl_task9[122]/tbl_task9[[คะแนนเต็ม]:[คะแนนเต็ม]])*tbl_task9[[%]:[%]])</f>
        <v/>
      </c>
      <c r="KG18" s="121" t="str">
        <f>IF(ISBLANK(tbl_task9[[คะแนนเต็ม]:[คะแนนเต็ม]]),"",(tbl_task9[123]/tbl_task9[[คะแนนเต็ม]:[คะแนนเต็ม]])*tbl_task9[[%]:[%]])</f>
        <v/>
      </c>
      <c r="KH18" s="121" t="str">
        <f>IF(ISBLANK(tbl_task9[[คะแนนเต็ม]:[คะแนนเต็ม]]),"",(tbl_task9[124]/tbl_task9[[คะแนนเต็ม]:[คะแนนเต็ม]])*tbl_task9[[%]:[%]])</f>
        <v/>
      </c>
      <c r="KI18" s="121" t="str">
        <f>IF(ISBLANK(tbl_task9[[คะแนนเต็ม]:[คะแนนเต็ม]]),"",(tbl_task9[125]/tbl_task9[[คะแนนเต็ม]:[คะแนนเต็ม]])*tbl_task9[[%]:[%]])</f>
        <v/>
      </c>
      <c r="KJ18" s="121" t="str">
        <f>IF(ISBLANK(tbl_task9[[คะแนนเต็ม]:[คะแนนเต็ม]]),"",(tbl_task9[126]/tbl_task9[[คะแนนเต็ม]:[คะแนนเต็ม]])*tbl_task9[[%]:[%]])</f>
        <v/>
      </c>
      <c r="KK18" s="121" t="str">
        <f>IF(ISBLANK(tbl_task9[[คะแนนเต็ม]:[คะแนนเต็ม]]),"",(tbl_task9[127]/tbl_task9[[คะแนนเต็ม]:[คะแนนเต็ม]])*tbl_task9[[%]:[%]])</f>
        <v/>
      </c>
      <c r="KL18" s="121" t="str">
        <f>IF(ISBLANK(tbl_task9[[คะแนนเต็ม]:[คะแนนเต็ม]]),"",(tbl_task9[128]/tbl_task9[[คะแนนเต็ม]:[คะแนนเต็ม]])*tbl_task9[[%]:[%]])</f>
        <v/>
      </c>
      <c r="KM18" s="121" t="str">
        <f>IF(ISBLANK(tbl_task9[[คะแนนเต็ม]:[คะแนนเต็ม]]),"",(tbl_task9[129]/tbl_task9[[คะแนนเต็ม]:[คะแนนเต็ม]])*tbl_task9[[%]:[%]])</f>
        <v/>
      </c>
      <c r="KN18" s="121" t="str">
        <f>IF(ISBLANK(tbl_task9[[คะแนนเต็ม]:[คะแนนเต็ม]]),"",(tbl_task9[130]/tbl_task9[[คะแนนเต็ม]:[คะแนนเต็ม]])*tbl_task9[[%]:[%]])</f>
        <v/>
      </c>
      <c r="KO18" s="121" t="str">
        <f>IF(ISBLANK(tbl_task9[[คะแนนเต็ม]:[คะแนนเต็ม]]),"",(tbl_task9[131]/tbl_task9[[คะแนนเต็ม]:[คะแนนเต็ม]])*tbl_task9[[%]:[%]])</f>
        <v/>
      </c>
      <c r="KP18" s="121" t="str">
        <f>IF(ISBLANK(tbl_task9[[คะแนนเต็ม]:[คะแนนเต็ม]]),"",(tbl_task9[132]/tbl_task9[[คะแนนเต็ม]:[คะแนนเต็ม]])*tbl_task9[[%]:[%]])</f>
        <v/>
      </c>
      <c r="KQ18" s="121" t="str">
        <f>IF(ISBLANK(tbl_task9[[คะแนนเต็ม]:[คะแนนเต็ม]]),"",(tbl_task9[133]/tbl_task9[[คะแนนเต็ม]:[คะแนนเต็ม]])*tbl_task9[[%]:[%]])</f>
        <v/>
      </c>
      <c r="KR18" s="121" t="str">
        <f>IF(ISBLANK(tbl_task9[[คะแนนเต็ม]:[คะแนนเต็ม]]),"",(tbl_task9[134]/tbl_task9[[คะแนนเต็ม]:[คะแนนเต็ม]])*tbl_task9[[%]:[%]])</f>
        <v/>
      </c>
      <c r="KS18" s="121" t="str">
        <f>IF(ISBLANK(tbl_task9[[คะแนนเต็ม]:[คะแนนเต็ม]]),"",(tbl_task9[135]/tbl_task9[[คะแนนเต็ม]:[คะแนนเต็ม]])*tbl_task9[[%]:[%]])</f>
        <v/>
      </c>
      <c r="KT18" s="121" t="str">
        <f>IF(ISBLANK(tbl_task9[[คะแนนเต็ม]:[คะแนนเต็ม]]),"",(tbl_task9[136]/tbl_task9[[คะแนนเต็ม]:[คะแนนเต็ม]])*tbl_task9[[%]:[%]])</f>
        <v/>
      </c>
      <c r="KU18" s="121" t="str">
        <f>IF(ISBLANK(tbl_task9[[คะแนนเต็ม]:[คะแนนเต็ม]]),"",(tbl_task9[137]/tbl_task9[[คะแนนเต็ม]:[คะแนนเต็ม]])*tbl_task9[[%]:[%]])</f>
        <v/>
      </c>
      <c r="KV18" s="121" t="str">
        <f>IF(ISBLANK(tbl_task9[[คะแนนเต็ม]:[คะแนนเต็ม]]),"",(tbl_task9[138]/tbl_task9[[คะแนนเต็ม]:[คะแนนเต็ม]])*tbl_task9[[%]:[%]])</f>
        <v/>
      </c>
      <c r="KW18" s="121" t="str">
        <f>IF(ISBLANK(tbl_task9[[คะแนนเต็ม]:[คะแนนเต็ม]]),"",(tbl_task9[139]/tbl_task9[[คะแนนเต็ม]:[คะแนนเต็ม]])*tbl_task9[[%]:[%]])</f>
        <v/>
      </c>
      <c r="KX18" s="121" t="str">
        <f>IF(ISBLANK(tbl_task9[[คะแนนเต็ม]:[คะแนนเต็ม]]),"",(tbl_task9[140]/tbl_task9[[คะแนนเต็ม]:[คะแนนเต็ม]])*tbl_task9[[%]:[%]])</f>
        <v/>
      </c>
      <c r="KY18" s="121" t="str">
        <f>IF(ISBLANK(tbl_task9[[คะแนนเต็ม]:[คะแนนเต็ม]]),"",(tbl_task9[141]/tbl_task9[[คะแนนเต็ม]:[คะแนนเต็ม]])*tbl_task9[[%]:[%]])</f>
        <v/>
      </c>
      <c r="KZ18" s="121" t="str">
        <f>IF(ISBLANK(tbl_task9[[คะแนนเต็ม]:[คะแนนเต็ม]]),"",(tbl_task9[142]/tbl_task9[[คะแนนเต็ม]:[คะแนนเต็ม]])*tbl_task9[[%]:[%]])</f>
        <v/>
      </c>
      <c r="LA18" s="121" t="str">
        <f>IF(ISBLANK(tbl_task9[[คะแนนเต็ม]:[คะแนนเต็ม]]),"",(tbl_task9[143]/tbl_task9[[คะแนนเต็ม]:[คะแนนเต็ม]])*tbl_task9[[%]:[%]])</f>
        <v/>
      </c>
      <c r="LB18" s="121" t="str">
        <f>IF(ISBLANK(tbl_task9[[คะแนนเต็ม]:[คะแนนเต็ม]]),"",(tbl_task9[144]/tbl_task9[[คะแนนเต็ม]:[คะแนนเต็ม]])*tbl_task9[[%]:[%]])</f>
        <v/>
      </c>
      <c r="LC18" s="121" t="str">
        <f>IF(ISBLANK(tbl_task9[[คะแนนเต็ม]:[คะแนนเต็ม]]),"",(tbl_task9[145]/tbl_task9[[คะแนนเต็ม]:[คะแนนเต็ม]])*tbl_task9[[%]:[%]])</f>
        <v/>
      </c>
      <c r="LD18" s="121" t="str">
        <f>IF(ISBLANK(tbl_task9[[คะแนนเต็ม]:[คะแนนเต็ม]]),"",(tbl_task9[146]/tbl_task9[[คะแนนเต็ม]:[คะแนนเต็ม]])*tbl_task9[[%]:[%]])</f>
        <v/>
      </c>
      <c r="LE18" s="121" t="str">
        <f>IF(ISBLANK(tbl_task9[[คะแนนเต็ม]:[คะแนนเต็ม]]),"",(tbl_task9[147]/tbl_task9[[คะแนนเต็ม]:[คะแนนเต็ม]])*tbl_task9[[%]:[%]])</f>
        <v/>
      </c>
      <c r="LF18" s="121" t="str">
        <f>IF(ISBLANK(tbl_task9[[คะแนนเต็ม]:[คะแนนเต็ม]]),"",(tbl_task9[148]/tbl_task9[[คะแนนเต็ม]:[คะแนนเต็ม]])*tbl_task9[[%]:[%]])</f>
        <v/>
      </c>
      <c r="LG18" s="121" t="str">
        <f>IF(ISBLANK(tbl_task9[[คะแนนเต็ม]:[คะแนนเต็ม]]),"",(tbl_task9[149]/tbl_task9[[คะแนนเต็ม]:[คะแนนเต็ม]])*tbl_task9[[%]:[%]])</f>
        <v/>
      </c>
      <c r="LH18" s="121" t="str">
        <f>IF(ISBLANK(tbl_task9[[คะแนนเต็ม]:[คะแนนเต็ม]]),"",(tbl_task9[150]/tbl_task9[[คะแนนเต็ม]:[คะแนนเต็ม]])*tbl_task9[[%]:[%]])</f>
        <v/>
      </c>
      <c r="LI18" s="121" t="str">
        <f>IF(ISBLANK(tbl_task9[[คะแนนเต็ม]:[คะแนนเต็ม]]),"",(tbl_task9[151]/tbl_task9[[คะแนนเต็ม]:[คะแนนเต็ม]])*tbl_task9[[%]:[%]])</f>
        <v/>
      </c>
      <c r="LJ18" s="121" t="str">
        <f>IF(ISBLANK(tbl_task9[[คะแนนเต็ม]:[คะแนนเต็ม]]),"",(tbl_task9[152]/tbl_task9[[คะแนนเต็ม]:[คะแนนเต็ม]])*tbl_task9[[%]:[%]])</f>
        <v/>
      </c>
      <c r="LK18" s="121" t="str">
        <f>IF(ISBLANK(tbl_task9[[คะแนนเต็ม]:[คะแนนเต็ม]]),"",(tbl_task9[153]/tbl_task9[[คะแนนเต็ม]:[คะแนนเต็ม]])*tbl_task9[[%]:[%]])</f>
        <v/>
      </c>
      <c r="LL18" s="121" t="str">
        <f>IF(ISBLANK(tbl_task9[[คะแนนเต็ม]:[คะแนนเต็ม]]),"",(tbl_task9[154]/tbl_task9[[คะแนนเต็ม]:[คะแนนเต็ม]])*tbl_task9[[%]:[%]])</f>
        <v/>
      </c>
      <c r="LM18" s="121" t="str">
        <f>IF(ISBLANK(tbl_task9[[คะแนนเต็ม]:[คะแนนเต็ม]]),"",(tbl_task9[155]/tbl_task9[[คะแนนเต็ม]:[คะแนนเต็ม]])*tbl_task9[[%]:[%]])</f>
        <v/>
      </c>
      <c r="LN18" s="121" t="str">
        <f>IF(ISBLANK(tbl_task9[[คะแนนเต็ม]:[คะแนนเต็ม]]),"",(tbl_task9[156]/tbl_task9[[คะแนนเต็ม]:[คะแนนเต็ม]])*tbl_task9[[%]:[%]])</f>
        <v/>
      </c>
      <c r="LO18" s="121" t="str">
        <f>IF(ISBLANK(tbl_task9[[คะแนนเต็ม]:[คะแนนเต็ม]]),"",(tbl_task9[157]/tbl_task9[[คะแนนเต็ม]:[คะแนนเต็ม]])*tbl_task9[[%]:[%]])</f>
        <v/>
      </c>
      <c r="LP18" s="121" t="str">
        <f>IF(ISBLANK(tbl_task9[[คะแนนเต็ม]:[คะแนนเต็ม]]),"",(tbl_task9[158]/tbl_task9[[คะแนนเต็ม]:[คะแนนเต็ม]])*tbl_task9[[%]:[%]])</f>
        <v/>
      </c>
      <c r="LQ18" s="121" t="str">
        <f>IF(ISBLANK(tbl_task9[[คะแนนเต็ม]:[คะแนนเต็ม]]),"",(tbl_task9[159]/tbl_task9[[คะแนนเต็ม]:[คะแนนเต็ม]])*tbl_task9[[%]:[%]])</f>
        <v/>
      </c>
      <c r="LR18" s="121" t="str">
        <f>IF(ISBLANK(tbl_task9[[คะแนนเต็ม]:[คะแนนเต็ม]]),"",(tbl_task9[160]/tbl_task9[[คะแนนเต็ม]:[คะแนนเต็ม]])*tbl_task9[[%]:[%]])</f>
        <v/>
      </c>
      <c r="LS18" s="121" t="str">
        <f>IF(ISBLANK(tbl_task9[[คะแนนเต็ม]:[คะแนนเต็ม]]),"",(tbl_task9[161]/tbl_task9[[คะแนนเต็ม]:[คะแนนเต็ม]])*tbl_task9[[%]:[%]])</f>
        <v/>
      </c>
      <c r="LT18" s="121" t="str">
        <f>IF(ISBLANK(tbl_task9[[คะแนนเต็ม]:[คะแนนเต็ม]]),"",(tbl_task9[162]/tbl_task9[[คะแนนเต็ม]:[คะแนนเต็ม]])*tbl_task9[[%]:[%]])</f>
        <v/>
      </c>
      <c r="LU18" s="121" t="str">
        <f>IF(ISBLANK(tbl_task9[[คะแนนเต็ม]:[คะแนนเต็ม]]),"",(tbl_task9[163]/tbl_task9[[คะแนนเต็ม]:[คะแนนเต็ม]])*tbl_task9[[%]:[%]])</f>
        <v/>
      </c>
      <c r="LV18" s="121" t="str">
        <f>IF(ISBLANK(tbl_task9[[คะแนนเต็ม]:[คะแนนเต็ม]]),"",(tbl_task9[164]/tbl_task9[[คะแนนเต็ม]:[คะแนนเต็ม]])*tbl_task9[[%]:[%]])</f>
        <v/>
      </c>
      <c r="LW18" s="121" t="str">
        <f>IF(ISBLANK(tbl_task9[[คะแนนเต็ม]:[คะแนนเต็ม]]),"",(tbl_task9[165]/tbl_task9[[คะแนนเต็ม]:[คะแนนเต็ม]])*tbl_task9[[%]:[%]])</f>
        <v/>
      </c>
    </row>
    <row r="19" spans="1:335" ht="24" customHeight="1" x14ac:dyDescent="0.25">
      <c r="A19" s="24">
        <v>16</v>
      </c>
      <c r="B19" s="20"/>
      <c r="C19" s="5" t="str">
        <f>IF(ISBLANK(B19),"",VLOOKUP(B19,tbl_PLOs[],2,0))</f>
        <v/>
      </c>
      <c r="D19" s="102"/>
      <c r="E19" s="106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121" t="str">
        <f>IF(ISBLANK(tbl_task9[[คะแนนเต็ม]:[คะแนนเต็ม]]),"",(tbl_task9[1]/tbl_task9[[คะแนนเต็ม]:[คะแนนเต็ม]])*tbl_task9[[%]:[%]])</f>
        <v/>
      </c>
      <c r="FP19" s="121" t="str">
        <f>IF(ISBLANK(tbl_task9[[คะแนนเต็ม]:[คะแนนเต็ม]]),"",(tbl_task9[2]/tbl_task9[[คะแนนเต็ม]:[คะแนนเต็ม]])*tbl_task9[[%]:[%]])</f>
        <v/>
      </c>
      <c r="FQ19" s="121" t="str">
        <f>IF(ISBLANK(tbl_task9[[คะแนนเต็ม]:[คะแนนเต็ม]]),"",(tbl_task9[3]/tbl_task9[[คะแนนเต็ม]:[คะแนนเต็ม]])*tbl_task9[[%]:[%]])</f>
        <v/>
      </c>
      <c r="FR19" s="121" t="str">
        <f>IF(ISBLANK(tbl_task9[[คะแนนเต็ม]:[คะแนนเต็ม]]),"",(tbl_task9[4]/tbl_task9[[คะแนนเต็ม]:[คะแนนเต็ม]])*tbl_task9[[%]:[%]])</f>
        <v/>
      </c>
      <c r="FS19" s="121" t="str">
        <f>IF(ISBLANK(tbl_task9[[คะแนนเต็ม]:[คะแนนเต็ม]]),"",(tbl_task9[5]/tbl_task9[[คะแนนเต็ม]:[คะแนนเต็ม]])*tbl_task9[[%]:[%]])</f>
        <v/>
      </c>
      <c r="FT19" s="121" t="str">
        <f>IF(ISBLANK(tbl_task9[[คะแนนเต็ม]:[คะแนนเต็ม]]),"",(tbl_task9[6]/tbl_task9[[คะแนนเต็ม]:[คะแนนเต็ม]])*tbl_task9[[%]:[%]])</f>
        <v/>
      </c>
      <c r="FU19" s="121" t="str">
        <f>IF(ISBLANK(tbl_task9[[คะแนนเต็ม]:[คะแนนเต็ม]]),"",(tbl_task9[7]/tbl_task9[[คะแนนเต็ม]:[คะแนนเต็ม]])*tbl_task9[[%]:[%]])</f>
        <v/>
      </c>
      <c r="FV19" s="121" t="str">
        <f>IF(ISBLANK(tbl_task9[[คะแนนเต็ม]:[คะแนนเต็ม]]),"",(tbl_task9[8]/tbl_task9[[คะแนนเต็ม]:[คะแนนเต็ม]])*tbl_task9[[%]:[%]])</f>
        <v/>
      </c>
      <c r="FW19" s="121" t="str">
        <f>IF(ISBLANK(tbl_task9[[คะแนนเต็ม]:[คะแนนเต็ม]]),"",(tbl_task9[9]/tbl_task9[[คะแนนเต็ม]:[คะแนนเต็ม]])*tbl_task9[[%]:[%]])</f>
        <v/>
      </c>
      <c r="FX19" s="121" t="str">
        <f>IF(ISBLANK(tbl_task9[[คะแนนเต็ม]:[คะแนนเต็ม]]),"",(tbl_task9[10]/tbl_task9[[คะแนนเต็ม]:[คะแนนเต็ม]])*tbl_task9[[%]:[%]])</f>
        <v/>
      </c>
      <c r="FY19" s="121" t="str">
        <f>IF(ISBLANK(tbl_task9[[คะแนนเต็ม]:[คะแนนเต็ม]]),"",(tbl_task9[11]/tbl_task9[[คะแนนเต็ม]:[คะแนนเต็ม]])*tbl_task9[[%]:[%]])</f>
        <v/>
      </c>
      <c r="FZ19" s="121" t="str">
        <f>IF(ISBLANK(tbl_task9[[คะแนนเต็ม]:[คะแนนเต็ม]]),"",(tbl_task9[12]/tbl_task9[[คะแนนเต็ม]:[คะแนนเต็ม]])*tbl_task9[[%]:[%]])</f>
        <v/>
      </c>
      <c r="GA19" s="121" t="str">
        <f>IF(ISBLANK(tbl_task9[[คะแนนเต็ม]:[คะแนนเต็ม]]),"",(tbl_task9[13]/tbl_task9[[คะแนนเต็ม]:[คะแนนเต็ม]])*tbl_task9[[%]:[%]])</f>
        <v/>
      </c>
      <c r="GB19" s="121" t="str">
        <f>IF(ISBLANK(tbl_task9[[คะแนนเต็ม]:[คะแนนเต็ม]]),"",(tbl_task9[14]/tbl_task9[[คะแนนเต็ม]:[คะแนนเต็ม]])*tbl_task9[[%]:[%]])</f>
        <v/>
      </c>
      <c r="GC19" s="121" t="str">
        <f>IF(ISBLANK(tbl_task9[[คะแนนเต็ม]:[คะแนนเต็ม]]),"",(tbl_task9[15]/tbl_task9[[คะแนนเต็ม]:[คะแนนเต็ม]])*tbl_task9[[%]:[%]])</f>
        <v/>
      </c>
      <c r="GD19" s="121" t="str">
        <f>IF(ISBLANK(tbl_task9[[คะแนนเต็ม]:[คะแนนเต็ม]]),"",(tbl_task9[16]/tbl_task9[[คะแนนเต็ม]:[คะแนนเต็ม]])*tbl_task9[[%]:[%]])</f>
        <v/>
      </c>
      <c r="GE19" s="121" t="str">
        <f>IF(ISBLANK(tbl_task9[[คะแนนเต็ม]:[คะแนนเต็ม]]),"",(tbl_task9[17]/tbl_task9[[คะแนนเต็ม]:[คะแนนเต็ม]])*tbl_task9[[%]:[%]])</f>
        <v/>
      </c>
      <c r="GF19" s="121" t="str">
        <f>IF(ISBLANK(tbl_task9[[คะแนนเต็ม]:[คะแนนเต็ม]]),"",(tbl_task9[18]/tbl_task9[[คะแนนเต็ม]:[คะแนนเต็ม]])*tbl_task9[[%]:[%]])</f>
        <v/>
      </c>
      <c r="GG19" s="121" t="str">
        <f>IF(ISBLANK(tbl_task9[[คะแนนเต็ม]:[คะแนนเต็ม]]),"",(tbl_task9[19]/tbl_task9[[คะแนนเต็ม]:[คะแนนเต็ม]])*tbl_task9[[%]:[%]])</f>
        <v/>
      </c>
      <c r="GH19" s="121" t="str">
        <f>IF(ISBLANK(tbl_task9[[คะแนนเต็ม]:[คะแนนเต็ม]]),"",(tbl_task9[20]/tbl_task9[[คะแนนเต็ม]:[คะแนนเต็ม]])*tbl_task9[[%]:[%]])</f>
        <v/>
      </c>
      <c r="GI19" s="121" t="str">
        <f>IF(ISBLANK(tbl_task9[[คะแนนเต็ม]:[คะแนนเต็ม]]),"",(tbl_task9[21]/tbl_task9[[คะแนนเต็ม]:[คะแนนเต็ม]])*tbl_task9[[%]:[%]])</f>
        <v/>
      </c>
      <c r="GJ19" s="121" t="str">
        <f>IF(ISBLANK(tbl_task9[[คะแนนเต็ม]:[คะแนนเต็ม]]),"",(tbl_task9[22]/tbl_task9[[คะแนนเต็ม]:[คะแนนเต็ม]])*tbl_task9[[%]:[%]])</f>
        <v/>
      </c>
      <c r="GK19" s="121" t="str">
        <f>IF(ISBLANK(tbl_task9[[คะแนนเต็ม]:[คะแนนเต็ม]]),"",(tbl_task9[23]/tbl_task9[[คะแนนเต็ม]:[คะแนนเต็ม]])*tbl_task9[[%]:[%]])</f>
        <v/>
      </c>
      <c r="GL19" s="121" t="str">
        <f>IF(ISBLANK(tbl_task9[[คะแนนเต็ม]:[คะแนนเต็ม]]),"",(tbl_task9[24]/tbl_task9[[คะแนนเต็ม]:[คะแนนเต็ม]])*tbl_task9[[%]:[%]])</f>
        <v/>
      </c>
      <c r="GM19" s="121" t="str">
        <f>IF(ISBLANK(tbl_task9[[คะแนนเต็ม]:[คะแนนเต็ม]]),"",(tbl_task9[25]/tbl_task9[[คะแนนเต็ม]:[คะแนนเต็ม]])*tbl_task9[[%]:[%]])</f>
        <v/>
      </c>
      <c r="GN19" s="121" t="str">
        <f>IF(ISBLANK(tbl_task9[[คะแนนเต็ม]:[คะแนนเต็ม]]),"",(tbl_task9[26]/tbl_task9[[คะแนนเต็ม]:[คะแนนเต็ม]])*tbl_task9[[%]:[%]])</f>
        <v/>
      </c>
      <c r="GO19" s="121" t="str">
        <f>IF(ISBLANK(tbl_task9[[คะแนนเต็ม]:[คะแนนเต็ม]]),"",(tbl_task9[27]/tbl_task9[[คะแนนเต็ม]:[คะแนนเต็ม]])*tbl_task9[[%]:[%]])</f>
        <v/>
      </c>
      <c r="GP19" s="121" t="str">
        <f>IF(ISBLANK(tbl_task9[[คะแนนเต็ม]:[คะแนนเต็ม]]),"",(tbl_task9[28]/tbl_task9[[คะแนนเต็ม]:[คะแนนเต็ม]])*tbl_task9[[%]:[%]])</f>
        <v/>
      </c>
      <c r="GQ19" s="121" t="str">
        <f>IF(ISBLANK(tbl_task9[[คะแนนเต็ม]:[คะแนนเต็ม]]),"",(tbl_task9[29]/tbl_task9[[คะแนนเต็ม]:[คะแนนเต็ม]])*tbl_task9[[%]:[%]])</f>
        <v/>
      </c>
      <c r="GR19" s="121" t="str">
        <f>IF(ISBLANK(tbl_task9[[คะแนนเต็ม]:[คะแนนเต็ม]]),"",(tbl_task9[30]/tbl_task9[[คะแนนเต็ม]:[คะแนนเต็ม]])*tbl_task9[[%]:[%]])</f>
        <v/>
      </c>
      <c r="GS19" s="121" t="str">
        <f>IF(ISBLANK(tbl_task9[[คะแนนเต็ม]:[คะแนนเต็ม]]),"",(tbl_task9[31]/tbl_task9[[คะแนนเต็ม]:[คะแนนเต็ม]])*tbl_task9[[%]:[%]])</f>
        <v/>
      </c>
      <c r="GT19" s="121" t="str">
        <f>IF(ISBLANK(tbl_task9[[คะแนนเต็ม]:[คะแนนเต็ม]]),"",(tbl_task9[32]/tbl_task9[[คะแนนเต็ม]:[คะแนนเต็ม]])*tbl_task9[[%]:[%]])</f>
        <v/>
      </c>
      <c r="GU19" s="121" t="str">
        <f>IF(ISBLANK(tbl_task9[[คะแนนเต็ม]:[คะแนนเต็ม]]),"",(tbl_task9[33]/tbl_task9[[คะแนนเต็ม]:[คะแนนเต็ม]])*tbl_task9[[%]:[%]])</f>
        <v/>
      </c>
      <c r="GV19" s="121" t="str">
        <f>IF(ISBLANK(tbl_task9[[คะแนนเต็ม]:[คะแนนเต็ม]]),"",(tbl_task9[34]/tbl_task9[[คะแนนเต็ม]:[คะแนนเต็ม]])*tbl_task9[[%]:[%]])</f>
        <v/>
      </c>
      <c r="GW19" s="121" t="str">
        <f>IF(ISBLANK(tbl_task9[[คะแนนเต็ม]:[คะแนนเต็ม]]),"",(tbl_task9[35]/tbl_task9[[คะแนนเต็ม]:[คะแนนเต็ม]])*tbl_task9[[%]:[%]])</f>
        <v/>
      </c>
      <c r="GX19" s="121" t="str">
        <f>IF(ISBLANK(tbl_task9[[คะแนนเต็ม]:[คะแนนเต็ม]]),"",(tbl_task9[36]/tbl_task9[[คะแนนเต็ม]:[คะแนนเต็ม]])*tbl_task9[[%]:[%]])</f>
        <v/>
      </c>
      <c r="GY19" s="121" t="str">
        <f>IF(ISBLANK(tbl_task9[[คะแนนเต็ม]:[คะแนนเต็ม]]),"",(tbl_task9[37]/tbl_task9[[คะแนนเต็ม]:[คะแนนเต็ม]])*tbl_task9[[%]:[%]])</f>
        <v/>
      </c>
      <c r="GZ19" s="121" t="str">
        <f>IF(ISBLANK(tbl_task9[[คะแนนเต็ม]:[คะแนนเต็ม]]),"",(tbl_task9[38]/tbl_task9[[คะแนนเต็ม]:[คะแนนเต็ม]])*tbl_task9[[%]:[%]])</f>
        <v/>
      </c>
      <c r="HA19" s="121" t="str">
        <f>IF(ISBLANK(tbl_task9[[คะแนนเต็ม]:[คะแนนเต็ม]]),"",(tbl_task9[39]/tbl_task9[[คะแนนเต็ม]:[คะแนนเต็ม]])*tbl_task9[[%]:[%]])</f>
        <v/>
      </c>
      <c r="HB19" s="121" t="str">
        <f>IF(ISBLANK(tbl_task9[[คะแนนเต็ม]:[คะแนนเต็ม]]),"",(tbl_task9[40]/tbl_task9[[คะแนนเต็ม]:[คะแนนเต็ม]])*tbl_task9[[%]:[%]])</f>
        <v/>
      </c>
      <c r="HC19" s="121" t="str">
        <f>IF(ISBLANK(tbl_task9[[คะแนนเต็ม]:[คะแนนเต็ม]]),"",(tbl_task9[41]/tbl_task9[[คะแนนเต็ม]:[คะแนนเต็ม]])*tbl_task9[[%]:[%]])</f>
        <v/>
      </c>
      <c r="HD19" s="121" t="str">
        <f>IF(ISBLANK(tbl_task9[[คะแนนเต็ม]:[คะแนนเต็ม]]),"",(tbl_task9[42]/tbl_task9[[คะแนนเต็ม]:[คะแนนเต็ม]])*tbl_task9[[%]:[%]])</f>
        <v/>
      </c>
      <c r="HE19" s="121" t="str">
        <f>IF(ISBLANK(tbl_task9[[คะแนนเต็ม]:[คะแนนเต็ม]]),"",(tbl_task9[43]/tbl_task9[[คะแนนเต็ม]:[คะแนนเต็ม]])*tbl_task9[[%]:[%]])</f>
        <v/>
      </c>
      <c r="HF19" s="121" t="str">
        <f>IF(ISBLANK(tbl_task9[[คะแนนเต็ม]:[คะแนนเต็ม]]),"",(tbl_task9[44]/tbl_task9[[คะแนนเต็ม]:[คะแนนเต็ม]])*tbl_task9[[%]:[%]])</f>
        <v/>
      </c>
      <c r="HG19" s="121" t="str">
        <f>IF(ISBLANK(tbl_task9[[คะแนนเต็ม]:[คะแนนเต็ม]]),"",(tbl_task9[45]/tbl_task9[[คะแนนเต็ม]:[คะแนนเต็ม]])*tbl_task9[[%]:[%]])</f>
        <v/>
      </c>
      <c r="HH19" s="121" t="str">
        <f>IF(ISBLANK(tbl_task9[[คะแนนเต็ม]:[คะแนนเต็ม]]),"",(tbl_task9[46]/tbl_task9[[คะแนนเต็ม]:[คะแนนเต็ม]])*tbl_task9[[%]:[%]])</f>
        <v/>
      </c>
      <c r="HI19" s="121" t="str">
        <f>IF(ISBLANK(tbl_task9[[คะแนนเต็ม]:[คะแนนเต็ม]]),"",(tbl_task9[47]/tbl_task9[[คะแนนเต็ม]:[คะแนนเต็ม]])*tbl_task9[[%]:[%]])</f>
        <v/>
      </c>
      <c r="HJ19" s="121" t="str">
        <f>IF(ISBLANK(tbl_task9[[คะแนนเต็ม]:[คะแนนเต็ม]]),"",(tbl_task9[48]/tbl_task9[[คะแนนเต็ม]:[คะแนนเต็ม]])*tbl_task9[[%]:[%]])</f>
        <v/>
      </c>
      <c r="HK19" s="121" t="str">
        <f>IF(ISBLANK(tbl_task9[[คะแนนเต็ม]:[คะแนนเต็ม]]),"",(tbl_task9[49]/tbl_task9[[คะแนนเต็ม]:[คะแนนเต็ม]])*tbl_task9[[%]:[%]])</f>
        <v/>
      </c>
      <c r="HL19" s="121" t="str">
        <f>IF(ISBLANK(tbl_task9[[คะแนนเต็ม]:[คะแนนเต็ม]]),"",(tbl_task9[50]/tbl_task9[[คะแนนเต็ม]:[คะแนนเต็ม]])*tbl_task9[[%]:[%]])</f>
        <v/>
      </c>
      <c r="HM19" s="121" t="str">
        <f>IF(ISBLANK(tbl_task9[[คะแนนเต็ม]:[คะแนนเต็ม]]),"",(tbl_task9[51]/tbl_task9[[คะแนนเต็ม]:[คะแนนเต็ม]])*tbl_task9[[%]:[%]])</f>
        <v/>
      </c>
      <c r="HN19" s="121" t="str">
        <f>IF(ISBLANK(tbl_task9[[คะแนนเต็ม]:[คะแนนเต็ม]]),"",(tbl_task9[52]/tbl_task9[[คะแนนเต็ม]:[คะแนนเต็ม]])*tbl_task9[[%]:[%]])</f>
        <v/>
      </c>
      <c r="HO19" s="121" t="str">
        <f>IF(ISBLANK(tbl_task9[[คะแนนเต็ม]:[คะแนนเต็ม]]),"",(tbl_task9[53]/tbl_task9[[คะแนนเต็ม]:[คะแนนเต็ม]])*tbl_task9[[%]:[%]])</f>
        <v/>
      </c>
      <c r="HP19" s="121" t="str">
        <f>IF(ISBLANK(tbl_task9[[คะแนนเต็ม]:[คะแนนเต็ม]]),"",(tbl_task9[54]/tbl_task9[[คะแนนเต็ม]:[คะแนนเต็ม]])*tbl_task9[[%]:[%]])</f>
        <v/>
      </c>
      <c r="HQ19" s="121" t="str">
        <f>IF(ISBLANK(tbl_task9[[คะแนนเต็ม]:[คะแนนเต็ม]]),"",(tbl_task9[55]/tbl_task9[[คะแนนเต็ม]:[คะแนนเต็ม]])*tbl_task9[[%]:[%]])</f>
        <v/>
      </c>
      <c r="HR19" s="121" t="str">
        <f>IF(ISBLANK(tbl_task9[[คะแนนเต็ม]:[คะแนนเต็ม]]),"",(tbl_task9[56]/tbl_task9[[คะแนนเต็ม]:[คะแนนเต็ม]])*tbl_task9[[%]:[%]])</f>
        <v/>
      </c>
      <c r="HS19" s="121" t="str">
        <f>IF(ISBLANK(tbl_task9[[คะแนนเต็ม]:[คะแนนเต็ม]]),"",(tbl_task9[57]/tbl_task9[[คะแนนเต็ม]:[คะแนนเต็ม]])*tbl_task9[[%]:[%]])</f>
        <v/>
      </c>
      <c r="HT19" s="121" t="str">
        <f>IF(ISBLANK(tbl_task9[[คะแนนเต็ม]:[คะแนนเต็ม]]),"",(tbl_task9[58]/tbl_task9[[คะแนนเต็ม]:[คะแนนเต็ม]])*tbl_task9[[%]:[%]])</f>
        <v/>
      </c>
      <c r="HU19" s="121" t="str">
        <f>IF(ISBLANK(tbl_task9[[คะแนนเต็ม]:[คะแนนเต็ม]]),"",(tbl_task9[59]/tbl_task9[[คะแนนเต็ม]:[คะแนนเต็ม]])*tbl_task9[[%]:[%]])</f>
        <v/>
      </c>
      <c r="HV19" s="121" t="str">
        <f>IF(ISBLANK(tbl_task9[[คะแนนเต็ม]:[คะแนนเต็ม]]),"",(tbl_task9[60]/tbl_task9[[คะแนนเต็ม]:[คะแนนเต็ม]])*tbl_task9[[%]:[%]])</f>
        <v/>
      </c>
      <c r="HW19" s="121" t="str">
        <f>IF(ISBLANK(tbl_task9[[คะแนนเต็ม]:[คะแนนเต็ม]]),"",(tbl_task9[61]/tbl_task9[[คะแนนเต็ม]:[คะแนนเต็ม]])*tbl_task9[[%]:[%]])</f>
        <v/>
      </c>
      <c r="HX19" s="121" t="str">
        <f>IF(ISBLANK(tbl_task9[[คะแนนเต็ม]:[คะแนนเต็ม]]),"",(tbl_task9[62]/tbl_task9[[คะแนนเต็ม]:[คะแนนเต็ม]])*tbl_task9[[%]:[%]])</f>
        <v/>
      </c>
      <c r="HY19" s="121" t="str">
        <f>IF(ISBLANK(tbl_task9[[คะแนนเต็ม]:[คะแนนเต็ม]]),"",(tbl_task9[63]/tbl_task9[[คะแนนเต็ม]:[คะแนนเต็ม]])*tbl_task9[[%]:[%]])</f>
        <v/>
      </c>
      <c r="HZ19" s="121" t="str">
        <f>IF(ISBLANK(tbl_task9[[คะแนนเต็ม]:[คะแนนเต็ม]]),"",(tbl_task9[64]/tbl_task9[[คะแนนเต็ม]:[คะแนนเต็ม]])*tbl_task9[[%]:[%]])</f>
        <v/>
      </c>
      <c r="IA19" s="121" t="str">
        <f>IF(ISBLANK(tbl_task9[[คะแนนเต็ม]:[คะแนนเต็ม]]),"",(tbl_task9[65]/tbl_task9[[คะแนนเต็ม]:[คะแนนเต็ม]])*tbl_task9[[%]:[%]])</f>
        <v/>
      </c>
      <c r="IB19" s="121" t="str">
        <f>IF(ISBLANK(tbl_task9[[คะแนนเต็ม]:[คะแนนเต็ม]]),"",(tbl_task9[66]/tbl_task9[[คะแนนเต็ม]:[คะแนนเต็ม]])*tbl_task9[[%]:[%]])</f>
        <v/>
      </c>
      <c r="IC19" s="121" t="str">
        <f>IF(ISBLANK(tbl_task9[[คะแนนเต็ม]:[คะแนนเต็ม]]),"",(tbl_task9[67]/tbl_task9[[คะแนนเต็ม]:[คะแนนเต็ม]])*tbl_task9[[%]:[%]])</f>
        <v/>
      </c>
      <c r="ID19" s="121" t="str">
        <f>IF(ISBLANK(tbl_task9[[คะแนนเต็ม]:[คะแนนเต็ม]]),"",(tbl_task9[68]/tbl_task9[[คะแนนเต็ม]:[คะแนนเต็ม]])*tbl_task9[[%]:[%]])</f>
        <v/>
      </c>
      <c r="IE19" s="121" t="str">
        <f>IF(ISBLANK(tbl_task9[[คะแนนเต็ม]:[คะแนนเต็ม]]),"",(tbl_task9[69]/tbl_task9[[คะแนนเต็ม]:[คะแนนเต็ม]])*tbl_task9[[%]:[%]])</f>
        <v/>
      </c>
      <c r="IF19" s="121" t="str">
        <f>IF(ISBLANK(tbl_task9[[คะแนนเต็ม]:[คะแนนเต็ม]]),"",(tbl_task9[70]/tbl_task9[[คะแนนเต็ม]:[คะแนนเต็ม]])*tbl_task9[[%]:[%]])</f>
        <v/>
      </c>
      <c r="IG19" s="121" t="str">
        <f>IF(ISBLANK(tbl_task9[[คะแนนเต็ม]:[คะแนนเต็ม]]),"",(tbl_task9[71]/tbl_task9[[คะแนนเต็ม]:[คะแนนเต็ม]])*tbl_task9[[%]:[%]])</f>
        <v/>
      </c>
      <c r="IH19" s="121" t="str">
        <f>IF(ISBLANK(tbl_task9[[คะแนนเต็ม]:[คะแนนเต็ม]]),"",(tbl_task9[72]/tbl_task9[[คะแนนเต็ม]:[คะแนนเต็ม]])*tbl_task9[[%]:[%]])</f>
        <v/>
      </c>
      <c r="II19" s="121" t="str">
        <f>IF(ISBLANK(tbl_task9[[คะแนนเต็ม]:[คะแนนเต็ม]]),"",(tbl_task9[73]/tbl_task9[[คะแนนเต็ม]:[คะแนนเต็ม]])*tbl_task9[[%]:[%]])</f>
        <v/>
      </c>
      <c r="IJ19" s="121" t="str">
        <f>IF(ISBLANK(tbl_task9[[คะแนนเต็ม]:[คะแนนเต็ม]]),"",(tbl_task9[74]/tbl_task9[[คะแนนเต็ม]:[คะแนนเต็ม]])*tbl_task9[[%]:[%]])</f>
        <v/>
      </c>
      <c r="IK19" s="121" t="str">
        <f>IF(ISBLANK(tbl_task9[[คะแนนเต็ม]:[คะแนนเต็ม]]),"",(tbl_task9[75]/tbl_task9[[คะแนนเต็ม]:[คะแนนเต็ม]])*tbl_task9[[%]:[%]])</f>
        <v/>
      </c>
      <c r="IL19" s="121" t="str">
        <f>IF(ISBLANK(tbl_task9[[คะแนนเต็ม]:[คะแนนเต็ม]]),"",(tbl_task9[76]/tbl_task9[[คะแนนเต็ม]:[คะแนนเต็ม]])*tbl_task9[[%]:[%]])</f>
        <v/>
      </c>
      <c r="IM19" s="121" t="str">
        <f>IF(ISBLANK(tbl_task9[[คะแนนเต็ม]:[คะแนนเต็ม]]),"",(tbl_task9[77]/tbl_task9[[คะแนนเต็ม]:[คะแนนเต็ม]])*tbl_task9[[%]:[%]])</f>
        <v/>
      </c>
      <c r="IN19" s="121" t="str">
        <f>IF(ISBLANK(tbl_task9[[คะแนนเต็ม]:[คะแนนเต็ม]]),"",(tbl_task9[78]/tbl_task9[[คะแนนเต็ม]:[คะแนนเต็ม]])*tbl_task9[[%]:[%]])</f>
        <v/>
      </c>
      <c r="IO19" s="121" t="str">
        <f>IF(ISBLANK(tbl_task9[[คะแนนเต็ม]:[คะแนนเต็ม]]),"",(tbl_task9[79]/tbl_task9[[คะแนนเต็ม]:[คะแนนเต็ม]])*tbl_task9[[%]:[%]])</f>
        <v/>
      </c>
      <c r="IP19" s="121" t="str">
        <f>IF(ISBLANK(tbl_task9[[คะแนนเต็ม]:[คะแนนเต็ม]]),"",(tbl_task9[80]/tbl_task9[[คะแนนเต็ม]:[คะแนนเต็ม]])*tbl_task9[[%]:[%]])</f>
        <v/>
      </c>
      <c r="IQ19" s="121" t="str">
        <f>IF(ISBLANK(tbl_task9[[คะแนนเต็ม]:[คะแนนเต็ม]]),"",(tbl_task9[81]/tbl_task9[[คะแนนเต็ม]:[คะแนนเต็ม]])*tbl_task9[[%]:[%]])</f>
        <v/>
      </c>
      <c r="IR19" s="121" t="str">
        <f>IF(ISBLANK(tbl_task9[[คะแนนเต็ม]:[คะแนนเต็ม]]),"",(tbl_task9[82]/tbl_task9[[คะแนนเต็ม]:[คะแนนเต็ม]])*tbl_task9[[%]:[%]])</f>
        <v/>
      </c>
      <c r="IS19" s="121" t="str">
        <f>IF(ISBLANK(tbl_task9[[คะแนนเต็ม]:[คะแนนเต็ม]]),"",(tbl_task9[83]/tbl_task9[[คะแนนเต็ม]:[คะแนนเต็ม]])*tbl_task9[[%]:[%]])</f>
        <v/>
      </c>
      <c r="IT19" s="121" t="str">
        <f>IF(ISBLANK(tbl_task9[[คะแนนเต็ม]:[คะแนนเต็ม]]),"",(tbl_task9[84]/tbl_task9[[คะแนนเต็ม]:[คะแนนเต็ม]])*tbl_task9[[%]:[%]])</f>
        <v/>
      </c>
      <c r="IU19" s="121" t="str">
        <f>IF(ISBLANK(tbl_task9[[คะแนนเต็ม]:[คะแนนเต็ม]]),"",(tbl_task9[85]/tbl_task9[[คะแนนเต็ม]:[คะแนนเต็ม]])*tbl_task9[[%]:[%]])</f>
        <v/>
      </c>
      <c r="IV19" s="121" t="str">
        <f>IF(ISBLANK(tbl_task9[[คะแนนเต็ม]:[คะแนนเต็ม]]),"",(tbl_task9[86]/tbl_task9[[คะแนนเต็ม]:[คะแนนเต็ม]])*tbl_task9[[%]:[%]])</f>
        <v/>
      </c>
      <c r="IW19" s="121" t="str">
        <f>IF(ISBLANK(tbl_task9[[คะแนนเต็ม]:[คะแนนเต็ม]]),"",(tbl_task9[87]/tbl_task9[[คะแนนเต็ม]:[คะแนนเต็ม]])*tbl_task9[[%]:[%]])</f>
        <v/>
      </c>
      <c r="IX19" s="121" t="str">
        <f>IF(ISBLANK(tbl_task9[[คะแนนเต็ม]:[คะแนนเต็ม]]),"",(tbl_task9[88]/tbl_task9[[คะแนนเต็ม]:[คะแนนเต็ม]])*tbl_task9[[%]:[%]])</f>
        <v/>
      </c>
      <c r="IY19" s="121" t="str">
        <f>IF(ISBLANK(tbl_task9[[คะแนนเต็ม]:[คะแนนเต็ม]]),"",(tbl_task9[89]/tbl_task9[[คะแนนเต็ม]:[คะแนนเต็ม]])*tbl_task9[[%]:[%]])</f>
        <v/>
      </c>
      <c r="IZ19" s="121" t="str">
        <f>IF(ISBLANK(tbl_task9[[คะแนนเต็ม]:[คะแนนเต็ม]]),"",(tbl_task9[90]/tbl_task9[[คะแนนเต็ม]:[คะแนนเต็ม]])*tbl_task9[[%]:[%]])</f>
        <v/>
      </c>
      <c r="JA19" s="121" t="str">
        <f>IF(ISBLANK(tbl_task9[[คะแนนเต็ม]:[คะแนนเต็ม]]),"",(tbl_task9[91]/tbl_task9[[คะแนนเต็ม]:[คะแนนเต็ม]])*tbl_task9[[%]:[%]])</f>
        <v/>
      </c>
      <c r="JB19" s="121" t="str">
        <f>IF(ISBLANK(tbl_task9[[คะแนนเต็ม]:[คะแนนเต็ม]]),"",(tbl_task9[92]/tbl_task9[[คะแนนเต็ม]:[คะแนนเต็ม]])*tbl_task9[[%]:[%]])</f>
        <v/>
      </c>
      <c r="JC19" s="121" t="str">
        <f>IF(ISBLANK(tbl_task9[[คะแนนเต็ม]:[คะแนนเต็ม]]),"",(tbl_task9[93]/tbl_task9[[คะแนนเต็ม]:[คะแนนเต็ม]])*tbl_task9[[%]:[%]])</f>
        <v/>
      </c>
      <c r="JD19" s="121" t="str">
        <f>IF(ISBLANK(tbl_task9[[คะแนนเต็ม]:[คะแนนเต็ม]]),"",(tbl_task9[94]/tbl_task9[[คะแนนเต็ม]:[คะแนนเต็ม]])*tbl_task9[[%]:[%]])</f>
        <v/>
      </c>
      <c r="JE19" s="121" t="str">
        <f>IF(ISBLANK(tbl_task9[[คะแนนเต็ม]:[คะแนนเต็ม]]),"",(tbl_task9[95]/tbl_task9[[คะแนนเต็ม]:[คะแนนเต็ม]])*tbl_task9[[%]:[%]])</f>
        <v/>
      </c>
      <c r="JF19" s="121" t="str">
        <f>IF(ISBLANK(tbl_task9[[คะแนนเต็ม]:[คะแนนเต็ม]]),"",(tbl_task9[96]/tbl_task9[[คะแนนเต็ม]:[คะแนนเต็ม]])*tbl_task9[[%]:[%]])</f>
        <v/>
      </c>
      <c r="JG19" s="121" t="str">
        <f>IF(ISBLANK(tbl_task9[[คะแนนเต็ม]:[คะแนนเต็ม]]),"",(tbl_task9[97]/tbl_task9[[คะแนนเต็ม]:[คะแนนเต็ม]])*tbl_task9[[%]:[%]])</f>
        <v/>
      </c>
      <c r="JH19" s="121" t="str">
        <f>IF(ISBLANK(tbl_task9[[คะแนนเต็ม]:[คะแนนเต็ม]]),"",(tbl_task9[98]/tbl_task9[[คะแนนเต็ม]:[คะแนนเต็ม]])*tbl_task9[[%]:[%]])</f>
        <v/>
      </c>
      <c r="JI19" s="121" t="str">
        <f>IF(ISBLANK(tbl_task9[[คะแนนเต็ม]:[คะแนนเต็ม]]),"",(tbl_task9[99]/tbl_task9[[คะแนนเต็ม]:[คะแนนเต็ม]])*tbl_task9[[%]:[%]])</f>
        <v/>
      </c>
      <c r="JJ19" s="121" t="str">
        <f>IF(ISBLANK(tbl_task9[[คะแนนเต็ม]:[คะแนนเต็ม]]),"",(tbl_task9[100]/tbl_task9[[คะแนนเต็ม]:[คะแนนเต็ม]])*tbl_task9[[%]:[%]])</f>
        <v/>
      </c>
      <c r="JK19" s="121" t="str">
        <f>IF(ISBLANK(tbl_task9[[คะแนนเต็ม]:[คะแนนเต็ม]]),"",(tbl_task9[101]/tbl_task9[[คะแนนเต็ม]:[คะแนนเต็ม]])*tbl_task9[[%]:[%]])</f>
        <v/>
      </c>
      <c r="JL19" s="121" t="str">
        <f>IF(ISBLANK(tbl_task9[[คะแนนเต็ม]:[คะแนนเต็ม]]),"",(tbl_task9[102]/tbl_task9[[คะแนนเต็ม]:[คะแนนเต็ม]])*tbl_task9[[%]:[%]])</f>
        <v/>
      </c>
      <c r="JM19" s="121" t="str">
        <f>IF(ISBLANK(tbl_task9[[คะแนนเต็ม]:[คะแนนเต็ม]]),"",(tbl_task9[103]/tbl_task9[[คะแนนเต็ม]:[คะแนนเต็ม]])*tbl_task9[[%]:[%]])</f>
        <v/>
      </c>
      <c r="JN19" s="121" t="str">
        <f>IF(ISBLANK(tbl_task9[[คะแนนเต็ม]:[คะแนนเต็ม]]),"",(tbl_task9[104]/tbl_task9[[คะแนนเต็ม]:[คะแนนเต็ม]])*tbl_task9[[%]:[%]])</f>
        <v/>
      </c>
      <c r="JO19" s="121" t="str">
        <f>IF(ISBLANK(tbl_task9[[คะแนนเต็ม]:[คะแนนเต็ม]]),"",(tbl_task9[105]/tbl_task9[[คะแนนเต็ม]:[คะแนนเต็ม]])*tbl_task9[[%]:[%]])</f>
        <v/>
      </c>
      <c r="JP19" s="121" t="str">
        <f>IF(ISBLANK(tbl_task9[[คะแนนเต็ม]:[คะแนนเต็ม]]),"",(tbl_task9[106]/tbl_task9[[คะแนนเต็ม]:[คะแนนเต็ม]])*tbl_task9[[%]:[%]])</f>
        <v/>
      </c>
      <c r="JQ19" s="121" t="str">
        <f>IF(ISBLANK(tbl_task9[[คะแนนเต็ม]:[คะแนนเต็ม]]),"",(tbl_task9[107]/tbl_task9[[คะแนนเต็ม]:[คะแนนเต็ม]])*tbl_task9[[%]:[%]])</f>
        <v/>
      </c>
      <c r="JR19" s="121" t="str">
        <f>IF(ISBLANK(tbl_task9[[คะแนนเต็ม]:[คะแนนเต็ม]]),"",(tbl_task9[108]/tbl_task9[[คะแนนเต็ม]:[คะแนนเต็ม]])*tbl_task9[[%]:[%]])</f>
        <v/>
      </c>
      <c r="JS19" s="121" t="str">
        <f>IF(ISBLANK(tbl_task9[[คะแนนเต็ม]:[คะแนนเต็ม]]),"",(tbl_task9[109]/tbl_task9[[คะแนนเต็ม]:[คะแนนเต็ม]])*tbl_task9[[%]:[%]])</f>
        <v/>
      </c>
      <c r="JT19" s="121" t="str">
        <f>IF(ISBLANK(tbl_task9[[คะแนนเต็ม]:[คะแนนเต็ม]]),"",(tbl_task9[110]/tbl_task9[[คะแนนเต็ม]:[คะแนนเต็ม]])*tbl_task9[[%]:[%]])</f>
        <v/>
      </c>
      <c r="JU19" s="121" t="str">
        <f>IF(ISBLANK(tbl_task9[[คะแนนเต็ม]:[คะแนนเต็ม]]),"",(tbl_task9[111]/tbl_task9[[คะแนนเต็ม]:[คะแนนเต็ม]])*tbl_task9[[%]:[%]])</f>
        <v/>
      </c>
      <c r="JV19" s="121" t="str">
        <f>IF(ISBLANK(tbl_task9[[คะแนนเต็ม]:[คะแนนเต็ม]]),"",(tbl_task9[112]/tbl_task9[[คะแนนเต็ม]:[คะแนนเต็ม]])*tbl_task9[[%]:[%]])</f>
        <v/>
      </c>
      <c r="JW19" s="121" t="str">
        <f>IF(ISBLANK(tbl_task9[[คะแนนเต็ม]:[คะแนนเต็ม]]),"",(tbl_task9[113]/tbl_task9[[คะแนนเต็ม]:[คะแนนเต็ม]])*tbl_task9[[%]:[%]])</f>
        <v/>
      </c>
      <c r="JX19" s="121" t="str">
        <f>IF(ISBLANK(tbl_task9[[คะแนนเต็ม]:[คะแนนเต็ม]]),"",(tbl_task9[114]/tbl_task9[[คะแนนเต็ม]:[คะแนนเต็ม]])*tbl_task9[[%]:[%]])</f>
        <v/>
      </c>
      <c r="JY19" s="121" t="str">
        <f>IF(ISBLANK(tbl_task9[[คะแนนเต็ม]:[คะแนนเต็ม]]),"",(tbl_task9[115]/tbl_task9[[คะแนนเต็ม]:[คะแนนเต็ม]])*tbl_task9[[%]:[%]])</f>
        <v/>
      </c>
      <c r="JZ19" s="121" t="str">
        <f>IF(ISBLANK(tbl_task9[[คะแนนเต็ม]:[คะแนนเต็ม]]),"",(tbl_task9[116]/tbl_task9[[คะแนนเต็ม]:[คะแนนเต็ม]])*tbl_task9[[%]:[%]])</f>
        <v/>
      </c>
      <c r="KA19" s="121" t="str">
        <f>IF(ISBLANK(tbl_task9[[คะแนนเต็ม]:[คะแนนเต็ม]]),"",(tbl_task9[117]/tbl_task9[[คะแนนเต็ม]:[คะแนนเต็ม]])*tbl_task9[[%]:[%]])</f>
        <v/>
      </c>
      <c r="KB19" s="121" t="str">
        <f>IF(ISBLANK(tbl_task9[[คะแนนเต็ม]:[คะแนนเต็ม]]),"",(tbl_task9[118]/tbl_task9[[คะแนนเต็ม]:[คะแนนเต็ม]])*tbl_task9[[%]:[%]])</f>
        <v/>
      </c>
      <c r="KC19" s="121" t="str">
        <f>IF(ISBLANK(tbl_task9[[คะแนนเต็ม]:[คะแนนเต็ม]]),"",(tbl_task9[119]/tbl_task9[[คะแนนเต็ม]:[คะแนนเต็ม]])*tbl_task9[[%]:[%]])</f>
        <v/>
      </c>
      <c r="KD19" s="121" t="str">
        <f>IF(ISBLANK(tbl_task9[[คะแนนเต็ม]:[คะแนนเต็ม]]),"",(tbl_task9[120]/tbl_task9[[คะแนนเต็ม]:[คะแนนเต็ม]])*tbl_task9[[%]:[%]])</f>
        <v/>
      </c>
      <c r="KE19" s="121" t="str">
        <f>IF(ISBLANK(tbl_task9[[คะแนนเต็ม]:[คะแนนเต็ม]]),"",(tbl_task9[121]/tbl_task9[[คะแนนเต็ม]:[คะแนนเต็ม]])*tbl_task9[[%]:[%]])</f>
        <v/>
      </c>
      <c r="KF19" s="121" t="str">
        <f>IF(ISBLANK(tbl_task9[[คะแนนเต็ม]:[คะแนนเต็ม]]),"",(tbl_task9[122]/tbl_task9[[คะแนนเต็ม]:[คะแนนเต็ม]])*tbl_task9[[%]:[%]])</f>
        <v/>
      </c>
      <c r="KG19" s="121" t="str">
        <f>IF(ISBLANK(tbl_task9[[คะแนนเต็ม]:[คะแนนเต็ม]]),"",(tbl_task9[123]/tbl_task9[[คะแนนเต็ม]:[คะแนนเต็ม]])*tbl_task9[[%]:[%]])</f>
        <v/>
      </c>
      <c r="KH19" s="121" t="str">
        <f>IF(ISBLANK(tbl_task9[[คะแนนเต็ม]:[คะแนนเต็ม]]),"",(tbl_task9[124]/tbl_task9[[คะแนนเต็ม]:[คะแนนเต็ม]])*tbl_task9[[%]:[%]])</f>
        <v/>
      </c>
      <c r="KI19" s="121" t="str">
        <f>IF(ISBLANK(tbl_task9[[คะแนนเต็ม]:[คะแนนเต็ม]]),"",(tbl_task9[125]/tbl_task9[[คะแนนเต็ม]:[คะแนนเต็ม]])*tbl_task9[[%]:[%]])</f>
        <v/>
      </c>
      <c r="KJ19" s="121" t="str">
        <f>IF(ISBLANK(tbl_task9[[คะแนนเต็ม]:[คะแนนเต็ม]]),"",(tbl_task9[126]/tbl_task9[[คะแนนเต็ม]:[คะแนนเต็ม]])*tbl_task9[[%]:[%]])</f>
        <v/>
      </c>
      <c r="KK19" s="121" t="str">
        <f>IF(ISBLANK(tbl_task9[[คะแนนเต็ม]:[คะแนนเต็ม]]),"",(tbl_task9[127]/tbl_task9[[คะแนนเต็ม]:[คะแนนเต็ม]])*tbl_task9[[%]:[%]])</f>
        <v/>
      </c>
      <c r="KL19" s="121" t="str">
        <f>IF(ISBLANK(tbl_task9[[คะแนนเต็ม]:[คะแนนเต็ม]]),"",(tbl_task9[128]/tbl_task9[[คะแนนเต็ม]:[คะแนนเต็ม]])*tbl_task9[[%]:[%]])</f>
        <v/>
      </c>
      <c r="KM19" s="121" t="str">
        <f>IF(ISBLANK(tbl_task9[[คะแนนเต็ม]:[คะแนนเต็ม]]),"",(tbl_task9[129]/tbl_task9[[คะแนนเต็ม]:[คะแนนเต็ม]])*tbl_task9[[%]:[%]])</f>
        <v/>
      </c>
      <c r="KN19" s="121" t="str">
        <f>IF(ISBLANK(tbl_task9[[คะแนนเต็ม]:[คะแนนเต็ม]]),"",(tbl_task9[130]/tbl_task9[[คะแนนเต็ม]:[คะแนนเต็ม]])*tbl_task9[[%]:[%]])</f>
        <v/>
      </c>
      <c r="KO19" s="121" t="str">
        <f>IF(ISBLANK(tbl_task9[[คะแนนเต็ม]:[คะแนนเต็ม]]),"",(tbl_task9[131]/tbl_task9[[คะแนนเต็ม]:[คะแนนเต็ม]])*tbl_task9[[%]:[%]])</f>
        <v/>
      </c>
      <c r="KP19" s="121" t="str">
        <f>IF(ISBLANK(tbl_task9[[คะแนนเต็ม]:[คะแนนเต็ม]]),"",(tbl_task9[132]/tbl_task9[[คะแนนเต็ม]:[คะแนนเต็ม]])*tbl_task9[[%]:[%]])</f>
        <v/>
      </c>
      <c r="KQ19" s="121" t="str">
        <f>IF(ISBLANK(tbl_task9[[คะแนนเต็ม]:[คะแนนเต็ม]]),"",(tbl_task9[133]/tbl_task9[[คะแนนเต็ม]:[คะแนนเต็ม]])*tbl_task9[[%]:[%]])</f>
        <v/>
      </c>
      <c r="KR19" s="121" t="str">
        <f>IF(ISBLANK(tbl_task9[[คะแนนเต็ม]:[คะแนนเต็ม]]),"",(tbl_task9[134]/tbl_task9[[คะแนนเต็ม]:[คะแนนเต็ม]])*tbl_task9[[%]:[%]])</f>
        <v/>
      </c>
      <c r="KS19" s="121" t="str">
        <f>IF(ISBLANK(tbl_task9[[คะแนนเต็ม]:[คะแนนเต็ม]]),"",(tbl_task9[135]/tbl_task9[[คะแนนเต็ม]:[คะแนนเต็ม]])*tbl_task9[[%]:[%]])</f>
        <v/>
      </c>
      <c r="KT19" s="121" t="str">
        <f>IF(ISBLANK(tbl_task9[[คะแนนเต็ม]:[คะแนนเต็ม]]),"",(tbl_task9[136]/tbl_task9[[คะแนนเต็ม]:[คะแนนเต็ม]])*tbl_task9[[%]:[%]])</f>
        <v/>
      </c>
      <c r="KU19" s="121" t="str">
        <f>IF(ISBLANK(tbl_task9[[คะแนนเต็ม]:[คะแนนเต็ม]]),"",(tbl_task9[137]/tbl_task9[[คะแนนเต็ม]:[คะแนนเต็ม]])*tbl_task9[[%]:[%]])</f>
        <v/>
      </c>
      <c r="KV19" s="121" t="str">
        <f>IF(ISBLANK(tbl_task9[[คะแนนเต็ม]:[คะแนนเต็ม]]),"",(tbl_task9[138]/tbl_task9[[คะแนนเต็ม]:[คะแนนเต็ม]])*tbl_task9[[%]:[%]])</f>
        <v/>
      </c>
      <c r="KW19" s="121" t="str">
        <f>IF(ISBLANK(tbl_task9[[คะแนนเต็ม]:[คะแนนเต็ม]]),"",(tbl_task9[139]/tbl_task9[[คะแนนเต็ม]:[คะแนนเต็ม]])*tbl_task9[[%]:[%]])</f>
        <v/>
      </c>
      <c r="KX19" s="121" t="str">
        <f>IF(ISBLANK(tbl_task9[[คะแนนเต็ม]:[คะแนนเต็ม]]),"",(tbl_task9[140]/tbl_task9[[คะแนนเต็ม]:[คะแนนเต็ม]])*tbl_task9[[%]:[%]])</f>
        <v/>
      </c>
      <c r="KY19" s="121" t="str">
        <f>IF(ISBLANK(tbl_task9[[คะแนนเต็ม]:[คะแนนเต็ม]]),"",(tbl_task9[141]/tbl_task9[[คะแนนเต็ม]:[คะแนนเต็ม]])*tbl_task9[[%]:[%]])</f>
        <v/>
      </c>
      <c r="KZ19" s="121" t="str">
        <f>IF(ISBLANK(tbl_task9[[คะแนนเต็ม]:[คะแนนเต็ม]]),"",(tbl_task9[142]/tbl_task9[[คะแนนเต็ม]:[คะแนนเต็ม]])*tbl_task9[[%]:[%]])</f>
        <v/>
      </c>
      <c r="LA19" s="121" t="str">
        <f>IF(ISBLANK(tbl_task9[[คะแนนเต็ม]:[คะแนนเต็ม]]),"",(tbl_task9[143]/tbl_task9[[คะแนนเต็ม]:[คะแนนเต็ม]])*tbl_task9[[%]:[%]])</f>
        <v/>
      </c>
      <c r="LB19" s="121" t="str">
        <f>IF(ISBLANK(tbl_task9[[คะแนนเต็ม]:[คะแนนเต็ม]]),"",(tbl_task9[144]/tbl_task9[[คะแนนเต็ม]:[คะแนนเต็ม]])*tbl_task9[[%]:[%]])</f>
        <v/>
      </c>
      <c r="LC19" s="121" t="str">
        <f>IF(ISBLANK(tbl_task9[[คะแนนเต็ม]:[คะแนนเต็ม]]),"",(tbl_task9[145]/tbl_task9[[คะแนนเต็ม]:[คะแนนเต็ม]])*tbl_task9[[%]:[%]])</f>
        <v/>
      </c>
      <c r="LD19" s="121" t="str">
        <f>IF(ISBLANK(tbl_task9[[คะแนนเต็ม]:[คะแนนเต็ม]]),"",(tbl_task9[146]/tbl_task9[[คะแนนเต็ม]:[คะแนนเต็ม]])*tbl_task9[[%]:[%]])</f>
        <v/>
      </c>
      <c r="LE19" s="121" t="str">
        <f>IF(ISBLANK(tbl_task9[[คะแนนเต็ม]:[คะแนนเต็ม]]),"",(tbl_task9[147]/tbl_task9[[คะแนนเต็ม]:[คะแนนเต็ม]])*tbl_task9[[%]:[%]])</f>
        <v/>
      </c>
      <c r="LF19" s="121" t="str">
        <f>IF(ISBLANK(tbl_task9[[คะแนนเต็ม]:[คะแนนเต็ม]]),"",(tbl_task9[148]/tbl_task9[[คะแนนเต็ม]:[คะแนนเต็ม]])*tbl_task9[[%]:[%]])</f>
        <v/>
      </c>
      <c r="LG19" s="121" t="str">
        <f>IF(ISBLANK(tbl_task9[[คะแนนเต็ม]:[คะแนนเต็ม]]),"",(tbl_task9[149]/tbl_task9[[คะแนนเต็ม]:[คะแนนเต็ม]])*tbl_task9[[%]:[%]])</f>
        <v/>
      </c>
      <c r="LH19" s="121" t="str">
        <f>IF(ISBLANK(tbl_task9[[คะแนนเต็ม]:[คะแนนเต็ม]]),"",(tbl_task9[150]/tbl_task9[[คะแนนเต็ม]:[คะแนนเต็ม]])*tbl_task9[[%]:[%]])</f>
        <v/>
      </c>
      <c r="LI19" s="121" t="str">
        <f>IF(ISBLANK(tbl_task9[[คะแนนเต็ม]:[คะแนนเต็ม]]),"",(tbl_task9[151]/tbl_task9[[คะแนนเต็ม]:[คะแนนเต็ม]])*tbl_task9[[%]:[%]])</f>
        <v/>
      </c>
      <c r="LJ19" s="121" t="str">
        <f>IF(ISBLANK(tbl_task9[[คะแนนเต็ม]:[คะแนนเต็ม]]),"",(tbl_task9[152]/tbl_task9[[คะแนนเต็ม]:[คะแนนเต็ม]])*tbl_task9[[%]:[%]])</f>
        <v/>
      </c>
      <c r="LK19" s="121" t="str">
        <f>IF(ISBLANK(tbl_task9[[คะแนนเต็ม]:[คะแนนเต็ม]]),"",(tbl_task9[153]/tbl_task9[[คะแนนเต็ม]:[คะแนนเต็ม]])*tbl_task9[[%]:[%]])</f>
        <v/>
      </c>
      <c r="LL19" s="121" t="str">
        <f>IF(ISBLANK(tbl_task9[[คะแนนเต็ม]:[คะแนนเต็ม]]),"",(tbl_task9[154]/tbl_task9[[คะแนนเต็ม]:[คะแนนเต็ม]])*tbl_task9[[%]:[%]])</f>
        <v/>
      </c>
      <c r="LM19" s="121" t="str">
        <f>IF(ISBLANK(tbl_task9[[คะแนนเต็ม]:[คะแนนเต็ม]]),"",(tbl_task9[155]/tbl_task9[[คะแนนเต็ม]:[คะแนนเต็ม]])*tbl_task9[[%]:[%]])</f>
        <v/>
      </c>
      <c r="LN19" s="121" t="str">
        <f>IF(ISBLANK(tbl_task9[[คะแนนเต็ม]:[คะแนนเต็ม]]),"",(tbl_task9[156]/tbl_task9[[คะแนนเต็ม]:[คะแนนเต็ม]])*tbl_task9[[%]:[%]])</f>
        <v/>
      </c>
      <c r="LO19" s="121" t="str">
        <f>IF(ISBLANK(tbl_task9[[คะแนนเต็ม]:[คะแนนเต็ม]]),"",(tbl_task9[157]/tbl_task9[[คะแนนเต็ม]:[คะแนนเต็ม]])*tbl_task9[[%]:[%]])</f>
        <v/>
      </c>
      <c r="LP19" s="121" t="str">
        <f>IF(ISBLANK(tbl_task9[[คะแนนเต็ม]:[คะแนนเต็ม]]),"",(tbl_task9[158]/tbl_task9[[คะแนนเต็ม]:[คะแนนเต็ม]])*tbl_task9[[%]:[%]])</f>
        <v/>
      </c>
      <c r="LQ19" s="121" t="str">
        <f>IF(ISBLANK(tbl_task9[[คะแนนเต็ม]:[คะแนนเต็ม]]),"",(tbl_task9[159]/tbl_task9[[คะแนนเต็ม]:[คะแนนเต็ม]])*tbl_task9[[%]:[%]])</f>
        <v/>
      </c>
      <c r="LR19" s="121" t="str">
        <f>IF(ISBLANK(tbl_task9[[คะแนนเต็ม]:[คะแนนเต็ม]]),"",(tbl_task9[160]/tbl_task9[[คะแนนเต็ม]:[คะแนนเต็ม]])*tbl_task9[[%]:[%]])</f>
        <v/>
      </c>
      <c r="LS19" s="121" t="str">
        <f>IF(ISBLANK(tbl_task9[[คะแนนเต็ม]:[คะแนนเต็ม]]),"",(tbl_task9[161]/tbl_task9[[คะแนนเต็ม]:[คะแนนเต็ม]])*tbl_task9[[%]:[%]])</f>
        <v/>
      </c>
      <c r="LT19" s="121" t="str">
        <f>IF(ISBLANK(tbl_task9[[คะแนนเต็ม]:[คะแนนเต็ม]]),"",(tbl_task9[162]/tbl_task9[[คะแนนเต็ม]:[คะแนนเต็ม]])*tbl_task9[[%]:[%]])</f>
        <v/>
      </c>
      <c r="LU19" s="121" t="str">
        <f>IF(ISBLANK(tbl_task9[[คะแนนเต็ม]:[คะแนนเต็ม]]),"",(tbl_task9[163]/tbl_task9[[คะแนนเต็ม]:[คะแนนเต็ม]])*tbl_task9[[%]:[%]])</f>
        <v/>
      </c>
      <c r="LV19" s="121" t="str">
        <f>IF(ISBLANK(tbl_task9[[คะแนนเต็ม]:[คะแนนเต็ม]]),"",(tbl_task9[164]/tbl_task9[[คะแนนเต็ม]:[คะแนนเต็ม]])*tbl_task9[[%]:[%]])</f>
        <v/>
      </c>
      <c r="LW19" s="121" t="str">
        <f>IF(ISBLANK(tbl_task9[[คะแนนเต็ม]:[คะแนนเต็ม]]),"",(tbl_task9[165]/tbl_task9[[คะแนนเต็ม]:[คะแนนเต็ม]])*tbl_task9[[%]:[%]])</f>
        <v/>
      </c>
    </row>
    <row r="20" spans="1:335" ht="24" customHeight="1" x14ac:dyDescent="0.25">
      <c r="A20" s="24">
        <v>17</v>
      </c>
      <c r="B20" s="20"/>
      <c r="C20" s="5" t="str">
        <f>IF(ISBLANK(B20),"",VLOOKUP(B20,tbl_PLOs[],2,0))</f>
        <v/>
      </c>
      <c r="D20" s="102"/>
      <c r="E20" s="106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121" t="str">
        <f>IF(ISBLANK(tbl_task9[[คะแนนเต็ม]:[คะแนนเต็ม]]),"",(tbl_task9[1]/tbl_task9[[คะแนนเต็ม]:[คะแนนเต็ม]])*tbl_task9[[%]:[%]])</f>
        <v/>
      </c>
      <c r="FP20" s="121" t="str">
        <f>IF(ISBLANK(tbl_task9[[คะแนนเต็ม]:[คะแนนเต็ม]]),"",(tbl_task9[2]/tbl_task9[[คะแนนเต็ม]:[คะแนนเต็ม]])*tbl_task9[[%]:[%]])</f>
        <v/>
      </c>
      <c r="FQ20" s="121" t="str">
        <f>IF(ISBLANK(tbl_task9[[คะแนนเต็ม]:[คะแนนเต็ม]]),"",(tbl_task9[3]/tbl_task9[[คะแนนเต็ม]:[คะแนนเต็ม]])*tbl_task9[[%]:[%]])</f>
        <v/>
      </c>
      <c r="FR20" s="121" t="str">
        <f>IF(ISBLANK(tbl_task9[[คะแนนเต็ม]:[คะแนนเต็ม]]),"",(tbl_task9[4]/tbl_task9[[คะแนนเต็ม]:[คะแนนเต็ม]])*tbl_task9[[%]:[%]])</f>
        <v/>
      </c>
      <c r="FS20" s="121" t="str">
        <f>IF(ISBLANK(tbl_task9[[คะแนนเต็ม]:[คะแนนเต็ม]]),"",(tbl_task9[5]/tbl_task9[[คะแนนเต็ม]:[คะแนนเต็ม]])*tbl_task9[[%]:[%]])</f>
        <v/>
      </c>
      <c r="FT20" s="121" t="str">
        <f>IF(ISBLANK(tbl_task9[[คะแนนเต็ม]:[คะแนนเต็ม]]),"",(tbl_task9[6]/tbl_task9[[คะแนนเต็ม]:[คะแนนเต็ม]])*tbl_task9[[%]:[%]])</f>
        <v/>
      </c>
      <c r="FU20" s="121" t="str">
        <f>IF(ISBLANK(tbl_task9[[คะแนนเต็ม]:[คะแนนเต็ม]]),"",(tbl_task9[7]/tbl_task9[[คะแนนเต็ม]:[คะแนนเต็ม]])*tbl_task9[[%]:[%]])</f>
        <v/>
      </c>
      <c r="FV20" s="121" t="str">
        <f>IF(ISBLANK(tbl_task9[[คะแนนเต็ม]:[คะแนนเต็ม]]),"",(tbl_task9[8]/tbl_task9[[คะแนนเต็ม]:[คะแนนเต็ม]])*tbl_task9[[%]:[%]])</f>
        <v/>
      </c>
      <c r="FW20" s="121" t="str">
        <f>IF(ISBLANK(tbl_task9[[คะแนนเต็ม]:[คะแนนเต็ม]]),"",(tbl_task9[9]/tbl_task9[[คะแนนเต็ม]:[คะแนนเต็ม]])*tbl_task9[[%]:[%]])</f>
        <v/>
      </c>
      <c r="FX20" s="121" t="str">
        <f>IF(ISBLANK(tbl_task9[[คะแนนเต็ม]:[คะแนนเต็ม]]),"",(tbl_task9[10]/tbl_task9[[คะแนนเต็ม]:[คะแนนเต็ม]])*tbl_task9[[%]:[%]])</f>
        <v/>
      </c>
      <c r="FY20" s="121" t="str">
        <f>IF(ISBLANK(tbl_task9[[คะแนนเต็ม]:[คะแนนเต็ม]]),"",(tbl_task9[11]/tbl_task9[[คะแนนเต็ม]:[คะแนนเต็ม]])*tbl_task9[[%]:[%]])</f>
        <v/>
      </c>
      <c r="FZ20" s="121" t="str">
        <f>IF(ISBLANK(tbl_task9[[คะแนนเต็ม]:[คะแนนเต็ม]]),"",(tbl_task9[12]/tbl_task9[[คะแนนเต็ม]:[คะแนนเต็ม]])*tbl_task9[[%]:[%]])</f>
        <v/>
      </c>
      <c r="GA20" s="121" t="str">
        <f>IF(ISBLANK(tbl_task9[[คะแนนเต็ม]:[คะแนนเต็ม]]),"",(tbl_task9[13]/tbl_task9[[คะแนนเต็ม]:[คะแนนเต็ม]])*tbl_task9[[%]:[%]])</f>
        <v/>
      </c>
      <c r="GB20" s="121" t="str">
        <f>IF(ISBLANK(tbl_task9[[คะแนนเต็ม]:[คะแนนเต็ม]]),"",(tbl_task9[14]/tbl_task9[[คะแนนเต็ม]:[คะแนนเต็ม]])*tbl_task9[[%]:[%]])</f>
        <v/>
      </c>
      <c r="GC20" s="121" t="str">
        <f>IF(ISBLANK(tbl_task9[[คะแนนเต็ม]:[คะแนนเต็ม]]),"",(tbl_task9[15]/tbl_task9[[คะแนนเต็ม]:[คะแนนเต็ม]])*tbl_task9[[%]:[%]])</f>
        <v/>
      </c>
      <c r="GD20" s="121" t="str">
        <f>IF(ISBLANK(tbl_task9[[คะแนนเต็ม]:[คะแนนเต็ม]]),"",(tbl_task9[16]/tbl_task9[[คะแนนเต็ม]:[คะแนนเต็ม]])*tbl_task9[[%]:[%]])</f>
        <v/>
      </c>
      <c r="GE20" s="121" t="str">
        <f>IF(ISBLANK(tbl_task9[[คะแนนเต็ม]:[คะแนนเต็ม]]),"",(tbl_task9[17]/tbl_task9[[คะแนนเต็ม]:[คะแนนเต็ม]])*tbl_task9[[%]:[%]])</f>
        <v/>
      </c>
      <c r="GF20" s="121" t="str">
        <f>IF(ISBLANK(tbl_task9[[คะแนนเต็ม]:[คะแนนเต็ม]]),"",(tbl_task9[18]/tbl_task9[[คะแนนเต็ม]:[คะแนนเต็ม]])*tbl_task9[[%]:[%]])</f>
        <v/>
      </c>
      <c r="GG20" s="121" t="str">
        <f>IF(ISBLANK(tbl_task9[[คะแนนเต็ม]:[คะแนนเต็ม]]),"",(tbl_task9[19]/tbl_task9[[คะแนนเต็ม]:[คะแนนเต็ม]])*tbl_task9[[%]:[%]])</f>
        <v/>
      </c>
      <c r="GH20" s="121" t="str">
        <f>IF(ISBLANK(tbl_task9[[คะแนนเต็ม]:[คะแนนเต็ม]]),"",(tbl_task9[20]/tbl_task9[[คะแนนเต็ม]:[คะแนนเต็ม]])*tbl_task9[[%]:[%]])</f>
        <v/>
      </c>
      <c r="GI20" s="121" t="str">
        <f>IF(ISBLANK(tbl_task9[[คะแนนเต็ม]:[คะแนนเต็ม]]),"",(tbl_task9[21]/tbl_task9[[คะแนนเต็ม]:[คะแนนเต็ม]])*tbl_task9[[%]:[%]])</f>
        <v/>
      </c>
      <c r="GJ20" s="121" t="str">
        <f>IF(ISBLANK(tbl_task9[[คะแนนเต็ม]:[คะแนนเต็ม]]),"",(tbl_task9[22]/tbl_task9[[คะแนนเต็ม]:[คะแนนเต็ม]])*tbl_task9[[%]:[%]])</f>
        <v/>
      </c>
      <c r="GK20" s="121" t="str">
        <f>IF(ISBLANK(tbl_task9[[คะแนนเต็ม]:[คะแนนเต็ม]]),"",(tbl_task9[23]/tbl_task9[[คะแนนเต็ม]:[คะแนนเต็ม]])*tbl_task9[[%]:[%]])</f>
        <v/>
      </c>
      <c r="GL20" s="121" t="str">
        <f>IF(ISBLANK(tbl_task9[[คะแนนเต็ม]:[คะแนนเต็ม]]),"",(tbl_task9[24]/tbl_task9[[คะแนนเต็ม]:[คะแนนเต็ม]])*tbl_task9[[%]:[%]])</f>
        <v/>
      </c>
      <c r="GM20" s="121" t="str">
        <f>IF(ISBLANK(tbl_task9[[คะแนนเต็ม]:[คะแนนเต็ม]]),"",(tbl_task9[25]/tbl_task9[[คะแนนเต็ม]:[คะแนนเต็ม]])*tbl_task9[[%]:[%]])</f>
        <v/>
      </c>
      <c r="GN20" s="121" t="str">
        <f>IF(ISBLANK(tbl_task9[[คะแนนเต็ม]:[คะแนนเต็ม]]),"",(tbl_task9[26]/tbl_task9[[คะแนนเต็ม]:[คะแนนเต็ม]])*tbl_task9[[%]:[%]])</f>
        <v/>
      </c>
      <c r="GO20" s="121" t="str">
        <f>IF(ISBLANK(tbl_task9[[คะแนนเต็ม]:[คะแนนเต็ม]]),"",(tbl_task9[27]/tbl_task9[[คะแนนเต็ม]:[คะแนนเต็ม]])*tbl_task9[[%]:[%]])</f>
        <v/>
      </c>
      <c r="GP20" s="121" t="str">
        <f>IF(ISBLANK(tbl_task9[[คะแนนเต็ม]:[คะแนนเต็ม]]),"",(tbl_task9[28]/tbl_task9[[คะแนนเต็ม]:[คะแนนเต็ม]])*tbl_task9[[%]:[%]])</f>
        <v/>
      </c>
      <c r="GQ20" s="121" t="str">
        <f>IF(ISBLANK(tbl_task9[[คะแนนเต็ม]:[คะแนนเต็ม]]),"",(tbl_task9[29]/tbl_task9[[คะแนนเต็ม]:[คะแนนเต็ม]])*tbl_task9[[%]:[%]])</f>
        <v/>
      </c>
      <c r="GR20" s="121" t="str">
        <f>IF(ISBLANK(tbl_task9[[คะแนนเต็ม]:[คะแนนเต็ม]]),"",(tbl_task9[30]/tbl_task9[[คะแนนเต็ม]:[คะแนนเต็ม]])*tbl_task9[[%]:[%]])</f>
        <v/>
      </c>
      <c r="GS20" s="121" t="str">
        <f>IF(ISBLANK(tbl_task9[[คะแนนเต็ม]:[คะแนนเต็ม]]),"",(tbl_task9[31]/tbl_task9[[คะแนนเต็ม]:[คะแนนเต็ม]])*tbl_task9[[%]:[%]])</f>
        <v/>
      </c>
      <c r="GT20" s="121" t="str">
        <f>IF(ISBLANK(tbl_task9[[คะแนนเต็ม]:[คะแนนเต็ม]]),"",(tbl_task9[32]/tbl_task9[[คะแนนเต็ม]:[คะแนนเต็ม]])*tbl_task9[[%]:[%]])</f>
        <v/>
      </c>
      <c r="GU20" s="121" t="str">
        <f>IF(ISBLANK(tbl_task9[[คะแนนเต็ม]:[คะแนนเต็ม]]),"",(tbl_task9[33]/tbl_task9[[คะแนนเต็ม]:[คะแนนเต็ม]])*tbl_task9[[%]:[%]])</f>
        <v/>
      </c>
      <c r="GV20" s="121" t="str">
        <f>IF(ISBLANK(tbl_task9[[คะแนนเต็ม]:[คะแนนเต็ม]]),"",(tbl_task9[34]/tbl_task9[[คะแนนเต็ม]:[คะแนนเต็ม]])*tbl_task9[[%]:[%]])</f>
        <v/>
      </c>
      <c r="GW20" s="121" t="str">
        <f>IF(ISBLANK(tbl_task9[[คะแนนเต็ม]:[คะแนนเต็ม]]),"",(tbl_task9[35]/tbl_task9[[คะแนนเต็ม]:[คะแนนเต็ม]])*tbl_task9[[%]:[%]])</f>
        <v/>
      </c>
      <c r="GX20" s="121" t="str">
        <f>IF(ISBLANK(tbl_task9[[คะแนนเต็ม]:[คะแนนเต็ม]]),"",(tbl_task9[36]/tbl_task9[[คะแนนเต็ม]:[คะแนนเต็ม]])*tbl_task9[[%]:[%]])</f>
        <v/>
      </c>
      <c r="GY20" s="121" t="str">
        <f>IF(ISBLANK(tbl_task9[[คะแนนเต็ม]:[คะแนนเต็ม]]),"",(tbl_task9[37]/tbl_task9[[คะแนนเต็ม]:[คะแนนเต็ม]])*tbl_task9[[%]:[%]])</f>
        <v/>
      </c>
      <c r="GZ20" s="121" t="str">
        <f>IF(ISBLANK(tbl_task9[[คะแนนเต็ม]:[คะแนนเต็ม]]),"",(tbl_task9[38]/tbl_task9[[คะแนนเต็ม]:[คะแนนเต็ม]])*tbl_task9[[%]:[%]])</f>
        <v/>
      </c>
      <c r="HA20" s="121" t="str">
        <f>IF(ISBLANK(tbl_task9[[คะแนนเต็ม]:[คะแนนเต็ม]]),"",(tbl_task9[39]/tbl_task9[[คะแนนเต็ม]:[คะแนนเต็ม]])*tbl_task9[[%]:[%]])</f>
        <v/>
      </c>
      <c r="HB20" s="121" t="str">
        <f>IF(ISBLANK(tbl_task9[[คะแนนเต็ม]:[คะแนนเต็ม]]),"",(tbl_task9[40]/tbl_task9[[คะแนนเต็ม]:[คะแนนเต็ม]])*tbl_task9[[%]:[%]])</f>
        <v/>
      </c>
      <c r="HC20" s="121" t="str">
        <f>IF(ISBLANK(tbl_task9[[คะแนนเต็ม]:[คะแนนเต็ม]]),"",(tbl_task9[41]/tbl_task9[[คะแนนเต็ม]:[คะแนนเต็ม]])*tbl_task9[[%]:[%]])</f>
        <v/>
      </c>
      <c r="HD20" s="121" t="str">
        <f>IF(ISBLANK(tbl_task9[[คะแนนเต็ม]:[คะแนนเต็ม]]),"",(tbl_task9[42]/tbl_task9[[คะแนนเต็ม]:[คะแนนเต็ม]])*tbl_task9[[%]:[%]])</f>
        <v/>
      </c>
      <c r="HE20" s="121" t="str">
        <f>IF(ISBLANK(tbl_task9[[คะแนนเต็ม]:[คะแนนเต็ม]]),"",(tbl_task9[43]/tbl_task9[[คะแนนเต็ม]:[คะแนนเต็ม]])*tbl_task9[[%]:[%]])</f>
        <v/>
      </c>
      <c r="HF20" s="121" t="str">
        <f>IF(ISBLANK(tbl_task9[[คะแนนเต็ม]:[คะแนนเต็ม]]),"",(tbl_task9[44]/tbl_task9[[คะแนนเต็ม]:[คะแนนเต็ม]])*tbl_task9[[%]:[%]])</f>
        <v/>
      </c>
      <c r="HG20" s="121" t="str">
        <f>IF(ISBLANK(tbl_task9[[คะแนนเต็ม]:[คะแนนเต็ม]]),"",(tbl_task9[45]/tbl_task9[[คะแนนเต็ม]:[คะแนนเต็ม]])*tbl_task9[[%]:[%]])</f>
        <v/>
      </c>
      <c r="HH20" s="121" t="str">
        <f>IF(ISBLANK(tbl_task9[[คะแนนเต็ม]:[คะแนนเต็ม]]),"",(tbl_task9[46]/tbl_task9[[คะแนนเต็ม]:[คะแนนเต็ม]])*tbl_task9[[%]:[%]])</f>
        <v/>
      </c>
      <c r="HI20" s="121" t="str">
        <f>IF(ISBLANK(tbl_task9[[คะแนนเต็ม]:[คะแนนเต็ม]]),"",(tbl_task9[47]/tbl_task9[[คะแนนเต็ม]:[คะแนนเต็ม]])*tbl_task9[[%]:[%]])</f>
        <v/>
      </c>
      <c r="HJ20" s="121" t="str">
        <f>IF(ISBLANK(tbl_task9[[คะแนนเต็ม]:[คะแนนเต็ม]]),"",(tbl_task9[48]/tbl_task9[[คะแนนเต็ม]:[คะแนนเต็ม]])*tbl_task9[[%]:[%]])</f>
        <v/>
      </c>
      <c r="HK20" s="121" t="str">
        <f>IF(ISBLANK(tbl_task9[[คะแนนเต็ม]:[คะแนนเต็ม]]),"",(tbl_task9[49]/tbl_task9[[คะแนนเต็ม]:[คะแนนเต็ม]])*tbl_task9[[%]:[%]])</f>
        <v/>
      </c>
      <c r="HL20" s="121" t="str">
        <f>IF(ISBLANK(tbl_task9[[คะแนนเต็ม]:[คะแนนเต็ม]]),"",(tbl_task9[50]/tbl_task9[[คะแนนเต็ม]:[คะแนนเต็ม]])*tbl_task9[[%]:[%]])</f>
        <v/>
      </c>
      <c r="HM20" s="121" t="str">
        <f>IF(ISBLANK(tbl_task9[[คะแนนเต็ม]:[คะแนนเต็ม]]),"",(tbl_task9[51]/tbl_task9[[คะแนนเต็ม]:[คะแนนเต็ม]])*tbl_task9[[%]:[%]])</f>
        <v/>
      </c>
      <c r="HN20" s="121" t="str">
        <f>IF(ISBLANK(tbl_task9[[คะแนนเต็ม]:[คะแนนเต็ม]]),"",(tbl_task9[52]/tbl_task9[[คะแนนเต็ม]:[คะแนนเต็ม]])*tbl_task9[[%]:[%]])</f>
        <v/>
      </c>
      <c r="HO20" s="121" t="str">
        <f>IF(ISBLANK(tbl_task9[[คะแนนเต็ม]:[คะแนนเต็ม]]),"",(tbl_task9[53]/tbl_task9[[คะแนนเต็ม]:[คะแนนเต็ม]])*tbl_task9[[%]:[%]])</f>
        <v/>
      </c>
      <c r="HP20" s="121" t="str">
        <f>IF(ISBLANK(tbl_task9[[คะแนนเต็ม]:[คะแนนเต็ม]]),"",(tbl_task9[54]/tbl_task9[[คะแนนเต็ม]:[คะแนนเต็ม]])*tbl_task9[[%]:[%]])</f>
        <v/>
      </c>
      <c r="HQ20" s="121" t="str">
        <f>IF(ISBLANK(tbl_task9[[คะแนนเต็ม]:[คะแนนเต็ม]]),"",(tbl_task9[55]/tbl_task9[[คะแนนเต็ม]:[คะแนนเต็ม]])*tbl_task9[[%]:[%]])</f>
        <v/>
      </c>
      <c r="HR20" s="121" t="str">
        <f>IF(ISBLANK(tbl_task9[[คะแนนเต็ม]:[คะแนนเต็ม]]),"",(tbl_task9[56]/tbl_task9[[คะแนนเต็ม]:[คะแนนเต็ม]])*tbl_task9[[%]:[%]])</f>
        <v/>
      </c>
      <c r="HS20" s="121" t="str">
        <f>IF(ISBLANK(tbl_task9[[คะแนนเต็ม]:[คะแนนเต็ม]]),"",(tbl_task9[57]/tbl_task9[[คะแนนเต็ม]:[คะแนนเต็ม]])*tbl_task9[[%]:[%]])</f>
        <v/>
      </c>
      <c r="HT20" s="121" t="str">
        <f>IF(ISBLANK(tbl_task9[[คะแนนเต็ม]:[คะแนนเต็ม]]),"",(tbl_task9[58]/tbl_task9[[คะแนนเต็ม]:[คะแนนเต็ม]])*tbl_task9[[%]:[%]])</f>
        <v/>
      </c>
      <c r="HU20" s="121" t="str">
        <f>IF(ISBLANK(tbl_task9[[คะแนนเต็ม]:[คะแนนเต็ม]]),"",(tbl_task9[59]/tbl_task9[[คะแนนเต็ม]:[คะแนนเต็ม]])*tbl_task9[[%]:[%]])</f>
        <v/>
      </c>
      <c r="HV20" s="121" t="str">
        <f>IF(ISBLANK(tbl_task9[[คะแนนเต็ม]:[คะแนนเต็ม]]),"",(tbl_task9[60]/tbl_task9[[คะแนนเต็ม]:[คะแนนเต็ม]])*tbl_task9[[%]:[%]])</f>
        <v/>
      </c>
      <c r="HW20" s="121" t="str">
        <f>IF(ISBLANK(tbl_task9[[คะแนนเต็ม]:[คะแนนเต็ม]]),"",(tbl_task9[61]/tbl_task9[[คะแนนเต็ม]:[คะแนนเต็ม]])*tbl_task9[[%]:[%]])</f>
        <v/>
      </c>
      <c r="HX20" s="121" t="str">
        <f>IF(ISBLANK(tbl_task9[[คะแนนเต็ม]:[คะแนนเต็ม]]),"",(tbl_task9[62]/tbl_task9[[คะแนนเต็ม]:[คะแนนเต็ม]])*tbl_task9[[%]:[%]])</f>
        <v/>
      </c>
      <c r="HY20" s="121" t="str">
        <f>IF(ISBLANK(tbl_task9[[คะแนนเต็ม]:[คะแนนเต็ม]]),"",(tbl_task9[63]/tbl_task9[[คะแนนเต็ม]:[คะแนนเต็ม]])*tbl_task9[[%]:[%]])</f>
        <v/>
      </c>
      <c r="HZ20" s="121" t="str">
        <f>IF(ISBLANK(tbl_task9[[คะแนนเต็ม]:[คะแนนเต็ม]]),"",(tbl_task9[64]/tbl_task9[[คะแนนเต็ม]:[คะแนนเต็ม]])*tbl_task9[[%]:[%]])</f>
        <v/>
      </c>
      <c r="IA20" s="121" t="str">
        <f>IF(ISBLANK(tbl_task9[[คะแนนเต็ม]:[คะแนนเต็ม]]),"",(tbl_task9[65]/tbl_task9[[คะแนนเต็ม]:[คะแนนเต็ม]])*tbl_task9[[%]:[%]])</f>
        <v/>
      </c>
      <c r="IB20" s="121" t="str">
        <f>IF(ISBLANK(tbl_task9[[คะแนนเต็ม]:[คะแนนเต็ม]]),"",(tbl_task9[66]/tbl_task9[[คะแนนเต็ม]:[คะแนนเต็ม]])*tbl_task9[[%]:[%]])</f>
        <v/>
      </c>
      <c r="IC20" s="121" t="str">
        <f>IF(ISBLANK(tbl_task9[[คะแนนเต็ม]:[คะแนนเต็ม]]),"",(tbl_task9[67]/tbl_task9[[คะแนนเต็ม]:[คะแนนเต็ม]])*tbl_task9[[%]:[%]])</f>
        <v/>
      </c>
      <c r="ID20" s="121" t="str">
        <f>IF(ISBLANK(tbl_task9[[คะแนนเต็ม]:[คะแนนเต็ม]]),"",(tbl_task9[68]/tbl_task9[[คะแนนเต็ม]:[คะแนนเต็ม]])*tbl_task9[[%]:[%]])</f>
        <v/>
      </c>
      <c r="IE20" s="121" t="str">
        <f>IF(ISBLANK(tbl_task9[[คะแนนเต็ม]:[คะแนนเต็ม]]),"",(tbl_task9[69]/tbl_task9[[คะแนนเต็ม]:[คะแนนเต็ม]])*tbl_task9[[%]:[%]])</f>
        <v/>
      </c>
      <c r="IF20" s="121" t="str">
        <f>IF(ISBLANK(tbl_task9[[คะแนนเต็ม]:[คะแนนเต็ม]]),"",(tbl_task9[70]/tbl_task9[[คะแนนเต็ม]:[คะแนนเต็ม]])*tbl_task9[[%]:[%]])</f>
        <v/>
      </c>
      <c r="IG20" s="121" t="str">
        <f>IF(ISBLANK(tbl_task9[[คะแนนเต็ม]:[คะแนนเต็ม]]),"",(tbl_task9[71]/tbl_task9[[คะแนนเต็ม]:[คะแนนเต็ม]])*tbl_task9[[%]:[%]])</f>
        <v/>
      </c>
      <c r="IH20" s="121" t="str">
        <f>IF(ISBLANK(tbl_task9[[คะแนนเต็ม]:[คะแนนเต็ม]]),"",(tbl_task9[72]/tbl_task9[[คะแนนเต็ม]:[คะแนนเต็ม]])*tbl_task9[[%]:[%]])</f>
        <v/>
      </c>
      <c r="II20" s="121" t="str">
        <f>IF(ISBLANK(tbl_task9[[คะแนนเต็ม]:[คะแนนเต็ม]]),"",(tbl_task9[73]/tbl_task9[[คะแนนเต็ม]:[คะแนนเต็ม]])*tbl_task9[[%]:[%]])</f>
        <v/>
      </c>
      <c r="IJ20" s="121" t="str">
        <f>IF(ISBLANK(tbl_task9[[คะแนนเต็ม]:[คะแนนเต็ม]]),"",(tbl_task9[74]/tbl_task9[[คะแนนเต็ม]:[คะแนนเต็ม]])*tbl_task9[[%]:[%]])</f>
        <v/>
      </c>
      <c r="IK20" s="121" t="str">
        <f>IF(ISBLANK(tbl_task9[[คะแนนเต็ม]:[คะแนนเต็ม]]),"",(tbl_task9[75]/tbl_task9[[คะแนนเต็ม]:[คะแนนเต็ม]])*tbl_task9[[%]:[%]])</f>
        <v/>
      </c>
      <c r="IL20" s="121" t="str">
        <f>IF(ISBLANK(tbl_task9[[คะแนนเต็ม]:[คะแนนเต็ม]]),"",(tbl_task9[76]/tbl_task9[[คะแนนเต็ม]:[คะแนนเต็ม]])*tbl_task9[[%]:[%]])</f>
        <v/>
      </c>
      <c r="IM20" s="121" t="str">
        <f>IF(ISBLANK(tbl_task9[[คะแนนเต็ม]:[คะแนนเต็ม]]),"",(tbl_task9[77]/tbl_task9[[คะแนนเต็ม]:[คะแนนเต็ม]])*tbl_task9[[%]:[%]])</f>
        <v/>
      </c>
      <c r="IN20" s="121" t="str">
        <f>IF(ISBLANK(tbl_task9[[คะแนนเต็ม]:[คะแนนเต็ม]]),"",(tbl_task9[78]/tbl_task9[[คะแนนเต็ม]:[คะแนนเต็ม]])*tbl_task9[[%]:[%]])</f>
        <v/>
      </c>
      <c r="IO20" s="121" t="str">
        <f>IF(ISBLANK(tbl_task9[[คะแนนเต็ม]:[คะแนนเต็ม]]),"",(tbl_task9[79]/tbl_task9[[คะแนนเต็ม]:[คะแนนเต็ม]])*tbl_task9[[%]:[%]])</f>
        <v/>
      </c>
      <c r="IP20" s="121" t="str">
        <f>IF(ISBLANK(tbl_task9[[คะแนนเต็ม]:[คะแนนเต็ม]]),"",(tbl_task9[80]/tbl_task9[[คะแนนเต็ม]:[คะแนนเต็ม]])*tbl_task9[[%]:[%]])</f>
        <v/>
      </c>
      <c r="IQ20" s="121" t="str">
        <f>IF(ISBLANK(tbl_task9[[คะแนนเต็ม]:[คะแนนเต็ม]]),"",(tbl_task9[81]/tbl_task9[[คะแนนเต็ม]:[คะแนนเต็ม]])*tbl_task9[[%]:[%]])</f>
        <v/>
      </c>
      <c r="IR20" s="121" t="str">
        <f>IF(ISBLANK(tbl_task9[[คะแนนเต็ม]:[คะแนนเต็ม]]),"",(tbl_task9[82]/tbl_task9[[คะแนนเต็ม]:[คะแนนเต็ม]])*tbl_task9[[%]:[%]])</f>
        <v/>
      </c>
      <c r="IS20" s="121" t="str">
        <f>IF(ISBLANK(tbl_task9[[คะแนนเต็ม]:[คะแนนเต็ม]]),"",(tbl_task9[83]/tbl_task9[[คะแนนเต็ม]:[คะแนนเต็ม]])*tbl_task9[[%]:[%]])</f>
        <v/>
      </c>
      <c r="IT20" s="121" t="str">
        <f>IF(ISBLANK(tbl_task9[[คะแนนเต็ม]:[คะแนนเต็ม]]),"",(tbl_task9[84]/tbl_task9[[คะแนนเต็ม]:[คะแนนเต็ม]])*tbl_task9[[%]:[%]])</f>
        <v/>
      </c>
      <c r="IU20" s="121" t="str">
        <f>IF(ISBLANK(tbl_task9[[คะแนนเต็ม]:[คะแนนเต็ม]]),"",(tbl_task9[85]/tbl_task9[[คะแนนเต็ม]:[คะแนนเต็ม]])*tbl_task9[[%]:[%]])</f>
        <v/>
      </c>
      <c r="IV20" s="121" t="str">
        <f>IF(ISBLANK(tbl_task9[[คะแนนเต็ม]:[คะแนนเต็ม]]),"",(tbl_task9[86]/tbl_task9[[คะแนนเต็ม]:[คะแนนเต็ม]])*tbl_task9[[%]:[%]])</f>
        <v/>
      </c>
      <c r="IW20" s="121" t="str">
        <f>IF(ISBLANK(tbl_task9[[คะแนนเต็ม]:[คะแนนเต็ม]]),"",(tbl_task9[87]/tbl_task9[[คะแนนเต็ม]:[คะแนนเต็ม]])*tbl_task9[[%]:[%]])</f>
        <v/>
      </c>
      <c r="IX20" s="121" t="str">
        <f>IF(ISBLANK(tbl_task9[[คะแนนเต็ม]:[คะแนนเต็ม]]),"",(tbl_task9[88]/tbl_task9[[คะแนนเต็ม]:[คะแนนเต็ม]])*tbl_task9[[%]:[%]])</f>
        <v/>
      </c>
      <c r="IY20" s="121" t="str">
        <f>IF(ISBLANK(tbl_task9[[คะแนนเต็ม]:[คะแนนเต็ม]]),"",(tbl_task9[89]/tbl_task9[[คะแนนเต็ม]:[คะแนนเต็ม]])*tbl_task9[[%]:[%]])</f>
        <v/>
      </c>
      <c r="IZ20" s="121" t="str">
        <f>IF(ISBLANK(tbl_task9[[คะแนนเต็ม]:[คะแนนเต็ม]]),"",(tbl_task9[90]/tbl_task9[[คะแนนเต็ม]:[คะแนนเต็ม]])*tbl_task9[[%]:[%]])</f>
        <v/>
      </c>
      <c r="JA20" s="121" t="str">
        <f>IF(ISBLANK(tbl_task9[[คะแนนเต็ม]:[คะแนนเต็ม]]),"",(tbl_task9[91]/tbl_task9[[คะแนนเต็ม]:[คะแนนเต็ม]])*tbl_task9[[%]:[%]])</f>
        <v/>
      </c>
      <c r="JB20" s="121" t="str">
        <f>IF(ISBLANK(tbl_task9[[คะแนนเต็ม]:[คะแนนเต็ม]]),"",(tbl_task9[92]/tbl_task9[[คะแนนเต็ม]:[คะแนนเต็ม]])*tbl_task9[[%]:[%]])</f>
        <v/>
      </c>
      <c r="JC20" s="121" t="str">
        <f>IF(ISBLANK(tbl_task9[[คะแนนเต็ม]:[คะแนนเต็ม]]),"",(tbl_task9[93]/tbl_task9[[คะแนนเต็ม]:[คะแนนเต็ม]])*tbl_task9[[%]:[%]])</f>
        <v/>
      </c>
      <c r="JD20" s="121" t="str">
        <f>IF(ISBLANK(tbl_task9[[คะแนนเต็ม]:[คะแนนเต็ม]]),"",(tbl_task9[94]/tbl_task9[[คะแนนเต็ม]:[คะแนนเต็ม]])*tbl_task9[[%]:[%]])</f>
        <v/>
      </c>
      <c r="JE20" s="121" t="str">
        <f>IF(ISBLANK(tbl_task9[[คะแนนเต็ม]:[คะแนนเต็ม]]),"",(tbl_task9[95]/tbl_task9[[คะแนนเต็ม]:[คะแนนเต็ม]])*tbl_task9[[%]:[%]])</f>
        <v/>
      </c>
      <c r="JF20" s="121" t="str">
        <f>IF(ISBLANK(tbl_task9[[คะแนนเต็ม]:[คะแนนเต็ม]]),"",(tbl_task9[96]/tbl_task9[[คะแนนเต็ม]:[คะแนนเต็ม]])*tbl_task9[[%]:[%]])</f>
        <v/>
      </c>
      <c r="JG20" s="121" t="str">
        <f>IF(ISBLANK(tbl_task9[[คะแนนเต็ม]:[คะแนนเต็ม]]),"",(tbl_task9[97]/tbl_task9[[คะแนนเต็ม]:[คะแนนเต็ม]])*tbl_task9[[%]:[%]])</f>
        <v/>
      </c>
      <c r="JH20" s="121" t="str">
        <f>IF(ISBLANK(tbl_task9[[คะแนนเต็ม]:[คะแนนเต็ม]]),"",(tbl_task9[98]/tbl_task9[[คะแนนเต็ม]:[คะแนนเต็ม]])*tbl_task9[[%]:[%]])</f>
        <v/>
      </c>
      <c r="JI20" s="121" t="str">
        <f>IF(ISBLANK(tbl_task9[[คะแนนเต็ม]:[คะแนนเต็ม]]),"",(tbl_task9[99]/tbl_task9[[คะแนนเต็ม]:[คะแนนเต็ม]])*tbl_task9[[%]:[%]])</f>
        <v/>
      </c>
      <c r="JJ20" s="121" t="str">
        <f>IF(ISBLANK(tbl_task9[[คะแนนเต็ม]:[คะแนนเต็ม]]),"",(tbl_task9[100]/tbl_task9[[คะแนนเต็ม]:[คะแนนเต็ม]])*tbl_task9[[%]:[%]])</f>
        <v/>
      </c>
      <c r="JK20" s="121" t="str">
        <f>IF(ISBLANK(tbl_task9[[คะแนนเต็ม]:[คะแนนเต็ม]]),"",(tbl_task9[101]/tbl_task9[[คะแนนเต็ม]:[คะแนนเต็ม]])*tbl_task9[[%]:[%]])</f>
        <v/>
      </c>
      <c r="JL20" s="121" t="str">
        <f>IF(ISBLANK(tbl_task9[[คะแนนเต็ม]:[คะแนนเต็ม]]),"",(tbl_task9[102]/tbl_task9[[คะแนนเต็ม]:[คะแนนเต็ม]])*tbl_task9[[%]:[%]])</f>
        <v/>
      </c>
      <c r="JM20" s="121" t="str">
        <f>IF(ISBLANK(tbl_task9[[คะแนนเต็ม]:[คะแนนเต็ม]]),"",(tbl_task9[103]/tbl_task9[[คะแนนเต็ม]:[คะแนนเต็ม]])*tbl_task9[[%]:[%]])</f>
        <v/>
      </c>
      <c r="JN20" s="121" t="str">
        <f>IF(ISBLANK(tbl_task9[[คะแนนเต็ม]:[คะแนนเต็ม]]),"",(tbl_task9[104]/tbl_task9[[คะแนนเต็ม]:[คะแนนเต็ม]])*tbl_task9[[%]:[%]])</f>
        <v/>
      </c>
      <c r="JO20" s="121" t="str">
        <f>IF(ISBLANK(tbl_task9[[คะแนนเต็ม]:[คะแนนเต็ม]]),"",(tbl_task9[105]/tbl_task9[[คะแนนเต็ม]:[คะแนนเต็ม]])*tbl_task9[[%]:[%]])</f>
        <v/>
      </c>
      <c r="JP20" s="121" t="str">
        <f>IF(ISBLANK(tbl_task9[[คะแนนเต็ม]:[คะแนนเต็ม]]),"",(tbl_task9[106]/tbl_task9[[คะแนนเต็ม]:[คะแนนเต็ม]])*tbl_task9[[%]:[%]])</f>
        <v/>
      </c>
      <c r="JQ20" s="121" t="str">
        <f>IF(ISBLANK(tbl_task9[[คะแนนเต็ม]:[คะแนนเต็ม]]),"",(tbl_task9[107]/tbl_task9[[คะแนนเต็ม]:[คะแนนเต็ม]])*tbl_task9[[%]:[%]])</f>
        <v/>
      </c>
      <c r="JR20" s="121" t="str">
        <f>IF(ISBLANK(tbl_task9[[คะแนนเต็ม]:[คะแนนเต็ม]]),"",(tbl_task9[108]/tbl_task9[[คะแนนเต็ม]:[คะแนนเต็ม]])*tbl_task9[[%]:[%]])</f>
        <v/>
      </c>
      <c r="JS20" s="121" t="str">
        <f>IF(ISBLANK(tbl_task9[[คะแนนเต็ม]:[คะแนนเต็ม]]),"",(tbl_task9[109]/tbl_task9[[คะแนนเต็ม]:[คะแนนเต็ม]])*tbl_task9[[%]:[%]])</f>
        <v/>
      </c>
      <c r="JT20" s="121" t="str">
        <f>IF(ISBLANK(tbl_task9[[คะแนนเต็ม]:[คะแนนเต็ม]]),"",(tbl_task9[110]/tbl_task9[[คะแนนเต็ม]:[คะแนนเต็ม]])*tbl_task9[[%]:[%]])</f>
        <v/>
      </c>
      <c r="JU20" s="121" t="str">
        <f>IF(ISBLANK(tbl_task9[[คะแนนเต็ม]:[คะแนนเต็ม]]),"",(tbl_task9[111]/tbl_task9[[คะแนนเต็ม]:[คะแนนเต็ม]])*tbl_task9[[%]:[%]])</f>
        <v/>
      </c>
      <c r="JV20" s="121" t="str">
        <f>IF(ISBLANK(tbl_task9[[คะแนนเต็ม]:[คะแนนเต็ม]]),"",(tbl_task9[112]/tbl_task9[[คะแนนเต็ม]:[คะแนนเต็ม]])*tbl_task9[[%]:[%]])</f>
        <v/>
      </c>
      <c r="JW20" s="121" t="str">
        <f>IF(ISBLANK(tbl_task9[[คะแนนเต็ม]:[คะแนนเต็ม]]),"",(tbl_task9[113]/tbl_task9[[คะแนนเต็ม]:[คะแนนเต็ม]])*tbl_task9[[%]:[%]])</f>
        <v/>
      </c>
      <c r="JX20" s="121" t="str">
        <f>IF(ISBLANK(tbl_task9[[คะแนนเต็ม]:[คะแนนเต็ม]]),"",(tbl_task9[114]/tbl_task9[[คะแนนเต็ม]:[คะแนนเต็ม]])*tbl_task9[[%]:[%]])</f>
        <v/>
      </c>
      <c r="JY20" s="121" t="str">
        <f>IF(ISBLANK(tbl_task9[[คะแนนเต็ม]:[คะแนนเต็ม]]),"",(tbl_task9[115]/tbl_task9[[คะแนนเต็ม]:[คะแนนเต็ม]])*tbl_task9[[%]:[%]])</f>
        <v/>
      </c>
      <c r="JZ20" s="121" t="str">
        <f>IF(ISBLANK(tbl_task9[[คะแนนเต็ม]:[คะแนนเต็ม]]),"",(tbl_task9[116]/tbl_task9[[คะแนนเต็ม]:[คะแนนเต็ม]])*tbl_task9[[%]:[%]])</f>
        <v/>
      </c>
      <c r="KA20" s="121" t="str">
        <f>IF(ISBLANK(tbl_task9[[คะแนนเต็ม]:[คะแนนเต็ม]]),"",(tbl_task9[117]/tbl_task9[[คะแนนเต็ม]:[คะแนนเต็ม]])*tbl_task9[[%]:[%]])</f>
        <v/>
      </c>
      <c r="KB20" s="121" t="str">
        <f>IF(ISBLANK(tbl_task9[[คะแนนเต็ม]:[คะแนนเต็ม]]),"",(tbl_task9[118]/tbl_task9[[คะแนนเต็ม]:[คะแนนเต็ม]])*tbl_task9[[%]:[%]])</f>
        <v/>
      </c>
      <c r="KC20" s="121" t="str">
        <f>IF(ISBLANK(tbl_task9[[คะแนนเต็ม]:[คะแนนเต็ม]]),"",(tbl_task9[119]/tbl_task9[[คะแนนเต็ม]:[คะแนนเต็ม]])*tbl_task9[[%]:[%]])</f>
        <v/>
      </c>
      <c r="KD20" s="121" t="str">
        <f>IF(ISBLANK(tbl_task9[[คะแนนเต็ม]:[คะแนนเต็ม]]),"",(tbl_task9[120]/tbl_task9[[คะแนนเต็ม]:[คะแนนเต็ม]])*tbl_task9[[%]:[%]])</f>
        <v/>
      </c>
      <c r="KE20" s="121" t="str">
        <f>IF(ISBLANK(tbl_task9[[คะแนนเต็ม]:[คะแนนเต็ม]]),"",(tbl_task9[121]/tbl_task9[[คะแนนเต็ม]:[คะแนนเต็ม]])*tbl_task9[[%]:[%]])</f>
        <v/>
      </c>
      <c r="KF20" s="121" t="str">
        <f>IF(ISBLANK(tbl_task9[[คะแนนเต็ม]:[คะแนนเต็ม]]),"",(tbl_task9[122]/tbl_task9[[คะแนนเต็ม]:[คะแนนเต็ม]])*tbl_task9[[%]:[%]])</f>
        <v/>
      </c>
      <c r="KG20" s="121" t="str">
        <f>IF(ISBLANK(tbl_task9[[คะแนนเต็ม]:[คะแนนเต็ม]]),"",(tbl_task9[123]/tbl_task9[[คะแนนเต็ม]:[คะแนนเต็ม]])*tbl_task9[[%]:[%]])</f>
        <v/>
      </c>
      <c r="KH20" s="121" t="str">
        <f>IF(ISBLANK(tbl_task9[[คะแนนเต็ม]:[คะแนนเต็ม]]),"",(tbl_task9[124]/tbl_task9[[คะแนนเต็ม]:[คะแนนเต็ม]])*tbl_task9[[%]:[%]])</f>
        <v/>
      </c>
      <c r="KI20" s="121" t="str">
        <f>IF(ISBLANK(tbl_task9[[คะแนนเต็ม]:[คะแนนเต็ม]]),"",(tbl_task9[125]/tbl_task9[[คะแนนเต็ม]:[คะแนนเต็ม]])*tbl_task9[[%]:[%]])</f>
        <v/>
      </c>
      <c r="KJ20" s="121" t="str">
        <f>IF(ISBLANK(tbl_task9[[คะแนนเต็ม]:[คะแนนเต็ม]]),"",(tbl_task9[126]/tbl_task9[[คะแนนเต็ม]:[คะแนนเต็ม]])*tbl_task9[[%]:[%]])</f>
        <v/>
      </c>
      <c r="KK20" s="121" t="str">
        <f>IF(ISBLANK(tbl_task9[[คะแนนเต็ม]:[คะแนนเต็ม]]),"",(tbl_task9[127]/tbl_task9[[คะแนนเต็ม]:[คะแนนเต็ม]])*tbl_task9[[%]:[%]])</f>
        <v/>
      </c>
      <c r="KL20" s="121" t="str">
        <f>IF(ISBLANK(tbl_task9[[คะแนนเต็ม]:[คะแนนเต็ม]]),"",(tbl_task9[128]/tbl_task9[[คะแนนเต็ม]:[คะแนนเต็ม]])*tbl_task9[[%]:[%]])</f>
        <v/>
      </c>
      <c r="KM20" s="121" t="str">
        <f>IF(ISBLANK(tbl_task9[[คะแนนเต็ม]:[คะแนนเต็ม]]),"",(tbl_task9[129]/tbl_task9[[คะแนนเต็ม]:[คะแนนเต็ม]])*tbl_task9[[%]:[%]])</f>
        <v/>
      </c>
      <c r="KN20" s="121" t="str">
        <f>IF(ISBLANK(tbl_task9[[คะแนนเต็ม]:[คะแนนเต็ม]]),"",(tbl_task9[130]/tbl_task9[[คะแนนเต็ม]:[คะแนนเต็ม]])*tbl_task9[[%]:[%]])</f>
        <v/>
      </c>
      <c r="KO20" s="121" t="str">
        <f>IF(ISBLANK(tbl_task9[[คะแนนเต็ม]:[คะแนนเต็ม]]),"",(tbl_task9[131]/tbl_task9[[คะแนนเต็ม]:[คะแนนเต็ม]])*tbl_task9[[%]:[%]])</f>
        <v/>
      </c>
      <c r="KP20" s="121" t="str">
        <f>IF(ISBLANK(tbl_task9[[คะแนนเต็ม]:[คะแนนเต็ม]]),"",(tbl_task9[132]/tbl_task9[[คะแนนเต็ม]:[คะแนนเต็ม]])*tbl_task9[[%]:[%]])</f>
        <v/>
      </c>
      <c r="KQ20" s="121" t="str">
        <f>IF(ISBLANK(tbl_task9[[คะแนนเต็ม]:[คะแนนเต็ม]]),"",(tbl_task9[133]/tbl_task9[[คะแนนเต็ม]:[คะแนนเต็ม]])*tbl_task9[[%]:[%]])</f>
        <v/>
      </c>
      <c r="KR20" s="121" t="str">
        <f>IF(ISBLANK(tbl_task9[[คะแนนเต็ม]:[คะแนนเต็ม]]),"",(tbl_task9[134]/tbl_task9[[คะแนนเต็ม]:[คะแนนเต็ม]])*tbl_task9[[%]:[%]])</f>
        <v/>
      </c>
      <c r="KS20" s="121" t="str">
        <f>IF(ISBLANK(tbl_task9[[คะแนนเต็ม]:[คะแนนเต็ม]]),"",(tbl_task9[135]/tbl_task9[[คะแนนเต็ม]:[คะแนนเต็ม]])*tbl_task9[[%]:[%]])</f>
        <v/>
      </c>
      <c r="KT20" s="121" t="str">
        <f>IF(ISBLANK(tbl_task9[[คะแนนเต็ม]:[คะแนนเต็ม]]),"",(tbl_task9[136]/tbl_task9[[คะแนนเต็ม]:[คะแนนเต็ม]])*tbl_task9[[%]:[%]])</f>
        <v/>
      </c>
      <c r="KU20" s="121" t="str">
        <f>IF(ISBLANK(tbl_task9[[คะแนนเต็ม]:[คะแนนเต็ม]]),"",(tbl_task9[137]/tbl_task9[[คะแนนเต็ม]:[คะแนนเต็ม]])*tbl_task9[[%]:[%]])</f>
        <v/>
      </c>
      <c r="KV20" s="121" t="str">
        <f>IF(ISBLANK(tbl_task9[[คะแนนเต็ม]:[คะแนนเต็ม]]),"",(tbl_task9[138]/tbl_task9[[คะแนนเต็ม]:[คะแนนเต็ม]])*tbl_task9[[%]:[%]])</f>
        <v/>
      </c>
      <c r="KW20" s="121" t="str">
        <f>IF(ISBLANK(tbl_task9[[คะแนนเต็ม]:[คะแนนเต็ม]]),"",(tbl_task9[139]/tbl_task9[[คะแนนเต็ม]:[คะแนนเต็ม]])*tbl_task9[[%]:[%]])</f>
        <v/>
      </c>
      <c r="KX20" s="121" t="str">
        <f>IF(ISBLANK(tbl_task9[[คะแนนเต็ม]:[คะแนนเต็ม]]),"",(tbl_task9[140]/tbl_task9[[คะแนนเต็ม]:[คะแนนเต็ม]])*tbl_task9[[%]:[%]])</f>
        <v/>
      </c>
      <c r="KY20" s="121" t="str">
        <f>IF(ISBLANK(tbl_task9[[คะแนนเต็ม]:[คะแนนเต็ม]]),"",(tbl_task9[141]/tbl_task9[[คะแนนเต็ม]:[คะแนนเต็ม]])*tbl_task9[[%]:[%]])</f>
        <v/>
      </c>
      <c r="KZ20" s="121" t="str">
        <f>IF(ISBLANK(tbl_task9[[คะแนนเต็ม]:[คะแนนเต็ม]]),"",(tbl_task9[142]/tbl_task9[[คะแนนเต็ม]:[คะแนนเต็ม]])*tbl_task9[[%]:[%]])</f>
        <v/>
      </c>
      <c r="LA20" s="121" t="str">
        <f>IF(ISBLANK(tbl_task9[[คะแนนเต็ม]:[คะแนนเต็ม]]),"",(tbl_task9[143]/tbl_task9[[คะแนนเต็ม]:[คะแนนเต็ม]])*tbl_task9[[%]:[%]])</f>
        <v/>
      </c>
      <c r="LB20" s="121" t="str">
        <f>IF(ISBLANK(tbl_task9[[คะแนนเต็ม]:[คะแนนเต็ม]]),"",(tbl_task9[144]/tbl_task9[[คะแนนเต็ม]:[คะแนนเต็ม]])*tbl_task9[[%]:[%]])</f>
        <v/>
      </c>
      <c r="LC20" s="121" t="str">
        <f>IF(ISBLANK(tbl_task9[[คะแนนเต็ม]:[คะแนนเต็ม]]),"",(tbl_task9[145]/tbl_task9[[คะแนนเต็ม]:[คะแนนเต็ม]])*tbl_task9[[%]:[%]])</f>
        <v/>
      </c>
      <c r="LD20" s="121" t="str">
        <f>IF(ISBLANK(tbl_task9[[คะแนนเต็ม]:[คะแนนเต็ม]]),"",(tbl_task9[146]/tbl_task9[[คะแนนเต็ม]:[คะแนนเต็ม]])*tbl_task9[[%]:[%]])</f>
        <v/>
      </c>
      <c r="LE20" s="121" t="str">
        <f>IF(ISBLANK(tbl_task9[[คะแนนเต็ม]:[คะแนนเต็ม]]),"",(tbl_task9[147]/tbl_task9[[คะแนนเต็ม]:[คะแนนเต็ม]])*tbl_task9[[%]:[%]])</f>
        <v/>
      </c>
      <c r="LF20" s="121" t="str">
        <f>IF(ISBLANK(tbl_task9[[คะแนนเต็ม]:[คะแนนเต็ม]]),"",(tbl_task9[148]/tbl_task9[[คะแนนเต็ม]:[คะแนนเต็ม]])*tbl_task9[[%]:[%]])</f>
        <v/>
      </c>
      <c r="LG20" s="121" t="str">
        <f>IF(ISBLANK(tbl_task9[[คะแนนเต็ม]:[คะแนนเต็ม]]),"",(tbl_task9[149]/tbl_task9[[คะแนนเต็ม]:[คะแนนเต็ม]])*tbl_task9[[%]:[%]])</f>
        <v/>
      </c>
      <c r="LH20" s="121" t="str">
        <f>IF(ISBLANK(tbl_task9[[คะแนนเต็ม]:[คะแนนเต็ม]]),"",(tbl_task9[150]/tbl_task9[[คะแนนเต็ม]:[คะแนนเต็ม]])*tbl_task9[[%]:[%]])</f>
        <v/>
      </c>
      <c r="LI20" s="121" t="str">
        <f>IF(ISBLANK(tbl_task9[[คะแนนเต็ม]:[คะแนนเต็ม]]),"",(tbl_task9[151]/tbl_task9[[คะแนนเต็ม]:[คะแนนเต็ม]])*tbl_task9[[%]:[%]])</f>
        <v/>
      </c>
      <c r="LJ20" s="121" t="str">
        <f>IF(ISBLANK(tbl_task9[[คะแนนเต็ม]:[คะแนนเต็ม]]),"",(tbl_task9[152]/tbl_task9[[คะแนนเต็ม]:[คะแนนเต็ม]])*tbl_task9[[%]:[%]])</f>
        <v/>
      </c>
      <c r="LK20" s="121" t="str">
        <f>IF(ISBLANK(tbl_task9[[คะแนนเต็ม]:[คะแนนเต็ม]]),"",(tbl_task9[153]/tbl_task9[[คะแนนเต็ม]:[คะแนนเต็ม]])*tbl_task9[[%]:[%]])</f>
        <v/>
      </c>
      <c r="LL20" s="121" t="str">
        <f>IF(ISBLANK(tbl_task9[[คะแนนเต็ม]:[คะแนนเต็ม]]),"",(tbl_task9[154]/tbl_task9[[คะแนนเต็ม]:[คะแนนเต็ม]])*tbl_task9[[%]:[%]])</f>
        <v/>
      </c>
      <c r="LM20" s="121" t="str">
        <f>IF(ISBLANK(tbl_task9[[คะแนนเต็ม]:[คะแนนเต็ม]]),"",(tbl_task9[155]/tbl_task9[[คะแนนเต็ม]:[คะแนนเต็ม]])*tbl_task9[[%]:[%]])</f>
        <v/>
      </c>
      <c r="LN20" s="121" t="str">
        <f>IF(ISBLANK(tbl_task9[[คะแนนเต็ม]:[คะแนนเต็ม]]),"",(tbl_task9[156]/tbl_task9[[คะแนนเต็ม]:[คะแนนเต็ม]])*tbl_task9[[%]:[%]])</f>
        <v/>
      </c>
      <c r="LO20" s="121" t="str">
        <f>IF(ISBLANK(tbl_task9[[คะแนนเต็ม]:[คะแนนเต็ม]]),"",(tbl_task9[157]/tbl_task9[[คะแนนเต็ม]:[คะแนนเต็ม]])*tbl_task9[[%]:[%]])</f>
        <v/>
      </c>
      <c r="LP20" s="121" t="str">
        <f>IF(ISBLANK(tbl_task9[[คะแนนเต็ม]:[คะแนนเต็ม]]),"",(tbl_task9[158]/tbl_task9[[คะแนนเต็ม]:[คะแนนเต็ม]])*tbl_task9[[%]:[%]])</f>
        <v/>
      </c>
      <c r="LQ20" s="121" t="str">
        <f>IF(ISBLANK(tbl_task9[[คะแนนเต็ม]:[คะแนนเต็ม]]),"",(tbl_task9[159]/tbl_task9[[คะแนนเต็ม]:[คะแนนเต็ม]])*tbl_task9[[%]:[%]])</f>
        <v/>
      </c>
      <c r="LR20" s="121" t="str">
        <f>IF(ISBLANK(tbl_task9[[คะแนนเต็ม]:[คะแนนเต็ม]]),"",(tbl_task9[160]/tbl_task9[[คะแนนเต็ม]:[คะแนนเต็ม]])*tbl_task9[[%]:[%]])</f>
        <v/>
      </c>
      <c r="LS20" s="121" t="str">
        <f>IF(ISBLANK(tbl_task9[[คะแนนเต็ม]:[คะแนนเต็ม]]),"",(tbl_task9[161]/tbl_task9[[คะแนนเต็ม]:[คะแนนเต็ม]])*tbl_task9[[%]:[%]])</f>
        <v/>
      </c>
      <c r="LT20" s="121" t="str">
        <f>IF(ISBLANK(tbl_task9[[คะแนนเต็ม]:[คะแนนเต็ม]]),"",(tbl_task9[162]/tbl_task9[[คะแนนเต็ม]:[คะแนนเต็ม]])*tbl_task9[[%]:[%]])</f>
        <v/>
      </c>
      <c r="LU20" s="121" t="str">
        <f>IF(ISBLANK(tbl_task9[[คะแนนเต็ม]:[คะแนนเต็ม]]),"",(tbl_task9[163]/tbl_task9[[คะแนนเต็ม]:[คะแนนเต็ม]])*tbl_task9[[%]:[%]])</f>
        <v/>
      </c>
      <c r="LV20" s="121" t="str">
        <f>IF(ISBLANK(tbl_task9[[คะแนนเต็ม]:[คะแนนเต็ม]]),"",(tbl_task9[164]/tbl_task9[[คะแนนเต็ม]:[คะแนนเต็ม]])*tbl_task9[[%]:[%]])</f>
        <v/>
      </c>
      <c r="LW20" s="121" t="str">
        <f>IF(ISBLANK(tbl_task9[[คะแนนเต็ม]:[คะแนนเต็ม]]),"",(tbl_task9[165]/tbl_task9[[คะแนนเต็ม]:[คะแนนเต็ม]])*tbl_task9[[%]:[%]])</f>
        <v/>
      </c>
    </row>
    <row r="21" spans="1:335" ht="24" customHeight="1" x14ac:dyDescent="0.25">
      <c r="A21" s="24">
        <v>18</v>
      </c>
      <c r="B21" s="20"/>
      <c r="C21" s="5" t="str">
        <f>IF(ISBLANK(B21),"",VLOOKUP(B21,tbl_PLOs[],2,0))</f>
        <v/>
      </c>
      <c r="D21" s="102"/>
      <c r="E21" s="106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21" t="str">
        <f>IF(ISBLANK(tbl_task9[[คะแนนเต็ม]:[คะแนนเต็ม]]),"",(tbl_task9[1]/tbl_task9[[คะแนนเต็ม]:[คะแนนเต็ม]])*tbl_task9[[%]:[%]])</f>
        <v/>
      </c>
      <c r="FP21" s="121" t="str">
        <f>IF(ISBLANK(tbl_task9[[คะแนนเต็ม]:[คะแนนเต็ม]]),"",(tbl_task9[2]/tbl_task9[[คะแนนเต็ม]:[คะแนนเต็ม]])*tbl_task9[[%]:[%]])</f>
        <v/>
      </c>
      <c r="FQ21" s="121" t="str">
        <f>IF(ISBLANK(tbl_task9[[คะแนนเต็ม]:[คะแนนเต็ม]]),"",(tbl_task9[3]/tbl_task9[[คะแนนเต็ม]:[คะแนนเต็ม]])*tbl_task9[[%]:[%]])</f>
        <v/>
      </c>
      <c r="FR21" s="121" t="str">
        <f>IF(ISBLANK(tbl_task9[[คะแนนเต็ม]:[คะแนนเต็ม]]),"",(tbl_task9[4]/tbl_task9[[คะแนนเต็ม]:[คะแนนเต็ม]])*tbl_task9[[%]:[%]])</f>
        <v/>
      </c>
      <c r="FS21" s="121" t="str">
        <f>IF(ISBLANK(tbl_task9[[คะแนนเต็ม]:[คะแนนเต็ม]]),"",(tbl_task9[5]/tbl_task9[[คะแนนเต็ม]:[คะแนนเต็ม]])*tbl_task9[[%]:[%]])</f>
        <v/>
      </c>
      <c r="FT21" s="121" t="str">
        <f>IF(ISBLANK(tbl_task9[[คะแนนเต็ม]:[คะแนนเต็ม]]),"",(tbl_task9[6]/tbl_task9[[คะแนนเต็ม]:[คะแนนเต็ม]])*tbl_task9[[%]:[%]])</f>
        <v/>
      </c>
      <c r="FU21" s="121" t="str">
        <f>IF(ISBLANK(tbl_task9[[คะแนนเต็ม]:[คะแนนเต็ม]]),"",(tbl_task9[7]/tbl_task9[[คะแนนเต็ม]:[คะแนนเต็ม]])*tbl_task9[[%]:[%]])</f>
        <v/>
      </c>
      <c r="FV21" s="121" t="str">
        <f>IF(ISBLANK(tbl_task9[[คะแนนเต็ม]:[คะแนนเต็ม]]),"",(tbl_task9[8]/tbl_task9[[คะแนนเต็ม]:[คะแนนเต็ม]])*tbl_task9[[%]:[%]])</f>
        <v/>
      </c>
      <c r="FW21" s="121" t="str">
        <f>IF(ISBLANK(tbl_task9[[คะแนนเต็ม]:[คะแนนเต็ม]]),"",(tbl_task9[9]/tbl_task9[[คะแนนเต็ม]:[คะแนนเต็ม]])*tbl_task9[[%]:[%]])</f>
        <v/>
      </c>
      <c r="FX21" s="121" t="str">
        <f>IF(ISBLANK(tbl_task9[[คะแนนเต็ม]:[คะแนนเต็ม]]),"",(tbl_task9[10]/tbl_task9[[คะแนนเต็ม]:[คะแนนเต็ม]])*tbl_task9[[%]:[%]])</f>
        <v/>
      </c>
      <c r="FY21" s="121" t="str">
        <f>IF(ISBLANK(tbl_task9[[คะแนนเต็ม]:[คะแนนเต็ม]]),"",(tbl_task9[11]/tbl_task9[[คะแนนเต็ม]:[คะแนนเต็ม]])*tbl_task9[[%]:[%]])</f>
        <v/>
      </c>
      <c r="FZ21" s="121" t="str">
        <f>IF(ISBLANK(tbl_task9[[คะแนนเต็ม]:[คะแนนเต็ม]]),"",(tbl_task9[12]/tbl_task9[[คะแนนเต็ม]:[คะแนนเต็ม]])*tbl_task9[[%]:[%]])</f>
        <v/>
      </c>
      <c r="GA21" s="121" t="str">
        <f>IF(ISBLANK(tbl_task9[[คะแนนเต็ม]:[คะแนนเต็ม]]),"",(tbl_task9[13]/tbl_task9[[คะแนนเต็ม]:[คะแนนเต็ม]])*tbl_task9[[%]:[%]])</f>
        <v/>
      </c>
      <c r="GB21" s="121" t="str">
        <f>IF(ISBLANK(tbl_task9[[คะแนนเต็ม]:[คะแนนเต็ม]]),"",(tbl_task9[14]/tbl_task9[[คะแนนเต็ม]:[คะแนนเต็ม]])*tbl_task9[[%]:[%]])</f>
        <v/>
      </c>
      <c r="GC21" s="121" t="str">
        <f>IF(ISBLANK(tbl_task9[[คะแนนเต็ม]:[คะแนนเต็ม]]),"",(tbl_task9[15]/tbl_task9[[คะแนนเต็ม]:[คะแนนเต็ม]])*tbl_task9[[%]:[%]])</f>
        <v/>
      </c>
      <c r="GD21" s="121" t="str">
        <f>IF(ISBLANK(tbl_task9[[คะแนนเต็ม]:[คะแนนเต็ม]]),"",(tbl_task9[16]/tbl_task9[[คะแนนเต็ม]:[คะแนนเต็ม]])*tbl_task9[[%]:[%]])</f>
        <v/>
      </c>
      <c r="GE21" s="121" t="str">
        <f>IF(ISBLANK(tbl_task9[[คะแนนเต็ม]:[คะแนนเต็ม]]),"",(tbl_task9[17]/tbl_task9[[คะแนนเต็ม]:[คะแนนเต็ม]])*tbl_task9[[%]:[%]])</f>
        <v/>
      </c>
      <c r="GF21" s="121" t="str">
        <f>IF(ISBLANK(tbl_task9[[คะแนนเต็ม]:[คะแนนเต็ม]]),"",(tbl_task9[18]/tbl_task9[[คะแนนเต็ม]:[คะแนนเต็ม]])*tbl_task9[[%]:[%]])</f>
        <v/>
      </c>
      <c r="GG21" s="121" t="str">
        <f>IF(ISBLANK(tbl_task9[[คะแนนเต็ม]:[คะแนนเต็ม]]),"",(tbl_task9[19]/tbl_task9[[คะแนนเต็ม]:[คะแนนเต็ม]])*tbl_task9[[%]:[%]])</f>
        <v/>
      </c>
      <c r="GH21" s="121" t="str">
        <f>IF(ISBLANK(tbl_task9[[คะแนนเต็ม]:[คะแนนเต็ม]]),"",(tbl_task9[20]/tbl_task9[[คะแนนเต็ม]:[คะแนนเต็ม]])*tbl_task9[[%]:[%]])</f>
        <v/>
      </c>
      <c r="GI21" s="121" t="str">
        <f>IF(ISBLANK(tbl_task9[[คะแนนเต็ม]:[คะแนนเต็ม]]),"",(tbl_task9[21]/tbl_task9[[คะแนนเต็ม]:[คะแนนเต็ม]])*tbl_task9[[%]:[%]])</f>
        <v/>
      </c>
      <c r="GJ21" s="121" t="str">
        <f>IF(ISBLANK(tbl_task9[[คะแนนเต็ม]:[คะแนนเต็ม]]),"",(tbl_task9[22]/tbl_task9[[คะแนนเต็ม]:[คะแนนเต็ม]])*tbl_task9[[%]:[%]])</f>
        <v/>
      </c>
      <c r="GK21" s="121" t="str">
        <f>IF(ISBLANK(tbl_task9[[คะแนนเต็ม]:[คะแนนเต็ม]]),"",(tbl_task9[23]/tbl_task9[[คะแนนเต็ม]:[คะแนนเต็ม]])*tbl_task9[[%]:[%]])</f>
        <v/>
      </c>
      <c r="GL21" s="121" t="str">
        <f>IF(ISBLANK(tbl_task9[[คะแนนเต็ม]:[คะแนนเต็ม]]),"",(tbl_task9[24]/tbl_task9[[คะแนนเต็ม]:[คะแนนเต็ม]])*tbl_task9[[%]:[%]])</f>
        <v/>
      </c>
      <c r="GM21" s="121" t="str">
        <f>IF(ISBLANK(tbl_task9[[คะแนนเต็ม]:[คะแนนเต็ม]]),"",(tbl_task9[25]/tbl_task9[[คะแนนเต็ม]:[คะแนนเต็ม]])*tbl_task9[[%]:[%]])</f>
        <v/>
      </c>
      <c r="GN21" s="121" t="str">
        <f>IF(ISBLANK(tbl_task9[[คะแนนเต็ม]:[คะแนนเต็ม]]),"",(tbl_task9[26]/tbl_task9[[คะแนนเต็ม]:[คะแนนเต็ม]])*tbl_task9[[%]:[%]])</f>
        <v/>
      </c>
      <c r="GO21" s="121" t="str">
        <f>IF(ISBLANK(tbl_task9[[คะแนนเต็ม]:[คะแนนเต็ม]]),"",(tbl_task9[27]/tbl_task9[[คะแนนเต็ม]:[คะแนนเต็ม]])*tbl_task9[[%]:[%]])</f>
        <v/>
      </c>
      <c r="GP21" s="121" t="str">
        <f>IF(ISBLANK(tbl_task9[[คะแนนเต็ม]:[คะแนนเต็ม]]),"",(tbl_task9[28]/tbl_task9[[คะแนนเต็ม]:[คะแนนเต็ม]])*tbl_task9[[%]:[%]])</f>
        <v/>
      </c>
      <c r="GQ21" s="121" t="str">
        <f>IF(ISBLANK(tbl_task9[[คะแนนเต็ม]:[คะแนนเต็ม]]),"",(tbl_task9[29]/tbl_task9[[คะแนนเต็ม]:[คะแนนเต็ม]])*tbl_task9[[%]:[%]])</f>
        <v/>
      </c>
      <c r="GR21" s="121" t="str">
        <f>IF(ISBLANK(tbl_task9[[คะแนนเต็ม]:[คะแนนเต็ม]]),"",(tbl_task9[30]/tbl_task9[[คะแนนเต็ม]:[คะแนนเต็ม]])*tbl_task9[[%]:[%]])</f>
        <v/>
      </c>
      <c r="GS21" s="121" t="str">
        <f>IF(ISBLANK(tbl_task9[[คะแนนเต็ม]:[คะแนนเต็ม]]),"",(tbl_task9[31]/tbl_task9[[คะแนนเต็ม]:[คะแนนเต็ม]])*tbl_task9[[%]:[%]])</f>
        <v/>
      </c>
      <c r="GT21" s="121" t="str">
        <f>IF(ISBLANK(tbl_task9[[คะแนนเต็ม]:[คะแนนเต็ม]]),"",(tbl_task9[32]/tbl_task9[[คะแนนเต็ม]:[คะแนนเต็ม]])*tbl_task9[[%]:[%]])</f>
        <v/>
      </c>
      <c r="GU21" s="121" t="str">
        <f>IF(ISBLANK(tbl_task9[[คะแนนเต็ม]:[คะแนนเต็ม]]),"",(tbl_task9[33]/tbl_task9[[คะแนนเต็ม]:[คะแนนเต็ม]])*tbl_task9[[%]:[%]])</f>
        <v/>
      </c>
      <c r="GV21" s="121" t="str">
        <f>IF(ISBLANK(tbl_task9[[คะแนนเต็ม]:[คะแนนเต็ม]]),"",(tbl_task9[34]/tbl_task9[[คะแนนเต็ม]:[คะแนนเต็ม]])*tbl_task9[[%]:[%]])</f>
        <v/>
      </c>
      <c r="GW21" s="121" t="str">
        <f>IF(ISBLANK(tbl_task9[[คะแนนเต็ม]:[คะแนนเต็ม]]),"",(tbl_task9[35]/tbl_task9[[คะแนนเต็ม]:[คะแนนเต็ม]])*tbl_task9[[%]:[%]])</f>
        <v/>
      </c>
      <c r="GX21" s="121" t="str">
        <f>IF(ISBLANK(tbl_task9[[คะแนนเต็ม]:[คะแนนเต็ม]]),"",(tbl_task9[36]/tbl_task9[[คะแนนเต็ม]:[คะแนนเต็ม]])*tbl_task9[[%]:[%]])</f>
        <v/>
      </c>
      <c r="GY21" s="121" t="str">
        <f>IF(ISBLANK(tbl_task9[[คะแนนเต็ม]:[คะแนนเต็ม]]),"",(tbl_task9[37]/tbl_task9[[คะแนนเต็ม]:[คะแนนเต็ม]])*tbl_task9[[%]:[%]])</f>
        <v/>
      </c>
      <c r="GZ21" s="121" t="str">
        <f>IF(ISBLANK(tbl_task9[[คะแนนเต็ม]:[คะแนนเต็ม]]),"",(tbl_task9[38]/tbl_task9[[คะแนนเต็ม]:[คะแนนเต็ม]])*tbl_task9[[%]:[%]])</f>
        <v/>
      </c>
      <c r="HA21" s="121" t="str">
        <f>IF(ISBLANK(tbl_task9[[คะแนนเต็ม]:[คะแนนเต็ม]]),"",(tbl_task9[39]/tbl_task9[[คะแนนเต็ม]:[คะแนนเต็ม]])*tbl_task9[[%]:[%]])</f>
        <v/>
      </c>
      <c r="HB21" s="121" t="str">
        <f>IF(ISBLANK(tbl_task9[[คะแนนเต็ม]:[คะแนนเต็ม]]),"",(tbl_task9[40]/tbl_task9[[คะแนนเต็ม]:[คะแนนเต็ม]])*tbl_task9[[%]:[%]])</f>
        <v/>
      </c>
      <c r="HC21" s="121" t="str">
        <f>IF(ISBLANK(tbl_task9[[คะแนนเต็ม]:[คะแนนเต็ม]]),"",(tbl_task9[41]/tbl_task9[[คะแนนเต็ม]:[คะแนนเต็ม]])*tbl_task9[[%]:[%]])</f>
        <v/>
      </c>
      <c r="HD21" s="121" t="str">
        <f>IF(ISBLANK(tbl_task9[[คะแนนเต็ม]:[คะแนนเต็ม]]),"",(tbl_task9[42]/tbl_task9[[คะแนนเต็ม]:[คะแนนเต็ม]])*tbl_task9[[%]:[%]])</f>
        <v/>
      </c>
      <c r="HE21" s="121" t="str">
        <f>IF(ISBLANK(tbl_task9[[คะแนนเต็ม]:[คะแนนเต็ม]]),"",(tbl_task9[43]/tbl_task9[[คะแนนเต็ม]:[คะแนนเต็ม]])*tbl_task9[[%]:[%]])</f>
        <v/>
      </c>
      <c r="HF21" s="121" t="str">
        <f>IF(ISBLANK(tbl_task9[[คะแนนเต็ม]:[คะแนนเต็ม]]),"",(tbl_task9[44]/tbl_task9[[คะแนนเต็ม]:[คะแนนเต็ม]])*tbl_task9[[%]:[%]])</f>
        <v/>
      </c>
      <c r="HG21" s="121" t="str">
        <f>IF(ISBLANK(tbl_task9[[คะแนนเต็ม]:[คะแนนเต็ม]]),"",(tbl_task9[45]/tbl_task9[[คะแนนเต็ม]:[คะแนนเต็ม]])*tbl_task9[[%]:[%]])</f>
        <v/>
      </c>
      <c r="HH21" s="121" t="str">
        <f>IF(ISBLANK(tbl_task9[[คะแนนเต็ม]:[คะแนนเต็ม]]),"",(tbl_task9[46]/tbl_task9[[คะแนนเต็ม]:[คะแนนเต็ม]])*tbl_task9[[%]:[%]])</f>
        <v/>
      </c>
      <c r="HI21" s="121" t="str">
        <f>IF(ISBLANK(tbl_task9[[คะแนนเต็ม]:[คะแนนเต็ม]]),"",(tbl_task9[47]/tbl_task9[[คะแนนเต็ม]:[คะแนนเต็ม]])*tbl_task9[[%]:[%]])</f>
        <v/>
      </c>
      <c r="HJ21" s="121" t="str">
        <f>IF(ISBLANK(tbl_task9[[คะแนนเต็ม]:[คะแนนเต็ม]]),"",(tbl_task9[48]/tbl_task9[[คะแนนเต็ม]:[คะแนนเต็ม]])*tbl_task9[[%]:[%]])</f>
        <v/>
      </c>
      <c r="HK21" s="121" t="str">
        <f>IF(ISBLANK(tbl_task9[[คะแนนเต็ม]:[คะแนนเต็ม]]),"",(tbl_task9[49]/tbl_task9[[คะแนนเต็ม]:[คะแนนเต็ม]])*tbl_task9[[%]:[%]])</f>
        <v/>
      </c>
      <c r="HL21" s="121" t="str">
        <f>IF(ISBLANK(tbl_task9[[คะแนนเต็ม]:[คะแนนเต็ม]]),"",(tbl_task9[50]/tbl_task9[[คะแนนเต็ม]:[คะแนนเต็ม]])*tbl_task9[[%]:[%]])</f>
        <v/>
      </c>
      <c r="HM21" s="121" t="str">
        <f>IF(ISBLANK(tbl_task9[[คะแนนเต็ม]:[คะแนนเต็ม]]),"",(tbl_task9[51]/tbl_task9[[คะแนนเต็ม]:[คะแนนเต็ม]])*tbl_task9[[%]:[%]])</f>
        <v/>
      </c>
      <c r="HN21" s="121" t="str">
        <f>IF(ISBLANK(tbl_task9[[คะแนนเต็ม]:[คะแนนเต็ม]]),"",(tbl_task9[52]/tbl_task9[[คะแนนเต็ม]:[คะแนนเต็ม]])*tbl_task9[[%]:[%]])</f>
        <v/>
      </c>
      <c r="HO21" s="121" t="str">
        <f>IF(ISBLANK(tbl_task9[[คะแนนเต็ม]:[คะแนนเต็ม]]),"",(tbl_task9[53]/tbl_task9[[คะแนนเต็ม]:[คะแนนเต็ม]])*tbl_task9[[%]:[%]])</f>
        <v/>
      </c>
      <c r="HP21" s="121" t="str">
        <f>IF(ISBLANK(tbl_task9[[คะแนนเต็ม]:[คะแนนเต็ม]]),"",(tbl_task9[54]/tbl_task9[[คะแนนเต็ม]:[คะแนนเต็ม]])*tbl_task9[[%]:[%]])</f>
        <v/>
      </c>
      <c r="HQ21" s="121" t="str">
        <f>IF(ISBLANK(tbl_task9[[คะแนนเต็ม]:[คะแนนเต็ม]]),"",(tbl_task9[55]/tbl_task9[[คะแนนเต็ม]:[คะแนนเต็ม]])*tbl_task9[[%]:[%]])</f>
        <v/>
      </c>
      <c r="HR21" s="121" t="str">
        <f>IF(ISBLANK(tbl_task9[[คะแนนเต็ม]:[คะแนนเต็ม]]),"",(tbl_task9[56]/tbl_task9[[คะแนนเต็ม]:[คะแนนเต็ม]])*tbl_task9[[%]:[%]])</f>
        <v/>
      </c>
      <c r="HS21" s="121" t="str">
        <f>IF(ISBLANK(tbl_task9[[คะแนนเต็ม]:[คะแนนเต็ม]]),"",(tbl_task9[57]/tbl_task9[[คะแนนเต็ม]:[คะแนนเต็ม]])*tbl_task9[[%]:[%]])</f>
        <v/>
      </c>
      <c r="HT21" s="121" t="str">
        <f>IF(ISBLANK(tbl_task9[[คะแนนเต็ม]:[คะแนนเต็ม]]),"",(tbl_task9[58]/tbl_task9[[คะแนนเต็ม]:[คะแนนเต็ม]])*tbl_task9[[%]:[%]])</f>
        <v/>
      </c>
      <c r="HU21" s="121" t="str">
        <f>IF(ISBLANK(tbl_task9[[คะแนนเต็ม]:[คะแนนเต็ม]]),"",(tbl_task9[59]/tbl_task9[[คะแนนเต็ม]:[คะแนนเต็ม]])*tbl_task9[[%]:[%]])</f>
        <v/>
      </c>
      <c r="HV21" s="121" t="str">
        <f>IF(ISBLANK(tbl_task9[[คะแนนเต็ม]:[คะแนนเต็ม]]),"",(tbl_task9[60]/tbl_task9[[คะแนนเต็ม]:[คะแนนเต็ม]])*tbl_task9[[%]:[%]])</f>
        <v/>
      </c>
      <c r="HW21" s="121" t="str">
        <f>IF(ISBLANK(tbl_task9[[คะแนนเต็ม]:[คะแนนเต็ม]]),"",(tbl_task9[61]/tbl_task9[[คะแนนเต็ม]:[คะแนนเต็ม]])*tbl_task9[[%]:[%]])</f>
        <v/>
      </c>
      <c r="HX21" s="121" t="str">
        <f>IF(ISBLANK(tbl_task9[[คะแนนเต็ม]:[คะแนนเต็ม]]),"",(tbl_task9[62]/tbl_task9[[คะแนนเต็ม]:[คะแนนเต็ม]])*tbl_task9[[%]:[%]])</f>
        <v/>
      </c>
      <c r="HY21" s="121" t="str">
        <f>IF(ISBLANK(tbl_task9[[คะแนนเต็ม]:[คะแนนเต็ม]]),"",(tbl_task9[63]/tbl_task9[[คะแนนเต็ม]:[คะแนนเต็ม]])*tbl_task9[[%]:[%]])</f>
        <v/>
      </c>
      <c r="HZ21" s="121" t="str">
        <f>IF(ISBLANK(tbl_task9[[คะแนนเต็ม]:[คะแนนเต็ม]]),"",(tbl_task9[64]/tbl_task9[[คะแนนเต็ม]:[คะแนนเต็ม]])*tbl_task9[[%]:[%]])</f>
        <v/>
      </c>
      <c r="IA21" s="121" t="str">
        <f>IF(ISBLANK(tbl_task9[[คะแนนเต็ม]:[คะแนนเต็ม]]),"",(tbl_task9[65]/tbl_task9[[คะแนนเต็ม]:[คะแนนเต็ม]])*tbl_task9[[%]:[%]])</f>
        <v/>
      </c>
      <c r="IB21" s="121" t="str">
        <f>IF(ISBLANK(tbl_task9[[คะแนนเต็ม]:[คะแนนเต็ม]]),"",(tbl_task9[66]/tbl_task9[[คะแนนเต็ม]:[คะแนนเต็ม]])*tbl_task9[[%]:[%]])</f>
        <v/>
      </c>
      <c r="IC21" s="121" t="str">
        <f>IF(ISBLANK(tbl_task9[[คะแนนเต็ม]:[คะแนนเต็ม]]),"",(tbl_task9[67]/tbl_task9[[คะแนนเต็ม]:[คะแนนเต็ม]])*tbl_task9[[%]:[%]])</f>
        <v/>
      </c>
      <c r="ID21" s="121" t="str">
        <f>IF(ISBLANK(tbl_task9[[คะแนนเต็ม]:[คะแนนเต็ม]]),"",(tbl_task9[68]/tbl_task9[[คะแนนเต็ม]:[คะแนนเต็ม]])*tbl_task9[[%]:[%]])</f>
        <v/>
      </c>
      <c r="IE21" s="121" t="str">
        <f>IF(ISBLANK(tbl_task9[[คะแนนเต็ม]:[คะแนนเต็ม]]),"",(tbl_task9[69]/tbl_task9[[คะแนนเต็ม]:[คะแนนเต็ม]])*tbl_task9[[%]:[%]])</f>
        <v/>
      </c>
      <c r="IF21" s="121" t="str">
        <f>IF(ISBLANK(tbl_task9[[คะแนนเต็ม]:[คะแนนเต็ม]]),"",(tbl_task9[70]/tbl_task9[[คะแนนเต็ม]:[คะแนนเต็ม]])*tbl_task9[[%]:[%]])</f>
        <v/>
      </c>
      <c r="IG21" s="121" t="str">
        <f>IF(ISBLANK(tbl_task9[[คะแนนเต็ม]:[คะแนนเต็ม]]),"",(tbl_task9[71]/tbl_task9[[คะแนนเต็ม]:[คะแนนเต็ม]])*tbl_task9[[%]:[%]])</f>
        <v/>
      </c>
      <c r="IH21" s="121" t="str">
        <f>IF(ISBLANK(tbl_task9[[คะแนนเต็ม]:[คะแนนเต็ม]]),"",(tbl_task9[72]/tbl_task9[[คะแนนเต็ม]:[คะแนนเต็ม]])*tbl_task9[[%]:[%]])</f>
        <v/>
      </c>
      <c r="II21" s="121" t="str">
        <f>IF(ISBLANK(tbl_task9[[คะแนนเต็ม]:[คะแนนเต็ม]]),"",(tbl_task9[73]/tbl_task9[[คะแนนเต็ม]:[คะแนนเต็ม]])*tbl_task9[[%]:[%]])</f>
        <v/>
      </c>
      <c r="IJ21" s="121" t="str">
        <f>IF(ISBLANK(tbl_task9[[คะแนนเต็ม]:[คะแนนเต็ม]]),"",(tbl_task9[74]/tbl_task9[[คะแนนเต็ม]:[คะแนนเต็ม]])*tbl_task9[[%]:[%]])</f>
        <v/>
      </c>
      <c r="IK21" s="121" t="str">
        <f>IF(ISBLANK(tbl_task9[[คะแนนเต็ม]:[คะแนนเต็ม]]),"",(tbl_task9[75]/tbl_task9[[คะแนนเต็ม]:[คะแนนเต็ม]])*tbl_task9[[%]:[%]])</f>
        <v/>
      </c>
      <c r="IL21" s="121" t="str">
        <f>IF(ISBLANK(tbl_task9[[คะแนนเต็ม]:[คะแนนเต็ม]]),"",(tbl_task9[76]/tbl_task9[[คะแนนเต็ม]:[คะแนนเต็ม]])*tbl_task9[[%]:[%]])</f>
        <v/>
      </c>
      <c r="IM21" s="121" t="str">
        <f>IF(ISBLANK(tbl_task9[[คะแนนเต็ม]:[คะแนนเต็ม]]),"",(tbl_task9[77]/tbl_task9[[คะแนนเต็ม]:[คะแนนเต็ม]])*tbl_task9[[%]:[%]])</f>
        <v/>
      </c>
      <c r="IN21" s="121" t="str">
        <f>IF(ISBLANK(tbl_task9[[คะแนนเต็ม]:[คะแนนเต็ม]]),"",(tbl_task9[78]/tbl_task9[[คะแนนเต็ม]:[คะแนนเต็ม]])*tbl_task9[[%]:[%]])</f>
        <v/>
      </c>
      <c r="IO21" s="121" t="str">
        <f>IF(ISBLANK(tbl_task9[[คะแนนเต็ม]:[คะแนนเต็ม]]),"",(tbl_task9[79]/tbl_task9[[คะแนนเต็ม]:[คะแนนเต็ม]])*tbl_task9[[%]:[%]])</f>
        <v/>
      </c>
      <c r="IP21" s="121" t="str">
        <f>IF(ISBLANK(tbl_task9[[คะแนนเต็ม]:[คะแนนเต็ม]]),"",(tbl_task9[80]/tbl_task9[[คะแนนเต็ม]:[คะแนนเต็ม]])*tbl_task9[[%]:[%]])</f>
        <v/>
      </c>
      <c r="IQ21" s="121" t="str">
        <f>IF(ISBLANK(tbl_task9[[คะแนนเต็ม]:[คะแนนเต็ม]]),"",(tbl_task9[81]/tbl_task9[[คะแนนเต็ม]:[คะแนนเต็ม]])*tbl_task9[[%]:[%]])</f>
        <v/>
      </c>
      <c r="IR21" s="121" t="str">
        <f>IF(ISBLANK(tbl_task9[[คะแนนเต็ม]:[คะแนนเต็ม]]),"",(tbl_task9[82]/tbl_task9[[คะแนนเต็ม]:[คะแนนเต็ม]])*tbl_task9[[%]:[%]])</f>
        <v/>
      </c>
      <c r="IS21" s="121" t="str">
        <f>IF(ISBLANK(tbl_task9[[คะแนนเต็ม]:[คะแนนเต็ม]]),"",(tbl_task9[83]/tbl_task9[[คะแนนเต็ม]:[คะแนนเต็ม]])*tbl_task9[[%]:[%]])</f>
        <v/>
      </c>
      <c r="IT21" s="121" t="str">
        <f>IF(ISBLANK(tbl_task9[[คะแนนเต็ม]:[คะแนนเต็ม]]),"",(tbl_task9[84]/tbl_task9[[คะแนนเต็ม]:[คะแนนเต็ม]])*tbl_task9[[%]:[%]])</f>
        <v/>
      </c>
      <c r="IU21" s="121" t="str">
        <f>IF(ISBLANK(tbl_task9[[คะแนนเต็ม]:[คะแนนเต็ม]]),"",(tbl_task9[85]/tbl_task9[[คะแนนเต็ม]:[คะแนนเต็ม]])*tbl_task9[[%]:[%]])</f>
        <v/>
      </c>
      <c r="IV21" s="121" t="str">
        <f>IF(ISBLANK(tbl_task9[[คะแนนเต็ม]:[คะแนนเต็ม]]),"",(tbl_task9[86]/tbl_task9[[คะแนนเต็ม]:[คะแนนเต็ม]])*tbl_task9[[%]:[%]])</f>
        <v/>
      </c>
      <c r="IW21" s="121" t="str">
        <f>IF(ISBLANK(tbl_task9[[คะแนนเต็ม]:[คะแนนเต็ม]]),"",(tbl_task9[87]/tbl_task9[[คะแนนเต็ม]:[คะแนนเต็ม]])*tbl_task9[[%]:[%]])</f>
        <v/>
      </c>
      <c r="IX21" s="121" t="str">
        <f>IF(ISBLANK(tbl_task9[[คะแนนเต็ม]:[คะแนนเต็ม]]),"",(tbl_task9[88]/tbl_task9[[คะแนนเต็ม]:[คะแนนเต็ม]])*tbl_task9[[%]:[%]])</f>
        <v/>
      </c>
      <c r="IY21" s="121" t="str">
        <f>IF(ISBLANK(tbl_task9[[คะแนนเต็ม]:[คะแนนเต็ม]]),"",(tbl_task9[89]/tbl_task9[[คะแนนเต็ม]:[คะแนนเต็ม]])*tbl_task9[[%]:[%]])</f>
        <v/>
      </c>
      <c r="IZ21" s="121" t="str">
        <f>IF(ISBLANK(tbl_task9[[คะแนนเต็ม]:[คะแนนเต็ม]]),"",(tbl_task9[90]/tbl_task9[[คะแนนเต็ม]:[คะแนนเต็ม]])*tbl_task9[[%]:[%]])</f>
        <v/>
      </c>
      <c r="JA21" s="121" t="str">
        <f>IF(ISBLANK(tbl_task9[[คะแนนเต็ม]:[คะแนนเต็ม]]),"",(tbl_task9[91]/tbl_task9[[คะแนนเต็ม]:[คะแนนเต็ม]])*tbl_task9[[%]:[%]])</f>
        <v/>
      </c>
      <c r="JB21" s="121" t="str">
        <f>IF(ISBLANK(tbl_task9[[คะแนนเต็ม]:[คะแนนเต็ม]]),"",(tbl_task9[92]/tbl_task9[[คะแนนเต็ม]:[คะแนนเต็ม]])*tbl_task9[[%]:[%]])</f>
        <v/>
      </c>
      <c r="JC21" s="121" t="str">
        <f>IF(ISBLANK(tbl_task9[[คะแนนเต็ม]:[คะแนนเต็ม]]),"",(tbl_task9[93]/tbl_task9[[คะแนนเต็ม]:[คะแนนเต็ม]])*tbl_task9[[%]:[%]])</f>
        <v/>
      </c>
      <c r="JD21" s="121" t="str">
        <f>IF(ISBLANK(tbl_task9[[คะแนนเต็ม]:[คะแนนเต็ม]]),"",(tbl_task9[94]/tbl_task9[[คะแนนเต็ม]:[คะแนนเต็ม]])*tbl_task9[[%]:[%]])</f>
        <v/>
      </c>
      <c r="JE21" s="121" t="str">
        <f>IF(ISBLANK(tbl_task9[[คะแนนเต็ม]:[คะแนนเต็ม]]),"",(tbl_task9[95]/tbl_task9[[คะแนนเต็ม]:[คะแนนเต็ม]])*tbl_task9[[%]:[%]])</f>
        <v/>
      </c>
      <c r="JF21" s="121" t="str">
        <f>IF(ISBLANK(tbl_task9[[คะแนนเต็ม]:[คะแนนเต็ม]]),"",(tbl_task9[96]/tbl_task9[[คะแนนเต็ม]:[คะแนนเต็ม]])*tbl_task9[[%]:[%]])</f>
        <v/>
      </c>
      <c r="JG21" s="121" t="str">
        <f>IF(ISBLANK(tbl_task9[[คะแนนเต็ม]:[คะแนนเต็ม]]),"",(tbl_task9[97]/tbl_task9[[คะแนนเต็ม]:[คะแนนเต็ม]])*tbl_task9[[%]:[%]])</f>
        <v/>
      </c>
      <c r="JH21" s="121" t="str">
        <f>IF(ISBLANK(tbl_task9[[คะแนนเต็ม]:[คะแนนเต็ม]]),"",(tbl_task9[98]/tbl_task9[[คะแนนเต็ม]:[คะแนนเต็ม]])*tbl_task9[[%]:[%]])</f>
        <v/>
      </c>
      <c r="JI21" s="121" t="str">
        <f>IF(ISBLANK(tbl_task9[[คะแนนเต็ม]:[คะแนนเต็ม]]),"",(tbl_task9[99]/tbl_task9[[คะแนนเต็ม]:[คะแนนเต็ม]])*tbl_task9[[%]:[%]])</f>
        <v/>
      </c>
      <c r="JJ21" s="121" t="str">
        <f>IF(ISBLANK(tbl_task9[[คะแนนเต็ม]:[คะแนนเต็ม]]),"",(tbl_task9[100]/tbl_task9[[คะแนนเต็ม]:[คะแนนเต็ม]])*tbl_task9[[%]:[%]])</f>
        <v/>
      </c>
      <c r="JK21" s="121" t="str">
        <f>IF(ISBLANK(tbl_task9[[คะแนนเต็ม]:[คะแนนเต็ม]]),"",(tbl_task9[101]/tbl_task9[[คะแนนเต็ม]:[คะแนนเต็ม]])*tbl_task9[[%]:[%]])</f>
        <v/>
      </c>
      <c r="JL21" s="121" t="str">
        <f>IF(ISBLANK(tbl_task9[[คะแนนเต็ม]:[คะแนนเต็ม]]),"",(tbl_task9[102]/tbl_task9[[คะแนนเต็ม]:[คะแนนเต็ม]])*tbl_task9[[%]:[%]])</f>
        <v/>
      </c>
      <c r="JM21" s="121" t="str">
        <f>IF(ISBLANK(tbl_task9[[คะแนนเต็ม]:[คะแนนเต็ม]]),"",(tbl_task9[103]/tbl_task9[[คะแนนเต็ม]:[คะแนนเต็ม]])*tbl_task9[[%]:[%]])</f>
        <v/>
      </c>
      <c r="JN21" s="121" t="str">
        <f>IF(ISBLANK(tbl_task9[[คะแนนเต็ม]:[คะแนนเต็ม]]),"",(tbl_task9[104]/tbl_task9[[คะแนนเต็ม]:[คะแนนเต็ม]])*tbl_task9[[%]:[%]])</f>
        <v/>
      </c>
      <c r="JO21" s="121" t="str">
        <f>IF(ISBLANK(tbl_task9[[คะแนนเต็ม]:[คะแนนเต็ม]]),"",(tbl_task9[105]/tbl_task9[[คะแนนเต็ม]:[คะแนนเต็ม]])*tbl_task9[[%]:[%]])</f>
        <v/>
      </c>
      <c r="JP21" s="121" t="str">
        <f>IF(ISBLANK(tbl_task9[[คะแนนเต็ม]:[คะแนนเต็ม]]),"",(tbl_task9[106]/tbl_task9[[คะแนนเต็ม]:[คะแนนเต็ม]])*tbl_task9[[%]:[%]])</f>
        <v/>
      </c>
      <c r="JQ21" s="121" t="str">
        <f>IF(ISBLANK(tbl_task9[[คะแนนเต็ม]:[คะแนนเต็ม]]),"",(tbl_task9[107]/tbl_task9[[คะแนนเต็ม]:[คะแนนเต็ม]])*tbl_task9[[%]:[%]])</f>
        <v/>
      </c>
      <c r="JR21" s="121" t="str">
        <f>IF(ISBLANK(tbl_task9[[คะแนนเต็ม]:[คะแนนเต็ม]]),"",(tbl_task9[108]/tbl_task9[[คะแนนเต็ม]:[คะแนนเต็ม]])*tbl_task9[[%]:[%]])</f>
        <v/>
      </c>
      <c r="JS21" s="121" t="str">
        <f>IF(ISBLANK(tbl_task9[[คะแนนเต็ม]:[คะแนนเต็ม]]),"",(tbl_task9[109]/tbl_task9[[คะแนนเต็ม]:[คะแนนเต็ม]])*tbl_task9[[%]:[%]])</f>
        <v/>
      </c>
      <c r="JT21" s="121" t="str">
        <f>IF(ISBLANK(tbl_task9[[คะแนนเต็ม]:[คะแนนเต็ม]]),"",(tbl_task9[110]/tbl_task9[[คะแนนเต็ม]:[คะแนนเต็ม]])*tbl_task9[[%]:[%]])</f>
        <v/>
      </c>
      <c r="JU21" s="121" t="str">
        <f>IF(ISBLANK(tbl_task9[[คะแนนเต็ม]:[คะแนนเต็ม]]),"",(tbl_task9[111]/tbl_task9[[คะแนนเต็ม]:[คะแนนเต็ม]])*tbl_task9[[%]:[%]])</f>
        <v/>
      </c>
      <c r="JV21" s="121" t="str">
        <f>IF(ISBLANK(tbl_task9[[คะแนนเต็ม]:[คะแนนเต็ม]]),"",(tbl_task9[112]/tbl_task9[[คะแนนเต็ม]:[คะแนนเต็ม]])*tbl_task9[[%]:[%]])</f>
        <v/>
      </c>
      <c r="JW21" s="121" t="str">
        <f>IF(ISBLANK(tbl_task9[[คะแนนเต็ม]:[คะแนนเต็ม]]),"",(tbl_task9[113]/tbl_task9[[คะแนนเต็ม]:[คะแนนเต็ม]])*tbl_task9[[%]:[%]])</f>
        <v/>
      </c>
      <c r="JX21" s="121" t="str">
        <f>IF(ISBLANK(tbl_task9[[คะแนนเต็ม]:[คะแนนเต็ม]]),"",(tbl_task9[114]/tbl_task9[[คะแนนเต็ม]:[คะแนนเต็ม]])*tbl_task9[[%]:[%]])</f>
        <v/>
      </c>
      <c r="JY21" s="121" t="str">
        <f>IF(ISBLANK(tbl_task9[[คะแนนเต็ม]:[คะแนนเต็ม]]),"",(tbl_task9[115]/tbl_task9[[คะแนนเต็ม]:[คะแนนเต็ม]])*tbl_task9[[%]:[%]])</f>
        <v/>
      </c>
      <c r="JZ21" s="121" t="str">
        <f>IF(ISBLANK(tbl_task9[[คะแนนเต็ม]:[คะแนนเต็ม]]),"",(tbl_task9[116]/tbl_task9[[คะแนนเต็ม]:[คะแนนเต็ม]])*tbl_task9[[%]:[%]])</f>
        <v/>
      </c>
      <c r="KA21" s="121" t="str">
        <f>IF(ISBLANK(tbl_task9[[คะแนนเต็ม]:[คะแนนเต็ม]]),"",(tbl_task9[117]/tbl_task9[[คะแนนเต็ม]:[คะแนนเต็ม]])*tbl_task9[[%]:[%]])</f>
        <v/>
      </c>
      <c r="KB21" s="121" t="str">
        <f>IF(ISBLANK(tbl_task9[[คะแนนเต็ม]:[คะแนนเต็ม]]),"",(tbl_task9[118]/tbl_task9[[คะแนนเต็ม]:[คะแนนเต็ม]])*tbl_task9[[%]:[%]])</f>
        <v/>
      </c>
      <c r="KC21" s="121" t="str">
        <f>IF(ISBLANK(tbl_task9[[คะแนนเต็ม]:[คะแนนเต็ม]]),"",(tbl_task9[119]/tbl_task9[[คะแนนเต็ม]:[คะแนนเต็ม]])*tbl_task9[[%]:[%]])</f>
        <v/>
      </c>
      <c r="KD21" s="121" t="str">
        <f>IF(ISBLANK(tbl_task9[[คะแนนเต็ม]:[คะแนนเต็ม]]),"",(tbl_task9[120]/tbl_task9[[คะแนนเต็ม]:[คะแนนเต็ม]])*tbl_task9[[%]:[%]])</f>
        <v/>
      </c>
      <c r="KE21" s="121" t="str">
        <f>IF(ISBLANK(tbl_task9[[คะแนนเต็ม]:[คะแนนเต็ม]]),"",(tbl_task9[121]/tbl_task9[[คะแนนเต็ม]:[คะแนนเต็ม]])*tbl_task9[[%]:[%]])</f>
        <v/>
      </c>
      <c r="KF21" s="121" t="str">
        <f>IF(ISBLANK(tbl_task9[[คะแนนเต็ม]:[คะแนนเต็ม]]),"",(tbl_task9[122]/tbl_task9[[คะแนนเต็ม]:[คะแนนเต็ม]])*tbl_task9[[%]:[%]])</f>
        <v/>
      </c>
      <c r="KG21" s="121" t="str">
        <f>IF(ISBLANK(tbl_task9[[คะแนนเต็ม]:[คะแนนเต็ม]]),"",(tbl_task9[123]/tbl_task9[[คะแนนเต็ม]:[คะแนนเต็ม]])*tbl_task9[[%]:[%]])</f>
        <v/>
      </c>
      <c r="KH21" s="121" t="str">
        <f>IF(ISBLANK(tbl_task9[[คะแนนเต็ม]:[คะแนนเต็ม]]),"",(tbl_task9[124]/tbl_task9[[คะแนนเต็ม]:[คะแนนเต็ม]])*tbl_task9[[%]:[%]])</f>
        <v/>
      </c>
      <c r="KI21" s="121" t="str">
        <f>IF(ISBLANK(tbl_task9[[คะแนนเต็ม]:[คะแนนเต็ม]]),"",(tbl_task9[125]/tbl_task9[[คะแนนเต็ม]:[คะแนนเต็ม]])*tbl_task9[[%]:[%]])</f>
        <v/>
      </c>
      <c r="KJ21" s="121" t="str">
        <f>IF(ISBLANK(tbl_task9[[คะแนนเต็ม]:[คะแนนเต็ม]]),"",(tbl_task9[126]/tbl_task9[[คะแนนเต็ม]:[คะแนนเต็ม]])*tbl_task9[[%]:[%]])</f>
        <v/>
      </c>
      <c r="KK21" s="121" t="str">
        <f>IF(ISBLANK(tbl_task9[[คะแนนเต็ม]:[คะแนนเต็ม]]),"",(tbl_task9[127]/tbl_task9[[คะแนนเต็ม]:[คะแนนเต็ม]])*tbl_task9[[%]:[%]])</f>
        <v/>
      </c>
      <c r="KL21" s="121" t="str">
        <f>IF(ISBLANK(tbl_task9[[คะแนนเต็ม]:[คะแนนเต็ม]]),"",(tbl_task9[128]/tbl_task9[[คะแนนเต็ม]:[คะแนนเต็ม]])*tbl_task9[[%]:[%]])</f>
        <v/>
      </c>
      <c r="KM21" s="121" t="str">
        <f>IF(ISBLANK(tbl_task9[[คะแนนเต็ม]:[คะแนนเต็ม]]),"",(tbl_task9[129]/tbl_task9[[คะแนนเต็ม]:[คะแนนเต็ม]])*tbl_task9[[%]:[%]])</f>
        <v/>
      </c>
      <c r="KN21" s="121" t="str">
        <f>IF(ISBLANK(tbl_task9[[คะแนนเต็ม]:[คะแนนเต็ม]]),"",(tbl_task9[130]/tbl_task9[[คะแนนเต็ม]:[คะแนนเต็ม]])*tbl_task9[[%]:[%]])</f>
        <v/>
      </c>
      <c r="KO21" s="121" t="str">
        <f>IF(ISBLANK(tbl_task9[[คะแนนเต็ม]:[คะแนนเต็ม]]),"",(tbl_task9[131]/tbl_task9[[คะแนนเต็ม]:[คะแนนเต็ม]])*tbl_task9[[%]:[%]])</f>
        <v/>
      </c>
      <c r="KP21" s="121" t="str">
        <f>IF(ISBLANK(tbl_task9[[คะแนนเต็ม]:[คะแนนเต็ม]]),"",(tbl_task9[132]/tbl_task9[[คะแนนเต็ม]:[คะแนนเต็ม]])*tbl_task9[[%]:[%]])</f>
        <v/>
      </c>
      <c r="KQ21" s="121" t="str">
        <f>IF(ISBLANK(tbl_task9[[คะแนนเต็ม]:[คะแนนเต็ม]]),"",(tbl_task9[133]/tbl_task9[[คะแนนเต็ม]:[คะแนนเต็ม]])*tbl_task9[[%]:[%]])</f>
        <v/>
      </c>
      <c r="KR21" s="121" t="str">
        <f>IF(ISBLANK(tbl_task9[[คะแนนเต็ม]:[คะแนนเต็ม]]),"",(tbl_task9[134]/tbl_task9[[คะแนนเต็ม]:[คะแนนเต็ม]])*tbl_task9[[%]:[%]])</f>
        <v/>
      </c>
      <c r="KS21" s="121" t="str">
        <f>IF(ISBLANK(tbl_task9[[คะแนนเต็ม]:[คะแนนเต็ม]]),"",(tbl_task9[135]/tbl_task9[[คะแนนเต็ม]:[คะแนนเต็ม]])*tbl_task9[[%]:[%]])</f>
        <v/>
      </c>
      <c r="KT21" s="121" t="str">
        <f>IF(ISBLANK(tbl_task9[[คะแนนเต็ม]:[คะแนนเต็ม]]),"",(tbl_task9[136]/tbl_task9[[คะแนนเต็ม]:[คะแนนเต็ม]])*tbl_task9[[%]:[%]])</f>
        <v/>
      </c>
      <c r="KU21" s="121" t="str">
        <f>IF(ISBLANK(tbl_task9[[คะแนนเต็ม]:[คะแนนเต็ม]]),"",(tbl_task9[137]/tbl_task9[[คะแนนเต็ม]:[คะแนนเต็ม]])*tbl_task9[[%]:[%]])</f>
        <v/>
      </c>
      <c r="KV21" s="121" t="str">
        <f>IF(ISBLANK(tbl_task9[[คะแนนเต็ม]:[คะแนนเต็ม]]),"",(tbl_task9[138]/tbl_task9[[คะแนนเต็ม]:[คะแนนเต็ม]])*tbl_task9[[%]:[%]])</f>
        <v/>
      </c>
      <c r="KW21" s="121" t="str">
        <f>IF(ISBLANK(tbl_task9[[คะแนนเต็ม]:[คะแนนเต็ม]]),"",(tbl_task9[139]/tbl_task9[[คะแนนเต็ม]:[คะแนนเต็ม]])*tbl_task9[[%]:[%]])</f>
        <v/>
      </c>
      <c r="KX21" s="121" t="str">
        <f>IF(ISBLANK(tbl_task9[[คะแนนเต็ม]:[คะแนนเต็ม]]),"",(tbl_task9[140]/tbl_task9[[คะแนนเต็ม]:[คะแนนเต็ม]])*tbl_task9[[%]:[%]])</f>
        <v/>
      </c>
      <c r="KY21" s="121" t="str">
        <f>IF(ISBLANK(tbl_task9[[คะแนนเต็ม]:[คะแนนเต็ม]]),"",(tbl_task9[141]/tbl_task9[[คะแนนเต็ม]:[คะแนนเต็ม]])*tbl_task9[[%]:[%]])</f>
        <v/>
      </c>
      <c r="KZ21" s="121" t="str">
        <f>IF(ISBLANK(tbl_task9[[คะแนนเต็ม]:[คะแนนเต็ม]]),"",(tbl_task9[142]/tbl_task9[[คะแนนเต็ม]:[คะแนนเต็ม]])*tbl_task9[[%]:[%]])</f>
        <v/>
      </c>
      <c r="LA21" s="121" t="str">
        <f>IF(ISBLANK(tbl_task9[[คะแนนเต็ม]:[คะแนนเต็ม]]),"",(tbl_task9[143]/tbl_task9[[คะแนนเต็ม]:[คะแนนเต็ม]])*tbl_task9[[%]:[%]])</f>
        <v/>
      </c>
      <c r="LB21" s="121" t="str">
        <f>IF(ISBLANK(tbl_task9[[คะแนนเต็ม]:[คะแนนเต็ม]]),"",(tbl_task9[144]/tbl_task9[[คะแนนเต็ม]:[คะแนนเต็ม]])*tbl_task9[[%]:[%]])</f>
        <v/>
      </c>
      <c r="LC21" s="121" t="str">
        <f>IF(ISBLANK(tbl_task9[[คะแนนเต็ม]:[คะแนนเต็ม]]),"",(tbl_task9[145]/tbl_task9[[คะแนนเต็ม]:[คะแนนเต็ม]])*tbl_task9[[%]:[%]])</f>
        <v/>
      </c>
      <c r="LD21" s="121" t="str">
        <f>IF(ISBLANK(tbl_task9[[คะแนนเต็ม]:[คะแนนเต็ม]]),"",(tbl_task9[146]/tbl_task9[[คะแนนเต็ม]:[คะแนนเต็ม]])*tbl_task9[[%]:[%]])</f>
        <v/>
      </c>
      <c r="LE21" s="121" t="str">
        <f>IF(ISBLANK(tbl_task9[[คะแนนเต็ม]:[คะแนนเต็ม]]),"",(tbl_task9[147]/tbl_task9[[คะแนนเต็ม]:[คะแนนเต็ม]])*tbl_task9[[%]:[%]])</f>
        <v/>
      </c>
      <c r="LF21" s="121" t="str">
        <f>IF(ISBLANK(tbl_task9[[คะแนนเต็ม]:[คะแนนเต็ม]]),"",(tbl_task9[148]/tbl_task9[[คะแนนเต็ม]:[คะแนนเต็ม]])*tbl_task9[[%]:[%]])</f>
        <v/>
      </c>
      <c r="LG21" s="121" t="str">
        <f>IF(ISBLANK(tbl_task9[[คะแนนเต็ม]:[คะแนนเต็ม]]),"",(tbl_task9[149]/tbl_task9[[คะแนนเต็ม]:[คะแนนเต็ม]])*tbl_task9[[%]:[%]])</f>
        <v/>
      </c>
      <c r="LH21" s="121" t="str">
        <f>IF(ISBLANK(tbl_task9[[คะแนนเต็ม]:[คะแนนเต็ม]]),"",(tbl_task9[150]/tbl_task9[[คะแนนเต็ม]:[คะแนนเต็ม]])*tbl_task9[[%]:[%]])</f>
        <v/>
      </c>
      <c r="LI21" s="121" t="str">
        <f>IF(ISBLANK(tbl_task9[[คะแนนเต็ม]:[คะแนนเต็ม]]),"",(tbl_task9[151]/tbl_task9[[คะแนนเต็ม]:[คะแนนเต็ม]])*tbl_task9[[%]:[%]])</f>
        <v/>
      </c>
      <c r="LJ21" s="121" t="str">
        <f>IF(ISBLANK(tbl_task9[[คะแนนเต็ม]:[คะแนนเต็ม]]),"",(tbl_task9[152]/tbl_task9[[คะแนนเต็ม]:[คะแนนเต็ม]])*tbl_task9[[%]:[%]])</f>
        <v/>
      </c>
      <c r="LK21" s="121" t="str">
        <f>IF(ISBLANK(tbl_task9[[คะแนนเต็ม]:[คะแนนเต็ม]]),"",(tbl_task9[153]/tbl_task9[[คะแนนเต็ม]:[คะแนนเต็ม]])*tbl_task9[[%]:[%]])</f>
        <v/>
      </c>
      <c r="LL21" s="121" t="str">
        <f>IF(ISBLANK(tbl_task9[[คะแนนเต็ม]:[คะแนนเต็ม]]),"",(tbl_task9[154]/tbl_task9[[คะแนนเต็ม]:[คะแนนเต็ม]])*tbl_task9[[%]:[%]])</f>
        <v/>
      </c>
      <c r="LM21" s="121" t="str">
        <f>IF(ISBLANK(tbl_task9[[คะแนนเต็ม]:[คะแนนเต็ม]]),"",(tbl_task9[155]/tbl_task9[[คะแนนเต็ม]:[คะแนนเต็ม]])*tbl_task9[[%]:[%]])</f>
        <v/>
      </c>
      <c r="LN21" s="121" t="str">
        <f>IF(ISBLANK(tbl_task9[[คะแนนเต็ม]:[คะแนนเต็ม]]),"",(tbl_task9[156]/tbl_task9[[คะแนนเต็ม]:[คะแนนเต็ม]])*tbl_task9[[%]:[%]])</f>
        <v/>
      </c>
      <c r="LO21" s="121" t="str">
        <f>IF(ISBLANK(tbl_task9[[คะแนนเต็ม]:[คะแนนเต็ม]]),"",(tbl_task9[157]/tbl_task9[[คะแนนเต็ม]:[คะแนนเต็ม]])*tbl_task9[[%]:[%]])</f>
        <v/>
      </c>
      <c r="LP21" s="121" t="str">
        <f>IF(ISBLANK(tbl_task9[[คะแนนเต็ม]:[คะแนนเต็ม]]),"",(tbl_task9[158]/tbl_task9[[คะแนนเต็ม]:[คะแนนเต็ม]])*tbl_task9[[%]:[%]])</f>
        <v/>
      </c>
      <c r="LQ21" s="121" t="str">
        <f>IF(ISBLANK(tbl_task9[[คะแนนเต็ม]:[คะแนนเต็ม]]),"",(tbl_task9[159]/tbl_task9[[คะแนนเต็ม]:[คะแนนเต็ม]])*tbl_task9[[%]:[%]])</f>
        <v/>
      </c>
      <c r="LR21" s="121" t="str">
        <f>IF(ISBLANK(tbl_task9[[คะแนนเต็ม]:[คะแนนเต็ม]]),"",(tbl_task9[160]/tbl_task9[[คะแนนเต็ม]:[คะแนนเต็ม]])*tbl_task9[[%]:[%]])</f>
        <v/>
      </c>
      <c r="LS21" s="121" t="str">
        <f>IF(ISBLANK(tbl_task9[[คะแนนเต็ม]:[คะแนนเต็ม]]),"",(tbl_task9[161]/tbl_task9[[คะแนนเต็ม]:[คะแนนเต็ม]])*tbl_task9[[%]:[%]])</f>
        <v/>
      </c>
      <c r="LT21" s="121" t="str">
        <f>IF(ISBLANK(tbl_task9[[คะแนนเต็ม]:[คะแนนเต็ม]]),"",(tbl_task9[162]/tbl_task9[[คะแนนเต็ม]:[คะแนนเต็ม]])*tbl_task9[[%]:[%]])</f>
        <v/>
      </c>
      <c r="LU21" s="121" t="str">
        <f>IF(ISBLANK(tbl_task9[[คะแนนเต็ม]:[คะแนนเต็ม]]),"",(tbl_task9[163]/tbl_task9[[คะแนนเต็ม]:[คะแนนเต็ม]])*tbl_task9[[%]:[%]])</f>
        <v/>
      </c>
      <c r="LV21" s="121" t="str">
        <f>IF(ISBLANK(tbl_task9[[คะแนนเต็ม]:[คะแนนเต็ม]]),"",(tbl_task9[164]/tbl_task9[[คะแนนเต็ม]:[คะแนนเต็ม]])*tbl_task9[[%]:[%]])</f>
        <v/>
      </c>
      <c r="LW21" s="121" t="str">
        <f>IF(ISBLANK(tbl_task9[[คะแนนเต็ม]:[คะแนนเต็ม]]),"",(tbl_task9[165]/tbl_task9[[คะแนนเต็ม]:[คะแนนเต็ม]])*tbl_task9[[%]:[%]])</f>
        <v/>
      </c>
    </row>
    <row r="22" spans="1:335" ht="24" customHeight="1" x14ac:dyDescent="0.25">
      <c r="A22" s="24">
        <v>19</v>
      </c>
      <c r="B22" s="20"/>
      <c r="C22" s="5" t="str">
        <f>IF(ISBLANK(B22),"",VLOOKUP(B22,tbl_PLOs[],2,0))</f>
        <v/>
      </c>
      <c r="D22" s="102"/>
      <c r="E22" s="106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121" t="str">
        <f>IF(ISBLANK(tbl_task9[[คะแนนเต็ม]:[คะแนนเต็ม]]),"",(tbl_task9[1]/tbl_task9[[คะแนนเต็ม]:[คะแนนเต็ม]])*tbl_task9[[%]:[%]])</f>
        <v/>
      </c>
      <c r="FP22" s="121" t="str">
        <f>IF(ISBLANK(tbl_task9[[คะแนนเต็ม]:[คะแนนเต็ม]]),"",(tbl_task9[2]/tbl_task9[[คะแนนเต็ม]:[คะแนนเต็ม]])*tbl_task9[[%]:[%]])</f>
        <v/>
      </c>
      <c r="FQ22" s="121" t="str">
        <f>IF(ISBLANK(tbl_task9[[คะแนนเต็ม]:[คะแนนเต็ม]]),"",(tbl_task9[3]/tbl_task9[[คะแนนเต็ม]:[คะแนนเต็ม]])*tbl_task9[[%]:[%]])</f>
        <v/>
      </c>
      <c r="FR22" s="121" t="str">
        <f>IF(ISBLANK(tbl_task9[[คะแนนเต็ม]:[คะแนนเต็ม]]),"",(tbl_task9[4]/tbl_task9[[คะแนนเต็ม]:[คะแนนเต็ม]])*tbl_task9[[%]:[%]])</f>
        <v/>
      </c>
      <c r="FS22" s="121" t="str">
        <f>IF(ISBLANK(tbl_task9[[คะแนนเต็ม]:[คะแนนเต็ม]]),"",(tbl_task9[5]/tbl_task9[[คะแนนเต็ม]:[คะแนนเต็ม]])*tbl_task9[[%]:[%]])</f>
        <v/>
      </c>
      <c r="FT22" s="121" t="str">
        <f>IF(ISBLANK(tbl_task9[[คะแนนเต็ม]:[คะแนนเต็ม]]),"",(tbl_task9[6]/tbl_task9[[คะแนนเต็ม]:[คะแนนเต็ม]])*tbl_task9[[%]:[%]])</f>
        <v/>
      </c>
      <c r="FU22" s="121" t="str">
        <f>IF(ISBLANK(tbl_task9[[คะแนนเต็ม]:[คะแนนเต็ม]]),"",(tbl_task9[7]/tbl_task9[[คะแนนเต็ม]:[คะแนนเต็ม]])*tbl_task9[[%]:[%]])</f>
        <v/>
      </c>
      <c r="FV22" s="121" t="str">
        <f>IF(ISBLANK(tbl_task9[[คะแนนเต็ม]:[คะแนนเต็ม]]),"",(tbl_task9[8]/tbl_task9[[คะแนนเต็ม]:[คะแนนเต็ม]])*tbl_task9[[%]:[%]])</f>
        <v/>
      </c>
      <c r="FW22" s="121" t="str">
        <f>IF(ISBLANK(tbl_task9[[คะแนนเต็ม]:[คะแนนเต็ม]]),"",(tbl_task9[9]/tbl_task9[[คะแนนเต็ม]:[คะแนนเต็ม]])*tbl_task9[[%]:[%]])</f>
        <v/>
      </c>
      <c r="FX22" s="121" t="str">
        <f>IF(ISBLANK(tbl_task9[[คะแนนเต็ม]:[คะแนนเต็ม]]),"",(tbl_task9[10]/tbl_task9[[คะแนนเต็ม]:[คะแนนเต็ม]])*tbl_task9[[%]:[%]])</f>
        <v/>
      </c>
      <c r="FY22" s="121" t="str">
        <f>IF(ISBLANK(tbl_task9[[คะแนนเต็ม]:[คะแนนเต็ม]]),"",(tbl_task9[11]/tbl_task9[[คะแนนเต็ม]:[คะแนนเต็ม]])*tbl_task9[[%]:[%]])</f>
        <v/>
      </c>
      <c r="FZ22" s="121" t="str">
        <f>IF(ISBLANK(tbl_task9[[คะแนนเต็ม]:[คะแนนเต็ม]]),"",(tbl_task9[12]/tbl_task9[[คะแนนเต็ม]:[คะแนนเต็ม]])*tbl_task9[[%]:[%]])</f>
        <v/>
      </c>
      <c r="GA22" s="121" t="str">
        <f>IF(ISBLANK(tbl_task9[[คะแนนเต็ม]:[คะแนนเต็ม]]),"",(tbl_task9[13]/tbl_task9[[คะแนนเต็ม]:[คะแนนเต็ม]])*tbl_task9[[%]:[%]])</f>
        <v/>
      </c>
      <c r="GB22" s="121" t="str">
        <f>IF(ISBLANK(tbl_task9[[คะแนนเต็ม]:[คะแนนเต็ม]]),"",(tbl_task9[14]/tbl_task9[[คะแนนเต็ม]:[คะแนนเต็ม]])*tbl_task9[[%]:[%]])</f>
        <v/>
      </c>
      <c r="GC22" s="121" t="str">
        <f>IF(ISBLANK(tbl_task9[[คะแนนเต็ม]:[คะแนนเต็ม]]),"",(tbl_task9[15]/tbl_task9[[คะแนนเต็ม]:[คะแนนเต็ม]])*tbl_task9[[%]:[%]])</f>
        <v/>
      </c>
      <c r="GD22" s="121" t="str">
        <f>IF(ISBLANK(tbl_task9[[คะแนนเต็ม]:[คะแนนเต็ม]]),"",(tbl_task9[16]/tbl_task9[[คะแนนเต็ม]:[คะแนนเต็ม]])*tbl_task9[[%]:[%]])</f>
        <v/>
      </c>
      <c r="GE22" s="121" t="str">
        <f>IF(ISBLANK(tbl_task9[[คะแนนเต็ม]:[คะแนนเต็ม]]),"",(tbl_task9[17]/tbl_task9[[คะแนนเต็ม]:[คะแนนเต็ม]])*tbl_task9[[%]:[%]])</f>
        <v/>
      </c>
      <c r="GF22" s="121" t="str">
        <f>IF(ISBLANK(tbl_task9[[คะแนนเต็ม]:[คะแนนเต็ม]]),"",(tbl_task9[18]/tbl_task9[[คะแนนเต็ม]:[คะแนนเต็ม]])*tbl_task9[[%]:[%]])</f>
        <v/>
      </c>
      <c r="GG22" s="121" t="str">
        <f>IF(ISBLANK(tbl_task9[[คะแนนเต็ม]:[คะแนนเต็ม]]),"",(tbl_task9[19]/tbl_task9[[คะแนนเต็ม]:[คะแนนเต็ม]])*tbl_task9[[%]:[%]])</f>
        <v/>
      </c>
      <c r="GH22" s="121" t="str">
        <f>IF(ISBLANK(tbl_task9[[คะแนนเต็ม]:[คะแนนเต็ม]]),"",(tbl_task9[20]/tbl_task9[[คะแนนเต็ม]:[คะแนนเต็ม]])*tbl_task9[[%]:[%]])</f>
        <v/>
      </c>
      <c r="GI22" s="121" t="str">
        <f>IF(ISBLANK(tbl_task9[[คะแนนเต็ม]:[คะแนนเต็ม]]),"",(tbl_task9[21]/tbl_task9[[คะแนนเต็ม]:[คะแนนเต็ม]])*tbl_task9[[%]:[%]])</f>
        <v/>
      </c>
      <c r="GJ22" s="121" t="str">
        <f>IF(ISBLANK(tbl_task9[[คะแนนเต็ม]:[คะแนนเต็ม]]),"",(tbl_task9[22]/tbl_task9[[คะแนนเต็ม]:[คะแนนเต็ม]])*tbl_task9[[%]:[%]])</f>
        <v/>
      </c>
      <c r="GK22" s="121" t="str">
        <f>IF(ISBLANK(tbl_task9[[คะแนนเต็ม]:[คะแนนเต็ม]]),"",(tbl_task9[23]/tbl_task9[[คะแนนเต็ม]:[คะแนนเต็ม]])*tbl_task9[[%]:[%]])</f>
        <v/>
      </c>
      <c r="GL22" s="121" t="str">
        <f>IF(ISBLANK(tbl_task9[[คะแนนเต็ม]:[คะแนนเต็ม]]),"",(tbl_task9[24]/tbl_task9[[คะแนนเต็ม]:[คะแนนเต็ม]])*tbl_task9[[%]:[%]])</f>
        <v/>
      </c>
      <c r="GM22" s="121" t="str">
        <f>IF(ISBLANK(tbl_task9[[คะแนนเต็ม]:[คะแนนเต็ม]]),"",(tbl_task9[25]/tbl_task9[[คะแนนเต็ม]:[คะแนนเต็ม]])*tbl_task9[[%]:[%]])</f>
        <v/>
      </c>
      <c r="GN22" s="121" t="str">
        <f>IF(ISBLANK(tbl_task9[[คะแนนเต็ม]:[คะแนนเต็ม]]),"",(tbl_task9[26]/tbl_task9[[คะแนนเต็ม]:[คะแนนเต็ม]])*tbl_task9[[%]:[%]])</f>
        <v/>
      </c>
      <c r="GO22" s="121" t="str">
        <f>IF(ISBLANK(tbl_task9[[คะแนนเต็ม]:[คะแนนเต็ม]]),"",(tbl_task9[27]/tbl_task9[[คะแนนเต็ม]:[คะแนนเต็ม]])*tbl_task9[[%]:[%]])</f>
        <v/>
      </c>
      <c r="GP22" s="121" t="str">
        <f>IF(ISBLANK(tbl_task9[[คะแนนเต็ม]:[คะแนนเต็ม]]),"",(tbl_task9[28]/tbl_task9[[คะแนนเต็ม]:[คะแนนเต็ม]])*tbl_task9[[%]:[%]])</f>
        <v/>
      </c>
      <c r="GQ22" s="121" t="str">
        <f>IF(ISBLANK(tbl_task9[[คะแนนเต็ม]:[คะแนนเต็ม]]),"",(tbl_task9[29]/tbl_task9[[คะแนนเต็ม]:[คะแนนเต็ม]])*tbl_task9[[%]:[%]])</f>
        <v/>
      </c>
      <c r="GR22" s="121" t="str">
        <f>IF(ISBLANK(tbl_task9[[คะแนนเต็ม]:[คะแนนเต็ม]]),"",(tbl_task9[30]/tbl_task9[[คะแนนเต็ม]:[คะแนนเต็ม]])*tbl_task9[[%]:[%]])</f>
        <v/>
      </c>
      <c r="GS22" s="121" t="str">
        <f>IF(ISBLANK(tbl_task9[[คะแนนเต็ม]:[คะแนนเต็ม]]),"",(tbl_task9[31]/tbl_task9[[คะแนนเต็ม]:[คะแนนเต็ม]])*tbl_task9[[%]:[%]])</f>
        <v/>
      </c>
      <c r="GT22" s="121" t="str">
        <f>IF(ISBLANK(tbl_task9[[คะแนนเต็ม]:[คะแนนเต็ม]]),"",(tbl_task9[32]/tbl_task9[[คะแนนเต็ม]:[คะแนนเต็ม]])*tbl_task9[[%]:[%]])</f>
        <v/>
      </c>
      <c r="GU22" s="121" t="str">
        <f>IF(ISBLANK(tbl_task9[[คะแนนเต็ม]:[คะแนนเต็ม]]),"",(tbl_task9[33]/tbl_task9[[คะแนนเต็ม]:[คะแนนเต็ม]])*tbl_task9[[%]:[%]])</f>
        <v/>
      </c>
      <c r="GV22" s="121" t="str">
        <f>IF(ISBLANK(tbl_task9[[คะแนนเต็ม]:[คะแนนเต็ม]]),"",(tbl_task9[34]/tbl_task9[[คะแนนเต็ม]:[คะแนนเต็ม]])*tbl_task9[[%]:[%]])</f>
        <v/>
      </c>
      <c r="GW22" s="121" t="str">
        <f>IF(ISBLANK(tbl_task9[[คะแนนเต็ม]:[คะแนนเต็ม]]),"",(tbl_task9[35]/tbl_task9[[คะแนนเต็ม]:[คะแนนเต็ม]])*tbl_task9[[%]:[%]])</f>
        <v/>
      </c>
      <c r="GX22" s="121" t="str">
        <f>IF(ISBLANK(tbl_task9[[คะแนนเต็ม]:[คะแนนเต็ม]]),"",(tbl_task9[36]/tbl_task9[[คะแนนเต็ม]:[คะแนนเต็ม]])*tbl_task9[[%]:[%]])</f>
        <v/>
      </c>
      <c r="GY22" s="121" t="str">
        <f>IF(ISBLANK(tbl_task9[[คะแนนเต็ม]:[คะแนนเต็ม]]),"",(tbl_task9[37]/tbl_task9[[คะแนนเต็ม]:[คะแนนเต็ม]])*tbl_task9[[%]:[%]])</f>
        <v/>
      </c>
      <c r="GZ22" s="121" t="str">
        <f>IF(ISBLANK(tbl_task9[[คะแนนเต็ม]:[คะแนนเต็ม]]),"",(tbl_task9[38]/tbl_task9[[คะแนนเต็ม]:[คะแนนเต็ม]])*tbl_task9[[%]:[%]])</f>
        <v/>
      </c>
      <c r="HA22" s="121" t="str">
        <f>IF(ISBLANK(tbl_task9[[คะแนนเต็ม]:[คะแนนเต็ม]]),"",(tbl_task9[39]/tbl_task9[[คะแนนเต็ม]:[คะแนนเต็ม]])*tbl_task9[[%]:[%]])</f>
        <v/>
      </c>
      <c r="HB22" s="121" t="str">
        <f>IF(ISBLANK(tbl_task9[[คะแนนเต็ม]:[คะแนนเต็ม]]),"",(tbl_task9[40]/tbl_task9[[คะแนนเต็ม]:[คะแนนเต็ม]])*tbl_task9[[%]:[%]])</f>
        <v/>
      </c>
      <c r="HC22" s="121" t="str">
        <f>IF(ISBLANK(tbl_task9[[คะแนนเต็ม]:[คะแนนเต็ม]]),"",(tbl_task9[41]/tbl_task9[[คะแนนเต็ม]:[คะแนนเต็ม]])*tbl_task9[[%]:[%]])</f>
        <v/>
      </c>
      <c r="HD22" s="121" t="str">
        <f>IF(ISBLANK(tbl_task9[[คะแนนเต็ม]:[คะแนนเต็ม]]),"",(tbl_task9[42]/tbl_task9[[คะแนนเต็ม]:[คะแนนเต็ม]])*tbl_task9[[%]:[%]])</f>
        <v/>
      </c>
      <c r="HE22" s="121" t="str">
        <f>IF(ISBLANK(tbl_task9[[คะแนนเต็ม]:[คะแนนเต็ม]]),"",(tbl_task9[43]/tbl_task9[[คะแนนเต็ม]:[คะแนนเต็ม]])*tbl_task9[[%]:[%]])</f>
        <v/>
      </c>
      <c r="HF22" s="121" t="str">
        <f>IF(ISBLANK(tbl_task9[[คะแนนเต็ม]:[คะแนนเต็ม]]),"",(tbl_task9[44]/tbl_task9[[คะแนนเต็ม]:[คะแนนเต็ม]])*tbl_task9[[%]:[%]])</f>
        <v/>
      </c>
      <c r="HG22" s="121" t="str">
        <f>IF(ISBLANK(tbl_task9[[คะแนนเต็ม]:[คะแนนเต็ม]]),"",(tbl_task9[45]/tbl_task9[[คะแนนเต็ม]:[คะแนนเต็ม]])*tbl_task9[[%]:[%]])</f>
        <v/>
      </c>
      <c r="HH22" s="121" t="str">
        <f>IF(ISBLANK(tbl_task9[[คะแนนเต็ม]:[คะแนนเต็ม]]),"",(tbl_task9[46]/tbl_task9[[คะแนนเต็ม]:[คะแนนเต็ม]])*tbl_task9[[%]:[%]])</f>
        <v/>
      </c>
      <c r="HI22" s="121" t="str">
        <f>IF(ISBLANK(tbl_task9[[คะแนนเต็ม]:[คะแนนเต็ม]]),"",(tbl_task9[47]/tbl_task9[[คะแนนเต็ม]:[คะแนนเต็ม]])*tbl_task9[[%]:[%]])</f>
        <v/>
      </c>
      <c r="HJ22" s="121" t="str">
        <f>IF(ISBLANK(tbl_task9[[คะแนนเต็ม]:[คะแนนเต็ม]]),"",(tbl_task9[48]/tbl_task9[[คะแนนเต็ม]:[คะแนนเต็ม]])*tbl_task9[[%]:[%]])</f>
        <v/>
      </c>
      <c r="HK22" s="121" t="str">
        <f>IF(ISBLANK(tbl_task9[[คะแนนเต็ม]:[คะแนนเต็ม]]),"",(tbl_task9[49]/tbl_task9[[คะแนนเต็ม]:[คะแนนเต็ม]])*tbl_task9[[%]:[%]])</f>
        <v/>
      </c>
      <c r="HL22" s="121" t="str">
        <f>IF(ISBLANK(tbl_task9[[คะแนนเต็ม]:[คะแนนเต็ม]]),"",(tbl_task9[50]/tbl_task9[[คะแนนเต็ม]:[คะแนนเต็ม]])*tbl_task9[[%]:[%]])</f>
        <v/>
      </c>
      <c r="HM22" s="121" t="str">
        <f>IF(ISBLANK(tbl_task9[[คะแนนเต็ม]:[คะแนนเต็ม]]),"",(tbl_task9[51]/tbl_task9[[คะแนนเต็ม]:[คะแนนเต็ม]])*tbl_task9[[%]:[%]])</f>
        <v/>
      </c>
      <c r="HN22" s="121" t="str">
        <f>IF(ISBLANK(tbl_task9[[คะแนนเต็ม]:[คะแนนเต็ม]]),"",(tbl_task9[52]/tbl_task9[[คะแนนเต็ม]:[คะแนนเต็ม]])*tbl_task9[[%]:[%]])</f>
        <v/>
      </c>
      <c r="HO22" s="121" t="str">
        <f>IF(ISBLANK(tbl_task9[[คะแนนเต็ม]:[คะแนนเต็ม]]),"",(tbl_task9[53]/tbl_task9[[คะแนนเต็ม]:[คะแนนเต็ม]])*tbl_task9[[%]:[%]])</f>
        <v/>
      </c>
      <c r="HP22" s="121" t="str">
        <f>IF(ISBLANK(tbl_task9[[คะแนนเต็ม]:[คะแนนเต็ม]]),"",(tbl_task9[54]/tbl_task9[[คะแนนเต็ม]:[คะแนนเต็ม]])*tbl_task9[[%]:[%]])</f>
        <v/>
      </c>
      <c r="HQ22" s="121" t="str">
        <f>IF(ISBLANK(tbl_task9[[คะแนนเต็ม]:[คะแนนเต็ม]]),"",(tbl_task9[55]/tbl_task9[[คะแนนเต็ม]:[คะแนนเต็ม]])*tbl_task9[[%]:[%]])</f>
        <v/>
      </c>
      <c r="HR22" s="121" t="str">
        <f>IF(ISBLANK(tbl_task9[[คะแนนเต็ม]:[คะแนนเต็ม]]),"",(tbl_task9[56]/tbl_task9[[คะแนนเต็ม]:[คะแนนเต็ม]])*tbl_task9[[%]:[%]])</f>
        <v/>
      </c>
      <c r="HS22" s="121" t="str">
        <f>IF(ISBLANK(tbl_task9[[คะแนนเต็ม]:[คะแนนเต็ม]]),"",(tbl_task9[57]/tbl_task9[[คะแนนเต็ม]:[คะแนนเต็ม]])*tbl_task9[[%]:[%]])</f>
        <v/>
      </c>
      <c r="HT22" s="121" t="str">
        <f>IF(ISBLANK(tbl_task9[[คะแนนเต็ม]:[คะแนนเต็ม]]),"",(tbl_task9[58]/tbl_task9[[คะแนนเต็ม]:[คะแนนเต็ม]])*tbl_task9[[%]:[%]])</f>
        <v/>
      </c>
      <c r="HU22" s="121" t="str">
        <f>IF(ISBLANK(tbl_task9[[คะแนนเต็ม]:[คะแนนเต็ม]]),"",(tbl_task9[59]/tbl_task9[[คะแนนเต็ม]:[คะแนนเต็ม]])*tbl_task9[[%]:[%]])</f>
        <v/>
      </c>
      <c r="HV22" s="121" t="str">
        <f>IF(ISBLANK(tbl_task9[[คะแนนเต็ม]:[คะแนนเต็ม]]),"",(tbl_task9[60]/tbl_task9[[คะแนนเต็ม]:[คะแนนเต็ม]])*tbl_task9[[%]:[%]])</f>
        <v/>
      </c>
      <c r="HW22" s="121" t="str">
        <f>IF(ISBLANK(tbl_task9[[คะแนนเต็ม]:[คะแนนเต็ม]]),"",(tbl_task9[61]/tbl_task9[[คะแนนเต็ม]:[คะแนนเต็ม]])*tbl_task9[[%]:[%]])</f>
        <v/>
      </c>
      <c r="HX22" s="121" t="str">
        <f>IF(ISBLANK(tbl_task9[[คะแนนเต็ม]:[คะแนนเต็ม]]),"",(tbl_task9[62]/tbl_task9[[คะแนนเต็ม]:[คะแนนเต็ม]])*tbl_task9[[%]:[%]])</f>
        <v/>
      </c>
      <c r="HY22" s="121" t="str">
        <f>IF(ISBLANK(tbl_task9[[คะแนนเต็ม]:[คะแนนเต็ม]]),"",(tbl_task9[63]/tbl_task9[[คะแนนเต็ม]:[คะแนนเต็ม]])*tbl_task9[[%]:[%]])</f>
        <v/>
      </c>
      <c r="HZ22" s="121" t="str">
        <f>IF(ISBLANK(tbl_task9[[คะแนนเต็ม]:[คะแนนเต็ม]]),"",(tbl_task9[64]/tbl_task9[[คะแนนเต็ม]:[คะแนนเต็ม]])*tbl_task9[[%]:[%]])</f>
        <v/>
      </c>
      <c r="IA22" s="121" t="str">
        <f>IF(ISBLANK(tbl_task9[[คะแนนเต็ม]:[คะแนนเต็ม]]),"",(tbl_task9[65]/tbl_task9[[คะแนนเต็ม]:[คะแนนเต็ม]])*tbl_task9[[%]:[%]])</f>
        <v/>
      </c>
      <c r="IB22" s="121" t="str">
        <f>IF(ISBLANK(tbl_task9[[คะแนนเต็ม]:[คะแนนเต็ม]]),"",(tbl_task9[66]/tbl_task9[[คะแนนเต็ม]:[คะแนนเต็ม]])*tbl_task9[[%]:[%]])</f>
        <v/>
      </c>
      <c r="IC22" s="121" t="str">
        <f>IF(ISBLANK(tbl_task9[[คะแนนเต็ม]:[คะแนนเต็ม]]),"",(tbl_task9[67]/tbl_task9[[คะแนนเต็ม]:[คะแนนเต็ม]])*tbl_task9[[%]:[%]])</f>
        <v/>
      </c>
      <c r="ID22" s="121" t="str">
        <f>IF(ISBLANK(tbl_task9[[คะแนนเต็ม]:[คะแนนเต็ม]]),"",(tbl_task9[68]/tbl_task9[[คะแนนเต็ม]:[คะแนนเต็ม]])*tbl_task9[[%]:[%]])</f>
        <v/>
      </c>
      <c r="IE22" s="121" t="str">
        <f>IF(ISBLANK(tbl_task9[[คะแนนเต็ม]:[คะแนนเต็ม]]),"",(tbl_task9[69]/tbl_task9[[คะแนนเต็ม]:[คะแนนเต็ม]])*tbl_task9[[%]:[%]])</f>
        <v/>
      </c>
      <c r="IF22" s="121" t="str">
        <f>IF(ISBLANK(tbl_task9[[คะแนนเต็ม]:[คะแนนเต็ม]]),"",(tbl_task9[70]/tbl_task9[[คะแนนเต็ม]:[คะแนนเต็ม]])*tbl_task9[[%]:[%]])</f>
        <v/>
      </c>
      <c r="IG22" s="121" t="str">
        <f>IF(ISBLANK(tbl_task9[[คะแนนเต็ม]:[คะแนนเต็ม]]),"",(tbl_task9[71]/tbl_task9[[คะแนนเต็ม]:[คะแนนเต็ม]])*tbl_task9[[%]:[%]])</f>
        <v/>
      </c>
      <c r="IH22" s="121" t="str">
        <f>IF(ISBLANK(tbl_task9[[คะแนนเต็ม]:[คะแนนเต็ม]]),"",(tbl_task9[72]/tbl_task9[[คะแนนเต็ม]:[คะแนนเต็ม]])*tbl_task9[[%]:[%]])</f>
        <v/>
      </c>
      <c r="II22" s="121" t="str">
        <f>IF(ISBLANK(tbl_task9[[คะแนนเต็ม]:[คะแนนเต็ม]]),"",(tbl_task9[73]/tbl_task9[[คะแนนเต็ม]:[คะแนนเต็ม]])*tbl_task9[[%]:[%]])</f>
        <v/>
      </c>
      <c r="IJ22" s="121" t="str">
        <f>IF(ISBLANK(tbl_task9[[คะแนนเต็ม]:[คะแนนเต็ม]]),"",(tbl_task9[74]/tbl_task9[[คะแนนเต็ม]:[คะแนนเต็ม]])*tbl_task9[[%]:[%]])</f>
        <v/>
      </c>
      <c r="IK22" s="121" t="str">
        <f>IF(ISBLANK(tbl_task9[[คะแนนเต็ม]:[คะแนนเต็ม]]),"",(tbl_task9[75]/tbl_task9[[คะแนนเต็ม]:[คะแนนเต็ม]])*tbl_task9[[%]:[%]])</f>
        <v/>
      </c>
      <c r="IL22" s="121" t="str">
        <f>IF(ISBLANK(tbl_task9[[คะแนนเต็ม]:[คะแนนเต็ม]]),"",(tbl_task9[76]/tbl_task9[[คะแนนเต็ม]:[คะแนนเต็ม]])*tbl_task9[[%]:[%]])</f>
        <v/>
      </c>
      <c r="IM22" s="121" t="str">
        <f>IF(ISBLANK(tbl_task9[[คะแนนเต็ม]:[คะแนนเต็ม]]),"",(tbl_task9[77]/tbl_task9[[คะแนนเต็ม]:[คะแนนเต็ม]])*tbl_task9[[%]:[%]])</f>
        <v/>
      </c>
      <c r="IN22" s="121" t="str">
        <f>IF(ISBLANK(tbl_task9[[คะแนนเต็ม]:[คะแนนเต็ม]]),"",(tbl_task9[78]/tbl_task9[[คะแนนเต็ม]:[คะแนนเต็ม]])*tbl_task9[[%]:[%]])</f>
        <v/>
      </c>
      <c r="IO22" s="121" t="str">
        <f>IF(ISBLANK(tbl_task9[[คะแนนเต็ม]:[คะแนนเต็ม]]),"",(tbl_task9[79]/tbl_task9[[คะแนนเต็ม]:[คะแนนเต็ม]])*tbl_task9[[%]:[%]])</f>
        <v/>
      </c>
      <c r="IP22" s="121" t="str">
        <f>IF(ISBLANK(tbl_task9[[คะแนนเต็ม]:[คะแนนเต็ม]]),"",(tbl_task9[80]/tbl_task9[[คะแนนเต็ม]:[คะแนนเต็ม]])*tbl_task9[[%]:[%]])</f>
        <v/>
      </c>
      <c r="IQ22" s="121" t="str">
        <f>IF(ISBLANK(tbl_task9[[คะแนนเต็ม]:[คะแนนเต็ม]]),"",(tbl_task9[81]/tbl_task9[[คะแนนเต็ม]:[คะแนนเต็ม]])*tbl_task9[[%]:[%]])</f>
        <v/>
      </c>
      <c r="IR22" s="121" t="str">
        <f>IF(ISBLANK(tbl_task9[[คะแนนเต็ม]:[คะแนนเต็ม]]),"",(tbl_task9[82]/tbl_task9[[คะแนนเต็ม]:[คะแนนเต็ม]])*tbl_task9[[%]:[%]])</f>
        <v/>
      </c>
      <c r="IS22" s="121" t="str">
        <f>IF(ISBLANK(tbl_task9[[คะแนนเต็ม]:[คะแนนเต็ม]]),"",(tbl_task9[83]/tbl_task9[[คะแนนเต็ม]:[คะแนนเต็ม]])*tbl_task9[[%]:[%]])</f>
        <v/>
      </c>
      <c r="IT22" s="121" t="str">
        <f>IF(ISBLANK(tbl_task9[[คะแนนเต็ม]:[คะแนนเต็ม]]),"",(tbl_task9[84]/tbl_task9[[คะแนนเต็ม]:[คะแนนเต็ม]])*tbl_task9[[%]:[%]])</f>
        <v/>
      </c>
      <c r="IU22" s="121" t="str">
        <f>IF(ISBLANK(tbl_task9[[คะแนนเต็ม]:[คะแนนเต็ม]]),"",(tbl_task9[85]/tbl_task9[[คะแนนเต็ม]:[คะแนนเต็ม]])*tbl_task9[[%]:[%]])</f>
        <v/>
      </c>
      <c r="IV22" s="121" t="str">
        <f>IF(ISBLANK(tbl_task9[[คะแนนเต็ม]:[คะแนนเต็ม]]),"",(tbl_task9[86]/tbl_task9[[คะแนนเต็ม]:[คะแนนเต็ม]])*tbl_task9[[%]:[%]])</f>
        <v/>
      </c>
      <c r="IW22" s="121" t="str">
        <f>IF(ISBLANK(tbl_task9[[คะแนนเต็ม]:[คะแนนเต็ม]]),"",(tbl_task9[87]/tbl_task9[[คะแนนเต็ม]:[คะแนนเต็ม]])*tbl_task9[[%]:[%]])</f>
        <v/>
      </c>
      <c r="IX22" s="121" t="str">
        <f>IF(ISBLANK(tbl_task9[[คะแนนเต็ม]:[คะแนนเต็ม]]),"",(tbl_task9[88]/tbl_task9[[คะแนนเต็ม]:[คะแนนเต็ม]])*tbl_task9[[%]:[%]])</f>
        <v/>
      </c>
      <c r="IY22" s="121" t="str">
        <f>IF(ISBLANK(tbl_task9[[คะแนนเต็ม]:[คะแนนเต็ม]]),"",(tbl_task9[89]/tbl_task9[[คะแนนเต็ม]:[คะแนนเต็ม]])*tbl_task9[[%]:[%]])</f>
        <v/>
      </c>
      <c r="IZ22" s="121" t="str">
        <f>IF(ISBLANK(tbl_task9[[คะแนนเต็ม]:[คะแนนเต็ม]]),"",(tbl_task9[90]/tbl_task9[[คะแนนเต็ม]:[คะแนนเต็ม]])*tbl_task9[[%]:[%]])</f>
        <v/>
      </c>
      <c r="JA22" s="121" t="str">
        <f>IF(ISBLANK(tbl_task9[[คะแนนเต็ม]:[คะแนนเต็ม]]),"",(tbl_task9[91]/tbl_task9[[คะแนนเต็ม]:[คะแนนเต็ม]])*tbl_task9[[%]:[%]])</f>
        <v/>
      </c>
      <c r="JB22" s="121" t="str">
        <f>IF(ISBLANK(tbl_task9[[คะแนนเต็ม]:[คะแนนเต็ม]]),"",(tbl_task9[92]/tbl_task9[[คะแนนเต็ม]:[คะแนนเต็ม]])*tbl_task9[[%]:[%]])</f>
        <v/>
      </c>
      <c r="JC22" s="121" t="str">
        <f>IF(ISBLANK(tbl_task9[[คะแนนเต็ม]:[คะแนนเต็ม]]),"",(tbl_task9[93]/tbl_task9[[คะแนนเต็ม]:[คะแนนเต็ม]])*tbl_task9[[%]:[%]])</f>
        <v/>
      </c>
      <c r="JD22" s="121" t="str">
        <f>IF(ISBLANK(tbl_task9[[คะแนนเต็ม]:[คะแนนเต็ม]]),"",(tbl_task9[94]/tbl_task9[[คะแนนเต็ม]:[คะแนนเต็ม]])*tbl_task9[[%]:[%]])</f>
        <v/>
      </c>
      <c r="JE22" s="121" t="str">
        <f>IF(ISBLANK(tbl_task9[[คะแนนเต็ม]:[คะแนนเต็ม]]),"",(tbl_task9[95]/tbl_task9[[คะแนนเต็ม]:[คะแนนเต็ม]])*tbl_task9[[%]:[%]])</f>
        <v/>
      </c>
      <c r="JF22" s="121" t="str">
        <f>IF(ISBLANK(tbl_task9[[คะแนนเต็ม]:[คะแนนเต็ม]]),"",(tbl_task9[96]/tbl_task9[[คะแนนเต็ม]:[คะแนนเต็ม]])*tbl_task9[[%]:[%]])</f>
        <v/>
      </c>
      <c r="JG22" s="121" t="str">
        <f>IF(ISBLANK(tbl_task9[[คะแนนเต็ม]:[คะแนนเต็ม]]),"",(tbl_task9[97]/tbl_task9[[คะแนนเต็ม]:[คะแนนเต็ม]])*tbl_task9[[%]:[%]])</f>
        <v/>
      </c>
      <c r="JH22" s="121" t="str">
        <f>IF(ISBLANK(tbl_task9[[คะแนนเต็ม]:[คะแนนเต็ม]]),"",(tbl_task9[98]/tbl_task9[[คะแนนเต็ม]:[คะแนนเต็ม]])*tbl_task9[[%]:[%]])</f>
        <v/>
      </c>
      <c r="JI22" s="121" t="str">
        <f>IF(ISBLANK(tbl_task9[[คะแนนเต็ม]:[คะแนนเต็ม]]),"",(tbl_task9[99]/tbl_task9[[คะแนนเต็ม]:[คะแนนเต็ม]])*tbl_task9[[%]:[%]])</f>
        <v/>
      </c>
      <c r="JJ22" s="121" t="str">
        <f>IF(ISBLANK(tbl_task9[[คะแนนเต็ม]:[คะแนนเต็ม]]),"",(tbl_task9[100]/tbl_task9[[คะแนนเต็ม]:[คะแนนเต็ม]])*tbl_task9[[%]:[%]])</f>
        <v/>
      </c>
      <c r="JK22" s="121" t="str">
        <f>IF(ISBLANK(tbl_task9[[คะแนนเต็ม]:[คะแนนเต็ม]]),"",(tbl_task9[101]/tbl_task9[[คะแนนเต็ม]:[คะแนนเต็ม]])*tbl_task9[[%]:[%]])</f>
        <v/>
      </c>
      <c r="JL22" s="121" t="str">
        <f>IF(ISBLANK(tbl_task9[[คะแนนเต็ม]:[คะแนนเต็ม]]),"",(tbl_task9[102]/tbl_task9[[คะแนนเต็ม]:[คะแนนเต็ม]])*tbl_task9[[%]:[%]])</f>
        <v/>
      </c>
      <c r="JM22" s="121" t="str">
        <f>IF(ISBLANK(tbl_task9[[คะแนนเต็ม]:[คะแนนเต็ม]]),"",(tbl_task9[103]/tbl_task9[[คะแนนเต็ม]:[คะแนนเต็ม]])*tbl_task9[[%]:[%]])</f>
        <v/>
      </c>
      <c r="JN22" s="121" t="str">
        <f>IF(ISBLANK(tbl_task9[[คะแนนเต็ม]:[คะแนนเต็ม]]),"",(tbl_task9[104]/tbl_task9[[คะแนนเต็ม]:[คะแนนเต็ม]])*tbl_task9[[%]:[%]])</f>
        <v/>
      </c>
      <c r="JO22" s="121" t="str">
        <f>IF(ISBLANK(tbl_task9[[คะแนนเต็ม]:[คะแนนเต็ม]]),"",(tbl_task9[105]/tbl_task9[[คะแนนเต็ม]:[คะแนนเต็ม]])*tbl_task9[[%]:[%]])</f>
        <v/>
      </c>
      <c r="JP22" s="121" t="str">
        <f>IF(ISBLANK(tbl_task9[[คะแนนเต็ม]:[คะแนนเต็ม]]),"",(tbl_task9[106]/tbl_task9[[คะแนนเต็ม]:[คะแนนเต็ม]])*tbl_task9[[%]:[%]])</f>
        <v/>
      </c>
      <c r="JQ22" s="121" t="str">
        <f>IF(ISBLANK(tbl_task9[[คะแนนเต็ม]:[คะแนนเต็ม]]),"",(tbl_task9[107]/tbl_task9[[คะแนนเต็ม]:[คะแนนเต็ม]])*tbl_task9[[%]:[%]])</f>
        <v/>
      </c>
      <c r="JR22" s="121" t="str">
        <f>IF(ISBLANK(tbl_task9[[คะแนนเต็ม]:[คะแนนเต็ม]]),"",(tbl_task9[108]/tbl_task9[[คะแนนเต็ม]:[คะแนนเต็ม]])*tbl_task9[[%]:[%]])</f>
        <v/>
      </c>
      <c r="JS22" s="121" t="str">
        <f>IF(ISBLANK(tbl_task9[[คะแนนเต็ม]:[คะแนนเต็ม]]),"",(tbl_task9[109]/tbl_task9[[คะแนนเต็ม]:[คะแนนเต็ม]])*tbl_task9[[%]:[%]])</f>
        <v/>
      </c>
      <c r="JT22" s="121" t="str">
        <f>IF(ISBLANK(tbl_task9[[คะแนนเต็ม]:[คะแนนเต็ม]]),"",(tbl_task9[110]/tbl_task9[[คะแนนเต็ม]:[คะแนนเต็ม]])*tbl_task9[[%]:[%]])</f>
        <v/>
      </c>
      <c r="JU22" s="121" t="str">
        <f>IF(ISBLANK(tbl_task9[[คะแนนเต็ม]:[คะแนนเต็ม]]),"",(tbl_task9[111]/tbl_task9[[คะแนนเต็ม]:[คะแนนเต็ม]])*tbl_task9[[%]:[%]])</f>
        <v/>
      </c>
      <c r="JV22" s="121" t="str">
        <f>IF(ISBLANK(tbl_task9[[คะแนนเต็ม]:[คะแนนเต็ม]]),"",(tbl_task9[112]/tbl_task9[[คะแนนเต็ม]:[คะแนนเต็ม]])*tbl_task9[[%]:[%]])</f>
        <v/>
      </c>
      <c r="JW22" s="121" t="str">
        <f>IF(ISBLANK(tbl_task9[[คะแนนเต็ม]:[คะแนนเต็ม]]),"",(tbl_task9[113]/tbl_task9[[คะแนนเต็ม]:[คะแนนเต็ม]])*tbl_task9[[%]:[%]])</f>
        <v/>
      </c>
      <c r="JX22" s="121" t="str">
        <f>IF(ISBLANK(tbl_task9[[คะแนนเต็ม]:[คะแนนเต็ม]]),"",(tbl_task9[114]/tbl_task9[[คะแนนเต็ม]:[คะแนนเต็ม]])*tbl_task9[[%]:[%]])</f>
        <v/>
      </c>
      <c r="JY22" s="121" t="str">
        <f>IF(ISBLANK(tbl_task9[[คะแนนเต็ม]:[คะแนนเต็ม]]),"",(tbl_task9[115]/tbl_task9[[คะแนนเต็ม]:[คะแนนเต็ม]])*tbl_task9[[%]:[%]])</f>
        <v/>
      </c>
      <c r="JZ22" s="121" t="str">
        <f>IF(ISBLANK(tbl_task9[[คะแนนเต็ม]:[คะแนนเต็ม]]),"",(tbl_task9[116]/tbl_task9[[คะแนนเต็ม]:[คะแนนเต็ม]])*tbl_task9[[%]:[%]])</f>
        <v/>
      </c>
      <c r="KA22" s="121" t="str">
        <f>IF(ISBLANK(tbl_task9[[คะแนนเต็ม]:[คะแนนเต็ม]]),"",(tbl_task9[117]/tbl_task9[[คะแนนเต็ม]:[คะแนนเต็ม]])*tbl_task9[[%]:[%]])</f>
        <v/>
      </c>
      <c r="KB22" s="121" t="str">
        <f>IF(ISBLANK(tbl_task9[[คะแนนเต็ม]:[คะแนนเต็ม]]),"",(tbl_task9[118]/tbl_task9[[คะแนนเต็ม]:[คะแนนเต็ม]])*tbl_task9[[%]:[%]])</f>
        <v/>
      </c>
      <c r="KC22" s="121" t="str">
        <f>IF(ISBLANK(tbl_task9[[คะแนนเต็ม]:[คะแนนเต็ม]]),"",(tbl_task9[119]/tbl_task9[[คะแนนเต็ม]:[คะแนนเต็ม]])*tbl_task9[[%]:[%]])</f>
        <v/>
      </c>
      <c r="KD22" s="121" t="str">
        <f>IF(ISBLANK(tbl_task9[[คะแนนเต็ม]:[คะแนนเต็ม]]),"",(tbl_task9[120]/tbl_task9[[คะแนนเต็ม]:[คะแนนเต็ม]])*tbl_task9[[%]:[%]])</f>
        <v/>
      </c>
      <c r="KE22" s="121" t="str">
        <f>IF(ISBLANK(tbl_task9[[คะแนนเต็ม]:[คะแนนเต็ม]]),"",(tbl_task9[121]/tbl_task9[[คะแนนเต็ม]:[คะแนนเต็ม]])*tbl_task9[[%]:[%]])</f>
        <v/>
      </c>
      <c r="KF22" s="121" t="str">
        <f>IF(ISBLANK(tbl_task9[[คะแนนเต็ม]:[คะแนนเต็ม]]),"",(tbl_task9[122]/tbl_task9[[คะแนนเต็ม]:[คะแนนเต็ม]])*tbl_task9[[%]:[%]])</f>
        <v/>
      </c>
      <c r="KG22" s="121" t="str">
        <f>IF(ISBLANK(tbl_task9[[คะแนนเต็ม]:[คะแนนเต็ม]]),"",(tbl_task9[123]/tbl_task9[[คะแนนเต็ม]:[คะแนนเต็ม]])*tbl_task9[[%]:[%]])</f>
        <v/>
      </c>
      <c r="KH22" s="121" t="str">
        <f>IF(ISBLANK(tbl_task9[[คะแนนเต็ม]:[คะแนนเต็ม]]),"",(tbl_task9[124]/tbl_task9[[คะแนนเต็ม]:[คะแนนเต็ม]])*tbl_task9[[%]:[%]])</f>
        <v/>
      </c>
      <c r="KI22" s="121" t="str">
        <f>IF(ISBLANK(tbl_task9[[คะแนนเต็ม]:[คะแนนเต็ม]]),"",(tbl_task9[125]/tbl_task9[[คะแนนเต็ม]:[คะแนนเต็ม]])*tbl_task9[[%]:[%]])</f>
        <v/>
      </c>
      <c r="KJ22" s="121" t="str">
        <f>IF(ISBLANK(tbl_task9[[คะแนนเต็ม]:[คะแนนเต็ม]]),"",(tbl_task9[126]/tbl_task9[[คะแนนเต็ม]:[คะแนนเต็ม]])*tbl_task9[[%]:[%]])</f>
        <v/>
      </c>
      <c r="KK22" s="121" t="str">
        <f>IF(ISBLANK(tbl_task9[[คะแนนเต็ม]:[คะแนนเต็ม]]),"",(tbl_task9[127]/tbl_task9[[คะแนนเต็ม]:[คะแนนเต็ม]])*tbl_task9[[%]:[%]])</f>
        <v/>
      </c>
      <c r="KL22" s="121" t="str">
        <f>IF(ISBLANK(tbl_task9[[คะแนนเต็ม]:[คะแนนเต็ม]]),"",(tbl_task9[128]/tbl_task9[[คะแนนเต็ม]:[คะแนนเต็ม]])*tbl_task9[[%]:[%]])</f>
        <v/>
      </c>
      <c r="KM22" s="121" t="str">
        <f>IF(ISBLANK(tbl_task9[[คะแนนเต็ม]:[คะแนนเต็ม]]),"",(tbl_task9[129]/tbl_task9[[คะแนนเต็ม]:[คะแนนเต็ม]])*tbl_task9[[%]:[%]])</f>
        <v/>
      </c>
      <c r="KN22" s="121" t="str">
        <f>IF(ISBLANK(tbl_task9[[คะแนนเต็ม]:[คะแนนเต็ม]]),"",(tbl_task9[130]/tbl_task9[[คะแนนเต็ม]:[คะแนนเต็ม]])*tbl_task9[[%]:[%]])</f>
        <v/>
      </c>
      <c r="KO22" s="121" t="str">
        <f>IF(ISBLANK(tbl_task9[[คะแนนเต็ม]:[คะแนนเต็ม]]),"",(tbl_task9[131]/tbl_task9[[คะแนนเต็ม]:[คะแนนเต็ม]])*tbl_task9[[%]:[%]])</f>
        <v/>
      </c>
      <c r="KP22" s="121" t="str">
        <f>IF(ISBLANK(tbl_task9[[คะแนนเต็ม]:[คะแนนเต็ม]]),"",(tbl_task9[132]/tbl_task9[[คะแนนเต็ม]:[คะแนนเต็ม]])*tbl_task9[[%]:[%]])</f>
        <v/>
      </c>
      <c r="KQ22" s="121" t="str">
        <f>IF(ISBLANK(tbl_task9[[คะแนนเต็ม]:[คะแนนเต็ม]]),"",(tbl_task9[133]/tbl_task9[[คะแนนเต็ม]:[คะแนนเต็ม]])*tbl_task9[[%]:[%]])</f>
        <v/>
      </c>
      <c r="KR22" s="121" t="str">
        <f>IF(ISBLANK(tbl_task9[[คะแนนเต็ม]:[คะแนนเต็ม]]),"",(tbl_task9[134]/tbl_task9[[คะแนนเต็ม]:[คะแนนเต็ม]])*tbl_task9[[%]:[%]])</f>
        <v/>
      </c>
      <c r="KS22" s="121" t="str">
        <f>IF(ISBLANK(tbl_task9[[คะแนนเต็ม]:[คะแนนเต็ม]]),"",(tbl_task9[135]/tbl_task9[[คะแนนเต็ม]:[คะแนนเต็ม]])*tbl_task9[[%]:[%]])</f>
        <v/>
      </c>
      <c r="KT22" s="121" t="str">
        <f>IF(ISBLANK(tbl_task9[[คะแนนเต็ม]:[คะแนนเต็ม]]),"",(tbl_task9[136]/tbl_task9[[คะแนนเต็ม]:[คะแนนเต็ม]])*tbl_task9[[%]:[%]])</f>
        <v/>
      </c>
      <c r="KU22" s="121" t="str">
        <f>IF(ISBLANK(tbl_task9[[คะแนนเต็ม]:[คะแนนเต็ม]]),"",(tbl_task9[137]/tbl_task9[[คะแนนเต็ม]:[คะแนนเต็ม]])*tbl_task9[[%]:[%]])</f>
        <v/>
      </c>
      <c r="KV22" s="121" t="str">
        <f>IF(ISBLANK(tbl_task9[[คะแนนเต็ม]:[คะแนนเต็ม]]),"",(tbl_task9[138]/tbl_task9[[คะแนนเต็ม]:[คะแนนเต็ม]])*tbl_task9[[%]:[%]])</f>
        <v/>
      </c>
      <c r="KW22" s="121" t="str">
        <f>IF(ISBLANK(tbl_task9[[คะแนนเต็ม]:[คะแนนเต็ม]]),"",(tbl_task9[139]/tbl_task9[[คะแนนเต็ม]:[คะแนนเต็ม]])*tbl_task9[[%]:[%]])</f>
        <v/>
      </c>
      <c r="KX22" s="121" t="str">
        <f>IF(ISBLANK(tbl_task9[[คะแนนเต็ม]:[คะแนนเต็ม]]),"",(tbl_task9[140]/tbl_task9[[คะแนนเต็ม]:[คะแนนเต็ม]])*tbl_task9[[%]:[%]])</f>
        <v/>
      </c>
      <c r="KY22" s="121" t="str">
        <f>IF(ISBLANK(tbl_task9[[คะแนนเต็ม]:[คะแนนเต็ม]]),"",(tbl_task9[141]/tbl_task9[[คะแนนเต็ม]:[คะแนนเต็ม]])*tbl_task9[[%]:[%]])</f>
        <v/>
      </c>
      <c r="KZ22" s="121" t="str">
        <f>IF(ISBLANK(tbl_task9[[คะแนนเต็ม]:[คะแนนเต็ม]]),"",(tbl_task9[142]/tbl_task9[[คะแนนเต็ม]:[คะแนนเต็ม]])*tbl_task9[[%]:[%]])</f>
        <v/>
      </c>
      <c r="LA22" s="121" t="str">
        <f>IF(ISBLANK(tbl_task9[[คะแนนเต็ม]:[คะแนนเต็ม]]),"",(tbl_task9[143]/tbl_task9[[คะแนนเต็ม]:[คะแนนเต็ม]])*tbl_task9[[%]:[%]])</f>
        <v/>
      </c>
      <c r="LB22" s="121" t="str">
        <f>IF(ISBLANK(tbl_task9[[คะแนนเต็ม]:[คะแนนเต็ม]]),"",(tbl_task9[144]/tbl_task9[[คะแนนเต็ม]:[คะแนนเต็ม]])*tbl_task9[[%]:[%]])</f>
        <v/>
      </c>
      <c r="LC22" s="121" t="str">
        <f>IF(ISBLANK(tbl_task9[[คะแนนเต็ม]:[คะแนนเต็ม]]),"",(tbl_task9[145]/tbl_task9[[คะแนนเต็ม]:[คะแนนเต็ม]])*tbl_task9[[%]:[%]])</f>
        <v/>
      </c>
      <c r="LD22" s="121" t="str">
        <f>IF(ISBLANK(tbl_task9[[คะแนนเต็ม]:[คะแนนเต็ม]]),"",(tbl_task9[146]/tbl_task9[[คะแนนเต็ม]:[คะแนนเต็ม]])*tbl_task9[[%]:[%]])</f>
        <v/>
      </c>
      <c r="LE22" s="121" t="str">
        <f>IF(ISBLANK(tbl_task9[[คะแนนเต็ม]:[คะแนนเต็ม]]),"",(tbl_task9[147]/tbl_task9[[คะแนนเต็ม]:[คะแนนเต็ม]])*tbl_task9[[%]:[%]])</f>
        <v/>
      </c>
      <c r="LF22" s="121" t="str">
        <f>IF(ISBLANK(tbl_task9[[คะแนนเต็ม]:[คะแนนเต็ม]]),"",(tbl_task9[148]/tbl_task9[[คะแนนเต็ม]:[คะแนนเต็ม]])*tbl_task9[[%]:[%]])</f>
        <v/>
      </c>
      <c r="LG22" s="121" t="str">
        <f>IF(ISBLANK(tbl_task9[[คะแนนเต็ม]:[คะแนนเต็ม]]),"",(tbl_task9[149]/tbl_task9[[คะแนนเต็ม]:[คะแนนเต็ม]])*tbl_task9[[%]:[%]])</f>
        <v/>
      </c>
      <c r="LH22" s="121" t="str">
        <f>IF(ISBLANK(tbl_task9[[คะแนนเต็ม]:[คะแนนเต็ม]]),"",(tbl_task9[150]/tbl_task9[[คะแนนเต็ม]:[คะแนนเต็ม]])*tbl_task9[[%]:[%]])</f>
        <v/>
      </c>
      <c r="LI22" s="121" t="str">
        <f>IF(ISBLANK(tbl_task9[[คะแนนเต็ม]:[คะแนนเต็ม]]),"",(tbl_task9[151]/tbl_task9[[คะแนนเต็ม]:[คะแนนเต็ม]])*tbl_task9[[%]:[%]])</f>
        <v/>
      </c>
      <c r="LJ22" s="121" t="str">
        <f>IF(ISBLANK(tbl_task9[[คะแนนเต็ม]:[คะแนนเต็ม]]),"",(tbl_task9[152]/tbl_task9[[คะแนนเต็ม]:[คะแนนเต็ม]])*tbl_task9[[%]:[%]])</f>
        <v/>
      </c>
      <c r="LK22" s="121" t="str">
        <f>IF(ISBLANK(tbl_task9[[คะแนนเต็ม]:[คะแนนเต็ม]]),"",(tbl_task9[153]/tbl_task9[[คะแนนเต็ม]:[คะแนนเต็ม]])*tbl_task9[[%]:[%]])</f>
        <v/>
      </c>
      <c r="LL22" s="121" t="str">
        <f>IF(ISBLANK(tbl_task9[[คะแนนเต็ม]:[คะแนนเต็ม]]),"",(tbl_task9[154]/tbl_task9[[คะแนนเต็ม]:[คะแนนเต็ม]])*tbl_task9[[%]:[%]])</f>
        <v/>
      </c>
      <c r="LM22" s="121" t="str">
        <f>IF(ISBLANK(tbl_task9[[คะแนนเต็ม]:[คะแนนเต็ม]]),"",(tbl_task9[155]/tbl_task9[[คะแนนเต็ม]:[คะแนนเต็ม]])*tbl_task9[[%]:[%]])</f>
        <v/>
      </c>
      <c r="LN22" s="121" t="str">
        <f>IF(ISBLANK(tbl_task9[[คะแนนเต็ม]:[คะแนนเต็ม]]),"",(tbl_task9[156]/tbl_task9[[คะแนนเต็ม]:[คะแนนเต็ม]])*tbl_task9[[%]:[%]])</f>
        <v/>
      </c>
      <c r="LO22" s="121" t="str">
        <f>IF(ISBLANK(tbl_task9[[คะแนนเต็ม]:[คะแนนเต็ม]]),"",(tbl_task9[157]/tbl_task9[[คะแนนเต็ม]:[คะแนนเต็ม]])*tbl_task9[[%]:[%]])</f>
        <v/>
      </c>
      <c r="LP22" s="121" t="str">
        <f>IF(ISBLANK(tbl_task9[[คะแนนเต็ม]:[คะแนนเต็ม]]),"",(tbl_task9[158]/tbl_task9[[คะแนนเต็ม]:[คะแนนเต็ม]])*tbl_task9[[%]:[%]])</f>
        <v/>
      </c>
      <c r="LQ22" s="121" t="str">
        <f>IF(ISBLANK(tbl_task9[[คะแนนเต็ม]:[คะแนนเต็ม]]),"",(tbl_task9[159]/tbl_task9[[คะแนนเต็ม]:[คะแนนเต็ม]])*tbl_task9[[%]:[%]])</f>
        <v/>
      </c>
      <c r="LR22" s="121" t="str">
        <f>IF(ISBLANK(tbl_task9[[คะแนนเต็ม]:[คะแนนเต็ม]]),"",(tbl_task9[160]/tbl_task9[[คะแนนเต็ม]:[คะแนนเต็ม]])*tbl_task9[[%]:[%]])</f>
        <v/>
      </c>
      <c r="LS22" s="121" t="str">
        <f>IF(ISBLANK(tbl_task9[[คะแนนเต็ม]:[คะแนนเต็ม]]),"",(tbl_task9[161]/tbl_task9[[คะแนนเต็ม]:[คะแนนเต็ม]])*tbl_task9[[%]:[%]])</f>
        <v/>
      </c>
      <c r="LT22" s="121" t="str">
        <f>IF(ISBLANK(tbl_task9[[คะแนนเต็ม]:[คะแนนเต็ม]]),"",(tbl_task9[162]/tbl_task9[[คะแนนเต็ม]:[คะแนนเต็ม]])*tbl_task9[[%]:[%]])</f>
        <v/>
      </c>
      <c r="LU22" s="121" t="str">
        <f>IF(ISBLANK(tbl_task9[[คะแนนเต็ม]:[คะแนนเต็ม]]),"",(tbl_task9[163]/tbl_task9[[คะแนนเต็ม]:[คะแนนเต็ม]])*tbl_task9[[%]:[%]])</f>
        <v/>
      </c>
      <c r="LV22" s="121" t="str">
        <f>IF(ISBLANK(tbl_task9[[คะแนนเต็ม]:[คะแนนเต็ม]]),"",(tbl_task9[164]/tbl_task9[[คะแนนเต็ม]:[คะแนนเต็ม]])*tbl_task9[[%]:[%]])</f>
        <v/>
      </c>
      <c r="LW22" s="121" t="str">
        <f>IF(ISBLANK(tbl_task9[[คะแนนเต็ม]:[คะแนนเต็ม]]),"",(tbl_task9[165]/tbl_task9[[คะแนนเต็ม]:[คะแนนเต็ม]])*tbl_task9[[%]:[%]])</f>
        <v/>
      </c>
    </row>
    <row r="23" spans="1:335" ht="24" customHeight="1" x14ac:dyDescent="0.25">
      <c r="A23" s="24">
        <v>20</v>
      </c>
      <c r="B23" s="25"/>
      <c r="C23" s="26" t="str">
        <f>IF(ISBLANK(B23),"",VLOOKUP(B23,tbl_PLOs[],2,0))</f>
        <v/>
      </c>
      <c r="D23" s="103"/>
      <c r="E23" s="10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21" t="str">
        <f>IF(ISBLANK(tbl_task9[[คะแนนเต็ม]:[คะแนนเต็ม]]),"",(tbl_task9[1]/tbl_task9[[คะแนนเต็ม]:[คะแนนเต็ม]])*tbl_task9[[%]:[%]])</f>
        <v/>
      </c>
      <c r="FP23" s="121" t="str">
        <f>IF(ISBLANK(tbl_task9[[คะแนนเต็ม]:[คะแนนเต็ม]]),"",(tbl_task9[2]/tbl_task9[[คะแนนเต็ม]:[คะแนนเต็ม]])*tbl_task9[[%]:[%]])</f>
        <v/>
      </c>
      <c r="FQ23" s="121" t="str">
        <f>IF(ISBLANK(tbl_task9[[คะแนนเต็ม]:[คะแนนเต็ม]]),"",(tbl_task9[3]/tbl_task9[[คะแนนเต็ม]:[คะแนนเต็ม]])*tbl_task9[[%]:[%]])</f>
        <v/>
      </c>
      <c r="FR23" s="121" t="str">
        <f>IF(ISBLANK(tbl_task9[[คะแนนเต็ม]:[คะแนนเต็ม]]),"",(tbl_task9[4]/tbl_task9[[คะแนนเต็ม]:[คะแนนเต็ม]])*tbl_task9[[%]:[%]])</f>
        <v/>
      </c>
      <c r="FS23" s="121" t="str">
        <f>IF(ISBLANK(tbl_task9[[คะแนนเต็ม]:[คะแนนเต็ม]]),"",(tbl_task9[5]/tbl_task9[[คะแนนเต็ม]:[คะแนนเต็ม]])*tbl_task9[[%]:[%]])</f>
        <v/>
      </c>
      <c r="FT23" s="121" t="str">
        <f>IF(ISBLANK(tbl_task9[[คะแนนเต็ม]:[คะแนนเต็ม]]),"",(tbl_task9[6]/tbl_task9[[คะแนนเต็ม]:[คะแนนเต็ม]])*tbl_task9[[%]:[%]])</f>
        <v/>
      </c>
      <c r="FU23" s="121" t="str">
        <f>IF(ISBLANK(tbl_task9[[คะแนนเต็ม]:[คะแนนเต็ม]]),"",(tbl_task9[7]/tbl_task9[[คะแนนเต็ม]:[คะแนนเต็ม]])*tbl_task9[[%]:[%]])</f>
        <v/>
      </c>
      <c r="FV23" s="121" t="str">
        <f>IF(ISBLANK(tbl_task9[[คะแนนเต็ม]:[คะแนนเต็ม]]),"",(tbl_task9[8]/tbl_task9[[คะแนนเต็ม]:[คะแนนเต็ม]])*tbl_task9[[%]:[%]])</f>
        <v/>
      </c>
      <c r="FW23" s="121" t="str">
        <f>IF(ISBLANK(tbl_task9[[คะแนนเต็ม]:[คะแนนเต็ม]]),"",(tbl_task9[9]/tbl_task9[[คะแนนเต็ม]:[คะแนนเต็ม]])*tbl_task9[[%]:[%]])</f>
        <v/>
      </c>
      <c r="FX23" s="121" t="str">
        <f>IF(ISBLANK(tbl_task9[[คะแนนเต็ม]:[คะแนนเต็ม]]),"",(tbl_task9[10]/tbl_task9[[คะแนนเต็ม]:[คะแนนเต็ม]])*tbl_task9[[%]:[%]])</f>
        <v/>
      </c>
      <c r="FY23" s="121" t="str">
        <f>IF(ISBLANK(tbl_task9[[คะแนนเต็ม]:[คะแนนเต็ม]]),"",(tbl_task9[11]/tbl_task9[[คะแนนเต็ม]:[คะแนนเต็ม]])*tbl_task9[[%]:[%]])</f>
        <v/>
      </c>
      <c r="FZ23" s="121" t="str">
        <f>IF(ISBLANK(tbl_task9[[คะแนนเต็ม]:[คะแนนเต็ม]]),"",(tbl_task9[12]/tbl_task9[[คะแนนเต็ม]:[คะแนนเต็ม]])*tbl_task9[[%]:[%]])</f>
        <v/>
      </c>
      <c r="GA23" s="121" t="str">
        <f>IF(ISBLANK(tbl_task9[[คะแนนเต็ม]:[คะแนนเต็ม]]),"",(tbl_task9[13]/tbl_task9[[คะแนนเต็ม]:[คะแนนเต็ม]])*tbl_task9[[%]:[%]])</f>
        <v/>
      </c>
      <c r="GB23" s="121" t="str">
        <f>IF(ISBLANK(tbl_task9[[คะแนนเต็ม]:[คะแนนเต็ม]]),"",(tbl_task9[14]/tbl_task9[[คะแนนเต็ม]:[คะแนนเต็ม]])*tbl_task9[[%]:[%]])</f>
        <v/>
      </c>
      <c r="GC23" s="121" t="str">
        <f>IF(ISBLANK(tbl_task9[[คะแนนเต็ม]:[คะแนนเต็ม]]),"",(tbl_task9[15]/tbl_task9[[คะแนนเต็ม]:[คะแนนเต็ม]])*tbl_task9[[%]:[%]])</f>
        <v/>
      </c>
      <c r="GD23" s="121" t="str">
        <f>IF(ISBLANK(tbl_task9[[คะแนนเต็ม]:[คะแนนเต็ม]]),"",(tbl_task9[16]/tbl_task9[[คะแนนเต็ม]:[คะแนนเต็ม]])*tbl_task9[[%]:[%]])</f>
        <v/>
      </c>
      <c r="GE23" s="121" t="str">
        <f>IF(ISBLANK(tbl_task9[[คะแนนเต็ม]:[คะแนนเต็ม]]),"",(tbl_task9[17]/tbl_task9[[คะแนนเต็ม]:[คะแนนเต็ม]])*tbl_task9[[%]:[%]])</f>
        <v/>
      </c>
      <c r="GF23" s="121" t="str">
        <f>IF(ISBLANK(tbl_task9[[คะแนนเต็ม]:[คะแนนเต็ม]]),"",(tbl_task9[18]/tbl_task9[[คะแนนเต็ม]:[คะแนนเต็ม]])*tbl_task9[[%]:[%]])</f>
        <v/>
      </c>
      <c r="GG23" s="121" t="str">
        <f>IF(ISBLANK(tbl_task9[[คะแนนเต็ม]:[คะแนนเต็ม]]),"",(tbl_task9[19]/tbl_task9[[คะแนนเต็ม]:[คะแนนเต็ม]])*tbl_task9[[%]:[%]])</f>
        <v/>
      </c>
      <c r="GH23" s="121" t="str">
        <f>IF(ISBLANK(tbl_task9[[คะแนนเต็ม]:[คะแนนเต็ม]]),"",(tbl_task9[20]/tbl_task9[[คะแนนเต็ม]:[คะแนนเต็ม]])*tbl_task9[[%]:[%]])</f>
        <v/>
      </c>
      <c r="GI23" s="121" t="str">
        <f>IF(ISBLANK(tbl_task9[[คะแนนเต็ม]:[คะแนนเต็ม]]),"",(tbl_task9[21]/tbl_task9[[คะแนนเต็ม]:[คะแนนเต็ม]])*tbl_task9[[%]:[%]])</f>
        <v/>
      </c>
      <c r="GJ23" s="121" t="str">
        <f>IF(ISBLANK(tbl_task9[[คะแนนเต็ม]:[คะแนนเต็ม]]),"",(tbl_task9[22]/tbl_task9[[คะแนนเต็ม]:[คะแนนเต็ม]])*tbl_task9[[%]:[%]])</f>
        <v/>
      </c>
      <c r="GK23" s="121" t="str">
        <f>IF(ISBLANK(tbl_task9[[คะแนนเต็ม]:[คะแนนเต็ม]]),"",(tbl_task9[23]/tbl_task9[[คะแนนเต็ม]:[คะแนนเต็ม]])*tbl_task9[[%]:[%]])</f>
        <v/>
      </c>
      <c r="GL23" s="121" t="str">
        <f>IF(ISBLANK(tbl_task9[[คะแนนเต็ม]:[คะแนนเต็ม]]),"",(tbl_task9[24]/tbl_task9[[คะแนนเต็ม]:[คะแนนเต็ม]])*tbl_task9[[%]:[%]])</f>
        <v/>
      </c>
      <c r="GM23" s="121" t="str">
        <f>IF(ISBLANK(tbl_task9[[คะแนนเต็ม]:[คะแนนเต็ม]]),"",(tbl_task9[25]/tbl_task9[[คะแนนเต็ม]:[คะแนนเต็ม]])*tbl_task9[[%]:[%]])</f>
        <v/>
      </c>
      <c r="GN23" s="121" t="str">
        <f>IF(ISBLANK(tbl_task9[[คะแนนเต็ม]:[คะแนนเต็ม]]),"",(tbl_task9[26]/tbl_task9[[คะแนนเต็ม]:[คะแนนเต็ม]])*tbl_task9[[%]:[%]])</f>
        <v/>
      </c>
      <c r="GO23" s="121" t="str">
        <f>IF(ISBLANK(tbl_task9[[คะแนนเต็ม]:[คะแนนเต็ม]]),"",(tbl_task9[27]/tbl_task9[[คะแนนเต็ม]:[คะแนนเต็ม]])*tbl_task9[[%]:[%]])</f>
        <v/>
      </c>
      <c r="GP23" s="121" t="str">
        <f>IF(ISBLANK(tbl_task9[[คะแนนเต็ม]:[คะแนนเต็ม]]),"",(tbl_task9[28]/tbl_task9[[คะแนนเต็ม]:[คะแนนเต็ม]])*tbl_task9[[%]:[%]])</f>
        <v/>
      </c>
      <c r="GQ23" s="121" t="str">
        <f>IF(ISBLANK(tbl_task9[[คะแนนเต็ม]:[คะแนนเต็ม]]),"",(tbl_task9[29]/tbl_task9[[คะแนนเต็ม]:[คะแนนเต็ม]])*tbl_task9[[%]:[%]])</f>
        <v/>
      </c>
      <c r="GR23" s="121" t="str">
        <f>IF(ISBLANK(tbl_task9[[คะแนนเต็ม]:[คะแนนเต็ม]]),"",(tbl_task9[30]/tbl_task9[[คะแนนเต็ม]:[คะแนนเต็ม]])*tbl_task9[[%]:[%]])</f>
        <v/>
      </c>
      <c r="GS23" s="121" t="str">
        <f>IF(ISBLANK(tbl_task9[[คะแนนเต็ม]:[คะแนนเต็ม]]),"",(tbl_task9[31]/tbl_task9[[คะแนนเต็ม]:[คะแนนเต็ม]])*tbl_task9[[%]:[%]])</f>
        <v/>
      </c>
      <c r="GT23" s="121" t="str">
        <f>IF(ISBLANK(tbl_task9[[คะแนนเต็ม]:[คะแนนเต็ม]]),"",(tbl_task9[32]/tbl_task9[[คะแนนเต็ม]:[คะแนนเต็ม]])*tbl_task9[[%]:[%]])</f>
        <v/>
      </c>
      <c r="GU23" s="121" t="str">
        <f>IF(ISBLANK(tbl_task9[[คะแนนเต็ม]:[คะแนนเต็ม]]),"",(tbl_task9[33]/tbl_task9[[คะแนนเต็ม]:[คะแนนเต็ม]])*tbl_task9[[%]:[%]])</f>
        <v/>
      </c>
      <c r="GV23" s="121" t="str">
        <f>IF(ISBLANK(tbl_task9[[คะแนนเต็ม]:[คะแนนเต็ม]]),"",(tbl_task9[34]/tbl_task9[[คะแนนเต็ม]:[คะแนนเต็ม]])*tbl_task9[[%]:[%]])</f>
        <v/>
      </c>
      <c r="GW23" s="121" t="str">
        <f>IF(ISBLANK(tbl_task9[[คะแนนเต็ม]:[คะแนนเต็ม]]),"",(tbl_task9[35]/tbl_task9[[คะแนนเต็ม]:[คะแนนเต็ม]])*tbl_task9[[%]:[%]])</f>
        <v/>
      </c>
      <c r="GX23" s="121" t="str">
        <f>IF(ISBLANK(tbl_task9[[คะแนนเต็ม]:[คะแนนเต็ม]]),"",(tbl_task9[36]/tbl_task9[[คะแนนเต็ม]:[คะแนนเต็ม]])*tbl_task9[[%]:[%]])</f>
        <v/>
      </c>
      <c r="GY23" s="121" t="str">
        <f>IF(ISBLANK(tbl_task9[[คะแนนเต็ม]:[คะแนนเต็ม]]),"",(tbl_task9[37]/tbl_task9[[คะแนนเต็ม]:[คะแนนเต็ม]])*tbl_task9[[%]:[%]])</f>
        <v/>
      </c>
      <c r="GZ23" s="121" t="str">
        <f>IF(ISBLANK(tbl_task9[[คะแนนเต็ม]:[คะแนนเต็ม]]),"",(tbl_task9[38]/tbl_task9[[คะแนนเต็ม]:[คะแนนเต็ม]])*tbl_task9[[%]:[%]])</f>
        <v/>
      </c>
      <c r="HA23" s="121" t="str">
        <f>IF(ISBLANK(tbl_task9[[คะแนนเต็ม]:[คะแนนเต็ม]]),"",(tbl_task9[39]/tbl_task9[[คะแนนเต็ม]:[คะแนนเต็ม]])*tbl_task9[[%]:[%]])</f>
        <v/>
      </c>
      <c r="HB23" s="121" t="str">
        <f>IF(ISBLANK(tbl_task9[[คะแนนเต็ม]:[คะแนนเต็ม]]),"",(tbl_task9[40]/tbl_task9[[คะแนนเต็ม]:[คะแนนเต็ม]])*tbl_task9[[%]:[%]])</f>
        <v/>
      </c>
      <c r="HC23" s="121" t="str">
        <f>IF(ISBLANK(tbl_task9[[คะแนนเต็ม]:[คะแนนเต็ม]]),"",(tbl_task9[41]/tbl_task9[[คะแนนเต็ม]:[คะแนนเต็ม]])*tbl_task9[[%]:[%]])</f>
        <v/>
      </c>
      <c r="HD23" s="121" t="str">
        <f>IF(ISBLANK(tbl_task9[[คะแนนเต็ม]:[คะแนนเต็ม]]),"",(tbl_task9[42]/tbl_task9[[คะแนนเต็ม]:[คะแนนเต็ม]])*tbl_task9[[%]:[%]])</f>
        <v/>
      </c>
      <c r="HE23" s="121" t="str">
        <f>IF(ISBLANK(tbl_task9[[คะแนนเต็ม]:[คะแนนเต็ม]]),"",(tbl_task9[43]/tbl_task9[[คะแนนเต็ม]:[คะแนนเต็ม]])*tbl_task9[[%]:[%]])</f>
        <v/>
      </c>
      <c r="HF23" s="121" t="str">
        <f>IF(ISBLANK(tbl_task9[[คะแนนเต็ม]:[คะแนนเต็ม]]),"",(tbl_task9[44]/tbl_task9[[คะแนนเต็ม]:[คะแนนเต็ม]])*tbl_task9[[%]:[%]])</f>
        <v/>
      </c>
      <c r="HG23" s="121" t="str">
        <f>IF(ISBLANK(tbl_task9[[คะแนนเต็ม]:[คะแนนเต็ม]]),"",(tbl_task9[45]/tbl_task9[[คะแนนเต็ม]:[คะแนนเต็ม]])*tbl_task9[[%]:[%]])</f>
        <v/>
      </c>
      <c r="HH23" s="121" t="str">
        <f>IF(ISBLANK(tbl_task9[[คะแนนเต็ม]:[คะแนนเต็ม]]),"",(tbl_task9[46]/tbl_task9[[คะแนนเต็ม]:[คะแนนเต็ม]])*tbl_task9[[%]:[%]])</f>
        <v/>
      </c>
      <c r="HI23" s="121" t="str">
        <f>IF(ISBLANK(tbl_task9[[คะแนนเต็ม]:[คะแนนเต็ม]]),"",(tbl_task9[47]/tbl_task9[[คะแนนเต็ม]:[คะแนนเต็ม]])*tbl_task9[[%]:[%]])</f>
        <v/>
      </c>
      <c r="HJ23" s="121" t="str">
        <f>IF(ISBLANK(tbl_task9[[คะแนนเต็ม]:[คะแนนเต็ม]]),"",(tbl_task9[48]/tbl_task9[[คะแนนเต็ม]:[คะแนนเต็ม]])*tbl_task9[[%]:[%]])</f>
        <v/>
      </c>
      <c r="HK23" s="121" t="str">
        <f>IF(ISBLANK(tbl_task9[[คะแนนเต็ม]:[คะแนนเต็ม]]),"",(tbl_task9[49]/tbl_task9[[คะแนนเต็ม]:[คะแนนเต็ม]])*tbl_task9[[%]:[%]])</f>
        <v/>
      </c>
      <c r="HL23" s="121" t="str">
        <f>IF(ISBLANK(tbl_task9[[คะแนนเต็ม]:[คะแนนเต็ม]]),"",(tbl_task9[50]/tbl_task9[[คะแนนเต็ม]:[คะแนนเต็ม]])*tbl_task9[[%]:[%]])</f>
        <v/>
      </c>
      <c r="HM23" s="121" t="str">
        <f>IF(ISBLANK(tbl_task9[[คะแนนเต็ม]:[คะแนนเต็ม]]),"",(tbl_task9[51]/tbl_task9[[คะแนนเต็ม]:[คะแนนเต็ม]])*tbl_task9[[%]:[%]])</f>
        <v/>
      </c>
      <c r="HN23" s="121" t="str">
        <f>IF(ISBLANK(tbl_task9[[คะแนนเต็ม]:[คะแนนเต็ม]]),"",(tbl_task9[52]/tbl_task9[[คะแนนเต็ม]:[คะแนนเต็ม]])*tbl_task9[[%]:[%]])</f>
        <v/>
      </c>
      <c r="HO23" s="121" t="str">
        <f>IF(ISBLANK(tbl_task9[[คะแนนเต็ม]:[คะแนนเต็ม]]),"",(tbl_task9[53]/tbl_task9[[คะแนนเต็ม]:[คะแนนเต็ม]])*tbl_task9[[%]:[%]])</f>
        <v/>
      </c>
      <c r="HP23" s="121" t="str">
        <f>IF(ISBLANK(tbl_task9[[คะแนนเต็ม]:[คะแนนเต็ม]]),"",(tbl_task9[54]/tbl_task9[[คะแนนเต็ม]:[คะแนนเต็ม]])*tbl_task9[[%]:[%]])</f>
        <v/>
      </c>
      <c r="HQ23" s="121" t="str">
        <f>IF(ISBLANK(tbl_task9[[คะแนนเต็ม]:[คะแนนเต็ม]]),"",(tbl_task9[55]/tbl_task9[[คะแนนเต็ม]:[คะแนนเต็ม]])*tbl_task9[[%]:[%]])</f>
        <v/>
      </c>
      <c r="HR23" s="121" t="str">
        <f>IF(ISBLANK(tbl_task9[[คะแนนเต็ม]:[คะแนนเต็ม]]),"",(tbl_task9[56]/tbl_task9[[คะแนนเต็ม]:[คะแนนเต็ม]])*tbl_task9[[%]:[%]])</f>
        <v/>
      </c>
      <c r="HS23" s="121" t="str">
        <f>IF(ISBLANK(tbl_task9[[คะแนนเต็ม]:[คะแนนเต็ม]]),"",(tbl_task9[57]/tbl_task9[[คะแนนเต็ม]:[คะแนนเต็ม]])*tbl_task9[[%]:[%]])</f>
        <v/>
      </c>
      <c r="HT23" s="121" t="str">
        <f>IF(ISBLANK(tbl_task9[[คะแนนเต็ม]:[คะแนนเต็ม]]),"",(tbl_task9[58]/tbl_task9[[คะแนนเต็ม]:[คะแนนเต็ม]])*tbl_task9[[%]:[%]])</f>
        <v/>
      </c>
      <c r="HU23" s="121" t="str">
        <f>IF(ISBLANK(tbl_task9[[คะแนนเต็ม]:[คะแนนเต็ม]]),"",(tbl_task9[59]/tbl_task9[[คะแนนเต็ม]:[คะแนนเต็ม]])*tbl_task9[[%]:[%]])</f>
        <v/>
      </c>
      <c r="HV23" s="121" t="str">
        <f>IF(ISBLANK(tbl_task9[[คะแนนเต็ม]:[คะแนนเต็ม]]),"",(tbl_task9[60]/tbl_task9[[คะแนนเต็ม]:[คะแนนเต็ม]])*tbl_task9[[%]:[%]])</f>
        <v/>
      </c>
      <c r="HW23" s="121" t="str">
        <f>IF(ISBLANK(tbl_task9[[คะแนนเต็ม]:[คะแนนเต็ม]]),"",(tbl_task9[61]/tbl_task9[[คะแนนเต็ม]:[คะแนนเต็ม]])*tbl_task9[[%]:[%]])</f>
        <v/>
      </c>
      <c r="HX23" s="121" t="str">
        <f>IF(ISBLANK(tbl_task9[[คะแนนเต็ม]:[คะแนนเต็ม]]),"",(tbl_task9[62]/tbl_task9[[คะแนนเต็ม]:[คะแนนเต็ม]])*tbl_task9[[%]:[%]])</f>
        <v/>
      </c>
      <c r="HY23" s="121" t="str">
        <f>IF(ISBLANK(tbl_task9[[คะแนนเต็ม]:[คะแนนเต็ม]]),"",(tbl_task9[63]/tbl_task9[[คะแนนเต็ม]:[คะแนนเต็ม]])*tbl_task9[[%]:[%]])</f>
        <v/>
      </c>
      <c r="HZ23" s="121" t="str">
        <f>IF(ISBLANK(tbl_task9[[คะแนนเต็ม]:[คะแนนเต็ม]]),"",(tbl_task9[64]/tbl_task9[[คะแนนเต็ม]:[คะแนนเต็ม]])*tbl_task9[[%]:[%]])</f>
        <v/>
      </c>
      <c r="IA23" s="121" t="str">
        <f>IF(ISBLANK(tbl_task9[[คะแนนเต็ม]:[คะแนนเต็ม]]),"",(tbl_task9[65]/tbl_task9[[คะแนนเต็ม]:[คะแนนเต็ม]])*tbl_task9[[%]:[%]])</f>
        <v/>
      </c>
      <c r="IB23" s="121" t="str">
        <f>IF(ISBLANK(tbl_task9[[คะแนนเต็ม]:[คะแนนเต็ม]]),"",(tbl_task9[66]/tbl_task9[[คะแนนเต็ม]:[คะแนนเต็ม]])*tbl_task9[[%]:[%]])</f>
        <v/>
      </c>
      <c r="IC23" s="121" t="str">
        <f>IF(ISBLANK(tbl_task9[[คะแนนเต็ม]:[คะแนนเต็ม]]),"",(tbl_task9[67]/tbl_task9[[คะแนนเต็ม]:[คะแนนเต็ม]])*tbl_task9[[%]:[%]])</f>
        <v/>
      </c>
      <c r="ID23" s="121" t="str">
        <f>IF(ISBLANK(tbl_task9[[คะแนนเต็ม]:[คะแนนเต็ม]]),"",(tbl_task9[68]/tbl_task9[[คะแนนเต็ม]:[คะแนนเต็ม]])*tbl_task9[[%]:[%]])</f>
        <v/>
      </c>
      <c r="IE23" s="121" t="str">
        <f>IF(ISBLANK(tbl_task9[[คะแนนเต็ม]:[คะแนนเต็ม]]),"",(tbl_task9[69]/tbl_task9[[คะแนนเต็ม]:[คะแนนเต็ม]])*tbl_task9[[%]:[%]])</f>
        <v/>
      </c>
      <c r="IF23" s="121" t="str">
        <f>IF(ISBLANK(tbl_task9[[คะแนนเต็ม]:[คะแนนเต็ม]]),"",(tbl_task9[70]/tbl_task9[[คะแนนเต็ม]:[คะแนนเต็ม]])*tbl_task9[[%]:[%]])</f>
        <v/>
      </c>
      <c r="IG23" s="121" t="str">
        <f>IF(ISBLANK(tbl_task9[[คะแนนเต็ม]:[คะแนนเต็ม]]),"",(tbl_task9[71]/tbl_task9[[คะแนนเต็ม]:[คะแนนเต็ม]])*tbl_task9[[%]:[%]])</f>
        <v/>
      </c>
      <c r="IH23" s="121" t="str">
        <f>IF(ISBLANK(tbl_task9[[คะแนนเต็ม]:[คะแนนเต็ม]]),"",(tbl_task9[72]/tbl_task9[[คะแนนเต็ม]:[คะแนนเต็ม]])*tbl_task9[[%]:[%]])</f>
        <v/>
      </c>
      <c r="II23" s="121" t="str">
        <f>IF(ISBLANK(tbl_task9[[คะแนนเต็ม]:[คะแนนเต็ม]]),"",(tbl_task9[73]/tbl_task9[[คะแนนเต็ม]:[คะแนนเต็ม]])*tbl_task9[[%]:[%]])</f>
        <v/>
      </c>
      <c r="IJ23" s="121" t="str">
        <f>IF(ISBLANK(tbl_task9[[คะแนนเต็ม]:[คะแนนเต็ม]]),"",(tbl_task9[74]/tbl_task9[[คะแนนเต็ม]:[คะแนนเต็ม]])*tbl_task9[[%]:[%]])</f>
        <v/>
      </c>
      <c r="IK23" s="121" t="str">
        <f>IF(ISBLANK(tbl_task9[[คะแนนเต็ม]:[คะแนนเต็ม]]),"",(tbl_task9[75]/tbl_task9[[คะแนนเต็ม]:[คะแนนเต็ม]])*tbl_task9[[%]:[%]])</f>
        <v/>
      </c>
      <c r="IL23" s="121" t="str">
        <f>IF(ISBLANK(tbl_task9[[คะแนนเต็ม]:[คะแนนเต็ม]]),"",(tbl_task9[76]/tbl_task9[[คะแนนเต็ม]:[คะแนนเต็ม]])*tbl_task9[[%]:[%]])</f>
        <v/>
      </c>
      <c r="IM23" s="121" t="str">
        <f>IF(ISBLANK(tbl_task9[[คะแนนเต็ม]:[คะแนนเต็ม]]),"",(tbl_task9[77]/tbl_task9[[คะแนนเต็ม]:[คะแนนเต็ม]])*tbl_task9[[%]:[%]])</f>
        <v/>
      </c>
      <c r="IN23" s="121" t="str">
        <f>IF(ISBLANK(tbl_task9[[คะแนนเต็ม]:[คะแนนเต็ม]]),"",(tbl_task9[78]/tbl_task9[[คะแนนเต็ม]:[คะแนนเต็ม]])*tbl_task9[[%]:[%]])</f>
        <v/>
      </c>
      <c r="IO23" s="121" t="str">
        <f>IF(ISBLANK(tbl_task9[[คะแนนเต็ม]:[คะแนนเต็ม]]),"",(tbl_task9[79]/tbl_task9[[คะแนนเต็ม]:[คะแนนเต็ม]])*tbl_task9[[%]:[%]])</f>
        <v/>
      </c>
      <c r="IP23" s="121" t="str">
        <f>IF(ISBLANK(tbl_task9[[คะแนนเต็ม]:[คะแนนเต็ม]]),"",(tbl_task9[80]/tbl_task9[[คะแนนเต็ม]:[คะแนนเต็ม]])*tbl_task9[[%]:[%]])</f>
        <v/>
      </c>
      <c r="IQ23" s="121" t="str">
        <f>IF(ISBLANK(tbl_task9[[คะแนนเต็ม]:[คะแนนเต็ม]]),"",(tbl_task9[81]/tbl_task9[[คะแนนเต็ม]:[คะแนนเต็ม]])*tbl_task9[[%]:[%]])</f>
        <v/>
      </c>
      <c r="IR23" s="121" t="str">
        <f>IF(ISBLANK(tbl_task9[[คะแนนเต็ม]:[คะแนนเต็ม]]),"",(tbl_task9[82]/tbl_task9[[คะแนนเต็ม]:[คะแนนเต็ม]])*tbl_task9[[%]:[%]])</f>
        <v/>
      </c>
      <c r="IS23" s="121" t="str">
        <f>IF(ISBLANK(tbl_task9[[คะแนนเต็ม]:[คะแนนเต็ม]]),"",(tbl_task9[83]/tbl_task9[[คะแนนเต็ม]:[คะแนนเต็ม]])*tbl_task9[[%]:[%]])</f>
        <v/>
      </c>
      <c r="IT23" s="121" t="str">
        <f>IF(ISBLANK(tbl_task9[[คะแนนเต็ม]:[คะแนนเต็ม]]),"",(tbl_task9[84]/tbl_task9[[คะแนนเต็ม]:[คะแนนเต็ม]])*tbl_task9[[%]:[%]])</f>
        <v/>
      </c>
      <c r="IU23" s="121" t="str">
        <f>IF(ISBLANK(tbl_task9[[คะแนนเต็ม]:[คะแนนเต็ม]]),"",(tbl_task9[85]/tbl_task9[[คะแนนเต็ม]:[คะแนนเต็ม]])*tbl_task9[[%]:[%]])</f>
        <v/>
      </c>
      <c r="IV23" s="121" t="str">
        <f>IF(ISBLANK(tbl_task9[[คะแนนเต็ม]:[คะแนนเต็ม]]),"",(tbl_task9[86]/tbl_task9[[คะแนนเต็ม]:[คะแนนเต็ม]])*tbl_task9[[%]:[%]])</f>
        <v/>
      </c>
      <c r="IW23" s="121" t="str">
        <f>IF(ISBLANK(tbl_task9[[คะแนนเต็ม]:[คะแนนเต็ม]]),"",(tbl_task9[87]/tbl_task9[[คะแนนเต็ม]:[คะแนนเต็ม]])*tbl_task9[[%]:[%]])</f>
        <v/>
      </c>
      <c r="IX23" s="121" t="str">
        <f>IF(ISBLANK(tbl_task9[[คะแนนเต็ม]:[คะแนนเต็ม]]),"",(tbl_task9[88]/tbl_task9[[คะแนนเต็ม]:[คะแนนเต็ม]])*tbl_task9[[%]:[%]])</f>
        <v/>
      </c>
      <c r="IY23" s="121" t="str">
        <f>IF(ISBLANK(tbl_task9[[คะแนนเต็ม]:[คะแนนเต็ม]]),"",(tbl_task9[89]/tbl_task9[[คะแนนเต็ม]:[คะแนนเต็ม]])*tbl_task9[[%]:[%]])</f>
        <v/>
      </c>
      <c r="IZ23" s="121" t="str">
        <f>IF(ISBLANK(tbl_task9[[คะแนนเต็ม]:[คะแนนเต็ม]]),"",(tbl_task9[90]/tbl_task9[[คะแนนเต็ม]:[คะแนนเต็ม]])*tbl_task9[[%]:[%]])</f>
        <v/>
      </c>
      <c r="JA23" s="121" t="str">
        <f>IF(ISBLANK(tbl_task9[[คะแนนเต็ม]:[คะแนนเต็ม]]),"",(tbl_task9[91]/tbl_task9[[คะแนนเต็ม]:[คะแนนเต็ม]])*tbl_task9[[%]:[%]])</f>
        <v/>
      </c>
      <c r="JB23" s="121" t="str">
        <f>IF(ISBLANK(tbl_task9[[คะแนนเต็ม]:[คะแนนเต็ม]]),"",(tbl_task9[92]/tbl_task9[[คะแนนเต็ม]:[คะแนนเต็ม]])*tbl_task9[[%]:[%]])</f>
        <v/>
      </c>
      <c r="JC23" s="121" t="str">
        <f>IF(ISBLANK(tbl_task9[[คะแนนเต็ม]:[คะแนนเต็ม]]),"",(tbl_task9[93]/tbl_task9[[คะแนนเต็ม]:[คะแนนเต็ม]])*tbl_task9[[%]:[%]])</f>
        <v/>
      </c>
      <c r="JD23" s="121" t="str">
        <f>IF(ISBLANK(tbl_task9[[คะแนนเต็ม]:[คะแนนเต็ม]]),"",(tbl_task9[94]/tbl_task9[[คะแนนเต็ม]:[คะแนนเต็ม]])*tbl_task9[[%]:[%]])</f>
        <v/>
      </c>
      <c r="JE23" s="121" t="str">
        <f>IF(ISBLANK(tbl_task9[[คะแนนเต็ม]:[คะแนนเต็ม]]),"",(tbl_task9[95]/tbl_task9[[คะแนนเต็ม]:[คะแนนเต็ม]])*tbl_task9[[%]:[%]])</f>
        <v/>
      </c>
      <c r="JF23" s="121" t="str">
        <f>IF(ISBLANK(tbl_task9[[คะแนนเต็ม]:[คะแนนเต็ม]]),"",(tbl_task9[96]/tbl_task9[[คะแนนเต็ม]:[คะแนนเต็ม]])*tbl_task9[[%]:[%]])</f>
        <v/>
      </c>
      <c r="JG23" s="121" t="str">
        <f>IF(ISBLANK(tbl_task9[[คะแนนเต็ม]:[คะแนนเต็ม]]),"",(tbl_task9[97]/tbl_task9[[คะแนนเต็ม]:[คะแนนเต็ม]])*tbl_task9[[%]:[%]])</f>
        <v/>
      </c>
      <c r="JH23" s="121" t="str">
        <f>IF(ISBLANK(tbl_task9[[คะแนนเต็ม]:[คะแนนเต็ม]]),"",(tbl_task9[98]/tbl_task9[[คะแนนเต็ม]:[คะแนนเต็ม]])*tbl_task9[[%]:[%]])</f>
        <v/>
      </c>
      <c r="JI23" s="121" t="str">
        <f>IF(ISBLANK(tbl_task9[[คะแนนเต็ม]:[คะแนนเต็ม]]),"",(tbl_task9[99]/tbl_task9[[คะแนนเต็ม]:[คะแนนเต็ม]])*tbl_task9[[%]:[%]])</f>
        <v/>
      </c>
      <c r="JJ23" s="121" t="str">
        <f>IF(ISBLANK(tbl_task9[[คะแนนเต็ม]:[คะแนนเต็ม]]),"",(tbl_task9[100]/tbl_task9[[คะแนนเต็ม]:[คะแนนเต็ม]])*tbl_task9[[%]:[%]])</f>
        <v/>
      </c>
      <c r="JK23" s="121" t="str">
        <f>IF(ISBLANK(tbl_task9[[คะแนนเต็ม]:[คะแนนเต็ม]]),"",(tbl_task9[101]/tbl_task9[[คะแนนเต็ม]:[คะแนนเต็ม]])*tbl_task9[[%]:[%]])</f>
        <v/>
      </c>
      <c r="JL23" s="121" t="str">
        <f>IF(ISBLANK(tbl_task9[[คะแนนเต็ม]:[คะแนนเต็ม]]),"",(tbl_task9[102]/tbl_task9[[คะแนนเต็ม]:[คะแนนเต็ม]])*tbl_task9[[%]:[%]])</f>
        <v/>
      </c>
      <c r="JM23" s="121" t="str">
        <f>IF(ISBLANK(tbl_task9[[คะแนนเต็ม]:[คะแนนเต็ม]]),"",(tbl_task9[103]/tbl_task9[[คะแนนเต็ม]:[คะแนนเต็ม]])*tbl_task9[[%]:[%]])</f>
        <v/>
      </c>
      <c r="JN23" s="121" t="str">
        <f>IF(ISBLANK(tbl_task9[[คะแนนเต็ม]:[คะแนนเต็ม]]),"",(tbl_task9[104]/tbl_task9[[คะแนนเต็ม]:[คะแนนเต็ม]])*tbl_task9[[%]:[%]])</f>
        <v/>
      </c>
      <c r="JO23" s="121" t="str">
        <f>IF(ISBLANK(tbl_task9[[คะแนนเต็ม]:[คะแนนเต็ม]]),"",(tbl_task9[105]/tbl_task9[[คะแนนเต็ม]:[คะแนนเต็ม]])*tbl_task9[[%]:[%]])</f>
        <v/>
      </c>
      <c r="JP23" s="121" t="str">
        <f>IF(ISBLANK(tbl_task9[[คะแนนเต็ม]:[คะแนนเต็ม]]),"",(tbl_task9[106]/tbl_task9[[คะแนนเต็ม]:[คะแนนเต็ม]])*tbl_task9[[%]:[%]])</f>
        <v/>
      </c>
      <c r="JQ23" s="121" t="str">
        <f>IF(ISBLANK(tbl_task9[[คะแนนเต็ม]:[คะแนนเต็ม]]),"",(tbl_task9[107]/tbl_task9[[คะแนนเต็ม]:[คะแนนเต็ม]])*tbl_task9[[%]:[%]])</f>
        <v/>
      </c>
      <c r="JR23" s="121" t="str">
        <f>IF(ISBLANK(tbl_task9[[คะแนนเต็ม]:[คะแนนเต็ม]]),"",(tbl_task9[108]/tbl_task9[[คะแนนเต็ม]:[คะแนนเต็ม]])*tbl_task9[[%]:[%]])</f>
        <v/>
      </c>
      <c r="JS23" s="121" t="str">
        <f>IF(ISBLANK(tbl_task9[[คะแนนเต็ม]:[คะแนนเต็ม]]),"",(tbl_task9[109]/tbl_task9[[คะแนนเต็ม]:[คะแนนเต็ม]])*tbl_task9[[%]:[%]])</f>
        <v/>
      </c>
      <c r="JT23" s="121" t="str">
        <f>IF(ISBLANK(tbl_task9[[คะแนนเต็ม]:[คะแนนเต็ม]]),"",(tbl_task9[110]/tbl_task9[[คะแนนเต็ม]:[คะแนนเต็ม]])*tbl_task9[[%]:[%]])</f>
        <v/>
      </c>
      <c r="JU23" s="121" t="str">
        <f>IF(ISBLANK(tbl_task9[[คะแนนเต็ม]:[คะแนนเต็ม]]),"",(tbl_task9[111]/tbl_task9[[คะแนนเต็ม]:[คะแนนเต็ม]])*tbl_task9[[%]:[%]])</f>
        <v/>
      </c>
      <c r="JV23" s="121" t="str">
        <f>IF(ISBLANK(tbl_task9[[คะแนนเต็ม]:[คะแนนเต็ม]]),"",(tbl_task9[112]/tbl_task9[[คะแนนเต็ม]:[คะแนนเต็ม]])*tbl_task9[[%]:[%]])</f>
        <v/>
      </c>
      <c r="JW23" s="121" t="str">
        <f>IF(ISBLANK(tbl_task9[[คะแนนเต็ม]:[คะแนนเต็ม]]),"",(tbl_task9[113]/tbl_task9[[คะแนนเต็ม]:[คะแนนเต็ม]])*tbl_task9[[%]:[%]])</f>
        <v/>
      </c>
      <c r="JX23" s="121" t="str">
        <f>IF(ISBLANK(tbl_task9[[คะแนนเต็ม]:[คะแนนเต็ม]]),"",(tbl_task9[114]/tbl_task9[[คะแนนเต็ม]:[คะแนนเต็ม]])*tbl_task9[[%]:[%]])</f>
        <v/>
      </c>
      <c r="JY23" s="121" t="str">
        <f>IF(ISBLANK(tbl_task9[[คะแนนเต็ม]:[คะแนนเต็ม]]),"",(tbl_task9[115]/tbl_task9[[คะแนนเต็ม]:[คะแนนเต็ม]])*tbl_task9[[%]:[%]])</f>
        <v/>
      </c>
      <c r="JZ23" s="121" t="str">
        <f>IF(ISBLANK(tbl_task9[[คะแนนเต็ม]:[คะแนนเต็ม]]),"",(tbl_task9[116]/tbl_task9[[คะแนนเต็ม]:[คะแนนเต็ม]])*tbl_task9[[%]:[%]])</f>
        <v/>
      </c>
      <c r="KA23" s="121" t="str">
        <f>IF(ISBLANK(tbl_task9[[คะแนนเต็ม]:[คะแนนเต็ม]]),"",(tbl_task9[117]/tbl_task9[[คะแนนเต็ม]:[คะแนนเต็ม]])*tbl_task9[[%]:[%]])</f>
        <v/>
      </c>
      <c r="KB23" s="121" t="str">
        <f>IF(ISBLANK(tbl_task9[[คะแนนเต็ม]:[คะแนนเต็ม]]),"",(tbl_task9[118]/tbl_task9[[คะแนนเต็ม]:[คะแนนเต็ม]])*tbl_task9[[%]:[%]])</f>
        <v/>
      </c>
      <c r="KC23" s="121" t="str">
        <f>IF(ISBLANK(tbl_task9[[คะแนนเต็ม]:[คะแนนเต็ม]]),"",(tbl_task9[119]/tbl_task9[[คะแนนเต็ม]:[คะแนนเต็ม]])*tbl_task9[[%]:[%]])</f>
        <v/>
      </c>
      <c r="KD23" s="121" t="str">
        <f>IF(ISBLANK(tbl_task9[[คะแนนเต็ม]:[คะแนนเต็ม]]),"",(tbl_task9[120]/tbl_task9[[คะแนนเต็ม]:[คะแนนเต็ม]])*tbl_task9[[%]:[%]])</f>
        <v/>
      </c>
      <c r="KE23" s="121" t="str">
        <f>IF(ISBLANK(tbl_task9[[คะแนนเต็ม]:[คะแนนเต็ม]]),"",(tbl_task9[121]/tbl_task9[[คะแนนเต็ม]:[คะแนนเต็ม]])*tbl_task9[[%]:[%]])</f>
        <v/>
      </c>
      <c r="KF23" s="121" t="str">
        <f>IF(ISBLANK(tbl_task9[[คะแนนเต็ม]:[คะแนนเต็ม]]),"",(tbl_task9[122]/tbl_task9[[คะแนนเต็ม]:[คะแนนเต็ม]])*tbl_task9[[%]:[%]])</f>
        <v/>
      </c>
      <c r="KG23" s="121" t="str">
        <f>IF(ISBLANK(tbl_task9[[คะแนนเต็ม]:[คะแนนเต็ม]]),"",(tbl_task9[123]/tbl_task9[[คะแนนเต็ม]:[คะแนนเต็ม]])*tbl_task9[[%]:[%]])</f>
        <v/>
      </c>
      <c r="KH23" s="121" t="str">
        <f>IF(ISBLANK(tbl_task9[[คะแนนเต็ม]:[คะแนนเต็ม]]),"",(tbl_task9[124]/tbl_task9[[คะแนนเต็ม]:[คะแนนเต็ม]])*tbl_task9[[%]:[%]])</f>
        <v/>
      </c>
      <c r="KI23" s="121" t="str">
        <f>IF(ISBLANK(tbl_task9[[คะแนนเต็ม]:[คะแนนเต็ม]]),"",(tbl_task9[125]/tbl_task9[[คะแนนเต็ม]:[คะแนนเต็ม]])*tbl_task9[[%]:[%]])</f>
        <v/>
      </c>
      <c r="KJ23" s="121" t="str">
        <f>IF(ISBLANK(tbl_task9[[คะแนนเต็ม]:[คะแนนเต็ม]]),"",(tbl_task9[126]/tbl_task9[[คะแนนเต็ม]:[คะแนนเต็ม]])*tbl_task9[[%]:[%]])</f>
        <v/>
      </c>
      <c r="KK23" s="121" t="str">
        <f>IF(ISBLANK(tbl_task9[[คะแนนเต็ม]:[คะแนนเต็ม]]),"",(tbl_task9[127]/tbl_task9[[คะแนนเต็ม]:[คะแนนเต็ม]])*tbl_task9[[%]:[%]])</f>
        <v/>
      </c>
      <c r="KL23" s="121" t="str">
        <f>IF(ISBLANK(tbl_task9[[คะแนนเต็ม]:[คะแนนเต็ม]]),"",(tbl_task9[128]/tbl_task9[[คะแนนเต็ม]:[คะแนนเต็ม]])*tbl_task9[[%]:[%]])</f>
        <v/>
      </c>
      <c r="KM23" s="121" t="str">
        <f>IF(ISBLANK(tbl_task9[[คะแนนเต็ม]:[คะแนนเต็ม]]),"",(tbl_task9[129]/tbl_task9[[คะแนนเต็ม]:[คะแนนเต็ม]])*tbl_task9[[%]:[%]])</f>
        <v/>
      </c>
      <c r="KN23" s="121" t="str">
        <f>IF(ISBLANK(tbl_task9[[คะแนนเต็ม]:[คะแนนเต็ม]]),"",(tbl_task9[130]/tbl_task9[[คะแนนเต็ม]:[คะแนนเต็ม]])*tbl_task9[[%]:[%]])</f>
        <v/>
      </c>
      <c r="KO23" s="121" t="str">
        <f>IF(ISBLANK(tbl_task9[[คะแนนเต็ม]:[คะแนนเต็ม]]),"",(tbl_task9[131]/tbl_task9[[คะแนนเต็ม]:[คะแนนเต็ม]])*tbl_task9[[%]:[%]])</f>
        <v/>
      </c>
      <c r="KP23" s="121" t="str">
        <f>IF(ISBLANK(tbl_task9[[คะแนนเต็ม]:[คะแนนเต็ม]]),"",(tbl_task9[132]/tbl_task9[[คะแนนเต็ม]:[คะแนนเต็ม]])*tbl_task9[[%]:[%]])</f>
        <v/>
      </c>
      <c r="KQ23" s="121" t="str">
        <f>IF(ISBLANK(tbl_task9[[คะแนนเต็ม]:[คะแนนเต็ม]]),"",(tbl_task9[133]/tbl_task9[[คะแนนเต็ม]:[คะแนนเต็ม]])*tbl_task9[[%]:[%]])</f>
        <v/>
      </c>
      <c r="KR23" s="121" t="str">
        <f>IF(ISBLANK(tbl_task9[[คะแนนเต็ม]:[คะแนนเต็ม]]),"",(tbl_task9[134]/tbl_task9[[คะแนนเต็ม]:[คะแนนเต็ม]])*tbl_task9[[%]:[%]])</f>
        <v/>
      </c>
      <c r="KS23" s="121" t="str">
        <f>IF(ISBLANK(tbl_task9[[คะแนนเต็ม]:[คะแนนเต็ม]]),"",(tbl_task9[135]/tbl_task9[[คะแนนเต็ม]:[คะแนนเต็ม]])*tbl_task9[[%]:[%]])</f>
        <v/>
      </c>
      <c r="KT23" s="121" t="str">
        <f>IF(ISBLANK(tbl_task9[[คะแนนเต็ม]:[คะแนนเต็ม]]),"",(tbl_task9[136]/tbl_task9[[คะแนนเต็ม]:[คะแนนเต็ม]])*tbl_task9[[%]:[%]])</f>
        <v/>
      </c>
      <c r="KU23" s="121" t="str">
        <f>IF(ISBLANK(tbl_task9[[คะแนนเต็ม]:[คะแนนเต็ม]]),"",(tbl_task9[137]/tbl_task9[[คะแนนเต็ม]:[คะแนนเต็ม]])*tbl_task9[[%]:[%]])</f>
        <v/>
      </c>
      <c r="KV23" s="121" t="str">
        <f>IF(ISBLANK(tbl_task9[[คะแนนเต็ม]:[คะแนนเต็ม]]),"",(tbl_task9[138]/tbl_task9[[คะแนนเต็ม]:[คะแนนเต็ม]])*tbl_task9[[%]:[%]])</f>
        <v/>
      </c>
      <c r="KW23" s="121" t="str">
        <f>IF(ISBLANK(tbl_task9[[คะแนนเต็ม]:[คะแนนเต็ม]]),"",(tbl_task9[139]/tbl_task9[[คะแนนเต็ม]:[คะแนนเต็ม]])*tbl_task9[[%]:[%]])</f>
        <v/>
      </c>
      <c r="KX23" s="121" t="str">
        <f>IF(ISBLANK(tbl_task9[[คะแนนเต็ม]:[คะแนนเต็ม]]),"",(tbl_task9[140]/tbl_task9[[คะแนนเต็ม]:[คะแนนเต็ม]])*tbl_task9[[%]:[%]])</f>
        <v/>
      </c>
      <c r="KY23" s="121" t="str">
        <f>IF(ISBLANK(tbl_task9[[คะแนนเต็ม]:[คะแนนเต็ม]]),"",(tbl_task9[141]/tbl_task9[[คะแนนเต็ม]:[คะแนนเต็ม]])*tbl_task9[[%]:[%]])</f>
        <v/>
      </c>
      <c r="KZ23" s="121" t="str">
        <f>IF(ISBLANK(tbl_task9[[คะแนนเต็ม]:[คะแนนเต็ม]]),"",(tbl_task9[142]/tbl_task9[[คะแนนเต็ม]:[คะแนนเต็ม]])*tbl_task9[[%]:[%]])</f>
        <v/>
      </c>
      <c r="LA23" s="121" t="str">
        <f>IF(ISBLANK(tbl_task9[[คะแนนเต็ม]:[คะแนนเต็ม]]),"",(tbl_task9[143]/tbl_task9[[คะแนนเต็ม]:[คะแนนเต็ม]])*tbl_task9[[%]:[%]])</f>
        <v/>
      </c>
      <c r="LB23" s="121" t="str">
        <f>IF(ISBLANK(tbl_task9[[คะแนนเต็ม]:[คะแนนเต็ม]]),"",(tbl_task9[144]/tbl_task9[[คะแนนเต็ม]:[คะแนนเต็ม]])*tbl_task9[[%]:[%]])</f>
        <v/>
      </c>
      <c r="LC23" s="121" t="str">
        <f>IF(ISBLANK(tbl_task9[[คะแนนเต็ม]:[คะแนนเต็ม]]),"",(tbl_task9[145]/tbl_task9[[คะแนนเต็ม]:[คะแนนเต็ม]])*tbl_task9[[%]:[%]])</f>
        <v/>
      </c>
      <c r="LD23" s="121" t="str">
        <f>IF(ISBLANK(tbl_task9[[คะแนนเต็ม]:[คะแนนเต็ม]]),"",(tbl_task9[146]/tbl_task9[[คะแนนเต็ม]:[คะแนนเต็ม]])*tbl_task9[[%]:[%]])</f>
        <v/>
      </c>
      <c r="LE23" s="121" t="str">
        <f>IF(ISBLANK(tbl_task9[[คะแนนเต็ม]:[คะแนนเต็ม]]),"",(tbl_task9[147]/tbl_task9[[คะแนนเต็ม]:[คะแนนเต็ม]])*tbl_task9[[%]:[%]])</f>
        <v/>
      </c>
      <c r="LF23" s="121" t="str">
        <f>IF(ISBLANK(tbl_task9[[คะแนนเต็ม]:[คะแนนเต็ม]]),"",(tbl_task9[148]/tbl_task9[[คะแนนเต็ม]:[คะแนนเต็ม]])*tbl_task9[[%]:[%]])</f>
        <v/>
      </c>
      <c r="LG23" s="121" t="str">
        <f>IF(ISBLANK(tbl_task9[[คะแนนเต็ม]:[คะแนนเต็ม]]),"",(tbl_task9[149]/tbl_task9[[คะแนนเต็ม]:[คะแนนเต็ม]])*tbl_task9[[%]:[%]])</f>
        <v/>
      </c>
      <c r="LH23" s="121" t="str">
        <f>IF(ISBLANK(tbl_task9[[คะแนนเต็ม]:[คะแนนเต็ม]]),"",(tbl_task9[150]/tbl_task9[[คะแนนเต็ม]:[คะแนนเต็ม]])*tbl_task9[[%]:[%]])</f>
        <v/>
      </c>
      <c r="LI23" s="121" t="str">
        <f>IF(ISBLANK(tbl_task9[[คะแนนเต็ม]:[คะแนนเต็ม]]),"",(tbl_task9[151]/tbl_task9[[คะแนนเต็ม]:[คะแนนเต็ม]])*tbl_task9[[%]:[%]])</f>
        <v/>
      </c>
      <c r="LJ23" s="121" t="str">
        <f>IF(ISBLANK(tbl_task9[[คะแนนเต็ม]:[คะแนนเต็ม]]),"",(tbl_task9[152]/tbl_task9[[คะแนนเต็ม]:[คะแนนเต็ม]])*tbl_task9[[%]:[%]])</f>
        <v/>
      </c>
      <c r="LK23" s="121" t="str">
        <f>IF(ISBLANK(tbl_task9[[คะแนนเต็ม]:[คะแนนเต็ม]]),"",(tbl_task9[153]/tbl_task9[[คะแนนเต็ม]:[คะแนนเต็ม]])*tbl_task9[[%]:[%]])</f>
        <v/>
      </c>
      <c r="LL23" s="121" t="str">
        <f>IF(ISBLANK(tbl_task9[[คะแนนเต็ม]:[คะแนนเต็ม]]),"",(tbl_task9[154]/tbl_task9[[คะแนนเต็ม]:[คะแนนเต็ม]])*tbl_task9[[%]:[%]])</f>
        <v/>
      </c>
      <c r="LM23" s="121" t="str">
        <f>IF(ISBLANK(tbl_task9[[คะแนนเต็ม]:[คะแนนเต็ม]]),"",(tbl_task9[155]/tbl_task9[[คะแนนเต็ม]:[คะแนนเต็ม]])*tbl_task9[[%]:[%]])</f>
        <v/>
      </c>
      <c r="LN23" s="121" t="str">
        <f>IF(ISBLANK(tbl_task9[[คะแนนเต็ม]:[คะแนนเต็ม]]),"",(tbl_task9[156]/tbl_task9[[คะแนนเต็ม]:[คะแนนเต็ม]])*tbl_task9[[%]:[%]])</f>
        <v/>
      </c>
      <c r="LO23" s="121" t="str">
        <f>IF(ISBLANK(tbl_task9[[คะแนนเต็ม]:[คะแนนเต็ม]]),"",(tbl_task9[157]/tbl_task9[[คะแนนเต็ม]:[คะแนนเต็ม]])*tbl_task9[[%]:[%]])</f>
        <v/>
      </c>
      <c r="LP23" s="121" t="str">
        <f>IF(ISBLANK(tbl_task9[[คะแนนเต็ม]:[คะแนนเต็ม]]),"",(tbl_task9[158]/tbl_task9[[คะแนนเต็ม]:[คะแนนเต็ม]])*tbl_task9[[%]:[%]])</f>
        <v/>
      </c>
      <c r="LQ23" s="121" t="str">
        <f>IF(ISBLANK(tbl_task9[[คะแนนเต็ม]:[คะแนนเต็ม]]),"",(tbl_task9[159]/tbl_task9[[คะแนนเต็ม]:[คะแนนเต็ม]])*tbl_task9[[%]:[%]])</f>
        <v/>
      </c>
      <c r="LR23" s="121" t="str">
        <f>IF(ISBLANK(tbl_task9[[คะแนนเต็ม]:[คะแนนเต็ม]]),"",(tbl_task9[160]/tbl_task9[[คะแนนเต็ม]:[คะแนนเต็ม]])*tbl_task9[[%]:[%]])</f>
        <v/>
      </c>
      <c r="LS23" s="121" t="str">
        <f>IF(ISBLANK(tbl_task9[[คะแนนเต็ม]:[คะแนนเต็ม]]),"",(tbl_task9[161]/tbl_task9[[คะแนนเต็ม]:[คะแนนเต็ม]])*tbl_task9[[%]:[%]])</f>
        <v/>
      </c>
      <c r="LT23" s="121" t="str">
        <f>IF(ISBLANK(tbl_task9[[คะแนนเต็ม]:[คะแนนเต็ม]]),"",(tbl_task9[162]/tbl_task9[[คะแนนเต็ม]:[คะแนนเต็ม]])*tbl_task9[[%]:[%]])</f>
        <v/>
      </c>
      <c r="LU23" s="121" t="str">
        <f>IF(ISBLANK(tbl_task9[[คะแนนเต็ม]:[คะแนนเต็ม]]),"",(tbl_task9[163]/tbl_task9[[คะแนนเต็ม]:[คะแนนเต็ม]])*tbl_task9[[%]:[%]])</f>
        <v/>
      </c>
      <c r="LV23" s="121" t="str">
        <f>IF(ISBLANK(tbl_task9[[คะแนนเต็ม]:[คะแนนเต็ม]]),"",(tbl_task9[164]/tbl_task9[[คะแนนเต็ม]:[คะแนนเต็ม]])*tbl_task9[[%]:[%]])</f>
        <v/>
      </c>
      <c r="LW23" s="121" t="str">
        <f>IF(ISBLANK(tbl_task9[[คะแนนเต็ม]:[คะแนนเต็ม]]),"",(tbl_task9[165]/tbl_task9[[คะแนนเต็ม]:[คะแนนเต็ม]])*tbl_task9[[%]:[%]])</f>
        <v/>
      </c>
    </row>
    <row r="24" spans="1:335" ht="24" customHeight="1" x14ac:dyDescent="0.25">
      <c r="A24" s="24">
        <v>21</v>
      </c>
      <c r="B24" s="20"/>
      <c r="C24" s="5" t="str">
        <f>IF(ISBLANK(B24),"",VLOOKUP(B24,tbl_PLOs[],2,0))</f>
        <v/>
      </c>
      <c r="D24" s="102"/>
      <c r="E24" s="106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21" t="str">
        <f>IF(ISBLANK(tbl_task9[[คะแนนเต็ม]:[คะแนนเต็ม]]),"",(tbl_task9[1]/tbl_task9[[คะแนนเต็ม]:[คะแนนเต็ม]])*tbl_task9[[%]:[%]])</f>
        <v/>
      </c>
      <c r="FP24" s="121" t="str">
        <f>IF(ISBLANK(tbl_task9[[คะแนนเต็ม]:[คะแนนเต็ม]]),"",(tbl_task9[2]/tbl_task9[[คะแนนเต็ม]:[คะแนนเต็ม]])*tbl_task9[[%]:[%]])</f>
        <v/>
      </c>
      <c r="FQ24" s="121" t="str">
        <f>IF(ISBLANK(tbl_task9[[คะแนนเต็ม]:[คะแนนเต็ม]]),"",(tbl_task9[3]/tbl_task9[[คะแนนเต็ม]:[คะแนนเต็ม]])*tbl_task9[[%]:[%]])</f>
        <v/>
      </c>
      <c r="FR24" s="121" t="str">
        <f>IF(ISBLANK(tbl_task9[[คะแนนเต็ม]:[คะแนนเต็ม]]),"",(tbl_task9[4]/tbl_task9[[คะแนนเต็ม]:[คะแนนเต็ม]])*tbl_task9[[%]:[%]])</f>
        <v/>
      </c>
      <c r="FS24" s="121" t="str">
        <f>IF(ISBLANK(tbl_task9[[คะแนนเต็ม]:[คะแนนเต็ม]]),"",(tbl_task9[5]/tbl_task9[[คะแนนเต็ม]:[คะแนนเต็ม]])*tbl_task9[[%]:[%]])</f>
        <v/>
      </c>
      <c r="FT24" s="121" t="str">
        <f>IF(ISBLANK(tbl_task9[[คะแนนเต็ม]:[คะแนนเต็ม]]),"",(tbl_task9[6]/tbl_task9[[คะแนนเต็ม]:[คะแนนเต็ม]])*tbl_task9[[%]:[%]])</f>
        <v/>
      </c>
      <c r="FU24" s="121" t="str">
        <f>IF(ISBLANK(tbl_task9[[คะแนนเต็ม]:[คะแนนเต็ม]]),"",(tbl_task9[7]/tbl_task9[[คะแนนเต็ม]:[คะแนนเต็ม]])*tbl_task9[[%]:[%]])</f>
        <v/>
      </c>
      <c r="FV24" s="121" t="str">
        <f>IF(ISBLANK(tbl_task9[[คะแนนเต็ม]:[คะแนนเต็ม]]),"",(tbl_task9[8]/tbl_task9[[คะแนนเต็ม]:[คะแนนเต็ม]])*tbl_task9[[%]:[%]])</f>
        <v/>
      </c>
      <c r="FW24" s="121" t="str">
        <f>IF(ISBLANK(tbl_task9[[คะแนนเต็ม]:[คะแนนเต็ม]]),"",(tbl_task9[9]/tbl_task9[[คะแนนเต็ม]:[คะแนนเต็ม]])*tbl_task9[[%]:[%]])</f>
        <v/>
      </c>
      <c r="FX24" s="121" t="str">
        <f>IF(ISBLANK(tbl_task9[[คะแนนเต็ม]:[คะแนนเต็ม]]),"",(tbl_task9[10]/tbl_task9[[คะแนนเต็ม]:[คะแนนเต็ม]])*tbl_task9[[%]:[%]])</f>
        <v/>
      </c>
      <c r="FY24" s="121" t="str">
        <f>IF(ISBLANK(tbl_task9[[คะแนนเต็ม]:[คะแนนเต็ม]]),"",(tbl_task9[11]/tbl_task9[[คะแนนเต็ม]:[คะแนนเต็ม]])*tbl_task9[[%]:[%]])</f>
        <v/>
      </c>
      <c r="FZ24" s="121" t="str">
        <f>IF(ISBLANK(tbl_task9[[คะแนนเต็ม]:[คะแนนเต็ม]]),"",(tbl_task9[12]/tbl_task9[[คะแนนเต็ม]:[คะแนนเต็ม]])*tbl_task9[[%]:[%]])</f>
        <v/>
      </c>
      <c r="GA24" s="121" t="str">
        <f>IF(ISBLANK(tbl_task9[[คะแนนเต็ม]:[คะแนนเต็ม]]),"",(tbl_task9[13]/tbl_task9[[คะแนนเต็ม]:[คะแนนเต็ม]])*tbl_task9[[%]:[%]])</f>
        <v/>
      </c>
      <c r="GB24" s="121" t="str">
        <f>IF(ISBLANK(tbl_task9[[คะแนนเต็ม]:[คะแนนเต็ม]]),"",(tbl_task9[14]/tbl_task9[[คะแนนเต็ม]:[คะแนนเต็ม]])*tbl_task9[[%]:[%]])</f>
        <v/>
      </c>
      <c r="GC24" s="121" t="str">
        <f>IF(ISBLANK(tbl_task9[[คะแนนเต็ม]:[คะแนนเต็ม]]),"",(tbl_task9[15]/tbl_task9[[คะแนนเต็ม]:[คะแนนเต็ม]])*tbl_task9[[%]:[%]])</f>
        <v/>
      </c>
      <c r="GD24" s="121" t="str">
        <f>IF(ISBLANK(tbl_task9[[คะแนนเต็ม]:[คะแนนเต็ม]]),"",(tbl_task9[16]/tbl_task9[[คะแนนเต็ม]:[คะแนนเต็ม]])*tbl_task9[[%]:[%]])</f>
        <v/>
      </c>
      <c r="GE24" s="121" t="str">
        <f>IF(ISBLANK(tbl_task9[[คะแนนเต็ม]:[คะแนนเต็ม]]),"",(tbl_task9[17]/tbl_task9[[คะแนนเต็ม]:[คะแนนเต็ม]])*tbl_task9[[%]:[%]])</f>
        <v/>
      </c>
      <c r="GF24" s="121" t="str">
        <f>IF(ISBLANK(tbl_task9[[คะแนนเต็ม]:[คะแนนเต็ม]]),"",(tbl_task9[18]/tbl_task9[[คะแนนเต็ม]:[คะแนนเต็ม]])*tbl_task9[[%]:[%]])</f>
        <v/>
      </c>
      <c r="GG24" s="121" t="str">
        <f>IF(ISBLANK(tbl_task9[[คะแนนเต็ม]:[คะแนนเต็ม]]),"",(tbl_task9[19]/tbl_task9[[คะแนนเต็ม]:[คะแนนเต็ม]])*tbl_task9[[%]:[%]])</f>
        <v/>
      </c>
      <c r="GH24" s="121" t="str">
        <f>IF(ISBLANK(tbl_task9[[คะแนนเต็ม]:[คะแนนเต็ม]]),"",(tbl_task9[20]/tbl_task9[[คะแนนเต็ม]:[คะแนนเต็ม]])*tbl_task9[[%]:[%]])</f>
        <v/>
      </c>
      <c r="GI24" s="121" t="str">
        <f>IF(ISBLANK(tbl_task9[[คะแนนเต็ม]:[คะแนนเต็ม]]),"",(tbl_task9[21]/tbl_task9[[คะแนนเต็ม]:[คะแนนเต็ม]])*tbl_task9[[%]:[%]])</f>
        <v/>
      </c>
      <c r="GJ24" s="121" t="str">
        <f>IF(ISBLANK(tbl_task9[[คะแนนเต็ม]:[คะแนนเต็ม]]),"",(tbl_task9[22]/tbl_task9[[คะแนนเต็ม]:[คะแนนเต็ม]])*tbl_task9[[%]:[%]])</f>
        <v/>
      </c>
      <c r="GK24" s="121" t="str">
        <f>IF(ISBLANK(tbl_task9[[คะแนนเต็ม]:[คะแนนเต็ม]]),"",(tbl_task9[23]/tbl_task9[[คะแนนเต็ม]:[คะแนนเต็ม]])*tbl_task9[[%]:[%]])</f>
        <v/>
      </c>
      <c r="GL24" s="121" t="str">
        <f>IF(ISBLANK(tbl_task9[[คะแนนเต็ม]:[คะแนนเต็ม]]),"",(tbl_task9[24]/tbl_task9[[คะแนนเต็ม]:[คะแนนเต็ม]])*tbl_task9[[%]:[%]])</f>
        <v/>
      </c>
      <c r="GM24" s="121" t="str">
        <f>IF(ISBLANK(tbl_task9[[คะแนนเต็ม]:[คะแนนเต็ม]]),"",(tbl_task9[25]/tbl_task9[[คะแนนเต็ม]:[คะแนนเต็ม]])*tbl_task9[[%]:[%]])</f>
        <v/>
      </c>
      <c r="GN24" s="121" t="str">
        <f>IF(ISBLANK(tbl_task9[[คะแนนเต็ม]:[คะแนนเต็ม]]),"",(tbl_task9[26]/tbl_task9[[คะแนนเต็ม]:[คะแนนเต็ม]])*tbl_task9[[%]:[%]])</f>
        <v/>
      </c>
      <c r="GO24" s="121" t="str">
        <f>IF(ISBLANK(tbl_task9[[คะแนนเต็ม]:[คะแนนเต็ม]]),"",(tbl_task9[27]/tbl_task9[[คะแนนเต็ม]:[คะแนนเต็ม]])*tbl_task9[[%]:[%]])</f>
        <v/>
      </c>
      <c r="GP24" s="121" t="str">
        <f>IF(ISBLANK(tbl_task9[[คะแนนเต็ม]:[คะแนนเต็ม]]),"",(tbl_task9[28]/tbl_task9[[คะแนนเต็ม]:[คะแนนเต็ม]])*tbl_task9[[%]:[%]])</f>
        <v/>
      </c>
      <c r="GQ24" s="121" t="str">
        <f>IF(ISBLANK(tbl_task9[[คะแนนเต็ม]:[คะแนนเต็ม]]),"",(tbl_task9[29]/tbl_task9[[คะแนนเต็ม]:[คะแนนเต็ม]])*tbl_task9[[%]:[%]])</f>
        <v/>
      </c>
      <c r="GR24" s="121" t="str">
        <f>IF(ISBLANK(tbl_task9[[คะแนนเต็ม]:[คะแนนเต็ม]]),"",(tbl_task9[30]/tbl_task9[[คะแนนเต็ม]:[คะแนนเต็ม]])*tbl_task9[[%]:[%]])</f>
        <v/>
      </c>
      <c r="GS24" s="121" t="str">
        <f>IF(ISBLANK(tbl_task9[[คะแนนเต็ม]:[คะแนนเต็ม]]),"",(tbl_task9[31]/tbl_task9[[คะแนนเต็ม]:[คะแนนเต็ม]])*tbl_task9[[%]:[%]])</f>
        <v/>
      </c>
      <c r="GT24" s="121" t="str">
        <f>IF(ISBLANK(tbl_task9[[คะแนนเต็ม]:[คะแนนเต็ม]]),"",(tbl_task9[32]/tbl_task9[[คะแนนเต็ม]:[คะแนนเต็ม]])*tbl_task9[[%]:[%]])</f>
        <v/>
      </c>
      <c r="GU24" s="121" t="str">
        <f>IF(ISBLANK(tbl_task9[[คะแนนเต็ม]:[คะแนนเต็ม]]),"",(tbl_task9[33]/tbl_task9[[คะแนนเต็ม]:[คะแนนเต็ม]])*tbl_task9[[%]:[%]])</f>
        <v/>
      </c>
      <c r="GV24" s="121" t="str">
        <f>IF(ISBLANK(tbl_task9[[คะแนนเต็ม]:[คะแนนเต็ม]]),"",(tbl_task9[34]/tbl_task9[[คะแนนเต็ม]:[คะแนนเต็ม]])*tbl_task9[[%]:[%]])</f>
        <v/>
      </c>
      <c r="GW24" s="121" t="str">
        <f>IF(ISBLANK(tbl_task9[[คะแนนเต็ม]:[คะแนนเต็ม]]),"",(tbl_task9[35]/tbl_task9[[คะแนนเต็ม]:[คะแนนเต็ม]])*tbl_task9[[%]:[%]])</f>
        <v/>
      </c>
      <c r="GX24" s="121" t="str">
        <f>IF(ISBLANK(tbl_task9[[คะแนนเต็ม]:[คะแนนเต็ม]]),"",(tbl_task9[36]/tbl_task9[[คะแนนเต็ม]:[คะแนนเต็ม]])*tbl_task9[[%]:[%]])</f>
        <v/>
      </c>
      <c r="GY24" s="121" t="str">
        <f>IF(ISBLANK(tbl_task9[[คะแนนเต็ม]:[คะแนนเต็ม]]),"",(tbl_task9[37]/tbl_task9[[คะแนนเต็ม]:[คะแนนเต็ม]])*tbl_task9[[%]:[%]])</f>
        <v/>
      </c>
      <c r="GZ24" s="121" t="str">
        <f>IF(ISBLANK(tbl_task9[[คะแนนเต็ม]:[คะแนนเต็ม]]),"",(tbl_task9[38]/tbl_task9[[คะแนนเต็ม]:[คะแนนเต็ม]])*tbl_task9[[%]:[%]])</f>
        <v/>
      </c>
      <c r="HA24" s="121" t="str">
        <f>IF(ISBLANK(tbl_task9[[คะแนนเต็ม]:[คะแนนเต็ม]]),"",(tbl_task9[39]/tbl_task9[[คะแนนเต็ม]:[คะแนนเต็ม]])*tbl_task9[[%]:[%]])</f>
        <v/>
      </c>
      <c r="HB24" s="121" t="str">
        <f>IF(ISBLANK(tbl_task9[[คะแนนเต็ม]:[คะแนนเต็ม]]),"",(tbl_task9[40]/tbl_task9[[คะแนนเต็ม]:[คะแนนเต็ม]])*tbl_task9[[%]:[%]])</f>
        <v/>
      </c>
      <c r="HC24" s="121" t="str">
        <f>IF(ISBLANK(tbl_task9[[คะแนนเต็ม]:[คะแนนเต็ม]]),"",(tbl_task9[41]/tbl_task9[[คะแนนเต็ม]:[คะแนนเต็ม]])*tbl_task9[[%]:[%]])</f>
        <v/>
      </c>
      <c r="HD24" s="121" t="str">
        <f>IF(ISBLANK(tbl_task9[[คะแนนเต็ม]:[คะแนนเต็ม]]),"",(tbl_task9[42]/tbl_task9[[คะแนนเต็ม]:[คะแนนเต็ม]])*tbl_task9[[%]:[%]])</f>
        <v/>
      </c>
      <c r="HE24" s="121" t="str">
        <f>IF(ISBLANK(tbl_task9[[คะแนนเต็ม]:[คะแนนเต็ม]]),"",(tbl_task9[43]/tbl_task9[[คะแนนเต็ม]:[คะแนนเต็ม]])*tbl_task9[[%]:[%]])</f>
        <v/>
      </c>
      <c r="HF24" s="121" t="str">
        <f>IF(ISBLANK(tbl_task9[[คะแนนเต็ม]:[คะแนนเต็ม]]),"",(tbl_task9[44]/tbl_task9[[คะแนนเต็ม]:[คะแนนเต็ม]])*tbl_task9[[%]:[%]])</f>
        <v/>
      </c>
      <c r="HG24" s="121" t="str">
        <f>IF(ISBLANK(tbl_task9[[คะแนนเต็ม]:[คะแนนเต็ม]]),"",(tbl_task9[45]/tbl_task9[[คะแนนเต็ม]:[คะแนนเต็ม]])*tbl_task9[[%]:[%]])</f>
        <v/>
      </c>
      <c r="HH24" s="121" t="str">
        <f>IF(ISBLANK(tbl_task9[[คะแนนเต็ม]:[คะแนนเต็ม]]),"",(tbl_task9[46]/tbl_task9[[คะแนนเต็ม]:[คะแนนเต็ม]])*tbl_task9[[%]:[%]])</f>
        <v/>
      </c>
      <c r="HI24" s="121" t="str">
        <f>IF(ISBLANK(tbl_task9[[คะแนนเต็ม]:[คะแนนเต็ม]]),"",(tbl_task9[47]/tbl_task9[[คะแนนเต็ม]:[คะแนนเต็ม]])*tbl_task9[[%]:[%]])</f>
        <v/>
      </c>
      <c r="HJ24" s="121" t="str">
        <f>IF(ISBLANK(tbl_task9[[คะแนนเต็ม]:[คะแนนเต็ม]]),"",(tbl_task9[48]/tbl_task9[[คะแนนเต็ม]:[คะแนนเต็ม]])*tbl_task9[[%]:[%]])</f>
        <v/>
      </c>
      <c r="HK24" s="121" t="str">
        <f>IF(ISBLANK(tbl_task9[[คะแนนเต็ม]:[คะแนนเต็ม]]),"",(tbl_task9[49]/tbl_task9[[คะแนนเต็ม]:[คะแนนเต็ม]])*tbl_task9[[%]:[%]])</f>
        <v/>
      </c>
      <c r="HL24" s="121" t="str">
        <f>IF(ISBLANK(tbl_task9[[คะแนนเต็ม]:[คะแนนเต็ม]]),"",(tbl_task9[50]/tbl_task9[[คะแนนเต็ม]:[คะแนนเต็ม]])*tbl_task9[[%]:[%]])</f>
        <v/>
      </c>
      <c r="HM24" s="121" t="str">
        <f>IF(ISBLANK(tbl_task9[[คะแนนเต็ม]:[คะแนนเต็ม]]),"",(tbl_task9[51]/tbl_task9[[คะแนนเต็ม]:[คะแนนเต็ม]])*tbl_task9[[%]:[%]])</f>
        <v/>
      </c>
      <c r="HN24" s="121" t="str">
        <f>IF(ISBLANK(tbl_task9[[คะแนนเต็ม]:[คะแนนเต็ม]]),"",(tbl_task9[52]/tbl_task9[[คะแนนเต็ม]:[คะแนนเต็ม]])*tbl_task9[[%]:[%]])</f>
        <v/>
      </c>
      <c r="HO24" s="121" t="str">
        <f>IF(ISBLANK(tbl_task9[[คะแนนเต็ม]:[คะแนนเต็ม]]),"",(tbl_task9[53]/tbl_task9[[คะแนนเต็ม]:[คะแนนเต็ม]])*tbl_task9[[%]:[%]])</f>
        <v/>
      </c>
      <c r="HP24" s="121" t="str">
        <f>IF(ISBLANK(tbl_task9[[คะแนนเต็ม]:[คะแนนเต็ม]]),"",(tbl_task9[54]/tbl_task9[[คะแนนเต็ม]:[คะแนนเต็ม]])*tbl_task9[[%]:[%]])</f>
        <v/>
      </c>
      <c r="HQ24" s="121" t="str">
        <f>IF(ISBLANK(tbl_task9[[คะแนนเต็ม]:[คะแนนเต็ม]]),"",(tbl_task9[55]/tbl_task9[[คะแนนเต็ม]:[คะแนนเต็ม]])*tbl_task9[[%]:[%]])</f>
        <v/>
      </c>
      <c r="HR24" s="121" t="str">
        <f>IF(ISBLANK(tbl_task9[[คะแนนเต็ม]:[คะแนนเต็ม]]),"",(tbl_task9[56]/tbl_task9[[คะแนนเต็ม]:[คะแนนเต็ม]])*tbl_task9[[%]:[%]])</f>
        <v/>
      </c>
      <c r="HS24" s="121" t="str">
        <f>IF(ISBLANK(tbl_task9[[คะแนนเต็ม]:[คะแนนเต็ม]]),"",(tbl_task9[57]/tbl_task9[[คะแนนเต็ม]:[คะแนนเต็ม]])*tbl_task9[[%]:[%]])</f>
        <v/>
      </c>
      <c r="HT24" s="121" t="str">
        <f>IF(ISBLANK(tbl_task9[[คะแนนเต็ม]:[คะแนนเต็ม]]),"",(tbl_task9[58]/tbl_task9[[คะแนนเต็ม]:[คะแนนเต็ม]])*tbl_task9[[%]:[%]])</f>
        <v/>
      </c>
      <c r="HU24" s="121" t="str">
        <f>IF(ISBLANK(tbl_task9[[คะแนนเต็ม]:[คะแนนเต็ม]]),"",(tbl_task9[59]/tbl_task9[[คะแนนเต็ม]:[คะแนนเต็ม]])*tbl_task9[[%]:[%]])</f>
        <v/>
      </c>
      <c r="HV24" s="121" t="str">
        <f>IF(ISBLANK(tbl_task9[[คะแนนเต็ม]:[คะแนนเต็ม]]),"",(tbl_task9[60]/tbl_task9[[คะแนนเต็ม]:[คะแนนเต็ม]])*tbl_task9[[%]:[%]])</f>
        <v/>
      </c>
      <c r="HW24" s="121" t="str">
        <f>IF(ISBLANK(tbl_task9[[คะแนนเต็ม]:[คะแนนเต็ม]]),"",(tbl_task9[61]/tbl_task9[[คะแนนเต็ม]:[คะแนนเต็ม]])*tbl_task9[[%]:[%]])</f>
        <v/>
      </c>
      <c r="HX24" s="121" t="str">
        <f>IF(ISBLANK(tbl_task9[[คะแนนเต็ม]:[คะแนนเต็ม]]),"",(tbl_task9[62]/tbl_task9[[คะแนนเต็ม]:[คะแนนเต็ม]])*tbl_task9[[%]:[%]])</f>
        <v/>
      </c>
      <c r="HY24" s="121" t="str">
        <f>IF(ISBLANK(tbl_task9[[คะแนนเต็ม]:[คะแนนเต็ม]]),"",(tbl_task9[63]/tbl_task9[[คะแนนเต็ม]:[คะแนนเต็ม]])*tbl_task9[[%]:[%]])</f>
        <v/>
      </c>
      <c r="HZ24" s="121" t="str">
        <f>IF(ISBLANK(tbl_task9[[คะแนนเต็ม]:[คะแนนเต็ม]]),"",(tbl_task9[64]/tbl_task9[[คะแนนเต็ม]:[คะแนนเต็ม]])*tbl_task9[[%]:[%]])</f>
        <v/>
      </c>
      <c r="IA24" s="121" t="str">
        <f>IF(ISBLANK(tbl_task9[[คะแนนเต็ม]:[คะแนนเต็ม]]),"",(tbl_task9[65]/tbl_task9[[คะแนนเต็ม]:[คะแนนเต็ม]])*tbl_task9[[%]:[%]])</f>
        <v/>
      </c>
      <c r="IB24" s="121" t="str">
        <f>IF(ISBLANK(tbl_task9[[คะแนนเต็ม]:[คะแนนเต็ม]]),"",(tbl_task9[66]/tbl_task9[[คะแนนเต็ม]:[คะแนนเต็ม]])*tbl_task9[[%]:[%]])</f>
        <v/>
      </c>
      <c r="IC24" s="121" t="str">
        <f>IF(ISBLANK(tbl_task9[[คะแนนเต็ม]:[คะแนนเต็ม]]),"",(tbl_task9[67]/tbl_task9[[คะแนนเต็ม]:[คะแนนเต็ม]])*tbl_task9[[%]:[%]])</f>
        <v/>
      </c>
      <c r="ID24" s="121" t="str">
        <f>IF(ISBLANK(tbl_task9[[คะแนนเต็ม]:[คะแนนเต็ม]]),"",(tbl_task9[68]/tbl_task9[[คะแนนเต็ม]:[คะแนนเต็ม]])*tbl_task9[[%]:[%]])</f>
        <v/>
      </c>
      <c r="IE24" s="121" t="str">
        <f>IF(ISBLANK(tbl_task9[[คะแนนเต็ม]:[คะแนนเต็ม]]),"",(tbl_task9[69]/tbl_task9[[คะแนนเต็ม]:[คะแนนเต็ม]])*tbl_task9[[%]:[%]])</f>
        <v/>
      </c>
      <c r="IF24" s="121" t="str">
        <f>IF(ISBLANK(tbl_task9[[คะแนนเต็ม]:[คะแนนเต็ม]]),"",(tbl_task9[70]/tbl_task9[[คะแนนเต็ม]:[คะแนนเต็ม]])*tbl_task9[[%]:[%]])</f>
        <v/>
      </c>
      <c r="IG24" s="121" t="str">
        <f>IF(ISBLANK(tbl_task9[[คะแนนเต็ม]:[คะแนนเต็ม]]),"",(tbl_task9[71]/tbl_task9[[คะแนนเต็ม]:[คะแนนเต็ม]])*tbl_task9[[%]:[%]])</f>
        <v/>
      </c>
      <c r="IH24" s="121" t="str">
        <f>IF(ISBLANK(tbl_task9[[คะแนนเต็ม]:[คะแนนเต็ม]]),"",(tbl_task9[72]/tbl_task9[[คะแนนเต็ม]:[คะแนนเต็ม]])*tbl_task9[[%]:[%]])</f>
        <v/>
      </c>
      <c r="II24" s="121" t="str">
        <f>IF(ISBLANK(tbl_task9[[คะแนนเต็ม]:[คะแนนเต็ม]]),"",(tbl_task9[73]/tbl_task9[[คะแนนเต็ม]:[คะแนนเต็ม]])*tbl_task9[[%]:[%]])</f>
        <v/>
      </c>
      <c r="IJ24" s="121" t="str">
        <f>IF(ISBLANK(tbl_task9[[คะแนนเต็ม]:[คะแนนเต็ม]]),"",(tbl_task9[74]/tbl_task9[[คะแนนเต็ม]:[คะแนนเต็ม]])*tbl_task9[[%]:[%]])</f>
        <v/>
      </c>
      <c r="IK24" s="121" t="str">
        <f>IF(ISBLANK(tbl_task9[[คะแนนเต็ม]:[คะแนนเต็ม]]),"",(tbl_task9[75]/tbl_task9[[คะแนนเต็ม]:[คะแนนเต็ม]])*tbl_task9[[%]:[%]])</f>
        <v/>
      </c>
      <c r="IL24" s="121" t="str">
        <f>IF(ISBLANK(tbl_task9[[คะแนนเต็ม]:[คะแนนเต็ม]]),"",(tbl_task9[76]/tbl_task9[[คะแนนเต็ม]:[คะแนนเต็ม]])*tbl_task9[[%]:[%]])</f>
        <v/>
      </c>
      <c r="IM24" s="121" t="str">
        <f>IF(ISBLANK(tbl_task9[[คะแนนเต็ม]:[คะแนนเต็ม]]),"",(tbl_task9[77]/tbl_task9[[คะแนนเต็ม]:[คะแนนเต็ม]])*tbl_task9[[%]:[%]])</f>
        <v/>
      </c>
      <c r="IN24" s="121" t="str">
        <f>IF(ISBLANK(tbl_task9[[คะแนนเต็ม]:[คะแนนเต็ม]]),"",(tbl_task9[78]/tbl_task9[[คะแนนเต็ม]:[คะแนนเต็ม]])*tbl_task9[[%]:[%]])</f>
        <v/>
      </c>
      <c r="IO24" s="121" t="str">
        <f>IF(ISBLANK(tbl_task9[[คะแนนเต็ม]:[คะแนนเต็ม]]),"",(tbl_task9[79]/tbl_task9[[คะแนนเต็ม]:[คะแนนเต็ม]])*tbl_task9[[%]:[%]])</f>
        <v/>
      </c>
      <c r="IP24" s="121" t="str">
        <f>IF(ISBLANK(tbl_task9[[คะแนนเต็ม]:[คะแนนเต็ม]]),"",(tbl_task9[80]/tbl_task9[[คะแนนเต็ม]:[คะแนนเต็ม]])*tbl_task9[[%]:[%]])</f>
        <v/>
      </c>
      <c r="IQ24" s="121" t="str">
        <f>IF(ISBLANK(tbl_task9[[คะแนนเต็ม]:[คะแนนเต็ม]]),"",(tbl_task9[81]/tbl_task9[[คะแนนเต็ม]:[คะแนนเต็ม]])*tbl_task9[[%]:[%]])</f>
        <v/>
      </c>
      <c r="IR24" s="121" t="str">
        <f>IF(ISBLANK(tbl_task9[[คะแนนเต็ม]:[คะแนนเต็ม]]),"",(tbl_task9[82]/tbl_task9[[คะแนนเต็ม]:[คะแนนเต็ม]])*tbl_task9[[%]:[%]])</f>
        <v/>
      </c>
      <c r="IS24" s="121" t="str">
        <f>IF(ISBLANK(tbl_task9[[คะแนนเต็ม]:[คะแนนเต็ม]]),"",(tbl_task9[83]/tbl_task9[[คะแนนเต็ม]:[คะแนนเต็ม]])*tbl_task9[[%]:[%]])</f>
        <v/>
      </c>
      <c r="IT24" s="121" t="str">
        <f>IF(ISBLANK(tbl_task9[[คะแนนเต็ม]:[คะแนนเต็ม]]),"",(tbl_task9[84]/tbl_task9[[คะแนนเต็ม]:[คะแนนเต็ม]])*tbl_task9[[%]:[%]])</f>
        <v/>
      </c>
      <c r="IU24" s="121" t="str">
        <f>IF(ISBLANK(tbl_task9[[คะแนนเต็ม]:[คะแนนเต็ม]]),"",(tbl_task9[85]/tbl_task9[[คะแนนเต็ม]:[คะแนนเต็ม]])*tbl_task9[[%]:[%]])</f>
        <v/>
      </c>
      <c r="IV24" s="121" t="str">
        <f>IF(ISBLANK(tbl_task9[[คะแนนเต็ม]:[คะแนนเต็ม]]),"",(tbl_task9[86]/tbl_task9[[คะแนนเต็ม]:[คะแนนเต็ม]])*tbl_task9[[%]:[%]])</f>
        <v/>
      </c>
      <c r="IW24" s="121" t="str">
        <f>IF(ISBLANK(tbl_task9[[คะแนนเต็ม]:[คะแนนเต็ม]]),"",(tbl_task9[87]/tbl_task9[[คะแนนเต็ม]:[คะแนนเต็ม]])*tbl_task9[[%]:[%]])</f>
        <v/>
      </c>
      <c r="IX24" s="121" t="str">
        <f>IF(ISBLANK(tbl_task9[[คะแนนเต็ม]:[คะแนนเต็ม]]),"",(tbl_task9[88]/tbl_task9[[คะแนนเต็ม]:[คะแนนเต็ม]])*tbl_task9[[%]:[%]])</f>
        <v/>
      </c>
      <c r="IY24" s="121" t="str">
        <f>IF(ISBLANK(tbl_task9[[คะแนนเต็ม]:[คะแนนเต็ม]]),"",(tbl_task9[89]/tbl_task9[[คะแนนเต็ม]:[คะแนนเต็ม]])*tbl_task9[[%]:[%]])</f>
        <v/>
      </c>
      <c r="IZ24" s="121" t="str">
        <f>IF(ISBLANK(tbl_task9[[คะแนนเต็ม]:[คะแนนเต็ม]]),"",(tbl_task9[90]/tbl_task9[[คะแนนเต็ม]:[คะแนนเต็ม]])*tbl_task9[[%]:[%]])</f>
        <v/>
      </c>
      <c r="JA24" s="121" t="str">
        <f>IF(ISBLANK(tbl_task9[[คะแนนเต็ม]:[คะแนนเต็ม]]),"",(tbl_task9[91]/tbl_task9[[คะแนนเต็ม]:[คะแนนเต็ม]])*tbl_task9[[%]:[%]])</f>
        <v/>
      </c>
      <c r="JB24" s="121" t="str">
        <f>IF(ISBLANK(tbl_task9[[คะแนนเต็ม]:[คะแนนเต็ม]]),"",(tbl_task9[92]/tbl_task9[[คะแนนเต็ม]:[คะแนนเต็ม]])*tbl_task9[[%]:[%]])</f>
        <v/>
      </c>
      <c r="JC24" s="121" t="str">
        <f>IF(ISBLANK(tbl_task9[[คะแนนเต็ม]:[คะแนนเต็ม]]),"",(tbl_task9[93]/tbl_task9[[คะแนนเต็ม]:[คะแนนเต็ม]])*tbl_task9[[%]:[%]])</f>
        <v/>
      </c>
      <c r="JD24" s="121" t="str">
        <f>IF(ISBLANK(tbl_task9[[คะแนนเต็ม]:[คะแนนเต็ม]]),"",(tbl_task9[94]/tbl_task9[[คะแนนเต็ม]:[คะแนนเต็ม]])*tbl_task9[[%]:[%]])</f>
        <v/>
      </c>
      <c r="JE24" s="121" t="str">
        <f>IF(ISBLANK(tbl_task9[[คะแนนเต็ม]:[คะแนนเต็ม]]),"",(tbl_task9[95]/tbl_task9[[คะแนนเต็ม]:[คะแนนเต็ม]])*tbl_task9[[%]:[%]])</f>
        <v/>
      </c>
      <c r="JF24" s="121" t="str">
        <f>IF(ISBLANK(tbl_task9[[คะแนนเต็ม]:[คะแนนเต็ม]]),"",(tbl_task9[96]/tbl_task9[[คะแนนเต็ม]:[คะแนนเต็ม]])*tbl_task9[[%]:[%]])</f>
        <v/>
      </c>
      <c r="JG24" s="121" t="str">
        <f>IF(ISBLANK(tbl_task9[[คะแนนเต็ม]:[คะแนนเต็ม]]),"",(tbl_task9[97]/tbl_task9[[คะแนนเต็ม]:[คะแนนเต็ม]])*tbl_task9[[%]:[%]])</f>
        <v/>
      </c>
      <c r="JH24" s="121" t="str">
        <f>IF(ISBLANK(tbl_task9[[คะแนนเต็ม]:[คะแนนเต็ม]]),"",(tbl_task9[98]/tbl_task9[[คะแนนเต็ม]:[คะแนนเต็ม]])*tbl_task9[[%]:[%]])</f>
        <v/>
      </c>
      <c r="JI24" s="121" t="str">
        <f>IF(ISBLANK(tbl_task9[[คะแนนเต็ม]:[คะแนนเต็ม]]),"",(tbl_task9[99]/tbl_task9[[คะแนนเต็ม]:[คะแนนเต็ม]])*tbl_task9[[%]:[%]])</f>
        <v/>
      </c>
      <c r="JJ24" s="121" t="str">
        <f>IF(ISBLANK(tbl_task9[[คะแนนเต็ม]:[คะแนนเต็ม]]),"",(tbl_task9[100]/tbl_task9[[คะแนนเต็ม]:[คะแนนเต็ม]])*tbl_task9[[%]:[%]])</f>
        <v/>
      </c>
      <c r="JK24" s="121" t="str">
        <f>IF(ISBLANK(tbl_task9[[คะแนนเต็ม]:[คะแนนเต็ม]]),"",(tbl_task9[101]/tbl_task9[[คะแนนเต็ม]:[คะแนนเต็ม]])*tbl_task9[[%]:[%]])</f>
        <v/>
      </c>
      <c r="JL24" s="121" t="str">
        <f>IF(ISBLANK(tbl_task9[[คะแนนเต็ม]:[คะแนนเต็ม]]),"",(tbl_task9[102]/tbl_task9[[คะแนนเต็ม]:[คะแนนเต็ม]])*tbl_task9[[%]:[%]])</f>
        <v/>
      </c>
      <c r="JM24" s="121" t="str">
        <f>IF(ISBLANK(tbl_task9[[คะแนนเต็ม]:[คะแนนเต็ม]]),"",(tbl_task9[103]/tbl_task9[[คะแนนเต็ม]:[คะแนนเต็ม]])*tbl_task9[[%]:[%]])</f>
        <v/>
      </c>
      <c r="JN24" s="121" t="str">
        <f>IF(ISBLANK(tbl_task9[[คะแนนเต็ม]:[คะแนนเต็ม]]),"",(tbl_task9[104]/tbl_task9[[คะแนนเต็ม]:[คะแนนเต็ม]])*tbl_task9[[%]:[%]])</f>
        <v/>
      </c>
      <c r="JO24" s="121" t="str">
        <f>IF(ISBLANK(tbl_task9[[คะแนนเต็ม]:[คะแนนเต็ม]]),"",(tbl_task9[105]/tbl_task9[[คะแนนเต็ม]:[คะแนนเต็ม]])*tbl_task9[[%]:[%]])</f>
        <v/>
      </c>
      <c r="JP24" s="121" t="str">
        <f>IF(ISBLANK(tbl_task9[[คะแนนเต็ม]:[คะแนนเต็ม]]),"",(tbl_task9[106]/tbl_task9[[คะแนนเต็ม]:[คะแนนเต็ม]])*tbl_task9[[%]:[%]])</f>
        <v/>
      </c>
      <c r="JQ24" s="121" t="str">
        <f>IF(ISBLANK(tbl_task9[[คะแนนเต็ม]:[คะแนนเต็ม]]),"",(tbl_task9[107]/tbl_task9[[คะแนนเต็ม]:[คะแนนเต็ม]])*tbl_task9[[%]:[%]])</f>
        <v/>
      </c>
      <c r="JR24" s="121" t="str">
        <f>IF(ISBLANK(tbl_task9[[คะแนนเต็ม]:[คะแนนเต็ม]]),"",(tbl_task9[108]/tbl_task9[[คะแนนเต็ม]:[คะแนนเต็ม]])*tbl_task9[[%]:[%]])</f>
        <v/>
      </c>
      <c r="JS24" s="121" t="str">
        <f>IF(ISBLANK(tbl_task9[[คะแนนเต็ม]:[คะแนนเต็ม]]),"",(tbl_task9[109]/tbl_task9[[คะแนนเต็ม]:[คะแนนเต็ม]])*tbl_task9[[%]:[%]])</f>
        <v/>
      </c>
      <c r="JT24" s="121" t="str">
        <f>IF(ISBLANK(tbl_task9[[คะแนนเต็ม]:[คะแนนเต็ม]]),"",(tbl_task9[110]/tbl_task9[[คะแนนเต็ม]:[คะแนนเต็ม]])*tbl_task9[[%]:[%]])</f>
        <v/>
      </c>
      <c r="JU24" s="121" t="str">
        <f>IF(ISBLANK(tbl_task9[[คะแนนเต็ม]:[คะแนนเต็ม]]),"",(tbl_task9[111]/tbl_task9[[คะแนนเต็ม]:[คะแนนเต็ม]])*tbl_task9[[%]:[%]])</f>
        <v/>
      </c>
      <c r="JV24" s="121" t="str">
        <f>IF(ISBLANK(tbl_task9[[คะแนนเต็ม]:[คะแนนเต็ม]]),"",(tbl_task9[112]/tbl_task9[[คะแนนเต็ม]:[คะแนนเต็ม]])*tbl_task9[[%]:[%]])</f>
        <v/>
      </c>
      <c r="JW24" s="121" t="str">
        <f>IF(ISBLANK(tbl_task9[[คะแนนเต็ม]:[คะแนนเต็ม]]),"",(tbl_task9[113]/tbl_task9[[คะแนนเต็ม]:[คะแนนเต็ม]])*tbl_task9[[%]:[%]])</f>
        <v/>
      </c>
      <c r="JX24" s="121" t="str">
        <f>IF(ISBLANK(tbl_task9[[คะแนนเต็ม]:[คะแนนเต็ม]]),"",(tbl_task9[114]/tbl_task9[[คะแนนเต็ม]:[คะแนนเต็ม]])*tbl_task9[[%]:[%]])</f>
        <v/>
      </c>
      <c r="JY24" s="121" t="str">
        <f>IF(ISBLANK(tbl_task9[[คะแนนเต็ม]:[คะแนนเต็ม]]),"",(tbl_task9[115]/tbl_task9[[คะแนนเต็ม]:[คะแนนเต็ม]])*tbl_task9[[%]:[%]])</f>
        <v/>
      </c>
      <c r="JZ24" s="121" t="str">
        <f>IF(ISBLANK(tbl_task9[[คะแนนเต็ม]:[คะแนนเต็ม]]),"",(tbl_task9[116]/tbl_task9[[คะแนนเต็ม]:[คะแนนเต็ม]])*tbl_task9[[%]:[%]])</f>
        <v/>
      </c>
      <c r="KA24" s="121" t="str">
        <f>IF(ISBLANK(tbl_task9[[คะแนนเต็ม]:[คะแนนเต็ม]]),"",(tbl_task9[117]/tbl_task9[[คะแนนเต็ม]:[คะแนนเต็ม]])*tbl_task9[[%]:[%]])</f>
        <v/>
      </c>
      <c r="KB24" s="121" t="str">
        <f>IF(ISBLANK(tbl_task9[[คะแนนเต็ม]:[คะแนนเต็ม]]),"",(tbl_task9[118]/tbl_task9[[คะแนนเต็ม]:[คะแนนเต็ม]])*tbl_task9[[%]:[%]])</f>
        <v/>
      </c>
      <c r="KC24" s="121" t="str">
        <f>IF(ISBLANK(tbl_task9[[คะแนนเต็ม]:[คะแนนเต็ม]]),"",(tbl_task9[119]/tbl_task9[[คะแนนเต็ม]:[คะแนนเต็ม]])*tbl_task9[[%]:[%]])</f>
        <v/>
      </c>
      <c r="KD24" s="121" t="str">
        <f>IF(ISBLANK(tbl_task9[[คะแนนเต็ม]:[คะแนนเต็ม]]),"",(tbl_task9[120]/tbl_task9[[คะแนนเต็ม]:[คะแนนเต็ม]])*tbl_task9[[%]:[%]])</f>
        <v/>
      </c>
      <c r="KE24" s="121" t="str">
        <f>IF(ISBLANK(tbl_task9[[คะแนนเต็ม]:[คะแนนเต็ม]]),"",(tbl_task9[121]/tbl_task9[[คะแนนเต็ม]:[คะแนนเต็ม]])*tbl_task9[[%]:[%]])</f>
        <v/>
      </c>
      <c r="KF24" s="121" t="str">
        <f>IF(ISBLANK(tbl_task9[[คะแนนเต็ม]:[คะแนนเต็ม]]),"",(tbl_task9[122]/tbl_task9[[คะแนนเต็ม]:[คะแนนเต็ม]])*tbl_task9[[%]:[%]])</f>
        <v/>
      </c>
      <c r="KG24" s="121" t="str">
        <f>IF(ISBLANK(tbl_task9[[คะแนนเต็ม]:[คะแนนเต็ม]]),"",(tbl_task9[123]/tbl_task9[[คะแนนเต็ม]:[คะแนนเต็ม]])*tbl_task9[[%]:[%]])</f>
        <v/>
      </c>
      <c r="KH24" s="121" t="str">
        <f>IF(ISBLANK(tbl_task9[[คะแนนเต็ม]:[คะแนนเต็ม]]),"",(tbl_task9[124]/tbl_task9[[คะแนนเต็ม]:[คะแนนเต็ม]])*tbl_task9[[%]:[%]])</f>
        <v/>
      </c>
      <c r="KI24" s="121" t="str">
        <f>IF(ISBLANK(tbl_task9[[คะแนนเต็ม]:[คะแนนเต็ม]]),"",(tbl_task9[125]/tbl_task9[[คะแนนเต็ม]:[คะแนนเต็ม]])*tbl_task9[[%]:[%]])</f>
        <v/>
      </c>
      <c r="KJ24" s="121" t="str">
        <f>IF(ISBLANK(tbl_task9[[คะแนนเต็ม]:[คะแนนเต็ม]]),"",(tbl_task9[126]/tbl_task9[[คะแนนเต็ม]:[คะแนนเต็ม]])*tbl_task9[[%]:[%]])</f>
        <v/>
      </c>
      <c r="KK24" s="121" t="str">
        <f>IF(ISBLANK(tbl_task9[[คะแนนเต็ม]:[คะแนนเต็ม]]),"",(tbl_task9[127]/tbl_task9[[คะแนนเต็ม]:[คะแนนเต็ม]])*tbl_task9[[%]:[%]])</f>
        <v/>
      </c>
      <c r="KL24" s="121" t="str">
        <f>IF(ISBLANK(tbl_task9[[คะแนนเต็ม]:[คะแนนเต็ม]]),"",(tbl_task9[128]/tbl_task9[[คะแนนเต็ม]:[คะแนนเต็ม]])*tbl_task9[[%]:[%]])</f>
        <v/>
      </c>
      <c r="KM24" s="121" t="str">
        <f>IF(ISBLANK(tbl_task9[[คะแนนเต็ม]:[คะแนนเต็ม]]),"",(tbl_task9[129]/tbl_task9[[คะแนนเต็ม]:[คะแนนเต็ม]])*tbl_task9[[%]:[%]])</f>
        <v/>
      </c>
      <c r="KN24" s="121" t="str">
        <f>IF(ISBLANK(tbl_task9[[คะแนนเต็ม]:[คะแนนเต็ม]]),"",(tbl_task9[130]/tbl_task9[[คะแนนเต็ม]:[คะแนนเต็ม]])*tbl_task9[[%]:[%]])</f>
        <v/>
      </c>
      <c r="KO24" s="121" t="str">
        <f>IF(ISBLANK(tbl_task9[[คะแนนเต็ม]:[คะแนนเต็ม]]),"",(tbl_task9[131]/tbl_task9[[คะแนนเต็ม]:[คะแนนเต็ม]])*tbl_task9[[%]:[%]])</f>
        <v/>
      </c>
      <c r="KP24" s="121" t="str">
        <f>IF(ISBLANK(tbl_task9[[คะแนนเต็ม]:[คะแนนเต็ม]]),"",(tbl_task9[132]/tbl_task9[[คะแนนเต็ม]:[คะแนนเต็ม]])*tbl_task9[[%]:[%]])</f>
        <v/>
      </c>
      <c r="KQ24" s="121" t="str">
        <f>IF(ISBLANK(tbl_task9[[คะแนนเต็ม]:[คะแนนเต็ม]]),"",(tbl_task9[133]/tbl_task9[[คะแนนเต็ม]:[คะแนนเต็ม]])*tbl_task9[[%]:[%]])</f>
        <v/>
      </c>
      <c r="KR24" s="121" t="str">
        <f>IF(ISBLANK(tbl_task9[[คะแนนเต็ม]:[คะแนนเต็ม]]),"",(tbl_task9[134]/tbl_task9[[คะแนนเต็ม]:[คะแนนเต็ม]])*tbl_task9[[%]:[%]])</f>
        <v/>
      </c>
      <c r="KS24" s="121" t="str">
        <f>IF(ISBLANK(tbl_task9[[คะแนนเต็ม]:[คะแนนเต็ม]]),"",(tbl_task9[135]/tbl_task9[[คะแนนเต็ม]:[คะแนนเต็ม]])*tbl_task9[[%]:[%]])</f>
        <v/>
      </c>
      <c r="KT24" s="121" t="str">
        <f>IF(ISBLANK(tbl_task9[[คะแนนเต็ม]:[คะแนนเต็ม]]),"",(tbl_task9[136]/tbl_task9[[คะแนนเต็ม]:[คะแนนเต็ม]])*tbl_task9[[%]:[%]])</f>
        <v/>
      </c>
      <c r="KU24" s="121" t="str">
        <f>IF(ISBLANK(tbl_task9[[คะแนนเต็ม]:[คะแนนเต็ม]]),"",(tbl_task9[137]/tbl_task9[[คะแนนเต็ม]:[คะแนนเต็ม]])*tbl_task9[[%]:[%]])</f>
        <v/>
      </c>
      <c r="KV24" s="121" t="str">
        <f>IF(ISBLANK(tbl_task9[[คะแนนเต็ม]:[คะแนนเต็ม]]),"",(tbl_task9[138]/tbl_task9[[คะแนนเต็ม]:[คะแนนเต็ม]])*tbl_task9[[%]:[%]])</f>
        <v/>
      </c>
      <c r="KW24" s="121" t="str">
        <f>IF(ISBLANK(tbl_task9[[คะแนนเต็ม]:[คะแนนเต็ม]]),"",(tbl_task9[139]/tbl_task9[[คะแนนเต็ม]:[คะแนนเต็ม]])*tbl_task9[[%]:[%]])</f>
        <v/>
      </c>
      <c r="KX24" s="121" t="str">
        <f>IF(ISBLANK(tbl_task9[[คะแนนเต็ม]:[คะแนนเต็ม]]),"",(tbl_task9[140]/tbl_task9[[คะแนนเต็ม]:[คะแนนเต็ม]])*tbl_task9[[%]:[%]])</f>
        <v/>
      </c>
      <c r="KY24" s="121" t="str">
        <f>IF(ISBLANK(tbl_task9[[คะแนนเต็ม]:[คะแนนเต็ม]]),"",(tbl_task9[141]/tbl_task9[[คะแนนเต็ม]:[คะแนนเต็ม]])*tbl_task9[[%]:[%]])</f>
        <v/>
      </c>
      <c r="KZ24" s="121" t="str">
        <f>IF(ISBLANK(tbl_task9[[คะแนนเต็ม]:[คะแนนเต็ม]]),"",(tbl_task9[142]/tbl_task9[[คะแนนเต็ม]:[คะแนนเต็ม]])*tbl_task9[[%]:[%]])</f>
        <v/>
      </c>
      <c r="LA24" s="121" t="str">
        <f>IF(ISBLANK(tbl_task9[[คะแนนเต็ม]:[คะแนนเต็ม]]),"",(tbl_task9[143]/tbl_task9[[คะแนนเต็ม]:[คะแนนเต็ม]])*tbl_task9[[%]:[%]])</f>
        <v/>
      </c>
      <c r="LB24" s="121" t="str">
        <f>IF(ISBLANK(tbl_task9[[คะแนนเต็ม]:[คะแนนเต็ม]]),"",(tbl_task9[144]/tbl_task9[[คะแนนเต็ม]:[คะแนนเต็ม]])*tbl_task9[[%]:[%]])</f>
        <v/>
      </c>
      <c r="LC24" s="121" t="str">
        <f>IF(ISBLANK(tbl_task9[[คะแนนเต็ม]:[คะแนนเต็ม]]),"",(tbl_task9[145]/tbl_task9[[คะแนนเต็ม]:[คะแนนเต็ม]])*tbl_task9[[%]:[%]])</f>
        <v/>
      </c>
      <c r="LD24" s="121" t="str">
        <f>IF(ISBLANK(tbl_task9[[คะแนนเต็ม]:[คะแนนเต็ม]]),"",(tbl_task9[146]/tbl_task9[[คะแนนเต็ม]:[คะแนนเต็ม]])*tbl_task9[[%]:[%]])</f>
        <v/>
      </c>
      <c r="LE24" s="121" t="str">
        <f>IF(ISBLANK(tbl_task9[[คะแนนเต็ม]:[คะแนนเต็ม]]),"",(tbl_task9[147]/tbl_task9[[คะแนนเต็ม]:[คะแนนเต็ม]])*tbl_task9[[%]:[%]])</f>
        <v/>
      </c>
      <c r="LF24" s="121" t="str">
        <f>IF(ISBLANK(tbl_task9[[คะแนนเต็ม]:[คะแนนเต็ม]]),"",(tbl_task9[148]/tbl_task9[[คะแนนเต็ม]:[คะแนนเต็ม]])*tbl_task9[[%]:[%]])</f>
        <v/>
      </c>
      <c r="LG24" s="121" t="str">
        <f>IF(ISBLANK(tbl_task9[[คะแนนเต็ม]:[คะแนนเต็ม]]),"",(tbl_task9[149]/tbl_task9[[คะแนนเต็ม]:[คะแนนเต็ม]])*tbl_task9[[%]:[%]])</f>
        <v/>
      </c>
      <c r="LH24" s="121" t="str">
        <f>IF(ISBLANK(tbl_task9[[คะแนนเต็ม]:[คะแนนเต็ม]]),"",(tbl_task9[150]/tbl_task9[[คะแนนเต็ม]:[คะแนนเต็ม]])*tbl_task9[[%]:[%]])</f>
        <v/>
      </c>
      <c r="LI24" s="121" t="str">
        <f>IF(ISBLANK(tbl_task9[[คะแนนเต็ม]:[คะแนนเต็ม]]),"",(tbl_task9[151]/tbl_task9[[คะแนนเต็ม]:[คะแนนเต็ม]])*tbl_task9[[%]:[%]])</f>
        <v/>
      </c>
      <c r="LJ24" s="121" t="str">
        <f>IF(ISBLANK(tbl_task9[[คะแนนเต็ม]:[คะแนนเต็ม]]),"",(tbl_task9[152]/tbl_task9[[คะแนนเต็ม]:[คะแนนเต็ม]])*tbl_task9[[%]:[%]])</f>
        <v/>
      </c>
      <c r="LK24" s="121" t="str">
        <f>IF(ISBLANK(tbl_task9[[คะแนนเต็ม]:[คะแนนเต็ม]]),"",(tbl_task9[153]/tbl_task9[[คะแนนเต็ม]:[คะแนนเต็ม]])*tbl_task9[[%]:[%]])</f>
        <v/>
      </c>
      <c r="LL24" s="121" t="str">
        <f>IF(ISBLANK(tbl_task9[[คะแนนเต็ม]:[คะแนนเต็ม]]),"",(tbl_task9[154]/tbl_task9[[คะแนนเต็ม]:[คะแนนเต็ม]])*tbl_task9[[%]:[%]])</f>
        <v/>
      </c>
      <c r="LM24" s="121" t="str">
        <f>IF(ISBLANK(tbl_task9[[คะแนนเต็ม]:[คะแนนเต็ม]]),"",(tbl_task9[155]/tbl_task9[[คะแนนเต็ม]:[คะแนนเต็ม]])*tbl_task9[[%]:[%]])</f>
        <v/>
      </c>
      <c r="LN24" s="121" t="str">
        <f>IF(ISBLANK(tbl_task9[[คะแนนเต็ม]:[คะแนนเต็ม]]),"",(tbl_task9[156]/tbl_task9[[คะแนนเต็ม]:[คะแนนเต็ม]])*tbl_task9[[%]:[%]])</f>
        <v/>
      </c>
      <c r="LO24" s="121" t="str">
        <f>IF(ISBLANK(tbl_task9[[คะแนนเต็ม]:[คะแนนเต็ม]]),"",(tbl_task9[157]/tbl_task9[[คะแนนเต็ม]:[คะแนนเต็ม]])*tbl_task9[[%]:[%]])</f>
        <v/>
      </c>
      <c r="LP24" s="121" t="str">
        <f>IF(ISBLANK(tbl_task9[[คะแนนเต็ม]:[คะแนนเต็ม]]),"",(tbl_task9[158]/tbl_task9[[คะแนนเต็ม]:[คะแนนเต็ม]])*tbl_task9[[%]:[%]])</f>
        <v/>
      </c>
      <c r="LQ24" s="121" t="str">
        <f>IF(ISBLANK(tbl_task9[[คะแนนเต็ม]:[คะแนนเต็ม]]),"",(tbl_task9[159]/tbl_task9[[คะแนนเต็ม]:[คะแนนเต็ม]])*tbl_task9[[%]:[%]])</f>
        <v/>
      </c>
      <c r="LR24" s="121" t="str">
        <f>IF(ISBLANK(tbl_task9[[คะแนนเต็ม]:[คะแนนเต็ม]]),"",(tbl_task9[160]/tbl_task9[[คะแนนเต็ม]:[คะแนนเต็ม]])*tbl_task9[[%]:[%]])</f>
        <v/>
      </c>
      <c r="LS24" s="121" t="str">
        <f>IF(ISBLANK(tbl_task9[[คะแนนเต็ม]:[คะแนนเต็ม]]),"",(tbl_task9[161]/tbl_task9[[คะแนนเต็ม]:[คะแนนเต็ม]])*tbl_task9[[%]:[%]])</f>
        <v/>
      </c>
      <c r="LT24" s="121" t="str">
        <f>IF(ISBLANK(tbl_task9[[คะแนนเต็ม]:[คะแนนเต็ม]]),"",(tbl_task9[162]/tbl_task9[[คะแนนเต็ม]:[คะแนนเต็ม]])*tbl_task9[[%]:[%]])</f>
        <v/>
      </c>
      <c r="LU24" s="121" t="str">
        <f>IF(ISBLANK(tbl_task9[[คะแนนเต็ม]:[คะแนนเต็ม]]),"",(tbl_task9[163]/tbl_task9[[คะแนนเต็ม]:[คะแนนเต็ม]])*tbl_task9[[%]:[%]])</f>
        <v/>
      </c>
      <c r="LV24" s="121" t="str">
        <f>IF(ISBLANK(tbl_task9[[คะแนนเต็ม]:[คะแนนเต็ม]]),"",(tbl_task9[164]/tbl_task9[[คะแนนเต็ม]:[คะแนนเต็ม]])*tbl_task9[[%]:[%]])</f>
        <v/>
      </c>
      <c r="LW24" s="121" t="str">
        <f>IF(ISBLANK(tbl_task9[[คะแนนเต็ม]:[คะแนนเต็ม]]),"",(tbl_task9[165]/tbl_task9[[คะแนนเต็ม]:[คะแนนเต็ม]])*tbl_task9[[%]:[%]])</f>
        <v/>
      </c>
    </row>
    <row r="25" spans="1:335" ht="24" customHeight="1" x14ac:dyDescent="0.25">
      <c r="A25" s="24">
        <v>22</v>
      </c>
      <c r="B25" s="20"/>
      <c r="C25" s="5" t="str">
        <f>IF(ISBLANK(B25),"",VLOOKUP(B25,tbl_PLOs[],2,0))</f>
        <v/>
      </c>
      <c r="D25" s="102"/>
      <c r="E25" s="106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21" t="str">
        <f>IF(ISBLANK(tbl_task9[[คะแนนเต็ม]:[คะแนนเต็ม]]),"",(tbl_task9[1]/tbl_task9[[คะแนนเต็ม]:[คะแนนเต็ม]])*tbl_task9[[%]:[%]])</f>
        <v/>
      </c>
      <c r="FP25" s="121" t="str">
        <f>IF(ISBLANK(tbl_task9[[คะแนนเต็ม]:[คะแนนเต็ม]]),"",(tbl_task9[2]/tbl_task9[[คะแนนเต็ม]:[คะแนนเต็ม]])*tbl_task9[[%]:[%]])</f>
        <v/>
      </c>
      <c r="FQ25" s="121" t="str">
        <f>IF(ISBLANK(tbl_task9[[คะแนนเต็ม]:[คะแนนเต็ม]]),"",(tbl_task9[3]/tbl_task9[[คะแนนเต็ม]:[คะแนนเต็ม]])*tbl_task9[[%]:[%]])</f>
        <v/>
      </c>
      <c r="FR25" s="121" t="str">
        <f>IF(ISBLANK(tbl_task9[[คะแนนเต็ม]:[คะแนนเต็ม]]),"",(tbl_task9[4]/tbl_task9[[คะแนนเต็ม]:[คะแนนเต็ม]])*tbl_task9[[%]:[%]])</f>
        <v/>
      </c>
      <c r="FS25" s="121" t="str">
        <f>IF(ISBLANK(tbl_task9[[คะแนนเต็ม]:[คะแนนเต็ม]]),"",(tbl_task9[5]/tbl_task9[[คะแนนเต็ม]:[คะแนนเต็ม]])*tbl_task9[[%]:[%]])</f>
        <v/>
      </c>
      <c r="FT25" s="121" t="str">
        <f>IF(ISBLANK(tbl_task9[[คะแนนเต็ม]:[คะแนนเต็ม]]),"",(tbl_task9[6]/tbl_task9[[คะแนนเต็ม]:[คะแนนเต็ม]])*tbl_task9[[%]:[%]])</f>
        <v/>
      </c>
      <c r="FU25" s="121" t="str">
        <f>IF(ISBLANK(tbl_task9[[คะแนนเต็ม]:[คะแนนเต็ม]]),"",(tbl_task9[7]/tbl_task9[[คะแนนเต็ม]:[คะแนนเต็ม]])*tbl_task9[[%]:[%]])</f>
        <v/>
      </c>
      <c r="FV25" s="121" t="str">
        <f>IF(ISBLANK(tbl_task9[[คะแนนเต็ม]:[คะแนนเต็ม]]),"",(tbl_task9[8]/tbl_task9[[คะแนนเต็ม]:[คะแนนเต็ม]])*tbl_task9[[%]:[%]])</f>
        <v/>
      </c>
      <c r="FW25" s="121" t="str">
        <f>IF(ISBLANK(tbl_task9[[คะแนนเต็ม]:[คะแนนเต็ม]]),"",(tbl_task9[9]/tbl_task9[[คะแนนเต็ม]:[คะแนนเต็ม]])*tbl_task9[[%]:[%]])</f>
        <v/>
      </c>
      <c r="FX25" s="121" t="str">
        <f>IF(ISBLANK(tbl_task9[[คะแนนเต็ม]:[คะแนนเต็ม]]),"",(tbl_task9[10]/tbl_task9[[คะแนนเต็ม]:[คะแนนเต็ม]])*tbl_task9[[%]:[%]])</f>
        <v/>
      </c>
      <c r="FY25" s="121" t="str">
        <f>IF(ISBLANK(tbl_task9[[คะแนนเต็ม]:[คะแนนเต็ม]]),"",(tbl_task9[11]/tbl_task9[[คะแนนเต็ม]:[คะแนนเต็ม]])*tbl_task9[[%]:[%]])</f>
        <v/>
      </c>
      <c r="FZ25" s="121" t="str">
        <f>IF(ISBLANK(tbl_task9[[คะแนนเต็ม]:[คะแนนเต็ม]]),"",(tbl_task9[12]/tbl_task9[[คะแนนเต็ม]:[คะแนนเต็ม]])*tbl_task9[[%]:[%]])</f>
        <v/>
      </c>
      <c r="GA25" s="121" t="str">
        <f>IF(ISBLANK(tbl_task9[[คะแนนเต็ม]:[คะแนนเต็ม]]),"",(tbl_task9[13]/tbl_task9[[คะแนนเต็ม]:[คะแนนเต็ม]])*tbl_task9[[%]:[%]])</f>
        <v/>
      </c>
      <c r="GB25" s="121" t="str">
        <f>IF(ISBLANK(tbl_task9[[คะแนนเต็ม]:[คะแนนเต็ม]]),"",(tbl_task9[14]/tbl_task9[[คะแนนเต็ม]:[คะแนนเต็ม]])*tbl_task9[[%]:[%]])</f>
        <v/>
      </c>
      <c r="GC25" s="121" t="str">
        <f>IF(ISBLANK(tbl_task9[[คะแนนเต็ม]:[คะแนนเต็ม]]),"",(tbl_task9[15]/tbl_task9[[คะแนนเต็ม]:[คะแนนเต็ม]])*tbl_task9[[%]:[%]])</f>
        <v/>
      </c>
      <c r="GD25" s="121" t="str">
        <f>IF(ISBLANK(tbl_task9[[คะแนนเต็ม]:[คะแนนเต็ม]]),"",(tbl_task9[16]/tbl_task9[[คะแนนเต็ม]:[คะแนนเต็ม]])*tbl_task9[[%]:[%]])</f>
        <v/>
      </c>
      <c r="GE25" s="121" t="str">
        <f>IF(ISBLANK(tbl_task9[[คะแนนเต็ม]:[คะแนนเต็ม]]),"",(tbl_task9[17]/tbl_task9[[คะแนนเต็ม]:[คะแนนเต็ม]])*tbl_task9[[%]:[%]])</f>
        <v/>
      </c>
      <c r="GF25" s="121" t="str">
        <f>IF(ISBLANK(tbl_task9[[คะแนนเต็ม]:[คะแนนเต็ม]]),"",(tbl_task9[18]/tbl_task9[[คะแนนเต็ม]:[คะแนนเต็ม]])*tbl_task9[[%]:[%]])</f>
        <v/>
      </c>
      <c r="GG25" s="121" t="str">
        <f>IF(ISBLANK(tbl_task9[[คะแนนเต็ม]:[คะแนนเต็ม]]),"",(tbl_task9[19]/tbl_task9[[คะแนนเต็ม]:[คะแนนเต็ม]])*tbl_task9[[%]:[%]])</f>
        <v/>
      </c>
      <c r="GH25" s="121" t="str">
        <f>IF(ISBLANK(tbl_task9[[คะแนนเต็ม]:[คะแนนเต็ม]]),"",(tbl_task9[20]/tbl_task9[[คะแนนเต็ม]:[คะแนนเต็ม]])*tbl_task9[[%]:[%]])</f>
        <v/>
      </c>
      <c r="GI25" s="121" t="str">
        <f>IF(ISBLANK(tbl_task9[[คะแนนเต็ม]:[คะแนนเต็ม]]),"",(tbl_task9[21]/tbl_task9[[คะแนนเต็ม]:[คะแนนเต็ม]])*tbl_task9[[%]:[%]])</f>
        <v/>
      </c>
      <c r="GJ25" s="121" t="str">
        <f>IF(ISBLANK(tbl_task9[[คะแนนเต็ม]:[คะแนนเต็ม]]),"",(tbl_task9[22]/tbl_task9[[คะแนนเต็ม]:[คะแนนเต็ม]])*tbl_task9[[%]:[%]])</f>
        <v/>
      </c>
      <c r="GK25" s="121" t="str">
        <f>IF(ISBLANK(tbl_task9[[คะแนนเต็ม]:[คะแนนเต็ม]]),"",(tbl_task9[23]/tbl_task9[[คะแนนเต็ม]:[คะแนนเต็ม]])*tbl_task9[[%]:[%]])</f>
        <v/>
      </c>
      <c r="GL25" s="121" t="str">
        <f>IF(ISBLANK(tbl_task9[[คะแนนเต็ม]:[คะแนนเต็ม]]),"",(tbl_task9[24]/tbl_task9[[คะแนนเต็ม]:[คะแนนเต็ม]])*tbl_task9[[%]:[%]])</f>
        <v/>
      </c>
      <c r="GM25" s="121" t="str">
        <f>IF(ISBLANK(tbl_task9[[คะแนนเต็ม]:[คะแนนเต็ม]]),"",(tbl_task9[25]/tbl_task9[[คะแนนเต็ม]:[คะแนนเต็ม]])*tbl_task9[[%]:[%]])</f>
        <v/>
      </c>
      <c r="GN25" s="121" t="str">
        <f>IF(ISBLANK(tbl_task9[[คะแนนเต็ม]:[คะแนนเต็ม]]),"",(tbl_task9[26]/tbl_task9[[คะแนนเต็ม]:[คะแนนเต็ม]])*tbl_task9[[%]:[%]])</f>
        <v/>
      </c>
      <c r="GO25" s="121" t="str">
        <f>IF(ISBLANK(tbl_task9[[คะแนนเต็ม]:[คะแนนเต็ม]]),"",(tbl_task9[27]/tbl_task9[[คะแนนเต็ม]:[คะแนนเต็ม]])*tbl_task9[[%]:[%]])</f>
        <v/>
      </c>
      <c r="GP25" s="121" t="str">
        <f>IF(ISBLANK(tbl_task9[[คะแนนเต็ม]:[คะแนนเต็ม]]),"",(tbl_task9[28]/tbl_task9[[คะแนนเต็ม]:[คะแนนเต็ม]])*tbl_task9[[%]:[%]])</f>
        <v/>
      </c>
      <c r="GQ25" s="121" t="str">
        <f>IF(ISBLANK(tbl_task9[[คะแนนเต็ม]:[คะแนนเต็ม]]),"",(tbl_task9[29]/tbl_task9[[คะแนนเต็ม]:[คะแนนเต็ม]])*tbl_task9[[%]:[%]])</f>
        <v/>
      </c>
      <c r="GR25" s="121" t="str">
        <f>IF(ISBLANK(tbl_task9[[คะแนนเต็ม]:[คะแนนเต็ม]]),"",(tbl_task9[30]/tbl_task9[[คะแนนเต็ม]:[คะแนนเต็ม]])*tbl_task9[[%]:[%]])</f>
        <v/>
      </c>
      <c r="GS25" s="121" t="str">
        <f>IF(ISBLANK(tbl_task9[[คะแนนเต็ม]:[คะแนนเต็ม]]),"",(tbl_task9[31]/tbl_task9[[คะแนนเต็ม]:[คะแนนเต็ม]])*tbl_task9[[%]:[%]])</f>
        <v/>
      </c>
      <c r="GT25" s="121" t="str">
        <f>IF(ISBLANK(tbl_task9[[คะแนนเต็ม]:[คะแนนเต็ม]]),"",(tbl_task9[32]/tbl_task9[[คะแนนเต็ม]:[คะแนนเต็ม]])*tbl_task9[[%]:[%]])</f>
        <v/>
      </c>
      <c r="GU25" s="121" t="str">
        <f>IF(ISBLANK(tbl_task9[[คะแนนเต็ม]:[คะแนนเต็ม]]),"",(tbl_task9[33]/tbl_task9[[คะแนนเต็ม]:[คะแนนเต็ม]])*tbl_task9[[%]:[%]])</f>
        <v/>
      </c>
      <c r="GV25" s="121" t="str">
        <f>IF(ISBLANK(tbl_task9[[คะแนนเต็ม]:[คะแนนเต็ม]]),"",(tbl_task9[34]/tbl_task9[[คะแนนเต็ม]:[คะแนนเต็ม]])*tbl_task9[[%]:[%]])</f>
        <v/>
      </c>
      <c r="GW25" s="121" t="str">
        <f>IF(ISBLANK(tbl_task9[[คะแนนเต็ม]:[คะแนนเต็ม]]),"",(tbl_task9[35]/tbl_task9[[คะแนนเต็ม]:[คะแนนเต็ม]])*tbl_task9[[%]:[%]])</f>
        <v/>
      </c>
      <c r="GX25" s="121" t="str">
        <f>IF(ISBLANK(tbl_task9[[คะแนนเต็ม]:[คะแนนเต็ม]]),"",(tbl_task9[36]/tbl_task9[[คะแนนเต็ม]:[คะแนนเต็ม]])*tbl_task9[[%]:[%]])</f>
        <v/>
      </c>
      <c r="GY25" s="121" t="str">
        <f>IF(ISBLANK(tbl_task9[[คะแนนเต็ม]:[คะแนนเต็ม]]),"",(tbl_task9[37]/tbl_task9[[คะแนนเต็ม]:[คะแนนเต็ม]])*tbl_task9[[%]:[%]])</f>
        <v/>
      </c>
      <c r="GZ25" s="121" t="str">
        <f>IF(ISBLANK(tbl_task9[[คะแนนเต็ม]:[คะแนนเต็ม]]),"",(tbl_task9[38]/tbl_task9[[คะแนนเต็ม]:[คะแนนเต็ม]])*tbl_task9[[%]:[%]])</f>
        <v/>
      </c>
      <c r="HA25" s="121" t="str">
        <f>IF(ISBLANK(tbl_task9[[คะแนนเต็ม]:[คะแนนเต็ม]]),"",(tbl_task9[39]/tbl_task9[[คะแนนเต็ม]:[คะแนนเต็ม]])*tbl_task9[[%]:[%]])</f>
        <v/>
      </c>
      <c r="HB25" s="121" t="str">
        <f>IF(ISBLANK(tbl_task9[[คะแนนเต็ม]:[คะแนนเต็ม]]),"",(tbl_task9[40]/tbl_task9[[คะแนนเต็ม]:[คะแนนเต็ม]])*tbl_task9[[%]:[%]])</f>
        <v/>
      </c>
      <c r="HC25" s="121" t="str">
        <f>IF(ISBLANK(tbl_task9[[คะแนนเต็ม]:[คะแนนเต็ม]]),"",(tbl_task9[41]/tbl_task9[[คะแนนเต็ม]:[คะแนนเต็ม]])*tbl_task9[[%]:[%]])</f>
        <v/>
      </c>
      <c r="HD25" s="121" t="str">
        <f>IF(ISBLANK(tbl_task9[[คะแนนเต็ม]:[คะแนนเต็ม]]),"",(tbl_task9[42]/tbl_task9[[คะแนนเต็ม]:[คะแนนเต็ม]])*tbl_task9[[%]:[%]])</f>
        <v/>
      </c>
      <c r="HE25" s="121" t="str">
        <f>IF(ISBLANK(tbl_task9[[คะแนนเต็ม]:[คะแนนเต็ม]]),"",(tbl_task9[43]/tbl_task9[[คะแนนเต็ม]:[คะแนนเต็ม]])*tbl_task9[[%]:[%]])</f>
        <v/>
      </c>
      <c r="HF25" s="121" t="str">
        <f>IF(ISBLANK(tbl_task9[[คะแนนเต็ม]:[คะแนนเต็ม]]),"",(tbl_task9[44]/tbl_task9[[คะแนนเต็ม]:[คะแนนเต็ม]])*tbl_task9[[%]:[%]])</f>
        <v/>
      </c>
      <c r="HG25" s="121" t="str">
        <f>IF(ISBLANK(tbl_task9[[คะแนนเต็ม]:[คะแนนเต็ม]]),"",(tbl_task9[45]/tbl_task9[[คะแนนเต็ม]:[คะแนนเต็ม]])*tbl_task9[[%]:[%]])</f>
        <v/>
      </c>
      <c r="HH25" s="121" t="str">
        <f>IF(ISBLANK(tbl_task9[[คะแนนเต็ม]:[คะแนนเต็ม]]),"",(tbl_task9[46]/tbl_task9[[คะแนนเต็ม]:[คะแนนเต็ม]])*tbl_task9[[%]:[%]])</f>
        <v/>
      </c>
      <c r="HI25" s="121" t="str">
        <f>IF(ISBLANK(tbl_task9[[คะแนนเต็ม]:[คะแนนเต็ม]]),"",(tbl_task9[47]/tbl_task9[[คะแนนเต็ม]:[คะแนนเต็ม]])*tbl_task9[[%]:[%]])</f>
        <v/>
      </c>
      <c r="HJ25" s="121" t="str">
        <f>IF(ISBLANK(tbl_task9[[คะแนนเต็ม]:[คะแนนเต็ม]]),"",(tbl_task9[48]/tbl_task9[[คะแนนเต็ม]:[คะแนนเต็ม]])*tbl_task9[[%]:[%]])</f>
        <v/>
      </c>
      <c r="HK25" s="121" t="str">
        <f>IF(ISBLANK(tbl_task9[[คะแนนเต็ม]:[คะแนนเต็ม]]),"",(tbl_task9[49]/tbl_task9[[คะแนนเต็ม]:[คะแนนเต็ม]])*tbl_task9[[%]:[%]])</f>
        <v/>
      </c>
      <c r="HL25" s="121" t="str">
        <f>IF(ISBLANK(tbl_task9[[คะแนนเต็ม]:[คะแนนเต็ม]]),"",(tbl_task9[50]/tbl_task9[[คะแนนเต็ม]:[คะแนนเต็ม]])*tbl_task9[[%]:[%]])</f>
        <v/>
      </c>
      <c r="HM25" s="121" t="str">
        <f>IF(ISBLANK(tbl_task9[[คะแนนเต็ม]:[คะแนนเต็ม]]),"",(tbl_task9[51]/tbl_task9[[คะแนนเต็ม]:[คะแนนเต็ม]])*tbl_task9[[%]:[%]])</f>
        <v/>
      </c>
      <c r="HN25" s="121" t="str">
        <f>IF(ISBLANK(tbl_task9[[คะแนนเต็ม]:[คะแนนเต็ม]]),"",(tbl_task9[52]/tbl_task9[[คะแนนเต็ม]:[คะแนนเต็ม]])*tbl_task9[[%]:[%]])</f>
        <v/>
      </c>
      <c r="HO25" s="121" t="str">
        <f>IF(ISBLANK(tbl_task9[[คะแนนเต็ม]:[คะแนนเต็ม]]),"",(tbl_task9[53]/tbl_task9[[คะแนนเต็ม]:[คะแนนเต็ม]])*tbl_task9[[%]:[%]])</f>
        <v/>
      </c>
      <c r="HP25" s="121" t="str">
        <f>IF(ISBLANK(tbl_task9[[คะแนนเต็ม]:[คะแนนเต็ม]]),"",(tbl_task9[54]/tbl_task9[[คะแนนเต็ม]:[คะแนนเต็ม]])*tbl_task9[[%]:[%]])</f>
        <v/>
      </c>
      <c r="HQ25" s="121" t="str">
        <f>IF(ISBLANK(tbl_task9[[คะแนนเต็ม]:[คะแนนเต็ม]]),"",(tbl_task9[55]/tbl_task9[[คะแนนเต็ม]:[คะแนนเต็ม]])*tbl_task9[[%]:[%]])</f>
        <v/>
      </c>
      <c r="HR25" s="121" t="str">
        <f>IF(ISBLANK(tbl_task9[[คะแนนเต็ม]:[คะแนนเต็ม]]),"",(tbl_task9[56]/tbl_task9[[คะแนนเต็ม]:[คะแนนเต็ม]])*tbl_task9[[%]:[%]])</f>
        <v/>
      </c>
      <c r="HS25" s="121" t="str">
        <f>IF(ISBLANK(tbl_task9[[คะแนนเต็ม]:[คะแนนเต็ม]]),"",(tbl_task9[57]/tbl_task9[[คะแนนเต็ม]:[คะแนนเต็ม]])*tbl_task9[[%]:[%]])</f>
        <v/>
      </c>
      <c r="HT25" s="121" t="str">
        <f>IF(ISBLANK(tbl_task9[[คะแนนเต็ม]:[คะแนนเต็ม]]),"",(tbl_task9[58]/tbl_task9[[คะแนนเต็ม]:[คะแนนเต็ม]])*tbl_task9[[%]:[%]])</f>
        <v/>
      </c>
      <c r="HU25" s="121" t="str">
        <f>IF(ISBLANK(tbl_task9[[คะแนนเต็ม]:[คะแนนเต็ม]]),"",(tbl_task9[59]/tbl_task9[[คะแนนเต็ม]:[คะแนนเต็ม]])*tbl_task9[[%]:[%]])</f>
        <v/>
      </c>
      <c r="HV25" s="121" t="str">
        <f>IF(ISBLANK(tbl_task9[[คะแนนเต็ม]:[คะแนนเต็ม]]),"",(tbl_task9[60]/tbl_task9[[คะแนนเต็ม]:[คะแนนเต็ม]])*tbl_task9[[%]:[%]])</f>
        <v/>
      </c>
      <c r="HW25" s="121" t="str">
        <f>IF(ISBLANK(tbl_task9[[คะแนนเต็ม]:[คะแนนเต็ม]]),"",(tbl_task9[61]/tbl_task9[[คะแนนเต็ม]:[คะแนนเต็ม]])*tbl_task9[[%]:[%]])</f>
        <v/>
      </c>
      <c r="HX25" s="121" t="str">
        <f>IF(ISBLANK(tbl_task9[[คะแนนเต็ม]:[คะแนนเต็ม]]),"",(tbl_task9[62]/tbl_task9[[คะแนนเต็ม]:[คะแนนเต็ม]])*tbl_task9[[%]:[%]])</f>
        <v/>
      </c>
      <c r="HY25" s="121" t="str">
        <f>IF(ISBLANK(tbl_task9[[คะแนนเต็ม]:[คะแนนเต็ม]]),"",(tbl_task9[63]/tbl_task9[[คะแนนเต็ม]:[คะแนนเต็ม]])*tbl_task9[[%]:[%]])</f>
        <v/>
      </c>
      <c r="HZ25" s="121" t="str">
        <f>IF(ISBLANK(tbl_task9[[คะแนนเต็ม]:[คะแนนเต็ม]]),"",(tbl_task9[64]/tbl_task9[[คะแนนเต็ม]:[คะแนนเต็ม]])*tbl_task9[[%]:[%]])</f>
        <v/>
      </c>
      <c r="IA25" s="121" t="str">
        <f>IF(ISBLANK(tbl_task9[[คะแนนเต็ม]:[คะแนนเต็ม]]),"",(tbl_task9[65]/tbl_task9[[คะแนนเต็ม]:[คะแนนเต็ม]])*tbl_task9[[%]:[%]])</f>
        <v/>
      </c>
      <c r="IB25" s="121" t="str">
        <f>IF(ISBLANK(tbl_task9[[คะแนนเต็ม]:[คะแนนเต็ม]]),"",(tbl_task9[66]/tbl_task9[[คะแนนเต็ม]:[คะแนนเต็ม]])*tbl_task9[[%]:[%]])</f>
        <v/>
      </c>
      <c r="IC25" s="121" t="str">
        <f>IF(ISBLANK(tbl_task9[[คะแนนเต็ม]:[คะแนนเต็ม]]),"",(tbl_task9[67]/tbl_task9[[คะแนนเต็ม]:[คะแนนเต็ม]])*tbl_task9[[%]:[%]])</f>
        <v/>
      </c>
      <c r="ID25" s="121" t="str">
        <f>IF(ISBLANK(tbl_task9[[คะแนนเต็ม]:[คะแนนเต็ม]]),"",(tbl_task9[68]/tbl_task9[[คะแนนเต็ม]:[คะแนนเต็ม]])*tbl_task9[[%]:[%]])</f>
        <v/>
      </c>
      <c r="IE25" s="121" t="str">
        <f>IF(ISBLANK(tbl_task9[[คะแนนเต็ม]:[คะแนนเต็ม]]),"",(tbl_task9[69]/tbl_task9[[คะแนนเต็ม]:[คะแนนเต็ม]])*tbl_task9[[%]:[%]])</f>
        <v/>
      </c>
      <c r="IF25" s="121" t="str">
        <f>IF(ISBLANK(tbl_task9[[คะแนนเต็ม]:[คะแนนเต็ม]]),"",(tbl_task9[70]/tbl_task9[[คะแนนเต็ม]:[คะแนนเต็ม]])*tbl_task9[[%]:[%]])</f>
        <v/>
      </c>
      <c r="IG25" s="121" t="str">
        <f>IF(ISBLANK(tbl_task9[[คะแนนเต็ม]:[คะแนนเต็ม]]),"",(tbl_task9[71]/tbl_task9[[คะแนนเต็ม]:[คะแนนเต็ม]])*tbl_task9[[%]:[%]])</f>
        <v/>
      </c>
      <c r="IH25" s="121" t="str">
        <f>IF(ISBLANK(tbl_task9[[คะแนนเต็ม]:[คะแนนเต็ม]]),"",(tbl_task9[72]/tbl_task9[[คะแนนเต็ม]:[คะแนนเต็ม]])*tbl_task9[[%]:[%]])</f>
        <v/>
      </c>
      <c r="II25" s="121" t="str">
        <f>IF(ISBLANK(tbl_task9[[คะแนนเต็ม]:[คะแนนเต็ม]]),"",(tbl_task9[73]/tbl_task9[[คะแนนเต็ม]:[คะแนนเต็ม]])*tbl_task9[[%]:[%]])</f>
        <v/>
      </c>
      <c r="IJ25" s="121" t="str">
        <f>IF(ISBLANK(tbl_task9[[คะแนนเต็ม]:[คะแนนเต็ม]]),"",(tbl_task9[74]/tbl_task9[[คะแนนเต็ม]:[คะแนนเต็ม]])*tbl_task9[[%]:[%]])</f>
        <v/>
      </c>
      <c r="IK25" s="121" t="str">
        <f>IF(ISBLANK(tbl_task9[[คะแนนเต็ม]:[คะแนนเต็ม]]),"",(tbl_task9[75]/tbl_task9[[คะแนนเต็ม]:[คะแนนเต็ม]])*tbl_task9[[%]:[%]])</f>
        <v/>
      </c>
      <c r="IL25" s="121" t="str">
        <f>IF(ISBLANK(tbl_task9[[คะแนนเต็ม]:[คะแนนเต็ม]]),"",(tbl_task9[76]/tbl_task9[[คะแนนเต็ม]:[คะแนนเต็ม]])*tbl_task9[[%]:[%]])</f>
        <v/>
      </c>
      <c r="IM25" s="121" t="str">
        <f>IF(ISBLANK(tbl_task9[[คะแนนเต็ม]:[คะแนนเต็ม]]),"",(tbl_task9[77]/tbl_task9[[คะแนนเต็ม]:[คะแนนเต็ม]])*tbl_task9[[%]:[%]])</f>
        <v/>
      </c>
      <c r="IN25" s="121" t="str">
        <f>IF(ISBLANK(tbl_task9[[คะแนนเต็ม]:[คะแนนเต็ม]]),"",(tbl_task9[78]/tbl_task9[[คะแนนเต็ม]:[คะแนนเต็ม]])*tbl_task9[[%]:[%]])</f>
        <v/>
      </c>
      <c r="IO25" s="121" t="str">
        <f>IF(ISBLANK(tbl_task9[[คะแนนเต็ม]:[คะแนนเต็ม]]),"",(tbl_task9[79]/tbl_task9[[คะแนนเต็ม]:[คะแนนเต็ม]])*tbl_task9[[%]:[%]])</f>
        <v/>
      </c>
      <c r="IP25" s="121" t="str">
        <f>IF(ISBLANK(tbl_task9[[คะแนนเต็ม]:[คะแนนเต็ม]]),"",(tbl_task9[80]/tbl_task9[[คะแนนเต็ม]:[คะแนนเต็ม]])*tbl_task9[[%]:[%]])</f>
        <v/>
      </c>
      <c r="IQ25" s="121" t="str">
        <f>IF(ISBLANK(tbl_task9[[คะแนนเต็ม]:[คะแนนเต็ม]]),"",(tbl_task9[81]/tbl_task9[[คะแนนเต็ม]:[คะแนนเต็ม]])*tbl_task9[[%]:[%]])</f>
        <v/>
      </c>
      <c r="IR25" s="121" t="str">
        <f>IF(ISBLANK(tbl_task9[[คะแนนเต็ม]:[คะแนนเต็ม]]),"",(tbl_task9[82]/tbl_task9[[คะแนนเต็ม]:[คะแนนเต็ม]])*tbl_task9[[%]:[%]])</f>
        <v/>
      </c>
      <c r="IS25" s="121" t="str">
        <f>IF(ISBLANK(tbl_task9[[คะแนนเต็ม]:[คะแนนเต็ม]]),"",(tbl_task9[83]/tbl_task9[[คะแนนเต็ม]:[คะแนนเต็ม]])*tbl_task9[[%]:[%]])</f>
        <v/>
      </c>
      <c r="IT25" s="121" t="str">
        <f>IF(ISBLANK(tbl_task9[[คะแนนเต็ม]:[คะแนนเต็ม]]),"",(tbl_task9[84]/tbl_task9[[คะแนนเต็ม]:[คะแนนเต็ม]])*tbl_task9[[%]:[%]])</f>
        <v/>
      </c>
      <c r="IU25" s="121" t="str">
        <f>IF(ISBLANK(tbl_task9[[คะแนนเต็ม]:[คะแนนเต็ม]]),"",(tbl_task9[85]/tbl_task9[[คะแนนเต็ม]:[คะแนนเต็ม]])*tbl_task9[[%]:[%]])</f>
        <v/>
      </c>
      <c r="IV25" s="121" t="str">
        <f>IF(ISBLANK(tbl_task9[[คะแนนเต็ม]:[คะแนนเต็ม]]),"",(tbl_task9[86]/tbl_task9[[คะแนนเต็ม]:[คะแนนเต็ม]])*tbl_task9[[%]:[%]])</f>
        <v/>
      </c>
      <c r="IW25" s="121" t="str">
        <f>IF(ISBLANK(tbl_task9[[คะแนนเต็ม]:[คะแนนเต็ม]]),"",(tbl_task9[87]/tbl_task9[[คะแนนเต็ม]:[คะแนนเต็ม]])*tbl_task9[[%]:[%]])</f>
        <v/>
      </c>
      <c r="IX25" s="121" t="str">
        <f>IF(ISBLANK(tbl_task9[[คะแนนเต็ม]:[คะแนนเต็ม]]),"",(tbl_task9[88]/tbl_task9[[คะแนนเต็ม]:[คะแนนเต็ม]])*tbl_task9[[%]:[%]])</f>
        <v/>
      </c>
      <c r="IY25" s="121" t="str">
        <f>IF(ISBLANK(tbl_task9[[คะแนนเต็ม]:[คะแนนเต็ม]]),"",(tbl_task9[89]/tbl_task9[[คะแนนเต็ม]:[คะแนนเต็ม]])*tbl_task9[[%]:[%]])</f>
        <v/>
      </c>
      <c r="IZ25" s="121" t="str">
        <f>IF(ISBLANK(tbl_task9[[คะแนนเต็ม]:[คะแนนเต็ม]]),"",(tbl_task9[90]/tbl_task9[[คะแนนเต็ม]:[คะแนนเต็ม]])*tbl_task9[[%]:[%]])</f>
        <v/>
      </c>
      <c r="JA25" s="121" t="str">
        <f>IF(ISBLANK(tbl_task9[[คะแนนเต็ม]:[คะแนนเต็ม]]),"",(tbl_task9[91]/tbl_task9[[คะแนนเต็ม]:[คะแนนเต็ม]])*tbl_task9[[%]:[%]])</f>
        <v/>
      </c>
      <c r="JB25" s="121" t="str">
        <f>IF(ISBLANK(tbl_task9[[คะแนนเต็ม]:[คะแนนเต็ม]]),"",(tbl_task9[92]/tbl_task9[[คะแนนเต็ม]:[คะแนนเต็ม]])*tbl_task9[[%]:[%]])</f>
        <v/>
      </c>
      <c r="JC25" s="121" t="str">
        <f>IF(ISBLANK(tbl_task9[[คะแนนเต็ม]:[คะแนนเต็ม]]),"",(tbl_task9[93]/tbl_task9[[คะแนนเต็ม]:[คะแนนเต็ม]])*tbl_task9[[%]:[%]])</f>
        <v/>
      </c>
      <c r="JD25" s="121" t="str">
        <f>IF(ISBLANK(tbl_task9[[คะแนนเต็ม]:[คะแนนเต็ม]]),"",(tbl_task9[94]/tbl_task9[[คะแนนเต็ม]:[คะแนนเต็ม]])*tbl_task9[[%]:[%]])</f>
        <v/>
      </c>
      <c r="JE25" s="121" t="str">
        <f>IF(ISBLANK(tbl_task9[[คะแนนเต็ม]:[คะแนนเต็ม]]),"",(tbl_task9[95]/tbl_task9[[คะแนนเต็ม]:[คะแนนเต็ม]])*tbl_task9[[%]:[%]])</f>
        <v/>
      </c>
      <c r="JF25" s="121" t="str">
        <f>IF(ISBLANK(tbl_task9[[คะแนนเต็ม]:[คะแนนเต็ม]]),"",(tbl_task9[96]/tbl_task9[[คะแนนเต็ม]:[คะแนนเต็ม]])*tbl_task9[[%]:[%]])</f>
        <v/>
      </c>
      <c r="JG25" s="121" t="str">
        <f>IF(ISBLANK(tbl_task9[[คะแนนเต็ม]:[คะแนนเต็ม]]),"",(tbl_task9[97]/tbl_task9[[คะแนนเต็ม]:[คะแนนเต็ม]])*tbl_task9[[%]:[%]])</f>
        <v/>
      </c>
      <c r="JH25" s="121" t="str">
        <f>IF(ISBLANK(tbl_task9[[คะแนนเต็ม]:[คะแนนเต็ม]]),"",(tbl_task9[98]/tbl_task9[[คะแนนเต็ม]:[คะแนนเต็ม]])*tbl_task9[[%]:[%]])</f>
        <v/>
      </c>
      <c r="JI25" s="121" t="str">
        <f>IF(ISBLANK(tbl_task9[[คะแนนเต็ม]:[คะแนนเต็ม]]),"",(tbl_task9[99]/tbl_task9[[คะแนนเต็ม]:[คะแนนเต็ม]])*tbl_task9[[%]:[%]])</f>
        <v/>
      </c>
      <c r="JJ25" s="121" t="str">
        <f>IF(ISBLANK(tbl_task9[[คะแนนเต็ม]:[คะแนนเต็ม]]),"",(tbl_task9[100]/tbl_task9[[คะแนนเต็ม]:[คะแนนเต็ม]])*tbl_task9[[%]:[%]])</f>
        <v/>
      </c>
      <c r="JK25" s="121" t="str">
        <f>IF(ISBLANK(tbl_task9[[คะแนนเต็ม]:[คะแนนเต็ม]]),"",(tbl_task9[101]/tbl_task9[[คะแนนเต็ม]:[คะแนนเต็ม]])*tbl_task9[[%]:[%]])</f>
        <v/>
      </c>
      <c r="JL25" s="121" t="str">
        <f>IF(ISBLANK(tbl_task9[[คะแนนเต็ม]:[คะแนนเต็ม]]),"",(tbl_task9[102]/tbl_task9[[คะแนนเต็ม]:[คะแนนเต็ม]])*tbl_task9[[%]:[%]])</f>
        <v/>
      </c>
      <c r="JM25" s="121" t="str">
        <f>IF(ISBLANK(tbl_task9[[คะแนนเต็ม]:[คะแนนเต็ม]]),"",(tbl_task9[103]/tbl_task9[[คะแนนเต็ม]:[คะแนนเต็ม]])*tbl_task9[[%]:[%]])</f>
        <v/>
      </c>
      <c r="JN25" s="121" t="str">
        <f>IF(ISBLANK(tbl_task9[[คะแนนเต็ม]:[คะแนนเต็ม]]),"",(tbl_task9[104]/tbl_task9[[คะแนนเต็ม]:[คะแนนเต็ม]])*tbl_task9[[%]:[%]])</f>
        <v/>
      </c>
      <c r="JO25" s="121" t="str">
        <f>IF(ISBLANK(tbl_task9[[คะแนนเต็ม]:[คะแนนเต็ม]]),"",(tbl_task9[105]/tbl_task9[[คะแนนเต็ม]:[คะแนนเต็ม]])*tbl_task9[[%]:[%]])</f>
        <v/>
      </c>
      <c r="JP25" s="121" t="str">
        <f>IF(ISBLANK(tbl_task9[[คะแนนเต็ม]:[คะแนนเต็ม]]),"",(tbl_task9[106]/tbl_task9[[คะแนนเต็ม]:[คะแนนเต็ม]])*tbl_task9[[%]:[%]])</f>
        <v/>
      </c>
      <c r="JQ25" s="121" t="str">
        <f>IF(ISBLANK(tbl_task9[[คะแนนเต็ม]:[คะแนนเต็ม]]),"",(tbl_task9[107]/tbl_task9[[คะแนนเต็ม]:[คะแนนเต็ม]])*tbl_task9[[%]:[%]])</f>
        <v/>
      </c>
      <c r="JR25" s="121" t="str">
        <f>IF(ISBLANK(tbl_task9[[คะแนนเต็ม]:[คะแนนเต็ม]]),"",(tbl_task9[108]/tbl_task9[[คะแนนเต็ม]:[คะแนนเต็ม]])*tbl_task9[[%]:[%]])</f>
        <v/>
      </c>
      <c r="JS25" s="121" t="str">
        <f>IF(ISBLANK(tbl_task9[[คะแนนเต็ม]:[คะแนนเต็ม]]),"",(tbl_task9[109]/tbl_task9[[คะแนนเต็ม]:[คะแนนเต็ม]])*tbl_task9[[%]:[%]])</f>
        <v/>
      </c>
      <c r="JT25" s="121" t="str">
        <f>IF(ISBLANK(tbl_task9[[คะแนนเต็ม]:[คะแนนเต็ม]]),"",(tbl_task9[110]/tbl_task9[[คะแนนเต็ม]:[คะแนนเต็ม]])*tbl_task9[[%]:[%]])</f>
        <v/>
      </c>
      <c r="JU25" s="121" t="str">
        <f>IF(ISBLANK(tbl_task9[[คะแนนเต็ม]:[คะแนนเต็ม]]),"",(tbl_task9[111]/tbl_task9[[คะแนนเต็ม]:[คะแนนเต็ม]])*tbl_task9[[%]:[%]])</f>
        <v/>
      </c>
      <c r="JV25" s="121" t="str">
        <f>IF(ISBLANK(tbl_task9[[คะแนนเต็ม]:[คะแนนเต็ม]]),"",(tbl_task9[112]/tbl_task9[[คะแนนเต็ม]:[คะแนนเต็ม]])*tbl_task9[[%]:[%]])</f>
        <v/>
      </c>
      <c r="JW25" s="121" t="str">
        <f>IF(ISBLANK(tbl_task9[[คะแนนเต็ม]:[คะแนนเต็ม]]),"",(tbl_task9[113]/tbl_task9[[คะแนนเต็ม]:[คะแนนเต็ม]])*tbl_task9[[%]:[%]])</f>
        <v/>
      </c>
      <c r="JX25" s="121" t="str">
        <f>IF(ISBLANK(tbl_task9[[คะแนนเต็ม]:[คะแนนเต็ม]]),"",(tbl_task9[114]/tbl_task9[[คะแนนเต็ม]:[คะแนนเต็ม]])*tbl_task9[[%]:[%]])</f>
        <v/>
      </c>
      <c r="JY25" s="121" t="str">
        <f>IF(ISBLANK(tbl_task9[[คะแนนเต็ม]:[คะแนนเต็ม]]),"",(tbl_task9[115]/tbl_task9[[คะแนนเต็ม]:[คะแนนเต็ม]])*tbl_task9[[%]:[%]])</f>
        <v/>
      </c>
      <c r="JZ25" s="121" t="str">
        <f>IF(ISBLANK(tbl_task9[[คะแนนเต็ม]:[คะแนนเต็ม]]),"",(tbl_task9[116]/tbl_task9[[คะแนนเต็ม]:[คะแนนเต็ม]])*tbl_task9[[%]:[%]])</f>
        <v/>
      </c>
      <c r="KA25" s="121" t="str">
        <f>IF(ISBLANK(tbl_task9[[คะแนนเต็ม]:[คะแนนเต็ม]]),"",(tbl_task9[117]/tbl_task9[[คะแนนเต็ม]:[คะแนนเต็ม]])*tbl_task9[[%]:[%]])</f>
        <v/>
      </c>
      <c r="KB25" s="121" t="str">
        <f>IF(ISBLANK(tbl_task9[[คะแนนเต็ม]:[คะแนนเต็ม]]),"",(tbl_task9[118]/tbl_task9[[คะแนนเต็ม]:[คะแนนเต็ม]])*tbl_task9[[%]:[%]])</f>
        <v/>
      </c>
      <c r="KC25" s="121" t="str">
        <f>IF(ISBLANK(tbl_task9[[คะแนนเต็ม]:[คะแนนเต็ม]]),"",(tbl_task9[119]/tbl_task9[[คะแนนเต็ม]:[คะแนนเต็ม]])*tbl_task9[[%]:[%]])</f>
        <v/>
      </c>
      <c r="KD25" s="121" t="str">
        <f>IF(ISBLANK(tbl_task9[[คะแนนเต็ม]:[คะแนนเต็ม]]),"",(tbl_task9[120]/tbl_task9[[คะแนนเต็ม]:[คะแนนเต็ม]])*tbl_task9[[%]:[%]])</f>
        <v/>
      </c>
      <c r="KE25" s="121" t="str">
        <f>IF(ISBLANK(tbl_task9[[คะแนนเต็ม]:[คะแนนเต็ม]]),"",(tbl_task9[121]/tbl_task9[[คะแนนเต็ม]:[คะแนนเต็ม]])*tbl_task9[[%]:[%]])</f>
        <v/>
      </c>
      <c r="KF25" s="121" t="str">
        <f>IF(ISBLANK(tbl_task9[[คะแนนเต็ม]:[คะแนนเต็ม]]),"",(tbl_task9[122]/tbl_task9[[คะแนนเต็ม]:[คะแนนเต็ม]])*tbl_task9[[%]:[%]])</f>
        <v/>
      </c>
      <c r="KG25" s="121" t="str">
        <f>IF(ISBLANK(tbl_task9[[คะแนนเต็ม]:[คะแนนเต็ม]]),"",(tbl_task9[123]/tbl_task9[[คะแนนเต็ม]:[คะแนนเต็ม]])*tbl_task9[[%]:[%]])</f>
        <v/>
      </c>
      <c r="KH25" s="121" t="str">
        <f>IF(ISBLANK(tbl_task9[[คะแนนเต็ม]:[คะแนนเต็ม]]),"",(tbl_task9[124]/tbl_task9[[คะแนนเต็ม]:[คะแนนเต็ม]])*tbl_task9[[%]:[%]])</f>
        <v/>
      </c>
      <c r="KI25" s="121" t="str">
        <f>IF(ISBLANK(tbl_task9[[คะแนนเต็ม]:[คะแนนเต็ม]]),"",(tbl_task9[125]/tbl_task9[[คะแนนเต็ม]:[คะแนนเต็ม]])*tbl_task9[[%]:[%]])</f>
        <v/>
      </c>
      <c r="KJ25" s="121" t="str">
        <f>IF(ISBLANK(tbl_task9[[คะแนนเต็ม]:[คะแนนเต็ม]]),"",(tbl_task9[126]/tbl_task9[[คะแนนเต็ม]:[คะแนนเต็ม]])*tbl_task9[[%]:[%]])</f>
        <v/>
      </c>
      <c r="KK25" s="121" t="str">
        <f>IF(ISBLANK(tbl_task9[[คะแนนเต็ม]:[คะแนนเต็ม]]),"",(tbl_task9[127]/tbl_task9[[คะแนนเต็ม]:[คะแนนเต็ม]])*tbl_task9[[%]:[%]])</f>
        <v/>
      </c>
      <c r="KL25" s="121" t="str">
        <f>IF(ISBLANK(tbl_task9[[คะแนนเต็ม]:[คะแนนเต็ม]]),"",(tbl_task9[128]/tbl_task9[[คะแนนเต็ม]:[คะแนนเต็ม]])*tbl_task9[[%]:[%]])</f>
        <v/>
      </c>
      <c r="KM25" s="121" t="str">
        <f>IF(ISBLANK(tbl_task9[[คะแนนเต็ม]:[คะแนนเต็ม]]),"",(tbl_task9[129]/tbl_task9[[คะแนนเต็ม]:[คะแนนเต็ม]])*tbl_task9[[%]:[%]])</f>
        <v/>
      </c>
      <c r="KN25" s="121" t="str">
        <f>IF(ISBLANK(tbl_task9[[คะแนนเต็ม]:[คะแนนเต็ม]]),"",(tbl_task9[130]/tbl_task9[[คะแนนเต็ม]:[คะแนนเต็ม]])*tbl_task9[[%]:[%]])</f>
        <v/>
      </c>
      <c r="KO25" s="121" t="str">
        <f>IF(ISBLANK(tbl_task9[[คะแนนเต็ม]:[คะแนนเต็ม]]),"",(tbl_task9[131]/tbl_task9[[คะแนนเต็ม]:[คะแนนเต็ม]])*tbl_task9[[%]:[%]])</f>
        <v/>
      </c>
      <c r="KP25" s="121" t="str">
        <f>IF(ISBLANK(tbl_task9[[คะแนนเต็ม]:[คะแนนเต็ม]]),"",(tbl_task9[132]/tbl_task9[[คะแนนเต็ม]:[คะแนนเต็ม]])*tbl_task9[[%]:[%]])</f>
        <v/>
      </c>
      <c r="KQ25" s="121" t="str">
        <f>IF(ISBLANK(tbl_task9[[คะแนนเต็ม]:[คะแนนเต็ม]]),"",(tbl_task9[133]/tbl_task9[[คะแนนเต็ม]:[คะแนนเต็ม]])*tbl_task9[[%]:[%]])</f>
        <v/>
      </c>
      <c r="KR25" s="121" t="str">
        <f>IF(ISBLANK(tbl_task9[[คะแนนเต็ม]:[คะแนนเต็ม]]),"",(tbl_task9[134]/tbl_task9[[คะแนนเต็ม]:[คะแนนเต็ม]])*tbl_task9[[%]:[%]])</f>
        <v/>
      </c>
      <c r="KS25" s="121" t="str">
        <f>IF(ISBLANK(tbl_task9[[คะแนนเต็ม]:[คะแนนเต็ม]]),"",(tbl_task9[135]/tbl_task9[[คะแนนเต็ม]:[คะแนนเต็ม]])*tbl_task9[[%]:[%]])</f>
        <v/>
      </c>
      <c r="KT25" s="121" t="str">
        <f>IF(ISBLANK(tbl_task9[[คะแนนเต็ม]:[คะแนนเต็ม]]),"",(tbl_task9[136]/tbl_task9[[คะแนนเต็ม]:[คะแนนเต็ม]])*tbl_task9[[%]:[%]])</f>
        <v/>
      </c>
      <c r="KU25" s="121" t="str">
        <f>IF(ISBLANK(tbl_task9[[คะแนนเต็ม]:[คะแนนเต็ม]]),"",(tbl_task9[137]/tbl_task9[[คะแนนเต็ม]:[คะแนนเต็ม]])*tbl_task9[[%]:[%]])</f>
        <v/>
      </c>
      <c r="KV25" s="121" t="str">
        <f>IF(ISBLANK(tbl_task9[[คะแนนเต็ม]:[คะแนนเต็ม]]),"",(tbl_task9[138]/tbl_task9[[คะแนนเต็ม]:[คะแนนเต็ม]])*tbl_task9[[%]:[%]])</f>
        <v/>
      </c>
      <c r="KW25" s="121" t="str">
        <f>IF(ISBLANK(tbl_task9[[คะแนนเต็ม]:[คะแนนเต็ม]]),"",(tbl_task9[139]/tbl_task9[[คะแนนเต็ม]:[คะแนนเต็ม]])*tbl_task9[[%]:[%]])</f>
        <v/>
      </c>
      <c r="KX25" s="121" t="str">
        <f>IF(ISBLANK(tbl_task9[[คะแนนเต็ม]:[คะแนนเต็ม]]),"",(tbl_task9[140]/tbl_task9[[คะแนนเต็ม]:[คะแนนเต็ม]])*tbl_task9[[%]:[%]])</f>
        <v/>
      </c>
      <c r="KY25" s="121" t="str">
        <f>IF(ISBLANK(tbl_task9[[คะแนนเต็ม]:[คะแนนเต็ม]]),"",(tbl_task9[141]/tbl_task9[[คะแนนเต็ม]:[คะแนนเต็ม]])*tbl_task9[[%]:[%]])</f>
        <v/>
      </c>
      <c r="KZ25" s="121" t="str">
        <f>IF(ISBLANK(tbl_task9[[คะแนนเต็ม]:[คะแนนเต็ม]]),"",(tbl_task9[142]/tbl_task9[[คะแนนเต็ม]:[คะแนนเต็ม]])*tbl_task9[[%]:[%]])</f>
        <v/>
      </c>
      <c r="LA25" s="121" t="str">
        <f>IF(ISBLANK(tbl_task9[[คะแนนเต็ม]:[คะแนนเต็ม]]),"",(tbl_task9[143]/tbl_task9[[คะแนนเต็ม]:[คะแนนเต็ม]])*tbl_task9[[%]:[%]])</f>
        <v/>
      </c>
      <c r="LB25" s="121" t="str">
        <f>IF(ISBLANK(tbl_task9[[คะแนนเต็ม]:[คะแนนเต็ม]]),"",(tbl_task9[144]/tbl_task9[[คะแนนเต็ม]:[คะแนนเต็ม]])*tbl_task9[[%]:[%]])</f>
        <v/>
      </c>
      <c r="LC25" s="121" t="str">
        <f>IF(ISBLANK(tbl_task9[[คะแนนเต็ม]:[คะแนนเต็ม]]),"",(tbl_task9[145]/tbl_task9[[คะแนนเต็ม]:[คะแนนเต็ม]])*tbl_task9[[%]:[%]])</f>
        <v/>
      </c>
      <c r="LD25" s="121" t="str">
        <f>IF(ISBLANK(tbl_task9[[คะแนนเต็ม]:[คะแนนเต็ม]]),"",(tbl_task9[146]/tbl_task9[[คะแนนเต็ม]:[คะแนนเต็ม]])*tbl_task9[[%]:[%]])</f>
        <v/>
      </c>
      <c r="LE25" s="121" t="str">
        <f>IF(ISBLANK(tbl_task9[[คะแนนเต็ม]:[คะแนนเต็ม]]),"",(tbl_task9[147]/tbl_task9[[คะแนนเต็ม]:[คะแนนเต็ม]])*tbl_task9[[%]:[%]])</f>
        <v/>
      </c>
      <c r="LF25" s="121" t="str">
        <f>IF(ISBLANK(tbl_task9[[คะแนนเต็ม]:[คะแนนเต็ม]]),"",(tbl_task9[148]/tbl_task9[[คะแนนเต็ม]:[คะแนนเต็ม]])*tbl_task9[[%]:[%]])</f>
        <v/>
      </c>
      <c r="LG25" s="121" t="str">
        <f>IF(ISBLANK(tbl_task9[[คะแนนเต็ม]:[คะแนนเต็ม]]),"",(tbl_task9[149]/tbl_task9[[คะแนนเต็ม]:[คะแนนเต็ม]])*tbl_task9[[%]:[%]])</f>
        <v/>
      </c>
      <c r="LH25" s="121" t="str">
        <f>IF(ISBLANK(tbl_task9[[คะแนนเต็ม]:[คะแนนเต็ม]]),"",(tbl_task9[150]/tbl_task9[[คะแนนเต็ม]:[คะแนนเต็ม]])*tbl_task9[[%]:[%]])</f>
        <v/>
      </c>
      <c r="LI25" s="121" t="str">
        <f>IF(ISBLANK(tbl_task9[[คะแนนเต็ม]:[คะแนนเต็ม]]),"",(tbl_task9[151]/tbl_task9[[คะแนนเต็ม]:[คะแนนเต็ม]])*tbl_task9[[%]:[%]])</f>
        <v/>
      </c>
      <c r="LJ25" s="121" t="str">
        <f>IF(ISBLANK(tbl_task9[[คะแนนเต็ม]:[คะแนนเต็ม]]),"",(tbl_task9[152]/tbl_task9[[คะแนนเต็ม]:[คะแนนเต็ม]])*tbl_task9[[%]:[%]])</f>
        <v/>
      </c>
      <c r="LK25" s="121" t="str">
        <f>IF(ISBLANK(tbl_task9[[คะแนนเต็ม]:[คะแนนเต็ม]]),"",(tbl_task9[153]/tbl_task9[[คะแนนเต็ม]:[คะแนนเต็ม]])*tbl_task9[[%]:[%]])</f>
        <v/>
      </c>
      <c r="LL25" s="121" t="str">
        <f>IF(ISBLANK(tbl_task9[[คะแนนเต็ม]:[คะแนนเต็ม]]),"",(tbl_task9[154]/tbl_task9[[คะแนนเต็ม]:[คะแนนเต็ม]])*tbl_task9[[%]:[%]])</f>
        <v/>
      </c>
      <c r="LM25" s="121" t="str">
        <f>IF(ISBLANK(tbl_task9[[คะแนนเต็ม]:[คะแนนเต็ม]]),"",(tbl_task9[155]/tbl_task9[[คะแนนเต็ม]:[คะแนนเต็ม]])*tbl_task9[[%]:[%]])</f>
        <v/>
      </c>
      <c r="LN25" s="121" t="str">
        <f>IF(ISBLANK(tbl_task9[[คะแนนเต็ม]:[คะแนนเต็ม]]),"",(tbl_task9[156]/tbl_task9[[คะแนนเต็ม]:[คะแนนเต็ม]])*tbl_task9[[%]:[%]])</f>
        <v/>
      </c>
      <c r="LO25" s="121" t="str">
        <f>IF(ISBLANK(tbl_task9[[คะแนนเต็ม]:[คะแนนเต็ม]]),"",(tbl_task9[157]/tbl_task9[[คะแนนเต็ม]:[คะแนนเต็ม]])*tbl_task9[[%]:[%]])</f>
        <v/>
      </c>
      <c r="LP25" s="121" t="str">
        <f>IF(ISBLANK(tbl_task9[[คะแนนเต็ม]:[คะแนนเต็ม]]),"",(tbl_task9[158]/tbl_task9[[คะแนนเต็ม]:[คะแนนเต็ม]])*tbl_task9[[%]:[%]])</f>
        <v/>
      </c>
      <c r="LQ25" s="121" t="str">
        <f>IF(ISBLANK(tbl_task9[[คะแนนเต็ม]:[คะแนนเต็ม]]),"",(tbl_task9[159]/tbl_task9[[คะแนนเต็ม]:[คะแนนเต็ม]])*tbl_task9[[%]:[%]])</f>
        <v/>
      </c>
      <c r="LR25" s="121" t="str">
        <f>IF(ISBLANK(tbl_task9[[คะแนนเต็ม]:[คะแนนเต็ม]]),"",(tbl_task9[160]/tbl_task9[[คะแนนเต็ม]:[คะแนนเต็ม]])*tbl_task9[[%]:[%]])</f>
        <v/>
      </c>
      <c r="LS25" s="121" t="str">
        <f>IF(ISBLANK(tbl_task9[[คะแนนเต็ม]:[คะแนนเต็ม]]),"",(tbl_task9[161]/tbl_task9[[คะแนนเต็ม]:[คะแนนเต็ม]])*tbl_task9[[%]:[%]])</f>
        <v/>
      </c>
      <c r="LT25" s="121" t="str">
        <f>IF(ISBLANK(tbl_task9[[คะแนนเต็ม]:[คะแนนเต็ม]]),"",(tbl_task9[162]/tbl_task9[[คะแนนเต็ม]:[คะแนนเต็ม]])*tbl_task9[[%]:[%]])</f>
        <v/>
      </c>
      <c r="LU25" s="121" t="str">
        <f>IF(ISBLANK(tbl_task9[[คะแนนเต็ม]:[คะแนนเต็ม]]),"",(tbl_task9[163]/tbl_task9[[คะแนนเต็ม]:[คะแนนเต็ม]])*tbl_task9[[%]:[%]])</f>
        <v/>
      </c>
      <c r="LV25" s="121" t="str">
        <f>IF(ISBLANK(tbl_task9[[คะแนนเต็ม]:[คะแนนเต็ม]]),"",(tbl_task9[164]/tbl_task9[[คะแนนเต็ม]:[คะแนนเต็ม]])*tbl_task9[[%]:[%]])</f>
        <v/>
      </c>
      <c r="LW25" s="121" t="str">
        <f>IF(ISBLANK(tbl_task9[[คะแนนเต็ม]:[คะแนนเต็ม]]),"",(tbl_task9[165]/tbl_task9[[คะแนนเต็ม]:[คะแนนเต็ม]])*tbl_task9[[%]:[%]])</f>
        <v/>
      </c>
    </row>
    <row r="26" spans="1:335" ht="24" customHeight="1" x14ac:dyDescent="0.25">
      <c r="A26" s="24">
        <v>23</v>
      </c>
      <c r="B26" s="20"/>
      <c r="C26" s="5" t="str">
        <f>IF(ISBLANK(B26),"",VLOOKUP(B26,tbl_PLOs[],2,0))</f>
        <v/>
      </c>
      <c r="D26" s="102"/>
      <c r="E26" s="106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21" t="str">
        <f>IF(ISBLANK(tbl_task9[[คะแนนเต็ม]:[คะแนนเต็ม]]),"",(tbl_task9[1]/tbl_task9[[คะแนนเต็ม]:[คะแนนเต็ม]])*tbl_task9[[%]:[%]])</f>
        <v/>
      </c>
      <c r="FP26" s="121" t="str">
        <f>IF(ISBLANK(tbl_task9[[คะแนนเต็ม]:[คะแนนเต็ม]]),"",(tbl_task9[2]/tbl_task9[[คะแนนเต็ม]:[คะแนนเต็ม]])*tbl_task9[[%]:[%]])</f>
        <v/>
      </c>
      <c r="FQ26" s="121" t="str">
        <f>IF(ISBLANK(tbl_task9[[คะแนนเต็ม]:[คะแนนเต็ม]]),"",(tbl_task9[3]/tbl_task9[[คะแนนเต็ม]:[คะแนนเต็ม]])*tbl_task9[[%]:[%]])</f>
        <v/>
      </c>
      <c r="FR26" s="121" t="str">
        <f>IF(ISBLANK(tbl_task9[[คะแนนเต็ม]:[คะแนนเต็ม]]),"",(tbl_task9[4]/tbl_task9[[คะแนนเต็ม]:[คะแนนเต็ม]])*tbl_task9[[%]:[%]])</f>
        <v/>
      </c>
      <c r="FS26" s="121" t="str">
        <f>IF(ISBLANK(tbl_task9[[คะแนนเต็ม]:[คะแนนเต็ม]]),"",(tbl_task9[5]/tbl_task9[[คะแนนเต็ม]:[คะแนนเต็ม]])*tbl_task9[[%]:[%]])</f>
        <v/>
      </c>
      <c r="FT26" s="121" t="str">
        <f>IF(ISBLANK(tbl_task9[[คะแนนเต็ม]:[คะแนนเต็ม]]),"",(tbl_task9[6]/tbl_task9[[คะแนนเต็ม]:[คะแนนเต็ม]])*tbl_task9[[%]:[%]])</f>
        <v/>
      </c>
      <c r="FU26" s="121" t="str">
        <f>IF(ISBLANK(tbl_task9[[คะแนนเต็ม]:[คะแนนเต็ม]]),"",(tbl_task9[7]/tbl_task9[[คะแนนเต็ม]:[คะแนนเต็ม]])*tbl_task9[[%]:[%]])</f>
        <v/>
      </c>
      <c r="FV26" s="121" t="str">
        <f>IF(ISBLANK(tbl_task9[[คะแนนเต็ม]:[คะแนนเต็ม]]),"",(tbl_task9[8]/tbl_task9[[คะแนนเต็ม]:[คะแนนเต็ม]])*tbl_task9[[%]:[%]])</f>
        <v/>
      </c>
      <c r="FW26" s="121" t="str">
        <f>IF(ISBLANK(tbl_task9[[คะแนนเต็ม]:[คะแนนเต็ม]]),"",(tbl_task9[9]/tbl_task9[[คะแนนเต็ม]:[คะแนนเต็ม]])*tbl_task9[[%]:[%]])</f>
        <v/>
      </c>
      <c r="FX26" s="121" t="str">
        <f>IF(ISBLANK(tbl_task9[[คะแนนเต็ม]:[คะแนนเต็ม]]),"",(tbl_task9[10]/tbl_task9[[คะแนนเต็ม]:[คะแนนเต็ม]])*tbl_task9[[%]:[%]])</f>
        <v/>
      </c>
      <c r="FY26" s="121" t="str">
        <f>IF(ISBLANK(tbl_task9[[คะแนนเต็ม]:[คะแนนเต็ม]]),"",(tbl_task9[11]/tbl_task9[[คะแนนเต็ม]:[คะแนนเต็ม]])*tbl_task9[[%]:[%]])</f>
        <v/>
      </c>
      <c r="FZ26" s="121" t="str">
        <f>IF(ISBLANK(tbl_task9[[คะแนนเต็ม]:[คะแนนเต็ม]]),"",(tbl_task9[12]/tbl_task9[[คะแนนเต็ม]:[คะแนนเต็ม]])*tbl_task9[[%]:[%]])</f>
        <v/>
      </c>
      <c r="GA26" s="121" t="str">
        <f>IF(ISBLANK(tbl_task9[[คะแนนเต็ม]:[คะแนนเต็ม]]),"",(tbl_task9[13]/tbl_task9[[คะแนนเต็ม]:[คะแนนเต็ม]])*tbl_task9[[%]:[%]])</f>
        <v/>
      </c>
      <c r="GB26" s="121" t="str">
        <f>IF(ISBLANK(tbl_task9[[คะแนนเต็ม]:[คะแนนเต็ม]]),"",(tbl_task9[14]/tbl_task9[[คะแนนเต็ม]:[คะแนนเต็ม]])*tbl_task9[[%]:[%]])</f>
        <v/>
      </c>
      <c r="GC26" s="121" t="str">
        <f>IF(ISBLANK(tbl_task9[[คะแนนเต็ม]:[คะแนนเต็ม]]),"",(tbl_task9[15]/tbl_task9[[คะแนนเต็ม]:[คะแนนเต็ม]])*tbl_task9[[%]:[%]])</f>
        <v/>
      </c>
      <c r="GD26" s="121" t="str">
        <f>IF(ISBLANK(tbl_task9[[คะแนนเต็ม]:[คะแนนเต็ม]]),"",(tbl_task9[16]/tbl_task9[[คะแนนเต็ม]:[คะแนนเต็ม]])*tbl_task9[[%]:[%]])</f>
        <v/>
      </c>
      <c r="GE26" s="121" t="str">
        <f>IF(ISBLANK(tbl_task9[[คะแนนเต็ม]:[คะแนนเต็ม]]),"",(tbl_task9[17]/tbl_task9[[คะแนนเต็ม]:[คะแนนเต็ม]])*tbl_task9[[%]:[%]])</f>
        <v/>
      </c>
      <c r="GF26" s="121" t="str">
        <f>IF(ISBLANK(tbl_task9[[คะแนนเต็ม]:[คะแนนเต็ม]]),"",(tbl_task9[18]/tbl_task9[[คะแนนเต็ม]:[คะแนนเต็ม]])*tbl_task9[[%]:[%]])</f>
        <v/>
      </c>
      <c r="GG26" s="121" t="str">
        <f>IF(ISBLANK(tbl_task9[[คะแนนเต็ม]:[คะแนนเต็ม]]),"",(tbl_task9[19]/tbl_task9[[คะแนนเต็ม]:[คะแนนเต็ม]])*tbl_task9[[%]:[%]])</f>
        <v/>
      </c>
      <c r="GH26" s="121" t="str">
        <f>IF(ISBLANK(tbl_task9[[คะแนนเต็ม]:[คะแนนเต็ม]]),"",(tbl_task9[20]/tbl_task9[[คะแนนเต็ม]:[คะแนนเต็ม]])*tbl_task9[[%]:[%]])</f>
        <v/>
      </c>
      <c r="GI26" s="121" t="str">
        <f>IF(ISBLANK(tbl_task9[[คะแนนเต็ม]:[คะแนนเต็ม]]),"",(tbl_task9[21]/tbl_task9[[คะแนนเต็ม]:[คะแนนเต็ม]])*tbl_task9[[%]:[%]])</f>
        <v/>
      </c>
      <c r="GJ26" s="121" t="str">
        <f>IF(ISBLANK(tbl_task9[[คะแนนเต็ม]:[คะแนนเต็ม]]),"",(tbl_task9[22]/tbl_task9[[คะแนนเต็ม]:[คะแนนเต็ม]])*tbl_task9[[%]:[%]])</f>
        <v/>
      </c>
      <c r="GK26" s="121" t="str">
        <f>IF(ISBLANK(tbl_task9[[คะแนนเต็ม]:[คะแนนเต็ม]]),"",(tbl_task9[23]/tbl_task9[[คะแนนเต็ม]:[คะแนนเต็ม]])*tbl_task9[[%]:[%]])</f>
        <v/>
      </c>
      <c r="GL26" s="121" t="str">
        <f>IF(ISBLANK(tbl_task9[[คะแนนเต็ม]:[คะแนนเต็ม]]),"",(tbl_task9[24]/tbl_task9[[คะแนนเต็ม]:[คะแนนเต็ม]])*tbl_task9[[%]:[%]])</f>
        <v/>
      </c>
      <c r="GM26" s="121" t="str">
        <f>IF(ISBLANK(tbl_task9[[คะแนนเต็ม]:[คะแนนเต็ม]]),"",(tbl_task9[25]/tbl_task9[[คะแนนเต็ม]:[คะแนนเต็ม]])*tbl_task9[[%]:[%]])</f>
        <v/>
      </c>
      <c r="GN26" s="121" t="str">
        <f>IF(ISBLANK(tbl_task9[[คะแนนเต็ม]:[คะแนนเต็ม]]),"",(tbl_task9[26]/tbl_task9[[คะแนนเต็ม]:[คะแนนเต็ม]])*tbl_task9[[%]:[%]])</f>
        <v/>
      </c>
      <c r="GO26" s="121" t="str">
        <f>IF(ISBLANK(tbl_task9[[คะแนนเต็ม]:[คะแนนเต็ม]]),"",(tbl_task9[27]/tbl_task9[[คะแนนเต็ม]:[คะแนนเต็ม]])*tbl_task9[[%]:[%]])</f>
        <v/>
      </c>
      <c r="GP26" s="121" t="str">
        <f>IF(ISBLANK(tbl_task9[[คะแนนเต็ม]:[คะแนนเต็ม]]),"",(tbl_task9[28]/tbl_task9[[คะแนนเต็ม]:[คะแนนเต็ม]])*tbl_task9[[%]:[%]])</f>
        <v/>
      </c>
      <c r="GQ26" s="121" t="str">
        <f>IF(ISBLANK(tbl_task9[[คะแนนเต็ม]:[คะแนนเต็ม]]),"",(tbl_task9[29]/tbl_task9[[คะแนนเต็ม]:[คะแนนเต็ม]])*tbl_task9[[%]:[%]])</f>
        <v/>
      </c>
      <c r="GR26" s="121" t="str">
        <f>IF(ISBLANK(tbl_task9[[คะแนนเต็ม]:[คะแนนเต็ม]]),"",(tbl_task9[30]/tbl_task9[[คะแนนเต็ม]:[คะแนนเต็ม]])*tbl_task9[[%]:[%]])</f>
        <v/>
      </c>
      <c r="GS26" s="121" t="str">
        <f>IF(ISBLANK(tbl_task9[[คะแนนเต็ม]:[คะแนนเต็ม]]),"",(tbl_task9[31]/tbl_task9[[คะแนนเต็ม]:[คะแนนเต็ม]])*tbl_task9[[%]:[%]])</f>
        <v/>
      </c>
      <c r="GT26" s="121" t="str">
        <f>IF(ISBLANK(tbl_task9[[คะแนนเต็ม]:[คะแนนเต็ม]]),"",(tbl_task9[32]/tbl_task9[[คะแนนเต็ม]:[คะแนนเต็ม]])*tbl_task9[[%]:[%]])</f>
        <v/>
      </c>
      <c r="GU26" s="121" t="str">
        <f>IF(ISBLANK(tbl_task9[[คะแนนเต็ม]:[คะแนนเต็ม]]),"",(tbl_task9[33]/tbl_task9[[คะแนนเต็ม]:[คะแนนเต็ม]])*tbl_task9[[%]:[%]])</f>
        <v/>
      </c>
      <c r="GV26" s="121" t="str">
        <f>IF(ISBLANK(tbl_task9[[คะแนนเต็ม]:[คะแนนเต็ม]]),"",(tbl_task9[34]/tbl_task9[[คะแนนเต็ม]:[คะแนนเต็ม]])*tbl_task9[[%]:[%]])</f>
        <v/>
      </c>
      <c r="GW26" s="121" t="str">
        <f>IF(ISBLANK(tbl_task9[[คะแนนเต็ม]:[คะแนนเต็ม]]),"",(tbl_task9[35]/tbl_task9[[คะแนนเต็ม]:[คะแนนเต็ม]])*tbl_task9[[%]:[%]])</f>
        <v/>
      </c>
      <c r="GX26" s="121" t="str">
        <f>IF(ISBLANK(tbl_task9[[คะแนนเต็ม]:[คะแนนเต็ม]]),"",(tbl_task9[36]/tbl_task9[[คะแนนเต็ม]:[คะแนนเต็ม]])*tbl_task9[[%]:[%]])</f>
        <v/>
      </c>
      <c r="GY26" s="121" t="str">
        <f>IF(ISBLANK(tbl_task9[[คะแนนเต็ม]:[คะแนนเต็ม]]),"",(tbl_task9[37]/tbl_task9[[คะแนนเต็ม]:[คะแนนเต็ม]])*tbl_task9[[%]:[%]])</f>
        <v/>
      </c>
      <c r="GZ26" s="121" t="str">
        <f>IF(ISBLANK(tbl_task9[[คะแนนเต็ม]:[คะแนนเต็ม]]),"",(tbl_task9[38]/tbl_task9[[คะแนนเต็ม]:[คะแนนเต็ม]])*tbl_task9[[%]:[%]])</f>
        <v/>
      </c>
      <c r="HA26" s="121" t="str">
        <f>IF(ISBLANK(tbl_task9[[คะแนนเต็ม]:[คะแนนเต็ม]]),"",(tbl_task9[39]/tbl_task9[[คะแนนเต็ม]:[คะแนนเต็ม]])*tbl_task9[[%]:[%]])</f>
        <v/>
      </c>
      <c r="HB26" s="121" t="str">
        <f>IF(ISBLANK(tbl_task9[[คะแนนเต็ม]:[คะแนนเต็ม]]),"",(tbl_task9[40]/tbl_task9[[คะแนนเต็ม]:[คะแนนเต็ม]])*tbl_task9[[%]:[%]])</f>
        <v/>
      </c>
      <c r="HC26" s="121" t="str">
        <f>IF(ISBLANK(tbl_task9[[คะแนนเต็ม]:[คะแนนเต็ม]]),"",(tbl_task9[41]/tbl_task9[[คะแนนเต็ม]:[คะแนนเต็ม]])*tbl_task9[[%]:[%]])</f>
        <v/>
      </c>
      <c r="HD26" s="121" t="str">
        <f>IF(ISBLANK(tbl_task9[[คะแนนเต็ม]:[คะแนนเต็ม]]),"",(tbl_task9[42]/tbl_task9[[คะแนนเต็ม]:[คะแนนเต็ม]])*tbl_task9[[%]:[%]])</f>
        <v/>
      </c>
      <c r="HE26" s="121" t="str">
        <f>IF(ISBLANK(tbl_task9[[คะแนนเต็ม]:[คะแนนเต็ม]]),"",(tbl_task9[43]/tbl_task9[[คะแนนเต็ม]:[คะแนนเต็ม]])*tbl_task9[[%]:[%]])</f>
        <v/>
      </c>
      <c r="HF26" s="121" t="str">
        <f>IF(ISBLANK(tbl_task9[[คะแนนเต็ม]:[คะแนนเต็ม]]),"",(tbl_task9[44]/tbl_task9[[คะแนนเต็ม]:[คะแนนเต็ม]])*tbl_task9[[%]:[%]])</f>
        <v/>
      </c>
      <c r="HG26" s="121" t="str">
        <f>IF(ISBLANK(tbl_task9[[คะแนนเต็ม]:[คะแนนเต็ม]]),"",(tbl_task9[45]/tbl_task9[[คะแนนเต็ม]:[คะแนนเต็ม]])*tbl_task9[[%]:[%]])</f>
        <v/>
      </c>
      <c r="HH26" s="121" t="str">
        <f>IF(ISBLANK(tbl_task9[[คะแนนเต็ม]:[คะแนนเต็ม]]),"",(tbl_task9[46]/tbl_task9[[คะแนนเต็ม]:[คะแนนเต็ม]])*tbl_task9[[%]:[%]])</f>
        <v/>
      </c>
      <c r="HI26" s="121" t="str">
        <f>IF(ISBLANK(tbl_task9[[คะแนนเต็ม]:[คะแนนเต็ม]]),"",(tbl_task9[47]/tbl_task9[[คะแนนเต็ม]:[คะแนนเต็ม]])*tbl_task9[[%]:[%]])</f>
        <v/>
      </c>
      <c r="HJ26" s="121" t="str">
        <f>IF(ISBLANK(tbl_task9[[คะแนนเต็ม]:[คะแนนเต็ม]]),"",(tbl_task9[48]/tbl_task9[[คะแนนเต็ม]:[คะแนนเต็ม]])*tbl_task9[[%]:[%]])</f>
        <v/>
      </c>
      <c r="HK26" s="121" t="str">
        <f>IF(ISBLANK(tbl_task9[[คะแนนเต็ม]:[คะแนนเต็ม]]),"",(tbl_task9[49]/tbl_task9[[คะแนนเต็ม]:[คะแนนเต็ม]])*tbl_task9[[%]:[%]])</f>
        <v/>
      </c>
      <c r="HL26" s="121" t="str">
        <f>IF(ISBLANK(tbl_task9[[คะแนนเต็ม]:[คะแนนเต็ม]]),"",(tbl_task9[50]/tbl_task9[[คะแนนเต็ม]:[คะแนนเต็ม]])*tbl_task9[[%]:[%]])</f>
        <v/>
      </c>
      <c r="HM26" s="121" t="str">
        <f>IF(ISBLANK(tbl_task9[[คะแนนเต็ม]:[คะแนนเต็ม]]),"",(tbl_task9[51]/tbl_task9[[คะแนนเต็ม]:[คะแนนเต็ม]])*tbl_task9[[%]:[%]])</f>
        <v/>
      </c>
      <c r="HN26" s="121" t="str">
        <f>IF(ISBLANK(tbl_task9[[คะแนนเต็ม]:[คะแนนเต็ม]]),"",(tbl_task9[52]/tbl_task9[[คะแนนเต็ม]:[คะแนนเต็ม]])*tbl_task9[[%]:[%]])</f>
        <v/>
      </c>
      <c r="HO26" s="121" t="str">
        <f>IF(ISBLANK(tbl_task9[[คะแนนเต็ม]:[คะแนนเต็ม]]),"",(tbl_task9[53]/tbl_task9[[คะแนนเต็ม]:[คะแนนเต็ม]])*tbl_task9[[%]:[%]])</f>
        <v/>
      </c>
      <c r="HP26" s="121" t="str">
        <f>IF(ISBLANK(tbl_task9[[คะแนนเต็ม]:[คะแนนเต็ม]]),"",(tbl_task9[54]/tbl_task9[[คะแนนเต็ม]:[คะแนนเต็ม]])*tbl_task9[[%]:[%]])</f>
        <v/>
      </c>
      <c r="HQ26" s="121" t="str">
        <f>IF(ISBLANK(tbl_task9[[คะแนนเต็ม]:[คะแนนเต็ม]]),"",(tbl_task9[55]/tbl_task9[[คะแนนเต็ม]:[คะแนนเต็ม]])*tbl_task9[[%]:[%]])</f>
        <v/>
      </c>
      <c r="HR26" s="121" t="str">
        <f>IF(ISBLANK(tbl_task9[[คะแนนเต็ม]:[คะแนนเต็ม]]),"",(tbl_task9[56]/tbl_task9[[คะแนนเต็ม]:[คะแนนเต็ม]])*tbl_task9[[%]:[%]])</f>
        <v/>
      </c>
      <c r="HS26" s="121" t="str">
        <f>IF(ISBLANK(tbl_task9[[คะแนนเต็ม]:[คะแนนเต็ม]]),"",(tbl_task9[57]/tbl_task9[[คะแนนเต็ม]:[คะแนนเต็ม]])*tbl_task9[[%]:[%]])</f>
        <v/>
      </c>
      <c r="HT26" s="121" t="str">
        <f>IF(ISBLANK(tbl_task9[[คะแนนเต็ม]:[คะแนนเต็ม]]),"",(tbl_task9[58]/tbl_task9[[คะแนนเต็ม]:[คะแนนเต็ม]])*tbl_task9[[%]:[%]])</f>
        <v/>
      </c>
      <c r="HU26" s="121" t="str">
        <f>IF(ISBLANK(tbl_task9[[คะแนนเต็ม]:[คะแนนเต็ม]]),"",(tbl_task9[59]/tbl_task9[[คะแนนเต็ม]:[คะแนนเต็ม]])*tbl_task9[[%]:[%]])</f>
        <v/>
      </c>
      <c r="HV26" s="121" t="str">
        <f>IF(ISBLANK(tbl_task9[[คะแนนเต็ม]:[คะแนนเต็ม]]),"",(tbl_task9[60]/tbl_task9[[คะแนนเต็ม]:[คะแนนเต็ม]])*tbl_task9[[%]:[%]])</f>
        <v/>
      </c>
      <c r="HW26" s="121" t="str">
        <f>IF(ISBLANK(tbl_task9[[คะแนนเต็ม]:[คะแนนเต็ม]]),"",(tbl_task9[61]/tbl_task9[[คะแนนเต็ม]:[คะแนนเต็ม]])*tbl_task9[[%]:[%]])</f>
        <v/>
      </c>
      <c r="HX26" s="121" t="str">
        <f>IF(ISBLANK(tbl_task9[[คะแนนเต็ม]:[คะแนนเต็ม]]),"",(tbl_task9[62]/tbl_task9[[คะแนนเต็ม]:[คะแนนเต็ม]])*tbl_task9[[%]:[%]])</f>
        <v/>
      </c>
      <c r="HY26" s="121" t="str">
        <f>IF(ISBLANK(tbl_task9[[คะแนนเต็ม]:[คะแนนเต็ม]]),"",(tbl_task9[63]/tbl_task9[[คะแนนเต็ม]:[คะแนนเต็ม]])*tbl_task9[[%]:[%]])</f>
        <v/>
      </c>
      <c r="HZ26" s="121" t="str">
        <f>IF(ISBLANK(tbl_task9[[คะแนนเต็ม]:[คะแนนเต็ม]]),"",(tbl_task9[64]/tbl_task9[[คะแนนเต็ม]:[คะแนนเต็ม]])*tbl_task9[[%]:[%]])</f>
        <v/>
      </c>
      <c r="IA26" s="121" t="str">
        <f>IF(ISBLANK(tbl_task9[[คะแนนเต็ม]:[คะแนนเต็ม]]),"",(tbl_task9[65]/tbl_task9[[คะแนนเต็ม]:[คะแนนเต็ม]])*tbl_task9[[%]:[%]])</f>
        <v/>
      </c>
      <c r="IB26" s="121" t="str">
        <f>IF(ISBLANK(tbl_task9[[คะแนนเต็ม]:[คะแนนเต็ม]]),"",(tbl_task9[66]/tbl_task9[[คะแนนเต็ม]:[คะแนนเต็ม]])*tbl_task9[[%]:[%]])</f>
        <v/>
      </c>
      <c r="IC26" s="121" t="str">
        <f>IF(ISBLANK(tbl_task9[[คะแนนเต็ม]:[คะแนนเต็ม]]),"",(tbl_task9[67]/tbl_task9[[คะแนนเต็ม]:[คะแนนเต็ม]])*tbl_task9[[%]:[%]])</f>
        <v/>
      </c>
      <c r="ID26" s="121" t="str">
        <f>IF(ISBLANK(tbl_task9[[คะแนนเต็ม]:[คะแนนเต็ม]]),"",(tbl_task9[68]/tbl_task9[[คะแนนเต็ม]:[คะแนนเต็ม]])*tbl_task9[[%]:[%]])</f>
        <v/>
      </c>
      <c r="IE26" s="121" t="str">
        <f>IF(ISBLANK(tbl_task9[[คะแนนเต็ม]:[คะแนนเต็ม]]),"",(tbl_task9[69]/tbl_task9[[คะแนนเต็ม]:[คะแนนเต็ม]])*tbl_task9[[%]:[%]])</f>
        <v/>
      </c>
      <c r="IF26" s="121" t="str">
        <f>IF(ISBLANK(tbl_task9[[คะแนนเต็ม]:[คะแนนเต็ม]]),"",(tbl_task9[70]/tbl_task9[[คะแนนเต็ม]:[คะแนนเต็ม]])*tbl_task9[[%]:[%]])</f>
        <v/>
      </c>
      <c r="IG26" s="121" t="str">
        <f>IF(ISBLANK(tbl_task9[[คะแนนเต็ม]:[คะแนนเต็ม]]),"",(tbl_task9[71]/tbl_task9[[คะแนนเต็ม]:[คะแนนเต็ม]])*tbl_task9[[%]:[%]])</f>
        <v/>
      </c>
      <c r="IH26" s="121" t="str">
        <f>IF(ISBLANK(tbl_task9[[คะแนนเต็ม]:[คะแนนเต็ม]]),"",(tbl_task9[72]/tbl_task9[[คะแนนเต็ม]:[คะแนนเต็ม]])*tbl_task9[[%]:[%]])</f>
        <v/>
      </c>
      <c r="II26" s="121" t="str">
        <f>IF(ISBLANK(tbl_task9[[คะแนนเต็ม]:[คะแนนเต็ม]]),"",(tbl_task9[73]/tbl_task9[[คะแนนเต็ม]:[คะแนนเต็ม]])*tbl_task9[[%]:[%]])</f>
        <v/>
      </c>
      <c r="IJ26" s="121" t="str">
        <f>IF(ISBLANK(tbl_task9[[คะแนนเต็ม]:[คะแนนเต็ม]]),"",(tbl_task9[74]/tbl_task9[[คะแนนเต็ม]:[คะแนนเต็ม]])*tbl_task9[[%]:[%]])</f>
        <v/>
      </c>
      <c r="IK26" s="121" t="str">
        <f>IF(ISBLANK(tbl_task9[[คะแนนเต็ม]:[คะแนนเต็ม]]),"",(tbl_task9[75]/tbl_task9[[คะแนนเต็ม]:[คะแนนเต็ม]])*tbl_task9[[%]:[%]])</f>
        <v/>
      </c>
      <c r="IL26" s="121" t="str">
        <f>IF(ISBLANK(tbl_task9[[คะแนนเต็ม]:[คะแนนเต็ม]]),"",(tbl_task9[76]/tbl_task9[[คะแนนเต็ม]:[คะแนนเต็ม]])*tbl_task9[[%]:[%]])</f>
        <v/>
      </c>
      <c r="IM26" s="121" t="str">
        <f>IF(ISBLANK(tbl_task9[[คะแนนเต็ม]:[คะแนนเต็ม]]),"",(tbl_task9[77]/tbl_task9[[คะแนนเต็ม]:[คะแนนเต็ม]])*tbl_task9[[%]:[%]])</f>
        <v/>
      </c>
      <c r="IN26" s="121" t="str">
        <f>IF(ISBLANK(tbl_task9[[คะแนนเต็ม]:[คะแนนเต็ม]]),"",(tbl_task9[78]/tbl_task9[[คะแนนเต็ม]:[คะแนนเต็ม]])*tbl_task9[[%]:[%]])</f>
        <v/>
      </c>
      <c r="IO26" s="121" t="str">
        <f>IF(ISBLANK(tbl_task9[[คะแนนเต็ม]:[คะแนนเต็ม]]),"",(tbl_task9[79]/tbl_task9[[คะแนนเต็ม]:[คะแนนเต็ม]])*tbl_task9[[%]:[%]])</f>
        <v/>
      </c>
      <c r="IP26" s="121" t="str">
        <f>IF(ISBLANK(tbl_task9[[คะแนนเต็ม]:[คะแนนเต็ม]]),"",(tbl_task9[80]/tbl_task9[[คะแนนเต็ม]:[คะแนนเต็ม]])*tbl_task9[[%]:[%]])</f>
        <v/>
      </c>
      <c r="IQ26" s="121" t="str">
        <f>IF(ISBLANK(tbl_task9[[คะแนนเต็ม]:[คะแนนเต็ม]]),"",(tbl_task9[81]/tbl_task9[[คะแนนเต็ม]:[คะแนนเต็ม]])*tbl_task9[[%]:[%]])</f>
        <v/>
      </c>
      <c r="IR26" s="121" t="str">
        <f>IF(ISBLANK(tbl_task9[[คะแนนเต็ม]:[คะแนนเต็ม]]),"",(tbl_task9[82]/tbl_task9[[คะแนนเต็ม]:[คะแนนเต็ม]])*tbl_task9[[%]:[%]])</f>
        <v/>
      </c>
      <c r="IS26" s="121" t="str">
        <f>IF(ISBLANK(tbl_task9[[คะแนนเต็ม]:[คะแนนเต็ม]]),"",(tbl_task9[83]/tbl_task9[[คะแนนเต็ม]:[คะแนนเต็ม]])*tbl_task9[[%]:[%]])</f>
        <v/>
      </c>
      <c r="IT26" s="121" t="str">
        <f>IF(ISBLANK(tbl_task9[[คะแนนเต็ม]:[คะแนนเต็ม]]),"",(tbl_task9[84]/tbl_task9[[คะแนนเต็ม]:[คะแนนเต็ม]])*tbl_task9[[%]:[%]])</f>
        <v/>
      </c>
      <c r="IU26" s="121" t="str">
        <f>IF(ISBLANK(tbl_task9[[คะแนนเต็ม]:[คะแนนเต็ม]]),"",(tbl_task9[85]/tbl_task9[[คะแนนเต็ม]:[คะแนนเต็ม]])*tbl_task9[[%]:[%]])</f>
        <v/>
      </c>
      <c r="IV26" s="121" t="str">
        <f>IF(ISBLANK(tbl_task9[[คะแนนเต็ม]:[คะแนนเต็ม]]),"",(tbl_task9[86]/tbl_task9[[คะแนนเต็ม]:[คะแนนเต็ม]])*tbl_task9[[%]:[%]])</f>
        <v/>
      </c>
      <c r="IW26" s="121" t="str">
        <f>IF(ISBLANK(tbl_task9[[คะแนนเต็ม]:[คะแนนเต็ม]]),"",(tbl_task9[87]/tbl_task9[[คะแนนเต็ม]:[คะแนนเต็ม]])*tbl_task9[[%]:[%]])</f>
        <v/>
      </c>
      <c r="IX26" s="121" t="str">
        <f>IF(ISBLANK(tbl_task9[[คะแนนเต็ม]:[คะแนนเต็ม]]),"",(tbl_task9[88]/tbl_task9[[คะแนนเต็ม]:[คะแนนเต็ม]])*tbl_task9[[%]:[%]])</f>
        <v/>
      </c>
      <c r="IY26" s="121" t="str">
        <f>IF(ISBLANK(tbl_task9[[คะแนนเต็ม]:[คะแนนเต็ม]]),"",(tbl_task9[89]/tbl_task9[[คะแนนเต็ม]:[คะแนนเต็ม]])*tbl_task9[[%]:[%]])</f>
        <v/>
      </c>
      <c r="IZ26" s="121" t="str">
        <f>IF(ISBLANK(tbl_task9[[คะแนนเต็ม]:[คะแนนเต็ม]]),"",(tbl_task9[90]/tbl_task9[[คะแนนเต็ม]:[คะแนนเต็ม]])*tbl_task9[[%]:[%]])</f>
        <v/>
      </c>
      <c r="JA26" s="121" t="str">
        <f>IF(ISBLANK(tbl_task9[[คะแนนเต็ม]:[คะแนนเต็ม]]),"",(tbl_task9[91]/tbl_task9[[คะแนนเต็ม]:[คะแนนเต็ม]])*tbl_task9[[%]:[%]])</f>
        <v/>
      </c>
      <c r="JB26" s="121" t="str">
        <f>IF(ISBLANK(tbl_task9[[คะแนนเต็ม]:[คะแนนเต็ม]]),"",(tbl_task9[92]/tbl_task9[[คะแนนเต็ม]:[คะแนนเต็ม]])*tbl_task9[[%]:[%]])</f>
        <v/>
      </c>
      <c r="JC26" s="121" t="str">
        <f>IF(ISBLANK(tbl_task9[[คะแนนเต็ม]:[คะแนนเต็ม]]),"",(tbl_task9[93]/tbl_task9[[คะแนนเต็ม]:[คะแนนเต็ม]])*tbl_task9[[%]:[%]])</f>
        <v/>
      </c>
      <c r="JD26" s="121" t="str">
        <f>IF(ISBLANK(tbl_task9[[คะแนนเต็ม]:[คะแนนเต็ม]]),"",(tbl_task9[94]/tbl_task9[[คะแนนเต็ม]:[คะแนนเต็ม]])*tbl_task9[[%]:[%]])</f>
        <v/>
      </c>
      <c r="JE26" s="121" t="str">
        <f>IF(ISBLANK(tbl_task9[[คะแนนเต็ม]:[คะแนนเต็ม]]),"",(tbl_task9[95]/tbl_task9[[คะแนนเต็ม]:[คะแนนเต็ม]])*tbl_task9[[%]:[%]])</f>
        <v/>
      </c>
      <c r="JF26" s="121" t="str">
        <f>IF(ISBLANK(tbl_task9[[คะแนนเต็ม]:[คะแนนเต็ม]]),"",(tbl_task9[96]/tbl_task9[[คะแนนเต็ม]:[คะแนนเต็ม]])*tbl_task9[[%]:[%]])</f>
        <v/>
      </c>
      <c r="JG26" s="121" t="str">
        <f>IF(ISBLANK(tbl_task9[[คะแนนเต็ม]:[คะแนนเต็ม]]),"",(tbl_task9[97]/tbl_task9[[คะแนนเต็ม]:[คะแนนเต็ม]])*tbl_task9[[%]:[%]])</f>
        <v/>
      </c>
      <c r="JH26" s="121" t="str">
        <f>IF(ISBLANK(tbl_task9[[คะแนนเต็ม]:[คะแนนเต็ม]]),"",(tbl_task9[98]/tbl_task9[[คะแนนเต็ม]:[คะแนนเต็ม]])*tbl_task9[[%]:[%]])</f>
        <v/>
      </c>
      <c r="JI26" s="121" t="str">
        <f>IF(ISBLANK(tbl_task9[[คะแนนเต็ม]:[คะแนนเต็ม]]),"",(tbl_task9[99]/tbl_task9[[คะแนนเต็ม]:[คะแนนเต็ม]])*tbl_task9[[%]:[%]])</f>
        <v/>
      </c>
      <c r="JJ26" s="121" t="str">
        <f>IF(ISBLANK(tbl_task9[[คะแนนเต็ม]:[คะแนนเต็ม]]),"",(tbl_task9[100]/tbl_task9[[คะแนนเต็ม]:[คะแนนเต็ม]])*tbl_task9[[%]:[%]])</f>
        <v/>
      </c>
      <c r="JK26" s="121" t="str">
        <f>IF(ISBLANK(tbl_task9[[คะแนนเต็ม]:[คะแนนเต็ม]]),"",(tbl_task9[101]/tbl_task9[[คะแนนเต็ม]:[คะแนนเต็ม]])*tbl_task9[[%]:[%]])</f>
        <v/>
      </c>
      <c r="JL26" s="121" t="str">
        <f>IF(ISBLANK(tbl_task9[[คะแนนเต็ม]:[คะแนนเต็ม]]),"",(tbl_task9[102]/tbl_task9[[คะแนนเต็ม]:[คะแนนเต็ม]])*tbl_task9[[%]:[%]])</f>
        <v/>
      </c>
      <c r="JM26" s="121" t="str">
        <f>IF(ISBLANK(tbl_task9[[คะแนนเต็ม]:[คะแนนเต็ม]]),"",(tbl_task9[103]/tbl_task9[[คะแนนเต็ม]:[คะแนนเต็ม]])*tbl_task9[[%]:[%]])</f>
        <v/>
      </c>
      <c r="JN26" s="121" t="str">
        <f>IF(ISBLANK(tbl_task9[[คะแนนเต็ม]:[คะแนนเต็ม]]),"",(tbl_task9[104]/tbl_task9[[คะแนนเต็ม]:[คะแนนเต็ม]])*tbl_task9[[%]:[%]])</f>
        <v/>
      </c>
      <c r="JO26" s="121" t="str">
        <f>IF(ISBLANK(tbl_task9[[คะแนนเต็ม]:[คะแนนเต็ม]]),"",(tbl_task9[105]/tbl_task9[[คะแนนเต็ม]:[คะแนนเต็ม]])*tbl_task9[[%]:[%]])</f>
        <v/>
      </c>
      <c r="JP26" s="121" t="str">
        <f>IF(ISBLANK(tbl_task9[[คะแนนเต็ม]:[คะแนนเต็ม]]),"",(tbl_task9[106]/tbl_task9[[คะแนนเต็ม]:[คะแนนเต็ม]])*tbl_task9[[%]:[%]])</f>
        <v/>
      </c>
      <c r="JQ26" s="121" t="str">
        <f>IF(ISBLANK(tbl_task9[[คะแนนเต็ม]:[คะแนนเต็ม]]),"",(tbl_task9[107]/tbl_task9[[คะแนนเต็ม]:[คะแนนเต็ม]])*tbl_task9[[%]:[%]])</f>
        <v/>
      </c>
      <c r="JR26" s="121" t="str">
        <f>IF(ISBLANK(tbl_task9[[คะแนนเต็ม]:[คะแนนเต็ม]]),"",(tbl_task9[108]/tbl_task9[[คะแนนเต็ม]:[คะแนนเต็ม]])*tbl_task9[[%]:[%]])</f>
        <v/>
      </c>
      <c r="JS26" s="121" t="str">
        <f>IF(ISBLANK(tbl_task9[[คะแนนเต็ม]:[คะแนนเต็ม]]),"",(tbl_task9[109]/tbl_task9[[คะแนนเต็ม]:[คะแนนเต็ม]])*tbl_task9[[%]:[%]])</f>
        <v/>
      </c>
      <c r="JT26" s="121" t="str">
        <f>IF(ISBLANK(tbl_task9[[คะแนนเต็ม]:[คะแนนเต็ม]]),"",(tbl_task9[110]/tbl_task9[[คะแนนเต็ม]:[คะแนนเต็ม]])*tbl_task9[[%]:[%]])</f>
        <v/>
      </c>
      <c r="JU26" s="121" t="str">
        <f>IF(ISBLANK(tbl_task9[[คะแนนเต็ม]:[คะแนนเต็ม]]),"",(tbl_task9[111]/tbl_task9[[คะแนนเต็ม]:[คะแนนเต็ม]])*tbl_task9[[%]:[%]])</f>
        <v/>
      </c>
      <c r="JV26" s="121" t="str">
        <f>IF(ISBLANK(tbl_task9[[คะแนนเต็ม]:[คะแนนเต็ม]]),"",(tbl_task9[112]/tbl_task9[[คะแนนเต็ม]:[คะแนนเต็ม]])*tbl_task9[[%]:[%]])</f>
        <v/>
      </c>
      <c r="JW26" s="121" t="str">
        <f>IF(ISBLANK(tbl_task9[[คะแนนเต็ม]:[คะแนนเต็ม]]),"",(tbl_task9[113]/tbl_task9[[คะแนนเต็ม]:[คะแนนเต็ม]])*tbl_task9[[%]:[%]])</f>
        <v/>
      </c>
      <c r="JX26" s="121" t="str">
        <f>IF(ISBLANK(tbl_task9[[คะแนนเต็ม]:[คะแนนเต็ม]]),"",(tbl_task9[114]/tbl_task9[[คะแนนเต็ม]:[คะแนนเต็ม]])*tbl_task9[[%]:[%]])</f>
        <v/>
      </c>
      <c r="JY26" s="121" t="str">
        <f>IF(ISBLANK(tbl_task9[[คะแนนเต็ม]:[คะแนนเต็ม]]),"",(tbl_task9[115]/tbl_task9[[คะแนนเต็ม]:[คะแนนเต็ม]])*tbl_task9[[%]:[%]])</f>
        <v/>
      </c>
      <c r="JZ26" s="121" t="str">
        <f>IF(ISBLANK(tbl_task9[[คะแนนเต็ม]:[คะแนนเต็ม]]),"",(tbl_task9[116]/tbl_task9[[คะแนนเต็ม]:[คะแนนเต็ม]])*tbl_task9[[%]:[%]])</f>
        <v/>
      </c>
      <c r="KA26" s="121" t="str">
        <f>IF(ISBLANK(tbl_task9[[คะแนนเต็ม]:[คะแนนเต็ม]]),"",(tbl_task9[117]/tbl_task9[[คะแนนเต็ม]:[คะแนนเต็ม]])*tbl_task9[[%]:[%]])</f>
        <v/>
      </c>
      <c r="KB26" s="121" t="str">
        <f>IF(ISBLANK(tbl_task9[[คะแนนเต็ม]:[คะแนนเต็ม]]),"",(tbl_task9[118]/tbl_task9[[คะแนนเต็ม]:[คะแนนเต็ม]])*tbl_task9[[%]:[%]])</f>
        <v/>
      </c>
      <c r="KC26" s="121" t="str">
        <f>IF(ISBLANK(tbl_task9[[คะแนนเต็ม]:[คะแนนเต็ม]]),"",(tbl_task9[119]/tbl_task9[[คะแนนเต็ม]:[คะแนนเต็ม]])*tbl_task9[[%]:[%]])</f>
        <v/>
      </c>
      <c r="KD26" s="121" t="str">
        <f>IF(ISBLANK(tbl_task9[[คะแนนเต็ม]:[คะแนนเต็ม]]),"",(tbl_task9[120]/tbl_task9[[คะแนนเต็ม]:[คะแนนเต็ม]])*tbl_task9[[%]:[%]])</f>
        <v/>
      </c>
      <c r="KE26" s="121" t="str">
        <f>IF(ISBLANK(tbl_task9[[คะแนนเต็ม]:[คะแนนเต็ม]]),"",(tbl_task9[121]/tbl_task9[[คะแนนเต็ม]:[คะแนนเต็ม]])*tbl_task9[[%]:[%]])</f>
        <v/>
      </c>
      <c r="KF26" s="121" t="str">
        <f>IF(ISBLANK(tbl_task9[[คะแนนเต็ม]:[คะแนนเต็ม]]),"",(tbl_task9[122]/tbl_task9[[คะแนนเต็ม]:[คะแนนเต็ม]])*tbl_task9[[%]:[%]])</f>
        <v/>
      </c>
      <c r="KG26" s="121" t="str">
        <f>IF(ISBLANK(tbl_task9[[คะแนนเต็ม]:[คะแนนเต็ม]]),"",(tbl_task9[123]/tbl_task9[[คะแนนเต็ม]:[คะแนนเต็ม]])*tbl_task9[[%]:[%]])</f>
        <v/>
      </c>
      <c r="KH26" s="121" t="str">
        <f>IF(ISBLANK(tbl_task9[[คะแนนเต็ม]:[คะแนนเต็ม]]),"",(tbl_task9[124]/tbl_task9[[คะแนนเต็ม]:[คะแนนเต็ม]])*tbl_task9[[%]:[%]])</f>
        <v/>
      </c>
      <c r="KI26" s="121" t="str">
        <f>IF(ISBLANK(tbl_task9[[คะแนนเต็ม]:[คะแนนเต็ม]]),"",(tbl_task9[125]/tbl_task9[[คะแนนเต็ม]:[คะแนนเต็ม]])*tbl_task9[[%]:[%]])</f>
        <v/>
      </c>
      <c r="KJ26" s="121" t="str">
        <f>IF(ISBLANK(tbl_task9[[คะแนนเต็ม]:[คะแนนเต็ม]]),"",(tbl_task9[126]/tbl_task9[[คะแนนเต็ม]:[คะแนนเต็ม]])*tbl_task9[[%]:[%]])</f>
        <v/>
      </c>
      <c r="KK26" s="121" t="str">
        <f>IF(ISBLANK(tbl_task9[[คะแนนเต็ม]:[คะแนนเต็ม]]),"",(tbl_task9[127]/tbl_task9[[คะแนนเต็ม]:[คะแนนเต็ม]])*tbl_task9[[%]:[%]])</f>
        <v/>
      </c>
      <c r="KL26" s="121" t="str">
        <f>IF(ISBLANK(tbl_task9[[คะแนนเต็ม]:[คะแนนเต็ม]]),"",(tbl_task9[128]/tbl_task9[[คะแนนเต็ม]:[คะแนนเต็ม]])*tbl_task9[[%]:[%]])</f>
        <v/>
      </c>
      <c r="KM26" s="121" t="str">
        <f>IF(ISBLANK(tbl_task9[[คะแนนเต็ม]:[คะแนนเต็ม]]),"",(tbl_task9[129]/tbl_task9[[คะแนนเต็ม]:[คะแนนเต็ม]])*tbl_task9[[%]:[%]])</f>
        <v/>
      </c>
      <c r="KN26" s="121" t="str">
        <f>IF(ISBLANK(tbl_task9[[คะแนนเต็ม]:[คะแนนเต็ม]]),"",(tbl_task9[130]/tbl_task9[[คะแนนเต็ม]:[คะแนนเต็ม]])*tbl_task9[[%]:[%]])</f>
        <v/>
      </c>
      <c r="KO26" s="121" t="str">
        <f>IF(ISBLANK(tbl_task9[[คะแนนเต็ม]:[คะแนนเต็ม]]),"",(tbl_task9[131]/tbl_task9[[คะแนนเต็ม]:[คะแนนเต็ม]])*tbl_task9[[%]:[%]])</f>
        <v/>
      </c>
      <c r="KP26" s="121" t="str">
        <f>IF(ISBLANK(tbl_task9[[คะแนนเต็ม]:[คะแนนเต็ม]]),"",(tbl_task9[132]/tbl_task9[[คะแนนเต็ม]:[คะแนนเต็ม]])*tbl_task9[[%]:[%]])</f>
        <v/>
      </c>
      <c r="KQ26" s="121" t="str">
        <f>IF(ISBLANK(tbl_task9[[คะแนนเต็ม]:[คะแนนเต็ม]]),"",(tbl_task9[133]/tbl_task9[[คะแนนเต็ม]:[คะแนนเต็ม]])*tbl_task9[[%]:[%]])</f>
        <v/>
      </c>
      <c r="KR26" s="121" t="str">
        <f>IF(ISBLANK(tbl_task9[[คะแนนเต็ม]:[คะแนนเต็ม]]),"",(tbl_task9[134]/tbl_task9[[คะแนนเต็ม]:[คะแนนเต็ม]])*tbl_task9[[%]:[%]])</f>
        <v/>
      </c>
      <c r="KS26" s="121" t="str">
        <f>IF(ISBLANK(tbl_task9[[คะแนนเต็ม]:[คะแนนเต็ม]]),"",(tbl_task9[135]/tbl_task9[[คะแนนเต็ม]:[คะแนนเต็ม]])*tbl_task9[[%]:[%]])</f>
        <v/>
      </c>
      <c r="KT26" s="121" t="str">
        <f>IF(ISBLANK(tbl_task9[[คะแนนเต็ม]:[คะแนนเต็ม]]),"",(tbl_task9[136]/tbl_task9[[คะแนนเต็ม]:[คะแนนเต็ม]])*tbl_task9[[%]:[%]])</f>
        <v/>
      </c>
      <c r="KU26" s="121" t="str">
        <f>IF(ISBLANK(tbl_task9[[คะแนนเต็ม]:[คะแนนเต็ม]]),"",(tbl_task9[137]/tbl_task9[[คะแนนเต็ม]:[คะแนนเต็ม]])*tbl_task9[[%]:[%]])</f>
        <v/>
      </c>
      <c r="KV26" s="121" t="str">
        <f>IF(ISBLANK(tbl_task9[[คะแนนเต็ม]:[คะแนนเต็ม]]),"",(tbl_task9[138]/tbl_task9[[คะแนนเต็ม]:[คะแนนเต็ม]])*tbl_task9[[%]:[%]])</f>
        <v/>
      </c>
      <c r="KW26" s="121" t="str">
        <f>IF(ISBLANK(tbl_task9[[คะแนนเต็ม]:[คะแนนเต็ม]]),"",(tbl_task9[139]/tbl_task9[[คะแนนเต็ม]:[คะแนนเต็ม]])*tbl_task9[[%]:[%]])</f>
        <v/>
      </c>
      <c r="KX26" s="121" t="str">
        <f>IF(ISBLANK(tbl_task9[[คะแนนเต็ม]:[คะแนนเต็ม]]),"",(tbl_task9[140]/tbl_task9[[คะแนนเต็ม]:[คะแนนเต็ม]])*tbl_task9[[%]:[%]])</f>
        <v/>
      </c>
      <c r="KY26" s="121" t="str">
        <f>IF(ISBLANK(tbl_task9[[คะแนนเต็ม]:[คะแนนเต็ม]]),"",(tbl_task9[141]/tbl_task9[[คะแนนเต็ม]:[คะแนนเต็ม]])*tbl_task9[[%]:[%]])</f>
        <v/>
      </c>
      <c r="KZ26" s="121" t="str">
        <f>IF(ISBLANK(tbl_task9[[คะแนนเต็ม]:[คะแนนเต็ม]]),"",(tbl_task9[142]/tbl_task9[[คะแนนเต็ม]:[คะแนนเต็ม]])*tbl_task9[[%]:[%]])</f>
        <v/>
      </c>
      <c r="LA26" s="121" t="str">
        <f>IF(ISBLANK(tbl_task9[[คะแนนเต็ม]:[คะแนนเต็ม]]),"",(tbl_task9[143]/tbl_task9[[คะแนนเต็ม]:[คะแนนเต็ม]])*tbl_task9[[%]:[%]])</f>
        <v/>
      </c>
      <c r="LB26" s="121" t="str">
        <f>IF(ISBLANK(tbl_task9[[คะแนนเต็ม]:[คะแนนเต็ม]]),"",(tbl_task9[144]/tbl_task9[[คะแนนเต็ม]:[คะแนนเต็ม]])*tbl_task9[[%]:[%]])</f>
        <v/>
      </c>
      <c r="LC26" s="121" t="str">
        <f>IF(ISBLANK(tbl_task9[[คะแนนเต็ม]:[คะแนนเต็ม]]),"",(tbl_task9[145]/tbl_task9[[คะแนนเต็ม]:[คะแนนเต็ม]])*tbl_task9[[%]:[%]])</f>
        <v/>
      </c>
      <c r="LD26" s="121" t="str">
        <f>IF(ISBLANK(tbl_task9[[คะแนนเต็ม]:[คะแนนเต็ม]]),"",(tbl_task9[146]/tbl_task9[[คะแนนเต็ม]:[คะแนนเต็ม]])*tbl_task9[[%]:[%]])</f>
        <v/>
      </c>
      <c r="LE26" s="121" t="str">
        <f>IF(ISBLANK(tbl_task9[[คะแนนเต็ม]:[คะแนนเต็ม]]),"",(tbl_task9[147]/tbl_task9[[คะแนนเต็ม]:[คะแนนเต็ม]])*tbl_task9[[%]:[%]])</f>
        <v/>
      </c>
      <c r="LF26" s="121" t="str">
        <f>IF(ISBLANK(tbl_task9[[คะแนนเต็ม]:[คะแนนเต็ม]]),"",(tbl_task9[148]/tbl_task9[[คะแนนเต็ม]:[คะแนนเต็ม]])*tbl_task9[[%]:[%]])</f>
        <v/>
      </c>
      <c r="LG26" s="121" t="str">
        <f>IF(ISBLANK(tbl_task9[[คะแนนเต็ม]:[คะแนนเต็ม]]),"",(tbl_task9[149]/tbl_task9[[คะแนนเต็ม]:[คะแนนเต็ม]])*tbl_task9[[%]:[%]])</f>
        <v/>
      </c>
      <c r="LH26" s="121" t="str">
        <f>IF(ISBLANK(tbl_task9[[คะแนนเต็ม]:[คะแนนเต็ม]]),"",(tbl_task9[150]/tbl_task9[[คะแนนเต็ม]:[คะแนนเต็ม]])*tbl_task9[[%]:[%]])</f>
        <v/>
      </c>
      <c r="LI26" s="121" t="str">
        <f>IF(ISBLANK(tbl_task9[[คะแนนเต็ม]:[คะแนนเต็ม]]),"",(tbl_task9[151]/tbl_task9[[คะแนนเต็ม]:[คะแนนเต็ม]])*tbl_task9[[%]:[%]])</f>
        <v/>
      </c>
      <c r="LJ26" s="121" t="str">
        <f>IF(ISBLANK(tbl_task9[[คะแนนเต็ม]:[คะแนนเต็ม]]),"",(tbl_task9[152]/tbl_task9[[คะแนนเต็ม]:[คะแนนเต็ม]])*tbl_task9[[%]:[%]])</f>
        <v/>
      </c>
      <c r="LK26" s="121" t="str">
        <f>IF(ISBLANK(tbl_task9[[คะแนนเต็ม]:[คะแนนเต็ม]]),"",(tbl_task9[153]/tbl_task9[[คะแนนเต็ม]:[คะแนนเต็ม]])*tbl_task9[[%]:[%]])</f>
        <v/>
      </c>
      <c r="LL26" s="121" t="str">
        <f>IF(ISBLANK(tbl_task9[[คะแนนเต็ม]:[คะแนนเต็ม]]),"",(tbl_task9[154]/tbl_task9[[คะแนนเต็ม]:[คะแนนเต็ม]])*tbl_task9[[%]:[%]])</f>
        <v/>
      </c>
      <c r="LM26" s="121" t="str">
        <f>IF(ISBLANK(tbl_task9[[คะแนนเต็ม]:[คะแนนเต็ม]]),"",(tbl_task9[155]/tbl_task9[[คะแนนเต็ม]:[คะแนนเต็ม]])*tbl_task9[[%]:[%]])</f>
        <v/>
      </c>
      <c r="LN26" s="121" t="str">
        <f>IF(ISBLANK(tbl_task9[[คะแนนเต็ม]:[คะแนนเต็ม]]),"",(tbl_task9[156]/tbl_task9[[คะแนนเต็ม]:[คะแนนเต็ม]])*tbl_task9[[%]:[%]])</f>
        <v/>
      </c>
      <c r="LO26" s="121" t="str">
        <f>IF(ISBLANK(tbl_task9[[คะแนนเต็ม]:[คะแนนเต็ม]]),"",(tbl_task9[157]/tbl_task9[[คะแนนเต็ม]:[คะแนนเต็ม]])*tbl_task9[[%]:[%]])</f>
        <v/>
      </c>
      <c r="LP26" s="121" t="str">
        <f>IF(ISBLANK(tbl_task9[[คะแนนเต็ม]:[คะแนนเต็ม]]),"",(tbl_task9[158]/tbl_task9[[คะแนนเต็ม]:[คะแนนเต็ม]])*tbl_task9[[%]:[%]])</f>
        <v/>
      </c>
      <c r="LQ26" s="121" t="str">
        <f>IF(ISBLANK(tbl_task9[[คะแนนเต็ม]:[คะแนนเต็ม]]),"",(tbl_task9[159]/tbl_task9[[คะแนนเต็ม]:[คะแนนเต็ม]])*tbl_task9[[%]:[%]])</f>
        <v/>
      </c>
      <c r="LR26" s="121" t="str">
        <f>IF(ISBLANK(tbl_task9[[คะแนนเต็ม]:[คะแนนเต็ม]]),"",(tbl_task9[160]/tbl_task9[[คะแนนเต็ม]:[คะแนนเต็ม]])*tbl_task9[[%]:[%]])</f>
        <v/>
      </c>
      <c r="LS26" s="121" t="str">
        <f>IF(ISBLANK(tbl_task9[[คะแนนเต็ม]:[คะแนนเต็ม]]),"",(tbl_task9[161]/tbl_task9[[คะแนนเต็ม]:[คะแนนเต็ม]])*tbl_task9[[%]:[%]])</f>
        <v/>
      </c>
      <c r="LT26" s="121" t="str">
        <f>IF(ISBLANK(tbl_task9[[คะแนนเต็ม]:[คะแนนเต็ม]]),"",(tbl_task9[162]/tbl_task9[[คะแนนเต็ม]:[คะแนนเต็ม]])*tbl_task9[[%]:[%]])</f>
        <v/>
      </c>
      <c r="LU26" s="121" t="str">
        <f>IF(ISBLANK(tbl_task9[[คะแนนเต็ม]:[คะแนนเต็ม]]),"",(tbl_task9[163]/tbl_task9[[คะแนนเต็ม]:[คะแนนเต็ม]])*tbl_task9[[%]:[%]])</f>
        <v/>
      </c>
      <c r="LV26" s="121" t="str">
        <f>IF(ISBLANK(tbl_task9[[คะแนนเต็ม]:[คะแนนเต็ม]]),"",(tbl_task9[164]/tbl_task9[[คะแนนเต็ม]:[คะแนนเต็ม]])*tbl_task9[[%]:[%]])</f>
        <v/>
      </c>
      <c r="LW26" s="121" t="str">
        <f>IF(ISBLANK(tbl_task9[[คะแนนเต็ม]:[คะแนนเต็ม]]),"",(tbl_task9[165]/tbl_task9[[คะแนนเต็ม]:[คะแนนเต็ม]])*tbl_task9[[%]:[%]])</f>
        <v/>
      </c>
    </row>
    <row r="27" spans="1:335" ht="24" customHeight="1" x14ac:dyDescent="0.25">
      <c r="A27" s="24">
        <v>24</v>
      </c>
      <c r="B27" s="20"/>
      <c r="C27" s="5" t="str">
        <f>IF(ISBLANK(B27),"",VLOOKUP(B27,tbl_PLOs[],2,0))</f>
        <v/>
      </c>
      <c r="D27" s="102"/>
      <c r="E27" s="106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21" t="str">
        <f>IF(ISBLANK(tbl_task9[[คะแนนเต็ม]:[คะแนนเต็ม]]),"",(tbl_task9[1]/tbl_task9[[คะแนนเต็ม]:[คะแนนเต็ม]])*tbl_task9[[%]:[%]])</f>
        <v/>
      </c>
      <c r="FP27" s="121" t="str">
        <f>IF(ISBLANK(tbl_task9[[คะแนนเต็ม]:[คะแนนเต็ม]]),"",(tbl_task9[2]/tbl_task9[[คะแนนเต็ม]:[คะแนนเต็ม]])*tbl_task9[[%]:[%]])</f>
        <v/>
      </c>
      <c r="FQ27" s="121" t="str">
        <f>IF(ISBLANK(tbl_task9[[คะแนนเต็ม]:[คะแนนเต็ม]]),"",(tbl_task9[3]/tbl_task9[[คะแนนเต็ม]:[คะแนนเต็ม]])*tbl_task9[[%]:[%]])</f>
        <v/>
      </c>
      <c r="FR27" s="121" t="str">
        <f>IF(ISBLANK(tbl_task9[[คะแนนเต็ม]:[คะแนนเต็ม]]),"",(tbl_task9[4]/tbl_task9[[คะแนนเต็ม]:[คะแนนเต็ม]])*tbl_task9[[%]:[%]])</f>
        <v/>
      </c>
      <c r="FS27" s="121" t="str">
        <f>IF(ISBLANK(tbl_task9[[คะแนนเต็ม]:[คะแนนเต็ม]]),"",(tbl_task9[5]/tbl_task9[[คะแนนเต็ม]:[คะแนนเต็ม]])*tbl_task9[[%]:[%]])</f>
        <v/>
      </c>
      <c r="FT27" s="121" t="str">
        <f>IF(ISBLANK(tbl_task9[[คะแนนเต็ม]:[คะแนนเต็ม]]),"",(tbl_task9[6]/tbl_task9[[คะแนนเต็ม]:[คะแนนเต็ม]])*tbl_task9[[%]:[%]])</f>
        <v/>
      </c>
      <c r="FU27" s="121" t="str">
        <f>IF(ISBLANK(tbl_task9[[คะแนนเต็ม]:[คะแนนเต็ม]]),"",(tbl_task9[7]/tbl_task9[[คะแนนเต็ม]:[คะแนนเต็ม]])*tbl_task9[[%]:[%]])</f>
        <v/>
      </c>
      <c r="FV27" s="121" t="str">
        <f>IF(ISBLANK(tbl_task9[[คะแนนเต็ม]:[คะแนนเต็ม]]),"",(tbl_task9[8]/tbl_task9[[คะแนนเต็ม]:[คะแนนเต็ม]])*tbl_task9[[%]:[%]])</f>
        <v/>
      </c>
      <c r="FW27" s="121" t="str">
        <f>IF(ISBLANK(tbl_task9[[คะแนนเต็ม]:[คะแนนเต็ม]]),"",(tbl_task9[9]/tbl_task9[[คะแนนเต็ม]:[คะแนนเต็ม]])*tbl_task9[[%]:[%]])</f>
        <v/>
      </c>
      <c r="FX27" s="121" t="str">
        <f>IF(ISBLANK(tbl_task9[[คะแนนเต็ม]:[คะแนนเต็ม]]),"",(tbl_task9[10]/tbl_task9[[คะแนนเต็ม]:[คะแนนเต็ม]])*tbl_task9[[%]:[%]])</f>
        <v/>
      </c>
      <c r="FY27" s="121" t="str">
        <f>IF(ISBLANK(tbl_task9[[คะแนนเต็ม]:[คะแนนเต็ม]]),"",(tbl_task9[11]/tbl_task9[[คะแนนเต็ม]:[คะแนนเต็ม]])*tbl_task9[[%]:[%]])</f>
        <v/>
      </c>
      <c r="FZ27" s="121" t="str">
        <f>IF(ISBLANK(tbl_task9[[คะแนนเต็ม]:[คะแนนเต็ม]]),"",(tbl_task9[12]/tbl_task9[[คะแนนเต็ม]:[คะแนนเต็ม]])*tbl_task9[[%]:[%]])</f>
        <v/>
      </c>
      <c r="GA27" s="121" t="str">
        <f>IF(ISBLANK(tbl_task9[[คะแนนเต็ม]:[คะแนนเต็ม]]),"",(tbl_task9[13]/tbl_task9[[คะแนนเต็ม]:[คะแนนเต็ม]])*tbl_task9[[%]:[%]])</f>
        <v/>
      </c>
      <c r="GB27" s="121" t="str">
        <f>IF(ISBLANK(tbl_task9[[คะแนนเต็ม]:[คะแนนเต็ม]]),"",(tbl_task9[14]/tbl_task9[[คะแนนเต็ม]:[คะแนนเต็ม]])*tbl_task9[[%]:[%]])</f>
        <v/>
      </c>
      <c r="GC27" s="121" t="str">
        <f>IF(ISBLANK(tbl_task9[[คะแนนเต็ม]:[คะแนนเต็ม]]),"",(tbl_task9[15]/tbl_task9[[คะแนนเต็ม]:[คะแนนเต็ม]])*tbl_task9[[%]:[%]])</f>
        <v/>
      </c>
      <c r="GD27" s="121" t="str">
        <f>IF(ISBLANK(tbl_task9[[คะแนนเต็ม]:[คะแนนเต็ม]]),"",(tbl_task9[16]/tbl_task9[[คะแนนเต็ม]:[คะแนนเต็ม]])*tbl_task9[[%]:[%]])</f>
        <v/>
      </c>
      <c r="GE27" s="121" t="str">
        <f>IF(ISBLANK(tbl_task9[[คะแนนเต็ม]:[คะแนนเต็ม]]),"",(tbl_task9[17]/tbl_task9[[คะแนนเต็ม]:[คะแนนเต็ม]])*tbl_task9[[%]:[%]])</f>
        <v/>
      </c>
      <c r="GF27" s="121" t="str">
        <f>IF(ISBLANK(tbl_task9[[คะแนนเต็ม]:[คะแนนเต็ม]]),"",(tbl_task9[18]/tbl_task9[[คะแนนเต็ม]:[คะแนนเต็ม]])*tbl_task9[[%]:[%]])</f>
        <v/>
      </c>
      <c r="GG27" s="121" t="str">
        <f>IF(ISBLANK(tbl_task9[[คะแนนเต็ม]:[คะแนนเต็ม]]),"",(tbl_task9[19]/tbl_task9[[คะแนนเต็ม]:[คะแนนเต็ม]])*tbl_task9[[%]:[%]])</f>
        <v/>
      </c>
      <c r="GH27" s="121" t="str">
        <f>IF(ISBLANK(tbl_task9[[คะแนนเต็ม]:[คะแนนเต็ม]]),"",(tbl_task9[20]/tbl_task9[[คะแนนเต็ม]:[คะแนนเต็ม]])*tbl_task9[[%]:[%]])</f>
        <v/>
      </c>
      <c r="GI27" s="121" t="str">
        <f>IF(ISBLANK(tbl_task9[[คะแนนเต็ม]:[คะแนนเต็ม]]),"",(tbl_task9[21]/tbl_task9[[คะแนนเต็ม]:[คะแนนเต็ม]])*tbl_task9[[%]:[%]])</f>
        <v/>
      </c>
      <c r="GJ27" s="121" t="str">
        <f>IF(ISBLANK(tbl_task9[[คะแนนเต็ม]:[คะแนนเต็ม]]),"",(tbl_task9[22]/tbl_task9[[คะแนนเต็ม]:[คะแนนเต็ม]])*tbl_task9[[%]:[%]])</f>
        <v/>
      </c>
      <c r="GK27" s="121" t="str">
        <f>IF(ISBLANK(tbl_task9[[คะแนนเต็ม]:[คะแนนเต็ม]]),"",(tbl_task9[23]/tbl_task9[[คะแนนเต็ม]:[คะแนนเต็ม]])*tbl_task9[[%]:[%]])</f>
        <v/>
      </c>
      <c r="GL27" s="121" t="str">
        <f>IF(ISBLANK(tbl_task9[[คะแนนเต็ม]:[คะแนนเต็ม]]),"",(tbl_task9[24]/tbl_task9[[คะแนนเต็ม]:[คะแนนเต็ม]])*tbl_task9[[%]:[%]])</f>
        <v/>
      </c>
      <c r="GM27" s="121" t="str">
        <f>IF(ISBLANK(tbl_task9[[คะแนนเต็ม]:[คะแนนเต็ม]]),"",(tbl_task9[25]/tbl_task9[[คะแนนเต็ม]:[คะแนนเต็ม]])*tbl_task9[[%]:[%]])</f>
        <v/>
      </c>
      <c r="GN27" s="121" t="str">
        <f>IF(ISBLANK(tbl_task9[[คะแนนเต็ม]:[คะแนนเต็ม]]),"",(tbl_task9[26]/tbl_task9[[คะแนนเต็ม]:[คะแนนเต็ม]])*tbl_task9[[%]:[%]])</f>
        <v/>
      </c>
      <c r="GO27" s="121" t="str">
        <f>IF(ISBLANK(tbl_task9[[คะแนนเต็ม]:[คะแนนเต็ม]]),"",(tbl_task9[27]/tbl_task9[[คะแนนเต็ม]:[คะแนนเต็ม]])*tbl_task9[[%]:[%]])</f>
        <v/>
      </c>
      <c r="GP27" s="121" t="str">
        <f>IF(ISBLANK(tbl_task9[[คะแนนเต็ม]:[คะแนนเต็ม]]),"",(tbl_task9[28]/tbl_task9[[คะแนนเต็ม]:[คะแนนเต็ม]])*tbl_task9[[%]:[%]])</f>
        <v/>
      </c>
      <c r="GQ27" s="121" t="str">
        <f>IF(ISBLANK(tbl_task9[[คะแนนเต็ม]:[คะแนนเต็ม]]),"",(tbl_task9[29]/tbl_task9[[คะแนนเต็ม]:[คะแนนเต็ม]])*tbl_task9[[%]:[%]])</f>
        <v/>
      </c>
      <c r="GR27" s="121" t="str">
        <f>IF(ISBLANK(tbl_task9[[คะแนนเต็ม]:[คะแนนเต็ม]]),"",(tbl_task9[30]/tbl_task9[[คะแนนเต็ม]:[คะแนนเต็ม]])*tbl_task9[[%]:[%]])</f>
        <v/>
      </c>
      <c r="GS27" s="121" t="str">
        <f>IF(ISBLANK(tbl_task9[[คะแนนเต็ม]:[คะแนนเต็ม]]),"",(tbl_task9[31]/tbl_task9[[คะแนนเต็ม]:[คะแนนเต็ม]])*tbl_task9[[%]:[%]])</f>
        <v/>
      </c>
      <c r="GT27" s="121" t="str">
        <f>IF(ISBLANK(tbl_task9[[คะแนนเต็ม]:[คะแนนเต็ม]]),"",(tbl_task9[32]/tbl_task9[[คะแนนเต็ม]:[คะแนนเต็ม]])*tbl_task9[[%]:[%]])</f>
        <v/>
      </c>
      <c r="GU27" s="121" t="str">
        <f>IF(ISBLANK(tbl_task9[[คะแนนเต็ม]:[คะแนนเต็ม]]),"",(tbl_task9[33]/tbl_task9[[คะแนนเต็ม]:[คะแนนเต็ม]])*tbl_task9[[%]:[%]])</f>
        <v/>
      </c>
      <c r="GV27" s="121" t="str">
        <f>IF(ISBLANK(tbl_task9[[คะแนนเต็ม]:[คะแนนเต็ม]]),"",(tbl_task9[34]/tbl_task9[[คะแนนเต็ม]:[คะแนนเต็ม]])*tbl_task9[[%]:[%]])</f>
        <v/>
      </c>
      <c r="GW27" s="121" t="str">
        <f>IF(ISBLANK(tbl_task9[[คะแนนเต็ม]:[คะแนนเต็ม]]),"",(tbl_task9[35]/tbl_task9[[คะแนนเต็ม]:[คะแนนเต็ม]])*tbl_task9[[%]:[%]])</f>
        <v/>
      </c>
      <c r="GX27" s="121" t="str">
        <f>IF(ISBLANK(tbl_task9[[คะแนนเต็ม]:[คะแนนเต็ม]]),"",(tbl_task9[36]/tbl_task9[[คะแนนเต็ม]:[คะแนนเต็ม]])*tbl_task9[[%]:[%]])</f>
        <v/>
      </c>
      <c r="GY27" s="121" t="str">
        <f>IF(ISBLANK(tbl_task9[[คะแนนเต็ม]:[คะแนนเต็ม]]),"",(tbl_task9[37]/tbl_task9[[คะแนนเต็ม]:[คะแนนเต็ม]])*tbl_task9[[%]:[%]])</f>
        <v/>
      </c>
      <c r="GZ27" s="121" t="str">
        <f>IF(ISBLANK(tbl_task9[[คะแนนเต็ม]:[คะแนนเต็ม]]),"",(tbl_task9[38]/tbl_task9[[คะแนนเต็ม]:[คะแนนเต็ม]])*tbl_task9[[%]:[%]])</f>
        <v/>
      </c>
      <c r="HA27" s="121" t="str">
        <f>IF(ISBLANK(tbl_task9[[คะแนนเต็ม]:[คะแนนเต็ม]]),"",(tbl_task9[39]/tbl_task9[[คะแนนเต็ม]:[คะแนนเต็ม]])*tbl_task9[[%]:[%]])</f>
        <v/>
      </c>
      <c r="HB27" s="121" t="str">
        <f>IF(ISBLANK(tbl_task9[[คะแนนเต็ม]:[คะแนนเต็ม]]),"",(tbl_task9[40]/tbl_task9[[คะแนนเต็ม]:[คะแนนเต็ม]])*tbl_task9[[%]:[%]])</f>
        <v/>
      </c>
      <c r="HC27" s="121" t="str">
        <f>IF(ISBLANK(tbl_task9[[คะแนนเต็ม]:[คะแนนเต็ม]]),"",(tbl_task9[41]/tbl_task9[[คะแนนเต็ม]:[คะแนนเต็ม]])*tbl_task9[[%]:[%]])</f>
        <v/>
      </c>
      <c r="HD27" s="121" t="str">
        <f>IF(ISBLANK(tbl_task9[[คะแนนเต็ม]:[คะแนนเต็ม]]),"",(tbl_task9[42]/tbl_task9[[คะแนนเต็ม]:[คะแนนเต็ม]])*tbl_task9[[%]:[%]])</f>
        <v/>
      </c>
      <c r="HE27" s="121" t="str">
        <f>IF(ISBLANK(tbl_task9[[คะแนนเต็ม]:[คะแนนเต็ม]]),"",(tbl_task9[43]/tbl_task9[[คะแนนเต็ม]:[คะแนนเต็ม]])*tbl_task9[[%]:[%]])</f>
        <v/>
      </c>
      <c r="HF27" s="121" t="str">
        <f>IF(ISBLANK(tbl_task9[[คะแนนเต็ม]:[คะแนนเต็ม]]),"",(tbl_task9[44]/tbl_task9[[คะแนนเต็ม]:[คะแนนเต็ม]])*tbl_task9[[%]:[%]])</f>
        <v/>
      </c>
      <c r="HG27" s="121" t="str">
        <f>IF(ISBLANK(tbl_task9[[คะแนนเต็ม]:[คะแนนเต็ม]]),"",(tbl_task9[45]/tbl_task9[[คะแนนเต็ม]:[คะแนนเต็ม]])*tbl_task9[[%]:[%]])</f>
        <v/>
      </c>
      <c r="HH27" s="121" t="str">
        <f>IF(ISBLANK(tbl_task9[[คะแนนเต็ม]:[คะแนนเต็ม]]),"",(tbl_task9[46]/tbl_task9[[คะแนนเต็ม]:[คะแนนเต็ม]])*tbl_task9[[%]:[%]])</f>
        <v/>
      </c>
      <c r="HI27" s="121" t="str">
        <f>IF(ISBLANK(tbl_task9[[คะแนนเต็ม]:[คะแนนเต็ม]]),"",(tbl_task9[47]/tbl_task9[[คะแนนเต็ม]:[คะแนนเต็ม]])*tbl_task9[[%]:[%]])</f>
        <v/>
      </c>
      <c r="HJ27" s="121" t="str">
        <f>IF(ISBLANK(tbl_task9[[คะแนนเต็ม]:[คะแนนเต็ม]]),"",(tbl_task9[48]/tbl_task9[[คะแนนเต็ม]:[คะแนนเต็ม]])*tbl_task9[[%]:[%]])</f>
        <v/>
      </c>
      <c r="HK27" s="121" t="str">
        <f>IF(ISBLANK(tbl_task9[[คะแนนเต็ม]:[คะแนนเต็ม]]),"",(tbl_task9[49]/tbl_task9[[คะแนนเต็ม]:[คะแนนเต็ม]])*tbl_task9[[%]:[%]])</f>
        <v/>
      </c>
      <c r="HL27" s="121" t="str">
        <f>IF(ISBLANK(tbl_task9[[คะแนนเต็ม]:[คะแนนเต็ม]]),"",(tbl_task9[50]/tbl_task9[[คะแนนเต็ม]:[คะแนนเต็ม]])*tbl_task9[[%]:[%]])</f>
        <v/>
      </c>
      <c r="HM27" s="121" t="str">
        <f>IF(ISBLANK(tbl_task9[[คะแนนเต็ม]:[คะแนนเต็ม]]),"",(tbl_task9[51]/tbl_task9[[คะแนนเต็ม]:[คะแนนเต็ม]])*tbl_task9[[%]:[%]])</f>
        <v/>
      </c>
      <c r="HN27" s="121" t="str">
        <f>IF(ISBLANK(tbl_task9[[คะแนนเต็ม]:[คะแนนเต็ม]]),"",(tbl_task9[52]/tbl_task9[[คะแนนเต็ม]:[คะแนนเต็ม]])*tbl_task9[[%]:[%]])</f>
        <v/>
      </c>
      <c r="HO27" s="121" t="str">
        <f>IF(ISBLANK(tbl_task9[[คะแนนเต็ม]:[คะแนนเต็ม]]),"",(tbl_task9[53]/tbl_task9[[คะแนนเต็ม]:[คะแนนเต็ม]])*tbl_task9[[%]:[%]])</f>
        <v/>
      </c>
      <c r="HP27" s="121" t="str">
        <f>IF(ISBLANK(tbl_task9[[คะแนนเต็ม]:[คะแนนเต็ม]]),"",(tbl_task9[54]/tbl_task9[[คะแนนเต็ม]:[คะแนนเต็ม]])*tbl_task9[[%]:[%]])</f>
        <v/>
      </c>
      <c r="HQ27" s="121" t="str">
        <f>IF(ISBLANK(tbl_task9[[คะแนนเต็ม]:[คะแนนเต็ม]]),"",(tbl_task9[55]/tbl_task9[[คะแนนเต็ม]:[คะแนนเต็ม]])*tbl_task9[[%]:[%]])</f>
        <v/>
      </c>
      <c r="HR27" s="121" t="str">
        <f>IF(ISBLANK(tbl_task9[[คะแนนเต็ม]:[คะแนนเต็ม]]),"",(tbl_task9[56]/tbl_task9[[คะแนนเต็ม]:[คะแนนเต็ม]])*tbl_task9[[%]:[%]])</f>
        <v/>
      </c>
      <c r="HS27" s="121" t="str">
        <f>IF(ISBLANK(tbl_task9[[คะแนนเต็ม]:[คะแนนเต็ม]]),"",(tbl_task9[57]/tbl_task9[[คะแนนเต็ม]:[คะแนนเต็ม]])*tbl_task9[[%]:[%]])</f>
        <v/>
      </c>
      <c r="HT27" s="121" t="str">
        <f>IF(ISBLANK(tbl_task9[[คะแนนเต็ม]:[คะแนนเต็ม]]),"",(tbl_task9[58]/tbl_task9[[คะแนนเต็ม]:[คะแนนเต็ม]])*tbl_task9[[%]:[%]])</f>
        <v/>
      </c>
      <c r="HU27" s="121" t="str">
        <f>IF(ISBLANK(tbl_task9[[คะแนนเต็ม]:[คะแนนเต็ม]]),"",(tbl_task9[59]/tbl_task9[[คะแนนเต็ม]:[คะแนนเต็ม]])*tbl_task9[[%]:[%]])</f>
        <v/>
      </c>
      <c r="HV27" s="121" t="str">
        <f>IF(ISBLANK(tbl_task9[[คะแนนเต็ม]:[คะแนนเต็ม]]),"",(tbl_task9[60]/tbl_task9[[คะแนนเต็ม]:[คะแนนเต็ม]])*tbl_task9[[%]:[%]])</f>
        <v/>
      </c>
      <c r="HW27" s="121" t="str">
        <f>IF(ISBLANK(tbl_task9[[คะแนนเต็ม]:[คะแนนเต็ม]]),"",(tbl_task9[61]/tbl_task9[[คะแนนเต็ม]:[คะแนนเต็ม]])*tbl_task9[[%]:[%]])</f>
        <v/>
      </c>
      <c r="HX27" s="121" t="str">
        <f>IF(ISBLANK(tbl_task9[[คะแนนเต็ม]:[คะแนนเต็ม]]),"",(tbl_task9[62]/tbl_task9[[คะแนนเต็ม]:[คะแนนเต็ม]])*tbl_task9[[%]:[%]])</f>
        <v/>
      </c>
      <c r="HY27" s="121" t="str">
        <f>IF(ISBLANK(tbl_task9[[คะแนนเต็ม]:[คะแนนเต็ม]]),"",(tbl_task9[63]/tbl_task9[[คะแนนเต็ม]:[คะแนนเต็ม]])*tbl_task9[[%]:[%]])</f>
        <v/>
      </c>
      <c r="HZ27" s="121" t="str">
        <f>IF(ISBLANK(tbl_task9[[คะแนนเต็ม]:[คะแนนเต็ม]]),"",(tbl_task9[64]/tbl_task9[[คะแนนเต็ม]:[คะแนนเต็ม]])*tbl_task9[[%]:[%]])</f>
        <v/>
      </c>
      <c r="IA27" s="121" t="str">
        <f>IF(ISBLANK(tbl_task9[[คะแนนเต็ม]:[คะแนนเต็ม]]),"",(tbl_task9[65]/tbl_task9[[คะแนนเต็ม]:[คะแนนเต็ม]])*tbl_task9[[%]:[%]])</f>
        <v/>
      </c>
      <c r="IB27" s="121" t="str">
        <f>IF(ISBLANK(tbl_task9[[คะแนนเต็ม]:[คะแนนเต็ม]]),"",(tbl_task9[66]/tbl_task9[[คะแนนเต็ม]:[คะแนนเต็ม]])*tbl_task9[[%]:[%]])</f>
        <v/>
      </c>
      <c r="IC27" s="121" t="str">
        <f>IF(ISBLANK(tbl_task9[[คะแนนเต็ม]:[คะแนนเต็ม]]),"",(tbl_task9[67]/tbl_task9[[คะแนนเต็ม]:[คะแนนเต็ม]])*tbl_task9[[%]:[%]])</f>
        <v/>
      </c>
      <c r="ID27" s="121" t="str">
        <f>IF(ISBLANK(tbl_task9[[คะแนนเต็ม]:[คะแนนเต็ม]]),"",(tbl_task9[68]/tbl_task9[[คะแนนเต็ม]:[คะแนนเต็ม]])*tbl_task9[[%]:[%]])</f>
        <v/>
      </c>
      <c r="IE27" s="121" t="str">
        <f>IF(ISBLANK(tbl_task9[[คะแนนเต็ม]:[คะแนนเต็ม]]),"",(tbl_task9[69]/tbl_task9[[คะแนนเต็ม]:[คะแนนเต็ม]])*tbl_task9[[%]:[%]])</f>
        <v/>
      </c>
      <c r="IF27" s="121" t="str">
        <f>IF(ISBLANK(tbl_task9[[คะแนนเต็ม]:[คะแนนเต็ม]]),"",(tbl_task9[70]/tbl_task9[[คะแนนเต็ม]:[คะแนนเต็ม]])*tbl_task9[[%]:[%]])</f>
        <v/>
      </c>
      <c r="IG27" s="121" t="str">
        <f>IF(ISBLANK(tbl_task9[[คะแนนเต็ม]:[คะแนนเต็ม]]),"",(tbl_task9[71]/tbl_task9[[คะแนนเต็ม]:[คะแนนเต็ม]])*tbl_task9[[%]:[%]])</f>
        <v/>
      </c>
      <c r="IH27" s="121" t="str">
        <f>IF(ISBLANK(tbl_task9[[คะแนนเต็ม]:[คะแนนเต็ม]]),"",(tbl_task9[72]/tbl_task9[[คะแนนเต็ม]:[คะแนนเต็ม]])*tbl_task9[[%]:[%]])</f>
        <v/>
      </c>
      <c r="II27" s="121" t="str">
        <f>IF(ISBLANK(tbl_task9[[คะแนนเต็ม]:[คะแนนเต็ม]]),"",(tbl_task9[73]/tbl_task9[[คะแนนเต็ม]:[คะแนนเต็ม]])*tbl_task9[[%]:[%]])</f>
        <v/>
      </c>
      <c r="IJ27" s="121" t="str">
        <f>IF(ISBLANK(tbl_task9[[คะแนนเต็ม]:[คะแนนเต็ม]]),"",(tbl_task9[74]/tbl_task9[[คะแนนเต็ม]:[คะแนนเต็ม]])*tbl_task9[[%]:[%]])</f>
        <v/>
      </c>
      <c r="IK27" s="121" t="str">
        <f>IF(ISBLANK(tbl_task9[[คะแนนเต็ม]:[คะแนนเต็ม]]),"",(tbl_task9[75]/tbl_task9[[คะแนนเต็ม]:[คะแนนเต็ม]])*tbl_task9[[%]:[%]])</f>
        <v/>
      </c>
      <c r="IL27" s="121" t="str">
        <f>IF(ISBLANK(tbl_task9[[คะแนนเต็ม]:[คะแนนเต็ม]]),"",(tbl_task9[76]/tbl_task9[[คะแนนเต็ม]:[คะแนนเต็ม]])*tbl_task9[[%]:[%]])</f>
        <v/>
      </c>
      <c r="IM27" s="121" t="str">
        <f>IF(ISBLANK(tbl_task9[[คะแนนเต็ม]:[คะแนนเต็ม]]),"",(tbl_task9[77]/tbl_task9[[คะแนนเต็ม]:[คะแนนเต็ม]])*tbl_task9[[%]:[%]])</f>
        <v/>
      </c>
      <c r="IN27" s="121" t="str">
        <f>IF(ISBLANK(tbl_task9[[คะแนนเต็ม]:[คะแนนเต็ม]]),"",(tbl_task9[78]/tbl_task9[[คะแนนเต็ม]:[คะแนนเต็ม]])*tbl_task9[[%]:[%]])</f>
        <v/>
      </c>
      <c r="IO27" s="121" t="str">
        <f>IF(ISBLANK(tbl_task9[[คะแนนเต็ม]:[คะแนนเต็ม]]),"",(tbl_task9[79]/tbl_task9[[คะแนนเต็ม]:[คะแนนเต็ม]])*tbl_task9[[%]:[%]])</f>
        <v/>
      </c>
      <c r="IP27" s="121" t="str">
        <f>IF(ISBLANK(tbl_task9[[คะแนนเต็ม]:[คะแนนเต็ม]]),"",(tbl_task9[80]/tbl_task9[[คะแนนเต็ม]:[คะแนนเต็ม]])*tbl_task9[[%]:[%]])</f>
        <v/>
      </c>
      <c r="IQ27" s="121" t="str">
        <f>IF(ISBLANK(tbl_task9[[คะแนนเต็ม]:[คะแนนเต็ม]]),"",(tbl_task9[81]/tbl_task9[[คะแนนเต็ม]:[คะแนนเต็ม]])*tbl_task9[[%]:[%]])</f>
        <v/>
      </c>
      <c r="IR27" s="121" t="str">
        <f>IF(ISBLANK(tbl_task9[[คะแนนเต็ม]:[คะแนนเต็ม]]),"",(tbl_task9[82]/tbl_task9[[คะแนนเต็ม]:[คะแนนเต็ม]])*tbl_task9[[%]:[%]])</f>
        <v/>
      </c>
      <c r="IS27" s="121" t="str">
        <f>IF(ISBLANK(tbl_task9[[คะแนนเต็ม]:[คะแนนเต็ม]]),"",(tbl_task9[83]/tbl_task9[[คะแนนเต็ม]:[คะแนนเต็ม]])*tbl_task9[[%]:[%]])</f>
        <v/>
      </c>
      <c r="IT27" s="121" t="str">
        <f>IF(ISBLANK(tbl_task9[[คะแนนเต็ม]:[คะแนนเต็ม]]),"",(tbl_task9[84]/tbl_task9[[คะแนนเต็ม]:[คะแนนเต็ม]])*tbl_task9[[%]:[%]])</f>
        <v/>
      </c>
      <c r="IU27" s="121" t="str">
        <f>IF(ISBLANK(tbl_task9[[คะแนนเต็ม]:[คะแนนเต็ม]]),"",(tbl_task9[85]/tbl_task9[[คะแนนเต็ม]:[คะแนนเต็ม]])*tbl_task9[[%]:[%]])</f>
        <v/>
      </c>
      <c r="IV27" s="121" t="str">
        <f>IF(ISBLANK(tbl_task9[[คะแนนเต็ม]:[คะแนนเต็ม]]),"",(tbl_task9[86]/tbl_task9[[คะแนนเต็ม]:[คะแนนเต็ม]])*tbl_task9[[%]:[%]])</f>
        <v/>
      </c>
      <c r="IW27" s="121" t="str">
        <f>IF(ISBLANK(tbl_task9[[คะแนนเต็ม]:[คะแนนเต็ม]]),"",(tbl_task9[87]/tbl_task9[[คะแนนเต็ม]:[คะแนนเต็ม]])*tbl_task9[[%]:[%]])</f>
        <v/>
      </c>
      <c r="IX27" s="121" t="str">
        <f>IF(ISBLANK(tbl_task9[[คะแนนเต็ม]:[คะแนนเต็ม]]),"",(tbl_task9[88]/tbl_task9[[คะแนนเต็ม]:[คะแนนเต็ม]])*tbl_task9[[%]:[%]])</f>
        <v/>
      </c>
      <c r="IY27" s="121" t="str">
        <f>IF(ISBLANK(tbl_task9[[คะแนนเต็ม]:[คะแนนเต็ม]]),"",(tbl_task9[89]/tbl_task9[[คะแนนเต็ม]:[คะแนนเต็ม]])*tbl_task9[[%]:[%]])</f>
        <v/>
      </c>
      <c r="IZ27" s="121" t="str">
        <f>IF(ISBLANK(tbl_task9[[คะแนนเต็ม]:[คะแนนเต็ม]]),"",(tbl_task9[90]/tbl_task9[[คะแนนเต็ม]:[คะแนนเต็ม]])*tbl_task9[[%]:[%]])</f>
        <v/>
      </c>
      <c r="JA27" s="121" t="str">
        <f>IF(ISBLANK(tbl_task9[[คะแนนเต็ม]:[คะแนนเต็ม]]),"",(tbl_task9[91]/tbl_task9[[คะแนนเต็ม]:[คะแนนเต็ม]])*tbl_task9[[%]:[%]])</f>
        <v/>
      </c>
      <c r="JB27" s="121" t="str">
        <f>IF(ISBLANK(tbl_task9[[คะแนนเต็ม]:[คะแนนเต็ม]]),"",(tbl_task9[92]/tbl_task9[[คะแนนเต็ม]:[คะแนนเต็ม]])*tbl_task9[[%]:[%]])</f>
        <v/>
      </c>
      <c r="JC27" s="121" t="str">
        <f>IF(ISBLANK(tbl_task9[[คะแนนเต็ม]:[คะแนนเต็ม]]),"",(tbl_task9[93]/tbl_task9[[คะแนนเต็ม]:[คะแนนเต็ม]])*tbl_task9[[%]:[%]])</f>
        <v/>
      </c>
      <c r="JD27" s="121" t="str">
        <f>IF(ISBLANK(tbl_task9[[คะแนนเต็ม]:[คะแนนเต็ม]]),"",(tbl_task9[94]/tbl_task9[[คะแนนเต็ม]:[คะแนนเต็ม]])*tbl_task9[[%]:[%]])</f>
        <v/>
      </c>
      <c r="JE27" s="121" t="str">
        <f>IF(ISBLANK(tbl_task9[[คะแนนเต็ม]:[คะแนนเต็ม]]),"",(tbl_task9[95]/tbl_task9[[คะแนนเต็ม]:[คะแนนเต็ม]])*tbl_task9[[%]:[%]])</f>
        <v/>
      </c>
      <c r="JF27" s="121" t="str">
        <f>IF(ISBLANK(tbl_task9[[คะแนนเต็ม]:[คะแนนเต็ม]]),"",(tbl_task9[96]/tbl_task9[[คะแนนเต็ม]:[คะแนนเต็ม]])*tbl_task9[[%]:[%]])</f>
        <v/>
      </c>
      <c r="JG27" s="121" t="str">
        <f>IF(ISBLANK(tbl_task9[[คะแนนเต็ม]:[คะแนนเต็ม]]),"",(tbl_task9[97]/tbl_task9[[คะแนนเต็ม]:[คะแนนเต็ม]])*tbl_task9[[%]:[%]])</f>
        <v/>
      </c>
      <c r="JH27" s="121" t="str">
        <f>IF(ISBLANK(tbl_task9[[คะแนนเต็ม]:[คะแนนเต็ม]]),"",(tbl_task9[98]/tbl_task9[[คะแนนเต็ม]:[คะแนนเต็ม]])*tbl_task9[[%]:[%]])</f>
        <v/>
      </c>
      <c r="JI27" s="121" t="str">
        <f>IF(ISBLANK(tbl_task9[[คะแนนเต็ม]:[คะแนนเต็ม]]),"",(tbl_task9[99]/tbl_task9[[คะแนนเต็ม]:[คะแนนเต็ม]])*tbl_task9[[%]:[%]])</f>
        <v/>
      </c>
      <c r="JJ27" s="121" t="str">
        <f>IF(ISBLANK(tbl_task9[[คะแนนเต็ม]:[คะแนนเต็ม]]),"",(tbl_task9[100]/tbl_task9[[คะแนนเต็ม]:[คะแนนเต็ม]])*tbl_task9[[%]:[%]])</f>
        <v/>
      </c>
      <c r="JK27" s="121" t="str">
        <f>IF(ISBLANK(tbl_task9[[คะแนนเต็ม]:[คะแนนเต็ม]]),"",(tbl_task9[101]/tbl_task9[[คะแนนเต็ม]:[คะแนนเต็ม]])*tbl_task9[[%]:[%]])</f>
        <v/>
      </c>
      <c r="JL27" s="121" t="str">
        <f>IF(ISBLANK(tbl_task9[[คะแนนเต็ม]:[คะแนนเต็ม]]),"",(tbl_task9[102]/tbl_task9[[คะแนนเต็ม]:[คะแนนเต็ม]])*tbl_task9[[%]:[%]])</f>
        <v/>
      </c>
      <c r="JM27" s="121" t="str">
        <f>IF(ISBLANK(tbl_task9[[คะแนนเต็ม]:[คะแนนเต็ม]]),"",(tbl_task9[103]/tbl_task9[[คะแนนเต็ม]:[คะแนนเต็ม]])*tbl_task9[[%]:[%]])</f>
        <v/>
      </c>
      <c r="JN27" s="121" t="str">
        <f>IF(ISBLANK(tbl_task9[[คะแนนเต็ม]:[คะแนนเต็ม]]),"",(tbl_task9[104]/tbl_task9[[คะแนนเต็ม]:[คะแนนเต็ม]])*tbl_task9[[%]:[%]])</f>
        <v/>
      </c>
      <c r="JO27" s="121" t="str">
        <f>IF(ISBLANK(tbl_task9[[คะแนนเต็ม]:[คะแนนเต็ม]]),"",(tbl_task9[105]/tbl_task9[[คะแนนเต็ม]:[คะแนนเต็ม]])*tbl_task9[[%]:[%]])</f>
        <v/>
      </c>
      <c r="JP27" s="121" t="str">
        <f>IF(ISBLANK(tbl_task9[[คะแนนเต็ม]:[คะแนนเต็ม]]),"",(tbl_task9[106]/tbl_task9[[คะแนนเต็ม]:[คะแนนเต็ม]])*tbl_task9[[%]:[%]])</f>
        <v/>
      </c>
      <c r="JQ27" s="121" t="str">
        <f>IF(ISBLANK(tbl_task9[[คะแนนเต็ม]:[คะแนนเต็ม]]),"",(tbl_task9[107]/tbl_task9[[คะแนนเต็ม]:[คะแนนเต็ม]])*tbl_task9[[%]:[%]])</f>
        <v/>
      </c>
      <c r="JR27" s="121" t="str">
        <f>IF(ISBLANK(tbl_task9[[คะแนนเต็ม]:[คะแนนเต็ม]]),"",(tbl_task9[108]/tbl_task9[[คะแนนเต็ม]:[คะแนนเต็ม]])*tbl_task9[[%]:[%]])</f>
        <v/>
      </c>
      <c r="JS27" s="121" t="str">
        <f>IF(ISBLANK(tbl_task9[[คะแนนเต็ม]:[คะแนนเต็ม]]),"",(tbl_task9[109]/tbl_task9[[คะแนนเต็ม]:[คะแนนเต็ม]])*tbl_task9[[%]:[%]])</f>
        <v/>
      </c>
      <c r="JT27" s="121" t="str">
        <f>IF(ISBLANK(tbl_task9[[คะแนนเต็ม]:[คะแนนเต็ม]]),"",(tbl_task9[110]/tbl_task9[[คะแนนเต็ม]:[คะแนนเต็ม]])*tbl_task9[[%]:[%]])</f>
        <v/>
      </c>
      <c r="JU27" s="121" t="str">
        <f>IF(ISBLANK(tbl_task9[[คะแนนเต็ม]:[คะแนนเต็ม]]),"",(tbl_task9[111]/tbl_task9[[คะแนนเต็ม]:[คะแนนเต็ม]])*tbl_task9[[%]:[%]])</f>
        <v/>
      </c>
      <c r="JV27" s="121" t="str">
        <f>IF(ISBLANK(tbl_task9[[คะแนนเต็ม]:[คะแนนเต็ม]]),"",(tbl_task9[112]/tbl_task9[[คะแนนเต็ม]:[คะแนนเต็ม]])*tbl_task9[[%]:[%]])</f>
        <v/>
      </c>
      <c r="JW27" s="121" t="str">
        <f>IF(ISBLANK(tbl_task9[[คะแนนเต็ม]:[คะแนนเต็ม]]),"",(tbl_task9[113]/tbl_task9[[คะแนนเต็ม]:[คะแนนเต็ม]])*tbl_task9[[%]:[%]])</f>
        <v/>
      </c>
      <c r="JX27" s="121" t="str">
        <f>IF(ISBLANK(tbl_task9[[คะแนนเต็ม]:[คะแนนเต็ม]]),"",(tbl_task9[114]/tbl_task9[[คะแนนเต็ม]:[คะแนนเต็ม]])*tbl_task9[[%]:[%]])</f>
        <v/>
      </c>
      <c r="JY27" s="121" t="str">
        <f>IF(ISBLANK(tbl_task9[[คะแนนเต็ม]:[คะแนนเต็ม]]),"",(tbl_task9[115]/tbl_task9[[คะแนนเต็ม]:[คะแนนเต็ม]])*tbl_task9[[%]:[%]])</f>
        <v/>
      </c>
      <c r="JZ27" s="121" t="str">
        <f>IF(ISBLANK(tbl_task9[[คะแนนเต็ม]:[คะแนนเต็ม]]),"",(tbl_task9[116]/tbl_task9[[คะแนนเต็ม]:[คะแนนเต็ม]])*tbl_task9[[%]:[%]])</f>
        <v/>
      </c>
      <c r="KA27" s="121" t="str">
        <f>IF(ISBLANK(tbl_task9[[คะแนนเต็ม]:[คะแนนเต็ม]]),"",(tbl_task9[117]/tbl_task9[[คะแนนเต็ม]:[คะแนนเต็ม]])*tbl_task9[[%]:[%]])</f>
        <v/>
      </c>
      <c r="KB27" s="121" t="str">
        <f>IF(ISBLANK(tbl_task9[[คะแนนเต็ม]:[คะแนนเต็ม]]),"",(tbl_task9[118]/tbl_task9[[คะแนนเต็ม]:[คะแนนเต็ม]])*tbl_task9[[%]:[%]])</f>
        <v/>
      </c>
      <c r="KC27" s="121" t="str">
        <f>IF(ISBLANK(tbl_task9[[คะแนนเต็ม]:[คะแนนเต็ม]]),"",(tbl_task9[119]/tbl_task9[[คะแนนเต็ม]:[คะแนนเต็ม]])*tbl_task9[[%]:[%]])</f>
        <v/>
      </c>
      <c r="KD27" s="121" t="str">
        <f>IF(ISBLANK(tbl_task9[[คะแนนเต็ม]:[คะแนนเต็ม]]),"",(tbl_task9[120]/tbl_task9[[คะแนนเต็ม]:[คะแนนเต็ม]])*tbl_task9[[%]:[%]])</f>
        <v/>
      </c>
      <c r="KE27" s="121" t="str">
        <f>IF(ISBLANK(tbl_task9[[คะแนนเต็ม]:[คะแนนเต็ม]]),"",(tbl_task9[121]/tbl_task9[[คะแนนเต็ม]:[คะแนนเต็ม]])*tbl_task9[[%]:[%]])</f>
        <v/>
      </c>
      <c r="KF27" s="121" t="str">
        <f>IF(ISBLANK(tbl_task9[[คะแนนเต็ม]:[คะแนนเต็ม]]),"",(tbl_task9[122]/tbl_task9[[คะแนนเต็ม]:[คะแนนเต็ม]])*tbl_task9[[%]:[%]])</f>
        <v/>
      </c>
      <c r="KG27" s="121" t="str">
        <f>IF(ISBLANK(tbl_task9[[คะแนนเต็ม]:[คะแนนเต็ม]]),"",(tbl_task9[123]/tbl_task9[[คะแนนเต็ม]:[คะแนนเต็ม]])*tbl_task9[[%]:[%]])</f>
        <v/>
      </c>
      <c r="KH27" s="121" t="str">
        <f>IF(ISBLANK(tbl_task9[[คะแนนเต็ม]:[คะแนนเต็ม]]),"",(tbl_task9[124]/tbl_task9[[คะแนนเต็ม]:[คะแนนเต็ม]])*tbl_task9[[%]:[%]])</f>
        <v/>
      </c>
      <c r="KI27" s="121" t="str">
        <f>IF(ISBLANK(tbl_task9[[คะแนนเต็ม]:[คะแนนเต็ม]]),"",(tbl_task9[125]/tbl_task9[[คะแนนเต็ม]:[คะแนนเต็ม]])*tbl_task9[[%]:[%]])</f>
        <v/>
      </c>
      <c r="KJ27" s="121" t="str">
        <f>IF(ISBLANK(tbl_task9[[คะแนนเต็ม]:[คะแนนเต็ม]]),"",(tbl_task9[126]/tbl_task9[[คะแนนเต็ม]:[คะแนนเต็ม]])*tbl_task9[[%]:[%]])</f>
        <v/>
      </c>
      <c r="KK27" s="121" t="str">
        <f>IF(ISBLANK(tbl_task9[[คะแนนเต็ม]:[คะแนนเต็ม]]),"",(tbl_task9[127]/tbl_task9[[คะแนนเต็ม]:[คะแนนเต็ม]])*tbl_task9[[%]:[%]])</f>
        <v/>
      </c>
      <c r="KL27" s="121" t="str">
        <f>IF(ISBLANK(tbl_task9[[คะแนนเต็ม]:[คะแนนเต็ม]]),"",(tbl_task9[128]/tbl_task9[[คะแนนเต็ม]:[คะแนนเต็ม]])*tbl_task9[[%]:[%]])</f>
        <v/>
      </c>
      <c r="KM27" s="121" t="str">
        <f>IF(ISBLANK(tbl_task9[[คะแนนเต็ม]:[คะแนนเต็ม]]),"",(tbl_task9[129]/tbl_task9[[คะแนนเต็ม]:[คะแนนเต็ม]])*tbl_task9[[%]:[%]])</f>
        <v/>
      </c>
      <c r="KN27" s="121" t="str">
        <f>IF(ISBLANK(tbl_task9[[คะแนนเต็ม]:[คะแนนเต็ม]]),"",(tbl_task9[130]/tbl_task9[[คะแนนเต็ม]:[คะแนนเต็ม]])*tbl_task9[[%]:[%]])</f>
        <v/>
      </c>
      <c r="KO27" s="121" t="str">
        <f>IF(ISBLANK(tbl_task9[[คะแนนเต็ม]:[คะแนนเต็ม]]),"",(tbl_task9[131]/tbl_task9[[คะแนนเต็ม]:[คะแนนเต็ม]])*tbl_task9[[%]:[%]])</f>
        <v/>
      </c>
      <c r="KP27" s="121" t="str">
        <f>IF(ISBLANK(tbl_task9[[คะแนนเต็ม]:[คะแนนเต็ม]]),"",(tbl_task9[132]/tbl_task9[[คะแนนเต็ม]:[คะแนนเต็ม]])*tbl_task9[[%]:[%]])</f>
        <v/>
      </c>
      <c r="KQ27" s="121" t="str">
        <f>IF(ISBLANK(tbl_task9[[คะแนนเต็ม]:[คะแนนเต็ม]]),"",(tbl_task9[133]/tbl_task9[[คะแนนเต็ม]:[คะแนนเต็ม]])*tbl_task9[[%]:[%]])</f>
        <v/>
      </c>
      <c r="KR27" s="121" t="str">
        <f>IF(ISBLANK(tbl_task9[[คะแนนเต็ม]:[คะแนนเต็ม]]),"",(tbl_task9[134]/tbl_task9[[คะแนนเต็ม]:[คะแนนเต็ม]])*tbl_task9[[%]:[%]])</f>
        <v/>
      </c>
      <c r="KS27" s="121" t="str">
        <f>IF(ISBLANK(tbl_task9[[คะแนนเต็ม]:[คะแนนเต็ม]]),"",(tbl_task9[135]/tbl_task9[[คะแนนเต็ม]:[คะแนนเต็ม]])*tbl_task9[[%]:[%]])</f>
        <v/>
      </c>
      <c r="KT27" s="121" t="str">
        <f>IF(ISBLANK(tbl_task9[[คะแนนเต็ม]:[คะแนนเต็ม]]),"",(tbl_task9[136]/tbl_task9[[คะแนนเต็ม]:[คะแนนเต็ม]])*tbl_task9[[%]:[%]])</f>
        <v/>
      </c>
      <c r="KU27" s="121" t="str">
        <f>IF(ISBLANK(tbl_task9[[คะแนนเต็ม]:[คะแนนเต็ม]]),"",(tbl_task9[137]/tbl_task9[[คะแนนเต็ม]:[คะแนนเต็ม]])*tbl_task9[[%]:[%]])</f>
        <v/>
      </c>
      <c r="KV27" s="121" t="str">
        <f>IF(ISBLANK(tbl_task9[[คะแนนเต็ม]:[คะแนนเต็ม]]),"",(tbl_task9[138]/tbl_task9[[คะแนนเต็ม]:[คะแนนเต็ม]])*tbl_task9[[%]:[%]])</f>
        <v/>
      </c>
      <c r="KW27" s="121" t="str">
        <f>IF(ISBLANK(tbl_task9[[คะแนนเต็ม]:[คะแนนเต็ม]]),"",(tbl_task9[139]/tbl_task9[[คะแนนเต็ม]:[คะแนนเต็ม]])*tbl_task9[[%]:[%]])</f>
        <v/>
      </c>
      <c r="KX27" s="121" t="str">
        <f>IF(ISBLANK(tbl_task9[[คะแนนเต็ม]:[คะแนนเต็ม]]),"",(tbl_task9[140]/tbl_task9[[คะแนนเต็ม]:[คะแนนเต็ม]])*tbl_task9[[%]:[%]])</f>
        <v/>
      </c>
      <c r="KY27" s="121" t="str">
        <f>IF(ISBLANK(tbl_task9[[คะแนนเต็ม]:[คะแนนเต็ม]]),"",(tbl_task9[141]/tbl_task9[[คะแนนเต็ม]:[คะแนนเต็ม]])*tbl_task9[[%]:[%]])</f>
        <v/>
      </c>
      <c r="KZ27" s="121" t="str">
        <f>IF(ISBLANK(tbl_task9[[คะแนนเต็ม]:[คะแนนเต็ม]]),"",(tbl_task9[142]/tbl_task9[[คะแนนเต็ม]:[คะแนนเต็ม]])*tbl_task9[[%]:[%]])</f>
        <v/>
      </c>
      <c r="LA27" s="121" t="str">
        <f>IF(ISBLANK(tbl_task9[[คะแนนเต็ม]:[คะแนนเต็ม]]),"",(tbl_task9[143]/tbl_task9[[คะแนนเต็ม]:[คะแนนเต็ม]])*tbl_task9[[%]:[%]])</f>
        <v/>
      </c>
      <c r="LB27" s="121" t="str">
        <f>IF(ISBLANK(tbl_task9[[คะแนนเต็ม]:[คะแนนเต็ม]]),"",(tbl_task9[144]/tbl_task9[[คะแนนเต็ม]:[คะแนนเต็ม]])*tbl_task9[[%]:[%]])</f>
        <v/>
      </c>
      <c r="LC27" s="121" t="str">
        <f>IF(ISBLANK(tbl_task9[[คะแนนเต็ม]:[คะแนนเต็ม]]),"",(tbl_task9[145]/tbl_task9[[คะแนนเต็ม]:[คะแนนเต็ม]])*tbl_task9[[%]:[%]])</f>
        <v/>
      </c>
      <c r="LD27" s="121" t="str">
        <f>IF(ISBLANK(tbl_task9[[คะแนนเต็ม]:[คะแนนเต็ม]]),"",(tbl_task9[146]/tbl_task9[[คะแนนเต็ม]:[คะแนนเต็ม]])*tbl_task9[[%]:[%]])</f>
        <v/>
      </c>
      <c r="LE27" s="121" t="str">
        <f>IF(ISBLANK(tbl_task9[[คะแนนเต็ม]:[คะแนนเต็ม]]),"",(tbl_task9[147]/tbl_task9[[คะแนนเต็ม]:[คะแนนเต็ม]])*tbl_task9[[%]:[%]])</f>
        <v/>
      </c>
      <c r="LF27" s="121" t="str">
        <f>IF(ISBLANK(tbl_task9[[คะแนนเต็ม]:[คะแนนเต็ม]]),"",(tbl_task9[148]/tbl_task9[[คะแนนเต็ม]:[คะแนนเต็ม]])*tbl_task9[[%]:[%]])</f>
        <v/>
      </c>
      <c r="LG27" s="121" t="str">
        <f>IF(ISBLANK(tbl_task9[[คะแนนเต็ม]:[คะแนนเต็ม]]),"",(tbl_task9[149]/tbl_task9[[คะแนนเต็ม]:[คะแนนเต็ม]])*tbl_task9[[%]:[%]])</f>
        <v/>
      </c>
      <c r="LH27" s="121" t="str">
        <f>IF(ISBLANK(tbl_task9[[คะแนนเต็ม]:[คะแนนเต็ม]]),"",(tbl_task9[150]/tbl_task9[[คะแนนเต็ม]:[คะแนนเต็ม]])*tbl_task9[[%]:[%]])</f>
        <v/>
      </c>
      <c r="LI27" s="121" t="str">
        <f>IF(ISBLANK(tbl_task9[[คะแนนเต็ม]:[คะแนนเต็ม]]),"",(tbl_task9[151]/tbl_task9[[คะแนนเต็ม]:[คะแนนเต็ม]])*tbl_task9[[%]:[%]])</f>
        <v/>
      </c>
      <c r="LJ27" s="121" t="str">
        <f>IF(ISBLANK(tbl_task9[[คะแนนเต็ม]:[คะแนนเต็ม]]),"",(tbl_task9[152]/tbl_task9[[คะแนนเต็ม]:[คะแนนเต็ม]])*tbl_task9[[%]:[%]])</f>
        <v/>
      </c>
      <c r="LK27" s="121" t="str">
        <f>IF(ISBLANK(tbl_task9[[คะแนนเต็ม]:[คะแนนเต็ม]]),"",(tbl_task9[153]/tbl_task9[[คะแนนเต็ม]:[คะแนนเต็ม]])*tbl_task9[[%]:[%]])</f>
        <v/>
      </c>
      <c r="LL27" s="121" t="str">
        <f>IF(ISBLANK(tbl_task9[[คะแนนเต็ม]:[คะแนนเต็ม]]),"",(tbl_task9[154]/tbl_task9[[คะแนนเต็ม]:[คะแนนเต็ม]])*tbl_task9[[%]:[%]])</f>
        <v/>
      </c>
      <c r="LM27" s="121" t="str">
        <f>IF(ISBLANK(tbl_task9[[คะแนนเต็ม]:[คะแนนเต็ม]]),"",(tbl_task9[155]/tbl_task9[[คะแนนเต็ม]:[คะแนนเต็ม]])*tbl_task9[[%]:[%]])</f>
        <v/>
      </c>
      <c r="LN27" s="121" t="str">
        <f>IF(ISBLANK(tbl_task9[[คะแนนเต็ม]:[คะแนนเต็ม]]),"",(tbl_task9[156]/tbl_task9[[คะแนนเต็ม]:[คะแนนเต็ม]])*tbl_task9[[%]:[%]])</f>
        <v/>
      </c>
      <c r="LO27" s="121" t="str">
        <f>IF(ISBLANK(tbl_task9[[คะแนนเต็ม]:[คะแนนเต็ม]]),"",(tbl_task9[157]/tbl_task9[[คะแนนเต็ม]:[คะแนนเต็ม]])*tbl_task9[[%]:[%]])</f>
        <v/>
      </c>
      <c r="LP27" s="121" t="str">
        <f>IF(ISBLANK(tbl_task9[[คะแนนเต็ม]:[คะแนนเต็ม]]),"",(tbl_task9[158]/tbl_task9[[คะแนนเต็ม]:[คะแนนเต็ม]])*tbl_task9[[%]:[%]])</f>
        <v/>
      </c>
      <c r="LQ27" s="121" t="str">
        <f>IF(ISBLANK(tbl_task9[[คะแนนเต็ม]:[คะแนนเต็ม]]),"",(tbl_task9[159]/tbl_task9[[คะแนนเต็ม]:[คะแนนเต็ม]])*tbl_task9[[%]:[%]])</f>
        <v/>
      </c>
      <c r="LR27" s="121" t="str">
        <f>IF(ISBLANK(tbl_task9[[คะแนนเต็ม]:[คะแนนเต็ม]]),"",(tbl_task9[160]/tbl_task9[[คะแนนเต็ม]:[คะแนนเต็ม]])*tbl_task9[[%]:[%]])</f>
        <v/>
      </c>
      <c r="LS27" s="121" t="str">
        <f>IF(ISBLANK(tbl_task9[[คะแนนเต็ม]:[คะแนนเต็ม]]),"",(tbl_task9[161]/tbl_task9[[คะแนนเต็ม]:[คะแนนเต็ม]])*tbl_task9[[%]:[%]])</f>
        <v/>
      </c>
      <c r="LT27" s="121" t="str">
        <f>IF(ISBLANK(tbl_task9[[คะแนนเต็ม]:[คะแนนเต็ม]]),"",(tbl_task9[162]/tbl_task9[[คะแนนเต็ม]:[คะแนนเต็ม]])*tbl_task9[[%]:[%]])</f>
        <v/>
      </c>
      <c r="LU27" s="121" t="str">
        <f>IF(ISBLANK(tbl_task9[[คะแนนเต็ม]:[คะแนนเต็ม]]),"",(tbl_task9[163]/tbl_task9[[คะแนนเต็ม]:[คะแนนเต็ม]])*tbl_task9[[%]:[%]])</f>
        <v/>
      </c>
      <c r="LV27" s="121" t="str">
        <f>IF(ISBLANK(tbl_task9[[คะแนนเต็ม]:[คะแนนเต็ม]]),"",(tbl_task9[164]/tbl_task9[[คะแนนเต็ม]:[คะแนนเต็ม]])*tbl_task9[[%]:[%]])</f>
        <v/>
      </c>
      <c r="LW27" s="121" t="str">
        <f>IF(ISBLANK(tbl_task9[[คะแนนเต็ม]:[คะแนนเต็ม]]),"",(tbl_task9[165]/tbl_task9[[คะแนนเต็ม]:[คะแนนเต็ม]])*tbl_task9[[%]:[%]])</f>
        <v/>
      </c>
    </row>
    <row r="28" spans="1:335" ht="24" customHeight="1" x14ac:dyDescent="0.25">
      <c r="A28" s="24">
        <v>25</v>
      </c>
      <c r="B28" s="25"/>
      <c r="C28" s="26" t="str">
        <f>IF(ISBLANK(B28),"",VLOOKUP(B28,tbl_PLOs[],2,0))</f>
        <v/>
      </c>
      <c r="D28" s="103"/>
      <c r="E28" s="10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121" t="str">
        <f>IF(ISBLANK(tbl_task9[[คะแนนเต็ม]:[คะแนนเต็ม]]),"",(tbl_task9[1]/tbl_task9[[คะแนนเต็ม]:[คะแนนเต็ม]])*tbl_task9[[%]:[%]])</f>
        <v/>
      </c>
      <c r="FP28" s="121" t="str">
        <f>IF(ISBLANK(tbl_task9[[คะแนนเต็ม]:[คะแนนเต็ม]]),"",(tbl_task9[2]/tbl_task9[[คะแนนเต็ม]:[คะแนนเต็ม]])*tbl_task9[[%]:[%]])</f>
        <v/>
      </c>
      <c r="FQ28" s="121" t="str">
        <f>IF(ISBLANK(tbl_task9[[คะแนนเต็ม]:[คะแนนเต็ม]]),"",(tbl_task9[3]/tbl_task9[[คะแนนเต็ม]:[คะแนนเต็ม]])*tbl_task9[[%]:[%]])</f>
        <v/>
      </c>
      <c r="FR28" s="121" t="str">
        <f>IF(ISBLANK(tbl_task9[[คะแนนเต็ม]:[คะแนนเต็ม]]),"",(tbl_task9[4]/tbl_task9[[คะแนนเต็ม]:[คะแนนเต็ม]])*tbl_task9[[%]:[%]])</f>
        <v/>
      </c>
      <c r="FS28" s="121" t="str">
        <f>IF(ISBLANK(tbl_task9[[คะแนนเต็ม]:[คะแนนเต็ม]]),"",(tbl_task9[5]/tbl_task9[[คะแนนเต็ม]:[คะแนนเต็ม]])*tbl_task9[[%]:[%]])</f>
        <v/>
      </c>
      <c r="FT28" s="121" t="str">
        <f>IF(ISBLANK(tbl_task9[[คะแนนเต็ม]:[คะแนนเต็ม]]),"",(tbl_task9[6]/tbl_task9[[คะแนนเต็ม]:[คะแนนเต็ม]])*tbl_task9[[%]:[%]])</f>
        <v/>
      </c>
      <c r="FU28" s="121" t="str">
        <f>IF(ISBLANK(tbl_task9[[คะแนนเต็ม]:[คะแนนเต็ม]]),"",(tbl_task9[7]/tbl_task9[[คะแนนเต็ม]:[คะแนนเต็ม]])*tbl_task9[[%]:[%]])</f>
        <v/>
      </c>
      <c r="FV28" s="121" t="str">
        <f>IF(ISBLANK(tbl_task9[[คะแนนเต็ม]:[คะแนนเต็ม]]),"",(tbl_task9[8]/tbl_task9[[คะแนนเต็ม]:[คะแนนเต็ม]])*tbl_task9[[%]:[%]])</f>
        <v/>
      </c>
      <c r="FW28" s="121" t="str">
        <f>IF(ISBLANK(tbl_task9[[คะแนนเต็ม]:[คะแนนเต็ม]]),"",(tbl_task9[9]/tbl_task9[[คะแนนเต็ม]:[คะแนนเต็ม]])*tbl_task9[[%]:[%]])</f>
        <v/>
      </c>
      <c r="FX28" s="121" t="str">
        <f>IF(ISBLANK(tbl_task9[[คะแนนเต็ม]:[คะแนนเต็ม]]),"",(tbl_task9[10]/tbl_task9[[คะแนนเต็ม]:[คะแนนเต็ม]])*tbl_task9[[%]:[%]])</f>
        <v/>
      </c>
      <c r="FY28" s="121" t="str">
        <f>IF(ISBLANK(tbl_task9[[คะแนนเต็ม]:[คะแนนเต็ม]]),"",(tbl_task9[11]/tbl_task9[[คะแนนเต็ม]:[คะแนนเต็ม]])*tbl_task9[[%]:[%]])</f>
        <v/>
      </c>
      <c r="FZ28" s="121" t="str">
        <f>IF(ISBLANK(tbl_task9[[คะแนนเต็ม]:[คะแนนเต็ม]]),"",(tbl_task9[12]/tbl_task9[[คะแนนเต็ม]:[คะแนนเต็ม]])*tbl_task9[[%]:[%]])</f>
        <v/>
      </c>
      <c r="GA28" s="121" t="str">
        <f>IF(ISBLANK(tbl_task9[[คะแนนเต็ม]:[คะแนนเต็ม]]),"",(tbl_task9[13]/tbl_task9[[คะแนนเต็ม]:[คะแนนเต็ม]])*tbl_task9[[%]:[%]])</f>
        <v/>
      </c>
      <c r="GB28" s="121" t="str">
        <f>IF(ISBLANK(tbl_task9[[คะแนนเต็ม]:[คะแนนเต็ม]]),"",(tbl_task9[14]/tbl_task9[[คะแนนเต็ม]:[คะแนนเต็ม]])*tbl_task9[[%]:[%]])</f>
        <v/>
      </c>
      <c r="GC28" s="121" t="str">
        <f>IF(ISBLANK(tbl_task9[[คะแนนเต็ม]:[คะแนนเต็ม]]),"",(tbl_task9[15]/tbl_task9[[คะแนนเต็ม]:[คะแนนเต็ม]])*tbl_task9[[%]:[%]])</f>
        <v/>
      </c>
      <c r="GD28" s="121" t="str">
        <f>IF(ISBLANK(tbl_task9[[คะแนนเต็ม]:[คะแนนเต็ม]]),"",(tbl_task9[16]/tbl_task9[[คะแนนเต็ม]:[คะแนนเต็ม]])*tbl_task9[[%]:[%]])</f>
        <v/>
      </c>
      <c r="GE28" s="121" t="str">
        <f>IF(ISBLANK(tbl_task9[[คะแนนเต็ม]:[คะแนนเต็ม]]),"",(tbl_task9[17]/tbl_task9[[คะแนนเต็ม]:[คะแนนเต็ม]])*tbl_task9[[%]:[%]])</f>
        <v/>
      </c>
      <c r="GF28" s="121" t="str">
        <f>IF(ISBLANK(tbl_task9[[คะแนนเต็ม]:[คะแนนเต็ม]]),"",(tbl_task9[18]/tbl_task9[[คะแนนเต็ม]:[คะแนนเต็ม]])*tbl_task9[[%]:[%]])</f>
        <v/>
      </c>
      <c r="GG28" s="121" t="str">
        <f>IF(ISBLANK(tbl_task9[[คะแนนเต็ม]:[คะแนนเต็ม]]),"",(tbl_task9[19]/tbl_task9[[คะแนนเต็ม]:[คะแนนเต็ม]])*tbl_task9[[%]:[%]])</f>
        <v/>
      </c>
      <c r="GH28" s="121" t="str">
        <f>IF(ISBLANK(tbl_task9[[คะแนนเต็ม]:[คะแนนเต็ม]]),"",(tbl_task9[20]/tbl_task9[[คะแนนเต็ม]:[คะแนนเต็ม]])*tbl_task9[[%]:[%]])</f>
        <v/>
      </c>
      <c r="GI28" s="121" t="str">
        <f>IF(ISBLANK(tbl_task9[[คะแนนเต็ม]:[คะแนนเต็ม]]),"",(tbl_task9[21]/tbl_task9[[คะแนนเต็ม]:[คะแนนเต็ม]])*tbl_task9[[%]:[%]])</f>
        <v/>
      </c>
      <c r="GJ28" s="121" t="str">
        <f>IF(ISBLANK(tbl_task9[[คะแนนเต็ม]:[คะแนนเต็ม]]),"",(tbl_task9[22]/tbl_task9[[คะแนนเต็ม]:[คะแนนเต็ม]])*tbl_task9[[%]:[%]])</f>
        <v/>
      </c>
      <c r="GK28" s="121" t="str">
        <f>IF(ISBLANK(tbl_task9[[คะแนนเต็ม]:[คะแนนเต็ม]]),"",(tbl_task9[23]/tbl_task9[[คะแนนเต็ม]:[คะแนนเต็ม]])*tbl_task9[[%]:[%]])</f>
        <v/>
      </c>
      <c r="GL28" s="121" t="str">
        <f>IF(ISBLANK(tbl_task9[[คะแนนเต็ม]:[คะแนนเต็ม]]),"",(tbl_task9[24]/tbl_task9[[คะแนนเต็ม]:[คะแนนเต็ม]])*tbl_task9[[%]:[%]])</f>
        <v/>
      </c>
      <c r="GM28" s="121" t="str">
        <f>IF(ISBLANK(tbl_task9[[คะแนนเต็ม]:[คะแนนเต็ม]]),"",(tbl_task9[25]/tbl_task9[[คะแนนเต็ม]:[คะแนนเต็ม]])*tbl_task9[[%]:[%]])</f>
        <v/>
      </c>
      <c r="GN28" s="121" t="str">
        <f>IF(ISBLANK(tbl_task9[[คะแนนเต็ม]:[คะแนนเต็ม]]),"",(tbl_task9[26]/tbl_task9[[คะแนนเต็ม]:[คะแนนเต็ม]])*tbl_task9[[%]:[%]])</f>
        <v/>
      </c>
      <c r="GO28" s="121" t="str">
        <f>IF(ISBLANK(tbl_task9[[คะแนนเต็ม]:[คะแนนเต็ม]]),"",(tbl_task9[27]/tbl_task9[[คะแนนเต็ม]:[คะแนนเต็ม]])*tbl_task9[[%]:[%]])</f>
        <v/>
      </c>
      <c r="GP28" s="121" t="str">
        <f>IF(ISBLANK(tbl_task9[[คะแนนเต็ม]:[คะแนนเต็ม]]),"",(tbl_task9[28]/tbl_task9[[คะแนนเต็ม]:[คะแนนเต็ม]])*tbl_task9[[%]:[%]])</f>
        <v/>
      </c>
      <c r="GQ28" s="121" t="str">
        <f>IF(ISBLANK(tbl_task9[[คะแนนเต็ม]:[คะแนนเต็ม]]),"",(tbl_task9[29]/tbl_task9[[คะแนนเต็ม]:[คะแนนเต็ม]])*tbl_task9[[%]:[%]])</f>
        <v/>
      </c>
      <c r="GR28" s="121" t="str">
        <f>IF(ISBLANK(tbl_task9[[คะแนนเต็ม]:[คะแนนเต็ม]]),"",(tbl_task9[30]/tbl_task9[[คะแนนเต็ม]:[คะแนนเต็ม]])*tbl_task9[[%]:[%]])</f>
        <v/>
      </c>
      <c r="GS28" s="121" t="str">
        <f>IF(ISBLANK(tbl_task9[[คะแนนเต็ม]:[คะแนนเต็ม]]),"",(tbl_task9[31]/tbl_task9[[คะแนนเต็ม]:[คะแนนเต็ม]])*tbl_task9[[%]:[%]])</f>
        <v/>
      </c>
      <c r="GT28" s="121" t="str">
        <f>IF(ISBLANK(tbl_task9[[คะแนนเต็ม]:[คะแนนเต็ม]]),"",(tbl_task9[32]/tbl_task9[[คะแนนเต็ม]:[คะแนนเต็ม]])*tbl_task9[[%]:[%]])</f>
        <v/>
      </c>
      <c r="GU28" s="121" t="str">
        <f>IF(ISBLANK(tbl_task9[[คะแนนเต็ม]:[คะแนนเต็ม]]),"",(tbl_task9[33]/tbl_task9[[คะแนนเต็ม]:[คะแนนเต็ม]])*tbl_task9[[%]:[%]])</f>
        <v/>
      </c>
      <c r="GV28" s="121" t="str">
        <f>IF(ISBLANK(tbl_task9[[คะแนนเต็ม]:[คะแนนเต็ม]]),"",(tbl_task9[34]/tbl_task9[[คะแนนเต็ม]:[คะแนนเต็ม]])*tbl_task9[[%]:[%]])</f>
        <v/>
      </c>
      <c r="GW28" s="121" t="str">
        <f>IF(ISBLANK(tbl_task9[[คะแนนเต็ม]:[คะแนนเต็ม]]),"",(tbl_task9[35]/tbl_task9[[คะแนนเต็ม]:[คะแนนเต็ม]])*tbl_task9[[%]:[%]])</f>
        <v/>
      </c>
      <c r="GX28" s="121" t="str">
        <f>IF(ISBLANK(tbl_task9[[คะแนนเต็ม]:[คะแนนเต็ม]]),"",(tbl_task9[36]/tbl_task9[[คะแนนเต็ม]:[คะแนนเต็ม]])*tbl_task9[[%]:[%]])</f>
        <v/>
      </c>
      <c r="GY28" s="121" t="str">
        <f>IF(ISBLANK(tbl_task9[[คะแนนเต็ม]:[คะแนนเต็ม]]),"",(tbl_task9[37]/tbl_task9[[คะแนนเต็ม]:[คะแนนเต็ม]])*tbl_task9[[%]:[%]])</f>
        <v/>
      </c>
      <c r="GZ28" s="121" t="str">
        <f>IF(ISBLANK(tbl_task9[[คะแนนเต็ม]:[คะแนนเต็ม]]),"",(tbl_task9[38]/tbl_task9[[คะแนนเต็ม]:[คะแนนเต็ม]])*tbl_task9[[%]:[%]])</f>
        <v/>
      </c>
      <c r="HA28" s="121" t="str">
        <f>IF(ISBLANK(tbl_task9[[คะแนนเต็ม]:[คะแนนเต็ม]]),"",(tbl_task9[39]/tbl_task9[[คะแนนเต็ม]:[คะแนนเต็ม]])*tbl_task9[[%]:[%]])</f>
        <v/>
      </c>
      <c r="HB28" s="121" t="str">
        <f>IF(ISBLANK(tbl_task9[[คะแนนเต็ม]:[คะแนนเต็ม]]),"",(tbl_task9[40]/tbl_task9[[คะแนนเต็ม]:[คะแนนเต็ม]])*tbl_task9[[%]:[%]])</f>
        <v/>
      </c>
      <c r="HC28" s="121" t="str">
        <f>IF(ISBLANK(tbl_task9[[คะแนนเต็ม]:[คะแนนเต็ม]]),"",(tbl_task9[41]/tbl_task9[[คะแนนเต็ม]:[คะแนนเต็ม]])*tbl_task9[[%]:[%]])</f>
        <v/>
      </c>
      <c r="HD28" s="121" t="str">
        <f>IF(ISBLANK(tbl_task9[[คะแนนเต็ม]:[คะแนนเต็ม]]),"",(tbl_task9[42]/tbl_task9[[คะแนนเต็ม]:[คะแนนเต็ม]])*tbl_task9[[%]:[%]])</f>
        <v/>
      </c>
      <c r="HE28" s="121" t="str">
        <f>IF(ISBLANK(tbl_task9[[คะแนนเต็ม]:[คะแนนเต็ม]]),"",(tbl_task9[43]/tbl_task9[[คะแนนเต็ม]:[คะแนนเต็ม]])*tbl_task9[[%]:[%]])</f>
        <v/>
      </c>
      <c r="HF28" s="121" t="str">
        <f>IF(ISBLANK(tbl_task9[[คะแนนเต็ม]:[คะแนนเต็ม]]),"",(tbl_task9[44]/tbl_task9[[คะแนนเต็ม]:[คะแนนเต็ม]])*tbl_task9[[%]:[%]])</f>
        <v/>
      </c>
      <c r="HG28" s="121" t="str">
        <f>IF(ISBLANK(tbl_task9[[คะแนนเต็ม]:[คะแนนเต็ม]]),"",(tbl_task9[45]/tbl_task9[[คะแนนเต็ม]:[คะแนนเต็ม]])*tbl_task9[[%]:[%]])</f>
        <v/>
      </c>
      <c r="HH28" s="121" t="str">
        <f>IF(ISBLANK(tbl_task9[[คะแนนเต็ม]:[คะแนนเต็ม]]),"",(tbl_task9[46]/tbl_task9[[คะแนนเต็ม]:[คะแนนเต็ม]])*tbl_task9[[%]:[%]])</f>
        <v/>
      </c>
      <c r="HI28" s="121" t="str">
        <f>IF(ISBLANK(tbl_task9[[คะแนนเต็ม]:[คะแนนเต็ม]]),"",(tbl_task9[47]/tbl_task9[[คะแนนเต็ม]:[คะแนนเต็ม]])*tbl_task9[[%]:[%]])</f>
        <v/>
      </c>
      <c r="HJ28" s="121" t="str">
        <f>IF(ISBLANK(tbl_task9[[คะแนนเต็ม]:[คะแนนเต็ม]]),"",(tbl_task9[48]/tbl_task9[[คะแนนเต็ม]:[คะแนนเต็ม]])*tbl_task9[[%]:[%]])</f>
        <v/>
      </c>
      <c r="HK28" s="121" t="str">
        <f>IF(ISBLANK(tbl_task9[[คะแนนเต็ม]:[คะแนนเต็ม]]),"",(tbl_task9[49]/tbl_task9[[คะแนนเต็ม]:[คะแนนเต็ม]])*tbl_task9[[%]:[%]])</f>
        <v/>
      </c>
      <c r="HL28" s="121" t="str">
        <f>IF(ISBLANK(tbl_task9[[คะแนนเต็ม]:[คะแนนเต็ม]]),"",(tbl_task9[50]/tbl_task9[[คะแนนเต็ม]:[คะแนนเต็ม]])*tbl_task9[[%]:[%]])</f>
        <v/>
      </c>
      <c r="HM28" s="121" t="str">
        <f>IF(ISBLANK(tbl_task9[[คะแนนเต็ม]:[คะแนนเต็ม]]),"",(tbl_task9[51]/tbl_task9[[คะแนนเต็ม]:[คะแนนเต็ม]])*tbl_task9[[%]:[%]])</f>
        <v/>
      </c>
      <c r="HN28" s="121" t="str">
        <f>IF(ISBLANK(tbl_task9[[คะแนนเต็ม]:[คะแนนเต็ม]]),"",(tbl_task9[52]/tbl_task9[[คะแนนเต็ม]:[คะแนนเต็ม]])*tbl_task9[[%]:[%]])</f>
        <v/>
      </c>
      <c r="HO28" s="121" t="str">
        <f>IF(ISBLANK(tbl_task9[[คะแนนเต็ม]:[คะแนนเต็ม]]),"",(tbl_task9[53]/tbl_task9[[คะแนนเต็ม]:[คะแนนเต็ม]])*tbl_task9[[%]:[%]])</f>
        <v/>
      </c>
      <c r="HP28" s="121" t="str">
        <f>IF(ISBLANK(tbl_task9[[คะแนนเต็ม]:[คะแนนเต็ม]]),"",(tbl_task9[54]/tbl_task9[[คะแนนเต็ม]:[คะแนนเต็ม]])*tbl_task9[[%]:[%]])</f>
        <v/>
      </c>
      <c r="HQ28" s="121" t="str">
        <f>IF(ISBLANK(tbl_task9[[คะแนนเต็ม]:[คะแนนเต็ม]]),"",(tbl_task9[55]/tbl_task9[[คะแนนเต็ม]:[คะแนนเต็ม]])*tbl_task9[[%]:[%]])</f>
        <v/>
      </c>
      <c r="HR28" s="121" t="str">
        <f>IF(ISBLANK(tbl_task9[[คะแนนเต็ม]:[คะแนนเต็ม]]),"",(tbl_task9[56]/tbl_task9[[คะแนนเต็ม]:[คะแนนเต็ม]])*tbl_task9[[%]:[%]])</f>
        <v/>
      </c>
      <c r="HS28" s="121" t="str">
        <f>IF(ISBLANK(tbl_task9[[คะแนนเต็ม]:[คะแนนเต็ม]]),"",(tbl_task9[57]/tbl_task9[[คะแนนเต็ม]:[คะแนนเต็ม]])*tbl_task9[[%]:[%]])</f>
        <v/>
      </c>
      <c r="HT28" s="121" t="str">
        <f>IF(ISBLANK(tbl_task9[[คะแนนเต็ม]:[คะแนนเต็ม]]),"",(tbl_task9[58]/tbl_task9[[คะแนนเต็ม]:[คะแนนเต็ม]])*tbl_task9[[%]:[%]])</f>
        <v/>
      </c>
      <c r="HU28" s="121" t="str">
        <f>IF(ISBLANK(tbl_task9[[คะแนนเต็ม]:[คะแนนเต็ม]]),"",(tbl_task9[59]/tbl_task9[[คะแนนเต็ม]:[คะแนนเต็ม]])*tbl_task9[[%]:[%]])</f>
        <v/>
      </c>
      <c r="HV28" s="121" t="str">
        <f>IF(ISBLANK(tbl_task9[[คะแนนเต็ม]:[คะแนนเต็ม]]),"",(tbl_task9[60]/tbl_task9[[คะแนนเต็ม]:[คะแนนเต็ม]])*tbl_task9[[%]:[%]])</f>
        <v/>
      </c>
      <c r="HW28" s="121" t="str">
        <f>IF(ISBLANK(tbl_task9[[คะแนนเต็ม]:[คะแนนเต็ม]]),"",(tbl_task9[61]/tbl_task9[[คะแนนเต็ม]:[คะแนนเต็ม]])*tbl_task9[[%]:[%]])</f>
        <v/>
      </c>
      <c r="HX28" s="121" t="str">
        <f>IF(ISBLANK(tbl_task9[[คะแนนเต็ม]:[คะแนนเต็ม]]),"",(tbl_task9[62]/tbl_task9[[คะแนนเต็ม]:[คะแนนเต็ม]])*tbl_task9[[%]:[%]])</f>
        <v/>
      </c>
      <c r="HY28" s="121" t="str">
        <f>IF(ISBLANK(tbl_task9[[คะแนนเต็ม]:[คะแนนเต็ม]]),"",(tbl_task9[63]/tbl_task9[[คะแนนเต็ม]:[คะแนนเต็ม]])*tbl_task9[[%]:[%]])</f>
        <v/>
      </c>
      <c r="HZ28" s="121" t="str">
        <f>IF(ISBLANK(tbl_task9[[คะแนนเต็ม]:[คะแนนเต็ม]]),"",(tbl_task9[64]/tbl_task9[[คะแนนเต็ม]:[คะแนนเต็ม]])*tbl_task9[[%]:[%]])</f>
        <v/>
      </c>
      <c r="IA28" s="121" t="str">
        <f>IF(ISBLANK(tbl_task9[[คะแนนเต็ม]:[คะแนนเต็ม]]),"",(tbl_task9[65]/tbl_task9[[คะแนนเต็ม]:[คะแนนเต็ม]])*tbl_task9[[%]:[%]])</f>
        <v/>
      </c>
      <c r="IB28" s="121" t="str">
        <f>IF(ISBLANK(tbl_task9[[คะแนนเต็ม]:[คะแนนเต็ม]]),"",(tbl_task9[66]/tbl_task9[[คะแนนเต็ม]:[คะแนนเต็ม]])*tbl_task9[[%]:[%]])</f>
        <v/>
      </c>
      <c r="IC28" s="121" t="str">
        <f>IF(ISBLANK(tbl_task9[[คะแนนเต็ม]:[คะแนนเต็ม]]),"",(tbl_task9[67]/tbl_task9[[คะแนนเต็ม]:[คะแนนเต็ม]])*tbl_task9[[%]:[%]])</f>
        <v/>
      </c>
      <c r="ID28" s="121" t="str">
        <f>IF(ISBLANK(tbl_task9[[คะแนนเต็ม]:[คะแนนเต็ม]]),"",(tbl_task9[68]/tbl_task9[[คะแนนเต็ม]:[คะแนนเต็ม]])*tbl_task9[[%]:[%]])</f>
        <v/>
      </c>
      <c r="IE28" s="121" t="str">
        <f>IF(ISBLANK(tbl_task9[[คะแนนเต็ม]:[คะแนนเต็ม]]),"",(tbl_task9[69]/tbl_task9[[คะแนนเต็ม]:[คะแนนเต็ม]])*tbl_task9[[%]:[%]])</f>
        <v/>
      </c>
      <c r="IF28" s="121" t="str">
        <f>IF(ISBLANK(tbl_task9[[คะแนนเต็ม]:[คะแนนเต็ม]]),"",(tbl_task9[70]/tbl_task9[[คะแนนเต็ม]:[คะแนนเต็ม]])*tbl_task9[[%]:[%]])</f>
        <v/>
      </c>
      <c r="IG28" s="121" t="str">
        <f>IF(ISBLANK(tbl_task9[[คะแนนเต็ม]:[คะแนนเต็ม]]),"",(tbl_task9[71]/tbl_task9[[คะแนนเต็ม]:[คะแนนเต็ม]])*tbl_task9[[%]:[%]])</f>
        <v/>
      </c>
      <c r="IH28" s="121" t="str">
        <f>IF(ISBLANK(tbl_task9[[คะแนนเต็ม]:[คะแนนเต็ม]]),"",(tbl_task9[72]/tbl_task9[[คะแนนเต็ม]:[คะแนนเต็ม]])*tbl_task9[[%]:[%]])</f>
        <v/>
      </c>
      <c r="II28" s="121" t="str">
        <f>IF(ISBLANK(tbl_task9[[คะแนนเต็ม]:[คะแนนเต็ม]]),"",(tbl_task9[73]/tbl_task9[[คะแนนเต็ม]:[คะแนนเต็ม]])*tbl_task9[[%]:[%]])</f>
        <v/>
      </c>
      <c r="IJ28" s="121" t="str">
        <f>IF(ISBLANK(tbl_task9[[คะแนนเต็ม]:[คะแนนเต็ม]]),"",(tbl_task9[74]/tbl_task9[[คะแนนเต็ม]:[คะแนนเต็ม]])*tbl_task9[[%]:[%]])</f>
        <v/>
      </c>
      <c r="IK28" s="121" t="str">
        <f>IF(ISBLANK(tbl_task9[[คะแนนเต็ม]:[คะแนนเต็ม]]),"",(tbl_task9[75]/tbl_task9[[คะแนนเต็ม]:[คะแนนเต็ม]])*tbl_task9[[%]:[%]])</f>
        <v/>
      </c>
      <c r="IL28" s="121" t="str">
        <f>IF(ISBLANK(tbl_task9[[คะแนนเต็ม]:[คะแนนเต็ม]]),"",(tbl_task9[76]/tbl_task9[[คะแนนเต็ม]:[คะแนนเต็ม]])*tbl_task9[[%]:[%]])</f>
        <v/>
      </c>
      <c r="IM28" s="121" t="str">
        <f>IF(ISBLANK(tbl_task9[[คะแนนเต็ม]:[คะแนนเต็ม]]),"",(tbl_task9[77]/tbl_task9[[คะแนนเต็ม]:[คะแนนเต็ม]])*tbl_task9[[%]:[%]])</f>
        <v/>
      </c>
      <c r="IN28" s="121" t="str">
        <f>IF(ISBLANK(tbl_task9[[คะแนนเต็ม]:[คะแนนเต็ม]]),"",(tbl_task9[78]/tbl_task9[[คะแนนเต็ม]:[คะแนนเต็ม]])*tbl_task9[[%]:[%]])</f>
        <v/>
      </c>
      <c r="IO28" s="121" t="str">
        <f>IF(ISBLANK(tbl_task9[[คะแนนเต็ม]:[คะแนนเต็ม]]),"",(tbl_task9[79]/tbl_task9[[คะแนนเต็ม]:[คะแนนเต็ม]])*tbl_task9[[%]:[%]])</f>
        <v/>
      </c>
      <c r="IP28" s="121" t="str">
        <f>IF(ISBLANK(tbl_task9[[คะแนนเต็ม]:[คะแนนเต็ม]]),"",(tbl_task9[80]/tbl_task9[[คะแนนเต็ม]:[คะแนนเต็ม]])*tbl_task9[[%]:[%]])</f>
        <v/>
      </c>
      <c r="IQ28" s="121" t="str">
        <f>IF(ISBLANK(tbl_task9[[คะแนนเต็ม]:[คะแนนเต็ม]]),"",(tbl_task9[81]/tbl_task9[[คะแนนเต็ม]:[คะแนนเต็ม]])*tbl_task9[[%]:[%]])</f>
        <v/>
      </c>
      <c r="IR28" s="121" t="str">
        <f>IF(ISBLANK(tbl_task9[[คะแนนเต็ม]:[คะแนนเต็ม]]),"",(tbl_task9[82]/tbl_task9[[คะแนนเต็ม]:[คะแนนเต็ม]])*tbl_task9[[%]:[%]])</f>
        <v/>
      </c>
      <c r="IS28" s="121" t="str">
        <f>IF(ISBLANK(tbl_task9[[คะแนนเต็ม]:[คะแนนเต็ม]]),"",(tbl_task9[83]/tbl_task9[[คะแนนเต็ม]:[คะแนนเต็ม]])*tbl_task9[[%]:[%]])</f>
        <v/>
      </c>
      <c r="IT28" s="121" t="str">
        <f>IF(ISBLANK(tbl_task9[[คะแนนเต็ม]:[คะแนนเต็ม]]),"",(tbl_task9[84]/tbl_task9[[คะแนนเต็ม]:[คะแนนเต็ม]])*tbl_task9[[%]:[%]])</f>
        <v/>
      </c>
      <c r="IU28" s="121" t="str">
        <f>IF(ISBLANK(tbl_task9[[คะแนนเต็ม]:[คะแนนเต็ม]]),"",(tbl_task9[85]/tbl_task9[[คะแนนเต็ม]:[คะแนนเต็ม]])*tbl_task9[[%]:[%]])</f>
        <v/>
      </c>
      <c r="IV28" s="121" t="str">
        <f>IF(ISBLANK(tbl_task9[[คะแนนเต็ม]:[คะแนนเต็ม]]),"",(tbl_task9[86]/tbl_task9[[คะแนนเต็ม]:[คะแนนเต็ม]])*tbl_task9[[%]:[%]])</f>
        <v/>
      </c>
      <c r="IW28" s="121" t="str">
        <f>IF(ISBLANK(tbl_task9[[คะแนนเต็ม]:[คะแนนเต็ม]]),"",(tbl_task9[87]/tbl_task9[[คะแนนเต็ม]:[คะแนนเต็ม]])*tbl_task9[[%]:[%]])</f>
        <v/>
      </c>
      <c r="IX28" s="121" t="str">
        <f>IF(ISBLANK(tbl_task9[[คะแนนเต็ม]:[คะแนนเต็ม]]),"",(tbl_task9[88]/tbl_task9[[คะแนนเต็ม]:[คะแนนเต็ม]])*tbl_task9[[%]:[%]])</f>
        <v/>
      </c>
      <c r="IY28" s="121" t="str">
        <f>IF(ISBLANK(tbl_task9[[คะแนนเต็ม]:[คะแนนเต็ม]]),"",(tbl_task9[89]/tbl_task9[[คะแนนเต็ม]:[คะแนนเต็ม]])*tbl_task9[[%]:[%]])</f>
        <v/>
      </c>
      <c r="IZ28" s="121" t="str">
        <f>IF(ISBLANK(tbl_task9[[คะแนนเต็ม]:[คะแนนเต็ม]]),"",(tbl_task9[90]/tbl_task9[[คะแนนเต็ม]:[คะแนนเต็ม]])*tbl_task9[[%]:[%]])</f>
        <v/>
      </c>
      <c r="JA28" s="121" t="str">
        <f>IF(ISBLANK(tbl_task9[[คะแนนเต็ม]:[คะแนนเต็ม]]),"",(tbl_task9[91]/tbl_task9[[คะแนนเต็ม]:[คะแนนเต็ม]])*tbl_task9[[%]:[%]])</f>
        <v/>
      </c>
      <c r="JB28" s="121" t="str">
        <f>IF(ISBLANK(tbl_task9[[คะแนนเต็ม]:[คะแนนเต็ม]]),"",(tbl_task9[92]/tbl_task9[[คะแนนเต็ม]:[คะแนนเต็ม]])*tbl_task9[[%]:[%]])</f>
        <v/>
      </c>
      <c r="JC28" s="121" t="str">
        <f>IF(ISBLANK(tbl_task9[[คะแนนเต็ม]:[คะแนนเต็ม]]),"",(tbl_task9[93]/tbl_task9[[คะแนนเต็ม]:[คะแนนเต็ม]])*tbl_task9[[%]:[%]])</f>
        <v/>
      </c>
      <c r="JD28" s="121" t="str">
        <f>IF(ISBLANK(tbl_task9[[คะแนนเต็ม]:[คะแนนเต็ม]]),"",(tbl_task9[94]/tbl_task9[[คะแนนเต็ม]:[คะแนนเต็ม]])*tbl_task9[[%]:[%]])</f>
        <v/>
      </c>
      <c r="JE28" s="121" t="str">
        <f>IF(ISBLANK(tbl_task9[[คะแนนเต็ม]:[คะแนนเต็ม]]),"",(tbl_task9[95]/tbl_task9[[คะแนนเต็ม]:[คะแนนเต็ม]])*tbl_task9[[%]:[%]])</f>
        <v/>
      </c>
      <c r="JF28" s="121" t="str">
        <f>IF(ISBLANK(tbl_task9[[คะแนนเต็ม]:[คะแนนเต็ม]]),"",(tbl_task9[96]/tbl_task9[[คะแนนเต็ม]:[คะแนนเต็ม]])*tbl_task9[[%]:[%]])</f>
        <v/>
      </c>
      <c r="JG28" s="121" t="str">
        <f>IF(ISBLANK(tbl_task9[[คะแนนเต็ม]:[คะแนนเต็ม]]),"",(tbl_task9[97]/tbl_task9[[คะแนนเต็ม]:[คะแนนเต็ม]])*tbl_task9[[%]:[%]])</f>
        <v/>
      </c>
      <c r="JH28" s="121" t="str">
        <f>IF(ISBLANK(tbl_task9[[คะแนนเต็ม]:[คะแนนเต็ม]]),"",(tbl_task9[98]/tbl_task9[[คะแนนเต็ม]:[คะแนนเต็ม]])*tbl_task9[[%]:[%]])</f>
        <v/>
      </c>
      <c r="JI28" s="121" t="str">
        <f>IF(ISBLANK(tbl_task9[[คะแนนเต็ม]:[คะแนนเต็ม]]),"",(tbl_task9[99]/tbl_task9[[คะแนนเต็ม]:[คะแนนเต็ม]])*tbl_task9[[%]:[%]])</f>
        <v/>
      </c>
      <c r="JJ28" s="121" t="str">
        <f>IF(ISBLANK(tbl_task9[[คะแนนเต็ม]:[คะแนนเต็ม]]),"",(tbl_task9[100]/tbl_task9[[คะแนนเต็ม]:[คะแนนเต็ม]])*tbl_task9[[%]:[%]])</f>
        <v/>
      </c>
      <c r="JK28" s="121" t="str">
        <f>IF(ISBLANK(tbl_task9[[คะแนนเต็ม]:[คะแนนเต็ม]]),"",(tbl_task9[101]/tbl_task9[[คะแนนเต็ม]:[คะแนนเต็ม]])*tbl_task9[[%]:[%]])</f>
        <v/>
      </c>
      <c r="JL28" s="121" t="str">
        <f>IF(ISBLANK(tbl_task9[[คะแนนเต็ม]:[คะแนนเต็ม]]),"",(tbl_task9[102]/tbl_task9[[คะแนนเต็ม]:[คะแนนเต็ม]])*tbl_task9[[%]:[%]])</f>
        <v/>
      </c>
      <c r="JM28" s="121" t="str">
        <f>IF(ISBLANK(tbl_task9[[คะแนนเต็ม]:[คะแนนเต็ม]]),"",(tbl_task9[103]/tbl_task9[[คะแนนเต็ม]:[คะแนนเต็ม]])*tbl_task9[[%]:[%]])</f>
        <v/>
      </c>
      <c r="JN28" s="121" t="str">
        <f>IF(ISBLANK(tbl_task9[[คะแนนเต็ม]:[คะแนนเต็ม]]),"",(tbl_task9[104]/tbl_task9[[คะแนนเต็ม]:[คะแนนเต็ม]])*tbl_task9[[%]:[%]])</f>
        <v/>
      </c>
      <c r="JO28" s="121" t="str">
        <f>IF(ISBLANK(tbl_task9[[คะแนนเต็ม]:[คะแนนเต็ม]]),"",(tbl_task9[105]/tbl_task9[[คะแนนเต็ม]:[คะแนนเต็ม]])*tbl_task9[[%]:[%]])</f>
        <v/>
      </c>
      <c r="JP28" s="121" t="str">
        <f>IF(ISBLANK(tbl_task9[[คะแนนเต็ม]:[คะแนนเต็ม]]),"",(tbl_task9[106]/tbl_task9[[คะแนนเต็ม]:[คะแนนเต็ม]])*tbl_task9[[%]:[%]])</f>
        <v/>
      </c>
      <c r="JQ28" s="121" t="str">
        <f>IF(ISBLANK(tbl_task9[[คะแนนเต็ม]:[คะแนนเต็ม]]),"",(tbl_task9[107]/tbl_task9[[คะแนนเต็ม]:[คะแนนเต็ม]])*tbl_task9[[%]:[%]])</f>
        <v/>
      </c>
      <c r="JR28" s="121" t="str">
        <f>IF(ISBLANK(tbl_task9[[คะแนนเต็ม]:[คะแนนเต็ม]]),"",(tbl_task9[108]/tbl_task9[[คะแนนเต็ม]:[คะแนนเต็ม]])*tbl_task9[[%]:[%]])</f>
        <v/>
      </c>
      <c r="JS28" s="121" t="str">
        <f>IF(ISBLANK(tbl_task9[[คะแนนเต็ม]:[คะแนนเต็ม]]),"",(tbl_task9[109]/tbl_task9[[คะแนนเต็ม]:[คะแนนเต็ม]])*tbl_task9[[%]:[%]])</f>
        <v/>
      </c>
      <c r="JT28" s="121" t="str">
        <f>IF(ISBLANK(tbl_task9[[คะแนนเต็ม]:[คะแนนเต็ม]]),"",(tbl_task9[110]/tbl_task9[[คะแนนเต็ม]:[คะแนนเต็ม]])*tbl_task9[[%]:[%]])</f>
        <v/>
      </c>
      <c r="JU28" s="121" t="str">
        <f>IF(ISBLANK(tbl_task9[[คะแนนเต็ม]:[คะแนนเต็ม]]),"",(tbl_task9[111]/tbl_task9[[คะแนนเต็ม]:[คะแนนเต็ม]])*tbl_task9[[%]:[%]])</f>
        <v/>
      </c>
      <c r="JV28" s="121" t="str">
        <f>IF(ISBLANK(tbl_task9[[คะแนนเต็ม]:[คะแนนเต็ม]]),"",(tbl_task9[112]/tbl_task9[[คะแนนเต็ม]:[คะแนนเต็ม]])*tbl_task9[[%]:[%]])</f>
        <v/>
      </c>
      <c r="JW28" s="121" t="str">
        <f>IF(ISBLANK(tbl_task9[[คะแนนเต็ม]:[คะแนนเต็ม]]),"",(tbl_task9[113]/tbl_task9[[คะแนนเต็ม]:[คะแนนเต็ม]])*tbl_task9[[%]:[%]])</f>
        <v/>
      </c>
      <c r="JX28" s="121" t="str">
        <f>IF(ISBLANK(tbl_task9[[คะแนนเต็ม]:[คะแนนเต็ม]]),"",(tbl_task9[114]/tbl_task9[[คะแนนเต็ม]:[คะแนนเต็ม]])*tbl_task9[[%]:[%]])</f>
        <v/>
      </c>
      <c r="JY28" s="121" t="str">
        <f>IF(ISBLANK(tbl_task9[[คะแนนเต็ม]:[คะแนนเต็ม]]),"",(tbl_task9[115]/tbl_task9[[คะแนนเต็ม]:[คะแนนเต็ม]])*tbl_task9[[%]:[%]])</f>
        <v/>
      </c>
      <c r="JZ28" s="121" t="str">
        <f>IF(ISBLANK(tbl_task9[[คะแนนเต็ม]:[คะแนนเต็ม]]),"",(tbl_task9[116]/tbl_task9[[คะแนนเต็ม]:[คะแนนเต็ม]])*tbl_task9[[%]:[%]])</f>
        <v/>
      </c>
      <c r="KA28" s="121" t="str">
        <f>IF(ISBLANK(tbl_task9[[คะแนนเต็ม]:[คะแนนเต็ม]]),"",(tbl_task9[117]/tbl_task9[[คะแนนเต็ม]:[คะแนนเต็ม]])*tbl_task9[[%]:[%]])</f>
        <v/>
      </c>
      <c r="KB28" s="121" t="str">
        <f>IF(ISBLANK(tbl_task9[[คะแนนเต็ม]:[คะแนนเต็ม]]),"",(tbl_task9[118]/tbl_task9[[คะแนนเต็ม]:[คะแนนเต็ม]])*tbl_task9[[%]:[%]])</f>
        <v/>
      </c>
      <c r="KC28" s="121" t="str">
        <f>IF(ISBLANK(tbl_task9[[คะแนนเต็ม]:[คะแนนเต็ม]]),"",(tbl_task9[119]/tbl_task9[[คะแนนเต็ม]:[คะแนนเต็ม]])*tbl_task9[[%]:[%]])</f>
        <v/>
      </c>
      <c r="KD28" s="121" t="str">
        <f>IF(ISBLANK(tbl_task9[[คะแนนเต็ม]:[คะแนนเต็ม]]),"",(tbl_task9[120]/tbl_task9[[คะแนนเต็ม]:[คะแนนเต็ม]])*tbl_task9[[%]:[%]])</f>
        <v/>
      </c>
      <c r="KE28" s="121" t="str">
        <f>IF(ISBLANK(tbl_task9[[คะแนนเต็ม]:[คะแนนเต็ม]]),"",(tbl_task9[121]/tbl_task9[[คะแนนเต็ม]:[คะแนนเต็ม]])*tbl_task9[[%]:[%]])</f>
        <v/>
      </c>
      <c r="KF28" s="121" t="str">
        <f>IF(ISBLANK(tbl_task9[[คะแนนเต็ม]:[คะแนนเต็ม]]),"",(tbl_task9[122]/tbl_task9[[คะแนนเต็ม]:[คะแนนเต็ม]])*tbl_task9[[%]:[%]])</f>
        <v/>
      </c>
      <c r="KG28" s="121" t="str">
        <f>IF(ISBLANK(tbl_task9[[คะแนนเต็ม]:[คะแนนเต็ม]]),"",(tbl_task9[123]/tbl_task9[[คะแนนเต็ม]:[คะแนนเต็ม]])*tbl_task9[[%]:[%]])</f>
        <v/>
      </c>
      <c r="KH28" s="121" t="str">
        <f>IF(ISBLANK(tbl_task9[[คะแนนเต็ม]:[คะแนนเต็ม]]),"",(tbl_task9[124]/tbl_task9[[คะแนนเต็ม]:[คะแนนเต็ม]])*tbl_task9[[%]:[%]])</f>
        <v/>
      </c>
      <c r="KI28" s="121" t="str">
        <f>IF(ISBLANK(tbl_task9[[คะแนนเต็ม]:[คะแนนเต็ม]]),"",(tbl_task9[125]/tbl_task9[[คะแนนเต็ม]:[คะแนนเต็ม]])*tbl_task9[[%]:[%]])</f>
        <v/>
      </c>
      <c r="KJ28" s="121" t="str">
        <f>IF(ISBLANK(tbl_task9[[คะแนนเต็ม]:[คะแนนเต็ม]]),"",(tbl_task9[126]/tbl_task9[[คะแนนเต็ม]:[คะแนนเต็ม]])*tbl_task9[[%]:[%]])</f>
        <v/>
      </c>
      <c r="KK28" s="121" t="str">
        <f>IF(ISBLANK(tbl_task9[[คะแนนเต็ม]:[คะแนนเต็ม]]),"",(tbl_task9[127]/tbl_task9[[คะแนนเต็ม]:[คะแนนเต็ม]])*tbl_task9[[%]:[%]])</f>
        <v/>
      </c>
      <c r="KL28" s="121" t="str">
        <f>IF(ISBLANK(tbl_task9[[คะแนนเต็ม]:[คะแนนเต็ม]]),"",(tbl_task9[128]/tbl_task9[[คะแนนเต็ม]:[คะแนนเต็ม]])*tbl_task9[[%]:[%]])</f>
        <v/>
      </c>
      <c r="KM28" s="121" t="str">
        <f>IF(ISBLANK(tbl_task9[[คะแนนเต็ม]:[คะแนนเต็ม]]),"",(tbl_task9[129]/tbl_task9[[คะแนนเต็ม]:[คะแนนเต็ม]])*tbl_task9[[%]:[%]])</f>
        <v/>
      </c>
      <c r="KN28" s="121" t="str">
        <f>IF(ISBLANK(tbl_task9[[คะแนนเต็ม]:[คะแนนเต็ม]]),"",(tbl_task9[130]/tbl_task9[[คะแนนเต็ม]:[คะแนนเต็ม]])*tbl_task9[[%]:[%]])</f>
        <v/>
      </c>
      <c r="KO28" s="121" t="str">
        <f>IF(ISBLANK(tbl_task9[[คะแนนเต็ม]:[คะแนนเต็ม]]),"",(tbl_task9[131]/tbl_task9[[คะแนนเต็ม]:[คะแนนเต็ม]])*tbl_task9[[%]:[%]])</f>
        <v/>
      </c>
      <c r="KP28" s="121" t="str">
        <f>IF(ISBLANK(tbl_task9[[คะแนนเต็ม]:[คะแนนเต็ม]]),"",(tbl_task9[132]/tbl_task9[[คะแนนเต็ม]:[คะแนนเต็ม]])*tbl_task9[[%]:[%]])</f>
        <v/>
      </c>
      <c r="KQ28" s="121" t="str">
        <f>IF(ISBLANK(tbl_task9[[คะแนนเต็ม]:[คะแนนเต็ม]]),"",(tbl_task9[133]/tbl_task9[[คะแนนเต็ม]:[คะแนนเต็ม]])*tbl_task9[[%]:[%]])</f>
        <v/>
      </c>
      <c r="KR28" s="121" t="str">
        <f>IF(ISBLANK(tbl_task9[[คะแนนเต็ม]:[คะแนนเต็ม]]),"",(tbl_task9[134]/tbl_task9[[คะแนนเต็ม]:[คะแนนเต็ม]])*tbl_task9[[%]:[%]])</f>
        <v/>
      </c>
      <c r="KS28" s="121" t="str">
        <f>IF(ISBLANK(tbl_task9[[คะแนนเต็ม]:[คะแนนเต็ม]]),"",(tbl_task9[135]/tbl_task9[[คะแนนเต็ม]:[คะแนนเต็ม]])*tbl_task9[[%]:[%]])</f>
        <v/>
      </c>
      <c r="KT28" s="121" t="str">
        <f>IF(ISBLANK(tbl_task9[[คะแนนเต็ม]:[คะแนนเต็ม]]),"",(tbl_task9[136]/tbl_task9[[คะแนนเต็ม]:[คะแนนเต็ม]])*tbl_task9[[%]:[%]])</f>
        <v/>
      </c>
      <c r="KU28" s="121" t="str">
        <f>IF(ISBLANK(tbl_task9[[คะแนนเต็ม]:[คะแนนเต็ม]]),"",(tbl_task9[137]/tbl_task9[[คะแนนเต็ม]:[คะแนนเต็ม]])*tbl_task9[[%]:[%]])</f>
        <v/>
      </c>
      <c r="KV28" s="121" t="str">
        <f>IF(ISBLANK(tbl_task9[[คะแนนเต็ม]:[คะแนนเต็ม]]),"",(tbl_task9[138]/tbl_task9[[คะแนนเต็ม]:[คะแนนเต็ม]])*tbl_task9[[%]:[%]])</f>
        <v/>
      </c>
      <c r="KW28" s="121" t="str">
        <f>IF(ISBLANK(tbl_task9[[คะแนนเต็ม]:[คะแนนเต็ม]]),"",(tbl_task9[139]/tbl_task9[[คะแนนเต็ม]:[คะแนนเต็ม]])*tbl_task9[[%]:[%]])</f>
        <v/>
      </c>
      <c r="KX28" s="121" t="str">
        <f>IF(ISBLANK(tbl_task9[[คะแนนเต็ม]:[คะแนนเต็ม]]),"",(tbl_task9[140]/tbl_task9[[คะแนนเต็ม]:[คะแนนเต็ม]])*tbl_task9[[%]:[%]])</f>
        <v/>
      </c>
      <c r="KY28" s="121" t="str">
        <f>IF(ISBLANK(tbl_task9[[คะแนนเต็ม]:[คะแนนเต็ม]]),"",(tbl_task9[141]/tbl_task9[[คะแนนเต็ม]:[คะแนนเต็ม]])*tbl_task9[[%]:[%]])</f>
        <v/>
      </c>
      <c r="KZ28" s="121" t="str">
        <f>IF(ISBLANK(tbl_task9[[คะแนนเต็ม]:[คะแนนเต็ม]]),"",(tbl_task9[142]/tbl_task9[[คะแนนเต็ม]:[คะแนนเต็ม]])*tbl_task9[[%]:[%]])</f>
        <v/>
      </c>
      <c r="LA28" s="121" t="str">
        <f>IF(ISBLANK(tbl_task9[[คะแนนเต็ม]:[คะแนนเต็ม]]),"",(tbl_task9[143]/tbl_task9[[คะแนนเต็ม]:[คะแนนเต็ม]])*tbl_task9[[%]:[%]])</f>
        <v/>
      </c>
      <c r="LB28" s="121" t="str">
        <f>IF(ISBLANK(tbl_task9[[คะแนนเต็ม]:[คะแนนเต็ม]]),"",(tbl_task9[144]/tbl_task9[[คะแนนเต็ม]:[คะแนนเต็ม]])*tbl_task9[[%]:[%]])</f>
        <v/>
      </c>
      <c r="LC28" s="121" t="str">
        <f>IF(ISBLANK(tbl_task9[[คะแนนเต็ม]:[คะแนนเต็ม]]),"",(tbl_task9[145]/tbl_task9[[คะแนนเต็ม]:[คะแนนเต็ม]])*tbl_task9[[%]:[%]])</f>
        <v/>
      </c>
      <c r="LD28" s="121" t="str">
        <f>IF(ISBLANK(tbl_task9[[คะแนนเต็ม]:[คะแนนเต็ม]]),"",(tbl_task9[146]/tbl_task9[[คะแนนเต็ม]:[คะแนนเต็ม]])*tbl_task9[[%]:[%]])</f>
        <v/>
      </c>
      <c r="LE28" s="121" t="str">
        <f>IF(ISBLANK(tbl_task9[[คะแนนเต็ม]:[คะแนนเต็ม]]),"",(tbl_task9[147]/tbl_task9[[คะแนนเต็ม]:[คะแนนเต็ม]])*tbl_task9[[%]:[%]])</f>
        <v/>
      </c>
      <c r="LF28" s="121" t="str">
        <f>IF(ISBLANK(tbl_task9[[คะแนนเต็ม]:[คะแนนเต็ม]]),"",(tbl_task9[148]/tbl_task9[[คะแนนเต็ม]:[คะแนนเต็ม]])*tbl_task9[[%]:[%]])</f>
        <v/>
      </c>
      <c r="LG28" s="121" t="str">
        <f>IF(ISBLANK(tbl_task9[[คะแนนเต็ม]:[คะแนนเต็ม]]),"",(tbl_task9[149]/tbl_task9[[คะแนนเต็ม]:[คะแนนเต็ม]])*tbl_task9[[%]:[%]])</f>
        <v/>
      </c>
      <c r="LH28" s="121" t="str">
        <f>IF(ISBLANK(tbl_task9[[คะแนนเต็ม]:[คะแนนเต็ม]]),"",(tbl_task9[150]/tbl_task9[[คะแนนเต็ม]:[คะแนนเต็ม]])*tbl_task9[[%]:[%]])</f>
        <v/>
      </c>
      <c r="LI28" s="121" t="str">
        <f>IF(ISBLANK(tbl_task9[[คะแนนเต็ม]:[คะแนนเต็ม]]),"",(tbl_task9[151]/tbl_task9[[คะแนนเต็ม]:[คะแนนเต็ม]])*tbl_task9[[%]:[%]])</f>
        <v/>
      </c>
      <c r="LJ28" s="121" t="str">
        <f>IF(ISBLANK(tbl_task9[[คะแนนเต็ม]:[คะแนนเต็ม]]),"",(tbl_task9[152]/tbl_task9[[คะแนนเต็ม]:[คะแนนเต็ม]])*tbl_task9[[%]:[%]])</f>
        <v/>
      </c>
      <c r="LK28" s="121" t="str">
        <f>IF(ISBLANK(tbl_task9[[คะแนนเต็ม]:[คะแนนเต็ม]]),"",(tbl_task9[153]/tbl_task9[[คะแนนเต็ม]:[คะแนนเต็ม]])*tbl_task9[[%]:[%]])</f>
        <v/>
      </c>
      <c r="LL28" s="121" t="str">
        <f>IF(ISBLANK(tbl_task9[[คะแนนเต็ม]:[คะแนนเต็ม]]),"",(tbl_task9[154]/tbl_task9[[คะแนนเต็ม]:[คะแนนเต็ม]])*tbl_task9[[%]:[%]])</f>
        <v/>
      </c>
      <c r="LM28" s="121" t="str">
        <f>IF(ISBLANK(tbl_task9[[คะแนนเต็ม]:[คะแนนเต็ม]]),"",(tbl_task9[155]/tbl_task9[[คะแนนเต็ม]:[คะแนนเต็ม]])*tbl_task9[[%]:[%]])</f>
        <v/>
      </c>
      <c r="LN28" s="121" t="str">
        <f>IF(ISBLANK(tbl_task9[[คะแนนเต็ม]:[คะแนนเต็ม]]),"",(tbl_task9[156]/tbl_task9[[คะแนนเต็ม]:[คะแนนเต็ม]])*tbl_task9[[%]:[%]])</f>
        <v/>
      </c>
      <c r="LO28" s="121" t="str">
        <f>IF(ISBLANK(tbl_task9[[คะแนนเต็ม]:[คะแนนเต็ม]]),"",(tbl_task9[157]/tbl_task9[[คะแนนเต็ม]:[คะแนนเต็ม]])*tbl_task9[[%]:[%]])</f>
        <v/>
      </c>
      <c r="LP28" s="121" t="str">
        <f>IF(ISBLANK(tbl_task9[[คะแนนเต็ม]:[คะแนนเต็ม]]),"",(tbl_task9[158]/tbl_task9[[คะแนนเต็ม]:[คะแนนเต็ม]])*tbl_task9[[%]:[%]])</f>
        <v/>
      </c>
      <c r="LQ28" s="121" t="str">
        <f>IF(ISBLANK(tbl_task9[[คะแนนเต็ม]:[คะแนนเต็ม]]),"",(tbl_task9[159]/tbl_task9[[คะแนนเต็ม]:[คะแนนเต็ม]])*tbl_task9[[%]:[%]])</f>
        <v/>
      </c>
      <c r="LR28" s="121" t="str">
        <f>IF(ISBLANK(tbl_task9[[คะแนนเต็ม]:[คะแนนเต็ม]]),"",(tbl_task9[160]/tbl_task9[[คะแนนเต็ม]:[คะแนนเต็ม]])*tbl_task9[[%]:[%]])</f>
        <v/>
      </c>
      <c r="LS28" s="121" t="str">
        <f>IF(ISBLANK(tbl_task9[[คะแนนเต็ม]:[คะแนนเต็ม]]),"",(tbl_task9[161]/tbl_task9[[คะแนนเต็ม]:[คะแนนเต็ม]])*tbl_task9[[%]:[%]])</f>
        <v/>
      </c>
      <c r="LT28" s="121" t="str">
        <f>IF(ISBLANK(tbl_task9[[คะแนนเต็ม]:[คะแนนเต็ม]]),"",(tbl_task9[162]/tbl_task9[[คะแนนเต็ม]:[คะแนนเต็ม]])*tbl_task9[[%]:[%]])</f>
        <v/>
      </c>
      <c r="LU28" s="121" t="str">
        <f>IF(ISBLANK(tbl_task9[[คะแนนเต็ม]:[คะแนนเต็ม]]),"",(tbl_task9[163]/tbl_task9[[คะแนนเต็ม]:[คะแนนเต็ม]])*tbl_task9[[%]:[%]])</f>
        <v/>
      </c>
      <c r="LV28" s="121" t="str">
        <f>IF(ISBLANK(tbl_task9[[คะแนนเต็ม]:[คะแนนเต็ม]]),"",(tbl_task9[164]/tbl_task9[[คะแนนเต็ม]:[คะแนนเต็ม]])*tbl_task9[[%]:[%]])</f>
        <v/>
      </c>
      <c r="LW28" s="121" t="str">
        <f>IF(ISBLANK(tbl_task9[[คะแนนเต็ม]:[คะแนนเต็ม]]),"",(tbl_task9[165]/tbl_task9[[คะแนนเต็ม]:[คะแนนเต็ม]])*tbl_task9[[%]:[%]])</f>
        <v/>
      </c>
    </row>
    <row r="29" spans="1:335" s="34" customFormat="1" ht="24" customHeight="1" x14ac:dyDescent="0.25">
      <c r="A29" s="42" t="s">
        <v>11</v>
      </c>
      <c r="B29" s="109">
        <f>COUNTA(tbl_task9[SubPLOs])</f>
        <v>0</v>
      </c>
      <c r="C29" s="129"/>
      <c r="D29" s="108">
        <f>SUM(tbl_task9[คะแนนเต็ม])</f>
        <v>0</v>
      </c>
      <c r="E29" s="108">
        <f>SUM(tbl_task9[%])</f>
        <v>0</v>
      </c>
      <c r="F29" s="124">
        <f>SUM(tbl_task9[1])</f>
        <v>0</v>
      </c>
      <c r="G29" s="124">
        <f>SUM(tbl_task9[2])</f>
        <v>0</v>
      </c>
      <c r="H29" s="124">
        <f>SUM(tbl_task9[3])</f>
        <v>0</v>
      </c>
      <c r="I29" s="124">
        <f>SUM(tbl_task9[4])</f>
        <v>0</v>
      </c>
      <c r="J29" s="124">
        <f>SUM(tbl_task9[5])</f>
        <v>0</v>
      </c>
      <c r="K29" s="124">
        <f>SUM(tbl_task9[6])</f>
        <v>0</v>
      </c>
      <c r="L29" s="124">
        <f>SUM(tbl_task9[7])</f>
        <v>0</v>
      </c>
      <c r="M29" s="124">
        <f>SUM(tbl_task9[8])</f>
        <v>0</v>
      </c>
      <c r="N29" s="124">
        <f>SUM(tbl_task9[9])</f>
        <v>0</v>
      </c>
      <c r="O29" s="124">
        <f>SUM(tbl_task9[10])</f>
        <v>0</v>
      </c>
      <c r="P29" s="124">
        <f>SUM(tbl_task9[11])</f>
        <v>0</v>
      </c>
      <c r="Q29" s="124">
        <f>SUM(tbl_task9[12])</f>
        <v>0</v>
      </c>
      <c r="R29" s="124">
        <f>SUM(tbl_task9[13])</f>
        <v>0</v>
      </c>
      <c r="S29" s="124">
        <f>SUM(tbl_task9[14])</f>
        <v>0</v>
      </c>
      <c r="T29" s="124">
        <f>SUM(tbl_task9[15])</f>
        <v>0</v>
      </c>
      <c r="U29" s="124">
        <f>SUM(tbl_task9[16])</f>
        <v>0</v>
      </c>
      <c r="V29" s="124">
        <f>SUM(tbl_task9[17])</f>
        <v>0</v>
      </c>
      <c r="W29" s="124">
        <f>SUM(tbl_task9[18])</f>
        <v>0</v>
      </c>
      <c r="X29" s="124">
        <f>SUM(tbl_task9[19])</f>
        <v>0</v>
      </c>
      <c r="Y29" s="124">
        <f>SUM(tbl_task9[20])</f>
        <v>0</v>
      </c>
      <c r="Z29" s="124">
        <f>SUM(tbl_task9[21])</f>
        <v>0</v>
      </c>
      <c r="AA29" s="124">
        <f>SUM(tbl_task9[22])</f>
        <v>0</v>
      </c>
      <c r="AB29" s="124">
        <f>SUM(tbl_task9[23])</f>
        <v>0</v>
      </c>
      <c r="AC29" s="124">
        <f>SUM(tbl_task9[24])</f>
        <v>0</v>
      </c>
      <c r="AD29" s="124">
        <f>SUM(tbl_task9[25])</f>
        <v>0</v>
      </c>
      <c r="AE29" s="124">
        <f>SUM(tbl_task9[26])</f>
        <v>0</v>
      </c>
      <c r="AF29" s="124">
        <f>SUM(tbl_task9[27])</f>
        <v>0</v>
      </c>
      <c r="AG29" s="124">
        <f>SUM(tbl_task9[28])</f>
        <v>0</v>
      </c>
      <c r="AH29" s="124">
        <f>SUM(tbl_task9[29])</f>
        <v>0</v>
      </c>
      <c r="AI29" s="124">
        <f>SUM(tbl_task9[30])</f>
        <v>0</v>
      </c>
      <c r="AJ29" s="124">
        <f>SUM(tbl_task9[31])</f>
        <v>0</v>
      </c>
      <c r="AK29" s="124">
        <f>SUM(tbl_task9[32])</f>
        <v>0</v>
      </c>
      <c r="AL29" s="124">
        <f>SUM(tbl_task9[33])</f>
        <v>0</v>
      </c>
      <c r="AM29" s="124">
        <f>SUM(tbl_task9[34])</f>
        <v>0</v>
      </c>
      <c r="AN29" s="124">
        <f>SUM(tbl_task9[35])</f>
        <v>0</v>
      </c>
      <c r="AO29" s="124">
        <f>SUM(tbl_task9[36])</f>
        <v>0</v>
      </c>
      <c r="AP29" s="124">
        <f>SUM(tbl_task9[37])</f>
        <v>0</v>
      </c>
      <c r="AQ29" s="124">
        <f>SUM(tbl_task9[38])</f>
        <v>0</v>
      </c>
      <c r="AR29" s="124">
        <f>SUM(tbl_task9[39])</f>
        <v>0</v>
      </c>
      <c r="AS29" s="124">
        <f>SUM(tbl_task9[40])</f>
        <v>0</v>
      </c>
      <c r="AT29" s="124">
        <f>SUM(tbl_task9[41])</f>
        <v>0</v>
      </c>
      <c r="AU29" s="124">
        <f>SUM(tbl_task9[42])</f>
        <v>0</v>
      </c>
      <c r="AV29" s="124">
        <f>SUM(tbl_task9[43])</f>
        <v>0</v>
      </c>
      <c r="AW29" s="124">
        <f>SUM(tbl_task9[44])</f>
        <v>0</v>
      </c>
      <c r="AX29" s="124">
        <f>SUM(tbl_task9[45])</f>
        <v>0</v>
      </c>
      <c r="AY29" s="124">
        <f>SUM(tbl_task9[46])</f>
        <v>0</v>
      </c>
      <c r="AZ29" s="124">
        <f>SUM(tbl_task9[47])</f>
        <v>0</v>
      </c>
      <c r="BA29" s="124">
        <f>SUM(tbl_task9[48])</f>
        <v>0</v>
      </c>
      <c r="BB29" s="124">
        <f>SUM(tbl_task9[49])</f>
        <v>0</v>
      </c>
      <c r="BC29" s="124">
        <f>SUM(tbl_task9[50])</f>
        <v>0</v>
      </c>
      <c r="BD29" s="124">
        <f>SUM(tbl_task9[51])</f>
        <v>0</v>
      </c>
      <c r="BE29" s="124">
        <f>SUM(tbl_task9[52])</f>
        <v>0</v>
      </c>
      <c r="BF29" s="124">
        <f>SUM(tbl_task9[53])</f>
        <v>0</v>
      </c>
      <c r="BG29" s="124">
        <f>SUM(tbl_task9[54])</f>
        <v>0</v>
      </c>
      <c r="BH29" s="124">
        <f>SUM(tbl_task9[55])</f>
        <v>0</v>
      </c>
      <c r="BI29" s="124">
        <f>SUM(tbl_task9[56])</f>
        <v>0</v>
      </c>
      <c r="BJ29" s="124">
        <f>SUM(tbl_task9[57])</f>
        <v>0</v>
      </c>
      <c r="BK29" s="124">
        <f>SUM(tbl_task9[58])</f>
        <v>0</v>
      </c>
      <c r="BL29" s="124">
        <f>SUM(tbl_task9[59])</f>
        <v>0</v>
      </c>
      <c r="BM29" s="124">
        <f>SUM(tbl_task9[60])</f>
        <v>0</v>
      </c>
      <c r="BN29" s="124">
        <f>SUM(tbl_task9[61])</f>
        <v>0</v>
      </c>
      <c r="BO29" s="124">
        <f>SUM(tbl_task9[62])</f>
        <v>0</v>
      </c>
      <c r="BP29" s="124">
        <f>SUM(tbl_task9[63])</f>
        <v>0</v>
      </c>
      <c r="BQ29" s="124">
        <f>SUM(tbl_task9[64])</f>
        <v>0</v>
      </c>
      <c r="BR29" s="124">
        <f>SUM(tbl_task9[65])</f>
        <v>0</v>
      </c>
      <c r="BS29" s="124">
        <f>SUM(tbl_task9[66])</f>
        <v>0</v>
      </c>
      <c r="BT29" s="124">
        <f>SUM(tbl_task9[67])</f>
        <v>0</v>
      </c>
      <c r="BU29" s="124">
        <f>SUM(tbl_task9[68])</f>
        <v>0</v>
      </c>
      <c r="BV29" s="124">
        <f>SUM(tbl_task9[69])</f>
        <v>0</v>
      </c>
      <c r="BW29" s="124">
        <f>SUM(tbl_task9[70])</f>
        <v>0</v>
      </c>
      <c r="BX29" s="124">
        <f>SUM(tbl_task9[71])</f>
        <v>0</v>
      </c>
      <c r="BY29" s="124">
        <f>SUM(tbl_task9[72])</f>
        <v>0</v>
      </c>
      <c r="BZ29" s="124">
        <f>SUM(tbl_task9[73])</f>
        <v>0</v>
      </c>
      <c r="CA29" s="124">
        <f>SUM(tbl_task9[74])</f>
        <v>0</v>
      </c>
      <c r="CB29" s="124">
        <f>SUM(tbl_task9[75])</f>
        <v>0</v>
      </c>
      <c r="CC29" s="124">
        <f>SUM(tbl_task9[76])</f>
        <v>0</v>
      </c>
      <c r="CD29" s="124">
        <f>SUM(tbl_task9[77])</f>
        <v>0</v>
      </c>
      <c r="CE29" s="124">
        <f>SUM(tbl_task9[78])</f>
        <v>0</v>
      </c>
      <c r="CF29" s="124">
        <f>SUM(tbl_task9[79])</f>
        <v>0</v>
      </c>
      <c r="CG29" s="124">
        <f>SUM(tbl_task9[80])</f>
        <v>0</v>
      </c>
      <c r="CH29" s="124">
        <f>SUM(tbl_task9[81])</f>
        <v>0</v>
      </c>
      <c r="CI29" s="124">
        <f>SUM(tbl_task9[82])</f>
        <v>0</v>
      </c>
      <c r="CJ29" s="124">
        <f>SUM(tbl_task9[83])</f>
        <v>0</v>
      </c>
      <c r="CK29" s="124">
        <f>SUM(tbl_task9[84])</f>
        <v>0</v>
      </c>
      <c r="CL29" s="124">
        <f>SUM(tbl_task9[85])</f>
        <v>0</v>
      </c>
      <c r="CM29" s="124">
        <f>SUM(tbl_task9[86])</f>
        <v>0</v>
      </c>
      <c r="CN29" s="124">
        <f>SUM(tbl_task9[87])</f>
        <v>0</v>
      </c>
      <c r="CO29" s="124">
        <f>SUM(tbl_task9[88])</f>
        <v>0</v>
      </c>
      <c r="CP29" s="124">
        <f>SUM(tbl_task9[89])</f>
        <v>0</v>
      </c>
      <c r="CQ29" s="124">
        <f>SUM(tbl_task9[90])</f>
        <v>0</v>
      </c>
      <c r="CR29" s="124">
        <f>SUM(tbl_task9[91])</f>
        <v>0</v>
      </c>
      <c r="CS29" s="124">
        <f>SUM(tbl_task9[92])</f>
        <v>0</v>
      </c>
      <c r="CT29" s="124">
        <f>SUM(tbl_task9[93])</f>
        <v>0</v>
      </c>
      <c r="CU29" s="124">
        <f>SUM(tbl_task9[94])</f>
        <v>0</v>
      </c>
      <c r="CV29" s="124">
        <f>SUM(tbl_task9[95])</f>
        <v>0</v>
      </c>
      <c r="CW29" s="124">
        <f>SUM(tbl_task9[96])</f>
        <v>0</v>
      </c>
      <c r="CX29" s="124">
        <f>SUM(tbl_task9[97])</f>
        <v>0</v>
      </c>
      <c r="CY29" s="124">
        <f>SUM(tbl_task9[98])</f>
        <v>0</v>
      </c>
      <c r="CZ29" s="124">
        <f>SUM(tbl_task9[99])</f>
        <v>0</v>
      </c>
      <c r="DA29" s="124">
        <f>SUM(tbl_task9[100])</f>
        <v>0</v>
      </c>
      <c r="DB29" s="124">
        <f>SUM(tbl_task9[101])</f>
        <v>0</v>
      </c>
      <c r="DC29" s="124">
        <f>SUM(tbl_task9[102])</f>
        <v>0</v>
      </c>
      <c r="DD29" s="124">
        <f>SUM(tbl_task9[103])</f>
        <v>0</v>
      </c>
      <c r="DE29" s="124">
        <f>SUM(tbl_task9[104])</f>
        <v>0</v>
      </c>
      <c r="DF29" s="124">
        <f>SUM(tbl_task9[105])</f>
        <v>0</v>
      </c>
      <c r="DG29" s="124">
        <f>SUM(tbl_task9[106])</f>
        <v>0</v>
      </c>
      <c r="DH29" s="124">
        <f>SUM(tbl_task9[107])</f>
        <v>0</v>
      </c>
      <c r="DI29" s="124">
        <f>SUM(tbl_task9[108])</f>
        <v>0</v>
      </c>
      <c r="DJ29" s="124">
        <f>SUM(tbl_task9[109])</f>
        <v>0</v>
      </c>
      <c r="DK29" s="124">
        <f>SUM(tbl_task9[110])</f>
        <v>0</v>
      </c>
      <c r="DL29" s="124">
        <f>SUM(tbl_task9[111])</f>
        <v>0</v>
      </c>
      <c r="DM29" s="124">
        <f>SUM(tbl_task9[112])</f>
        <v>0</v>
      </c>
      <c r="DN29" s="124">
        <f>SUM(tbl_task9[113])</f>
        <v>0</v>
      </c>
      <c r="DO29" s="124">
        <f>SUM(tbl_task9[114])</f>
        <v>0</v>
      </c>
      <c r="DP29" s="124">
        <f>SUM(tbl_task9[115])</f>
        <v>0</v>
      </c>
      <c r="DQ29" s="124">
        <f>SUM(tbl_task9[116])</f>
        <v>0</v>
      </c>
      <c r="DR29" s="124">
        <f>SUM(tbl_task9[117])</f>
        <v>0</v>
      </c>
      <c r="DS29" s="124">
        <f>SUM(tbl_task9[118])</f>
        <v>0</v>
      </c>
      <c r="DT29" s="124">
        <f>SUM(tbl_task9[119])</f>
        <v>0</v>
      </c>
      <c r="DU29" s="124">
        <f>SUM(tbl_task9[120])</f>
        <v>0</v>
      </c>
      <c r="DV29" s="124">
        <f>SUM(tbl_task9[121])</f>
        <v>0</v>
      </c>
      <c r="DW29" s="124">
        <f>SUM(tbl_task9[122])</f>
        <v>0</v>
      </c>
      <c r="DX29" s="124">
        <f>SUM(tbl_task9[123])</f>
        <v>0</v>
      </c>
      <c r="DY29" s="124">
        <f>SUM(tbl_task9[124])</f>
        <v>0</v>
      </c>
      <c r="DZ29" s="124">
        <f>SUM(tbl_task9[125])</f>
        <v>0</v>
      </c>
      <c r="EA29" s="124">
        <f>SUM(tbl_task9[126])</f>
        <v>0</v>
      </c>
      <c r="EB29" s="124">
        <f>SUM(tbl_task9[127])</f>
        <v>0</v>
      </c>
      <c r="EC29" s="124">
        <f>SUM(tbl_task9[128])</f>
        <v>0</v>
      </c>
      <c r="ED29" s="124">
        <f>SUM(tbl_task9[129])</f>
        <v>0</v>
      </c>
      <c r="EE29" s="124">
        <f>SUM(tbl_task9[130])</f>
        <v>0</v>
      </c>
      <c r="EF29" s="124">
        <f>SUM(tbl_task9[131])</f>
        <v>0</v>
      </c>
      <c r="EG29" s="124">
        <f>SUM(tbl_task9[132])</f>
        <v>0</v>
      </c>
      <c r="EH29" s="124">
        <f>SUM(tbl_task9[133])</f>
        <v>0</v>
      </c>
      <c r="EI29" s="124">
        <f>SUM(tbl_task9[134])</f>
        <v>0</v>
      </c>
      <c r="EJ29" s="124">
        <f>SUM(tbl_task9[135])</f>
        <v>0</v>
      </c>
      <c r="EK29" s="124">
        <f>SUM(tbl_task9[136])</f>
        <v>0</v>
      </c>
      <c r="EL29" s="124">
        <f>SUM(tbl_task9[137])</f>
        <v>0</v>
      </c>
      <c r="EM29" s="124">
        <f>SUM(tbl_task9[138])</f>
        <v>0</v>
      </c>
      <c r="EN29" s="124">
        <f>SUM(tbl_task9[139])</f>
        <v>0</v>
      </c>
      <c r="EO29" s="124">
        <f>SUM(tbl_task9[140])</f>
        <v>0</v>
      </c>
      <c r="EP29" s="124">
        <f>SUM(tbl_task9[141])</f>
        <v>0</v>
      </c>
      <c r="EQ29" s="124">
        <f>SUM(tbl_task9[142])</f>
        <v>0</v>
      </c>
      <c r="ER29" s="124">
        <f>SUM(tbl_task9[143])</f>
        <v>0</v>
      </c>
      <c r="ES29" s="124">
        <f>SUM(tbl_task9[144])</f>
        <v>0</v>
      </c>
      <c r="ET29" s="124">
        <f>SUM(tbl_task9[145])</f>
        <v>0</v>
      </c>
      <c r="EU29" s="124">
        <f>SUM(tbl_task9[146])</f>
        <v>0</v>
      </c>
      <c r="EV29" s="124">
        <f>SUM(tbl_task9[147])</f>
        <v>0</v>
      </c>
      <c r="EW29" s="124">
        <f>SUM(tbl_task9[148])</f>
        <v>0</v>
      </c>
      <c r="EX29" s="124">
        <f>SUM(tbl_task9[149])</f>
        <v>0</v>
      </c>
      <c r="EY29" s="124">
        <f>SUM(tbl_task9[150])</f>
        <v>0</v>
      </c>
      <c r="EZ29" s="124">
        <f>SUM(tbl_task9[151])</f>
        <v>0</v>
      </c>
      <c r="FA29" s="124">
        <f>SUM(tbl_task9[152])</f>
        <v>0</v>
      </c>
      <c r="FB29" s="124">
        <f>SUM(tbl_task9[153])</f>
        <v>0</v>
      </c>
      <c r="FC29" s="124">
        <f>SUM(tbl_task9[154])</f>
        <v>0</v>
      </c>
      <c r="FD29" s="124">
        <f>SUM(tbl_task9[155])</f>
        <v>0</v>
      </c>
      <c r="FE29" s="124">
        <f>SUM(tbl_task9[156])</f>
        <v>0</v>
      </c>
      <c r="FF29" s="124">
        <f>SUM(tbl_task9[157])</f>
        <v>0</v>
      </c>
      <c r="FG29" s="124">
        <f>SUM(tbl_task9[158])</f>
        <v>0</v>
      </c>
      <c r="FH29" s="124">
        <f>SUM(tbl_task9[159])</f>
        <v>0</v>
      </c>
      <c r="FI29" s="124">
        <f>SUM(tbl_task9[160])</f>
        <v>0</v>
      </c>
      <c r="FJ29" s="124">
        <f>SUM(tbl_task9[161])</f>
        <v>0</v>
      </c>
      <c r="FK29" s="124">
        <f>SUM(tbl_task9[162])</f>
        <v>0</v>
      </c>
      <c r="FL29" s="124">
        <f>SUM(tbl_task9[163])</f>
        <v>0</v>
      </c>
      <c r="FM29" s="124">
        <f>SUM(tbl_task9[164])</f>
        <v>0</v>
      </c>
      <c r="FN29" s="124">
        <f>SUM(tbl_task9[165])</f>
        <v>0</v>
      </c>
      <c r="FO29" s="124">
        <f>SUM(tbl_task9[S1])</f>
        <v>0</v>
      </c>
      <c r="FP29" s="124">
        <f>SUM(tbl_task9[S2])</f>
        <v>0</v>
      </c>
      <c r="FQ29" s="124">
        <f>SUM(tbl_task9[S3])</f>
        <v>0</v>
      </c>
      <c r="FR29" s="124">
        <f>SUM(tbl_task9[S4])</f>
        <v>0</v>
      </c>
      <c r="FS29" s="124">
        <f>SUM(tbl_task9[S5])</f>
        <v>0</v>
      </c>
      <c r="FT29" s="124">
        <f>SUM(tbl_task9[S6])</f>
        <v>0</v>
      </c>
      <c r="FU29" s="124">
        <f>SUM(tbl_task9[S7])</f>
        <v>0</v>
      </c>
      <c r="FV29" s="124">
        <f>SUM(tbl_task9[S8])</f>
        <v>0</v>
      </c>
      <c r="FW29" s="124">
        <f>SUM(tbl_task9[S9])</f>
        <v>0</v>
      </c>
      <c r="FX29" s="124">
        <f>SUM(tbl_task9[S10])</f>
        <v>0</v>
      </c>
      <c r="FY29" s="124">
        <f>SUM(tbl_task9[S11])</f>
        <v>0</v>
      </c>
      <c r="FZ29" s="124">
        <f>SUM(tbl_task9[S12])</f>
        <v>0</v>
      </c>
      <c r="GA29" s="124">
        <f>SUM(tbl_task9[S13])</f>
        <v>0</v>
      </c>
      <c r="GB29" s="124">
        <f>SUM(tbl_task9[S14])</f>
        <v>0</v>
      </c>
      <c r="GC29" s="124">
        <f>SUM(tbl_task9[S15])</f>
        <v>0</v>
      </c>
      <c r="GD29" s="124">
        <f>SUM(tbl_task9[S16])</f>
        <v>0</v>
      </c>
      <c r="GE29" s="124">
        <f>SUM(tbl_task9[S17])</f>
        <v>0</v>
      </c>
      <c r="GF29" s="124">
        <f>SUM(tbl_task9[S18])</f>
        <v>0</v>
      </c>
      <c r="GG29" s="124">
        <f>SUM(tbl_task9[S19])</f>
        <v>0</v>
      </c>
      <c r="GH29" s="124">
        <f>SUM(tbl_task9[S20])</f>
        <v>0</v>
      </c>
      <c r="GI29" s="124">
        <f>SUM(tbl_task9[S21])</f>
        <v>0</v>
      </c>
      <c r="GJ29" s="124">
        <f>SUM(tbl_task9[S22])</f>
        <v>0</v>
      </c>
      <c r="GK29" s="124">
        <f>SUM(tbl_task9[S23])</f>
        <v>0</v>
      </c>
      <c r="GL29" s="124">
        <f>SUM(tbl_task9[S24])</f>
        <v>0</v>
      </c>
      <c r="GM29" s="124">
        <f>SUM(tbl_task9[S25])</f>
        <v>0</v>
      </c>
      <c r="GN29" s="124">
        <f>SUM(tbl_task9[S26])</f>
        <v>0</v>
      </c>
      <c r="GO29" s="124">
        <f>SUM(tbl_task9[S27])</f>
        <v>0</v>
      </c>
      <c r="GP29" s="124">
        <f>SUM(tbl_task9[S28])</f>
        <v>0</v>
      </c>
      <c r="GQ29" s="124">
        <f>SUM(tbl_task9[S29])</f>
        <v>0</v>
      </c>
      <c r="GR29" s="124">
        <f>SUM(tbl_task9[S30])</f>
        <v>0</v>
      </c>
      <c r="GS29" s="124">
        <f>SUM(tbl_task9[S31])</f>
        <v>0</v>
      </c>
      <c r="GT29" s="124">
        <f>SUM(tbl_task9[S32])</f>
        <v>0</v>
      </c>
      <c r="GU29" s="124">
        <f>SUM(tbl_task9[S33])</f>
        <v>0</v>
      </c>
      <c r="GV29" s="124">
        <f>SUM(tbl_task9[S34])</f>
        <v>0</v>
      </c>
      <c r="GW29" s="124">
        <f>SUM(tbl_task9[S35])</f>
        <v>0</v>
      </c>
      <c r="GX29" s="124">
        <f>SUM(tbl_task9[S36])</f>
        <v>0</v>
      </c>
      <c r="GY29" s="124">
        <f>SUM(tbl_task9[S37])</f>
        <v>0</v>
      </c>
      <c r="GZ29" s="124">
        <f>SUM(tbl_task9[S38])</f>
        <v>0</v>
      </c>
      <c r="HA29" s="124">
        <f>SUM(tbl_task9[S39])</f>
        <v>0</v>
      </c>
      <c r="HB29" s="124">
        <f>SUM(tbl_task9[S40])</f>
        <v>0</v>
      </c>
      <c r="HC29" s="124">
        <f>SUM(tbl_task9[S41])</f>
        <v>0</v>
      </c>
      <c r="HD29" s="124">
        <f>SUM(tbl_task9[S42])</f>
        <v>0</v>
      </c>
      <c r="HE29" s="124">
        <f>SUM(tbl_task9[S43])</f>
        <v>0</v>
      </c>
      <c r="HF29" s="124">
        <f>SUM(tbl_task9[S44])</f>
        <v>0</v>
      </c>
      <c r="HG29" s="124">
        <f>SUM(tbl_task9[S45])</f>
        <v>0</v>
      </c>
      <c r="HH29" s="124">
        <f>SUM(tbl_task9[S46])</f>
        <v>0</v>
      </c>
      <c r="HI29" s="124">
        <f>SUM(tbl_task9[S47])</f>
        <v>0</v>
      </c>
      <c r="HJ29" s="124">
        <f>SUM(tbl_task9[S48])</f>
        <v>0</v>
      </c>
      <c r="HK29" s="124">
        <f>SUM(tbl_task9[S49])</f>
        <v>0</v>
      </c>
      <c r="HL29" s="124">
        <f>SUM(tbl_task9[S50])</f>
        <v>0</v>
      </c>
      <c r="HM29" s="124">
        <f>SUM(tbl_task9[S51])</f>
        <v>0</v>
      </c>
      <c r="HN29" s="124">
        <f>SUM(tbl_task9[S52])</f>
        <v>0</v>
      </c>
      <c r="HO29" s="124">
        <f>SUM(tbl_task9[S53])</f>
        <v>0</v>
      </c>
      <c r="HP29" s="124">
        <f>SUM(tbl_task9[S54])</f>
        <v>0</v>
      </c>
      <c r="HQ29" s="124">
        <f>SUM(tbl_task9[S55])</f>
        <v>0</v>
      </c>
      <c r="HR29" s="124">
        <f>SUM(tbl_task9[S56])</f>
        <v>0</v>
      </c>
      <c r="HS29" s="124">
        <f>SUM(tbl_task9[S57])</f>
        <v>0</v>
      </c>
      <c r="HT29" s="124">
        <f>SUM(tbl_task9[S58])</f>
        <v>0</v>
      </c>
      <c r="HU29" s="124">
        <f>SUM(tbl_task9[S59])</f>
        <v>0</v>
      </c>
      <c r="HV29" s="124">
        <f>SUM(tbl_task9[S60])</f>
        <v>0</v>
      </c>
      <c r="HW29" s="124">
        <f>SUM(tbl_task9[S61])</f>
        <v>0</v>
      </c>
      <c r="HX29" s="124">
        <f>SUM(tbl_task9[S62])</f>
        <v>0</v>
      </c>
      <c r="HY29" s="124">
        <f>SUM(tbl_task9[S63])</f>
        <v>0</v>
      </c>
      <c r="HZ29" s="124">
        <f>SUM(tbl_task9[S64])</f>
        <v>0</v>
      </c>
      <c r="IA29" s="124">
        <f>SUM(tbl_task9[S65])</f>
        <v>0</v>
      </c>
      <c r="IB29" s="124">
        <f>SUM(tbl_task9[S66])</f>
        <v>0</v>
      </c>
      <c r="IC29" s="124">
        <f>SUM(tbl_task9[S67])</f>
        <v>0</v>
      </c>
      <c r="ID29" s="124">
        <f>SUM(tbl_task9[S68])</f>
        <v>0</v>
      </c>
      <c r="IE29" s="124">
        <f>SUM(tbl_task9[S69])</f>
        <v>0</v>
      </c>
      <c r="IF29" s="124">
        <f>SUM(tbl_task9[S70])</f>
        <v>0</v>
      </c>
      <c r="IG29" s="124">
        <f>SUM(tbl_task9[S71])</f>
        <v>0</v>
      </c>
      <c r="IH29" s="124">
        <f>SUM(tbl_task9[S72])</f>
        <v>0</v>
      </c>
      <c r="II29" s="124">
        <f>SUM(tbl_task9[S73])</f>
        <v>0</v>
      </c>
      <c r="IJ29" s="124">
        <f>SUM(tbl_task9[S74])</f>
        <v>0</v>
      </c>
      <c r="IK29" s="124">
        <f>SUM(tbl_task9[S75])</f>
        <v>0</v>
      </c>
      <c r="IL29" s="124">
        <f>SUM(tbl_task9[S76])</f>
        <v>0</v>
      </c>
      <c r="IM29" s="124">
        <f>SUM(tbl_task9[S77])</f>
        <v>0</v>
      </c>
      <c r="IN29" s="124">
        <f>SUM(tbl_task9[S78])</f>
        <v>0</v>
      </c>
      <c r="IO29" s="124">
        <f>SUM(tbl_task9[S79])</f>
        <v>0</v>
      </c>
      <c r="IP29" s="124">
        <f>SUM(tbl_task9[S80])</f>
        <v>0</v>
      </c>
      <c r="IQ29" s="124">
        <f>SUM(tbl_task9[S81])</f>
        <v>0</v>
      </c>
      <c r="IR29" s="124">
        <f>SUM(tbl_task9[S82])</f>
        <v>0</v>
      </c>
      <c r="IS29" s="124">
        <f>SUM(tbl_task9[S83])</f>
        <v>0</v>
      </c>
      <c r="IT29" s="124">
        <f>SUM(tbl_task9[S84])</f>
        <v>0</v>
      </c>
      <c r="IU29" s="124">
        <f>SUM(tbl_task9[S85])</f>
        <v>0</v>
      </c>
      <c r="IV29" s="124">
        <f>SUM(tbl_task9[S86])</f>
        <v>0</v>
      </c>
      <c r="IW29" s="124">
        <f>SUM(tbl_task9[S87])</f>
        <v>0</v>
      </c>
      <c r="IX29" s="124">
        <f>SUM(tbl_task9[S88])</f>
        <v>0</v>
      </c>
      <c r="IY29" s="124">
        <f>SUM(tbl_task9[S89])</f>
        <v>0</v>
      </c>
      <c r="IZ29" s="124">
        <f>SUM(tbl_task9[S90])</f>
        <v>0</v>
      </c>
      <c r="JA29" s="124">
        <f>SUM(tbl_task9[S91])</f>
        <v>0</v>
      </c>
      <c r="JB29" s="124">
        <f>SUM(tbl_task9[S92])</f>
        <v>0</v>
      </c>
      <c r="JC29" s="124">
        <f>SUM(tbl_task9[S93])</f>
        <v>0</v>
      </c>
      <c r="JD29" s="124">
        <f>SUM(tbl_task9[S94])</f>
        <v>0</v>
      </c>
      <c r="JE29" s="124">
        <f>SUM(tbl_task9[S95])</f>
        <v>0</v>
      </c>
      <c r="JF29" s="124">
        <f>SUM(tbl_task9[S96])</f>
        <v>0</v>
      </c>
      <c r="JG29" s="124">
        <f>SUM(tbl_task9[S97])</f>
        <v>0</v>
      </c>
      <c r="JH29" s="124">
        <f>SUM(tbl_task9[S98])</f>
        <v>0</v>
      </c>
      <c r="JI29" s="124">
        <f>SUM(tbl_task9[S99])</f>
        <v>0</v>
      </c>
      <c r="JJ29" s="124">
        <f>SUM(tbl_task9[S100])</f>
        <v>0</v>
      </c>
      <c r="JK29" s="124">
        <f>SUM(tbl_task9[S101])</f>
        <v>0</v>
      </c>
      <c r="JL29" s="124">
        <f>SUM(tbl_task9[S102])</f>
        <v>0</v>
      </c>
      <c r="JM29" s="124">
        <f>SUM(tbl_task9[S103])</f>
        <v>0</v>
      </c>
      <c r="JN29" s="124">
        <f>SUM(tbl_task9[S104])</f>
        <v>0</v>
      </c>
      <c r="JO29" s="124">
        <f>SUM(tbl_task9[S105])</f>
        <v>0</v>
      </c>
      <c r="JP29" s="124">
        <f>SUM(tbl_task9[S106])</f>
        <v>0</v>
      </c>
      <c r="JQ29" s="124">
        <f>SUM(tbl_task9[S107])</f>
        <v>0</v>
      </c>
      <c r="JR29" s="124">
        <f>SUM(tbl_task9[S108])</f>
        <v>0</v>
      </c>
      <c r="JS29" s="124">
        <f>SUM(tbl_task9[S109])</f>
        <v>0</v>
      </c>
      <c r="JT29" s="124">
        <f>SUM(tbl_task9[S110])</f>
        <v>0</v>
      </c>
      <c r="JU29" s="124">
        <f>SUM(tbl_task9[S111])</f>
        <v>0</v>
      </c>
      <c r="JV29" s="124">
        <f>SUM(tbl_task9[S112])</f>
        <v>0</v>
      </c>
      <c r="JW29" s="124">
        <f>SUM(tbl_task9[S113])</f>
        <v>0</v>
      </c>
      <c r="JX29" s="124">
        <f>SUM(tbl_task9[S114])</f>
        <v>0</v>
      </c>
      <c r="JY29" s="124">
        <f>SUM(tbl_task9[S115])</f>
        <v>0</v>
      </c>
      <c r="JZ29" s="124">
        <f>SUM(tbl_task9[S116])</f>
        <v>0</v>
      </c>
      <c r="KA29" s="124">
        <f>SUM(tbl_task9[S117])</f>
        <v>0</v>
      </c>
      <c r="KB29" s="124">
        <f>SUM(tbl_task9[S118])</f>
        <v>0</v>
      </c>
      <c r="KC29" s="124">
        <f>SUM(tbl_task9[S119])</f>
        <v>0</v>
      </c>
      <c r="KD29" s="124">
        <f>SUM(tbl_task9[S120])</f>
        <v>0</v>
      </c>
      <c r="KE29" s="124">
        <f>SUM(tbl_task9[S121])</f>
        <v>0</v>
      </c>
      <c r="KF29" s="124">
        <f>SUM(tbl_task9[S122])</f>
        <v>0</v>
      </c>
      <c r="KG29" s="124">
        <f>SUM(tbl_task9[S123])</f>
        <v>0</v>
      </c>
      <c r="KH29" s="124">
        <f>SUM(tbl_task9[S124])</f>
        <v>0</v>
      </c>
      <c r="KI29" s="124">
        <f>SUM(tbl_task9[S125])</f>
        <v>0</v>
      </c>
      <c r="KJ29" s="124">
        <f>SUM(tbl_task9[S126])</f>
        <v>0</v>
      </c>
      <c r="KK29" s="124">
        <f>SUM(tbl_task9[S127])</f>
        <v>0</v>
      </c>
      <c r="KL29" s="124">
        <f>SUM(tbl_task9[S128])</f>
        <v>0</v>
      </c>
      <c r="KM29" s="124">
        <f>SUM(tbl_task9[S129])</f>
        <v>0</v>
      </c>
      <c r="KN29" s="124">
        <f>SUM(tbl_task9[S130])</f>
        <v>0</v>
      </c>
      <c r="KO29" s="124">
        <f>SUM(tbl_task9[S131])</f>
        <v>0</v>
      </c>
      <c r="KP29" s="124">
        <f>SUM(tbl_task9[S132])</f>
        <v>0</v>
      </c>
      <c r="KQ29" s="124">
        <f>SUM(tbl_task9[S133])</f>
        <v>0</v>
      </c>
      <c r="KR29" s="124">
        <f>SUM(tbl_task9[S134])</f>
        <v>0</v>
      </c>
      <c r="KS29" s="124">
        <f>SUM(tbl_task9[S135])</f>
        <v>0</v>
      </c>
      <c r="KT29" s="124">
        <f>SUM(tbl_task9[S136])</f>
        <v>0</v>
      </c>
      <c r="KU29" s="124">
        <f>SUM(tbl_task9[S137])</f>
        <v>0</v>
      </c>
      <c r="KV29" s="124">
        <f>SUM(tbl_task9[S138])</f>
        <v>0</v>
      </c>
      <c r="KW29" s="124">
        <f>SUM(tbl_task9[S139])</f>
        <v>0</v>
      </c>
      <c r="KX29" s="124">
        <f>SUM(tbl_task9[S140])</f>
        <v>0</v>
      </c>
      <c r="KY29" s="124">
        <f>SUM(tbl_task9[S141])</f>
        <v>0</v>
      </c>
      <c r="KZ29" s="124">
        <f>SUM(tbl_task9[S142])</f>
        <v>0</v>
      </c>
      <c r="LA29" s="124">
        <f>SUM(tbl_task9[S143])</f>
        <v>0</v>
      </c>
      <c r="LB29" s="124">
        <f>SUM(tbl_task9[S144])</f>
        <v>0</v>
      </c>
      <c r="LC29" s="124">
        <f>SUM(tbl_task9[S145])</f>
        <v>0</v>
      </c>
      <c r="LD29" s="124">
        <f>SUM(tbl_task9[S146])</f>
        <v>0</v>
      </c>
      <c r="LE29" s="124">
        <f>SUM(tbl_task9[S147])</f>
        <v>0</v>
      </c>
      <c r="LF29" s="124">
        <f>SUM(tbl_task9[S148])</f>
        <v>0</v>
      </c>
      <c r="LG29" s="124">
        <f>SUM(tbl_task9[S149])</f>
        <v>0</v>
      </c>
      <c r="LH29" s="124">
        <f>SUM(tbl_task9[S150])</f>
        <v>0</v>
      </c>
      <c r="LI29" s="124">
        <f>SUM(tbl_task9[S151])</f>
        <v>0</v>
      </c>
      <c r="LJ29" s="124">
        <f>SUM(tbl_task9[S152])</f>
        <v>0</v>
      </c>
      <c r="LK29" s="124">
        <f>SUM(tbl_task9[S153])</f>
        <v>0</v>
      </c>
      <c r="LL29" s="124">
        <f>SUM(tbl_task9[S154])</f>
        <v>0</v>
      </c>
      <c r="LM29" s="124">
        <f>SUM(tbl_task9[S155])</f>
        <v>0</v>
      </c>
      <c r="LN29" s="124">
        <f>SUM(tbl_task9[S156])</f>
        <v>0</v>
      </c>
      <c r="LO29" s="124">
        <f>SUM(tbl_task9[S157])</f>
        <v>0</v>
      </c>
      <c r="LP29" s="124">
        <f>SUM(tbl_task9[S158])</f>
        <v>0</v>
      </c>
      <c r="LQ29" s="124">
        <f>SUM(tbl_task9[S159])</f>
        <v>0</v>
      </c>
      <c r="LR29" s="124">
        <f>SUM(tbl_task9[S160])</f>
        <v>0</v>
      </c>
      <c r="LS29" s="124">
        <f>SUM(tbl_task9[S161])</f>
        <v>0</v>
      </c>
      <c r="LT29" s="124">
        <f>SUM(tbl_task9[S162])</f>
        <v>0</v>
      </c>
      <c r="LU29" s="124">
        <f>SUM(tbl_task9[S163])</f>
        <v>0</v>
      </c>
      <c r="LV29" s="124">
        <f>SUM(tbl_task9[S164])</f>
        <v>0</v>
      </c>
      <c r="LW29" s="124">
        <f>SUM(tbl_task9[S165])</f>
        <v>0</v>
      </c>
    </row>
    <row r="30" spans="1:335" s="39" customFormat="1" ht="9" customHeight="1" x14ac:dyDescent="0.25">
      <c r="A30" s="23"/>
      <c r="B30" s="35"/>
      <c r="C30" s="36"/>
      <c r="D30" s="100"/>
      <c r="E30" s="37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</row>
    <row r="31" spans="1:335" ht="10.5" customHeight="1" x14ac:dyDescent="0.25">
      <c r="A31" s="23"/>
      <c r="B31" s="35"/>
      <c r="C31" s="36"/>
      <c r="D31" s="100"/>
      <c r="E31" s="37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</row>
    <row r="32" spans="1:335" x14ac:dyDescent="0.25">
      <c r="A32" s="6" t="s">
        <v>410</v>
      </c>
    </row>
    <row r="33" spans="1:170" ht="42" x14ac:dyDescent="0.25">
      <c r="A33" s="7" t="s">
        <v>10</v>
      </c>
      <c r="B33" s="21" t="s">
        <v>286</v>
      </c>
      <c r="C33" s="21" t="s">
        <v>451</v>
      </c>
      <c r="D33" s="21" t="s">
        <v>409</v>
      </c>
      <c r="E33" s="43" t="s">
        <v>249</v>
      </c>
      <c r="F33" s="122" t="s">
        <v>22</v>
      </c>
      <c r="G33" s="122" t="s">
        <v>23</v>
      </c>
      <c r="H33" s="122" t="s">
        <v>24</v>
      </c>
      <c r="I33" s="122" t="s">
        <v>25</v>
      </c>
      <c r="J33" s="122" t="s">
        <v>26</v>
      </c>
      <c r="K33" s="122" t="s">
        <v>27</v>
      </c>
      <c r="L33" s="122" t="s">
        <v>28</v>
      </c>
      <c r="M33" s="122" t="s">
        <v>29</v>
      </c>
      <c r="N33" s="122" t="s">
        <v>30</v>
      </c>
      <c r="O33" s="122" t="s">
        <v>31</v>
      </c>
      <c r="P33" s="122" t="s">
        <v>32</v>
      </c>
      <c r="Q33" s="122" t="s">
        <v>33</v>
      </c>
      <c r="R33" s="122" t="s">
        <v>34</v>
      </c>
      <c r="S33" s="122" t="s">
        <v>35</v>
      </c>
      <c r="T33" s="122" t="s">
        <v>36</v>
      </c>
      <c r="U33" s="122" t="s">
        <v>37</v>
      </c>
      <c r="V33" s="122" t="s">
        <v>38</v>
      </c>
      <c r="W33" s="122" t="s">
        <v>39</v>
      </c>
      <c r="X33" s="122" t="s">
        <v>40</v>
      </c>
      <c r="Y33" s="122" t="s">
        <v>41</v>
      </c>
      <c r="Z33" s="122" t="s">
        <v>42</v>
      </c>
      <c r="AA33" s="122" t="s">
        <v>43</v>
      </c>
      <c r="AB33" s="122" t="s">
        <v>44</v>
      </c>
      <c r="AC33" s="122" t="s">
        <v>45</v>
      </c>
      <c r="AD33" s="122" t="s">
        <v>46</v>
      </c>
      <c r="AE33" s="122" t="s">
        <v>47</v>
      </c>
      <c r="AF33" s="122" t="s">
        <v>48</v>
      </c>
      <c r="AG33" s="122" t="s">
        <v>49</v>
      </c>
      <c r="AH33" s="122" t="s">
        <v>50</v>
      </c>
      <c r="AI33" s="122" t="s">
        <v>51</v>
      </c>
      <c r="AJ33" s="122" t="s">
        <v>52</v>
      </c>
      <c r="AK33" s="122" t="s">
        <v>53</v>
      </c>
      <c r="AL33" s="122" t="s">
        <v>54</v>
      </c>
      <c r="AM33" s="122" t="s">
        <v>55</v>
      </c>
      <c r="AN33" s="122" t="s">
        <v>56</v>
      </c>
      <c r="AO33" s="122" t="s">
        <v>57</v>
      </c>
      <c r="AP33" s="122" t="s">
        <v>58</v>
      </c>
      <c r="AQ33" s="122" t="s">
        <v>59</v>
      </c>
      <c r="AR33" s="122" t="s">
        <v>60</v>
      </c>
      <c r="AS33" s="122" t="s">
        <v>61</v>
      </c>
      <c r="AT33" s="122" t="s">
        <v>62</v>
      </c>
      <c r="AU33" s="122" t="s">
        <v>63</v>
      </c>
      <c r="AV33" s="122" t="s">
        <v>64</v>
      </c>
      <c r="AW33" s="122" t="s">
        <v>65</v>
      </c>
      <c r="AX33" s="122" t="s">
        <v>66</v>
      </c>
      <c r="AY33" s="122" t="s">
        <v>67</v>
      </c>
      <c r="AZ33" s="122" t="s">
        <v>68</v>
      </c>
      <c r="BA33" s="122" t="s">
        <v>69</v>
      </c>
      <c r="BB33" s="122" t="s">
        <v>70</v>
      </c>
      <c r="BC33" s="122" t="s">
        <v>71</v>
      </c>
      <c r="BD33" s="122" t="s">
        <v>72</v>
      </c>
      <c r="BE33" s="122" t="s">
        <v>73</v>
      </c>
      <c r="BF33" s="122" t="s">
        <v>74</v>
      </c>
      <c r="BG33" s="122" t="s">
        <v>75</v>
      </c>
      <c r="BH33" s="122" t="s">
        <v>76</v>
      </c>
      <c r="BI33" s="122" t="s">
        <v>77</v>
      </c>
      <c r="BJ33" s="122" t="s">
        <v>78</v>
      </c>
      <c r="BK33" s="122" t="s">
        <v>79</v>
      </c>
      <c r="BL33" s="122" t="s">
        <v>80</v>
      </c>
      <c r="BM33" s="122" t="s">
        <v>81</v>
      </c>
      <c r="BN33" s="122" t="s">
        <v>82</v>
      </c>
      <c r="BO33" s="122" t="s">
        <v>83</v>
      </c>
      <c r="BP33" s="122" t="s">
        <v>84</v>
      </c>
      <c r="BQ33" s="122" t="s">
        <v>85</v>
      </c>
      <c r="BR33" s="122" t="s">
        <v>86</v>
      </c>
      <c r="BS33" s="122" t="s">
        <v>87</v>
      </c>
      <c r="BT33" s="122" t="s">
        <v>88</v>
      </c>
      <c r="BU33" s="122" t="s">
        <v>89</v>
      </c>
      <c r="BV33" s="122" t="s">
        <v>90</v>
      </c>
      <c r="BW33" s="122" t="s">
        <v>91</v>
      </c>
      <c r="BX33" s="122" t="s">
        <v>92</v>
      </c>
      <c r="BY33" s="122" t="s">
        <v>93</v>
      </c>
      <c r="BZ33" s="122" t="s">
        <v>94</v>
      </c>
      <c r="CA33" s="122" t="s">
        <v>95</v>
      </c>
      <c r="CB33" s="122" t="s">
        <v>96</v>
      </c>
      <c r="CC33" s="122" t="s">
        <v>97</v>
      </c>
      <c r="CD33" s="122" t="s">
        <v>98</v>
      </c>
      <c r="CE33" s="122" t="s">
        <v>99</v>
      </c>
      <c r="CF33" s="122" t="s">
        <v>100</v>
      </c>
      <c r="CG33" s="122" t="s">
        <v>101</v>
      </c>
      <c r="CH33" s="122" t="s">
        <v>102</v>
      </c>
      <c r="CI33" s="122" t="s">
        <v>103</v>
      </c>
      <c r="CJ33" s="122" t="s">
        <v>104</v>
      </c>
      <c r="CK33" s="122" t="s">
        <v>105</v>
      </c>
      <c r="CL33" s="122" t="s">
        <v>106</v>
      </c>
      <c r="CM33" s="122" t="s">
        <v>107</v>
      </c>
      <c r="CN33" s="122" t="s">
        <v>108</v>
      </c>
      <c r="CO33" s="122" t="s">
        <v>109</v>
      </c>
      <c r="CP33" s="122" t="s">
        <v>110</v>
      </c>
      <c r="CQ33" s="122" t="s">
        <v>111</v>
      </c>
      <c r="CR33" s="122" t="s">
        <v>112</v>
      </c>
      <c r="CS33" s="122" t="s">
        <v>113</v>
      </c>
      <c r="CT33" s="122" t="s">
        <v>114</v>
      </c>
      <c r="CU33" s="122" t="s">
        <v>115</v>
      </c>
      <c r="CV33" s="122" t="s">
        <v>116</v>
      </c>
      <c r="CW33" s="122" t="s">
        <v>117</v>
      </c>
      <c r="CX33" s="122" t="s">
        <v>118</v>
      </c>
      <c r="CY33" s="122" t="s">
        <v>119</v>
      </c>
      <c r="CZ33" s="122" t="s">
        <v>120</v>
      </c>
      <c r="DA33" s="122" t="s">
        <v>121</v>
      </c>
      <c r="DB33" s="122" t="s">
        <v>122</v>
      </c>
      <c r="DC33" s="122" t="s">
        <v>123</v>
      </c>
      <c r="DD33" s="122" t="s">
        <v>124</v>
      </c>
      <c r="DE33" s="122" t="s">
        <v>125</v>
      </c>
      <c r="DF33" s="122" t="s">
        <v>126</v>
      </c>
      <c r="DG33" s="122" t="s">
        <v>127</v>
      </c>
      <c r="DH33" s="122" t="s">
        <v>128</v>
      </c>
      <c r="DI33" s="122" t="s">
        <v>129</v>
      </c>
      <c r="DJ33" s="122" t="s">
        <v>130</v>
      </c>
      <c r="DK33" s="122" t="s">
        <v>131</v>
      </c>
      <c r="DL33" s="122" t="s">
        <v>132</v>
      </c>
      <c r="DM33" s="122" t="s">
        <v>133</v>
      </c>
      <c r="DN33" s="122" t="s">
        <v>134</v>
      </c>
      <c r="DO33" s="122" t="s">
        <v>135</v>
      </c>
      <c r="DP33" s="122" t="s">
        <v>136</v>
      </c>
      <c r="DQ33" s="122" t="s">
        <v>359</v>
      </c>
      <c r="DR33" s="122" t="s">
        <v>360</v>
      </c>
      <c r="DS33" s="122" t="s">
        <v>361</v>
      </c>
      <c r="DT33" s="122" t="s">
        <v>362</v>
      </c>
      <c r="DU33" s="122" t="s">
        <v>363</v>
      </c>
      <c r="DV33" s="122" t="s">
        <v>364</v>
      </c>
      <c r="DW33" s="122" t="s">
        <v>365</v>
      </c>
      <c r="DX33" s="122" t="s">
        <v>366</v>
      </c>
      <c r="DY33" s="122" t="s">
        <v>367</v>
      </c>
      <c r="DZ33" s="122" t="s">
        <v>368</v>
      </c>
      <c r="EA33" s="122" t="s">
        <v>369</v>
      </c>
      <c r="EB33" s="122" t="s">
        <v>370</v>
      </c>
      <c r="EC33" s="122" t="s">
        <v>371</v>
      </c>
      <c r="ED33" s="122" t="s">
        <v>372</v>
      </c>
      <c r="EE33" s="122" t="s">
        <v>373</v>
      </c>
      <c r="EF33" s="122" t="s">
        <v>374</v>
      </c>
      <c r="EG33" s="122" t="s">
        <v>375</v>
      </c>
      <c r="EH33" s="122" t="s">
        <v>376</v>
      </c>
      <c r="EI33" s="122" t="s">
        <v>377</v>
      </c>
      <c r="EJ33" s="122" t="s">
        <v>378</v>
      </c>
      <c r="EK33" s="122" t="s">
        <v>379</v>
      </c>
      <c r="EL33" s="122" t="s">
        <v>380</v>
      </c>
      <c r="EM33" s="122" t="s">
        <v>381</v>
      </c>
      <c r="EN33" s="122" t="s">
        <v>382</v>
      </c>
      <c r="EO33" s="122" t="s">
        <v>383</v>
      </c>
      <c r="EP33" s="122" t="s">
        <v>384</v>
      </c>
      <c r="EQ33" s="122" t="s">
        <v>385</v>
      </c>
      <c r="ER33" s="122" t="s">
        <v>386</v>
      </c>
      <c r="ES33" s="122" t="s">
        <v>387</v>
      </c>
      <c r="ET33" s="122" t="s">
        <v>388</v>
      </c>
      <c r="EU33" s="122" t="s">
        <v>389</v>
      </c>
      <c r="EV33" s="122" t="s">
        <v>390</v>
      </c>
      <c r="EW33" s="122" t="s">
        <v>391</v>
      </c>
      <c r="EX33" s="122" t="s">
        <v>392</v>
      </c>
      <c r="EY33" s="122" t="s">
        <v>393</v>
      </c>
      <c r="EZ33" s="122" t="s">
        <v>394</v>
      </c>
      <c r="FA33" s="122" t="s">
        <v>395</v>
      </c>
      <c r="FB33" s="122" t="s">
        <v>396</v>
      </c>
      <c r="FC33" s="122" t="s">
        <v>397</v>
      </c>
      <c r="FD33" s="122" t="s">
        <v>398</v>
      </c>
      <c r="FE33" s="122" t="s">
        <v>399</v>
      </c>
      <c r="FF33" s="122" t="s">
        <v>400</v>
      </c>
      <c r="FG33" s="122" t="s">
        <v>401</v>
      </c>
      <c r="FH33" s="122" t="s">
        <v>402</v>
      </c>
      <c r="FI33" s="122" t="s">
        <v>403</v>
      </c>
      <c r="FJ33" s="122" t="s">
        <v>404</v>
      </c>
      <c r="FK33" s="122" t="s">
        <v>405</v>
      </c>
      <c r="FL33" s="122" t="s">
        <v>406</v>
      </c>
      <c r="FM33" s="122" t="s">
        <v>407</v>
      </c>
      <c r="FN33" s="122" t="s">
        <v>408</v>
      </c>
    </row>
    <row r="34" spans="1:170" ht="84" x14ac:dyDescent="0.25">
      <c r="A34" s="135">
        <v>1</v>
      </c>
      <c r="B34" s="5" t="s">
        <v>617</v>
      </c>
      <c r="C34" s="136">
        <f>COUNTIFS(tbl_task9[SubPLOs],"&gt;=1",tbl_task9[SubPLOs],"&lt;2")</f>
        <v>0</v>
      </c>
      <c r="D34" s="136">
        <f>SUMIFS(tbl_task9[คะแนนเต็ม],tbl_task9[SubPLOs],"&gt;=1",tbl_task9[SubPLOs],"&lt;2")</f>
        <v>0</v>
      </c>
      <c r="E34" s="137">
        <f>SUMIFS(tbl_task9[%],tbl_task9[SubPLOs],"&gt;=1",tbl_task9[SubPLOs],"&lt;2")</f>
        <v>0</v>
      </c>
      <c r="F34" s="138">
        <f>SUMIFS(tbl_task9[S1],tbl_task9[[SubPLOs]:[SubPLOs]],"&gt;=1",tbl_task9[[SubPLOs]:[SubPLOs]],"&lt;2")</f>
        <v>0</v>
      </c>
      <c r="G34" s="138">
        <f>SUMIFS(tbl_task9[S2],tbl_task9[[SubPLOs]:[SubPLOs]],"&gt;=1",tbl_task9[[SubPLOs]:[SubPLOs]],"&lt;2")</f>
        <v>0</v>
      </c>
      <c r="H34" s="138">
        <f>SUMIFS(tbl_task9[S3],tbl_task9[[SubPLOs]:[SubPLOs]],"&gt;=1",tbl_task9[[SubPLOs]:[SubPLOs]],"&lt;2")</f>
        <v>0</v>
      </c>
      <c r="I34" s="138">
        <f>SUMIFS(tbl_task9[S4],tbl_task9[[SubPLOs]:[SubPLOs]],"&gt;=1",tbl_task9[[SubPLOs]:[SubPLOs]],"&lt;2")</f>
        <v>0</v>
      </c>
      <c r="J34" s="138">
        <f>SUMIFS(tbl_task9[S5],tbl_task9[[SubPLOs]:[SubPLOs]],"&gt;=1",tbl_task9[[SubPLOs]:[SubPLOs]],"&lt;2")</f>
        <v>0</v>
      </c>
      <c r="K34" s="138">
        <f>SUMIFS(tbl_task9[S6],tbl_task9[[SubPLOs]:[SubPLOs]],"&gt;=1",tbl_task9[[SubPLOs]:[SubPLOs]],"&lt;2")</f>
        <v>0</v>
      </c>
      <c r="L34" s="138">
        <f>SUMIFS(tbl_task9[S7],tbl_task9[[SubPLOs]:[SubPLOs]],"&gt;=1",tbl_task9[[SubPLOs]:[SubPLOs]],"&lt;2")</f>
        <v>0</v>
      </c>
      <c r="M34" s="138">
        <f>SUMIFS(tbl_task9[S8],tbl_task9[[SubPLOs]:[SubPLOs]],"&gt;=1",tbl_task9[[SubPLOs]:[SubPLOs]],"&lt;2")</f>
        <v>0</v>
      </c>
      <c r="N34" s="138">
        <f>SUMIFS(tbl_task9[S9],tbl_task9[[SubPLOs]:[SubPLOs]],"&gt;=1",tbl_task9[[SubPLOs]:[SubPLOs]],"&lt;2")</f>
        <v>0</v>
      </c>
      <c r="O34" s="138">
        <f>SUMIFS(tbl_task9[S10],tbl_task9[[SubPLOs]:[SubPLOs]],"&gt;=1",tbl_task9[[SubPLOs]:[SubPLOs]],"&lt;2")</f>
        <v>0</v>
      </c>
      <c r="P34" s="138">
        <f>SUMIFS(tbl_task9[S11],tbl_task9[[SubPLOs]:[SubPLOs]],"&gt;=1",tbl_task9[[SubPLOs]:[SubPLOs]],"&lt;2")</f>
        <v>0</v>
      </c>
      <c r="Q34" s="138">
        <f>SUMIFS(tbl_task9[S12],tbl_task9[[SubPLOs]:[SubPLOs]],"&gt;=1",tbl_task9[[SubPLOs]:[SubPLOs]],"&lt;2")</f>
        <v>0</v>
      </c>
      <c r="R34" s="138">
        <f>SUMIFS(tbl_task9[S13],tbl_task9[[SubPLOs]:[SubPLOs]],"&gt;=1",tbl_task9[[SubPLOs]:[SubPLOs]],"&lt;2")</f>
        <v>0</v>
      </c>
      <c r="S34" s="138">
        <f>SUMIFS(tbl_task9[S14],tbl_task9[[SubPLOs]:[SubPLOs]],"&gt;=1",tbl_task9[[SubPLOs]:[SubPLOs]],"&lt;2")</f>
        <v>0</v>
      </c>
      <c r="T34" s="138">
        <f>SUMIFS(tbl_task9[S15],tbl_task9[[SubPLOs]:[SubPLOs]],"&gt;=1",tbl_task9[[SubPLOs]:[SubPLOs]],"&lt;2")</f>
        <v>0</v>
      </c>
      <c r="U34" s="138">
        <f>SUMIFS(tbl_task9[S16],tbl_task9[[SubPLOs]:[SubPLOs]],"&gt;=1",tbl_task9[[SubPLOs]:[SubPLOs]],"&lt;2")</f>
        <v>0</v>
      </c>
      <c r="V34" s="138">
        <f>SUMIFS(tbl_task9[S17],tbl_task9[[SubPLOs]:[SubPLOs]],"&gt;=1",tbl_task9[[SubPLOs]:[SubPLOs]],"&lt;2")</f>
        <v>0</v>
      </c>
      <c r="W34" s="138">
        <f>SUMIFS(tbl_task9[S18],tbl_task9[[SubPLOs]:[SubPLOs]],"&gt;=1",tbl_task9[[SubPLOs]:[SubPLOs]],"&lt;2")</f>
        <v>0</v>
      </c>
      <c r="X34" s="138">
        <f>SUMIFS(tbl_task9[S19],tbl_task9[[SubPLOs]:[SubPLOs]],"&gt;=1",tbl_task9[[SubPLOs]:[SubPLOs]],"&lt;2")</f>
        <v>0</v>
      </c>
      <c r="Y34" s="138">
        <f>SUMIFS(tbl_task9[S20],tbl_task9[[SubPLOs]:[SubPLOs]],"&gt;=1",tbl_task9[[SubPLOs]:[SubPLOs]],"&lt;2")</f>
        <v>0</v>
      </c>
      <c r="Z34" s="138">
        <f>SUMIFS(tbl_task9[S21],tbl_task9[[SubPLOs]:[SubPLOs]],"&gt;=1",tbl_task9[[SubPLOs]:[SubPLOs]],"&lt;2")</f>
        <v>0</v>
      </c>
      <c r="AA34" s="138">
        <f>SUMIFS(tbl_task9[S22],tbl_task9[[SubPLOs]:[SubPLOs]],"&gt;=1",tbl_task9[[SubPLOs]:[SubPLOs]],"&lt;2")</f>
        <v>0</v>
      </c>
      <c r="AB34" s="138">
        <f>SUMIFS(tbl_task9[S23],tbl_task9[[SubPLOs]:[SubPLOs]],"&gt;=1",tbl_task9[[SubPLOs]:[SubPLOs]],"&lt;2")</f>
        <v>0</v>
      </c>
      <c r="AC34" s="138">
        <f>SUMIFS(tbl_task9[S24],tbl_task9[[SubPLOs]:[SubPLOs]],"&gt;=1",tbl_task9[[SubPLOs]:[SubPLOs]],"&lt;2")</f>
        <v>0</v>
      </c>
      <c r="AD34" s="138">
        <f>SUMIFS(tbl_task9[S25],tbl_task9[[SubPLOs]:[SubPLOs]],"&gt;=1",tbl_task9[[SubPLOs]:[SubPLOs]],"&lt;2")</f>
        <v>0</v>
      </c>
      <c r="AE34" s="138">
        <f>SUMIFS(tbl_task9[S26],tbl_task9[[SubPLOs]:[SubPLOs]],"&gt;=1",tbl_task9[[SubPLOs]:[SubPLOs]],"&lt;2")</f>
        <v>0</v>
      </c>
      <c r="AF34" s="138">
        <f>SUMIFS(tbl_task9[S27],tbl_task9[[SubPLOs]:[SubPLOs]],"&gt;=1",tbl_task9[[SubPLOs]:[SubPLOs]],"&lt;2")</f>
        <v>0</v>
      </c>
      <c r="AG34" s="138">
        <f>SUMIFS(tbl_task9[S28],tbl_task9[[SubPLOs]:[SubPLOs]],"&gt;=1",tbl_task9[[SubPLOs]:[SubPLOs]],"&lt;2")</f>
        <v>0</v>
      </c>
      <c r="AH34" s="138">
        <f>SUMIFS(tbl_task9[S29],tbl_task9[[SubPLOs]:[SubPLOs]],"&gt;=1",tbl_task9[[SubPLOs]:[SubPLOs]],"&lt;2")</f>
        <v>0</v>
      </c>
      <c r="AI34" s="138">
        <f>SUMIFS(tbl_task9[S30],tbl_task9[[SubPLOs]:[SubPLOs]],"&gt;=1",tbl_task9[[SubPLOs]:[SubPLOs]],"&lt;2")</f>
        <v>0</v>
      </c>
      <c r="AJ34" s="138">
        <f>SUMIFS(tbl_task9[S31],tbl_task9[[SubPLOs]:[SubPLOs]],"&gt;=1",tbl_task9[[SubPLOs]:[SubPLOs]],"&lt;2")</f>
        <v>0</v>
      </c>
      <c r="AK34" s="138">
        <f>SUMIFS(tbl_task9[S32],tbl_task9[[SubPLOs]:[SubPLOs]],"&gt;=1",tbl_task9[[SubPLOs]:[SubPLOs]],"&lt;2")</f>
        <v>0</v>
      </c>
      <c r="AL34" s="138">
        <f>SUMIFS(tbl_task9[S33],tbl_task9[[SubPLOs]:[SubPLOs]],"&gt;=1",tbl_task9[[SubPLOs]:[SubPLOs]],"&lt;2")</f>
        <v>0</v>
      </c>
      <c r="AM34" s="138">
        <f>SUMIFS(tbl_task9[S34],tbl_task9[[SubPLOs]:[SubPLOs]],"&gt;=1",tbl_task9[[SubPLOs]:[SubPLOs]],"&lt;2")</f>
        <v>0</v>
      </c>
      <c r="AN34" s="138">
        <f>SUMIFS(tbl_task9[S35],tbl_task9[[SubPLOs]:[SubPLOs]],"&gt;=1",tbl_task9[[SubPLOs]:[SubPLOs]],"&lt;2")</f>
        <v>0</v>
      </c>
      <c r="AO34" s="138">
        <f>SUMIFS(tbl_task9[S36],tbl_task9[[SubPLOs]:[SubPLOs]],"&gt;=1",tbl_task9[[SubPLOs]:[SubPLOs]],"&lt;2")</f>
        <v>0</v>
      </c>
      <c r="AP34" s="138">
        <f>SUMIFS(tbl_task9[S37],tbl_task9[[SubPLOs]:[SubPLOs]],"&gt;=1",tbl_task9[[SubPLOs]:[SubPLOs]],"&lt;2")</f>
        <v>0</v>
      </c>
      <c r="AQ34" s="138">
        <f>SUMIFS(tbl_task9[S38],tbl_task9[[SubPLOs]:[SubPLOs]],"&gt;=1",tbl_task9[[SubPLOs]:[SubPLOs]],"&lt;2")</f>
        <v>0</v>
      </c>
      <c r="AR34" s="138">
        <f>SUMIFS(tbl_task9[S39],tbl_task9[[SubPLOs]:[SubPLOs]],"&gt;=1",tbl_task9[[SubPLOs]:[SubPLOs]],"&lt;2")</f>
        <v>0</v>
      </c>
      <c r="AS34" s="138">
        <f>SUMIFS(tbl_task9[S40],tbl_task9[[SubPLOs]:[SubPLOs]],"&gt;=1",tbl_task9[[SubPLOs]:[SubPLOs]],"&lt;2")</f>
        <v>0</v>
      </c>
      <c r="AT34" s="138">
        <f>SUMIFS(tbl_task9[S41],tbl_task9[[SubPLOs]:[SubPLOs]],"&gt;=1",tbl_task9[[SubPLOs]:[SubPLOs]],"&lt;2")</f>
        <v>0</v>
      </c>
      <c r="AU34" s="138">
        <f>SUMIFS(tbl_task9[S42],tbl_task9[[SubPLOs]:[SubPLOs]],"&gt;=1",tbl_task9[[SubPLOs]:[SubPLOs]],"&lt;2")</f>
        <v>0</v>
      </c>
      <c r="AV34" s="138">
        <f>SUMIFS(tbl_task9[S43],tbl_task9[[SubPLOs]:[SubPLOs]],"&gt;=1",tbl_task9[[SubPLOs]:[SubPLOs]],"&lt;2")</f>
        <v>0</v>
      </c>
      <c r="AW34" s="138">
        <f>SUMIFS(tbl_task9[S44],tbl_task9[[SubPLOs]:[SubPLOs]],"&gt;=1",tbl_task9[[SubPLOs]:[SubPLOs]],"&lt;2")</f>
        <v>0</v>
      </c>
      <c r="AX34" s="138">
        <f>SUMIFS(tbl_task9[S45],tbl_task9[[SubPLOs]:[SubPLOs]],"&gt;=1",tbl_task9[[SubPLOs]:[SubPLOs]],"&lt;2")</f>
        <v>0</v>
      </c>
      <c r="AY34" s="138">
        <f>SUMIFS(tbl_task9[S46],tbl_task9[[SubPLOs]:[SubPLOs]],"&gt;=1",tbl_task9[[SubPLOs]:[SubPLOs]],"&lt;2")</f>
        <v>0</v>
      </c>
      <c r="AZ34" s="138">
        <f>SUMIFS(tbl_task9[S47],tbl_task9[[SubPLOs]:[SubPLOs]],"&gt;=1",tbl_task9[[SubPLOs]:[SubPLOs]],"&lt;2")</f>
        <v>0</v>
      </c>
      <c r="BA34" s="138">
        <f>SUMIFS(tbl_task9[S48],tbl_task9[[SubPLOs]:[SubPLOs]],"&gt;=1",tbl_task9[[SubPLOs]:[SubPLOs]],"&lt;2")</f>
        <v>0</v>
      </c>
      <c r="BB34" s="138">
        <f>SUMIFS(tbl_task9[S49],tbl_task9[[SubPLOs]:[SubPLOs]],"&gt;=1",tbl_task9[[SubPLOs]:[SubPLOs]],"&lt;2")</f>
        <v>0</v>
      </c>
      <c r="BC34" s="138">
        <f>SUMIFS(tbl_task9[S50],tbl_task9[[SubPLOs]:[SubPLOs]],"&gt;=1",tbl_task9[[SubPLOs]:[SubPLOs]],"&lt;2")</f>
        <v>0</v>
      </c>
      <c r="BD34" s="138">
        <f>SUMIFS(tbl_task9[S51],tbl_task9[[SubPLOs]:[SubPLOs]],"&gt;=1",tbl_task9[[SubPLOs]:[SubPLOs]],"&lt;2")</f>
        <v>0</v>
      </c>
      <c r="BE34" s="138">
        <f>SUMIFS(tbl_task9[S52],tbl_task9[[SubPLOs]:[SubPLOs]],"&gt;=1",tbl_task9[[SubPLOs]:[SubPLOs]],"&lt;2")</f>
        <v>0</v>
      </c>
      <c r="BF34" s="138">
        <f>SUMIFS(tbl_task9[S53],tbl_task9[[SubPLOs]:[SubPLOs]],"&gt;=1",tbl_task9[[SubPLOs]:[SubPLOs]],"&lt;2")</f>
        <v>0</v>
      </c>
      <c r="BG34" s="138">
        <f>SUMIFS(tbl_task9[S54],tbl_task9[[SubPLOs]:[SubPLOs]],"&gt;=1",tbl_task9[[SubPLOs]:[SubPLOs]],"&lt;2")</f>
        <v>0</v>
      </c>
      <c r="BH34" s="138">
        <f>SUMIFS(tbl_task9[S55],tbl_task9[[SubPLOs]:[SubPLOs]],"&gt;=1",tbl_task9[[SubPLOs]:[SubPLOs]],"&lt;2")</f>
        <v>0</v>
      </c>
      <c r="BI34" s="138">
        <f>SUMIFS(tbl_task9[S56],tbl_task9[[SubPLOs]:[SubPLOs]],"&gt;=1",tbl_task9[[SubPLOs]:[SubPLOs]],"&lt;2")</f>
        <v>0</v>
      </c>
      <c r="BJ34" s="138">
        <f>SUMIFS(tbl_task9[S57],tbl_task9[[SubPLOs]:[SubPLOs]],"&gt;=1",tbl_task9[[SubPLOs]:[SubPLOs]],"&lt;2")</f>
        <v>0</v>
      </c>
      <c r="BK34" s="138">
        <f>SUMIFS(tbl_task9[S58],tbl_task9[[SubPLOs]:[SubPLOs]],"&gt;=1",tbl_task9[[SubPLOs]:[SubPLOs]],"&lt;2")</f>
        <v>0</v>
      </c>
      <c r="BL34" s="138">
        <f>SUMIFS(tbl_task9[S59],tbl_task9[[SubPLOs]:[SubPLOs]],"&gt;=1",tbl_task9[[SubPLOs]:[SubPLOs]],"&lt;2")</f>
        <v>0</v>
      </c>
      <c r="BM34" s="138">
        <f>SUMIFS(tbl_task9[S60],tbl_task9[[SubPLOs]:[SubPLOs]],"&gt;=1",tbl_task9[[SubPLOs]:[SubPLOs]],"&lt;2")</f>
        <v>0</v>
      </c>
      <c r="BN34" s="138">
        <f>SUMIFS(tbl_task9[S61],tbl_task9[[SubPLOs]:[SubPLOs]],"&gt;=1",tbl_task9[[SubPLOs]:[SubPLOs]],"&lt;2")</f>
        <v>0</v>
      </c>
      <c r="BO34" s="138">
        <f>SUMIFS(tbl_task9[S62],tbl_task9[[SubPLOs]:[SubPLOs]],"&gt;=1",tbl_task9[[SubPLOs]:[SubPLOs]],"&lt;2")</f>
        <v>0</v>
      </c>
      <c r="BP34" s="138">
        <f>SUMIFS(tbl_task9[S63],tbl_task9[[SubPLOs]:[SubPLOs]],"&gt;=1",tbl_task9[[SubPLOs]:[SubPLOs]],"&lt;2")</f>
        <v>0</v>
      </c>
      <c r="BQ34" s="138">
        <f>SUMIFS(tbl_task9[S64],tbl_task9[[SubPLOs]:[SubPLOs]],"&gt;=1",tbl_task9[[SubPLOs]:[SubPLOs]],"&lt;2")</f>
        <v>0</v>
      </c>
      <c r="BR34" s="138">
        <f>SUMIFS(tbl_task9[S65],tbl_task9[[SubPLOs]:[SubPLOs]],"&gt;=1",tbl_task9[[SubPLOs]:[SubPLOs]],"&lt;2")</f>
        <v>0</v>
      </c>
      <c r="BS34" s="138">
        <f>SUMIFS(tbl_task9[S66],tbl_task9[[SubPLOs]:[SubPLOs]],"&gt;=1",tbl_task9[[SubPLOs]:[SubPLOs]],"&lt;2")</f>
        <v>0</v>
      </c>
      <c r="BT34" s="138">
        <f>SUMIFS(tbl_task9[S67],tbl_task9[[SubPLOs]:[SubPLOs]],"&gt;=1",tbl_task9[[SubPLOs]:[SubPLOs]],"&lt;2")</f>
        <v>0</v>
      </c>
      <c r="BU34" s="138">
        <f>SUMIFS(tbl_task9[S68],tbl_task9[[SubPLOs]:[SubPLOs]],"&gt;=1",tbl_task9[[SubPLOs]:[SubPLOs]],"&lt;2")</f>
        <v>0</v>
      </c>
      <c r="BV34" s="138">
        <f>SUMIFS(tbl_task9[S69],tbl_task9[[SubPLOs]:[SubPLOs]],"&gt;=1",tbl_task9[[SubPLOs]:[SubPLOs]],"&lt;2")</f>
        <v>0</v>
      </c>
      <c r="BW34" s="138">
        <f>SUMIFS(tbl_task9[S70],tbl_task9[[SubPLOs]:[SubPLOs]],"&gt;=1",tbl_task9[[SubPLOs]:[SubPLOs]],"&lt;2")</f>
        <v>0</v>
      </c>
      <c r="BX34" s="138">
        <f>SUMIFS(tbl_task9[S71],tbl_task9[[SubPLOs]:[SubPLOs]],"&gt;=1",tbl_task9[[SubPLOs]:[SubPLOs]],"&lt;2")</f>
        <v>0</v>
      </c>
      <c r="BY34" s="138">
        <f>SUMIFS(tbl_task9[S72],tbl_task9[[SubPLOs]:[SubPLOs]],"&gt;=1",tbl_task9[[SubPLOs]:[SubPLOs]],"&lt;2")</f>
        <v>0</v>
      </c>
      <c r="BZ34" s="138">
        <f>SUMIFS(tbl_task9[S73],tbl_task9[[SubPLOs]:[SubPLOs]],"&gt;=1",tbl_task9[[SubPLOs]:[SubPLOs]],"&lt;2")</f>
        <v>0</v>
      </c>
      <c r="CA34" s="138">
        <f>SUMIFS(tbl_task9[S74],tbl_task9[[SubPLOs]:[SubPLOs]],"&gt;=1",tbl_task9[[SubPLOs]:[SubPLOs]],"&lt;2")</f>
        <v>0</v>
      </c>
      <c r="CB34" s="138">
        <f>SUMIFS(tbl_task9[S75],tbl_task9[[SubPLOs]:[SubPLOs]],"&gt;=1",tbl_task9[[SubPLOs]:[SubPLOs]],"&lt;2")</f>
        <v>0</v>
      </c>
      <c r="CC34" s="138">
        <f>SUMIFS(tbl_task9[S76],tbl_task9[[SubPLOs]:[SubPLOs]],"&gt;=1",tbl_task9[[SubPLOs]:[SubPLOs]],"&lt;2")</f>
        <v>0</v>
      </c>
      <c r="CD34" s="138">
        <f>SUMIFS(tbl_task9[S77],tbl_task9[[SubPLOs]:[SubPLOs]],"&gt;=1",tbl_task9[[SubPLOs]:[SubPLOs]],"&lt;2")</f>
        <v>0</v>
      </c>
      <c r="CE34" s="138">
        <f>SUMIFS(tbl_task9[S78],tbl_task9[[SubPLOs]:[SubPLOs]],"&gt;=1",tbl_task9[[SubPLOs]:[SubPLOs]],"&lt;2")</f>
        <v>0</v>
      </c>
      <c r="CF34" s="138">
        <f>SUMIFS(tbl_task9[S79],tbl_task9[[SubPLOs]:[SubPLOs]],"&gt;=1",tbl_task9[[SubPLOs]:[SubPLOs]],"&lt;2")</f>
        <v>0</v>
      </c>
      <c r="CG34" s="138">
        <f>SUMIFS(tbl_task9[S80],tbl_task9[[SubPLOs]:[SubPLOs]],"&gt;=1",tbl_task9[[SubPLOs]:[SubPLOs]],"&lt;2")</f>
        <v>0</v>
      </c>
      <c r="CH34" s="138">
        <f>SUMIFS(tbl_task9[S81],tbl_task9[[SubPLOs]:[SubPLOs]],"&gt;=1",tbl_task9[[SubPLOs]:[SubPLOs]],"&lt;2")</f>
        <v>0</v>
      </c>
      <c r="CI34" s="138">
        <f>SUMIFS(tbl_task9[S82],tbl_task9[[SubPLOs]:[SubPLOs]],"&gt;=1",tbl_task9[[SubPLOs]:[SubPLOs]],"&lt;2")</f>
        <v>0</v>
      </c>
      <c r="CJ34" s="138">
        <f>SUMIFS(tbl_task9[S83],tbl_task9[[SubPLOs]:[SubPLOs]],"&gt;=1",tbl_task9[[SubPLOs]:[SubPLOs]],"&lt;2")</f>
        <v>0</v>
      </c>
      <c r="CK34" s="138">
        <f>SUMIFS(tbl_task9[S84],tbl_task9[[SubPLOs]:[SubPLOs]],"&gt;=1",tbl_task9[[SubPLOs]:[SubPLOs]],"&lt;2")</f>
        <v>0</v>
      </c>
      <c r="CL34" s="138">
        <f>SUMIFS(tbl_task9[S85],tbl_task9[[SubPLOs]:[SubPLOs]],"&gt;=1",tbl_task9[[SubPLOs]:[SubPLOs]],"&lt;2")</f>
        <v>0</v>
      </c>
      <c r="CM34" s="138">
        <f>SUMIFS(tbl_task9[S86],tbl_task9[[SubPLOs]:[SubPLOs]],"&gt;=1",tbl_task9[[SubPLOs]:[SubPLOs]],"&lt;2")</f>
        <v>0</v>
      </c>
      <c r="CN34" s="138">
        <f>SUMIFS(tbl_task9[S87],tbl_task9[[SubPLOs]:[SubPLOs]],"&gt;=1",tbl_task9[[SubPLOs]:[SubPLOs]],"&lt;2")</f>
        <v>0</v>
      </c>
      <c r="CO34" s="138">
        <f>SUMIFS(tbl_task9[S88],tbl_task9[[SubPLOs]:[SubPLOs]],"&gt;=1",tbl_task9[[SubPLOs]:[SubPLOs]],"&lt;2")</f>
        <v>0</v>
      </c>
      <c r="CP34" s="138">
        <f>SUMIFS(tbl_task9[S89],tbl_task9[[SubPLOs]:[SubPLOs]],"&gt;=1",tbl_task9[[SubPLOs]:[SubPLOs]],"&lt;2")</f>
        <v>0</v>
      </c>
      <c r="CQ34" s="138">
        <f>SUMIFS(tbl_task9[S90],tbl_task9[[SubPLOs]:[SubPLOs]],"&gt;=1",tbl_task9[[SubPLOs]:[SubPLOs]],"&lt;2")</f>
        <v>0</v>
      </c>
      <c r="CR34" s="138">
        <f>SUMIFS(tbl_task9[S91],tbl_task9[[SubPLOs]:[SubPLOs]],"&gt;=1",tbl_task9[[SubPLOs]:[SubPLOs]],"&lt;2")</f>
        <v>0</v>
      </c>
      <c r="CS34" s="138">
        <f>SUMIFS(tbl_task9[S92],tbl_task9[[SubPLOs]:[SubPLOs]],"&gt;=1",tbl_task9[[SubPLOs]:[SubPLOs]],"&lt;2")</f>
        <v>0</v>
      </c>
      <c r="CT34" s="138">
        <f>SUMIFS(tbl_task9[S93],tbl_task9[[SubPLOs]:[SubPLOs]],"&gt;=1",tbl_task9[[SubPLOs]:[SubPLOs]],"&lt;2")</f>
        <v>0</v>
      </c>
      <c r="CU34" s="138">
        <f>SUMIFS(tbl_task9[S94],tbl_task9[[SubPLOs]:[SubPLOs]],"&gt;=1",tbl_task9[[SubPLOs]:[SubPLOs]],"&lt;2")</f>
        <v>0</v>
      </c>
      <c r="CV34" s="138">
        <f>SUMIFS(tbl_task9[S95],tbl_task9[[SubPLOs]:[SubPLOs]],"&gt;=1",tbl_task9[[SubPLOs]:[SubPLOs]],"&lt;2")</f>
        <v>0</v>
      </c>
      <c r="CW34" s="138">
        <f>SUMIFS(tbl_task9[S96],tbl_task9[[SubPLOs]:[SubPLOs]],"&gt;=1",tbl_task9[[SubPLOs]:[SubPLOs]],"&lt;2")</f>
        <v>0</v>
      </c>
      <c r="CX34" s="138">
        <f>SUMIFS(tbl_task9[S97],tbl_task9[[SubPLOs]:[SubPLOs]],"&gt;=1",tbl_task9[[SubPLOs]:[SubPLOs]],"&lt;2")</f>
        <v>0</v>
      </c>
      <c r="CY34" s="138">
        <f>SUMIFS(tbl_task9[S98],tbl_task9[[SubPLOs]:[SubPLOs]],"&gt;=1",tbl_task9[[SubPLOs]:[SubPLOs]],"&lt;2")</f>
        <v>0</v>
      </c>
      <c r="CZ34" s="138">
        <f>SUMIFS(tbl_task9[S99],tbl_task9[[SubPLOs]:[SubPLOs]],"&gt;=1",tbl_task9[[SubPLOs]:[SubPLOs]],"&lt;2")</f>
        <v>0</v>
      </c>
      <c r="DA34" s="138">
        <f>SUMIFS(tbl_task9[S100],tbl_task9[[SubPLOs]:[SubPLOs]],"&gt;=1",tbl_task9[[SubPLOs]:[SubPLOs]],"&lt;2")</f>
        <v>0</v>
      </c>
      <c r="DB34" s="138">
        <f>SUMIFS(tbl_task9[S101],tbl_task9[[SubPLOs]:[SubPLOs]],"&gt;=1",tbl_task9[[SubPLOs]:[SubPLOs]],"&lt;2")</f>
        <v>0</v>
      </c>
      <c r="DC34" s="138">
        <f>SUMIFS(tbl_task9[S102],tbl_task9[[SubPLOs]:[SubPLOs]],"&gt;=1",tbl_task9[[SubPLOs]:[SubPLOs]],"&lt;2")</f>
        <v>0</v>
      </c>
      <c r="DD34" s="138">
        <f>SUMIFS(tbl_task9[S103],tbl_task9[[SubPLOs]:[SubPLOs]],"&gt;=1",tbl_task9[[SubPLOs]:[SubPLOs]],"&lt;2")</f>
        <v>0</v>
      </c>
      <c r="DE34" s="138">
        <f>SUMIFS(tbl_task9[S104],tbl_task9[[SubPLOs]:[SubPLOs]],"&gt;=1",tbl_task9[[SubPLOs]:[SubPLOs]],"&lt;2")</f>
        <v>0</v>
      </c>
      <c r="DF34" s="138">
        <f>SUMIFS(tbl_task9[S105],tbl_task9[[SubPLOs]:[SubPLOs]],"&gt;=1",tbl_task9[[SubPLOs]:[SubPLOs]],"&lt;2")</f>
        <v>0</v>
      </c>
      <c r="DG34" s="138">
        <f>SUMIFS(tbl_task9[S106],tbl_task9[[SubPLOs]:[SubPLOs]],"&gt;=1",tbl_task9[[SubPLOs]:[SubPLOs]],"&lt;2")</f>
        <v>0</v>
      </c>
      <c r="DH34" s="138">
        <f>SUMIFS(tbl_task9[S106],tbl_task9[[SubPLOs]:[SubPLOs]],"&gt;=1",tbl_task9[[SubPLOs]:[SubPLOs]],"&lt;2")</f>
        <v>0</v>
      </c>
      <c r="DI34" s="138">
        <f>SUMIFS(tbl_task9[S108],tbl_task9[[SubPLOs]:[SubPLOs]],"&gt;=1",tbl_task9[[SubPLOs]:[SubPLOs]],"&lt;2")</f>
        <v>0</v>
      </c>
      <c r="DJ34" s="138">
        <f>SUMIFS(tbl_task9[S109],tbl_task9[[SubPLOs]:[SubPLOs]],"&gt;=1",tbl_task9[[SubPLOs]:[SubPLOs]],"&lt;2")</f>
        <v>0</v>
      </c>
      <c r="DK34" s="138">
        <f>SUMIFS(tbl_task9[S110],tbl_task9[[SubPLOs]:[SubPLOs]],"&gt;=1",tbl_task9[[SubPLOs]:[SubPLOs]],"&lt;2")</f>
        <v>0</v>
      </c>
      <c r="DL34" s="138">
        <f>SUMIFS(tbl_task9[S111],tbl_task9[[SubPLOs]:[SubPLOs]],"&gt;=1",tbl_task9[[SubPLOs]:[SubPLOs]],"&lt;2")</f>
        <v>0</v>
      </c>
      <c r="DM34" s="138">
        <f>SUMIFS(tbl_task9[S112],tbl_task9[[SubPLOs]:[SubPLOs]],"&gt;=1",tbl_task9[[SubPLOs]:[SubPLOs]],"&lt;2")</f>
        <v>0</v>
      </c>
      <c r="DN34" s="138">
        <f>SUMIFS(tbl_task9[S113],tbl_task9[[SubPLOs]:[SubPLOs]],"&gt;=1",tbl_task9[[SubPLOs]:[SubPLOs]],"&lt;2")</f>
        <v>0</v>
      </c>
      <c r="DO34" s="138">
        <f>SUMIFS(tbl_task9[S114],tbl_task9[[SubPLOs]:[SubPLOs]],"&gt;=1",tbl_task9[[SubPLOs]:[SubPLOs]],"&lt;2")</f>
        <v>0</v>
      </c>
      <c r="DP34" s="138">
        <f>SUMIFS(tbl_task9[S115],tbl_task9[[SubPLOs]:[SubPLOs]],"&gt;=1",tbl_task9[[SubPLOs]:[SubPLOs]],"&lt;2")</f>
        <v>0</v>
      </c>
      <c r="DQ34" s="138">
        <f>SUMIFS(tbl_task9[S116],tbl_task9[[SubPLOs]:[SubPLOs]],"&gt;=1",tbl_task9[[SubPLOs]:[SubPLOs]],"&lt;2")</f>
        <v>0</v>
      </c>
      <c r="DR34" s="138">
        <f>SUMIFS(tbl_task9[S117],tbl_task9[[SubPLOs]:[SubPLOs]],"&gt;=1",tbl_task9[[SubPLOs]:[SubPLOs]],"&lt;2")</f>
        <v>0</v>
      </c>
      <c r="DS34" s="138">
        <f>SUMIFS(tbl_task9[S118],tbl_task9[[SubPLOs]:[SubPLOs]],"&gt;=1",tbl_task9[[SubPLOs]:[SubPLOs]],"&lt;2")</f>
        <v>0</v>
      </c>
      <c r="DT34" s="138">
        <f>SUMIFS(tbl_task9[S119],tbl_task9[[SubPLOs]:[SubPLOs]],"&gt;=1",tbl_task9[[SubPLOs]:[SubPLOs]],"&lt;2")</f>
        <v>0</v>
      </c>
      <c r="DU34" s="138">
        <f>SUMIFS(tbl_task9[S120],tbl_task9[[SubPLOs]:[SubPLOs]],"&gt;=1",tbl_task9[[SubPLOs]:[SubPLOs]],"&lt;2")</f>
        <v>0</v>
      </c>
      <c r="DV34" s="138">
        <f>SUMIFS(tbl_task9[S121],tbl_task9[[SubPLOs]:[SubPLOs]],"&gt;=1",tbl_task9[[SubPLOs]:[SubPLOs]],"&lt;2")</f>
        <v>0</v>
      </c>
      <c r="DW34" s="138">
        <f>SUMIFS(tbl_task9[S122],tbl_task9[[SubPLOs]:[SubPLOs]],"&gt;=1",tbl_task9[[SubPLOs]:[SubPLOs]],"&lt;2")</f>
        <v>0</v>
      </c>
      <c r="DX34" s="138">
        <f>SUMIFS(tbl_task9[S123],tbl_task9[[SubPLOs]:[SubPLOs]],"&gt;=1",tbl_task9[[SubPLOs]:[SubPLOs]],"&lt;2")</f>
        <v>0</v>
      </c>
      <c r="DY34" s="138">
        <f>SUMIFS(tbl_task9[S124],tbl_task9[[SubPLOs]:[SubPLOs]],"&gt;=1",tbl_task9[[SubPLOs]:[SubPLOs]],"&lt;2")</f>
        <v>0</v>
      </c>
      <c r="DZ34" s="138">
        <f>SUMIFS(tbl_task9[S125],tbl_task9[[SubPLOs]:[SubPLOs]],"&gt;=1",tbl_task9[[SubPLOs]:[SubPLOs]],"&lt;2")</f>
        <v>0</v>
      </c>
      <c r="EA34" s="138">
        <f>SUMIFS(tbl_task9[S126],tbl_task9[[SubPLOs]:[SubPLOs]],"&gt;=1",tbl_task9[[SubPLOs]:[SubPLOs]],"&lt;2")</f>
        <v>0</v>
      </c>
      <c r="EB34" s="138">
        <f>SUMIFS(tbl_task9[S127],tbl_task9[[SubPLOs]:[SubPLOs]],"&gt;=1",tbl_task9[[SubPLOs]:[SubPLOs]],"&lt;2")</f>
        <v>0</v>
      </c>
      <c r="EC34" s="138">
        <f>SUMIFS(tbl_task9[S128],tbl_task9[[SubPLOs]:[SubPLOs]],"&gt;=1",tbl_task9[[SubPLOs]:[SubPLOs]],"&lt;2")</f>
        <v>0</v>
      </c>
      <c r="ED34" s="138">
        <f>SUMIFS(tbl_task9[S129],tbl_task9[[SubPLOs]:[SubPLOs]],"&gt;=1",tbl_task9[[SubPLOs]:[SubPLOs]],"&lt;2")</f>
        <v>0</v>
      </c>
      <c r="EE34" s="138">
        <f>SUMIFS(tbl_task9[S130],tbl_task9[[SubPLOs]:[SubPLOs]],"&gt;=1",tbl_task9[[SubPLOs]:[SubPLOs]],"&lt;2")</f>
        <v>0</v>
      </c>
      <c r="EF34" s="138">
        <f>SUMIFS(tbl_task9[S131],tbl_task9[[SubPLOs]:[SubPLOs]],"&gt;=1",tbl_task9[[SubPLOs]:[SubPLOs]],"&lt;2")</f>
        <v>0</v>
      </c>
      <c r="EG34" s="138">
        <f>SUMIFS(tbl_task9[S132],tbl_task9[[SubPLOs]:[SubPLOs]],"&gt;=1",tbl_task9[[SubPLOs]:[SubPLOs]],"&lt;2")</f>
        <v>0</v>
      </c>
      <c r="EH34" s="138">
        <f>SUMIFS(tbl_task9[S133],tbl_task9[[SubPLOs]:[SubPLOs]],"&gt;=1",tbl_task9[[SubPLOs]:[SubPLOs]],"&lt;2")</f>
        <v>0</v>
      </c>
      <c r="EI34" s="138">
        <f>SUMIFS(tbl_task9[S134],tbl_task9[[SubPLOs]:[SubPLOs]],"&gt;=1",tbl_task9[[SubPLOs]:[SubPLOs]],"&lt;2")</f>
        <v>0</v>
      </c>
      <c r="EJ34" s="138">
        <f>SUMIFS(tbl_task9[S135],tbl_task9[[SubPLOs]:[SubPLOs]],"&gt;=1",tbl_task9[[SubPLOs]:[SubPLOs]],"&lt;2")</f>
        <v>0</v>
      </c>
      <c r="EK34" s="138">
        <f>SUMIFS(tbl_task9[S136],tbl_task9[[SubPLOs]:[SubPLOs]],"&gt;=1",tbl_task9[[SubPLOs]:[SubPLOs]],"&lt;2")</f>
        <v>0</v>
      </c>
      <c r="EL34" s="138">
        <f>SUMIFS(tbl_task9[S137],tbl_task9[[SubPLOs]:[SubPLOs]],"&gt;=1",tbl_task9[[SubPLOs]:[SubPLOs]],"&lt;2")</f>
        <v>0</v>
      </c>
      <c r="EM34" s="138">
        <f>SUMIFS(tbl_task9[S138],tbl_task9[[SubPLOs]:[SubPLOs]],"&gt;=1",tbl_task9[[SubPLOs]:[SubPLOs]],"&lt;2")</f>
        <v>0</v>
      </c>
      <c r="EN34" s="138">
        <f>SUMIFS(tbl_task9[S139],tbl_task9[[SubPLOs]:[SubPLOs]],"&gt;=1",tbl_task9[[SubPLOs]:[SubPLOs]],"&lt;2")</f>
        <v>0</v>
      </c>
      <c r="EO34" s="138">
        <f>SUMIFS(tbl_task9[S140],tbl_task9[[SubPLOs]:[SubPLOs]],"&gt;=1",tbl_task9[[SubPLOs]:[SubPLOs]],"&lt;2")</f>
        <v>0</v>
      </c>
      <c r="EP34" s="138">
        <f>SUMIFS(tbl_task9[S141],tbl_task9[[SubPLOs]:[SubPLOs]],"&gt;=1",tbl_task9[[SubPLOs]:[SubPLOs]],"&lt;2")</f>
        <v>0</v>
      </c>
      <c r="EQ34" s="138">
        <f>SUMIFS(tbl_task9[S142],tbl_task9[[SubPLOs]:[SubPLOs]],"&gt;=1",tbl_task9[[SubPLOs]:[SubPLOs]],"&lt;2")</f>
        <v>0</v>
      </c>
      <c r="ER34" s="138">
        <f>SUMIFS(tbl_task9[S143],tbl_task9[[SubPLOs]:[SubPLOs]],"&gt;=1",tbl_task9[[SubPLOs]:[SubPLOs]],"&lt;2")</f>
        <v>0</v>
      </c>
      <c r="ES34" s="138">
        <f>SUMIFS(tbl_task9[S144],tbl_task9[[SubPLOs]:[SubPLOs]],"&gt;=1",tbl_task9[[SubPLOs]:[SubPLOs]],"&lt;2")</f>
        <v>0</v>
      </c>
      <c r="ET34" s="138">
        <f>SUMIFS(tbl_task9[S145],tbl_task9[[SubPLOs]:[SubPLOs]],"&gt;=1",tbl_task9[[SubPLOs]:[SubPLOs]],"&lt;2")</f>
        <v>0</v>
      </c>
      <c r="EU34" s="138">
        <f>SUMIFS(tbl_task9[S146],tbl_task9[[SubPLOs]:[SubPLOs]],"&gt;=1",tbl_task9[[SubPLOs]:[SubPLOs]],"&lt;2")</f>
        <v>0</v>
      </c>
      <c r="EV34" s="138">
        <f>SUMIFS(tbl_task9[S147],tbl_task9[[SubPLOs]:[SubPLOs]],"&gt;=1",tbl_task9[[SubPLOs]:[SubPLOs]],"&lt;2")</f>
        <v>0</v>
      </c>
      <c r="EW34" s="138">
        <f>SUMIFS(tbl_task9[S148],tbl_task9[[SubPLOs]:[SubPLOs]],"&gt;=1",tbl_task9[[SubPLOs]:[SubPLOs]],"&lt;2")</f>
        <v>0</v>
      </c>
      <c r="EX34" s="138">
        <f>SUMIFS(tbl_task9[S149],tbl_task9[[SubPLOs]:[SubPLOs]],"&gt;=1",tbl_task9[[SubPLOs]:[SubPLOs]],"&lt;2")</f>
        <v>0</v>
      </c>
      <c r="EY34" s="138">
        <f>SUMIFS(tbl_task9[S150],tbl_task9[[SubPLOs]:[SubPLOs]],"&gt;=1",tbl_task9[[SubPLOs]:[SubPLOs]],"&lt;2")</f>
        <v>0</v>
      </c>
      <c r="EZ34" s="138">
        <f>SUMIFS(tbl_task9[S151],tbl_task9[[SubPLOs]:[SubPLOs]],"&gt;=1",tbl_task9[[SubPLOs]:[SubPLOs]],"&lt;2")</f>
        <v>0</v>
      </c>
      <c r="FA34" s="138">
        <f>SUMIFS(tbl_task9[S152],tbl_task9[[SubPLOs]:[SubPLOs]],"&gt;=1",tbl_task9[[SubPLOs]:[SubPLOs]],"&lt;2")</f>
        <v>0</v>
      </c>
      <c r="FB34" s="138">
        <f>SUMIFS(tbl_task9[S153],tbl_task9[[SubPLOs]:[SubPLOs]],"&gt;=1",tbl_task9[[SubPLOs]:[SubPLOs]],"&lt;2")</f>
        <v>0</v>
      </c>
      <c r="FC34" s="138">
        <f>SUMIFS(tbl_task9[S154],tbl_task9[[SubPLOs]:[SubPLOs]],"&gt;=1",tbl_task9[[SubPLOs]:[SubPLOs]],"&lt;2")</f>
        <v>0</v>
      </c>
      <c r="FD34" s="138">
        <f>SUMIFS(tbl_task9[S155],tbl_task9[[SubPLOs]:[SubPLOs]],"&gt;=1",tbl_task9[[SubPLOs]:[SubPLOs]],"&lt;2")</f>
        <v>0</v>
      </c>
      <c r="FE34" s="138">
        <f>SUMIFS(tbl_task9[S156],tbl_task9[[SubPLOs]:[SubPLOs]],"&gt;=1",tbl_task9[[SubPLOs]:[SubPLOs]],"&lt;2")</f>
        <v>0</v>
      </c>
      <c r="FF34" s="138">
        <f>SUMIFS(tbl_task9[S157],tbl_task9[[SubPLOs]:[SubPLOs]],"&gt;=1",tbl_task9[[SubPLOs]:[SubPLOs]],"&lt;2")</f>
        <v>0</v>
      </c>
      <c r="FG34" s="138">
        <f>SUMIFS(tbl_task9[S158],tbl_task9[[SubPLOs]:[SubPLOs]],"&gt;=1",tbl_task9[[SubPLOs]:[SubPLOs]],"&lt;2")</f>
        <v>0</v>
      </c>
      <c r="FH34" s="138">
        <f>SUMIFS(tbl_task9[S159],tbl_task9[[SubPLOs]:[SubPLOs]],"&gt;=1",tbl_task9[[SubPLOs]:[SubPLOs]],"&lt;2")</f>
        <v>0</v>
      </c>
      <c r="FI34" s="138">
        <f>SUMIFS(tbl_task9[S160],tbl_task9[[SubPLOs]:[SubPLOs]],"&gt;=1",tbl_task9[[SubPLOs]:[SubPLOs]],"&lt;2")</f>
        <v>0</v>
      </c>
      <c r="FJ34" s="138">
        <f>SUMIFS(tbl_task9[S161],tbl_task9[[SubPLOs]:[SubPLOs]],"&gt;=1",tbl_task9[[SubPLOs]:[SubPLOs]],"&lt;2")</f>
        <v>0</v>
      </c>
      <c r="FK34" s="138">
        <f>SUMIFS(tbl_task9[S162],tbl_task9[[SubPLOs]:[SubPLOs]],"&gt;=1",tbl_task9[[SubPLOs]:[SubPLOs]],"&lt;2")</f>
        <v>0</v>
      </c>
      <c r="FL34" s="138">
        <f>SUMIFS(tbl_task9[S163],tbl_task9[[SubPLOs]:[SubPLOs]],"&gt;=1",tbl_task9[[SubPLOs]:[SubPLOs]],"&lt;2")</f>
        <v>0</v>
      </c>
      <c r="FM34" s="138">
        <f>SUMIFS(tbl_task9[S164],tbl_task9[[SubPLOs]:[SubPLOs]],"&gt;=1",tbl_task9[[SubPLOs]:[SubPLOs]],"&lt;2")</f>
        <v>0</v>
      </c>
      <c r="FN34" s="138">
        <f>SUMIFS(tbl_task9[S165],tbl_task9[[SubPLOs]:[SubPLOs]],"&gt;=1",tbl_task9[[SubPLOs]:[SubPLOs]],"&lt;2")</f>
        <v>0</v>
      </c>
    </row>
    <row r="35" spans="1:170" ht="147" x14ac:dyDescent="0.25">
      <c r="A35" s="135">
        <v>2</v>
      </c>
      <c r="B35" s="5" t="s">
        <v>435</v>
      </c>
      <c r="C35" s="136">
        <f>COUNTIFS(tbl_task9[SubPLOs],"&gt;=2",tbl_task9[SubPLOs],"&lt;3")</f>
        <v>0</v>
      </c>
      <c r="D35" s="136">
        <f>SUMIFS(tbl_task9[คะแนนเต็ม],tbl_task9[SubPLOs],"&gt;=2",tbl_task9[SubPLOs],"&lt;3")</f>
        <v>0</v>
      </c>
      <c r="E35" s="137">
        <f>SUMIFS(tbl_task9[%],tbl_task9[SubPLOs],"&gt;=2",tbl_task9[SubPLOs],"&lt;3")</f>
        <v>0</v>
      </c>
      <c r="F35" s="138">
        <f>SUMIFS(tbl_task9[S1],tbl_task9[[SubPLOs]:[SubPLOs]],"&gt;=2",tbl_task9[[SubPLOs]:[SubPLOs]],"&lt;3")</f>
        <v>0</v>
      </c>
      <c r="G35" s="138">
        <f>SUMIFS(tbl_task9[S2],tbl_task9[[SubPLOs]:[SubPLOs]],"&gt;=2",tbl_task9[[SubPLOs]:[SubPLOs]],"&lt;3")</f>
        <v>0</v>
      </c>
      <c r="H35" s="138">
        <f>SUMIFS(tbl_task9[S3],tbl_task9[[SubPLOs]:[SubPLOs]],"&gt;=2",tbl_task9[[SubPLOs]:[SubPLOs]],"&lt;3")</f>
        <v>0</v>
      </c>
      <c r="I35" s="138">
        <f>SUMIFS(tbl_task9[S4],tbl_task9[[SubPLOs]:[SubPLOs]],"&gt;=2",tbl_task9[[SubPLOs]:[SubPLOs]],"&lt;3")</f>
        <v>0</v>
      </c>
      <c r="J35" s="138">
        <f>SUMIFS(tbl_task9[S5],tbl_task9[[SubPLOs]:[SubPLOs]],"&gt;=2",tbl_task9[[SubPLOs]:[SubPLOs]],"&lt;3")</f>
        <v>0</v>
      </c>
      <c r="K35" s="138">
        <f>SUMIFS(tbl_task9[S6],tbl_task9[[SubPLOs]:[SubPLOs]],"&gt;=2",tbl_task9[[SubPLOs]:[SubPLOs]],"&lt;3")</f>
        <v>0</v>
      </c>
      <c r="L35" s="138">
        <f>SUMIFS(tbl_task9[S7],tbl_task9[[SubPLOs]:[SubPLOs]],"&gt;=2",tbl_task9[[SubPLOs]:[SubPLOs]],"&lt;3")</f>
        <v>0</v>
      </c>
      <c r="M35" s="138">
        <f>SUMIFS(tbl_task9[S8],tbl_task9[[SubPLOs]:[SubPLOs]],"&gt;=2",tbl_task9[[SubPLOs]:[SubPLOs]],"&lt;3")</f>
        <v>0</v>
      </c>
      <c r="N35" s="138">
        <f>SUMIFS(tbl_task9[S9],tbl_task9[[SubPLOs]:[SubPLOs]],"&gt;=2",tbl_task9[[SubPLOs]:[SubPLOs]],"&lt;3")</f>
        <v>0</v>
      </c>
      <c r="O35" s="138">
        <f>SUMIFS(tbl_task9[S10],tbl_task9[[SubPLOs]:[SubPLOs]],"&gt;=2",tbl_task9[[SubPLOs]:[SubPLOs]],"&lt;3")</f>
        <v>0</v>
      </c>
      <c r="P35" s="138">
        <f>SUMIFS(tbl_task9[S11],tbl_task9[[SubPLOs]:[SubPLOs]],"&gt;=2",tbl_task9[[SubPLOs]:[SubPLOs]],"&lt;3")</f>
        <v>0</v>
      </c>
      <c r="Q35" s="138">
        <f>SUMIFS(tbl_task9[S12],tbl_task9[[SubPLOs]:[SubPLOs]],"&gt;=2",tbl_task9[[SubPLOs]:[SubPLOs]],"&lt;3")</f>
        <v>0</v>
      </c>
      <c r="R35" s="138">
        <f>SUMIFS(tbl_task9[S13],tbl_task9[[SubPLOs]:[SubPLOs]],"&gt;=2",tbl_task9[[SubPLOs]:[SubPLOs]],"&lt;3")</f>
        <v>0</v>
      </c>
      <c r="S35" s="138">
        <f>SUMIFS(tbl_task9[S14],tbl_task9[[SubPLOs]:[SubPLOs]],"&gt;=2",tbl_task9[[SubPLOs]:[SubPLOs]],"&lt;3")</f>
        <v>0</v>
      </c>
      <c r="T35" s="138">
        <f>SUMIFS(tbl_task9[S15],tbl_task9[[SubPLOs]:[SubPLOs]],"&gt;=2",tbl_task9[[SubPLOs]:[SubPLOs]],"&lt;3")</f>
        <v>0</v>
      </c>
      <c r="U35" s="138">
        <f>SUMIFS(tbl_task9[S16],tbl_task9[[SubPLOs]:[SubPLOs]],"&gt;=2",tbl_task9[[SubPLOs]:[SubPLOs]],"&lt;3")</f>
        <v>0</v>
      </c>
      <c r="V35" s="138">
        <f>SUMIFS(tbl_task9[S17],tbl_task9[[SubPLOs]:[SubPLOs]],"&gt;=2",tbl_task9[[SubPLOs]:[SubPLOs]],"&lt;3")</f>
        <v>0</v>
      </c>
      <c r="W35" s="138">
        <f>SUMIFS(tbl_task9[S18],tbl_task9[[SubPLOs]:[SubPLOs]],"&gt;=2",tbl_task9[[SubPLOs]:[SubPLOs]],"&lt;3")</f>
        <v>0</v>
      </c>
      <c r="X35" s="138">
        <f>SUMIFS(tbl_task9[S19],tbl_task9[[SubPLOs]:[SubPLOs]],"&gt;=2",tbl_task9[[SubPLOs]:[SubPLOs]],"&lt;3")</f>
        <v>0</v>
      </c>
      <c r="Y35" s="138">
        <f>SUMIFS(tbl_task9[S20],tbl_task9[[SubPLOs]:[SubPLOs]],"&gt;=2",tbl_task9[[SubPLOs]:[SubPLOs]],"&lt;3")</f>
        <v>0</v>
      </c>
      <c r="Z35" s="138">
        <f>SUMIFS(tbl_task9[S21],tbl_task9[[SubPLOs]:[SubPLOs]],"&gt;=2",tbl_task9[[SubPLOs]:[SubPLOs]],"&lt;3")</f>
        <v>0</v>
      </c>
      <c r="AA35" s="138">
        <f>SUMIFS(tbl_task9[S22],tbl_task9[[SubPLOs]:[SubPLOs]],"&gt;=2",tbl_task9[[SubPLOs]:[SubPLOs]],"&lt;3")</f>
        <v>0</v>
      </c>
      <c r="AB35" s="138">
        <f>SUMIFS(tbl_task9[S23],tbl_task9[[SubPLOs]:[SubPLOs]],"&gt;=2",tbl_task9[[SubPLOs]:[SubPLOs]],"&lt;3")</f>
        <v>0</v>
      </c>
      <c r="AC35" s="138">
        <f>SUMIFS(tbl_task9[S24],tbl_task9[[SubPLOs]:[SubPLOs]],"&gt;=2",tbl_task9[[SubPLOs]:[SubPLOs]],"&lt;3")</f>
        <v>0</v>
      </c>
      <c r="AD35" s="138">
        <f>SUMIFS(tbl_task9[S25],tbl_task9[[SubPLOs]:[SubPLOs]],"&gt;=2",tbl_task9[[SubPLOs]:[SubPLOs]],"&lt;3")</f>
        <v>0</v>
      </c>
      <c r="AE35" s="138">
        <f>SUMIFS(tbl_task9[S26],tbl_task9[[SubPLOs]:[SubPLOs]],"&gt;=2",tbl_task9[[SubPLOs]:[SubPLOs]],"&lt;3")</f>
        <v>0</v>
      </c>
      <c r="AF35" s="138">
        <f>SUMIFS(tbl_task9[S27],tbl_task9[[SubPLOs]:[SubPLOs]],"&gt;=2",tbl_task9[[SubPLOs]:[SubPLOs]],"&lt;3")</f>
        <v>0</v>
      </c>
      <c r="AG35" s="138">
        <f>SUMIFS(tbl_task9[S28],tbl_task9[[SubPLOs]:[SubPLOs]],"&gt;=2",tbl_task9[[SubPLOs]:[SubPLOs]],"&lt;3")</f>
        <v>0</v>
      </c>
      <c r="AH35" s="138">
        <f>SUMIFS(tbl_task9[S29],tbl_task9[[SubPLOs]:[SubPLOs]],"&gt;=2",tbl_task9[[SubPLOs]:[SubPLOs]],"&lt;3")</f>
        <v>0</v>
      </c>
      <c r="AI35" s="138">
        <f>SUMIFS(tbl_task9[S30],tbl_task9[[SubPLOs]:[SubPLOs]],"&gt;=2",tbl_task9[[SubPLOs]:[SubPLOs]],"&lt;3")</f>
        <v>0</v>
      </c>
      <c r="AJ35" s="138">
        <f>SUMIFS(tbl_task9[S31],tbl_task9[[SubPLOs]:[SubPLOs]],"&gt;=2",tbl_task9[[SubPLOs]:[SubPLOs]],"&lt;3")</f>
        <v>0</v>
      </c>
      <c r="AK35" s="138">
        <f>SUMIFS(tbl_task9[S32],tbl_task9[[SubPLOs]:[SubPLOs]],"&gt;=2",tbl_task9[[SubPLOs]:[SubPLOs]],"&lt;3")</f>
        <v>0</v>
      </c>
      <c r="AL35" s="138">
        <f>SUMIFS(tbl_task9[S33],tbl_task9[[SubPLOs]:[SubPLOs]],"&gt;=2",tbl_task9[[SubPLOs]:[SubPLOs]],"&lt;3")</f>
        <v>0</v>
      </c>
      <c r="AM35" s="138">
        <f>SUMIFS(tbl_task9[S34],tbl_task9[[SubPLOs]:[SubPLOs]],"&gt;=2",tbl_task9[[SubPLOs]:[SubPLOs]],"&lt;3")</f>
        <v>0</v>
      </c>
      <c r="AN35" s="138">
        <f>SUMIFS(tbl_task9[S35],tbl_task9[[SubPLOs]:[SubPLOs]],"&gt;=2",tbl_task9[[SubPLOs]:[SubPLOs]],"&lt;3")</f>
        <v>0</v>
      </c>
      <c r="AO35" s="138">
        <f>SUMIFS(tbl_task9[S36],tbl_task9[[SubPLOs]:[SubPLOs]],"&gt;=2",tbl_task9[[SubPLOs]:[SubPLOs]],"&lt;3")</f>
        <v>0</v>
      </c>
      <c r="AP35" s="138">
        <f>SUMIFS(tbl_task9[S37],tbl_task9[[SubPLOs]:[SubPLOs]],"&gt;=2",tbl_task9[[SubPLOs]:[SubPLOs]],"&lt;3")</f>
        <v>0</v>
      </c>
      <c r="AQ35" s="138">
        <f>SUMIFS(tbl_task9[S38],tbl_task9[[SubPLOs]:[SubPLOs]],"&gt;=2",tbl_task9[[SubPLOs]:[SubPLOs]],"&lt;3")</f>
        <v>0</v>
      </c>
      <c r="AR35" s="138">
        <f>SUMIFS(tbl_task9[S39],tbl_task9[[SubPLOs]:[SubPLOs]],"&gt;=2",tbl_task9[[SubPLOs]:[SubPLOs]],"&lt;3")</f>
        <v>0</v>
      </c>
      <c r="AS35" s="138">
        <f>SUMIFS(tbl_task9[S40],tbl_task9[[SubPLOs]:[SubPLOs]],"&gt;=2",tbl_task9[[SubPLOs]:[SubPLOs]],"&lt;3")</f>
        <v>0</v>
      </c>
      <c r="AT35" s="138">
        <f>SUMIFS(tbl_task9[S41],tbl_task9[[SubPLOs]:[SubPLOs]],"&gt;=2",tbl_task9[[SubPLOs]:[SubPLOs]],"&lt;3")</f>
        <v>0</v>
      </c>
      <c r="AU35" s="138">
        <f>SUMIFS(tbl_task9[S42],tbl_task9[[SubPLOs]:[SubPLOs]],"&gt;=2",tbl_task9[[SubPLOs]:[SubPLOs]],"&lt;3")</f>
        <v>0</v>
      </c>
      <c r="AV35" s="138">
        <f>SUMIFS(tbl_task9[S43],tbl_task9[[SubPLOs]:[SubPLOs]],"&gt;=2",tbl_task9[[SubPLOs]:[SubPLOs]],"&lt;3")</f>
        <v>0</v>
      </c>
      <c r="AW35" s="138">
        <f>SUMIFS(tbl_task9[S44],tbl_task9[[SubPLOs]:[SubPLOs]],"&gt;=2",tbl_task9[[SubPLOs]:[SubPLOs]],"&lt;3")</f>
        <v>0</v>
      </c>
      <c r="AX35" s="138">
        <f>SUMIFS(tbl_task9[S45],tbl_task9[[SubPLOs]:[SubPLOs]],"&gt;=2",tbl_task9[[SubPLOs]:[SubPLOs]],"&lt;3")</f>
        <v>0</v>
      </c>
      <c r="AY35" s="138">
        <f>SUMIFS(tbl_task9[S46],tbl_task9[[SubPLOs]:[SubPLOs]],"&gt;=2",tbl_task9[[SubPLOs]:[SubPLOs]],"&lt;3")</f>
        <v>0</v>
      </c>
      <c r="AZ35" s="138">
        <f>SUMIFS(tbl_task9[S47],tbl_task9[[SubPLOs]:[SubPLOs]],"&gt;=2",tbl_task9[[SubPLOs]:[SubPLOs]],"&lt;3")</f>
        <v>0</v>
      </c>
      <c r="BA35" s="138">
        <f>SUMIFS(tbl_task9[S48],tbl_task9[[SubPLOs]:[SubPLOs]],"&gt;=2",tbl_task9[[SubPLOs]:[SubPLOs]],"&lt;3")</f>
        <v>0</v>
      </c>
      <c r="BB35" s="138">
        <f>SUMIFS(tbl_task9[S49],tbl_task9[[SubPLOs]:[SubPLOs]],"&gt;=2",tbl_task9[[SubPLOs]:[SubPLOs]],"&lt;3")</f>
        <v>0</v>
      </c>
      <c r="BC35" s="138">
        <f>SUMIFS(tbl_task9[S50],tbl_task9[[SubPLOs]:[SubPLOs]],"&gt;=2",tbl_task9[[SubPLOs]:[SubPLOs]],"&lt;3")</f>
        <v>0</v>
      </c>
      <c r="BD35" s="138">
        <f>SUMIFS(tbl_task9[S51],tbl_task9[[SubPLOs]:[SubPLOs]],"&gt;=2",tbl_task9[[SubPLOs]:[SubPLOs]],"&lt;3")</f>
        <v>0</v>
      </c>
      <c r="BE35" s="138">
        <f>SUMIFS(tbl_task9[S52],tbl_task9[[SubPLOs]:[SubPLOs]],"&gt;=2",tbl_task9[[SubPLOs]:[SubPLOs]],"&lt;3")</f>
        <v>0</v>
      </c>
      <c r="BF35" s="138">
        <f>SUMIFS(tbl_task9[S53],tbl_task9[[SubPLOs]:[SubPLOs]],"&gt;=2",tbl_task9[[SubPLOs]:[SubPLOs]],"&lt;3")</f>
        <v>0</v>
      </c>
      <c r="BG35" s="138">
        <f>SUMIFS(tbl_task9[S54],tbl_task9[[SubPLOs]:[SubPLOs]],"&gt;=2",tbl_task9[[SubPLOs]:[SubPLOs]],"&lt;3")</f>
        <v>0</v>
      </c>
      <c r="BH35" s="138">
        <f>SUMIFS(tbl_task9[S55],tbl_task9[[SubPLOs]:[SubPLOs]],"&gt;=2",tbl_task9[[SubPLOs]:[SubPLOs]],"&lt;3")</f>
        <v>0</v>
      </c>
      <c r="BI35" s="138">
        <f>SUMIFS(tbl_task9[S56],tbl_task9[[SubPLOs]:[SubPLOs]],"&gt;=2",tbl_task9[[SubPLOs]:[SubPLOs]],"&lt;3")</f>
        <v>0</v>
      </c>
      <c r="BJ35" s="138">
        <f>SUMIFS(tbl_task9[S57],tbl_task9[[SubPLOs]:[SubPLOs]],"&gt;=2",tbl_task9[[SubPLOs]:[SubPLOs]],"&lt;3")</f>
        <v>0</v>
      </c>
      <c r="BK35" s="138">
        <f>SUMIFS(tbl_task9[S58],tbl_task9[[SubPLOs]:[SubPLOs]],"&gt;=2",tbl_task9[[SubPLOs]:[SubPLOs]],"&lt;3")</f>
        <v>0</v>
      </c>
      <c r="BL35" s="138">
        <f>SUMIFS(tbl_task9[S59],tbl_task9[[SubPLOs]:[SubPLOs]],"&gt;=2",tbl_task9[[SubPLOs]:[SubPLOs]],"&lt;3")</f>
        <v>0</v>
      </c>
      <c r="BM35" s="138">
        <f>SUMIFS(tbl_task9[S60],tbl_task9[[SubPLOs]:[SubPLOs]],"&gt;=2",tbl_task9[[SubPLOs]:[SubPLOs]],"&lt;3")</f>
        <v>0</v>
      </c>
      <c r="BN35" s="138">
        <f>SUMIFS(tbl_task9[S61],tbl_task9[[SubPLOs]:[SubPLOs]],"&gt;=2",tbl_task9[[SubPLOs]:[SubPLOs]],"&lt;3")</f>
        <v>0</v>
      </c>
      <c r="BO35" s="138">
        <f>SUMIFS(tbl_task9[S62],tbl_task9[[SubPLOs]:[SubPLOs]],"&gt;=2",tbl_task9[[SubPLOs]:[SubPLOs]],"&lt;3")</f>
        <v>0</v>
      </c>
      <c r="BP35" s="138">
        <f>SUMIFS(tbl_task9[S63],tbl_task9[[SubPLOs]:[SubPLOs]],"&gt;=2",tbl_task9[[SubPLOs]:[SubPLOs]],"&lt;3")</f>
        <v>0</v>
      </c>
      <c r="BQ35" s="138">
        <f>SUMIFS(tbl_task9[S64],tbl_task9[[SubPLOs]:[SubPLOs]],"&gt;=2",tbl_task9[[SubPLOs]:[SubPLOs]],"&lt;3")</f>
        <v>0</v>
      </c>
      <c r="BR35" s="138">
        <f>SUMIFS(tbl_task9[S65],tbl_task9[[SubPLOs]:[SubPLOs]],"&gt;=2",tbl_task9[[SubPLOs]:[SubPLOs]],"&lt;3")</f>
        <v>0</v>
      </c>
      <c r="BS35" s="138">
        <f>SUMIFS(tbl_task9[S66],tbl_task9[[SubPLOs]:[SubPLOs]],"&gt;=2",tbl_task9[[SubPLOs]:[SubPLOs]],"&lt;3")</f>
        <v>0</v>
      </c>
      <c r="BT35" s="138">
        <f>SUMIFS(tbl_task9[S67],tbl_task9[[SubPLOs]:[SubPLOs]],"&gt;=2",tbl_task9[[SubPLOs]:[SubPLOs]],"&lt;3")</f>
        <v>0</v>
      </c>
      <c r="BU35" s="138">
        <f>SUMIFS(tbl_task9[S68],tbl_task9[[SubPLOs]:[SubPLOs]],"&gt;=2",tbl_task9[[SubPLOs]:[SubPLOs]],"&lt;3")</f>
        <v>0</v>
      </c>
      <c r="BV35" s="138">
        <f>SUMIFS(tbl_task9[S69],tbl_task9[[SubPLOs]:[SubPLOs]],"&gt;=2",tbl_task9[[SubPLOs]:[SubPLOs]],"&lt;3")</f>
        <v>0</v>
      </c>
      <c r="BW35" s="138">
        <f>SUMIFS(tbl_task9[S70],tbl_task9[[SubPLOs]:[SubPLOs]],"&gt;=2",tbl_task9[[SubPLOs]:[SubPLOs]],"&lt;3")</f>
        <v>0</v>
      </c>
      <c r="BX35" s="138">
        <f>SUMIFS(tbl_task9[S71],tbl_task9[[SubPLOs]:[SubPLOs]],"&gt;=2",tbl_task9[[SubPLOs]:[SubPLOs]],"&lt;3")</f>
        <v>0</v>
      </c>
      <c r="BY35" s="138">
        <f>SUMIFS(tbl_task9[S72],tbl_task9[[SubPLOs]:[SubPLOs]],"&gt;=2",tbl_task9[[SubPLOs]:[SubPLOs]],"&lt;3")</f>
        <v>0</v>
      </c>
      <c r="BZ35" s="138">
        <f>SUMIFS(tbl_task9[S73],tbl_task9[[SubPLOs]:[SubPLOs]],"&gt;=2",tbl_task9[[SubPLOs]:[SubPLOs]],"&lt;3")</f>
        <v>0</v>
      </c>
      <c r="CA35" s="138">
        <f>SUMIFS(tbl_task9[S74],tbl_task9[[SubPLOs]:[SubPLOs]],"&gt;=2",tbl_task9[[SubPLOs]:[SubPLOs]],"&lt;3")</f>
        <v>0</v>
      </c>
      <c r="CB35" s="138">
        <f>SUMIFS(tbl_task9[S75],tbl_task9[[SubPLOs]:[SubPLOs]],"&gt;=2",tbl_task9[[SubPLOs]:[SubPLOs]],"&lt;3")</f>
        <v>0</v>
      </c>
      <c r="CC35" s="138">
        <f>SUMIFS(tbl_task9[S76],tbl_task9[[SubPLOs]:[SubPLOs]],"&gt;=2",tbl_task9[[SubPLOs]:[SubPLOs]],"&lt;3")</f>
        <v>0</v>
      </c>
      <c r="CD35" s="138">
        <f>SUMIFS(tbl_task9[S77],tbl_task9[[SubPLOs]:[SubPLOs]],"&gt;=2",tbl_task9[[SubPLOs]:[SubPLOs]],"&lt;3")</f>
        <v>0</v>
      </c>
      <c r="CE35" s="138">
        <f>SUMIFS(tbl_task9[S78],tbl_task9[[SubPLOs]:[SubPLOs]],"&gt;=2",tbl_task9[[SubPLOs]:[SubPLOs]],"&lt;3")</f>
        <v>0</v>
      </c>
      <c r="CF35" s="138">
        <f>SUMIFS(tbl_task9[S79],tbl_task9[[SubPLOs]:[SubPLOs]],"&gt;=2",tbl_task9[[SubPLOs]:[SubPLOs]],"&lt;3")</f>
        <v>0</v>
      </c>
      <c r="CG35" s="138">
        <f>SUMIFS(tbl_task9[S80],tbl_task9[[SubPLOs]:[SubPLOs]],"&gt;=2",tbl_task9[[SubPLOs]:[SubPLOs]],"&lt;3")</f>
        <v>0</v>
      </c>
      <c r="CH35" s="138">
        <f>SUMIFS(tbl_task9[S81],tbl_task9[[SubPLOs]:[SubPLOs]],"&gt;=2",tbl_task9[[SubPLOs]:[SubPLOs]],"&lt;3")</f>
        <v>0</v>
      </c>
      <c r="CI35" s="138">
        <f>SUMIFS(tbl_task9[S82],tbl_task9[[SubPLOs]:[SubPLOs]],"&gt;=2",tbl_task9[[SubPLOs]:[SubPLOs]],"&lt;3")</f>
        <v>0</v>
      </c>
      <c r="CJ35" s="138">
        <f>SUMIFS(tbl_task9[S83],tbl_task9[[SubPLOs]:[SubPLOs]],"&gt;=2",tbl_task9[[SubPLOs]:[SubPLOs]],"&lt;3")</f>
        <v>0</v>
      </c>
      <c r="CK35" s="138">
        <f>SUMIFS(tbl_task9[S84],tbl_task9[[SubPLOs]:[SubPLOs]],"&gt;=2",tbl_task9[[SubPLOs]:[SubPLOs]],"&lt;3")</f>
        <v>0</v>
      </c>
      <c r="CL35" s="138">
        <f>SUMIFS(tbl_task9[S85],tbl_task9[[SubPLOs]:[SubPLOs]],"&gt;=2",tbl_task9[[SubPLOs]:[SubPLOs]],"&lt;3")</f>
        <v>0</v>
      </c>
      <c r="CM35" s="138">
        <f>SUMIFS(tbl_task9[S86],tbl_task9[[SubPLOs]:[SubPLOs]],"&gt;=2",tbl_task9[[SubPLOs]:[SubPLOs]],"&lt;3")</f>
        <v>0</v>
      </c>
      <c r="CN35" s="138">
        <f>SUMIFS(tbl_task9[S87],tbl_task9[[SubPLOs]:[SubPLOs]],"&gt;=2",tbl_task9[[SubPLOs]:[SubPLOs]],"&lt;3")</f>
        <v>0</v>
      </c>
      <c r="CO35" s="138">
        <f>SUMIFS(tbl_task9[S88],tbl_task9[[SubPLOs]:[SubPLOs]],"&gt;=2",tbl_task9[[SubPLOs]:[SubPLOs]],"&lt;3")</f>
        <v>0</v>
      </c>
      <c r="CP35" s="138">
        <f>SUMIFS(tbl_task9[S89],tbl_task9[[SubPLOs]:[SubPLOs]],"&gt;=2",tbl_task9[[SubPLOs]:[SubPLOs]],"&lt;3")</f>
        <v>0</v>
      </c>
      <c r="CQ35" s="138">
        <f>SUMIFS(tbl_task9[S90],tbl_task9[[SubPLOs]:[SubPLOs]],"&gt;=2",tbl_task9[[SubPLOs]:[SubPLOs]],"&lt;3")</f>
        <v>0</v>
      </c>
      <c r="CR35" s="138">
        <f>SUMIFS(tbl_task9[S91],tbl_task9[[SubPLOs]:[SubPLOs]],"&gt;=2",tbl_task9[[SubPLOs]:[SubPLOs]],"&lt;3")</f>
        <v>0</v>
      </c>
      <c r="CS35" s="138">
        <f>SUMIFS(tbl_task9[S92],tbl_task9[[SubPLOs]:[SubPLOs]],"&gt;=2",tbl_task9[[SubPLOs]:[SubPLOs]],"&lt;3")</f>
        <v>0</v>
      </c>
      <c r="CT35" s="138">
        <f>SUMIFS(tbl_task9[S93],tbl_task9[[SubPLOs]:[SubPLOs]],"&gt;=2",tbl_task9[[SubPLOs]:[SubPLOs]],"&lt;3")</f>
        <v>0</v>
      </c>
      <c r="CU35" s="138">
        <f>SUMIFS(tbl_task9[S94],tbl_task9[[SubPLOs]:[SubPLOs]],"&gt;=2",tbl_task9[[SubPLOs]:[SubPLOs]],"&lt;3")</f>
        <v>0</v>
      </c>
      <c r="CV35" s="138">
        <f>SUMIFS(tbl_task9[S95],tbl_task9[[SubPLOs]:[SubPLOs]],"&gt;=2",tbl_task9[[SubPLOs]:[SubPLOs]],"&lt;3")</f>
        <v>0</v>
      </c>
      <c r="CW35" s="138">
        <f>SUMIFS(tbl_task9[S96],tbl_task9[[SubPLOs]:[SubPLOs]],"&gt;=2",tbl_task9[[SubPLOs]:[SubPLOs]],"&lt;3")</f>
        <v>0</v>
      </c>
      <c r="CX35" s="138">
        <f>SUMIFS(tbl_task9[S97],tbl_task9[[SubPLOs]:[SubPLOs]],"&gt;=2",tbl_task9[[SubPLOs]:[SubPLOs]],"&lt;3")</f>
        <v>0</v>
      </c>
      <c r="CY35" s="138">
        <f>SUMIFS(tbl_task9[S98],tbl_task9[[SubPLOs]:[SubPLOs]],"&gt;=2",tbl_task9[[SubPLOs]:[SubPLOs]],"&lt;3")</f>
        <v>0</v>
      </c>
      <c r="CZ35" s="138">
        <f>SUMIFS(tbl_task9[S99],tbl_task9[[SubPLOs]:[SubPLOs]],"&gt;=2",tbl_task9[[SubPLOs]:[SubPLOs]],"&lt;3")</f>
        <v>0</v>
      </c>
      <c r="DA35" s="138">
        <f>SUMIFS(tbl_task9[S100],tbl_task9[[SubPLOs]:[SubPLOs]],"&gt;=2",tbl_task9[[SubPLOs]:[SubPLOs]],"&lt;3")</f>
        <v>0</v>
      </c>
      <c r="DB35" s="138">
        <f>SUMIFS(tbl_task9[S101],tbl_task9[[SubPLOs]:[SubPLOs]],"&gt;=2",tbl_task9[[SubPLOs]:[SubPLOs]],"&lt;3")</f>
        <v>0</v>
      </c>
      <c r="DC35" s="138">
        <f>SUMIFS(tbl_task9[S102],tbl_task9[[SubPLOs]:[SubPLOs]],"&gt;=2",tbl_task9[[SubPLOs]:[SubPLOs]],"&lt;3")</f>
        <v>0</v>
      </c>
      <c r="DD35" s="138">
        <f>SUMIFS(tbl_task9[S103],tbl_task9[[SubPLOs]:[SubPLOs]],"&gt;=2",tbl_task9[[SubPLOs]:[SubPLOs]],"&lt;3")</f>
        <v>0</v>
      </c>
      <c r="DE35" s="138">
        <f>SUMIFS(tbl_task9[S104],tbl_task9[[SubPLOs]:[SubPLOs]],"&gt;=2",tbl_task9[[SubPLOs]:[SubPLOs]],"&lt;3")</f>
        <v>0</v>
      </c>
      <c r="DF35" s="138">
        <f>SUMIFS(tbl_task9[S105],tbl_task9[[SubPLOs]:[SubPLOs]],"&gt;=2",tbl_task9[[SubPLOs]:[SubPLOs]],"&lt;3")</f>
        <v>0</v>
      </c>
      <c r="DG35" s="138">
        <f>SUMIFS(tbl_task9[S106],tbl_task9[[SubPLOs]:[SubPLOs]],"&gt;=2",tbl_task9[[SubPLOs]:[SubPLOs]],"&lt;3")</f>
        <v>0</v>
      </c>
      <c r="DH35" s="138">
        <f>SUMIFS(tbl_task9[S106],tbl_task9[[SubPLOs]:[SubPLOs]],"&gt;=2",tbl_task9[[SubPLOs]:[SubPLOs]],"&lt;3")</f>
        <v>0</v>
      </c>
      <c r="DI35" s="138">
        <f>SUMIFS(tbl_task9[S108],tbl_task9[[SubPLOs]:[SubPLOs]],"&gt;=2",tbl_task9[[SubPLOs]:[SubPLOs]],"&lt;3")</f>
        <v>0</v>
      </c>
      <c r="DJ35" s="138">
        <f>SUMIFS(tbl_task9[S109],tbl_task9[[SubPLOs]:[SubPLOs]],"&gt;=2",tbl_task9[[SubPLOs]:[SubPLOs]],"&lt;3")</f>
        <v>0</v>
      </c>
      <c r="DK35" s="138">
        <f>SUMIFS(tbl_task9[S110],tbl_task9[[SubPLOs]:[SubPLOs]],"&gt;=2",tbl_task9[[SubPLOs]:[SubPLOs]],"&lt;3")</f>
        <v>0</v>
      </c>
      <c r="DL35" s="138">
        <f>SUMIFS(tbl_task9[S111],tbl_task9[[SubPLOs]:[SubPLOs]],"&gt;=2",tbl_task9[[SubPLOs]:[SubPLOs]],"&lt;3")</f>
        <v>0</v>
      </c>
      <c r="DM35" s="138">
        <f>SUMIFS(tbl_task9[S112],tbl_task9[[SubPLOs]:[SubPLOs]],"&gt;=2",tbl_task9[[SubPLOs]:[SubPLOs]],"&lt;3")</f>
        <v>0</v>
      </c>
      <c r="DN35" s="138">
        <f>SUMIFS(tbl_task9[S113],tbl_task9[[SubPLOs]:[SubPLOs]],"&gt;=2",tbl_task9[[SubPLOs]:[SubPLOs]],"&lt;3")</f>
        <v>0</v>
      </c>
      <c r="DO35" s="138">
        <f>SUMIFS(tbl_task9[S114],tbl_task9[[SubPLOs]:[SubPLOs]],"&gt;=2",tbl_task9[[SubPLOs]:[SubPLOs]],"&lt;3")</f>
        <v>0</v>
      </c>
      <c r="DP35" s="138">
        <f>SUMIFS(tbl_task9[S115],tbl_task9[[SubPLOs]:[SubPLOs]],"&gt;=2",tbl_task9[[SubPLOs]:[SubPLOs]],"&lt;3")</f>
        <v>0</v>
      </c>
      <c r="DQ35" s="138">
        <f>SUMIFS(tbl_task9[S116],tbl_task9[[SubPLOs]:[SubPLOs]],"&gt;=2",tbl_task9[[SubPLOs]:[SubPLOs]],"&lt;3")</f>
        <v>0</v>
      </c>
      <c r="DR35" s="138">
        <f>SUMIFS(tbl_task9[S117],tbl_task9[[SubPLOs]:[SubPLOs]],"&gt;=2",tbl_task9[[SubPLOs]:[SubPLOs]],"&lt;3")</f>
        <v>0</v>
      </c>
      <c r="DS35" s="138">
        <f>SUMIFS(tbl_task9[S118],tbl_task9[[SubPLOs]:[SubPLOs]],"&gt;=2",tbl_task9[[SubPLOs]:[SubPLOs]],"&lt;3")</f>
        <v>0</v>
      </c>
      <c r="DT35" s="138">
        <f>SUMIFS(tbl_task9[S119],tbl_task9[[SubPLOs]:[SubPLOs]],"&gt;=2",tbl_task9[[SubPLOs]:[SubPLOs]],"&lt;3")</f>
        <v>0</v>
      </c>
      <c r="DU35" s="138">
        <f>SUMIFS(tbl_task9[S120],tbl_task9[[SubPLOs]:[SubPLOs]],"&gt;=2",tbl_task9[[SubPLOs]:[SubPLOs]],"&lt;3")</f>
        <v>0</v>
      </c>
      <c r="DV35" s="138">
        <f>SUMIFS(tbl_task9[S121],tbl_task9[[SubPLOs]:[SubPLOs]],"&gt;=2",tbl_task9[[SubPLOs]:[SubPLOs]],"&lt;3")</f>
        <v>0</v>
      </c>
      <c r="DW35" s="138">
        <f>SUMIFS(tbl_task9[S122],tbl_task9[[SubPLOs]:[SubPLOs]],"&gt;=2",tbl_task9[[SubPLOs]:[SubPLOs]],"&lt;3")</f>
        <v>0</v>
      </c>
      <c r="DX35" s="138">
        <f>SUMIFS(tbl_task9[S123],tbl_task9[[SubPLOs]:[SubPLOs]],"&gt;=2",tbl_task9[[SubPLOs]:[SubPLOs]],"&lt;3")</f>
        <v>0</v>
      </c>
      <c r="DY35" s="138">
        <f>SUMIFS(tbl_task9[S124],tbl_task9[[SubPLOs]:[SubPLOs]],"&gt;=2",tbl_task9[[SubPLOs]:[SubPLOs]],"&lt;3")</f>
        <v>0</v>
      </c>
      <c r="DZ35" s="138">
        <f>SUMIFS(tbl_task9[S125],tbl_task9[[SubPLOs]:[SubPLOs]],"&gt;=2",tbl_task9[[SubPLOs]:[SubPLOs]],"&lt;3")</f>
        <v>0</v>
      </c>
      <c r="EA35" s="138">
        <f>SUMIFS(tbl_task9[S126],tbl_task9[[SubPLOs]:[SubPLOs]],"&gt;=2",tbl_task9[[SubPLOs]:[SubPLOs]],"&lt;3")</f>
        <v>0</v>
      </c>
      <c r="EB35" s="138">
        <f>SUMIFS(tbl_task9[S127],tbl_task9[[SubPLOs]:[SubPLOs]],"&gt;=2",tbl_task9[[SubPLOs]:[SubPLOs]],"&lt;3")</f>
        <v>0</v>
      </c>
      <c r="EC35" s="138">
        <f>SUMIFS(tbl_task9[S128],tbl_task9[[SubPLOs]:[SubPLOs]],"&gt;=2",tbl_task9[[SubPLOs]:[SubPLOs]],"&lt;3")</f>
        <v>0</v>
      </c>
      <c r="ED35" s="138">
        <f>SUMIFS(tbl_task9[S129],tbl_task9[[SubPLOs]:[SubPLOs]],"&gt;=2",tbl_task9[[SubPLOs]:[SubPLOs]],"&lt;3")</f>
        <v>0</v>
      </c>
      <c r="EE35" s="138">
        <f>SUMIFS(tbl_task9[S130],tbl_task9[[SubPLOs]:[SubPLOs]],"&gt;=2",tbl_task9[[SubPLOs]:[SubPLOs]],"&lt;3")</f>
        <v>0</v>
      </c>
      <c r="EF35" s="138">
        <f>SUMIFS(tbl_task9[S131],tbl_task9[[SubPLOs]:[SubPLOs]],"&gt;=2",tbl_task9[[SubPLOs]:[SubPLOs]],"&lt;3")</f>
        <v>0</v>
      </c>
      <c r="EG35" s="138">
        <f>SUMIFS(tbl_task9[S132],tbl_task9[[SubPLOs]:[SubPLOs]],"&gt;=2",tbl_task9[[SubPLOs]:[SubPLOs]],"&lt;3")</f>
        <v>0</v>
      </c>
      <c r="EH35" s="138">
        <f>SUMIFS(tbl_task9[S133],tbl_task9[[SubPLOs]:[SubPLOs]],"&gt;=2",tbl_task9[[SubPLOs]:[SubPLOs]],"&lt;3")</f>
        <v>0</v>
      </c>
      <c r="EI35" s="138">
        <f>SUMIFS(tbl_task9[S134],tbl_task9[[SubPLOs]:[SubPLOs]],"&gt;=2",tbl_task9[[SubPLOs]:[SubPLOs]],"&lt;3")</f>
        <v>0</v>
      </c>
      <c r="EJ35" s="138">
        <f>SUMIFS(tbl_task9[S135],tbl_task9[[SubPLOs]:[SubPLOs]],"&gt;=2",tbl_task9[[SubPLOs]:[SubPLOs]],"&lt;3")</f>
        <v>0</v>
      </c>
      <c r="EK35" s="138">
        <f>SUMIFS(tbl_task9[S136],tbl_task9[[SubPLOs]:[SubPLOs]],"&gt;=2",tbl_task9[[SubPLOs]:[SubPLOs]],"&lt;3")</f>
        <v>0</v>
      </c>
      <c r="EL35" s="138">
        <f>SUMIFS(tbl_task9[S137],tbl_task9[[SubPLOs]:[SubPLOs]],"&gt;=2",tbl_task9[[SubPLOs]:[SubPLOs]],"&lt;3")</f>
        <v>0</v>
      </c>
      <c r="EM35" s="138">
        <f>SUMIFS(tbl_task9[S138],tbl_task9[[SubPLOs]:[SubPLOs]],"&gt;=2",tbl_task9[[SubPLOs]:[SubPLOs]],"&lt;3")</f>
        <v>0</v>
      </c>
      <c r="EN35" s="138">
        <f>SUMIFS(tbl_task9[S139],tbl_task9[[SubPLOs]:[SubPLOs]],"&gt;=2",tbl_task9[[SubPLOs]:[SubPLOs]],"&lt;3")</f>
        <v>0</v>
      </c>
      <c r="EO35" s="138">
        <f>SUMIFS(tbl_task9[S140],tbl_task9[[SubPLOs]:[SubPLOs]],"&gt;=2",tbl_task9[[SubPLOs]:[SubPLOs]],"&lt;3")</f>
        <v>0</v>
      </c>
      <c r="EP35" s="138">
        <f>SUMIFS(tbl_task9[S141],tbl_task9[[SubPLOs]:[SubPLOs]],"&gt;=2",tbl_task9[[SubPLOs]:[SubPLOs]],"&lt;3")</f>
        <v>0</v>
      </c>
      <c r="EQ35" s="138">
        <f>SUMIFS(tbl_task9[S142],tbl_task9[[SubPLOs]:[SubPLOs]],"&gt;=2",tbl_task9[[SubPLOs]:[SubPLOs]],"&lt;3")</f>
        <v>0</v>
      </c>
      <c r="ER35" s="138">
        <f>SUMIFS(tbl_task9[S143],tbl_task9[[SubPLOs]:[SubPLOs]],"&gt;=2",tbl_task9[[SubPLOs]:[SubPLOs]],"&lt;3")</f>
        <v>0</v>
      </c>
      <c r="ES35" s="138">
        <f>SUMIFS(tbl_task9[S144],tbl_task9[[SubPLOs]:[SubPLOs]],"&gt;=2",tbl_task9[[SubPLOs]:[SubPLOs]],"&lt;3")</f>
        <v>0</v>
      </c>
      <c r="ET35" s="138">
        <f>SUMIFS(tbl_task9[S145],tbl_task9[[SubPLOs]:[SubPLOs]],"&gt;=2",tbl_task9[[SubPLOs]:[SubPLOs]],"&lt;3")</f>
        <v>0</v>
      </c>
      <c r="EU35" s="138">
        <f>SUMIFS(tbl_task9[S146],tbl_task9[[SubPLOs]:[SubPLOs]],"&gt;=2",tbl_task9[[SubPLOs]:[SubPLOs]],"&lt;3")</f>
        <v>0</v>
      </c>
      <c r="EV35" s="138">
        <f>SUMIFS(tbl_task9[S147],tbl_task9[[SubPLOs]:[SubPLOs]],"&gt;=2",tbl_task9[[SubPLOs]:[SubPLOs]],"&lt;3")</f>
        <v>0</v>
      </c>
      <c r="EW35" s="138">
        <f>SUMIFS(tbl_task9[S148],tbl_task9[[SubPLOs]:[SubPLOs]],"&gt;=2",tbl_task9[[SubPLOs]:[SubPLOs]],"&lt;3")</f>
        <v>0</v>
      </c>
      <c r="EX35" s="138">
        <f>SUMIFS(tbl_task9[S149],tbl_task9[[SubPLOs]:[SubPLOs]],"&gt;=2",tbl_task9[[SubPLOs]:[SubPLOs]],"&lt;3")</f>
        <v>0</v>
      </c>
      <c r="EY35" s="138">
        <f>SUMIFS(tbl_task9[S150],tbl_task9[[SubPLOs]:[SubPLOs]],"&gt;=2",tbl_task9[[SubPLOs]:[SubPLOs]],"&lt;3")</f>
        <v>0</v>
      </c>
      <c r="EZ35" s="138">
        <f>SUMIFS(tbl_task9[S151],tbl_task9[[SubPLOs]:[SubPLOs]],"&gt;=2",tbl_task9[[SubPLOs]:[SubPLOs]],"&lt;3")</f>
        <v>0</v>
      </c>
      <c r="FA35" s="138">
        <f>SUMIFS(tbl_task9[S152],tbl_task9[[SubPLOs]:[SubPLOs]],"&gt;=2",tbl_task9[[SubPLOs]:[SubPLOs]],"&lt;3")</f>
        <v>0</v>
      </c>
      <c r="FB35" s="138">
        <f>SUMIFS(tbl_task9[S153],tbl_task9[[SubPLOs]:[SubPLOs]],"&gt;=2",tbl_task9[[SubPLOs]:[SubPLOs]],"&lt;3")</f>
        <v>0</v>
      </c>
      <c r="FC35" s="138">
        <f>SUMIFS(tbl_task9[S154],tbl_task9[[SubPLOs]:[SubPLOs]],"&gt;=2",tbl_task9[[SubPLOs]:[SubPLOs]],"&lt;3")</f>
        <v>0</v>
      </c>
      <c r="FD35" s="138">
        <f>SUMIFS(tbl_task9[S155],tbl_task9[[SubPLOs]:[SubPLOs]],"&gt;=2",tbl_task9[[SubPLOs]:[SubPLOs]],"&lt;3")</f>
        <v>0</v>
      </c>
      <c r="FE35" s="138">
        <f>SUMIFS(tbl_task9[S156],tbl_task9[[SubPLOs]:[SubPLOs]],"&gt;=2",tbl_task9[[SubPLOs]:[SubPLOs]],"&lt;3")</f>
        <v>0</v>
      </c>
      <c r="FF35" s="138">
        <f>SUMIFS(tbl_task9[S157],tbl_task9[[SubPLOs]:[SubPLOs]],"&gt;=2",tbl_task9[[SubPLOs]:[SubPLOs]],"&lt;3")</f>
        <v>0</v>
      </c>
      <c r="FG35" s="138">
        <f>SUMIFS(tbl_task9[S158],tbl_task9[[SubPLOs]:[SubPLOs]],"&gt;=2",tbl_task9[[SubPLOs]:[SubPLOs]],"&lt;3")</f>
        <v>0</v>
      </c>
      <c r="FH35" s="138">
        <f>SUMIFS(tbl_task9[S159],tbl_task9[[SubPLOs]:[SubPLOs]],"&gt;=2",tbl_task9[[SubPLOs]:[SubPLOs]],"&lt;3")</f>
        <v>0</v>
      </c>
      <c r="FI35" s="138">
        <f>SUMIFS(tbl_task9[S160],tbl_task9[[SubPLOs]:[SubPLOs]],"&gt;=2",tbl_task9[[SubPLOs]:[SubPLOs]],"&lt;3")</f>
        <v>0</v>
      </c>
      <c r="FJ35" s="138">
        <f>SUMIFS(tbl_task9[S161],tbl_task9[[SubPLOs]:[SubPLOs]],"&gt;=2",tbl_task9[[SubPLOs]:[SubPLOs]],"&lt;3")</f>
        <v>0</v>
      </c>
      <c r="FK35" s="138">
        <f>SUMIFS(tbl_task9[S162],tbl_task9[[SubPLOs]:[SubPLOs]],"&gt;=2",tbl_task9[[SubPLOs]:[SubPLOs]],"&lt;3")</f>
        <v>0</v>
      </c>
      <c r="FL35" s="138">
        <f>SUMIFS(tbl_task9[S163],tbl_task9[[SubPLOs]:[SubPLOs]],"&gt;=2",tbl_task9[[SubPLOs]:[SubPLOs]],"&lt;3")</f>
        <v>0</v>
      </c>
      <c r="FM35" s="138">
        <f>SUMIFS(tbl_task9[S164],tbl_task9[[SubPLOs]:[SubPLOs]],"&gt;=2",tbl_task9[[SubPLOs]:[SubPLOs]],"&lt;3")</f>
        <v>0</v>
      </c>
      <c r="FN35" s="138">
        <f>SUMIFS(tbl_task9[S165],tbl_task9[[SubPLOs]:[SubPLOs]],"&gt;=2",tbl_task9[[SubPLOs]:[SubPLOs]],"&lt;3")</f>
        <v>0</v>
      </c>
    </row>
    <row r="36" spans="1:170" ht="63" x14ac:dyDescent="0.25">
      <c r="A36" s="135">
        <v>3</v>
      </c>
      <c r="B36" s="5" t="s">
        <v>436</v>
      </c>
      <c r="C36" s="136">
        <f>COUNTIFS(tbl_task9[SubPLOs],"&gt;=3",tbl_task9[SubPLOs],"&lt;4")</f>
        <v>0</v>
      </c>
      <c r="D36" s="136">
        <f>SUMIFS(tbl_task9[คะแนนเต็ม],tbl_task9[SubPLOs],"&gt;=3",tbl_task9[SubPLOs],"&lt;4")</f>
        <v>0</v>
      </c>
      <c r="E36" s="137">
        <f>SUMIFS(tbl_task9[%],tbl_task9[SubPLOs],"&gt;=3",tbl_task9[SubPLOs],"&lt;4")</f>
        <v>0</v>
      </c>
      <c r="F36" s="138">
        <f>SUMIFS(tbl_task9[S1],tbl_task9[[SubPLOs]:[SubPLOs]],"&gt;=3",tbl_task9[[SubPLOs]:[SubPLOs]],"&lt;4")</f>
        <v>0</v>
      </c>
      <c r="G36" s="138">
        <f>SUMIFS(tbl_task9[S2],tbl_task9[[SubPLOs]:[SubPLOs]],"&gt;=3",tbl_task9[[SubPLOs]:[SubPLOs]],"&lt;4")</f>
        <v>0</v>
      </c>
      <c r="H36" s="138">
        <f>SUMIFS(tbl_task9[S3],tbl_task9[[SubPLOs]:[SubPLOs]],"&gt;=3",tbl_task9[[SubPLOs]:[SubPLOs]],"&lt;4")</f>
        <v>0</v>
      </c>
      <c r="I36" s="138">
        <f>SUMIFS(tbl_task9[S4],tbl_task9[[SubPLOs]:[SubPLOs]],"&gt;=3",tbl_task9[[SubPLOs]:[SubPLOs]],"&lt;4")</f>
        <v>0</v>
      </c>
      <c r="J36" s="138">
        <f>SUMIFS(tbl_task9[S5],tbl_task9[[SubPLOs]:[SubPLOs]],"&gt;=3",tbl_task9[[SubPLOs]:[SubPLOs]],"&lt;4")</f>
        <v>0</v>
      </c>
      <c r="K36" s="138">
        <f>SUMIFS(tbl_task9[S6],tbl_task9[[SubPLOs]:[SubPLOs]],"&gt;=3",tbl_task9[[SubPLOs]:[SubPLOs]],"&lt;4")</f>
        <v>0</v>
      </c>
      <c r="L36" s="138">
        <f>SUMIFS(tbl_task9[S7],tbl_task9[[SubPLOs]:[SubPLOs]],"&gt;=3",tbl_task9[[SubPLOs]:[SubPLOs]],"&lt;4")</f>
        <v>0</v>
      </c>
      <c r="M36" s="138">
        <f>SUMIFS(tbl_task9[S8],tbl_task9[[SubPLOs]:[SubPLOs]],"&gt;=3",tbl_task9[[SubPLOs]:[SubPLOs]],"&lt;4")</f>
        <v>0</v>
      </c>
      <c r="N36" s="138">
        <f>SUMIFS(tbl_task9[S9],tbl_task9[[SubPLOs]:[SubPLOs]],"&gt;=3",tbl_task9[[SubPLOs]:[SubPLOs]],"&lt;4")</f>
        <v>0</v>
      </c>
      <c r="O36" s="138">
        <f>SUMIFS(tbl_task9[S10],tbl_task9[[SubPLOs]:[SubPLOs]],"&gt;=3",tbl_task9[[SubPLOs]:[SubPLOs]],"&lt;4")</f>
        <v>0</v>
      </c>
      <c r="P36" s="138">
        <f>SUMIFS(tbl_task9[S11],tbl_task9[[SubPLOs]:[SubPLOs]],"&gt;=3",tbl_task9[[SubPLOs]:[SubPLOs]],"&lt;4")</f>
        <v>0</v>
      </c>
      <c r="Q36" s="138">
        <f>SUMIFS(tbl_task9[S12],tbl_task9[[SubPLOs]:[SubPLOs]],"&gt;=3",tbl_task9[[SubPLOs]:[SubPLOs]],"&lt;4")</f>
        <v>0</v>
      </c>
      <c r="R36" s="138">
        <f>SUMIFS(tbl_task9[S13],tbl_task9[[SubPLOs]:[SubPLOs]],"&gt;=3",tbl_task9[[SubPLOs]:[SubPLOs]],"&lt;4")</f>
        <v>0</v>
      </c>
      <c r="S36" s="138">
        <f>SUMIFS(tbl_task9[S14],tbl_task9[[SubPLOs]:[SubPLOs]],"&gt;=3",tbl_task9[[SubPLOs]:[SubPLOs]],"&lt;4")</f>
        <v>0</v>
      </c>
      <c r="T36" s="138">
        <f>SUMIFS(tbl_task9[S15],tbl_task9[[SubPLOs]:[SubPLOs]],"&gt;=3",tbl_task9[[SubPLOs]:[SubPLOs]],"&lt;4")</f>
        <v>0</v>
      </c>
      <c r="U36" s="138">
        <f>SUMIFS(tbl_task9[S16],tbl_task9[[SubPLOs]:[SubPLOs]],"&gt;=3",tbl_task9[[SubPLOs]:[SubPLOs]],"&lt;4")</f>
        <v>0</v>
      </c>
      <c r="V36" s="138">
        <f>SUMIFS(tbl_task9[S17],tbl_task9[[SubPLOs]:[SubPLOs]],"&gt;=3",tbl_task9[[SubPLOs]:[SubPLOs]],"&lt;4")</f>
        <v>0</v>
      </c>
      <c r="W36" s="138">
        <f>SUMIFS(tbl_task9[S18],tbl_task9[[SubPLOs]:[SubPLOs]],"&gt;=3",tbl_task9[[SubPLOs]:[SubPLOs]],"&lt;4")</f>
        <v>0</v>
      </c>
      <c r="X36" s="138">
        <f>SUMIFS(tbl_task9[S19],tbl_task9[[SubPLOs]:[SubPLOs]],"&gt;=3",tbl_task9[[SubPLOs]:[SubPLOs]],"&lt;4")</f>
        <v>0</v>
      </c>
      <c r="Y36" s="138">
        <f>SUMIFS(tbl_task9[S20],tbl_task9[[SubPLOs]:[SubPLOs]],"&gt;=3",tbl_task9[[SubPLOs]:[SubPLOs]],"&lt;4")</f>
        <v>0</v>
      </c>
      <c r="Z36" s="138">
        <f>SUMIFS(tbl_task9[S21],tbl_task9[[SubPLOs]:[SubPLOs]],"&gt;=3",tbl_task9[[SubPLOs]:[SubPLOs]],"&lt;4")</f>
        <v>0</v>
      </c>
      <c r="AA36" s="138">
        <f>SUMIFS(tbl_task9[S22],tbl_task9[[SubPLOs]:[SubPLOs]],"&gt;=3",tbl_task9[[SubPLOs]:[SubPLOs]],"&lt;4")</f>
        <v>0</v>
      </c>
      <c r="AB36" s="138">
        <f>SUMIFS(tbl_task9[S23],tbl_task9[[SubPLOs]:[SubPLOs]],"&gt;=3",tbl_task9[[SubPLOs]:[SubPLOs]],"&lt;4")</f>
        <v>0</v>
      </c>
      <c r="AC36" s="138">
        <f>SUMIFS(tbl_task9[S24],tbl_task9[[SubPLOs]:[SubPLOs]],"&gt;=3",tbl_task9[[SubPLOs]:[SubPLOs]],"&lt;4")</f>
        <v>0</v>
      </c>
      <c r="AD36" s="138">
        <f>SUMIFS(tbl_task9[S25],tbl_task9[[SubPLOs]:[SubPLOs]],"&gt;=3",tbl_task9[[SubPLOs]:[SubPLOs]],"&lt;4")</f>
        <v>0</v>
      </c>
      <c r="AE36" s="138">
        <f>SUMIFS(tbl_task9[S26],tbl_task9[[SubPLOs]:[SubPLOs]],"&gt;=3",tbl_task9[[SubPLOs]:[SubPLOs]],"&lt;4")</f>
        <v>0</v>
      </c>
      <c r="AF36" s="138">
        <f>SUMIFS(tbl_task9[S27],tbl_task9[[SubPLOs]:[SubPLOs]],"&gt;=3",tbl_task9[[SubPLOs]:[SubPLOs]],"&lt;4")</f>
        <v>0</v>
      </c>
      <c r="AG36" s="138">
        <f>SUMIFS(tbl_task9[S28],tbl_task9[[SubPLOs]:[SubPLOs]],"&gt;=3",tbl_task9[[SubPLOs]:[SubPLOs]],"&lt;4")</f>
        <v>0</v>
      </c>
      <c r="AH36" s="138">
        <f>SUMIFS(tbl_task9[S29],tbl_task9[[SubPLOs]:[SubPLOs]],"&gt;=3",tbl_task9[[SubPLOs]:[SubPLOs]],"&lt;4")</f>
        <v>0</v>
      </c>
      <c r="AI36" s="138">
        <f>SUMIFS(tbl_task9[S30],tbl_task9[[SubPLOs]:[SubPLOs]],"&gt;=3",tbl_task9[[SubPLOs]:[SubPLOs]],"&lt;4")</f>
        <v>0</v>
      </c>
      <c r="AJ36" s="138">
        <f>SUMIFS(tbl_task9[S31],tbl_task9[[SubPLOs]:[SubPLOs]],"&gt;=3",tbl_task9[[SubPLOs]:[SubPLOs]],"&lt;4")</f>
        <v>0</v>
      </c>
      <c r="AK36" s="138">
        <f>SUMIFS(tbl_task9[S32],tbl_task9[[SubPLOs]:[SubPLOs]],"&gt;=3",tbl_task9[[SubPLOs]:[SubPLOs]],"&lt;4")</f>
        <v>0</v>
      </c>
      <c r="AL36" s="138">
        <f>SUMIFS(tbl_task9[S33],tbl_task9[[SubPLOs]:[SubPLOs]],"&gt;=3",tbl_task9[[SubPLOs]:[SubPLOs]],"&lt;4")</f>
        <v>0</v>
      </c>
      <c r="AM36" s="138">
        <f>SUMIFS(tbl_task9[S34],tbl_task9[[SubPLOs]:[SubPLOs]],"&gt;=3",tbl_task9[[SubPLOs]:[SubPLOs]],"&lt;4")</f>
        <v>0</v>
      </c>
      <c r="AN36" s="138">
        <f>SUMIFS(tbl_task9[S35],tbl_task9[[SubPLOs]:[SubPLOs]],"&gt;=3",tbl_task9[[SubPLOs]:[SubPLOs]],"&lt;4")</f>
        <v>0</v>
      </c>
      <c r="AO36" s="138">
        <f>SUMIFS(tbl_task9[S36],tbl_task9[[SubPLOs]:[SubPLOs]],"&gt;=3",tbl_task9[[SubPLOs]:[SubPLOs]],"&lt;4")</f>
        <v>0</v>
      </c>
      <c r="AP36" s="138">
        <f>SUMIFS(tbl_task9[S37],tbl_task9[[SubPLOs]:[SubPLOs]],"&gt;=3",tbl_task9[[SubPLOs]:[SubPLOs]],"&lt;4")</f>
        <v>0</v>
      </c>
      <c r="AQ36" s="138">
        <f>SUMIFS(tbl_task9[S38],tbl_task9[[SubPLOs]:[SubPLOs]],"&gt;=3",tbl_task9[[SubPLOs]:[SubPLOs]],"&lt;4")</f>
        <v>0</v>
      </c>
      <c r="AR36" s="138">
        <f>SUMIFS(tbl_task9[S39],tbl_task9[[SubPLOs]:[SubPLOs]],"&gt;=3",tbl_task9[[SubPLOs]:[SubPLOs]],"&lt;4")</f>
        <v>0</v>
      </c>
      <c r="AS36" s="138">
        <f>SUMIFS(tbl_task9[S40],tbl_task9[[SubPLOs]:[SubPLOs]],"&gt;=3",tbl_task9[[SubPLOs]:[SubPLOs]],"&lt;4")</f>
        <v>0</v>
      </c>
      <c r="AT36" s="138">
        <f>SUMIFS(tbl_task9[S41],tbl_task9[[SubPLOs]:[SubPLOs]],"&gt;=3",tbl_task9[[SubPLOs]:[SubPLOs]],"&lt;4")</f>
        <v>0</v>
      </c>
      <c r="AU36" s="138">
        <f>SUMIFS(tbl_task9[S42],tbl_task9[[SubPLOs]:[SubPLOs]],"&gt;=3",tbl_task9[[SubPLOs]:[SubPLOs]],"&lt;4")</f>
        <v>0</v>
      </c>
      <c r="AV36" s="138">
        <f>SUMIFS(tbl_task9[S43],tbl_task9[[SubPLOs]:[SubPLOs]],"&gt;=3",tbl_task9[[SubPLOs]:[SubPLOs]],"&lt;4")</f>
        <v>0</v>
      </c>
      <c r="AW36" s="138">
        <f>SUMIFS(tbl_task9[S44],tbl_task9[[SubPLOs]:[SubPLOs]],"&gt;=3",tbl_task9[[SubPLOs]:[SubPLOs]],"&lt;4")</f>
        <v>0</v>
      </c>
      <c r="AX36" s="138">
        <f>SUMIFS(tbl_task9[S45],tbl_task9[[SubPLOs]:[SubPLOs]],"&gt;=3",tbl_task9[[SubPLOs]:[SubPLOs]],"&lt;4")</f>
        <v>0</v>
      </c>
      <c r="AY36" s="138">
        <f>SUMIFS(tbl_task9[S46],tbl_task9[[SubPLOs]:[SubPLOs]],"&gt;=3",tbl_task9[[SubPLOs]:[SubPLOs]],"&lt;4")</f>
        <v>0</v>
      </c>
      <c r="AZ36" s="138">
        <f>SUMIFS(tbl_task9[S47],tbl_task9[[SubPLOs]:[SubPLOs]],"&gt;=3",tbl_task9[[SubPLOs]:[SubPLOs]],"&lt;4")</f>
        <v>0</v>
      </c>
      <c r="BA36" s="138">
        <f>SUMIFS(tbl_task9[S48],tbl_task9[[SubPLOs]:[SubPLOs]],"&gt;=3",tbl_task9[[SubPLOs]:[SubPLOs]],"&lt;4")</f>
        <v>0</v>
      </c>
      <c r="BB36" s="138">
        <f>SUMIFS(tbl_task9[S49],tbl_task9[[SubPLOs]:[SubPLOs]],"&gt;=3",tbl_task9[[SubPLOs]:[SubPLOs]],"&lt;4")</f>
        <v>0</v>
      </c>
      <c r="BC36" s="138">
        <f>SUMIFS(tbl_task9[S50],tbl_task9[[SubPLOs]:[SubPLOs]],"&gt;=3",tbl_task9[[SubPLOs]:[SubPLOs]],"&lt;4")</f>
        <v>0</v>
      </c>
      <c r="BD36" s="138">
        <f>SUMIFS(tbl_task9[S51],tbl_task9[[SubPLOs]:[SubPLOs]],"&gt;=3",tbl_task9[[SubPLOs]:[SubPLOs]],"&lt;4")</f>
        <v>0</v>
      </c>
      <c r="BE36" s="138">
        <f>SUMIFS(tbl_task9[S52],tbl_task9[[SubPLOs]:[SubPLOs]],"&gt;=3",tbl_task9[[SubPLOs]:[SubPLOs]],"&lt;4")</f>
        <v>0</v>
      </c>
      <c r="BF36" s="138">
        <f>SUMIFS(tbl_task9[S53],tbl_task9[[SubPLOs]:[SubPLOs]],"&gt;=3",tbl_task9[[SubPLOs]:[SubPLOs]],"&lt;4")</f>
        <v>0</v>
      </c>
      <c r="BG36" s="138">
        <f>SUMIFS(tbl_task9[S54],tbl_task9[[SubPLOs]:[SubPLOs]],"&gt;=3",tbl_task9[[SubPLOs]:[SubPLOs]],"&lt;4")</f>
        <v>0</v>
      </c>
      <c r="BH36" s="138">
        <f>SUMIFS(tbl_task9[S55],tbl_task9[[SubPLOs]:[SubPLOs]],"&gt;=3",tbl_task9[[SubPLOs]:[SubPLOs]],"&lt;4")</f>
        <v>0</v>
      </c>
      <c r="BI36" s="138">
        <f>SUMIFS(tbl_task9[S56],tbl_task9[[SubPLOs]:[SubPLOs]],"&gt;=3",tbl_task9[[SubPLOs]:[SubPLOs]],"&lt;4")</f>
        <v>0</v>
      </c>
      <c r="BJ36" s="138">
        <f>SUMIFS(tbl_task9[S57],tbl_task9[[SubPLOs]:[SubPLOs]],"&gt;=3",tbl_task9[[SubPLOs]:[SubPLOs]],"&lt;4")</f>
        <v>0</v>
      </c>
      <c r="BK36" s="138">
        <f>SUMIFS(tbl_task9[S58],tbl_task9[[SubPLOs]:[SubPLOs]],"&gt;=3",tbl_task9[[SubPLOs]:[SubPLOs]],"&lt;4")</f>
        <v>0</v>
      </c>
      <c r="BL36" s="138">
        <f>SUMIFS(tbl_task9[S59],tbl_task9[[SubPLOs]:[SubPLOs]],"&gt;=3",tbl_task9[[SubPLOs]:[SubPLOs]],"&lt;4")</f>
        <v>0</v>
      </c>
      <c r="BM36" s="138">
        <f>SUMIFS(tbl_task9[S60],tbl_task9[[SubPLOs]:[SubPLOs]],"&gt;=3",tbl_task9[[SubPLOs]:[SubPLOs]],"&lt;4")</f>
        <v>0</v>
      </c>
      <c r="BN36" s="138">
        <f>SUMIFS(tbl_task9[S61],tbl_task9[[SubPLOs]:[SubPLOs]],"&gt;=3",tbl_task9[[SubPLOs]:[SubPLOs]],"&lt;4")</f>
        <v>0</v>
      </c>
      <c r="BO36" s="138">
        <f>SUMIFS(tbl_task9[S62],tbl_task9[[SubPLOs]:[SubPLOs]],"&gt;=3",tbl_task9[[SubPLOs]:[SubPLOs]],"&lt;4")</f>
        <v>0</v>
      </c>
      <c r="BP36" s="138">
        <f>SUMIFS(tbl_task9[S63],tbl_task9[[SubPLOs]:[SubPLOs]],"&gt;=3",tbl_task9[[SubPLOs]:[SubPLOs]],"&lt;4")</f>
        <v>0</v>
      </c>
      <c r="BQ36" s="138">
        <f>SUMIFS(tbl_task9[S64],tbl_task9[[SubPLOs]:[SubPLOs]],"&gt;=3",tbl_task9[[SubPLOs]:[SubPLOs]],"&lt;4")</f>
        <v>0</v>
      </c>
      <c r="BR36" s="138">
        <f>SUMIFS(tbl_task9[S65],tbl_task9[[SubPLOs]:[SubPLOs]],"&gt;=3",tbl_task9[[SubPLOs]:[SubPLOs]],"&lt;4")</f>
        <v>0</v>
      </c>
      <c r="BS36" s="138">
        <f>SUMIFS(tbl_task9[S66],tbl_task9[[SubPLOs]:[SubPLOs]],"&gt;=3",tbl_task9[[SubPLOs]:[SubPLOs]],"&lt;4")</f>
        <v>0</v>
      </c>
      <c r="BT36" s="138">
        <f>SUMIFS(tbl_task9[S67],tbl_task9[[SubPLOs]:[SubPLOs]],"&gt;=3",tbl_task9[[SubPLOs]:[SubPLOs]],"&lt;4")</f>
        <v>0</v>
      </c>
      <c r="BU36" s="138">
        <f>SUMIFS(tbl_task9[S68],tbl_task9[[SubPLOs]:[SubPLOs]],"&gt;=3",tbl_task9[[SubPLOs]:[SubPLOs]],"&lt;4")</f>
        <v>0</v>
      </c>
      <c r="BV36" s="138">
        <f>SUMIFS(tbl_task9[S69],tbl_task9[[SubPLOs]:[SubPLOs]],"&gt;=3",tbl_task9[[SubPLOs]:[SubPLOs]],"&lt;4")</f>
        <v>0</v>
      </c>
      <c r="BW36" s="138">
        <f>SUMIFS(tbl_task9[S70],tbl_task9[[SubPLOs]:[SubPLOs]],"&gt;=3",tbl_task9[[SubPLOs]:[SubPLOs]],"&lt;4")</f>
        <v>0</v>
      </c>
      <c r="BX36" s="138">
        <f>SUMIFS(tbl_task9[S71],tbl_task9[[SubPLOs]:[SubPLOs]],"&gt;=3",tbl_task9[[SubPLOs]:[SubPLOs]],"&lt;4")</f>
        <v>0</v>
      </c>
      <c r="BY36" s="138">
        <f>SUMIFS(tbl_task9[S72],tbl_task9[[SubPLOs]:[SubPLOs]],"&gt;=3",tbl_task9[[SubPLOs]:[SubPLOs]],"&lt;4")</f>
        <v>0</v>
      </c>
      <c r="BZ36" s="138">
        <f>SUMIFS(tbl_task9[S73],tbl_task9[[SubPLOs]:[SubPLOs]],"&gt;=3",tbl_task9[[SubPLOs]:[SubPLOs]],"&lt;4")</f>
        <v>0</v>
      </c>
      <c r="CA36" s="138">
        <f>SUMIFS(tbl_task9[S74],tbl_task9[[SubPLOs]:[SubPLOs]],"&gt;=3",tbl_task9[[SubPLOs]:[SubPLOs]],"&lt;4")</f>
        <v>0</v>
      </c>
      <c r="CB36" s="138">
        <f>SUMIFS(tbl_task9[S75],tbl_task9[[SubPLOs]:[SubPLOs]],"&gt;=3",tbl_task9[[SubPLOs]:[SubPLOs]],"&lt;4")</f>
        <v>0</v>
      </c>
      <c r="CC36" s="138">
        <f>SUMIFS(tbl_task9[S76],tbl_task9[[SubPLOs]:[SubPLOs]],"&gt;=3",tbl_task9[[SubPLOs]:[SubPLOs]],"&lt;4")</f>
        <v>0</v>
      </c>
      <c r="CD36" s="138">
        <f>SUMIFS(tbl_task9[S77],tbl_task9[[SubPLOs]:[SubPLOs]],"&gt;=3",tbl_task9[[SubPLOs]:[SubPLOs]],"&lt;4")</f>
        <v>0</v>
      </c>
      <c r="CE36" s="138">
        <f>SUMIFS(tbl_task9[S78],tbl_task9[[SubPLOs]:[SubPLOs]],"&gt;=3",tbl_task9[[SubPLOs]:[SubPLOs]],"&lt;4")</f>
        <v>0</v>
      </c>
      <c r="CF36" s="138">
        <f>SUMIFS(tbl_task9[S79],tbl_task9[[SubPLOs]:[SubPLOs]],"&gt;=3",tbl_task9[[SubPLOs]:[SubPLOs]],"&lt;4")</f>
        <v>0</v>
      </c>
      <c r="CG36" s="138">
        <f>SUMIFS(tbl_task9[S80],tbl_task9[[SubPLOs]:[SubPLOs]],"&gt;=3",tbl_task9[[SubPLOs]:[SubPLOs]],"&lt;4")</f>
        <v>0</v>
      </c>
      <c r="CH36" s="138">
        <f>SUMIFS(tbl_task9[S81],tbl_task9[[SubPLOs]:[SubPLOs]],"&gt;=3",tbl_task9[[SubPLOs]:[SubPLOs]],"&lt;4")</f>
        <v>0</v>
      </c>
      <c r="CI36" s="138">
        <f>SUMIFS(tbl_task9[S82],tbl_task9[[SubPLOs]:[SubPLOs]],"&gt;=3",tbl_task9[[SubPLOs]:[SubPLOs]],"&lt;4")</f>
        <v>0</v>
      </c>
      <c r="CJ36" s="138">
        <f>SUMIFS(tbl_task9[S83],tbl_task9[[SubPLOs]:[SubPLOs]],"&gt;=3",tbl_task9[[SubPLOs]:[SubPLOs]],"&lt;4")</f>
        <v>0</v>
      </c>
      <c r="CK36" s="138">
        <f>SUMIFS(tbl_task9[S84],tbl_task9[[SubPLOs]:[SubPLOs]],"&gt;=3",tbl_task9[[SubPLOs]:[SubPLOs]],"&lt;4")</f>
        <v>0</v>
      </c>
      <c r="CL36" s="138">
        <f>SUMIFS(tbl_task9[S85],tbl_task9[[SubPLOs]:[SubPLOs]],"&gt;=3",tbl_task9[[SubPLOs]:[SubPLOs]],"&lt;4")</f>
        <v>0</v>
      </c>
      <c r="CM36" s="138">
        <f>SUMIFS(tbl_task9[S86],tbl_task9[[SubPLOs]:[SubPLOs]],"&gt;=3",tbl_task9[[SubPLOs]:[SubPLOs]],"&lt;4")</f>
        <v>0</v>
      </c>
      <c r="CN36" s="138">
        <f>SUMIFS(tbl_task9[S87],tbl_task9[[SubPLOs]:[SubPLOs]],"&gt;=3",tbl_task9[[SubPLOs]:[SubPLOs]],"&lt;4")</f>
        <v>0</v>
      </c>
      <c r="CO36" s="138">
        <f>SUMIFS(tbl_task9[S88],tbl_task9[[SubPLOs]:[SubPLOs]],"&gt;=3",tbl_task9[[SubPLOs]:[SubPLOs]],"&lt;4")</f>
        <v>0</v>
      </c>
      <c r="CP36" s="138">
        <f>SUMIFS(tbl_task9[S89],tbl_task9[[SubPLOs]:[SubPLOs]],"&gt;=3",tbl_task9[[SubPLOs]:[SubPLOs]],"&lt;4")</f>
        <v>0</v>
      </c>
      <c r="CQ36" s="138">
        <f>SUMIFS(tbl_task9[S90],tbl_task9[[SubPLOs]:[SubPLOs]],"&gt;=3",tbl_task9[[SubPLOs]:[SubPLOs]],"&lt;4")</f>
        <v>0</v>
      </c>
      <c r="CR36" s="138">
        <f>SUMIFS(tbl_task9[S91],tbl_task9[[SubPLOs]:[SubPLOs]],"&gt;=3",tbl_task9[[SubPLOs]:[SubPLOs]],"&lt;4")</f>
        <v>0</v>
      </c>
      <c r="CS36" s="138">
        <f>SUMIFS(tbl_task9[S92],tbl_task9[[SubPLOs]:[SubPLOs]],"&gt;=3",tbl_task9[[SubPLOs]:[SubPLOs]],"&lt;4")</f>
        <v>0</v>
      </c>
      <c r="CT36" s="138">
        <f>SUMIFS(tbl_task9[S93],tbl_task9[[SubPLOs]:[SubPLOs]],"&gt;=3",tbl_task9[[SubPLOs]:[SubPLOs]],"&lt;4")</f>
        <v>0</v>
      </c>
      <c r="CU36" s="138">
        <f>SUMIFS(tbl_task9[S94],tbl_task9[[SubPLOs]:[SubPLOs]],"&gt;=3",tbl_task9[[SubPLOs]:[SubPLOs]],"&lt;4")</f>
        <v>0</v>
      </c>
      <c r="CV36" s="138">
        <f>SUMIFS(tbl_task9[S95],tbl_task9[[SubPLOs]:[SubPLOs]],"&gt;=3",tbl_task9[[SubPLOs]:[SubPLOs]],"&lt;4")</f>
        <v>0</v>
      </c>
      <c r="CW36" s="138">
        <f>SUMIFS(tbl_task9[S96],tbl_task9[[SubPLOs]:[SubPLOs]],"&gt;=3",tbl_task9[[SubPLOs]:[SubPLOs]],"&lt;4")</f>
        <v>0</v>
      </c>
      <c r="CX36" s="138">
        <f>SUMIFS(tbl_task9[S97],tbl_task9[[SubPLOs]:[SubPLOs]],"&gt;=3",tbl_task9[[SubPLOs]:[SubPLOs]],"&lt;4")</f>
        <v>0</v>
      </c>
      <c r="CY36" s="138">
        <f>SUMIFS(tbl_task9[S98],tbl_task9[[SubPLOs]:[SubPLOs]],"&gt;=3",tbl_task9[[SubPLOs]:[SubPLOs]],"&lt;4")</f>
        <v>0</v>
      </c>
      <c r="CZ36" s="138">
        <f>SUMIFS(tbl_task9[S99],tbl_task9[[SubPLOs]:[SubPLOs]],"&gt;=3",tbl_task9[[SubPLOs]:[SubPLOs]],"&lt;4")</f>
        <v>0</v>
      </c>
      <c r="DA36" s="138">
        <f>SUMIFS(tbl_task9[S100],tbl_task9[[SubPLOs]:[SubPLOs]],"&gt;=3",tbl_task9[[SubPLOs]:[SubPLOs]],"&lt;4")</f>
        <v>0</v>
      </c>
      <c r="DB36" s="138">
        <f>SUMIFS(tbl_task9[S101],tbl_task9[[SubPLOs]:[SubPLOs]],"&gt;=3",tbl_task9[[SubPLOs]:[SubPLOs]],"&lt;4")</f>
        <v>0</v>
      </c>
      <c r="DC36" s="138">
        <f>SUMIFS(tbl_task9[S102],tbl_task9[[SubPLOs]:[SubPLOs]],"&gt;=3",tbl_task9[[SubPLOs]:[SubPLOs]],"&lt;4")</f>
        <v>0</v>
      </c>
      <c r="DD36" s="138">
        <f>SUMIFS(tbl_task9[S103],tbl_task9[[SubPLOs]:[SubPLOs]],"&gt;=3",tbl_task9[[SubPLOs]:[SubPLOs]],"&lt;4")</f>
        <v>0</v>
      </c>
      <c r="DE36" s="138">
        <f>SUMIFS(tbl_task9[S104],tbl_task9[[SubPLOs]:[SubPLOs]],"&gt;=3",tbl_task9[[SubPLOs]:[SubPLOs]],"&lt;4")</f>
        <v>0</v>
      </c>
      <c r="DF36" s="138">
        <f>SUMIFS(tbl_task9[S105],tbl_task9[[SubPLOs]:[SubPLOs]],"&gt;=3",tbl_task9[[SubPLOs]:[SubPLOs]],"&lt;4")</f>
        <v>0</v>
      </c>
      <c r="DG36" s="138">
        <f>SUMIFS(tbl_task9[S106],tbl_task9[[SubPLOs]:[SubPLOs]],"&gt;=3",tbl_task9[[SubPLOs]:[SubPLOs]],"&lt;4")</f>
        <v>0</v>
      </c>
      <c r="DH36" s="138">
        <f>SUMIFS(tbl_task9[S106],tbl_task9[[SubPLOs]:[SubPLOs]],"&gt;=3",tbl_task9[[SubPLOs]:[SubPLOs]],"&lt;4")</f>
        <v>0</v>
      </c>
      <c r="DI36" s="138">
        <f>SUMIFS(tbl_task9[S108],tbl_task9[[SubPLOs]:[SubPLOs]],"&gt;=3",tbl_task9[[SubPLOs]:[SubPLOs]],"&lt;4")</f>
        <v>0</v>
      </c>
      <c r="DJ36" s="138">
        <f>SUMIFS(tbl_task9[S109],tbl_task9[[SubPLOs]:[SubPLOs]],"&gt;=3",tbl_task9[[SubPLOs]:[SubPLOs]],"&lt;4")</f>
        <v>0</v>
      </c>
      <c r="DK36" s="138">
        <f>SUMIFS(tbl_task9[S110],tbl_task9[[SubPLOs]:[SubPLOs]],"&gt;=3",tbl_task9[[SubPLOs]:[SubPLOs]],"&lt;4")</f>
        <v>0</v>
      </c>
      <c r="DL36" s="138">
        <f>SUMIFS(tbl_task9[S111],tbl_task9[[SubPLOs]:[SubPLOs]],"&gt;=3",tbl_task9[[SubPLOs]:[SubPLOs]],"&lt;4")</f>
        <v>0</v>
      </c>
      <c r="DM36" s="138">
        <f>SUMIFS(tbl_task9[S112],tbl_task9[[SubPLOs]:[SubPLOs]],"&gt;=3",tbl_task9[[SubPLOs]:[SubPLOs]],"&lt;4")</f>
        <v>0</v>
      </c>
      <c r="DN36" s="138">
        <f>SUMIFS(tbl_task9[S113],tbl_task9[[SubPLOs]:[SubPLOs]],"&gt;=3",tbl_task9[[SubPLOs]:[SubPLOs]],"&lt;4")</f>
        <v>0</v>
      </c>
      <c r="DO36" s="138">
        <f>SUMIFS(tbl_task9[S114],tbl_task9[[SubPLOs]:[SubPLOs]],"&gt;=3",tbl_task9[[SubPLOs]:[SubPLOs]],"&lt;4")</f>
        <v>0</v>
      </c>
      <c r="DP36" s="138">
        <f>SUMIFS(tbl_task9[S115],tbl_task9[[SubPLOs]:[SubPLOs]],"&gt;=3",tbl_task9[[SubPLOs]:[SubPLOs]],"&lt;4")</f>
        <v>0</v>
      </c>
      <c r="DQ36" s="138">
        <f>SUMIFS(tbl_task9[S116],tbl_task9[[SubPLOs]:[SubPLOs]],"&gt;=3",tbl_task9[[SubPLOs]:[SubPLOs]],"&lt;4")</f>
        <v>0</v>
      </c>
      <c r="DR36" s="138">
        <f>SUMIFS(tbl_task9[S117],tbl_task9[[SubPLOs]:[SubPLOs]],"&gt;=3",tbl_task9[[SubPLOs]:[SubPLOs]],"&lt;4")</f>
        <v>0</v>
      </c>
      <c r="DS36" s="138">
        <f>SUMIFS(tbl_task9[S118],tbl_task9[[SubPLOs]:[SubPLOs]],"&gt;=3",tbl_task9[[SubPLOs]:[SubPLOs]],"&lt;4")</f>
        <v>0</v>
      </c>
      <c r="DT36" s="138">
        <f>SUMIFS(tbl_task9[S119],tbl_task9[[SubPLOs]:[SubPLOs]],"&gt;=3",tbl_task9[[SubPLOs]:[SubPLOs]],"&lt;4")</f>
        <v>0</v>
      </c>
      <c r="DU36" s="138">
        <f>SUMIFS(tbl_task9[S120],tbl_task9[[SubPLOs]:[SubPLOs]],"&gt;=3",tbl_task9[[SubPLOs]:[SubPLOs]],"&lt;4")</f>
        <v>0</v>
      </c>
      <c r="DV36" s="138">
        <f>SUMIFS(tbl_task9[S121],tbl_task9[[SubPLOs]:[SubPLOs]],"&gt;=3",tbl_task9[[SubPLOs]:[SubPLOs]],"&lt;4")</f>
        <v>0</v>
      </c>
      <c r="DW36" s="138">
        <f>SUMIFS(tbl_task9[S122],tbl_task9[[SubPLOs]:[SubPLOs]],"&gt;=3",tbl_task9[[SubPLOs]:[SubPLOs]],"&lt;4")</f>
        <v>0</v>
      </c>
      <c r="DX36" s="138">
        <f>SUMIFS(tbl_task9[S123],tbl_task9[[SubPLOs]:[SubPLOs]],"&gt;=3",tbl_task9[[SubPLOs]:[SubPLOs]],"&lt;4")</f>
        <v>0</v>
      </c>
      <c r="DY36" s="138">
        <f>SUMIFS(tbl_task9[S124],tbl_task9[[SubPLOs]:[SubPLOs]],"&gt;=3",tbl_task9[[SubPLOs]:[SubPLOs]],"&lt;4")</f>
        <v>0</v>
      </c>
      <c r="DZ36" s="138">
        <f>SUMIFS(tbl_task9[S125],tbl_task9[[SubPLOs]:[SubPLOs]],"&gt;=3",tbl_task9[[SubPLOs]:[SubPLOs]],"&lt;4")</f>
        <v>0</v>
      </c>
      <c r="EA36" s="138">
        <f>SUMIFS(tbl_task9[S126],tbl_task9[[SubPLOs]:[SubPLOs]],"&gt;=3",tbl_task9[[SubPLOs]:[SubPLOs]],"&lt;4")</f>
        <v>0</v>
      </c>
      <c r="EB36" s="138">
        <f>SUMIFS(tbl_task9[S127],tbl_task9[[SubPLOs]:[SubPLOs]],"&gt;=3",tbl_task9[[SubPLOs]:[SubPLOs]],"&lt;4")</f>
        <v>0</v>
      </c>
      <c r="EC36" s="138">
        <f>SUMIFS(tbl_task9[S128],tbl_task9[[SubPLOs]:[SubPLOs]],"&gt;=3",tbl_task9[[SubPLOs]:[SubPLOs]],"&lt;4")</f>
        <v>0</v>
      </c>
      <c r="ED36" s="138">
        <f>SUMIFS(tbl_task9[S129],tbl_task9[[SubPLOs]:[SubPLOs]],"&gt;=3",tbl_task9[[SubPLOs]:[SubPLOs]],"&lt;4")</f>
        <v>0</v>
      </c>
      <c r="EE36" s="138">
        <f>SUMIFS(tbl_task9[S130],tbl_task9[[SubPLOs]:[SubPLOs]],"&gt;=3",tbl_task9[[SubPLOs]:[SubPLOs]],"&lt;4")</f>
        <v>0</v>
      </c>
      <c r="EF36" s="138">
        <f>SUMIFS(tbl_task9[S131],tbl_task9[[SubPLOs]:[SubPLOs]],"&gt;=3",tbl_task9[[SubPLOs]:[SubPLOs]],"&lt;4")</f>
        <v>0</v>
      </c>
      <c r="EG36" s="138">
        <f>SUMIFS(tbl_task9[S132],tbl_task9[[SubPLOs]:[SubPLOs]],"&gt;=3",tbl_task9[[SubPLOs]:[SubPLOs]],"&lt;4")</f>
        <v>0</v>
      </c>
      <c r="EH36" s="138">
        <f>SUMIFS(tbl_task9[S133],tbl_task9[[SubPLOs]:[SubPLOs]],"&gt;=3",tbl_task9[[SubPLOs]:[SubPLOs]],"&lt;4")</f>
        <v>0</v>
      </c>
      <c r="EI36" s="138">
        <f>SUMIFS(tbl_task9[S134],tbl_task9[[SubPLOs]:[SubPLOs]],"&gt;=3",tbl_task9[[SubPLOs]:[SubPLOs]],"&lt;4")</f>
        <v>0</v>
      </c>
      <c r="EJ36" s="138">
        <f>SUMIFS(tbl_task9[S135],tbl_task9[[SubPLOs]:[SubPLOs]],"&gt;=3",tbl_task9[[SubPLOs]:[SubPLOs]],"&lt;4")</f>
        <v>0</v>
      </c>
      <c r="EK36" s="138">
        <f>SUMIFS(tbl_task9[S136],tbl_task9[[SubPLOs]:[SubPLOs]],"&gt;=3",tbl_task9[[SubPLOs]:[SubPLOs]],"&lt;4")</f>
        <v>0</v>
      </c>
      <c r="EL36" s="138">
        <f>SUMIFS(tbl_task9[S137],tbl_task9[[SubPLOs]:[SubPLOs]],"&gt;=3",tbl_task9[[SubPLOs]:[SubPLOs]],"&lt;4")</f>
        <v>0</v>
      </c>
      <c r="EM36" s="138">
        <f>SUMIFS(tbl_task9[S138],tbl_task9[[SubPLOs]:[SubPLOs]],"&gt;=3",tbl_task9[[SubPLOs]:[SubPLOs]],"&lt;4")</f>
        <v>0</v>
      </c>
      <c r="EN36" s="138">
        <f>SUMIFS(tbl_task9[S139],tbl_task9[[SubPLOs]:[SubPLOs]],"&gt;=3",tbl_task9[[SubPLOs]:[SubPLOs]],"&lt;4")</f>
        <v>0</v>
      </c>
      <c r="EO36" s="138">
        <f>SUMIFS(tbl_task9[S140],tbl_task9[[SubPLOs]:[SubPLOs]],"&gt;=3",tbl_task9[[SubPLOs]:[SubPLOs]],"&lt;4")</f>
        <v>0</v>
      </c>
      <c r="EP36" s="138">
        <f>SUMIFS(tbl_task9[S141],tbl_task9[[SubPLOs]:[SubPLOs]],"&gt;=3",tbl_task9[[SubPLOs]:[SubPLOs]],"&lt;4")</f>
        <v>0</v>
      </c>
      <c r="EQ36" s="138">
        <f>SUMIFS(tbl_task9[S142],tbl_task9[[SubPLOs]:[SubPLOs]],"&gt;=3",tbl_task9[[SubPLOs]:[SubPLOs]],"&lt;4")</f>
        <v>0</v>
      </c>
      <c r="ER36" s="138">
        <f>SUMIFS(tbl_task9[S143],tbl_task9[[SubPLOs]:[SubPLOs]],"&gt;=3",tbl_task9[[SubPLOs]:[SubPLOs]],"&lt;4")</f>
        <v>0</v>
      </c>
      <c r="ES36" s="138">
        <f>SUMIFS(tbl_task9[S144],tbl_task9[[SubPLOs]:[SubPLOs]],"&gt;=3",tbl_task9[[SubPLOs]:[SubPLOs]],"&lt;4")</f>
        <v>0</v>
      </c>
      <c r="ET36" s="138">
        <f>SUMIFS(tbl_task9[S145],tbl_task9[[SubPLOs]:[SubPLOs]],"&gt;=3",tbl_task9[[SubPLOs]:[SubPLOs]],"&lt;4")</f>
        <v>0</v>
      </c>
      <c r="EU36" s="138">
        <f>SUMIFS(tbl_task9[S146],tbl_task9[[SubPLOs]:[SubPLOs]],"&gt;=3",tbl_task9[[SubPLOs]:[SubPLOs]],"&lt;4")</f>
        <v>0</v>
      </c>
      <c r="EV36" s="138">
        <f>SUMIFS(tbl_task9[S147],tbl_task9[[SubPLOs]:[SubPLOs]],"&gt;=3",tbl_task9[[SubPLOs]:[SubPLOs]],"&lt;4")</f>
        <v>0</v>
      </c>
      <c r="EW36" s="138">
        <f>SUMIFS(tbl_task9[S148],tbl_task9[[SubPLOs]:[SubPLOs]],"&gt;=3",tbl_task9[[SubPLOs]:[SubPLOs]],"&lt;4")</f>
        <v>0</v>
      </c>
      <c r="EX36" s="138">
        <f>SUMIFS(tbl_task9[S149],tbl_task9[[SubPLOs]:[SubPLOs]],"&gt;=3",tbl_task9[[SubPLOs]:[SubPLOs]],"&lt;4")</f>
        <v>0</v>
      </c>
      <c r="EY36" s="138">
        <f>SUMIFS(tbl_task9[S150],tbl_task9[[SubPLOs]:[SubPLOs]],"&gt;=3",tbl_task9[[SubPLOs]:[SubPLOs]],"&lt;4")</f>
        <v>0</v>
      </c>
      <c r="EZ36" s="138">
        <f>SUMIFS(tbl_task9[S151],tbl_task9[[SubPLOs]:[SubPLOs]],"&gt;=3",tbl_task9[[SubPLOs]:[SubPLOs]],"&lt;4")</f>
        <v>0</v>
      </c>
      <c r="FA36" s="138">
        <f>SUMIFS(tbl_task9[S152],tbl_task9[[SubPLOs]:[SubPLOs]],"&gt;=3",tbl_task9[[SubPLOs]:[SubPLOs]],"&lt;4")</f>
        <v>0</v>
      </c>
      <c r="FB36" s="138">
        <f>SUMIFS(tbl_task9[S153],tbl_task9[[SubPLOs]:[SubPLOs]],"&gt;=3",tbl_task9[[SubPLOs]:[SubPLOs]],"&lt;4")</f>
        <v>0</v>
      </c>
      <c r="FC36" s="138">
        <f>SUMIFS(tbl_task9[S154],tbl_task9[[SubPLOs]:[SubPLOs]],"&gt;=3",tbl_task9[[SubPLOs]:[SubPLOs]],"&lt;4")</f>
        <v>0</v>
      </c>
      <c r="FD36" s="138">
        <f>SUMIFS(tbl_task9[S155],tbl_task9[[SubPLOs]:[SubPLOs]],"&gt;=3",tbl_task9[[SubPLOs]:[SubPLOs]],"&lt;4")</f>
        <v>0</v>
      </c>
      <c r="FE36" s="138">
        <f>SUMIFS(tbl_task9[S156],tbl_task9[[SubPLOs]:[SubPLOs]],"&gt;=3",tbl_task9[[SubPLOs]:[SubPLOs]],"&lt;4")</f>
        <v>0</v>
      </c>
      <c r="FF36" s="138">
        <f>SUMIFS(tbl_task9[S157],tbl_task9[[SubPLOs]:[SubPLOs]],"&gt;=3",tbl_task9[[SubPLOs]:[SubPLOs]],"&lt;4")</f>
        <v>0</v>
      </c>
      <c r="FG36" s="138">
        <f>SUMIFS(tbl_task9[S158],tbl_task9[[SubPLOs]:[SubPLOs]],"&gt;=3",tbl_task9[[SubPLOs]:[SubPLOs]],"&lt;4")</f>
        <v>0</v>
      </c>
      <c r="FH36" s="138">
        <f>SUMIFS(tbl_task9[S159],tbl_task9[[SubPLOs]:[SubPLOs]],"&gt;=3",tbl_task9[[SubPLOs]:[SubPLOs]],"&lt;4")</f>
        <v>0</v>
      </c>
      <c r="FI36" s="138">
        <f>SUMIFS(tbl_task9[S160],tbl_task9[[SubPLOs]:[SubPLOs]],"&gt;=3",tbl_task9[[SubPLOs]:[SubPLOs]],"&lt;4")</f>
        <v>0</v>
      </c>
      <c r="FJ36" s="138">
        <f>SUMIFS(tbl_task9[S161],tbl_task9[[SubPLOs]:[SubPLOs]],"&gt;=3",tbl_task9[[SubPLOs]:[SubPLOs]],"&lt;4")</f>
        <v>0</v>
      </c>
      <c r="FK36" s="138">
        <f>SUMIFS(tbl_task9[S162],tbl_task9[[SubPLOs]:[SubPLOs]],"&gt;=3",tbl_task9[[SubPLOs]:[SubPLOs]],"&lt;4")</f>
        <v>0</v>
      </c>
      <c r="FL36" s="138">
        <f>SUMIFS(tbl_task9[S163],tbl_task9[[SubPLOs]:[SubPLOs]],"&gt;=3",tbl_task9[[SubPLOs]:[SubPLOs]],"&lt;4")</f>
        <v>0</v>
      </c>
      <c r="FM36" s="138">
        <f>SUMIFS(tbl_task9[S164],tbl_task9[[SubPLOs]:[SubPLOs]],"&gt;=3",tbl_task9[[SubPLOs]:[SubPLOs]],"&lt;4")</f>
        <v>0</v>
      </c>
      <c r="FN36" s="138">
        <f>SUMIFS(tbl_task9[S165],tbl_task9[[SubPLOs]:[SubPLOs]],"&gt;=3",tbl_task9[[SubPLOs]:[SubPLOs]],"&lt;4")</f>
        <v>0</v>
      </c>
    </row>
    <row r="37" spans="1:170" ht="63" x14ac:dyDescent="0.25">
      <c r="A37" s="135">
        <v>4</v>
      </c>
      <c r="B37" s="5" t="s">
        <v>437</v>
      </c>
      <c r="C37" s="136">
        <f>COUNTIFS(tbl_task9[SubPLOs],"&gt;=4",tbl_task9[SubPLOs],"&lt;5")</f>
        <v>0</v>
      </c>
      <c r="D37" s="136">
        <f>SUMIFS(tbl_task9[คะแนนเต็ม],tbl_task9[SubPLOs],"&gt;=4",tbl_task9[SubPLOs],"&lt;5")</f>
        <v>0</v>
      </c>
      <c r="E37" s="137">
        <f>SUMIFS(tbl_task9[%],tbl_task9[SubPLOs],"&gt;=4",tbl_task9[SubPLOs],"&lt;5")</f>
        <v>0</v>
      </c>
      <c r="F37" s="138">
        <f>SUMIFS(tbl_task9[S1],tbl_task9[[SubPLOs]:[SubPLOs]],"&gt;=4",tbl_task9[[SubPLOs]:[SubPLOs]],"&lt;5")</f>
        <v>0</v>
      </c>
      <c r="G37" s="138">
        <f>SUMIFS(tbl_task9[S2],tbl_task9[[SubPLOs]:[SubPLOs]],"&gt;=4",tbl_task9[[SubPLOs]:[SubPLOs]],"&lt;5")</f>
        <v>0</v>
      </c>
      <c r="H37" s="138">
        <f>SUMIFS(tbl_task9[S3],tbl_task9[[SubPLOs]:[SubPLOs]],"&gt;=4",tbl_task9[[SubPLOs]:[SubPLOs]],"&lt;5")</f>
        <v>0</v>
      </c>
      <c r="I37" s="138">
        <f>SUMIFS(tbl_task9[S4],tbl_task9[[SubPLOs]:[SubPLOs]],"&gt;=4",tbl_task9[[SubPLOs]:[SubPLOs]],"&lt;5")</f>
        <v>0</v>
      </c>
      <c r="J37" s="138">
        <f>SUMIFS(tbl_task9[S5],tbl_task9[[SubPLOs]:[SubPLOs]],"&gt;=4",tbl_task9[[SubPLOs]:[SubPLOs]],"&lt;5")</f>
        <v>0</v>
      </c>
      <c r="K37" s="138">
        <f>SUMIFS(tbl_task9[S6],tbl_task9[[SubPLOs]:[SubPLOs]],"&gt;=4",tbl_task9[[SubPLOs]:[SubPLOs]],"&lt;5")</f>
        <v>0</v>
      </c>
      <c r="L37" s="138">
        <f>SUMIFS(tbl_task9[S7],tbl_task9[[SubPLOs]:[SubPLOs]],"&gt;=4",tbl_task9[[SubPLOs]:[SubPLOs]],"&lt;5")</f>
        <v>0</v>
      </c>
      <c r="M37" s="138">
        <f>SUMIFS(tbl_task9[S8],tbl_task9[[SubPLOs]:[SubPLOs]],"&gt;=4",tbl_task9[[SubPLOs]:[SubPLOs]],"&lt;5")</f>
        <v>0</v>
      </c>
      <c r="N37" s="138">
        <f>SUMIFS(tbl_task9[S9],tbl_task9[[SubPLOs]:[SubPLOs]],"&gt;=4",tbl_task9[[SubPLOs]:[SubPLOs]],"&lt;5")</f>
        <v>0</v>
      </c>
      <c r="O37" s="138">
        <f>SUMIFS(tbl_task9[S10],tbl_task9[[SubPLOs]:[SubPLOs]],"&gt;=4",tbl_task9[[SubPLOs]:[SubPLOs]],"&lt;5")</f>
        <v>0</v>
      </c>
      <c r="P37" s="138">
        <f>SUMIFS(tbl_task9[S11],tbl_task9[[SubPLOs]:[SubPLOs]],"&gt;=4",tbl_task9[[SubPLOs]:[SubPLOs]],"&lt;5")</f>
        <v>0</v>
      </c>
      <c r="Q37" s="138">
        <f>SUMIFS(tbl_task9[S12],tbl_task9[[SubPLOs]:[SubPLOs]],"&gt;=4",tbl_task9[[SubPLOs]:[SubPLOs]],"&lt;5")</f>
        <v>0</v>
      </c>
      <c r="R37" s="138">
        <f>SUMIFS(tbl_task9[S13],tbl_task9[[SubPLOs]:[SubPLOs]],"&gt;=4",tbl_task9[[SubPLOs]:[SubPLOs]],"&lt;5")</f>
        <v>0</v>
      </c>
      <c r="S37" s="138">
        <f>SUMIFS(tbl_task9[S14],tbl_task9[[SubPLOs]:[SubPLOs]],"&gt;=4",tbl_task9[[SubPLOs]:[SubPLOs]],"&lt;5")</f>
        <v>0</v>
      </c>
      <c r="T37" s="138">
        <f>SUMIFS(tbl_task9[S15],tbl_task9[[SubPLOs]:[SubPLOs]],"&gt;=4",tbl_task9[[SubPLOs]:[SubPLOs]],"&lt;5")</f>
        <v>0</v>
      </c>
      <c r="U37" s="138">
        <f>SUMIFS(tbl_task9[S16],tbl_task9[[SubPLOs]:[SubPLOs]],"&gt;=4",tbl_task9[[SubPLOs]:[SubPLOs]],"&lt;5")</f>
        <v>0</v>
      </c>
      <c r="V37" s="138">
        <f>SUMIFS(tbl_task9[S17],tbl_task9[[SubPLOs]:[SubPLOs]],"&gt;=4",tbl_task9[[SubPLOs]:[SubPLOs]],"&lt;5")</f>
        <v>0</v>
      </c>
      <c r="W37" s="138">
        <f>SUMIFS(tbl_task9[S18],tbl_task9[[SubPLOs]:[SubPLOs]],"&gt;=4",tbl_task9[[SubPLOs]:[SubPLOs]],"&lt;5")</f>
        <v>0</v>
      </c>
      <c r="X37" s="138">
        <f>SUMIFS(tbl_task9[S19],tbl_task9[[SubPLOs]:[SubPLOs]],"&gt;=4",tbl_task9[[SubPLOs]:[SubPLOs]],"&lt;5")</f>
        <v>0</v>
      </c>
      <c r="Y37" s="138">
        <f>SUMIFS(tbl_task9[S20],tbl_task9[[SubPLOs]:[SubPLOs]],"&gt;=4",tbl_task9[[SubPLOs]:[SubPLOs]],"&lt;5")</f>
        <v>0</v>
      </c>
      <c r="Z37" s="138">
        <f>SUMIFS(tbl_task9[S21],tbl_task9[[SubPLOs]:[SubPLOs]],"&gt;=4",tbl_task9[[SubPLOs]:[SubPLOs]],"&lt;5")</f>
        <v>0</v>
      </c>
      <c r="AA37" s="138">
        <f>SUMIFS(tbl_task9[S22],tbl_task9[[SubPLOs]:[SubPLOs]],"&gt;=4",tbl_task9[[SubPLOs]:[SubPLOs]],"&lt;5")</f>
        <v>0</v>
      </c>
      <c r="AB37" s="138">
        <f>SUMIFS(tbl_task9[S23],tbl_task9[[SubPLOs]:[SubPLOs]],"&gt;=4",tbl_task9[[SubPLOs]:[SubPLOs]],"&lt;5")</f>
        <v>0</v>
      </c>
      <c r="AC37" s="138">
        <f>SUMIFS(tbl_task9[S24],tbl_task9[[SubPLOs]:[SubPLOs]],"&gt;=4",tbl_task9[[SubPLOs]:[SubPLOs]],"&lt;5")</f>
        <v>0</v>
      </c>
      <c r="AD37" s="138">
        <f>SUMIFS(tbl_task9[S25],tbl_task9[[SubPLOs]:[SubPLOs]],"&gt;=4",tbl_task9[[SubPLOs]:[SubPLOs]],"&lt;5")</f>
        <v>0</v>
      </c>
      <c r="AE37" s="138">
        <f>SUMIFS(tbl_task9[S26],tbl_task9[[SubPLOs]:[SubPLOs]],"&gt;=4",tbl_task9[[SubPLOs]:[SubPLOs]],"&lt;5")</f>
        <v>0</v>
      </c>
      <c r="AF37" s="138">
        <f>SUMIFS(tbl_task9[S27],tbl_task9[[SubPLOs]:[SubPLOs]],"&gt;=4",tbl_task9[[SubPLOs]:[SubPLOs]],"&lt;5")</f>
        <v>0</v>
      </c>
      <c r="AG37" s="138">
        <f>SUMIFS(tbl_task9[S28],tbl_task9[[SubPLOs]:[SubPLOs]],"&gt;=4",tbl_task9[[SubPLOs]:[SubPLOs]],"&lt;5")</f>
        <v>0</v>
      </c>
      <c r="AH37" s="138">
        <f>SUMIFS(tbl_task9[S29],tbl_task9[[SubPLOs]:[SubPLOs]],"&gt;=4",tbl_task9[[SubPLOs]:[SubPLOs]],"&lt;5")</f>
        <v>0</v>
      </c>
      <c r="AI37" s="138">
        <f>SUMIFS(tbl_task9[S30],tbl_task9[[SubPLOs]:[SubPLOs]],"&gt;=4",tbl_task9[[SubPLOs]:[SubPLOs]],"&lt;5")</f>
        <v>0</v>
      </c>
      <c r="AJ37" s="138">
        <f>SUMIFS(tbl_task9[S31],tbl_task9[[SubPLOs]:[SubPLOs]],"&gt;=4",tbl_task9[[SubPLOs]:[SubPLOs]],"&lt;5")</f>
        <v>0</v>
      </c>
      <c r="AK37" s="138">
        <f>SUMIFS(tbl_task9[S32],tbl_task9[[SubPLOs]:[SubPLOs]],"&gt;=4",tbl_task9[[SubPLOs]:[SubPLOs]],"&lt;5")</f>
        <v>0</v>
      </c>
      <c r="AL37" s="138">
        <f>SUMIFS(tbl_task9[S33],tbl_task9[[SubPLOs]:[SubPLOs]],"&gt;=4",tbl_task9[[SubPLOs]:[SubPLOs]],"&lt;5")</f>
        <v>0</v>
      </c>
      <c r="AM37" s="138">
        <f>SUMIFS(tbl_task9[S34],tbl_task9[[SubPLOs]:[SubPLOs]],"&gt;=4",tbl_task9[[SubPLOs]:[SubPLOs]],"&lt;5")</f>
        <v>0</v>
      </c>
      <c r="AN37" s="138">
        <f>SUMIFS(tbl_task9[S35],tbl_task9[[SubPLOs]:[SubPLOs]],"&gt;=4",tbl_task9[[SubPLOs]:[SubPLOs]],"&lt;5")</f>
        <v>0</v>
      </c>
      <c r="AO37" s="138">
        <f>SUMIFS(tbl_task9[S36],tbl_task9[[SubPLOs]:[SubPLOs]],"&gt;=4",tbl_task9[[SubPLOs]:[SubPLOs]],"&lt;5")</f>
        <v>0</v>
      </c>
      <c r="AP37" s="138">
        <f>SUMIFS(tbl_task9[S37],tbl_task9[[SubPLOs]:[SubPLOs]],"&gt;=4",tbl_task9[[SubPLOs]:[SubPLOs]],"&lt;5")</f>
        <v>0</v>
      </c>
      <c r="AQ37" s="138">
        <f>SUMIFS(tbl_task9[S38],tbl_task9[[SubPLOs]:[SubPLOs]],"&gt;=4",tbl_task9[[SubPLOs]:[SubPLOs]],"&lt;5")</f>
        <v>0</v>
      </c>
      <c r="AR37" s="138">
        <f>SUMIFS(tbl_task9[S39],tbl_task9[[SubPLOs]:[SubPLOs]],"&gt;=4",tbl_task9[[SubPLOs]:[SubPLOs]],"&lt;5")</f>
        <v>0</v>
      </c>
      <c r="AS37" s="138">
        <f>SUMIFS(tbl_task9[S40],tbl_task9[[SubPLOs]:[SubPLOs]],"&gt;=4",tbl_task9[[SubPLOs]:[SubPLOs]],"&lt;5")</f>
        <v>0</v>
      </c>
      <c r="AT37" s="138">
        <f>SUMIFS(tbl_task9[S41],tbl_task9[[SubPLOs]:[SubPLOs]],"&gt;=4",tbl_task9[[SubPLOs]:[SubPLOs]],"&lt;5")</f>
        <v>0</v>
      </c>
      <c r="AU37" s="138">
        <f>SUMIFS(tbl_task9[S42],tbl_task9[[SubPLOs]:[SubPLOs]],"&gt;=4",tbl_task9[[SubPLOs]:[SubPLOs]],"&lt;5")</f>
        <v>0</v>
      </c>
      <c r="AV37" s="138">
        <f>SUMIFS(tbl_task9[S43],tbl_task9[[SubPLOs]:[SubPLOs]],"&gt;=4",tbl_task9[[SubPLOs]:[SubPLOs]],"&lt;5")</f>
        <v>0</v>
      </c>
      <c r="AW37" s="138">
        <f>SUMIFS(tbl_task9[S44],tbl_task9[[SubPLOs]:[SubPLOs]],"&gt;=4",tbl_task9[[SubPLOs]:[SubPLOs]],"&lt;5")</f>
        <v>0</v>
      </c>
      <c r="AX37" s="138">
        <f>SUMIFS(tbl_task9[S45],tbl_task9[[SubPLOs]:[SubPLOs]],"&gt;=4",tbl_task9[[SubPLOs]:[SubPLOs]],"&lt;5")</f>
        <v>0</v>
      </c>
      <c r="AY37" s="138">
        <f>SUMIFS(tbl_task9[S46],tbl_task9[[SubPLOs]:[SubPLOs]],"&gt;=4",tbl_task9[[SubPLOs]:[SubPLOs]],"&lt;5")</f>
        <v>0</v>
      </c>
      <c r="AZ37" s="138">
        <f>SUMIFS(tbl_task9[S47],tbl_task9[[SubPLOs]:[SubPLOs]],"&gt;=4",tbl_task9[[SubPLOs]:[SubPLOs]],"&lt;5")</f>
        <v>0</v>
      </c>
      <c r="BA37" s="138">
        <f>SUMIFS(tbl_task9[S48],tbl_task9[[SubPLOs]:[SubPLOs]],"&gt;=4",tbl_task9[[SubPLOs]:[SubPLOs]],"&lt;5")</f>
        <v>0</v>
      </c>
      <c r="BB37" s="138">
        <f>SUMIFS(tbl_task9[S49],tbl_task9[[SubPLOs]:[SubPLOs]],"&gt;=4",tbl_task9[[SubPLOs]:[SubPLOs]],"&lt;5")</f>
        <v>0</v>
      </c>
      <c r="BC37" s="138">
        <f>SUMIFS(tbl_task9[S50],tbl_task9[[SubPLOs]:[SubPLOs]],"&gt;=4",tbl_task9[[SubPLOs]:[SubPLOs]],"&lt;5")</f>
        <v>0</v>
      </c>
      <c r="BD37" s="138">
        <f>SUMIFS(tbl_task9[S51],tbl_task9[[SubPLOs]:[SubPLOs]],"&gt;=4",tbl_task9[[SubPLOs]:[SubPLOs]],"&lt;5")</f>
        <v>0</v>
      </c>
      <c r="BE37" s="138">
        <f>SUMIFS(tbl_task9[S52],tbl_task9[[SubPLOs]:[SubPLOs]],"&gt;=4",tbl_task9[[SubPLOs]:[SubPLOs]],"&lt;5")</f>
        <v>0</v>
      </c>
      <c r="BF37" s="138">
        <f>SUMIFS(tbl_task9[S53],tbl_task9[[SubPLOs]:[SubPLOs]],"&gt;=4",tbl_task9[[SubPLOs]:[SubPLOs]],"&lt;5")</f>
        <v>0</v>
      </c>
      <c r="BG37" s="138">
        <f>SUMIFS(tbl_task9[S54],tbl_task9[[SubPLOs]:[SubPLOs]],"&gt;=4",tbl_task9[[SubPLOs]:[SubPLOs]],"&lt;5")</f>
        <v>0</v>
      </c>
      <c r="BH37" s="138">
        <f>SUMIFS(tbl_task9[S55],tbl_task9[[SubPLOs]:[SubPLOs]],"&gt;=4",tbl_task9[[SubPLOs]:[SubPLOs]],"&lt;5")</f>
        <v>0</v>
      </c>
      <c r="BI37" s="138">
        <f>SUMIFS(tbl_task9[S56],tbl_task9[[SubPLOs]:[SubPLOs]],"&gt;=4",tbl_task9[[SubPLOs]:[SubPLOs]],"&lt;5")</f>
        <v>0</v>
      </c>
      <c r="BJ37" s="138">
        <f>SUMIFS(tbl_task9[S57],tbl_task9[[SubPLOs]:[SubPLOs]],"&gt;=4",tbl_task9[[SubPLOs]:[SubPLOs]],"&lt;5")</f>
        <v>0</v>
      </c>
      <c r="BK37" s="138">
        <f>SUMIFS(tbl_task9[S58],tbl_task9[[SubPLOs]:[SubPLOs]],"&gt;=4",tbl_task9[[SubPLOs]:[SubPLOs]],"&lt;5")</f>
        <v>0</v>
      </c>
      <c r="BL37" s="138">
        <f>SUMIFS(tbl_task9[S59],tbl_task9[[SubPLOs]:[SubPLOs]],"&gt;=4",tbl_task9[[SubPLOs]:[SubPLOs]],"&lt;5")</f>
        <v>0</v>
      </c>
      <c r="BM37" s="138">
        <f>SUMIFS(tbl_task9[S60],tbl_task9[[SubPLOs]:[SubPLOs]],"&gt;=4",tbl_task9[[SubPLOs]:[SubPLOs]],"&lt;5")</f>
        <v>0</v>
      </c>
      <c r="BN37" s="138">
        <f>SUMIFS(tbl_task9[S61],tbl_task9[[SubPLOs]:[SubPLOs]],"&gt;=4",tbl_task9[[SubPLOs]:[SubPLOs]],"&lt;5")</f>
        <v>0</v>
      </c>
      <c r="BO37" s="138">
        <f>SUMIFS(tbl_task9[S62],tbl_task9[[SubPLOs]:[SubPLOs]],"&gt;=4",tbl_task9[[SubPLOs]:[SubPLOs]],"&lt;5")</f>
        <v>0</v>
      </c>
      <c r="BP37" s="138">
        <f>SUMIFS(tbl_task9[S63],tbl_task9[[SubPLOs]:[SubPLOs]],"&gt;=4",tbl_task9[[SubPLOs]:[SubPLOs]],"&lt;5")</f>
        <v>0</v>
      </c>
      <c r="BQ37" s="138">
        <f>SUMIFS(tbl_task9[S64],tbl_task9[[SubPLOs]:[SubPLOs]],"&gt;=4",tbl_task9[[SubPLOs]:[SubPLOs]],"&lt;5")</f>
        <v>0</v>
      </c>
      <c r="BR37" s="138">
        <f>SUMIFS(tbl_task9[S65],tbl_task9[[SubPLOs]:[SubPLOs]],"&gt;=4",tbl_task9[[SubPLOs]:[SubPLOs]],"&lt;5")</f>
        <v>0</v>
      </c>
      <c r="BS37" s="138">
        <f>SUMIFS(tbl_task9[S66],tbl_task9[[SubPLOs]:[SubPLOs]],"&gt;=4",tbl_task9[[SubPLOs]:[SubPLOs]],"&lt;5")</f>
        <v>0</v>
      </c>
      <c r="BT37" s="138">
        <f>SUMIFS(tbl_task9[S67],tbl_task9[[SubPLOs]:[SubPLOs]],"&gt;=4",tbl_task9[[SubPLOs]:[SubPLOs]],"&lt;5")</f>
        <v>0</v>
      </c>
      <c r="BU37" s="138">
        <f>SUMIFS(tbl_task9[S68],tbl_task9[[SubPLOs]:[SubPLOs]],"&gt;=4",tbl_task9[[SubPLOs]:[SubPLOs]],"&lt;5")</f>
        <v>0</v>
      </c>
      <c r="BV37" s="138">
        <f>SUMIFS(tbl_task9[S69],tbl_task9[[SubPLOs]:[SubPLOs]],"&gt;=4",tbl_task9[[SubPLOs]:[SubPLOs]],"&lt;5")</f>
        <v>0</v>
      </c>
      <c r="BW37" s="138">
        <f>SUMIFS(tbl_task9[S70],tbl_task9[[SubPLOs]:[SubPLOs]],"&gt;=4",tbl_task9[[SubPLOs]:[SubPLOs]],"&lt;5")</f>
        <v>0</v>
      </c>
      <c r="BX37" s="138">
        <f>SUMIFS(tbl_task9[S71],tbl_task9[[SubPLOs]:[SubPLOs]],"&gt;=4",tbl_task9[[SubPLOs]:[SubPLOs]],"&lt;5")</f>
        <v>0</v>
      </c>
      <c r="BY37" s="138">
        <f>SUMIFS(tbl_task9[S72],tbl_task9[[SubPLOs]:[SubPLOs]],"&gt;=4",tbl_task9[[SubPLOs]:[SubPLOs]],"&lt;5")</f>
        <v>0</v>
      </c>
      <c r="BZ37" s="138">
        <f>SUMIFS(tbl_task9[S73],tbl_task9[[SubPLOs]:[SubPLOs]],"&gt;=4",tbl_task9[[SubPLOs]:[SubPLOs]],"&lt;5")</f>
        <v>0</v>
      </c>
      <c r="CA37" s="138">
        <f>SUMIFS(tbl_task9[S74],tbl_task9[[SubPLOs]:[SubPLOs]],"&gt;=4",tbl_task9[[SubPLOs]:[SubPLOs]],"&lt;5")</f>
        <v>0</v>
      </c>
      <c r="CB37" s="138">
        <f>SUMIFS(tbl_task9[S75],tbl_task9[[SubPLOs]:[SubPLOs]],"&gt;=4",tbl_task9[[SubPLOs]:[SubPLOs]],"&lt;5")</f>
        <v>0</v>
      </c>
      <c r="CC37" s="138">
        <f>SUMIFS(tbl_task9[S76],tbl_task9[[SubPLOs]:[SubPLOs]],"&gt;=4",tbl_task9[[SubPLOs]:[SubPLOs]],"&lt;5")</f>
        <v>0</v>
      </c>
      <c r="CD37" s="138">
        <f>SUMIFS(tbl_task9[S77],tbl_task9[[SubPLOs]:[SubPLOs]],"&gt;=4",tbl_task9[[SubPLOs]:[SubPLOs]],"&lt;5")</f>
        <v>0</v>
      </c>
      <c r="CE37" s="138">
        <f>SUMIFS(tbl_task9[S78],tbl_task9[[SubPLOs]:[SubPLOs]],"&gt;=4",tbl_task9[[SubPLOs]:[SubPLOs]],"&lt;5")</f>
        <v>0</v>
      </c>
      <c r="CF37" s="138">
        <f>SUMIFS(tbl_task9[S79],tbl_task9[[SubPLOs]:[SubPLOs]],"&gt;=4",tbl_task9[[SubPLOs]:[SubPLOs]],"&lt;5")</f>
        <v>0</v>
      </c>
      <c r="CG37" s="138">
        <f>SUMIFS(tbl_task9[S80],tbl_task9[[SubPLOs]:[SubPLOs]],"&gt;=4",tbl_task9[[SubPLOs]:[SubPLOs]],"&lt;5")</f>
        <v>0</v>
      </c>
      <c r="CH37" s="138">
        <f>SUMIFS(tbl_task9[S81],tbl_task9[[SubPLOs]:[SubPLOs]],"&gt;=4",tbl_task9[[SubPLOs]:[SubPLOs]],"&lt;5")</f>
        <v>0</v>
      </c>
      <c r="CI37" s="138">
        <f>SUMIFS(tbl_task9[S82],tbl_task9[[SubPLOs]:[SubPLOs]],"&gt;=4",tbl_task9[[SubPLOs]:[SubPLOs]],"&lt;5")</f>
        <v>0</v>
      </c>
      <c r="CJ37" s="138">
        <f>SUMIFS(tbl_task9[S83],tbl_task9[[SubPLOs]:[SubPLOs]],"&gt;=4",tbl_task9[[SubPLOs]:[SubPLOs]],"&lt;5")</f>
        <v>0</v>
      </c>
      <c r="CK37" s="138">
        <f>SUMIFS(tbl_task9[S84],tbl_task9[[SubPLOs]:[SubPLOs]],"&gt;=4",tbl_task9[[SubPLOs]:[SubPLOs]],"&lt;5")</f>
        <v>0</v>
      </c>
      <c r="CL37" s="138">
        <f>SUMIFS(tbl_task9[S85],tbl_task9[[SubPLOs]:[SubPLOs]],"&gt;=4",tbl_task9[[SubPLOs]:[SubPLOs]],"&lt;5")</f>
        <v>0</v>
      </c>
      <c r="CM37" s="138">
        <f>SUMIFS(tbl_task9[S86],tbl_task9[[SubPLOs]:[SubPLOs]],"&gt;=4",tbl_task9[[SubPLOs]:[SubPLOs]],"&lt;5")</f>
        <v>0</v>
      </c>
      <c r="CN37" s="138">
        <f>SUMIFS(tbl_task9[S87],tbl_task9[[SubPLOs]:[SubPLOs]],"&gt;=4",tbl_task9[[SubPLOs]:[SubPLOs]],"&lt;5")</f>
        <v>0</v>
      </c>
      <c r="CO37" s="138">
        <f>SUMIFS(tbl_task9[S88],tbl_task9[[SubPLOs]:[SubPLOs]],"&gt;=4",tbl_task9[[SubPLOs]:[SubPLOs]],"&lt;5")</f>
        <v>0</v>
      </c>
      <c r="CP37" s="138">
        <f>SUMIFS(tbl_task9[S89],tbl_task9[[SubPLOs]:[SubPLOs]],"&gt;=4",tbl_task9[[SubPLOs]:[SubPLOs]],"&lt;5")</f>
        <v>0</v>
      </c>
      <c r="CQ37" s="138">
        <f>SUMIFS(tbl_task9[S90],tbl_task9[[SubPLOs]:[SubPLOs]],"&gt;=4",tbl_task9[[SubPLOs]:[SubPLOs]],"&lt;5")</f>
        <v>0</v>
      </c>
      <c r="CR37" s="138">
        <f>SUMIFS(tbl_task9[S91],tbl_task9[[SubPLOs]:[SubPLOs]],"&gt;=4",tbl_task9[[SubPLOs]:[SubPLOs]],"&lt;5")</f>
        <v>0</v>
      </c>
      <c r="CS37" s="138">
        <f>SUMIFS(tbl_task9[S92],tbl_task9[[SubPLOs]:[SubPLOs]],"&gt;=4",tbl_task9[[SubPLOs]:[SubPLOs]],"&lt;5")</f>
        <v>0</v>
      </c>
      <c r="CT37" s="138">
        <f>SUMIFS(tbl_task9[S93],tbl_task9[[SubPLOs]:[SubPLOs]],"&gt;=4",tbl_task9[[SubPLOs]:[SubPLOs]],"&lt;5")</f>
        <v>0</v>
      </c>
      <c r="CU37" s="138">
        <f>SUMIFS(tbl_task9[S94],tbl_task9[[SubPLOs]:[SubPLOs]],"&gt;=4",tbl_task9[[SubPLOs]:[SubPLOs]],"&lt;5")</f>
        <v>0</v>
      </c>
      <c r="CV37" s="138">
        <f>SUMIFS(tbl_task9[S95],tbl_task9[[SubPLOs]:[SubPLOs]],"&gt;=4",tbl_task9[[SubPLOs]:[SubPLOs]],"&lt;5")</f>
        <v>0</v>
      </c>
      <c r="CW37" s="138">
        <f>SUMIFS(tbl_task9[S96],tbl_task9[[SubPLOs]:[SubPLOs]],"&gt;=4",tbl_task9[[SubPLOs]:[SubPLOs]],"&lt;5")</f>
        <v>0</v>
      </c>
      <c r="CX37" s="138">
        <f>SUMIFS(tbl_task9[S97],tbl_task9[[SubPLOs]:[SubPLOs]],"&gt;=4",tbl_task9[[SubPLOs]:[SubPLOs]],"&lt;5")</f>
        <v>0</v>
      </c>
      <c r="CY37" s="138">
        <f>SUMIFS(tbl_task9[S98],tbl_task9[[SubPLOs]:[SubPLOs]],"&gt;=4",tbl_task9[[SubPLOs]:[SubPLOs]],"&lt;5")</f>
        <v>0</v>
      </c>
      <c r="CZ37" s="138">
        <f>SUMIFS(tbl_task9[S99],tbl_task9[[SubPLOs]:[SubPLOs]],"&gt;=4",tbl_task9[[SubPLOs]:[SubPLOs]],"&lt;5")</f>
        <v>0</v>
      </c>
      <c r="DA37" s="138">
        <f>SUMIFS(tbl_task9[S100],tbl_task9[[SubPLOs]:[SubPLOs]],"&gt;=4",tbl_task9[[SubPLOs]:[SubPLOs]],"&lt;5")</f>
        <v>0</v>
      </c>
      <c r="DB37" s="138">
        <f>SUMIFS(tbl_task9[S101],tbl_task9[[SubPLOs]:[SubPLOs]],"&gt;=4",tbl_task9[[SubPLOs]:[SubPLOs]],"&lt;5")</f>
        <v>0</v>
      </c>
      <c r="DC37" s="138">
        <f>SUMIFS(tbl_task9[S102],tbl_task9[[SubPLOs]:[SubPLOs]],"&gt;=4",tbl_task9[[SubPLOs]:[SubPLOs]],"&lt;5")</f>
        <v>0</v>
      </c>
      <c r="DD37" s="138">
        <f>SUMIFS(tbl_task9[S103],tbl_task9[[SubPLOs]:[SubPLOs]],"&gt;=4",tbl_task9[[SubPLOs]:[SubPLOs]],"&lt;5")</f>
        <v>0</v>
      </c>
      <c r="DE37" s="138">
        <f>SUMIFS(tbl_task9[S104],tbl_task9[[SubPLOs]:[SubPLOs]],"&gt;=4",tbl_task9[[SubPLOs]:[SubPLOs]],"&lt;5")</f>
        <v>0</v>
      </c>
      <c r="DF37" s="138">
        <f>SUMIFS(tbl_task9[S105],tbl_task9[[SubPLOs]:[SubPLOs]],"&gt;=4",tbl_task9[[SubPLOs]:[SubPLOs]],"&lt;5")</f>
        <v>0</v>
      </c>
      <c r="DG37" s="138">
        <f>SUMIFS(tbl_task9[S106],tbl_task9[[SubPLOs]:[SubPLOs]],"&gt;=4",tbl_task9[[SubPLOs]:[SubPLOs]],"&lt;5")</f>
        <v>0</v>
      </c>
      <c r="DH37" s="138">
        <f>SUMIFS(tbl_task9[S106],tbl_task9[[SubPLOs]:[SubPLOs]],"&gt;=4",tbl_task9[[SubPLOs]:[SubPLOs]],"&lt;5")</f>
        <v>0</v>
      </c>
      <c r="DI37" s="138">
        <f>SUMIFS(tbl_task9[S108],tbl_task9[[SubPLOs]:[SubPLOs]],"&gt;=4",tbl_task9[[SubPLOs]:[SubPLOs]],"&lt;5")</f>
        <v>0</v>
      </c>
      <c r="DJ37" s="138">
        <f>SUMIFS(tbl_task9[S109],tbl_task9[[SubPLOs]:[SubPLOs]],"&gt;=4",tbl_task9[[SubPLOs]:[SubPLOs]],"&lt;5")</f>
        <v>0</v>
      </c>
      <c r="DK37" s="138">
        <f>SUMIFS(tbl_task9[S110],tbl_task9[[SubPLOs]:[SubPLOs]],"&gt;=4",tbl_task9[[SubPLOs]:[SubPLOs]],"&lt;5")</f>
        <v>0</v>
      </c>
      <c r="DL37" s="138">
        <f>SUMIFS(tbl_task9[S111],tbl_task9[[SubPLOs]:[SubPLOs]],"&gt;=4",tbl_task9[[SubPLOs]:[SubPLOs]],"&lt;5")</f>
        <v>0</v>
      </c>
      <c r="DM37" s="138">
        <f>SUMIFS(tbl_task9[S112],tbl_task9[[SubPLOs]:[SubPLOs]],"&gt;=4",tbl_task9[[SubPLOs]:[SubPLOs]],"&lt;5")</f>
        <v>0</v>
      </c>
      <c r="DN37" s="138">
        <f>SUMIFS(tbl_task9[S113],tbl_task9[[SubPLOs]:[SubPLOs]],"&gt;=4",tbl_task9[[SubPLOs]:[SubPLOs]],"&lt;5")</f>
        <v>0</v>
      </c>
      <c r="DO37" s="138">
        <f>SUMIFS(tbl_task9[S114],tbl_task9[[SubPLOs]:[SubPLOs]],"&gt;=4",tbl_task9[[SubPLOs]:[SubPLOs]],"&lt;5")</f>
        <v>0</v>
      </c>
      <c r="DP37" s="138">
        <f>SUMIFS(tbl_task9[S115],tbl_task9[[SubPLOs]:[SubPLOs]],"&gt;=4",tbl_task9[[SubPLOs]:[SubPLOs]],"&lt;5")</f>
        <v>0</v>
      </c>
      <c r="DQ37" s="138">
        <f>SUMIFS(tbl_task9[S116],tbl_task9[[SubPLOs]:[SubPLOs]],"&gt;=4",tbl_task9[[SubPLOs]:[SubPLOs]],"&lt;5")</f>
        <v>0</v>
      </c>
      <c r="DR37" s="138">
        <f>SUMIFS(tbl_task9[S117],tbl_task9[[SubPLOs]:[SubPLOs]],"&gt;=4",tbl_task9[[SubPLOs]:[SubPLOs]],"&lt;5")</f>
        <v>0</v>
      </c>
      <c r="DS37" s="138">
        <f>SUMIFS(tbl_task9[S118],tbl_task9[[SubPLOs]:[SubPLOs]],"&gt;=4",tbl_task9[[SubPLOs]:[SubPLOs]],"&lt;5")</f>
        <v>0</v>
      </c>
      <c r="DT37" s="138">
        <f>SUMIFS(tbl_task9[S119],tbl_task9[[SubPLOs]:[SubPLOs]],"&gt;=4",tbl_task9[[SubPLOs]:[SubPLOs]],"&lt;5")</f>
        <v>0</v>
      </c>
      <c r="DU37" s="138">
        <f>SUMIFS(tbl_task9[S120],tbl_task9[[SubPLOs]:[SubPLOs]],"&gt;=4",tbl_task9[[SubPLOs]:[SubPLOs]],"&lt;5")</f>
        <v>0</v>
      </c>
      <c r="DV37" s="138">
        <f>SUMIFS(tbl_task9[S121],tbl_task9[[SubPLOs]:[SubPLOs]],"&gt;=4",tbl_task9[[SubPLOs]:[SubPLOs]],"&lt;5")</f>
        <v>0</v>
      </c>
      <c r="DW37" s="138">
        <f>SUMIFS(tbl_task9[S122],tbl_task9[[SubPLOs]:[SubPLOs]],"&gt;=4",tbl_task9[[SubPLOs]:[SubPLOs]],"&lt;5")</f>
        <v>0</v>
      </c>
      <c r="DX37" s="138">
        <f>SUMIFS(tbl_task9[S123],tbl_task9[[SubPLOs]:[SubPLOs]],"&gt;=4",tbl_task9[[SubPLOs]:[SubPLOs]],"&lt;5")</f>
        <v>0</v>
      </c>
      <c r="DY37" s="138">
        <f>SUMIFS(tbl_task9[S124],tbl_task9[[SubPLOs]:[SubPLOs]],"&gt;=4",tbl_task9[[SubPLOs]:[SubPLOs]],"&lt;5")</f>
        <v>0</v>
      </c>
      <c r="DZ37" s="138">
        <f>SUMIFS(tbl_task9[S125],tbl_task9[[SubPLOs]:[SubPLOs]],"&gt;=4",tbl_task9[[SubPLOs]:[SubPLOs]],"&lt;5")</f>
        <v>0</v>
      </c>
      <c r="EA37" s="138">
        <f>SUMIFS(tbl_task9[S126],tbl_task9[[SubPLOs]:[SubPLOs]],"&gt;=4",tbl_task9[[SubPLOs]:[SubPLOs]],"&lt;5")</f>
        <v>0</v>
      </c>
      <c r="EB37" s="138">
        <f>SUMIFS(tbl_task9[S127],tbl_task9[[SubPLOs]:[SubPLOs]],"&gt;=4",tbl_task9[[SubPLOs]:[SubPLOs]],"&lt;5")</f>
        <v>0</v>
      </c>
      <c r="EC37" s="138">
        <f>SUMIFS(tbl_task9[S128],tbl_task9[[SubPLOs]:[SubPLOs]],"&gt;=4",tbl_task9[[SubPLOs]:[SubPLOs]],"&lt;5")</f>
        <v>0</v>
      </c>
      <c r="ED37" s="138">
        <f>SUMIFS(tbl_task9[S129],tbl_task9[[SubPLOs]:[SubPLOs]],"&gt;=4",tbl_task9[[SubPLOs]:[SubPLOs]],"&lt;5")</f>
        <v>0</v>
      </c>
      <c r="EE37" s="138">
        <f>SUMIFS(tbl_task9[S130],tbl_task9[[SubPLOs]:[SubPLOs]],"&gt;=4",tbl_task9[[SubPLOs]:[SubPLOs]],"&lt;5")</f>
        <v>0</v>
      </c>
      <c r="EF37" s="138">
        <f>SUMIFS(tbl_task9[S131],tbl_task9[[SubPLOs]:[SubPLOs]],"&gt;=4",tbl_task9[[SubPLOs]:[SubPLOs]],"&lt;5")</f>
        <v>0</v>
      </c>
      <c r="EG37" s="138">
        <f>SUMIFS(tbl_task9[S132],tbl_task9[[SubPLOs]:[SubPLOs]],"&gt;=4",tbl_task9[[SubPLOs]:[SubPLOs]],"&lt;5")</f>
        <v>0</v>
      </c>
      <c r="EH37" s="138">
        <f>SUMIFS(tbl_task9[S133],tbl_task9[[SubPLOs]:[SubPLOs]],"&gt;=4",tbl_task9[[SubPLOs]:[SubPLOs]],"&lt;5")</f>
        <v>0</v>
      </c>
      <c r="EI37" s="138">
        <f>SUMIFS(tbl_task9[S134],tbl_task9[[SubPLOs]:[SubPLOs]],"&gt;=4",tbl_task9[[SubPLOs]:[SubPLOs]],"&lt;5")</f>
        <v>0</v>
      </c>
      <c r="EJ37" s="138">
        <f>SUMIFS(tbl_task9[S135],tbl_task9[[SubPLOs]:[SubPLOs]],"&gt;=4",tbl_task9[[SubPLOs]:[SubPLOs]],"&lt;5")</f>
        <v>0</v>
      </c>
      <c r="EK37" s="138">
        <f>SUMIFS(tbl_task9[S136],tbl_task9[[SubPLOs]:[SubPLOs]],"&gt;=4",tbl_task9[[SubPLOs]:[SubPLOs]],"&lt;5")</f>
        <v>0</v>
      </c>
      <c r="EL37" s="138">
        <f>SUMIFS(tbl_task9[S137],tbl_task9[[SubPLOs]:[SubPLOs]],"&gt;=4",tbl_task9[[SubPLOs]:[SubPLOs]],"&lt;5")</f>
        <v>0</v>
      </c>
      <c r="EM37" s="138">
        <f>SUMIFS(tbl_task9[S138],tbl_task9[[SubPLOs]:[SubPLOs]],"&gt;=4",tbl_task9[[SubPLOs]:[SubPLOs]],"&lt;5")</f>
        <v>0</v>
      </c>
      <c r="EN37" s="138">
        <f>SUMIFS(tbl_task9[S139],tbl_task9[[SubPLOs]:[SubPLOs]],"&gt;=4",tbl_task9[[SubPLOs]:[SubPLOs]],"&lt;5")</f>
        <v>0</v>
      </c>
      <c r="EO37" s="138">
        <f>SUMIFS(tbl_task9[S140],tbl_task9[[SubPLOs]:[SubPLOs]],"&gt;=4",tbl_task9[[SubPLOs]:[SubPLOs]],"&lt;5")</f>
        <v>0</v>
      </c>
      <c r="EP37" s="138">
        <f>SUMIFS(tbl_task9[S141],tbl_task9[[SubPLOs]:[SubPLOs]],"&gt;=4",tbl_task9[[SubPLOs]:[SubPLOs]],"&lt;5")</f>
        <v>0</v>
      </c>
      <c r="EQ37" s="138">
        <f>SUMIFS(tbl_task9[S142],tbl_task9[[SubPLOs]:[SubPLOs]],"&gt;=4",tbl_task9[[SubPLOs]:[SubPLOs]],"&lt;5")</f>
        <v>0</v>
      </c>
      <c r="ER37" s="138">
        <f>SUMIFS(tbl_task9[S143],tbl_task9[[SubPLOs]:[SubPLOs]],"&gt;=4",tbl_task9[[SubPLOs]:[SubPLOs]],"&lt;5")</f>
        <v>0</v>
      </c>
      <c r="ES37" s="138">
        <f>SUMIFS(tbl_task9[S144],tbl_task9[[SubPLOs]:[SubPLOs]],"&gt;=4",tbl_task9[[SubPLOs]:[SubPLOs]],"&lt;5")</f>
        <v>0</v>
      </c>
      <c r="ET37" s="138">
        <f>SUMIFS(tbl_task9[S145],tbl_task9[[SubPLOs]:[SubPLOs]],"&gt;=4",tbl_task9[[SubPLOs]:[SubPLOs]],"&lt;5")</f>
        <v>0</v>
      </c>
      <c r="EU37" s="138">
        <f>SUMIFS(tbl_task9[S146],tbl_task9[[SubPLOs]:[SubPLOs]],"&gt;=4",tbl_task9[[SubPLOs]:[SubPLOs]],"&lt;5")</f>
        <v>0</v>
      </c>
      <c r="EV37" s="138">
        <f>SUMIFS(tbl_task9[S147],tbl_task9[[SubPLOs]:[SubPLOs]],"&gt;=4",tbl_task9[[SubPLOs]:[SubPLOs]],"&lt;5")</f>
        <v>0</v>
      </c>
      <c r="EW37" s="138">
        <f>SUMIFS(tbl_task9[S148],tbl_task9[[SubPLOs]:[SubPLOs]],"&gt;=4",tbl_task9[[SubPLOs]:[SubPLOs]],"&lt;5")</f>
        <v>0</v>
      </c>
      <c r="EX37" s="138">
        <f>SUMIFS(tbl_task9[S149],tbl_task9[[SubPLOs]:[SubPLOs]],"&gt;=4",tbl_task9[[SubPLOs]:[SubPLOs]],"&lt;5")</f>
        <v>0</v>
      </c>
      <c r="EY37" s="138">
        <f>SUMIFS(tbl_task9[S150],tbl_task9[[SubPLOs]:[SubPLOs]],"&gt;=4",tbl_task9[[SubPLOs]:[SubPLOs]],"&lt;5")</f>
        <v>0</v>
      </c>
      <c r="EZ37" s="138">
        <f>SUMIFS(tbl_task9[S151],tbl_task9[[SubPLOs]:[SubPLOs]],"&gt;=4",tbl_task9[[SubPLOs]:[SubPLOs]],"&lt;5")</f>
        <v>0</v>
      </c>
      <c r="FA37" s="138">
        <f>SUMIFS(tbl_task9[S152],tbl_task9[[SubPLOs]:[SubPLOs]],"&gt;=4",tbl_task9[[SubPLOs]:[SubPLOs]],"&lt;5")</f>
        <v>0</v>
      </c>
      <c r="FB37" s="138">
        <f>SUMIFS(tbl_task9[S153],tbl_task9[[SubPLOs]:[SubPLOs]],"&gt;=4",tbl_task9[[SubPLOs]:[SubPLOs]],"&lt;5")</f>
        <v>0</v>
      </c>
      <c r="FC37" s="138">
        <f>SUMIFS(tbl_task9[S154],tbl_task9[[SubPLOs]:[SubPLOs]],"&gt;=4",tbl_task9[[SubPLOs]:[SubPLOs]],"&lt;5")</f>
        <v>0</v>
      </c>
      <c r="FD37" s="138">
        <f>SUMIFS(tbl_task9[S155],tbl_task9[[SubPLOs]:[SubPLOs]],"&gt;=4",tbl_task9[[SubPLOs]:[SubPLOs]],"&lt;5")</f>
        <v>0</v>
      </c>
      <c r="FE37" s="138">
        <f>SUMIFS(tbl_task9[S156],tbl_task9[[SubPLOs]:[SubPLOs]],"&gt;=4",tbl_task9[[SubPLOs]:[SubPLOs]],"&lt;5")</f>
        <v>0</v>
      </c>
      <c r="FF37" s="138">
        <f>SUMIFS(tbl_task9[S157],tbl_task9[[SubPLOs]:[SubPLOs]],"&gt;=4",tbl_task9[[SubPLOs]:[SubPLOs]],"&lt;5")</f>
        <v>0</v>
      </c>
      <c r="FG37" s="138">
        <f>SUMIFS(tbl_task9[S158],tbl_task9[[SubPLOs]:[SubPLOs]],"&gt;=4",tbl_task9[[SubPLOs]:[SubPLOs]],"&lt;5")</f>
        <v>0</v>
      </c>
      <c r="FH37" s="138">
        <f>SUMIFS(tbl_task9[S159],tbl_task9[[SubPLOs]:[SubPLOs]],"&gt;=4",tbl_task9[[SubPLOs]:[SubPLOs]],"&lt;5")</f>
        <v>0</v>
      </c>
      <c r="FI37" s="138">
        <f>SUMIFS(tbl_task9[S160],tbl_task9[[SubPLOs]:[SubPLOs]],"&gt;=4",tbl_task9[[SubPLOs]:[SubPLOs]],"&lt;5")</f>
        <v>0</v>
      </c>
      <c r="FJ37" s="138">
        <f>SUMIFS(tbl_task9[S161],tbl_task9[[SubPLOs]:[SubPLOs]],"&gt;=4",tbl_task9[[SubPLOs]:[SubPLOs]],"&lt;5")</f>
        <v>0</v>
      </c>
      <c r="FK37" s="138">
        <f>SUMIFS(tbl_task9[S162],tbl_task9[[SubPLOs]:[SubPLOs]],"&gt;=4",tbl_task9[[SubPLOs]:[SubPLOs]],"&lt;5")</f>
        <v>0</v>
      </c>
      <c r="FL37" s="138">
        <f>SUMIFS(tbl_task9[S163],tbl_task9[[SubPLOs]:[SubPLOs]],"&gt;=4",tbl_task9[[SubPLOs]:[SubPLOs]],"&lt;5")</f>
        <v>0</v>
      </c>
      <c r="FM37" s="138">
        <f>SUMIFS(tbl_task9[S164],tbl_task9[[SubPLOs]:[SubPLOs]],"&gt;=4",tbl_task9[[SubPLOs]:[SubPLOs]],"&lt;5")</f>
        <v>0</v>
      </c>
      <c r="FN37" s="138">
        <f>SUMIFS(tbl_task9[S165],tbl_task9[[SubPLOs]:[SubPLOs]],"&gt;=4",tbl_task9[[SubPLOs]:[SubPLOs]],"&lt;5")</f>
        <v>0</v>
      </c>
    </row>
    <row r="38" spans="1:170" ht="84" x14ac:dyDescent="0.25">
      <c r="A38" s="135">
        <v>5</v>
      </c>
      <c r="B38" s="5" t="s">
        <v>438</v>
      </c>
      <c r="C38" s="136">
        <f>COUNTIFS(tbl_task9[SubPLOs],"&gt;=5",tbl_task9[SubPLOs],"&lt;6")</f>
        <v>0</v>
      </c>
      <c r="D38" s="136">
        <f>SUMIFS(tbl_task9[คะแนนเต็ม],tbl_task9[SubPLOs],"&gt;=5",tbl_task9[SubPLOs],"&lt;6")</f>
        <v>0</v>
      </c>
      <c r="E38" s="137">
        <f>SUMIFS(tbl_task9[%],tbl_task9[SubPLOs],"&gt;=5",tbl_task9[SubPLOs],"&lt;6")</f>
        <v>0</v>
      </c>
      <c r="F38" s="138">
        <f>SUMIFS(tbl_task9[S1],tbl_task9[[SubPLOs]:[SubPLOs]],"&gt;=5",tbl_task9[[SubPLOs]:[SubPLOs]],"&lt;6")</f>
        <v>0</v>
      </c>
      <c r="G38" s="138">
        <f>SUMIFS(tbl_task9[S2],tbl_task9[[SubPLOs]:[SubPLOs]],"&gt;=5",tbl_task9[[SubPLOs]:[SubPLOs]],"&lt;6")</f>
        <v>0</v>
      </c>
      <c r="H38" s="138">
        <f>SUMIFS(tbl_task9[S3],tbl_task9[[SubPLOs]:[SubPLOs]],"&gt;=5",tbl_task9[[SubPLOs]:[SubPLOs]],"&lt;6")</f>
        <v>0</v>
      </c>
      <c r="I38" s="138">
        <f>SUMIFS(tbl_task9[S4],tbl_task9[[SubPLOs]:[SubPLOs]],"&gt;=5",tbl_task9[[SubPLOs]:[SubPLOs]],"&lt;6")</f>
        <v>0</v>
      </c>
      <c r="J38" s="138">
        <f>SUMIFS(tbl_task9[S5],tbl_task9[[SubPLOs]:[SubPLOs]],"&gt;=5",tbl_task9[[SubPLOs]:[SubPLOs]],"&lt;6")</f>
        <v>0</v>
      </c>
      <c r="K38" s="138">
        <f>SUMIFS(tbl_task9[S6],tbl_task9[[SubPLOs]:[SubPLOs]],"&gt;=5",tbl_task9[[SubPLOs]:[SubPLOs]],"&lt;6")</f>
        <v>0</v>
      </c>
      <c r="L38" s="138">
        <f>SUMIFS(tbl_task9[S7],tbl_task9[[SubPLOs]:[SubPLOs]],"&gt;=5",tbl_task9[[SubPLOs]:[SubPLOs]],"&lt;6")</f>
        <v>0</v>
      </c>
      <c r="M38" s="138">
        <f>SUMIFS(tbl_task9[S8],tbl_task9[[SubPLOs]:[SubPLOs]],"&gt;=5",tbl_task9[[SubPLOs]:[SubPLOs]],"&lt;6")</f>
        <v>0</v>
      </c>
      <c r="N38" s="138">
        <f>SUMIFS(tbl_task9[S9],tbl_task9[[SubPLOs]:[SubPLOs]],"&gt;=5",tbl_task9[[SubPLOs]:[SubPLOs]],"&lt;6")</f>
        <v>0</v>
      </c>
      <c r="O38" s="138">
        <f>SUMIFS(tbl_task9[S10],tbl_task9[[SubPLOs]:[SubPLOs]],"&gt;=5",tbl_task9[[SubPLOs]:[SubPLOs]],"&lt;6")</f>
        <v>0</v>
      </c>
      <c r="P38" s="138">
        <f>SUMIFS(tbl_task9[S11],tbl_task9[[SubPLOs]:[SubPLOs]],"&gt;=5",tbl_task9[[SubPLOs]:[SubPLOs]],"&lt;6")</f>
        <v>0</v>
      </c>
      <c r="Q38" s="138">
        <f>SUMIFS(tbl_task9[S12],tbl_task9[[SubPLOs]:[SubPLOs]],"&gt;=5",tbl_task9[[SubPLOs]:[SubPLOs]],"&lt;6")</f>
        <v>0</v>
      </c>
      <c r="R38" s="138">
        <f>SUMIFS(tbl_task9[S13],tbl_task9[[SubPLOs]:[SubPLOs]],"&gt;=5",tbl_task9[[SubPLOs]:[SubPLOs]],"&lt;6")</f>
        <v>0</v>
      </c>
      <c r="S38" s="138">
        <f>SUMIFS(tbl_task9[S14],tbl_task9[[SubPLOs]:[SubPLOs]],"&gt;=5",tbl_task9[[SubPLOs]:[SubPLOs]],"&lt;6")</f>
        <v>0</v>
      </c>
      <c r="T38" s="138">
        <f>SUMIFS(tbl_task9[S15],tbl_task9[[SubPLOs]:[SubPLOs]],"&gt;=5",tbl_task9[[SubPLOs]:[SubPLOs]],"&lt;6")</f>
        <v>0</v>
      </c>
      <c r="U38" s="138">
        <f>SUMIFS(tbl_task9[S16],tbl_task9[[SubPLOs]:[SubPLOs]],"&gt;=5",tbl_task9[[SubPLOs]:[SubPLOs]],"&lt;6")</f>
        <v>0</v>
      </c>
      <c r="V38" s="138">
        <f>SUMIFS(tbl_task9[S17],tbl_task9[[SubPLOs]:[SubPLOs]],"&gt;=5",tbl_task9[[SubPLOs]:[SubPLOs]],"&lt;6")</f>
        <v>0</v>
      </c>
      <c r="W38" s="138">
        <f>SUMIFS(tbl_task9[S18],tbl_task9[[SubPLOs]:[SubPLOs]],"&gt;=5",tbl_task9[[SubPLOs]:[SubPLOs]],"&lt;6")</f>
        <v>0</v>
      </c>
      <c r="X38" s="138">
        <f>SUMIFS(tbl_task9[S19],tbl_task9[[SubPLOs]:[SubPLOs]],"&gt;=5",tbl_task9[[SubPLOs]:[SubPLOs]],"&lt;6")</f>
        <v>0</v>
      </c>
      <c r="Y38" s="138">
        <f>SUMIFS(tbl_task9[S20],tbl_task9[[SubPLOs]:[SubPLOs]],"&gt;=5",tbl_task9[[SubPLOs]:[SubPLOs]],"&lt;6")</f>
        <v>0</v>
      </c>
      <c r="Z38" s="138">
        <f>SUMIFS(tbl_task9[S21],tbl_task9[[SubPLOs]:[SubPLOs]],"&gt;=5",tbl_task9[[SubPLOs]:[SubPLOs]],"&lt;6")</f>
        <v>0</v>
      </c>
      <c r="AA38" s="138">
        <f>SUMIFS(tbl_task9[S22],tbl_task9[[SubPLOs]:[SubPLOs]],"&gt;=5",tbl_task9[[SubPLOs]:[SubPLOs]],"&lt;6")</f>
        <v>0</v>
      </c>
      <c r="AB38" s="138">
        <f>SUMIFS(tbl_task9[S23],tbl_task9[[SubPLOs]:[SubPLOs]],"&gt;=5",tbl_task9[[SubPLOs]:[SubPLOs]],"&lt;6")</f>
        <v>0</v>
      </c>
      <c r="AC38" s="138">
        <f>SUMIFS(tbl_task9[S24],tbl_task9[[SubPLOs]:[SubPLOs]],"&gt;=5",tbl_task9[[SubPLOs]:[SubPLOs]],"&lt;6")</f>
        <v>0</v>
      </c>
      <c r="AD38" s="138">
        <f>SUMIFS(tbl_task9[S25],tbl_task9[[SubPLOs]:[SubPLOs]],"&gt;=5",tbl_task9[[SubPLOs]:[SubPLOs]],"&lt;6")</f>
        <v>0</v>
      </c>
      <c r="AE38" s="138">
        <f>SUMIFS(tbl_task9[S26],tbl_task9[[SubPLOs]:[SubPLOs]],"&gt;=5",tbl_task9[[SubPLOs]:[SubPLOs]],"&lt;6")</f>
        <v>0</v>
      </c>
      <c r="AF38" s="138">
        <f>SUMIFS(tbl_task9[S27],tbl_task9[[SubPLOs]:[SubPLOs]],"&gt;=5",tbl_task9[[SubPLOs]:[SubPLOs]],"&lt;6")</f>
        <v>0</v>
      </c>
      <c r="AG38" s="138">
        <f>SUMIFS(tbl_task9[S28],tbl_task9[[SubPLOs]:[SubPLOs]],"&gt;=5",tbl_task9[[SubPLOs]:[SubPLOs]],"&lt;6")</f>
        <v>0</v>
      </c>
      <c r="AH38" s="138">
        <f>SUMIFS(tbl_task9[S29],tbl_task9[[SubPLOs]:[SubPLOs]],"&gt;=5",tbl_task9[[SubPLOs]:[SubPLOs]],"&lt;6")</f>
        <v>0</v>
      </c>
      <c r="AI38" s="138">
        <f>SUMIFS(tbl_task9[S30],tbl_task9[[SubPLOs]:[SubPLOs]],"&gt;=5",tbl_task9[[SubPLOs]:[SubPLOs]],"&lt;6")</f>
        <v>0</v>
      </c>
      <c r="AJ38" s="138">
        <f>SUMIFS(tbl_task9[S31],tbl_task9[[SubPLOs]:[SubPLOs]],"&gt;=5",tbl_task9[[SubPLOs]:[SubPLOs]],"&lt;6")</f>
        <v>0</v>
      </c>
      <c r="AK38" s="138">
        <f>SUMIFS(tbl_task9[S32],tbl_task9[[SubPLOs]:[SubPLOs]],"&gt;=5",tbl_task9[[SubPLOs]:[SubPLOs]],"&lt;6")</f>
        <v>0</v>
      </c>
      <c r="AL38" s="138">
        <f>SUMIFS(tbl_task9[S33],tbl_task9[[SubPLOs]:[SubPLOs]],"&gt;=5",tbl_task9[[SubPLOs]:[SubPLOs]],"&lt;6")</f>
        <v>0</v>
      </c>
      <c r="AM38" s="138">
        <f>SUMIFS(tbl_task9[S34],tbl_task9[[SubPLOs]:[SubPLOs]],"&gt;=5",tbl_task9[[SubPLOs]:[SubPLOs]],"&lt;6")</f>
        <v>0</v>
      </c>
      <c r="AN38" s="138">
        <f>SUMIFS(tbl_task9[S35],tbl_task9[[SubPLOs]:[SubPLOs]],"&gt;=5",tbl_task9[[SubPLOs]:[SubPLOs]],"&lt;6")</f>
        <v>0</v>
      </c>
      <c r="AO38" s="138">
        <f>SUMIFS(tbl_task9[S36],tbl_task9[[SubPLOs]:[SubPLOs]],"&gt;=5",tbl_task9[[SubPLOs]:[SubPLOs]],"&lt;6")</f>
        <v>0</v>
      </c>
      <c r="AP38" s="138">
        <f>SUMIFS(tbl_task9[S37],tbl_task9[[SubPLOs]:[SubPLOs]],"&gt;=5",tbl_task9[[SubPLOs]:[SubPLOs]],"&lt;6")</f>
        <v>0</v>
      </c>
      <c r="AQ38" s="138">
        <f>SUMIFS(tbl_task9[S38],tbl_task9[[SubPLOs]:[SubPLOs]],"&gt;=5",tbl_task9[[SubPLOs]:[SubPLOs]],"&lt;6")</f>
        <v>0</v>
      </c>
      <c r="AR38" s="138">
        <f>SUMIFS(tbl_task9[S39],tbl_task9[[SubPLOs]:[SubPLOs]],"&gt;=5",tbl_task9[[SubPLOs]:[SubPLOs]],"&lt;6")</f>
        <v>0</v>
      </c>
      <c r="AS38" s="138">
        <f>SUMIFS(tbl_task9[S40],tbl_task9[[SubPLOs]:[SubPLOs]],"&gt;=5",tbl_task9[[SubPLOs]:[SubPLOs]],"&lt;6")</f>
        <v>0</v>
      </c>
      <c r="AT38" s="138">
        <f>SUMIFS(tbl_task9[S41],tbl_task9[[SubPLOs]:[SubPLOs]],"&gt;=5",tbl_task9[[SubPLOs]:[SubPLOs]],"&lt;6")</f>
        <v>0</v>
      </c>
      <c r="AU38" s="138">
        <f>SUMIFS(tbl_task9[S42],tbl_task9[[SubPLOs]:[SubPLOs]],"&gt;=5",tbl_task9[[SubPLOs]:[SubPLOs]],"&lt;6")</f>
        <v>0</v>
      </c>
      <c r="AV38" s="138">
        <f>SUMIFS(tbl_task9[S43],tbl_task9[[SubPLOs]:[SubPLOs]],"&gt;=5",tbl_task9[[SubPLOs]:[SubPLOs]],"&lt;6")</f>
        <v>0</v>
      </c>
      <c r="AW38" s="138">
        <f>SUMIFS(tbl_task9[S44],tbl_task9[[SubPLOs]:[SubPLOs]],"&gt;=5",tbl_task9[[SubPLOs]:[SubPLOs]],"&lt;6")</f>
        <v>0</v>
      </c>
      <c r="AX38" s="138">
        <f>SUMIFS(tbl_task9[S45],tbl_task9[[SubPLOs]:[SubPLOs]],"&gt;=5",tbl_task9[[SubPLOs]:[SubPLOs]],"&lt;6")</f>
        <v>0</v>
      </c>
      <c r="AY38" s="138">
        <f>SUMIFS(tbl_task9[S46],tbl_task9[[SubPLOs]:[SubPLOs]],"&gt;=5",tbl_task9[[SubPLOs]:[SubPLOs]],"&lt;6")</f>
        <v>0</v>
      </c>
      <c r="AZ38" s="138">
        <f>SUMIFS(tbl_task9[S47],tbl_task9[[SubPLOs]:[SubPLOs]],"&gt;=5",tbl_task9[[SubPLOs]:[SubPLOs]],"&lt;6")</f>
        <v>0</v>
      </c>
      <c r="BA38" s="138">
        <f>SUMIFS(tbl_task9[S48],tbl_task9[[SubPLOs]:[SubPLOs]],"&gt;=5",tbl_task9[[SubPLOs]:[SubPLOs]],"&lt;6")</f>
        <v>0</v>
      </c>
      <c r="BB38" s="138">
        <f>SUMIFS(tbl_task9[S49],tbl_task9[[SubPLOs]:[SubPLOs]],"&gt;=5",tbl_task9[[SubPLOs]:[SubPLOs]],"&lt;6")</f>
        <v>0</v>
      </c>
      <c r="BC38" s="138">
        <f>SUMIFS(tbl_task9[S50],tbl_task9[[SubPLOs]:[SubPLOs]],"&gt;=5",tbl_task9[[SubPLOs]:[SubPLOs]],"&lt;6")</f>
        <v>0</v>
      </c>
      <c r="BD38" s="138">
        <f>SUMIFS(tbl_task9[S51],tbl_task9[[SubPLOs]:[SubPLOs]],"&gt;=5",tbl_task9[[SubPLOs]:[SubPLOs]],"&lt;6")</f>
        <v>0</v>
      </c>
      <c r="BE38" s="138">
        <f>SUMIFS(tbl_task9[S52],tbl_task9[[SubPLOs]:[SubPLOs]],"&gt;=5",tbl_task9[[SubPLOs]:[SubPLOs]],"&lt;6")</f>
        <v>0</v>
      </c>
      <c r="BF38" s="138">
        <f>SUMIFS(tbl_task9[S53],tbl_task9[[SubPLOs]:[SubPLOs]],"&gt;=5",tbl_task9[[SubPLOs]:[SubPLOs]],"&lt;6")</f>
        <v>0</v>
      </c>
      <c r="BG38" s="138">
        <f>SUMIFS(tbl_task9[S54],tbl_task9[[SubPLOs]:[SubPLOs]],"&gt;=5",tbl_task9[[SubPLOs]:[SubPLOs]],"&lt;6")</f>
        <v>0</v>
      </c>
      <c r="BH38" s="138">
        <f>SUMIFS(tbl_task9[S55],tbl_task9[[SubPLOs]:[SubPLOs]],"&gt;=5",tbl_task9[[SubPLOs]:[SubPLOs]],"&lt;6")</f>
        <v>0</v>
      </c>
      <c r="BI38" s="138">
        <f>SUMIFS(tbl_task9[S56],tbl_task9[[SubPLOs]:[SubPLOs]],"&gt;=5",tbl_task9[[SubPLOs]:[SubPLOs]],"&lt;6")</f>
        <v>0</v>
      </c>
      <c r="BJ38" s="138">
        <f>SUMIFS(tbl_task9[S57],tbl_task9[[SubPLOs]:[SubPLOs]],"&gt;=5",tbl_task9[[SubPLOs]:[SubPLOs]],"&lt;6")</f>
        <v>0</v>
      </c>
      <c r="BK38" s="138">
        <f>SUMIFS(tbl_task9[S58],tbl_task9[[SubPLOs]:[SubPLOs]],"&gt;=5",tbl_task9[[SubPLOs]:[SubPLOs]],"&lt;6")</f>
        <v>0</v>
      </c>
      <c r="BL38" s="138">
        <f>SUMIFS(tbl_task9[S59],tbl_task9[[SubPLOs]:[SubPLOs]],"&gt;=5",tbl_task9[[SubPLOs]:[SubPLOs]],"&lt;6")</f>
        <v>0</v>
      </c>
      <c r="BM38" s="138">
        <f>SUMIFS(tbl_task9[S60],tbl_task9[[SubPLOs]:[SubPLOs]],"&gt;=5",tbl_task9[[SubPLOs]:[SubPLOs]],"&lt;6")</f>
        <v>0</v>
      </c>
      <c r="BN38" s="138">
        <f>SUMIFS(tbl_task9[S61],tbl_task9[[SubPLOs]:[SubPLOs]],"&gt;=5",tbl_task9[[SubPLOs]:[SubPLOs]],"&lt;6")</f>
        <v>0</v>
      </c>
      <c r="BO38" s="138">
        <f>SUMIFS(tbl_task9[S62],tbl_task9[[SubPLOs]:[SubPLOs]],"&gt;=5",tbl_task9[[SubPLOs]:[SubPLOs]],"&lt;6")</f>
        <v>0</v>
      </c>
      <c r="BP38" s="138">
        <f>SUMIFS(tbl_task9[S63],tbl_task9[[SubPLOs]:[SubPLOs]],"&gt;=5",tbl_task9[[SubPLOs]:[SubPLOs]],"&lt;6")</f>
        <v>0</v>
      </c>
      <c r="BQ38" s="138">
        <f>SUMIFS(tbl_task9[S64],tbl_task9[[SubPLOs]:[SubPLOs]],"&gt;=5",tbl_task9[[SubPLOs]:[SubPLOs]],"&lt;6")</f>
        <v>0</v>
      </c>
      <c r="BR38" s="138">
        <f>SUMIFS(tbl_task9[S65],tbl_task9[[SubPLOs]:[SubPLOs]],"&gt;=5",tbl_task9[[SubPLOs]:[SubPLOs]],"&lt;6")</f>
        <v>0</v>
      </c>
      <c r="BS38" s="138">
        <f>SUMIFS(tbl_task9[S66],tbl_task9[[SubPLOs]:[SubPLOs]],"&gt;=5",tbl_task9[[SubPLOs]:[SubPLOs]],"&lt;6")</f>
        <v>0</v>
      </c>
      <c r="BT38" s="138">
        <f>SUMIFS(tbl_task9[S67],tbl_task9[[SubPLOs]:[SubPLOs]],"&gt;=5",tbl_task9[[SubPLOs]:[SubPLOs]],"&lt;6")</f>
        <v>0</v>
      </c>
      <c r="BU38" s="138">
        <f>SUMIFS(tbl_task9[S68],tbl_task9[[SubPLOs]:[SubPLOs]],"&gt;=5",tbl_task9[[SubPLOs]:[SubPLOs]],"&lt;6")</f>
        <v>0</v>
      </c>
      <c r="BV38" s="138">
        <f>SUMIFS(tbl_task9[S69],tbl_task9[[SubPLOs]:[SubPLOs]],"&gt;=5",tbl_task9[[SubPLOs]:[SubPLOs]],"&lt;6")</f>
        <v>0</v>
      </c>
      <c r="BW38" s="138">
        <f>SUMIFS(tbl_task9[S70],tbl_task9[[SubPLOs]:[SubPLOs]],"&gt;=5",tbl_task9[[SubPLOs]:[SubPLOs]],"&lt;6")</f>
        <v>0</v>
      </c>
      <c r="BX38" s="138">
        <f>SUMIFS(tbl_task9[S71],tbl_task9[[SubPLOs]:[SubPLOs]],"&gt;=5",tbl_task9[[SubPLOs]:[SubPLOs]],"&lt;6")</f>
        <v>0</v>
      </c>
      <c r="BY38" s="138">
        <f>SUMIFS(tbl_task9[S72],tbl_task9[[SubPLOs]:[SubPLOs]],"&gt;=5",tbl_task9[[SubPLOs]:[SubPLOs]],"&lt;6")</f>
        <v>0</v>
      </c>
      <c r="BZ38" s="138">
        <f>SUMIFS(tbl_task9[S73],tbl_task9[[SubPLOs]:[SubPLOs]],"&gt;=5",tbl_task9[[SubPLOs]:[SubPLOs]],"&lt;6")</f>
        <v>0</v>
      </c>
      <c r="CA38" s="138">
        <f>SUMIFS(tbl_task9[S74],tbl_task9[[SubPLOs]:[SubPLOs]],"&gt;=5",tbl_task9[[SubPLOs]:[SubPLOs]],"&lt;6")</f>
        <v>0</v>
      </c>
      <c r="CB38" s="138">
        <f>SUMIFS(tbl_task9[S75],tbl_task9[[SubPLOs]:[SubPLOs]],"&gt;=5",tbl_task9[[SubPLOs]:[SubPLOs]],"&lt;6")</f>
        <v>0</v>
      </c>
      <c r="CC38" s="138">
        <f>SUMIFS(tbl_task9[S76],tbl_task9[[SubPLOs]:[SubPLOs]],"&gt;=5",tbl_task9[[SubPLOs]:[SubPLOs]],"&lt;6")</f>
        <v>0</v>
      </c>
      <c r="CD38" s="138">
        <f>SUMIFS(tbl_task9[S77],tbl_task9[[SubPLOs]:[SubPLOs]],"&gt;=5",tbl_task9[[SubPLOs]:[SubPLOs]],"&lt;6")</f>
        <v>0</v>
      </c>
      <c r="CE38" s="138">
        <f>SUMIFS(tbl_task9[S78],tbl_task9[[SubPLOs]:[SubPLOs]],"&gt;=5",tbl_task9[[SubPLOs]:[SubPLOs]],"&lt;6")</f>
        <v>0</v>
      </c>
      <c r="CF38" s="138">
        <f>SUMIFS(tbl_task9[S79],tbl_task9[[SubPLOs]:[SubPLOs]],"&gt;=5",tbl_task9[[SubPLOs]:[SubPLOs]],"&lt;6")</f>
        <v>0</v>
      </c>
      <c r="CG38" s="138">
        <f>SUMIFS(tbl_task9[S80],tbl_task9[[SubPLOs]:[SubPLOs]],"&gt;=5",tbl_task9[[SubPLOs]:[SubPLOs]],"&lt;6")</f>
        <v>0</v>
      </c>
      <c r="CH38" s="138">
        <f>SUMIFS(tbl_task9[S81],tbl_task9[[SubPLOs]:[SubPLOs]],"&gt;=5",tbl_task9[[SubPLOs]:[SubPLOs]],"&lt;6")</f>
        <v>0</v>
      </c>
      <c r="CI38" s="138">
        <f>SUMIFS(tbl_task9[S82],tbl_task9[[SubPLOs]:[SubPLOs]],"&gt;=5",tbl_task9[[SubPLOs]:[SubPLOs]],"&lt;6")</f>
        <v>0</v>
      </c>
      <c r="CJ38" s="138">
        <f>SUMIFS(tbl_task9[S83],tbl_task9[[SubPLOs]:[SubPLOs]],"&gt;=5",tbl_task9[[SubPLOs]:[SubPLOs]],"&lt;6")</f>
        <v>0</v>
      </c>
      <c r="CK38" s="138">
        <f>SUMIFS(tbl_task9[S84],tbl_task9[[SubPLOs]:[SubPLOs]],"&gt;=5",tbl_task9[[SubPLOs]:[SubPLOs]],"&lt;6")</f>
        <v>0</v>
      </c>
      <c r="CL38" s="138">
        <f>SUMIFS(tbl_task9[S85],tbl_task9[[SubPLOs]:[SubPLOs]],"&gt;=5",tbl_task9[[SubPLOs]:[SubPLOs]],"&lt;6")</f>
        <v>0</v>
      </c>
      <c r="CM38" s="138">
        <f>SUMIFS(tbl_task9[S86],tbl_task9[[SubPLOs]:[SubPLOs]],"&gt;=5",tbl_task9[[SubPLOs]:[SubPLOs]],"&lt;6")</f>
        <v>0</v>
      </c>
      <c r="CN38" s="138">
        <f>SUMIFS(tbl_task9[S87],tbl_task9[[SubPLOs]:[SubPLOs]],"&gt;=5",tbl_task9[[SubPLOs]:[SubPLOs]],"&lt;6")</f>
        <v>0</v>
      </c>
      <c r="CO38" s="138">
        <f>SUMIFS(tbl_task9[S88],tbl_task9[[SubPLOs]:[SubPLOs]],"&gt;=5",tbl_task9[[SubPLOs]:[SubPLOs]],"&lt;6")</f>
        <v>0</v>
      </c>
      <c r="CP38" s="138">
        <f>SUMIFS(tbl_task9[S89],tbl_task9[[SubPLOs]:[SubPLOs]],"&gt;=5",tbl_task9[[SubPLOs]:[SubPLOs]],"&lt;6")</f>
        <v>0</v>
      </c>
      <c r="CQ38" s="138">
        <f>SUMIFS(tbl_task9[S90],tbl_task9[[SubPLOs]:[SubPLOs]],"&gt;=5",tbl_task9[[SubPLOs]:[SubPLOs]],"&lt;6")</f>
        <v>0</v>
      </c>
      <c r="CR38" s="138">
        <f>SUMIFS(tbl_task9[S91],tbl_task9[[SubPLOs]:[SubPLOs]],"&gt;=5",tbl_task9[[SubPLOs]:[SubPLOs]],"&lt;6")</f>
        <v>0</v>
      </c>
      <c r="CS38" s="138">
        <f>SUMIFS(tbl_task9[S92],tbl_task9[[SubPLOs]:[SubPLOs]],"&gt;=5",tbl_task9[[SubPLOs]:[SubPLOs]],"&lt;6")</f>
        <v>0</v>
      </c>
      <c r="CT38" s="138">
        <f>SUMIFS(tbl_task9[S93],tbl_task9[[SubPLOs]:[SubPLOs]],"&gt;=5",tbl_task9[[SubPLOs]:[SubPLOs]],"&lt;6")</f>
        <v>0</v>
      </c>
      <c r="CU38" s="138">
        <f>SUMIFS(tbl_task9[S94],tbl_task9[[SubPLOs]:[SubPLOs]],"&gt;=5",tbl_task9[[SubPLOs]:[SubPLOs]],"&lt;6")</f>
        <v>0</v>
      </c>
      <c r="CV38" s="138">
        <f>SUMIFS(tbl_task9[S95],tbl_task9[[SubPLOs]:[SubPLOs]],"&gt;=5",tbl_task9[[SubPLOs]:[SubPLOs]],"&lt;6")</f>
        <v>0</v>
      </c>
      <c r="CW38" s="138">
        <f>SUMIFS(tbl_task9[S96],tbl_task9[[SubPLOs]:[SubPLOs]],"&gt;=5",tbl_task9[[SubPLOs]:[SubPLOs]],"&lt;6")</f>
        <v>0</v>
      </c>
      <c r="CX38" s="138">
        <f>SUMIFS(tbl_task9[S97],tbl_task9[[SubPLOs]:[SubPLOs]],"&gt;=5",tbl_task9[[SubPLOs]:[SubPLOs]],"&lt;6")</f>
        <v>0</v>
      </c>
      <c r="CY38" s="138">
        <f>SUMIFS(tbl_task9[S98],tbl_task9[[SubPLOs]:[SubPLOs]],"&gt;=5",tbl_task9[[SubPLOs]:[SubPLOs]],"&lt;6")</f>
        <v>0</v>
      </c>
      <c r="CZ38" s="138">
        <f>SUMIFS(tbl_task9[S99],tbl_task9[[SubPLOs]:[SubPLOs]],"&gt;=5",tbl_task9[[SubPLOs]:[SubPLOs]],"&lt;6")</f>
        <v>0</v>
      </c>
      <c r="DA38" s="138">
        <f>SUMIFS(tbl_task9[S100],tbl_task9[[SubPLOs]:[SubPLOs]],"&gt;=5",tbl_task9[[SubPLOs]:[SubPLOs]],"&lt;6")</f>
        <v>0</v>
      </c>
      <c r="DB38" s="138">
        <f>SUMIFS(tbl_task9[S101],tbl_task9[[SubPLOs]:[SubPLOs]],"&gt;=5",tbl_task9[[SubPLOs]:[SubPLOs]],"&lt;6")</f>
        <v>0</v>
      </c>
      <c r="DC38" s="138">
        <f>SUMIFS(tbl_task9[S102],tbl_task9[[SubPLOs]:[SubPLOs]],"&gt;=5",tbl_task9[[SubPLOs]:[SubPLOs]],"&lt;6")</f>
        <v>0</v>
      </c>
      <c r="DD38" s="138">
        <f>SUMIFS(tbl_task9[S103],tbl_task9[[SubPLOs]:[SubPLOs]],"&gt;=5",tbl_task9[[SubPLOs]:[SubPLOs]],"&lt;6")</f>
        <v>0</v>
      </c>
      <c r="DE38" s="138">
        <f>SUMIFS(tbl_task9[S104],tbl_task9[[SubPLOs]:[SubPLOs]],"&gt;=5",tbl_task9[[SubPLOs]:[SubPLOs]],"&lt;6")</f>
        <v>0</v>
      </c>
      <c r="DF38" s="138">
        <f>SUMIFS(tbl_task9[S105],tbl_task9[[SubPLOs]:[SubPLOs]],"&gt;=5",tbl_task9[[SubPLOs]:[SubPLOs]],"&lt;6")</f>
        <v>0</v>
      </c>
      <c r="DG38" s="138">
        <f>SUMIFS(tbl_task9[S106],tbl_task9[[SubPLOs]:[SubPLOs]],"&gt;=5",tbl_task9[[SubPLOs]:[SubPLOs]],"&lt;6")</f>
        <v>0</v>
      </c>
      <c r="DH38" s="138">
        <f>SUMIFS(tbl_task9[S106],tbl_task9[[SubPLOs]:[SubPLOs]],"&gt;=5",tbl_task9[[SubPLOs]:[SubPLOs]],"&lt;6")</f>
        <v>0</v>
      </c>
      <c r="DI38" s="138">
        <f>SUMIFS(tbl_task9[S108],tbl_task9[[SubPLOs]:[SubPLOs]],"&gt;=5",tbl_task9[[SubPLOs]:[SubPLOs]],"&lt;6")</f>
        <v>0</v>
      </c>
      <c r="DJ38" s="138">
        <f>SUMIFS(tbl_task9[S109],tbl_task9[[SubPLOs]:[SubPLOs]],"&gt;=5",tbl_task9[[SubPLOs]:[SubPLOs]],"&lt;6")</f>
        <v>0</v>
      </c>
      <c r="DK38" s="138">
        <f>SUMIFS(tbl_task9[S110],tbl_task9[[SubPLOs]:[SubPLOs]],"&gt;=5",tbl_task9[[SubPLOs]:[SubPLOs]],"&lt;6")</f>
        <v>0</v>
      </c>
      <c r="DL38" s="138">
        <f>SUMIFS(tbl_task9[S111],tbl_task9[[SubPLOs]:[SubPLOs]],"&gt;=5",tbl_task9[[SubPLOs]:[SubPLOs]],"&lt;6")</f>
        <v>0</v>
      </c>
      <c r="DM38" s="138">
        <f>SUMIFS(tbl_task9[S112],tbl_task9[[SubPLOs]:[SubPLOs]],"&gt;=5",tbl_task9[[SubPLOs]:[SubPLOs]],"&lt;6")</f>
        <v>0</v>
      </c>
      <c r="DN38" s="138">
        <f>SUMIFS(tbl_task9[S113],tbl_task9[[SubPLOs]:[SubPLOs]],"&gt;=5",tbl_task9[[SubPLOs]:[SubPLOs]],"&lt;6")</f>
        <v>0</v>
      </c>
      <c r="DO38" s="138">
        <f>SUMIFS(tbl_task9[S114],tbl_task9[[SubPLOs]:[SubPLOs]],"&gt;=5",tbl_task9[[SubPLOs]:[SubPLOs]],"&lt;6")</f>
        <v>0</v>
      </c>
      <c r="DP38" s="138">
        <f>SUMIFS(tbl_task9[S115],tbl_task9[[SubPLOs]:[SubPLOs]],"&gt;=5",tbl_task9[[SubPLOs]:[SubPLOs]],"&lt;6")</f>
        <v>0</v>
      </c>
      <c r="DQ38" s="138">
        <f>SUMIFS(tbl_task9[S116],tbl_task9[[SubPLOs]:[SubPLOs]],"&gt;=5",tbl_task9[[SubPLOs]:[SubPLOs]],"&lt;6")</f>
        <v>0</v>
      </c>
      <c r="DR38" s="138">
        <f>SUMIFS(tbl_task9[S117],tbl_task9[[SubPLOs]:[SubPLOs]],"&gt;=5",tbl_task9[[SubPLOs]:[SubPLOs]],"&lt;6")</f>
        <v>0</v>
      </c>
      <c r="DS38" s="138">
        <f>SUMIFS(tbl_task9[S118],tbl_task9[[SubPLOs]:[SubPLOs]],"&gt;=5",tbl_task9[[SubPLOs]:[SubPLOs]],"&lt;6")</f>
        <v>0</v>
      </c>
      <c r="DT38" s="138">
        <f>SUMIFS(tbl_task9[S119],tbl_task9[[SubPLOs]:[SubPLOs]],"&gt;=5",tbl_task9[[SubPLOs]:[SubPLOs]],"&lt;6")</f>
        <v>0</v>
      </c>
      <c r="DU38" s="138">
        <f>SUMIFS(tbl_task9[S120],tbl_task9[[SubPLOs]:[SubPLOs]],"&gt;=5",tbl_task9[[SubPLOs]:[SubPLOs]],"&lt;6")</f>
        <v>0</v>
      </c>
      <c r="DV38" s="138">
        <f>SUMIFS(tbl_task9[S121],tbl_task9[[SubPLOs]:[SubPLOs]],"&gt;=5",tbl_task9[[SubPLOs]:[SubPLOs]],"&lt;6")</f>
        <v>0</v>
      </c>
      <c r="DW38" s="138">
        <f>SUMIFS(tbl_task9[S122],tbl_task9[[SubPLOs]:[SubPLOs]],"&gt;=5",tbl_task9[[SubPLOs]:[SubPLOs]],"&lt;6")</f>
        <v>0</v>
      </c>
      <c r="DX38" s="138">
        <f>SUMIFS(tbl_task9[S123],tbl_task9[[SubPLOs]:[SubPLOs]],"&gt;=5",tbl_task9[[SubPLOs]:[SubPLOs]],"&lt;6")</f>
        <v>0</v>
      </c>
      <c r="DY38" s="138">
        <f>SUMIFS(tbl_task9[S124],tbl_task9[[SubPLOs]:[SubPLOs]],"&gt;=5",tbl_task9[[SubPLOs]:[SubPLOs]],"&lt;6")</f>
        <v>0</v>
      </c>
      <c r="DZ38" s="138">
        <f>SUMIFS(tbl_task9[S125],tbl_task9[[SubPLOs]:[SubPLOs]],"&gt;=5",tbl_task9[[SubPLOs]:[SubPLOs]],"&lt;6")</f>
        <v>0</v>
      </c>
      <c r="EA38" s="138">
        <f>SUMIFS(tbl_task9[S126],tbl_task9[[SubPLOs]:[SubPLOs]],"&gt;=5",tbl_task9[[SubPLOs]:[SubPLOs]],"&lt;6")</f>
        <v>0</v>
      </c>
      <c r="EB38" s="138">
        <f>SUMIFS(tbl_task9[S127],tbl_task9[[SubPLOs]:[SubPLOs]],"&gt;=5",tbl_task9[[SubPLOs]:[SubPLOs]],"&lt;6")</f>
        <v>0</v>
      </c>
      <c r="EC38" s="138">
        <f>SUMIFS(tbl_task9[S128],tbl_task9[[SubPLOs]:[SubPLOs]],"&gt;=5",tbl_task9[[SubPLOs]:[SubPLOs]],"&lt;6")</f>
        <v>0</v>
      </c>
      <c r="ED38" s="138">
        <f>SUMIFS(tbl_task9[S129],tbl_task9[[SubPLOs]:[SubPLOs]],"&gt;=5",tbl_task9[[SubPLOs]:[SubPLOs]],"&lt;6")</f>
        <v>0</v>
      </c>
      <c r="EE38" s="138">
        <f>SUMIFS(tbl_task9[S130],tbl_task9[[SubPLOs]:[SubPLOs]],"&gt;=5",tbl_task9[[SubPLOs]:[SubPLOs]],"&lt;6")</f>
        <v>0</v>
      </c>
      <c r="EF38" s="138">
        <f>SUMIFS(tbl_task9[S131],tbl_task9[[SubPLOs]:[SubPLOs]],"&gt;=5",tbl_task9[[SubPLOs]:[SubPLOs]],"&lt;6")</f>
        <v>0</v>
      </c>
      <c r="EG38" s="138">
        <f>SUMIFS(tbl_task9[S132],tbl_task9[[SubPLOs]:[SubPLOs]],"&gt;=5",tbl_task9[[SubPLOs]:[SubPLOs]],"&lt;6")</f>
        <v>0</v>
      </c>
      <c r="EH38" s="138">
        <f>SUMIFS(tbl_task9[S133],tbl_task9[[SubPLOs]:[SubPLOs]],"&gt;=5",tbl_task9[[SubPLOs]:[SubPLOs]],"&lt;6")</f>
        <v>0</v>
      </c>
      <c r="EI38" s="138">
        <f>SUMIFS(tbl_task9[S134],tbl_task9[[SubPLOs]:[SubPLOs]],"&gt;=5",tbl_task9[[SubPLOs]:[SubPLOs]],"&lt;6")</f>
        <v>0</v>
      </c>
      <c r="EJ38" s="138">
        <f>SUMIFS(tbl_task9[S135],tbl_task9[[SubPLOs]:[SubPLOs]],"&gt;=5",tbl_task9[[SubPLOs]:[SubPLOs]],"&lt;6")</f>
        <v>0</v>
      </c>
      <c r="EK38" s="138">
        <f>SUMIFS(tbl_task9[S136],tbl_task9[[SubPLOs]:[SubPLOs]],"&gt;=5",tbl_task9[[SubPLOs]:[SubPLOs]],"&lt;6")</f>
        <v>0</v>
      </c>
      <c r="EL38" s="138">
        <f>SUMIFS(tbl_task9[S137],tbl_task9[[SubPLOs]:[SubPLOs]],"&gt;=5",tbl_task9[[SubPLOs]:[SubPLOs]],"&lt;6")</f>
        <v>0</v>
      </c>
      <c r="EM38" s="138">
        <f>SUMIFS(tbl_task9[S138],tbl_task9[[SubPLOs]:[SubPLOs]],"&gt;=5",tbl_task9[[SubPLOs]:[SubPLOs]],"&lt;6")</f>
        <v>0</v>
      </c>
      <c r="EN38" s="138">
        <f>SUMIFS(tbl_task9[S139],tbl_task9[[SubPLOs]:[SubPLOs]],"&gt;=5",tbl_task9[[SubPLOs]:[SubPLOs]],"&lt;6")</f>
        <v>0</v>
      </c>
      <c r="EO38" s="138">
        <f>SUMIFS(tbl_task9[S140],tbl_task9[[SubPLOs]:[SubPLOs]],"&gt;=5",tbl_task9[[SubPLOs]:[SubPLOs]],"&lt;6")</f>
        <v>0</v>
      </c>
      <c r="EP38" s="138">
        <f>SUMIFS(tbl_task9[S141],tbl_task9[[SubPLOs]:[SubPLOs]],"&gt;=5",tbl_task9[[SubPLOs]:[SubPLOs]],"&lt;6")</f>
        <v>0</v>
      </c>
      <c r="EQ38" s="138">
        <f>SUMIFS(tbl_task9[S142],tbl_task9[[SubPLOs]:[SubPLOs]],"&gt;=5",tbl_task9[[SubPLOs]:[SubPLOs]],"&lt;6")</f>
        <v>0</v>
      </c>
      <c r="ER38" s="138">
        <f>SUMIFS(tbl_task9[S143],tbl_task9[[SubPLOs]:[SubPLOs]],"&gt;=5",tbl_task9[[SubPLOs]:[SubPLOs]],"&lt;6")</f>
        <v>0</v>
      </c>
      <c r="ES38" s="138">
        <f>SUMIFS(tbl_task9[S144],tbl_task9[[SubPLOs]:[SubPLOs]],"&gt;=5",tbl_task9[[SubPLOs]:[SubPLOs]],"&lt;6")</f>
        <v>0</v>
      </c>
      <c r="ET38" s="138">
        <f>SUMIFS(tbl_task9[S145],tbl_task9[[SubPLOs]:[SubPLOs]],"&gt;=5",tbl_task9[[SubPLOs]:[SubPLOs]],"&lt;6")</f>
        <v>0</v>
      </c>
      <c r="EU38" s="138">
        <f>SUMIFS(tbl_task9[S146],tbl_task9[[SubPLOs]:[SubPLOs]],"&gt;=5",tbl_task9[[SubPLOs]:[SubPLOs]],"&lt;6")</f>
        <v>0</v>
      </c>
      <c r="EV38" s="138">
        <f>SUMIFS(tbl_task9[S147],tbl_task9[[SubPLOs]:[SubPLOs]],"&gt;=5",tbl_task9[[SubPLOs]:[SubPLOs]],"&lt;6")</f>
        <v>0</v>
      </c>
      <c r="EW38" s="138">
        <f>SUMIFS(tbl_task9[S148],tbl_task9[[SubPLOs]:[SubPLOs]],"&gt;=5",tbl_task9[[SubPLOs]:[SubPLOs]],"&lt;6")</f>
        <v>0</v>
      </c>
      <c r="EX38" s="138">
        <f>SUMIFS(tbl_task9[S149],tbl_task9[[SubPLOs]:[SubPLOs]],"&gt;=5",tbl_task9[[SubPLOs]:[SubPLOs]],"&lt;6")</f>
        <v>0</v>
      </c>
      <c r="EY38" s="138">
        <f>SUMIFS(tbl_task9[S150],tbl_task9[[SubPLOs]:[SubPLOs]],"&gt;=5",tbl_task9[[SubPLOs]:[SubPLOs]],"&lt;6")</f>
        <v>0</v>
      </c>
      <c r="EZ38" s="138">
        <f>SUMIFS(tbl_task9[S151],tbl_task9[[SubPLOs]:[SubPLOs]],"&gt;=5",tbl_task9[[SubPLOs]:[SubPLOs]],"&lt;6")</f>
        <v>0</v>
      </c>
      <c r="FA38" s="138">
        <f>SUMIFS(tbl_task9[S152],tbl_task9[[SubPLOs]:[SubPLOs]],"&gt;=5",tbl_task9[[SubPLOs]:[SubPLOs]],"&lt;6")</f>
        <v>0</v>
      </c>
      <c r="FB38" s="138">
        <f>SUMIFS(tbl_task9[S153],tbl_task9[[SubPLOs]:[SubPLOs]],"&gt;=5",tbl_task9[[SubPLOs]:[SubPLOs]],"&lt;6")</f>
        <v>0</v>
      </c>
      <c r="FC38" s="138">
        <f>SUMIFS(tbl_task9[S154],tbl_task9[[SubPLOs]:[SubPLOs]],"&gt;=5",tbl_task9[[SubPLOs]:[SubPLOs]],"&lt;6")</f>
        <v>0</v>
      </c>
      <c r="FD38" s="138">
        <f>SUMIFS(tbl_task9[S155],tbl_task9[[SubPLOs]:[SubPLOs]],"&gt;=5",tbl_task9[[SubPLOs]:[SubPLOs]],"&lt;6")</f>
        <v>0</v>
      </c>
      <c r="FE38" s="138">
        <f>SUMIFS(tbl_task9[S156],tbl_task9[[SubPLOs]:[SubPLOs]],"&gt;=5",tbl_task9[[SubPLOs]:[SubPLOs]],"&lt;6")</f>
        <v>0</v>
      </c>
      <c r="FF38" s="138">
        <f>SUMIFS(tbl_task9[S157],tbl_task9[[SubPLOs]:[SubPLOs]],"&gt;=5",tbl_task9[[SubPLOs]:[SubPLOs]],"&lt;6")</f>
        <v>0</v>
      </c>
      <c r="FG38" s="138">
        <f>SUMIFS(tbl_task9[S158],tbl_task9[[SubPLOs]:[SubPLOs]],"&gt;=5",tbl_task9[[SubPLOs]:[SubPLOs]],"&lt;6")</f>
        <v>0</v>
      </c>
      <c r="FH38" s="138">
        <f>SUMIFS(tbl_task9[S159],tbl_task9[[SubPLOs]:[SubPLOs]],"&gt;=5",tbl_task9[[SubPLOs]:[SubPLOs]],"&lt;6")</f>
        <v>0</v>
      </c>
      <c r="FI38" s="138">
        <f>SUMIFS(tbl_task9[S160],tbl_task9[[SubPLOs]:[SubPLOs]],"&gt;=5",tbl_task9[[SubPLOs]:[SubPLOs]],"&lt;6")</f>
        <v>0</v>
      </c>
      <c r="FJ38" s="138">
        <f>SUMIFS(tbl_task9[S161],tbl_task9[[SubPLOs]:[SubPLOs]],"&gt;=5",tbl_task9[[SubPLOs]:[SubPLOs]],"&lt;6")</f>
        <v>0</v>
      </c>
      <c r="FK38" s="138">
        <f>SUMIFS(tbl_task9[S162],tbl_task9[[SubPLOs]:[SubPLOs]],"&gt;=5",tbl_task9[[SubPLOs]:[SubPLOs]],"&lt;6")</f>
        <v>0</v>
      </c>
      <c r="FL38" s="138">
        <f>SUMIFS(tbl_task9[S163],tbl_task9[[SubPLOs]:[SubPLOs]],"&gt;=5",tbl_task9[[SubPLOs]:[SubPLOs]],"&lt;6")</f>
        <v>0</v>
      </c>
      <c r="FM38" s="138">
        <f>SUMIFS(tbl_task9[S164],tbl_task9[[SubPLOs]:[SubPLOs]],"&gt;=5",tbl_task9[[SubPLOs]:[SubPLOs]],"&lt;6")</f>
        <v>0</v>
      </c>
      <c r="FN38" s="138">
        <f>SUMIFS(tbl_task9[S165],tbl_task9[[SubPLOs]:[SubPLOs]],"&gt;=5",tbl_task9[[SubPLOs]:[SubPLOs]],"&lt;6")</f>
        <v>0</v>
      </c>
    </row>
    <row r="39" spans="1:170" ht="42" x14ac:dyDescent="0.25">
      <c r="A39" s="135">
        <v>6</v>
      </c>
      <c r="B39" s="5" t="s">
        <v>439</v>
      </c>
      <c r="C39" s="136">
        <f>COUNTIFS(tbl_task9[SubPLOs],"&gt;=6",tbl_task9[SubPLOs],"&lt;7")</f>
        <v>0</v>
      </c>
      <c r="D39" s="136">
        <f>SUMIFS(tbl_task9[คะแนนเต็ม],tbl_task9[SubPLOs],"&gt;=6",tbl_task9[SubPLOs],"&lt;7")</f>
        <v>0</v>
      </c>
      <c r="E39" s="137">
        <f>SUMIFS(tbl_task9[%],tbl_task9[SubPLOs],"&gt;=6",tbl_task9[SubPLOs],"&lt;7")</f>
        <v>0</v>
      </c>
      <c r="F39" s="138">
        <f>SUMIFS(tbl_task9[S1],tbl_task9[[SubPLOs]:[SubPLOs]],"&gt;=6",tbl_task9[[SubPLOs]:[SubPLOs]],"&lt;7")</f>
        <v>0</v>
      </c>
      <c r="G39" s="138">
        <f>SUMIFS(tbl_task9[S2],tbl_task9[[SubPLOs]:[SubPLOs]],"&gt;=6",tbl_task9[[SubPLOs]:[SubPLOs]],"&lt;7")</f>
        <v>0</v>
      </c>
      <c r="H39" s="138">
        <f>SUMIFS(tbl_task9[S3],tbl_task9[[SubPLOs]:[SubPLOs]],"&gt;=6",tbl_task9[[SubPLOs]:[SubPLOs]],"&lt;7")</f>
        <v>0</v>
      </c>
      <c r="I39" s="138">
        <f>SUMIFS(tbl_task9[S4],tbl_task9[[SubPLOs]:[SubPLOs]],"&gt;=6",tbl_task9[[SubPLOs]:[SubPLOs]],"&lt;7")</f>
        <v>0</v>
      </c>
      <c r="J39" s="138">
        <f>SUMIFS(tbl_task9[S5],tbl_task9[[SubPLOs]:[SubPLOs]],"&gt;=6",tbl_task9[[SubPLOs]:[SubPLOs]],"&lt;7")</f>
        <v>0</v>
      </c>
      <c r="K39" s="138">
        <f>SUMIFS(tbl_task9[S6],tbl_task9[[SubPLOs]:[SubPLOs]],"&gt;=6",tbl_task9[[SubPLOs]:[SubPLOs]],"&lt;7")</f>
        <v>0</v>
      </c>
      <c r="L39" s="138">
        <f>SUMIFS(tbl_task9[S7],tbl_task9[[SubPLOs]:[SubPLOs]],"&gt;=6",tbl_task9[[SubPLOs]:[SubPLOs]],"&lt;7")</f>
        <v>0</v>
      </c>
      <c r="M39" s="138">
        <f>SUMIFS(tbl_task9[S8],tbl_task9[[SubPLOs]:[SubPLOs]],"&gt;=6",tbl_task9[[SubPLOs]:[SubPLOs]],"&lt;7")</f>
        <v>0</v>
      </c>
      <c r="N39" s="138">
        <f>SUMIFS(tbl_task9[S9],tbl_task9[[SubPLOs]:[SubPLOs]],"&gt;=6",tbl_task9[[SubPLOs]:[SubPLOs]],"&lt;7")</f>
        <v>0</v>
      </c>
      <c r="O39" s="138">
        <f>SUMIFS(tbl_task9[S10],tbl_task9[[SubPLOs]:[SubPLOs]],"&gt;=6",tbl_task9[[SubPLOs]:[SubPLOs]],"&lt;7")</f>
        <v>0</v>
      </c>
      <c r="P39" s="138">
        <f>SUMIFS(tbl_task9[S11],tbl_task9[[SubPLOs]:[SubPLOs]],"&gt;=6",tbl_task9[[SubPLOs]:[SubPLOs]],"&lt;7")</f>
        <v>0</v>
      </c>
      <c r="Q39" s="138">
        <f>SUMIFS(tbl_task9[S12],tbl_task9[[SubPLOs]:[SubPLOs]],"&gt;=6",tbl_task9[[SubPLOs]:[SubPLOs]],"&lt;7")</f>
        <v>0</v>
      </c>
      <c r="R39" s="138">
        <f>SUMIFS(tbl_task9[S13],tbl_task9[[SubPLOs]:[SubPLOs]],"&gt;=6",tbl_task9[[SubPLOs]:[SubPLOs]],"&lt;7")</f>
        <v>0</v>
      </c>
      <c r="S39" s="138">
        <f>SUMIFS(tbl_task9[S14],tbl_task9[[SubPLOs]:[SubPLOs]],"&gt;=6",tbl_task9[[SubPLOs]:[SubPLOs]],"&lt;7")</f>
        <v>0</v>
      </c>
      <c r="T39" s="138">
        <f>SUMIFS(tbl_task9[S15],tbl_task9[[SubPLOs]:[SubPLOs]],"&gt;=6",tbl_task9[[SubPLOs]:[SubPLOs]],"&lt;7")</f>
        <v>0</v>
      </c>
      <c r="U39" s="138">
        <f>SUMIFS(tbl_task9[S16],tbl_task9[[SubPLOs]:[SubPLOs]],"&gt;=6",tbl_task9[[SubPLOs]:[SubPLOs]],"&lt;7")</f>
        <v>0</v>
      </c>
      <c r="V39" s="138">
        <f>SUMIFS(tbl_task9[S17],tbl_task9[[SubPLOs]:[SubPLOs]],"&gt;=6",tbl_task9[[SubPLOs]:[SubPLOs]],"&lt;7")</f>
        <v>0</v>
      </c>
      <c r="W39" s="138">
        <f>SUMIFS(tbl_task9[S18],tbl_task9[[SubPLOs]:[SubPLOs]],"&gt;=6",tbl_task9[[SubPLOs]:[SubPLOs]],"&lt;7")</f>
        <v>0</v>
      </c>
      <c r="X39" s="138">
        <f>SUMIFS(tbl_task9[S19],tbl_task9[[SubPLOs]:[SubPLOs]],"&gt;=6",tbl_task9[[SubPLOs]:[SubPLOs]],"&lt;7")</f>
        <v>0</v>
      </c>
      <c r="Y39" s="138">
        <f>SUMIFS(tbl_task9[S20],tbl_task9[[SubPLOs]:[SubPLOs]],"&gt;=6",tbl_task9[[SubPLOs]:[SubPLOs]],"&lt;7")</f>
        <v>0</v>
      </c>
      <c r="Z39" s="138">
        <f>SUMIFS(tbl_task9[S21],tbl_task9[[SubPLOs]:[SubPLOs]],"&gt;=6",tbl_task9[[SubPLOs]:[SubPLOs]],"&lt;7")</f>
        <v>0</v>
      </c>
      <c r="AA39" s="138">
        <f>SUMIFS(tbl_task9[S22],tbl_task9[[SubPLOs]:[SubPLOs]],"&gt;=6",tbl_task9[[SubPLOs]:[SubPLOs]],"&lt;7")</f>
        <v>0</v>
      </c>
      <c r="AB39" s="138">
        <f>SUMIFS(tbl_task9[S23],tbl_task9[[SubPLOs]:[SubPLOs]],"&gt;=6",tbl_task9[[SubPLOs]:[SubPLOs]],"&lt;7")</f>
        <v>0</v>
      </c>
      <c r="AC39" s="138">
        <f>SUMIFS(tbl_task9[S24],tbl_task9[[SubPLOs]:[SubPLOs]],"&gt;=6",tbl_task9[[SubPLOs]:[SubPLOs]],"&lt;7")</f>
        <v>0</v>
      </c>
      <c r="AD39" s="138">
        <f>SUMIFS(tbl_task9[S25],tbl_task9[[SubPLOs]:[SubPLOs]],"&gt;=6",tbl_task9[[SubPLOs]:[SubPLOs]],"&lt;7")</f>
        <v>0</v>
      </c>
      <c r="AE39" s="138">
        <f>SUMIFS(tbl_task9[S26],tbl_task9[[SubPLOs]:[SubPLOs]],"&gt;=6",tbl_task9[[SubPLOs]:[SubPLOs]],"&lt;7")</f>
        <v>0</v>
      </c>
      <c r="AF39" s="138">
        <f>SUMIFS(tbl_task9[S27],tbl_task9[[SubPLOs]:[SubPLOs]],"&gt;=6",tbl_task9[[SubPLOs]:[SubPLOs]],"&lt;7")</f>
        <v>0</v>
      </c>
      <c r="AG39" s="138">
        <f>SUMIFS(tbl_task9[S28],tbl_task9[[SubPLOs]:[SubPLOs]],"&gt;=6",tbl_task9[[SubPLOs]:[SubPLOs]],"&lt;7")</f>
        <v>0</v>
      </c>
      <c r="AH39" s="138">
        <f>SUMIFS(tbl_task9[S29],tbl_task9[[SubPLOs]:[SubPLOs]],"&gt;=6",tbl_task9[[SubPLOs]:[SubPLOs]],"&lt;7")</f>
        <v>0</v>
      </c>
      <c r="AI39" s="138">
        <f>SUMIFS(tbl_task9[S30],tbl_task9[[SubPLOs]:[SubPLOs]],"&gt;=6",tbl_task9[[SubPLOs]:[SubPLOs]],"&lt;7")</f>
        <v>0</v>
      </c>
      <c r="AJ39" s="138">
        <f>SUMIFS(tbl_task9[S31],tbl_task9[[SubPLOs]:[SubPLOs]],"&gt;=6",tbl_task9[[SubPLOs]:[SubPLOs]],"&lt;7")</f>
        <v>0</v>
      </c>
      <c r="AK39" s="138">
        <f>SUMIFS(tbl_task9[S32],tbl_task9[[SubPLOs]:[SubPLOs]],"&gt;=6",tbl_task9[[SubPLOs]:[SubPLOs]],"&lt;7")</f>
        <v>0</v>
      </c>
      <c r="AL39" s="138">
        <f>SUMIFS(tbl_task9[S33],tbl_task9[[SubPLOs]:[SubPLOs]],"&gt;=6",tbl_task9[[SubPLOs]:[SubPLOs]],"&lt;7")</f>
        <v>0</v>
      </c>
      <c r="AM39" s="138">
        <f>SUMIFS(tbl_task9[S34],tbl_task9[[SubPLOs]:[SubPLOs]],"&gt;=6",tbl_task9[[SubPLOs]:[SubPLOs]],"&lt;7")</f>
        <v>0</v>
      </c>
      <c r="AN39" s="138">
        <f>SUMIFS(tbl_task9[S35],tbl_task9[[SubPLOs]:[SubPLOs]],"&gt;=6",tbl_task9[[SubPLOs]:[SubPLOs]],"&lt;7")</f>
        <v>0</v>
      </c>
      <c r="AO39" s="138">
        <f>SUMIFS(tbl_task9[S36],tbl_task9[[SubPLOs]:[SubPLOs]],"&gt;=6",tbl_task9[[SubPLOs]:[SubPLOs]],"&lt;7")</f>
        <v>0</v>
      </c>
      <c r="AP39" s="138">
        <f>SUMIFS(tbl_task9[S37],tbl_task9[[SubPLOs]:[SubPLOs]],"&gt;=6",tbl_task9[[SubPLOs]:[SubPLOs]],"&lt;7")</f>
        <v>0</v>
      </c>
      <c r="AQ39" s="138">
        <f>SUMIFS(tbl_task9[S38],tbl_task9[[SubPLOs]:[SubPLOs]],"&gt;=6",tbl_task9[[SubPLOs]:[SubPLOs]],"&lt;7")</f>
        <v>0</v>
      </c>
      <c r="AR39" s="138">
        <f>SUMIFS(tbl_task9[S39],tbl_task9[[SubPLOs]:[SubPLOs]],"&gt;=6",tbl_task9[[SubPLOs]:[SubPLOs]],"&lt;7")</f>
        <v>0</v>
      </c>
      <c r="AS39" s="138">
        <f>SUMIFS(tbl_task9[S40],tbl_task9[[SubPLOs]:[SubPLOs]],"&gt;=6",tbl_task9[[SubPLOs]:[SubPLOs]],"&lt;7")</f>
        <v>0</v>
      </c>
      <c r="AT39" s="138">
        <f>SUMIFS(tbl_task9[S41],tbl_task9[[SubPLOs]:[SubPLOs]],"&gt;=6",tbl_task9[[SubPLOs]:[SubPLOs]],"&lt;7")</f>
        <v>0</v>
      </c>
      <c r="AU39" s="138">
        <f>SUMIFS(tbl_task9[S42],tbl_task9[[SubPLOs]:[SubPLOs]],"&gt;=6",tbl_task9[[SubPLOs]:[SubPLOs]],"&lt;7")</f>
        <v>0</v>
      </c>
      <c r="AV39" s="138">
        <f>SUMIFS(tbl_task9[S43],tbl_task9[[SubPLOs]:[SubPLOs]],"&gt;=6",tbl_task9[[SubPLOs]:[SubPLOs]],"&lt;7")</f>
        <v>0</v>
      </c>
      <c r="AW39" s="138">
        <f>SUMIFS(tbl_task9[S44],tbl_task9[[SubPLOs]:[SubPLOs]],"&gt;=6",tbl_task9[[SubPLOs]:[SubPLOs]],"&lt;7")</f>
        <v>0</v>
      </c>
      <c r="AX39" s="138">
        <f>SUMIFS(tbl_task9[S45],tbl_task9[[SubPLOs]:[SubPLOs]],"&gt;=6",tbl_task9[[SubPLOs]:[SubPLOs]],"&lt;7")</f>
        <v>0</v>
      </c>
      <c r="AY39" s="138">
        <f>SUMIFS(tbl_task9[S46],tbl_task9[[SubPLOs]:[SubPLOs]],"&gt;=6",tbl_task9[[SubPLOs]:[SubPLOs]],"&lt;7")</f>
        <v>0</v>
      </c>
      <c r="AZ39" s="138">
        <f>SUMIFS(tbl_task9[S47],tbl_task9[[SubPLOs]:[SubPLOs]],"&gt;=6",tbl_task9[[SubPLOs]:[SubPLOs]],"&lt;7")</f>
        <v>0</v>
      </c>
      <c r="BA39" s="138">
        <f>SUMIFS(tbl_task9[S48],tbl_task9[[SubPLOs]:[SubPLOs]],"&gt;=6",tbl_task9[[SubPLOs]:[SubPLOs]],"&lt;7")</f>
        <v>0</v>
      </c>
      <c r="BB39" s="138">
        <f>SUMIFS(tbl_task9[S49],tbl_task9[[SubPLOs]:[SubPLOs]],"&gt;=6",tbl_task9[[SubPLOs]:[SubPLOs]],"&lt;7")</f>
        <v>0</v>
      </c>
      <c r="BC39" s="138">
        <f>SUMIFS(tbl_task9[S50],tbl_task9[[SubPLOs]:[SubPLOs]],"&gt;=6",tbl_task9[[SubPLOs]:[SubPLOs]],"&lt;7")</f>
        <v>0</v>
      </c>
      <c r="BD39" s="138">
        <f>SUMIFS(tbl_task9[S51],tbl_task9[[SubPLOs]:[SubPLOs]],"&gt;=6",tbl_task9[[SubPLOs]:[SubPLOs]],"&lt;7")</f>
        <v>0</v>
      </c>
      <c r="BE39" s="138">
        <f>SUMIFS(tbl_task9[S52],tbl_task9[[SubPLOs]:[SubPLOs]],"&gt;=6",tbl_task9[[SubPLOs]:[SubPLOs]],"&lt;7")</f>
        <v>0</v>
      </c>
      <c r="BF39" s="138">
        <f>SUMIFS(tbl_task9[S53],tbl_task9[[SubPLOs]:[SubPLOs]],"&gt;=6",tbl_task9[[SubPLOs]:[SubPLOs]],"&lt;7")</f>
        <v>0</v>
      </c>
      <c r="BG39" s="138">
        <f>SUMIFS(tbl_task9[S54],tbl_task9[[SubPLOs]:[SubPLOs]],"&gt;=6",tbl_task9[[SubPLOs]:[SubPLOs]],"&lt;7")</f>
        <v>0</v>
      </c>
      <c r="BH39" s="138">
        <f>SUMIFS(tbl_task9[S55],tbl_task9[[SubPLOs]:[SubPLOs]],"&gt;=6",tbl_task9[[SubPLOs]:[SubPLOs]],"&lt;7")</f>
        <v>0</v>
      </c>
      <c r="BI39" s="138">
        <f>SUMIFS(tbl_task9[S56],tbl_task9[[SubPLOs]:[SubPLOs]],"&gt;=6",tbl_task9[[SubPLOs]:[SubPLOs]],"&lt;7")</f>
        <v>0</v>
      </c>
      <c r="BJ39" s="138">
        <f>SUMIFS(tbl_task9[S57],tbl_task9[[SubPLOs]:[SubPLOs]],"&gt;=6",tbl_task9[[SubPLOs]:[SubPLOs]],"&lt;7")</f>
        <v>0</v>
      </c>
      <c r="BK39" s="138">
        <f>SUMIFS(tbl_task9[S58],tbl_task9[[SubPLOs]:[SubPLOs]],"&gt;=6",tbl_task9[[SubPLOs]:[SubPLOs]],"&lt;7")</f>
        <v>0</v>
      </c>
      <c r="BL39" s="138">
        <f>SUMIFS(tbl_task9[S59],tbl_task9[[SubPLOs]:[SubPLOs]],"&gt;=6",tbl_task9[[SubPLOs]:[SubPLOs]],"&lt;7")</f>
        <v>0</v>
      </c>
      <c r="BM39" s="138">
        <f>SUMIFS(tbl_task9[S60],tbl_task9[[SubPLOs]:[SubPLOs]],"&gt;=6",tbl_task9[[SubPLOs]:[SubPLOs]],"&lt;7")</f>
        <v>0</v>
      </c>
      <c r="BN39" s="138">
        <f>SUMIFS(tbl_task9[S61],tbl_task9[[SubPLOs]:[SubPLOs]],"&gt;=6",tbl_task9[[SubPLOs]:[SubPLOs]],"&lt;7")</f>
        <v>0</v>
      </c>
      <c r="BO39" s="138">
        <f>SUMIFS(tbl_task9[S62],tbl_task9[[SubPLOs]:[SubPLOs]],"&gt;=6",tbl_task9[[SubPLOs]:[SubPLOs]],"&lt;7")</f>
        <v>0</v>
      </c>
      <c r="BP39" s="138">
        <f>SUMIFS(tbl_task9[S63],tbl_task9[[SubPLOs]:[SubPLOs]],"&gt;=6",tbl_task9[[SubPLOs]:[SubPLOs]],"&lt;7")</f>
        <v>0</v>
      </c>
      <c r="BQ39" s="138">
        <f>SUMIFS(tbl_task9[S64],tbl_task9[[SubPLOs]:[SubPLOs]],"&gt;=6",tbl_task9[[SubPLOs]:[SubPLOs]],"&lt;7")</f>
        <v>0</v>
      </c>
      <c r="BR39" s="138">
        <f>SUMIFS(tbl_task9[S65],tbl_task9[[SubPLOs]:[SubPLOs]],"&gt;=6",tbl_task9[[SubPLOs]:[SubPLOs]],"&lt;7")</f>
        <v>0</v>
      </c>
      <c r="BS39" s="138">
        <f>SUMIFS(tbl_task9[S66],tbl_task9[[SubPLOs]:[SubPLOs]],"&gt;=6",tbl_task9[[SubPLOs]:[SubPLOs]],"&lt;7")</f>
        <v>0</v>
      </c>
      <c r="BT39" s="138">
        <f>SUMIFS(tbl_task9[S67],tbl_task9[[SubPLOs]:[SubPLOs]],"&gt;=6",tbl_task9[[SubPLOs]:[SubPLOs]],"&lt;7")</f>
        <v>0</v>
      </c>
      <c r="BU39" s="138">
        <f>SUMIFS(tbl_task9[S68],tbl_task9[[SubPLOs]:[SubPLOs]],"&gt;=6",tbl_task9[[SubPLOs]:[SubPLOs]],"&lt;7")</f>
        <v>0</v>
      </c>
      <c r="BV39" s="138">
        <f>SUMIFS(tbl_task9[S69],tbl_task9[[SubPLOs]:[SubPLOs]],"&gt;=6",tbl_task9[[SubPLOs]:[SubPLOs]],"&lt;7")</f>
        <v>0</v>
      </c>
      <c r="BW39" s="138">
        <f>SUMIFS(tbl_task9[S70],tbl_task9[[SubPLOs]:[SubPLOs]],"&gt;=6",tbl_task9[[SubPLOs]:[SubPLOs]],"&lt;7")</f>
        <v>0</v>
      </c>
      <c r="BX39" s="138">
        <f>SUMIFS(tbl_task9[S71],tbl_task9[[SubPLOs]:[SubPLOs]],"&gt;=6",tbl_task9[[SubPLOs]:[SubPLOs]],"&lt;7")</f>
        <v>0</v>
      </c>
      <c r="BY39" s="138">
        <f>SUMIFS(tbl_task9[S72],tbl_task9[[SubPLOs]:[SubPLOs]],"&gt;=6",tbl_task9[[SubPLOs]:[SubPLOs]],"&lt;7")</f>
        <v>0</v>
      </c>
      <c r="BZ39" s="138">
        <f>SUMIFS(tbl_task9[S73],tbl_task9[[SubPLOs]:[SubPLOs]],"&gt;=6",tbl_task9[[SubPLOs]:[SubPLOs]],"&lt;7")</f>
        <v>0</v>
      </c>
      <c r="CA39" s="138">
        <f>SUMIFS(tbl_task9[S74],tbl_task9[[SubPLOs]:[SubPLOs]],"&gt;=6",tbl_task9[[SubPLOs]:[SubPLOs]],"&lt;7")</f>
        <v>0</v>
      </c>
      <c r="CB39" s="138">
        <f>SUMIFS(tbl_task9[S75],tbl_task9[[SubPLOs]:[SubPLOs]],"&gt;=6",tbl_task9[[SubPLOs]:[SubPLOs]],"&lt;7")</f>
        <v>0</v>
      </c>
      <c r="CC39" s="138">
        <f>SUMIFS(tbl_task9[S76],tbl_task9[[SubPLOs]:[SubPLOs]],"&gt;=6",tbl_task9[[SubPLOs]:[SubPLOs]],"&lt;7")</f>
        <v>0</v>
      </c>
      <c r="CD39" s="138">
        <f>SUMIFS(tbl_task9[S77],tbl_task9[[SubPLOs]:[SubPLOs]],"&gt;=6",tbl_task9[[SubPLOs]:[SubPLOs]],"&lt;7")</f>
        <v>0</v>
      </c>
      <c r="CE39" s="138">
        <f>SUMIFS(tbl_task9[S78],tbl_task9[[SubPLOs]:[SubPLOs]],"&gt;=6",tbl_task9[[SubPLOs]:[SubPLOs]],"&lt;7")</f>
        <v>0</v>
      </c>
      <c r="CF39" s="138">
        <f>SUMIFS(tbl_task9[S79],tbl_task9[[SubPLOs]:[SubPLOs]],"&gt;=6",tbl_task9[[SubPLOs]:[SubPLOs]],"&lt;7")</f>
        <v>0</v>
      </c>
      <c r="CG39" s="138">
        <f>SUMIFS(tbl_task9[S80],tbl_task9[[SubPLOs]:[SubPLOs]],"&gt;=6",tbl_task9[[SubPLOs]:[SubPLOs]],"&lt;7")</f>
        <v>0</v>
      </c>
      <c r="CH39" s="138">
        <f>SUMIFS(tbl_task9[S81],tbl_task9[[SubPLOs]:[SubPLOs]],"&gt;=6",tbl_task9[[SubPLOs]:[SubPLOs]],"&lt;7")</f>
        <v>0</v>
      </c>
      <c r="CI39" s="138">
        <f>SUMIFS(tbl_task9[S82],tbl_task9[[SubPLOs]:[SubPLOs]],"&gt;=6",tbl_task9[[SubPLOs]:[SubPLOs]],"&lt;7")</f>
        <v>0</v>
      </c>
      <c r="CJ39" s="138">
        <f>SUMIFS(tbl_task9[S83],tbl_task9[[SubPLOs]:[SubPLOs]],"&gt;=6",tbl_task9[[SubPLOs]:[SubPLOs]],"&lt;7")</f>
        <v>0</v>
      </c>
      <c r="CK39" s="138">
        <f>SUMIFS(tbl_task9[S84],tbl_task9[[SubPLOs]:[SubPLOs]],"&gt;=6",tbl_task9[[SubPLOs]:[SubPLOs]],"&lt;7")</f>
        <v>0</v>
      </c>
      <c r="CL39" s="138">
        <f>SUMIFS(tbl_task9[S85],tbl_task9[[SubPLOs]:[SubPLOs]],"&gt;=6",tbl_task9[[SubPLOs]:[SubPLOs]],"&lt;7")</f>
        <v>0</v>
      </c>
      <c r="CM39" s="138">
        <f>SUMIFS(tbl_task9[S86],tbl_task9[[SubPLOs]:[SubPLOs]],"&gt;=6",tbl_task9[[SubPLOs]:[SubPLOs]],"&lt;7")</f>
        <v>0</v>
      </c>
      <c r="CN39" s="138">
        <f>SUMIFS(tbl_task9[S87],tbl_task9[[SubPLOs]:[SubPLOs]],"&gt;=6",tbl_task9[[SubPLOs]:[SubPLOs]],"&lt;7")</f>
        <v>0</v>
      </c>
      <c r="CO39" s="138">
        <f>SUMIFS(tbl_task9[S88],tbl_task9[[SubPLOs]:[SubPLOs]],"&gt;=6",tbl_task9[[SubPLOs]:[SubPLOs]],"&lt;7")</f>
        <v>0</v>
      </c>
      <c r="CP39" s="138">
        <f>SUMIFS(tbl_task9[S89],tbl_task9[[SubPLOs]:[SubPLOs]],"&gt;=6",tbl_task9[[SubPLOs]:[SubPLOs]],"&lt;7")</f>
        <v>0</v>
      </c>
      <c r="CQ39" s="138">
        <f>SUMIFS(tbl_task9[S90],tbl_task9[[SubPLOs]:[SubPLOs]],"&gt;=6",tbl_task9[[SubPLOs]:[SubPLOs]],"&lt;7")</f>
        <v>0</v>
      </c>
      <c r="CR39" s="138">
        <f>SUMIFS(tbl_task9[S91],tbl_task9[[SubPLOs]:[SubPLOs]],"&gt;=6",tbl_task9[[SubPLOs]:[SubPLOs]],"&lt;7")</f>
        <v>0</v>
      </c>
      <c r="CS39" s="138">
        <f>SUMIFS(tbl_task9[S92],tbl_task9[[SubPLOs]:[SubPLOs]],"&gt;=6",tbl_task9[[SubPLOs]:[SubPLOs]],"&lt;7")</f>
        <v>0</v>
      </c>
      <c r="CT39" s="138">
        <f>SUMIFS(tbl_task9[S93],tbl_task9[[SubPLOs]:[SubPLOs]],"&gt;=6",tbl_task9[[SubPLOs]:[SubPLOs]],"&lt;7")</f>
        <v>0</v>
      </c>
      <c r="CU39" s="138">
        <f>SUMIFS(tbl_task9[S94],tbl_task9[[SubPLOs]:[SubPLOs]],"&gt;=6",tbl_task9[[SubPLOs]:[SubPLOs]],"&lt;7")</f>
        <v>0</v>
      </c>
      <c r="CV39" s="138">
        <f>SUMIFS(tbl_task9[S95],tbl_task9[[SubPLOs]:[SubPLOs]],"&gt;=6",tbl_task9[[SubPLOs]:[SubPLOs]],"&lt;7")</f>
        <v>0</v>
      </c>
      <c r="CW39" s="138">
        <f>SUMIFS(tbl_task9[S96],tbl_task9[[SubPLOs]:[SubPLOs]],"&gt;=6",tbl_task9[[SubPLOs]:[SubPLOs]],"&lt;7")</f>
        <v>0</v>
      </c>
      <c r="CX39" s="138">
        <f>SUMIFS(tbl_task9[S97],tbl_task9[[SubPLOs]:[SubPLOs]],"&gt;=6",tbl_task9[[SubPLOs]:[SubPLOs]],"&lt;7")</f>
        <v>0</v>
      </c>
      <c r="CY39" s="138">
        <f>SUMIFS(tbl_task9[S98],tbl_task9[[SubPLOs]:[SubPLOs]],"&gt;=6",tbl_task9[[SubPLOs]:[SubPLOs]],"&lt;7")</f>
        <v>0</v>
      </c>
      <c r="CZ39" s="138">
        <f>SUMIFS(tbl_task9[S99],tbl_task9[[SubPLOs]:[SubPLOs]],"&gt;=6",tbl_task9[[SubPLOs]:[SubPLOs]],"&lt;7")</f>
        <v>0</v>
      </c>
      <c r="DA39" s="138">
        <f>SUMIFS(tbl_task9[S100],tbl_task9[[SubPLOs]:[SubPLOs]],"&gt;=6",tbl_task9[[SubPLOs]:[SubPLOs]],"&lt;7")</f>
        <v>0</v>
      </c>
      <c r="DB39" s="138">
        <f>SUMIFS(tbl_task9[S101],tbl_task9[[SubPLOs]:[SubPLOs]],"&gt;=6",tbl_task9[[SubPLOs]:[SubPLOs]],"&lt;7")</f>
        <v>0</v>
      </c>
      <c r="DC39" s="138">
        <f>SUMIFS(tbl_task9[S102],tbl_task9[[SubPLOs]:[SubPLOs]],"&gt;=6",tbl_task9[[SubPLOs]:[SubPLOs]],"&lt;7")</f>
        <v>0</v>
      </c>
      <c r="DD39" s="138">
        <f>SUMIFS(tbl_task9[S103],tbl_task9[[SubPLOs]:[SubPLOs]],"&gt;=6",tbl_task9[[SubPLOs]:[SubPLOs]],"&lt;7")</f>
        <v>0</v>
      </c>
      <c r="DE39" s="138">
        <f>SUMIFS(tbl_task9[S104],tbl_task9[[SubPLOs]:[SubPLOs]],"&gt;=6",tbl_task9[[SubPLOs]:[SubPLOs]],"&lt;7")</f>
        <v>0</v>
      </c>
      <c r="DF39" s="138">
        <f>SUMIFS(tbl_task9[S105],tbl_task9[[SubPLOs]:[SubPLOs]],"&gt;=6",tbl_task9[[SubPLOs]:[SubPLOs]],"&lt;7")</f>
        <v>0</v>
      </c>
      <c r="DG39" s="138">
        <f>SUMIFS(tbl_task9[S106],tbl_task9[[SubPLOs]:[SubPLOs]],"&gt;=6",tbl_task9[[SubPLOs]:[SubPLOs]],"&lt;7")</f>
        <v>0</v>
      </c>
      <c r="DH39" s="138">
        <f>SUMIFS(tbl_task9[S106],tbl_task9[[SubPLOs]:[SubPLOs]],"&gt;=6",tbl_task9[[SubPLOs]:[SubPLOs]],"&lt;7")</f>
        <v>0</v>
      </c>
      <c r="DI39" s="138">
        <f>SUMIFS(tbl_task9[S108],tbl_task9[[SubPLOs]:[SubPLOs]],"&gt;=6",tbl_task9[[SubPLOs]:[SubPLOs]],"&lt;7")</f>
        <v>0</v>
      </c>
      <c r="DJ39" s="138">
        <f>SUMIFS(tbl_task9[S109],tbl_task9[[SubPLOs]:[SubPLOs]],"&gt;=6",tbl_task9[[SubPLOs]:[SubPLOs]],"&lt;7")</f>
        <v>0</v>
      </c>
      <c r="DK39" s="138">
        <f>SUMIFS(tbl_task9[S110],tbl_task9[[SubPLOs]:[SubPLOs]],"&gt;=6",tbl_task9[[SubPLOs]:[SubPLOs]],"&lt;7")</f>
        <v>0</v>
      </c>
      <c r="DL39" s="138">
        <f>SUMIFS(tbl_task9[S111],tbl_task9[[SubPLOs]:[SubPLOs]],"&gt;=6",tbl_task9[[SubPLOs]:[SubPLOs]],"&lt;7")</f>
        <v>0</v>
      </c>
      <c r="DM39" s="138">
        <f>SUMIFS(tbl_task9[S112],tbl_task9[[SubPLOs]:[SubPLOs]],"&gt;=6",tbl_task9[[SubPLOs]:[SubPLOs]],"&lt;7")</f>
        <v>0</v>
      </c>
      <c r="DN39" s="138">
        <f>SUMIFS(tbl_task9[S113],tbl_task9[[SubPLOs]:[SubPLOs]],"&gt;=6",tbl_task9[[SubPLOs]:[SubPLOs]],"&lt;7")</f>
        <v>0</v>
      </c>
      <c r="DO39" s="138">
        <f>SUMIFS(tbl_task9[S114],tbl_task9[[SubPLOs]:[SubPLOs]],"&gt;=6",tbl_task9[[SubPLOs]:[SubPLOs]],"&lt;7")</f>
        <v>0</v>
      </c>
      <c r="DP39" s="138">
        <f>SUMIFS(tbl_task9[S115],tbl_task9[[SubPLOs]:[SubPLOs]],"&gt;=6",tbl_task9[[SubPLOs]:[SubPLOs]],"&lt;7")</f>
        <v>0</v>
      </c>
      <c r="DQ39" s="138">
        <f>SUMIFS(tbl_task9[S116],tbl_task9[[SubPLOs]:[SubPLOs]],"&gt;=6",tbl_task9[[SubPLOs]:[SubPLOs]],"&lt;7")</f>
        <v>0</v>
      </c>
      <c r="DR39" s="138">
        <f>SUMIFS(tbl_task9[S117],tbl_task9[[SubPLOs]:[SubPLOs]],"&gt;=6",tbl_task9[[SubPLOs]:[SubPLOs]],"&lt;7")</f>
        <v>0</v>
      </c>
      <c r="DS39" s="138">
        <f>SUMIFS(tbl_task9[S118],tbl_task9[[SubPLOs]:[SubPLOs]],"&gt;=6",tbl_task9[[SubPLOs]:[SubPLOs]],"&lt;7")</f>
        <v>0</v>
      </c>
      <c r="DT39" s="138">
        <f>SUMIFS(tbl_task9[S119],tbl_task9[[SubPLOs]:[SubPLOs]],"&gt;=6",tbl_task9[[SubPLOs]:[SubPLOs]],"&lt;7")</f>
        <v>0</v>
      </c>
      <c r="DU39" s="138">
        <f>SUMIFS(tbl_task9[S120],tbl_task9[[SubPLOs]:[SubPLOs]],"&gt;=6",tbl_task9[[SubPLOs]:[SubPLOs]],"&lt;7")</f>
        <v>0</v>
      </c>
      <c r="DV39" s="138">
        <f>SUMIFS(tbl_task9[S121],tbl_task9[[SubPLOs]:[SubPLOs]],"&gt;=6",tbl_task9[[SubPLOs]:[SubPLOs]],"&lt;7")</f>
        <v>0</v>
      </c>
      <c r="DW39" s="138">
        <f>SUMIFS(tbl_task9[S122],tbl_task9[[SubPLOs]:[SubPLOs]],"&gt;=6",tbl_task9[[SubPLOs]:[SubPLOs]],"&lt;7")</f>
        <v>0</v>
      </c>
      <c r="DX39" s="138">
        <f>SUMIFS(tbl_task9[S123],tbl_task9[[SubPLOs]:[SubPLOs]],"&gt;=6",tbl_task9[[SubPLOs]:[SubPLOs]],"&lt;7")</f>
        <v>0</v>
      </c>
      <c r="DY39" s="138">
        <f>SUMIFS(tbl_task9[S124],tbl_task9[[SubPLOs]:[SubPLOs]],"&gt;=6",tbl_task9[[SubPLOs]:[SubPLOs]],"&lt;7")</f>
        <v>0</v>
      </c>
      <c r="DZ39" s="138">
        <f>SUMIFS(tbl_task9[S125],tbl_task9[[SubPLOs]:[SubPLOs]],"&gt;=6",tbl_task9[[SubPLOs]:[SubPLOs]],"&lt;7")</f>
        <v>0</v>
      </c>
      <c r="EA39" s="138">
        <f>SUMIFS(tbl_task9[S126],tbl_task9[[SubPLOs]:[SubPLOs]],"&gt;=6",tbl_task9[[SubPLOs]:[SubPLOs]],"&lt;7")</f>
        <v>0</v>
      </c>
      <c r="EB39" s="138">
        <f>SUMIFS(tbl_task9[S127],tbl_task9[[SubPLOs]:[SubPLOs]],"&gt;=6",tbl_task9[[SubPLOs]:[SubPLOs]],"&lt;7")</f>
        <v>0</v>
      </c>
      <c r="EC39" s="138">
        <f>SUMIFS(tbl_task9[S128],tbl_task9[[SubPLOs]:[SubPLOs]],"&gt;=6",tbl_task9[[SubPLOs]:[SubPLOs]],"&lt;7")</f>
        <v>0</v>
      </c>
      <c r="ED39" s="138">
        <f>SUMIFS(tbl_task9[S129],tbl_task9[[SubPLOs]:[SubPLOs]],"&gt;=6",tbl_task9[[SubPLOs]:[SubPLOs]],"&lt;7")</f>
        <v>0</v>
      </c>
      <c r="EE39" s="138">
        <f>SUMIFS(tbl_task9[S130],tbl_task9[[SubPLOs]:[SubPLOs]],"&gt;=6",tbl_task9[[SubPLOs]:[SubPLOs]],"&lt;7")</f>
        <v>0</v>
      </c>
      <c r="EF39" s="138">
        <f>SUMIFS(tbl_task9[S131],tbl_task9[[SubPLOs]:[SubPLOs]],"&gt;=6",tbl_task9[[SubPLOs]:[SubPLOs]],"&lt;7")</f>
        <v>0</v>
      </c>
      <c r="EG39" s="138">
        <f>SUMIFS(tbl_task9[S132],tbl_task9[[SubPLOs]:[SubPLOs]],"&gt;=6",tbl_task9[[SubPLOs]:[SubPLOs]],"&lt;7")</f>
        <v>0</v>
      </c>
      <c r="EH39" s="138">
        <f>SUMIFS(tbl_task9[S133],tbl_task9[[SubPLOs]:[SubPLOs]],"&gt;=6",tbl_task9[[SubPLOs]:[SubPLOs]],"&lt;7")</f>
        <v>0</v>
      </c>
      <c r="EI39" s="138">
        <f>SUMIFS(tbl_task9[S134],tbl_task9[[SubPLOs]:[SubPLOs]],"&gt;=6",tbl_task9[[SubPLOs]:[SubPLOs]],"&lt;7")</f>
        <v>0</v>
      </c>
      <c r="EJ39" s="138">
        <f>SUMIFS(tbl_task9[S135],tbl_task9[[SubPLOs]:[SubPLOs]],"&gt;=6",tbl_task9[[SubPLOs]:[SubPLOs]],"&lt;7")</f>
        <v>0</v>
      </c>
      <c r="EK39" s="138">
        <f>SUMIFS(tbl_task9[S136],tbl_task9[[SubPLOs]:[SubPLOs]],"&gt;=6",tbl_task9[[SubPLOs]:[SubPLOs]],"&lt;7")</f>
        <v>0</v>
      </c>
      <c r="EL39" s="138">
        <f>SUMIFS(tbl_task9[S137],tbl_task9[[SubPLOs]:[SubPLOs]],"&gt;=6",tbl_task9[[SubPLOs]:[SubPLOs]],"&lt;7")</f>
        <v>0</v>
      </c>
      <c r="EM39" s="138">
        <f>SUMIFS(tbl_task9[S138],tbl_task9[[SubPLOs]:[SubPLOs]],"&gt;=6",tbl_task9[[SubPLOs]:[SubPLOs]],"&lt;7")</f>
        <v>0</v>
      </c>
      <c r="EN39" s="138">
        <f>SUMIFS(tbl_task9[S139],tbl_task9[[SubPLOs]:[SubPLOs]],"&gt;=6",tbl_task9[[SubPLOs]:[SubPLOs]],"&lt;7")</f>
        <v>0</v>
      </c>
      <c r="EO39" s="138">
        <f>SUMIFS(tbl_task9[S140],tbl_task9[[SubPLOs]:[SubPLOs]],"&gt;=6",tbl_task9[[SubPLOs]:[SubPLOs]],"&lt;7")</f>
        <v>0</v>
      </c>
      <c r="EP39" s="138">
        <f>SUMIFS(tbl_task9[S141],tbl_task9[[SubPLOs]:[SubPLOs]],"&gt;=6",tbl_task9[[SubPLOs]:[SubPLOs]],"&lt;7")</f>
        <v>0</v>
      </c>
      <c r="EQ39" s="138">
        <f>SUMIFS(tbl_task9[S142],tbl_task9[[SubPLOs]:[SubPLOs]],"&gt;=6",tbl_task9[[SubPLOs]:[SubPLOs]],"&lt;7")</f>
        <v>0</v>
      </c>
      <c r="ER39" s="138">
        <f>SUMIFS(tbl_task9[S143],tbl_task9[[SubPLOs]:[SubPLOs]],"&gt;=6",tbl_task9[[SubPLOs]:[SubPLOs]],"&lt;7")</f>
        <v>0</v>
      </c>
      <c r="ES39" s="138">
        <f>SUMIFS(tbl_task9[S144],tbl_task9[[SubPLOs]:[SubPLOs]],"&gt;=6",tbl_task9[[SubPLOs]:[SubPLOs]],"&lt;7")</f>
        <v>0</v>
      </c>
      <c r="ET39" s="138">
        <f>SUMIFS(tbl_task9[S145],tbl_task9[[SubPLOs]:[SubPLOs]],"&gt;=6",tbl_task9[[SubPLOs]:[SubPLOs]],"&lt;7")</f>
        <v>0</v>
      </c>
      <c r="EU39" s="138">
        <f>SUMIFS(tbl_task9[S146],tbl_task9[[SubPLOs]:[SubPLOs]],"&gt;=6",tbl_task9[[SubPLOs]:[SubPLOs]],"&lt;7")</f>
        <v>0</v>
      </c>
      <c r="EV39" s="138">
        <f>SUMIFS(tbl_task9[S147],tbl_task9[[SubPLOs]:[SubPLOs]],"&gt;=6",tbl_task9[[SubPLOs]:[SubPLOs]],"&lt;7")</f>
        <v>0</v>
      </c>
      <c r="EW39" s="138">
        <f>SUMIFS(tbl_task9[S148],tbl_task9[[SubPLOs]:[SubPLOs]],"&gt;=6",tbl_task9[[SubPLOs]:[SubPLOs]],"&lt;7")</f>
        <v>0</v>
      </c>
      <c r="EX39" s="138">
        <f>SUMIFS(tbl_task9[S149],tbl_task9[[SubPLOs]:[SubPLOs]],"&gt;=6",tbl_task9[[SubPLOs]:[SubPLOs]],"&lt;7")</f>
        <v>0</v>
      </c>
      <c r="EY39" s="138">
        <f>SUMIFS(tbl_task9[S150],tbl_task9[[SubPLOs]:[SubPLOs]],"&gt;=6",tbl_task9[[SubPLOs]:[SubPLOs]],"&lt;7")</f>
        <v>0</v>
      </c>
      <c r="EZ39" s="138">
        <f>SUMIFS(tbl_task9[S151],tbl_task9[[SubPLOs]:[SubPLOs]],"&gt;=6",tbl_task9[[SubPLOs]:[SubPLOs]],"&lt;7")</f>
        <v>0</v>
      </c>
      <c r="FA39" s="138">
        <f>SUMIFS(tbl_task9[S152],tbl_task9[[SubPLOs]:[SubPLOs]],"&gt;=6",tbl_task9[[SubPLOs]:[SubPLOs]],"&lt;7")</f>
        <v>0</v>
      </c>
      <c r="FB39" s="138">
        <f>SUMIFS(tbl_task9[S153],tbl_task9[[SubPLOs]:[SubPLOs]],"&gt;=6",tbl_task9[[SubPLOs]:[SubPLOs]],"&lt;7")</f>
        <v>0</v>
      </c>
      <c r="FC39" s="138">
        <f>SUMIFS(tbl_task9[S154],tbl_task9[[SubPLOs]:[SubPLOs]],"&gt;=6",tbl_task9[[SubPLOs]:[SubPLOs]],"&lt;7")</f>
        <v>0</v>
      </c>
      <c r="FD39" s="138">
        <f>SUMIFS(tbl_task9[S155],tbl_task9[[SubPLOs]:[SubPLOs]],"&gt;=6",tbl_task9[[SubPLOs]:[SubPLOs]],"&lt;7")</f>
        <v>0</v>
      </c>
      <c r="FE39" s="138">
        <f>SUMIFS(tbl_task9[S156],tbl_task9[[SubPLOs]:[SubPLOs]],"&gt;=6",tbl_task9[[SubPLOs]:[SubPLOs]],"&lt;7")</f>
        <v>0</v>
      </c>
      <c r="FF39" s="138">
        <f>SUMIFS(tbl_task9[S157],tbl_task9[[SubPLOs]:[SubPLOs]],"&gt;=6",tbl_task9[[SubPLOs]:[SubPLOs]],"&lt;7")</f>
        <v>0</v>
      </c>
      <c r="FG39" s="138">
        <f>SUMIFS(tbl_task9[S158],tbl_task9[[SubPLOs]:[SubPLOs]],"&gt;=6",tbl_task9[[SubPLOs]:[SubPLOs]],"&lt;7")</f>
        <v>0</v>
      </c>
      <c r="FH39" s="138">
        <f>SUMIFS(tbl_task9[S159],tbl_task9[[SubPLOs]:[SubPLOs]],"&gt;=6",tbl_task9[[SubPLOs]:[SubPLOs]],"&lt;7")</f>
        <v>0</v>
      </c>
      <c r="FI39" s="138">
        <f>SUMIFS(tbl_task9[S160],tbl_task9[[SubPLOs]:[SubPLOs]],"&gt;=6",tbl_task9[[SubPLOs]:[SubPLOs]],"&lt;7")</f>
        <v>0</v>
      </c>
      <c r="FJ39" s="138">
        <f>SUMIFS(tbl_task9[S161],tbl_task9[[SubPLOs]:[SubPLOs]],"&gt;=6",tbl_task9[[SubPLOs]:[SubPLOs]],"&lt;7")</f>
        <v>0</v>
      </c>
      <c r="FK39" s="138">
        <f>SUMIFS(tbl_task9[S162],tbl_task9[[SubPLOs]:[SubPLOs]],"&gt;=6",tbl_task9[[SubPLOs]:[SubPLOs]],"&lt;7")</f>
        <v>0</v>
      </c>
      <c r="FL39" s="138">
        <f>SUMIFS(tbl_task9[S163],tbl_task9[[SubPLOs]:[SubPLOs]],"&gt;=6",tbl_task9[[SubPLOs]:[SubPLOs]],"&lt;7")</f>
        <v>0</v>
      </c>
      <c r="FM39" s="138">
        <f>SUMIFS(tbl_task9[S164],tbl_task9[[SubPLOs]:[SubPLOs]],"&gt;=6",tbl_task9[[SubPLOs]:[SubPLOs]],"&lt;7")</f>
        <v>0</v>
      </c>
      <c r="FN39" s="138">
        <f>SUMIFS(tbl_task9[S165],tbl_task9[[SubPLOs]:[SubPLOs]],"&gt;=6",tbl_task9[[SubPLOs]:[SubPLOs]],"&lt;7")</f>
        <v>0</v>
      </c>
    </row>
    <row r="40" spans="1:170" ht="42" x14ac:dyDescent="0.25">
      <c r="A40" s="135">
        <v>7</v>
      </c>
      <c r="B40" s="5" t="s">
        <v>440</v>
      </c>
      <c r="C40" s="136">
        <f>COUNTIFS(tbl_task9[SubPLOs],"&gt;=7",tbl_task9[SubPLOs],"&lt;8")</f>
        <v>0</v>
      </c>
      <c r="D40" s="136">
        <f>SUMIFS(tbl_task9[คะแนนเต็ม],tbl_task9[SubPLOs],"&gt;=7",tbl_task9[SubPLOs],"&lt;8")</f>
        <v>0</v>
      </c>
      <c r="E40" s="137">
        <f>SUMIFS(tbl_task9[%],tbl_task9[SubPLOs],"&gt;=7",tbl_task9[SubPLOs],"&lt;8")</f>
        <v>0</v>
      </c>
      <c r="F40" s="138">
        <f>SUMIFS(tbl_task9[S1],tbl_task9[[SubPLOs]:[SubPLOs]],"&gt;=7",tbl_task9[[SubPLOs]:[SubPLOs]],"&lt;8")</f>
        <v>0</v>
      </c>
      <c r="G40" s="138">
        <f>SUMIFS(tbl_task9[S2],tbl_task9[[SubPLOs]:[SubPLOs]],"&gt;=7",tbl_task9[[SubPLOs]:[SubPLOs]],"&lt;8")</f>
        <v>0</v>
      </c>
      <c r="H40" s="138">
        <f>SUMIFS(tbl_task9[S3],tbl_task9[[SubPLOs]:[SubPLOs]],"&gt;=7",tbl_task9[[SubPLOs]:[SubPLOs]],"&lt;8")</f>
        <v>0</v>
      </c>
      <c r="I40" s="138">
        <f>SUMIFS(tbl_task9[S4],tbl_task9[[SubPLOs]:[SubPLOs]],"&gt;=7",tbl_task9[[SubPLOs]:[SubPLOs]],"&lt;8")</f>
        <v>0</v>
      </c>
      <c r="J40" s="138">
        <f>SUMIFS(tbl_task9[S5],tbl_task9[[SubPLOs]:[SubPLOs]],"&gt;=7",tbl_task9[[SubPLOs]:[SubPLOs]],"&lt;8")</f>
        <v>0</v>
      </c>
      <c r="K40" s="138">
        <f>SUMIFS(tbl_task9[S6],tbl_task9[[SubPLOs]:[SubPLOs]],"&gt;=7",tbl_task9[[SubPLOs]:[SubPLOs]],"&lt;8")</f>
        <v>0</v>
      </c>
      <c r="L40" s="138">
        <f>SUMIFS(tbl_task9[S7],tbl_task9[[SubPLOs]:[SubPLOs]],"&gt;=7",tbl_task9[[SubPLOs]:[SubPLOs]],"&lt;8")</f>
        <v>0</v>
      </c>
      <c r="M40" s="138">
        <f>SUMIFS(tbl_task9[S8],tbl_task9[[SubPLOs]:[SubPLOs]],"&gt;=7",tbl_task9[[SubPLOs]:[SubPLOs]],"&lt;8")</f>
        <v>0</v>
      </c>
      <c r="N40" s="138">
        <f>SUMIFS(tbl_task9[S9],tbl_task9[[SubPLOs]:[SubPLOs]],"&gt;=7",tbl_task9[[SubPLOs]:[SubPLOs]],"&lt;8")</f>
        <v>0</v>
      </c>
      <c r="O40" s="138">
        <f>SUMIFS(tbl_task9[S10],tbl_task9[[SubPLOs]:[SubPLOs]],"&gt;=7",tbl_task9[[SubPLOs]:[SubPLOs]],"&lt;8")</f>
        <v>0</v>
      </c>
      <c r="P40" s="138">
        <f>SUMIFS(tbl_task9[S11],tbl_task9[[SubPLOs]:[SubPLOs]],"&gt;=7",tbl_task9[[SubPLOs]:[SubPLOs]],"&lt;8")</f>
        <v>0</v>
      </c>
      <c r="Q40" s="138">
        <f>SUMIFS(tbl_task9[S12],tbl_task9[[SubPLOs]:[SubPLOs]],"&gt;=7",tbl_task9[[SubPLOs]:[SubPLOs]],"&lt;8")</f>
        <v>0</v>
      </c>
      <c r="R40" s="138">
        <f>SUMIFS(tbl_task9[S13],tbl_task9[[SubPLOs]:[SubPLOs]],"&gt;=7",tbl_task9[[SubPLOs]:[SubPLOs]],"&lt;8")</f>
        <v>0</v>
      </c>
      <c r="S40" s="138">
        <f>SUMIFS(tbl_task9[S14],tbl_task9[[SubPLOs]:[SubPLOs]],"&gt;=7",tbl_task9[[SubPLOs]:[SubPLOs]],"&lt;8")</f>
        <v>0</v>
      </c>
      <c r="T40" s="138">
        <f>SUMIFS(tbl_task9[S15],tbl_task9[[SubPLOs]:[SubPLOs]],"&gt;=7",tbl_task9[[SubPLOs]:[SubPLOs]],"&lt;8")</f>
        <v>0</v>
      </c>
      <c r="U40" s="138">
        <f>SUMIFS(tbl_task9[S16],tbl_task9[[SubPLOs]:[SubPLOs]],"&gt;=7",tbl_task9[[SubPLOs]:[SubPLOs]],"&lt;8")</f>
        <v>0</v>
      </c>
      <c r="V40" s="138">
        <f>SUMIFS(tbl_task9[S17],tbl_task9[[SubPLOs]:[SubPLOs]],"&gt;=7",tbl_task9[[SubPLOs]:[SubPLOs]],"&lt;8")</f>
        <v>0</v>
      </c>
      <c r="W40" s="138">
        <f>SUMIFS(tbl_task9[S18],tbl_task9[[SubPLOs]:[SubPLOs]],"&gt;=7",tbl_task9[[SubPLOs]:[SubPLOs]],"&lt;8")</f>
        <v>0</v>
      </c>
      <c r="X40" s="138">
        <f>SUMIFS(tbl_task9[S19],tbl_task9[[SubPLOs]:[SubPLOs]],"&gt;=7",tbl_task9[[SubPLOs]:[SubPLOs]],"&lt;8")</f>
        <v>0</v>
      </c>
      <c r="Y40" s="138">
        <f>SUMIFS(tbl_task9[S20],tbl_task9[[SubPLOs]:[SubPLOs]],"&gt;=7",tbl_task9[[SubPLOs]:[SubPLOs]],"&lt;8")</f>
        <v>0</v>
      </c>
      <c r="Z40" s="138">
        <f>SUMIFS(tbl_task9[S21],tbl_task9[[SubPLOs]:[SubPLOs]],"&gt;=7",tbl_task9[[SubPLOs]:[SubPLOs]],"&lt;8")</f>
        <v>0</v>
      </c>
      <c r="AA40" s="138">
        <f>SUMIFS(tbl_task9[S22],tbl_task9[[SubPLOs]:[SubPLOs]],"&gt;=7",tbl_task9[[SubPLOs]:[SubPLOs]],"&lt;8")</f>
        <v>0</v>
      </c>
      <c r="AB40" s="138">
        <f>SUMIFS(tbl_task9[S23],tbl_task9[[SubPLOs]:[SubPLOs]],"&gt;=7",tbl_task9[[SubPLOs]:[SubPLOs]],"&lt;8")</f>
        <v>0</v>
      </c>
      <c r="AC40" s="138">
        <f>SUMIFS(tbl_task9[S24],tbl_task9[[SubPLOs]:[SubPLOs]],"&gt;=7",tbl_task9[[SubPLOs]:[SubPLOs]],"&lt;8")</f>
        <v>0</v>
      </c>
      <c r="AD40" s="138">
        <f>SUMIFS(tbl_task9[S25],tbl_task9[[SubPLOs]:[SubPLOs]],"&gt;=7",tbl_task9[[SubPLOs]:[SubPLOs]],"&lt;8")</f>
        <v>0</v>
      </c>
      <c r="AE40" s="138">
        <f>SUMIFS(tbl_task9[S26],tbl_task9[[SubPLOs]:[SubPLOs]],"&gt;=7",tbl_task9[[SubPLOs]:[SubPLOs]],"&lt;8")</f>
        <v>0</v>
      </c>
      <c r="AF40" s="138">
        <f>SUMIFS(tbl_task9[S27],tbl_task9[[SubPLOs]:[SubPLOs]],"&gt;=7",tbl_task9[[SubPLOs]:[SubPLOs]],"&lt;8")</f>
        <v>0</v>
      </c>
      <c r="AG40" s="138">
        <f>SUMIFS(tbl_task9[S28],tbl_task9[[SubPLOs]:[SubPLOs]],"&gt;=7",tbl_task9[[SubPLOs]:[SubPLOs]],"&lt;8")</f>
        <v>0</v>
      </c>
      <c r="AH40" s="138">
        <f>SUMIFS(tbl_task9[S29],tbl_task9[[SubPLOs]:[SubPLOs]],"&gt;=7",tbl_task9[[SubPLOs]:[SubPLOs]],"&lt;8")</f>
        <v>0</v>
      </c>
      <c r="AI40" s="138">
        <f>SUMIFS(tbl_task9[S30],tbl_task9[[SubPLOs]:[SubPLOs]],"&gt;=7",tbl_task9[[SubPLOs]:[SubPLOs]],"&lt;8")</f>
        <v>0</v>
      </c>
      <c r="AJ40" s="138">
        <f>SUMIFS(tbl_task9[S31],tbl_task9[[SubPLOs]:[SubPLOs]],"&gt;=7",tbl_task9[[SubPLOs]:[SubPLOs]],"&lt;8")</f>
        <v>0</v>
      </c>
      <c r="AK40" s="138">
        <f>SUMIFS(tbl_task9[S32],tbl_task9[[SubPLOs]:[SubPLOs]],"&gt;=7",tbl_task9[[SubPLOs]:[SubPLOs]],"&lt;8")</f>
        <v>0</v>
      </c>
      <c r="AL40" s="138">
        <f>SUMIFS(tbl_task9[S33],tbl_task9[[SubPLOs]:[SubPLOs]],"&gt;=7",tbl_task9[[SubPLOs]:[SubPLOs]],"&lt;8")</f>
        <v>0</v>
      </c>
      <c r="AM40" s="138">
        <f>SUMIFS(tbl_task9[S34],tbl_task9[[SubPLOs]:[SubPLOs]],"&gt;=7",tbl_task9[[SubPLOs]:[SubPLOs]],"&lt;8")</f>
        <v>0</v>
      </c>
      <c r="AN40" s="138">
        <f>SUMIFS(tbl_task9[S35],tbl_task9[[SubPLOs]:[SubPLOs]],"&gt;=7",tbl_task9[[SubPLOs]:[SubPLOs]],"&lt;8")</f>
        <v>0</v>
      </c>
      <c r="AO40" s="138">
        <f>SUMIFS(tbl_task9[S36],tbl_task9[[SubPLOs]:[SubPLOs]],"&gt;=7",tbl_task9[[SubPLOs]:[SubPLOs]],"&lt;8")</f>
        <v>0</v>
      </c>
      <c r="AP40" s="138">
        <f>SUMIFS(tbl_task9[S37],tbl_task9[[SubPLOs]:[SubPLOs]],"&gt;=7",tbl_task9[[SubPLOs]:[SubPLOs]],"&lt;8")</f>
        <v>0</v>
      </c>
      <c r="AQ40" s="138">
        <f>SUMIFS(tbl_task9[S38],tbl_task9[[SubPLOs]:[SubPLOs]],"&gt;=7",tbl_task9[[SubPLOs]:[SubPLOs]],"&lt;8")</f>
        <v>0</v>
      </c>
      <c r="AR40" s="138">
        <f>SUMIFS(tbl_task9[S39],tbl_task9[[SubPLOs]:[SubPLOs]],"&gt;=7",tbl_task9[[SubPLOs]:[SubPLOs]],"&lt;8")</f>
        <v>0</v>
      </c>
      <c r="AS40" s="138">
        <f>SUMIFS(tbl_task9[S40],tbl_task9[[SubPLOs]:[SubPLOs]],"&gt;=7",tbl_task9[[SubPLOs]:[SubPLOs]],"&lt;8")</f>
        <v>0</v>
      </c>
      <c r="AT40" s="138">
        <f>SUMIFS(tbl_task9[S41],tbl_task9[[SubPLOs]:[SubPLOs]],"&gt;=7",tbl_task9[[SubPLOs]:[SubPLOs]],"&lt;8")</f>
        <v>0</v>
      </c>
      <c r="AU40" s="138">
        <f>SUMIFS(tbl_task9[S42],tbl_task9[[SubPLOs]:[SubPLOs]],"&gt;=7",tbl_task9[[SubPLOs]:[SubPLOs]],"&lt;8")</f>
        <v>0</v>
      </c>
      <c r="AV40" s="138">
        <f>SUMIFS(tbl_task9[S43],tbl_task9[[SubPLOs]:[SubPLOs]],"&gt;=7",tbl_task9[[SubPLOs]:[SubPLOs]],"&lt;8")</f>
        <v>0</v>
      </c>
      <c r="AW40" s="138">
        <f>SUMIFS(tbl_task9[S44],tbl_task9[[SubPLOs]:[SubPLOs]],"&gt;=7",tbl_task9[[SubPLOs]:[SubPLOs]],"&lt;8")</f>
        <v>0</v>
      </c>
      <c r="AX40" s="138">
        <f>SUMIFS(tbl_task9[S45],tbl_task9[[SubPLOs]:[SubPLOs]],"&gt;=7",tbl_task9[[SubPLOs]:[SubPLOs]],"&lt;8")</f>
        <v>0</v>
      </c>
      <c r="AY40" s="138">
        <f>SUMIFS(tbl_task9[S46],tbl_task9[[SubPLOs]:[SubPLOs]],"&gt;=7",tbl_task9[[SubPLOs]:[SubPLOs]],"&lt;8")</f>
        <v>0</v>
      </c>
      <c r="AZ40" s="138">
        <f>SUMIFS(tbl_task9[S47],tbl_task9[[SubPLOs]:[SubPLOs]],"&gt;=7",tbl_task9[[SubPLOs]:[SubPLOs]],"&lt;8")</f>
        <v>0</v>
      </c>
      <c r="BA40" s="138">
        <f>SUMIFS(tbl_task9[S48],tbl_task9[[SubPLOs]:[SubPLOs]],"&gt;=7",tbl_task9[[SubPLOs]:[SubPLOs]],"&lt;8")</f>
        <v>0</v>
      </c>
      <c r="BB40" s="138">
        <f>SUMIFS(tbl_task9[S49],tbl_task9[[SubPLOs]:[SubPLOs]],"&gt;=7",tbl_task9[[SubPLOs]:[SubPLOs]],"&lt;8")</f>
        <v>0</v>
      </c>
      <c r="BC40" s="138">
        <f>SUMIFS(tbl_task9[S50],tbl_task9[[SubPLOs]:[SubPLOs]],"&gt;=7",tbl_task9[[SubPLOs]:[SubPLOs]],"&lt;8")</f>
        <v>0</v>
      </c>
      <c r="BD40" s="138">
        <f>SUMIFS(tbl_task9[S51],tbl_task9[[SubPLOs]:[SubPLOs]],"&gt;=7",tbl_task9[[SubPLOs]:[SubPLOs]],"&lt;8")</f>
        <v>0</v>
      </c>
      <c r="BE40" s="138">
        <f>SUMIFS(tbl_task9[S52],tbl_task9[[SubPLOs]:[SubPLOs]],"&gt;=7",tbl_task9[[SubPLOs]:[SubPLOs]],"&lt;8")</f>
        <v>0</v>
      </c>
      <c r="BF40" s="138">
        <f>SUMIFS(tbl_task9[S53],tbl_task9[[SubPLOs]:[SubPLOs]],"&gt;=7",tbl_task9[[SubPLOs]:[SubPLOs]],"&lt;8")</f>
        <v>0</v>
      </c>
      <c r="BG40" s="138">
        <f>SUMIFS(tbl_task9[S54],tbl_task9[[SubPLOs]:[SubPLOs]],"&gt;=7",tbl_task9[[SubPLOs]:[SubPLOs]],"&lt;8")</f>
        <v>0</v>
      </c>
      <c r="BH40" s="138">
        <f>SUMIFS(tbl_task9[S55],tbl_task9[[SubPLOs]:[SubPLOs]],"&gt;=7",tbl_task9[[SubPLOs]:[SubPLOs]],"&lt;8")</f>
        <v>0</v>
      </c>
      <c r="BI40" s="138">
        <f>SUMIFS(tbl_task9[S56],tbl_task9[[SubPLOs]:[SubPLOs]],"&gt;=7",tbl_task9[[SubPLOs]:[SubPLOs]],"&lt;8")</f>
        <v>0</v>
      </c>
      <c r="BJ40" s="138">
        <f>SUMIFS(tbl_task9[S57],tbl_task9[[SubPLOs]:[SubPLOs]],"&gt;=7",tbl_task9[[SubPLOs]:[SubPLOs]],"&lt;8")</f>
        <v>0</v>
      </c>
      <c r="BK40" s="138">
        <f>SUMIFS(tbl_task9[S58],tbl_task9[[SubPLOs]:[SubPLOs]],"&gt;=7",tbl_task9[[SubPLOs]:[SubPLOs]],"&lt;8")</f>
        <v>0</v>
      </c>
      <c r="BL40" s="138">
        <f>SUMIFS(tbl_task9[S59],tbl_task9[[SubPLOs]:[SubPLOs]],"&gt;=7",tbl_task9[[SubPLOs]:[SubPLOs]],"&lt;8")</f>
        <v>0</v>
      </c>
      <c r="BM40" s="138">
        <f>SUMIFS(tbl_task9[S60],tbl_task9[[SubPLOs]:[SubPLOs]],"&gt;=7",tbl_task9[[SubPLOs]:[SubPLOs]],"&lt;8")</f>
        <v>0</v>
      </c>
      <c r="BN40" s="138">
        <f>SUMIFS(tbl_task9[S61],tbl_task9[[SubPLOs]:[SubPLOs]],"&gt;=7",tbl_task9[[SubPLOs]:[SubPLOs]],"&lt;8")</f>
        <v>0</v>
      </c>
      <c r="BO40" s="138">
        <f>SUMIFS(tbl_task9[S62],tbl_task9[[SubPLOs]:[SubPLOs]],"&gt;=7",tbl_task9[[SubPLOs]:[SubPLOs]],"&lt;8")</f>
        <v>0</v>
      </c>
      <c r="BP40" s="138">
        <f>SUMIFS(tbl_task9[S63],tbl_task9[[SubPLOs]:[SubPLOs]],"&gt;=7",tbl_task9[[SubPLOs]:[SubPLOs]],"&lt;8")</f>
        <v>0</v>
      </c>
      <c r="BQ40" s="138">
        <f>SUMIFS(tbl_task9[S64],tbl_task9[[SubPLOs]:[SubPLOs]],"&gt;=7",tbl_task9[[SubPLOs]:[SubPLOs]],"&lt;8")</f>
        <v>0</v>
      </c>
      <c r="BR40" s="138">
        <f>SUMIFS(tbl_task9[S65],tbl_task9[[SubPLOs]:[SubPLOs]],"&gt;=7",tbl_task9[[SubPLOs]:[SubPLOs]],"&lt;8")</f>
        <v>0</v>
      </c>
      <c r="BS40" s="138">
        <f>SUMIFS(tbl_task9[S66],tbl_task9[[SubPLOs]:[SubPLOs]],"&gt;=7",tbl_task9[[SubPLOs]:[SubPLOs]],"&lt;8")</f>
        <v>0</v>
      </c>
      <c r="BT40" s="138">
        <f>SUMIFS(tbl_task9[S67],tbl_task9[[SubPLOs]:[SubPLOs]],"&gt;=7",tbl_task9[[SubPLOs]:[SubPLOs]],"&lt;8")</f>
        <v>0</v>
      </c>
      <c r="BU40" s="138">
        <f>SUMIFS(tbl_task9[S68],tbl_task9[[SubPLOs]:[SubPLOs]],"&gt;=7",tbl_task9[[SubPLOs]:[SubPLOs]],"&lt;8")</f>
        <v>0</v>
      </c>
      <c r="BV40" s="138">
        <f>SUMIFS(tbl_task9[S69],tbl_task9[[SubPLOs]:[SubPLOs]],"&gt;=7",tbl_task9[[SubPLOs]:[SubPLOs]],"&lt;8")</f>
        <v>0</v>
      </c>
      <c r="BW40" s="138">
        <f>SUMIFS(tbl_task9[S70],tbl_task9[[SubPLOs]:[SubPLOs]],"&gt;=7",tbl_task9[[SubPLOs]:[SubPLOs]],"&lt;8")</f>
        <v>0</v>
      </c>
      <c r="BX40" s="138">
        <f>SUMIFS(tbl_task9[S71],tbl_task9[[SubPLOs]:[SubPLOs]],"&gt;=7",tbl_task9[[SubPLOs]:[SubPLOs]],"&lt;8")</f>
        <v>0</v>
      </c>
      <c r="BY40" s="138">
        <f>SUMIFS(tbl_task9[S72],tbl_task9[[SubPLOs]:[SubPLOs]],"&gt;=7",tbl_task9[[SubPLOs]:[SubPLOs]],"&lt;8")</f>
        <v>0</v>
      </c>
      <c r="BZ40" s="138">
        <f>SUMIFS(tbl_task9[S73],tbl_task9[[SubPLOs]:[SubPLOs]],"&gt;=7",tbl_task9[[SubPLOs]:[SubPLOs]],"&lt;8")</f>
        <v>0</v>
      </c>
      <c r="CA40" s="138">
        <f>SUMIFS(tbl_task9[S74],tbl_task9[[SubPLOs]:[SubPLOs]],"&gt;=7",tbl_task9[[SubPLOs]:[SubPLOs]],"&lt;8")</f>
        <v>0</v>
      </c>
      <c r="CB40" s="138">
        <f>SUMIFS(tbl_task9[S75],tbl_task9[[SubPLOs]:[SubPLOs]],"&gt;=7",tbl_task9[[SubPLOs]:[SubPLOs]],"&lt;8")</f>
        <v>0</v>
      </c>
      <c r="CC40" s="138">
        <f>SUMIFS(tbl_task9[S76],tbl_task9[[SubPLOs]:[SubPLOs]],"&gt;=7",tbl_task9[[SubPLOs]:[SubPLOs]],"&lt;8")</f>
        <v>0</v>
      </c>
      <c r="CD40" s="138">
        <f>SUMIFS(tbl_task9[S77],tbl_task9[[SubPLOs]:[SubPLOs]],"&gt;=7",tbl_task9[[SubPLOs]:[SubPLOs]],"&lt;8")</f>
        <v>0</v>
      </c>
      <c r="CE40" s="138">
        <f>SUMIFS(tbl_task9[S78],tbl_task9[[SubPLOs]:[SubPLOs]],"&gt;=7",tbl_task9[[SubPLOs]:[SubPLOs]],"&lt;8")</f>
        <v>0</v>
      </c>
      <c r="CF40" s="138">
        <f>SUMIFS(tbl_task9[S79],tbl_task9[[SubPLOs]:[SubPLOs]],"&gt;=7",tbl_task9[[SubPLOs]:[SubPLOs]],"&lt;8")</f>
        <v>0</v>
      </c>
      <c r="CG40" s="138">
        <f>SUMIFS(tbl_task9[S80],tbl_task9[[SubPLOs]:[SubPLOs]],"&gt;=7",tbl_task9[[SubPLOs]:[SubPLOs]],"&lt;8")</f>
        <v>0</v>
      </c>
      <c r="CH40" s="138">
        <f>SUMIFS(tbl_task9[S81],tbl_task9[[SubPLOs]:[SubPLOs]],"&gt;=7",tbl_task9[[SubPLOs]:[SubPLOs]],"&lt;8")</f>
        <v>0</v>
      </c>
      <c r="CI40" s="138">
        <f>SUMIFS(tbl_task9[S82],tbl_task9[[SubPLOs]:[SubPLOs]],"&gt;=7",tbl_task9[[SubPLOs]:[SubPLOs]],"&lt;8")</f>
        <v>0</v>
      </c>
      <c r="CJ40" s="138">
        <f>SUMIFS(tbl_task9[S83],tbl_task9[[SubPLOs]:[SubPLOs]],"&gt;=7",tbl_task9[[SubPLOs]:[SubPLOs]],"&lt;8")</f>
        <v>0</v>
      </c>
      <c r="CK40" s="138">
        <f>SUMIFS(tbl_task9[S84],tbl_task9[[SubPLOs]:[SubPLOs]],"&gt;=7",tbl_task9[[SubPLOs]:[SubPLOs]],"&lt;8")</f>
        <v>0</v>
      </c>
      <c r="CL40" s="138">
        <f>SUMIFS(tbl_task9[S85],tbl_task9[[SubPLOs]:[SubPLOs]],"&gt;=7",tbl_task9[[SubPLOs]:[SubPLOs]],"&lt;8")</f>
        <v>0</v>
      </c>
      <c r="CM40" s="138">
        <f>SUMIFS(tbl_task9[S86],tbl_task9[[SubPLOs]:[SubPLOs]],"&gt;=7",tbl_task9[[SubPLOs]:[SubPLOs]],"&lt;8")</f>
        <v>0</v>
      </c>
      <c r="CN40" s="138">
        <f>SUMIFS(tbl_task9[S87],tbl_task9[[SubPLOs]:[SubPLOs]],"&gt;=7",tbl_task9[[SubPLOs]:[SubPLOs]],"&lt;8")</f>
        <v>0</v>
      </c>
      <c r="CO40" s="138">
        <f>SUMIFS(tbl_task9[S88],tbl_task9[[SubPLOs]:[SubPLOs]],"&gt;=7",tbl_task9[[SubPLOs]:[SubPLOs]],"&lt;8")</f>
        <v>0</v>
      </c>
      <c r="CP40" s="138">
        <f>SUMIFS(tbl_task9[S89],tbl_task9[[SubPLOs]:[SubPLOs]],"&gt;=7",tbl_task9[[SubPLOs]:[SubPLOs]],"&lt;8")</f>
        <v>0</v>
      </c>
      <c r="CQ40" s="138">
        <f>SUMIFS(tbl_task9[S90],tbl_task9[[SubPLOs]:[SubPLOs]],"&gt;=7",tbl_task9[[SubPLOs]:[SubPLOs]],"&lt;8")</f>
        <v>0</v>
      </c>
      <c r="CR40" s="138">
        <f>SUMIFS(tbl_task9[S91],tbl_task9[[SubPLOs]:[SubPLOs]],"&gt;=7",tbl_task9[[SubPLOs]:[SubPLOs]],"&lt;8")</f>
        <v>0</v>
      </c>
      <c r="CS40" s="138">
        <f>SUMIFS(tbl_task9[S92],tbl_task9[[SubPLOs]:[SubPLOs]],"&gt;=7",tbl_task9[[SubPLOs]:[SubPLOs]],"&lt;8")</f>
        <v>0</v>
      </c>
      <c r="CT40" s="138">
        <f>SUMIFS(tbl_task9[S93],tbl_task9[[SubPLOs]:[SubPLOs]],"&gt;=7",tbl_task9[[SubPLOs]:[SubPLOs]],"&lt;8")</f>
        <v>0</v>
      </c>
      <c r="CU40" s="138">
        <f>SUMIFS(tbl_task9[S94],tbl_task9[[SubPLOs]:[SubPLOs]],"&gt;=7",tbl_task9[[SubPLOs]:[SubPLOs]],"&lt;8")</f>
        <v>0</v>
      </c>
      <c r="CV40" s="138">
        <f>SUMIFS(tbl_task9[S95],tbl_task9[[SubPLOs]:[SubPLOs]],"&gt;=7",tbl_task9[[SubPLOs]:[SubPLOs]],"&lt;8")</f>
        <v>0</v>
      </c>
      <c r="CW40" s="138">
        <f>SUMIFS(tbl_task9[S96],tbl_task9[[SubPLOs]:[SubPLOs]],"&gt;=7",tbl_task9[[SubPLOs]:[SubPLOs]],"&lt;8")</f>
        <v>0</v>
      </c>
      <c r="CX40" s="138">
        <f>SUMIFS(tbl_task9[S97],tbl_task9[[SubPLOs]:[SubPLOs]],"&gt;=7",tbl_task9[[SubPLOs]:[SubPLOs]],"&lt;8")</f>
        <v>0</v>
      </c>
      <c r="CY40" s="138">
        <f>SUMIFS(tbl_task9[S98],tbl_task9[[SubPLOs]:[SubPLOs]],"&gt;=7",tbl_task9[[SubPLOs]:[SubPLOs]],"&lt;8")</f>
        <v>0</v>
      </c>
      <c r="CZ40" s="138">
        <f>SUMIFS(tbl_task9[S99],tbl_task9[[SubPLOs]:[SubPLOs]],"&gt;=7",tbl_task9[[SubPLOs]:[SubPLOs]],"&lt;8")</f>
        <v>0</v>
      </c>
      <c r="DA40" s="138">
        <f>SUMIFS(tbl_task9[S100],tbl_task9[[SubPLOs]:[SubPLOs]],"&gt;=7",tbl_task9[[SubPLOs]:[SubPLOs]],"&lt;8")</f>
        <v>0</v>
      </c>
      <c r="DB40" s="138">
        <f>SUMIFS(tbl_task9[S101],tbl_task9[[SubPLOs]:[SubPLOs]],"&gt;=7",tbl_task9[[SubPLOs]:[SubPLOs]],"&lt;8")</f>
        <v>0</v>
      </c>
      <c r="DC40" s="138">
        <f>SUMIFS(tbl_task9[S102],tbl_task9[[SubPLOs]:[SubPLOs]],"&gt;=7",tbl_task9[[SubPLOs]:[SubPLOs]],"&lt;8")</f>
        <v>0</v>
      </c>
      <c r="DD40" s="138">
        <f>SUMIFS(tbl_task9[S103],tbl_task9[[SubPLOs]:[SubPLOs]],"&gt;=7",tbl_task9[[SubPLOs]:[SubPLOs]],"&lt;8")</f>
        <v>0</v>
      </c>
      <c r="DE40" s="138">
        <f>SUMIFS(tbl_task9[S104],tbl_task9[[SubPLOs]:[SubPLOs]],"&gt;=7",tbl_task9[[SubPLOs]:[SubPLOs]],"&lt;8")</f>
        <v>0</v>
      </c>
      <c r="DF40" s="138">
        <f>SUMIFS(tbl_task9[S105],tbl_task9[[SubPLOs]:[SubPLOs]],"&gt;=7",tbl_task9[[SubPLOs]:[SubPLOs]],"&lt;8")</f>
        <v>0</v>
      </c>
      <c r="DG40" s="138">
        <f>SUMIFS(tbl_task9[S106],tbl_task9[[SubPLOs]:[SubPLOs]],"&gt;=7",tbl_task9[[SubPLOs]:[SubPLOs]],"&lt;8")</f>
        <v>0</v>
      </c>
      <c r="DH40" s="138">
        <f>SUMIFS(tbl_task9[S106],tbl_task9[[SubPLOs]:[SubPLOs]],"&gt;=7",tbl_task9[[SubPLOs]:[SubPLOs]],"&lt;8")</f>
        <v>0</v>
      </c>
      <c r="DI40" s="138">
        <f>SUMIFS(tbl_task9[S108],tbl_task9[[SubPLOs]:[SubPLOs]],"&gt;=7",tbl_task9[[SubPLOs]:[SubPLOs]],"&lt;8")</f>
        <v>0</v>
      </c>
      <c r="DJ40" s="138">
        <f>SUMIFS(tbl_task9[S109],tbl_task9[[SubPLOs]:[SubPLOs]],"&gt;=7",tbl_task9[[SubPLOs]:[SubPLOs]],"&lt;8")</f>
        <v>0</v>
      </c>
      <c r="DK40" s="138">
        <f>SUMIFS(tbl_task9[S110],tbl_task9[[SubPLOs]:[SubPLOs]],"&gt;=7",tbl_task9[[SubPLOs]:[SubPLOs]],"&lt;8")</f>
        <v>0</v>
      </c>
      <c r="DL40" s="138">
        <f>SUMIFS(tbl_task9[S111],tbl_task9[[SubPLOs]:[SubPLOs]],"&gt;=7",tbl_task9[[SubPLOs]:[SubPLOs]],"&lt;8")</f>
        <v>0</v>
      </c>
      <c r="DM40" s="138">
        <f>SUMIFS(tbl_task9[S112],tbl_task9[[SubPLOs]:[SubPLOs]],"&gt;=7",tbl_task9[[SubPLOs]:[SubPLOs]],"&lt;8")</f>
        <v>0</v>
      </c>
      <c r="DN40" s="138">
        <f>SUMIFS(tbl_task9[S113],tbl_task9[[SubPLOs]:[SubPLOs]],"&gt;=7",tbl_task9[[SubPLOs]:[SubPLOs]],"&lt;8")</f>
        <v>0</v>
      </c>
      <c r="DO40" s="138">
        <f>SUMIFS(tbl_task9[S114],tbl_task9[[SubPLOs]:[SubPLOs]],"&gt;=7",tbl_task9[[SubPLOs]:[SubPLOs]],"&lt;8")</f>
        <v>0</v>
      </c>
      <c r="DP40" s="138">
        <f>SUMIFS(tbl_task9[S115],tbl_task9[[SubPLOs]:[SubPLOs]],"&gt;=7",tbl_task9[[SubPLOs]:[SubPLOs]],"&lt;8")</f>
        <v>0</v>
      </c>
      <c r="DQ40" s="138">
        <f>SUMIFS(tbl_task9[S116],tbl_task9[[SubPLOs]:[SubPLOs]],"&gt;=7",tbl_task9[[SubPLOs]:[SubPLOs]],"&lt;8")</f>
        <v>0</v>
      </c>
      <c r="DR40" s="138">
        <f>SUMIFS(tbl_task9[S117],tbl_task9[[SubPLOs]:[SubPLOs]],"&gt;=7",tbl_task9[[SubPLOs]:[SubPLOs]],"&lt;8")</f>
        <v>0</v>
      </c>
      <c r="DS40" s="138">
        <f>SUMIFS(tbl_task9[S118],tbl_task9[[SubPLOs]:[SubPLOs]],"&gt;=7",tbl_task9[[SubPLOs]:[SubPLOs]],"&lt;8")</f>
        <v>0</v>
      </c>
      <c r="DT40" s="138">
        <f>SUMIFS(tbl_task9[S119],tbl_task9[[SubPLOs]:[SubPLOs]],"&gt;=7",tbl_task9[[SubPLOs]:[SubPLOs]],"&lt;8")</f>
        <v>0</v>
      </c>
      <c r="DU40" s="138">
        <f>SUMIFS(tbl_task9[S120],tbl_task9[[SubPLOs]:[SubPLOs]],"&gt;=7",tbl_task9[[SubPLOs]:[SubPLOs]],"&lt;8")</f>
        <v>0</v>
      </c>
      <c r="DV40" s="138">
        <f>SUMIFS(tbl_task9[S121],tbl_task9[[SubPLOs]:[SubPLOs]],"&gt;=7",tbl_task9[[SubPLOs]:[SubPLOs]],"&lt;8")</f>
        <v>0</v>
      </c>
      <c r="DW40" s="138">
        <f>SUMIFS(tbl_task9[S122],tbl_task9[[SubPLOs]:[SubPLOs]],"&gt;=7",tbl_task9[[SubPLOs]:[SubPLOs]],"&lt;8")</f>
        <v>0</v>
      </c>
      <c r="DX40" s="138">
        <f>SUMIFS(tbl_task9[S123],tbl_task9[[SubPLOs]:[SubPLOs]],"&gt;=7",tbl_task9[[SubPLOs]:[SubPLOs]],"&lt;8")</f>
        <v>0</v>
      </c>
      <c r="DY40" s="138">
        <f>SUMIFS(tbl_task9[S124],tbl_task9[[SubPLOs]:[SubPLOs]],"&gt;=7",tbl_task9[[SubPLOs]:[SubPLOs]],"&lt;8")</f>
        <v>0</v>
      </c>
      <c r="DZ40" s="138">
        <f>SUMIFS(tbl_task9[S125],tbl_task9[[SubPLOs]:[SubPLOs]],"&gt;=7",tbl_task9[[SubPLOs]:[SubPLOs]],"&lt;8")</f>
        <v>0</v>
      </c>
      <c r="EA40" s="138">
        <f>SUMIFS(tbl_task9[S126],tbl_task9[[SubPLOs]:[SubPLOs]],"&gt;=7",tbl_task9[[SubPLOs]:[SubPLOs]],"&lt;8")</f>
        <v>0</v>
      </c>
      <c r="EB40" s="138">
        <f>SUMIFS(tbl_task9[S127],tbl_task9[[SubPLOs]:[SubPLOs]],"&gt;=7",tbl_task9[[SubPLOs]:[SubPLOs]],"&lt;8")</f>
        <v>0</v>
      </c>
      <c r="EC40" s="138">
        <f>SUMIFS(tbl_task9[S128],tbl_task9[[SubPLOs]:[SubPLOs]],"&gt;=7",tbl_task9[[SubPLOs]:[SubPLOs]],"&lt;8")</f>
        <v>0</v>
      </c>
      <c r="ED40" s="138">
        <f>SUMIFS(tbl_task9[S129],tbl_task9[[SubPLOs]:[SubPLOs]],"&gt;=7",tbl_task9[[SubPLOs]:[SubPLOs]],"&lt;8")</f>
        <v>0</v>
      </c>
      <c r="EE40" s="138">
        <f>SUMIFS(tbl_task9[S130],tbl_task9[[SubPLOs]:[SubPLOs]],"&gt;=7",tbl_task9[[SubPLOs]:[SubPLOs]],"&lt;8")</f>
        <v>0</v>
      </c>
      <c r="EF40" s="138">
        <f>SUMIFS(tbl_task9[S131],tbl_task9[[SubPLOs]:[SubPLOs]],"&gt;=7",tbl_task9[[SubPLOs]:[SubPLOs]],"&lt;8")</f>
        <v>0</v>
      </c>
      <c r="EG40" s="138">
        <f>SUMIFS(tbl_task9[S132],tbl_task9[[SubPLOs]:[SubPLOs]],"&gt;=7",tbl_task9[[SubPLOs]:[SubPLOs]],"&lt;8")</f>
        <v>0</v>
      </c>
      <c r="EH40" s="138">
        <f>SUMIFS(tbl_task9[S133],tbl_task9[[SubPLOs]:[SubPLOs]],"&gt;=7",tbl_task9[[SubPLOs]:[SubPLOs]],"&lt;8")</f>
        <v>0</v>
      </c>
      <c r="EI40" s="138">
        <f>SUMIFS(tbl_task9[S134],tbl_task9[[SubPLOs]:[SubPLOs]],"&gt;=7",tbl_task9[[SubPLOs]:[SubPLOs]],"&lt;8")</f>
        <v>0</v>
      </c>
      <c r="EJ40" s="138">
        <f>SUMIFS(tbl_task9[S135],tbl_task9[[SubPLOs]:[SubPLOs]],"&gt;=7",tbl_task9[[SubPLOs]:[SubPLOs]],"&lt;8")</f>
        <v>0</v>
      </c>
      <c r="EK40" s="138">
        <f>SUMIFS(tbl_task9[S136],tbl_task9[[SubPLOs]:[SubPLOs]],"&gt;=7",tbl_task9[[SubPLOs]:[SubPLOs]],"&lt;8")</f>
        <v>0</v>
      </c>
      <c r="EL40" s="138">
        <f>SUMIFS(tbl_task9[S137],tbl_task9[[SubPLOs]:[SubPLOs]],"&gt;=7",tbl_task9[[SubPLOs]:[SubPLOs]],"&lt;8")</f>
        <v>0</v>
      </c>
      <c r="EM40" s="138">
        <f>SUMIFS(tbl_task9[S138],tbl_task9[[SubPLOs]:[SubPLOs]],"&gt;=7",tbl_task9[[SubPLOs]:[SubPLOs]],"&lt;8")</f>
        <v>0</v>
      </c>
      <c r="EN40" s="138">
        <f>SUMIFS(tbl_task9[S139],tbl_task9[[SubPLOs]:[SubPLOs]],"&gt;=7",tbl_task9[[SubPLOs]:[SubPLOs]],"&lt;8")</f>
        <v>0</v>
      </c>
      <c r="EO40" s="138">
        <f>SUMIFS(tbl_task9[S140],tbl_task9[[SubPLOs]:[SubPLOs]],"&gt;=7",tbl_task9[[SubPLOs]:[SubPLOs]],"&lt;8")</f>
        <v>0</v>
      </c>
      <c r="EP40" s="138">
        <f>SUMIFS(tbl_task9[S141],tbl_task9[[SubPLOs]:[SubPLOs]],"&gt;=7",tbl_task9[[SubPLOs]:[SubPLOs]],"&lt;8")</f>
        <v>0</v>
      </c>
      <c r="EQ40" s="138">
        <f>SUMIFS(tbl_task9[S142],tbl_task9[[SubPLOs]:[SubPLOs]],"&gt;=7",tbl_task9[[SubPLOs]:[SubPLOs]],"&lt;8")</f>
        <v>0</v>
      </c>
      <c r="ER40" s="138">
        <f>SUMIFS(tbl_task9[S143],tbl_task9[[SubPLOs]:[SubPLOs]],"&gt;=7",tbl_task9[[SubPLOs]:[SubPLOs]],"&lt;8")</f>
        <v>0</v>
      </c>
      <c r="ES40" s="138">
        <f>SUMIFS(tbl_task9[S144],tbl_task9[[SubPLOs]:[SubPLOs]],"&gt;=7",tbl_task9[[SubPLOs]:[SubPLOs]],"&lt;8")</f>
        <v>0</v>
      </c>
      <c r="ET40" s="138">
        <f>SUMIFS(tbl_task9[S145],tbl_task9[[SubPLOs]:[SubPLOs]],"&gt;=7",tbl_task9[[SubPLOs]:[SubPLOs]],"&lt;8")</f>
        <v>0</v>
      </c>
      <c r="EU40" s="138">
        <f>SUMIFS(tbl_task9[S146],tbl_task9[[SubPLOs]:[SubPLOs]],"&gt;=7",tbl_task9[[SubPLOs]:[SubPLOs]],"&lt;8")</f>
        <v>0</v>
      </c>
      <c r="EV40" s="138">
        <f>SUMIFS(tbl_task9[S147],tbl_task9[[SubPLOs]:[SubPLOs]],"&gt;=7",tbl_task9[[SubPLOs]:[SubPLOs]],"&lt;8")</f>
        <v>0</v>
      </c>
      <c r="EW40" s="138">
        <f>SUMIFS(tbl_task9[S148],tbl_task9[[SubPLOs]:[SubPLOs]],"&gt;=7",tbl_task9[[SubPLOs]:[SubPLOs]],"&lt;8")</f>
        <v>0</v>
      </c>
      <c r="EX40" s="138">
        <f>SUMIFS(tbl_task9[S149],tbl_task9[[SubPLOs]:[SubPLOs]],"&gt;=7",tbl_task9[[SubPLOs]:[SubPLOs]],"&lt;8")</f>
        <v>0</v>
      </c>
      <c r="EY40" s="138">
        <f>SUMIFS(tbl_task9[S150],tbl_task9[[SubPLOs]:[SubPLOs]],"&gt;=7",tbl_task9[[SubPLOs]:[SubPLOs]],"&lt;8")</f>
        <v>0</v>
      </c>
      <c r="EZ40" s="138">
        <f>SUMIFS(tbl_task9[S151],tbl_task9[[SubPLOs]:[SubPLOs]],"&gt;=7",tbl_task9[[SubPLOs]:[SubPLOs]],"&lt;8")</f>
        <v>0</v>
      </c>
      <c r="FA40" s="138">
        <f>SUMIFS(tbl_task9[S152],tbl_task9[[SubPLOs]:[SubPLOs]],"&gt;=7",tbl_task9[[SubPLOs]:[SubPLOs]],"&lt;8")</f>
        <v>0</v>
      </c>
      <c r="FB40" s="138">
        <f>SUMIFS(tbl_task9[S153],tbl_task9[[SubPLOs]:[SubPLOs]],"&gt;=7",tbl_task9[[SubPLOs]:[SubPLOs]],"&lt;8")</f>
        <v>0</v>
      </c>
      <c r="FC40" s="138">
        <f>SUMIFS(tbl_task9[S154],tbl_task9[[SubPLOs]:[SubPLOs]],"&gt;=7",tbl_task9[[SubPLOs]:[SubPLOs]],"&lt;8")</f>
        <v>0</v>
      </c>
      <c r="FD40" s="138">
        <f>SUMIFS(tbl_task9[S155],tbl_task9[[SubPLOs]:[SubPLOs]],"&gt;=7",tbl_task9[[SubPLOs]:[SubPLOs]],"&lt;8")</f>
        <v>0</v>
      </c>
      <c r="FE40" s="138">
        <f>SUMIFS(tbl_task9[S156],tbl_task9[[SubPLOs]:[SubPLOs]],"&gt;=7",tbl_task9[[SubPLOs]:[SubPLOs]],"&lt;8")</f>
        <v>0</v>
      </c>
      <c r="FF40" s="138">
        <f>SUMIFS(tbl_task9[S157],tbl_task9[[SubPLOs]:[SubPLOs]],"&gt;=7",tbl_task9[[SubPLOs]:[SubPLOs]],"&lt;8")</f>
        <v>0</v>
      </c>
      <c r="FG40" s="138">
        <f>SUMIFS(tbl_task9[S158],tbl_task9[[SubPLOs]:[SubPLOs]],"&gt;=7",tbl_task9[[SubPLOs]:[SubPLOs]],"&lt;8")</f>
        <v>0</v>
      </c>
      <c r="FH40" s="138">
        <f>SUMIFS(tbl_task9[S159],tbl_task9[[SubPLOs]:[SubPLOs]],"&gt;=7",tbl_task9[[SubPLOs]:[SubPLOs]],"&lt;8")</f>
        <v>0</v>
      </c>
      <c r="FI40" s="138">
        <f>SUMIFS(tbl_task9[S160],tbl_task9[[SubPLOs]:[SubPLOs]],"&gt;=7",tbl_task9[[SubPLOs]:[SubPLOs]],"&lt;8")</f>
        <v>0</v>
      </c>
      <c r="FJ40" s="138">
        <f>SUMIFS(tbl_task9[S161],tbl_task9[[SubPLOs]:[SubPLOs]],"&gt;=7",tbl_task9[[SubPLOs]:[SubPLOs]],"&lt;8")</f>
        <v>0</v>
      </c>
      <c r="FK40" s="138">
        <f>SUMIFS(tbl_task9[S162],tbl_task9[[SubPLOs]:[SubPLOs]],"&gt;=7",tbl_task9[[SubPLOs]:[SubPLOs]],"&lt;8")</f>
        <v>0</v>
      </c>
      <c r="FL40" s="138">
        <f>SUMIFS(tbl_task9[S163],tbl_task9[[SubPLOs]:[SubPLOs]],"&gt;=7",tbl_task9[[SubPLOs]:[SubPLOs]],"&lt;8")</f>
        <v>0</v>
      </c>
      <c r="FM40" s="138">
        <f>SUMIFS(tbl_task9[S164],tbl_task9[[SubPLOs]:[SubPLOs]],"&gt;=7",tbl_task9[[SubPLOs]:[SubPLOs]],"&lt;8")</f>
        <v>0</v>
      </c>
      <c r="FN40" s="138">
        <f>SUMIFS(tbl_task9[S165],tbl_task9[[SubPLOs]:[SubPLOs]],"&gt;=7",tbl_task9[[SubPLOs]:[SubPLOs]],"&lt;8")</f>
        <v>0</v>
      </c>
    </row>
    <row r="41" spans="1:170" ht="63" x14ac:dyDescent="0.25">
      <c r="A41" s="135">
        <v>8</v>
      </c>
      <c r="B41" s="5" t="s">
        <v>441</v>
      </c>
      <c r="C41" s="136">
        <f>COUNTIFS(tbl_task9[SubPLOs],"&gt;=8",tbl_task9[SubPLOs],"&lt;9")</f>
        <v>0</v>
      </c>
      <c r="D41" s="136">
        <f>SUMIFS(tbl_task9[คะแนนเต็ม],tbl_task9[SubPLOs],"&gt;=8",tbl_task9[SubPLOs],"&lt;9")</f>
        <v>0</v>
      </c>
      <c r="E41" s="137">
        <f>SUMIFS(tbl_task9[%],tbl_task9[SubPLOs],"&gt;=8",tbl_task9[SubPLOs],"&lt;9")</f>
        <v>0</v>
      </c>
      <c r="F41" s="138">
        <f>SUMIFS(tbl_task9[S1],tbl_task9[[SubPLOs]:[SubPLOs]],"&gt;=8",tbl_task9[[SubPLOs]:[SubPLOs]],"&lt;9")</f>
        <v>0</v>
      </c>
      <c r="G41" s="138">
        <f>SUMIFS(tbl_task9[S2],tbl_task9[[SubPLOs]:[SubPLOs]],"&gt;=8",tbl_task9[[SubPLOs]:[SubPLOs]],"&lt;9")</f>
        <v>0</v>
      </c>
      <c r="H41" s="138">
        <f>SUMIFS(tbl_task9[S3],tbl_task9[[SubPLOs]:[SubPLOs]],"&gt;=8",tbl_task9[[SubPLOs]:[SubPLOs]],"&lt;9")</f>
        <v>0</v>
      </c>
      <c r="I41" s="138">
        <f>SUMIFS(tbl_task9[S4],tbl_task9[[SubPLOs]:[SubPLOs]],"&gt;=8",tbl_task9[[SubPLOs]:[SubPLOs]],"&lt;9")</f>
        <v>0</v>
      </c>
      <c r="J41" s="138">
        <f>SUMIFS(tbl_task9[S5],tbl_task9[[SubPLOs]:[SubPLOs]],"&gt;=8",tbl_task9[[SubPLOs]:[SubPLOs]],"&lt;9")</f>
        <v>0</v>
      </c>
      <c r="K41" s="138">
        <f>SUMIFS(tbl_task9[S6],tbl_task9[[SubPLOs]:[SubPLOs]],"&gt;=8",tbl_task9[[SubPLOs]:[SubPLOs]],"&lt;9")</f>
        <v>0</v>
      </c>
      <c r="L41" s="138">
        <f>SUMIFS(tbl_task9[S7],tbl_task9[[SubPLOs]:[SubPLOs]],"&gt;=8",tbl_task9[[SubPLOs]:[SubPLOs]],"&lt;9")</f>
        <v>0</v>
      </c>
      <c r="M41" s="138">
        <f>SUMIFS(tbl_task9[S8],tbl_task9[[SubPLOs]:[SubPLOs]],"&gt;=8",tbl_task9[[SubPLOs]:[SubPLOs]],"&lt;9")</f>
        <v>0</v>
      </c>
      <c r="N41" s="138">
        <f>SUMIFS(tbl_task9[S9],tbl_task9[[SubPLOs]:[SubPLOs]],"&gt;=8",tbl_task9[[SubPLOs]:[SubPLOs]],"&lt;9")</f>
        <v>0</v>
      </c>
      <c r="O41" s="138">
        <f>SUMIFS(tbl_task9[S10],tbl_task9[[SubPLOs]:[SubPLOs]],"&gt;=8",tbl_task9[[SubPLOs]:[SubPLOs]],"&lt;9")</f>
        <v>0</v>
      </c>
      <c r="P41" s="138">
        <f>SUMIFS(tbl_task9[S11],tbl_task9[[SubPLOs]:[SubPLOs]],"&gt;=8",tbl_task9[[SubPLOs]:[SubPLOs]],"&lt;9")</f>
        <v>0</v>
      </c>
      <c r="Q41" s="138">
        <f>SUMIFS(tbl_task9[S12],tbl_task9[[SubPLOs]:[SubPLOs]],"&gt;=8",tbl_task9[[SubPLOs]:[SubPLOs]],"&lt;9")</f>
        <v>0</v>
      </c>
      <c r="R41" s="138">
        <f>SUMIFS(tbl_task9[S13],tbl_task9[[SubPLOs]:[SubPLOs]],"&gt;=8",tbl_task9[[SubPLOs]:[SubPLOs]],"&lt;9")</f>
        <v>0</v>
      </c>
      <c r="S41" s="138">
        <f>SUMIFS(tbl_task9[S14],tbl_task9[[SubPLOs]:[SubPLOs]],"&gt;=8",tbl_task9[[SubPLOs]:[SubPLOs]],"&lt;9")</f>
        <v>0</v>
      </c>
      <c r="T41" s="138">
        <f>SUMIFS(tbl_task9[S15],tbl_task9[[SubPLOs]:[SubPLOs]],"&gt;=8",tbl_task9[[SubPLOs]:[SubPLOs]],"&lt;9")</f>
        <v>0</v>
      </c>
      <c r="U41" s="138">
        <f>SUMIFS(tbl_task9[S16],tbl_task9[[SubPLOs]:[SubPLOs]],"&gt;=8",tbl_task9[[SubPLOs]:[SubPLOs]],"&lt;9")</f>
        <v>0</v>
      </c>
      <c r="V41" s="138">
        <f>SUMIFS(tbl_task9[S17],tbl_task9[[SubPLOs]:[SubPLOs]],"&gt;=8",tbl_task9[[SubPLOs]:[SubPLOs]],"&lt;9")</f>
        <v>0</v>
      </c>
      <c r="W41" s="138">
        <f>SUMIFS(tbl_task9[S18],tbl_task9[[SubPLOs]:[SubPLOs]],"&gt;=8",tbl_task9[[SubPLOs]:[SubPLOs]],"&lt;9")</f>
        <v>0</v>
      </c>
      <c r="X41" s="138">
        <f>SUMIFS(tbl_task9[S19],tbl_task9[[SubPLOs]:[SubPLOs]],"&gt;=8",tbl_task9[[SubPLOs]:[SubPLOs]],"&lt;9")</f>
        <v>0</v>
      </c>
      <c r="Y41" s="138">
        <f>SUMIFS(tbl_task9[S20],tbl_task9[[SubPLOs]:[SubPLOs]],"&gt;=8",tbl_task9[[SubPLOs]:[SubPLOs]],"&lt;9")</f>
        <v>0</v>
      </c>
      <c r="Z41" s="138">
        <f>SUMIFS(tbl_task9[S21],tbl_task9[[SubPLOs]:[SubPLOs]],"&gt;=8",tbl_task9[[SubPLOs]:[SubPLOs]],"&lt;9")</f>
        <v>0</v>
      </c>
      <c r="AA41" s="138">
        <f>SUMIFS(tbl_task9[S22],tbl_task9[[SubPLOs]:[SubPLOs]],"&gt;=8",tbl_task9[[SubPLOs]:[SubPLOs]],"&lt;9")</f>
        <v>0</v>
      </c>
      <c r="AB41" s="138">
        <f>SUMIFS(tbl_task9[S23],tbl_task9[[SubPLOs]:[SubPLOs]],"&gt;=8",tbl_task9[[SubPLOs]:[SubPLOs]],"&lt;9")</f>
        <v>0</v>
      </c>
      <c r="AC41" s="138">
        <f>SUMIFS(tbl_task9[S24],tbl_task9[[SubPLOs]:[SubPLOs]],"&gt;=8",tbl_task9[[SubPLOs]:[SubPLOs]],"&lt;9")</f>
        <v>0</v>
      </c>
      <c r="AD41" s="138">
        <f>SUMIFS(tbl_task9[S25],tbl_task9[[SubPLOs]:[SubPLOs]],"&gt;=8",tbl_task9[[SubPLOs]:[SubPLOs]],"&lt;9")</f>
        <v>0</v>
      </c>
      <c r="AE41" s="138">
        <f>SUMIFS(tbl_task9[S26],tbl_task9[[SubPLOs]:[SubPLOs]],"&gt;=8",tbl_task9[[SubPLOs]:[SubPLOs]],"&lt;9")</f>
        <v>0</v>
      </c>
      <c r="AF41" s="138">
        <f>SUMIFS(tbl_task9[S27],tbl_task9[[SubPLOs]:[SubPLOs]],"&gt;=8",tbl_task9[[SubPLOs]:[SubPLOs]],"&lt;9")</f>
        <v>0</v>
      </c>
      <c r="AG41" s="138">
        <f>SUMIFS(tbl_task9[S28],tbl_task9[[SubPLOs]:[SubPLOs]],"&gt;=8",tbl_task9[[SubPLOs]:[SubPLOs]],"&lt;9")</f>
        <v>0</v>
      </c>
      <c r="AH41" s="138">
        <f>SUMIFS(tbl_task9[S29],tbl_task9[[SubPLOs]:[SubPLOs]],"&gt;=8",tbl_task9[[SubPLOs]:[SubPLOs]],"&lt;9")</f>
        <v>0</v>
      </c>
      <c r="AI41" s="138">
        <f>SUMIFS(tbl_task9[S30],tbl_task9[[SubPLOs]:[SubPLOs]],"&gt;=8",tbl_task9[[SubPLOs]:[SubPLOs]],"&lt;9")</f>
        <v>0</v>
      </c>
      <c r="AJ41" s="138">
        <f>SUMIFS(tbl_task9[S31],tbl_task9[[SubPLOs]:[SubPLOs]],"&gt;=8",tbl_task9[[SubPLOs]:[SubPLOs]],"&lt;9")</f>
        <v>0</v>
      </c>
      <c r="AK41" s="138">
        <f>SUMIFS(tbl_task9[S32],tbl_task9[[SubPLOs]:[SubPLOs]],"&gt;=8",tbl_task9[[SubPLOs]:[SubPLOs]],"&lt;9")</f>
        <v>0</v>
      </c>
      <c r="AL41" s="138">
        <f>SUMIFS(tbl_task9[S33],tbl_task9[[SubPLOs]:[SubPLOs]],"&gt;=8",tbl_task9[[SubPLOs]:[SubPLOs]],"&lt;9")</f>
        <v>0</v>
      </c>
      <c r="AM41" s="138">
        <f>SUMIFS(tbl_task9[S34],tbl_task9[[SubPLOs]:[SubPLOs]],"&gt;=8",tbl_task9[[SubPLOs]:[SubPLOs]],"&lt;9")</f>
        <v>0</v>
      </c>
      <c r="AN41" s="138">
        <f>SUMIFS(tbl_task9[S35],tbl_task9[[SubPLOs]:[SubPLOs]],"&gt;=8",tbl_task9[[SubPLOs]:[SubPLOs]],"&lt;9")</f>
        <v>0</v>
      </c>
      <c r="AO41" s="138">
        <f>SUMIFS(tbl_task9[S36],tbl_task9[[SubPLOs]:[SubPLOs]],"&gt;=8",tbl_task9[[SubPLOs]:[SubPLOs]],"&lt;9")</f>
        <v>0</v>
      </c>
      <c r="AP41" s="138">
        <f>SUMIFS(tbl_task9[S37],tbl_task9[[SubPLOs]:[SubPLOs]],"&gt;=8",tbl_task9[[SubPLOs]:[SubPLOs]],"&lt;9")</f>
        <v>0</v>
      </c>
      <c r="AQ41" s="138">
        <f>SUMIFS(tbl_task9[S38],tbl_task9[[SubPLOs]:[SubPLOs]],"&gt;=8",tbl_task9[[SubPLOs]:[SubPLOs]],"&lt;9")</f>
        <v>0</v>
      </c>
      <c r="AR41" s="138">
        <f>SUMIFS(tbl_task9[S39],tbl_task9[[SubPLOs]:[SubPLOs]],"&gt;=8",tbl_task9[[SubPLOs]:[SubPLOs]],"&lt;9")</f>
        <v>0</v>
      </c>
      <c r="AS41" s="138">
        <f>SUMIFS(tbl_task9[S40],tbl_task9[[SubPLOs]:[SubPLOs]],"&gt;=8",tbl_task9[[SubPLOs]:[SubPLOs]],"&lt;9")</f>
        <v>0</v>
      </c>
      <c r="AT41" s="138">
        <f>SUMIFS(tbl_task9[S41],tbl_task9[[SubPLOs]:[SubPLOs]],"&gt;=8",tbl_task9[[SubPLOs]:[SubPLOs]],"&lt;9")</f>
        <v>0</v>
      </c>
      <c r="AU41" s="138">
        <f>SUMIFS(tbl_task9[S42],tbl_task9[[SubPLOs]:[SubPLOs]],"&gt;=8",tbl_task9[[SubPLOs]:[SubPLOs]],"&lt;9")</f>
        <v>0</v>
      </c>
      <c r="AV41" s="138">
        <f>SUMIFS(tbl_task9[S43],tbl_task9[[SubPLOs]:[SubPLOs]],"&gt;=8",tbl_task9[[SubPLOs]:[SubPLOs]],"&lt;9")</f>
        <v>0</v>
      </c>
      <c r="AW41" s="138">
        <f>SUMIFS(tbl_task9[S44],tbl_task9[[SubPLOs]:[SubPLOs]],"&gt;=8",tbl_task9[[SubPLOs]:[SubPLOs]],"&lt;9")</f>
        <v>0</v>
      </c>
      <c r="AX41" s="138">
        <f>SUMIFS(tbl_task9[S45],tbl_task9[[SubPLOs]:[SubPLOs]],"&gt;=8",tbl_task9[[SubPLOs]:[SubPLOs]],"&lt;9")</f>
        <v>0</v>
      </c>
      <c r="AY41" s="138">
        <f>SUMIFS(tbl_task9[S46],tbl_task9[[SubPLOs]:[SubPLOs]],"&gt;=8",tbl_task9[[SubPLOs]:[SubPLOs]],"&lt;9")</f>
        <v>0</v>
      </c>
      <c r="AZ41" s="138">
        <f>SUMIFS(tbl_task9[S47],tbl_task9[[SubPLOs]:[SubPLOs]],"&gt;=8",tbl_task9[[SubPLOs]:[SubPLOs]],"&lt;9")</f>
        <v>0</v>
      </c>
      <c r="BA41" s="138">
        <f>SUMIFS(tbl_task9[S48],tbl_task9[[SubPLOs]:[SubPLOs]],"&gt;=8",tbl_task9[[SubPLOs]:[SubPLOs]],"&lt;9")</f>
        <v>0</v>
      </c>
      <c r="BB41" s="138">
        <f>SUMIFS(tbl_task9[S49],tbl_task9[[SubPLOs]:[SubPLOs]],"&gt;=8",tbl_task9[[SubPLOs]:[SubPLOs]],"&lt;9")</f>
        <v>0</v>
      </c>
      <c r="BC41" s="138">
        <f>SUMIFS(tbl_task9[S50],tbl_task9[[SubPLOs]:[SubPLOs]],"&gt;=8",tbl_task9[[SubPLOs]:[SubPLOs]],"&lt;9")</f>
        <v>0</v>
      </c>
      <c r="BD41" s="138">
        <f>SUMIFS(tbl_task9[S51],tbl_task9[[SubPLOs]:[SubPLOs]],"&gt;=8",tbl_task9[[SubPLOs]:[SubPLOs]],"&lt;9")</f>
        <v>0</v>
      </c>
      <c r="BE41" s="138">
        <f>SUMIFS(tbl_task9[S52],tbl_task9[[SubPLOs]:[SubPLOs]],"&gt;=8",tbl_task9[[SubPLOs]:[SubPLOs]],"&lt;9")</f>
        <v>0</v>
      </c>
      <c r="BF41" s="138">
        <f>SUMIFS(tbl_task9[S53],tbl_task9[[SubPLOs]:[SubPLOs]],"&gt;=8",tbl_task9[[SubPLOs]:[SubPLOs]],"&lt;9")</f>
        <v>0</v>
      </c>
      <c r="BG41" s="138">
        <f>SUMIFS(tbl_task9[S54],tbl_task9[[SubPLOs]:[SubPLOs]],"&gt;=8",tbl_task9[[SubPLOs]:[SubPLOs]],"&lt;9")</f>
        <v>0</v>
      </c>
      <c r="BH41" s="138">
        <f>SUMIFS(tbl_task9[S55],tbl_task9[[SubPLOs]:[SubPLOs]],"&gt;=8",tbl_task9[[SubPLOs]:[SubPLOs]],"&lt;9")</f>
        <v>0</v>
      </c>
      <c r="BI41" s="138">
        <f>SUMIFS(tbl_task9[S56],tbl_task9[[SubPLOs]:[SubPLOs]],"&gt;=8",tbl_task9[[SubPLOs]:[SubPLOs]],"&lt;9")</f>
        <v>0</v>
      </c>
      <c r="BJ41" s="138">
        <f>SUMIFS(tbl_task9[S57],tbl_task9[[SubPLOs]:[SubPLOs]],"&gt;=8",tbl_task9[[SubPLOs]:[SubPLOs]],"&lt;9")</f>
        <v>0</v>
      </c>
      <c r="BK41" s="138">
        <f>SUMIFS(tbl_task9[S58],tbl_task9[[SubPLOs]:[SubPLOs]],"&gt;=8",tbl_task9[[SubPLOs]:[SubPLOs]],"&lt;9")</f>
        <v>0</v>
      </c>
      <c r="BL41" s="138">
        <f>SUMIFS(tbl_task9[S59],tbl_task9[[SubPLOs]:[SubPLOs]],"&gt;=8",tbl_task9[[SubPLOs]:[SubPLOs]],"&lt;9")</f>
        <v>0</v>
      </c>
      <c r="BM41" s="138">
        <f>SUMIFS(tbl_task9[S60],tbl_task9[[SubPLOs]:[SubPLOs]],"&gt;=8",tbl_task9[[SubPLOs]:[SubPLOs]],"&lt;9")</f>
        <v>0</v>
      </c>
      <c r="BN41" s="138">
        <f>SUMIFS(tbl_task9[S61],tbl_task9[[SubPLOs]:[SubPLOs]],"&gt;=8",tbl_task9[[SubPLOs]:[SubPLOs]],"&lt;9")</f>
        <v>0</v>
      </c>
      <c r="BO41" s="138">
        <f>SUMIFS(tbl_task9[S62],tbl_task9[[SubPLOs]:[SubPLOs]],"&gt;=8",tbl_task9[[SubPLOs]:[SubPLOs]],"&lt;9")</f>
        <v>0</v>
      </c>
      <c r="BP41" s="138">
        <f>SUMIFS(tbl_task9[S63],tbl_task9[[SubPLOs]:[SubPLOs]],"&gt;=8",tbl_task9[[SubPLOs]:[SubPLOs]],"&lt;9")</f>
        <v>0</v>
      </c>
      <c r="BQ41" s="138">
        <f>SUMIFS(tbl_task9[S64],tbl_task9[[SubPLOs]:[SubPLOs]],"&gt;=8",tbl_task9[[SubPLOs]:[SubPLOs]],"&lt;9")</f>
        <v>0</v>
      </c>
      <c r="BR41" s="138">
        <f>SUMIFS(tbl_task9[S65],tbl_task9[[SubPLOs]:[SubPLOs]],"&gt;=8",tbl_task9[[SubPLOs]:[SubPLOs]],"&lt;9")</f>
        <v>0</v>
      </c>
      <c r="BS41" s="138">
        <f>SUMIFS(tbl_task9[S66],tbl_task9[[SubPLOs]:[SubPLOs]],"&gt;=8",tbl_task9[[SubPLOs]:[SubPLOs]],"&lt;9")</f>
        <v>0</v>
      </c>
      <c r="BT41" s="138">
        <f>SUMIFS(tbl_task9[S67],tbl_task9[[SubPLOs]:[SubPLOs]],"&gt;=8",tbl_task9[[SubPLOs]:[SubPLOs]],"&lt;9")</f>
        <v>0</v>
      </c>
      <c r="BU41" s="138">
        <f>SUMIFS(tbl_task9[S68],tbl_task9[[SubPLOs]:[SubPLOs]],"&gt;=8",tbl_task9[[SubPLOs]:[SubPLOs]],"&lt;9")</f>
        <v>0</v>
      </c>
      <c r="BV41" s="138">
        <f>SUMIFS(tbl_task9[S69],tbl_task9[[SubPLOs]:[SubPLOs]],"&gt;=8",tbl_task9[[SubPLOs]:[SubPLOs]],"&lt;9")</f>
        <v>0</v>
      </c>
      <c r="BW41" s="138">
        <f>SUMIFS(tbl_task9[S70],tbl_task9[[SubPLOs]:[SubPLOs]],"&gt;=8",tbl_task9[[SubPLOs]:[SubPLOs]],"&lt;9")</f>
        <v>0</v>
      </c>
      <c r="BX41" s="138">
        <f>SUMIFS(tbl_task9[S71],tbl_task9[[SubPLOs]:[SubPLOs]],"&gt;=8",tbl_task9[[SubPLOs]:[SubPLOs]],"&lt;9")</f>
        <v>0</v>
      </c>
      <c r="BY41" s="138">
        <f>SUMIFS(tbl_task9[S72],tbl_task9[[SubPLOs]:[SubPLOs]],"&gt;=8",tbl_task9[[SubPLOs]:[SubPLOs]],"&lt;9")</f>
        <v>0</v>
      </c>
      <c r="BZ41" s="138">
        <f>SUMIFS(tbl_task9[S73],tbl_task9[[SubPLOs]:[SubPLOs]],"&gt;=8",tbl_task9[[SubPLOs]:[SubPLOs]],"&lt;9")</f>
        <v>0</v>
      </c>
      <c r="CA41" s="138">
        <f>SUMIFS(tbl_task9[S74],tbl_task9[[SubPLOs]:[SubPLOs]],"&gt;=8",tbl_task9[[SubPLOs]:[SubPLOs]],"&lt;9")</f>
        <v>0</v>
      </c>
      <c r="CB41" s="138">
        <f>SUMIFS(tbl_task9[S75],tbl_task9[[SubPLOs]:[SubPLOs]],"&gt;=8",tbl_task9[[SubPLOs]:[SubPLOs]],"&lt;9")</f>
        <v>0</v>
      </c>
      <c r="CC41" s="138">
        <f>SUMIFS(tbl_task9[S76],tbl_task9[[SubPLOs]:[SubPLOs]],"&gt;=8",tbl_task9[[SubPLOs]:[SubPLOs]],"&lt;9")</f>
        <v>0</v>
      </c>
      <c r="CD41" s="138">
        <f>SUMIFS(tbl_task9[S77],tbl_task9[[SubPLOs]:[SubPLOs]],"&gt;=8",tbl_task9[[SubPLOs]:[SubPLOs]],"&lt;9")</f>
        <v>0</v>
      </c>
      <c r="CE41" s="138">
        <f>SUMIFS(tbl_task9[S78],tbl_task9[[SubPLOs]:[SubPLOs]],"&gt;=8",tbl_task9[[SubPLOs]:[SubPLOs]],"&lt;9")</f>
        <v>0</v>
      </c>
      <c r="CF41" s="138">
        <f>SUMIFS(tbl_task9[S79],tbl_task9[[SubPLOs]:[SubPLOs]],"&gt;=8",tbl_task9[[SubPLOs]:[SubPLOs]],"&lt;9")</f>
        <v>0</v>
      </c>
      <c r="CG41" s="138">
        <f>SUMIFS(tbl_task9[S80],tbl_task9[[SubPLOs]:[SubPLOs]],"&gt;=8",tbl_task9[[SubPLOs]:[SubPLOs]],"&lt;9")</f>
        <v>0</v>
      </c>
      <c r="CH41" s="138">
        <f>SUMIFS(tbl_task9[S81],tbl_task9[[SubPLOs]:[SubPLOs]],"&gt;=8",tbl_task9[[SubPLOs]:[SubPLOs]],"&lt;9")</f>
        <v>0</v>
      </c>
      <c r="CI41" s="138">
        <f>SUMIFS(tbl_task9[S82],tbl_task9[[SubPLOs]:[SubPLOs]],"&gt;=8",tbl_task9[[SubPLOs]:[SubPLOs]],"&lt;9")</f>
        <v>0</v>
      </c>
      <c r="CJ41" s="138">
        <f>SUMIFS(tbl_task9[S83],tbl_task9[[SubPLOs]:[SubPLOs]],"&gt;=8",tbl_task9[[SubPLOs]:[SubPLOs]],"&lt;9")</f>
        <v>0</v>
      </c>
      <c r="CK41" s="138">
        <f>SUMIFS(tbl_task9[S84],tbl_task9[[SubPLOs]:[SubPLOs]],"&gt;=8",tbl_task9[[SubPLOs]:[SubPLOs]],"&lt;9")</f>
        <v>0</v>
      </c>
      <c r="CL41" s="138">
        <f>SUMIFS(tbl_task9[S85],tbl_task9[[SubPLOs]:[SubPLOs]],"&gt;=8",tbl_task9[[SubPLOs]:[SubPLOs]],"&lt;9")</f>
        <v>0</v>
      </c>
      <c r="CM41" s="138">
        <f>SUMIFS(tbl_task9[S86],tbl_task9[[SubPLOs]:[SubPLOs]],"&gt;=8",tbl_task9[[SubPLOs]:[SubPLOs]],"&lt;9")</f>
        <v>0</v>
      </c>
      <c r="CN41" s="138">
        <f>SUMIFS(tbl_task9[S87],tbl_task9[[SubPLOs]:[SubPLOs]],"&gt;=8",tbl_task9[[SubPLOs]:[SubPLOs]],"&lt;9")</f>
        <v>0</v>
      </c>
      <c r="CO41" s="138">
        <f>SUMIFS(tbl_task9[S88],tbl_task9[[SubPLOs]:[SubPLOs]],"&gt;=8",tbl_task9[[SubPLOs]:[SubPLOs]],"&lt;9")</f>
        <v>0</v>
      </c>
      <c r="CP41" s="138">
        <f>SUMIFS(tbl_task9[S89],tbl_task9[[SubPLOs]:[SubPLOs]],"&gt;=8",tbl_task9[[SubPLOs]:[SubPLOs]],"&lt;9")</f>
        <v>0</v>
      </c>
      <c r="CQ41" s="138">
        <f>SUMIFS(tbl_task9[S90],tbl_task9[[SubPLOs]:[SubPLOs]],"&gt;=8",tbl_task9[[SubPLOs]:[SubPLOs]],"&lt;9")</f>
        <v>0</v>
      </c>
      <c r="CR41" s="138">
        <f>SUMIFS(tbl_task9[S91],tbl_task9[[SubPLOs]:[SubPLOs]],"&gt;=8",tbl_task9[[SubPLOs]:[SubPLOs]],"&lt;9")</f>
        <v>0</v>
      </c>
      <c r="CS41" s="138">
        <f>SUMIFS(tbl_task9[S92],tbl_task9[[SubPLOs]:[SubPLOs]],"&gt;=8",tbl_task9[[SubPLOs]:[SubPLOs]],"&lt;9")</f>
        <v>0</v>
      </c>
      <c r="CT41" s="138">
        <f>SUMIFS(tbl_task9[S93],tbl_task9[[SubPLOs]:[SubPLOs]],"&gt;=8",tbl_task9[[SubPLOs]:[SubPLOs]],"&lt;9")</f>
        <v>0</v>
      </c>
      <c r="CU41" s="138">
        <f>SUMIFS(tbl_task9[S94],tbl_task9[[SubPLOs]:[SubPLOs]],"&gt;=8",tbl_task9[[SubPLOs]:[SubPLOs]],"&lt;9")</f>
        <v>0</v>
      </c>
      <c r="CV41" s="138">
        <f>SUMIFS(tbl_task9[S95],tbl_task9[[SubPLOs]:[SubPLOs]],"&gt;=8",tbl_task9[[SubPLOs]:[SubPLOs]],"&lt;9")</f>
        <v>0</v>
      </c>
      <c r="CW41" s="138">
        <f>SUMIFS(tbl_task9[S96],tbl_task9[[SubPLOs]:[SubPLOs]],"&gt;=8",tbl_task9[[SubPLOs]:[SubPLOs]],"&lt;9")</f>
        <v>0</v>
      </c>
      <c r="CX41" s="138">
        <f>SUMIFS(tbl_task9[S97],tbl_task9[[SubPLOs]:[SubPLOs]],"&gt;=8",tbl_task9[[SubPLOs]:[SubPLOs]],"&lt;9")</f>
        <v>0</v>
      </c>
      <c r="CY41" s="138">
        <f>SUMIFS(tbl_task9[S98],tbl_task9[[SubPLOs]:[SubPLOs]],"&gt;=8",tbl_task9[[SubPLOs]:[SubPLOs]],"&lt;9")</f>
        <v>0</v>
      </c>
      <c r="CZ41" s="138">
        <f>SUMIFS(tbl_task9[S99],tbl_task9[[SubPLOs]:[SubPLOs]],"&gt;=8",tbl_task9[[SubPLOs]:[SubPLOs]],"&lt;9")</f>
        <v>0</v>
      </c>
      <c r="DA41" s="138">
        <f>SUMIFS(tbl_task9[S100],tbl_task9[[SubPLOs]:[SubPLOs]],"&gt;=8",tbl_task9[[SubPLOs]:[SubPLOs]],"&lt;9")</f>
        <v>0</v>
      </c>
      <c r="DB41" s="138">
        <f>SUMIFS(tbl_task9[S101],tbl_task9[[SubPLOs]:[SubPLOs]],"&gt;=8",tbl_task9[[SubPLOs]:[SubPLOs]],"&lt;9")</f>
        <v>0</v>
      </c>
      <c r="DC41" s="138">
        <f>SUMIFS(tbl_task9[S102],tbl_task9[[SubPLOs]:[SubPLOs]],"&gt;=8",tbl_task9[[SubPLOs]:[SubPLOs]],"&lt;9")</f>
        <v>0</v>
      </c>
      <c r="DD41" s="138">
        <f>SUMIFS(tbl_task9[S103],tbl_task9[[SubPLOs]:[SubPLOs]],"&gt;=8",tbl_task9[[SubPLOs]:[SubPLOs]],"&lt;9")</f>
        <v>0</v>
      </c>
      <c r="DE41" s="138">
        <f>SUMIFS(tbl_task9[S104],tbl_task9[[SubPLOs]:[SubPLOs]],"&gt;=8",tbl_task9[[SubPLOs]:[SubPLOs]],"&lt;9")</f>
        <v>0</v>
      </c>
      <c r="DF41" s="138">
        <f>SUMIFS(tbl_task9[S105],tbl_task9[[SubPLOs]:[SubPLOs]],"&gt;=8",tbl_task9[[SubPLOs]:[SubPLOs]],"&lt;9")</f>
        <v>0</v>
      </c>
      <c r="DG41" s="138">
        <f>SUMIFS(tbl_task9[S106],tbl_task9[[SubPLOs]:[SubPLOs]],"&gt;=8",tbl_task9[[SubPLOs]:[SubPLOs]],"&lt;9")</f>
        <v>0</v>
      </c>
      <c r="DH41" s="138">
        <f>SUMIFS(tbl_task9[S106],tbl_task9[[SubPLOs]:[SubPLOs]],"&gt;=8",tbl_task9[[SubPLOs]:[SubPLOs]],"&lt;9")</f>
        <v>0</v>
      </c>
      <c r="DI41" s="138">
        <f>SUMIFS(tbl_task9[S108],tbl_task9[[SubPLOs]:[SubPLOs]],"&gt;=8",tbl_task9[[SubPLOs]:[SubPLOs]],"&lt;9")</f>
        <v>0</v>
      </c>
      <c r="DJ41" s="138">
        <f>SUMIFS(tbl_task9[S109],tbl_task9[[SubPLOs]:[SubPLOs]],"&gt;=8",tbl_task9[[SubPLOs]:[SubPLOs]],"&lt;9")</f>
        <v>0</v>
      </c>
      <c r="DK41" s="138">
        <f>SUMIFS(tbl_task9[S110],tbl_task9[[SubPLOs]:[SubPLOs]],"&gt;=8",tbl_task9[[SubPLOs]:[SubPLOs]],"&lt;9")</f>
        <v>0</v>
      </c>
      <c r="DL41" s="138">
        <f>SUMIFS(tbl_task9[S111],tbl_task9[[SubPLOs]:[SubPLOs]],"&gt;=8",tbl_task9[[SubPLOs]:[SubPLOs]],"&lt;9")</f>
        <v>0</v>
      </c>
      <c r="DM41" s="138">
        <f>SUMIFS(tbl_task9[S112],tbl_task9[[SubPLOs]:[SubPLOs]],"&gt;=8",tbl_task9[[SubPLOs]:[SubPLOs]],"&lt;9")</f>
        <v>0</v>
      </c>
      <c r="DN41" s="138">
        <f>SUMIFS(tbl_task9[S113],tbl_task9[[SubPLOs]:[SubPLOs]],"&gt;=8",tbl_task9[[SubPLOs]:[SubPLOs]],"&lt;9")</f>
        <v>0</v>
      </c>
      <c r="DO41" s="138">
        <f>SUMIFS(tbl_task9[S114],tbl_task9[[SubPLOs]:[SubPLOs]],"&gt;=8",tbl_task9[[SubPLOs]:[SubPLOs]],"&lt;9")</f>
        <v>0</v>
      </c>
      <c r="DP41" s="138">
        <f>SUMIFS(tbl_task9[S115],tbl_task9[[SubPLOs]:[SubPLOs]],"&gt;=8",tbl_task9[[SubPLOs]:[SubPLOs]],"&lt;9")</f>
        <v>0</v>
      </c>
      <c r="DQ41" s="138">
        <f>SUMIFS(tbl_task9[S116],tbl_task9[[SubPLOs]:[SubPLOs]],"&gt;=8",tbl_task9[[SubPLOs]:[SubPLOs]],"&lt;9")</f>
        <v>0</v>
      </c>
      <c r="DR41" s="138">
        <f>SUMIFS(tbl_task9[S117],tbl_task9[[SubPLOs]:[SubPLOs]],"&gt;=8",tbl_task9[[SubPLOs]:[SubPLOs]],"&lt;9")</f>
        <v>0</v>
      </c>
      <c r="DS41" s="138">
        <f>SUMIFS(tbl_task9[S118],tbl_task9[[SubPLOs]:[SubPLOs]],"&gt;=8",tbl_task9[[SubPLOs]:[SubPLOs]],"&lt;9")</f>
        <v>0</v>
      </c>
      <c r="DT41" s="138">
        <f>SUMIFS(tbl_task9[S119],tbl_task9[[SubPLOs]:[SubPLOs]],"&gt;=8",tbl_task9[[SubPLOs]:[SubPLOs]],"&lt;9")</f>
        <v>0</v>
      </c>
      <c r="DU41" s="138">
        <f>SUMIFS(tbl_task9[S120],tbl_task9[[SubPLOs]:[SubPLOs]],"&gt;=8",tbl_task9[[SubPLOs]:[SubPLOs]],"&lt;9")</f>
        <v>0</v>
      </c>
      <c r="DV41" s="138">
        <f>SUMIFS(tbl_task9[S121],tbl_task9[[SubPLOs]:[SubPLOs]],"&gt;=8",tbl_task9[[SubPLOs]:[SubPLOs]],"&lt;9")</f>
        <v>0</v>
      </c>
      <c r="DW41" s="138">
        <f>SUMIFS(tbl_task9[S122],tbl_task9[[SubPLOs]:[SubPLOs]],"&gt;=8",tbl_task9[[SubPLOs]:[SubPLOs]],"&lt;9")</f>
        <v>0</v>
      </c>
      <c r="DX41" s="138">
        <f>SUMIFS(tbl_task9[S123],tbl_task9[[SubPLOs]:[SubPLOs]],"&gt;=8",tbl_task9[[SubPLOs]:[SubPLOs]],"&lt;9")</f>
        <v>0</v>
      </c>
      <c r="DY41" s="138">
        <f>SUMIFS(tbl_task9[S124],tbl_task9[[SubPLOs]:[SubPLOs]],"&gt;=8",tbl_task9[[SubPLOs]:[SubPLOs]],"&lt;9")</f>
        <v>0</v>
      </c>
      <c r="DZ41" s="138">
        <f>SUMIFS(tbl_task9[S125],tbl_task9[[SubPLOs]:[SubPLOs]],"&gt;=8",tbl_task9[[SubPLOs]:[SubPLOs]],"&lt;9")</f>
        <v>0</v>
      </c>
      <c r="EA41" s="138">
        <f>SUMIFS(tbl_task9[S126],tbl_task9[[SubPLOs]:[SubPLOs]],"&gt;=8",tbl_task9[[SubPLOs]:[SubPLOs]],"&lt;9")</f>
        <v>0</v>
      </c>
      <c r="EB41" s="138">
        <f>SUMIFS(tbl_task9[S127],tbl_task9[[SubPLOs]:[SubPLOs]],"&gt;=8",tbl_task9[[SubPLOs]:[SubPLOs]],"&lt;9")</f>
        <v>0</v>
      </c>
      <c r="EC41" s="138">
        <f>SUMIFS(tbl_task9[S128],tbl_task9[[SubPLOs]:[SubPLOs]],"&gt;=8",tbl_task9[[SubPLOs]:[SubPLOs]],"&lt;9")</f>
        <v>0</v>
      </c>
      <c r="ED41" s="138">
        <f>SUMIFS(tbl_task9[S129],tbl_task9[[SubPLOs]:[SubPLOs]],"&gt;=8",tbl_task9[[SubPLOs]:[SubPLOs]],"&lt;9")</f>
        <v>0</v>
      </c>
      <c r="EE41" s="138">
        <f>SUMIFS(tbl_task9[S130],tbl_task9[[SubPLOs]:[SubPLOs]],"&gt;=8",tbl_task9[[SubPLOs]:[SubPLOs]],"&lt;9")</f>
        <v>0</v>
      </c>
      <c r="EF41" s="138">
        <f>SUMIFS(tbl_task9[S131],tbl_task9[[SubPLOs]:[SubPLOs]],"&gt;=8",tbl_task9[[SubPLOs]:[SubPLOs]],"&lt;9")</f>
        <v>0</v>
      </c>
      <c r="EG41" s="138">
        <f>SUMIFS(tbl_task9[S132],tbl_task9[[SubPLOs]:[SubPLOs]],"&gt;=8",tbl_task9[[SubPLOs]:[SubPLOs]],"&lt;9")</f>
        <v>0</v>
      </c>
      <c r="EH41" s="138">
        <f>SUMIFS(tbl_task9[S133],tbl_task9[[SubPLOs]:[SubPLOs]],"&gt;=8",tbl_task9[[SubPLOs]:[SubPLOs]],"&lt;9")</f>
        <v>0</v>
      </c>
      <c r="EI41" s="138">
        <f>SUMIFS(tbl_task9[S134],tbl_task9[[SubPLOs]:[SubPLOs]],"&gt;=8",tbl_task9[[SubPLOs]:[SubPLOs]],"&lt;9")</f>
        <v>0</v>
      </c>
      <c r="EJ41" s="138">
        <f>SUMIFS(tbl_task9[S135],tbl_task9[[SubPLOs]:[SubPLOs]],"&gt;=8",tbl_task9[[SubPLOs]:[SubPLOs]],"&lt;9")</f>
        <v>0</v>
      </c>
      <c r="EK41" s="138">
        <f>SUMIFS(tbl_task9[S136],tbl_task9[[SubPLOs]:[SubPLOs]],"&gt;=8",tbl_task9[[SubPLOs]:[SubPLOs]],"&lt;9")</f>
        <v>0</v>
      </c>
      <c r="EL41" s="138">
        <f>SUMIFS(tbl_task9[S137],tbl_task9[[SubPLOs]:[SubPLOs]],"&gt;=8",tbl_task9[[SubPLOs]:[SubPLOs]],"&lt;9")</f>
        <v>0</v>
      </c>
      <c r="EM41" s="138">
        <f>SUMIFS(tbl_task9[S138],tbl_task9[[SubPLOs]:[SubPLOs]],"&gt;=8",tbl_task9[[SubPLOs]:[SubPLOs]],"&lt;9")</f>
        <v>0</v>
      </c>
      <c r="EN41" s="138">
        <f>SUMIFS(tbl_task9[S139],tbl_task9[[SubPLOs]:[SubPLOs]],"&gt;=8",tbl_task9[[SubPLOs]:[SubPLOs]],"&lt;9")</f>
        <v>0</v>
      </c>
      <c r="EO41" s="138">
        <f>SUMIFS(tbl_task9[S140],tbl_task9[[SubPLOs]:[SubPLOs]],"&gt;=8",tbl_task9[[SubPLOs]:[SubPLOs]],"&lt;9")</f>
        <v>0</v>
      </c>
      <c r="EP41" s="138">
        <f>SUMIFS(tbl_task9[S141],tbl_task9[[SubPLOs]:[SubPLOs]],"&gt;=8",tbl_task9[[SubPLOs]:[SubPLOs]],"&lt;9")</f>
        <v>0</v>
      </c>
      <c r="EQ41" s="138">
        <f>SUMIFS(tbl_task9[S142],tbl_task9[[SubPLOs]:[SubPLOs]],"&gt;=8",tbl_task9[[SubPLOs]:[SubPLOs]],"&lt;9")</f>
        <v>0</v>
      </c>
      <c r="ER41" s="138">
        <f>SUMIFS(tbl_task9[S143],tbl_task9[[SubPLOs]:[SubPLOs]],"&gt;=8",tbl_task9[[SubPLOs]:[SubPLOs]],"&lt;9")</f>
        <v>0</v>
      </c>
      <c r="ES41" s="138">
        <f>SUMIFS(tbl_task9[S144],tbl_task9[[SubPLOs]:[SubPLOs]],"&gt;=8",tbl_task9[[SubPLOs]:[SubPLOs]],"&lt;9")</f>
        <v>0</v>
      </c>
      <c r="ET41" s="138">
        <f>SUMIFS(tbl_task9[S145],tbl_task9[[SubPLOs]:[SubPLOs]],"&gt;=8",tbl_task9[[SubPLOs]:[SubPLOs]],"&lt;9")</f>
        <v>0</v>
      </c>
      <c r="EU41" s="138">
        <f>SUMIFS(tbl_task9[S146],tbl_task9[[SubPLOs]:[SubPLOs]],"&gt;=8",tbl_task9[[SubPLOs]:[SubPLOs]],"&lt;9")</f>
        <v>0</v>
      </c>
      <c r="EV41" s="138">
        <f>SUMIFS(tbl_task9[S147],tbl_task9[[SubPLOs]:[SubPLOs]],"&gt;=8",tbl_task9[[SubPLOs]:[SubPLOs]],"&lt;9")</f>
        <v>0</v>
      </c>
      <c r="EW41" s="138">
        <f>SUMIFS(tbl_task9[S148],tbl_task9[[SubPLOs]:[SubPLOs]],"&gt;=8",tbl_task9[[SubPLOs]:[SubPLOs]],"&lt;9")</f>
        <v>0</v>
      </c>
      <c r="EX41" s="138">
        <f>SUMIFS(tbl_task9[S149],tbl_task9[[SubPLOs]:[SubPLOs]],"&gt;=8",tbl_task9[[SubPLOs]:[SubPLOs]],"&lt;9")</f>
        <v>0</v>
      </c>
      <c r="EY41" s="138">
        <f>SUMIFS(tbl_task9[S150],tbl_task9[[SubPLOs]:[SubPLOs]],"&gt;=8",tbl_task9[[SubPLOs]:[SubPLOs]],"&lt;9")</f>
        <v>0</v>
      </c>
      <c r="EZ41" s="138">
        <f>SUMIFS(tbl_task9[S151],tbl_task9[[SubPLOs]:[SubPLOs]],"&gt;=8",tbl_task9[[SubPLOs]:[SubPLOs]],"&lt;9")</f>
        <v>0</v>
      </c>
      <c r="FA41" s="138">
        <f>SUMIFS(tbl_task9[S152],tbl_task9[[SubPLOs]:[SubPLOs]],"&gt;=8",tbl_task9[[SubPLOs]:[SubPLOs]],"&lt;9")</f>
        <v>0</v>
      </c>
      <c r="FB41" s="138">
        <f>SUMIFS(tbl_task9[S153],tbl_task9[[SubPLOs]:[SubPLOs]],"&gt;=8",tbl_task9[[SubPLOs]:[SubPLOs]],"&lt;9")</f>
        <v>0</v>
      </c>
      <c r="FC41" s="138">
        <f>SUMIFS(tbl_task9[S154],tbl_task9[[SubPLOs]:[SubPLOs]],"&gt;=8",tbl_task9[[SubPLOs]:[SubPLOs]],"&lt;9")</f>
        <v>0</v>
      </c>
      <c r="FD41" s="138">
        <f>SUMIFS(tbl_task9[S155],tbl_task9[[SubPLOs]:[SubPLOs]],"&gt;=8",tbl_task9[[SubPLOs]:[SubPLOs]],"&lt;9")</f>
        <v>0</v>
      </c>
      <c r="FE41" s="138">
        <f>SUMIFS(tbl_task9[S156],tbl_task9[[SubPLOs]:[SubPLOs]],"&gt;=8",tbl_task9[[SubPLOs]:[SubPLOs]],"&lt;9")</f>
        <v>0</v>
      </c>
      <c r="FF41" s="138">
        <f>SUMIFS(tbl_task9[S157],tbl_task9[[SubPLOs]:[SubPLOs]],"&gt;=8",tbl_task9[[SubPLOs]:[SubPLOs]],"&lt;9")</f>
        <v>0</v>
      </c>
      <c r="FG41" s="138">
        <f>SUMIFS(tbl_task9[S158],tbl_task9[[SubPLOs]:[SubPLOs]],"&gt;=8",tbl_task9[[SubPLOs]:[SubPLOs]],"&lt;9")</f>
        <v>0</v>
      </c>
      <c r="FH41" s="138">
        <f>SUMIFS(tbl_task9[S159],tbl_task9[[SubPLOs]:[SubPLOs]],"&gt;=8",tbl_task9[[SubPLOs]:[SubPLOs]],"&lt;9")</f>
        <v>0</v>
      </c>
      <c r="FI41" s="138">
        <f>SUMIFS(tbl_task9[S160],tbl_task9[[SubPLOs]:[SubPLOs]],"&gt;=8",tbl_task9[[SubPLOs]:[SubPLOs]],"&lt;9")</f>
        <v>0</v>
      </c>
      <c r="FJ41" s="138">
        <f>SUMIFS(tbl_task9[S161],tbl_task9[[SubPLOs]:[SubPLOs]],"&gt;=8",tbl_task9[[SubPLOs]:[SubPLOs]],"&lt;9")</f>
        <v>0</v>
      </c>
      <c r="FK41" s="138">
        <f>SUMIFS(tbl_task9[S162],tbl_task9[[SubPLOs]:[SubPLOs]],"&gt;=8",tbl_task9[[SubPLOs]:[SubPLOs]],"&lt;9")</f>
        <v>0</v>
      </c>
      <c r="FL41" s="138">
        <f>SUMIFS(tbl_task9[S163],tbl_task9[[SubPLOs]:[SubPLOs]],"&gt;=8",tbl_task9[[SubPLOs]:[SubPLOs]],"&lt;9")</f>
        <v>0</v>
      </c>
      <c r="FM41" s="138">
        <f>SUMIFS(tbl_task9[S164],tbl_task9[[SubPLOs]:[SubPLOs]],"&gt;=8",tbl_task9[[SubPLOs]:[SubPLOs]],"&lt;9")</f>
        <v>0</v>
      </c>
      <c r="FN41" s="138">
        <f>SUMIFS(tbl_task9[S165],tbl_task9[[SubPLOs]:[SubPLOs]],"&gt;=8",tbl_task9[[SubPLOs]:[SubPLOs]],"&lt;9")</f>
        <v>0</v>
      </c>
    </row>
    <row r="42" spans="1:170" ht="63" x14ac:dyDescent="0.25">
      <c r="A42" s="135">
        <v>9</v>
      </c>
      <c r="B42" s="5" t="s">
        <v>442</v>
      </c>
      <c r="C42" s="136">
        <f>COUNTIFS(tbl_task9[SubPLOs],"&gt;=9",tbl_task9[SubPLOs],"&lt;10")</f>
        <v>0</v>
      </c>
      <c r="D42" s="136">
        <f>SUMIFS(tbl_task9[คะแนนเต็ม],tbl_task9[SubPLOs],"&gt;=9",tbl_task9[SubPLOs],"&lt;10")</f>
        <v>0</v>
      </c>
      <c r="E42" s="137">
        <f>SUMIFS(tbl_task9[%],tbl_task9[SubPLOs],"&gt;=9",tbl_task9[SubPLOs],"&lt;10")</f>
        <v>0</v>
      </c>
      <c r="F42" s="138">
        <f>SUMIFS(tbl_task9[S1],tbl_task9[[SubPLOs]:[SubPLOs]],"&gt;=9",tbl_task9[[SubPLOs]:[SubPLOs]],"&lt;10")</f>
        <v>0</v>
      </c>
      <c r="G42" s="138">
        <f>SUMIFS(tbl_task9[S2],tbl_task9[[SubPLOs]:[SubPLOs]],"&gt;=9",tbl_task9[[SubPLOs]:[SubPLOs]],"&lt;10")</f>
        <v>0</v>
      </c>
      <c r="H42" s="138">
        <f>SUMIFS(tbl_task9[S3],tbl_task9[[SubPLOs]:[SubPLOs]],"&gt;=9",tbl_task9[[SubPLOs]:[SubPLOs]],"&lt;10")</f>
        <v>0</v>
      </c>
      <c r="I42" s="138">
        <f>SUMIFS(tbl_task9[S4],tbl_task9[[SubPLOs]:[SubPLOs]],"&gt;=9",tbl_task9[[SubPLOs]:[SubPLOs]],"&lt;10")</f>
        <v>0</v>
      </c>
      <c r="J42" s="138">
        <f>SUMIFS(tbl_task9[S5],tbl_task9[[SubPLOs]:[SubPLOs]],"&gt;=9",tbl_task9[[SubPLOs]:[SubPLOs]],"&lt;10")</f>
        <v>0</v>
      </c>
      <c r="K42" s="138">
        <f>SUMIFS(tbl_task9[S6],tbl_task9[[SubPLOs]:[SubPLOs]],"&gt;=9",tbl_task9[[SubPLOs]:[SubPLOs]],"&lt;10")</f>
        <v>0</v>
      </c>
      <c r="L42" s="138">
        <f>SUMIFS(tbl_task9[S7],tbl_task9[[SubPLOs]:[SubPLOs]],"&gt;=9",tbl_task9[[SubPLOs]:[SubPLOs]],"&lt;10")</f>
        <v>0</v>
      </c>
      <c r="M42" s="138">
        <f>SUMIFS(tbl_task9[S8],tbl_task9[[SubPLOs]:[SubPLOs]],"&gt;=9",tbl_task9[[SubPLOs]:[SubPLOs]],"&lt;10")</f>
        <v>0</v>
      </c>
      <c r="N42" s="138">
        <f>SUMIFS(tbl_task9[S9],tbl_task9[[SubPLOs]:[SubPLOs]],"&gt;=9",tbl_task9[[SubPLOs]:[SubPLOs]],"&lt;10")</f>
        <v>0</v>
      </c>
      <c r="O42" s="138">
        <f>SUMIFS(tbl_task9[S10],tbl_task9[[SubPLOs]:[SubPLOs]],"&gt;=9",tbl_task9[[SubPLOs]:[SubPLOs]],"&lt;10")</f>
        <v>0</v>
      </c>
      <c r="P42" s="138">
        <f>SUMIFS(tbl_task9[S11],tbl_task9[[SubPLOs]:[SubPLOs]],"&gt;=9",tbl_task9[[SubPLOs]:[SubPLOs]],"&lt;10")</f>
        <v>0</v>
      </c>
      <c r="Q42" s="138">
        <f>SUMIFS(tbl_task9[S12],tbl_task9[[SubPLOs]:[SubPLOs]],"&gt;=9",tbl_task9[[SubPLOs]:[SubPLOs]],"&lt;10")</f>
        <v>0</v>
      </c>
      <c r="R42" s="138">
        <f>SUMIFS(tbl_task9[S13],tbl_task9[[SubPLOs]:[SubPLOs]],"&gt;=9",tbl_task9[[SubPLOs]:[SubPLOs]],"&lt;10")</f>
        <v>0</v>
      </c>
      <c r="S42" s="138">
        <f>SUMIFS(tbl_task9[S14],tbl_task9[[SubPLOs]:[SubPLOs]],"&gt;=9",tbl_task9[[SubPLOs]:[SubPLOs]],"&lt;10")</f>
        <v>0</v>
      </c>
      <c r="T42" s="138">
        <f>SUMIFS(tbl_task9[S15],tbl_task9[[SubPLOs]:[SubPLOs]],"&gt;=9",tbl_task9[[SubPLOs]:[SubPLOs]],"&lt;10")</f>
        <v>0</v>
      </c>
      <c r="U42" s="138">
        <f>SUMIFS(tbl_task9[S16],tbl_task9[[SubPLOs]:[SubPLOs]],"&gt;=9",tbl_task9[[SubPLOs]:[SubPLOs]],"&lt;10")</f>
        <v>0</v>
      </c>
      <c r="V42" s="138">
        <f>SUMIFS(tbl_task9[S17],tbl_task9[[SubPLOs]:[SubPLOs]],"&gt;=9",tbl_task9[[SubPLOs]:[SubPLOs]],"&lt;10")</f>
        <v>0</v>
      </c>
      <c r="W42" s="138">
        <f>SUMIFS(tbl_task9[S18],tbl_task9[[SubPLOs]:[SubPLOs]],"&gt;=9",tbl_task9[[SubPLOs]:[SubPLOs]],"&lt;10")</f>
        <v>0</v>
      </c>
      <c r="X42" s="138">
        <f>SUMIFS(tbl_task9[S19],tbl_task9[[SubPLOs]:[SubPLOs]],"&gt;=9",tbl_task9[[SubPLOs]:[SubPLOs]],"&lt;10")</f>
        <v>0</v>
      </c>
      <c r="Y42" s="138">
        <f>SUMIFS(tbl_task9[S20],tbl_task9[[SubPLOs]:[SubPLOs]],"&gt;=9",tbl_task9[[SubPLOs]:[SubPLOs]],"&lt;10")</f>
        <v>0</v>
      </c>
      <c r="Z42" s="138">
        <f>SUMIFS(tbl_task9[S21],tbl_task9[[SubPLOs]:[SubPLOs]],"&gt;=9",tbl_task9[[SubPLOs]:[SubPLOs]],"&lt;10")</f>
        <v>0</v>
      </c>
      <c r="AA42" s="138">
        <f>SUMIFS(tbl_task9[S22],tbl_task9[[SubPLOs]:[SubPLOs]],"&gt;=9",tbl_task9[[SubPLOs]:[SubPLOs]],"&lt;10")</f>
        <v>0</v>
      </c>
      <c r="AB42" s="138">
        <f>SUMIFS(tbl_task9[S23],tbl_task9[[SubPLOs]:[SubPLOs]],"&gt;=9",tbl_task9[[SubPLOs]:[SubPLOs]],"&lt;10")</f>
        <v>0</v>
      </c>
      <c r="AC42" s="138">
        <f>SUMIFS(tbl_task9[S24],tbl_task9[[SubPLOs]:[SubPLOs]],"&gt;=9",tbl_task9[[SubPLOs]:[SubPLOs]],"&lt;10")</f>
        <v>0</v>
      </c>
      <c r="AD42" s="138">
        <f>SUMIFS(tbl_task9[S25],tbl_task9[[SubPLOs]:[SubPLOs]],"&gt;=9",tbl_task9[[SubPLOs]:[SubPLOs]],"&lt;10")</f>
        <v>0</v>
      </c>
      <c r="AE42" s="138">
        <f>SUMIFS(tbl_task9[S26],tbl_task9[[SubPLOs]:[SubPLOs]],"&gt;=9",tbl_task9[[SubPLOs]:[SubPLOs]],"&lt;10")</f>
        <v>0</v>
      </c>
      <c r="AF42" s="138">
        <f>SUMIFS(tbl_task9[S27],tbl_task9[[SubPLOs]:[SubPLOs]],"&gt;=9",tbl_task9[[SubPLOs]:[SubPLOs]],"&lt;10")</f>
        <v>0</v>
      </c>
      <c r="AG42" s="138">
        <f>SUMIFS(tbl_task9[S28],tbl_task9[[SubPLOs]:[SubPLOs]],"&gt;=9",tbl_task9[[SubPLOs]:[SubPLOs]],"&lt;10")</f>
        <v>0</v>
      </c>
      <c r="AH42" s="138">
        <f>SUMIFS(tbl_task9[S29],tbl_task9[[SubPLOs]:[SubPLOs]],"&gt;=9",tbl_task9[[SubPLOs]:[SubPLOs]],"&lt;10")</f>
        <v>0</v>
      </c>
      <c r="AI42" s="138">
        <f>SUMIFS(tbl_task9[S30],tbl_task9[[SubPLOs]:[SubPLOs]],"&gt;=9",tbl_task9[[SubPLOs]:[SubPLOs]],"&lt;10")</f>
        <v>0</v>
      </c>
      <c r="AJ42" s="138">
        <f>SUMIFS(tbl_task9[S31],tbl_task9[[SubPLOs]:[SubPLOs]],"&gt;=9",tbl_task9[[SubPLOs]:[SubPLOs]],"&lt;10")</f>
        <v>0</v>
      </c>
      <c r="AK42" s="138">
        <f>SUMIFS(tbl_task9[S32],tbl_task9[[SubPLOs]:[SubPLOs]],"&gt;=9",tbl_task9[[SubPLOs]:[SubPLOs]],"&lt;10")</f>
        <v>0</v>
      </c>
      <c r="AL42" s="138">
        <f>SUMIFS(tbl_task9[S33],tbl_task9[[SubPLOs]:[SubPLOs]],"&gt;=9",tbl_task9[[SubPLOs]:[SubPLOs]],"&lt;10")</f>
        <v>0</v>
      </c>
      <c r="AM42" s="138">
        <f>SUMIFS(tbl_task9[S34],tbl_task9[[SubPLOs]:[SubPLOs]],"&gt;=9",tbl_task9[[SubPLOs]:[SubPLOs]],"&lt;10")</f>
        <v>0</v>
      </c>
      <c r="AN42" s="138">
        <f>SUMIFS(tbl_task9[S35],tbl_task9[[SubPLOs]:[SubPLOs]],"&gt;=9",tbl_task9[[SubPLOs]:[SubPLOs]],"&lt;10")</f>
        <v>0</v>
      </c>
      <c r="AO42" s="138">
        <f>SUMIFS(tbl_task9[S36],tbl_task9[[SubPLOs]:[SubPLOs]],"&gt;=9",tbl_task9[[SubPLOs]:[SubPLOs]],"&lt;10")</f>
        <v>0</v>
      </c>
      <c r="AP42" s="138">
        <f>SUMIFS(tbl_task9[S37],tbl_task9[[SubPLOs]:[SubPLOs]],"&gt;=9",tbl_task9[[SubPLOs]:[SubPLOs]],"&lt;10")</f>
        <v>0</v>
      </c>
      <c r="AQ42" s="138">
        <f>SUMIFS(tbl_task9[S38],tbl_task9[[SubPLOs]:[SubPLOs]],"&gt;=9",tbl_task9[[SubPLOs]:[SubPLOs]],"&lt;10")</f>
        <v>0</v>
      </c>
      <c r="AR42" s="138">
        <f>SUMIFS(tbl_task9[S39],tbl_task9[[SubPLOs]:[SubPLOs]],"&gt;=9",tbl_task9[[SubPLOs]:[SubPLOs]],"&lt;10")</f>
        <v>0</v>
      </c>
      <c r="AS42" s="138">
        <f>SUMIFS(tbl_task9[S40],tbl_task9[[SubPLOs]:[SubPLOs]],"&gt;=9",tbl_task9[[SubPLOs]:[SubPLOs]],"&lt;10")</f>
        <v>0</v>
      </c>
      <c r="AT42" s="138">
        <f>SUMIFS(tbl_task9[S41],tbl_task9[[SubPLOs]:[SubPLOs]],"&gt;=9",tbl_task9[[SubPLOs]:[SubPLOs]],"&lt;10")</f>
        <v>0</v>
      </c>
      <c r="AU42" s="138">
        <f>SUMIFS(tbl_task9[S42],tbl_task9[[SubPLOs]:[SubPLOs]],"&gt;=9",tbl_task9[[SubPLOs]:[SubPLOs]],"&lt;10")</f>
        <v>0</v>
      </c>
      <c r="AV42" s="138">
        <f>SUMIFS(tbl_task9[S43],tbl_task9[[SubPLOs]:[SubPLOs]],"&gt;=9",tbl_task9[[SubPLOs]:[SubPLOs]],"&lt;10")</f>
        <v>0</v>
      </c>
      <c r="AW42" s="138">
        <f>SUMIFS(tbl_task9[S44],tbl_task9[[SubPLOs]:[SubPLOs]],"&gt;=9",tbl_task9[[SubPLOs]:[SubPLOs]],"&lt;10")</f>
        <v>0</v>
      </c>
      <c r="AX42" s="138">
        <f>SUMIFS(tbl_task9[S45],tbl_task9[[SubPLOs]:[SubPLOs]],"&gt;=9",tbl_task9[[SubPLOs]:[SubPLOs]],"&lt;10")</f>
        <v>0</v>
      </c>
      <c r="AY42" s="138">
        <f>SUMIFS(tbl_task9[S46],tbl_task9[[SubPLOs]:[SubPLOs]],"&gt;=9",tbl_task9[[SubPLOs]:[SubPLOs]],"&lt;10")</f>
        <v>0</v>
      </c>
      <c r="AZ42" s="138">
        <f>SUMIFS(tbl_task9[S47],tbl_task9[[SubPLOs]:[SubPLOs]],"&gt;=9",tbl_task9[[SubPLOs]:[SubPLOs]],"&lt;10")</f>
        <v>0</v>
      </c>
      <c r="BA42" s="138">
        <f>SUMIFS(tbl_task9[S48],tbl_task9[[SubPLOs]:[SubPLOs]],"&gt;=9",tbl_task9[[SubPLOs]:[SubPLOs]],"&lt;10")</f>
        <v>0</v>
      </c>
      <c r="BB42" s="138">
        <f>SUMIFS(tbl_task9[S49],tbl_task9[[SubPLOs]:[SubPLOs]],"&gt;=9",tbl_task9[[SubPLOs]:[SubPLOs]],"&lt;10")</f>
        <v>0</v>
      </c>
      <c r="BC42" s="138">
        <f>SUMIFS(tbl_task9[S50],tbl_task9[[SubPLOs]:[SubPLOs]],"&gt;=9",tbl_task9[[SubPLOs]:[SubPLOs]],"&lt;10")</f>
        <v>0</v>
      </c>
      <c r="BD42" s="138">
        <f>SUMIFS(tbl_task9[S51],tbl_task9[[SubPLOs]:[SubPLOs]],"&gt;=9",tbl_task9[[SubPLOs]:[SubPLOs]],"&lt;10")</f>
        <v>0</v>
      </c>
      <c r="BE42" s="138">
        <f>SUMIFS(tbl_task9[S52],tbl_task9[[SubPLOs]:[SubPLOs]],"&gt;=9",tbl_task9[[SubPLOs]:[SubPLOs]],"&lt;10")</f>
        <v>0</v>
      </c>
      <c r="BF42" s="138">
        <f>SUMIFS(tbl_task9[S53],tbl_task9[[SubPLOs]:[SubPLOs]],"&gt;=9",tbl_task9[[SubPLOs]:[SubPLOs]],"&lt;10")</f>
        <v>0</v>
      </c>
      <c r="BG42" s="138">
        <f>SUMIFS(tbl_task9[S54],tbl_task9[[SubPLOs]:[SubPLOs]],"&gt;=9",tbl_task9[[SubPLOs]:[SubPLOs]],"&lt;10")</f>
        <v>0</v>
      </c>
      <c r="BH42" s="138">
        <f>SUMIFS(tbl_task9[S55],tbl_task9[[SubPLOs]:[SubPLOs]],"&gt;=9",tbl_task9[[SubPLOs]:[SubPLOs]],"&lt;10")</f>
        <v>0</v>
      </c>
      <c r="BI42" s="138">
        <f>SUMIFS(tbl_task9[S56],tbl_task9[[SubPLOs]:[SubPLOs]],"&gt;=9",tbl_task9[[SubPLOs]:[SubPLOs]],"&lt;10")</f>
        <v>0</v>
      </c>
      <c r="BJ42" s="138">
        <f>SUMIFS(tbl_task9[S57],tbl_task9[[SubPLOs]:[SubPLOs]],"&gt;=9",tbl_task9[[SubPLOs]:[SubPLOs]],"&lt;10")</f>
        <v>0</v>
      </c>
      <c r="BK42" s="138">
        <f>SUMIFS(tbl_task9[S58],tbl_task9[[SubPLOs]:[SubPLOs]],"&gt;=9",tbl_task9[[SubPLOs]:[SubPLOs]],"&lt;10")</f>
        <v>0</v>
      </c>
      <c r="BL42" s="138">
        <f>SUMIFS(tbl_task9[S59],tbl_task9[[SubPLOs]:[SubPLOs]],"&gt;=9",tbl_task9[[SubPLOs]:[SubPLOs]],"&lt;10")</f>
        <v>0</v>
      </c>
      <c r="BM42" s="138">
        <f>SUMIFS(tbl_task9[S60],tbl_task9[[SubPLOs]:[SubPLOs]],"&gt;=9",tbl_task9[[SubPLOs]:[SubPLOs]],"&lt;10")</f>
        <v>0</v>
      </c>
      <c r="BN42" s="138">
        <f>SUMIFS(tbl_task9[S61],tbl_task9[[SubPLOs]:[SubPLOs]],"&gt;=9",tbl_task9[[SubPLOs]:[SubPLOs]],"&lt;10")</f>
        <v>0</v>
      </c>
      <c r="BO42" s="138">
        <f>SUMIFS(tbl_task9[S62],tbl_task9[[SubPLOs]:[SubPLOs]],"&gt;=9",tbl_task9[[SubPLOs]:[SubPLOs]],"&lt;10")</f>
        <v>0</v>
      </c>
      <c r="BP42" s="138">
        <f>SUMIFS(tbl_task9[S63],tbl_task9[[SubPLOs]:[SubPLOs]],"&gt;=9",tbl_task9[[SubPLOs]:[SubPLOs]],"&lt;10")</f>
        <v>0</v>
      </c>
      <c r="BQ42" s="138">
        <f>SUMIFS(tbl_task9[S64],tbl_task9[[SubPLOs]:[SubPLOs]],"&gt;=9",tbl_task9[[SubPLOs]:[SubPLOs]],"&lt;10")</f>
        <v>0</v>
      </c>
      <c r="BR42" s="138">
        <f>SUMIFS(tbl_task9[S65],tbl_task9[[SubPLOs]:[SubPLOs]],"&gt;=9",tbl_task9[[SubPLOs]:[SubPLOs]],"&lt;10")</f>
        <v>0</v>
      </c>
      <c r="BS42" s="138">
        <f>SUMIFS(tbl_task9[S66],tbl_task9[[SubPLOs]:[SubPLOs]],"&gt;=9",tbl_task9[[SubPLOs]:[SubPLOs]],"&lt;10")</f>
        <v>0</v>
      </c>
      <c r="BT42" s="138">
        <f>SUMIFS(tbl_task9[S67],tbl_task9[[SubPLOs]:[SubPLOs]],"&gt;=9",tbl_task9[[SubPLOs]:[SubPLOs]],"&lt;10")</f>
        <v>0</v>
      </c>
      <c r="BU42" s="138">
        <f>SUMIFS(tbl_task9[S68],tbl_task9[[SubPLOs]:[SubPLOs]],"&gt;=9",tbl_task9[[SubPLOs]:[SubPLOs]],"&lt;10")</f>
        <v>0</v>
      </c>
      <c r="BV42" s="138">
        <f>SUMIFS(tbl_task9[S69],tbl_task9[[SubPLOs]:[SubPLOs]],"&gt;=9",tbl_task9[[SubPLOs]:[SubPLOs]],"&lt;10")</f>
        <v>0</v>
      </c>
      <c r="BW42" s="138">
        <f>SUMIFS(tbl_task9[S70],tbl_task9[[SubPLOs]:[SubPLOs]],"&gt;=9",tbl_task9[[SubPLOs]:[SubPLOs]],"&lt;10")</f>
        <v>0</v>
      </c>
      <c r="BX42" s="138">
        <f>SUMIFS(tbl_task9[S71],tbl_task9[[SubPLOs]:[SubPLOs]],"&gt;=9",tbl_task9[[SubPLOs]:[SubPLOs]],"&lt;10")</f>
        <v>0</v>
      </c>
      <c r="BY42" s="138">
        <f>SUMIFS(tbl_task9[S72],tbl_task9[[SubPLOs]:[SubPLOs]],"&gt;=9",tbl_task9[[SubPLOs]:[SubPLOs]],"&lt;10")</f>
        <v>0</v>
      </c>
      <c r="BZ42" s="138">
        <f>SUMIFS(tbl_task9[S73],tbl_task9[[SubPLOs]:[SubPLOs]],"&gt;=9",tbl_task9[[SubPLOs]:[SubPLOs]],"&lt;10")</f>
        <v>0</v>
      </c>
      <c r="CA42" s="138">
        <f>SUMIFS(tbl_task9[S74],tbl_task9[[SubPLOs]:[SubPLOs]],"&gt;=9",tbl_task9[[SubPLOs]:[SubPLOs]],"&lt;10")</f>
        <v>0</v>
      </c>
      <c r="CB42" s="138">
        <f>SUMIFS(tbl_task9[S75],tbl_task9[[SubPLOs]:[SubPLOs]],"&gt;=9",tbl_task9[[SubPLOs]:[SubPLOs]],"&lt;10")</f>
        <v>0</v>
      </c>
      <c r="CC42" s="138">
        <f>SUMIFS(tbl_task9[S76],tbl_task9[[SubPLOs]:[SubPLOs]],"&gt;=9",tbl_task9[[SubPLOs]:[SubPLOs]],"&lt;10")</f>
        <v>0</v>
      </c>
      <c r="CD42" s="138">
        <f>SUMIFS(tbl_task9[S77],tbl_task9[[SubPLOs]:[SubPLOs]],"&gt;=9",tbl_task9[[SubPLOs]:[SubPLOs]],"&lt;10")</f>
        <v>0</v>
      </c>
      <c r="CE42" s="138">
        <f>SUMIFS(tbl_task9[S78],tbl_task9[[SubPLOs]:[SubPLOs]],"&gt;=9",tbl_task9[[SubPLOs]:[SubPLOs]],"&lt;10")</f>
        <v>0</v>
      </c>
      <c r="CF42" s="138">
        <f>SUMIFS(tbl_task9[S79],tbl_task9[[SubPLOs]:[SubPLOs]],"&gt;=9",tbl_task9[[SubPLOs]:[SubPLOs]],"&lt;10")</f>
        <v>0</v>
      </c>
      <c r="CG42" s="138">
        <f>SUMIFS(tbl_task9[S80],tbl_task9[[SubPLOs]:[SubPLOs]],"&gt;=9",tbl_task9[[SubPLOs]:[SubPLOs]],"&lt;10")</f>
        <v>0</v>
      </c>
      <c r="CH42" s="138">
        <f>SUMIFS(tbl_task9[S81],tbl_task9[[SubPLOs]:[SubPLOs]],"&gt;=9",tbl_task9[[SubPLOs]:[SubPLOs]],"&lt;10")</f>
        <v>0</v>
      </c>
      <c r="CI42" s="138">
        <f>SUMIFS(tbl_task9[S82],tbl_task9[[SubPLOs]:[SubPLOs]],"&gt;=9",tbl_task9[[SubPLOs]:[SubPLOs]],"&lt;10")</f>
        <v>0</v>
      </c>
      <c r="CJ42" s="138">
        <f>SUMIFS(tbl_task9[S83],tbl_task9[[SubPLOs]:[SubPLOs]],"&gt;=9",tbl_task9[[SubPLOs]:[SubPLOs]],"&lt;10")</f>
        <v>0</v>
      </c>
      <c r="CK42" s="138">
        <f>SUMIFS(tbl_task9[S84],tbl_task9[[SubPLOs]:[SubPLOs]],"&gt;=9",tbl_task9[[SubPLOs]:[SubPLOs]],"&lt;10")</f>
        <v>0</v>
      </c>
      <c r="CL42" s="138">
        <f>SUMIFS(tbl_task9[S85],tbl_task9[[SubPLOs]:[SubPLOs]],"&gt;=9",tbl_task9[[SubPLOs]:[SubPLOs]],"&lt;10")</f>
        <v>0</v>
      </c>
      <c r="CM42" s="138">
        <f>SUMIFS(tbl_task9[S86],tbl_task9[[SubPLOs]:[SubPLOs]],"&gt;=9",tbl_task9[[SubPLOs]:[SubPLOs]],"&lt;10")</f>
        <v>0</v>
      </c>
      <c r="CN42" s="138">
        <f>SUMIFS(tbl_task9[S87],tbl_task9[[SubPLOs]:[SubPLOs]],"&gt;=9",tbl_task9[[SubPLOs]:[SubPLOs]],"&lt;10")</f>
        <v>0</v>
      </c>
      <c r="CO42" s="138">
        <f>SUMIFS(tbl_task9[S88],tbl_task9[[SubPLOs]:[SubPLOs]],"&gt;=9",tbl_task9[[SubPLOs]:[SubPLOs]],"&lt;10")</f>
        <v>0</v>
      </c>
      <c r="CP42" s="138">
        <f>SUMIFS(tbl_task9[S89],tbl_task9[[SubPLOs]:[SubPLOs]],"&gt;=9",tbl_task9[[SubPLOs]:[SubPLOs]],"&lt;10")</f>
        <v>0</v>
      </c>
      <c r="CQ42" s="138">
        <f>SUMIFS(tbl_task9[S90],tbl_task9[[SubPLOs]:[SubPLOs]],"&gt;=9",tbl_task9[[SubPLOs]:[SubPLOs]],"&lt;10")</f>
        <v>0</v>
      </c>
      <c r="CR42" s="138">
        <f>SUMIFS(tbl_task9[S91],tbl_task9[[SubPLOs]:[SubPLOs]],"&gt;=9",tbl_task9[[SubPLOs]:[SubPLOs]],"&lt;10")</f>
        <v>0</v>
      </c>
      <c r="CS42" s="138">
        <f>SUMIFS(tbl_task9[S92],tbl_task9[[SubPLOs]:[SubPLOs]],"&gt;=9",tbl_task9[[SubPLOs]:[SubPLOs]],"&lt;10")</f>
        <v>0</v>
      </c>
      <c r="CT42" s="138">
        <f>SUMIFS(tbl_task9[S93],tbl_task9[[SubPLOs]:[SubPLOs]],"&gt;=9",tbl_task9[[SubPLOs]:[SubPLOs]],"&lt;10")</f>
        <v>0</v>
      </c>
      <c r="CU42" s="138">
        <f>SUMIFS(tbl_task9[S94],tbl_task9[[SubPLOs]:[SubPLOs]],"&gt;=9",tbl_task9[[SubPLOs]:[SubPLOs]],"&lt;10")</f>
        <v>0</v>
      </c>
      <c r="CV42" s="138">
        <f>SUMIFS(tbl_task9[S95],tbl_task9[[SubPLOs]:[SubPLOs]],"&gt;=9",tbl_task9[[SubPLOs]:[SubPLOs]],"&lt;10")</f>
        <v>0</v>
      </c>
      <c r="CW42" s="138">
        <f>SUMIFS(tbl_task9[S96],tbl_task9[[SubPLOs]:[SubPLOs]],"&gt;=9",tbl_task9[[SubPLOs]:[SubPLOs]],"&lt;10")</f>
        <v>0</v>
      </c>
      <c r="CX42" s="138">
        <f>SUMIFS(tbl_task9[S97],tbl_task9[[SubPLOs]:[SubPLOs]],"&gt;=9",tbl_task9[[SubPLOs]:[SubPLOs]],"&lt;10")</f>
        <v>0</v>
      </c>
      <c r="CY42" s="138">
        <f>SUMIFS(tbl_task9[S98],tbl_task9[[SubPLOs]:[SubPLOs]],"&gt;=9",tbl_task9[[SubPLOs]:[SubPLOs]],"&lt;10")</f>
        <v>0</v>
      </c>
      <c r="CZ42" s="138">
        <f>SUMIFS(tbl_task9[S99],tbl_task9[[SubPLOs]:[SubPLOs]],"&gt;=9",tbl_task9[[SubPLOs]:[SubPLOs]],"&lt;10")</f>
        <v>0</v>
      </c>
      <c r="DA42" s="138">
        <f>SUMIFS(tbl_task9[S100],tbl_task9[[SubPLOs]:[SubPLOs]],"&gt;=9",tbl_task9[[SubPLOs]:[SubPLOs]],"&lt;10")</f>
        <v>0</v>
      </c>
      <c r="DB42" s="138">
        <f>SUMIFS(tbl_task9[S101],tbl_task9[[SubPLOs]:[SubPLOs]],"&gt;=9",tbl_task9[[SubPLOs]:[SubPLOs]],"&lt;10")</f>
        <v>0</v>
      </c>
      <c r="DC42" s="138">
        <f>SUMIFS(tbl_task9[S102],tbl_task9[[SubPLOs]:[SubPLOs]],"&gt;=9",tbl_task9[[SubPLOs]:[SubPLOs]],"&lt;10")</f>
        <v>0</v>
      </c>
      <c r="DD42" s="138">
        <f>SUMIFS(tbl_task9[S103],tbl_task9[[SubPLOs]:[SubPLOs]],"&gt;=9",tbl_task9[[SubPLOs]:[SubPLOs]],"&lt;10")</f>
        <v>0</v>
      </c>
      <c r="DE42" s="138">
        <f>SUMIFS(tbl_task9[S104],tbl_task9[[SubPLOs]:[SubPLOs]],"&gt;=9",tbl_task9[[SubPLOs]:[SubPLOs]],"&lt;10")</f>
        <v>0</v>
      </c>
      <c r="DF42" s="138">
        <f>SUMIFS(tbl_task9[S105],tbl_task9[[SubPLOs]:[SubPLOs]],"&gt;=9",tbl_task9[[SubPLOs]:[SubPLOs]],"&lt;10")</f>
        <v>0</v>
      </c>
      <c r="DG42" s="138">
        <f>SUMIFS(tbl_task9[S106],tbl_task9[[SubPLOs]:[SubPLOs]],"&gt;=9",tbl_task9[[SubPLOs]:[SubPLOs]],"&lt;10")</f>
        <v>0</v>
      </c>
      <c r="DH42" s="138">
        <f>SUMIFS(tbl_task9[S106],tbl_task9[[SubPLOs]:[SubPLOs]],"&gt;=9",tbl_task9[[SubPLOs]:[SubPLOs]],"&lt;10")</f>
        <v>0</v>
      </c>
      <c r="DI42" s="138">
        <f>SUMIFS(tbl_task9[S108],tbl_task9[[SubPLOs]:[SubPLOs]],"&gt;=9",tbl_task9[[SubPLOs]:[SubPLOs]],"&lt;10")</f>
        <v>0</v>
      </c>
      <c r="DJ42" s="138">
        <f>SUMIFS(tbl_task9[S109],tbl_task9[[SubPLOs]:[SubPLOs]],"&gt;=9",tbl_task9[[SubPLOs]:[SubPLOs]],"&lt;10")</f>
        <v>0</v>
      </c>
      <c r="DK42" s="138">
        <f>SUMIFS(tbl_task9[S110],tbl_task9[[SubPLOs]:[SubPLOs]],"&gt;=9",tbl_task9[[SubPLOs]:[SubPLOs]],"&lt;10")</f>
        <v>0</v>
      </c>
      <c r="DL42" s="138">
        <f>SUMIFS(tbl_task9[S111],tbl_task9[[SubPLOs]:[SubPLOs]],"&gt;=9",tbl_task9[[SubPLOs]:[SubPLOs]],"&lt;10")</f>
        <v>0</v>
      </c>
      <c r="DM42" s="138">
        <f>SUMIFS(tbl_task9[S112],tbl_task9[[SubPLOs]:[SubPLOs]],"&gt;=9",tbl_task9[[SubPLOs]:[SubPLOs]],"&lt;10")</f>
        <v>0</v>
      </c>
      <c r="DN42" s="138">
        <f>SUMIFS(tbl_task9[S113],tbl_task9[[SubPLOs]:[SubPLOs]],"&gt;=9",tbl_task9[[SubPLOs]:[SubPLOs]],"&lt;10")</f>
        <v>0</v>
      </c>
      <c r="DO42" s="138">
        <f>SUMIFS(tbl_task9[S114],tbl_task9[[SubPLOs]:[SubPLOs]],"&gt;=9",tbl_task9[[SubPLOs]:[SubPLOs]],"&lt;10")</f>
        <v>0</v>
      </c>
      <c r="DP42" s="138">
        <f>SUMIFS(tbl_task9[S115],tbl_task9[[SubPLOs]:[SubPLOs]],"&gt;=9",tbl_task9[[SubPLOs]:[SubPLOs]],"&lt;10")</f>
        <v>0</v>
      </c>
      <c r="DQ42" s="138">
        <f>SUMIFS(tbl_task9[S116],tbl_task9[[SubPLOs]:[SubPLOs]],"&gt;=9",tbl_task9[[SubPLOs]:[SubPLOs]],"&lt;10")</f>
        <v>0</v>
      </c>
      <c r="DR42" s="138">
        <f>SUMIFS(tbl_task9[S117],tbl_task9[[SubPLOs]:[SubPLOs]],"&gt;=9",tbl_task9[[SubPLOs]:[SubPLOs]],"&lt;10")</f>
        <v>0</v>
      </c>
      <c r="DS42" s="138">
        <f>SUMIFS(tbl_task9[S118],tbl_task9[[SubPLOs]:[SubPLOs]],"&gt;=9",tbl_task9[[SubPLOs]:[SubPLOs]],"&lt;10")</f>
        <v>0</v>
      </c>
      <c r="DT42" s="138">
        <f>SUMIFS(tbl_task9[S119],tbl_task9[[SubPLOs]:[SubPLOs]],"&gt;=9",tbl_task9[[SubPLOs]:[SubPLOs]],"&lt;10")</f>
        <v>0</v>
      </c>
      <c r="DU42" s="138">
        <f>SUMIFS(tbl_task9[S120],tbl_task9[[SubPLOs]:[SubPLOs]],"&gt;=9",tbl_task9[[SubPLOs]:[SubPLOs]],"&lt;10")</f>
        <v>0</v>
      </c>
      <c r="DV42" s="138">
        <f>SUMIFS(tbl_task9[S121],tbl_task9[[SubPLOs]:[SubPLOs]],"&gt;=9",tbl_task9[[SubPLOs]:[SubPLOs]],"&lt;10")</f>
        <v>0</v>
      </c>
      <c r="DW42" s="138">
        <f>SUMIFS(tbl_task9[S122],tbl_task9[[SubPLOs]:[SubPLOs]],"&gt;=9",tbl_task9[[SubPLOs]:[SubPLOs]],"&lt;10")</f>
        <v>0</v>
      </c>
      <c r="DX42" s="138">
        <f>SUMIFS(tbl_task9[S123],tbl_task9[[SubPLOs]:[SubPLOs]],"&gt;=9",tbl_task9[[SubPLOs]:[SubPLOs]],"&lt;10")</f>
        <v>0</v>
      </c>
      <c r="DY42" s="138">
        <f>SUMIFS(tbl_task9[S124],tbl_task9[[SubPLOs]:[SubPLOs]],"&gt;=9",tbl_task9[[SubPLOs]:[SubPLOs]],"&lt;10")</f>
        <v>0</v>
      </c>
      <c r="DZ42" s="138">
        <f>SUMIFS(tbl_task9[S125],tbl_task9[[SubPLOs]:[SubPLOs]],"&gt;=9",tbl_task9[[SubPLOs]:[SubPLOs]],"&lt;10")</f>
        <v>0</v>
      </c>
      <c r="EA42" s="138">
        <f>SUMIFS(tbl_task9[S126],tbl_task9[[SubPLOs]:[SubPLOs]],"&gt;=9",tbl_task9[[SubPLOs]:[SubPLOs]],"&lt;10")</f>
        <v>0</v>
      </c>
      <c r="EB42" s="138">
        <f>SUMIFS(tbl_task9[S127],tbl_task9[[SubPLOs]:[SubPLOs]],"&gt;=9",tbl_task9[[SubPLOs]:[SubPLOs]],"&lt;10")</f>
        <v>0</v>
      </c>
      <c r="EC42" s="138">
        <f>SUMIFS(tbl_task9[S128],tbl_task9[[SubPLOs]:[SubPLOs]],"&gt;=9",tbl_task9[[SubPLOs]:[SubPLOs]],"&lt;10")</f>
        <v>0</v>
      </c>
      <c r="ED42" s="138">
        <f>SUMIFS(tbl_task9[S129],tbl_task9[[SubPLOs]:[SubPLOs]],"&gt;=9",tbl_task9[[SubPLOs]:[SubPLOs]],"&lt;10")</f>
        <v>0</v>
      </c>
      <c r="EE42" s="138">
        <f>SUMIFS(tbl_task9[S130],tbl_task9[[SubPLOs]:[SubPLOs]],"&gt;=9",tbl_task9[[SubPLOs]:[SubPLOs]],"&lt;10")</f>
        <v>0</v>
      </c>
      <c r="EF42" s="138">
        <f>SUMIFS(tbl_task9[S131],tbl_task9[[SubPLOs]:[SubPLOs]],"&gt;=9",tbl_task9[[SubPLOs]:[SubPLOs]],"&lt;10")</f>
        <v>0</v>
      </c>
      <c r="EG42" s="138">
        <f>SUMIFS(tbl_task9[S132],tbl_task9[[SubPLOs]:[SubPLOs]],"&gt;=9",tbl_task9[[SubPLOs]:[SubPLOs]],"&lt;10")</f>
        <v>0</v>
      </c>
      <c r="EH42" s="138">
        <f>SUMIFS(tbl_task9[S133],tbl_task9[[SubPLOs]:[SubPLOs]],"&gt;=9",tbl_task9[[SubPLOs]:[SubPLOs]],"&lt;10")</f>
        <v>0</v>
      </c>
      <c r="EI42" s="138">
        <f>SUMIFS(tbl_task9[S134],tbl_task9[[SubPLOs]:[SubPLOs]],"&gt;=9",tbl_task9[[SubPLOs]:[SubPLOs]],"&lt;10")</f>
        <v>0</v>
      </c>
      <c r="EJ42" s="138">
        <f>SUMIFS(tbl_task9[S135],tbl_task9[[SubPLOs]:[SubPLOs]],"&gt;=9",tbl_task9[[SubPLOs]:[SubPLOs]],"&lt;10")</f>
        <v>0</v>
      </c>
      <c r="EK42" s="138">
        <f>SUMIFS(tbl_task9[S136],tbl_task9[[SubPLOs]:[SubPLOs]],"&gt;=9",tbl_task9[[SubPLOs]:[SubPLOs]],"&lt;10")</f>
        <v>0</v>
      </c>
      <c r="EL42" s="138">
        <f>SUMIFS(tbl_task9[S137],tbl_task9[[SubPLOs]:[SubPLOs]],"&gt;=9",tbl_task9[[SubPLOs]:[SubPLOs]],"&lt;10")</f>
        <v>0</v>
      </c>
      <c r="EM42" s="138">
        <f>SUMIFS(tbl_task9[S138],tbl_task9[[SubPLOs]:[SubPLOs]],"&gt;=9",tbl_task9[[SubPLOs]:[SubPLOs]],"&lt;10")</f>
        <v>0</v>
      </c>
      <c r="EN42" s="138">
        <f>SUMIFS(tbl_task9[S139],tbl_task9[[SubPLOs]:[SubPLOs]],"&gt;=9",tbl_task9[[SubPLOs]:[SubPLOs]],"&lt;10")</f>
        <v>0</v>
      </c>
      <c r="EO42" s="138">
        <f>SUMIFS(tbl_task9[S140],tbl_task9[[SubPLOs]:[SubPLOs]],"&gt;=9",tbl_task9[[SubPLOs]:[SubPLOs]],"&lt;10")</f>
        <v>0</v>
      </c>
      <c r="EP42" s="138">
        <f>SUMIFS(tbl_task9[S141],tbl_task9[[SubPLOs]:[SubPLOs]],"&gt;=9",tbl_task9[[SubPLOs]:[SubPLOs]],"&lt;10")</f>
        <v>0</v>
      </c>
      <c r="EQ42" s="138">
        <f>SUMIFS(tbl_task9[S142],tbl_task9[[SubPLOs]:[SubPLOs]],"&gt;=9",tbl_task9[[SubPLOs]:[SubPLOs]],"&lt;10")</f>
        <v>0</v>
      </c>
      <c r="ER42" s="138">
        <f>SUMIFS(tbl_task9[S143],tbl_task9[[SubPLOs]:[SubPLOs]],"&gt;=9",tbl_task9[[SubPLOs]:[SubPLOs]],"&lt;10")</f>
        <v>0</v>
      </c>
      <c r="ES42" s="138">
        <f>SUMIFS(tbl_task9[S144],tbl_task9[[SubPLOs]:[SubPLOs]],"&gt;=9",tbl_task9[[SubPLOs]:[SubPLOs]],"&lt;10")</f>
        <v>0</v>
      </c>
      <c r="ET42" s="138">
        <f>SUMIFS(tbl_task9[S145],tbl_task9[[SubPLOs]:[SubPLOs]],"&gt;=9",tbl_task9[[SubPLOs]:[SubPLOs]],"&lt;10")</f>
        <v>0</v>
      </c>
      <c r="EU42" s="138">
        <f>SUMIFS(tbl_task9[S146],tbl_task9[[SubPLOs]:[SubPLOs]],"&gt;=9",tbl_task9[[SubPLOs]:[SubPLOs]],"&lt;10")</f>
        <v>0</v>
      </c>
      <c r="EV42" s="138">
        <f>SUMIFS(tbl_task9[S147],tbl_task9[[SubPLOs]:[SubPLOs]],"&gt;=9",tbl_task9[[SubPLOs]:[SubPLOs]],"&lt;10")</f>
        <v>0</v>
      </c>
      <c r="EW42" s="138">
        <f>SUMIFS(tbl_task9[S148],tbl_task9[[SubPLOs]:[SubPLOs]],"&gt;=9",tbl_task9[[SubPLOs]:[SubPLOs]],"&lt;10")</f>
        <v>0</v>
      </c>
      <c r="EX42" s="138">
        <f>SUMIFS(tbl_task9[S149],tbl_task9[[SubPLOs]:[SubPLOs]],"&gt;=9",tbl_task9[[SubPLOs]:[SubPLOs]],"&lt;10")</f>
        <v>0</v>
      </c>
      <c r="EY42" s="138">
        <f>SUMIFS(tbl_task9[S150],tbl_task9[[SubPLOs]:[SubPLOs]],"&gt;=9",tbl_task9[[SubPLOs]:[SubPLOs]],"&lt;10")</f>
        <v>0</v>
      </c>
      <c r="EZ42" s="138">
        <f>SUMIFS(tbl_task9[S151],tbl_task9[[SubPLOs]:[SubPLOs]],"&gt;=9",tbl_task9[[SubPLOs]:[SubPLOs]],"&lt;10")</f>
        <v>0</v>
      </c>
      <c r="FA42" s="138">
        <f>SUMIFS(tbl_task9[S152],tbl_task9[[SubPLOs]:[SubPLOs]],"&gt;=9",tbl_task9[[SubPLOs]:[SubPLOs]],"&lt;10")</f>
        <v>0</v>
      </c>
      <c r="FB42" s="138">
        <f>SUMIFS(tbl_task9[S153],tbl_task9[[SubPLOs]:[SubPLOs]],"&gt;=9",tbl_task9[[SubPLOs]:[SubPLOs]],"&lt;10")</f>
        <v>0</v>
      </c>
      <c r="FC42" s="138">
        <f>SUMIFS(tbl_task9[S154],tbl_task9[[SubPLOs]:[SubPLOs]],"&gt;=9",tbl_task9[[SubPLOs]:[SubPLOs]],"&lt;10")</f>
        <v>0</v>
      </c>
      <c r="FD42" s="138">
        <f>SUMIFS(tbl_task9[S155],tbl_task9[[SubPLOs]:[SubPLOs]],"&gt;=9",tbl_task9[[SubPLOs]:[SubPLOs]],"&lt;10")</f>
        <v>0</v>
      </c>
      <c r="FE42" s="138">
        <f>SUMIFS(tbl_task9[S156],tbl_task9[[SubPLOs]:[SubPLOs]],"&gt;=9",tbl_task9[[SubPLOs]:[SubPLOs]],"&lt;10")</f>
        <v>0</v>
      </c>
      <c r="FF42" s="138">
        <f>SUMIFS(tbl_task9[S157],tbl_task9[[SubPLOs]:[SubPLOs]],"&gt;=9",tbl_task9[[SubPLOs]:[SubPLOs]],"&lt;10")</f>
        <v>0</v>
      </c>
      <c r="FG42" s="138">
        <f>SUMIFS(tbl_task9[S158],tbl_task9[[SubPLOs]:[SubPLOs]],"&gt;=9",tbl_task9[[SubPLOs]:[SubPLOs]],"&lt;10")</f>
        <v>0</v>
      </c>
      <c r="FH42" s="138">
        <f>SUMIFS(tbl_task9[S159],tbl_task9[[SubPLOs]:[SubPLOs]],"&gt;=9",tbl_task9[[SubPLOs]:[SubPLOs]],"&lt;10")</f>
        <v>0</v>
      </c>
      <c r="FI42" s="138">
        <f>SUMIFS(tbl_task9[S160],tbl_task9[[SubPLOs]:[SubPLOs]],"&gt;=9",tbl_task9[[SubPLOs]:[SubPLOs]],"&lt;10")</f>
        <v>0</v>
      </c>
      <c r="FJ42" s="138">
        <f>SUMIFS(tbl_task9[S161],tbl_task9[[SubPLOs]:[SubPLOs]],"&gt;=9",tbl_task9[[SubPLOs]:[SubPLOs]],"&lt;10")</f>
        <v>0</v>
      </c>
      <c r="FK42" s="138">
        <f>SUMIFS(tbl_task9[S162],tbl_task9[[SubPLOs]:[SubPLOs]],"&gt;=9",tbl_task9[[SubPLOs]:[SubPLOs]],"&lt;10")</f>
        <v>0</v>
      </c>
      <c r="FL42" s="138">
        <f>SUMIFS(tbl_task9[S163],tbl_task9[[SubPLOs]:[SubPLOs]],"&gt;=9",tbl_task9[[SubPLOs]:[SubPLOs]],"&lt;10")</f>
        <v>0</v>
      </c>
      <c r="FM42" s="138">
        <f>SUMIFS(tbl_task9[S164],tbl_task9[[SubPLOs]:[SubPLOs]],"&gt;=9",tbl_task9[[SubPLOs]:[SubPLOs]],"&lt;10")</f>
        <v>0</v>
      </c>
      <c r="FN42" s="138">
        <f>SUMIFS(tbl_task9[S165],tbl_task9[[SubPLOs]:[SubPLOs]],"&gt;=9",tbl_task9[[SubPLOs]:[SubPLOs]],"&lt;10")</f>
        <v>0</v>
      </c>
    </row>
    <row r="43" spans="1:170" ht="63" x14ac:dyDescent="0.25">
      <c r="A43" s="135">
        <v>10</v>
      </c>
      <c r="B43" s="5" t="s">
        <v>443</v>
      </c>
      <c r="C43" s="136">
        <f>COUNTIFS(tbl_task9[SubPLOs],"&gt;=10",tbl_task9[SubPLOs],"&lt;11")</f>
        <v>0</v>
      </c>
      <c r="D43" s="136">
        <f>SUMIFS(tbl_task9[คะแนนเต็ม],tbl_task9[SubPLOs],"&gt;=10",tbl_task9[SubPLOs],"&lt;11")</f>
        <v>0</v>
      </c>
      <c r="E43" s="137">
        <f>SUMIFS(tbl_task9[%],tbl_task9[SubPLOs],"&gt;=10",tbl_task9[SubPLOs],"&lt;11")</f>
        <v>0</v>
      </c>
      <c r="F43" s="138">
        <f>SUMIFS(tbl_task9[S1],tbl_task9[[SubPLOs]:[SubPLOs]],"&gt;=10",tbl_task9[[SubPLOs]:[SubPLOs]],"&lt;11")</f>
        <v>0</v>
      </c>
      <c r="G43" s="138">
        <f>SUMIFS(tbl_task9[S2],tbl_task9[[SubPLOs]:[SubPLOs]],"&gt;=10",tbl_task9[[SubPLOs]:[SubPLOs]],"&lt;11")</f>
        <v>0</v>
      </c>
      <c r="H43" s="138">
        <f>SUMIFS(tbl_task9[S3],tbl_task9[[SubPLOs]:[SubPLOs]],"&gt;=10",tbl_task9[[SubPLOs]:[SubPLOs]],"&lt;11")</f>
        <v>0</v>
      </c>
      <c r="I43" s="138">
        <f>SUMIFS(tbl_task9[S4],tbl_task9[[SubPLOs]:[SubPLOs]],"&gt;=10",tbl_task9[[SubPLOs]:[SubPLOs]],"&lt;11")</f>
        <v>0</v>
      </c>
      <c r="J43" s="138">
        <f>SUMIFS(tbl_task9[S5],tbl_task9[[SubPLOs]:[SubPLOs]],"&gt;=10",tbl_task9[[SubPLOs]:[SubPLOs]],"&lt;11")</f>
        <v>0</v>
      </c>
      <c r="K43" s="138">
        <f>SUMIFS(tbl_task9[S6],tbl_task9[[SubPLOs]:[SubPLOs]],"&gt;=10",tbl_task9[[SubPLOs]:[SubPLOs]],"&lt;11")</f>
        <v>0</v>
      </c>
      <c r="L43" s="138">
        <f>SUMIFS(tbl_task9[S7],tbl_task9[[SubPLOs]:[SubPLOs]],"&gt;=10",tbl_task9[[SubPLOs]:[SubPLOs]],"&lt;11")</f>
        <v>0</v>
      </c>
      <c r="M43" s="138">
        <f>SUMIFS(tbl_task9[S8],tbl_task9[[SubPLOs]:[SubPLOs]],"&gt;=10",tbl_task9[[SubPLOs]:[SubPLOs]],"&lt;11")</f>
        <v>0</v>
      </c>
      <c r="N43" s="138">
        <f>SUMIFS(tbl_task9[S9],tbl_task9[[SubPLOs]:[SubPLOs]],"&gt;=10",tbl_task9[[SubPLOs]:[SubPLOs]],"&lt;11")</f>
        <v>0</v>
      </c>
      <c r="O43" s="138">
        <f>SUMIFS(tbl_task9[S10],tbl_task9[[SubPLOs]:[SubPLOs]],"&gt;=10",tbl_task9[[SubPLOs]:[SubPLOs]],"&lt;11")</f>
        <v>0</v>
      </c>
      <c r="P43" s="138">
        <f>SUMIFS(tbl_task9[S11],tbl_task9[[SubPLOs]:[SubPLOs]],"&gt;=10",tbl_task9[[SubPLOs]:[SubPLOs]],"&lt;11")</f>
        <v>0</v>
      </c>
      <c r="Q43" s="138">
        <f>SUMIFS(tbl_task9[S12],tbl_task9[[SubPLOs]:[SubPLOs]],"&gt;=10",tbl_task9[[SubPLOs]:[SubPLOs]],"&lt;11")</f>
        <v>0</v>
      </c>
      <c r="R43" s="138">
        <f>SUMIFS(tbl_task9[S13],tbl_task9[[SubPLOs]:[SubPLOs]],"&gt;=10",tbl_task9[[SubPLOs]:[SubPLOs]],"&lt;11")</f>
        <v>0</v>
      </c>
      <c r="S43" s="138">
        <f>SUMIFS(tbl_task9[S14],tbl_task9[[SubPLOs]:[SubPLOs]],"&gt;=10",tbl_task9[[SubPLOs]:[SubPLOs]],"&lt;11")</f>
        <v>0</v>
      </c>
      <c r="T43" s="138">
        <f>SUMIFS(tbl_task9[S15],tbl_task9[[SubPLOs]:[SubPLOs]],"&gt;=10",tbl_task9[[SubPLOs]:[SubPLOs]],"&lt;11")</f>
        <v>0</v>
      </c>
      <c r="U43" s="138">
        <f>SUMIFS(tbl_task9[S16],tbl_task9[[SubPLOs]:[SubPLOs]],"&gt;=10",tbl_task9[[SubPLOs]:[SubPLOs]],"&lt;11")</f>
        <v>0</v>
      </c>
      <c r="V43" s="138">
        <f>SUMIFS(tbl_task9[S17],tbl_task9[[SubPLOs]:[SubPLOs]],"&gt;=10",tbl_task9[[SubPLOs]:[SubPLOs]],"&lt;11")</f>
        <v>0</v>
      </c>
      <c r="W43" s="138">
        <f>SUMIFS(tbl_task9[S18],tbl_task9[[SubPLOs]:[SubPLOs]],"&gt;=10",tbl_task9[[SubPLOs]:[SubPLOs]],"&lt;11")</f>
        <v>0</v>
      </c>
      <c r="X43" s="138">
        <f>SUMIFS(tbl_task9[S19],tbl_task9[[SubPLOs]:[SubPLOs]],"&gt;=10",tbl_task9[[SubPLOs]:[SubPLOs]],"&lt;11")</f>
        <v>0</v>
      </c>
      <c r="Y43" s="138">
        <f>SUMIFS(tbl_task9[S20],tbl_task9[[SubPLOs]:[SubPLOs]],"&gt;=10",tbl_task9[[SubPLOs]:[SubPLOs]],"&lt;11")</f>
        <v>0</v>
      </c>
      <c r="Z43" s="138">
        <f>SUMIFS(tbl_task9[S21],tbl_task9[[SubPLOs]:[SubPLOs]],"&gt;=10",tbl_task9[[SubPLOs]:[SubPLOs]],"&lt;11")</f>
        <v>0</v>
      </c>
      <c r="AA43" s="138">
        <f>SUMIFS(tbl_task9[S22],tbl_task9[[SubPLOs]:[SubPLOs]],"&gt;=10",tbl_task9[[SubPLOs]:[SubPLOs]],"&lt;11")</f>
        <v>0</v>
      </c>
      <c r="AB43" s="138">
        <f>SUMIFS(tbl_task9[S23],tbl_task9[[SubPLOs]:[SubPLOs]],"&gt;=10",tbl_task9[[SubPLOs]:[SubPLOs]],"&lt;11")</f>
        <v>0</v>
      </c>
      <c r="AC43" s="138">
        <f>SUMIFS(tbl_task9[S24],tbl_task9[[SubPLOs]:[SubPLOs]],"&gt;=10",tbl_task9[[SubPLOs]:[SubPLOs]],"&lt;11")</f>
        <v>0</v>
      </c>
      <c r="AD43" s="138">
        <f>SUMIFS(tbl_task9[S25],tbl_task9[[SubPLOs]:[SubPLOs]],"&gt;=10",tbl_task9[[SubPLOs]:[SubPLOs]],"&lt;11")</f>
        <v>0</v>
      </c>
      <c r="AE43" s="138">
        <f>SUMIFS(tbl_task9[S26],tbl_task9[[SubPLOs]:[SubPLOs]],"&gt;=10",tbl_task9[[SubPLOs]:[SubPLOs]],"&lt;11")</f>
        <v>0</v>
      </c>
      <c r="AF43" s="138">
        <f>SUMIFS(tbl_task9[S27],tbl_task9[[SubPLOs]:[SubPLOs]],"&gt;=10",tbl_task9[[SubPLOs]:[SubPLOs]],"&lt;11")</f>
        <v>0</v>
      </c>
      <c r="AG43" s="138">
        <f>SUMIFS(tbl_task9[S28],tbl_task9[[SubPLOs]:[SubPLOs]],"&gt;=10",tbl_task9[[SubPLOs]:[SubPLOs]],"&lt;11")</f>
        <v>0</v>
      </c>
      <c r="AH43" s="138">
        <f>SUMIFS(tbl_task9[S29],tbl_task9[[SubPLOs]:[SubPLOs]],"&gt;=10",tbl_task9[[SubPLOs]:[SubPLOs]],"&lt;11")</f>
        <v>0</v>
      </c>
      <c r="AI43" s="138">
        <f>SUMIFS(tbl_task9[S30],tbl_task9[[SubPLOs]:[SubPLOs]],"&gt;=10",tbl_task9[[SubPLOs]:[SubPLOs]],"&lt;11")</f>
        <v>0</v>
      </c>
      <c r="AJ43" s="138">
        <f>SUMIFS(tbl_task9[S31],tbl_task9[[SubPLOs]:[SubPLOs]],"&gt;=10",tbl_task9[[SubPLOs]:[SubPLOs]],"&lt;11")</f>
        <v>0</v>
      </c>
      <c r="AK43" s="138">
        <f>SUMIFS(tbl_task9[S32],tbl_task9[[SubPLOs]:[SubPLOs]],"&gt;=10",tbl_task9[[SubPLOs]:[SubPLOs]],"&lt;11")</f>
        <v>0</v>
      </c>
      <c r="AL43" s="138">
        <f>SUMIFS(tbl_task9[S33],tbl_task9[[SubPLOs]:[SubPLOs]],"&gt;=10",tbl_task9[[SubPLOs]:[SubPLOs]],"&lt;11")</f>
        <v>0</v>
      </c>
      <c r="AM43" s="138">
        <f>SUMIFS(tbl_task9[S34],tbl_task9[[SubPLOs]:[SubPLOs]],"&gt;=10",tbl_task9[[SubPLOs]:[SubPLOs]],"&lt;11")</f>
        <v>0</v>
      </c>
      <c r="AN43" s="138">
        <f>SUMIFS(tbl_task9[S35],tbl_task9[[SubPLOs]:[SubPLOs]],"&gt;=10",tbl_task9[[SubPLOs]:[SubPLOs]],"&lt;11")</f>
        <v>0</v>
      </c>
      <c r="AO43" s="138">
        <f>SUMIFS(tbl_task9[S36],tbl_task9[[SubPLOs]:[SubPLOs]],"&gt;=10",tbl_task9[[SubPLOs]:[SubPLOs]],"&lt;11")</f>
        <v>0</v>
      </c>
      <c r="AP43" s="138">
        <f>SUMIFS(tbl_task9[S37],tbl_task9[[SubPLOs]:[SubPLOs]],"&gt;=10",tbl_task9[[SubPLOs]:[SubPLOs]],"&lt;11")</f>
        <v>0</v>
      </c>
      <c r="AQ43" s="138">
        <f>SUMIFS(tbl_task9[S38],tbl_task9[[SubPLOs]:[SubPLOs]],"&gt;=10",tbl_task9[[SubPLOs]:[SubPLOs]],"&lt;11")</f>
        <v>0</v>
      </c>
      <c r="AR43" s="138">
        <f>SUMIFS(tbl_task9[S39],tbl_task9[[SubPLOs]:[SubPLOs]],"&gt;=10",tbl_task9[[SubPLOs]:[SubPLOs]],"&lt;11")</f>
        <v>0</v>
      </c>
      <c r="AS43" s="138">
        <f>SUMIFS(tbl_task9[S40],tbl_task9[[SubPLOs]:[SubPLOs]],"&gt;=10",tbl_task9[[SubPLOs]:[SubPLOs]],"&lt;11")</f>
        <v>0</v>
      </c>
      <c r="AT43" s="138">
        <f>SUMIFS(tbl_task9[S41],tbl_task9[[SubPLOs]:[SubPLOs]],"&gt;=10",tbl_task9[[SubPLOs]:[SubPLOs]],"&lt;11")</f>
        <v>0</v>
      </c>
      <c r="AU43" s="138">
        <f>SUMIFS(tbl_task9[S42],tbl_task9[[SubPLOs]:[SubPLOs]],"&gt;=10",tbl_task9[[SubPLOs]:[SubPLOs]],"&lt;11")</f>
        <v>0</v>
      </c>
      <c r="AV43" s="138">
        <f>SUMIFS(tbl_task9[S43],tbl_task9[[SubPLOs]:[SubPLOs]],"&gt;=10",tbl_task9[[SubPLOs]:[SubPLOs]],"&lt;11")</f>
        <v>0</v>
      </c>
      <c r="AW43" s="138">
        <f>SUMIFS(tbl_task9[S44],tbl_task9[[SubPLOs]:[SubPLOs]],"&gt;=10",tbl_task9[[SubPLOs]:[SubPLOs]],"&lt;11")</f>
        <v>0</v>
      </c>
      <c r="AX43" s="138">
        <f>SUMIFS(tbl_task9[S45],tbl_task9[[SubPLOs]:[SubPLOs]],"&gt;=10",tbl_task9[[SubPLOs]:[SubPLOs]],"&lt;11")</f>
        <v>0</v>
      </c>
      <c r="AY43" s="138">
        <f>SUMIFS(tbl_task9[S46],tbl_task9[[SubPLOs]:[SubPLOs]],"&gt;=10",tbl_task9[[SubPLOs]:[SubPLOs]],"&lt;11")</f>
        <v>0</v>
      </c>
      <c r="AZ43" s="138">
        <f>SUMIFS(tbl_task9[S47],tbl_task9[[SubPLOs]:[SubPLOs]],"&gt;=10",tbl_task9[[SubPLOs]:[SubPLOs]],"&lt;11")</f>
        <v>0</v>
      </c>
      <c r="BA43" s="138">
        <f>SUMIFS(tbl_task9[S48],tbl_task9[[SubPLOs]:[SubPLOs]],"&gt;=10",tbl_task9[[SubPLOs]:[SubPLOs]],"&lt;11")</f>
        <v>0</v>
      </c>
      <c r="BB43" s="138">
        <f>SUMIFS(tbl_task9[S49],tbl_task9[[SubPLOs]:[SubPLOs]],"&gt;=10",tbl_task9[[SubPLOs]:[SubPLOs]],"&lt;11")</f>
        <v>0</v>
      </c>
      <c r="BC43" s="138">
        <f>SUMIFS(tbl_task9[S50],tbl_task9[[SubPLOs]:[SubPLOs]],"&gt;=10",tbl_task9[[SubPLOs]:[SubPLOs]],"&lt;11")</f>
        <v>0</v>
      </c>
      <c r="BD43" s="138">
        <f>SUMIFS(tbl_task9[S51],tbl_task9[[SubPLOs]:[SubPLOs]],"&gt;=10",tbl_task9[[SubPLOs]:[SubPLOs]],"&lt;11")</f>
        <v>0</v>
      </c>
      <c r="BE43" s="138">
        <f>SUMIFS(tbl_task9[S52],tbl_task9[[SubPLOs]:[SubPLOs]],"&gt;=10",tbl_task9[[SubPLOs]:[SubPLOs]],"&lt;11")</f>
        <v>0</v>
      </c>
      <c r="BF43" s="138">
        <f>SUMIFS(tbl_task9[S53],tbl_task9[[SubPLOs]:[SubPLOs]],"&gt;=10",tbl_task9[[SubPLOs]:[SubPLOs]],"&lt;11")</f>
        <v>0</v>
      </c>
      <c r="BG43" s="138">
        <f>SUMIFS(tbl_task9[S54],tbl_task9[[SubPLOs]:[SubPLOs]],"&gt;=10",tbl_task9[[SubPLOs]:[SubPLOs]],"&lt;11")</f>
        <v>0</v>
      </c>
      <c r="BH43" s="138">
        <f>SUMIFS(tbl_task9[S55],tbl_task9[[SubPLOs]:[SubPLOs]],"&gt;=10",tbl_task9[[SubPLOs]:[SubPLOs]],"&lt;11")</f>
        <v>0</v>
      </c>
      <c r="BI43" s="138">
        <f>SUMIFS(tbl_task9[S56],tbl_task9[[SubPLOs]:[SubPLOs]],"&gt;=10",tbl_task9[[SubPLOs]:[SubPLOs]],"&lt;11")</f>
        <v>0</v>
      </c>
      <c r="BJ43" s="138">
        <f>SUMIFS(tbl_task9[S57],tbl_task9[[SubPLOs]:[SubPLOs]],"&gt;=10",tbl_task9[[SubPLOs]:[SubPLOs]],"&lt;11")</f>
        <v>0</v>
      </c>
      <c r="BK43" s="138">
        <f>SUMIFS(tbl_task9[S58],tbl_task9[[SubPLOs]:[SubPLOs]],"&gt;=10",tbl_task9[[SubPLOs]:[SubPLOs]],"&lt;11")</f>
        <v>0</v>
      </c>
      <c r="BL43" s="138">
        <f>SUMIFS(tbl_task9[S59],tbl_task9[[SubPLOs]:[SubPLOs]],"&gt;=10",tbl_task9[[SubPLOs]:[SubPLOs]],"&lt;11")</f>
        <v>0</v>
      </c>
      <c r="BM43" s="138">
        <f>SUMIFS(tbl_task9[S60],tbl_task9[[SubPLOs]:[SubPLOs]],"&gt;=10",tbl_task9[[SubPLOs]:[SubPLOs]],"&lt;11")</f>
        <v>0</v>
      </c>
      <c r="BN43" s="138">
        <f>SUMIFS(tbl_task9[S61],tbl_task9[[SubPLOs]:[SubPLOs]],"&gt;=10",tbl_task9[[SubPLOs]:[SubPLOs]],"&lt;11")</f>
        <v>0</v>
      </c>
      <c r="BO43" s="138">
        <f>SUMIFS(tbl_task9[S62],tbl_task9[[SubPLOs]:[SubPLOs]],"&gt;=10",tbl_task9[[SubPLOs]:[SubPLOs]],"&lt;11")</f>
        <v>0</v>
      </c>
      <c r="BP43" s="138">
        <f>SUMIFS(tbl_task9[S63],tbl_task9[[SubPLOs]:[SubPLOs]],"&gt;=10",tbl_task9[[SubPLOs]:[SubPLOs]],"&lt;11")</f>
        <v>0</v>
      </c>
      <c r="BQ43" s="138">
        <f>SUMIFS(tbl_task9[S64],tbl_task9[[SubPLOs]:[SubPLOs]],"&gt;=10",tbl_task9[[SubPLOs]:[SubPLOs]],"&lt;11")</f>
        <v>0</v>
      </c>
      <c r="BR43" s="138">
        <f>SUMIFS(tbl_task9[S65],tbl_task9[[SubPLOs]:[SubPLOs]],"&gt;=10",tbl_task9[[SubPLOs]:[SubPLOs]],"&lt;11")</f>
        <v>0</v>
      </c>
      <c r="BS43" s="138">
        <f>SUMIFS(tbl_task9[S66],tbl_task9[[SubPLOs]:[SubPLOs]],"&gt;=10",tbl_task9[[SubPLOs]:[SubPLOs]],"&lt;11")</f>
        <v>0</v>
      </c>
      <c r="BT43" s="138">
        <f>SUMIFS(tbl_task9[S67],tbl_task9[[SubPLOs]:[SubPLOs]],"&gt;=10",tbl_task9[[SubPLOs]:[SubPLOs]],"&lt;11")</f>
        <v>0</v>
      </c>
      <c r="BU43" s="138">
        <f>SUMIFS(tbl_task9[S68],tbl_task9[[SubPLOs]:[SubPLOs]],"&gt;=10",tbl_task9[[SubPLOs]:[SubPLOs]],"&lt;11")</f>
        <v>0</v>
      </c>
      <c r="BV43" s="138">
        <f>SUMIFS(tbl_task9[S69],tbl_task9[[SubPLOs]:[SubPLOs]],"&gt;=10",tbl_task9[[SubPLOs]:[SubPLOs]],"&lt;11")</f>
        <v>0</v>
      </c>
      <c r="BW43" s="138">
        <f>SUMIFS(tbl_task9[S70],tbl_task9[[SubPLOs]:[SubPLOs]],"&gt;=10",tbl_task9[[SubPLOs]:[SubPLOs]],"&lt;11")</f>
        <v>0</v>
      </c>
      <c r="BX43" s="138">
        <f>SUMIFS(tbl_task9[S71],tbl_task9[[SubPLOs]:[SubPLOs]],"&gt;=10",tbl_task9[[SubPLOs]:[SubPLOs]],"&lt;11")</f>
        <v>0</v>
      </c>
      <c r="BY43" s="138">
        <f>SUMIFS(tbl_task9[S72],tbl_task9[[SubPLOs]:[SubPLOs]],"&gt;=10",tbl_task9[[SubPLOs]:[SubPLOs]],"&lt;11")</f>
        <v>0</v>
      </c>
      <c r="BZ43" s="138">
        <f>SUMIFS(tbl_task9[S73],tbl_task9[[SubPLOs]:[SubPLOs]],"&gt;=10",tbl_task9[[SubPLOs]:[SubPLOs]],"&lt;11")</f>
        <v>0</v>
      </c>
      <c r="CA43" s="138">
        <f>SUMIFS(tbl_task9[S74],tbl_task9[[SubPLOs]:[SubPLOs]],"&gt;=10",tbl_task9[[SubPLOs]:[SubPLOs]],"&lt;11")</f>
        <v>0</v>
      </c>
      <c r="CB43" s="138">
        <f>SUMIFS(tbl_task9[S75],tbl_task9[[SubPLOs]:[SubPLOs]],"&gt;=10",tbl_task9[[SubPLOs]:[SubPLOs]],"&lt;11")</f>
        <v>0</v>
      </c>
      <c r="CC43" s="138">
        <f>SUMIFS(tbl_task9[S76],tbl_task9[[SubPLOs]:[SubPLOs]],"&gt;=10",tbl_task9[[SubPLOs]:[SubPLOs]],"&lt;11")</f>
        <v>0</v>
      </c>
      <c r="CD43" s="138">
        <f>SUMIFS(tbl_task9[S77],tbl_task9[[SubPLOs]:[SubPLOs]],"&gt;=10",tbl_task9[[SubPLOs]:[SubPLOs]],"&lt;11")</f>
        <v>0</v>
      </c>
      <c r="CE43" s="138">
        <f>SUMIFS(tbl_task9[S78],tbl_task9[[SubPLOs]:[SubPLOs]],"&gt;=10",tbl_task9[[SubPLOs]:[SubPLOs]],"&lt;11")</f>
        <v>0</v>
      </c>
      <c r="CF43" s="138">
        <f>SUMIFS(tbl_task9[S79],tbl_task9[[SubPLOs]:[SubPLOs]],"&gt;=10",tbl_task9[[SubPLOs]:[SubPLOs]],"&lt;11")</f>
        <v>0</v>
      </c>
      <c r="CG43" s="138">
        <f>SUMIFS(tbl_task9[S80],tbl_task9[[SubPLOs]:[SubPLOs]],"&gt;=10",tbl_task9[[SubPLOs]:[SubPLOs]],"&lt;11")</f>
        <v>0</v>
      </c>
      <c r="CH43" s="138">
        <f>SUMIFS(tbl_task9[S81],tbl_task9[[SubPLOs]:[SubPLOs]],"&gt;=10",tbl_task9[[SubPLOs]:[SubPLOs]],"&lt;11")</f>
        <v>0</v>
      </c>
      <c r="CI43" s="138">
        <f>SUMIFS(tbl_task9[S82],tbl_task9[[SubPLOs]:[SubPLOs]],"&gt;=10",tbl_task9[[SubPLOs]:[SubPLOs]],"&lt;11")</f>
        <v>0</v>
      </c>
      <c r="CJ43" s="138">
        <f>SUMIFS(tbl_task9[S83],tbl_task9[[SubPLOs]:[SubPLOs]],"&gt;=10",tbl_task9[[SubPLOs]:[SubPLOs]],"&lt;11")</f>
        <v>0</v>
      </c>
      <c r="CK43" s="138">
        <f>SUMIFS(tbl_task9[S84],tbl_task9[[SubPLOs]:[SubPLOs]],"&gt;=10",tbl_task9[[SubPLOs]:[SubPLOs]],"&lt;11")</f>
        <v>0</v>
      </c>
      <c r="CL43" s="138">
        <f>SUMIFS(tbl_task9[S85],tbl_task9[[SubPLOs]:[SubPLOs]],"&gt;=10",tbl_task9[[SubPLOs]:[SubPLOs]],"&lt;11")</f>
        <v>0</v>
      </c>
      <c r="CM43" s="138">
        <f>SUMIFS(tbl_task9[S86],tbl_task9[[SubPLOs]:[SubPLOs]],"&gt;=10",tbl_task9[[SubPLOs]:[SubPLOs]],"&lt;11")</f>
        <v>0</v>
      </c>
      <c r="CN43" s="138">
        <f>SUMIFS(tbl_task9[S87],tbl_task9[[SubPLOs]:[SubPLOs]],"&gt;=10",tbl_task9[[SubPLOs]:[SubPLOs]],"&lt;11")</f>
        <v>0</v>
      </c>
      <c r="CO43" s="138">
        <f>SUMIFS(tbl_task9[S88],tbl_task9[[SubPLOs]:[SubPLOs]],"&gt;=10",tbl_task9[[SubPLOs]:[SubPLOs]],"&lt;11")</f>
        <v>0</v>
      </c>
      <c r="CP43" s="138">
        <f>SUMIFS(tbl_task9[S89],tbl_task9[[SubPLOs]:[SubPLOs]],"&gt;=10",tbl_task9[[SubPLOs]:[SubPLOs]],"&lt;11")</f>
        <v>0</v>
      </c>
      <c r="CQ43" s="138">
        <f>SUMIFS(tbl_task9[S90],tbl_task9[[SubPLOs]:[SubPLOs]],"&gt;=10",tbl_task9[[SubPLOs]:[SubPLOs]],"&lt;11")</f>
        <v>0</v>
      </c>
      <c r="CR43" s="138">
        <f>SUMIFS(tbl_task9[S91],tbl_task9[[SubPLOs]:[SubPLOs]],"&gt;=10",tbl_task9[[SubPLOs]:[SubPLOs]],"&lt;11")</f>
        <v>0</v>
      </c>
      <c r="CS43" s="138">
        <f>SUMIFS(tbl_task9[S92],tbl_task9[[SubPLOs]:[SubPLOs]],"&gt;=10",tbl_task9[[SubPLOs]:[SubPLOs]],"&lt;11")</f>
        <v>0</v>
      </c>
      <c r="CT43" s="138">
        <f>SUMIFS(tbl_task9[S93],tbl_task9[[SubPLOs]:[SubPLOs]],"&gt;=10",tbl_task9[[SubPLOs]:[SubPLOs]],"&lt;11")</f>
        <v>0</v>
      </c>
      <c r="CU43" s="138">
        <f>SUMIFS(tbl_task9[S94],tbl_task9[[SubPLOs]:[SubPLOs]],"&gt;=10",tbl_task9[[SubPLOs]:[SubPLOs]],"&lt;11")</f>
        <v>0</v>
      </c>
      <c r="CV43" s="138">
        <f>SUMIFS(tbl_task9[S95],tbl_task9[[SubPLOs]:[SubPLOs]],"&gt;=10",tbl_task9[[SubPLOs]:[SubPLOs]],"&lt;11")</f>
        <v>0</v>
      </c>
      <c r="CW43" s="138">
        <f>SUMIFS(tbl_task9[S96],tbl_task9[[SubPLOs]:[SubPLOs]],"&gt;=10",tbl_task9[[SubPLOs]:[SubPLOs]],"&lt;11")</f>
        <v>0</v>
      </c>
      <c r="CX43" s="138">
        <f>SUMIFS(tbl_task9[S97],tbl_task9[[SubPLOs]:[SubPLOs]],"&gt;=10",tbl_task9[[SubPLOs]:[SubPLOs]],"&lt;11")</f>
        <v>0</v>
      </c>
      <c r="CY43" s="138">
        <f>SUMIFS(tbl_task9[S98],tbl_task9[[SubPLOs]:[SubPLOs]],"&gt;=10",tbl_task9[[SubPLOs]:[SubPLOs]],"&lt;11")</f>
        <v>0</v>
      </c>
      <c r="CZ43" s="138">
        <f>SUMIFS(tbl_task9[S99],tbl_task9[[SubPLOs]:[SubPLOs]],"&gt;=10",tbl_task9[[SubPLOs]:[SubPLOs]],"&lt;11")</f>
        <v>0</v>
      </c>
      <c r="DA43" s="138">
        <f>SUMIFS(tbl_task9[S100],tbl_task9[[SubPLOs]:[SubPLOs]],"&gt;=10",tbl_task9[[SubPLOs]:[SubPLOs]],"&lt;11")</f>
        <v>0</v>
      </c>
      <c r="DB43" s="138">
        <f>SUMIFS(tbl_task9[S101],tbl_task9[[SubPLOs]:[SubPLOs]],"&gt;=10",tbl_task9[[SubPLOs]:[SubPLOs]],"&lt;11")</f>
        <v>0</v>
      </c>
      <c r="DC43" s="138">
        <f>SUMIFS(tbl_task9[S102],tbl_task9[[SubPLOs]:[SubPLOs]],"&gt;=10",tbl_task9[[SubPLOs]:[SubPLOs]],"&lt;11")</f>
        <v>0</v>
      </c>
      <c r="DD43" s="138">
        <f>SUMIFS(tbl_task9[S103],tbl_task9[[SubPLOs]:[SubPLOs]],"&gt;=10",tbl_task9[[SubPLOs]:[SubPLOs]],"&lt;11")</f>
        <v>0</v>
      </c>
      <c r="DE43" s="138">
        <f>SUMIFS(tbl_task9[S104],tbl_task9[[SubPLOs]:[SubPLOs]],"&gt;=10",tbl_task9[[SubPLOs]:[SubPLOs]],"&lt;11")</f>
        <v>0</v>
      </c>
      <c r="DF43" s="138">
        <f>SUMIFS(tbl_task9[S105],tbl_task9[[SubPLOs]:[SubPLOs]],"&gt;=10",tbl_task9[[SubPLOs]:[SubPLOs]],"&lt;11")</f>
        <v>0</v>
      </c>
      <c r="DG43" s="138">
        <f>SUMIFS(tbl_task9[S106],tbl_task9[[SubPLOs]:[SubPLOs]],"&gt;=10",tbl_task9[[SubPLOs]:[SubPLOs]],"&lt;11")</f>
        <v>0</v>
      </c>
      <c r="DH43" s="138">
        <f>SUMIFS(tbl_task9[S106],tbl_task9[[SubPLOs]:[SubPLOs]],"&gt;=10",tbl_task9[[SubPLOs]:[SubPLOs]],"&lt;11")</f>
        <v>0</v>
      </c>
      <c r="DI43" s="138">
        <f>SUMIFS(tbl_task9[S108],tbl_task9[[SubPLOs]:[SubPLOs]],"&gt;=10",tbl_task9[[SubPLOs]:[SubPLOs]],"&lt;11")</f>
        <v>0</v>
      </c>
      <c r="DJ43" s="138">
        <f>SUMIFS(tbl_task9[S109],tbl_task9[[SubPLOs]:[SubPLOs]],"&gt;=10",tbl_task9[[SubPLOs]:[SubPLOs]],"&lt;11")</f>
        <v>0</v>
      </c>
      <c r="DK43" s="138">
        <f>SUMIFS(tbl_task9[S110],tbl_task9[[SubPLOs]:[SubPLOs]],"&gt;=10",tbl_task9[[SubPLOs]:[SubPLOs]],"&lt;11")</f>
        <v>0</v>
      </c>
      <c r="DL43" s="138">
        <f>SUMIFS(tbl_task9[S111],tbl_task9[[SubPLOs]:[SubPLOs]],"&gt;=10",tbl_task9[[SubPLOs]:[SubPLOs]],"&lt;11")</f>
        <v>0</v>
      </c>
      <c r="DM43" s="138">
        <f>SUMIFS(tbl_task9[S112],tbl_task9[[SubPLOs]:[SubPLOs]],"&gt;=10",tbl_task9[[SubPLOs]:[SubPLOs]],"&lt;11")</f>
        <v>0</v>
      </c>
      <c r="DN43" s="138">
        <f>SUMIFS(tbl_task9[S113],tbl_task9[[SubPLOs]:[SubPLOs]],"&gt;=10",tbl_task9[[SubPLOs]:[SubPLOs]],"&lt;11")</f>
        <v>0</v>
      </c>
      <c r="DO43" s="138">
        <f>SUMIFS(tbl_task9[S114],tbl_task9[[SubPLOs]:[SubPLOs]],"&gt;=10",tbl_task9[[SubPLOs]:[SubPLOs]],"&lt;11")</f>
        <v>0</v>
      </c>
      <c r="DP43" s="138">
        <f>SUMIFS(tbl_task9[S115],tbl_task9[[SubPLOs]:[SubPLOs]],"&gt;=10",tbl_task9[[SubPLOs]:[SubPLOs]],"&lt;11")</f>
        <v>0</v>
      </c>
      <c r="DQ43" s="138">
        <f>SUMIFS(tbl_task9[S116],tbl_task9[[SubPLOs]:[SubPLOs]],"&gt;=10",tbl_task9[[SubPLOs]:[SubPLOs]],"&lt;11")</f>
        <v>0</v>
      </c>
      <c r="DR43" s="138">
        <f>SUMIFS(tbl_task9[S117],tbl_task9[[SubPLOs]:[SubPLOs]],"&gt;=10",tbl_task9[[SubPLOs]:[SubPLOs]],"&lt;11")</f>
        <v>0</v>
      </c>
      <c r="DS43" s="138">
        <f>SUMIFS(tbl_task9[S118],tbl_task9[[SubPLOs]:[SubPLOs]],"&gt;=10",tbl_task9[[SubPLOs]:[SubPLOs]],"&lt;11")</f>
        <v>0</v>
      </c>
      <c r="DT43" s="138">
        <f>SUMIFS(tbl_task9[S119],tbl_task9[[SubPLOs]:[SubPLOs]],"&gt;=10",tbl_task9[[SubPLOs]:[SubPLOs]],"&lt;11")</f>
        <v>0</v>
      </c>
      <c r="DU43" s="138">
        <f>SUMIFS(tbl_task9[S120],tbl_task9[[SubPLOs]:[SubPLOs]],"&gt;=10",tbl_task9[[SubPLOs]:[SubPLOs]],"&lt;11")</f>
        <v>0</v>
      </c>
      <c r="DV43" s="138">
        <f>SUMIFS(tbl_task9[S121],tbl_task9[[SubPLOs]:[SubPLOs]],"&gt;=10",tbl_task9[[SubPLOs]:[SubPLOs]],"&lt;11")</f>
        <v>0</v>
      </c>
      <c r="DW43" s="138">
        <f>SUMIFS(tbl_task9[S122],tbl_task9[[SubPLOs]:[SubPLOs]],"&gt;=10",tbl_task9[[SubPLOs]:[SubPLOs]],"&lt;11")</f>
        <v>0</v>
      </c>
      <c r="DX43" s="138">
        <f>SUMIFS(tbl_task9[S123],tbl_task9[[SubPLOs]:[SubPLOs]],"&gt;=10",tbl_task9[[SubPLOs]:[SubPLOs]],"&lt;11")</f>
        <v>0</v>
      </c>
      <c r="DY43" s="138">
        <f>SUMIFS(tbl_task9[S124],tbl_task9[[SubPLOs]:[SubPLOs]],"&gt;=10",tbl_task9[[SubPLOs]:[SubPLOs]],"&lt;11")</f>
        <v>0</v>
      </c>
      <c r="DZ43" s="138">
        <f>SUMIFS(tbl_task9[S125],tbl_task9[[SubPLOs]:[SubPLOs]],"&gt;=10",tbl_task9[[SubPLOs]:[SubPLOs]],"&lt;11")</f>
        <v>0</v>
      </c>
      <c r="EA43" s="138">
        <f>SUMIFS(tbl_task9[S126],tbl_task9[[SubPLOs]:[SubPLOs]],"&gt;=10",tbl_task9[[SubPLOs]:[SubPLOs]],"&lt;11")</f>
        <v>0</v>
      </c>
      <c r="EB43" s="138">
        <f>SUMIFS(tbl_task9[S127],tbl_task9[[SubPLOs]:[SubPLOs]],"&gt;=10",tbl_task9[[SubPLOs]:[SubPLOs]],"&lt;11")</f>
        <v>0</v>
      </c>
      <c r="EC43" s="138">
        <f>SUMIFS(tbl_task9[S128],tbl_task9[[SubPLOs]:[SubPLOs]],"&gt;=10",tbl_task9[[SubPLOs]:[SubPLOs]],"&lt;11")</f>
        <v>0</v>
      </c>
      <c r="ED43" s="138">
        <f>SUMIFS(tbl_task9[S129],tbl_task9[[SubPLOs]:[SubPLOs]],"&gt;=10",tbl_task9[[SubPLOs]:[SubPLOs]],"&lt;11")</f>
        <v>0</v>
      </c>
      <c r="EE43" s="138">
        <f>SUMIFS(tbl_task9[S130],tbl_task9[[SubPLOs]:[SubPLOs]],"&gt;=10",tbl_task9[[SubPLOs]:[SubPLOs]],"&lt;11")</f>
        <v>0</v>
      </c>
      <c r="EF43" s="138">
        <f>SUMIFS(tbl_task9[S131],tbl_task9[[SubPLOs]:[SubPLOs]],"&gt;=10",tbl_task9[[SubPLOs]:[SubPLOs]],"&lt;11")</f>
        <v>0</v>
      </c>
      <c r="EG43" s="138">
        <f>SUMIFS(tbl_task9[S132],tbl_task9[[SubPLOs]:[SubPLOs]],"&gt;=10",tbl_task9[[SubPLOs]:[SubPLOs]],"&lt;11")</f>
        <v>0</v>
      </c>
      <c r="EH43" s="138">
        <f>SUMIFS(tbl_task9[S133],tbl_task9[[SubPLOs]:[SubPLOs]],"&gt;=10",tbl_task9[[SubPLOs]:[SubPLOs]],"&lt;11")</f>
        <v>0</v>
      </c>
      <c r="EI43" s="138">
        <f>SUMIFS(tbl_task9[S134],tbl_task9[[SubPLOs]:[SubPLOs]],"&gt;=10",tbl_task9[[SubPLOs]:[SubPLOs]],"&lt;11")</f>
        <v>0</v>
      </c>
      <c r="EJ43" s="138">
        <f>SUMIFS(tbl_task9[S135],tbl_task9[[SubPLOs]:[SubPLOs]],"&gt;=10",tbl_task9[[SubPLOs]:[SubPLOs]],"&lt;11")</f>
        <v>0</v>
      </c>
      <c r="EK43" s="138">
        <f>SUMIFS(tbl_task9[S136],tbl_task9[[SubPLOs]:[SubPLOs]],"&gt;=10",tbl_task9[[SubPLOs]:[SubPLOs]],"&lt;11")</f>
        <v>0</v>
      </c>
      <c r="EL43" s="138">
        <f>SUMIFS(tbl_task9[S137],tbl_task9[[SubPLOs]:[SubPLOs]],"&gt;=10",tbl_task9[[SubPLOs]:[SubPLOs]],"&lt;11")</f>
        <v>0</v>
      </c>
      <c r="EM43" s="138">
        <f>SUMIFS(tbl_task9[S138],tbl_task9[[SubPLOs]:[SubPLOs]],"&gt;=10",tbl_task9[[SubPLOs]:[SubPLOs]],"&lt;11")</f>
        <v>0</v>
      </c>
      <c r="EN43" s="138">
        <f>SUMIFS(tbl_task9[S139],tbl_task9[[SubPLOs]:[SubPLOs]],"&gt;=10",tbl_task9[[SubPLOs]:[SubPLOs]],"&lt;11")</f>
        <v>0</v>
      </c>
      <c r="EO43" s="138">
        <f>SUMIFS(tbl_task9[S140],tbl_task9[[SubPLOs]:[SubPLOs]],"&gt;=10",tbl_task9[[SubPLOs]:[SubPLOs]],"&lt;11")</f>
        <v>0</v>
      </c>
      <c r="EP43" s="138">
        <f>SUMIFS(tbl_task9[S141],tbl_task9[[SubPLOs]:[SubPLOs]],"&gt;=10",tbl_task9[[SubPLOs]:[SubPLOs]],"&lt;11")</f>
        <v>0</v>
      </c>
      <c r="EQ43" s="138">
        <f>SUMIFS(tbl_task9[S142],tbl_task9[[SubPLOs]:[SubPLOs]],"&gt;=10",tbl_task9[[SubPLOs]:[SubPLOs]],"&lt;11")</f>
        <v>0</v>
      </c>
      <c r="ER43" s="138">
        <f>SUMIFS(tbl_task9[S143],tbl_task9[[SubPLOs]:[SubPLOs]],"&gt;=10",tbl_task9[[SubPLOs]:[SubPLOs]],"&lt;11")</f>
        <v>0</v>
      </c>
      <c r="ES43" s="138">
        <f>SUMIFS(tbl_task9[S144],tbl_task9[[SubPLOs]:[SubPLOs]],"&gt;=10",tbl_task9[[SubPLOs]:[SubPLOs]],"&lt;11")</f>
        <v>0</v>
      </c>
      <c r="ET43" s="138">
        <f>SUMIFS(tbl_task9[S145],tbl_task9[[SubPLOs]:[SubPLOs]],"&gt;=10",tbl_task9[[SubPLOs]:[SubPLOs]],"&lt;11")</f>
        <v>0</v>
      </c>
      <c r="EU43" s="138">
        <f>SUMIFS(tbl_task9[S146],tbl_task9[[SubPLOs]:[SubPLOs]],"&gt;=10",tbl_task9[[SubPLOs]:[SubPLOs]],"&lt;11")</f>
        <v>0</v>
      </c>
      <c r="EV43" s="138">
        <f>SUMIFS(tbl_task9[S147],tbl_task9[[SubPLOs]:[SubPLOs]],"&gt;=10",tbl_task9[[SubPLOs]:[SubPLOs]],"&lt;11")</f>
        <v>0</v>
      </c>
      <c r="EW43" s="138">
        <f>SUMIFS(tbl_task9[S148],tbl_task9[[SubPLOs]:[SubPLOs]],"&gt;=10",tbl_task9[[SubPLOs]:[SubPLOs]],"&lt;11")</f>
        <v>0</v>
      </c>
      <c r="EX43" s="138">
        <f>SUMIFS(tbl_task9[S149],tbl_task9[[SubPLOs]:[SubPLOs]],"&gt;=10",tbl_task9[[SubPLOs]:[SubPLOs]],"&lt;11")</f>
        <v>0</v>
      </c>
      <c r="EY43" s="138">
        <f>SUMIFS(tbl_task9[S150],tbl_task9[[SubPLOs]:[SubPLOs]],"&gt;=10",tbl_task9[[SubPLOs]:[SubPLOs]],"&lt;11")</f>
        <v>0</v>
      </c>
      <c r="EZ43" s="138">
        <f>SUMIFS(tbl_task9[S151],tbl_task9[[SubPLOs]:[SubPLOs]],"&gt;=10",tbl_task9[[SubPLOs]:[SubPLOs]],"&lt;11")</f>
        <v>0</v>
      </c>
      <c r="FA43" s="138">
        <f>SUMIFS(tbl_task9[S152],tbl_task9[[SubPLOs]:[SubPLOs]],"&gt;=10",tbl_task9[[SubPLOs]:[SubPLOs]],"&lt;11")</f>
        <v>0</v>
      </c>
      <c r="FB43" s="138">
        <f>SUMIFS(tbl_task9[S153],tbl_task9[[SubPLOs]:[SubPLOs]],"&gt;=10",tbl_task9[[SubPLOs]:[SubPLOs]],"&lt;11")</f>
        <v>0</v>
      </c>
      <c r="FC43" s="138">
        <f>SUMIFS(tbl_task9[S154],tbl_task9[[SubPLOs]:[SubPLOs]],"&gt;=10",tbl_task9[[SubPLOs]:[SubPLOs]],"&lt;11")</f>
        <v>0</v>
      </c>
      <c r="FD43" s="138">
        <f>SUMIFS(tbl_task9[S155],tbl_task9[[SubPLOs]:[SubPLOs]],"&gt;=10",tbl_task9[[SubPLOs]:[SubPLOs]],"&lt;11")</f>
        <v>0</v>
      </c>
      <c r="FE43" s="138">
        <f>SUMIFS(tbl_task9[S156],tbl_task9[[SubPLOs]:[SubPLOs]],"&gt;=10",tbl_task9[[SubPLOs]:[SubPLOs]],"&lt;11")</f>
        <v>0</v>
      </c>
      <c r="FF43" s="138">
        <f>SUMIFS(tbl_task9[S157],tbl_task9[[SubPLOs]:[SubPLOs]],"&gt;=10",tbl_task9[[SubPLOs]:[SubPLOs]],"&lt;11")</f>
        <v>0</v>
      </c>
      <c r="FG43" s="138">
        <f>SUMIFS(tbl_task9[S158],tbl_task9[[SubPLOs]:[SubPLOs]],"&gt;=10",tbl_task9[[SubPLOs]:[SubPLOs]],"&lt;11")</f>
        <v>0</v>
      </c>
      <c r="FH43" s="138">
        <f>SUMIFS(tbl_task9[S159],tbl_task9[[SubPLOs]:[SubPLOs]],"&gt;=10",tbl_task9[[SubPLOs]:[SubPLOs]],"&lt;11")</f>
        <v>0</v>
      </c>
      <c r="FI43" s="138">
        <f>SUMIFS(tbl_task9[S160],tbl_task9[[SubPLOs]:[SubPLOs]],"&gt;=10",tbl_task9[[SubPLOs]:[SubPLOs]],"&lt;11")</f>
        <v>0</v>
      </c>
      <c r="FJ43" s="138">
        <f>SUMIFS(tbl_task9[S161],tbl_task9[[SubPLOs]:[SubPLOs]],"&gt;=10",tbl_task9[[SubPLOs]:[SubPLOs]],"&lt;11")</f>
        <v>0</v>
      </c>
      <c r="FK43" s="138">
        <f>SUMIFS(tbl_task9[S162],tbl_task9[[SubPLOs]:[SubPLOs]],"&gt;=10",tbl_task9[[SubPLOs]:[SubPLOs]],"&lt;11")</f>
        <v>0</v>
      </c>
      <c r="FL43" s="138">
        <f>SUMIFS(tbl_task9[S163],tbl_task9[[SubPLOs]:[SubPLOs]],"&gt;=10",tbl_task9[[SubPLOs]:[SubPLOs]],"&lt;11")</f>
        <v>0</v>
      </c>
      <c r="FM43" s="138">
        <f>SUMIFS(tbl_task9[S164],tbl_task9[[SubPLOs]:[SubPLOs]],"&gt;=10",tbl_task9[[SubPLOs]:[SubPLOs]],"&lt;11")</f>
        <v>0</v>
      </c>
      <c r="FN43" s="138">
        <f>SUMIFS(tbl_task9[S165],tbl_task9[[SubPLOs]:[SubPLOs]],"&gt;=10",tbl_task9[[SubPLOs]:[SubPLOs]],"&lt;11")</f>
        <v>0</v>
      </c>
    </row>
    <row r="44" spans="1:170" s="34" customFormat="1" x14ac:dyDescent="0.25">
      <c r="A44" s="125"/>
      <c r="B44" s="126" t="s">
        <v>11</v>
      </c>
      <c r="C44" s="127">
        <f>SUM(C34:C43)</f>
        <v>0</v>
      </c>
      <c r="D44" s="128">
        <f>SUM(D34:D43)</f>
        <v>0</v>
      </c>
      <c r="E44" s="128">
        <f>SUM(E34:E43)</f>
        <v>0</v>
      </c>
      <c r="F44" s="128">
        <f t="shared" ref="F44:BQ44" si="0">SUM(F34:F43)</f>
        <v>0</v>
      </c>
      <c r="G44" s="128">
        <f t="shared" si="0"/>
        <v>0</v>
      </c>
      <c r="H44" s="128">
        <f t="shared" si="0"/>
        <v>0</v>
      </c>
      <c r="I44" s="128">
        <f t="shared" si="0"/>
        <v>0</v>
      </c>
      <c r="J44" s="128">
        <f t="shared" si="0"/>
        <v>0</v>
      </c>
      <c r="K44" s="128">
        <f t="shared" si="0"/>
        <v>0</v>
      </c>
      <c r="L44" s="128">
        <f t="shared" si="0"/>
        <v>0</v>
      </c>
      <c r="M44" s="128">
        <f t="shared" si="0"/>
        <v>0</v>
      </c>
      <c r="N44" s="128">
        <f t="shared" si="0"/>
        <v>0</v>
      </c>
      <c r="O44" s="128">
        <f t="shared" si="0"/>
        <v>0</v>
      </c>
      <c r="P44" s="128">
        <f t="shared" si="0"/>
        <v>0</v>
      </c>
      <c r="Q44" s="128">
        <f t="shared" si="0"/>
        <v>0</v>
      </c>
      <c r="R44" s="128">
        <f t="shared" si="0"/>
        <v>0</v>
      </c>
      <c r="S44" s="128">
        <f t="shared" si="0"/>
        <v>0</v>
      </c>
      <c r="T44" s="128">
        <f t="shared" si="0"/>
        <v>0</v>
      </c>
      <c r="U44" s="128">
        <f t="shared" si="0"/>
        <v>0</v>
      </c>
      <c r="V44" s="128">
        <f t="shared" si="0"/>
        <v>0</v>
      </c>
      <c r="W44" s="128">
        <f t="shared" si="0"/>
        <v>0</v>
      </c>
      <c r="X44" s="128">
        <f t="shared" si="0"/>
        <v>0</v>
      </c>
      <c r="Y44" s="128">
        <f t="shared" si="0"/>
        <v>0</v>
      </c>
      <c r="Z44" s="128">
        <f t="shared" si="0"/>
        <v>0</v>
      </c>
      <c r="AA44" s="128">
        <f t="shared" si="0"/>
        <v>0</v>
      </c>
      <c r="AB44" s="128">
        <f t="shared" si="0"/>
        <v>0</v>
      </c>
      <c r="AC44" s="128">
        <f t="shared" si="0"/>
        <v>0</v>
      </c>
      <c r="AD44" s="128">
        <f t="shared" si="0"/>
        <v>0</v>
      </c>
      <c r="AE44" s="128">
        <f t="shared" si="0"/>
        <v>0</v>
      </c>
      <c r="AF44" s="128">
        <f t="shared" si="0"/>
        <v>0</v>
      </c>
      <c r="AG44" s="128">
        <f t="shared" si="0"/>
        <v>0</v>
      </c>
      <c r="AH44" s="128">
        <f t="shared" si="0"/>
        <v>0</v>
      </c>
      <c r="AI44" s="128">
        <f t="shared" si="0"/>
        <v>0</v>
      </c>
      <c r="AJ44" s="128">
        <f t="shared" si="0"/>
        <v>0</v>
      </c>
      <c r="AK44" s="128">
        <f t="shared" si="0"/>
        <v>0</v>
      </c>
      <c r="AL44" s="128">
        <f t="shared" si="0"/>
        <v>0</v>
      </c>
      <c r="AM44" s="128">
        <f t="shared" si="0"/>
        <v>0</v>
      </c>
      <c r="AN44" s="128">
        <f t="shared" si="0"/>
        <v>0</v>
      </c>
      <c r="AO44" s="128">
        <f t="shared" si="0"/>
        <v>0</v>
      </c>
      <c r="AP44" s="128">
        <f t="shared" si="0"/>
        <v>0</v>
      </c>
      <c r="AQ44" s="128">
        <f t="shared" si="0"/>
        <v>0</v>
      </c>
      <c r="AR44" s="128">
        <f t="shared" si="0"/>
        <v>0</v>
      </c>
      <c r="AS44" s="128">
        <f t="shared" si="0"/>
        <v>0</v>
      </c>
      <c r="AT44" s="128">
        <f t="shared" si="0"/>
        <v>0</v>
      </c>
      <c r="AU44" s="128">
        <f t="shared" si="0"/>
        <v>0</v>
      </c>
      <c r="AV44" s="128">
        <f t="shared" si="0"/>
        <v>0</v>
      </c>
      <c r="AW44" s="128">
        <f t="shared" si="0"/>
        <v>0</v>
      </c>
      <c r="AX44" s="128">
        <f t="shared" si="0"/>
        <v>0</v>
      </c>
      <c r="AY44" s="128">
        <f t="shared" si="0"/>
        <v>0</v>
      </c>
      <c r="AZ44" s="128">
        <f t="shared" si="0"/>
        <v>0</v>
      </c>
      <c r="BA44" s="128">
        <f t="shared" si="0"/>
        <v>0</v>
      </c>
      <c r="BB44" s="128">
        <f t="shared" si="0"/>
        <v>0</v>
      </c>
      <c r="BC44" s="128">
        <f t="shared" si="0"/>
        <v>0</v>
      </c>
      <c r="BD44" s="128">
        <f t="shared" si="0"/>
        <v>0</v>
      </c>
      <c r="BE44" s="128">
        <f t="shared" si="0"/>
        <v>0</v>
      </c>
      <c r="BF44" s="128">
        <f t="shared" si="0"/>
        <v>0</v>
      </c>
      <c r="BG44" s="128">
        <f t="shared" si="0"/>
        <v>0</v>
      </c>
      <c r="BH44" s="128">
        <f t="shared" si="0"/>
        <v>0</v>
      </c>
      <c r="BI44" s="128">
        <f t="shared" si="0"/>
        <v>0</v>
      </c>
      <c r="BJ44" s="128">
        <f t="shared" si="0"/>
        <v>0</v>
      </c>
      <c r="BK44" s="128">
        <f t="shared" si="0"/>
        <v>0</v>
      </c>
      <c r="BL44" s="128">
        <f t="shared" si="0"/>
        <v>0</v>
      </c>
      <c r="BM44" s="128">
        <f t="shared" si="0"/>
        <v>0</v>
      </c>
      <c r="BN44" s="128">
        <f t="shared" si="0"/>
        <v>0</v>
      </c>
      <c r="BO44" s="128">
        <f t="shared" si="0"/>
        <v>0</v>
      </c>
      <c r="BP44" s="128">
        <f t="shared" si="0"/>
        <v>0</v>
      </c>
      <c r="BQ44" s="128">
        <f t="shared" si="0"/>
        <v>0</v>
      </c>
      <c r="BR44" s="128">
        <f t="shared" ref="BR44:EC44" si="1">SUM(BR34:BR43)</f>
        <v>0</v>
      </c>
      <c r="BS44" s="128">
        <f t="shared" si="1"/>
        <v>0</v>
      </c>
      <c r="BT44" s="128">
        <f t="shared" si="1"/>
        <v>0</v>
      </c>
      <c r="BU44" s="128">
        <f t="shared" si="1"/>
        <v>0</v>
      </c>
      <c r="BV44" s="128">
        <f t="shared" si="1"/>
        <v>0</v>
      </c>
      <c r="BW44" s="128">
        <f t="shared" si="1"/>
        <v>0</v>
      </c>
      <c r="BX44" s="128">
        <f t="shared" si="1"/>
        <v>0</v>
      </c>
      <c r="BY44" s="128">
        <f t="shared" si="1"/>
        <v>0</v>
      </c>
      <c r="BZ44" s="128">
        <f t="shared" si="1"/>
        <v>0</v>
      </c>
      <c r="CA44" s="128">
        <f t="shared" si="1"/>
        <v>0</v>
      </c>
      <c r="CB44" s="128">
        <f t="shared" si="1"/>
        <v>0</v>
      </c>
      <c r="CC44" s="128">
        <f t="shared" si="1"/>
        <v>0</v>
      </c>
      <c r="CD44" s="128">
        <f t="shared" si="1"/>
        <v>0</v>
      </c>
      <c r="CE44" s="128">
        <f t="shared" si="1"/>
        <v>0</v>
      </c>
      <c r="CF44" s="128">
        <f t="shared" si="1"/>
        <v>0</v>
      </c>
      <c r="CG44" s="128">
        <f t="shared" si="1"/>
        <v>0</v>
      </c>
      <c r="CH44" s="128">
        <f t="shared" si="1"/>
        <v>0</v>
      </c>
      <c r="CI44" s="128">
        <f t="shared" si="1"/>
        <v>0</v>
      </c>
      <c r="CJ44" s="128">
        <f t="shared" si="1"/>
        <v>0</v>
      </c>
      <c r="CK44" s="128">
        <f t="shared" si="1"/>
        <v>0</v>
      </c>
      <c r="CL44" s="128">
        <f t="shared" si="1"/>
        <v>0</v>
      </c>
      <c r="CM44" s="128">
        <f t="shared" si="1"/>
        <v>0</v>
      </c>
      <c r="CN44" s="128">
        <f t="shared" si="1"/>
        <v>0</v>
      </c>
      <c r="CO44" s="128">
        <f t="shared" si="1"/>
        <v>0</v>
      </c>
      <c r="CP44" s="128">
        <f t="shared" si="1"/>
        <v>0</v>
      </c>
      <c r="CQ44" s="128">
        <f t="shared" si="1"/>
        <v>0</v>
      </c>
      <c r="CR44" s="128">
        <f t="shared" si="1"/>
        <v>0</v>
      </c>
      <c r="CS44" s="128">
        <f t="shared" si="1"/>
        <v>0</v>
      </c>
      <c r="CT44" s="128">
        <f t="shared" si="1"/>
        <v>0</v>
      </c>
      <c r="CU44" s="128">
        <f t="shared" si="1"/>
        <v>0</v>
      </c>
      <c r="CV44" s="128">
        <f t="shared" si="1"/>
        <v>0</v>
      </c>
      <c r="CW44" s="128">
        <f t="shared" si="1"/>
        <v>0</v>
      </c>
      <c r="CX44" s="128">
        <f t="shared" si="1"/>
        <v>0</v>
      </c>
      <c r="CY44" s="128">
        <f t="shared" si="1"/>
        <v>0</v>
      </c>
      <c r="CZ44" s="128">
        <f t="shared" si="1"/>
        <v>0</v>
      </c>
      <c r="DA44" s="128">
        <f t="shared" si="1"/>
        <v>0</v>
      </c>
      <c r="DB44" s="128">
        <f t="shared" si="1"/>
        <v>0</v>
      </c>
      <c r="DC44" s="128">
        <f t="shared" si="1"/>
        <v>0</v>
      </c>
      <c r="DD44" s="128">
        <f t="shared" si="1"/>
        <v>0</v>
      </c>
      <c r="DE44" s="128">
        <f t="shared" si="1"/>
        <v>0</v>
      </c>
      <c r="DF44" s="128">
        <f t="shared" si="1"/>
        <v>0</v>
      </c>
      <c r="DG44" s="128">
        <f t="shared" si="1"/>
        <v>0</v>
      </c>
      <c r="DH44" s="128">
        <f t="shared" si="1"/>
        <v>0</v>
      </c>
      <c r="DI44" s="128">
        <f t="shared" si="1"/>
        <v>0</v>
      </c>
      <c r="DJ44" s="128">
        <f t="shared" si="1"/>
        <v>0</v>
      </c>
      <c r="DK44" s="128">
        <f t="shared" si="1"/>
        <v>0</v>
      </c>
      <c r="DL44" s="128">
        <f t="shared" si="1"/>
        <v>0</v>
      </c>
      <c r="DM44" s="128">
        <f t="shared" si="1"/>
        <v>0</v>
      </c>
      <c r="DN44" s="128">
        <f t="shared" si="1"/>
        <v>0</v>
      </c>
      <c r="DO44" s="128">
        <f t="shared" si="1"/>
        <v>0</v>
      </c>
      <c r="DP44" s="128">
        <f t="shared" si="1"/>
        <v>0</v>
      </c>
      <c r="DQ44" s="128">
        <f t="shared" si="1"/>
        <v>0</v>
      </c>
      <c r="DR44" s="128">
        <f t="shared" si="1"/>
        <v>0</v>
      </c>
      <c r="DS44" s="128">
        <f t="shared" si="1"/>
        <v>0</v>
      </c>
      <c r="DT44" s="128">
        <f t="shared" si="1"/>
        <v>0</v>
      </c>
      <c r="DU44" s="128">
        <f t="shared" si="1"/>
        <v>0</v>
      </c>
      <c r="DV44" s="128">
        <f t="shared" si="1"/>
        <v>0</v>
      </c>
      <c r="DW44" s="128">
        <f t="shared" si="1"/>
        <v>0</v>
      </c>
      <c r="DX44" s="128">
        <f t="shared" si="1"/>
        <v>0</v>
      </c>
      <c r="DY44" s="128">
        <f t="shared" si="1"/>
        <v>0</v>
      </c>
      <c r="DZ44" s="128">
        <f t="shared" si="1"/>
        <v>0</v>
      </c>
      <c r="EA44" s="128">
        <f t="shared" si="1"/>
        <v>0</v>
      </c>
      <c r="EB44" s="128">
        <f t="shared" si="1"/>
        <v>0</v>
      </c>
      <c r="EC44" s="128">
        <f t="shared" si="1"/>
        <v>0</v>
      </c>
      <c r="ED44" s="128">
        <f t="shared" ref="ED44:FN44" si="2">SUM(ED34:ED43)</f>
        <v>0</v>
      </c>
      <c r="EE44" s="128">
        <f t="shared" si="2"/>
        <v>0</v>
      </c>
      <c r="EF44" s="128">
        <f t="shared" si="2"/>
        <v>0</v>
      </c>
      <c r="EG44" s="128">
        <f t="shared" si="2"/>
        <v>0</v>
      </c>
      <c r="EH44" s="128">
        <f t="shared" si="2"/>
        <v>0</v>
      </c>
      <c r="EI44" s="128">
        <f t="shared" si="2"/>
        <v>0</v>
      </c>
      <c r="EJ44" s="128">
        <f t="shared" si="2"/>
        <v>0</v>
      </c>
      <c r="EK44" s="128">
        <f t="shared" si="2"/>
        <v>0</v>
      </c>
      <c r="EL44" s="128">
        <f t="shared" si="2"/>
        <v>0</v>
      </c>
      <c r="EM44" s="128">
        <f t="shared" si="2"/>
        <v>0</v>
      </c>
      <c r="EN44" s="128">
        <f t="shared" si="2"/>
        <v>0</v>
      </c>
      <c r="EO44" s="128">
        <f t="shared" si="2"/>
        <v>0</v>
      </c>
      <c r="EP44" s="128">
        <f t="shared" si="2"/>
        <v>0</v>
      </c>
      <c r="EQ44" s="128">
        <f t="shared" si="2"/>
        <v>0</v>
      </c>
      <c r="ER44" s="128">
        <f t="shared" si="2"/>
        <v>0</v>
      </c>
      <c r="ES44" s="128">
        <f t="shared" si="2"/>
        <v>0</v>
      </c>
      <c r="ET44" s="128">
        <f t="shared" si="2"/>
        <v>0</v>
      </c>
      <c r="EU44" s="128">
        <f t="shared" si="2"/>
        <v>0</v>
      </c>
      <c r="EV44" s="128">
        <f t="shared" si="2"/>
        <v>0</v>
      </c>
      <c r="EW44" s="128">
        <f t="shared" si="2"/>
        <v>0</v>
      </c>
      <c r="EX44" s="128">
        <f t="shared" si="2"/>
        <v>0</v>
      </c>
      <c r="EY44" s="128">
        <f t="shared" si="2"/>
        <v>0</v>
      </c>
      <c r="EZ44" s="128">
        <f t="shared" si="2"/>
        <v>0</v>
      </c>
      <c r="FA44" s="128">
        <f t="shared" si="2"/>
        <v>0</v>
      </c>
      <c r="FB44" s="128">
        <f t="shared" si="2"/>
        <v>0</v>
      </c>
      <c r="FC44" s="128">
        <f t="shared" si="2"/>
        <v>0</v>
      </c>
      <c r="FD44" s="128">
        <f t="shared" si="2"/>
        <v>0</v>
      </c>
      <c r="FE44" s="128">
        <f t="shared" si="2"/>
        <v>0</v>
      </c>
      <c r="FF44" s="128">
        <f t="shared" si="2"/>
        <v>0</v>
      </c>
      <c r="FG44" s="128">
        <f t="shared" si="2"/>
        <v>0</v>
      </c>
      <c r="FH44" s="128">
        <f t="shared" si="2"/>
        <v>0</v>
      </c>
      <c r="FI44" s="128">
        <f t="shared" si="2"/>
        <v>0</v>
      </c>
      <c r="FJ44" s="128">
        <f t="shared" si="2"/>
        <v>0</v>
      </c>
      <c r="FK44" s="128">
        <f t="shared" si="2"/>
        <v>0</v>
      </c>
      <c r="FL44" s="128">
        <f t="shared" si="2"/>
        <v>0</v>
      </c>
      <c r="FM44" s="128">
        <f t="shared" si="2"/>
        <v>0</v>
      </c>
      <c r="FN44" s="128">
        <f t="shared" si="2"/>
        <v>0</v>
      </c>
    </row>
  </sheetData>
  <mergeCells count="1">
    <mergeCell ref="C1:P1"/>
  </mergeCells>
  <dataValidations count="2">
    <dataValidation type="whole" allowBlank="1" showInputMessage="1" showErrorMessage="1" sqref="F30:FN31">
      <formula1>1</formula1>
      <formula2>4</formula2>
    </dataValidation>
    <dataValidation type="decimal" operator="greaterThanOrEqual" allowBlank="1" showInputMessage="1" showErrorMessage="1" sqref="F4:FN28">
      <formula1>0</formula1>
    </dataValidation>
  </dataValidations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52" fitToHeight="0" orientation="landscape" r:id="rId1"/>
  <legacy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W44"/>
  <sheetViews>
    <sheetView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B34" sqref="B34"/>
    </sheetView>
  </sheetViews>
  <sheetFormatPr defaultColWidth="9.09765625" defaultRowHeight="21" x14ac:dyDescent="0.25"/>
  <cols>
    <col min="1" max="1" width="6.3984375" style="3" customWidth="1"/>
    <col min="2" max="2" width="27.09765625" style="1" customWidth="1"/>
    <col min="3" max="3" width="28.3984375" style="2" customWidth="1"/>
    <col min="4" max="4" width="10.09765625" style="101" customWidth="1"/>
    <col min="5" max="5" width="11" style="3" customWidth="1"/>
    <col min="6" max="335" width="6.69921875" style="3" customWidth="1"/>
    <col min="336" max="16384" width="9.09765625" style="3"/>
  </cols>
  <sheetData>
    <row r="1" spans="1:335" s="110" customFormat="1" ht="27.75" customHeight="1" x14ac:dyDescent="0.25">
      <c r="A1" s="120" t="s">
        <v>273</v>
      </c>
      <c r="B1" s="119" t="s">
        <v>308</v>
      </c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</row>
    <row r="2" spans="1:335" s="111" customFormat="1" ht="13.5" customHeight="1" x14ac:dyDescent="0.25">
      <c r="A2" s="112"/>
      <c r="B2" s="112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4"/>
    </row>
    <row r="3" spans="1:335" s="32" customFormat="1" x14ac:dyDescent="0.6">
      <c r="A3" s="28" t="s">
        <v>137</v>
      </c>
      <c r="B3" s="29" t="s">
        <v>452</v>
      </c>
      <c r="C3" s="30" t="s">
        <v>453</v>
      </c>
      <c r="D3" s="104" t="s">
        <v>306</v>
      </c>
      <c r="E3" s="105" t="s">
        <v>307</v>
      </c>
      <c r="F3" s="31" t="s">
        <v>2</v>
      </c>
      <c r="G3" s="31" t="s">
        <v>0</v>
      </c>
      <c r="H3" s="31" t="s">
        <v>1</v>
      </c>
      <c r="I3" s="31" t="s">
        <v>4</v>
      </c>
      <c r="J3" s="31" t="s">
        <v>138</v>
      </c>
      <c r="K3" s="31" t="s">
        <v>139</v>
      </c>
      <c r="L3" s="31" t="s">
        <v>140</v>
      </c>
      <c r="M3" s="31" t="s">
        <v>141</v>
      </c>
      <c r="N3" s="31" t="s">
        <v>142</v>
      </c>
      <c r="O3" s="31" t="s">
        <v>143</v>
      </c>
      <c r="P3" s="31" t="s">
        <v>144</v>
      </c>
      <c r="Q3" s="31" t="s">
        <v>145</v>
      </c>
      <c r="R3" s="31" t="s">
        <v>146</v>
      </c>
      <c r="S3" s="31" t="s">
        <v>147</v>
      </c>
      <c r="T3" s="31" t="s">
        <v>148</v>
      </c>
      <c r="U3" s="31" t="s">
        <v>149</v>
      </c>
      <c r="V3" s="31" t="s">
        <v>150</v>
      </c>
      <c r="W3" s="31" t="s">
        <v>151</v>
      </c>
      <c r="X3" s="31" t="s">
        <v>152</v>
      </c>
      <c r="Y3" s="31" t="s">
        <v>153</v>
      </c>
      <c r="Z3" s="31" t="s">
        <v>154</v>
      </c>
      <c r="AA3" s="31" t="s">
        <v>155</v>
      </c>
      <c r="AB3" s="31" t="s">
        <v>156</v>
      </c>
      <c r="AC3" s="31" t="s">
        <v>157</v>
      </c>
      <c r="AD3" s="31" t="s">
        <v>158</v>
      </c>
      <c r="AE3" s="31" t="s">
        <v>159</v>
      </c>
      <c r="AF3" s="31" t="s">
        <v>160</v>
      </c>
      <c r="AG3" s="31" t="s">
        <v>161</v>
      </c>
      <c r="AH3" s="31" t="s">
        <v>162</v>
      </c>
      <c r="AI3" s="31" t="s">
        <v>163</v>
      </c>
      <c r="AJ3" s="31" t="s">
        <v>164</v>
      </c>
      <c r="AK3" s="31" t="s">
        <v>165</v>
      </c>
      <c r="AL3" s="31" t="s">
        <v>166</v>
      </c>
      <c r="AM3" s="31" t="s">
        <v>167</v>
      </c>
      <c r="AN3" s="31" t="s">
        <v>168</v>
      </c>
      <c r="AO3" s="31" t="s">
        <v>169</v>
      </c>
      <c r="AP3" s="31" t="s">
        <v>170</v>
      </c>
      <c r="AQ3" s="31" t="s">
        <v>171</v>
      </c>
      <c r="AR3" s="31" t="s">
        <v>172</v>
      </c>
      <c r="AS3" s="31" t="s">
        <v>173</v>
      </c>
      <c r="AT3" s="31" t="s">
        <v>174</v>
      </c>
      <c r="AU3" s="31" t="s">
        <v>175</v>
      </c>
      <c r="AV3" s="31" t="s">
        <v>176</v>
      </c>
      <c r="AW3" s="31" t="s">
        <v>177</v>
      </c>
      <c r="AX3" s="31" t="s">
        <v>178</v>
      </c>
      <c r="AY3" s="31" t="s">
        <v>179</v>
      </c>
      <c r="AZ3" s="31" t="s">
        <v>180</v>
      </c>
      <c r="BA3" s="31" t="s">
        <v>181</v>
      </c>
      <c r="BB3" s="31" t="s">
        <v>182</v>
      </c>
      <c r="BC3" s="31" t="s">
        <v>183</v>
      </c>
      <c r="BD3" s="31" t="s">
        <v>184</v>
      </c>
      <c r="BE3" s="31" t="s">
        <v>185</v>
      </c>
      <c r="BF3" s="31" t="s">
        <v>186</v>
      </c>
      <c r="BG3" s="31" t="s">
        <v>187</v>
      </c>
      <c r="BH3" s="31" t="s">
        <v>188</v>
      </c>
      <c r="BI3" s="31" t="s">
        <v>189</v>
      </c>
      <c r="BJ3" s="31" t="s">
        <v>190</v>
      </c>
      <c r="BK3" s="31" t="s">
        <v>191</v>
      </c>
      <c r="BL3" s="31" t="s">
        <v>192</v>
      </c>
      <c r="BM3" s="31" t="s">
        <v>193</v>
      </c>
      <c r="BN3" s="31" t="s">
        <v>194</v>
      </c>
      <c r="BO3" s="31" t="s">
        <v>195</v>
      </c>
      <c r="BP3" s="31" t="s">
        <v>196</v>
      </c>
      <c r="BQ3" s="31" t="s">
        <v>197</v>
      </c>
      <c r="BR3" s="31" t="s">
        <v>198</v>
      </c>
      <c r="BS3" s="31" t="s">
        <v>199</v>
      </c>
      <c r="BT3" s="31" t="s">
        <v>200</v>
      </c>
      <c r="BU3" s="31" t="s">
        <v>201</v>
      </c>
      <c r="BV3" s="31" t="s">
        <v>202</v>
      </c>
      <c r="BW3" s="31" t="s">
        <v>203</v>
      </c>
      <c r="BX3" s="31" t="s">
        <v>204</v>
      </c>
      <c r="BY3" s="31" t="s">
        <v>205</v>
      </c>
      <c r="BZ3" s="31" t="s">
        <v>206</v>
      </c>
      <c r="CA3" s="31" t="s">
        <v>207</v>
      </c>
      <c r="CB3" s="31" t="s">
        <v>208</v>
      </c>
      <c r="CC3" s="31" t="s">
        <v>209</v>
      </c>
      <c r="CD3" s="31" t="s">
        <v>210</v>
      </c>
      <c r="CE3" s="31" t="s">
        <v>211</v>
      </c>
      <c r="CF3" s="31" t="s">
        <v>212</v>
      </c>
      <c r="CG3" s="31" t="s">
        <v>213</v>
      </c>
      <c r="CH3" s="31" t="s">
        <v>214</v>
      </c>
      <c r="CI3" s="31" t="s">
        <v>215</v>
      </c>
      <c r="CJ3" s="31" t="s">
        <v>216</v>
      </c>
      <c r="CK3" s="31" t="s">
        <v>217</v>
      </c>
      <c r="CL3" s="31" t="s">
        <v>218</v>
      </c>
      <c r="CM3" s="31" t="s">
        <v>219</v>
      </c>
      <c r="CN3" s="31" t="s">
        <v>220</v>
      </c>
      <c r="CO3" s="31" t="s">
        <v>221</v>
      </c>
      <c r="CP3" s="31" t="s">
        <v>222</v>
      </c>
      <c r="CQ3" s="31" t="s">
        <v>223</v>
      </c>
      <c r="CR3" s="31" t="s">
        <v>224</v>
      </c>
      <c r="CS3" s="31" t="s">
        <v>225</v>
      </c>
      <c r="CT3" s="31" t="s">
        <v>226</v>
      </c>
      <c r="CU3" s="31" t="s">
        <v>227</v>
      </c>
      <c r="CV3" s="31" t="s">
        <v>228</v>
      </c>
      <c r="CW3" s="31" t="s">
        <v>229</v>
      </c>
      <c r="CX3" s="31" t="s">
        <v>230</v>
      </c>
      <c r="CY3" s="31" t="s">
        <v>231</v>
      </c>
      <c r="CZ3" s="31" t="s">
        <v>232</v>
      </c>
      <c r="DA3" s="31" t="s">
        <v>233</v>
      </c>
      <c r="DB3" s="31" t="s">
        <v>234</v>
      </c>
      <c r="DC3" s="31" t="s">
        <v>235</v>
      </c>
      <c r="DD3" s="31" t="s">
        <v>236</v>
      </c>
      <c r="DE3" s="31" t="s">
        <v>237</v>
      </c>
      <c r="DF3" s="31" t="s">
        <v>238</v>
      </c>
      <c r="DG3" s="31" t="s">
        <v>239</v>
      </c>
      <c r="DH3" s="31" t="s">
        <v>240</v>
      </c>
      <c r="DI3" s="31" t="s">
        <v>241</v>
      </c>
      <c r="DJ3" s="31" t="s">
        <v>242</v>
      </c>
      <c r="DK3" s="31" t="s">
        <v>243</v>
      </c>
      <c r="DL3" s="31" t="s">
        <v>244</v>
      </c>
      <c r="DM3" s="31" t="s">
        <v>245</v>
      </c>
      <c r="DN3" s="31" t="s">
        <v>246</v>
      </c>
      <c r="DO3" s="31" t="s">
        <v>247</v>
      </c>
      <c r="DP3" s="31" t="s">
        <v>248</v>
      </c>
      <c r="DQ3" s="31" t="s">
        <v>309</v>
      </c>
      <c r="DR3" s="31" t="s">
        <v>310</v>
      </c>
      <c r="DS3" s="31" t="s">
        <v>311</v>
      </c>
      <c r="DT3" s="31" t="s">
        <v>312</v>
      </c>
      <c r="DU3" s="31" t="s">
        <v>313</v>
      </c>
      <c r="DV3" s="31" t="s">
        <v>314</v>
      </c>
      <c r="DW3" s="31" t="s">
        <v>315</v>
      </c>
      <c r="DX3" s="31" t="s">
        <v>316</v>
      </c>
      <c r="DY3" s="31" t="s">
        <v>317</v>
      </c>
      <c r="DZ3" s="31" t="s">
        <v>318</v>
      </c>
      <c r="EA3" s="31" t="s">
        <v>319</v>
      </c>
      <c r="EB3" s="31" t="s">
        <v>320</v>
      </c>
      <c r="EC3" s="31" t="s">
        <v>321</v>
      </c>
      <c r="ED3" s="31" t="s">
        <v>322</v>
      </c>
      <c r="EE3" s="31" t="s">
        <v>323</v>
      </c>
      <c r="EF3" s="31" t="s">
        <v>324</v>
      </c>
      <c r="EG3" s="31" t="s">
        <v>325</v>
      </c>
      <c r="EH3" s="31" t="s">
        <v>326</v>
      </c>
      <c r="EI3" s="31" t="s">
        <v>327</v>
      </c>
      <c r="EJ3" s="31" t="s">
        <v>328</v>
      </c>
      <c r="EK3" s="31" t="s">
        <v>329</v>
      </c>
      <c r="EL3" s="31" t="s">
        <v>330</v>
      </c>
      <c r="EM3" s="31" t="s">
        <v>331</v>
      </c>
      <c r="EN3" s="31" t="s">
        <v>332</v>
      </c>
      <c r="EO3" s="31" t="s">
        <v>333</v>
      </c>
      <c r="EP3" s="31" t="s">
        <v>334</v>
      </c>
      <c r="EQ3" s="31" t="s">
        <v>335</v>
      </c>
      <c r="ER3" s="31" t="s">
        <v>336</v>
      </c>
      <c r="ES3" s="31" t="s">
        <v>337</v>
      </c>
      <c r="ET3" s="31" t="s">
        <v>338</v>
      </c>
      <c r="EU3" s="31" t="s">
        <v>339</v>
      </c>
      <c r="EV3" s="31" t="s">
        <v>340</v>
      </c>
      <c r="EW3" s="31" t="s">
        <v>341</v>
      </c>
      <c r="EX3" s="31" t="s">
        <v>342</v>
      </c>
      <c r="EY3" s="31" t="s">
        <v>343</v>
      </c>
      <c r="EZ3" s="31" t="s">
        <v>344</v>
      </c>
      <c r="FA3" s="31" t="s">
        <v>345</v>
      </c>
      <c r="FB3" s="31" t="s">
        <v>346</v>
      </c>
      <c r="FC3" s="31" t="s">
        <v>347</v>
      </c>
      <c r="FD3" s="31" t="s">
        <v>348</v>
      </c>
      <c r="FE3" s="31" t="s">
        <v>349</v>
      </c>
      <c r="FF3" s="31" t="s">
        <v>350</v>
      </c>
      <c r="FG3" s="31" t="s">
        <v>351</v>
      </c>
      <c r="FH3" s="31" t="s">
        <v>352</v>
      </c>
      <c r="FI3" s="31" t="s">
        <v>353</v>
      </c>
      <c r="FJ3" s="31" t="s">
        <v>354</v>
      </c>
      <c r="FK3" s="31" t="s">
        <v>355</v>
      </c>
      <c r="FL3" s="31" t="s">
        <v>356</v>
      </c>
      <c r="FM3" s="31" t="s">
        <v>357</v>
      </c>
      <c r="FN3" s="31" t="s">
        <v>358</v>
      </c>
      <c r="FO3" s="123" t="s">
        <v>22</v>
      </c>
      <c r="FP3" s="123" t="s">
        <v>23</v>
      </c>
      <c r="FQ3" s="123" t="s">
        <v>24</v>
      </c>
      <c r="FR3" s="123" t="s">
        <v>25</v>
      </c>
      <c r="FS3" s="123" t="s">
        <v>26</v>
      </c>
      <c r="FT3" s="123" t="s">
        <v>27</v>
      </c>
      <c r="FU3" s="123" t="s">
        <v>28</v>
      </c>
      <c r="FV3" s="123" t="s">
        <v>29</v>
      </c>
      <c r="FW3" s="123" t="s">
        <v>30</v>
      </c>
      <c r="FX3" s="123" t="s">
        <v>31</v>
      </c>
      <c r="FY3" s="123" t="s">
        <v>32</v>
      </c>
      <c r="FZ3" s="123" t="s">
        <v>33</v>
      </c>
      <c r="GA3" s="123" t="s">
        <v>34</v>
      </c>
      <c r="GB3" s="123" t="s">
        <v>35</v>
      </c>
      <c r="GC3" s="123" t="s">
        <v>36</v>
      </c>
      <c r="GD3" s="123" t="s">
        <v>37</v>
      </c>
      <c r="GE3" s="123" t="s">
        <v>38</v>
      </c>
      <c r="GF3" s="123" t="s">
        <v>39</v>
      </c>
      <c r="GG3" s="123" t="s">
        <v>40</v>
      </c>
      <c r="GH3" s="123" t="s">
        <v>41</v>
      </c>
      <c r="GI3" s="123" t="s">
        <v>42</v>
      </c>
      <c r="GJ3" s="123" t="s">
        <v>43</v>
      </c>
      <c r="GK3" s="123" t="s">
        <v>44</v>
      </c>
      <c r="GL3" s="123" t="s">
        <v>45</v>
      </c>
      <c r="GM3" s="123" t="s">
        <v>46</v>
      </c>
      <c r="GN3" s="123" t="s">
        <v>47</v>
      </c>
      <c r="GO3" s="123" t="s">
        <v>48</v>
      </c>
      <c r="GP3" s="123" t="s">
        <v>49</v>
      </c>
      <c r="GQ3" s="123" t="s">
        <v>50</v>
      </c>
      <c r="GR3" s="123" t="s">
        <v>51</v>
      </c>
      <c r="GS3" s="123" t="s">
        <v>52</v>
      </c>
      <c r="GT3" s="123" t="s">
        <v>53</v>
      </c>
      <c r="GU3" s="123" t="s">
        <v>54</v>
      </c>
      <c r="GV3" s="123" t="s">
        <v>55</v>
      </c>
      <c r="GW3" s="123" t="s">
        <v>56</v>
      </c>
      <c r="GX3" s="123" t="s">
        <v>57</v>
      </c>
      <c r="GY3" s="123" t="s">
        <v>58</v>
      </c>
      <c r="GZ3" s="123" t="s">
        <v>59</v>
      </c>
      <c r="HA3" s="123" t="s">
        <v>60</v>
      </c>
      <c r="HB3" s="123" t="s">
        <v>61</v>
      </c>
      <c r="HC3" s="123" t="s">
        <v>62</v>
      </c>
      <c r="HD3" s="123" t="s">
        <v>63</v>
      </c>
      <c r="HE3" s="123" t="s">
        <v>64</v>
      </c>
      <c r="HF3" s="123" t="s">
        <v>65</v>
      </c>
      <c r="HG3" s="123" t="s">
        <v>66</v>
      </c>
      <c r="HH3" s="123" t="s">
        <v>67</v>
      </c>
      <c r="HI3" s="123" t="s">
        <v>68</v>
      </c>
      <c r="HJ3" s="123" t="s">
        <v>69</v>
      </c>
      <c r="HK3" s="123" t="s">
        <v>70</v>
      </c>
      <c r="HL3" s="123" t="s">
        <v>71</v>
      </c>
      <c r="HM3" s="123" t="s">
        <v>72</v>
      </c>
      <c r="HN3" s="123" t="s">
        <v>73</v>
      </c>
      <c r="HO3" s="123" t="s">
        <v>74</v>
      </c>
      <c r="HP3" s="123" t="s">
        <v>75</v>
      </c>
      <c r="HQ3" s="123" t="s">
        <v>76</v>
      </c>
      <c r="HR3" s="123" t="s">
        <v>77</v>
      </c>
      <c r="HS3" s="123" t="s">
        <v>78</v>
      </c>
      <c r="HT3" s="123" t="s">
        <v>79</v>
      </c>
      <c r="HU3" s="123" t="s">
        <v>80</v>
      </c>
      <c r="HV3" s="123" t="s">
        <v>81</v>
      </c>
      <c r="HW3" s="123" t="s">
        <v>82</v>
      </c>
      <c r="HX3" s="123" t="s">
        <v>83</v>
      </c>
      <c r="HY3" s="123" t="s">
        <v>84</v>
      </c>
      <c r="HZ3" s="123" t="s">
        <v>85</v>
      </c>
      <c r="IA3" s="123" t="s">
        <v>86</v>
      </c>
      <c r="IB3" s="123" t="s">
        <v>87</v>
      </c>
      <c r="IC3" s="123" t="s">
        <v>88</v>
      </c>
      <c r="ID3" s="123" t="s">
        <v>89</v>
      </c>
      <c r="IE3" s="123" t="s">
        <v>90</v>
      </c>
      <c r="IF3" s="123" t="s">
        <v>91</v>
      </c>
      <c r="IG3" s="123" t="s">
        <v>92</v>
      </c>
      <c r="IH3" s="123" t="s">
        <v>93</v>
      </c>
      <c r="II3" s="123" t="s">
        <v>94</v>
      </c>
      <c r="IJ3" s="123" t="s">
        <v>95</v>
      </c>
      <c r="IK3" s="123" t="s">
        <v>96</v>
      </c>
      <c r="IL3" s="123" t="s">
        <v>97</v>
      </c>
      <c r="IM3" s="123" t="s">
        <v>98</v>
      </c>
      <c r="IN3" s="123" t="s">
        <v>99</v>
      </c>
      <c r="IO3" s="123" t="s">
        <v>100</v>
      </c>
      <c r="IP3" s="123" t="s">
        <v>101</v>
      </c>
      <c r="IQ3" s="123" t="s">
        <v>102</v>
      </c>
      <c r="IR3" s="123" t="s">
        <v>103</v>
      </c>
      <c r="IS3" s="123" t="s">
        <v>104</v>
      </c>
      <c r="IT3" s="123" t="s">
        <v>105</v>
      </c>
      <c r="IU3" s="123" t="s">
        <v>106</v>
      </c>
      <c r="IV3" s="123" t="s">
        <v>107</v>
      </c>
      <c r="IW3" s="123" t="s">
        <v>108</v>
      </c>
      <c r="IX3" s="123" t="s">
        <v>109</v>
      </c>
      <c r="IY3" s="123" t="s">
        <v>110</v>
      </c>
      <c r="IZ3" s="123" t="s">
        <v>111</v>
      </c>
      <c r="JA3" s="123" t="s">
        <v>112</v>
      </c>
      <c r="JB3" s="123" t="s">
        <v>113</v>
      </c>
      <c r="JC3" s="123" t="s">
        <v>114</v>
      </c>
      <c r="JD3" s="123" t="s">
        <v>115</v>
      </c>
      <c r="JE3" s="123" t="s">
        <v>116</v>
      </c>
      <c r="JF3" s="123" t="s">
        <v>117</v>
      </c>
      <c r="JG3" s="123" t="s">
        <v>118</v>
      </c>
      <c r="JH3" s="123" t="s">
        <v>119</v>
      </c>
      <c r="JI3" s="123" t="s">
        <v>120</v>
      </c>
      <c r="JJ3" s="123" t="s">
        <v>121</v>
      </c>
      <c r="JK3" s="123" t="s">
        <v>122</v>
      </c>
      <c r="JL3" s="123" t="s">
        <v>123</v>
      </c>
      <c r="JM3" s="123" t="s">
        <v>124</v>
      </c>
      <c r="JN3" s="123" t="s">
        <v>125</v>
      </c>
      <c r="JO3" s="123" t="s">
        <v>126</v>
      </c>
      <c r="JP3" s="123" t="s">
        <v>127</v>
      </c>
      <c r="JQ3" s="123" t="s">
        <v>128</v>
      </c>
      <c r="JR3" s="123" t="s">
        <v>129</v>
      </c>
      <c r="JS3" s="123" t="s">
        <v>130</v>
      </c>
      <c r="JT3" s="123" t="s">
        <v>131</v>
      </c>
      <c r="JU3" s="123" t="s">
        <v>132</v>
      </c>
      <c r="JV3" s="123" t="s">
        <v>133</v>
      </c>
      <c r="JW3" s="123" t="s">
        <v>134</v>
      </c>
      <c r="JX3" s="123" t="s">
        <v>135</v>
      </c>
      <c r="JY3" s="123" t="s">
        <v>136</v>
      </c>
      <c r="JZ3" s="123" t="s">
        <v>359</v>
      </c>
      <c r="KA3" s="123" t="s">
        <v>360</v>
      </c>
      <c r="KB3" s="123" t="s">
        <v>361</v>
      </c>
      <c r="KC3" s="123" t="s">
        <v>362</v>
      </c>
      <c r="KD3" s="123" t="s">
        <v>363</v>
      </c>
      <c r="KE3" s="123" t="s">
        <v>364</v>
      </c>
      <c r="KF3" s="123" t="s">
        <v>365</v>
      </c>
      <c r="KG3" s="123" t="s">
        <v>366</v>
      </c>
      <c r="KH3" s="123" t="s">
        <v>367</v>
      </c>
      <c r="KI3" s="123" t="s">
        <v>368</v>
      </c>
      <c r="KJ3" s="123" t="s">
        <v>369</v>
      </c>
      <c r="KK3" s="123" t="s">
        <v>370</v>
      </c>
      <c r="KL3" s="123" t="s">
        <v>371</v>
      </c>
      <c r="KM3" s="123" t="s">
        <v>372</v>
      </c>
      <c r="KN3" s="123" t="s">
        <v>373</v>
      </c>
      <c r="KO3" s="123" t="s">
        <v>374</v>
      </c>
      <c r="KP3" s="123" t="s">
        <v>375</v>
      </c>
      <c r="KQ3" s="123" t="s">
        <v>376</v>
      </c>
      <c r="KR3" s="123" t="s">
        <v>377</v>
      </c>
      <c r="KS3" s="123" t="s">
        <v>378</v>
      </c>
      <c r="KT3" s="123" t="s">
        <v>379</v>
      </c>
      <c r="KU3" s="123" t="s">
        <v>380</v>
      </c>
      <c r="KV3" s="123" t="s">
        <v>381</v>
      </c>
      <c r="KW3" s="123" t="s">
        <v>382</v>
      </c>
      <c r="KX3" s="123" t="s">
        <v>383</v>
      </c>
      <c r="KY3" s="123" t="s">
        <v>384</v>
      </c>
      <c r="KZ3" s="123" t="s">
        <v>385</v>
      </c>
      <c r="LA3" s="123" t="s">
        <v>386</v>
      </c>
      <c r="LB3" s="123" t="s">
        <v>387</v>
      </c>
      <c r="LC3" s="123" t="s">
        <v>388</v>
      </c>
      <c r="LD3" s="123" t="s">
        <v>389</v>
      </c>
      <c r="LE3" s="123" t="s">
        <v>390</v>
      </c>
      <c r="LF3" s="123" t="s">
        <v>391</v>
      </c>
      <c r="LG3" s="123" t="s">
        <v>392</v>
      </c>
      <c r="LH3" s="123" t="s">
        <v>393</v>
      </c>
      <c r="LI3" s="123" t="s">
        <v>394</v>
      </c>
      <c r="LJ3" s="123" t="s">
        <v>395</v>
      </c>
      <c r="LK3" s="123" t="s">
        <v>396</v>
      </c>
      <c r="LL3" s="123" t="s">
        <v>397</v>
      </c>
      <c r="LM3" s="123" t="s">
        <v>398</v>
      </c>
      <c r="LN3" s="123" t="s">
        <v>399</v>
      </c>
      <c r="LO3" s="123" t="s">
        <v>400</v>
      </c>
      <c r="LP3" s="123" t="s">
        <v>401</v>
      </c>
      <c r="LQ3" s="123" t="s">
        <v>402</v>
      </c>
      <c r="LR3" s="123" t="s">
        <v>403</v>
      </c>
      <c r="LS3" s="123" t="s">
        <v>404</v>
      </c>
      <c r="LT3" s="123" t="s">
        <v>405</v>
      </c>
      <c r="LU3" s="123" t="s">
        <v>406</v>
      </c>
      <c r="LV3" s="123" t="s">
        <v>407</v>
      </c>
      <c r="LW3" s="123" t="s">
        <v>408</v>
      </c>
    </row>
    <row r="4" spans="1:335" ht="23.25" customHeight="1" x14ac:dyDescent="0.25">
      <c r="A4" s="24">
        <v>1</v>
      </c>
      <c r="B4" s="20"/>
      <c r="C4" s="5" t="str">
        <f>IF(ISBLANK(B4),"",VLOOKUP(B4,tbl_PLOs[],2,0))</f>
        <v/>
      </c>
      <c r="D4" s="102"/>
      <c r="E4" s="10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22"/>
      <c r="FO4" s="121" t="str">
        <f>IF(ISBLANK(tbl_task10[[คะแนนเต็ม]:[คะแนนเต็ม]]),"",(tbl_task10[1]/tbl_task10[[คะแนนเต็ม]:[คะแนนเต็ม]])*tbl_task10[[%]:[%]])</f>
        <v/>
      </c>
      <c r="FP4" s="121" t="str">
        <f>IF(ISBLANK(tbl_task10[[คะแนนเต็ม]:[คะแนนเต็ม]]),"",(tbl_task10[2]/tbl_task10[[คะแนนเต็ม]:[คะแนนเต็ม]])*tbl_task10[[%]:[%]])</f>
        <v/>
      </c>
      <c r="FQ4" s="121" t="str">
        <f>IF(ISBLANK(tbl_task10[[คะแนนเต็ม]:[คะแนนเต็ม]]),"",(tbl_task10[3]/tbl_task10[[คะแนนเต็ม]:[คะแนนเต็ม]])*tbl_task10[[%]:[%]])</f>
        <v/>
      </c>
      <c r="FR4" s="121" t="str">
        <f>IF(ISBLANK(tbl_task10[[คะแนนเต็ม]:[คะแนนเต็ม]]),"",(tbl_task10[4]/tbl_task10[[คะแนนเต็ม]:[คะแนนเต็ม]])*tbl_task10[[%]:[%]])</f>
        <v/>
      </c>
      <c r="FS4" s="121" t="str">
        <f>IF(ISBLANK(tbl_task10[[คะแนนเต็ม]:[คะแนนเต็ม]]),"",(tbl_task10[5]/tbl_task10[[คะแนนเต็ม]:[คะแนนเต็ม]])*tbl_task10[[%]:[%]])</f>
        <v/>
      </c>
      <c r="FT4" s="121" t="str">
        <f>IF(ISBLANK(tbl_task10[[คะแนนเต็ม]:[คะแนนเต็ม]]),"",(tbl_task10[6]/tbl_task10[[คะแนนเต็ม]:[คะแนนเต็ม]])*tbl_task10[[%]:[%]])</f>
        <v/>
      </c>
      <c r="FU4" s="121" t="str">
        <f>IF(ISBLANK(tbl_task10[[คะแนนเต็ม]:[คะแนนเต็ม]]),"",(tbl_task10[7]/tbl_task10[[คะแนนเต็ม]:[คะแนนเต็ม]])*tbl_task10[[%]:[%]])</f>
        <v/>
      </c>
      <c r="FV4" s="121" t="str">
        <f>IF(ISBLANK(tbl_task10[[คะแนนเต็ม]:[คะแนนเต็ม]]),"",(tbl_task10[8]/tbl_task10[[คะแนนเต็ม]:[คะแนนเต็ม]])*tbl_task10[[%]:[%]])</f>
        <v/>
      </c>
      <c r="FW4" s="121" t="str">
        <f>IF(ISBLANK(tbl_task10[[คะแนนเต็ม]:[คะแนนเต็ม]]),"",(tbl_task10[9]/tbl_task10[[คะแนนเต็ม]:[คะแนนเต็ม]])*tbl_task10[[%]:[%]])</f>
        <v/>
      </c>
      <c r="FX4" s="121" t="str">
        <f>IF(ISBLANK(tbl_task10[[คะแนนเต็ม]:[คะแนนเต็ม]]),"",(tbl_task10[10]/tbl_task10[[คะแนนเต็ม]:[คะแนนเต็ม]])*tbl_task10[[%]:[%]])</f>
        <v/>
      </c>
      <c r="FY4" s="121" t="str">
        <f>IF(ISBLANK(tbl_task10[[คะแนนเต็ม]:[คะแนนเต็ม]]),"",(tbl_task10[11]/tbl_task10[[คะแนนเต็ม]:[คะแนนเต็ม]])*tbl_task10[[%]:[%]])</f>
        <v/>
      </c>
      <c r="FZ4" s="121" t="str">
        <f>IF(ISBLANK(tbl_task10[[คะแนนเต็ม]:[คะแนนเต็ม]]),"",(tbl_task10[12]/tbl_task10[[คะแนนเต็ม]:[คะแนนเต็ม]])*tbl_task10[[%]:[%]])</f>
        <v/>
      </c>
      <c r="GA4" s="121" t="str">
        <f>IF(ISBLANK(tbl_task10[[คะแนนเต็ม]:[คะแนนเต็ม]]),"",(tbl_task10[13]/tbl_task10[[คะแนนเต็ม]:[คะแนนเต็ม]])*tbl_task10[[%]:[%]])</f>
        <v/>
      </c>
      <c r="GB4" s="121" t="str">
        <f>IF(ISBLANK(tbl_task10[[คะแนนเต็ม]:[คะแนนเต็ม]]),"",(tbl_task10[14]/tbl_task10[[คะแนนเต็ม]:[คะแนนเต็ม]])*tbl_task10[[%]:[%]])</f>
        <v/>
      </c>
      <c r="GC4" s="121" t="str">
        <f>IF(ISBLANK(tbl_task10[[คะแนนเต็ม]:[คะแนนเต็ม]]),"",(tbl_task10[15]/tbl_task10[[คะแนนเต็ม]:[คะแนนเต็ม]])*tbl_task10[[%]:[%]])</f>
        <v/>
      </c>
      <c r="GD4" s="121" t="str">
        <f>IF(ISBLANK(tbl_task10[[คะแนนเต็ม]:[คะแนนเต็ม]]),"",(tbl_task10[16]/tbl_task10[[คะแนนเต็ม]:[คะแนนเต็ม]])*tbl_task10[[%]:[%]])</f>
        <v/>
      </c>
      <c r="GE4" s="121" t="str">
        <f>IF(ISBLANK(tbl_task10[[คะแนนเต็ม]:[คะแนนเต็ม]]),"",(tbl_task10[17]/tbl_task10[[คะแนนเต็ม]:[คะแนนเต็ม]])*tbl_task10[[%]:[%]])</f>
        <v/>
      </c>
      <c r="GF4" s="121" t="str">
        <f>IF(ISBLANK(tbl_task10[[คะแนนเต็ม]:[คะแนนเต็ม]]),"",(tbl_task10[18]/tbl_task10[[คะแนนเต็ม]:[คะแนนเต็ม]])*tbl_task10[[%]:[%]])</f>
        <v/>
      </c>
      <c r="GG4" s="121" t="str">
        <f>IF(ISBLANK(tbl_task10[[คะแนนเต็ม]:[คะแนนเต็ม]]),"",(tbl_task10[19]/tbl_task10[[คะแนนเต็ม]:[คะแนนเต็ม]])*tbl_task10[[%]:[%]])</f>
        <v/>
      </c>
      <c r="GH4" s="121" t="str">
        <f>IF(ISBLANK(tbl_task10[[คะแนนเต็ม]:[คะแนนเต็ม]]),"",(tbl_task10[20]/tbl_task10[[คะแนนเต็ม]:[คะแนนเต็ม]])*tbl_task10[[%]:[%]])</f>
        <v/>
      </c>
      <c r="GI4" s="121" t="str">
        <f>IF(ISBLANK(tbl_task10[[คะแนนเต็ม]:[คะแนนเต็ม]]),"",(tbl_task10[21]/tbl_task10[[คะแนนเต็ม]:[คะแนนเต็ม]])*tbl_task10[[%]:[%]])</f>
        <v/>
      </c>
      <c r="GJ4" s="121" t="str">
        <f>IF(ISBLANK(tbl_task10[[คะแนนเต็ม]:[คะแนนเต็ม]]),"",(tbl_task10[22]/tbl_task10[[คะแนนเต็ม]:[คะแนนเต็ม]])*tbl_task10[[%]:[%]])</f>
        <v/>
      </c>
      <c r="GK4" s="121" t="str">
        <f>IF(ISBLANK(tbl_task10[[คะแนนเต็ม]:[คะแนนเต็ม]]),"",(tbl_task10[23]/tbl_task10[[คะแนนเต็ม]:[คะแนนเต็ม]])*tbl_task10[[%]:[%]])</f>
        <v/>
      </c>
      <c r="GL4" s="121" t="str">
        <f>IF(ISBLANK(tbl_task10[[คะแนนเต็ม]:[คะแนนเต็ม]]),"",(tbl_task10[24]/tbl_task10[[คะแนนเต็ม]:[คะแนนเต็ม]])*tbl_task10[[%]:[%]])</f>
        <v/>
      </c>
      <c r="GM4" s="121" t="str">
        <f>IF(ISBLANK(tbl_task10[[คะแนนเต็ม]:[คะแนนเต็ม]]),"",(tbl_task10[25]/tbl_task10[[คะแนนเต็ม]:[คะแนนเต็ม]])*tbl_task10[[%]:[%]])</f>
        <v/>
      </c>
      <c r="GN4" s="121" t="str">
        <f>IF(ISBLANK(tbl_task10[[คะแนนเต็ม]:[คะแนนเต็ม]]),"",(tbl_task10[26]/tbl_task10[[คะแนนเต็ม]:[คะแนนเต็ม]])*tbl_task10[[%]:[%]])</f>
        <v/>
      </c>
      <c r="GO4" s="121" t="str">
        <f>IF(ISBLANK(tbl_task10[[คะแนนเต็ม]:[คะแนนเต็ม]]),"",(tbl_task10[27]/tbl_task10[[คะแนนเต็ม]:[คะแนนเต็ม]])*tbl_task10[[%]:[%]])</f>
        <v/>
      </c>
      <c r="GP4" s="121" t="str">
        <f>IF(ISBLANK(tbl_task10[[คะแนนเต็ม]:[คะแนนเต็ม]]),"",(tbl_task10[28]/tbl_task10[[คะแนนเต็ม]:[คะแนนเต็ม]])*tbl_task10[[%]:[%]])</f>
        <v/>
      </c>
      <c r="GQ4" s="121" t="str">
        <f>IF(ISBLANK(tbl_task10[[คะแนนเต็ม]:[คะแนนเต็ม]]),"",(tbl_task10[29]/tbl_task10[[คะแนนเต็ม]:[คะแนนเต็ม]])*tbl_task10[[%]:[%]])</f>
        <v/>
      </c>
      <c r="GR4" s="121" t="str">
        <f>IF(ISBLANK(tbl_task10[[คะแนนเต็ม]:[คะแนนเต็ม]]),"",(tbl_task10[30]/tbl_task10[[คะแนนเต็ม]:[คะแนนเต็ม]])*tbl_task10[[%]:[%]])</f>
        <v/>
      </c>
      <c r="GS4" s="121" t="str">
        <f>IF(ISBLANK(tbl_task10[[คะแนนเต็ม]:[คะแนนเต็ม]]),"",(tbl_task10[31]/tbl_task10[[คะแนนเต็ม]:[คะแนนเต็ม]])*tbl_task10[[%]:[%]])</f>
        <v/>
      </c>
      <c r="GT4" s="121" t="str">
        <f>IF(ISBLANK(tbl_task10[[คะแนนเต็ม]:[คะแนนเต็ม]]),"",(tbl_task10[32]/tbl_task10[[คะแนนเต็ม]:[คะแนนเต็ม]])*tbl_task10[[%]:[%]])</f>
        <v/>
      </c>
      <c r="GU4" s="121" t="str">
        <f>IF(ISBLANK(tbl_task10[[คะแนนเต็ม]:[คะแนนเต็ม]]),"",(tbl_task10[33]/tbl_task10[[คะแนนเต็ม]:[คะแนนเต็ม]])*tbl_task10[[%]:[%]])</f>
        <v/>
      </c>
      <c r="GV4" s="121" t="str">
        <f>IF(ISBLANK(tbl_task10[[คะแนนเต็ม]:[คะแนนเต็ม]]),"",(tbl_task10[34]/tbl_task10[[คะแนนเต็ม]:[คะแนนเต็ม]])*tbl_task10[[%]:[%]])</f>
        <v/>
      </c>
      <c r="GW4" s="121" t="str">
        <f>IF(ISBLANK(tbl_task10[[คะแนนเต็ม]:[คะแนนเต็ม]]),"",(tbl_task10[35]/tbl_task10[[คะแนนเต็ม]:[คะแนนเต็ม]])*tbl_task10[[%]:[%]])</f>
        <v/>
      </c>
      <c r="GX4" s="121" t="str">
        <f>IF(ISBLANK(tbl_task10[[คะแนนเต็ม]:[คะแนนเต็ม]]),"",(tbl_task10[36]/tbl_task10[[คะแนนเต็ม]:[คะแนนเต็ม]])*tbl_task10[[%]:[%]])</f>
        <v/>
      </c>
      <c r="GY4" s="121" t="str">
        <f>IF(ISBLANK(tbl_task10[[คะแนนเต็ม]:[คะแนนเต็ม]]),"",(tbl_task10[37]/tbl_task10[[คะแนนเต็ม]:[คะแนนเต็ม]])*tbl_task10[[%]:[%]])</f>
        <v/>
      </c>
      <c r="GZ4" s="121" t="str">
        <f>IF(ISBLANK(tbl_task10[[คะแนนเต็ม]:[คะแนนเต็ม]]),"",(tbl_task10[38]/tbl_task10[[คะแนนเต็ม]:[คะแนนเต็ม]])*tbl_task10[[%]:[%]])</f>
        <v/>
      </c>
      <c r="HA4" s="121" t="str">
        <f>IF(ISBLANK(tbl_task10[[คะแนนเต็ม]:[คะแนนเต็ม]]),"",(tbl_task10[39]/tbl_task10[[คะแนนเต็ม]:[คะแนนเต็ม]])*tbl_task10[[%]:[%]])</f>
        <v/>
      </c>
      <c r="HB4" s="121" t="str">
        <f>IF(ISBLANK(tbl_task10[[คะแนนเต็ม]:[คะแนนเต็ม]]),"",(tbl_task10[40]/tbl_task10[[คะแนนเต็ม]:[คะแนนเต็ม]])*tbl_task10[[%]:[%]])</f>
        <v/>
      </c>
      <c r="HC4" s="121" t="str">
        <f>IF(ISBLANK(tbl_task10[[คะแนนเต็ม]:[คะแนนเต็ม]]),"",(tbl_task10[41]/tbl_task10[[คะแนนเต็ม]:[คะแนนเต็ม]])*tbl_task10[[%]:[%]])</f>
        <v/>
      </c>
      <c r="HD4" s="121" t="str">
        <f>IF(ISBLANK(tbl_task10[[คะแนนเต็ม]:[คะแนนเต็ม]]),"",(tbl_task10[42]/tbl_task10[[คะแนนเต็ม]:[คะแนนเต็ม]])*tbl_task10[[%]:[%]])</f>
        <v/>
      </c>
      <c r="HE4" s="121" t="str">
        <f>IF(ISBLANK(tbl_task10[[คะแนนเต็ม]:[คะแนนเต็ม]]),"",(tbl_task10[43]/tbl_task10[[คะแนนเต็ม]:[คะแนนเต็ม]])*tbl_task10[[%]:[%]])</f>
        <v/>
      </c>
      <c r="HF4" s="121" t="str">
        <f>IF(ISBLANK(tbl_task10[[คะแนนเต็ม]:[คะแนนเต็ม]]),"",(tbl_task10[44]/tbl_task10[[คะแนนเต็ม]:[คะแนนเต็ม]])*tbl_task10[[%]:[%]])</f>
        <v/>
      </c>
      <c r="HG4" s="121" t="str">
        <f>IF(ISBLANK(tbl_task10[[คะแนนเต็ม]:[คะแนนเต็ม]]),"",(tbl_task10[45]/tbl_task10[[คะแนนเต็ม]:[คะแนนเต็ม]])*tbl_task10[[%]:[%]])</f>
        <v/>
      </c>
      <c r="HH4" s="121" t="str">
        <f>IF(ISBLANK(tbl_task10[[คะแนนเต็ม]:[คะแนนเต็ม]]),"",(tbl_task10[46]/tbl_task10[[คะแนนเต็ม]:[คะแนนเต็ม]])*tbl_task10[[%]:[%]])</f>
        <v/>
      </c>
      <c r="HI4" s="121" t="str">
        <f>IF(ISBLANK(tbl_task10[[คะแนนเต็ม]:[คะแนนเต็ม]]),"",(tbl_task10[47]/tbl_task10[[คะแนนเต็ม]:[คะแนนเต็ม]])*tbl_task10[[%]:[%]])</f>
        <v/>
      </c>
      <c r="HJ4" s="121" t="str">
        <f>IF(ISBLANK(tbl_task10[[คะแนนเต็ม]:[คะแนนเต็ม]]),"",(tbl_task10[48]/tbl_task10[[คะแนนเต็ม]:[คะแนนเต็ม]])*tbl_task10[[%]:[%]])</f>
        <v/>
      </c>
      <c r="HK4" s="121" t="str">
        <f>IF(ISBLANK(tbl_task10[[คะแนนเต็ม]:[คะแนนเต็ม]]),"",(tbl_task10[49]/tbl_task10[[คะแนนเต็ม]:[คะแนนเต็ม]])*tbl_task10[[%]:[%]])</f>
        <v/>
      </c>
      <c r="HL4" s="121" t="str">
        <f>IF(ISBLANK(tbl_task10[[คะแนนเต็ม]:[คะแนนเต็ม]]),"",(tbl_task10[50]/tbl_task10[[คะแนนเต็ม]:[คะแนนเต็ม]])*tbl_task10[[%]:[%]])</f>
        <v/>
      </c>
      <c r="HM4" s="121" t="str">
        <f>IF(ISBLANK(tbl_task10[[คะแนนเต็ม]:[คะแนนเต็ม]]),"",(tbl_task10[51]/tbl_task10[[คะแนนเต็ม]:[คะแนนเต็ม]])*tbl_task10[[%]:[%]])</f>
        <v/>
      </c>
      <c r="HN4" s="121" t="str">
        <f>IF(ISBLANK(tbl_task10[[คะแนนเต็ม]:[คะแนนเต็ม]]),"",(tbl_task10[52]/tbl_task10[[คะแนนเต็ม]:[คะแนนเต็ม]])*tbl_task10[[%]:[%]])</f>
        <v/>
      </c>
      <c r="HO4" s="121" t="str">
        <f>IF(ISBLANK(tbl_task10[[คะแนนเต็ม]:[คะแนนเต็ม]]),"",(tbl_task10[53]/tbl_task10[[คะแนนเต็ม]:[คะแนนเต็ม]])*tbl_task10[[%]:[%]])</f>
        <v/>
      </c>
      <c r="HP4" s="121" t="str">
        <f>IF(ISBLANK(tbl_task10[[คะแนนเต็ม]:[คะแนนเต็ม]]),"",(tbl_task10[54]/tbl_task10[[คะแนนเต็ม]:[คะแนนเต็ม]])*tbl_task10[[%]:[%]])</f>
        <v/>
      </c>
      <c r="HQ4" s="121" t="str">
        <f>IF(ISBLANK(tbl_task10[[คะแนนเต็ม]:[คะแนนเต็ม]]),"",(tbl_task10[55]/tbl_task10[[คะแนนเต็ม]:[คะแนนเต็ม]])*tbl_task10[[%]:[%]])</f>
        <v/>
      </c>
      <c r="HR4" s="121" t="str">
        <f>IF(ISBLANK(tbl_task10[[คะแนนเต็ม]:[คะแนนเต็ม]]),"",(tbl_task10[56]/tbl_task10[[คะแนนเต็ม]:[คะแนนเต็ม]])*tbl_task10[[%]:[%]])</f>
        <v/>
      </c>
      <c r="HS4" s="121" t="str">
        <f>IF(ISBLANK(tbl_task10[[คะแนนเต็ม]:[คะแนนเต็ม]]),"",(tbl_task10[57]/tbl_task10[[คะแนนเต็ม]:[คะแนนเต็ม]])*tbl_task10[[%]:[%]])</f>
        <v/>
      </c>
      <c r="HT4" s="121" t="str">
        <f>IF(ISBLANK(tbl_task10[[คะแนนเต็ม]:[คะแนนเต็ม]]),"",(tbl_task10[58]/tbl_task10[[คะแนนเต็ม]:[คะแนนเต็ม]])*tbl_task10[[%]:[%]])</f>
        <v/>
      </c>
      <c r="HU4" s="121" t="str">
        <f>IF(ISBLANK(tbl_task10[[คะแนนเต็ม]:[คะแนนเต็ม]]),"",(tbl_task10[59]/tbl_task10[[คะแนนเต็ม]:[คะแนนเต็ม]])*tbl_task10[[%]:[%]])</f>
        <v/>
      </c>
      <c r="HV4" s="121" t="str">
        <f>IF(ISBLANK(tbl_task10[[คะแนนเต็ม]:[คะแนนเต็ม]]),"",(tbl_task10[60]/tbl_task10[[คะแนนเต็ม]:[คะแนนเต็ม]])*tbl_task10[[%]:[%]])</f>
        <v/>
      </c>
      <c r="HW4" s="121" t="str">
        <f>IF(ISBLANK(tbl_task10[[คะแนนเต็ม]:[คะแนนเต็ม]]),"",(tbl_task10[61]/tbl_task10[[คะแนนเต็ม]:[คะแนนเต็ม]])*tbl_task10[[%]:[%]])</f>
        <v/>
      </c>
      <c r="HX4" s="121" t="str">
        <f>IF(ISBLANK(tbl_task10[[คะแนนเต็ม]:[คะแนนเต็ม]]),"",(tbl_task10[62]/tbl_task10[[คะแนนเต็ม]:[คะแนนเต็ม]])*tbl_task10[[%]:[%]])</f>
        <v/>
      </c>
      <c r="HY4" s="121" t="str">
        <f>IF(ISBLANK(tbl_task10[[คะแนนเต็ม]:[คะแนนเต็ม]]),"",(tbl_task10[63]/tbl_task10[[คะแนนเต็ม]:[คะแนนเต็ม]])*tbl_task10[[%]:[%]])</f>
        <v/>
      </c>
      <c r="HZ4" s="121" t="str">
        <f>IF(ISBLANK(tbl_task10[[คะแนนเต็ม]:[คะแนนเต็ม]]),"",(tbl_task10[64]/tbl_task10[[คะแนนเต็ม]:[คะแนนเต็ม]])*tbl_task10[[%]:[%]])</f>
        <v/>
      </c>
      <c r="IA4" s="121" t="str">
        <f>IF(ISBLANK(tbl_task10[[คะแนนเต็ม]:[คะแนนเต็ม]]),"",(tbl_task10[65]/tbl_task10[[คะแนนเต็ม]:[คะแนนเต็ม]])*tbl_task10[[%]:[%]])</f>
        <v/>
      </c>
      <c r="IB4" s="121" t="str">
        <f>IF(ISBLANK(tbl_task10[[คะแนนเต็ม]:[คะแนนเต็ม]]),"",(tbl_task10[66]/tbl_task10[[คะแนนเต็ม]:[คะแนนเต็ม]])*tbl_task10[[%]:[%]])</f>
        <v/>
      </c>
      <c r="IC4" s="121" t="str">
        <f>IF(ISBLANK(tbl_task10[[คะแนนเต็ม]:[คะแนนเต็ม]]),"",(tbl_task10[67]/tbl_task10[[คะแนนเต็ม]:[คะแนนเต็ม]])*tbl_task10[[%]:[%]])</f>
        <v/>
      </c>
      <c r="ID4" s="121" t="str">
        <f>IF(ISBLANK(tbl_task10[[คะแนนเต็ม]:[คะแนนเต็ม]]),"",(tbl_task10[68]/tbl_task10[[คะแนนเต็ม]:[คะแนนเต็ม]])*tbl_task10[[%]:[%]])</f>
        <v/>
      </c>
      <c r="IE4" s="121" t="str">
        <f>IF(ISBLANK(tbl_task10[[คะแนนเต็ม]:[คะแนนเต็ม]]),"",(tbl_task10[69]/tbl_task10[[คะแนนเต็ม]:[คะแนนเต็ม]])*tbl_task10[[%]:[%]])</f>
        <v/>
      </c>
      <c r="IF4" s="121" t="str">
        <f>IF(ISBLANK(tbl_task10[[คะแนนเต็ม]:[คะแนนเต็ม]]),"",(tbl_task10[70]/tbl_task10[[คะแนนเต็ม]:[คะแนนเต็ม]])*tbl_task10[[%]:[%]])</f>
        <v/>
      </c>
      <c r="IG4" s="121" t="str">
        <f>IF(ISBLANK(tbl_task10[[คะแนนเต็ม]:[คะแนนเต็ม]]),"",(tbl_task10[71]/tbl_task10[[คะแนนเต็ม]:[คะแนนเต็ม]])*tbl_task10[[%]:[%]])</f>
        <v/>
      </c>
      <c r="IH4" s="121" t="str">
        <f>IF(ISBLANK(tbl_task10[[คะแนนเต็ม]:[คะแนนเต็ม]]),"",(tbl_task10[72]/tbl_task10[[คะแนนเต็ม]:[คะแนนเต็ม]])*tbl_task10[[%]:[%]])</f>
        <v/>
      </c>
      <c r="II4" s="121" t="str">
        <f>IF(ISBLANK(tbl_task10[[คะแนนเต็ม]:[คะแนนเต็ม]]),"",(tbl_task10[73]/tbl_task10[[คะแนนเต็ม]:[คะแนนเต็ม]])*tbl_task10[[%]:[%]])</f>
        <v/>
      </c>
      <c r="IJ4" s="121" t="str">
        <f>IF(ISBLANK(tbl_task10[[คะแนนเต็ม]:[คะแนนเต็ม]]),"",(tbl_task10[74]/tbl_task10[[คะแนนเต็ม]:[คะแนนเต็ม]])*tbl_task10[[%]:[%]])</f>
        <v/>
      </c>
      <c r="IK4" s="121" t="str">
        <f>IF(ISBLANK(tbl_task10[[คะแนนเต็ม]:[คะแนนเต็ม]]),"",(tbl_task10[75]/tbl_task10[[คะแนนเต็ม]:[คะแนนเต็ม]])*tbl_task10[[%]:[%]])</f>
        <v/>
      </c>
      <c r="IL4" s="121" t="str">
        <f>IF(ISBLANK(tbl_task10[[คะแนนเต็ม]:[คะแนนเต็ม]]),"",(tbl_task10[76]/tbl_task10[[คะแนนเต็ม]:[คะแนนเต็ม]])*tbl_task10[[%]:[%]])</f>
        <v/>
      </c>
      <c r="IM4" s="121" t="str">
        <f>IF(ISBLANK(tbl_task10[[คะแนนเต็ม]:[คะแนนเต็ม]]),"",(tbl_task10[77]/tbl_task10[[คะแนนเต็ม]:[คะแนนเต็ม]])*tbl_task10[[%]:[%]])</f>
        <v/>
      </c>
      <c r="IN4" s="121" t="str">
        <f>IF(ISBLANK(tbl_task10[[คะแนนเต็ม]:[คะแนนเต็ม]]),"",(tbl_task10[78]/tbl_task10[[คะแนนเต็ม]:[คะแนนเต็ม]])*tbl_task10[[%]:[%]])</f>
        <v/>
      </c>
      <c r="IO4" s="121" t="str">
        <f>IF(ISBLANK(tbl_task10[[คะแนนเต็ม]:[คะแนนเต็ม]]),"",(tbl_task10[79]/tbl_task10[[คะแนนเต็ม]:[คะแนนเต็ม]])*tbl_task10[[%]:[%]])</f>
        <v/>
      </c>
      <c r="IP4" s="121" t="str">
        <f>IF(ISBLANK(tbl_task10[[คะแนนเต็ม]:[คะแนนเต็ม]]),"",(tbl_task10[80]/tbl_task10[[คะแนนเต็ม]:[คะแนนเต็ม]])*tbl_task10[[%]:[%]])</f>
        <v/>
      </c>
      <c r="IQ4" s="121" t="str">
        <f>IF(ISBLANK(tbl_task10[[คะแนนเต็ม]:[คะแนนเต็ม]]),"",(tbl_task10[81]/tbl_task10[[คะแนนเต็ม]:[คะแนนเต็ม]])*tbl_task10[[%]:[%]])</f>
        <v/>
      </c>
      <c r="IR4" s="121" t="str">
        <f>IF(ISBLANK(tbl_task10[[คะแนนเต็ม]:[คะแนนเต็ม]]),"",(tbl_task10[82]/tbl_task10[[คะแนนเต็ม]:[คะแนนเต็ม]])*tbl_task10[[%]:[%]])</f>
        <v/>
      </c>
      <c r="IS4" s="121" t="str">
        <f>IF(ISBLANK(tbl_task10[[คะแนนเต็ม]:[คะแนนเต็ม]]),"",(tbl_task10[83]/tbl_task10[[คะแนนเต็ม]:[คะแนนเต็ม]])*tbl_task10[[%]:[%]])</f>
        <v/>
      </c>
      <c r="IT4" s="121" t="str">
        <f>IF(ISBLANK(tbl_task10[[คะแนนเต็ม]:[คะแนนเต็ม]]),"",(tbl_task10[84]/tbl_task10[[คะแนนเต็ม]:[คะแนนเต็ม]])*tbl_task10[[%]:[%]])</f>
        <v/>
      </c>
      <c r="IU4" s="121" t="str">
        <f>IF(ISBLANK(tbl_task10[[คะแนนเต็ม]:[คะแนนเต็ม]]),"",(tbl_task10[85]/tbl_task10[[คะแนนเต็ม]:[คะแนนเต็ม]])*tbl_task10[[%]:[%]])</f>
        <v/>
      </c>
      <c r="IV4" s="121" t="str">
        <f>IF(ISBLANK(tbl_task10[[คะแนนเต็ม]:[คะแนนเต็ม]]),"",(tbl_task10[86]/tbl_task10[[คะแนนเต็ม]:[คะแนนเต็ม]])*tbl_task10[[%]:[%]])</f>
        <v/>
      </c>
      <c r="IW4" s="121" t="str">
        <f>IF(ISBLANK(tbl_task10[[คะแนนเต็ม]:[คะแนนเต็ม]]),"",(tbl_task10[87]/tbl_task10[[คะแนนเต็ม]:[คะแนนเต็ม]])*tbl_task10[[%]:[%]])</f>
        <v/>
      </c>
      <c r="IX4" s="121" t="str">
        <f>IF(ISBLANK(tbl_task10[[คะแนนเต็ม]:[คะแนนเต็ม]]),"",(tbl_task10[88]/tbl_task10[[คะแนนเต็ม]:[คะแนนเต็ม]])*tbl_task10[[%]:[%]])</f>
        <v/>
      </c>
      <c r="IY4" s="121" t="str">
        <f>IF(ISBLANK(tbl_task10[[คะแนนเต็ม]:[คะแนนเต็ม]]),"",(tbl_task10[89]/tbl_task10[[คะแนนเต็ม]:[คะแนนเต็ม]])*tbl_task10[[%]:[%]])</f>
        <v/>
      </c>
      <c r="IZ4" s="121" t="str">
        <f>IF(ISBLANK(tbl_task10[[คะแนนเต็ม]:[คะแนนเต็ม]]),"",(tbl_task10[90]/tbl_task10[[คะแนนเต็ม]:[คะแนนเต็ม]])*tbl_task10[[%]:[%]])</f>
        <v/>
      </c>
      <c r="JA4" s="121" t="str">
        <f>IF(ISBLANK(tbl_task10[[คะแนนเต็ม]:[คะแนนเต็ม]]),"",(tbl_task10[91]/tbl_task10[[คะแนนเต็ม]:[คะแนนเต็ม]])*tbl_task10[[%]:[%]])</f>
        <v/>
      </c>
      <c r="JB4" s="121" t="str">
        <f>IF(ISBLANK(tbl_task10[[คะแนนเต็ม]:[คะแนนเต็ม]]),"",(tbl_task10[92]/tbl_task10[[คะแนนเต็ม]:[คะแนนเต็ม]])*tbl_task10[[%]:[%]])</f>
        <v/>
      </c>
      <c r="JC4" s="121" t="str">
        <f>IF(ISBLANK(tbl_task10[[คะแนนเต็ม]:[คะแนนเต็ม]]),"",(tbl_task10[93]/tbl_task10[[คะแนนเต็ม]:[คะแนนเต็ม]])*tbl_task10[[%]:[%]])</f>
        <v/>
      </c>
      <c r="JD4" s="121" t="str">
        <f>IF(ISBLANK(tbl_task10[[คะแนนเต็ม]:[คะแนนเต็ม]]),"",(tbl_task10[94]/tbl_task10[[คะแนนเต็ม]:[คะแนนเต็ม]])*tbl_task10[[%]:[%]])</f>
        <v/>
      </c>
      <c r="JE4" s="121" t="str">
        <f>IF(ISBLANK(tbl_task10[[คะแนนเต็ม]:[คะแนนเต็ม]]),"",(tbl_task10[95]/tbl_task10[[คะแนนเต็ม]:[คะแนนเต็ม]])*tbl_task10[[%]:[%]])</f>
        <v/>
      </c>
      <c r="JF4" s="121" t="str">
        <f>IF(ISBLANK(tbl_task10[[คะแนนเต็ม]:[คะแนนเต็ม]]),"",(tbl_task10[96]/tbl_task10[[คะแนนเต็ม]:[คะแนนเต็ม]])*tbl_task10[[%]:[%]])</f>
        <v/>
      </c>
      <c r="JG4" s="121" t="str">
        <f>IF(ISBLANK(tbl_task10[[คะแนนเต็ม]:[คะแนนเต็ม]]),"",(tbl_task10[97]/tbl_task10[[คะแนนเต็ม]:[คะแนนเต็ม]])*tbl_task10[[%]:[%]])</f>
        <v/>
      </c>
      <c r="JH4" s="121" t="str">
        <f>IF(ISBLANK(tbl_task10[[คะแนนเต็ม]:[คะแนนเต็ม]]),"",(tbl_task10[98]/tbl_task10[[คะแนนเต็ม]:[คะแนนเต็ม]])*tbl_task10[[%]:[%]])</f>
        <v/>
      </c>
      <c r="JI4" s="121" t="str">
        <f>IF(ISBLANK(tbl_task10[[คะแนนเต็ม]:[คะแนนเต็ม]]),"",(tbl_task10[99]/tbl_task10[[คะแนนเต็ม]:[คะแนนเต็ม]])*tbl_task10[[%]:[%]])</f>
        <v/>
      </c>
      <c r="JJ4" s="121" t="str">
        <f>IF(ISBLANK(tbl_task10[[คะแนนเต็ม]:[คะแนนเต็ม]]),"",(tbl_task10[100]/tbl_task10[[คะแนนเต็ม]:[คะแนนเต็ม]])*tbl_task10[[%]:[%]])</f>
        <v/>
      </c>
      <c r="JK4" s="121" t="str">
        <f>IF(ISBLANK(tbl_task10[[คะแนนเต็ม]:[คะแนนเต็ม]]),"",(tbl_task10[101]/tbl_task10[[คะแนนเต็ม]:[คะแนนเต็ม]])*tbl_task10[[%]:[%]])</f>
        <v/>
      </c>
      <c r="JL4" s="121" t="str">
        <f>IF(ISBLANK(tbl_task10[[คะแนนเต็ม]:[คะแนนเต็ม]]),"",(tbl_task10[102]/tbl_task10[[คะแนนเต็ม]:[คะแนนเต็ม]])*tbl_task10[[%]:[%]])</f>
        <v/>
      </c>
      <c r="JM4" s="121" t="str">
        <f>IF(ISBLANK(tbl_task10[[คะแนนเต็ม]:[คะแนนเต็ม]]),"",(tbl_task10[103]/tbl_task10[[คะแนนเต็ม]:[คะแนนเต็ม]])*tbl_task10[[%]:[%]])</f>
        <v/>
      </c>
      <c r="JN4" s="121" t="str">
        <f>IF(ISBLANK(tbl_task10[[คะแนนเต็ม]:[คะแนนเต็ม]]),"",(tbl_task10[104]/tbl_task10[[คะแนนเต็ม]:[คะแนนเต็ม]])*tbl_task10[[%]:[%]])</f>
        <v/>
      </c>
      <c r="JO4" s="121" t="str">
        <f>IF(ISBLANK(tbl_task10[[คะแนนเต็ม]:[คะแนนเต็ม]]),"",(tbl_task10[105]/tbl_task10[[คะแนนเต็ม]:[คะแนนเต็ม]])*tbl_task10[[%]:[%]])</f>
        <v/>
      </c>
      <c r="JP4" s="121" t="str">
        <f>IF(ISBLANK(tbl_task10[[คะแนนเต็ม]:[คะแนนเต็ม]]),"",(tbl_task10[106]/tbl_task10[[คะแนนเต็ม]:[คะแนนเต็ม]])*tbl_task10[[%]:[%]])</f>
        <v/>
      </c>
      <c r="JQ4" s="121" t="str">
        <f>IF(ISBLANK(tbl_task10[[คะแนนเต็ม]:[คะแนนเต็ม]]),"",(tbl_task10[107]/tbl_task10[[คะแนนเต็ม]:[คะแนนเต็ม]])*tbl_task10[[%]:[%]])</f>
        <v/>
      </c>
      <c r="JR4" s="121" t="str">
        <f>IF(ISBLANK(tbl_task10[[คะแนนเต็ม]:[คะแนนเต็ม]]),"",(tbl_task10[108]/tbl_task10[[คะแนนเต็ม]:[คะแนนเต็ม]])*tbl_task10[[%]:[%]])</f>
        <v/>
      </c>
      <c r="JS4" s="121" t="str">
        <f>IF(ISBLANK(tbl_task10[[คะแนนเต็ม]:[คะแนนเต็ม]]),"",(tbl_task10[109]/tbl_task10[[คะแนนเต็ม]:[คะแนนเต็ม]])*tbl_task10[[%]:[%]])</f>
        <v/>
      </c>
      <c r="JT4" s="121" t="str">
        <f>IF(ISBLANK(tbl_task10[[คะแนนเต็ม]:[คะแนนเต็ม]]),"",(tbl_task10[110]/tbl_task10[[คะแนนเต็ม]:[คะแนนเต็ม]])*tbl_task10[[%]:[%]])</f>
        <v/>
      </c>
      <c r="JU4" s="121" t="str">
        <f>IF(ISBLANK(tbl_task10[[คะแนนเต็ม]:[คะแนนเต็ม]]),"",(tbl_task10[111]/tbl_task10[[คะแนนเต็ม]:[คะแนนเต็ม]])*tbl_task10[[%]:[%]])</f>
        <v/>
      </c>
      <c r="JV4" s="121" t="str">
        <f>IF(ISBLANK(tbl_task10[[คะแนนเต็ม]:[คะแนนเต็ม]]),"",(tbl_task10[112]/tbl_task10[[คะแนนเต็ม]:[คะแนนเต็ม]])*tbl_task10[[%]:[%]])</f>
        <v/>
      </c>
      <c r="JW4" s="121" t="str">
        <f>IF(ISBLANK(tbl_task10[[คะแนนเต็ม]:[คะแนนเต็ม]]),"",(tbl_task10[113]/tbl_task10[[คะแนนเต็ม]:[คะแนนเต็ม]])*tbl_task10[[%]:[%]])</f>
        <v/>
      </c>
      <c r="JX4" s="121" t="str">
        <f>IF(ISBLANK(tbl_task10[[คะแนนเต็ม]:[คะแนนเต็ม]]),"",(tbl_task10[114]/tbl_task10[[คะแนนเต็ม]:[คะแนนเต็ม]])*tbl_task10[[%]:[%]])</f>
        <v/>
      </c>
      <c r="JY4" s="121" t="str">
        <f>IF(ISBLANK(tbl_task10[[คะแนนเต็ม]:[คะแนนเต็ม]]),"",(tbl_task10[115]/tbl_task10[[คะแนนเต็ม]:[คะแนนเต็ม]])*tbl_task10[[%]:[%]])</f>
        <v/>
      </c>
      <c r="JZ4" s="121" t="str">
        <f>IF(ISBLANK(tbl_task10[[คะแนนเต็ม]:[คะแนนเต็ม]]),"",(tbl_task10[116]/tbl_task10[[คะแนนเต็ม]:[คะแนนเต็ม]])*tbl_task10[[%]:[%]])</f>
        <v/>
      </c>
      <c r="KA4" s="121" t="str">
        <f>IF(ISBLANK(tbl_task10[[คะแนนเต็ม]:[คะแนนเต็ม]]),"",(tbl_task10[117]/tbl_task10[[คะแนนเต็ม]:[คะแนนเต็ม]])*tbl_task10[[%]:[%]])</f>
        <v/>
      </c>
      <c r="KB4" s="121" t="str">
        <f>IF(ISBLANK(tbl_task10[[คะแนนเต็ม]:[คะแนนเต็ม]]),"",(tbl_task10[118]/tbl_task10[[คะแนนเต็ม]:[คะแนนเต็ม]])*tbl_task10[[%]:[%]])</f>
        <v/>
      </c>
      <c r="KC4" s="121" t="str">
        <f>IF(ISBLANK(tbl_task10[[คะแนนเต็ม]:[คะแนนเต็ม]]),"",(tbl_task10[119]/tbl_task10[[คะแนนเต็ม]:[คะแนนเต็ม]])*tbl_task10[[%]:[%]])</f>
        <v/>
      </c>
      <c r="KD4" s="121" t="str">
        <f>IF(ISBLANK(tbl_task10[[คะแนนเต็ม]:[คะแนนเต็ม]]),"",(tbl_task10[120]/tbl_task10[[คะแนนเต็ม]:[คะแนนเต็ม]])*tbl_task10[[%]:[%]])</f>
        <v/>
      </c>
      <c r="KE4" s="121" t="str">
        <f>IF(ISBLANK(tbl_task10[[คะแนนเต็ม]:[คะแนนเต็ม]]),"",(tbl_task10[121]/tbl_task10[[คะแนนเต็ม]:[คะแนนเต็ม]])*tbl_task10[[%]:[%]])</f>
        <v/>
      </c>
      <c r="KF4" s="121" t="str">
        <f>IF(ISBLANK(tbl_task10[[คะแนนเต็ม]:[คะแนนเต็ม]]),"",(tbl_task10[122]/tbl_task10[[คะแนนเต็ม]:[คะแนนเต็ม]])*tbl_task10[[%]:[%]])</f>
        <v/>
      </c>
      <c r="KG4" s="121" t="str">
        <f>IF(ISBLANK(tbl_task10[[คะแนนเต็ม]:[คะแนนเต็ม]]),"",(tbl_task10[123]/tbl_task10[[คะแนนเต็ม]:[คะแนนเต็ม]])*tbl_task10[[%]:[%]])</f>
        <v/>
      </c>
      <c r="KH4" s="121" t="str">
        <f>IF(ISBLANK(tbl_task10[[คะแนนเต็ม]:[คะแนนเต็ม]]),"",(tbl_task10[124]/tbl_task10[[คะแนนเต็ม]:[คะแนนเต็ม]])*tbl_task10[[%]:[%]])</f>
        <v/>
      </c>
      <c r="KI4" s="121" t="str">
        <f>IF(ISBLANK(tbl_task10[[คะแนนเต็ม]:[คะแนนเต็ม]]),"",(tbl_task10[125]/tbl_task10[[คะแนนเต็ม]:[คะแนนเต็ม]])*tbl_task10[[%]:[%]])</f>
        <v/>
      </c>
      <c r="KJ4" s="121" t="str">
        <f>IF(ISBLANK(tbl_task10[[คะแนนเต็ม]:[คะแนนเต็ม]]),"",(tbl_task10[126]/tbl_task10[[คะแนนเต็ม]:[คะแนนเต็ม]])*tbl_task10[[%]:[%]])</f>
        <v/>
      </c>
      <c r="KK4" s="121" t="str">
        <f>IF(ISBLANK(tbl_task10[[คะแนนเต็ม]:[คะแนนเต็ม]]),"",(tbl_task10[127]/tbl_task10[[คะแนนเต็ม]:[คะแนนเต็ม]])*tbl_task10[[%]:[%]])</f>
        <v/>
      </c>
      <c r="KL4" s="121" t="str">
        <f>IF(ISBLANK(tbl_task10[[คะแนนเต็ม]:[คะแนนเต็ม]]),"",(tbl_task10[128]/tbl_task10[[คะแนนเต็ม]:[คะแนนเต็ม]])*tbl_task10[[%]:[%]])</f>
        <v/>
      </c>
      <c r="KM4" s="121" t="str">
        <f>IF(ISBLANK(tbl_task10[[คะแนนเต็ม]:[คะแนนเต็ม]]),"",(tbl_task10[129]/tbl_task10[[คะแนนเต็ม]:[คะแนนเต็ม]])*tbl_task10[[%]:[%]])</f>
        <v/>
      </c>
      <c r="KN4" s="121" t="str">
        <f>IF(ISBLANK(tbl_task10[[คะแนนเต็ม]:[คะแนนเต็ม]]),"",(tbl_task10[130]/tbl_task10[[คะแนนเต็ม]:[คะแนนเต็ม]])*tbl_task10[[%]:[%]])</f>
        <v/>
      </c>
      <c r="KO4" s="121" t="str">
        <f>IF(ISBLANK(tbl_task10[[คะแนนเต็ม]:[คะแนนเต็ม]]),"",(tbl_task10[131]/tbl_task10[[คะแนนเต็ม]:[คะแนนเต็ม]])*tbl_task10[[%]:[%]])</f>
        <v/>
      </c>
      <c r="KP4" s="121" t="str">
        <f>IF(ISBLANK(tbl_task10[[คะแนนเต็ม]:[คะแนนเต็ม]]),"",(tbl_task10[132]/tbl_task10[[คะแนนเต็ม]:[คะแนนเต็ม]])*tbl_task10[[%]:[%]])</f>
        <v/>
      </c>
      <c r="KQ4" s="121" t="str">
        <f>IF(ISBLANK(tbl_task10[[คะแนนเต็ม]:[คะแนนเต็ม]]),"",(tbl_task10[133]/tbl_task10[[คะแนนเต็ม]:[คะแนนเต็ม]])*tbl_task10[[%]:[%]])</f>
        <v/>
      </c>
      <c r="KR4" s="121" t="str">
        <f>IF(ISBLANK(tbl_task10[[คะแนนเต็ม]:[คะแนนเต็ม]]),"",(tbl_task10[134]/tbl_task10[[คะแนนเต็ม]:[คะแนนเต็ม]])*tbl_task10[[%]:[%]])</f>
        <v/>
      </c>
      <c r="KS4" s="121" t="str">
        <f>IF(ISBLANK(tbl_task10[[คะแนนเต็ม]:[คะแนนเต็ม]]),"",(tbl_task10[135]/tbl_task10[[คะแนนเต็ม]:[คะแนนเต็ม]])*tbl_task10[[%]:[%]])</f>
        <v/>
      </c>
      <c r="KT4" s="121" t="str">
        <f>IF(ISBLANK(tbl_task10[[คะแนนเต็ม]:[คะแนนเต็ม]]),"",(tbl_task10[136]/tbl_task10[[คะแนนเต็ม]:[คะแนนเต็ม]])*tbl_task10[[%]:[%]])</f>
        <v/>
      </c>
      <c r="KU4" s="121" t="str">
        <f>IF(ISBLANK(tbl_task10[[คะแนนเต็ม]:[คะแนนเต็ม]]),"",(tbl_task10[137]/tbl_task10[[คะแนนเต็ม]:[คะแนนเต็ม]])*tbl_task10[[%]:[%]])</f>
        <v/>
      </c>
      <c r="KV4" s="121" t="str">
        <f>IF(ISBLANK(tbl_task10[[คะแนนเต็ม]:[คะแนนเต็ม]]),"",(tbl_task10[138]/tbl_task10[[คะแนนเต็ม]:[คะแนนเต็ม]])*tbl_task10[[%]:[%]])</f>
        <v/>
      </c>
      <c r="KW4" s="121" t="str">
        <f>IF(ISBLANK(tbl_task10[[คะแนนเต็ม]:[คะแนนเต็ม]]),"",(tbl_task10[139]/tbl_task10[[คะแนนเต็ม]:[คะแนนเต็ม]])*tbl_task10[[%]:[%]])</f>
        <v/>
      </c>
      <c r="KX4" s="121" t="str">
        <f>IF(ISBLANK(tbl_task10[[คะแนนเต็ม]:[คะแนนเต็ม]]),"",(tbl_task10[140]/tbl_task10[[คะแนนเต็ม]:[คะแนนเต็ม]])*tbl_task10[[%]:[%]])</f>
        <v/>
      </c>
      <c r="KY4" s="121" t="str">
        <f>IF(ISBLANK(tbl_task10[[คะแนนเต็ม]:[คะแนนเต็ม]]),"",(tbl_task10[141]/tbl_task10[[คะแนนเต็ม]:[คะแนนเต็ม]])*tbl_task10[[%]:[%]])</f>
        <v/>
      </c>
      <c r="KZ4" s="121" t="str">
        <f>IF(ISBLANK(tbl_task10[[คะแนนเต็ม]:[คะแนนเต็ม]]),"",(tbl_task10[142]/tbl_task10[[คะแนนเต็ม]:[คะแนนเต็ม]])*tbl_task10[[%]:[%]])</f>
        <v/>
      </c>
      <c r="LA4" s="121" t="str">
        <f>IF(ISBLANK(tbl_task10[[คะแนนเต็ม]:[คะแนนเต็ม]]),"",(tbl_task10[143]/tbl_task10[[คะแนนเต็ม]:[คะแนนเต็ม]])*tbl_task10[[%]:[%]])</f>
        <v/>
      </c>
      <c r="LB4" s="121" t="str">
        <f>IF(ISBLANK(tbl_task10[[คะแนนเต็ม]:[คะแนนเต็ม]]),"",(tbl_task10[144]/tbl_task10[[คะแนนเต็ม]:[คะแนนเต็ม]])*tbl_task10[[%]:[%]])</f>
        <v/>
      </c>
      <c r="LC4" s="121" t="str">
        <f>IF(ISBLANK(tbl_task10[[คะแนนเต็ม]:[คะแนนเต็ม]]),"",(tbl_task10[145]/tbl_task10[[คะแนนเต็ม]:[คะแนนเต็ม]])*tbl_task10[[%]:[%]])</f>
        <v/>
      </c>
      <c r="LD4" s="121" t="str">
        <f>IF(ISBLANK(tbl_task10[[คะแนนเต็ม]:[คะแนนเต็ม]]),"",(tbl_task10[146]/tbl_task10[[คะแนนเต็ม]:[คะแนนเต็ม]])*tbl_task10[[%]:[%]])</f>
        <v/>
      </c>
      <c r="LE4" s="121" t="str">
        <f>IF(ISBLANK(tbl_task10[[คะแนนเต็ม]:[คะแนนเต็ม]]),"",(tbl_task10[147]/tbl_task10[[คะแนนเต็ม]:[คะแนนเต็ม]])*tbl_task10[[%]:[%]])</f>
        <v/>
      </c>
      <c r="LF4" s="121" t="str">
        <f>IF(ISBLANK(tbl_task10[[คะแนนเต็ม]:[คะแนนเต็ม]]),"",(tbl_task10[148]/tbl_task10[[คะแนนเต็ม]:[คะแนนเต็ม]])*tbl_task10[[%]:[%]])</f>
        <v/>
      </c>
      <c r="LG4" s="121" t="str">
        <f>IF(ISBLANK(tbl_task10[[คะแนนเต็ม]:[คะแนนเต็ม]]),"",(tbl_task10[149]/tbl_task10[[คะแนนเต็ม]:[คะแนนเต็ม]])*tbl_task10[[%]:[%]])</f>
        <v/>
      </c>
      <c r="LH4" s="121" t="str">
        <f>IF(ISBLANK(tbl_task10[[คะแนนเต็ม]:[คะแนนเต็ม]]),"",(tbl_task10[150]/tbl_task10[[คะแนนเต็ม]:[คะแนนเต็ม]])*tbl_task10[[%]:[%]])</f>
        <v/>
      </c>
      <c r="LI4" s="121" t="str">
        <f>IF(ISBLANK(tbl_task10[[คะแนนเต็ม]:[คะแนนเต็ม]]),"",(tbl_task10[151]/tbl_task10[[คะแนนเต็ม]:[คะแนนเต็ม]])*tbl_task10[[%]:[%]])</f>
        <v/>
      </c>
      <c r="LJ4" s="121" t="str">
        <f>IF(ISBLANK(tbl_task10[[คะแนนเต็ม]:[คะแนนเต็ม]]),"",(tbl_task10[152]/tbl_task10[[คะแนนเต็ม]:[คะแนนเต็ม]])*tbl_task10[[%]:[%]])</f>
        <v/>
      </c>
      <c r="LK4" s="121" t="str">
        <f>IF(ISBLANK(tbl_task10[[คะแนนเต็ม]:[คะแนนเต็ม]]),"",(tbl_task10[153]/tbl_task10[[คะแนนเต็ม]:[คะแนนเต็ม]])*tbl_task10[[%]:[%]])</f>
        <v/>
      </c>
      <c r="LL4" s="121" t="str">
        <f>IF(ISBLANK(tbl_task10[[คะแนนเต็ม]:[คะแนนเต็ม]]),"",(tbl_task10[154]/tbl_task10[[คะแนนเต็ม]:[คะแนนเต็ม]])*tbl_task10[[%]:[%]])</f>
        <v/>
      </c>
      <c r="LM4" s="121" t="str">
        <f>IF(ISBLANK(tbl_task10[[คะแนนเต็ม]:[คะแนนเต็ม]]),"",(tbl_task10[155]/tbl_task10[[คะแนนเต็ม]:[คะแนนเต็ม]])*tbl_task10[[%]:[%]])</f>
        <v/>
      </c>
      <c r="LN4" s="121" t="str">
        <f>IF(ISBLANK(tbl_task10[[คะแนนเต็ม]:[คะแนนเต็ม]]),"",(tbl_task10[156]/tbl_task10[[คะแนนเต็ม]:[คะแนนเต็ม]])*tbl_task10[[%]:[%]])</f>
        <v/>
      </c>
      <c r="LO4" s="121" t="str">
        <f>IF(ISBLANK(tbl_task10[[คะแนนเต็ม]:[คะแนนเต็ม]]),"",(tbl_task10[157]/tbl_task10[[คะแนนเต็ม]:[คะแนนเต็ม]])*tbl_task10[[%]:[%]])</f>
        <v/>
      </c>
      <c r="LP4" s="121" t="str">
        <f>IF(ISBLANK(tbl_task10[[คะแนนเต็ม]:[คะแนนเต็ม]]),"",(tbl_task10[158]/tbl_task10[[คะแนนเต็ม]:[คะแนนเต็ม]])*tbl_task10[[%]:[%]])</f>
        <v/>
      </c>
      <c r="LQ4" s="121" t="str">
        <f>IF(ISBLANK(tbl_task10[[คะแนนเต็ม]:[คะแนนเต็ม]]),"",(tbl_task10[159]/tbl_task10[[คะแนนเต็ม]:[คะแนนเต็ม]])*tbl_task10[[%]:[%]])</f>
        <v/>
      </c>
      <c r="LR4" s="121" t="str">
        <f>IF(ISBLANK(tbl_task10[[คะแนนเต็ม]:[คะแนนเต็ม]]),"",(tbl_task10[160]/tbl_task10[[คะแนนเต็ม]:[คะแนนเต็ม]])*tbl_task10[[%]:[%]])</f>
        <v/>
      </c>
      <c r="LS4" s="121" t="str">
        <f>IF(ISBLANK(tbl_task10[[คะแนนเต็ม]:[คะแนนเต็ม]]),"",(tbl_task10[161]/tbl_task10[[คะแนนเต็ม]:[คะแนนเต็ม]])*tbl_task10[[%]:[%]])</f>
        <v/>
      </c>
      <c r="LT4" s="121" t="str">
        <f>IF(ISBLANK(tbl_task10[[คะแนนเต็ม]:[คะแนนเต็ม]]),"",(tbl_task10[162]/tbl_task10[[คะแนนเต็ม]:[คะแนนเต็ม]])*tbl_task10[[%]:[%]])</f>
        <v/>
      </c>
      <c r="LU4" s="121" t="str">
        <f>IF(ISBLANK(tbl_task10[[คะแนนเต็ม]:[คะแนนเต็ม]]),"",(tbl_task10[163]/tbl_task10[[คะแนนเต็ม]:[คะแนนเต็ม]])*tbl_task10[[%]:[%]])</f>
        <v/>
      </c>
      <c r="LV4" s="121" t="str">
        <f>IF(ISBLANK(tbl_task10[[คะแนนเต็ม]:[คะแนนเต็ม]]),"",(tbl_task10[164]/tbl_task10[[คะแนนเต็ม]:[คะแนนเต็ม]])*tbl_task10[[%]:[%]])</f>
        <v/>
      </c>
      <c r="LW4" s="121" t="str">
        <f>IF(ISBLANK(tbl_task10[[คะแนนเต็ม]:[คะแนนเต็ม]]),"",(tbl_task10[165]/tbl_task10[[คะแนนเต็ม]:[คะแนนเต็ม]])*tbl_task10[[%]:[%]])</f>
        <v/>
      </c>
    </row>
    <row r="5" spans="1:335" ht="23.25" customHeight="1" x14ac:dyDescent="0.25">
      <c r="A5" s="24">
        <v>2</v>
      </c>
      <c r="B5" s="20"/>
      <c r="C5" s="5" t="str">
        <f>IF(ISBLANK(B5),"",VLOOKUP(B5,tbl_PLOs[],2,0))</f>
        <v/>
      </c>
      <c r="D5" s="102"/>
      <c r="E5" s="10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22"/>
      <c r="FO5" s="121" t="str">
        <f>IF(ISBLANK(tbl_task10[[คะแนนเต็ม]:[คะแนนเต็ม]]),"",(tbl_task10[1]/tbl_task10[[คะแนนเต็ม]:[คะแนนเต็ม]])*tbl_task10[[%]:[%]])</f>
        <v/>
      </c>
      <c r="FP5" s="121" t="str">
        <f>IF(ISBLANK(tbl_task10[[คะแนนเต็ม]:[คะแนนเต็ม]]),"",(tbl_task10[2]/tbl_task10[[คะแนนเต็ม]:[คะแนนเต็ม]])*tbl_task10[[%]:[%]])</f>
        <v/>
      </c>
      <c r="FQ5" s="121" t="str">
        <f>IF(ISBLANK(tbl_task10[[คะแนนเต็ม]:[คะแนนเต็ม]]),"",(tbl_task10[3]/tbl_task10[[คะแนนเต็ม]:[คะแนนเต็ม]])*tbl_task10[[%]:[%]])</f>
        <v/>
      </c>
      <c r="FR5" s="121" t="str">
        <f>IF(ISBLANK(tbl_task10[[คะแนนเต็ม]:[คะแนนเต็ม]]),"",(tbl_task10[4]/tbl_task10[[คะแนนเต็ม]:[คะแนนเต็ม]])*tbl_task10[[%]:[%]])</f>
        <v/>
      </c>
      <c r="FS5" s="121" t="str">
        <f>IF(ISBLANK(tbl_task10[[คะแนนเต็ม]:[คะแนนเต็ม]]),"",(tbl_task10[5]/tbl_task10[[คะแนนเต็ม]:[คะแนนเต็ม]])*tbl_task10[[%]:[%]])</f>
        <v/>
      </c>
      <c r="FT5" s="121" t="str">
        <f>IF(ISBLANK(tbl_task10[[คะแนนเต็ม]:[คะแนนเต็ม]]),"",(tbl_task10[6]/tbl_task10[[คะแนนเต็ม]:[คะแนนเต็ม]])*tbl_task10[[%]:[%]])</f>
        <v/>
      </c>
      <c r="FU5" s="121" t="str">
        <f>IF(ISBLANK(tbl_task10[[คะแนนเต็ม]:[คะแนนเต็ม]]),"",(tbl_task10[7]/tbl_task10[[คะแนนเต็ม]:[คะแนนเต็ม]])*tbl_task10[[%]:[%]])</f>
        <v/>
      </c>
      <c r="FV5" s="121" t="str">
        <f>IF(ISBLANK(tbl_task10[[คะแนนเต็ม]:[คะแนนเต็ม]]),"",(tbl_task10[8]/tbl_task10[[คะแนนเต็ม]:[คะแนนเต็ม]])*tbl_task10[[%]:[%]])</f>
        <v/>
      </c>
      <c r="FW5" s="121" t="str">
        <f>IF(ISBLANK(tbl_task10[[คะแนนเต็ม]:[คะแนนเต็ม]]),"",(tbl_task10[9]/tbl_task10[[คะแนนเต็ม]:[คะแนนเต็ม]])*tbl_task10[[%]:[%]])</f>
        <v/>
      </c>
      <c r="FX5" s="121" t="str">
        <f>IF(ISBLANK(tbl_task10[[คะแนนเต็ม]:[คะแนนเต็ม]]),"",(tbl_task10[10]/tbl_task10[[คะแนนเต็ม]:[คะแนนเต็ม]])*tbl_task10[[%]:[%]])</f>
        <v/>
      </c>
      <c r="FY5" s="121" t="str">
        <f>IF(ISBLANK(tbl_task10[[คะแนนเต็ม]:[คะแนนเต็ม]]),"",(tbl_task10[11]/tbl_task10[[คะแนนเต็ม]:[คะแนนเต็ม]])*tbl_task10[[%]:[%]])</f>
        <v/>
      </c>
      <c r="FZ5" s="121" t="str">
        <f>IF(ISBLANK(tbl_task10[[คะแนนเต็ม]:[คะแนนเต็ม]]),"",(tbl_task10[12]/tbl_task10[[คะแนนเต็ม]:[คะแนนเต็ม]])*tbl_task10[[%]:[%]])</f>
        <v/>
      </c>
      <c r="GA5" s="121" t="str">
        <f>IF(ISBLANK(tbl_task10[[คะแนนเต็ม]:[คะแนนเต็ม]]),"",(tbl_task10[13]/tbl_task10[[คะแนนเต็ม]:[คะแนนเต็ม]])*tbl_task10[[%]:[%]])</f>
        <v/>
      </c>
      <c r="GB5" s="121" t="str">
        <f>IF(ISBLANK(tbl_task10[[คะแนนเต็ม]:[คะแนนเต็ม]]),"",(tbl_task10[14]/tbl_task10[[คะแนนเต็ม]:[คะแนนเต็ม]])*tbl_task10[[%]:[%]])</f>
        <v/>
      </c>
      <c r="GC5" s="121" t="str">
        <f>IF(ISBLANK(tbl_task10[[คะแนนเต็ม]:[คะแนนเต็ม]]),"",(tbl_task10[15]/tbl_task10[[คะแนนเต็ม]:[คะแนนเต็ม]])*tbl_task10[[%]:[%]])</f>
        <v/>
      </c>
      <c r="GD5" s="121" t="str">
        <f>IF(ISBLANK(tbl_task10[[คะแนนเต็ม]:[คะแนนเต็ม]]),"",(tbl_task10[16]/tbl_task10[[คะแนนเต็ม]:[คะแนนเต็ม]])*tbl_task10[[%]:[%]])</f>
        <v/>
      </c>
      <c r="GE5" s="121" t="str">
        <f>IF(ISBLANK(tbl_task10[[คะแนนเต็ม]:[คะแนนเต็ม]]),"",(tbl_task10[17]/tbl_task10[[คะแนนเต็ม]:[คะแนนเต็ม]])*tbl_task10[[%]:[%]])</f>
        <v/>
      </c>
      <c r="GF5" s="121" t="str">
        <f>IF(ISBLANK(tbl_task10[[คะแนนเต็ม]:[คะแนนเต็ม]]),"",(tbl_task10[18]/tbl_task10[[คะแนนเต็ม]:[คะแนนเต็ม]])*tbl_task10[[%]:[%]])</f>
        <v/>
      </c>
      <c r="GG5" s="121" t="str">
        <f>IF(ISBLANK(tbl_task10[[คะแนนเต็ม]:[คะแนนเต็ม]]),"",(tbl_task10[19]/tbl_task10[[คะแนนเต็ม]:[คะแนนเต็ม]])*tbl_task10[[%]:[%]])</f>
        <v/>
      </c>
      <c r="GH5" s="121" t="str">
        <f>IF(ISBLANK(tbl_task10[[คะแนนเต็ม]:[คะแนนเต็ม]]),"",(tbl_task10[20]/tbl_task10[[คะแนนเต็ม]:[คะแนนเต็ม]])*tbl_task10[[%]:[%]])</f>
        <v/>
      </c>
      <c r="GI5" s="121" t="str">
        <f>IF(ISBLANK(tbl_task10[[คะแนนเต็ม]:[คะแนนเต็ม]]),"",(tbl_task10[21]/tbl_task10[[คะแนนเต็ม]:[คะแนนเต็ม]])*tbl_task10[[%]:[%]])</f>
        <v/>
      </c>
      <c r="GJ5" s="121" t="str">
        <f>IF(ISBLANK(tbl_task10[[คะแนนเต็ม]:[คะแนนเต็ม]]),"",(tbl_task10[22]/tbl_task10[[คะแนนเต็ม]:[คะแนนเต็ม]])*tbl_task10[[%]:[%]])</f>
        <v/>
      </c>
      <c r="GK5" s="121" t="str">
        <f>IF(ISBLANK(tbl_task10[[คะแนนเต็ม]:[คะแนนเต็ม]]),"",(tbl_task10[23]/tbl_task10[[คะแนนเต็ม]:[คะแนนเต็ม]])*tbl_task10[[%]:[%]])</f>
        <v/>
      </c>
      <c r="GL5" s="121" t="str">
        <f>IF(ISBLANK(tbl_task10[[คะแนนเต็ม]:[คะแนนเต็ม]]),"",(tbl_task10[24]/tbl_task10[[คะแนนเต็ม]:[คะแนนเต็ม]])*tbl_task10[[%]:[%]])</f>
        <v/>
      </c>
      <c r="GM5" s="121" t="str">
        <f>IF(ISBLANK(tbl_task10[[คะแนนเต็ม]:[คะแนนเต็ม]]),"",(tbl_task10[25]/tbl_task10[[คะแนนเต็ม]:[คะแนนเต็ม]])*tbl_task10[[%]:[%]])</f>
        <v/>
      </c>
      <c r="GN5" s="121" t="str">
        <f>IF(ISBLANK(tbl_task10[[คะแนนเต็ม]:[คะแนนเต็ม]]),"",(tbl_task10[26]/tbl_task10[[คะแนนเต็ม]:[คะแนนเต็ม]])*tbl_task10[[%]:[%]])</f>
        <v/>
      </c>
      <c r="GO5" s="121" t="str">
        <f>IF(ISBLANK(tbl_task10[[คะแนนเต็ม]:[คะแนนเต็ม]]),"",(tbl_task10[27]/tbl_task10[[คะแนนเต็ม]:[คะแนนเต็ม]])*tbl_task10[[%]:[%]])</f>
        <v/>
      </c>
      <c r="GP5" s="121" t="str">
        <f>IF(ISBLANK(tbl_task10[[คะแนนเต็ม]:[คะแนนเต็ม]]),"",(tbl_task10[28]/tbl_task10[[คะแนนเต็ม]:[คะแนนเต็ม]])*tbl_task10[[%]:[%]])</f>
        <v/>
      </c>
      <c r="GQ5" s="121" t="str">
        <f>IF(ISBLANK(tbl_task10[[คะแนนเต็ม]:[คะแนนเต็ม]]),"",(tbl_task10[29]/tbl_task10[[คะแนนเต็ม]:[คะแนนเต็ม]])*tbl_task10[[%]:[%]])</f>
        <v/>
      </c>
      <c r="GR5" s="121" t="str">
        <f>IF(ISBLANK(tbl_task10[[คะแนนเต็ม]:[คะแนนเต็ม]]),"",(tbl_task10[30]/tbl_task10[[คะแนนเต็ม]:[คะแนนเต็ม]])*tbl_task10[[%]:[%]])</f>
        <v/>
      </c>
      <c r="GS5" s="121" t="str">
        <f>IF(ISBLANK(tbl_task10[[คะแนนเต็ม]:[คะแนนเต็ม]]),"",(tbl_task10[31]/tbl_task10[[คะแนนเต็ม]:[คะแนนเต็ม]])*tbl_task10[[%]:[%]])</f>
        <v/>
      </c>
      <c r="GT5" s="121" t="str">
        <f>IF(ISBLANK(tbl_task10[[คะแนนเต็ม]:[คะแนนเต็ม]]),"",(tbl_task10[32]/tbl_task10[[คะแนนเต็ม]:[คะแนนเต็ม]])*tbl_task10[[%]:[%]])</f>
        <v/>
      </c>
      <c r="GU5" s="121" t="str">
        <f>IF(ISBLANK(tbl_task10[[คะแนนเต็ม]:[คะแนนเต็ม]]),"",(tbl_task10[33]/tbl_task10[[คะแนนเต็ม]:[คะแนนเต็ม]])*tbl_task10[[%]:[%]])</f>
        <v/>
      </c>
      <c r="GV5" s="121" t="str">
        <f>IF(ISBLANK(tbl_task10[[คะแนนเต็ม]:[คะแนนเต็ม]]),"",(tbl_task10[34]/tbl_task10[[คะแนนเต็ม]:[คะแนนเต็ม]])*tbl_task10[[%]:[%]])</f>
        <v/>
      </c>
      <c r="GW5" s="121" t="str">
        <f>IF(ISBLANK(tbl_task10[[คะแนนเต็ม]:[คะแนนเต็ม]]),"",(tbl_task10[35]/tbl_task10[[คะแนนเต็ม]:[คะแนนเต็ม]])*tbl_task10[[%]:[%]])</f>
        <v/>
      </c>
      <c r="GX5" s="121" t="str">
        <f>IF(ISBLANK(tbl_task10[[คะแนนเต็ม]:[คะแนนเต็ม]]),"",(tbl_task10[36]/tbl_task10[[คะแนนเต็ม]:[คะแนนเต็ม]])*tbl_task10[[%]:[%]])</f>
        <v/>
      </c>
      <c r="GY5" s="121" t="str">
        <f>IF(ISBLANK(tbl_task10[[คะแนนเต็ม]:[คะแนนเต็ม]]),"",(tbl_task10[37]/tbl_task10[[คะแนนเต็ม]:[คะแนนเต็ม]])*tbl_task10[[%]:[%]])</f>
        <v/>
      </c>
      <c r="GZ5" s="121" t="str">
        <f>IF(ISBLANK(tbl_task10[[คะแนนเต็ม]:[คะแนนเต็ม]]),"",(tbl_task10[38]/tbl_task10[[คะแนนเต็ม]:[คะแนนเต็ม]])*tbl_task10[[%]:[%]])</f>
        <v/>
      </c>
      <c r="HA5" s="121" t="str">
        <f>IF(ISBLANK(tbl_task10[[คะแนนเต็ม]:[คะแนนเต็ม]]),"",(tbl_task10[39]/tbl_task10[[คะแนนเต็ม]:[คะแนนเต็ม]])*tbl_task10[[%]:[%]])</f>
        <v/>
      </c>
      <c r="HB5" s="121" t="str">
        <f>IF(ISBLANK(tbl_task10[[คะแนนเต็ม]:[คะแนนเต็ม]]),"",(tbl_task10[40]/tbl_task10[[คะแนนเต็ม]:[คะแนนเต็ม]])*tbl_task10[[%]:[%]])</f>
        <v/>
      </c>
      <c r="HC5" s="121" t="str">
        <f>IF(ISBLANK(tbl_task10[[คะแนนเต็ม]:[คะแนนเต็ม]]),"",(tbl_task10[41]/tbl_task10[[คะแนนเต็ม]:[คะแนนเต็ม]])*tbl_task10[[%]:[%]])</f>
        <v/>
      </c>
      <c r="HD5" s="121" t="str">
        <f>IF(ISBLANK(tbl_task10[[คะแนนเต็ม]:[คะแนนเต็ม]]),"",(tbl_task10[42]/tbl_task10[[คะแนนเต็ม]:[คะแนนเต็ม]])*tbl_task10[[%]:[%]])</f>
        <v/>
      </c>
      <c r="HE5" s="121" t="str">
        <f>IF(ISBLANK(tbl_task10[[คะแนนเต็ม]:[คะแนนเต็ม]]),"",(tbl_task10[43]/tbl_task10[[คะแนนเต็ม]:[คะแนนเต็ม]])*tbl_task10[[%]:[%]])</f>
        <v/>
      </c>
      <c r="HF5" s="121" t="str">
        <f>IF(ISBLANK(tbl_task10[[คะแนนเต็ม]:[คะแนนเต็ม]]),"",(tbl_task10[44]/tbl_task10[[คะแนนเต็ม]:[คะแนนเต็ม]])*tbl_task10[[%]:[%]])</f>
        <v/>
      </c>
      <c r="HG5" s="121" t="str">
        <f>IF(ISBLANK(tbl_task10[[คะแนนเต็ม]:[คะแนนเต็ม]]),"",(tbl_task10[45]/tbl_task10[[คะแนนเต็ม]:[คะแนนเต็ม]])*tbl_task10[[%]:[%]])</f>
        <v/>
      </c>
      <c r="HH5" s="121" t="str">
        <f>IF(ISBLANK(tbl_task10[[คะแนนเต็ม]:[คะแนนเต็ม]]),"",(tbl_task10[46]/tbl_task10[[คะแนนเต็ม]:[คะแนนเต็ม]])*tbl_task10[[%]:[%]])</f>
        <v/>
      </c>
      <c r="HI5" s="121" t="str">
        <f>IF(ISBLANK(tbl_task10[[คะแนนเต็ม]:[คะแนนเต็ม]]),"",(tbl_task10[47]/tbl_task10[[คะแนนเต็ม]:[คะแนนเต็ม]])*tbl_task10[[%]:[%]])</f>
        <v/>
      </c>
      <c r="HJ5" s="121" t="str">
        <f>IF(ISBLANK(tbl_task10[[คะแนนเต็ม]:[คะแนนเต็ม]]),"",(tbl_task10[48]/tbl_task10[[คะแนนเต็ม]:[คะแนนเต็ม]])*tbl_task10[[%]:[%]])</f>
        <v/>
      </c>
      <c r="HK5" s="121" t="str">
        <f>IF(ISBLANK(tbl_task10[[คะแนนเต็ม]:[คะแนนเต็ม]]),"",(tbl_task10[49]/tbl_task10[[คะแนนเต็ม]:[คะแนนเต็ม]])*tbl_task10[[%]:[%]])</f>
        <v/>
      </c>
      <c r="HL5" s="121" t="str">
        <f>IF(ISBLANK(tbl_task10[[คะแนนเต็ม]:[คะแนนเต็ม]]),"",(tbl_task10[50]/tbl_task10[[คะแนนเต็ม]:[คะแนนเต็ม]])*tbl_task10[[%]:[%]])</f>
        <v/>
      </c>
      <c r="HM5" s="121" t="str">
        <f>IF(ISBLANK(tbl_task10[[คะแนนเต็ม]:[คะแนนเต็ม]]),"",(tbl_task10[51]/tbl_task10[[คะแนนเต็ม]:[คะแนนเต็ม]])*tbl_task10[[%]:[%]])</f>
        <v/>
      </c>
      <c r="HN5" s="121" t="str">
        <f>IF(ISBLANK(tbl_task10[[คะแนนเต็ม]:[คะแนนเต็ม]]),"",(tbl_task10[52]/tbl_task10[[คะแนนเต็ม]:[คะแนนเต็ม]])*tbl_task10[[%]:[%]])</f>
        <v/>
      </c>
      <c r="HO5" s="121" t="str">
        <f>IF(ISBLANK(tbl_task10[[คะแนนเต็ม]:[คะแนนเต็ม]]),"",(tbl_task10[53]/tbl_task10[[คะแนนเต็ม]:[คะแนนเต็ม]])*tbl_task10[[%]:[%]])</f>
        <v/>
      </c>
      <c r="HP5" s="121" t="str">
        <f>IF(ISBLANK(tbl_task10[[คะแนนเต็ม]:[คะแนนเต็ม]]),"",(tbl_task10[54]/tbl_task10[[คะแนนเต็ม]:[คะแนนเต็ม]])*tbl_task10[[%]:[%]])</f>
        <v/>
      </c>
      <c r="HQ5" s="121" t="str">
        <f>IF(ISBLANK(tbl_task10[[คะแนนเต็ม]:[คะแนนเต็ม]]),"",(tbl_task10[55]/tbl_task10[[คะแนนเต็ม]:[คะแนนเต็ม]])*tbl_task10[[%]:[%]])</f>
        <v/>
      </c>
      <c r="HR5" s="121" t="str">
        <f>IF(ISBLANK(tbl_task10[[คะแนนเต็ม]:[คะแนนเต็ม]]),"",(tbl_task10[56]/tbl_task10[[คะแนนเต็ม]:[คะแนนเต็ม]])*tbl_task10[[%]:[%]])</f>
        <v/>
      </c>
      <c r="HS5" s="121" t="str">
        <f>IF(ISBLANK(tbl_task10[[คะแนนเต็ม]:[คะแนนเต็ม]]),"",(tbl_task10[57]/tbl_task10[[คะแนนเต็ม]:[คะแนนเต็ม]])*tbl_task10[[%]:[%]])</f>
        <v/>
      </c>
      <c r="HT5" s="121" t="str">
        <f>IF(ISBLANK(tbl_task10[[คะแนนเต็ม]:[คะแนนเต็ม]]),"",(tbl_task10[58]/tbl_task10[[คะแนนเต็ม]:[คะแนนเต็ม]])*tbl_task10[[%]:[%]])</f>
        <v/>
      </c>
      <c r="HU5" s="121" t="str">
        <f>IF(ISBLANK(tbl_task10[[คะแนนเต็ม]:[คะแนนเต็ม]]),"",(tbl_task10[59]/tbl_task10[[คะแนนเต็ม]:[คะแนนเต็ม]])*tbl_task10[[%]:[%]])</f>
        <v/>
      </c>
      <c r="HV5" s="121" t="str">
        <f>IF(ISBLANK(tbl_task10[[คะแนนเต็ม]:[คะแนนเต็ม]]),"",(tbl_task10[60]/tbl_task10[[คะแนนเต็ม]:[คะแนนเต็ม]])*tbl_task10[[%]:[%]])</f>
        <v/>
      </c>
      <c r="HW5" s="121" t="str">
        <f>IF(ISBLANK(tbl_task10[[คะแนนเต็ม]:[คะแนนเต็ม]]),"",(tbl_task10[61]/tbl_task10[[คะแนนเต็ม]:[คะแนนเต็ม]])*tbl_task10[[%]:[%]])</f>
        <v/>
      </c>
      <c r="HX5" s="121" t="str">
        <f>IF(ISBLANK(tbl_task10[[คะแนนเต็ม]:[คะแนนเต็ม]]),"",(tbl_task10[62]/tbl_task10[[คะแนนเต็ม]:[คะแนนเต็ม]])*tbl_task10[[%]:[%]])</f>
        <v/>
      </c>
      <c r="HY5" s="121" t="str">
        <f>IF(ISBLANK(tbl_task10[[คะแนนเต็ม]:[คะแนนเต็ม]]),"",(tbl_task10[63]/tbl_task10[[คะแนนเต็ม]:[คะแนนเต็ม]])*tbl_task10[[%]:[%]])</f>
        <v/>
      </c>
      <c r="HZ5" s="121" t="str">
        <f>IF(ISBLANK(tbl_task10[[คะแนนเต็ม]:[คะแนนเต็ม]]),"",(tbl_task10[64]/tbl_task10[[คะแนนเต็ม]:[คะแนนเต็ม]])*tbl_task10[[%]:[%]])</f>
        <v/>
      </c>
      <c r="IA5" s="121" t="str">
        <f>IF(ISBLANK(tbl_task10[[คะแนนเต็ม]:[คะแนนเต็ม]]),"",(tbl_task10[65]/tbl_task10[[คะแนนเต็ม]:[คะแนนเต็ม]])*tbl_task10[[%]:[%]])</f>
        <v/>
      </c>
      <c r="IB5" s="121" t="str">
        <f>IF(ISBLANK(tbl_task10[[คะแนนเต็ม]:[คะแนนเต็ม]]),"",(tbl_task10[66]/tbl_task10[[คะแนนเต็ม]:[คะแนนเต็ม]])*tbl_task10[[%]:[%]])</f>
        <v/>
      </c>
      <c r="IC5" s="121" t="str">
        <f>IF(ISBLANK(tbl_task10[[คะแนนเต็ม]:[คะแนนเต็ม]]),"",(tbl_task10[67]/tbl_task10[[คะแนนเต็ม]:[คะแนนเต็ม]])*tbl_task10[[%]:[%]])</f>
        <v/>
      </c>
      <c r="ID5" s="121" t="str">
        <f>IF(ISBLANK(tbl_task10[[คะแนนเต็ม]:[คะแนนเต็ม]]),"",(tbl_task10[68]/tbl_task10[[คะแนนเต็ม]:[คะแนนเต็ม]])*tbl_task10[[%]:[%]])</f>
        <v/>
      </c>
      <c r="IE5" s="121" t="str">
        <f>IF(ISBLANK(tbl_task10[[คะแนนเต็ม]:[คะแนนเต็ม]]),"",(tbl_task10[69]/tbl_task10[[คะแนนเต็ม]:[คะแนนเต็ม]])*tbl_task10[[%]:[%]])</f>
        <v/>
      </c>
      <c r="IF5" s="121" t="str">
        <f>IF(ISBLANK(tbl_task10[[คะแนนเต็ม]:[คะแนนเต็ม]]),"",(tbl_task10[70]/tbl_task10[[คะแนนเต็ม]:[คะแนนเต็ม]])*tbl_task10[[%]:[%]])</f>
        <v/>
      </c>
      <c r="IG5" s="121" t="str">
        <f>IF(ISBLANK(tbl_task10[[คะแนนเต็ม]:[คะแนนเต็ม]]),"",(tbl_task10[71]/tbl_task10[[คะแนนเต็ม]:[คะแนนเต็ม]])*tbl_task10[[%]:[%]])</f>
        <v/>
      </c>
      <c r="IH5" s="121" t="str">
        <f>IF(ISBLANK(tbl_task10[[คะแนนเต็ม]:[คะแนนเต็ม]]),"",(tbl_task10[72]/tbl_task10[[คะแนนเต็ม]:[คะแนนเต็ม]])*tbl_task10[[%]:[%]])</f>
        <v/>
      </c>
      <c r="II5" s="121" t="str">
        <f>IF(ISBLANK(tbl_task10[[คะแนนเต็ม]:[คะแนนเต็ม]]),"",(tbl_task10[73]/tbl_task10[[คะแนนเต็ม]:[คะแนนเต็ม]])*tbl_task10[[%]:[%]])</f>
        <v/>
      </c>
      <c r="IJ5" s="121" t="str">
        <f>IF(ISBLANK(tbl_task10[[คะแนนเต็ม]:[คะแนนเต็ม]]),"",(tbl_task10[74]/tbl_task10[[คะแนนเต็ม]:[คะแนนเต็ม]])*tbl_task10[[%]:[%]])</f>
        <v/>
      </c>
      <c r="IK5" s="121" t="str">
        <f>IF(ISBLANK(tbl_task10[[คะแนนเต็ม]:[คะแนนเต็ม]]),"",(tbl_task10[75]/tbl_task10[[คะแนนเต็ม]:[คะแนนเต็ม]])*tbl_task10[[%]:[%]])</f>
        <v/>
      </c>
      <c r="IL5" s="121" t="str">
        <f>IF(ISBLANK(tbl_task10[[คะแนนเต็ม]:[คะแนนเต็ม]]),"",(tbl_task10[76]/tbl_task10[[คะแนนเต็ม]:[คะแนนเต็ม]])*tbl_task10[[%]:[%]])</f>
        <v/>
      </c>
      <c r="IM5" s="121" t="str">
        <f>IF(ISBLANK(tbl_task10[[คะแนนเต็ม]:[คะแนนเต็ม]]),"",(tbl_task10[77]/tbl_task10[[คะแนนเต็ม]:[คะแนนเต็ม]])*tbl_task10[[%]:[%]])</f>
        <v/>
      </c>
      <c r="IN5" s="121" t="str">
        <f>IF(ISBLANK(tbl_task10[[คะแนนเต็ม]:[คะแนนเต็ม]]),"",(tbl_task10[78]/tbl_task10[[คะแนนเต็ม]:[คะแนนเต็ม]])*tbl_task10[[%]:[%]])</f>
        <v/>
      </c>
      <c r="IO5" s="121" t="str">
        <f>IF(ISBLANK(tbl_task10[[คะแนนเต็ม]:[คะแนนเต็ม]]),"",(tbl_task10[79]/tbl_task10[[คะแนนเต็ม]:[คะแนนเต็ม]])*tbl_task10[[%]:[%]])</f>
        <v/>
      </c>
      <c r="IP5" s="121" t="str">
        <f>IF(ISBLANK(tbl_task10[[คะแนนเต็ม]:[คะแนนเต็ม]]),"",(tbl_task10[80]/tbl_task10[[คะแนนเต็ม]:[คะแนนเต็ม]])*tbl_task10[[%]:[%]])</f>
        <v/>
      </c>
      <c r="IQ5" s="121" t="str">
        <f>IF(ISBLANK(tbl_task10[[คะแนนเต็ม]:[คะแนนเต็ม]]),"",(tbl_task10[81]/tbl_task10[[คะแนนเต็ม]:[คะแนนเต็ม]])*tbl_task10[[%]:[%]])</f>
        <v/>
      </c>
      <c r="IR5" s="121" t="str">
        <f>IF(ISBLANK(tbl_task10[[คะแนนเต็ม]:[คะแนนเต็ม]]),"",(tbl_task10[82]/tbl_task10[[คะแนนเต็ม]:[คะแนนเต็ม]])*tbl_task10[[%]:[%]])</f>
        <v/>
      </c>
      <c r="IS5" s="121" t="str">
        <f>IF(ISBLANK(tbl_task10[[คะแนนเต็ม]:[คะแนนเต็ม]]),"",(tbl_task10[83]/tbl_task10[[คะแนนเต็ม]:[คะแนนเต็ม]])*tbl_task10[[%]:[%]])</f>
        <v/>
      </c>
      <c r="IT5" s="121" t="str">
        <f>IF(ISBLANK(tbl_task10[[คะแนนเต็ม]:[คะแนนเต็ม]]),"",(tbl_task10[84]/tbl_task10[[คะแนนเต็ม]:[คะแนนเต็ม]])*tbl_task10[[%]:[%]])</f>
        <v/>
      </c>
      <c r="IU5" s="121" t="str">
        <f>IF(ISBLANK(tbl_task10[[คะแนนเต็ม]:[คะแนนเต็ม]]),"",(tbl_task10[85]/tbl_task10[[คะแนนเต็ม]:[คะแนนเต็ม]])*tbl_task10[[%]:[%]])</f>
        <v/>
      </c>
      <c r="IV5" s="121" t="str">
        <f>IF(ISBLANK(tbl_task10[[คะแนนเต็ม]:[คะแนนเต็ม]]),"",(tbl_task10[86]/tbl_task10[[คะแนนเต็ม]:[คะแนนเต็ม]])*tbl_task10[[%]:[%]])</f>
        <v/>
      </c>
      <c r="IW5" s="121" t="str">
        <f>IF(ISBLANK(tbl_task10[[คะแนนเต็ม]:[คะแนนเต็ม]]),"",(tbl_task10[87]/tbl_task10[[คะแนนเต็ม]:[คะแนนเต็ม]])*tbl_task10[[%]:[%]])</f>
        <v/>
      </c>
      <c r="IX5" s="121" t="str">
        <f>IF(ISBLANK(tbl_task10[[คะแนนเต็ม]:[คะแนนเต็ม]]),"",(tbl_task10[88]/tbl_task10[[คะแนนเต็ม]:[คะแนนเต็ม]])*tbl_task10[[%]:[%]])</f>
        <v/>
      </c>
      <c r="IY5" s="121" t="str">
        <f>IF(ISBLANK(tbl_task10[[คะแนนเต็ม]:[คะแนนเต็ม]]),"",(tbl_task10[89]/tbl_task10[[คะแนนเต็ม]:[คะแนนเต็ม]])*tbl_task10[[%]:[%]])</f>
        <v/>
      </c>
      <c r="IZ5" s="121" t="str">
        <f>IF(ISBLANK(tbl_task10[[คะแนนเต็ม]:[คะแนนเต็ม]]),"",(tbl_task10[90]/tbl_task10[[คะแนนเต็ม]:[คะแนนเต็ม]])*tbl_task10[[%]:[%]])</f>
        <v/>
      </c>
      <c r="JA5" s="121" t="str">
        <f>IF(ISBLANK(tbl_task10[[คะแนนเต็ม]:[คะแนนเต็ม]]),"",(tbl_task10[91]/tbl_task10[[คะแนนเต็ม]:[คะแนนเต็ม]])*tbl_task10[[%]:[%]])</f>
        <v/>
      </c>
      <c r="JB5" s="121" t="str">
        <f>IF(ISBLANK(tbl_task10[[คะแนนเต็ม]:[คะแนนเต็ม]]),"",(tbl_task10[92]/tbl_task10[[คะแนนเต็ม]:[คะแนนเต็ม]])*tbl_task10[[%]:[%]])</f>
        <v/>
      </c>
      <c r="JC5" s="121" t="str">
        <f>IF(ISBLANK(tbl_task10[[คะแนนเต็ม]:[คะแนนเต็ม]]),"",(tbl_task10[93]/tbl_task10[[คะแนนเต็ม]:[คะแนนเต็ม]])*tbl_task10[[%]:[%]])</f>
        <v/>
      </c>
      <c r="JD5" s="121" t="str">
        <f>IF(ISBLANK(tbl_task10[[คะแนนเต็ม]:[คะแนนเต็ม]]),"",(tbl_task10[94]/tbl_task10[[คะแนนเต็ม]:[คะแนนเต็ม]])*tbl_task10[[%]:[%]])</f>
        <v/>
      </c>
      <c r="JE5" s="121" t="str">
        <f>IF(ISBLANK(tbl_task10[[คะแนนเต็ม]:[คะแนนเต็ม]]),"",(tbl_task10[95]/tbl_task10[[คะแนนเต็ม]:[คะแนนเต็ม]])*tbl_task10[[%]:[%]])</f>
        <v/>
      </c>
      <c r="JF5" s="121" t="str">
        <f>IF(ISBLANK(tbl_task10[[คะแนนเต็ม]:[คะแนนเต็ม]]),"",(tbl_task10[96]/tbl_task10[[คะแนนเต็ม]:[คะแนนเต็ม]])*tbl_task10[[%]:[%]])</f>
        <v/>
      </c>
      <c r="JG5" s="121" t="str">
        <f>IF(ISBLANK(tbl_task10[[คะแนนเต็ม]:[คะแนนเต็ม]]),"",(tbl_task10[97]/tbl_task10[[คะแนนเต็ม]:[คะแนนเต็ม]])*tbl_task10[[%]:[%]])</f>
        <v/>
      </c>
      <c r="JH5" s="121" t="str">
        <f>IF(ISBLANK(tbl_task10[[คะแนนเต็ม]:[คะแนนเต็ม]]),"",(tbl_task10[98]/tbl_task10[[คะแนนเต็ม]:[คะแนนเต็ม]])*tbl_task10[[%]:[%]])</f>
        <v/>
      </c>
      <c r="JI5" s="121" t="str">
        <f>IF(ISBLANK(tbl_task10[[คะแนนเต็ม]:[คะแนนเต็ม]]),"",(tbl_task10[99]/tbl_task10[[คะแนนเต็ม]:[คะแนนเต็ม]])*tbl_task10[[%]:[%]])</f>
        <v/>
      </c>
      <c r="JJ5" s="121" t="str">
        <f>IF(ISBLANK(tbl_task10[[คะแนนเต็ม]:[คะแนนเต็ม]]),"",(tbl_task10[100]/tbl_task10[[คะแนนเต็ม]:[คะแนนเต็ม]])*tbl_task10[[%]:[%]])</f>
        <v/>
      </c>
      <c r="JK5" s="121" t="str">
        <f>IF(ISBLANK(tbl_task10[[คะแนนเต็ม]:[คะแนนเต็ม]]),"",(tbl_task10[101]/tbl_task10[[คะแนนเต็ม]:[คะแนนเต็ม]])*tbl_task10[[%]:[%]])</f>
        <v/>
      </c>
      <c r="JL5" s="121" t="str">
        <f>IF(ISBLANK(tbl_task10[[คะแนนเต็ม]:[คะแนนเต็ม]]),"",(tbl_task10[102]/tbl_task10[[คะแนนเต็ม]:[คะแนนเต็ม]])*tbl_task10[[%]:[%]])</f>
        <v/>
      </c>
      <c r="JM5" s="121" t="str">
        <f>IF(ISBLANK(tbl_task10[[คะแนนเต็ม]:[คะแนนเต็ม]]),"",(tbl_task10[103]/tbl_task10[[คะแนนเต็ม]:[คะแนนเต็ม]])*tbl_task10[[%]:[%]])</f>
        <v/>
      </c>
      <c r="JN5" s="121" t="str">
        <f>IF(ISBLANK(tbl_task10[[คะแนนเต็ม]:[คะแนนเต็ม]]),"",(tbl_task10[104]/tbl_task10[[คะแนนเต็ม]:[คะแนนเต็ม]])*tbl_task10[[%]:[%]])</f>
        <v/>
      </c>
      <c r="JO5" s="121" t="str">
        <f>IF(ISBLANK(tbl_task10[[คะแนนเต็ม]:[คะแนนเต็ม]]),"",(tbl_task10[105]/tbl_task10[[คะแนนเต็ม]:[คะแนนเต็ม]])*tbl_task10[[%]:[%]])</f>
        <v/>
      </c>
      <c r="JP5" s="121" t="str">
        <f>IF(ISBLANK(tbl_task10[[คะแนนเต็ม]:[คะแนนเต็ม]]),"",(tbl_task10[106]/tbl_task10[[คะแนนเต็ม]:[คะแนนเต็ม]])*tbl_task10[[%]:[%]])</f>
        <v/>
      </c>
      <c r="JQ5" s="121" t="str">
        <f>IF(ISBLANK(tbl_task10[[คะแนนเต็ม]:[คะแนนเต็ม]]),"",(tbl_task10[107]/tbl_task10[[คะแนนเต็ม]:[คะแนนเต็ม]])*tbl_task10[[%]:[%]])</f>
        <v/>
      </c>
      <c r="JR5" s="121" t="str">
        <f>IF(ISBLANK(tbl_task10[[คะแนนเต็ม]:[คะแนนเต็ม]]),"",(tbl_task10[108]/tbl_task10[[คะแนนเต็ม]:[คะแนนเต็ม]])*tbl_task10[[%]:[%]])</f>
        <v/>
      </c>
      <c r="JS5" s="121" t="str">
        <f>IF(ISBLANK(tbl_task10[[คะแนนเต็ม]:[คะแนนเต็ม]]),"",(tbl_task10[109]/tbl_task10[[คะแนนเต็ม]:[คะแนนเต็ม]])*tbl_task10[[%]:[%]])</f>
        <v/>
      </c>
      <c r="JT5" s="121" t="str">
        <f>IF(ISBLANK(tbl_task10[[คะแนนเต็ม]:[คะแนนเต็ม]]),"",(tbl_task10[110]/tbl_task10[[คะแนนเต็ม]:[คะแนนเต็ม]])*tbl_task10[[%]:[%]])</f>
        <v/>
      </c>
      <c r="JU5" s="121" t="str">
        <f>IF(ISBLANK(tbl_task10[[คะแนนเต็ม]:[คะแนนเต็ม]]),"",(tbl_task10[111]/tbl_task10[[คะแนนเต็ม]:[คะแนนเต็ม]])*tbl_task10[[%]:[%]])</f>
        <v/>
      </c>
      <c r="JV5" s="121" t="str">
        <f>IF(ISBLANK(tbl_task10[[คะแนนเต็ม]:[คะแนนเต็ม]]),"",(tbl_task10[112]/tbl_task10[[คะแนนเต็ม]:[คะแนนเต็ม]])*tbl_task10[[%]:[%]])</f>
        <v/>
      </c>
      <c r="JW5" s="121" t="str">
        <f>IF(ISBLANK(tbl_task10[[คะแนนเต็ม]:[คะแนนเต็ม]]),"",(tbl_task10[113]/tbl_task10[[คะแนนเต็ม]:[คะแนนเต็ม]])*tbl_task10[[%]:[%]])</f>
        <v/>
      </c>
      <c r="JX5" s="121" t="str">
        <f>IF(ISBLANK(tbl_task10[[คะแนนเต็ม]:[คะแนนเต็ม]]),"",(tbl_task10[114]/tbl_task10[[คะแนนเต็ม]:[คะแนนเต็ม]])*tbl_task10[[%]:[%]])</f>
        <v/>
      </c>
      <c r="JY5" s="121" t="str">
        <f>IF(ISBLANK(tbl_task10[[คะแนนเต็ม]:[คะแนนเต็ม]]),"",(tbl_task10[115]/tbl_task10[[คะแนนเต็ม]:[คะแนนเต็ม]])*tbl_task10[[%]:[%]])</f>
        <v/>
      </c>
      <c r="JZ5" s="121" t="str">
        <f>IF(ISBLANK(tbl_task10[[คะแนนเต็ม]:[คะแนนเต็ม]]),"",(tbl_task10[116]/tbl_task10[[คะแนนเต็ม]:[คะแนนเต็ม]])*tbl_task10[[%]:[%]])</f>
        <v/>
      </c>
      <c r="KA5" s="121" t="str">
        <f>IF(ISBLANK(tbl_task10[[คะแนนเต็ม]:[คะแนนเต็ม]]),"",(tbl_task10[117]/tbl_task10[[คะแนนเต็ม]:[คะแนนเต็ม]])*tbl_task10[[%]:[%]])</f>
        <v/>
      </c>
      <c r="KB5" s="121" t="str">
        <f>IF(ISBLANK(tbl_task10[[คะแนนเต็ม]:[คะแนนเต็ม]]),"",(tbl_task10[118]/tbl_task10[[คะแนนเต็ม]:[คะแนนเต็ม]])*tbl_task10[[%]:[%]])</f>
        <v/>
      </c>
      <c r="KC5" s="121" t="str">
        <f>IF(ISBLANK(tbl_task10[[คะแนนเต็ม]:[คะแนนเต็ม]]),"",(tbl_task10[119]/tbl_task10[[คะแนนเต็ม]:[คะแนนเต็ม]])*tbl_task10[[%]:[%]])</f>
        <v/>
      </c>
      <c r="KD5" s="121" t="str">
        <f>IF(ISBLANK(tbl_task10[[คะแนนเต็ม]:[คะแนนเต็ม]]),"",(tbl_task10[120]/tbl_task10[[คะแนนเต็ม]:[คะแนนเต็ม]])*tbl_task10[[%]:[%]])</f>
        <v/>
      </c>
      <c r="KE5" s="121" t="str">
        <f>IF(ISBLANK(tbl_task10[[คะแนนเต็ม]:[คะแนนเต็ม]]),"",(tbl_task10[121]/tbl_task10[[คะแนนเต็ม]:[คะแนนเต็ม]])*tbl_task10[[%]:[%]])</f>
        <v/>
      </c>
      <c r="KF5" s="121" t="str">
        <f>IF(ISBLANK(tbl_task10[[คะแนนเต็ม]:[คะแนนเต็ม]]),"",(tbl_task10[122]/tbl_task10[[คะแนนเต็ม]:[คะแนนเต็ม]])*tbl_task10[[%]:[%]])</f>
        <v/>
      </c>
      <c r="KG5" s="121" t="str">
        <f>IF(ISBLANK(tbl_task10[[คะแนนเต็ม]:[คะแนนเต็ม]]),"",(tbl_task10[123]/tbl_task10[[คะแนนเต็ม]:[คะแนนเต็ม]])*tbl_task10[[%]:[%]])</f>
        <v/>
      </c>
      <c r="KH5" s="121" t="str">
        <f>IF(ISBLANK(tbl_task10[[คะแนนเต็ม]:[คะแนนเต็ม]]),"",(tbl_task10[124]/tbl_task10[[คะแนนเต็ม]:[คะแนนเต็ม]])*tbl_task10[[%]:[%]])</f>
        <v/>
      </c>
      <c r="KI5" s="121" t="str">
        <f>IF(ISBLANK(tbl_task10[[คะแนนเต็ม]:[คะแนนเต็ม]]),"",(tbl_task10[125]/tbl_task10[[คะแนนเต็ม]:[คะแนนเต็ม]])*tbl_task10[[%]:[%]])</f>
        <v/>
      </c>
      <c r="KJ5" s="121" t="str">
        <f>IF(ISBLANK(tbl_task10[[คะแนนเต็ม]:[คะแนนเต็ม]]),"",(tbl_task10[126]/tbl_task10[[คะแนนเต็ม]:[คะแนนเต็ม]])*tbl_task10[[%]:[%]])</f>
        <v/>
      </c>
      <c r="KK5" s="121" t="str">
        <f>IF(ISBLANK(tbl_task10[[คะแนนเต็ม]:[คะแนนเต็ม]]),"",(tbl_task10[127]/tbl_task10[[คะแนนเต็ม]:[คะแนนเต็ม]])*tbl_task10[[%]:[%]])</f>
        <v/>
      </c>
      <c r="KL5" s="121" t="str">
        <f>IF(ISBLANK(tbl_task10[[คะแนนเต็ม]:[คะแนนเต็ม]]),"",(tbl_task10[128]/tbl_task10[[คะแนนเต็ม]:[คะแนนเต็ม]])*tbl_task10[[%]:[%]])</f>
        <v/>
      </c>
      <c r="KM5" s="121" t="str">
        <f>IF(ISBLANK(tbl_task10[[คะแนนเต็ม]:[คะแนนเต็ม]]),"",(tbl_task10[129]/tbl_task10[[คะแนนเต็ม]:[คะแนนเต็ม]])*tbl_task10[[%]:[%]])</f>
        <v/>
      </c>
      <c r="KN5" s="121" t="str">
        <f>IF(ISBLANK(tbl_task10[[คะแนนเต็ม]:[คะแนนเต็ม]]),"",(tbl_task10[130]/tbl_task10[[คะแนนเต็ม]:[คะแนนเต็ม]])*tbl_task10[[%]:[%]])</f>
        <v/>
      </c>
      <c r="KO5" s="121" t="str">
        <f>IF(ISBLANK(tbl_task10[[คะแนนเต็ม]:[คะแนนเต็ม]]),"",(tbl_task10[131]/tbl_task10[[คะแนนเต็ม]:[คะแนนเต็ม]])*tbl_task10[[%]:[%]])</f>
        <v/>
      </c>
      <c r="KP5" s="121" t="str">
        <f>IF(ISBLANK(tbl_task10[[คะแนนเต็ม]:[คะแนนเต็ม]]),"",(tbl_task10[132]/tbl_task10[[คะแนนเต็ม]:[คะแนนเต็ม]])*tbl_task10[[%]:[%]])</f>
        <v/>
      </c>
      <c r="KQ5" s="121" t="str">
        <f>IF(ISBLANK(tbl_task10[[คะแนนเต็ม]:[คะแนนเต็ม]]),"",(tbl_task10[133]/tbl_task10[[คะแนนเต็ม]:[คะแนนเต็ม]])*tbl_task10[[%]:[%]])</f>
        <v/>
      </c>
      <c r="KR5" s="121" t="str">
        <f>IF(ISBLANK(tbl_task10[[คะแนนเต็ม]:[คะแนนเต็ม]]),"",(tbl_task10[134]/tbl_task10[[คะแนนเต็ม]:[คะแนนเต็ม]])*tbl_task10[[%]:[%]])</f>
        <v/>
      </c>
      <c r="KS5" s="121" t="str">
        <f>IF(ISBLANK(tbl_task10[[คะแนนเต็ม]:[คะแนนเต็ม]]),"",(tbl_task10[135]/tbl_task10[[คะแนนเต็ม]:[คะแนนเต็ม]])*tbl_task10[[%]:[%]])</f>
        <v/>
      </c>
      <c r="KT5" s="121" t="str">
        <f>IF(ISBLANK(tbl_task10[[คะแนนเต็ม]:[คะแนนเต็ม]]),"",(tbl_task10[136]/tbl_task10[[คะแนนเต็ม]:[คะแนนเต็ม]])*tbl_task10[[%]:[%]])</f>
        <v/>
      </c>
      <c r="KU5" s="121" t="str">
        <f>IF(ISBLANK(tbl_task10[[คะแนนเต็ม]:[คะแนนเต็ม]]),"",(tbl_task10[137]/tbl_task10[[คะแนนเต็ม]:[คะแนนเต็ม]])*tbl_task10[[%]:[%]])</f>
        <v/>
      </c>
      <c r="KV5" s="121" t="str">
        <f>IF(ISBLANK(tbl_task10[[คะแนนเต็ม]:[คะแนนเต็ม]]),"",(tbl_task10[138]/tbl_task10[[คะแนนเต็ม]:[คะแนนเต็ม]])*tbl_task10[[%]:[%]])</f>
        <v/>
      </c>
      <c r="KW5" s="121" t="str">
        <f>IF(ISBLANK(tbl_task10[[คะแนนเต็ม]:[คะแนนเต็ม]]),"",(tbl_task10[139]/tbl_task10[[คะแนนเต็ม]:[คะแนนเต็ม]])*tbl_task10[[%]:[%]])</f>
        <v/>
      </c>
      <c r="KX5" s="121" t="str">
        <f>IF(ISBLANK(tbl_task10[[คะแนนเต็ม]:[คะแนนเต็ม]]),"",(tbl_task10[140]/tbl_task10[[คะแนนเต็ม]:[คะแนนเต็ม]])*tbl_task10[[%]:[%]])</f>
        <v/>
      </c>
      <c r="KY5" s="121" t="str">
        <f>IF(ISBLANK(tbl_task10[[คะแนนเต็ม]:[คะแนนเต็ม]]),"",(tbl_task10[141]/tbl_task10[[คะแนนเต็ม]:[คะแนนเต็ม]])*tbl_task10[[%]:[%]])</f>
        <v/>
      </c>
      <c r="KZ5" s="121" t="str">
        <f>IF(ISBLANK(tbl_task10[[คะแนนเต็ม]:[คะแนนเต็ม]]),"",(tbl_task10[142]/tbl_task10[[คะแนนเต็ม]:[คะแนนเต็ม]])*tbl_task10[[%]:[%]])</f>
        <v/>
      </c>
      <c r="LA5" s="121" t="str">
        <f>IF(ISBLANK(tbl_task10[[คะแนนเต็ม]:[คะแนนเต็ม]]),"",(tbl_task10[143]/tbl_task10[[คะแนนเต็ม]:[คะแนนเต็ม]])*tbl_task10[[%]:[%]])</f>
        <v/>
      </c>
      <c r="LB5" s="121" t="str">
        <f>IF(ISBLANK(tbl_task10[[คะแนนเต็ม]:[คะแนนเต็ม]]),"",(tbl_task10[144]/tbl_task10[[คะแนนเต็ม]:[คะแนนเต็ม]])*tbl_task10[[%]:[%]])</f>
        <v/>
      </c>
      <c r="LC5" s="121" t="str">
        <f>IF(ISBLANK(tbl_task10[[คะแนนเต็ม]:[คะแนนเต็ม]]),"",(tbl_task10[145]/tbl_task10[[คะแนนเต็ม]:[คะแนนเต็ม]])*tbl_task10[[%]:[%]])</f>
        <v/>
      </c>
      <c r="LD5" s="121" t="str">
        <f>IF(ISBLANK(tbl_task10[[คะแนนเต็ม]:[คะแนนเต็ม]]),"",(tbl_task10[146]/tbl_task10[[คะแนนเต็ม]:[คะแนนเต็ม]])*tbl_task10[[%]:[%]])</f>
        <v/>
      </c>
      <c r="LE5" s="121" t="str">
        <f>IF(ISBLANK(tbl_task10[[คะแนนเต็ม]:[คะแนนเต็ม]]),"",(tbl_task10[147]/tbl_task10[[คะแนนเต็ม]:[คะแนนเต็ม]])*tbl_task10[[%]:[%]])</f>
        <v/>
      </c>
      <c r="LF5" s="121" t="str">
        <f>IF(ISBLANK(tbl_task10[[คะแนนเต็ม]:[คะแนนเต็ม]]),"",(tbl_task10[148]/tbl_task10[[คะแนนเต็ม]:[คะแนนเต็ม]])*tbl_task10[[%]:[%]])</f>
        <v/>
      </c>
      <c r="LG5" s="121" t="str">
        <f>IF(ISBLANK(tbl_task10[[คะแนนเต็ม]:[คะแนนเต็ม]]),"",(tbl_task10[149]/tbl_task10[[คะแนนเต็ม]:[คะแนนเต็ม]])*tbl_task10[[%]:[%]])</f>
        <v/>
      </c>
      <c r="LH5" s="121" t="str">
        <f>IF(ISBLANK(tbl_task10[[คะแนนเต็ม]:[คะแนนเต็ม]]),"",(tbl_task10[150]/tbl_task10[[คะแนนเต็ม]:[คะแนนเต็ม]])*tbl_task10[[%]:[%]])</f>
        <v/>
      </c>
      <c r="LI5" s="121" t="str">
        <f>IF(ISBLANK(tbl_task10[[คะแนนเต็ม]:[คะแนนเต็ม]]),"",(tbl_task10[151]/tbl_task10[[คะแนนเต็ม]:[คะแนนเต็ม]])*tbl_task10[[%]:[%]])</f>
        <v/>
      </c>
      <c r="LJ5" s="121" t="str">
        <f>IF(ISBLANK(tbl_task10[[คะแนนเต็ม]:[คะแนนเต็ม]]),"",(tbl_task10[152]/tbl_task10[[คะแนนเต็ม]:[คะแนนเต็ม]])*tbl_task10[[%]:[%]])</f>
        <v/>
      </c>
      <c r="LK5" s="121" t="str">
        <f>IF(ISBLANK(tbl_task10[[คะแนนเต็ม]:[คะแนนเต็ม]]),"",(tbl_task10[153]/tbl_task10[[คะแนนเต็ม]:[คะแนนเต็ม]])*tbl_task10[[%]:[%]])</f>
        <v/>
      </c>
      <c r="LL5" s="121" t="str">
        <f>IF(ISBLANK(tbl_task10[[คะแนนเต็ม]:[คะแนนเต็ม]]),"",(tbl_task10[154]/tbl_task10[[คะแนนเต็ม]:[คะแนนเต็ม]])*tbl_task10[[%]:[%]])</f>
        <v/>
      </c>
      <c r="LM5" s="121" t="str">
        <f>IF(ISBLANK(tbl_task10[[คะแนนเต็ม]:[คะแนนเต็ม]]),"",(tbl_task10[155]/tbl_task10[[คะแนนเต็ม]:[คะแนนเต็ม]])*tbl_task10[[%]:[%]])</f>
        <v/>
      </c>
      <c r="LN5" s="121" t="str">
        <f>IF(ISBLANK(tbl_task10[[คะแนนเต็ม]:[คะแนนเต็ม]]),"",(tbl_task10[156]/tbl_task10[[คะแนนเต็ม]:[คะแนนเต็ม]])*tbl_task10[[%]:[%]])</f>
        <v/>
      </c>
      <c r="LO5" s="121" t="str">
        <f>IF(ISBLANK(tbl_task10[[คะแนนเต็ม]:[คะแนนเต็ม]]),"",(tbl_task10[157]/tbl_task10[[คะแนนเต็ม]:[คะแนนเต็ม]])*tbl_task10[[%]:[%]])</f>
        <v/>
      </c>
      <c r="LP5" s="121" t="str">
        <f>IF(ISBLANK(tbl_task10[[คะแนนเต็ม]:[คะแนนเต็ม]]),"",(tbl_task10[158]/tbl_task10[[คะแนนเต็ม]:[คะแนนเต็ม]])*tbl_task10[[%]:[%]])</f>
        <v/>
      </c>
      <c r="LQ5" s="121" t="str">
        <f>IF(ISBLANK(tbl_task10[[คะแนนเต็ม]:[คะแนนเต็ม]]),"",(tbl_task10[159]/tbl_task10[[คะแนนเต็ม]:[คะแนนเต็ม]])*tbl_task10[[%]:[%]])</f>
        <v/>
      </c>
      <c r="LR5" s="121" t="str">
        <f>IF(ISBLANK(tbl_task10[[คะแนนเต็ม]:[คะแนนเต็ม]]),"",(tbl_task10[160]/tbl_task10[[คะแนนเต็ม]:[คะแนนเต็ม]])*tbl_task10[[%]:[%]])</f>
        <v/>
      </c>
      <c r="LS5" s="121" t="str">
        <f>IF(ISBLANK(tbl_task10[[คะแนนเต็ม]:[คะแนนเต็ม]]),"",(tbl_task10[161]/tbl_task10[[คะแนนเต็ม]:[คะแนนเต็ม]])*tbl_task10[[%]:[%]])</f>
        <v/>
      </c>
      <c r="LT5" s="121" t="str">
        <f>IF(ISBLANK(tbl_task10[[คะแนนเต็ม]:[คะแนนเต็ม]]),"",(tbl_task10[162]/tbl_task10[[คะแนนเต็ม]:[คะแนนเต็ม]])*tbl_task10[[%]:[%]])</f>
        <v/>
      </c>
      <c r="LU5" s="121" t="str">
        <f>IF(ISBLANK(tbl_task10[[คะแนนเต็ม]:[คะแนนเต็ม]]),"",(tbl_task10[163]/tbl_task10[[คะแนนเต็ม]:[คะแนนเต็ม]])*tbl_task10[[%]:[%]])</f>
        <v/>
      </c>
      <c r="LV5" s="121" t="str">
        <f>IF(ISBLANK(tbl_task10[[คะแนนเต็ม]:[คะแนนเต็ม]]),"",(tbl_task10[164]/tbl_task10[[คะแนนเต็ม]:[คะแนนเต็ม]])*tbl_task10[[%]:[%]])</f>
        <v/>
      </c>
      <c r="LW5" s="121" t="str">
        <f>IF(ISBLANK(tbl_task10[[คะแนนเต็ม]:[คะแนนเต็ม]]),"",(tbl_task10[165]/tbl_task10[[คะแนนเต็ม]:[คะแนนเต็ม]])*tbl_task10[[%]:[%]])</f>
        <v/>
      </c>
    </row>
    <row r="6" spans="1:335" ht="24.75" customHeight="1" x14ac:dyDescent="0.25">
      <c r="A6" s="24">
        <v>3</v>
      </c>
      <c r="B6" s="20"/>
      <c r="C6" s="5" t="str">
        <f>IF(ISBLANK(B6),"",VLOOKUP(B6,tbl_PLOs[],2,0))</f>
        <v/>
      </c>
      <c r="D6" s="102"/>
      <c r="E6" s="10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22"/>
      <c r="FO6" s="121" t="str">
        <f>IF(ISBLANK(tbl_task10[[คะแนนเต็ม]:[คะแนนเต็ม]]),"",(tbl_task10[1]/tbl_task10[[คะแนนเต็ม]:[คะแนนเต็ม]])*tbl_task10[[%]:[%]])</f>
        <v/>
      </c>
      <c r="FP6" s="121" t="str">
        <f>IF(ISBLANK(tbl_task10[[คะแนนเต็ม]:[คะแนนเต็ม]]),"",(tbl_task10[2]/tbl_task10[[คะแนนเต็ม]:[คะแนนเต็ม]])*tbl_task10[[%]:[%]])</f>
        <v/>
      </c>
      <c r="FQ6" s="121" t="str">
        <f>IF(ISBLANK(tbl_task10[[คะแนนเต็ม]:[คะแนนเต็ม]]),"",(tbl_task10[3]/tbl_task10[[คะแนนเต็ม]:[คะแนนเต็ม]])*tbl_task10[[%]:[%]])</f>
        <v/>
      </c>
      <c r="FR6" s="121" t="str">
        <f>IF(ISBLANK(tbl_task10[[คะแนนเต็ม]:[คะแนนเต็ม]]),"",(tbl_task10[4]/tbl_task10[[คะแนนเต็ม]:[คะแนนเต็ม]])*tbl_task10[[%]:[%]])</f>
        <v/>
      </c>
      <c r="FS6" s="121" t="str">
        <f>IF(ISBLANK(tbl_task10[[คะแนนเต็ม]:[คะแนนเต็ม]]),"",(tbl_task10[5]/tbl_task10[[คะแนนเต็ม]:[คะแนนเต็ม]])*tbl_task10[[%]:[%]])</f>
        <v/>
      </c>
      <c r="FT6" s="121" t="str">
        <f>IF(ISBLANK(tbl_task10[[คะแนนเต็ม]:[คะแนนเต็ม]]),"",(tbl_task10[6]/tbl_task10[[คะแนนเต็ม]:[คะแนนเต็ม]])*tbl_task10[[%]:[%]])</f>
        <v/>
      </c>
      <c r="FU6" s="121" t="str">
        <f>IF(ISBLANK(tbl_task10[[คะแนนเต็ม]:[คะแนนเต็ม]]),"",(tbl_task10[7]/tbl_task10[[คะแนนเต็ม]:[คะแนนเต็ม]])*tbl_task10[[%]:[%]])</f>
        <v/>
      </c>
      <c r="FV6" s="121" t="str">
        <f>IF(ISBLANK(tbl_task10[[คะแนนเต็ม]:[คะแนนเต็ม]]),"",(tbl_task10[8]/tbl_task10[[คะแนนเต็ม]:[คะแนนเต็ม]])*tbl_task10[[%]:[%]])</f>
        <v/>
      </c>
      <c r="FW6" s="121" t="str">
        <f>IF(ISBLANK(tbl_task10[[คะแนนเต็ม]:[คะแนนเต็ม]]),"",(tbl_task10[9]/tbl_task10[[คะแนนเต็ม]:[คะแนนเต็ม]])*tbl_task10[[%]:[%]])</f>
        <v/>
      </c>
      <c r="FX6" s="121" t="str">
        <f>IF(ISBLANK(tbl_task10[[คะแนนเต็ม]:[คะแนนเต็ม]]),"",(tbl_task10[10]/tbl_task10[[คะแนนเต็ม]:[คะแนนเต็ม]])*tbl_task10[[%]:[%]])</f>
        <v/>
      </c>
      <c r="FY6" s="121" t="str">
        <f>IF(ISBLANK(tbl_task10[[คะแนนเต็ม]:[คะแนนเต็ม]]),"",(tbl_task10[11]/tbl_task10[[คะแนนเต็ม]:[คะแนนเต็ม]])*tbl_task10[[%]:[%]])</f>
        <v/>
      </c>
      <c r="FZ6" s="121" t="str">
        <f>IF(ISBLANK(tbl_task10[[คะแนนเต็ม]:[คะแนนเต็ม]]),"",(tbl_task10[12]/tbl_task10[[คะแนนเต็ม]:[คะแนนเต็ม]])*tbl_task10[[%]:[%]])</f>
        <v/>
      </c>
      <c r="GA6" s="121" t="str">
        <f>IF(ISBLANK(tbl_task10[[คะแนนเต็ม]:[คะแนนเต็ม]]),"",(tbl_task10[13]/tbl_task10[[คะแนนเต็ม]:[คะแนนเต็ม]])*tbl_task10[[%]:[%]])</f>
        <v/>
      </c>
      <c r="GB6" s="121" t="str">
        <f>IF(ISBLANK(tbl_task10[[คะแนนเต็ม]:[คะแนนเต็ม]]),"",(tbl_task10[14]/tbl_task10[[คะแนนเต็ม]:[คะแนนเต็ม]])*tbl_task10[[%]:[%]])</f>
        <v/>
      </c>
      <c r="GC6" s="121" t="str">
        <f>IF(ISBLANK(tbl_task10[[คะแนนเต็ม]:[คะแนนเต็ม]]),"",(tbl_task10[15]/tbl_task10[[คะแนนเต็ม]:[คะแนนเต็ม]])*tbl_task10[[%]:[%]])</f>
        <v/>
      </c>
      <c r="GD6" s="121" t="str">
        <f>IF(ISBLANK(tbl_task10[[คะแนนเต็ม]:[คะแนนเต็ม]]),"",(tbl_task10[16]/tbl_task10[[คะแนนเต็ม]:[คะแนนเต็ม]])*tbl_task10[[%]:[%]])</f>
        <v/>
      </c>
      <c r="GE6" s="121" t="str">
        <f>IF(ISBLANK(tbl_task10[[คะแนนเต็ม]:[คะแนนเต็ม]]),"",(tbl_task10[17]/tbl_task10[[คะแนนเต็ม]:[คะแนนเต็ม]])*tbl_task10[[%]:[%]])</f>
        <v/>
      </c>
      <c r="GF6" s="121" t="str">
        <f>IF(ISBLANK(tbl_task10[[คะแนนเต็ม]:[คะแนนเต็ม]]),"",(tbl_task10[18]/tbl_task10[[คะแนนเต็ม]:[คะแนนเต็ม]])*tbl_task10[[%]:[%]])</f>
        <v/>
      </c>
      <c r="GG6" s="121" t="str">
        <f>IF(ISBLANK(tbl_task10[[คะแนนเต็ม]:[คะแนนเต็ม]]),"",(tbl_task10[19]/tbl_task10[[คะแนนเต็ม]:[คะแนนเต็ม]])*tbl_task10[[%]:[%]])</f>
        <v/>
      </c>
      <c r="GH6" s="121" t="str">
        <f>IF(ISBLANK(tbl_task10[[คะแนนเต็ม]:[คะแนนเต็ม]]),"",(tbl_task10[20]/tbl_task10[[คะแนนเต็ม]:[คะแนนเต็ม]])*tbl_task10[[%]:[%]])</f>
        <v/>
      </c>
      <c r="GI6" s="121" t="str">
        <f>IF(ISBLANK(tbl_task10[[คะแนนเต็ม]:[คะแนนเต็ม]]),"",(tbl_task10[21]/tbl_task10[[คะแนนเต็ม]:[คะแนนเต็ม]])*tbl_task10[[%]:[%]])</f>
        <v/>
      </c>
      <c r="GJ6" s="121" t="str">
        <f>IF(ISBLANK(tbl_task10[[คะแนนเต็ม]:[คะแนนเต็ม]]),"",(tbl_task10[22]/tbl_task10[[คะแนนเต็ม]:[คะแนนเต็ม]])*tbl_task10[[%]:[%]])</f>
        <v/>
      </c>
      <c r="GK6" s="121" t="str">
        <f>IF(ISBLANK(tbl_task10[[คะแนนเต็ม]:[คะแนนเต็ม]]),"",(tbl_task10[23]/tbl_task10[[คะแนนเต็ม]:[คะแนนเต็ม]])*tbl_task10[[%]:[%]])</f>
        <v/>
      </c>
      <c r="GL6" s="121" t="str">
        <f>IF(ISBLANK(tbl_task10[[คะแนนเต็ม]:[คะแนนเต็ม]]),"",(tbl_task10[24]/tbl_task10[[คะแนนเต็ม]:[คะแนนเต็ม]])*tbl_task10[[%]:[%]])</f>
        <v/>
      </c>
      <c r="GM6" s="121" t="str">
        <f>IF(ISBLANK(tbl_task10[[คะแนนเต็ม]:[คะแนนเต็ม]]),"",(tbl_task10[25]/tbl_task10[[คะแนนเต็ม]:[คะแนนเต็ม]])*tbl_task10[[%]:[%]])</f>
        <v/>
      </c>
      <c r="GN6" s="121" t="str">
        <f>IF(ISBLANK(tbl_task10[[คะแนนเต็ม]:[คะแนนเต็ม]]),"",(tbl_task10[26]/tbl_task10[[คะแนนเต็ม]:[คะแนนเต็ม]])*tbl_task10[[%]:[%]])</f>
        <v/>
      </c>
      <c r="GO6" s="121" t="str">
        <f>IF(ISBLANK(tbl_task10[[คะแนนเต็ม]:[คะแนนเต็ม]]),"",(tbl_task10[27]/tbl_task10[[คะแนนเต็ม]:[คะแนนเต็ม]])*tbl_task10[[%]:[%]])</f>
        <v/>
      </c>
      <c r="GP6" s="121" t="str">
        <f>IF(ISBLANK(tbl_task10[[คะแนนเต็ม]:[คะแนนเต็ม]]),"",(tbl_task10[28]/tbl_task10[[คะแนนเต็ม]:[คะแนนเต็ม]])*tbl_task10[[%]:[%]])</f>
        <v/>
      </c>
      <c r="GQ6" s="121" t="str">
        <f>IF(ISBLANK(tbl_task10[[คะแนนเต็ม]:[คะแนนเต็ม]]),"",(tbl_task10[29]/tbl_task10[[คะแนนเต็ม]:[คะแนนเต็ม]])*tbl_task10[[%]:[%]])</f>
        <v/>
      </c>
      <c r="GR6" s="121" t="str">
        <f>IF(ISBLANK(tbl_task10[[คะแนนเต็ม]:[คะแนนเต็ม]]),"",(tbl_task10[30]/tbl_task10[[คะแนนเต็ม]:[คะแนนเต็ม]])*tbl_task10[[%]:[%]])</f>
        <v/>
      </c>
      <c r="GS6" s="121" t="str">
        <f>IF(ISBLANK(tbl_task10[[คะแนนเต็ม]:[คะแนนเต็ม]]),"",(tbl_task10[31]/tbl_task10[[คะแนนเต็ม]:[คะแนนเต็ม]])*tbl_task10[[%]:[%]])</f>
        <v/>
      </c>
      <c r="GT6" s="121" t="str">
        <f>IF(ISBLANK(tbl_task10[[คะแนนเต็ม]:[คะแนนเต็ม]]),"",(tbl_task10[32]/tbl_task10[[คะแนนเต็ม]:[คะแนนเต็ม]])*tbl_task10[[%]:[%]])</f>
        <v/>
      </c>
      <c r="GU6" s="121" t="str">
        <f>IF(ISBLANK(tbl_task10[[คะแนนเต็ม]:[คะแนนเต็ม]]),"",(tbl_task10[33]/tbl_task10[[คะแนนเต็ม]:[คะแนนเต็ม]])*tbl_task10[[%]:[%]])</f>
        <v/>
      </c>
      <c r="GV6" s="121" t="str">
        <f>IF(ISBLANK(tbl_task10[[คะแนนเต็ม]:[คะแนนเต็ม]]),"",(tbl_task10[34]/tbl_task10[[คะแนนเต็ม]:[คะแนนเต็ม]])*tbl_task10[[%]:[%]])</f>
        <v/>
      </c>
      <c r="GW6" s="121" t="str">
        <f>IF(ISBLANK(tbl_task10[[คะแนนเต็ม]:[คะแนนเต็ม]]),"",(tbl_task10[35]/tbl_task10[[คะแนนเต็ม]:[คะแนนเต็ม]])*tbl_task10[[%]:[%]])</f>
        <v/>
      </c>
      <c r="GX6" s="121" t="str">
        <f>IF(ISBLANK(tbl_task10[[คะแนนเต็ม]:[คะแนนเต็ม]]),"",(tbl_task10[36]/tbl_task10[[คะแนนเต็ม]:[คะแนนเต็ม]])*tbl_task10[[%]:[%]])</f>
        <v/>
      </c>
      <c r="GY6" s="121" t="str">
        <f>IF(ISBLANK(tbl_task10[[คะแนนเต็ม]:[คะแนนเต็ม]]),"",(tbl_task10[37]/tbl_task10[[คะแนนเต็ม]:[คะแนนเต็ม]])*tbl_task10[[%]:[%]])</f>
        <v/>
      </c>
      <c r="GZ6" s="121" t="str">
        <f>IF(ISBLANK(tbl_task10[[คะแนนเต็ม]:[คะแนนเต็ม]]),"",(tbl_task10[38]/tbl_task10[[คะแนนเต็ม]:[คะแนนเต็ม]])*tbl_task10[[%]:[%]])</f>
        <v/>
      </c>
      <c r="HA6" s="121" t="str">
        <f>IF(ISBLANK(tbl_task10[[คะแนนเต็ม]:[คะแนนเต็ม]]),"",(tbl_task10[39]/tbl_task10[[คะแนนเต็ม]:[คะแนนเต็ม]])*tbl_task10[[%]:[%]])</f>
        <v/>
      </c>
      <c r="HB6" s="121" t="str">
        <f>IF(ISBLANK(tbl_task10[[คะแนนเต็ม]:[คะแนนเต็ม]]),"",(tbl_task10[40]/tbl_task10[[คะแนนเต็ม]:[คะแนนเต็ม]])*tbl_task10[[%]:[%]])</f>
        <v/>
      </c>
      <c r="HC6" s="121" t="str">
        <f>IF(ISBLANK(tbl_task10[[คะแนนเต็ม]:[คะแนนเต็ม]]),"",(tbl_task10[41]/tbl_task10[[คะแนนเต็ม]:[คะแนนเต็ม]])*tbl_task10[[%]:[%]])</f>
        <v/>
      </c>
      <c r="HD6" s="121" t="str">
        <f>IF(ISBLANK(tbl_task10[[คะแนนเต็ม]:[คะแนนเต็ม]]),"",(tbl_task10[42]/tbl_task10[[คะแนนเต็ม]:[คะแนนเต็ม]])*tbl_task10[[%]:[%]])</f>
        <v/>
      </c>
      <c r="HE6" s="121" t="str">
        <f>IF(ISBLANK(tbl_task10[[คะแนนเต็ม]:[คะแนนเต็ม]]),"",(tbl_task10[43]/tbl_task10[[คะแนนเต็ม]:[คะแนนเต็ม]])*tbl_task10[[%]:[%]])</f>
        <v/>
      </c>
      <c r="HF6" s="121" t="str">
        <f>IF(ISBLANK(tbl_task10[[คะแนนเต็ม]:[คะแนนเต็ม]]),"",(tbl_task10[44]/tbl_task10[[คะแนนเต็ม]:[คะแนนเต็ม]])*tbl_task10[[%]:[%]])</f>
        <v/>
      </c>
      <c r="HG6" s="121" t="str">
        <f>IF(ISBLANK(tbl_task10[[คะแนนเต็ม]:[คะแนนเต็ม]]),"",(tbl_task10[45]/tbl_task10[[คะแนนเต็ม]:[คะแนนเต็ม]])*tbl_task10[[%]:[%]])</f>
        <v/>
      </c>
      <c r="HH6" s="121" t="str">
        <f>IF(ISBLANK(tbl_task10[[คะแนนเต็ม]:[คะแนนเต็ม]]),"",(tbl_task10[46]/tbl_task10[[คะแนนเต็ม]:[คะแนนเต็ม]])*tbl_task10[[%]:[%]])</f>
        <v/>
      </c>
      <c r="HI6" s="121" t="str">
        <f>IF(ISBLANK(tbl_task10[[คะแนนเต็ม]:[คะแนนเต็ม]]),"",(tbl_task10[47]/tbl_task10[[คะแนนเต็ม]:[คะแนนเต็ม]])*tbl_task10[[%]:[%]])</f>
        <v/>
      </c>
      <c r="HJ6" s="121" t="str">
        <f>IF(ISBLANK(tbl_task10[[คะแนนเต็ม]:[คะแนนเต็ม]]),"",(tbl_task10[48]/tbl_task10[[คะแนนเต็ม]:[คะแนนเต็ม]])*tbl_task10[[%]:[%]])</f>
        <v/>
      </c>
      <c r="HK6" s="121" t="str">
        <f>IF(ISBLANK(tbl_task10[[คะแนนเต็ม]:[คะแนนเต็ม]]),"",(tbl_task10[49]/tbl_task10[[คะแนนเต็ม]:[คะแนนเต็ม]])*tbl_task10[[%]:[%]])</f>
        <v/>
      </c>
      <c r="HL6" s="121" t="str">
        <f>IF(ISBLANK(tbl_task10[[คะแนนเต็ม]:[คะแนนเต็ม]]),"",(tbl_task10[50]/tbl_task10[[คะแนนเต็ม]:[คะแนนเต็ม]])*tbl_task10[[%]:[%]])</f>
        <v/>
      </c>
      <c r="HM6" s="121" t="str">
        <f>IF(ISBLANK(tbl_task10[[คะแนนเต็ม]:[คะแนนเต็ม]]),"",(tbl_task10[51]/tbl_task10[[คะแนนเต็ม]:[คะแนนเต็ม]])*tbl_task10[[%]:[%]])</f>
        <v/>
      </c>
      <c r="HN6" s="121" t="str">
        <f>IF(ISBLANK(tbl_task10[[คะแนนเต็ม]:[คะแนนเต็ม]]),"",(tbl_task10[52]/tbl_task10[[คะแนนเต็ม]:[คะแนนเต็ม]])*tbl_task10[[%]:[%]])</f>
        <v/>
      </c>
      <c r="HO6" s="121" t="str">
        <f>IF(ISBLANK(tbl_task10[[คะแนนเต็ม]:[คะแนนเต็ม]]),"",(tbl_task10[53]/tbl_task10[[คะแนนเต็ม]:[คะแนนเต็ม]])*tbl_task10[[%]:[%]])</f>
        <v/>
      </c>
      <c r="HP6" s="121" t="str">
        <f>IF(ISBLANK(tbl_task10[[คะแนนเต็ม]:[คะแนนเต็ม]]),"",(tbl_task10[54]/tbl_task10[[คะแนนเต็ม]:[คะแนนเต็ม]])*tbl_task10[[%]:[%]])</f>
        <v/>
      </c>
      <c r="HQ6" s="121" t="str">
        <f>IF(ISBLANK(tbl_task10[[คะแนนเต็ม]:[คะแนนเต็ม]]),"",(tbl_task10[55]/tbl_task10[[คะแนนเต็ม]:[คะแนนเต็ม]])*tbl_task10[[%]:[%]])</f>
        <v/>
      </c>
      <c r="HR6" s="121" t="str">
        <f>IF(ISBLANK(tbl_task10[[คะแนนเต็ม]:[คะแนนเต็ม]]),"",(tbl_task10[56]/tbl_task10[[คะแนนเต็ม]:[คะแนนเต็ม]])*tbl_task10[[%]:[%]])</f>
        <v/>
      </c>
      <c r="HS6" s="121" t="str">
        <f>IF(ISBLANK(tbl_task10[[คะแนนเต็ม]:[คะแนนเต็ม]]),"",(tbl_task10[57]/tbl_task10[[คะแนนเต็ม]:[คะแนนเต็ม]])*tbl_task10[[%]:[%]])</f>
        <v/>
      </c>
      <c r="HT6" s="121" t="str">
        <f>IF(ISBLANK(tbl_task10[[คะแนนเต็ม]:[คะแนนเต็ม]]),"",(tbl_task10[58]/tbl_task10[[คะแนนเต็ม]:[คะแนนเต็ม]])*tbl_task10[[%]:[%]])</f>
        <v/>
      </c>
      <c r="HU6" s="121" t="str">
        <f>IF(ISBLANK(tbl_task10[[คะแนนเต็ม]:[คะแนนเต็ม]]),"",(tbl_task10[59]/tbl_task10[[คะแนนเต็ม]:[คะแนนเต็ม]])*tbl_task10[[%]:[%]])</f>
        <v/>
      </c>
      <c r="HV6" s="121" t="str">
        <f>IF(ISBLANK(tbl_task10[[คะแนนเต็ม]:[คะแนนเต็ม]]),"",(tbl_task10[60]/tbl_task10[[คะแนนเต็ม]:[คะแนนเต็ม]])*tbl_task10[[%]:[%]])</f>
        <v/>
      </c>
      <c r="HW6" s="121" t="str">
        <f>IF(ISBLANK(tbl_task10[[คะแนนเต็ม]:[คะแนนเต็ม]]),"",(tbl_task10[61]/tbl_task10[[คะแนนเต็ม]:[คะแนนเต็ม]])*tbl_task10[[%]:[%]])</f>
        <v/>
      </c>
      <c r="HX6" s="121" t="str">
        <f>IF(ISBLANK(tbl_task10[[คะแนนเต็ม]:[คะแนนเต็ม]]),"",(tbl_task10[62]/tbl_task10[[คะแนนเต็ม]:[คะแนนเต็ม]])*tbl_task10[[%]:[%]])</f>
        <v/>
      </c>
      <c r="HY6" s="121" t="str">
        <f>IF(ISBLANK(tbl_task10[[คะแนนเต็ม]:[คะแนนเต็ม]]),"",(tbl_task10[63]/tbl_task10[[คะแนนเต็ม]:[คะแนนเต็ม]])*tbl_task10[[%]:[%]])</f>
        <v/>
      </c>
      <c r="HZ6" s="121" t="str">
        <f>IF(ISBLANK(tbl_task10[[คะแนนเต็ม]:[คะแนนเต็ม]]),"",(tbl_task10[64]/tbl_task10[[คะแนนเต็ม]:[คะแนนเต็ม]])*tbl_task10[[%]:[%]])</f>
        <v/>
      </c>
      <c r="IA6" s="121" t="str">
        <f>IF(ISBLANK(tbl_task10[[คะแนนเต็ม]:[คะแนนเต็ม]]),"",(tbl_task10[65]/tbl_task10[[คะแนนเต็ม]:[คะแนนเต็ม]])*tbl_task10[[%]:[%]])</f>
        <v/>
      </c>
      <c r="IB6" s="121" t="str">
        <f>IF(ISBLANK(tbl_task10[[คะแนนเต็ม]:[คะแนนเต็ม]]),"",(tbl_task10[66]/tbl_task10[[คะแนนเต็ม]:[คะแนนเต็ม]])*tbl_task10[[%]:[%]])</f>
        <v/>
      </c>
      <c r="IC6" s="121" t="str">
        <f>IF(ISBLANK(tbl_task10[[คะแนนเต็ม]:[คะแนนเต็ม]]),"",(tbl_task10[67]/tbl_task10[[คะแนนเต็ม]:[คะแนนเต็ม]])*tbl_task10[[%]:[%]])</f>
        <v/>
      </c>
      <c r="ID6" s="121" t="str">
        <f>IF(ISBLANK(tbl_task10[[คะแนนเต็ม]:[คะแนนเต็ม]]),"",(tbl_task10[68]/tbl_task10[[คะแนนเต็ม]:[คะแนนเต็ม]])*tbl_task10[[%]:[%]])</f>
        <v/>
      </c>
      <c r="IE6" s="121" t="str">
        <f>IF(ISBLANK(tbl_task10[[คะแนนเต็ม]:[คะแนนเต็ม]]),"",(tbl_task10[69]/tbl_task10[[คะแนนเต็ม]:[คะแนนเต็ม]])*tbl_task10[[%]:[%]])</f>
        <v/>
      </c>
      <c r="IF6" s="121" t="str">
        <f>IF(ISBLANK(tbl_task10[[คะแนนเต็ม]:[คะแนนเต็ม]]),"",(tbl_task10[70]/tbl_task10[[คะแนนเต็ม]:[คะแนนเต็ม]])*tbl_task10[[%]:[%]])</f>
        <v/>
      </c>
      <c r="IG6" s="121" t="str">
        <f>IF(ISBLANK(tbl_task10[[คะแนนเต็ม]:[คะแนนเต็ม]]),"",(tbl_task10[71]/tbl_task10[[คะแนนเต็ม]:[คะแนนเต็ม]])*tbl_task10[[%]:[%]])</f>
        <v/>
      </c>
      <c r="IH6" s="121" t="str">
        <f>IF(ISBLANK(tbl_task10[[คะแนนเต็ม]:[คะแนนเต็ม]]),"",(tbl_task10[72]/tbl_task10[[คะแนนเต็ม]:[คะแนนเต็ม]])*tbl_task10[[%]:[%]])</f>
        <v/>
      </c>
      <c r="II6" s="121" t="str">
        <f>IF(ISBLANK(tbl_task10[[คะแนนเต็ม]:[คะแนนเต็ม]]),"",(tbl_task10[73]/tbl_task10[[คะแนนเต็ม]:[คะแนนเต็ม]])*tbl_task10[[%]:[%]])</f>
        <v/>
      </c>
      <c r="IJ6" s="121" t="str">
        <f>IF(ISBLANK(tbl_task10[[คะแนนเต็ม]:[คะแนนเต็ม]]),"",(tbl_task10[74]/tbl_task10[[คะแนนเต็ม]:[คะแนนเต็ม]])*tbl_task10[[%]:[%]])</f>
        <v/>
      </c>
      <c r="IK6" s="121" t="str">
        <f>IF(ISBLANK(tbl_task10[[คะแนนเต็ม]:[คะแนนเต็ม]]),"",(tbl_task10[75]/tbl_task10[[คะแนนเต็ม]:[คะแนนเต็ม]])*tbl_task10[[%]:[%]])</f>
        <v/>
      </c>
      <c r="IL6" s="121" t="str">
        <f>IF(ISBLANK(tbl_task10[[คะแนนเต็ม]:[คะแนนเต็ม]]),"",(tbl_task10[76]/tbl_task10[[คะแนนเต็ม]:[คะแนนเต็ม]])*tbl_task10[[%]:[%]])</f>
        <v/>
      </c>
      <c r="IM6" s="121" t="str">
        <f>IF(ISBLANK(tbl_task10[[คะแนนเต็ม]:[คะแนนเต็ม]]),"",(tbl_task10[77]/tbl_task10[[คะแนนเต็ม]:[คะแนนเต็ม]])*tbl_task10[[%]:[%]])</f>
        <v/>
      </c>
      <c r="IN6" s="121" t="str">
        <f>IF(ISBLANK(tbl_task10[[คะแนนเต็ม]:[คะแนนเต็ม]]),"",(tbl_task10[78]/tbl_task10[[คะแนนเต็ม]:[คะแนนเต็ม]])*tbl_task10[[%]:[%]])</f>
        <v/>
      </c>
      <c r="IO6" s="121" t="str">
        <f>IF(ISBLANK(tbl_task10[[คะแนนเต็ม]:[คะแนนเต็ม]]),"",(tbl_task10[79]/tbl_task10[[คะแนนเต็ม]:[คะแนนเต็ม]])*tbl_task10[[%]:[%]])</f>
        <v/>
      </c>
      <c r="IP6" s="121" t="str">
        <f>IF(ISBLANK(tbl_task10[[คะแนนเต็ม]:[คะแนนเต็ม]]),"",(tbl_task10[80]/tbl_task10[[คะแนนเต็ม]:[คะแนนเต็ม]])*tbl_task10[[%]:[%]])</f>
        <v/>
      </c>
      <c r="IQ6" s="121" t="str">
        <f>IF(ISBLANK(tbl_task10[[คะแนนเต็ม]:[คะแนนเต็ม]]),"",(tbl_task10[81]/tbl_task10[[คะแนนเต็ม]:[คะแนนเต็ม]])*tbl_task10[[%]:[%]])</f>
        <v/>
      </c>
      <c r="IR6" s="121" t="str">
        <f>IF(ISBLANK(tbl_task10[[คะแนนเต็ม]:[คะแนนเต็ม]]),"",(tbl_task10[82]/tbl_task10[[คะแนนเต็ม]:[คะแนนเต็ม]])*tbl_task10[[%]:[%]])</f>
        <v/>
      </c>
      <c r="IS6" s="121" t="str">
        <f>IF(ISBLANK(tbl_task10[[คะแนนเต็ม]:[คะแนนเต็ม]]),"",(tbl_task10[83]/tbl_task10[[คะแนนเต็ม]:[คะแนนเต็ม]])*tbl_task10[[%]:[%]])</f>
        <v/>
      </c>
      <c r="IT6" s="121" t="str">
        <f>IF(ISBLANK(tbl_task10[[คะแนนเต็ม]:[คะแนนเต็ม]]),"",(tbl_task10[84]/tbl_task10[[คะแนนเต็ม]:[คะแนนเต็ม]])*tbl_task10[[%]:[%]])</f>
        <v/>
      </c>
      <c r="IU6" s="121" t="str">
        <f>IF(ISBLANK(tbl_task10[[คะแนนเต็ม]:[คะแนนเต็ม]]),"",(tbl_task10[85]/tbl_task10[[คะแนนเต็ม]:[คะแนนเต็ม]])*tbl_task10[[%]:[%]])</f>
        <v/>
      </c>
      <c r="IV6" s="121" t="str">
        <f>IF(ISBLANK(tbl_task10[[คะแนนเต็ม]:[คะแนนเต็ม]]),"",(tbl_task10[86]/tbl_task10[[คะแนนเต็ม]:[คะแนนเต็ม]])*tbl_task10[[%]:[%]])</f>
        <v/>
      </c>
      <c r="IW6" s="121" t="str">
        <f>IF(ISBLANK(tbl_task10[[คะแนนเต็ม]:[คะแนนเต็ม]]),"",(tbl_task10[87]/tbl_task10[[คะแนนเต็ม]:[คะแนนเต็ม]])*tbl_task10[[%]:[%]])</f>
        <v/>
      </c>
      <c r="IX6" s="121" t="str">
        <f>IF(ISBLANK(tbl_task10[[คะแนนเต็ม]:[คะแนนเต็ม]]),"",(tbl_task10[88]/tbl_task10[[คะแนนเต็ม]:[คะแนนเต็ม]])*tbl_task10[[%]:[%]])</f>
        <v/>
      </c>
      <c r="IY6" s="121" t="str">
        <f>IF(ISBLANK(tbl_task10[[คะแนนเต็ม]:[คะแนนเต็ม]]),"",(tbl_task10[89]/tbl_task10[[คะแนนเต็ม]:[คะแนนเต็ม]])*tbl_task10[[%]:[%]])</f>
        <v/>
      </c>
      <c r="IZ6" s="121" t="str">
        <f>IF(ISBLANK(tbl_task10[[คะแนนเต็ม]:[คะแนนเต็ม]]),"",(tbl_task10[90]/tbl_task10[[คะแนนเต็ม]:[คะแนนเต็ม]])*tbl_task10[[%]:[%]])</f>
        <v/>
      </c>
      <c r="JA6" s="121" t="str">
        <f>IF(ISBLANK(tbl_task10[[คะแนนเต็ม]:[คะแนนเต็ม]]),"",(tbl_task10[91]/tbl_task10[[คะแนนเต็ม]:[คะแนนเต็ม]])*tbl_task10[[%]:[%]])</f>
        <v/>
      </c>
      <c r="JB6" s="121" t="str">
        <f>IF(ISBLANK(tbl_task10[[คะแนนเต็ม]:[คะแนนเต็ม]]),"",(tbl_task10[92]/tbl_task10[[คะแนนเต็ม]:[คะแนนเต็ม]])*tbl_task10[[%]:[%]])</f>
        <v/>
      </c>
      <c r="JC6" s="121" t="str">
        <f>IF(ISBLANK(tbl_task10[[คะแนนเต็ม]:[คะแนนเต็ม]]),"",(tbl_task10[93]/tbl_task10[[คะแนนเต็ม]:[คะแนนเต็ม]])*tbl_task10[[%]:[%]])</f>
        <v/>
      </c>
      <c r="JD6" s="121" t="str">
        <f>IF(ISBLANK(tbl_task10[[คะแนนเต็ม]:[คะแนนเต็ม]]),"",(tbl_task10[94]/tbl_task10[[คะแนนเต็ม]:[คะแนนเต็ม]])*tbl_task10[[%]:[%]])</f>
        <v/>
      </c>
      <c r="JE6" s="121" t="str">
        <f>IF(ISBLANK(tbl_task10[[คะแนนเต็ม]:[คะแนนเต็ม]]),"",(tbl_task10[95]/tbl_task10[[คะแนนเต็ม]:[คะแนนเต็ม]])*tbl_task10[[%]:[%]])</f>
        <v/>
      </c>
      <c r="JF6" s="121" t="str">
        <f>IF(ISBLANK(tbl_task10[[คะแนนเต็ม]:[คะแนนเต็ม]]),"",(tbl_task10[96]/tbl_task10[[คะแนนเต็ม]:[คะแนนเต็ม]])*tbl_task10[[%]:[%]])</f>
        <v/>
      </c>
      <c r="JG6" s="121" t="str">
        <f>IF(ISBLANK(tbl_task10[[คะแนนเต็ม]:[คะแนนเต็ม]]),"",(tbl_task10[97]/tbl_task10[[คะแนนเต็ม]:[คะแนนเต็ม]])*tbl_task10[[%]:[%]])</f>
        <v/>
      </c>
      <c r="JH6" s="121" t="str">
        <f>IF(ISBLANK(tbl_task10[[คะแนนเต็ม]:[คะแนนเต็ม]]),"",(tbl_task10[98]/tbl_task10[[คะแนนเต็ม]:[คะแนนเต็ม]])*tbl_task10[[%]:[%]])</f>
        <v/>
      </c>
      <c r="JI6" s="121" t="str">
        <f>IF(ISBLANK(tbl_task10[[คะแนนเต็ม]:[คะแนนเต็ม]]),"",(tbl_task10[99]/tbl_task10[[คะแนนเต็ม]:[คะแนนเต็ม]])*tbl_task10[[%]:[%]])</f>
        <v/>
      </c>
      <c r="JJ6" s="121" t="str">
        <f>IF(ISBLANK(tbl_task10[[คะแนนเต็ม]:[คะแนนเต็ม]]),"",(tbl_task10[100]/tbl_task10[[คะแนนเต็ม]:[คะแนนเต็ม]])*tbl_task10[[%]:[%]])</f>
        <v/>
      </c>
      <c r="JK6" s="121" t="str">
        <f>IF(ISBLANK(tbl_task10[[คะแนนเต็ม]:[คะแนนเต็ม]]),"",(tbl_task10[101]/tbl_task10[[คะแนนเต็ม]:[คะแนนเต็ม]])*tbl_task10[[%]:[%]])</f>
        <v/>
      </c>
      <c r="JL6" s="121" t="str">
        <f>IF(ISBLANK(tbl_task10[[คะแนนเต็ม]:[คะแนนเต็ม]]),"",(tbl_task10[102]/tbl_task10[[คะแนนเต็ม]:[คะแนนเต็ม]])*tbl_task10[[%]:[%]])</f>
        <v/>
      </c>
      <c r="JM6" s="121" t="str">
        <f>IF(ISBLANK(tbl_task10[[คะแนนเต็ม]:[คะแนนเต็ม]]),"",(tbl_task10[103]/tbl_task10[[คะแนนเต็ม]:[คะแนนเต็ม]])*tbl_task10[[%]:[%]])</f>
        <v/>
      </c>
      <c r="JN6" s="121" t="str">
        <f>IF(ISBLANK(tbl_task10[[คะแนนเต็ม]:[คะแนนเต็ม]]),"",(tbl_task10[104]/tbl_task10[[คะแนนเต็ม]:[คะแนนเต็ม]])*tbl_task10[[%]:[%]])</f>
        <v/>
      </c>
      <c r="JO6" s="121" t="str">
        <f>IF(ISBLANK(tbl_task10[[คะแนนเต็ม]:[คะแนนเต็ม]]),"",(tbl_task10[105]/tbl_task10[[คะแนนเต็ม]:[คะแนนเต็ม]])*tbl_task10[[%]:[%]])</f>
        <v/>
      </c>
      <c r="JP6" s="121" t="str">
        <f>IF(ISBLANK(tbl_task10[[คะแนนเต็ม]:[คะแนนเต็ม]]),"",(tbl_task10[106]/tbl_task10[[คะแนนเต็ม]:[คะแนนเต็ม]])*tbl_task10[[%]:[%]])</f>
        <v/>
      </c>
      <c r="JQ6" s="121" t="str">
        <f>IF(ISBLANK(tbl_task10[[คะแนนเต็ม]:[คะแนนเต็ม]]),"",(tbl_task10[107]/tbl_task10[[คะแนนเต็ม]:[คะแนนเต็ม]])*tbl_task10[[%]:[%]])</f>
        <v/>
      </c>
      <c r="JR6" s="121" t="str">
        <f>IF(ISBLANK(tbl_task10[[คะแนนเต็ม]:[คะแนนเต็ม]]),"",(tbl_task10[108]/tbl_task10[[คะแนนเต็ม]:[คะแนนเต็ม]])*tbl_task10[[%]:[%]])</f>
        <v/>
      </c>
      <c r="JS6" s="121" t="str">
        <f>IF(ISBLANK(tbl_task10[[คะแนนเต็ม]:[คะแนนเต็ม]]),"",(tbl_task10[109]/tbl_task10[[คะแนนเต็ม]:[คะแนนเต็ม]])*tbl_task10[[%]:[%]])</f>
        <v/>
      </c>
      <c r="JT6" s="121" t="str">
        <f>IF(ISBLANK(tbl_task10[[คะแนนเต็ม]:[คะแนนเต็ม]]),"",(tbl_task10[110]/tbl_task10[[คะแนนเต็ม]:[คะแนนเต็ม]])*tbl_task10[[%]:[%]])</f>
        <v/>
      </c>
      <c r="JU6" s="121" t="str">
        <f>IF(ISBLANK(tbl_task10[[คะแนนเต็ม]:[คะแนนเต็ม]]),"",(tbl_task10[111]/tbl_task10[[คะแนนเต็ม]:[คะแนนเต็ม]])*tbl_task10[[%]:[%]])</f>
        <v/>
      </c>
      <c r="JV6" s="121" t="str">
        <f>IF(ISBLANK(tbl_task10[[คะแนนเต็ม]:[คะแนนเต็ม]]),"",(tbl_task10[112]/tbl_task10[[คะแนนเต็ม]:[คะแนนเต็ม]])*tbl_task10[[%]:[%]])</f>
        <v/>
      </c>
      <c r="JW6" s="121" t="str">
        <f>IF(ISBLANK(tbl_task10[[คะแนนเต็ม]:[คะแนนเต็ม]]),"",(tbl_task10[113]/tbl_task10[[คะแนนเต็ม]:[คะแนนเต็ม]])*tbl_task10[[%]:[%]])</f>
        <v/>
      </c>
      <c r="JX6" s="121" t="str">
        <f>IF(ISBLANK(tbl_task10[[คะแนนเต็ม]:[คะแนนเต็ม]]),"",(tbl_task10[114]/tbl_task10[[คะแนนเต็ม]:[คะแนนเต็ม]])*tbl_task10[[%]:[%]])</f>
        <v/>
      </c>
      <c r="JY6" s="121" t="str">
        <f>IF(ISBLANK(tbl_task10[[คะแนนเต็ม]:[คะแนนเต็ม]]),"",(tbl_task10[115]/tbl_task10[[คะแนนเต็ม]:[คะแนนเต็ม]])*tbl_task10[[%]:[%]])</f>
        <v/>
      </c>
      <c r="JZ6" s="121" t="str">
        <f>IF(ISBLANK(tbl_task10[[คะแนนเต็ม]:[คะแนนเต็ม]]),"",(tbl_task10[116]/tbl_task10[[คะแนนเต็ม]:[คะแนนเต็ม]])*tbl_task10[[%]:[%]])</f>
        <v/>
      </c>
      <c r="KA6" s="121" t="str">
        <f>IF(ISBLANK(tbl_task10[[คะแนนเต็ม]:[คะแนนเต็ม]]),"",(tbl_task10[117]/tbl_task10[[คะแนนเต็ม]:[คะแนนเต็ม]])*tbl_task10[[%]:[%]])</f>
        <v/>
      </c>
      <c r="KB6" s="121" t="str">
        <f>IF(ISBLANK(tbl_task10[[คะแนนเต็ม]:[คะแนนเต็ม]]),"",(tbl_task10[118]/tbl_task10[[คะแนนเต็ม]:[คะแนนเต็ม]])*tbl_task10[[%]:[%]])</f>
        <v/>
      </c>
      <c r="KC6" s="121" t="str">
        <f>IF(ISBLANK(tbl_task10[[คะแนนเต็ม]:[คะแนนเต็ม]]),"",(tbl_task10[119]/tbl_task10[[คะแนนเต็ม]:[คะแนนเต็ม]])*tbl_task10[[%]:[%]])</f>
        <v/>
      </c>
      <c r="KD6" s="121" t="str">
        <f>IF(ISBLANK(tbl_task10[[คะแนนเต็ม]:[คะแนนเต็ม]]),"",(tbl_task10[120]/tbl_task10[[คะแนนเต็ม]:[คะแนนเต็ม]])*tbl_task10[[%]:[%]])</f>
        <v/>
      </c>
      <c r="KE6" s="121" t="str">
        <f>IF(ISBLANK(tbl_task10[[คะแนนเต็ม]:[คะแนนเต็ม]]),"",(tbl_task10[121]/tbl_task10[[คะแนนเต็ม]:[คะแนนเต็ม]])*tbl_task10[[%]:[%]])</f>
        <v/>
      </c>
      <c r="KF6" s="121" t="str">
        <f>IF(ISBLANK(tbl_task10[[คะแนนเต็ม]:[คะแนนเต็ม]]),"",(tbl_task10[122]/tbl_task10[[คะแนนเต็ม]:[คะแนนเต็ม]])*tbl_task10[[%]:[%]])</f>
        <v/>
      </c>
      <c r="KG6" s="121" t="str">
        <f>IF(ISBLANK(tbl_task10[[คะแนนเต็ม]:[คะแนนเต็ม]]),"",(tbl_task10[123]/tbl_task10[[คะแนนเต็ม]:[คะแนนเต็ม]])*tbl_task10[[%]:[%]])</f>
        <v/>
      </c>
      <c r="KH6" s="121" t="str">
        <f>IF(ISBLANK(tbl_task10[[คะแนนเต็ม]:[คะแนนเต็ม]]),"",(tbl_task10[124]/tbl_task10[[คะแนนเต็ม]:[คะแนนเต็ม]])*tbl_task10[[%]:[%]])</f>
        <v/>
      </c>
      <c r="KI6" s="121" t="str">
        <f>IF(ISBLANK(tbl_task10[[คะแนนเต็ม]:[คะแนนเต็ม]]),"",(tbl_task10[125]/tbl_task10[[คะแนนเต็ม]:[คะแนนเต็ม]])*tbl_task10[[%]:[%]])</f>
        <v/>
      </c>
      <c r="KJ6" s="121" t="str">
        <f>IF(ISBLANK(tbl_task10[[คะแนนเต็ม]:[คะแนนเต็ม]]),"",(tbl_task10[126]/tbl_task10[[คะแนนเต็ม]:[คะแนนเต็ม]])*tbl_task10[[%]:[%]])</f>
        <v/>
      </c>
      <c r="KK6" s="121" t="str">
        <f>IF(ISBLANK(tbl_task10[[คะแนนเต็ม]:[คะแนนเต็ม]]),"",(tbl_task10[127]/tbl_task10[[คะแนนเต็ม]:[คะแนนเต็ม]])*tbl_task10[[%]:[%]])</f>
        <v/>
      </c>
      <c r="KL6" s="121" t="str">
        <f>IF(ISBLANK(tbl_task10[[คะแนนเต็ม]:[คะแนนเต็ม]]),"",(tbl_task10[128]/tbl_task10[[คะแนนเต็ม]:[คะแนนเต็ม]])*tbl_task10[[%]:[%]])</f>
        <v/>
      </c>
      <c r="KM6" s="121" t="str">
        <f>IF(ISBLANK(tbl_task10[[คะแนนเต็ม]:[คะแนนเต็ม]]),"",(tbl_task10[129]/tbl_task10[[คะแนนเต็ม]:[คะแนนเต็ม]])*tbl_task10[[%]:[%]])</f>
        <v/>
      </c>
      <c r="KN6" s="121" t="str">
        <f>IF(ISBLANK(tbl_task10[[คะแนนเต็ม]:[คะแนนเต็ม]]),"",(tbl_task10[130]/tbl_task10[[คะแนนเต็ม]:[คะแนนเต็ม]])*tbl_task10[[%]:[%]])</f>
        <v/>
      </c>
      <c r="KO6" s="121" t="str">
        <f>IF(ISBLANK(tbl_task10[[คะแนนเต็ม]:[คะแนนเต็ม]]),"",(tbl_task10[131]/tbl_task10[[คะแนนเต็ม]:[คะแนนเต็ม]])*tbl_task10[[%]:[%]])</f>
        <v/>
      </c>
      <c r="KP6" s="121" t="str">
        <f>IF(ISBLANK(tbl_task10[[คะแนนเต็ม]:[คะแนนเต็ม]]),"",(tbl_task10[132]/tbl_task10[[คะแนนเต็ม]:[คะแนนเต็ม]])*tbl_task10[[%]:[%]])</f>
        <v/>
      </c>
      <c r="KQ6" s="121" t="str">
        <f>IF(ISBLANK(tbl_task10[[คะแนนเต็ม]:[คะแนนเต็ม]]),"",(tbl_task10[133]/tbl_task10[[คะแนนเต็ม]:[คะแนนเต็ม]])*tbl_task10[[%]:[%]])</f>
        <v/>
      </c>
      <c r="KR6" s="121" t="str">
        <f>IF(ISBLANK(tbl_task10[[คะแนนเต็ม]:[คะแนนเต็ม]]),"",(tbl_task10[134]/tbl_task10[[คะแนนเต็ม]:[คะแนนเต็ม]])*tbl_task10[[%]:[%]])</f>
        <v/>
      </c>
      <c r="KS6" s="121" t="str">
        <f>IF(ISBLANK(tbl_task10[[คะแนนเต็ม]:[คะแนนเต็ม]]),"",(tbl_task10[135]/tbl_task10[[คะแนนเต็ม]:[คะแนนเต็ม]])*tbl_task10[[%]:[%]])</f>
        <v/>
      </c>
      <c r="KT6" s="121" t="str">
        <f>IF(ISBLANK(tbl_task10[[คะแนนเต็ม]:[คะแนนเต็ม]]),"",(tbl_task10[136]/tbl_task10[[คะแนนเต็ม]:[คะแนนเต็ม]])*tbl_task10[[%]:[%]])</f>
        <v/>
      </c>
      <c r="KU6" s="121" t="str">
        <f>IF(ISBLANK(tbl_task10[[คะแนนเต็ม]:[คะแนนเต็ม]]),"",(tbl_task10[137]/tbl_task10[[คะแนนเต็ม]:[คะแนนเต็ม]])*tbl_task10[[%]:[%]])</f>
        <v/>
      </c>
      <c r="KV6" s="121" t="str">
        <f>IF(ISBLANK(tbl_task10[[คะแนนเต็ม]:[คะแนนเต็ม]]),"",(tbl_task10[138]/tbl_task10[[คะแนนเต็ม]:[คะแนนเต็ม]])*tbl_task10[[%]:[%]])</f>
        <v/>
      </c>
      <c r="KW6" s="121" t="str">
        <f>IF(ISBLANK(tbl_task10[[คะแนนเต็ม]:[คะแนนเต็ม]]),"",(tbl_task10[139]/tbl_task10[[คะแนนเต็ม]:[คะแนนเต็ม]])*tbl_task10[[%]:[%]])</f>
        <v/>
      </c>
      <c r="KX6" s="121" t="str">
        <f>IF(ISBLANK(tbl_task10[[คะแนนเต็ม]:[คะแนนเต็ม]]),"",(tbl_task10[140]/tbl_task10[[คะแนนเต็ม]:[คะแนนเต็ม]])*tbl_task10[[%]:[%]])</f>
        <v/>
      </c>
      <c r="KY6" s="121" t="str">
        <f>IF(ISBLANK(tbl_task10[[คะแนนเต็ม]:[คะแนนเต็ม]]),"",(tbl_task10[141]/tbl_task10[[คะแนนเต็ม]:[คะแนนเต็ม]])*tbl_task10[[%]:[%]])</f>
        <v/>
      </c>
      <c r="KZ6" s="121" t="str">
        <f>IF(ISBLANK(tbl_task10[[คะแนนเต็ม]:[คะแนนเต็ม]]),"",(tbl_task10[142]/tbl_task10[[คะแนนเต็ม]:[คะแนนเต็ม]])*tbl_task10[[%]:[%]])</f>
        <v/>
      </c>
      <c r="LA6" s="121" t="str">
        <f>IF(ISBLANK(tbl_task10[[คะแนนเต็ม]:[คะแนนเต็ม]]),"",(tbl_task10[143]/tbl_task10[[คะแนนเต็ม]:[คะแนนเต็ม]])*tbl_task10[[%]:[%]])</f>
        <v/>
      </c>
      <c r="LB6" s="121" t="str">
        <f>IF(ISBLANK(tbl_task10[[คะแนนเต็ม]:[คะแนนเต็ม]]),"",(tbl_task10[144]/tbl_task10[[คะแนนเต็ม]:[คะแนนเต็ม]])*tbl_task10[[%]:[%]])</f>
        <v/>
      </c>
      <c r="LC6" s="121" t="str">
        <f>IF(ISBLANK(tbl_task10[[คะแนนเต็ม]:[คะแนนเต็ม]]),"",(tbl_task10[145]/tbl_task10[[คะแนนเต็ม]:[คะแนนเต็ม]])*tbl_task10[[%]:[%]])</f>
        <v/>
      </c>
      <c r="LD6" s="121" t="str">
        <f>IF(ISBLANK(tbl_task10[[คะแนนเต็ม]:[คะแนนเต็ม]]),"",(tbl_task10[146]/tbl_task10[[คะแนนเต็ม]:[คะแนนเต็ม]])*tbl_task10[[%]:[%]])</f>
        <v/>
      </c>
      <c r="LE6" s="121" t="str">
        <f>IF(ISBLANK(tbl_task10[[คะแนนเต็ม]:[คะแนนเต็ม]]),"",(tbl_task10[147]/tbl_task10[[คะแนนเต็ม]:[คะแนนเต็ม]])*tbl_task10[[%]:[%]])</f>
        <v/>
      </c>
      <c r="LF6" s="121" t="str">
        <f>IF(ISBLANK(tbl_task10[[คะแนนเต็ม]:[คะแนนเต็ม]]),"",(tbl_task10[148]/tbl_task10[[คะแนนเต็ม]:[คะแนนเต็ม]])*tbl_task10[[%]:[%]])</f>
        <v/>
      </c>
      <c r="LG6" s="121" t="str">
        <f>IF(ISBLANK(tbl_task10[[คะแนนเต็ม]:[คะแนนเต็ม]]),"",(tbl_task10[149]/tbl_task10[[คะแนนเต็ม]:[คะแนนเต็ม]])*tbl_task10[[%]:[%]])</f>
        <v/>
      </c>
      <c r="LH6" s="121" t="str">
        <f>IF(ISBLANK(tbl_task10[[คะแนนเต็ม]:[คะแนนเต็ม]]),"",(tbl_task10[150]/tbl_task10[[คะแนนเต็ม]:[คะแนนเต็ม]])*tbl_task10[[%]:[%]])</f>
        <v/>
      </c>
      <c r="LI6" s="121" t="str">
        <f>IF(ISBLANK(tbl_task10[[คะแนนเต็ม]:[คะแนนเต็ม]]),"",(tbl_task10[151]/tbl_task10[[คะแนนเต็ม]:[คะแนนเต็ม]])*tbl_task10[[%]:[%]])</f>
        <v/>
      </c>
      <c r="LJ6" s="121" t="str">
        <f>IF(ISBLANK(tbl_task10[[คะแนนเต็ม]:[คะแนนเต็ม]]),"",(tbl_task10[152]/tbl_task10[[คะแนนเต็ม]:[คะแนนเต็ม]])*tbl_task10[[%]:[%]])</f>
        <v/>
      </c>
      <c r="LK6" s="121" t="str">
        <f>IF(ISBLANK(tbl_task10[[คะแนนเต็ม]:[คะแนนเต็ม]]),"",(tbl_task10[153]/tbl_task10[[คะแนนเต็ม]:[คะแนนเต็ม]])*tbl_task10[[%]:[%]])</f>
        <v/>
      </c>
      <c r="LL6" s="121" t="str">
        <f>IF(ISBLANK(tbl_task10[[คะแนนเต็ม]:[คะแนนเต็ม]]),"",(tbl_task10[154]/tbl_task10[[คะแนนเต็ม]:[คะแนนเต็ม]])*tbl_task10[[%]:[%]])</f>
        <v/>
      </c>
      <c r="LM6" s="121" t="str">
        <f>IF(ISBLANK(tbl_task10[[คะแนนเต็ม]:[คะแนนเต็ม]]),"",(tbl_task10[155]/tbl_task10[[คะแนนเต็ม]:[คะแนนเต็ม]])*tbl_task10[[%]:[%]])</f>
        <v/>
      </c>
      <c r="LN6" s="121" t="str">
        <f>IF(ISBLANK(tbl_task10[[คะแนนเต็ม]:[คะแนนเต็ม]]),"",(tbl_task10[156]/tbl_task10[[คะแนนเต็ม]:[คะแนนเต็ม]])*tbl_task10[[%]:[%]])</f>
        <v/>
      </c>
      <c r="LO6" s="121" t="str">
        <f>IF(ISBLANK(tbl_task10[[คะแนนเต็ม]:[คะแนนเต็ม]]),"",(tbl_task10[157]/tbl_task10[[คะแนนเต็ม]:[คะแนนเต็ม]])*tbl_task10[[%]:[%]])</f>
        <v/>
      </c>
      <c r="LP6" s="121" t="str">
        <f>IF(ISBLANK(tbl_task10[[คะแนนเต็ม]:[คะแนนเต็ม]]),"",(tbl_task10[158]/tbl_task10[[คะแนนเต็ม]:[คะแนนเต็ม]])*tbl_task10[[%]:[%]])</f>
        <v/>
      </c>
      <c r="LQ6" s="121" t="str">
        <f>IF(ISBLANK(tbl_task10[[คะแนนเต็ม]:[คะแนนเต็ม]]),"",(tbl_task10[159]/tbl_task10[[คะแนนเต็ม]:[คะแนนเต็ม]])*tbl_task10[[%]:[%]])</f>
        <v/>
      </c>
      <c r="LR6" s="121" t="str">
        <f>IF(ISBLANK(tbl_task10[[คะแนนเต็ม]:[คะแนนเต็ม]]),"",(tbl_task10[160]/tbl_task10[[คะแนนเต็ม]:[คะแนนเต็ม]])*tbl_task10[[%]:[%]])</f>
        <v/>
      </c>
      <c r="LS6" s="121" t="str">
        <f>IF(ISBLANK(tbl_task10[[คะแนนเต็ม]:[คะแนนเต็ม]]),"",(tbl_task10[161]/tbl_task10[[คะแนนเต็ม]:[คะแนนเต็ม]])*tbl_task10[[%]:[%]])</f>
        <v/>
      </c>
      <c r="LT6" s="121" t="str">
        <f>IF(ISBLANK(tbl_task10[[คะแนนเต็ม]:[คะแนนเต็ม]]),"",(tbl_task10[162]/tbl_task10[[คะแนนเต็ม]:[คะแนนเต็ม]])*tbl_task10[[%]:[%]])</f>
        <v/>
      </c>
      <c r="LU6" s="121" t="str">
        <f>IF(ISBLANK(tbl_task10[[คะแนนเต็ม]:[คะแนนเต็ม]]),"",(tbl_task10[163]/tbl_task10[[คะแนนเต็ม]:[คะแนนเต็ม]])*tbl_task10[[%]:[%]])</f>
        <v/>
      </c>
      <c r="LV6" s="121" t="str">
        <f>IF(ISBLANK(tbl_task10[[คะแนนเต็ม]:[คะแนนเต็ม]]),"",(tbl_task10[164]/tbl_task10[[คะแนนเต็ม]:[คะแนนเต็ม]])*tbl_task10[[%]:[%]])</f>
        <v/>
      </c>
      <c r="LW6" s="121" t="str">
        <f>IF(ISBLANK(tbl_task10[[คะแนนเต็ม]:[คะแนนเต็ม]]),"",(tbl_task10[165]/tbl_task10[[คะแนนเต็ม]:[คะแนนเต็ม]])*tbl_task10[[%]:[%]])</f>
        <v/>
      </c>
    </row>
    <row r="7" spans="1:335" ht="22.5" customHeight="1" x14ac:dyDescent="0.25">
      <c r="A7" s="24">
        <v>4</v>
      </c>
      <c r="B7" s="33"/>
      <c r="C7" s="5" t="str">
        <f>IF(ISBLANK(B7),"",VLOOKUP(B7,tbl_PLOs[],2,0))</f>
        <v/>
      </c>
      <c r="D7" s="102"/>
      <c r="E7" s="10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22"/>
      <c r="FO7" s="121" t="str">
        <f>IF(ISBLANK(tbl_task10[[คะแนนเต็ม]:[คะแนนเต็ม]]),"",(tbl_task10[1]/tbl_task10[[คะแนนเต็ม]:[คะแนนเต็ม]])*tbl_task10[[%]:[%]])</f>
        <v/>
      </c>
      <c r="FP7" s="121" t="str">
        <f>IF(ISBLANK(tbl_task10[[คะแนนเต็ม]:[คะแนนเต็ม]]),"",(tbl_task10[2]/tbl_task10[[คะแนนเต็ม]:[คะแนนเต็ม]])*tbl_task10[[%]:[%]])</f>
        <v/>
      </c>
      <c r="FQ7" s="121" t="str">
        <f>IF(ISBLANK(tbl_task10[[คะแนนเต็ม]:[คะแนนเต็ม]]),"",(tbl_task10[3]/tbl_task10[[คะแนนเต็ม]:[คะแนนเต็ม]])*tbl_task10[[%]:[%]])</f>
        <v/>
      </c>
      <c r="FR7" s="121" t="str">
        <f>IF(ISBLANK(tbl_task10[[คะแนนเต็ม]:[คะแนนเต็ม]]),"",(tbl_task10[4]/tbl_task10[[คะแนนเต็ม]:[คะแนนเต็ม]])*tbl_task10[[%]:[%]])</f>
        <v/>
      </c>
      <c r="FS7" s="121" t="str">
        <f>IF(ISBLANK(tbl_task10[[คะแนนเต็ม]:[คะแนนเต็ม]]),"",(tbl_task10[5]/tbl_task10[[คะแนนเต็ม]:[คะแนนเต็ม]])*tbl_task10[[%]:[%]])</f>
        <v/>
      </c>
      <c r="FT7" s="121" t="str">
        <f>IF(ISBLANK(tbl_task10[[คะแนนเต็ม]:[คะแนนเต็ม]]),"",(tbl_task10[6]/tbl_task10[[คะแนนเต็ม]:[คะแนนเต็ม]])*tbl_task10[[%]:[%]])</f>
        <v/>
      </c>
      <c r="FU7" s="121" t="str">
        <f>IF(ISBLANK(tbl_task10[[คะแนนเต็ม]:[คะแนนเต็ม]]),"",(tbl_task10[7]/tbl_task10[[คะแนนเต็ม]:[คะแนนเต็ม]])*tbl_task10[[%]:[%]])</f>
        <v/>
      </c>
      <c r="FV7" s="121" t="str">
        <f>IF(ISBLANK(tbl_task10[[คะแนนเต็ม]:[คะแนนเต็ม]]),"",(tbl_task10[8]/tbl_task10[[คะแนนเต็ม]:[คะแนนเต็ม]])*tbl_task10[[%]:[%]])</f>
        <v/>
      </c>
      <c r="FW7" s="121" t="str">
        <f>IF(ISBLANK(tbl_task10[[คะแนนเต็ม]:[คะแนนเต็ม]]),"",(tbl_task10[9]/tbl_task10[[คะแนนเต็ม]:[คะแนนเต็ม]])*tbl_task10[[%]:[%]])</f>
        <v/>
      </c>
      <c r="FX7" s="121" t="str">
        <f>IF(ISBLANK(tbl_task10[[คะแนนเต็ม]:[คะแนนเต็ม]]),"",(tbl_task10[10]/tbl_task10[[คะแนนเต็ม]:[คะแนนเต็ม]])*tbl_task10[[%]:[%]])</f>
        <v/>
      </c>
      <c r="FY7" s="121" t="str">
        <f>IF(ISBLANK(tbl_task10[[คะแนนเต็ม]:[คะแนนเต็ม]]),"",(tbl_task10[11]/tbl_task10[[คะแนนเต็ม]:[คะแนนเต็ม]])*tbl_task10[[%]:[%]])</f>
        <v/>
      </c>
      <c r="FZ7" s="121" t="str">
        <f>IF(ISBLANK(tbl_task10[[คะแนนเต็ม]:[คะแนนเต็ม]]),"",(tbl_task10[12]/tbl_task10[[คะแนนเต็ม]:[คะแนนเต็ม]])*tbl_task10[[%]:[%]])</f>
        <v/>
      </c>
      <c r="GA7" s="121" t="str">
        <f>IF(ISBLANK(tbl_task10[[คะแนนเต็ม]:[คะแนนเต็ม]]),"",(tbl_task10[13]/tbl_task10[[คะแนนเต็ม]:[คะแนนเต็ม]])*tbl_task10[[%]:[%]])</f>
        <v/>
      </c>
      <c r="GB7" s="121" t="str">
        <f>IF(ISBLANK(tbl_task10[[คะแนนเต็ม]:[คะแนนเต็ม]]),"",(tbl_task10[14]/tbl_task10[[คะแนนเต็ม]:[คะแนนเต็ม]])*tbl_task10[[%]:[%]])</f>
        <v/>
      </c>
      <c r="GC7" s="121" t="str">
        <f>IF(ISBLANK(tbl_task10[[คะแนนเต็ม]:[คะแนนเต็ม]]),"",(tbl_task10[15]/tbl_task10[[คะแนนเต็ม]:[คะแนนเต็ม]])*tbl_task10[[%]:[%]])</f>
        <v/>
      </c>
      <c r="GD7" s="121" t="str">
        <f>IF(ISBLANK(tbl_task10[[คะแนนเต็ม]:[คะแนนเต็ม]]),"",(tbl_task10[16]/tbl_task10[[คะแนนเต็ม]:[คะแนนเต็ม]])*tbl_task10[[%]:[%]])</f>
        <v/>
      </c>
      <c r="GE7" s="121" t="str">
        <f>IF(ISBLANK(tbl_task10[[คะแนนเต็ม]:[คะแนนเต็ม]]),"",(tbl_task10[17]/tbl_task10[[คะแนนเต็ม]:[คะแนนเต็ม]])*tbl_task10[[%]:[%]])</f>
        <v/>
      </c>
      <c r="GF7" s="121" t="str">
        <f>IF(ISBLANK(tbl_task10[[คะแนนเต็ม]:[คะแนนเต็ม]]),"",(tbl_task10[18]/tbl_task10[[คะแนนเต็ม]:[คะแนนเต็ม]])*tbl_task10[[%]:[%]])</f>
        <v/>
      </c>
      <c r="GG7" s="121" t="str">
        <f>IF(ISBLANK(tbl_task10[[คะแนนเต็ม]:[คะแนนเต็ม]]),"",(tbl_task10[19]/tbl_task10[[คะแนนเต็ม]:[คะแนนเต็ม]])*tbl_task10[[%]:[%]])</f>
        <v/>
      </c>
      <c r="GH7" s="121" t="str">
        <f>IF(ISBLANK(tbl_task10[[คะแนนเต็ม]:[คะแนนเต็ม]]),"",(tbl_task10[20]/tbl_task10[[คะแนนเต็ม]:[คะแนนเต็ม]])*tbl_task10[[%]:[%]])</f>
        <v/>
      </c>
      <c r="GI7" s="121" t="str">
        <f>IF(ISBLANK(tbl_task10[[คะแนนเต็ม]:[คะแนนเต็ม]]),"",(tbl_task10[21]/tbl_task10[[คะแนนเต็ม]:[คะแนนเต็ม]])*tbl_task10[[%]:[%]])</f>
        <v/>
      </c>
      <c r="GJ7" s="121" t="str">
        <f>IF(ISBLANK(tbl_task10[[คะแนนเต็ม]:[คะแนนเต็ม]]),"",(tbl_task10[22]/tbl_task10[[คะแนนเต็ม]:[คะแนนเต็ม]])*tbl_task10[[%]:[%]])</f>
        <v/>
      </c>
      <c r="GK7" s="121" t="str">
        <f>IF(ISBLANK(tbl_task10[[คะแนนเต็ม]:[คะแนนเต็ม]]),"",(tbl_task10[23]/tbl_task10[[คะแนนเต็ม]:[คะแนนเต็ม]])*tbl_task10[[%]:[%]])</f>
        <v/>
      </c>
      <c r="GL7" s="121" t="str">
        <f>IF(ISBLANK(tbl_task10[[คะแนนเต็ม]:[คะแนนเต็ม]]),"",(tbl_task10[24]/tbl_task10[[คะแนนเต็ม]:[คะแนนเต็ม]])*tbl_task10[[%]:[%]])</f>
        <v/>
      </c>
      <c r="GM7" s="121" t="str">
        <f>IF(ISBLANK(tbl_task10[[คะแนนเต็ม]:[คะแนนเต็ม]]),"",(tbl_task10[25]/tbl_task10[[คะแนนเต็ม]:[คะแนนเต็ม]])*tbl_task10[[%]:[%]])</f>
        <v/>
      </c>
      <c r="GN7" s="121" t="str">
        <f>IF(ISBLANK(tbl_task10[[คะแนนเต็ม]:[คะแนนเต็ม]]),"",(tbl_task10[26]/tbl_task10[[คะแนนเต็ม]:[คะแนนเต็ม]])*tbl_task10[[%]:[%]])</f>
        <v/>
      </c>
      <c r="GO7" s="121" t="str">
        <f>IF(ISBLANK(tbl_task10[[คะแนนเต็ม]:[คะแนนเต็ม]]),"",(tbl_task10[27]/tbl_task10[[คะแนนเต็ม]:[คะแนนเต็ม]])*tbl_task10[[%]:[%]])</f>
        <v/>
      </c>
      <c r="GP7" s="121" t="str">
        <f>IF(ISBLANK(tbl_task10[[คะแนนเต็ม]:[คะแนนเต็ม]]),"",(tbl_task10[28]/tbl_task10[[คะแนนเต็ม]:[คะแนนเต็ม]])*tbl_task10[[%]:[%]])</f>
        <v/>
      </c>
      <c r="GQ7" s="121" t="str">
        <f>IF(ISBLANK(tbl_task10[[คะแนนเต็ม]:[คะแนนเต็ม]]),"",(tbl_task10[29]/tbl_task10[[คะแนนเต็ม]:[คะแนนเต็ม]])*tbl_task10[[%]:[%]])</f>
        <v/>
      </c>
      <c r="GR7" s="121" t="str">
        <f>IF(ISBLANK(tbl_task10[[คะแนนเต็ม]:[คะแนนเต็ม]]),"",(tbl_task10[30]/tbl_task10[[คะแนนเต็ม]:[คะแนนเต็ม]])*tbl_task10[[%]:[%]])</f>
        <v/>
      </c>
      <c r="GS7" s="121" t="str">
        <f>IF(ISBLANK(tbl_task10[[คะแนนเต็ม]:[คะแนนเต็ม]]),"",(tbl_task10[31]/tbl_task10[[คะแนนเต็ม]:[คะแนนเต็ม]])*tbl_task10[[%]:[%]])</f>
        <v/>
      </c>
      <c r="GT7" s="121" t="str">
        <f>IF(ISBLANK(tbl_task10[[คะแนนเต็ม]:[คะแนนเต็ม]]),"",(tbl_task10[32]/tbl_task10[[คะแนนเต็ม]:[คะแนนเต็ม]])*tbl_task10[[%]:[%]])</f>
        <v/>
      </c>
      <c r="GU7" s="121" t="str">
        <f>IF(ISBLANK(tbl_task10[[คะแนนเต็ม]:[คะแนนเต็ม]]),"",(tbl_task10[33]/tbl_task10[[คะแนนเต็ม]:[คะแนนเต็ม]])*tbl_task10[[%]:[%]])</f>
        <v/>
      </c>
      <c r="GV7" s="121" t="str">
        <f>IF(ISBLANK(tbl_task10[[คะแนนเต็ม]:[คะแนนเต็ม]]),"",(tbl_task10[34]/tbl_task10[[คะแนนเต็ม]:[คะแนนเต็ม]])*tbl_task10[[%]:[%]])</f>
        <v/>
      </c>
      <c r="GW7" s="121" t="str">
        <f>IF(ISBLANK(tbl_task10[[คะแนนเต็ม]:[คะแนนเต็ม]]),"",(tbl_task10[35]/tbl_task10[[คะแนนเต็ม]:[คะแนนเต็ม]])*tbl_task10[[%]:[%]])</f>
        <v/>
      </c>
      <c r="GX7" s="121" t="str">
        <f>IF(ISBLANK(tbl_task10[[คะแนนเต็ม]:[คะแนนเต็ม]]),"",(tbl_task10[36]/tbl_task10[[คะแนนเต็ม]:[คะแนนเต็ม]])*tbl_task10[[%]:[%]])</f>
        <v/>
      </c>
      <c r="GY7" s="121" t="str">
        <f>IF(ISBLANK(tbl_task10[[คะแนนเต็ม]:[คะแนนเต็ม]]),"",(tbl_task10[37]/tbl_task10[[คะแนนเต็ม]:[คะแนนเต็ม]])*tbl_task10[[%]:[%]])</f>
        <v/>
      </c>
      <c r="GZ7" s="121" t="str">
        <f>IF(ISBLANK(tbl_task10[[คะแนนเต็ม]:[คะแนนเต็ม]]),"",(tbl_task10[38]/tbl_task10[[คะแนนเต็ม]:[คะแนนเต็ม]])*tbl_task10[[%]:[%]])</f>
        <v/>
      </c>
      <c r="HA7" s="121" t="str">
        <f>IF(ISBLANK(tbl_task10[[คะแนนเต็ม]:[คะแนนเต็ม]]),"",(tbl_task10[39]/tbl_task10[[คะแนนเต็ม]:[คะแนนเต็ม]])*tbl_task10[[%]:[%]])</f>
        <v/>
      </c>
      <c r="HB7" s="121" t="str">
        <f>IF(ISBLANK(tbl_task10[[คะแนนเต็ม]:[คะแนนเต็ม]]),"",(tbl_task10[40]/tbl_task10[[คะแนนเต็ม]:[คะแนนเต็ม]])*tbl_task10[[%]:[%]])</f>
        <v/>
      </c>
      <c r="HC7" s="121" t="str">
        <f>IF(ISBLANK(tbl_task10[[คะแนนเต็ม]:[คะแนนเต็ม]]),"",(tbl_task10[41]/tbl_task10[[คะแนนเต็ม]:[คะแนนเต็ม]])*tbl_task10[[%]:[%]])</f>
        <v/>
      </c>
      <c r="HD7" s="121" t="str">
        <f>IF(ISBLANK(tbl_task10[[คะแนนเต็ม]:[คะแนนเต็ม]]),"",(tbl_task10[42]/tbl_task10[[คะแนนเต็ม]:[คะแนนเต็ม]])*tbl_task10[[%]:[%]])</f>
        <v/>
      </c>
      <c r="HE7" s="121" t="str">
        <f>IF(ISBLANK(tbl_task10[[คะแนนเต็ม]:[คะแนนเต็ม]]),"",(tbl_task10[43]/tbl_task10[[คะแนนเต็ม]:[คะแนนเต็ม]])*tbl_task10[[%]:[%]])</f>
        <v/>
      </c>
      <c r="HF7" s="121" t="str">
        <f>IF(ISBLANK(tbl_task10[[คะแนนเต็ม]:[คะแนนเต็ม]]),"",(tbl_task10[44]/tbl_task10[[คะแนนเต็ม]:[คะแนนเต็ม]])*tbl_task10[[%]:[%]])</f>
        <v/>
      </c>
      <c r="HG7" s="121" t="str">
        <f>IF(ISBLANK(tbl_task10[[คะแนนเต็ม]:[คะแนนเต็ม]]),"",(tbl_task10[45]/tbl_task10[[คะแนนเต็ม]:[คะแนนเต็ม]])*tbl_task10[[%]:[%]])</f>
        <v/>
      </c>
      <c r="HH7" s="121" t="str">
        <f>IF(ISBLANK(tbl_task10[[คะแนนเต็ม]:[คะแนนเต็ม]]),"",(tbl_task10[46]/tbl_task10[[คะแนนเต็ม]:[คะแนนเต็ม]])*tbl_task10[[%]:[%]])</f>
        <v/>
      </c>
      <c r="HI7" s="121" t="str">
        <f>IF(ISBLANK(tbl_task10[[คะแนนเต็ม]:[คะแนนเต็ม]]),"",(tbl_task10[47]/tbl_task10[[คะแนนเต็ม]:[คะแนนเต็ม]])*tbl_task10[[%]:[%]])</f>
        <v/>
      </c>
      <c r="HJ7" s="121" t="str">
        <f>IF(ISBLANK(tbl_task10[[คะแนนเต็ม]:[คะแนนเต็ม]]),"",(tbl_task10[48]/tbl_task10[[คะแนนเต็ม]:[คะแนนเต็ม]])*tbl_task10[[%]:[%]])</f>
        <v/>
      </c>
      <c r="HK7" s="121" t="str">
        <f>IF(ISBLANK(tbl_task10[[คะแนนเต็ม]:[คะแนนเต็ม]]),"",(tbl_task10[49]/tbl_task10[[คะแนนเต็ม]:[คะแนนเต็ม]])*tbl_task10[[%]:[%]])</f>
        <v/>
      </c>
      <c r="HL7" s="121" t="str">
        <f>IF(ISBLANK(tbl_task10[[คะแนนเต็ม]:[คะแนนเต็ม]]),"",(tbl_task10[50]/tbl_task10[[คะแนนเต็ม]:[คะแนนเต็ม]])*tbl_task10[[%]:[%]])</f>
        <v/>
      </c>
      <c r="HM7" s="121" t="str">
        <f>IF(ISBLANK(tbl_task10[[คะแนนเต็ม]:[คะแนนเต็ม]]),"",(tbl_task10[51]/tbl_task10[[คะแนนเต็ม]:[คะแนนเต็ม]])*tbl_task10[[%]:[%]])</f>
        <v/>
      </c>
      <c r="HN7" s="121" t="str">
        <f>IF(ISBLANK(tbl_task10[[คะแนนเต็ม]:[คะแนนเต็ม]]),"",(tbl_task10[52]/tbl_task10[[คะแนนเต็ม]:[คะแนนเต็ม]])*tbl_task10[[%]:[%]])</f>
        <v/>
      </c>
      <c r="HO7" s="121" t="str">
        <f>IF(ISBLANK(tbl_task10[[คะแนนเต็ม]:[คะแนนเต็ม]]),"",(tbl_task10[53]/tbl_task10[[คะแนนเต็ม]:[คะแนนเต็ม]])*tbl_task10[[%]:[%]])</f>
        <v/>
      </c>
      <c r="HP7" s="121" t="str">
        <f>IF(ISBLANK(tbl_task10[[คะแนนเต็ม]:[คะแนนเต็ม]]),"",(tbl_task10[54]/tbl_task10[[คะแนนเต็ม]:[คะแนนเต็ม]])*tbl_task10[[%]:[%]])</f>
        <v/>
      </c>
      <c r="HQ7" s="121" t="str">
        <f>IF(ISBLANK(tbl_task10[[คะแนนเต็ม]:[คะแนนเต็ม]]),"",(tbl_task10[55]/tbl_task10[[คะแนนเต็ม]:[คะแนนเต็ม]])*tbl_task10[[%]:[%]])</f>
        <v/>
      </c>
      <c r="HR7" s="121" t="str">
        <f>IF(ISBLANK(tbl_task10[[คะแนนเต็ม]:[คะแนนเต็ม]]),"",(tbl_task10[56]/tbl_task10[[คะแนนเต็ม]:[คะแนนเต็ม]])*tbl_task10[[%]:[%]])</f>
        <v/>
      </c>
      <c r="HS7" s="121" t="str">
        <f>IF(ISBLANK(tbl_task10[[คะแนนเต็ม]:[คะแนนเต็ม]]),"",(tbl_task10[57]/tbl_task10[[คะแนนเต็ม]:[คะแนนเต็ม]])*tbl_task10[[%]:[%]])</f>
        <v/>
      </c>
      <c r="HT7" s="121" t="str">
        <f>IF(ISBLANK(tbl_task10[[คะแนนเต็ม]:[คะแนนเต็ม]]),"",(tbl_task10[58]/tbl_task10[[คะแนนเต็ม]:[คะแนนเต็ม]])*tbl_task10[[%]:[%]])</f>
        <v/>
      </c>
      <c r="HU7" s="121" t="str">
        <f>IF(ISBLANK(tbl_task10[[คะแนนเต็ม]:[คะแนนเต็ม]]),"",(tbl_task10[59]/tbl_task10[[คะแนนเต็ม]:[คะแนนเต็ม]])*tbl_task10[[%]:[%]])</f>
        <v/>
      </c>
      <c r="HV7" s="121" t="str">
        <f>IF(ISBLANK(tbl_task10[[คะแนนเต็ม]:[คะแนนเต็ม]]),"",(tbl_task10[60]/tbl_task10[[คะแนนเต็ม]:[คะแนนเต็ม]])*tbl_task10[[%]:[%]])</f>
        <v/>
      </c>
      <c r="HW7" s="121" t="str">
        <f>IF(ISBLANK(tbl_task10[[คะแนนเต็ม]:[คะแนนเต็ม]]),"",(tbl_task10[61]/tbl_task10[[คะแนนเต็ม]:[คะแนนเต็ม]])*tbl_task10[[%]:[%]])</f>
        <v/>
      </c>
      <c r="HX7" s="121" t="str">
        <f>IF(ISBLANK(tbl_task10[[คะแนนเต็ม]:[คะแนนเต็ม]]),"",(tbl_task10[62]/tbl_task10[[คะแนนเต็ม]:[คะแนนเต็ม]])*tbl_task10[[%]:[%]])</f>
        <v/>
      </c>
      <c r="HY7" s="121" t="str">
        <f>IF(ISBLANK(tbl_task10[[คะแนนเต็ม]:[คะแนนเต็ม]]),"",(tbl_task10[63]/tbl_task10[[คะแนนเต็ม]:[คะแนนเต็ม]])*tbl_task10[[%]:[%]])</f>
        <v/>
      </c>
      <c r="HZ7" s="121" t="str">
        <f>IF(ISBLANK(tbl_task10[[คะแนนเต็ม]:[คะแนนเต็ม]]),"",(tbl_task10[64]/tbl_task10[[คะแนนเต็ม]:[คะแนนเต็ม]])*tbl_task10[[%]:[%]])</f>
        <v/>
      </c>
      <c r="IA7" s="121" t="str">
        <f>IF(ISBLANK(tbl_task10[[คะแนนเต็ม]:[คะแนนเต็ม]]),"",(tbl_task10[65]/tbl_task10[[คะแนนเต็ม]:[คะแนนเต็ม]])*tbl_task10[[%]:[%]])</f>
        <v/>
      </c>
      <c r="IB7" s="121" t="str">
        <f>IF(ISBLANK(tbl_task10[[คะแนนเต็ม]:[คะแนนเต็ม]]),"",(tbl_task10[66]/tbl_task10[[คะแนนเต็ม]:[คะแนนเต็ม]])*tbl_task10[[%]:[%]])</f>
        <v/>
      </c>
      <c r="IC7" s="121" t="str">
        <f>IF(ISBLANK(tbl_task10[[คะแนนเต็ม]:[คะแนนเต็ม]]),"",(tbl_task10[67]/tbl_task10[[คะแนนเต็ม]:[คะแนนเต็ม]])*tbl_task10[[%]:[%]])</f>
        <v/>
      </c>
      <c r="ID7" s="121" t="str">
        <f>IF(ISBLANK(tbl_task10[[คะแนนเต็ม]:[คะแนนเต็ม]]),"",(tbl_task10[68]/tbl_task10[[คะแนนเต็ม]:[คะแนนเต็ม]])*tbl_task10[[%]:[%]])</f>
        <v/>
      </c>
      <c r="IE7" s="121" t="str">
        <f>IF(ISBLANK(tbl_task10[[คะแนนเต็ม]:[คะแนนเต็ม]]),"",(tbl_task10[69]/tbl_task10[[คะแนนเต็ม]:[คะแนนเต็ม]])*tbl_task10[[%]:[%]])</f>
        <v/>
      </c>
      <c r="IF7" s="121" t="str">
        <f>IF(ISBLANK(tbl_task10[[คะแนนเต็ม]:[คะแนนเต็ม]]),"",(tbl_task10[70]/tbl_task10[[คะแนนเต็ม]:[คะแนนเต็ม]])*tbl_task10[[%]:[%]])</f>
        <v/>
      </c>
      <c r="IG7" s="121" t="str">
        <f>IF(ISBLANK(tbl_task10[[คะแนนเต็ม]:[คะแนนเต็ม]]),"",(tbl_task10[71]/tbl_task10[[คะแนนเต็ม]:[คะแนนเต็ม]])*tbl_task10[[%]:[%]])</f>
        <v/>
      </c>
      <c r="IH7" s="121" t="str">
        <f>IF(ISBLANK(tbl_task10[[คะแนนเต็ม]:[คะแนนเต็ม]]),"",(tbl_task10[72]/tbl_task10[[คะแนนเต็ม]:[คะแนนเต็ม]])*tbl_task10[[%]:[%]])</f>
        <v/>
      </c>
      <c r="II7" s="121" t="str">
        <f>IF(ISBLANK(tbl_task10[[คะแนนเต็ม]:[คะแนนเต็ม]]),"",(tbl_task10[73]/tbl_task10[[คะแนนเต็ม]:[คะแนนเต็ม]])*tbl_task10[[%]:[%]])</f>
        <v/>
      </c>
      <c r="IJ7" s="121" t="str">
        <f>IF(ISBLANK(tbl_task10[[คะแนนเต็ม]:[คะแนนเต็ม]]),"",(tbl_task10[74]/tbl_task10[[คะแนนเต็ม]:[คะแนนเต็ม]])*tbl_task10[[%]:[%]])</f>
        <v/>
      </c>
      <c r="IK7" s="121" t="str">
        <f>IF(ISBLANK(tbl_task10[[คะแนนเต็ม]:[คะแนนเต็ม]]),"",(tbl_task10[75]/tbl_task10[[คะแนนเต็ม]:[คะแนนเต็ม]])*tbl_task10[[%]:[%]])</f>
        <v/>
      </c>
      <c r="IL7" s="121" t="str">
        <f>IF(ISBLANK(tbl_task10[[คะแนนเต็ม]:[คะแนนเต็ม]]),"",(tbl_task10[76]/tbl_task10[[คะแนนเต็ม]:[คะแนนเต็ม]])*tbl_task10[[%]:[%]])</f>
        <v/>
      </c>
      <c r="IM7" s="121" t="str">
        <f>IF(ISBLANK(tbl_task10[[คะแนนเต็ม]:[คะแนนเต็ม]]),"",(tbl_task10[77]/tbl_task10[[คะแนนเต็ม]:[คะแนนเต็ม]])*tbl_task10[[%]:[%]])</f>
        <v/>
      </c>
      <c r="IN7" s="121" t="str">
        <f>IF(ISBLANK(tbl_task10[[คะแนนเต็ม]:[คะแนนเต็ม]]),"",(tbl_task10[78]/tbl_task10[[คะแนนเต็ม]:[คะแนนเต็ม]])*tbl_task10[[%]:[%]])</f>
        <v/>
      </c>
      <c r="IO7" s="121" t="str">
        <f>IF(ISBLANK(tbl_task10[[คะแนนเต็ม]:[คะแนนเต็ม]]),"",(tbl_task10[79]/tbl_task10[[คะแนนเต็ม]:[คะแนนเต็ม]])*tbl_task10[[%]:[%]])</f>
        <v/>
      </c>
      <c r="IP7" s="121" t="str">
        <f>IF(ISBLANK(tbl_task10[[คะแนนเต็ม]:[คะแนนเต็ม]]),"",(tbl_task10[80]/tbl_task10[[คะแนนเต็ม]:[คะแนนเต็ม]])*tbl_task10[[%]:[%]])</f>
        <v/>
      </c>
      <c r="IQ7" s="121" t="str">
        <f>IF(ISBLANK(tbl_task10[[คะแนนเต็ม]:[คะแนนเต็ม]]),"",(tbl_task10[81]/tbl_task10[[คะแนนเต็ม]:[คะแนนเต็ม]])*tbl_task10[[%]:[%]])</f>
        <v/>
      </c>
      <c r="IR7" s="121" t="str">
        <f>IF(ISBLANK(tbl_task10[[คะแนนเต็ม]:[คะแนนเต็ม]]),"",(tbl_task10[82]/tbl_task10[[คะแนนเต็ม]:[คะแนนเต็ม]])*tbl_task10[[%]:[%]])</f>
        <v/>
      </c>
      <c r="IS7" s="121" t="str">
        <f>IF(ISBLANK(tbl_task10[[คะแนนเต็ม]:[คะแนนเต็ม]]),"",(tbl_task10[83]/tbl_task10[[คะแนนเต็ม]:[คะแนนเต็ม]])*tbl_task10[[%]:[%]])</f>
        <v/>
      </c>
      <c r="IT7" s="121" t="str">
        <f>IF(ISBLANK(tbl_task10[[คะแนนเต็ม]:[คะแนนเต็ม]]),"",(tbl_task10[84]/tbl_task10[[คะแนนเต็ม]:[คะแนนเต็ม]])*tbl_task10[[%]:[%]])</f>
        <v/>
      </c>
      <c r="IU7" s="121" t="str">
        <f>IF(ISBLANK(tbl_task10[[คะแนนเต็ม]:[คะแนนเต็ม]]),"",(tbl_task10[85]/tbl_task10[[คะแนนเต็ม]:[คะแนนเต็ม]])*tbl_task10[[%]:[%]])</f>
        <v/>
      </c>
      <c r="IV7" s="121" t="str">
        <f>IF(ISBLANK(tbl_task10[[คะแนนเต็ม]:[คะแนนเต็ม]]),"",(tbl_task10[86]/tbl_task10[[คะแนนเต็ม]:[คะแนนเต็ม]])*tbl_task10[[%]:[%]])</f>
        <v/>
      </c>
      <c r="IW7" s="121" t="str">
        <f>IF(ISBLANK(tbl_task10[[คะแนนเต็ม]:[คะแนนเต็ม]]),"",(tbl_task10[87]/tbl_task10[[คะแนนเต็ม]:[คะแนนเต็ม]])*tbl_task10[[%]:[%]])</f>
        <v/>
      </c>
      <c r="IX7" s="121" t="str">
        <f>IF(ISBLANK(tbl_task10[[คะแนนเต็ม]:[คะแนนเต็ม]]),"",(tbl_task10[88]/tbl_task10[[คะแนนเต็ม]:[คะแนนเต็ม]])*tbl_task10[[%]:[%]])</f>
        <v/>
      </c>
      <c r="IY7" s="121" t="str">
        <f>IF(ISBLANK(tbl_task10[[คะแนนเต็ม]:[คะแนนเต็ม]]),"",(tbl_task10[89]/tbl_task10[[คะแนนเต็ม]:[คะแนนเต็ม]])*tbl_task10[[%]:[%]])</f>
        <v/>
      </c>
      <c r="IZ7" s="121" t="str">
        <f>IF(ISBLANK(tbl_task10[[คะแนนเต็ม]:[คะแนนเต็ม]]),"",(tbl_task10[90]/tbl_task10[[คะแนนเต็ม]:[คะแนนเต็ม]])*tbl_task10[[%]:[%]])</f>
        <v/>
      </c>
      <c r="JA7" s="121" t="str">
        <f>IF(ISBLANK(tbl_task10[[คะแนนเต็ม]:[คะแนนเต็ม]]),"",(tbl_task10[91]/tbl_task10[[คะแนนเต็ม]:[คะแนนเต็ม]])*tbl_task10[[%]:[%]])</f>
        <v/>
      </c>
      <c r="JB7" s="121" t="str">
        <f>IF(ISBLANK(tbl_task10[[คะแนนเต็ม]:[คะแนนเต็ม]]),"",(tbl_task10[92]/tbl_task10[[คะแนนเต็ม]:[คะแนนเต็ม]])*tbl_task10[[%]:[%]])</f>
        <v/>
      </c>
      <c r="JC7" s="121" t="str">
        <f>IF(ISBLANK(tbl_task10[[คะแนนเต็ม]:[คะแนนเต็ม]]),"",(tbl_task10[93]/tbl_task10[[คะแนนเต็ม]:[คะแนนเต็ม]])*tbl_task10[[%]:[%]])</f>
        <v/>
      </c>
      <c r="JD7" s="121" t="str">
        <f>IF(ISBLANK(tbl_task10[[คะแนนเต็ม]:[คะแนนเต็ม]]),"",(tbl_task10[94]/tbl_task10[[คะแนนเต็ม]:[คะแนนเต็ม]])*tbl_task10[[%]:[%]])</f>
        <v/>
      </c>
      <c r="JE7" s="121" t="str">
        <f>IF(ISBLANK(tbl_task10[[คะแนนเต็ม]:[คะแนนเต็ม]]),"",(tbl_task10[95]/tbl_task10[[คะแนนเต็ม]:[คะแนนเต็ม]])*tbl_task10[[%]:[%]])</f>
        <v/>
      </c>
      <c r="JF7" s="121" t="str">
        <f>IF(ISBLANK(tbl_task10[[คะแนนเต็ม]:[คะแนนเต็ม]]),"",(tbl_task10[96]/tbl_task10[[คะแนนเต็ม]:[คะแนนเต็ม]])*tbl_task10[[%]:[%]])</f>
        <v/>
      </c>
      <c r="JG7" s="121" t="str">
        <f>IF(ISBLANK(tbl_task10[[คะแนนเต็ม]:[คะแนนเต็ม]]),"",(tbl_task10[97]/tbl_task10[[คะแนนเต็ม]:[คะแนนเต็ม]])*tbl_task10[[%]:[%]])</f>
        <v/>
      </c>
      <c r="JH7" s="121" t="str">
        <f>IF(ISBLANK(tbl_task10[[คะแนนเต็ม]:[คะแนนเต็ม]]),"",(tbl_task10[98]/tbl_task10[[คะแนนเต็ม]:[คะแนนเต็ม]])*tbl_task10[[%]:[%]])</f>
        <v/>
      </c>
      <c r="JI7" s="121" t="str">
        <f>IF(ISBLANK(tbl_task10[[คะแนนเต็ม]:[คะแนนเต็ม]]),"",(tbl_task10[99]/tbl_task10[[คะแนนเต็ม]:[คะแนนเต็ม]])*tbl_task10[[%]:[%]])</f>
        <v/>
      </c>
      <c r="JJ7" s="121" t="str">
        <f>IF(ISBLANK(tbl_task10[[คะแนนเต็ม]:[คะแนนเต็ม]]),"",(tbl_task10[100]/tbl_task10[[คะแนนเต็ม]:[คะแนนเต็ม]])*tbl_task10[[%]:[%]])</f>
        <v/>
      </c>
      <c r="JK7" s="121" t="str">
        <f>IF(ISBLANK(tbl_task10[[คะแนนเต็ม]:[คะแนนเต็ม]]),"",(tbl_task10[101]/tbl_task10[[คะแนนเต็ม]:[คะแนนเต็ม]])*tbl_task10[[%]:[%]])</f>
        <v/>
      </c>
      <c r="JL7" s="121" t="str">
        <f>IF(ISBLANK(tbl_task10[[คะแนนเต็ม]:[คะแนนเต็ม]]),"",(tbl_task10[102]/tbl_task10[[คะแนนเต็ม]:[คะแนนเต็ม]])*tbl_task10[[%]:[%]])</f>
        <v/>
      </c>
      <c r="JM7" s="121" t="str">
        <f>IF(ISBLANK(tbl_task10[[คะแนนเต็ม]:[คะแนนเต็ม]]),"",(tbl_task10[103]/tbl_task10[[คะแนนเต็ม]:[คะแนนเต็ม]])*tbl_task10[[%]:[%]])</f>
        <v/>
      </c>
      <c r="JN7" s="121" t="str">
        <f>IF(ISBLANK(tbl_task10[[คะแนนเต็ม]:[คะแนนเต็ม]]),"",(tbl_task10[104]/tbl_task10[[คะแนนเต็ม]:[คะแนนเต็ม]])*tbl_task10[[%]:[%]])</f>
        <v/>
      </c>
      <c r="JO7" s="121" t="str">
        <f>IF(ISBLANK(tbl_task10[[คะแนนเต็ม]:[คะแนนเต็ม]]),"",(tbl_task10[105]/tbl_task10[[คะแนนเต็ม]:[คะแนนเต็ม]])*tbl_task10[[%]:[%]])</f>
        <v/>
      </c>
      <c r="JP7" s="121" t="str">
        <f>IF(ISBLANK(tbl_task10[[คะแนนเต็ม]:[คะแนนเต็ม]]),"",(tbl_task10[106]/tbl_task10[[คะแนนเต็ม]:[คะแนนเต็ม]])*tbl_task10[[%]:[%]])</f>
        <v/>
      </c>
      <c r="JQ7" s="121" t="str">
        <f>IF(ISBLANK(tbl_task10[[คะแนนเต็ม]:[คะแนนเต็ม]]),"",(tbl_task10[107]/tbl_task10[[คะแนนเต็ม]:[คะแนนเต็ม]])*tbl_task10[[%]:[%]])</f>
        <v/>
      </c>
      <c r="JR7" s="121" t="str">
        <f>IF(ISBLANK(tbl_task10[[คะแนนเต็ม]:[คะแนนเต็ม]]),"",(tbl_task10[108]/tbl_task10[[คะแนนเต็ม]:[คะแนนเต็ม]])*tbl_task10[[%]:[%]])</f>
        <v/>
      </c>
      <c r="JS7" s="121" t="str">
        <f>IF(ISBLANK(tbl_task10[[คะแนนเต็ม]:[คะแนนเต็ม]]),"",(tbl_task10[109]/tbl_task10[[คะแนนเต็ม]:[คะแนนเต็ม]])*tbl_task10[[%]:[%]])</f>
        <v/>
      </c>
      <c r="JT7" s="121" t="str">
        <f>IF(ISBLANK(tbl_task10[[คะแนนเต็ม]:[คะแนนเต็ม]]),"",(tbl_task10[110]/tbl_task10[[คะแนนเต็ม]:[คะแนนเต็ม]])*tbl_task10[[%]:[%]])</f>
        <v/>
      </c>
      <c r="JU7" s="121" t="str">
        <f>IF(ISBLANK(tbl_task10[[คะแนนเต็ม]:[คะแนนเต็ม]]),"",(tbl_task10[111]/tbl_task10[[คะแนนเต็ม]:[คะแนนเต็ม]])*tbl_task10[[%]:[%]])</f>
        <v/>
      </c>
      <c r="JV7" s="121" t="str">
        <f>IF(ISBLANK(tbl_task10[[คะแนนเต็ม]:[คะแนนเต็ม]]),"",(tbl_task10[112]/tbl_task10[[คะแนนเต็ม]:[คะแนนเต็ม]])*tbl_task10[[%]:[%]])</f>
        <v/>
      </c>
      <c r="JW7" s="121" t="str">
        <f>IF(ISBLANK(tbl_task10[[คะแนนเต็ม]:[คะแนนเต็ม]]),"",(tbl_task10[113]/tbl_task10[[คะแนนเต็ม]:[คะแนนเต็ม]])*tbl_task10[[%]:[%]])</f>
        <v/>
      </c>
      <c r="JX7" s="121" t="str">
        <f>IF(ISBLANK(tbl_task10[[คะแนนเต็ม]:[คะแนนเต็ม]]),"",(tbl_task10[114]/tbl_task10[[คะแนนเต็ม]:[คะแนนเต็ม]])*tbl_task10[[%]:[%]])</f>
        <v/>
      </c>
      <c r="JY7" s="121" t="str">
        <f>IF(ISBLANK(tbl_task10[[คะแนนเต็ม]:[คะแนนเต็ม]]),"",(tbl_task10[115]/tbl_task10[[คะแนนเต็ม]:[คะแนนเต็ม]])*tbl_task10[[%]:[%]])</f>
        <v/>
      </c>
      <c r="JZ7" s="121" t="str">
        <f>IF(ISBLANK(tbl_task10[[คะแนนเต็ม]:[คะแนนเต็ม]]),"",(tbl_task10[116]/tbl_task10[[คะแนนเต็ม]:[คะแนนเต็ม]])*tbl_task10[[%]:[%]])</f>
        <v/>
      </c>
      <c r="KA7" s="121" t="str">
        <f>IF(ISBLANK(tbl_task10[[คะแนนเต็ม]:[คะแนนเต็ม]]),"",(tbl_task10[117]/tbl_task10[[คะแนนเต็ม]:[คะแนนเต็ม]])*tbl_task10[[%]:[%]])</f>
        <v/>
      </c>
      <c r="KB7" s="121" t="str">
        <f>IF(ISBLANK(tbl_task10[[คะแนนเต็ม]:[คะแนนเต็ม]]),"",(tbl_task10[118]/tbl_task10[[คะแนนเต็ม]:[คะแนนเต็ม]])*tbl_task10[[%]:[%]])</f>
        <v/>
      </c>
      <c r="KC7" s="121" t="str">
        <f>IF(ISBLANK(tbl_task10[[คะแนนเต็ม]:[คะแนนเต็ม]]),"",(tbl_task10[119]/tbl_task10[[คะแนนเต็ม]:[คะแนนเต็ม]])*tbl_task10[[%]:[%]])</f>
        <v/>
      </c>
      <c r="KD7" s="121" t="str">
        <f>IF(ISBLANK(tbl_task10[[คะแนนเต็ม]:[คะแนนเต็ม]]),"",(tbl_task10[120]/tbl_task10[[คะแนนเต็ม]:[คะแนนเต็ม]])*tbl_task10[[%]:[%]])</f>
        <v/>
      </c>
      <c r="KE7" s="121" t="str">
        <f>IF(ISBLANK(tbl_task10[[คะแนนเต็ม]:[คะแนนเต็ม]]),"",(tbl_task10[121]/tbl_task10[[คะแนนเต็ม]:[คะแนนเต็ม]])*tbl_task10[[%]:[%]])</f>
        <v/>
      </c>
      <c r="KF7" s="121" t="str">
        <f>IF(ISBLANK(tbl_task10[[คะแนนเต็ม]:[คะแนนเต็ม]]),"",(tbl_task10[122]/tbl_task10[[คะแนนเต็ม]:[คะแนนเต็ม]])*tbl_task10[[%]:[%]])</f>
        <v/>
      </c>
      <c r="KG7" s="121" t="str">
        <f>IF(ISBLANK(tbl_task10[[คะแนนเต็ม]:[คะแนนเต็ม]]),"",(tbl_task10[123]/tbl_task10[[คะแนนเต็ม]:[คะแนนเต็ม]])*tbl_task10[[%]:[%]])</f>
        <v/>
      </c>
      <c r="KH7" s="121" t="str">
        <f>IF(ISBLANK(tbl_task10[[คะแนนเต็ม]:[คะแนนเต็ม]]),"",(tbl_task10[124]/tbl_task10[[คะแนนเต็ม]:[คะแนนเต็ม]])*tbl_task10[[%]:[%]])</f>
        <v/>
      </c>
      <c r="KI7" s="121" t="str">
        <f>IF(ISBLANK(tbl_task10[[คะแนนเต็ม]:[คะแนนเต็ม]]),"",(tbl_task10[125]/tbl_task10[[คะแนนเต็ม]:[คะแนนเต็ม]])*tbl_task10[[%]:[%]])</f>
        <v/>
      </c>
      <c r="KJ7" s="121" t="str">
        <f>IF(ISBLANK(tbl_task10[[คะแนนเต็ม]:[คะแนนเต็ม]]),"",(tbl_task10[126]/tbl_task10[[คะแนนเต็ม]:[คะแนนเต็ม]])*tbl_task10[[%]:[%]])</f>
        <v/>
      </c>
      <c r="KK7" s="121" t="str">
        <f>IF(ISBLANK(tbl_task10[[คะแนนเต็ม]:[คะแนนเต็ม]]),"",(tbl_task10[127]/tbl_task10[[คะแนนเต็ม]:[คะแนนเต็ม]])*tbl_task10[[%]:[%]])</f>
        <v/>
      </c>
      <c r="KL7" s="121" t="str">
        <f>IF(ISBLANK(tbl_task10[[คะแนนเต็ม]:[คะแนนเต็ม]]),"",(tbl_task10[128]/tbl_task10[[คะแนนเต็ม]:[คะแนนเต็ม]])*tbl_task10[[%]:[%]])</f>
        <v/>
      </c>
      <c r="KM7" s="121" t="str">
        <f>IF(ISBLANK(tbl_task10[[คะแนนเต็ม]:[คะแนนเต็ม]]),"",(tbl_task10[129]/tbl_task10[[คะแนนเต็ม]:[คะแนนเต็ม]])*tbl_task10[[%]:[%]])</f>
        <v/>
      </c>
      <c r="KN7" s="121" t="str">
        <f>IF(ISBLANK(tbl_task10[[คะแนนเต็ม]:[คะแนนเต็ม]]),"",(tbl_task10[130]/tbl_task10[[คะแนนเต็ม]:[คะแนนเต็ม]])*tbl_task10[[%]:[%]])</f>
        <v/>
      </c>
      <c r="KO7" s="121" t="str">
        <f>IF(ISBLANK(tbl_task10[[คะแนนเต็ม]:[คะแนนเต็ม]]),"",(tbl_task10[131]/tbl_task10[[คะแนนเต็ม]:[คะแนนเต็ม]])*tbl_task10[[%]:[%]])</f>
        <v/>
      </c>
      <c r="KP7" s="121" t="str">
        <f>IF(ISBLANK(tbl_task10[[คะแนนเต็ม]:[คะแนนเต็ม]]),"",(tbl_task10[132]/tbl_task10[[คะแนนเต็ม]:[คะแนนเต็ม]])*tbl_task10[[%]:[%]])</f>
        <v/>
      </c>
      <c r="KQ7" s="121" t="str">
        <f>IF(ISBLANK(tbl_task10[[คะแนนเต็ม]:[คะแนนเต็ม]]),"",(tbl_task10[133]/tbl_task10[[คะแนนเต็ม]:[คะแนนเต็ม]])*tbl_task10[[%]:[%]])</f>
        <v/>
      </c>
      <c r="KR7" s="121" t="str">
        <f>IF(ISBLANK(tbl_task10[[คะแนนเต็ม]:[คะแนนเต็ม]]),"",(tbl_task10[134]/tbl_task10[[คะแนนเต็ม]:[คะแนนเต็ม]])*tbl_task10[[%]:[%]])</f>
        <v/>
      </c>
      <c r="KS7" s="121" t="str">
        <f>IF(ISBLANK(tbl_task10[[คะแนนเต็ม]:[คะแนนเต็ม]]),"",(tbl_task10[135]/tbl_task10[[คะแนนเต็ม]:[คะแนนเต็ม]])*tbl_task10[[%]:[%]])</f>
        <v/>
      </c>
      <c r="KT7" s="121" t="str">
        <f>IF(ISBLANK(tbl_task10[[คะแนนเต็ม]:[คะแนนเต็ม]]),"",(tbl_task10[136]/tbl_task10[[คะแนนเต็ม]:[คะแนนเต็ม]])*tbl_task10[[%]:[%]])</f>
        <v/>
      </c>
      <c r="KU7" s="121" t="str">
        <f>IF(ISBLANK(tbl_task10[[คะแนนเต็ม]:[คะแนนเต็ม]]),"",(tbl_task10[137]/tbl_task10[[คะแนนเต็ม]:[คะแนนเต็ม]])*tbl_task10[[%]:[%]])</f>
        <v/>
      </c>
      <c r="KV7" s="121" t="str">
        <f>IF(ISBLANK(tbl_task10[[คะแนนเต็ม]:[คะแนนเต็ม]]),"",(tbl_task10[138]/tbl_task10[[คะแนนเต็ม]:[คะแนนเต็ม]])*tbl_task10[[%]:[%]])</f>
        <v/>
      </c>
      <c r="KW7" s="121" t="str">
        <f>IF(ISBLANK(tbl_task10[[คะแนนเต็ม]:[คะแนนเต็ม]]),"",(tbl_task10[139]/tbl_task10[[คะแนนเต็ม]:[คะแนนเต็ม]])*tbl_task10[[%]:[%]])</f>
        <v/>
      </c>
      <c r="KX7" s="121" t="str">
        <f>IF(ISBLANK(tbl_task10[[คะแนนเต็ม]:[คะแนนเต็ม]]),"",(tbl_task10[140]/tbl_task10[[คะแนนเต็ม]:[คะแนนเต็ม]])*tbl_task10[[%]:[%]])</f>
        <v/>
      </c>
      <c r="KY7" s="121" t="str">
        <f>IF(ISBLANK(tbl_task10[[คะแนนเต็ม]:[คะแนนเต็ม]]),"",(tbl_task10[141]/tbl_task10[[คะแนนเต็ม]:[คะแนนเต็ม]])*tbl_task10[[%]:[%]])</f>
        <v/>
      </c>
      <c r="KZ7" s="121" t="str">
        <f>IF(ISBLANK(tbl_task10[[คะแนนเต็ม]:[คะแนนเต็ม]]),"",(tbl_task10[142]/tbl_task10[[คะแนนเต็ม]:[คะแนนเต็ม]])*tbl_task10[[%]:[%]])</f>
        <v/>
      </c>
      <c r="LA7" s="121" t="str">
        <f>IF(ISBLANK(tbl_task10[[คะแนนเต็ม]:[คะแนนเต็ม]]),"",(tbl_task10[143]/tbl_task10[[คะแนนเต็ม]:[คะแนนเต็ม]])*tbl_task10[[%]:[%]])</f>
        <v/>
      </c>
      <c r="LB7" s="121" t="str">
        <f>IF(ISBLANK(tbl_task10[[คะแนนเต็ม]:[คะแนนเต็ม]]),"",(tbl_task10[144]/tbl_task10[[คะแนนเต็ม]:[คะแนนเต็ม]])*tbl_task10[[%]:[%]])</f>
        <v/>
      </c>
      <c r="LC7" s="121" t="str">
        <f>IF(ISBLANK(tbl_task10[[คะแนนเต็ม]:[คะแนนเต็ม]]),"",(tbl_task10[145]/tbl_task10[[คะแนนเต็ม]:[คะแนนเต็ม]])*tbl_task10[[%]:[%]])</f>
        <v/>
      </c>
      <c r="LD7" s="121" t="str">
        <f>IF(ISBLANK(tbl_task10[[คะแนนเต็ม]:[คะแนนเต็ม]]),"",(tbl_task10[146]/tbl_task10[[คะแนนเต็ม]:[คะแนนเต็ม]])*tbl_task10[[%]:[%]])</f>
        <v/>
      </c>
      <c r="LE7" s="121" t="str">
        <f>IF(ISBLANK(tbl_task10[[คะแนนเต็ม]:[คะแนนเต็ม]]),"",(tbl_task10[147]/tbl_task10[[คะแนนเต็ม]:[คะแนนเต็ม]])*tbl_task10[[%]:[%]])</f>
        <v/>
      </c>
      <c r="LF7" s="121" t="str">
        <f>IF(ISBLANK(tbl_task10[[คะแนนเต็ม]:[คะแนนเต็ม]]),"",(tbl_task10[148]/tbl_task10[[คะแนนเต็ม]:[คะแนนเต็ม]])*tbl_task10[[%]:[%]])</f>
        <v/>
      </c>
      <c r="LG7" s="121" t="str">
        <f>IF(ISBLANK(tbl_task10[[คะแนนเต็ม]:[คะแนนเต็ม]]),"",(tbl_task10[149]/tbl_task10[[คะแนนเต็ม]:[คะแนนเต็ม]])*tbl_task10[[%]:[%]])</f>
        <v/>
      </c>
      <c r="LH7" s="121" t="str">
        <f>IF(ISBLANK(tbl_task10[[คะแนนเต็ม]:[คะแนนเต็ม]]),"",(tbl_task10[150]/tbl_task10[[คะแนนเต็ม]:[คะแนนเต็ม]])*tbl_task10[[%]:[%]])</f>
        <v/>
      </c>
      <c r="LI7" s="121" t="str">
        <f>IF(ISBLANK(tbl_task10[[คะแนนเต็ม]:[คะแนนเต็ม]]),"",(tbl_task10[151]/tbl_task10[[คะแนนเต็ม]:[คะแนนเต็ม]])*tbl_task10[[%]:[%]])</f>
        <v/>
      </c>
      <c r="LJ7" s="121" t="str">
        <f>IF(ISBLANK(tbl_task10[[คะแนนเต็ม]:[คะแนนเต็ม]]),"",(tbl_task10[152]/tbl_task10[[คะแนนเต็ม]:[คะแนนเต็ม]])*tbl_task10[[%]:[%]])</f>
        <v/>
      </c>
      <c r="LK7" s="121" t="str">
        <f>IF(ISBLANK(tbl_task10[[คะแนนเต็ม]:[คะแนนเต็ม]]),"",(tbl_task10[153]/tbl_task10[[คะแนนเต็ม]:[คะแนนเต็ม]])*tbl_task10[[%]:[%]])</f>
        <v/>
      </c>
      <c r="LL7" s="121" t="str">
        <f>IF(ISBLANK(tbl_task10[[คะแนนเต็ม]:[คะแนนเต็ม]]),"",(tbl_task10[154]/tbl_task10[[คะแนนเต็ม]:[คะแนนเต็ม]])*tbl_task10[[%]:[%]])</f>
        <v/>
      </c>
      <c r="LM7" s="121" t="str">
        <f>IF(ISBLANK(tbl_task10[[คะแนนเต็ม]:[คะแนนเต็ม]]),"",(tbl_task10[155]/tbl_task10[[คะแนนเต็ม]:[คะแนนเต็ม]])*tbl_task10[[%]:[%]])</f>
        <v/>
      </c>
      <c r="LN7" s="121" t="str">
        <f>IF(ISBLANK(tbl_task10[[คะแนนเต็ม]:[คะแนนเต็ม]]),"",(tbl_task10[156]/tbl_task10[[คะแนนเต็ม]:[คะแนนเต็ม]])*tbl_task10[[%]:[%]])</f>
        <v/>
      </c>
      <c r="LO7" s="121" t="str">
        <f>IF(ISBLANK(tbl_task10[[คะแนนเต็ม]:[คะแนนเต็ม]]),"",(tbl_task10[157]/tbl_task10[[คะแนนเต็ม]:[คะแนนเต็ม]])*tbl_task10[[%]:[%]])</f>
        <v/>
      </c>
      <c r="LP7" s="121" t="str">
        <f>IF(ISBLANK(tbl_task10[[คะแนนเต็ม]:[คะแนนเต็ม]]),"",(tbl_task10[158]/tbl_task10[[คะแนนเต็ม]:[คะแนนเต็ม]])*tbl_task10[[%]:[%]])</f>
        <v/>
      </c>
      <c r="LQ7" s="121" t="str">
        <f>IF(ISBLANK(tbl_task10[[คะแนนเต็ม]:[คะแนนเต็ม]]),"",(tbl_task10[159]/tbl_task10[[คะแนนเต็ม]:[คะแนนเต็ม]])*tbl_task10[[%]:[%]])</f>
        <v/>
      </c>
      <c r="LR7" s="121" t="str">
        <f>IF(ISBLANK(tbl_task10[[คะแนนเต็ม]:[คะแนนเต็ม]]),"",(tbl_task10[160]/tbl_task10[[คะแนนเต็ม]:[คะแนนเต็ม]])*tbl_task10[[%]:[%]])</f>
        <v/>
      </c>
      <c r="LS7" s="121" t="str">
        <f>IF(ISBLANK(tbl_task10[[คะแนนเต็ม]:[คะแนนเต็ม]]),"",(tbl_task10[161]/tbl_task10[[คะแนนเต็ม]:[คะแนนเต็ม]])*tbl_task10[[%]:[%]])</f>
        <v/>
      </c>
      <c r="LT7" s="121" t="str">
        <f>IF(ISBLANK(tbl_task10[[คะแนนเต็ม]:[คะแนนเต็ม]]),"",(tbl_task10[162]/tbl_task10[[คะแนนเต็ม]:[คะแนนเต็ม]])*tbl_task10[[%]:[%]])</f>
        <v/>
      </c>
      <c r="LU7" s="121" t="str">
        <f>IF(ISBLANK(tbl_task10[[คะแนนเต็ม]:[คะแนนเต็ม]]),"",(tbl_task10[163]/tbl_task10[[คะแนนเต็ม]:[คะแนนเต็ม]])*tbl_task10[[%]:[%]])</f>
        <v/>
      </c>
      <c r="LV7" s="121" t="str">
        <f>IF(ISBLANK(tbl_task10[[คะแนนเต็ม]:[คะแนนเต็ม]]),"",(tbl_task10[164]/tbl_task10[[คะแนนเต็ม]:[คะแนนเต็ม]])*tbl_task10[[%]:[%]])</f>
        <v/>
      </c>
      <c r="LW7" s="121" t="str">
        <f>IF(ISBLANK(tbl_task10[[คะแนนเต็ม]:[คะแนนเต็ม]]),"",(tbl_task10[165]/tbl_task10[[คะแนนเต็ม]:[คะแนนเต็ม]])*tbl_task10[[%]:[%]])</f>
        <v/>
      </c>
    </row>
    <row r="8" spans="1:335" ht="24.75" customHeight="1" x14ac:dyDescent="0.25">
      <c r="A8" s="24">
        <v>5</v>
      </c>
      <c r="B8" s="33"/>
      <c r="C8" s="5" t="str">
        <f>IF(ISBLANK(B8),"",VLOOKUP(B8,tbl_PLOs[],2,0))</f>
        <v/>
      </c>
      <c r="D8" s="102"/>
      <c r="E8" s="10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22"/>
      <c r="FO8" s="121" t="str">
        <f>IF(ISBLANK(tbl_task10[[คะแนนเต็ม]:[คะแนนเต็ม]]),"",(tbl_task10[1]/tbl_task10[[คะแนนเต็ม]:[คะแนนเต็ม]])*tbl_task10[[%]:[%]])</f>
        <v/>
      </c>
      <c r="FP8" s="121" t="str">
        <f>IF(ISBLANK(tbl_task10[[คะแนนเต็ม]:[คะแนนเต็ม]]),"",(tbl_task10[2]/tbl_task10[[คะแนนเต็ม]:[คะแนนเต็ม]])*tbl_task10[[%]:[%]])</f>
        <v/>
      </c>
      <c r="FQ8" s="121" t="str">
        <f>IF(ISBLANK(tbl_task10[[คะแนนเต็ม]:[คะแนนเต็ม]]),"",(tbl_task10[3]/tbl_task10[[คะแนนเต็ม]:[คะแนนเต็ม]])*tbl_task10[[%]:[%]])</f>
        <v/>
      </c>
      <c r="FR8" s="121" t="str">
        <f>IF(ISBLANK(tbl_task10[[คะแนนเต็ม]:[คะแนนเต็ม]]),"",(tbl_task10[4]/tbl_task10[[คะแนนเต็ม]:[คะแนนเต็ม]])*tbl_task10[[%]:[%]])</f>
        <v/>
      </c>
      <c r="FS8" s="121" t="str">
        <f>IF(ISBLANK(tbl_task10[[คะแนนเต็ม]:[คะแนนเต็ม]]),"",(tbl_task10[5]/tbl_task10[[คะแนนเต็ม]:[คะแนนเต็ม]])*tbl_task10[[%]:[%]])</f>
        <v/>
      </c>
      <c r="FT8" s="121" t="str">
        <f>IF(ISBLANK(tbl_task10[[คะแนนเต็ม]:[คะแนนเต็ม]]),"",(tbl_task10[6]/tbl_task10[[คะแนนเต็ม]:[คะแนนเต็ม]])*tbl_task10[[%]:[%]])</f>
        <v/>
      </c>
      <c r="FU8" s="121" t="str">
        <f>IF(ISBLANK(tbl_task10[[คะแนนเต็ม]:[คะแนนเต็ม]]),"",(tbl_task10[7]/tbl_task10[[คะแนนเต็ม]:[คะแนนเต็ม]])*tbl_task10[[%]:[%]])</f>
        <v/>
      </c>
      <c r="FV8" s="121" t="str">
        <f>IF(ISBLANK(tbl_task10[[คะแนนเต็ม]:[คะแนนเต็ม]]),"",(tbl_task10[8]/tbl_task10[[คะแนนเต็ม]:[คะแนนเต็ม]])*tbl_task10[[%]:[%]])</f>
        <v/>
      </c>
      <c r="FW8" s="121" t="str">
        <f>IF(ISBLANK(tbl_task10[[คะแนนเต็ม]:[คะแนนเต็ม]]),"",(tbl_task10[9]/tbl_task10[[คะแนนเต็ม]:[คะแนนเต็ม]])*tbl_task10[[%]:[%]])</f>
        <v/>
      </c>
      <c r="FX8" s="121" t="str">
        <f>IF(ISBLANK(tbl_task10[[คะแนนเต็ม]:[คะแนนเต็ม]]),"",(tbl_task10[10]/tbl_task10[[คะแนนเต็ม]:[คะแนนเต็ม]])*tbl_task10[[%]:[%]])</f>
        <v/>
      </c>
      <c r="FY8" s="121" t="str">
        <f>IF(ISBLANK(tbl_task10[[คะแนนเต็ม]:[คะแนนเต็ม]]),"",(tbl_task10[11]/tbl_task10[[คะแนนเต็ม]:[คะแนนเต็ม]])*tbl_task10[[%]:[%]])</f>
        <v/>
      </c>
      <c r="FZ8" s="121" t="str">
        <f>IF(ISBLANK(tbl_task10[[คะแนนเต็ม]:[คะแนนเต็ม]]),"",(tbl_task10[12]/tbl_task10[[คะแนนเต็ม]:[คะแนนเต็ม]])*tbl_task10[[%]:[%]])</f>
        <v/>
      </c>
      <c r="GA8" s="121" t="str">
        <f>IF(ISBLANK(tbl_task10[[คะแนนเต็ม]:[คะแนนเต็ม]]),"",(tbl_task10[13]/tbl_task10[[คะแนนเต็ม]:[คะแนนเต็ม]])*tbl_task10[[%]:[%]])</f>
        <v/>
      </c>
      <c r="GB8" s="121" t="str">
        <f>IF(ISBLANK(tbl_task10[[คะแนนเต็ม]:[คะแนนเต็ม]]),"",(tbl_task10[14]/tbl_task10[[คะแนนเต็ม]:[คะแนนเต็ม]])*tbl_task10[[%]:[%]])</f>
        <v/>
      </c>
      <c r="GC8" s="121" t="str">
        <f>IF(ISBLANK(tbl_task10[[คะแนนเต็ม]:[คะแนนเต็ม]]),"",(tbl_task10[15]/tbl_task10[[คะแนนเต็ม]:[คะแนนเต็ม]])*tbl_task10[[%]:[%]])</f>
        <v/>
      </c>
      <c r="GD8" s="121" t="str">
        <f>IF(ISBLANK(tbl_task10[[คะแนนเต็ม]:[คะแนนเต็ม]]),"",(tbl_task10[16]/tbl_task10[[คะแนนเต็ม]:[คะแนนเต็ม]])*tbl_task10[[%]:[%]])</f>
        <v/>
      </c>
      <c r="GE8" s="121" t="str">
        <f>IF(ISBLANK(tbl_task10[[คะแนนเต็ม]:[คะแนนเต็ม]]),"",(tbl_task10[17]/tbl_task10[[คะแนนเต็ม]:[คะแนนเต็ม]])*tbl_task10[[%]:[%]])</f>
        <v/>
      </c>
      <c r="GF8" s="121" t="str">
        <f>IF(ISBLANK(tbl_task10[[คะแนนเต็ม]:[คะแนนเต็ม]]),"",(tbl_task10[18]/tbl_task10[[คะแนนเต็ม]:[คะแนนเต็ม]])*tbl_task10[[%]:[%]])</f>
        <v/>
      </c>
      <c r="GG8" s="121" t="str">
        <f>IF(ISBLANK(tbl_task10[[คะแนนเต็ม]:[คะแนนเต็ม]]),"",(tbl_task10[19]/tbl_task10[[คะแนนเต็ม]:[คะแนนเต็ม]])*tbl_task10[[%]:[%]])</f>
        <v/>
      </c>
      <c r="GH8" s="121" t="str">
        <f>IF(ISBLANK(tbl_task10[[คะแนนเต็ม]:[คะแนนเต็ม]]),"",(tbl_task10[20]/tbl_task10[[คะแนนเต็ม]:[คะแนนเต็ม]])*tbl_task10[[%]:[%]])</f>
        <v/>
      </c>
      <c r="GI8" s="121" t="str">
        <f>IF(ISBLANK(tbl_task10[[คะแนนเต็ม]:[คะแนนเต็ม]]),"",(tbl_task10[21]/tbl_task10[[คะแนนเต็ม]:[คะแนนเต็ม]])*tbl_task10[[%]:[%]])</f>
        <v/>
      </c>
      <c r="GJ8" s="121" t="str">
        <f>IF(ISBLANK(tbl_task10[[คะแนนเต็ม]:[คะแนนเต็ม]]),"",(tbl_task10[22]/tbl_task10[[คะแนนเต็ม]:[คะแนนเต็ม]])*tbl_task10[[%]:[%]])</f>
        <v/>
      </c>
      <c r="GK8" s="121" t="str">
        <f>IF(ISBLANK(tbl_task10[[คะแนนเต็ม]:[คะแนนเต็ม]]),"",(tbl_task10[23]/tbl_task10[[คะแนนเต็ม]:[คะแนนเต็ม]])*tbl_task10[[%]:[%]])</f>
        <v/>
      </c>
      <c r="GL8" s="121" t="str">
        <f>IF(ISBLANK(tbl_task10[[คะแนนเต็ม]:[คะแนนเต็ม]]),"",(tbl_task10[24]/tbl_task10[[คะแนนเต็ม]:[คะแนนเต็ม]])*tbl_task10[[%]:[%]])</f>
        <v/>
      </c>
      <c r="GM8" s="121" t="str">
        <f>IF(ISBLANK(tbl_task10[[คะแนนเต็ม]:[คะแนนเต็ม]]),"",(tbl_task10[25]/tbl_task10[[คะแนนเต็ม]:[คะแนนเต็ม]])*tbl_task10[[%]:[%]])</f>
        <v/>
      </c>
      <c r="GN8" s="121" t="str">
        <f>IF(ISBLANK(tbl_task10[[คะแนนเต็ม]:[คะแนนเต็ม]]),"",(tbl_task10[26]/tbl_task10[[คะแนนเต็ม]:[คะแนนเต็ม]])*tbl_task10[[%]:[%]])</f>
        <v/>
      </c>
      <c r="GO8" s="121" t="str">
        <f>IF(ISBLANK(tbl_task10[[คะแนนเต็ม]:[คะแนนเต็ม]]),"",(tbl_task10[27]/tbl_task10[[คะแนนเต็ม]:[คะแนนเต็ม]])*tbl_task10[[%]:[%]])</f>
        <v/>
      </c>
      <c r="GP8" s="121" t="str">
        <f>IF(ISBLANK(tbl_task10[[คะแนนเต็ม]:[คะแนนเต็ม]]),"",(tbl_task10[28]/tbl_task10[[คะแนนเต็ม]:[คะแนนเต็ม]])*tbl_task10[[%]:[%]])</f>
        <v/>
      </c>
      <c r="GQ8" s="121" t="str">
        <f>IF(ISBLANK(tbl_task10[[คะแนนเต็ม]:[คะแนนเต็ม]]),"",(tbl_task10[29]/tbl_task10[[คะแนนเต็ม]:[คะแนนเต็ม]])*tbl_task10[[%]:[%]])</f>
        <v/>
      </c>
      <c r="GR8" s="121" t="str">
        <f>IF(ISBLANK(tbl_task10[[คะแนนเต็ม]:[คะแนนเต็ม]]),"",(tbl_task10[30]/tbl_task10[[คะแนนเต็ม]:[คะแนนเต็ม]])*tbl_task10[[%]:[%]])</f>
        <v/>
      </c>
      <c r="GS8" s="121" t="str">
        <f>IF(ISBLANK(tbl_task10[[คะแนนเต็ม]:[คะแนนเต็ม]]),"",(tbl_task10[31]/tbl_task10[[คะแนนเต็ม]:[คะแนนเต็ม]])*tbl_task10[[%]:[%]])</f>
        <v/>
      </c>
      <c r="GT8" s="121" t="str">
        <f>IF(ISBLANK(tbl_task10[[คะแนนเต็ม]:[คะแนนเต็ม]]),"",(tbl_task10[32]/tbl_task10[[คะแนนเต็ม]:[คะแนนเต็ม]])*tbl_task10[[%]:[%]])</f>
        <v/>
      </c>
      <c r="GU8" s="121" t="str">
        <f>IF(ISBLANK(tbl_task10[[คะแนนเต็ม]:[คะแนนเต็ม]]),"",(tbl_task10[33]/tbl_task10[[คะแนนเต็ม]:[คะแนนเต็ม]])*tbl_task10[[%]:[%]])</f>
        <v/>
      </c>
      <c r="GV8" s="121" t="str">
        <f>IF(ISBLANK(tbl_task10[[คะแนนเต็ม]:[คะแนนเต็ม]]),"",(tbl_task10[34]/tbl_task10[[คะแนนเต็ม]:[คะแนนเต็ม]])*tbl_task10[[%]:[%]])</f>
        <v/>
      </c>
      <c r="GW8" s="121" t="str">
        <f>IF(ISBLANK(tbl_task10[[คะแนนเต็ม]:[คะแนนเต็ม]]),"",(tbl_task10[35]/tbl_task10[[คะแนนเต็ม]:[คะแนนเต็ม]])*tbl_task10[[%]:[%]])</f>
        <v/>
      </c>
      <c r="GX8" s="121" t="str">
        <f>IF(ISBLANK(tbl_task10[[คะแนนเต็ม]:[คะแนนเต็ม]]),"",(tbl_task10[36]/tbl_task10[[คะแนนเต็ม]:[คะแนนเต็ม]])*tbl_task10[[%]:[%]])</f>
        <v/>
      </c>
      <c r="GY8" s="121" t="str">
        <f>IF(ISBLANK(tbl_task10[[คะแนนเต็ม]:[คะแนนเต็ม]]),"",(tbl_task10[37]/tbl_task10[[คะแนนเต็ม]:[คะแนนเต็ม]])*tbl_task10[[%]:[%]])</f>
        <v/>
      </c>
      <c r="GZ8" s="121" t="str">
        <f>IF(ISBLANK(tbl_task10[[คะแนนเต็ม]:[คะแนนเต็ม]]),"",(tbl_task10[38]/tbl_task10[[คะแนนเต็ม]:[คะแนนเต็ม]])*tbl_task10[[%]:[%]])</f>
        <v/>
      </c>
      <c r="HA8" s="121" t="str">
        <f>IF(ISBLANK(tbl_task10[[คะแนนเต็ม]:[คะแนนเต็ม]]),"",(tbl_task10[39]/tbl_task10[[คะแนนเต็ม]:[คะแนนเต็ม]])*tbl_task10[[%]:[%]])</f>
        <v/>
      </c>
      <c r="HB8" s="121" t="str">
        <f>IF(ISBLANK(tbl_task10[[คะแนนเต็ม]:[คะแนนเต็ม]]),"",(tbl_task10[40]/tbl_task10[[คะแนนเต็ม]:[คะแนนเต็ม]])*tbl_task10[[%]:[%]])</f>
        <v/>
      </c>
      <c r="HC8" s="121" t="str">
        <f>IF(ISBLANK(tbl_task10[[คะแนนเต็ม]:[คะแนนเต็ม]]),"",(tbl_task10[41]/tbl_task10[[คะแนนเต็ม]:[คะแนนเต็ม]])*tbl_task10[[%]:[%]])</f>
        <v/>
      </c>
      <c r="HD8" s="121" t="str">
        <f>IF(ISBLANK(tbl_task10[[คะแนนเต็ม]:[คะแนนเต็ม]]),"",(tbl_task10[42]/tbl_task10[[คะแนนเต็ม]:[คะแนนเต็ม]])*tbl_task10[[%]:[%]])</f>
        <v/>
      </c>
      <c r="HE8" s="121" t="str">
        <f>IF(ISBLANK(tbl_task10[[คะแนนเต็ม]:[คะแนนเต็ม]]),"",(tbl_task10[43]/tbl_task10[[คะแนนเต็ม]:[คะแนนเต็ม]])*tbl_task10[[%]:[%]])</f>
        <v/>
      </c>
      <c r="HF8" s="121" t="str">
        <f>IF(ISBLANK(tbl_task10[[คะแนนเต็ม]:[คะแนนเต็ม]]),"",(tbl_task10[44]/tbl_task10[[คะแนนเต็ม]:[คะแนนเต็ม]])*tbl_task10[[%]:[%]])</f>
        <v/>
      </c>
      <c r="HG8" s="121" t="str">
        <f>IF(ISBLANK(tbl_task10[[คะแนนเต็ม]:[คะแนนเต็ม]]),"",(tbl_task10[45]/tbl_task10[[คะแนนเต็ม]:[คะแนนเต็ม]])*tbl_task10[[%]:[%]])</f>
        <v/>
      </c>
      <c r="HH8" s="121" t="str">
        <f>IF(ISBLANK(tbl_task10[[คะแนนเต็ม]:[คะแนนเต็ม]]),"",(tbl_task10[46]/tbl_task10[[คะแนนเต็ม]:[คะแนนเต็ม]])*tbl_task10[[%]:[%]])</f>
        <v/>
      </c>
      <c r="HI8" s="121" t="str">
        <f>IF(ISBLANK(tbl_task10[[คะแนนเต็ม]:[คะแนนเต็ม]]),"",(tbl_task10[47]/tbl_task10[[คะแนนเต็ม]:[คะแนนเต็ม]])*tbl_task10[[%]:[%]])</f>
        <v/>
      </c>
      <c r="HJ8" s="121" t="str">
        <f>IF(ISBLANK(tbl_task10[[คะแนนเต็ม]:[คะแนนเต็ม]]),"",(tbl_task10[48]/tbl_task10[[คะแนนเต็ม]:[คะแนนเต็ม]])*tbl_task10[[%]:[%]])</f>
        <v/>
      </c>
      <c r="HK8" s="121" t="str">
        <f>IF(ISBLANK(tbl_task10[[คะแนนเต็ม]:[คะแนนเต็ม]]),"",(tbl_task10[49]/tbl_task10[[คะแนนเต็ม]:[คะแนนเต็ม]])*tbl_task10[[%]:[%]])</f>
        <v/>
      </c>
      <c r="HL8" s="121" t="str">
        <f>IF(ISBLANK(tbl_task10[[คะแนนเต็ม]:[คะแนนเต็ม]]),"",(tbl_task10[50]/tbl_task10[[คะแนนเต็ม]:[คะแนนเต็ม]])*tbl_task10[[%]:[%]])</f>
        <v/>
      </c>
      <c r="HM8" s="121" t="str">
        <f>IF(ISBLANK(tbl_task10[[คะแนนเต็ม]:[คะแนนเต็ม]]),"",(tbl_task10[51]/tbl_task10[[คะแนนเต็ม]:[คะแนนเต็ม]])*tbl_task10[[%]:[%]])</f>
        <v/>
      </c>
      <c r="HN8" s="121" t="str">
        <f>IF(ISBLANK(tbl_task10[[คะแนนเต็ม]:[คะแนนเต็ม]]),"",(tbl_task10[52]/tbl_task10[[คะแนนเต็ม]:[คะแนนเต็ม]])*tbl_task10[[%]:[%]])</f>
        <v/>
      </c>
      <c r="HO8" s="121" t="str">
        <f>IF(ISBLANK(tbl_task10[[คะแนนเต็ม]:[คะแนนเต็ม]]),"",(tbl_task10[53]/tbl_task10[[คะแนนเต็ม]:[คะแนนเต็ม]])*tbl_task10[[%]:[%]])</f>
        <v/>
      </c>
      <c r="HP8" s="121" t="str">
        <f>IF(ISBLANK(tbl_task10[[คะแนนเต็ม]:[คะแนนเต็ม]]),"",(tbl_task10[54]/tbl_task10[[คะแนนเต็ม]:[คะแนนเต็ม]])*tbl_task10[[%]:[%]])</f>
        <v/>
      </c>
      <c r="HQ8" s="121" t="str">
        <f>IF(ISBLANK(tbl_task10[[คะแนนเต็ม]:[คะแนนเต็ม]]),"",(tbl_task10[55]/tbl_task10[[คะแนนเต็ม]:[คะแนนเต็ม]])*tbl_task10[[%]:[%]])</f>
        <v/>
      </c>
      <c r="HR8" s="121" t="str">
        <f>IF(ISBLANK(tbl_task10[[คะแนนเต็ม]:[คะแนนเต็ม]]),"",(tbl_task10[56]/tbl_task10[[คะแนนเต็ม]:[คะแนนเต็ม]])*tbl_task10[[%]:[%]])</f>
        <v/>
      </c>
      <c r="HS8" s="121" t="str">
        <f>IF(ISBLANK(tbl_task10[[คะแนนเต็ม]:[คะแนนเต็ม]]),"",(tbl_task10[57]/tbl_task10[[คะแนนเต็ม]:[คะแนนเต็ม]])*tbl_task10[[%]:[%]])</f>
        <v/>
      </c>
      <c r="HT8" s="121" t="str">
        <f>IF(ISBLANK(tbl_task10[[คะแนนเต็ม]:[คะแนนเต็ม]]),"",(tbl_task10[58]/tbl_task10[[คะแนนเต็ม]:[คะแนนเต็ม]])*tbl_task10[[%]:[%]])</f>
        <v/>
      </c>
      <c r="HU8" s="121" t="str">
        <f>IF(ISBLANK(tbl_task10[[คะแนนเต็ม]:[คะแนนเต็ม]]),"",(tbl_task10[59]/tbl_task10[[คะแนนเต็ม]:[คะแนนเต็ม]])*tbl_task10[[%]:[%]])</f>
        <v/>
      </c>
      <c r="HV8" s="121" t="str">
        <f>IF(ISBLANK(tbl_task10[[คะแนนเต็ม]:[คะแนนเต็ม]]),"",(tbl_task10[60]/tbl_task10[[คะแนนเต็ม]:[คะแนนเต็ม]])*tbl_task10[[%]:[%]])</f>
        <v/>
      </c>
      <c r="HW8" s="121" t="str">
        <f>IF(ISBLANK(tbl_task10[[คะแนนเต็ม]:[คะแนนเต็ม]]),"",(tbl_task10[61]/tbl_task10[[คะแนนเต็ม]:[คะแนนเต็ม]])*tbl_task10[[%]:[%]])</f>
        <v/>
      </c>
      <c r="HX8" s="121" t="str">
        <f>IF(ISBLANK(tbl_task10[[คะแนนเต็ม]:[คะแนนเต็ม]]),"",(tbl_task10[62]/tbl_task10[[คะแนนเต็ม]:[คะแนนเต็ม]])*tbl_task10[[%]:[%]])</f>
        <v/>
      </c>
      <c r="HY8" s="121" t="str">
        <f>IF(ISBLANK(tbl_task10[[คะแนนเต็ม]:[คะแนนเต็ม]]),"",(tbl_task10[63]/tbl_task10[[คะแนนเต็ม]:[คะแนนเต็ม]])*tbl_task10[[%]:[%]])</f>
        <v/>
      </c>
      <c r="HZ8" s="121" t="str">
        <f>IF(ISBLANK(tbl_task10[[คะแนนเต็ม]:[คะแนนเต็ม]]),"",(tbl_task10[64]/tbl_task10[[คะแนนเต็ม]:[คะแนนเต็ม]])*tbl_task10[[%]:[%]])</f>
        <v/>
      </c>
      <c r="IA8" s="121" t="str">
        <f>IF(ISBLANK(tbl_task10[[คะแนนเต็ม]:[คะแนนเต็ม]]),"",(tbl_task10[65]/tbl_task10[[คะแนนเต็ม]:[คะแนนเต็ม]])*tbl_task10[[%]:[%]])</f>
        <v/>
      </c>
      <c r="IB8" s="121" t="str">
        <f>IF(ISBLANK(tbl_task10[[คะแนนเต็ม]:[คะแนนเต็ม]]),"",(tbl_task10[66]/tbl_task10[[คะแนนเต็ม]:[คะแนนเต็ม]])*tbl_task10[[%]:[%]])</f>
        <v/>
      </c>
      <c r="IC8" s="121" t="str">
        <f>IF(ISBLANK(tbl_task10[[คะแนนเต็ม]:[คะแนนเต็ม]]),"",(tbl_task10[67]/tbl_task10[[คะแนนเต็ม]:[คะแนนเต็ม]])*tbl_task10[[%]:[%]])</f>
        <v/>
      </c>
      <c r="ID8" s="121" t="str">
        <f>IF(ISBLANK(tbl_task10[[คะแนนเต็ม]:[คะแนนเต็ม]]),"",(tbl_task10[68]/tbl_task10[[คะแนนเต็ม]:[คะแนนเต็ม]])*tbl_task10[[%]:[%]])</f>
        <v/>
      </c>
      <c r="IE8" s="121" t="str">
        <f>IF(ISBLANK(tbl_task10[[คะแนนเต็ม]:[คะแนนเต็ม]]),"",(tbl_task10[69]/tbl_task10[[คะแนนเต็ม]:[คะแนนเต็ม]])*tbl_task10[[%]:[%]])</f>
        <v/>
      </c>
      <c r="IF8" s="121" t="str">
        <f>IF(ISBLANK(tbl_task10[[คะแนนเต็ม]:[คะแนนเต็ม]]),"",(tbl_task10[70]/tbl_task10[[คะแนนเต็ม]:[คะแนนเต็ม]])*tbl_task10[[%]:[%]])</f>
        <v/>
      </c>
      <c r="IG8" s="121" t="str">
        <f>IF(ISBLANK(tbl_task10[[คะแนนเต็ม]:[คะแนนเต็ม]]),"",(tbl_task10[71]/tbl_task10[[คะแนนเต็ม]:[คะแนนเต็ม]])*tbl_task10[[%]:[%]])</f>
        <v/>
      </c>
      <c r="IH8" s="121" t="str">
        <f>IF(ISBLANK(tbl_task10[[คะแนนเต็ม]:[คะแนนเต็ม]]),"",(tbl_task10[72]/tbl_task10[[คะแนนเต็ม]:[คะแนนเต็ม]])*tbl_task10[[%]:[%]])</f>
        <v/>
      </c>
      <c r="II8" s="121" t="str">
        <f>IF(ISBLANK(tbl_task10[[คะแนนเต็ม]:[คะแนนเต็ม]]),"",(tbl_task10[73]/tbl_task10[[คะแนนเต็ม]:[คะแนนเต็ม]])*tbl_task10[[%]:[%]])</f>
        <v/>
      </c>
      <c r="IJ8" s="121" t="str">
        <f>IF(ISBLANK(tbl_task10[[คะแนนเต็ม]:[คะแนนเต็ม]]),"",(tbl_task10[74]/tbl_task10[[คะแนนเต็ม]:[คะแนนเต็ม]])*tbl_task10[[%]:[%]])</f>
        <v/>
      </c>
      <c r="IK8" s="121" t="str">
        <f>IF(ISBLANK(tbl_task10[[คะแนนเต็ม]:[คะแนนเต็ม]]),"",(tbl_task10[75]/tbl_task10[[คะแนนเต็ม]:[คะแนนเต็ม]])*tbl_task10[[%]:[%]])</f>
        <v/>
      </c>
      <c r="IL8" s="121" t="str">
        <f>IF(ISBLANK(tbl_task10[[คะแนนเต็ม]:[คะแนนเต็ม]]),"",(tbl_task10[76]/tbl_task10[[คะแนนเต็ม]:[คะแนนเต็ม]])*tbl_task10[[%]:[%]])</f>
        <v/>
      </c>
      <c r="IM8" s="121" t="str">
        <f>IF(ISBLANK(tbl_task10[[คะแนนเต็ม]:[คะแนนเต็ม]]),"",(tbl_task10[77]/tbl_task10[[คะแนนเต็ม]:[คะแนนเต็ม]])*tbl_task10[[%]:[%]])</f>
        <v/>
      </c>
      <c r="IN8" s="121" t="str">
        <f>IF(ISBLANK(tbl_task10[[คะแนนเต็ม]:[คะแนนเต็ม]]),"",(tbl_task10[78]/tbl_task10[[คะแนนเต็ม]:[คะแนนเต็ม]])*tbl_task10[[%]:[%]])</f>
        <v/>
      </c>
      <c r="IO8" s="121" t="str">
        <f>IF(ISBLANK(tbl_task10[[คะแนนเต็ม]:[คะแนนเต็ม]]),"",(tbl_task10[79]/tbl_task10[[คะแนนเต็ม]:[คะแนนเต็ม]])*tbl_task10[[%]:[%]])</f>
        <v/>
      </c>
      <c r="IP8" s="121" t="str">
        <f>IF(ISBLANK(tbl_task10[[คะแนนเต็ม]:[คะแนนเต็ม]]),"",(tbl_task10[80]/tbl_task10[[คะแนนเต็ม]:[คะแนนเต็ม]])*tbl_task10[[%]:[%]])</f>
        <v/>
      </c>
      <c r="IQ8" s="121" t="str">
        <f>IF(ISBLANK(tbl_task10[[คะแนนเต็ม]:[คะแนนเต็ม]]),"",(tbl_task10[81]/tbl_task10[[คะแนนเต็ม]:[คะแนนเต็ม]])*tbl_task10[[%]:[%]])</f>
        <v/>
      </c>
      <c r="IR8" s="121" t="str">
        <f>IF(ISBLANK(tbl_task10[[คะแนนเต็ม]:[คะแนนเต็ม]]),"",(tbl_task10[82]/tbl_task10[[คะแนนเต็ม]:[คะแนนเต็ม]])*tbl_task10[[%]:[%]])</f>
        <v/>
      </c>
      <c r="IS8" s="121" t="str">
        <f>IF(ISBLANK(tbl_task10[[คะแนนเต็ม]:[คะแนนเต็ม]]),"",(tbl_task10[83]/tbl_task10[[คะแนนเต็ม]:[คะแนนเต็ม]])*tbl_task10[[%]:[%]])</f>
        <v/>
      </c>
      <c r="IT8" s="121" t="str">
        <f>IF(ISBLANK(tbl_task10[[คะแนนเต็ม]:[คะแนนเต็ม]]),"",(tbl_task10[84]/tbl_task10[[คะแนนเต็ม]:[คะแนนเต็ม]])*tbl_task10[[%]:[%]])</f>
        <v/>
      </c>
      <c r="IU8" s="121" t="str">
        <f>IF(ISBLANK(tbl_task10[[คะแนนเต็ม]:[คะแนนเต็ม]]),"",(tbl_task10[85]/tbl_task10[[คะแนนเต็ม]:[คะแนนเต็ม]])*tbl_task10[[%]:[%]])</f>
        <v/>
      </c>
      <c r="IV8" s="121" t="str">
        <f>IF(ISBLANK(tbl_task10[[คะแนนเต็ม]:[คะแนนเต็ม]]),"",(tbl_task10[86]/tbl_task10[[คะแนนเต็ม]:[คะแนนเต็ม]])*tbl_task10[[%]:[%]])</f>
        <v/>
      </c>
      <c r="IW8" s="121" t="str">
        <f>IF(ISBLANK(tbl_task10[[คะแนนเต็ม]:[คะแนนเต็ม]]),"",(tbl_task10[87]/tbl_task10[[คะแนนเต็ม]:[คะแนนเต็ม]])*tbl_task10[[%]:[%]])</f>
        <v/>
      </c>
      <c r="IX8" s="121" t="str">
        <f>IF(ISBLANK(tbl_task10[[คะแนนเต็ม]:[คะแนนเต็ม]]),"",(tbl_task10[88]/tbl_task10[[คะแนนเต็ม]:[คะแนนเต็ม]])*tbl_task10[[%]:[%]])</f>
        <v/>
      </c>
      <c r="IY8" s="121" t="str">
        <f>IF(ISBLANK(tbl_task10[[คะแนนเต็ม]:[คะแนนเต็ม]]),"",(tbl_task10[89]/tbl_task10[[คะแนนเต็ม]:[คะแนนเต็ม]])*tbl_task10[[%]:[%]])</f>
        <v/>
      </c>
      <c r="IZ8" s="121" t="str">
        <f>IF(ISBLANK(tbl_task10[[คะแนนเต็ม]:[คะแนนเต็ม]]),"",(tbl_task10[90]/tbl_task10[[คะแนนเต็ม]:[คะแนนเต็ม]])*tbl_task10[[%]:[%]])</f>
        <v/>
      </c>
      <c r="JA8" s="121" t="str">
        <f>IF(ISBLANK(tbl_task10[[คะแนนเต็ม]:[คะแนนเต็ม]]),"",(tbl_task10[91]/tbl_task10[[คะแนนเต็ม]:[คะแนนเต็ม]])*tbl_task10[[%]:[%]])</f>
        <v/>
      </c>
      <c r="JB8" s="121" t="str">
        <f>IF(ISBLANK(tbl_task10[[คะแนนเต็ม]:[คะแนนเต็ม]]),"",(tbl_task10[92]/tbl_task10[[คะแนนเต็ม]:[คะแนนเต็ม]])*tbl_task10[[%]:[%]])</f>
        <v/>
      </c>
      <c r="JC8" s="121" t="str">
        <f>IF(ISBLANK(tbl_task10[[คะแนนเต็ม]:[คะแนนเต็ม]]),"",(tbl_task10[93]/tbl_task10[[คะแนนเต็ม]:[คะแนนเต็ม]])*tbl_task10[[%]:[%]])</f>
        <v/>
      </c>
      <c r="JD8" s="121" t="str">
        <f>IF(ISBLANK(tbl_task10[[คะแนนเต็ม]:[คะแนนเต็ม]]),"",(tbl_task10[94]/tbl_task10[[คะแนนเต็ม]:[คะแนนเต็ม]])*tbl_task10[[%]:[%]])</f>
        <v/>
      </c>
      <c r="JE8" s="121" t="str">
        <f>IF(ISBLANK(tbl_task10[[คะแนนเต็ม]:[คะแนนเต็ม]]),"",(tbl_task10[95]/tbl_task10[[คะแนนเต็ม]:[คะแนนเต็ม]])*tbl_task10[[%]:[%]])</f>
        <v/>
      </c>
      <c r="JF8" s="121" t="str">
        <f>IF(ISBLANK(tbl_task10[[คะแนนเต็ม]:[คะแนนเต็ม]]),"",(tbl_task10[96]/tbl_task10[[คะแนนเต็ม]:[คะแนนเต็ม]])*tbl_task10[[%]:[%]])</f>
        <v/>
      </c>
      <c r="JG8" s="121" t="str">
        <f>IF(ISBLANK(tbl_task10[[คะแนนเต็ม]:[คะแนนเต็ม]]),"",(tbl_task10[97]/tbl_task10[[คะแนนเต็ม]:[คะแนนเต็ม]])*tbl_task10[[%]:[%]])</f>
        <v/>
      </c>
      <c r="JH8" s="121" t="str">
        <f>IF(ISBLANK(tbl_task10[[คะแนนเต็ม]:[คะแนนเต็ม]]),"",(tbl_task10[98]/tbl_task10[[คะแนนเต็ม]:[คะแนนเต็ม]])*tbl_task10[[%]:[%]])</f>
        <v/>
      </c>
      <c r="JI8" s="121" t="str">
        <f>IF(ISBLANK(tbl_task10[[คะแนนเต็ม]:[คะแนนเต็ม]]),"",(tbl_task10[99]/tbl_task10[[คะแนนเต็ม]:[คะแนนเต็ม]])*tbl_task10[[%]:[%]])</f>
        <v/>
      </c>
      <c r="JJ8" s="121" t="str">
        <f>IF(ISBLANK(tbl_task10[[คะแนนเต็ม]:[คะแนนเต็ม]]),"",(tbl_task10[100]/tbl_task10[[คะแนนเต็ม]:[คะแนนเต็ม]])*tbl_task10[[%]:[%]])</f>
        <v/>
      </c>
      <c r="JK8" s="121" t="str">
        <f>IF(ISBLANK(tbl_task10[[คะแนนเต็ม]:[คะแนนเต็ม]]),"",(tbl_task10[101]/tbl_task10[[คะแนนเต็ม]:[คะแนนเต็ม]])*tbl_task10[[%]:[%]])</f>
        <v/>
      </c>
      <c r="JL8" s="121" t="str">
        <f>IF(ISBLANK(tbl_task10[[คะแนนเต็ม]:[คะแนนเต็ม]]),"",(tbl_task10[102]/tbl_task10[[คะแนนเต็ม]:[คะแนนเต็ม]])*tbl_task10[[%]:[%]])</f>
        <v/>
      </c>
      <c r="JM8" s="121" t="str">
        <f>IF(ISBLANK(tbl_task10[[คะแนนเต็ม]:[คะแนนเต็ม]]),"",(tbl_task10[103]/tbl_task10[[คะแนนเต็ม]:[คะแนนเต็ม]])*tbl_task10[[%]:[%]])</f>
        <v/>
      </c>
      <c r="JN8" s="121" t="str">
        <f>IF(ISBLANK(tbl_task10[[คะแนนเต็ม]:[คะแนนเต็ม]]),"",(tbl_task10[104]/tbl_task10[[คะแนนเต็ม]:[คะแนนเต็ม]])*tbl_task10[[%]:[%]])</f>
        <v/>
      </c>
      <c r="JO8" s="121" t="str">
        <f>IF(ISBLANK(tbl_task10[[คะแนนเต็ม]:[คะแนนเต็ม]]),"",(tbl_task10[105]/tbl_task10[[คะแนนเต็ม]:[คะแนนเต็ม]])*tbl_task10[[%]:[%]])</f>
        <v/>
      </c>
      <c r="JP8" s="121" t="str">
        <f>IF(ISBLANK(tbl_task10[[คะแนนเต็ม]:[คะแนนเต็ม]]),"",(tbl_task10[106]/tbl_task10[[คะแนนเต็ม]:[คะแนนเต็ม]])*tbl_task10[[%]:[%]])</f>
        <v/>
      </c>
      <c r="JQ8" s="121" t="str">
        <f>IF(ISBLANK(tbl_task10[[คะแนนเต็ม]:[คะแนนเต็ม]]),"",(tbl_task10[107]/tbl_task10[[คะแนนเต็ม]:[คะแนนเต็ม]])*tbl_task10[[%]:[%]])</f>
        <v/>
      </c>
      <c r="JR8" s="121" t="str">
        <f>IF(ISBLANK(tbl_task10[[คะแนนเต็ม]:[คะแนนเต็ม]]),"",(tbl_task10[108]/tbl_task10[[คะแนนเต็ม]:[คะแนนเต็ม]])*tbl_task10[[%]:[%]])</f>
        <v/>
      </c>
      <c r="JS8" s="121" t="str">
        <f>IF(ISBLANK(tbl_task10[[คะแนนเต็ม]:[คะแนนเต็ม]]),"",(tbl_task10[109]/tbl_task10[[คะแนนเต็ม]:[คะแนนเต็ม]])*tbl_task10[[%]:[%]])</f>
        <v/>
      </c>
      <c r="JT8" s="121" t="str">
        <f>IF(ISBLANK(tbl_task10[[คะแนนเต็ม]:[คะแนนเต็ม]]),"",(tbl_task10[110]/tbl_task10[[คะแนนเต็ม]:[คะแนนเต็ม]])*tbl_task10[[%]:[%]])</f>
        <v/>
      </c>
      <c r="JU8" s="121" t="str">
        <f>IF(ISBLANK(tbl_task10[[คะแนนเต็ม]:[คะแนนเต็ม]]),"",(tbl_task10[111]/tbl_task10[[คะแนนเต็ม]:[คะแนนเต็ม]])*tbl_task10[[%]:[%]])</f>
        <v/>
      </c>
      <c r="JV8" s="121" t="str">
        <f>IF(ISBLANK(tbl_task10[[คะแนนเต็ม]:[คะแนนเต็ม]]),"",(tbl_task10[112]/tbl_task10[[คะแนนเต็ม]:[คะแนนเต็ม]])*tbl_task10[[%]:[%]])</f>
        <v/>
      </c>
      <c r="JW8" s="121" t="str">
        <f>IF(ISBLANK(tbl_task10[[คะแนนเต็ม]:[คะแนนเต็ม]]),"",(tbl_task10[113]/tbl_task10[[คะแนนเต็ม]:[คะแนนเต็ม]])*tbl_task10[[%]:[%]])</f>
        <v/>
      </c>
      <c r="JX8" s="121" t="str">
        <f>IF(ISBLANK(tbl_task10[[คะแนนเต็ม]:[คะแนนเต็ม]]),"",(tbl_task10[114]/tbl_task10[[คะแนนเต็ม]:[คะแนนเต็ม]])*tbl_task10[[%]:[%]])</f>
        <v/>
      </c>
      <c r="JY8" s="121" t="str">
        <f>IF(ISBLANK(tbl_task10[[คะแนนเต็ม]:[คะแนนเต็ม]]),"",(tbl_task10[115]/tbl_task10[[คะแนนเต็ม]:[คะแนนเต็ม]])*tbl_task10[[%]:[%]])</f>
        <v/>
      </c>
      <c r="JZ8" s="121" t="str">
        <f>IF(ISBLANK(tbl_task10[[คะแนนเต็ม]:[คะแนนเต็ม]]),"",(tbl_task10[116]/tbl_task10[[คะแนนเต็ม]:[คะแนนเต็ม]])*tbl_task10[[%]:[%]])</f>
        <v/>
      </c>
      <c r="KA8" s="121" t="str">
        <f>IF(ISBLANK(tbl_task10[[คะแนนเต็ม]:[คะแนนเต็ม]]),"",(tbl_task10[117]/tbl_task10[[คะแนนเต็ม]:[คะแนนเต็ม]])*tbl_task10[[%]:[%]])</f>
        <v/>
      </c>
      <c r="KB8" s="121" t="str">
        <f>IF(ISBLANK(tbl_task10[[คะแนนเต็ม]:[คะแนนเต็ม]]),"",(tbl_task10[118]/tbl_task10[[คะแนนเต็ม]:[คะแนนเต็ม]])*tbl_task10[[%]:[%]])</f>
        <v/>
      </c>
      <c r="KC8" s="121" t="str">
        <f>IF(ISBLANK(tbl_task10[[คะแนนเต็ม]:[คะแนนเต็ม]]),"",(tbl_task10[119]/tbl_task10[[คะแนนเต็ม]:[คะแนนเต็ม]])*tbl_task10[[%]:[%]])</f>
        <v/>
      </c>
      <c r="KD8" s="121" t="str">
        <f>IF(ISBLANK(tbl_task10[[คะแนนเต็ม]:[คะแนนเต็ม]]),"",(tbl_task10[120]/tbl_task10[[คะแนนเต็ม]:[คะแนนเต็ม]])*tbl_task10[[%]:[%]])</f>
        <v/>
      </c>
      <c r="KE8" s="121" t="str">
        <f>IF(ISBLANK(tbl_task10[[คะแนนเต็ม]:[คะแนนเต็ม]]),"",(tbl_task10[121]/tbl_task10[[คะแนนเต็ม]:[คะแนนเต็ม]])*tbl_task10[[%]:[%]])</f>
        <v/>
      </c>
      <c r="KF8" s="121" t="str">
        <f>IF(ISBLANK(tbl_task10[[คะแนนเต็ม]:[คะแนนเต็ม]]),"",(tbl_task10[122]/tbl_task10[[คะแนนเต็ม]:[คะแนนเต็ม]])*tbl_task10[[%]:[%]])</f>
        <v/>
      </c>
      <c r="KG8" s="121" t="str">
        <f>IF(ISBLANK(tbl_task10[[คะแนนเต็ม]:[คะแนนเต็ม]]),"",(tbl_task10[123]/tbl_task10[[คะแนนเต็ม]:[คะแนนเต็ม]])*tbl_task10[[%]:[%]])</f>
        <v/>
      </c>
      <c r="KH8" s="121" t="str">
        <f>IF(ISBLANK(tbl_task10[[คะแนนเต็ม]:[คะแนนเต็ม]]),"",(tbl_task10[124]/tbl_task10[[คะแนนเต็ม]:[คะแนนเต็ม]])*tbl_task10[[%]:[%]])</f>
        <v/>
      </c>
      <c r="KI8" s="121" t="str">
        <f>IF(ISBLANK(tbl_task10[[คะแนนเต็ม]:[คะแนนเต็ม]]),"",(tbl_task10[125]/tbl_task10[[คะแนนเต็ม]:[คะแนนเต็ม]])*tbl_task10[[%]:[%]])</f>
        <v/>
      </c>
      <c r="KJ8" s="121" t="str">
        <f>IF(ISBLANK(tbl_task10[[คะแนนเต็ม]:[คะแนนเต็ม]]),"",(tbl_task10[126]/tbl_task10[[คะแนนเต็ม]:[คะแนนเต็ม]])*tbl_task10[[%]:[%]])</f>
        <v/>
      </c>
      <c r="KK8" s="121" t="str">
        <f>IF(ISBLANK(tbl_task10[[คะแนนเต็ม]:[คะแนนเต็ม]]),"",(tbl_task10[127]/tbl_task10[[คะแนนเต็ม]:[คะแนนเต็ม]])*tbl_task10[[%]:[%]])</f>
        <v/>
      </c>
      <c r="KL8" s="121" t="str">
        <f>IF(ISBLANK(tbl_task10[[คะแนนเต็ม]:[คะแนนเต็ม]]),"",(tbl_task10[128]/tbl_task10[[คะแนนเต็ม]:[คะแนนเต็ม]])*tbl_task10[[%]:[%]])</f>
        <v/>
      </c>
      <c r="KM8" s="121" t="str">
        <f>IF(ISBLANK(tbl_task10[[คะแนนเต็ม]:[คะแนนเต็ม]]),"",(tbl_task10[129]/tbl_task10[[คะแนนเต็ม]:[คะแนนเต็ม]])*tbl_task10[[%]:[%]])</f>
        <v/>
      </c>
      <c r="KN8" s="121" t="str">
        <f>IF(ISBLANK(tbl_task10[[คะแนนเต็ม]:[คะแนนเต็ม]]),"",(tbl_task10[130]/tbl_task10[[คะแนนเต็ม]:[คะแนนเต็ม]])*tbl_task10[[%]:[%]])</f>
        <v/>
      </c>
      <c r="KO8" s="121" t="str">
        <f>IF(ISBLANK(tbl_task10[[คะแนนเต็ม]:[คะแนนเต็ม]]),"",(tbl_task10[131]/tbl_task10[[คะแนนเต็ม]:[คะแนนเต็ม]])*tbl_task10[[%]:[%]])</f>
        <v/>
      </c>
      <c r="KP8" s="121" t="str">
        <f>IF(ISBLANK(tbl_task10[[คะแนนเต็ม]:[คะแนนเต็ม]]),"",(tbl_task10[132]/tbl_task10[[คะแนนเต็ม]:[คะแนนเต็ม]])*tbl_task10[[%]:[%]])</f>
        <v/>
      </c>
      <c r="KQ8" s="121" t="str">
        <f>IF(ISBLANK(tbl_task10[[คะแนนเต็ม]:[คะแนนเต็ม]]),"",(tbl_task10[133]/tbl_task10[[คะแนนเต็ม]:[คะแนนเต็ม]])*tbl_task10[[%]:[%]])</f>
        <v/>
      </c>
      <c r="KR8" s="121" t="str">
        <f>IF(ISBLANK(tbl_task10[[คะแนนเต็ม]:[คะแนนเต็ม]]),"",(tbl_task10[134]/tbl_task10[[คะแนนเต็ม]:[คะแนนเต็ม]])*tbl_task10[[%]:[%]])</f>
        <v/>
      </c>
      <c r="KS8" s="121" t="str">
        <f>IF(ISBLANK(tbl_task10[[คะแนนเต็ม]:[คะแนนเต็ม]]),"",(tbl_task10[135]/tbl_task10[[คะแนนเต็ม]:[คะแนนเต็ม]])*tbl_task10[[%]:[%]])</f>
        <v/>
      </c>
      <c r="KT8" s="121" t="str">
        <f>IF(ISBLANK(tbl_task10[[คะแนนเต็ม]:[คะแนนเต็ม]]),"",(tbl_task10[136]/tbl_task10[[คะแนนเต็ม]:[คะแนนเต็ม]])*tbl_task10[[%]:[%]])</f>
        <v/>
      </c>
      <c r="KU8" s="121" t="str">
        <f>IF(ISBLANK(tbl_task10[[คะแนนเต็ม]:[คะแนนเต็ม]]),"",(tbl_task10[137]/tbl_task10[[คะแนนเต็ม]:[คะแนนเต็ม]])*tbl_task10[[%]:[%]])</f>
        <v/>
      </c>
      <c r="KV8" s="121" t="str">
        <f>IF(ISBLANK(tbl_task10[[คะแนนเต็ม]:[คะแนนเต็ม]]),"",(tbl_task10[138]/tbl_task10[[คะแนนเต็ม]:[คะแนนเต็ม]])*tbl_task10[[%]:[%]])</f>
        <v/>
      </c>
      <c r="KW8" s="121" t="str">
        <f>IF(ISBLANK(tbl_task10[[คะแนนเต็ม]:[คะแนนเต็ม]]),"",(tbl_task10[139]/tbl_task10[[คะแนนเต็ม]:[คะแนนเต็ม]])*tbl_task10[[%]:[%]])</f>
        <v/>
      </c>
      <c r="KX8" s="121" t="str">
        <f>IF(ISBLANK(tbl_task10[[คะแนนเต็ม]:[คะแนนเต็ม]]),"",(tbl_task10[140]/tbl_task10[[คะแนนเต็ม]:[คะแนนเต็ม]])*tbl_task10[[%]:[%]])</f>
        <v/>
      </c>
      <c r="KY8" s="121" t="str">
        <f>IF(ISBLANK(tbl_task10[[คะแนนเต็ม]:[คะแนนเต็ม]]),"",(tbl_task10[141]/tbl_task10[[คะแนนเต็ม]:[คะแนนเต็ม]])*tbl_task10[[%]:[%]])</f>
        <v/>
      </c>
      <c r="KZ8" s="121" t="str">
        <f>IF(ISBLANK(tbl_task10[[คะแนนเต็ม]:[คะแนนเต็ม]]),"",(tbl_task10[142]/tbl_task10[[คะแนนเต็ม]:[คะแนนเต็ม]])*tbl_task10[[%]:[%]])</f>
        <v/>
      </c>
      <c r="LA8" s="121" t="str">
        <f>IF(ISBLANK(tbl_task10[[คะแนนเต็ม]:[คะแนนเต็ม]]),"",(tbl_task10[143]/tbl_task10[[คะแนนเต็ม]:[คะแนนเต็ม]])*tbl_task10[[%]:[%]])</f>
        <v/>
      </c>
      <c r="LB8" s="121" t="str">
        <f>IF(ISBLANK(tbl_task10[[คะแนนเต็ม]:[คะแนนเต็ม]]),"",(tbl_task10[144]/tbl_task10[[คะแนนเต็ม]:[คะแนนเต็ม]])*tbl_task10[[%]:[%]])</f>
        <v/>
      </c>
      <c r="LC8" s="121" t="str">
        <f>IF(ISBLANK(tbl_task10[[คะแนนเต็ม]:[คะแนนเต็ม]]),"",(tbl_task10[145]/tbl_task10[[คะแนนเต็ม]:[คะแนนเต็ม]])*tbl_task10[[%]:[%]])</f>
        <v/>
      </c>
      <c r="LD8" s="121" t="str">
        <f>IF(ISBLANK(tbl_task10[[คะแนนเต็ม]:[คะแนนเต็ม]]),"",(tbl_task10[146]/tbl_task10[[คะแนนเต็ม]:[คะแนนเต็ม]])*tbl_task10[[%]:[%]])</f>
        <v/>
      </c>
      <c r="LE8" s="121" t="str">
        <f>IF(ISBLANK(tbl_task10[[คะแนนเต็ม]:[คะแนนเต็ม]]),"",(tbl_task10[147]/tbl_task10[[คะแนนเต็ม]:[คะแนนเต็ม]])*tbl_task10[[%]:[%]])</f>
        <v/>
      </c>
      <c r="LF8" s="121" t="str">
        <f>IF(ISBLANK(tbl_task10[[คะแนนเต็ม]:[คะแนนเต็ม]]),"",(tbl_task10[148]/tbl_task10[[คะแนนเต็ม]:[คะแนนเต็ม]])*tbl_task10[[%]:[%]])</f>
        <v/>
      </c>
      <c r="LG8" s="121" t="str">
        <f>IF(ISBLANK(tbl_task10[[คะแนนเต็ม]:[คะแนนเต็ม]]),"",(tbl_task10[149]/tbl_task10[[คะแนนเต็ม]:[คะแนนเต็ม]])*tbl_task10[[%]:[%]])</f>
        <v/>
      </c>
      <c r="LH8" s="121" t="str">
        <f>IF(ISBLANK(tbl_task10[[คะแนนเต็ม]:[คะแนนเต็ม]]),"",(tbl_task10[150]/tbl_task10[[คะแนนเต็ม]:[คะแนนเต็ม]])*tbl_task10[[%]:[%]])</f>
        <v/>
      </c>
      <c r="LI8" s="121" t="str">
        <f>IF(ISBLANK(tbl_task10[[คะแนนเต็ม]:[คะแนนเต็ม]]),"",(tbl_task10[151]/tbl_task10[[คะแนนเต็ม]:[คะแนนเต็ม]])*tbl_task10[[%]:[%]])</f>
        <v/>
      </c>
      <c r="LJ8" s="121" t="str">
        <f>IF(ISBLANK(tbl_task10[[คะแนนเต็ม]:[คะแนนเต็ม]]),"",(tbl_task10[152]/tbl_task10[[คะแนนเต็ม]:[คะแนนเต็ม]])*tbl_task10[[%]:[%]])</f>
        <v/>
      </c>
      <c r="LK8" s="121" t="str">
        <f>IF(ISBLANK(tbl_task10[[คะแนนเต็ม]:[คะแนนเต็ม]]),"",(tbl_task10[153]/tbl_task10[[คะแนนเต็ม]:[คะแนนเต็ม]])*tbl_task10[[%]:[%]])</f>
        <v/>
      </c>
      <c r="LL8" s="121" t="str">
        <f>IF(ISBLANK(tbl_task10[[คะแนนเต็ม]:[คะแนนเต็ม]]),"",(tbl_task10[154]/tbl_task10[[คะแนนเต็ม]:[คะแนนเต็ม]])*tbl_task10[[%]:[%]])</f>
        <v/>
      </c>
      <c r="LM8" s="121" t="str">
        <f>IF(ISBLANK(tbl_task10[[คะแนนเต็ม]:[คะแนนเต็ม]]),"",(tbl_task10[155]/tbl_task10[[คะแนนเต็ม]:[คะแนนเต็ม]])*tbl_task10[[%]:[%]])</f>
        <v/>
      </c>
      <c r="LN8" s="121" t="str">
        <f>IF(ISBLANK(tbl_task10[[คะแนนเต็ม]:[คะแนนเต็ม]]),"",(tbl_task10[156]/tbl_task10[[คะแนนเต็ม]:[คะแนนเต็ม]])*tbl_task10[[%]:[%]])</f>
        <v/>
      </c>
      <c r="LO8" s="121" t="str">
        <f>IF(ISBLANK(tbl_task10[[คะแนนเต็ม]:[คะแนนเต็ม]]),"",(tbl_task10[157]/tbl_task10[[คะแนนเต็ม]:[คะแนนเต็ม]])*tbl_task10[[%]:[%]])</f>
        <v/>
      </c>
      <c r="LP8" s="121" t="str">
        <f>IF(ISBLANK(tbl_task10[[คะแนนเต็ม]:[คะแนนเต็ม]]),"",(tbl_task10[158]/tbl_task10[[คะแนนเต็ม]:[คะแนนเต็ม]])*tbl_task10[[%]:[%]])</f>
        <v/>
      </c>
      <c r="LQ8" s="121" t="str">
        <f>IF(ISBLANK(tbl_task10[[คะแนนเต็ม]:[คะแนนเต็ม]]),"",(tbl_task10[159]/tbl_task10[[คะแนนเต็ม]:[คะแนนเต็ม]])*tbl_task10[[%]:[%]])</f>
        <v/>
      </c>
      <c r="LR8" s="121" t="str">
        <f>IF(ISBLANK(tbl_task10[[คะแนนเต็ม]:[คะแนนเต็ม]]),"",(tbl_task10[160]/tbl_task10[[คะแนนเต็ม]:[คะแนนเต็ม]])*tbl_task10[[%]:[%]])</f>
        <v/>
      </c>
      <c r="LS8" s="121" t="str">
        <f>IF(ISBLANK(tbl_task10[[คะแนนเต็ม]:[คะแนนเต็ม]]),"",(tbl_task10[161]/tbl_task10[[คะแนนเต็ม]:[คะแนนเต็ม]])*tbl_task10[[%]:[%]])</f>
        <v/>
      </c>
      <c r="LT8" s="121" t="str">
        <f>IF(ISBLANK(tbl_task10[[คะแนนเต็ม]:[คะแนนเต็ม]]),"",(tbl_task10[162]/tbl_task10[[คะแนนเต็ม]:[คะแนนเต็ม]])*tbl_task10[[%]:[%]])</f>
        <v/>
      </c>
      <c r="LU8" s="121" t="str">
        <f>IF(ISBLANK(tbl_task10[[คะแนนเต็ม]:[คะแนนเต็ม]]),"",(tbl_task10[163]/tbl_task10[[คะแนนเต็ม]:[คะแนนเต็ม]])*tbl_task10[[%]:[%]])</f>
        <v/>
      </c>
      <c r="LV8" s="121" t="str">
        <f>IF(ISBLANK(tbl_task10[[คะแนนเต็ม]:[คะแนนเต็ม]]),"",(tbl_task10[164]/tbl_task10[[คะแนนเต็ม]:[คะแนนเต็ม]])*tbl_task10[[%]:[%]])</f>
        <v/>
      </c>
      <c r="LW8" s="121" t="str">
        <f>IF(ISBLANK(tbl_task10[[คะแนนเต็ม]:[คะแนนเต็ม]]),"",(tbl_task10[165]/tbl_task10[[คะแนนเต็ม]:[คะแนนเต็ม]])*tbl_task10[[%]:[%]])</f>
        <v/>
      </c>
    </row>
    <row r="9" spans="1:335" x14ac:dyDescent="0.25">
      <c r="A9" s="24">
        <v>6</v>
      </c>
      <c r="B9" s="20"/>
      <c r="C9" s="5" t="str">
        <f>IF(ISBLANK(B9),"",VLOOKUP(B9,tbl_PLOs[],2,0))</f>
        <v/>
      </c>
      <c r="D9" s="102"/>
      <c r="E9" s="106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22"/>
      <c r="FO9" s="121" t="str">
        <f>IF(ISBLANK(tbl_task10[[คะแนนเต็ม]:[คะแนนเต็ม]]),"",(tbl_task10[1]/tbl_task10[[คะแนนเต็ม]:[คะแนนเต็ม]])*tbl_task10[[%]:[%]])</f>
        <v/>
      </c>
      <c r="FP9" s="121" t="str">
        <f>IF(ISBLANK(tbl_task10[[คะแนนเต็ม]:[คะแนนเต็ม]]),"",(tbl_task10[2]/tbl_task10[[คะแนนเต็ม]:[คะแนนเต็ม]])*tbl_task10[[%]:[%]])</f>
        <v/>
      </c>
      <c r="FQ9" s="121" t="str">
        <f>IF(ISBLANK(tbl_task10[[คะแนนเต็ม]:[คะแนนเต็ม]]),"",(tbl_task10[3]/tbl_task10[[คะแนนเต็ม]:[คะแนนเต็ม]])*tbl_task10[[%]:[%]])</f>
        <v/>
      </c>
      <c r="FR9" s="121" t="str">
        <f>IF(ISBLANK(tbl_task10[[คะแนนเต็ม]:[คะแนนเต็ม]]),"",(tbl_task10[4]/tbl_task10[[คะแนนเต็ม]:[คะแนนเต็ม]])*tbl_task10[[%]:[%]])</f>
        <v/>
      </c>
      <c r="FS9" s="121" t="str">
        <f>IF(ISBLANK(tbl_task10[[คะแนนเต็ม]:[คะแนนเต็ม]]),"",(tbl_task10[5]/tbl_task10[[คะแนนเต็ม]:[คะแนนเต็ม]])*tbl_task10[[%]:[%]])</f>
        <v/>
      </c>
      <c r="FT9" s="121" t="str">
        <f>IF(ISBLANK(tbl_task10[[คะแนนเต็ม]:[คะแนนเต็ม]]),"",(tbl_task10[6]/tbl_task10[[คะแนนเต็ม]:[คะแนนเต็ม]])*tbl_task10[[%]:[%]])</f>
        <v/>
      </c>
      <c r="FU9" s="121" t="str">
        <f>IF(ISBLANK(tbl_task10[[คะแนนเต็ม]:[คะแนนเต็ม]]),"",(tbl_task10[7]/tbl_task10[[คะแนนเต็ม]:[คะแนนเต็ม]])*tbl_task10[[%]:[%]])</f>
        <v/>
      </c>
      <c r="FV9" s="121" t="str">
        <f>IF(ISBLANK(tbl_task10[[คะแนนเต็ม]:[คะแนนเต็ม]]),"",(tbl_task10[8]/tbl_task10[[คะแนนเต็ม]:[คะแนนเต็ม]])*tbl_task10[[%]:[%]])</f>
        <v/>
      </c>
      <c r="FW9" s="121" t="str">
        <f>IF(ISBLANK(tbl_task10[[คะแนนเต็ม]:[คะแนนเต็ม]]),"",(tbl_task10[9]/tbl_task10[[คะแนนเต็ม]:[คะแนนเต็ม]])*tbl_task10[[%]:[%]])</f>
        <v/>
      </c>
      <c r="FX9" s="121" t="str">
        <f>IF(ISBLANK(tbl_task10[[คะแนนเต็ม]:[คะแนนเต็ม]]),"",(tbl_task10[10]/tbl_task10[[คะแนนเต็ม]:[คะแนนเต็ม]])*tbl_task10[[%]:[%]])</f>
        <v/>
      </c>
      <c r="FY9" s="121" t="str">
        <f>IF(ISBLANK(tbl_task10[[คะแนนเต็ม]:[คะแนนเต็ม]]),"",(tbl_task10[11]/tbl_task10[[คะแนนเต็ม]:[คะแนนเต็ม]])*tbl_task10[[%]:[%]])</f>
        <v/>
      </c>
      <c r="FZ9" s="121" t="str">
        <f>IF(ISBLANK(tbl_task10[[คะแนนเต็ม]:[คะแนนเต็ม]]),"",(tbl_task10[12]/tbl_task10[[คะแนนเต็ม]:[คะแนนเต็ม]])*tbl_task10[[%]:[%]])</f>
        <v/>
      </c>
      <c r="GA9" s="121" t="str">
        <f>IF(ISBLANK(tbl_task10[[คะแนนเต็ม]:[คะแนนเต็ม]]),"",(tbl_task10[13]/tbl_task10[[คะแนนเต็ม]:[คะแนนเต็ม]])*tbl_task10[[%]:[%]])</f>
        <v/>
      </c>
      <c r="GB9" s="121" t="str">
        <f>IF(ISBLANK(tbl_task10[[คะแนนเต็ม]:[คะแนนเต็ม]]),"",(tbl_task10[14]/tbl_task10[[คะแนนเต็ม]:[คะแนนเต็ม]])*tbl_task10[[%]:[%]])</f>
        <v/>
      </c>
      <c r="GC9" s="121" t="str">
        <f>IF(ISBLANK(tbl_task10[[คะแนนเต็ม]:[คะแนนเต็ม]]),"",(tbl_task10[15]/tbl_task10[[คะแนนเต็ม]:[คะแนนเต็ม]])*tbl_task10[[%]:[%]])</f>
        <v/>
      </c>
      <c r="GD9" s="121" t="str">
        <f>IF(ISBLANK(tbl_task10[[คะแนนเต็ม]:[คะแนนเต็ม]]),"",(tbl_task10[16]/tbl_task10[[คะแนนเต็ม]:[คะแนนเต็ม]])*tbl_task10[[%]:[%]])</f>
        <v/>
      </c>
      <c r="GE9" s="121" t="str">
        <f>IF(ISBLANK(tbl_task10[[คะแนนเต็ม]:[คะแนนเต็ม]]),"",(tbl_task10[17]/tbl_task10[[คะแนนเต็ม]:[คะแนนเต็ม]])*tbl_task10[[%]:[%]])</f>
        <v/>
      </c>
      <c r="GF9" s="121" t="str">
        <f>IF(ISBLANK(tbl_task10[[คะแนนเต็ม]:[คะแนนเต็ม]]),"",(tbl_task10[18]/tbl_task10[[คะแนนเต็ม]:[คะแนนเต็ม]])*tbl_task10[[%]:[%]])</f>
        <v/>
      </c>
      <c r="GG9" s="121" t="str">
        <f>IF(ISBLANK(tbl_task10[[คะแนนเต็ม]:[คะแนนเต็ม]]),"",(tbl_task10[19]/tbl_task10[[คะแนนเต็ม]:[คะแนนเต็ม]])*tbl_task10[[%]:[%]])</f>
        <v/>
      </c>
      <c r="GH9" s="121" t="str">
        <f>IF(ISBLANK(tbl_task10[[คะแนนเต็ม]:[คะแนนเต็ม]]),"",(tbl_task10[20]/tbl_task10[[คะแนนเต็ม]:[คะแนนเต็ม]])*tbl_task10[[%]:[%]])</f>
        <v/>
      </c>
      <c r="GI9" s="121" t="str">
        <f>IF(ISBLANK(tbl_task10[[คะแนนเต็ม]:[คะแนนเต็ม]]),"",(tbl_task10[21]/tbl_task10[[คะแนนเต็ม]:[คะแนนเต็ม]])*tbl_task10[[%]:[%]])</f>
        <v/>
      </c>
      <c r="GJ9" s="121" t="str">
        <f>IF(ISBLANK(tbl_task10[[คะแนนเต็ม]:[คะแนนเต็ม]]),"",(tbl_task10[22]/tbl_task10[[คะแนนเต็ม]:[คะแนนเต็ม]])*tbl_task10[[%]:[%]])</f>
        <v/>
      </c>
      <c r="GK9" s="121" t="str">
        <f>IF(ISBLANK(tbl_task10[[คะแนนเต็ม]:[คะแนนเต็ม]]),"",(tbl_task10[23]/tbl_task10[[คะแนนเต็ม]:[คะแนนเต็ม]])*tbl_task10[[%]:[%]])</f>
        <v/>
      </c>
      <c r="GL9" s="121" t="str">
        <f>IF(ISBLANK(tbl_task10[[คะแนนเต็ม]:[คะแนนเต็ม]]),"",(tbl_task10[24]/tbl_task10[[คะแนนเต็ม]:[คะแนนเต็ม]])*tbl_task10[[%]:[%]])</f>
        <v/>
      </c>
      <c r="GM9" s="121" t="str">
        <f>IF(ISBLANK(tbl_task10[[คะแนนเต็ม]:[คะแนนเต็ม]]),"",(tbl_task10[25]/tbl_task10[[คะแนนเต็ม]:[คะแนนเต็ม]])*tbl_task10[[%]:[%]])</f>
        <v/>
      </c>
      <c r="GN9" s="121" t="str">
        <f>IF(ISBLANK(tbl_task10[[คะแนนเต็ม]:[คะแนนเต็ม]]),"",(tbl_task10[26]/tbl_task10[[คะแนนเต็ม]:[คะแนนเต็ม]])*tbl_task10[[%]:[%]])</f>
        <v/>
      </c>
      <c r="GO9" s="121" t="str">
        <f>IF(ISBLANK(tbl_task10[[คะแนนเต็ม]:[คะแนนเต็ม]]),"",(tbl_task10[27]/tbl_task10[[คะแนนเต็ม]:[คะแนนเต็ม]])*tbl_task10[[%]:[%]])</f>
        <v/>
      </c>
      <c r="GP9" s="121" t="str">
        <f>IF(ISBLANK(tbl_task10[[คะแนนเต็ม]:[คะแนนเต็ม]]),"",(tbl_task10[28]/tbl_task10[[คะแนนเต็ม]:[คะแนนเต็ม]])*tbl_task10[[%]:[%]])</f>
        <v/>
      </c>
      <c r="GQ9" s="121" t="str">
        <f>IF(ISBLANK(tbl_task10[[คะแนนเต็ม]:[คะแนนเต็ม]]),"",(tbl_task10[29]/tbl_task10[[คะแนนเต็ม]:[คะแนนเต็ม]])*tbl_task10[[%]:[%]])</f>
        <v/>
      </c>
      <c r="GR9" s="121" t="str">
        <f>IF(ISBLANK(tbl_task10[[คะแนนเต็ม]:[คะแนนเต็ม]]),"",(tbl_task10[30]/tbl_task10[[คะแนนเต็ม]:[คะแนนเต็ม]])*tbl_task10[[%]:[%]])</f>
        <v/>
      </c>
      <c r="GS9" s="121" t="str">
        <f>IF(ISBLANK(tbl_task10[[คะแนนเต็ม]:[คะแนนเต็ม]]),"",(tbl_task10[31]/tbl_task10[[คะแนนเต็ม]:[คะแนนเต็ม]])*tbl_task10[[%]:[%]])</f>
        <v/>
      </c>
      <c r="GT9" s="121" t="str">
        <f>IF(ISBLANK(tbl_task10[[คะแนนเต็ม]:[คะแนนเต็ม]]),"",(tbl_task10[32]/tbl_task10[[คะแนนเต็ม]:[คะแนนเต็ม]])*tbl_task10[[%]:[%]])</f>
        <v/>
      </c>
      <c r="GU9" s="121" t="str">
        <f>IF(ISBLANK(tbl_task10[[คะแนนเต็ม]:[คะแนนเต็ม]]),"",(tbl_task10[33]/tbl_task10[[คะแนนเต็ม]:[คะแนนเต็ม]])*tbl_task10[[%]:[%]])</f>
        <v/>
      </c>
      <c r="GV9" s="121" t="str">
        <f>IF(ISBLANK(tbl_task10[[คะแนนเต็ม]:[คะแนนเต็ม]]),"",(tbl_task10[34]/tbl_task10[[คะแนนเต็ม]:[คะแนนเต็ม]])*tbl_task10[[%]:[%]])</f>
        <v/>
      </c>
      <c r="GW9" s="121" t="str">
        <f>IF(ISBLANK(tbl_task10[[คะแนนเต็ม]:[คะแนนเต็ม]]),"",(tbl_task10[35]/tbl_task10[[คะแนนเต็ม]:[คะแนนเต็ม]])*tbl_task10[[%]:[%]])</f>
        <v/>
      </c>
      <c r="GX9" s="121" t="str">
        <f>IF(ISBLANK(tbl_task10[[คะแนนเต็ม]:[คะแนนเต็ม]]),"",(tbl_task10[36]/tbl_task10[[คะแนนเต็ม]:[คะแนนเต็ม]])*tbl_task10[[%]:[%]])</f>
        <v/>
      </c>
      <c r="GY9" s="121" t="str">
        <f>IF(ISBLANK(tbl_task10[[คะแนนเต็ม]:[คะแนนเต็ม]]),"",(tbl_task10[37]/tbl_task10[[คะแนนเต็ม]:[คะแนนเต็ม]])*tbl_task10[[%]:[%]])</f>
        <v/>
      </c>
      <c r="GZ9" s="121" t="str">
        <f>IF(ISBLANK(tbl_task10[[คะแนนเต็ม]:[คะแนนเต็ม]]),"",(tbl_task10[38]/tbl_task10[[คะแนนเต็ม]:[คะแนนเต็ม]])*tbl_task10[[%]:[%]])</f>
        <v/>
      </c>
      <c r="HA9" s="121" t="str">
        <f>IF(ISBLANK(tbl_task10[[คะแนนเต็ม]:[คะแนนเต็ม]]),"",(tbl_task10[39]/tbl_task10[[คะแนนเต็ม]:[คะแนนเต็ม]])*tbl_task10[[%]:[%]])</f>
        <v/>
      </c>
      <c r="HB9" s="121" t="str">
        <f>IF(ISBLANK(tbl_task10[[คะแนนเต็ม]:[คะแนนเต็ม]]),"",(tbl_task10[40]/tbl_task10[[คะแนนเต็ม]:[คะแนนเต็ม]])*tbl_task10[[%]:[%]])</f>
        <v/>
      </c>
      <c r="HC9" s="121" t="str">
        <f>IF(ISBLANK(tbl_task10[[คะแนนเต็ม]:[คะแนนเต็ม]]),"",(tbl_task10[41]/tbl_task10[[คะแนนเต็ม]:[คะแนนเต็ม]])*tbl_task10[[%]:[%]])</f>
        <v/>
      </c>
      <c r="HD9" s="121" t="str">
        <f>IF(ISBLANK(tbl_task10[[คะแนนเต็ม]:[คะแนนเต็ม]]),"",(tbl_task10[42]/tbl_task10[[คะแนนเต็ม]:[คะแนนเต็ม]])*tbl_task10[[%]:[%]])</f>
        <v/>
      </c>
      <c r="HE9" s="121" t="str">
        <f>IF(ISBLANK(tbl_task10[[คะแนนเต็ม]:[คะแนนเต็ม]]),"",(tbl_task10[43]/tbl_task10[[คะแนนเต็ม]:[คะแนนเต็ม]])*tbl_task10[[%]:[%]])</f>
        <v/>
      </c>
      <c r="HF9" s="121" t="str">
        <f>IF(ISBLANK(tbl_task10[[คะแนนเต็ม]:[คะแนนเต็ม]]),"",(tbl_task10[44]/tbl_task10[[คะแนนเต็ม]:[คะแนนเต็ม]])*tbl_task10[[%]:[%]])</f>
        <v/>
      </c>
      <c r="HG9" s="121" t="str">
        <f>IF(ISBLANK(tbl_task10[[คะแนนเต็ม]:[คะแนนเต็ม]]),"",(tbl_task10[45]/tbl_task10[[คะแนนเต็ม]:[คะแนนเต็ม]])*tbl_task10[[%]:[%]])</f>
        <v/>
      </c>
      <c r="HH9" s="121" t="str">
        <f>IF(ISBLANK(tbl_task10[[คะแนนเต็ม]:[คะแนนเต็ม]]),"",(tbl_task10[46]/tbl_task10[[คะแนนเต็ม]:[คะแนนเต็ม]])*tbl_task10[[%]:[%]])</f>
        <v/>
      </c>
      <c r="HI9" s="121" t="str">
        <f>IF(ISBLANK(tbl_task10[[คะแนนเต็ม]:[คะแนนเต็ม]]),"",(tbl_task10[47]/tbl_task10[[คะแนนเต็ม]:[คะแนนเต็ม]])*tbl_task10[[%]:[%]])</f>
        <v/>
      </c>
      <c r="HJ9" s="121" t="str">
        <f>IF(ISBLANK(tbl_task10[[คะแนนเต็ม]:[คะแนนเต็ม]]),"",(tbl_task10[48]/tbl_task10[[คะแนนเต็ม]:[คะแนนเต็ม]])*tbl_task10[[%]:[%]])</f>
        <v/>
      </c>
      <c r="HK9" s="121" t="str">
        <f>IF(ISBLANK(tbl_task10[[คะแนนเต็ม]:[คะแนนเต็ม]]),"",(tbl_task10[49]/tbl_task10[[คะแนนเต็ม]:[คะแนนเต็ม]])*tbl_task10[[%]:[%]])</f>
        <v/>
      </c>
      <c r="HL9" s="121" t="str">
        <f>IF(ISBLANK(tbl_task10[[คะแนนเต็ม]:[คะแนนเต็ม]]),"",(tbl_task10[50]/tbl_task10[[คะแนนเต็ม]:[คะแนนเต็ม]])*tbl_task10[[%]:[%]])</f>
        <v/>
      </c>
      <c r="HM9" s="121" t="str">
        <f>IF(ISBLANK(tbl_task10[[คะแนนเต็ม]:[คะแนนเต็ม]]),"",(tbl_task10[51]/tbl_task10[[คะแนนเต็ม]:[คะแนนเต็ม]])*tbl_task10[[%]:[%]])</f>
        <v/>
      </c>
      <c r="HN9" s="121" t="str">
        <f>IF(ISBLANK(tbl_task10[[คะแนนเต็ม]:[คะแนนเต็ม]]),"",(tbl_task10[52]/tbl_task10[[คะแนนเต็ม]:[คะแนนเต็ม]])*tbl_task10[[%]:[%]])</f>
        <v/>
      </c>
      <c r="HO9" s="121" t="str">
        <f>IF(ISBLANK(tbl_task10[[คะแนนเต็ม]:[คะแนนเต็ม]]),"",(tbl_task10[53]/tbl_task10[[คะแนนเต็ม]:[คะแนนเต็ม]])*tbl_task10[[%]:[%]])</f>
        <v/>
      </c>
      <c r="HP9" s="121" t="str">
        <f>IF(ISBLANK(tbl_task10[[คะแนนเต็ม]:[คะแนนเต็ม]]),"",(tbl_task10[54]/tbl_task10[[คะแนนเต็ม]:[คะแนนเต็ม]])*tbl_task10[[%]:[%]])</f>
        <v/>
      </c>
      <c r="HQ9" s="121" t="str">
        <f>IF(ISBLANK(tbl_task10[[คะแนนเต็ม]:[คะแนนเต็ม]]),"",(tbl_task10[55]/tbl_task10[[คะแนนเต็ม]:[คะแนนเต็ม]])*tbl_task10[[%]:[%]])</f>
        <v/>
      </c>
      <c r="HR9" s="121" t="str">
        <f>IF(ISBLANK(tbl_task10[[คะแนนเต็ม]:[คะแนนเต็ม]]),"",(tbl_task10[56]/tbl_task10[[คะแนนเต็ม]:[คะแนนเต็ม]])*tbl_task10[[%]:[%]])</f>
        <v/>
      </c>
      <c r="HS9" s="121" t="str">
        <f>IF(ISBLANK(tbl_task10[[คะแนนเต็ม]:[คะแนนเต็ม]]),"",(tbl_task10[57]/tbl_task10[[คะแนนเต็ม]:[คะแนนเต็ม]])*tbl_task10[[%]:[%]])</f>
        <v/>
      </c>
      <c r="HT9" s="121" t="str">
        <f>IF(ISBLANK(tbl_task10[[คะแนนเต็ม]:[คะแนนเต็ม]]),"",(tbl_task10[58]/tbl_task10[[คะแนนเต็ม]:[คะแนนเต็ม]])*tbl_task10[[%]:[%]])</f>
        <v/>
      </c>
      <c r="HU9" s="121" t="str">
        <f>IF(ISBLANK(tbl_task10[[คะแนนเต็ม]:[คะแนนเต็ม]]),"",(tbl_task10[59]/tbl_task10[[คะแนนเต็ม]:[คะแนนเต็ม]])*tbl_task10[[%]:[%]])</f>
        <v/>
      </c>
      <c r="HV9" s="121" t="str">
        <f>IF(ISBLANK(tbl_task10[[คะแนนเต็ม]:[คะแนนเต็ม]]),"",(tbl_task10[60]/tbl_task10[[คะแนนเต็ม]:[คะแนนเต็ม]])*tbl_task10[[%]:[%]])</f>
        <v/>
      </c>
      <c r="HW9" s="121" t="str">
        <f>IF(ISBLANK(tbl_task10[[คะแนนเต็ม]:[คะแนนเต็ม]]),"",(tbl_task10[61]/tbl_task10[[คะแนนเต็ม]:[คะแนนเต็ม]])*tbl_task10[[%]:[%]])</f>
        <v/>
      </c>
      <c r="HX9" s="121" t="str">
        <f>IF(ISBLANK(tbl_task10[[คะแนนเต็ม]:[คะแนนเต็ม]]),"",(tbl_task10[62]/tbl_task10[[คะแนนเต็ม]:[คะแนนเต็ม]])*tbl_task10[[%]:[%]])</f>
        <v/>
      </c>
      <c r="HY9" s="121" t="str">
        <f>IF(ISBLANK(tbl_task10[[คะแนนเต็ม]:[คะแนนเต็ม]]),"",(tbl_task10[63]/tbl_task10[[คะแนนเต็ม]:[คะแนนเต็ม]])*tbl_task10[[%]:[%]])</f>
        <v/>
      </c>
      <c r="HZ9" s="121" t="str">
        <f>IF(ISBLANK(tbl_task10[[คะแนนเต็ม]:[คะแนนเต็ม]]),"",(tbl_task10[64]/tbl_task10[[คะแนนเต็ม]:[คะแนนเต็ม]])*tbl_task10[[%]:[%]])</f>
        <v/>
      </c>
      <c r="IA9" s="121" t="str">
        <f>IF(ISBLANK(tbl_task10[[คะแนนเต็ม]:[คะแนนเต็ม]]),"",(tbl_task10[65]/tbl_task10[[คะแนนเต็ม]:[คะแนนเต็ม]])*tbl_task10[[%]:[%]])</f>
        <v/>
      </c>
      <c r="IB9" s="121" t="str">
        <f>IF(ISBLANK(tbl_task10[[คะแนนเต็ม]:[คะแนนเต็ม]]),"",(tbl_task10[66]/tbl_task10[[คะแนนเต็ม]:[คะแนนเต็ม]])*tbl_task10[[%]:[%]])</f>
        <v/>
      </c>
      <c r="IC9" s="121" t="str">
        <f>IF(ISBLANK(tbl_task10[[คะแนนเต็ม]:[คะแนนเต็ม]]),"",(tbl_task10[67]/tbl_task10[[คะแนนเต็ม]:[คะแนนเต็ม]])*tbl_task10[[%]:[%]])</f>
        <v/>
      </c>
      <c r="ID9" s="121" t="str">
        <f>IF(ISBLANK(tbl_task10[[คะแนนเต็ม]:[คะแนนเต็ม]]),"",(tbl_task10[68]/tbl_task10[[คะแนนเต็ม]:[คะแนนเต็ม]])*tbl_task10[[%]:[%]])</f>
        <v/>
      </c>
      <c r="IE9" s="121" t="str">
        <f>IF(ISBLANK(tbl_task10[[คะแนนเต็ม]:[คะแนนเต็ม]]),"",(tbl_task10[69]/tbl_task10[[คะแนนเต็ม]:[คะแนนเต็ม]])*tbl_task10[[%]:[%]])</f>
        <v/>
      </c>
      <c r="IF9" s="121" t="str">
        <f>IF(ISBLANK(tbl_task10[[คะแนนเต็ม]:[คะแนนเต็ม]]),"",(tbl_task10[70]/tbl_task10[[คะแนนเต็ม]:[คะแนนเต็ม]])*tbl_task10[[%]:[%]])</f>
        <v/>
      </c>
      <c r="IG9" s="121" t="str">
        <f>IF(ISBLANK(tbl_task10[[คะแนนเต็ม]:[คะแนนเต็ม]]),"",(tbl_task10[71]/tbl_task10[[คะแนนเต็ม]:[คะแนนเต็ม]])*tbl_task10[[%]:[%]])</f>
        <v/>
      </c>
      <c r="IH9" s="121" t="str">
        <f>IF(ISBLANK(tbl_task10[[คะแนนเต็ม]:[คะแนนเต็ม]]),"",(tbl_task10[72]/tbl_task10[[คะแนนเต็ม]:[คะแนนเต็ม]])*tbl_task10[[%]:[%]])</f>
        <v/>
      </c>
      <c r="II9" s="121" t="str">
        <f>IF(ISBLANK(tbl_task10[[คะแนนเต็ม]:[คะแนนเต็ม]]),"",(tbl_task10[73]/tbl_task10[[คะแนนเต็ม]:[คะแนนเต็ม]])*tbl_task10[[%]:[%]])</f>
        <v/>
      </c>
      <c r="IJ9" s="121" t="str">
        <f>IF(ISBLANK(tbl_task10[[คะแนนเต็ม]:[คะแนนเต็ม]]),"",(tbl_task10[74]/tbl_task10[[คะแนนเต็ม]:[คะแนนเต็ม]])*tbl_task10[[%]:[%]])</f>
        <v/>
      </c>
      <c r="IK9" s="121" t="str">
        <f>IF(ISBLANK(tbl_task10[[คะแนนเต็ม]:[คะแนนเต็ม]]),"",(tbl_task10[75]/tbl_task10[[คะแนนเต็ม]:[คะแนนเต็ม]])*tbl_task10[[%]:[%]])</f>
        <v/>
      </c>
      <c r="IL9" s="121" t="str">
        <f>IF(ISBLANK(tbl_task10[[คะแนนเต็ม]:[คะแนนเต็ม]]),"",(tbl_task10[76]/tbl_task10[[คะแนนเต็ม]:[คะแนนเต็ม]])*tbl_task10[[%]:[%]])</f>
        <v/>
      </c>
      <c r="IM9" s="121" t="str">
        <f>IF(ISBLANK(tbl_task10[[คะแนนเต็ม]:[คะแนนเต็ม]]),"",(tbl_task10[77]/tbl_task10[[คะแนนเต็ม]:[คะแนนเต็ม]])*tbl_task10[[%]:[%]])</f>
        <v/>
      </c>
      <c r="IN9" s="121" t="str">
        <f>IF(ISBLANK(tbl_task10[[คะแนนเต็ม]:[คะแนนเต็ม]]),"",(tbl_task10[78]/tbl_task10[[คะแนนเต็ม]:[คะแนนเต็ม]])*tbl_task10[[%]:[%]])</f>
        <v/>
      </c>
      <c r="IO9" s="121" t="str">
        <f>IF(ISBLANK(tbl_task10[[คะแนนเต็ม]:[คะแนนเต็ม]]),"",(tbl_task10[79]/tbl_task10[[คะแนนเต็ม]:[คะแนนเต็ม]])*tbl_task10[[%]:[%]])</f>
        <v/>
      </c>
      <c r="IP9" s="121" t="str">
        <f>IF(ISBLANK(tbl_task10[[คะแนนเต็ม]:[คะแนนเต็ม]]),"",(tbl_task10[80]/tbl_task10[[คะแนนเต็ม]:[คะแนนเต็ม]])*tbl_task10[[%]:[%]])</f>
        <v/>
      </c>
      <c r="IQ9" s="121" t="str">
        <f>IF(ISBLANK(tbl_task10[[คะแนนเต็ม]:[คะแนนเต็ม]]),"",(tbl_task10[81]/tbl_task10[[คะแนนเต็ม]:[คะแนนเต็ม]])*tbl_task10[[%]:[%]])</f>
        <v/>
      </c>
      <c r="IR9" s="121" t="str">
        <f>IF(ISBLANK(tbl_task10[[คะแนนเต็ม]:[คะแนนเต็ม]]),"",(tbl_task10[82]/tbl_task10[[คะแนนเต็ม]:[คะแนนเต็ม]])*tbl_task10[[%]:[%]])</f>
        <v/>
      </c>
      <c r="IS9" s="121" t="str">
        <f>IF(ISBLANK(tbl_task10[[คะแนนเต็ม]:[คะแนนเต็ม]]),"",(tbl_task10[83]/tbl_task10[[คะแนนเต็ม]:[คะแนนเต็ม]])*tbl_task10[[%]:[%]])</f>
        <v/>
      </c>
      <c r="IT9" s="121" t="str">
        <f>IF(ISBLANK(tbl_task10[[คะแนนเต็ม]:[คะแนนเต็ม]]),"",(tbl_task10[84]/tbl_task10[[คะแนนเต็ม]:[คะแนนเต็ม]])*tbl_task10[[%]:[%]])</f>
        <v/>
      </c>
      <c r="IU9" s="121" t="str">
        <f>IF(ISBLANK(tbl_task10[[คะแนนเต็ม]:[คะแนนเต็ม]]),"",(tbl_task10[85]/tbl_task10[[คะแนนเต็ม]:[คะแนนเต็ม]])*tbl_task10[[%]:[%]])</f>
        <v/>
      </c>
      <c r="IV9" s="121" t="str">
        <f>IF(ISBLANK(tbl_task10[[คะแนนเต็ม]:[คะแนนเต็ม]]),"",(tbl_task10[86]/tbl_task10[[คะแนนเต็ม]:[คะแนนเต็ม]])*tbl_task10[[%]:[%]])</f>
        <v/>
      </c>
      <c r="IW9" s="121" t="str">
        <f>IF(ISBLANK(tbl_task10[[คะแนนเต็ม]:[คะแนนเต็ม]]),"",(tbl_task10[87]/tbl_task10[[คะแนนเต็ม]:[คะแนนเต็ม]])*tbl_task10[[%]:[%]])</f>
        <v/>
      </c>
      <c r="IX9" s="121" t="str">
        <f>IF(ISBLANK(tbl_task10[[คะแนนเต็ม]:[คะแนนเต็ม]]),"",(tbl_task10[88]/tbl_task10[[คะแนนเต็ม]:[คะแนนเต็ม]])*tbl_task10[[%]:[%]])</f>
        <v/>
      </c>
      <c r="IY9" s="121" t="str">
        <f>IF(ISBLANK(tbl_task10[[คะแนนเต็ม]:[คะแนนเต็ม]]),"",(tbl_task10[89]/tbl_task10[[คะแนนเต็ม]:[คะแนนเต็ม]])*tbl_task10[[%]:[%]])</f>
        <v/>
      </c>
      <c r="IZ9" s="121" t="str">
        <f>IF(ISBLANK(tbl_task10[[คะแนนเต็ม]:[คะแนนเต็ม]]),"",(tbl_task10[90]/tbl_task10[[คะแนนเต็ม]:[คะแนนเต็ม]])*tbl_task10[[%]:[%]])</f>
        <v/>
      </c>
      <c r="JA9" s="121" t="str">
        <f>IF(ISBLANK(tbl_task10[[คะแนนเต็ม]:[คะแนนเต็ม]]),"",(tbl_task10[91]/tbl_task10[[คะแนนเต็ม]:[คะแนนเต็ม]])*tbl_task10[[%]:[%]])</f>
        <v/>
      </c>
      <c r="JB9" s="121" t="str">
        <f>IF(ISBLANK(tbl_task10[[คะแนนเต็ม]:[คะแนนเต็ม]]),"",(tbl_task10[92]/tbl_task10[[คะแนนเต็ม]:[คะแนนเต็ม]])*tbl_task10[[%]:[%]])</f>
        <v/>
      </c>
      <c r="JC9" s="121" t="str">
        <f>IF(ISBLANK(tbl_task10[[คะแนนเต็ม]:[คะแนนเต็ม]]),"",(tbl_task10[93]/tbl_task10[[คะแนนเต็ม]:[คะแนนเต็ม]])*tbl_task10[[%]:[%]])</f>
        <v/>
      </c>
      <c r="JD9" s="121" t="str">
        <f>IF(ISBLANK(tbl_task10[[คะแนนเต็ม]:[คะแนนเต็ม]]),"",(tbl_task10[94]/tbl_task10[[คะแนนเต็ม]:[คะแนนเต็ม]])*tbl_task10[[%]:[%]])</f>
        <v/>
      </c>
      <c r="JE9" s="121" t="str">
        <f>IF(ISBLANK(tbl_task10[[คะแนนเต็ม]:[คะแนนเต็ม]]),"",(tbl_task10[95]/tbl_task10[[คะแนนเต็ม]:[คะแนนเต็ม]])*tbl_task10[[%]:[%]])</f>
        <v/>
      </c>
      <c r="JF9" s="121" t="str">
        <f>IF(ISBLANK(tbl_task10[[คะแนนเต็ม]:[คะแนนเต็ม]]),"",(tbl_task10[96]/tbl_task10[[คะแนนเต็ม]:[คะแนนเต็ม]])*tbl_task10[[%]:[%]])</f>
        <v/>
      </c>
      <c r="JG9" s="121" t="str">
        <f>IF(ISBLANK(tbl_task10[[คะแนนเต็ม]:[คะแนนเต็ม]]),"",(tbl_task10[97]/tbl_task10[[คะแนนเต็ม]:[คะแนนเต็ม]])*tbl_task10[[%]:[%]])</f>
        <v/>
      </c>
      <c r="JH9" s="121" t="str">
        <f>IF(ISBLANK(tbl_task10[[คะแนนเต็ม]:[คะแนนเต็ม]]),"",(tbl_task10[98]/tbl_task10[[คะแนนเต็ม]:[คะแนนเต็ม]])*tbl_task10[[%]:[%]])</f>
        <v/>
      </c>
      <c r="JI9" s="121" t="str">
        <f>IF(ISBLANK(tbl_task10[[คะแนนเต็ม]:[คะแนนเต็ม]]),"",(tbl_task10[99]/tbl_task10[[คะแนนเต็ม]:[คะแนนเต็ม]])*tbl_task10[[%]:[%]])</f>
        <v/>
      </c>
      <c r="JJ9" s="121" t="str">
        <f>IF(ISBLANK(tbl_task10[[คะแนนเต็ม]:[คะแนนเต็ม]]),"",(tbl_task10[100]/tbl_task10[[คะแนนเต็ม]:[คะแนนเต็ม]])*tbl_task10[[%]:[%]])</f>
        <v/>
      </c>
      <c r="JK9" s="121" t="str">
        <f>IF(ISBLANK(tbl_task10[[คะแนนเต็ม]:[คะแนนเต็ม]]),"",(tbl_task10[101]/tbl_task10[[คะแนนเต็ม]:[คะแนนเต็ม]])*tbl_task10[[%]:[%]])</f>
        <v/>
      </c>
      <c r="JL9" s="121" t="str">
        <f>IF(ISBLANK(tbl_task10[[คะแนนเต็ม]:[คะแนนเต็ม]]),"",(tbl_task10[102]/tbl_task10[[คะแนนเต็ม]:[คะแนนเต็ม]])*tbl_task10[[%]:[%]])</f>
        <v/>
      </c>
      <c r="JM9" s="121" t="str">
        <f>IF(ISBLANK(tbl_task10[[คะแนนเต็ม]:[คะแนนเต็ม]]),"",(tbl_task10[103]/tbl_task10[[คะแนนเต็ม]:[คะแนนเต็ม]])*tbl_task10[[%]:[%]])</f>
        <v/>
      </c>
      <c r="JN9" s="121" t="str">
        <f>IF(ISBLANK(tbl_task10[[คะแนนเต็ม]:[คะแนนเต็ม]]),"",(tbl_task10[104]/tbl_task10[[คะแนนเต็ม]:[คะแนนเต็ม]])*tbl_task10[[%]:[%]])</f>
        <v/>
      </c>
      <c r="JO9" s="121" t="str">
        <f>IF(ISBLANK(tbl_task10[[คะแนนเต็ม]:[คะแนนเต็ม]]),"",(tbl_task10[105]/tbl_task10[[คะแนนเต็ม]:[คะแนนเต็ม]])*tbl_task10[[%]:[%]])</f>
        <v/>
      </c>
      <c r="JP9" s="121" t="str">
        <f>IF(ISBLANK(tbl_task10[[คะแนนเต็ม]:[คะแนนเต็ม]]),"",(tbl_task10[106]/tbl_task10[[คะแนนเต็ม]:[คะแนนเต็ม]])*tbl_task10[[%]:[%]])</f>
        <v/>
      </c>
      <c r="JQ9" s="121" t="str">
        <f>IF(ISBLANK(tbl_task10[[คะแนนเต็ม]:[คะแนนเต็ม]]),"",(tbl_task10[107]/tbl_task10[[คะแนนเต็ม]:[คะแนนเต็ม]])*tbl_task10[[%]:[%]])</f>
        <v/>
      </c>
      <c r="JR9" s="121" t="str">
        <f>IF(ISBLANK(tbl_task10[[คะแนนเต็ม]:[คะแนนเต็ม]]),"",(tbl_task10[108]/tbl_task10[[คะแนนเต็ม]:[คะแนนเต็ม]])*tbl_task10[[%]:[%]])</f>
        <v/>
      </c>
      <c r="JS9" s="121" t="str">
        <f>IF(ISBLANK(tbl_task10[[คะแนนเต็ม]:[คะแนนเต็ม]]),"",(tbl_task10[109]/tbl_task10[[คะแนนเต็ม]:[คะแนนเต็ม]])*tbl_task10[[%]:[%]])</f>
        <v/>
      </c>
      <c r="JT9" s="121" t="str">
        <f>IF(ISBLANK(tbl_task10[[คะแนนเต็ม]:[คะแนนเต็ม]]),"",(tbl_task10[110]/tbl_task10[[คะแนนเต็ม]:[คะแนนเต็ม]])*tbl_task10[[%]:[%]])</f>
        <v/>
      </c>
      <c r="JU9" s="121" t="str">
        <f>IF(ISBLANK(tbl_task10[[คะแนนเต็ม]:[คะแนนเต็ม]]),"",(tbl_task10[111]/tbl_task10[[คะแนนเต็ม]:[คะแนนเต็ม]])*tbl_task10[[%]:[%]])</f>
        <v/>
      </c>
      <c r="JV9" s="121" t="str">
        <f>IF(ISBLANK(tbl_task10[[คะแนนเต็ม]:[คะแนนเต็ม]]),"",(tbl_task10[112]/tbl_task10[[คะแนนเต็ม]:[คะแนนเต็ม]])*tbl_task10[[%]:[%]])</f>
        <v/>
      </c>
      <c r="JW9" s="121" t="str">
        <f>IF(ISBLANK(tbl_task10[[คะแนนเต็ม]:[คะแนนเต็ม]]),"",(tbl_task10[113]/tbl_task10[[คะแนนเต็ม]:[คะแนนเต็ม]])*tbl_task10[[%]:[%]])</f>
        <v/>
      </c>
      <c r="JX9" s="121" t="str">
        <f>IF(ISBLANK(tbl_task10[[คะแนนเต็ม]:[คะแนนเต็ม]]),"",(tbl_task10[114]/tbl_task10[[คะแนนเต็ม]:[คะแนนเต็ม]])*tbl_task10[[%]:[%]])</f>
        <v/>
      </c>
      <c r="JY9" s="121" t="str">
        <f>IF(ISBLANK(tbl_task10[[คะแนนเต็ม]:[คะแนนเต็ม]]),"",(tbl_task10[115]/tbl_task10[[คะแนนเต็ม]:[คะแนนเต็ม]])*tbl_task10[[%]:[%]])</f>
        <v/>
      </c>
      <c r="JZ9" s="121" t="str">
        <f>IF(ISBLANK(tbl_task10[[คะแนนเต็ม]:[คะแนนเต็ม]]),"",(tbl_task10[116]/tbl_task10[[คะแนนเต็ม]:[คะแนนเต็ม]])*tbl_task10[[%]:[%]])</f>
        <v/>
      </c>
      <c r="KA9" s="121" t="str">
        <f>IF(ISBLANK(tbl_task10[[คะแนนเต็ม]:[คะแนนเต็ม]]),"",(tbl_task10[117]/tbl_task10[[คะแนนเต็ม]:[คะแนนเต็ม]])*tbl_task10[[%]:[%]])</f>
        <v/>
      </c>
      <c r="KB9" s="121" t="str">
        <f>IF(ISBLANK(tbl_task10[[คะแนนเต็ม]:[คะแนนเต็ม]]),"",(tbl_task10[118]/tbl_task10[[คะแนนเต็ม]:[คะแนนเต็ม]])*tbl_task10[[%]:[%]])</f>
        <v/>
      </c>
      <c r="KC9" s="121" t="str">
        <f>IF(ISBLANK(tbl_task10[[คะแนนเต็ม]:[คะแนนเต็ม]]),"",(tbl_task10[119]/tbl_task10[[คะแนนเต็ม]:[คะแนนเต็ม]])*tbl_task10[[%]:[%]])</f>
        <v/>
      </c>
      <c r="KD9" s="121" t="str">
        <f>IF(ISBLANK(tbl_task10[[คะแนนเต็ม]:[คะแนนเต็ม]]),"",(tbl_task10[120]/tbl_task10[[คะแนนเต็ม]:[คะแนนเต็ม]])*tbl_task10[[%]:[%]])</f>
        <v/>
      </c>
      <c r="KE9" s="121" t="str">
        <f>IF(ISBLANK(tbl_task10[[คะแนนเต็ม]:[คะแนนเต็ม]]),"",(tbl_task10[121]/tbl_task10[[คะแนนเต็ม]:[คะแนนเต็ม]])*tbl_task10[[%]:[%]])</f>
        <v/>
      </c>
      <c r="KF9" s="121" t="str">
        <f>IF(ISBLANK(tbl_task10[[คะแนนเต็ม]:[คะแนนเต็ม]]),"",(tbl_task10[122]/tbl_task10[[คะแนนเต็ม]:[คะแนนเต็ม]])*tbl_task10[[%]:[%]])</f>
        <v/>
      </c>
      <c r="KG9" s="121" t="str">
        <f>IF(ISBLANK(tbl_task10[[คะแนนเต็ม]:[คะแนนเต็ม]]),"",(tbl_task10[123]/tbl_task10[[คะแนนเต็ม]:[คะแนนเต็ม]])*tbl_task10[[%]:[%]])</f>
        <v/>
      </c>
      <c r="KH9" s="121" t="str">
        <f>IF(ISBLANK(tbl_task10[[คะแนนเต็ม]:[คะแนนเต็ม]]),"",(tbl_task10[124]/tbl_task10[[คะแนนเต็ม]:[คะแนนเต็ม]])*tbl_task10[[%]:[%]])</f>
        <v/>
      </c>
      <c r="KI9" s="121" t="str">
        <f>IF(ISBLANK(tbl_task10[[คะแนนเต็ม]:[คะแนนเต็ม]]),"",(tbl_task10[125]/tbl_task10[[คะแนนเต็ม]:[คะแนนเต็ม]])*tbl_task10[[%]:[%]])</f>
        <v/>
      </c>
      <c r="KJ9" s="121" t="str">
        <f>IF(ISBLANK(tbl_task10[[คะแนนเต็ม]:[คะแนนเต็ม]]),"",(tbl_task10[126]/tbl_task10[[คะแนนเต็ม]:[คะแนนเต็ม]])*tbl_task10[[%]:[%]])</f>
        <v/>
      </c>
      <c r="KK9" s="121" t="str">
        <f>IF(ISBLANK(tbl_task10[[คะแนนเต็ม]:[คะแนนเต็ม]]),"",(tbl_task10[127]/tbl_task10[[คะแนนเต็ม]:[คะแนนเต็ม]])*tbl_task10[[%]:[%]])</f>
        <v/>
      </c>
      <c r="KL9" s="121" t="str">
        <f>IF(ISBLANK(tbl_task10[[คะแนนเต็ม]:[คะแนนเต็ม]]),"",(tbl_task10[128]/tbl_task10[[คะแนนเต็ม]:[คะแนนเต็ม]])*tbl_task10[[%]:[%]])</f>
        <v/>
      </c>
      <c r="KM9" s="121" t="str">
        <f>IF(ISBLANK(tbl_task10[[คะแนนเต็ม]:[คะแนนเต็ม]]),"",(tbl_task10[129]/tbl_task10[[คะแนนเต็ม]:[คะแนนเต็ม]])*tbl_task10[[%]:[%]])</f>
        <v/>
      </c>
      <c r="KN9" s="121" t="str">
        <f>IF(ISBLANK(tbl_task10[[คะแนนเต็ม]:[คะแนนเต็ม]]),"",(tbl_task10[130]/tbl_task10[[คะแนนเต็ม]:[คะแนนเต็ม]])*tbl_task10[[%]:[%]])</f>
        <v/>
      </c>
      <c r="KO9" s="121" t="str">
        <f>IF(ISBLANK(tbl_task10[[คะแนนเต็ม]:[คะแนนเต็ม]]),"",(tbl_task10[131]/tbl_task10[[คะแนนเต็ม]:[คะแนนเต็ม]])*tbl_task10[[%]:[%]])</f>
        <v/>
      </c>
      <c r="KP9" s="121" t="str">
        <f>IF(ISBLANK(tbl_task10[[คะแนนเต็ม]:[คะแนนเต็ม]]),"",(tbl_task10[132]/tbl_task10[[คะแนนเต็ม]:[คะแนนเต็ม]])*tbl_task10[[%]:[%]])</f>
        <v/>
      </c>
      <c r="KQ9" s="121" t="str">
        <f>IF(ISBLANK(tbl_task10[[คะแนนเต็ม]:[คะแนนเต็ม]]),"",(tbl_task10[133]/tbl_task10[[คะแนนเต็ม]:[คะแนนเต็ม]])*tbl_task10[[%]:[%]])</f>
        <v/>
      </c>
      <c r="KR9" s="121" t="str">
        <f>IF(ISBLANK(tbl_task10[[คะแนนเต็ม]:[คะแนนเต็ม]]),"",(tbl_task10[134]/tbl_task10[[คะแนนเต็ม]:[คะแนนเต็ม]])*tbl_task10[[%]:[%]])</f>
        <v/>
      </c>
      <c r="KS9" s="121" t="str">
        <f>IF(ISBLANK(tbl_task10[[คะแนนเต็ม]:[คะแนนเต็ม]]),"",(tbl_task10[135]/tbl_task10[[คะแนนเต็ม]:[คะแนนเต็ม]])*tbl_task10[[%]:[%]])</f>
        <v/>
      </c>
      <c r="KT9" s="121" t="str">
        <f>IF(ISBLANK(tbl_task10[[คะแนนเต็ม]:[คะแนนเต็ม]]),"",(tbl_task10[136]/tbl_task10[[คะแนนเต็ม]:[คะแนนเต็ม]])*tbl_task10[[%]:[%]])</f>
        <v/>
      </c>
      <c r="KU9" s="121" t="str">
        <f>IF(ISBLANK(tbl_task10[[คะแนนเต็ม]:[คะแนนเต็ม]]),"",(tbl_task10[137]/tbl_task10[[คะแนนเต็ม]:[คะแนนเต็ม]])*tbl_task10[[%]:[%]])</f>
        <v/>
      </c>
      <c r="KV9" s="121" t="str">
        <f>IF(ISBLANK(tbl_task10[[คะแนนเต็ม]:[คะแนนเต็ม]]),"",(tbl_task10[138]/tbl_task10[[คะแนนเต็ม]:[คะแนนเต็ม]])*tbl_task10[[%]:[%]])</f>
        <v/>
      </c>
      <c r="KW9" s="121" t="str">
        <f>IF(ISBLANK(tbl_task10[[คะแนนเต็ม]:[คะแนนเต็ม]]),"",(tbl_task10[139]/tbl_task10[[คะแนนเต็ม]:[คะแนนเต็ม]])*tbl_task10[[%]:[%]])</f>
        <v/>
      </c>
      <c r="KX9" s="121" t="str">
        <f>IF(ISBLANK(tbl_task10[[คะแนนเต็ม]:[คะแนนเต็ม]]),"",(tbl_task10[140]/tbl_task10[[คะแนนเต็ม]:[คะแนนเต็ม]])*tbl_task10[[%]:[%]])</f>
        <v/>
      </c>
      <c r="KY9" s="121" t="str">
        <f>IF(ISBLANK(tbl_task10[[คะแนนเต็ม]:[คะแนนเต็ม]]),"",(tbl_task10[141]/tbl_task10[[คะแนนเต็ม]:[คะแนนเต็ม]])*tbl_task10[[%]:[%]])</f>
        <v/>
      </c>
      <c r="KZ9" s="121" t="str">
        <f>IF(ISBLANK(tbl_task10[[คะแนนเต็ม]:[คะแนนเต็ม]]),"",(tbl_task10[142]/tbl_task10[[คะแนนเต็ม]:[คะแนนเต็ม]])*tbl_task10[[%]:[%]])</f>
        <v/>
      </c>
      <c r="LA9" s="121" t="str">
        <f>IF(ISBLANK(tbl_task10[[คะแนนเต็ม]:[คะแนนเต็ม]]),"",(tbl_task10[143]/tbl_task10[[คะแนนเต็ม]:[คะแนนเต็ม]])*tbl_task10[[%]:[%]])</f>
        <v/>
      </c>
      <c r="LB9" s="121" t="str">
        <f>IF(ISBLANK(tbl_task10[[คะแนนเต็ม]:[คะแนนเต็ม]]),"",(tbl_task10[144]/tbl_task10[[คะแนนเต็ม]:[คะแนนเต็ม]])*tbl_task10[[%]:[%]])</f>
        <v/>
      </c>
      <c r="LC9" s="121" t="str">
        <f>IF(ISBLANK(tbl_task10[[คะแนนเต็ม]:[คะแนนเต็ม]]),"",(tbl_task10[145]/tbl_task10[[คะแนนเต็ม]:[คะแนนเต็ม]])*tbl_task10[[%]:[%]])</f>
        <v/>
      </c>
      <c r="LD9" s="121" t="str">
        <f>IF(ISBLANK(tbl_task10[[คะแนนเต็ม]:[คะแนนเต็ม]]),"",(tbl_task10[146]/tbl_task10[[คะแนนเต็ม]:[คะแนนเต็ม]])*tbl_task10[[%]:[%]])</f>
        <v/>
      </c>
      <c r="LE9" s="121" t="str">
        <f>IF(ISBLANK(tbl_task10[[คะแนนเต็ม]:[คะแนนเต็ม]]),"",(tbl_task10[147]/tbl_task10[[คะแนนเต็ม]:[คะแนนเต็ม]])*tbl_task10[[%]:[%]])</f>
        <v/>
      </c>
      <c r="LF9" s="121" t="str">
        <f>IF(ISBLANK(tbl_task10[[คะแนนเต็ม]:[คะแนนเต็ม]]),"",(tbl_task10[148]/tbl_task10[[คะแนนเต็ม]:[คะแนนเต็ม]])*tbl_task10[[%]:[%]])</f>
        <v/>
      </c>
      <c r="LG9" s="121" t="str">
        <f>IF(ISBLANK(tbl_task10[[คะแนนเต็ม]:[คะแนนเต็ม]]),"",(tbl_task10[149]/tbl_task10[[คะแนนเต็ม]:[คะแนนเต็ม]])*tbl_task10[[%]:[%]])</f>
        <v/>
      </c>
      <c r="LH9" s="121" t="str">
        <f>IF(ISBLANK(tbl_task10[[คะแนนเต็ม]:[คะแนนเต็ม]]),"",(tbl_task10[150]/tbl_task10[[คะแนนเต็ม]:[คะแนนเต็ม]])*tbl_task10[[%]:[%]])</f>
        <v/>
      </c>
      <c r="LI9" s="121" t="str">
        <f>IF(ISBLANK(tbl_task10[[คะแนนเต็ม]:[คะแนนเต็ม]]),"",(tbl_task10[151]/tbl_task10[[คะแนนเต็ม]:[คะแนนเต็ม]])*tbl_task10[[%]:[%]])</f>
        <v/>
      </c>
      <c r="LJ9" s="121" t="str">
        <f>IF(ISBLANK(tbl_task10[[คะแนนเต็ม]:[คะแนนเต็ม]]),"",(tbl_task10[152]/tbl_task10[[คะแนนเต็ม]:[คะแนนเต็ม]])*tbl_task10[[%]:[%]])</f>
        <v/>
      </c>
      <c r="LK9" s="121" t="str">
        <f>IF(ISBLANK(tbl_task10[[คะแนนเต็ม]:[คะแนนเต็ม]]),"",(tbl_task10[153]/tbl_task10[[คะแนนเต็ม]:[คะแนนเต็ม]])*tbl_task10[[%]:[%]])</f>
        <v/>
      </c>
      <c r="LL9" s="121" t="str">
        <f>IF(ISBLANK(tbl_task10[[คะแนนเต็ม]:[คะแนนเต็ม]]),"",(tbl_task10[154]/tbl_task10[[คะแนนเต็ม]:[คะแนนเต็ม]])*tbl_task10[[%]:[%]])</f>
        <v/>
      </c>
      <c r="LM9" s="121" t="str">
        <f>IF(ISBLANK(tbl_task10[[คะแนนเต็ม]:[คะแนนเต็ม]]),"",(tbl_task10[155]/tbl_task10[[คะแนนเต็ม]:[คะแนนเต็ม]])*tbl_task10[[%]:[%]])</f>
        <v/>
      </c>
      <c r="LN9" s="121" t="str">
        <f>IF(ISBLANK(tbl_task10[[คะแนนเต็ม]:[คะแนนเต็ม]]),"",(tbl_task10[156]/tbl_task10[[คะแนนเต็ม]:[คะแนนเต็ม]])*tbl_task10[[%]:[%]])</f>
        <v/>
      </c>
      <c r="LO9" s="121" t="str">
        <f>IF(ISBLANK(tbl_task10[[คะแนนเต็ม]:[คะแนนเต็ม]]),"",(tbl_task10[157]/tbl_task10[[คะแนนเต็ม]:[คะแนนเต็ม]])*tbl_task10[[%]:[%]])</f>
        <v/>
      </c>
      <c r="LP9" s="121" t="str">
        <f>IF(ISBLANK(tbl_task10[[คะแนนเต็ม]:[คะแนนเต็ม]]),"",(tbl_task10[158]/tbl_task10[[คะแนนเต็ม]:[คะแนนเต็ม]])*tbl_task10[[%]:[%]])</f>
        <v/>
      </c>
      <c r="LQ9" s="121" t="str">
        <f>IF(ISBLANK(tbl_task10[[คะแนนเต็ม]:[คะแนนเต็ม]]),"",(tbl_task10[159]/tbl_task10[[คะแนนเต็ม]:[คะแนนเต็ม]])*tbl_task10[[%]:[%]])</f>
        <v/>
      </c>
      <c r="LR9" s="121" t="str">
        <f>IF(ISBLANK(tbl_task10[[คะแนนเต็ม]:[คะแนนเต็ม]]),"",(tbl_task10[160]/tbl_task10[[คะแนนเต็ม]:[คะแนนเต็ม]])*tbl_task10[[%]:[%]])</f>
        <v/>
      </c>
      <c r="LS9" s="121" t="str">
        <f>IF(ISBLANK(tbl_task10[[คะแนนเต็ม]:[คะแนนเต็ม]]),"",(tbl_task10[161]/tbl_task10[[คะแนนเต็ม]:[คะแนนเต็ม]])*tbl_task10[[%]:[%]])</f>
        <v/>
      </c>
      <c r="LT9" s="121" t="str">
        <f>IF(ISBLANK(tbl_task10[[คะแนนเต็ม]:[คะแนนเต็ม]]),"",(tbl_task10[162]/tbl_task10[[คะแนนเต็ม]:[คะแนนเต็ม]])*tbl_task10[[%]:[%]])</f>
        <v/>
      </c>
      <c r="LU9" s="121" t="str">
        <f>IF(ISBLANK(tbl_task10[[คะแนนเต็ม]:[คะแนนเต็ม]]),"",(tbl_task10[163]/tbl_task10[[คะแนนเต็ม]:[คะแนนเต็ม]])*tbl_task10[[%]:[%]])</f>
        <v/>
      </c>
      <c r="LV9" s="121" t="str">
        <f>IF(ISBLANK(tbl_task10[[คะแนนเต็ม]:[คะแนนเต็ม]]),"",(tbl_task10[164]/tbl_task10[[คะแนนเต็ม]:[คะแนนเต็ม]])*tbl_task10[[%]:[%]])</f>
        <v/>
      </c>
      <c r="LW9" s="121" t="str">
        <f>IF(ISBLANK(tbl_task10[[คะแนนเต็ม]:[คะแนนเต็ม]]),"",(tbl_task10[165]/tbl_task10[[คะแนนเต็ม]:[คะแนนเต็ม]])*tbl_task10[[%]:[%]])</f>
        <v/>
      </c>
    </row>
    <row r="10" spans="1:335" ht="24" customHeight="1" x14ac:dyDescent="0.25">
      <c r="A10" s="24">
        <v>7</v>
      </c>
      <c r="B10" s="20"/>
      <c r="C10" s="5" t="str">
        <f>IF(ISBLANK(B10),"",VLOOKUP(B10,tbl_PLOs[],2,0))</f>
        <v/>
      </c>
      <c r="D10" s="102"/>
      <c r="E10" s="106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22"/>
      <c r="FO10" s="121" t="str">
        <f>IF(ISBLANK(tbl_task10[[คะแนนเต็ม]:[คะแนนเต็ม]]),"",(tbl_task10[1]/tbl_task10[[คะแนนเต็ม]:[คะแนนเต็ม]])*tbl_task10[[%]:[%]])</f>
        <v/>
      </c>
      <c r="FP10" s="121" t="str">
        <f>IF(ISBLANK(tbl_task10[[คะแนนเต็ม]:[คะแนนเต็ม]]),"",(tbl_task10[2]/tbl_task10[[คะแนนเต็ม]:[คะแนนเต็ม]])*tbl_task10[[%]:[%]])</f>
        <v/>
      </c>
      <c r="FQ10" s="121" t="str">
        <f>IF(ISBLANK(tbl_task10[[คะแนนเต็ม]:[คะแนนเต็ม]]),"",(tbl_task10[3]/tbl_task10[[คะแนนเต็ม]:[คะแนนเต็ม]])*tbl_task10[[%]:[%]])</f>
        <v/>
      </c>
      <c r="FR10" s="121" t="str">
        <f>IF(ISBLANK(tbl_task10[[คะแนนเต็ม]:[คะแนนเต็ม]]),"",(tbl_task10[4]/tbl_task10[[คะแนนเต็ม]:[คะแนนเต็ม]])*tbl_task10[[%]:[%]])</f>
        <v/>
      </c>
      <c r="FS10" s="121" t="str">
        <f>IF(ISBLANK(tbl_task10[[คะแนนเต็ม]:[คะแนนเต็ม]]),"",(tbl_task10[5]/tbl_task10[[คะแนนเต็ม]:[คะแนนเต็ม]])*tbl_task10[[%]:[%]])</f>
        <v/>
      </c>
      <c r="FT10" s="121" t="str">
        <f>IF(ISBLANK(tbl_task10[[คะแนนเต็ม]:[คะแนนเต็ม]]),"",(tbl_task10[6]/tbl_task10[[คะแนนเต็ม]:[คะแนนเต็ม]])*tbl_task10[[%]:[%]])</f>
        <v/>
      </c>
      <c r="FU10" s="121" t="str">
        <f>IF(ISBLANK(tbl_task10[[คะแนนเต็ม]:[คะแนนเต็ม]]),"",(tbl_task10[7]/tbl_task10[[คะแนนเต็ม]:[คะแนนเต็ม]])*tbl_task10[[%]:[%]])</f>
        <v/>
      </c>
      <c r="FV10" s="121" t="str">
        <f>IF(ISBLANK(tbl_task10[[คะแนนเต็ม]:[คะแนนเต็ม]]),"",(tbl_task10[8]/tbl_task10[[คะแนนเต็ม]:[คะแนนเต็ม]])*tbl_task10[[%]:[%]])</f>
        <v/>
      </c>
      <c r="FW10" s="121" t="str">
        <f>IF(ISBLANK(tbl_task10[[คะแนนเต็ม]:[คะแนนเต็ม]]),"",(tbl_task10[9]/tbl_task10[[คะแนนเต็ม]:[คะแนนเต็ม]])*tbl_task10[[%]:[%]])</f>
        <v/>
      </c>
      <c r="FX10" s="121" t="str">
        <f>IF(ISBLANK(tbl_task10[[คะแนนเต็ม]:[คะแนนเต็ม]]),"",(tbl_task10[10]/tbl_task10[[คะแนนเต็ม]:[คะแนนเต็ม]])*tbl_task10[[%]:[%]])</f>
        <v/>
      </c>
      <c r="FY10" s="121" t="str">
        <f>IF(ISBLANK(tbl_task10[[คะแนนเต็ม]:[คะแนนเต็ม]]),"",(tbl_task10[11]/tbl_task10[[คะแนนเต็ม]:[คะแนนเต็ม]])*tbl_task10[[%]:[%]])</f>
        <v/>
      </c>
      <c r="FZ10" s="121" t="str">
        <f>IF(ISBLANK(tbl_task10[[คะแนนเต็ม]:[คะแนนเต็ม]]),"",(tbl_task10[12]/tbl_task10[[คะแนนเต็ม]:[คะแนนเต็ม]])*tbl_task10[[%]:[%]])</f>
        <v/>
      </c>
      <c r="GA10" s="121" t="str">
        <f>IF(ISBLANK(tbl_task10[[คะแนนเต็ม]:[คะแนนเต็ม]]),"",(tbl_task10[13]/tbl_task10[[คะแนนเต็ม]:[คะแนนเต็ม]])*tbl_task10[[%]:[%]])</f>
        <v/>
      </c>
      <c r="GB10" s="121" t="str">
        <f>IF(ISBLANK(tbl_task10[[คะแนนเต็ม]:[คะแนนเต็ม]]),"",(tbl_task10[14]/tbl_task10[[คะแนนเต็ม]:[คะแนนเต็ม]])*tbl_task10[[%]:[%]])</f>
        <v/>
      </c>
      <c r="GC10" s="121" t="str">
        <f>IF(ISBLANK(tbl_task10[[คะแนนเต็ม]:[คะแนนเต็ม]]),"",(tbl_task10[15]/tbl_task10[[คะแนนเต็ม]:[คะแนนเต็ม]])*tbl_task10[[%]:[%]])</f>
        <v/>
      </c>
      <c r="GD10" s="121" t="str">
        <f>IF(ISBLANK(tbl_task10[[คะแนนเต็ม]:[คะแนนเต็ม]]),"",(tbl_task10[16]/tbl_task10[[คะแนนเต็ม]:[คะแนนเต็ม]])*tbl_task10[[%]:[%]])</f>
        <v/>
      </c>
      <c r="GE10" s="121" t="str">
        <f>IF(ISBLANK(tbl_task10[[คะแนนเต็ม]:[คะแนนเต็ม]]),"",(tbl_task10[17]/tbl_task10[[คะแนนเต็ม]:[คะแนนเต็ม]])*tbl_task10[[%]:[%]])</f>
        <v/>
      </c>
      <c r="GF10" s="121" t="str">
        <f>IF(ISBLANK(tbl_task10[[คะแนนเต็ม]:[คะแนนเต็ม]]),"",(tbl_task10[18]/tbl_task10[[คะแนนเต็ม]:[คะแนนเต็ม]])*tbl_task10[[%]:[%]])</f>
        <v/>
      </c>
      <c r="GG10" s="121" t="str">
        <f>IF(ISBLANK(tbl_task10[[คะแนนเต็ม]:[คะแนนเต็ม]]),"",(tbl_task10[19]/tbl_task10[[คะแนนเต็ม]:[คะแนนเต็ม]])*tbl_task10[[%]:[%]])</f>
        <v/>
      </c>
      <c r="GH10" s="121" t="str">
        <f>IF(ISBLANK(tbl_task10[[คะแนนเต็ม]:[คะแนนเต็ม]]),"",(tbl_task10[20]/tbl_task10[[คะแนนเต็ม]:[คะแนนเต็ม]])*tbl_task10[[%]:[%]])</f>
        <v/>
      </c>
      <c r="GI10" s="121" t="str">
        <f>IF(ISBLANK(tbl_task10[[คะแนนเต็ม]:[คะแนนเต็ม]]),"",(tbl_task10[21]/tbl_task10[[คะแนนเต็ม]:[คะแนนเต็ม]])*tbl_task10[[%]:[%]])</f>
        <v/>
      </c>
      <c r="GJ10" s="121" t="str">
        <f>IF(ISBLANK(tbl_task10[[คะแนนเต็ม]:[คะแนนเต็ม]]),"",(tbl_task10[22]/tbl_task10[[คะแนนเต็ม]:[คะแนนเต็ม]])*tbl_task10[[%]:[%]])</f>
        <v/>
      </c>
      <c r="GK10" s="121" t="str">
        <f>IF(ISBLANK(tbl_task10[[คะแนนเต็ม]:[คะแนนเต็ม]]),"",(tbl_task10[23]/tbl_task10[[คะแนนเต็ม]:[คะแนนเต็ม]])*tbl_task10[[%]:[%]])</f>
        <v/>
      </c>
      <c r="GL10" s="121" t="str">
        <f>IF(ISBLANK(tbl_task10[[คะแนนเต็ม]:[คะแนนเต็ม]]),"",(tbl_task10[24]/tbl_task10[[คะแนนเต็ม]:[คะแนนเต็ม]])*tbl_task10[[%]:[%]])</f>
        <v/>
      </c>
      <c r="GM10" s="121" t="str">
        <f>IF(ISBLANK(tbl_task10[[คะแนนเต็ม]:[คะแนนเต็ม]]),"",(tbl_task10[25]/tbl_task10[[คะแนนเต็ม]:[คะแนนเต็ม]])*tbl_task10[[%]:[%]])</f>
        <v/>
      </c>
      <c r="GN10" s="121" t="str">
        <f>IF(ISBLANK(tbl_task10[[คะแนนเต็ม]:[คะแนนเต็ม]]),"",(tbl_task10[26]/tbl_task10[[คะแนนเต็ม]:[คะแนนเต็ม]])*tbl_task10[[%]:[%]])</f>
        <v/>
      </c>
      <c r="GO10" s="121" t="str">
        <f>IF(ISBLANK(tbl_task10[[คะแนนเต็ม]:[คะแนนเต็ม]]),"",(tbl_task10[27]/tbl_task10[[คะแนนเต็ม]:[คะแนนเต็ม]])*tbl_task10[[%]:[%]])</f>
        <v/>
      </c>
      <c r="GP10" s="121" t="str">
        <f>IF(ISBLANK(tbl_task10[[คะแนนเต็ม]:[คะแนนเต็ม]]),"",(tbl_task10[28]/tbl_task10[[คะแนนเต็ม]:[คะแนนเต็ม]])*tbl_task10[[%]:[%]])</f>
        <v/>
      </c>
      <c r="GQ10" s="121" t="str">
        <f>IF(ISBLANK(tbl_task10[[คะแนนเต็ม]:[คะแนนเต็ม]]),"",(tbl_task10[29]/tbl_task10[[คะแนนเต็ม]:[คะแนนเต็ม]])*tbl_task10[[%]:[%]])</f>
        <v/>
      </c>
      <c r="GR10" s="121" t="str">
        <f>IF(ISBLANK(tbl_task10[[คะแนนเต็ม]:[คะแนนเต็ม]]),"",(tbl_task10[30]/tbl_task10[[คะแนนเต็ม]:[คะแนนเต็ม]])*tbl_task10[[%]:[%]])</f>
        <v/>
      </c>
      <c r="GS10" s="121" t="str">
        <f>IF(ISBLANK(tbl_task10[[คะแนนเต็ม]:[คะแนนเต็ม]]),"",(tbl_task10[31]/tbl_task10[[คะแนนเต็ม]:[คะแนนเต็ม]])*tbl_task10[[%]:[%]])</f>
        <v/>
      </c>
      <c r="GT10" s="121" t="str">
        <f>IF(ISBLANK(tbl_task10[[คะแนนเต็ม]:[คะแนนเต็ม]]),"",(tbl_task10[32]/tbl_task10[[คะแนนเต็ม]:[คะแนนเต็ม]])*tbl_task10[[%]:[%]])</f>
        <v/>
      </c>
      <c r="GU10" s="121" t="str">
        <f>IF(ISBLANK(tbl_task10[[คะแนนเต็ม]:[คะแนนเต็ม]]),"",(tbl_task10[33]/tbl_task10[[คะแนนเต็ม]:[คะแนนเต็ม]])*tbl_task10[[%]:[%]])</f>
        <v/>
      </c>
      <c r="GV10" s="121" t="str">
        <f>IF(ISBLANK(tbl_task10[[คะแนนเต็ม]:[คะแนนเต็ม]]),"",(tbl_task10[34]/tbl_task10[[คะแนนเต็ม]:[คะแนนเต็ม]])*tbl_task10[[%]:[%]])</f>
        <v/>
      </c>
      <c r="GW10" s="121" t="str">
        <f>IF(ISBLANK(tbl_task10[[คะแนนเต็ม]:[คะแนนเต็ม]]),"",(tbl_task10[35]/tbl_task10[[คะแนนเต็ม]:[คะแนนเต็ม]])*tbl_task10[[%]:[%]])</f>
        <v/>
      </c>
      <c r="GX10" s="121" t="str">
        <f>IF(ISBLANK(tbl_task10[[คะแนนเต็ม]:[คะแนนเต็ม]]),"",(tbl_task10[36]/tbl_task10[[คะแนนเต็ม]:[คะแนนเต็ม]])*tbl_task10[[%]:[%]])</f>
        <v/>
      </c>
      <c r="GY10" s="121" t="str">
        <f>IF(ISBLANK(tbl_task10[[คะแนนเต็ม]:[คะแนนเต็ม]]),"",(tbl_task10[37]/tbl_task10[[คะแนนเต็ม]:[คะแนนเต็ม]])*tbl_task10[[%]:[%]])</f>
        <v/>
      </c>
      <c r="GZ10" s="121" t="str">
        <f>IF(ISBLANK(tbl_task10[[คะแนนเต็ม]:[คะแนนเต็ม]]),"",(tbl_task10[38]/tbl_task10[[คะแนนเต็ม]:[คะแนนเต็ม]])*tbl_task10[[%]:[%]])</f>
        <v/>
      </c>
      <c r="HA10" s="121" t="str">
        <f>IF(ISBLANK(tbl_task10[[คะแนนเต็ม]:[คะแนนเต็ม]]),"",(tbl_task10[39]/tbl_task10[[คะแนนเต็ม]:[คะแนนเต็ม]])*tbl_task10[[%]:[%]])</f>
        <v/>
      </c>
      <c r="HB10" s="121" t="str">
        <f>IF(ISBLANK(tbl_task10[[คะแนนเต็ม]:[คะแนนเต็ม]]),"",(tbl_task10[40]/tbl_task10[[คะแนนเต็ม]:[คะแนนเต็ม]])*tbl_task10[[%]:[%]])</f>
        <v/>
      </c>
      <c r="HC10" s="121" t="str">
        <f>IF(ISBLANK(tbl_task10[[คะแนนเต็ม]:[คะแนนเต็ม]]),"",(tbl_task10[41]/tbl_task10[[คะแนนเต็ม]:[คะแนนเต็ม]])*tbl_task10[[%]:[%]])</f>
        <v/>
      </c>
      <c r="HD10" s="121" t="str">
        <f>IF(ISBLANK(tbl_task10[[คะแนนเต็ม]:[คะแนนเต็ม]]),"",(tbl_task10[42]/tbl_task10[[คะแนนเต็ม]:[คะแนนเต็ม]])*tbl_task10[[%]:[%]])</f>
        <v/>
      </c>
      <c r="HE10" s="121" t="str">
        <f>IF(ISBLANK(tbl_task10[[คะแนนเต็ม]:[คะแนนเต็ม]]),"",(tbl_task10[43]/tbl_task10[[คะแนนเต็ม]:[คะแนนเต็ม]])*tbl_task10[[%]:[%]])</f>
        <v/>
      </c>
      <c r="HF10" s="121" t="str">
        <f>IF(ISBLANK(tbl_task10[[คะแนนเต็ม]:[คะแนนเต็ม]]),"",(tbl_task10[44]/tbl_task10[[คะแนนเต็ม]:[คะแนนเต็ม]])*tbl_task10[[%]:[%]])</f>
        <v/>
      </c>
      <c r="HG10" s="121" t="str">
        <f>IF(ISBLANK(tbl_task10[[คะแนนเต็ม]:[คะแนนเต็ม]]),"",(tbl_task10[45]/tbl_task10[[คะแนนเต็ม]:[คะแนนเต็ม]])*tbl_task10[[%]:[%]])</f>
        <v/>
      </c>
      <c r="HH10" s="121" t="str">
        <f>IF(ISBLANK(tbl_task10[[คะแนนเต็ม]:[คะแนนเต็ม]]),"",(tbl_task10[46]/tbl_task10[[คะแนนเต็ม]:[คะแนนเต็ม]])*tbl_task10[[%]:[%]])</f>
        <v/>
      </c>
      <c r="HI10" s="121" t="str">
        <f>IF(ISBLANK(tbl_task10[[คะแนนเต็ม]:[คะแนนเต็ม]]),"",(tbl_task10[47]/tbl_task10[[คะแนนเต็ม]:[คะแนนเต็ม]])*tbl_task10[[%]:[%]])</f>
        <v/>
      </c>
      <c r="HJ10" s="121" t="str">
        <f>IF(ISBLANK(tbl_task10[[คะแนนเต็ม]:[คะแนนเต็ม]]),"",(tbl_task10[48]/tbl_task10[[คะแนนเต็ม]:[คะแนนเต็ม]])*tbl_task10[[%]:[%]])</f>
        <v/>
      </c>
      <c r="HK10" s="121" t="str">
        <f>IF(ISBLANK(tbl_task10[[คะแนนเต็ม]:[คะแนนเต็ม]]),"",(tbl_task10[49]/tbl_task10[[คะแนนเต็ม]:[คะแนนเต็ม]])*tbl_task10[[%]:[%]])</f>
        <v/>
      </c>
      <c r="HL10" s="121" t="str">
        <f>IF(ISBLANK(tbl_task10[[คะแนนเต็ม]:[คะแนนเต็ม]]),"",(tbl_task10[50]/tbl_task10[[คะแนนเต็ม]:[คะแนนเต็ม]])*tbl_task10[[%]:[%]])</f>
        <v/>
      </c>
      <c r="HM10" s="121" t="str">
        <f>IF(ISBLANK(tbl_task10[[คะแนนเต็ม]:[คะแนนเต็ม]]),"",(tbl_task10[51]/tbl_task10[[คะแนนเต็ม]:[คะแนนเต็ม]])*tbl_task10[[%]:[%]])</f>
        <v/>
      </c>
      <c r="HN10" s="121" t="str">
        <f>IF(ISBLANK(tbl_task10[[คะแนนเต็ม]:[คะแนนเต็ม]]),"",(tbl_task10[52]/tbl_task10[[คะแนนเต็ม]:[คะแนนเต็ม]])*tbl_task10[[%]:[%]])</f>
        <v/>
      </c>
      <c r="HO10" s="121" t="str">
        <f>IF(ISBLANK(tbl_task10[[คะแนนเต็ม]:[คะแนนเต็ม]]),"",(tbl_task10[53]/tbl_task10[[คะแนนเต็ม]:[คะแนนเต็ม]])*tbl_task10[[%]:[%]])</f>
        <v/>
      </c>
      <c r="HP10" s="121" t="str">
        <f>IF(ISBLANK(tbl_task10[[คะแนนเต็ม]:[คะแนนเต็ม]]),"",(tbl_task10[54]/tbl_task10[[คะแนนเต็ม]:[คะแนนเต็ม]])*tbl_task10[[%]:[%]])</f>
        <v/>
      </c>
      <c r="HQ10" s="121" t="str">
        <f>IF(ISBLANK(tbl_task10[[คะแนนเต็ม]:[คะแนนเต็ม]]),"",(tbl_task10[55]/tbl_task10[[คะแนนเต็ม]:[คะแนนเต็ม]])*tbl_task10[[%]:[%]])</f>
        <v/>
      </c>
      <c r="HR10" s="121" t="str">
        <f>IF(ISBLANK(tbl_task10[[คะแนนเต็ม]:[คะแนนเต็ม]]),"",(tbl_task10[56]/tbl_task10[[คะแนนเต็ม]:[คะแนนเต็ม]])*tbl_task10[[%]:[%]])</f>
        <v/>
      </c>
      <c r="HS10" s="121" t="str">
        <f>IF(ISBLANK(tbl_task10[[คะแนนเต็ม]:[คะแนนเต็ม]]),"",(tbl_task10[57]/tbl_task10[[คะแนนเต็ม]:[คะแนนเต็ม]])*tbl_task10[[%]:[%]])</f>
        <v/>
      </c>
      <c r="HT10" s="121" t="str">
        <f>IF(ISBLANK(tbl_task10[[คะแนนเต็ม]:[คะแนนเต็ม]]),"",(tbl_task10[58]/tbl_task10[[คะแนนเต็ม]:[คะแนนเต็ม]])*tbl_task10[[%]:[%]])</f>
        <v/>
      </c>
      <c r="HU10" s="121" t="str">
        <f>IF(ISBLANK(tbl_task10[[คะแนนเต็ม]:[คะแนนเต็ม]]),"",(tbl_task10[59]/tbl_task10[[คะแนนเต็ม]:[คะแนนเต็ม]])*tbl_task10[[%]:[%]])</f>
        <v/>
      </c>
      <c r="HV10" s="121" t="str">
        <f>IF(ISBLANK(tbl_task10[[คะแนนเต็ม]:[คะแนนเต็ม]]),"",(tbl_task10[60]/tbl_task10[[คะแนนเต็ม]:[คะแนนเต็ม]])*tbl_task10[[%]:[%]])</f>
        <v/>
      </c>
      <c r="HW10" s="121" t="str">
        <f>IF(ISBLANK(tbl_task10[[คะแนนเต็ม]:[คะแนนเต็ม]]),"",(tbl_task10[61]/tbl_task10[[คะแนนเต็ม]:[คะแนนเต็ม]])*tbl_task10[[%]:[%]])</f>
        <v/>
      </c>
      <c r="HX10" s="121" t="str">
        <f>IF(ISBLANK(tbl_task10[[คะแนนเต็ม]:[คะแนนเต็ม]]),"",(tbl_task10[62]/tbl_task10[[คะแนนเต็ม]:[คะแนนเต็ม]])*tbl_task10[[%]:[%]])</f>
        <v/>
      </c>
      <c r="HY10" s="121" t="str">
        <f>IF(ISBLANK(tbl_task10[[คะแนนเต็ม]:[คะแนนเต็ม]]),"",(tbl_task10[63]/tbl_task10[[คะแนนเต็ม]:[คะแนนเต็ม]])*tbl_task10[[%]:[%]])</f>
        <v/>
      </c>
      <c r="HZ10" s="121" t="str">
        <f>IF(ISBLANK(tbl_task10[[คะแนนเต็ม]:[คะแนนเต็ม]]),"",(tbl_task10[64]/tbl_task10[[คะแนนเต็ม]:[คะแนนเต็ม]])*tbl_task10[[%]:[%]])</f>
        <v/>
      </c>
      <c r="IA10" s="121" t="str">
        <f>IF(ISBLANK(tbl_task10[[คะแนนเต็ม]:[คะแนนเต็ม]]),"",(tbl_task10[65]/tbl_task10[[คะแนนเต็ม]:[คะแนนเต็ม]])*tbl_task10[[%]:[%]])</f>
        <v/>
      </c>
      <c r="IB10" s="121" t="str">
        <f>IF(ISBLANK(tbl_task10[[คะแนนเต็ม]:[คะแนนเต็ม]]),"",(tbl_task10[66]/tbl_task10[[คะแนนเต็ม]:[คะแนนเต็ม]])*tbl_task10[[%]:[%]])</f>
        <v/>
      </c>
      <c r="IC10" s="121" t="str">
        <f>IF(ISBLANK(tbl_task10[[คะแนนเต็ม]:[คะแนนเต็ม]]),"",(tbl_task10[67]/tbl_task10[[คะแนนเต็ม]:[คะแนนเต็ม]])*tbl_task10[[%]:[%]])</f>
        <v/>
      </c>
      <c r="ID10" s="121" t="str">
        <f>IF(ISBLANK(tbl_task10[[คะแนนเต็ม]:[คะแนนเต็ม]]),"",(tbl_task10[68]/tbl_task10[[คะแนนเต็ม]:[คะแนนเต็ม]])*tbl_task10[[%]:[%]])</f>
        <v/>
      </c>
      <c r="IE10" s="121" t="str">
        <f>IF(ISBLANK(tbl_task10[[คะแนนเต็ม]:[คะแนนเต็ม]]),"",(tbl_task10[69]/tbl_task10[[คะแนนเต็ม]:[คะแนนเต็ม]])*tbl_task10[[%]:[%]])</f>
        <v/>
      </c>
      <c r="IF10" s="121" t="str">
        <f>IF(ISBLANK(tbl_task10[[คะแนนเต็ม]:[คะแนนเต็ม]]),"",(tbl_task10[70]/tbl_task10[[คะแนนเต็ม]:[คะแนนเต็ม]])*tbl_task10[[%]:[%]])</f>
        <v/>
      </c>
      <c r="IG10" s="121" t="str">
        <f>IF(ISBLANK(tbl_task10[[คะแนนเต็ม]:[คะแนนเต็ม]]),"",(tbl_task10[71]/tbl_task10[[คะแนนเต็ม]:[คะแนนเต็ม]])*tbl_task10[[%]:[%]])</f>
        <v/>
      </c>
      <c r="IH10" s="121" t="str">
        <f>IF(ISBLANK(tbl_task10[[คะแนนเต็ม]:[คะแนนเต็ม]]),"",(tbl_task10[72]/tbl_task10[[คะแนนเต็ม]:[คะแนนเต็ม]])*tbl_task10[[%]:[%]])</f>
        <v/>
      </c>
      <c r="II10" s="121" t="str">
        <f>IF(ISBLANK(tbl_task10[[คะแนนเต็ม]:[คะแนนเต็ม]]),"",(tbl_task10[73]/tbl_task10[[คะแนนเต็ม]:[คะแนนเต็ม]])*tbl_task10[[%]:[%]])</f>
        <v/>
      </c>
      <c r="IJ10" s="121" t="str">
        <f>IF(ISBLANK(tbl_task10[[คะแนนเต็ม]:[คะแนนเต็ม]]),"",(tbl_task10[74]/tbl_task10[[คะแนนเต็ม]:[คะแนนเต็ม]])*tbl_task10[[%]:[%]])</f>
        <v/>
      </c>
      <c r="IK10" s="121" t="str">
        <f>IF(ISBLANK(tbl_task10[[คะแนนเต็ม]:[คะแนนเต็ม]]),"",(tbl_task10[75]/tbl_task10[[คะแนนเต็ม]:[คะแนนเต็ม]])*tbl_task10[[%]:[%]])</f>
        <v/>
      </c>
      <c r="IL10" s="121" t="str">
        <f>IF(ISBLANK(tbl_task10[[คะแนนเต็ม]:[คะแนนเต็ม]]),"",(tbl_task10[76]/tbl_task10[[คะแนนเต็ม]:[คะแนนเต็ม]])*tbl_task10[[%]:[%]])</f>
        <v/>
      </c>
      <c r="IM10" s="121" t="str">
        <f>IF(ISBLANK(tbl_task10[[คะแนนเต็ม]:[คะแนนเต็ม]]),"",(tbl_task10[77]/tbl_task10[[คะแนนเต็ม]:[คะแนนเต็ม]])*tbl_task10[[%]:[%]])</f>
        <v/>
      </c>
      <c r="IN10" s="121" t="str">
        <f>IF(ISBLANK(tbl_task10[[คะแนนเต็ม]:[คะแนนเต็ม]]),"",(tbl_task10[78]/tbl_task10[[คะแนนเต็ม]:[คะแนนเต็ม]])*tbl_task10[[%]:[%]])</f>
        <v/>
      </c>
      <c r="IO10" s="121" t="str">
        <f>IF(ISBLANK(tbl_task10[[คะแนนเต็ม]:[คะแนนเต็ม]]),"",(tbl_task10[79]/tbl_task10[[คะแนนเต็ม]:[คะแนนเต็ม]])*tbl_task10[[%]:[%]])</f>
        <v/>
      </c>
      <c r="IP10" s="121" t="str">
        <f>IF(ISBLANK(tbl_task10[[คะแนนเต็ม]:[คะแนนเต็ม]]),"",(tbl_task10[80]/tbl_task10[[คะแนนเต็ม]:[คะแนนเต็ม]])*tbl_task10[[%]:[%]])</f>
        <v/>
      </c>
      <c r="IQ10" s="121" t="str">
        <f>IF(ISBLANK(tbl_task10[[คะแนนเต็ม]:[คะแนนเต็ม]]),"",(tbl_task10[81]/tbl_task10[[คะแนนเต็ม]:[คะแนนเต็ม]])*tbl_task10[[%]:[%]])</f>
        <v/>
      </c>
      <c r="IR10" s="121" t="str">
        <f>IF(ISBLANK(tbl_task10[[คะแนนเต็ม]:[คะแนนเต็ม]]),"",(tbl_task10[82]/tbl_task10[[คะแนนเต็ม]:[คะแนนเต็ม]])*tbl_task10[[%]:[%]])</f>
        <v/>
      </c>
      <c r="IS10" s="121" t="str">
        <f>IF(ISBLANK(tbl_task10[[คะแนนเต็ม]:[คะแนนเต็ม]]),"",(tbl_task10[83]/tbl_task10[[คะแนนเต็ม]:[คะแนนเต็ม]])*tbl_task10[[%]:[%]])</f>
        <v/>
      </c>
      <c r="IT10" s="121" t="str">
        <f>IF(ISBLANK(tbl_task10[[คะแนนเต็ม]:[คะแนนเต็ม]]),"",(tbl_task10[84]/tbl_task10[[คะแนนเต็ม]:[คะแนนเต็ม]])*tbl_task10[[%]:[%]])</f>
        <v/>
      </c>
      <c r="IU10" s="121" t="str">
        <f>IF(ISBLANK(tbl_task10[[คะแนนเต็ม]:[คะแนนเต็ม]]),"",(tbl_task10[85]/tbl_task10[[คะแนนเต็ม]:[คะแนนเต็ม]])*tbl_task10[[%]:[%]])</f>
        <v/>
      </c>
      <c r="IV10" s="121" t="str">
        <f>IF(ISBLANK(tbl_task10[[คะแนนเต็ม]:[คะแนนเต็ม]]),"",(tbl_task10[86]/tbl_task10[[คะแนนเต็ม]:[คะแนนเต็ม]])*tbl_task10[[%]:[%]])</f>
        <v/>
      </c>
      <c r="IW10" s="121" t="str">
        <f>IF(ISBLANK(tbl_task10[[คะแนนเต็ม]:[คะแนนเต็ม]]),"",(tbl_task10[87]/tbl_task10[[คะแนนเต็ม]:[คะแนนเต็ม]])*tbl_task10[[%]:[%]])</f>
        <v/>
      </c>
      <c r="IX10" s="121" t="str">
        <f>IF(ISBLANK(tbl_task10[[คะแนนเต็ม]:[คะแนนเต็ม]]),"",(tbl_task10[88]/tbl_task10[[คะแนนเต็ม]:[คะแนนเต็ม]])*tbl_task10[[%]:[%]])</f>
        <v/>
      </c>
      <c r="IY10" s="121" t="str">
        <f>IF(ISBLANK(tbl_task10[[คะแนนเต็ม]:[คะแนนเต็ม]]),"",(tbl_task10[89]/tbl_task10[[คะแนนเต็ม]:[คะแนนเต็ม]])*tbl_task10[[%]:[%]])</f>
        <v/>
      </c>
      <c r="IZ10" s="121" t="str">
        <f>IF(ISBLANK(tbl_task10[[คะแนนเต็ม]:[คะแนนเต็ม]]),"",(tbl_task10[90]/tbl_task10[[คะแนนเต็ม]:[คะแนนเต็ม]])*tbl_task10[[%]:[%]])</f>
        <v/>
      </c>
      <c r="JA10" s="121" t="str">
        <f>IF(ISBLANK(tbl_task10[[คะแนนเต็ม]:[คะแนนเต็ม]]),"",(tbl_task10[91]/tbl_task10[[คะแนนเต็ม]:[คะแนนเต็ม]])*tbl_task10[[%]:[%]])</f>
        <v/>
      </c>
      <c r="JB10" s="121" t="str">
        <f>IF(ISBLANK(tbl_task10[[คะแนนเต็ม]:[คะแนนเต็ม]]),"",(tbl_task10[92]/tbl_task10[[คะแนนเต็ม]:[คะแนนเต็ม]])*tbl_task10[[%]:[%]])</f>
        <v/>
      </c>
      <c r="JC10" s="121" t="str">
        <f>IF(ISBLANK(tbl_task10[[คะแนนเต็ม]:[คะแนนเต็ม]]),"",(tbl_task10[93]/tbl_task10[[คะแนนเต็ม]:[คะแนนเต็ม]])*tbl_task10[[%]:[%]])</f>
        <v/>
      </c>
      <c r="JD10" s="121" t="str">
        <f>IF(ISBLANK(tbl_task10[[คะแนนเต็ม]:[คะแนนเต็ม]]),"",(tbl_task10[94]/tbl_task10[[คะแนนเต็ม]:[คะแนนเต็ม]])*tbl_task10[[%]:[%]])</f>
        <v/>
      </c>
      <c r="JE10" s="121" t="str">
        <f>IF(ISBLANK(tbl_task10[[คะแนนเต็ม]:[คะแนนเต็ม]]),"",(tbl_task10[95]/tbl_task10[[คะแนนเต็ม]:[คะแนนเต็ม]])*tbl_task10[[%]:[%]])</f>
        <v/>
      </c>
      <c r="JF10" s="121" t="str">
        <f>IF(ISBLANK(tbl_task10[[คะแนนเต็ม]:[คะแนนเต็ม]]),"",(tbl_task10[96]/tbl_task10[[คะแนนเต็ม]:[คะแนนเต็ม]])*tbl_task10[[%]:[%]])</f>
        <v/>
      </c>
      <c r="JG10" s="121" t="str">
        <f>IF(ISBLANK(tbl_task10[[คะแนนเต็ม]:[คะแนนเต็ม]]),"",(tbl_task10[97]/tbl_task10[[คะแนนเต็ม]:[คะแนนเต็ม]])*tbl_task10[[%]:[%]])</f>
        <v/>
      </c>
      <c r="JH10" s="121" t="str">
        <f>IF(ISBLANK(tbl_task10[[คะแนนเต็ม]:[คะแนนเต็ม]]),"",(tbl_task10[98]/tbl_task10[[คะแนนเต็ม]:[คะแนนเต็ม]])*tbl_task10[[%]:[%]])</f>
        <v/>
      </c>
      <c r="JI10" s="121" t="str">
        <f>IF(ISBLANK(tbl_task10[[คะแนนเต็ม]:[คะแนนเต็ม]]),"",(tbl_task10[99]/tbl_task10[[คะแนนเต็ม]:[คะแนนเต็ม]])*tbl_task10[[%]:[%]])</f>
        <v/>
      </c>
      <c r="JJ10" s="121" t="str">
        <f>IF(ISBLANK(tbl_task10[[คะแนนเต็ม]:[คะแนนเต็ม]]),"",(tbl_task10[100]/tbl_task10[[คะแนนเต็ม]:[คะแนนเต็ม]])*tbl_task10[[%]:[%]])</f>
        <v/>
      </c>
      <c r="JK10" s="121" t="str">
        <f>IF(ISBLANK(tbl_task10[[คะแนนเต็ม]:[คะแนนเต็ม]]),"",(tbl_task10[101]/tbl_task10[[คะแนนเต็ม]:[คะแนนเต็ม]])*tbl_task10[[%]:[%]])</f>
        <v/>
      </c>
      <c r="JL10" s="121" t="str">
        <f>IF(ISBLANK(tbl_task10[[คะแนนเต็ม]:[คะแนนเต็ม]]),"",(tbl_task10[102]/tbl_task10[[คะแนนเต็ม]:[คะแนนเต็ม]])*tbl_task10[[%]:[%]])</f>
        <v/>
      </c>
      <c r="JM10" s="121" t="str">
        <f>IF(ISBLANK(tbl_task10[[คะแนนเต็ม]:[คะแนนเต็ม]]),"",(tbl_task10[103]/tbl_task10[[คะแนนเต็ม]:[คะแนนเต็ม]])*tbl_task10[[%]:[%]])</f>
        <v/>
      </c>
      <c r="JN10" s="121" t="str">
        <f>IF(ISBLANK(tbl_task10[[คะแนนเต็ม]:[คะแนนเต็ม]]),"",(tbl_task10[104]/tbl_task10[[คะแนนเต็ม]:[คะแนนเต็ม]])*tbl_task10[[%]:[%]])</f>
        <v/>
      </c>
      <c r="JO10" s="121" t="str">
        <f>IF(ISBLANK(tbl_task10[[คะแนนเต็ม]:[คะแนนเต็ม]]),"",(tbl_task10[105]/tbl_task10[[คะแนนเต็ม]:[คะแนนเต็ม]])*tbl_task10[[%]:[%]])</f>
        <v/>
      </c>
      <c r="JP10" s="121" t="str">
        <f>IF(ISBLANK(tbl_task10[[คะแนนเต็ม]:[คะแนนเต็ม]]),"",(tbl_task10[106]/tbl_task10[[คะแนนเต็ม]:[คะแนนเต็ม]])*tbl_task10[[%]:[%]])</f>
        <v/>
      </c>
      <c r="JQ10" s="121" t="str">
        <f>IF(ISBLANK(tbl_task10[[คะแนนเต็ม]:[คะแนนเต็ม]]),"",(tbl_task10[107]/tbl_task10[[คะแนนเต็ม]:[คะแนนเต็ม]])*tbl_task10[[%]:[%]])</f>
        <v/>
      </c>
      <c r="JR10" s="121" t="str">
        <f>IF(ISBLANK(tbl_task10[[คะแนนเต็ม]:[คะแนนเต็ม]]),"",(tbl_task10[108]/tbl_task10[[คะแนนเต็ม]:[คะแนนเต็ม]])*tbl_task10[[%]:[%]])</f>
        <v/>
      </c>
      <c r="JS10" s="121" t="str">
        <f>IF(ISBLANK(tbl_task10[[คะแนนเต็ม]:[คะแนนเต็ม]]),"",(tbl_task10[109]/tbl_task10[[คะแนนเต็ม]:[คะแนนเต็ม]])*tbl_task10[[%]:[%]])</f>
        <v/>
      </c>
      <c r="JT10" s="121" t="str">
        <f>IF(ISBLANK(tbl_task10[[คะแนนเต็ม]:[คะแนนเต็ม]]),"",(tbl_task10[110]/tbl_task10[[คะแนนเต็ม]:[คะแนนเต็ม]])*tbl_task10[[%]:[%]])</f>
        <v/>
      </c>
      <c r="JU10" s="121" t="str">
        <f>IF(ISBLANK(tbl_task10[[คะแนนเต็ม]:[คะแนนเต็ม]]),"",(tbl_task10[111]/tbl_task10[[คะแนนเต็ม]:[คะแนนเต็ม]])*tbl_task10[[%]:[%]])</f>
        <v/>
      </c>
      <c r="JV10" s="121" t="str">
        <f>IF(ISBLANK(tbl_task10[[คะแนนเต็ม]:[คะแนนเต็ม]]),"",(tbl_task10[112]/tbl_task10[[คะแนนเต็ม]:[คะแนนเต็ม]])*tbl_task10[[%]:[%]])</f>
        <v/>
      </c>
      <c r="JW10" s="121" t="str">
        <f>IF(ISBLANK(tbl_task10[[คะแนนเต็ม]:[คะแนนเต็ม]]),"",(tbl_task10[113]/tbl_task10[[คะแนนเต็ม]:[คะแนนเต็ม]])*tbl_task10[[%]:[%]])</f>
        <v/>
      </c>
      <c r="JX10" s="121" t="str">
        <f>IF(ISBLANK(tbl_task10[[คะแนนเต็ม]:[คะแนนเต็ม]]),"",(tbl_task10[114]/tbl_task10[[คะแนนเต็ม]:[คะแนนเต็ม]])*tbl_task10[[%]:[%]])</f>
        <v/>
      </c>
      <c r="JY10" s="121" t="str">
        <f>IF(ISBLANK(tbl_task10[[คะแนนเต็ม]:[คะแนนเต็ม]]),"",(tbl_task10[115]/tbl_task10[[คะแนนเต็ม]:[คะแนนเต็ม]])*tbl_task10[[%]:[%]])</f>
        <v/>
      </c>
      <c r="JZ10" s="121" t="str">
        <f>IF(ISBLANK(tbl_task10[[คะแนนเต็ม]:[คะแนนเต็ม]]),"",(tbl_task10[116]/tbl_task10[[คะแนนเต็ม]:[คะแนนเต็ม]])*tbl_task10[[%]:[%]])</f>
        <v/>
      </c>
      <c r="KA10" s="121" t="str">
        <f>IF(ISBLANK(tbl_task10[[คะแนนเต็ม]:[คะแนนเต็ม]]),"",(tbl_task10[117]/tbl_task10[[คะแนนเต็ม]:[คะแนนเต็ม]])*tbl_task10[[%]:[%]])</f>
        <v/>
      </c>
      <c r="KB10" s="121" t="str">
        <f>IF(ISBLANK(tbl_task10[[คะแนนเต็ม]:[คะแนนเต็ม]]),"",(tbl_task10[118]/tbl_task10[[คะแนนเต็ม]:[คะแนนเต็ม]])*tbl_task10[[%]:[%]])</f>
        <v/>
      </c>
      <c r="KC10" s="121" t="str">
        <f>IF(ISBLANK(tbl_task10[[คะแนนเต็ม]:[คะแนนเต็ม]]),"",(tbl_task10[119]/tbl_task10[[คะแนนเต็ม]:[คะแนนเต็ม]])*tbl_task10[[%]:[%]])</f>
        <v/>
      </c>
      <c r="KD10" s="121" t="str">
        <f>IF(ISBLANK(tbl_task10[[คะแนนเต็ม]:[คะแนนเต็ม]]),"",(tbl_task10[120]/tbl_task10[[คะแนนเต็ม]:[คะแนนเต็ม]])*tbl_task10[[%]:[%]])</f>
        <v/>
      </c>
      <c r="KE10" s="121" t="str">
        <f>IF(ISBLANK(tbl_task10[[คะแนนเต็ม]:[คะแนนเต็ม]]),"",(tbl_task10[121]/tbl_task10[[คะแนนเต็ม]:[คะแนนเต็ม]])*tbl_task10[[%]:[%]])</f>
        <v/>
      </c>
      <c r="KF10" s="121" t="str">
        <f>IF(ISBLANK(tbl_task10[[คะแนนเต็ม]:[คะแนนเต็ม]]),"",(tbl_task10[122]/tbl_task10[[คะแนนเต็ม]:[คะแนนเต็ม]])*tbl_task10[[%]:[%]])</f>
        <v/>
      </c>
      <c r="KG10" s="121" t="str">
        <f>IF(ISBLANK(tbl_task10[[คะแนนเต็ม]:[คะแนนเต็ม]]),"",(tbl_task10[123]/tbl_task10[[คะแนนเต็ม]:[คะแนนเต็ม]])*tbl_task10[[%]:[%]])</f>
        <v/>
      </c>
      <c r="KH10" s="121" t="str">
        <f>IF(ISBLANK(tbl_task10[[คะแนนเต็ม]:[คะแนนเต็ม]]),"",(tbl_task10[124]/tbl_task10[[คะแนนเต็ม]:[คะแนนเต็ม]])*tbl_task10[[%]:[%]])</f>
        <v/>
      </c>
      <c r="KI10" s="121" t="str">
        <f>IF(ISBLANK(tbl_task10[[คะแนนเต็ม]:[คะแนนเต็ม]]),"",(tbl_task10[125]/tbl_task10[[คะแนนเต็ม]:[คะแนนเต็ม]])*tbl_task10[[%]:[%]])</f>
        <v/>
      </c>
      <c r="KJ10" s="121" t="str">
        <f>IF(ISBLANK(tbl_task10[[คะแนนเต็ม]:[คะแนนเต็ม]]),"",(tbl_task10[126]/tbl_task10[[คะแนนเต็ม]:[คะแนนเต็ม]])*tbl_task10[[%]:[%]])</f>
        <v/>
      </c>
      <c r="KK10" s="121" t="str">
        <f>IF(ISBLANK(tbl_task10[[คะแนนเต็ม]:[คะแนนเต็ม]]),"",(tbl_task10[127]/tbl_task10[[คะแนนเต็ม]:[คะแนนเต็ม]])*tbl_task10[[%]:[%]])</f>
        <v/>
      </c>
      <c r="KL10" s="121" t="str">
        <f>IF(ISBLANK(tbl_task10[[คะแนนเต็ม]:[คะแนนเต็ม]]),"",(tbl_task10[128]/tbl_task10[[คะแนนเต็ม]:[คะแนนเต็ม]])*tbl_task10[[%]:[%]])</f>
        <v/>
      </c>
      <c r="KM10" s="121" t="str">
        <f>IF(ISBLANK(tbl_task10[[คะแนนเต็ม]:[คะแนนเต็ม]]),"",(tbl_task10[129]/tbl_task10[[คะแนนเต็ม]:[คะแนนเต็ม]])*tbl_task10[[%]:[%]])</f>
        <v/>
      </c>
      <c r="KN10" s="121" t="str">
        <f>IF(ISBLANK(tbl_task10[[คะแนนเต็ม]:[คะแนนเต็ม]]),"",(tbl_task10[130]/tbl_task10[[คะแนนเต็ม]:[คะแนนเต็ม]])*tbl_task10[[%]:[%]])</f>
        <v/>
      </c>
      <c r="KO10" s="121" t="str">
        <f>IF(ISBLANK(tbl_task10[[คะแนนเต็ม]:[คะแนนเต็ม]]),"",(tbl_task10[131]/tbl_task10[[คะแนนเต็ม]:[คะแนนเต็ม]])*tbl_task10[[%]:[%]])</f>
        <v/>
      </c>
      <c r="KP10" s="121" t="str">
        <f>IF(ISBLANK(tbl_task10[[คะแนนเต็ม]:[คะแนนเต็ม]]),"",(tbl_task10[132]/tbl_task10[[คะแนนเต็ม]:[คะแนนเต็ม]])*tbl_task10[[%]:[%]])</f>
        <v/>
      </c>
      <c r="KQ10" s="121" t="str">
        <f>IF(ISBLANK(tbl_task10[[คะแนนเต็ม]:[คะแนนเต็ม]]),"",(tbl_task10[133]/tbl_task10[[คะแนนเต็ม]:[คะแนนเต็ม]])*tbl_task10[[%]:[%]])</f>
        <v/>
      </c>
      <c r="KR10" s="121" t="str">
        <f>IF(ISBLANK(tbl_task10[[คะแนนเต็ม]:[คะแนนเต็ม]]),"",(tbl_task10[134]/tbl_task10[[คะแนนเต็ม]:[คะแนนเต็ม]])*tbl_task10[[%]:[%]])</f>
        <v/>
      </c>
      <c r="KS10" s="121" t="str">
        <f>IF(ISBLANK(tbl_task10[[คะแนนเต็ม]:[คะแนนเต็ม]]),"",(tbl_task10[135]/tbl_task10[[คะแนนเต็ม]:[คะแนนเต็ม]])*tbl_task10[[%]:[%]])</f>
        <v/>
      </c>
      <c r="KT10" s="121" t="str">
        <f>IF(ISBLANK(tbl_task10[[คะแนนเต็ม]:[คะแนนเต็ม]]),"",(tbl_task10[136]/tbl_task10[[คะแนนเต็ม]:[คะแนนเต็ม]])*tbl_task10[[%]:[%]])</f>
        <v/>
      </c>
      <c r="KU10" s="121" t="str">
        <f>IF(ISBLANK(tbl_task10[[คะแนนเต็ม]:[คะแนนเต็ม]]),"",(tbl_task10[137]/tbl_task10[[คะแนนเต็ม]:[คะแนนเต็ม]])*tbl_task10[[%]:[%]])</f>
        <v/>
      </c>
      <c r="KV10" s="121" t="str">
        <f>IF(ISBLANK(tbl_task10[[คะแนนเต็ม]:[คะแนนเต็ม]]),"",(tbl_task10[138]/tbl_task10[[คะแนนเต็ม]:[คะแนนเต็ม]])*tbl_task10[[%]:[%]])</f>
        <v/>
      </c>
      <c r="KW10" s="121" t="str">
        <f>IF(ISBLANK(tbl_task10[[คะแนนเต็ม]:[คะแนนเต็ม]]),"",(tbl_task10[139]/tbl_task10[[คะแนนเต็ม]:[คะแนนเต็ม]])*tbl_task10[[%]:[%]])</f>
        <v/>
      </c>
      <c r="KX10" s="121" t="str">
        <f>IF(ISBLANK(tbl_task10[[คะแนนเต็ม]:[คะแนนเต็ม]]),"",(tbl_task10[140]/tbl_task10[[คะแนนเต็ม]:[คะแนนเต็ม]])*tbl_task10[[%]:[%]])</f>
        <v/>
      </c>
      <c r="KY10" s="121" t="str">
        <f>IF(ISBLANK(tbl_task10[[คะแนนเต็ม]:[คะแนนเต็ม]]),"",(tbl_task10[141]/tbl_task10[[คะแนนเต็ม]:[คะแนนเต็ม]])*tbl_task10[[%]:[%]])</f>
        <v/>
      </c>
      <c r="KZ10" s="121" t="str">
        <f>IF(ISBLANK(tbl_task10[[คะแนนเต็ม]:[คะแนนเต็ม]]),"",(tbl_task10[142]/tbl_task10[[คะแนนเต็ม]:[คะแนนเต็ม]])*tbl_task10[[%]:[%]])</f>
        <v/>
      </c>
      <c r="LA10" s="121" t="str">
        <f>IF(ISBLANK(tbl_task10[[คะแนนเต็ม]:[คะแนนเต็ม]]),"",(tbl_task10[143]/tbl_task10[[คะแนนเต็ม]:[คะแนนเต็ม]])*tbl_task10[[%]:[%]])</f>
        <v/>
      </c>
      <c r="LB10" s="121" t="str">
        <f>IF(ISBLANK(tbl_task10[[คะแนนเต็ม]:[คะแนนเต็ม]]),"",(tbl_task10[144]/tbl_task10[[คะแนนเต็ม]:[คะแนนเต็ม]])*tbl_task10[[%]:[%]])</f>
        <v/>
      </c>
      <c r="LC10" s="121" t="str">
        <f>IF(ISBLANK(tbl_task10[[คะแนนเต็ม]:[คะแนนเต็ม]]),"",(tbl_task10[145]/tbl_task10[[คะแนนเต็ม]:[คะแนนเต็ม]])*tbl_task10[[%]:[%]])</f>
        <v/>
      </c>
      <c r="LD10" s="121" t="str">
        <f>IF(ISBLANK(tbl_task10[[คะแนนเต็ม]:[คะแนนเต็ม]]),"",(tbl_task10[146]/tbl_task10[[คะแนนเต็ม]:[คะแนนเต็ม]])*tbl_task10[[%]:[%]])</f>
        <v/>
      </c>
      <c r="LE10" s="121" t="str">
        <f>IF(ISBLANK(tbl_task10[[คะแนนเต็ม]:[คะแนนเต็ม]]),"",(tbl_task10[147]/tbl_task10[[คะแนนเต็ม]:[คะแนนเต็ม]])*tbl_task10[[%]:[%]])</f>
        <v/>
      </c>
      <c r="LF10" s="121" t="str">
        <f>IF(ISBLANK(tbl_task10[[คะแนนเต็ม]:[คะแนนเต็ม]]),"",(tbl_task10[148]/tbl_task10[[คะแนนเต็ม]:[คะแนนเต็ม]])*tbl_task10[[%]:[%]])</f>
        <v/>
      </c>
      <c r="LG10" s="121" t="str">
        <f>IF(ISBLANK(tbl_task10[[คะแนนเต็ม]:[คะแนนเต็ม]]),"",(tbl_task10[149]/tbl_task10[[คะแนนเต็ม]:[คะแนนเต็ม]])*tbl_task10[[%]:[%]])</f>
        <v/>
      </c>
      <c r="LH10" s="121" t="str">
        <f>IF(ISBLANK(tbl_task10[[คะแนนเต็ม]:[คะแนนเต็ม]]),"",(tbl_task10[150]/tbl_task10[[คะแนนเต็ม]:[คะแนนเต็ม]])*tbl_task10[[%]:[%]])</f>
        <v/>
      </c>
      <c r="LI10" s="121" t="str">
        <f>IF(ISBLANK(tbl_task10[[คะแนนเต็ม]:[คะแนนเต็ม]]),"",(tbl_task10[151]/tbl_task10[[คะแนนเต็ม]:[คะแนนเต็ม]])*tbl_task10[[%]:[%]])</f>
        <v/>
      </c>
      <c r="LJ10" s="121" t="str">
        <f>IF(ISBLANK(tbl_task10[[คะแนนเต็ม]:[คะแนนเต็ม]]),"",(tbl_task10[152]/tbl_task10[[คะแนนเต็ม]:[คะแนนเต็ม]])*tbl_task10[[%]:[%]])</f>
        <v/>
      </c>
      <c r="LK10" s="121" t="str">
        <f>IF(ISBLANK(tbl_task10[[คะแนนเต็ม]:[คะแนนเต็ม]]),"",(tbl_task10[153]/tbl_task10[[คะแนนเต็ม]:[คะแนนเต็ม]])*tbl_task10[[%]:[%]])</f>
        <v/>
      </c>
      <c r="LL10" s="121" t="str">
        <f>IF(ISBLANK(tbl_task10[[คะแนนเต็ม]:[คะแนนเต็ม]]),"",(tbl_task10[154]/tbl_task10[[คะแนนเต็ม]:[คะแนนเต็ม]])*tbl_task10[[%]:[%]])</f>
        <v/>
      </c>
      <c r="LM10" s="121" t="str">
        <f>IF(ISBLANK(tbl_task10[[คะแนนเต็ม]:[คะแนนเต็ม]]),"",(tbl_task10[155]/tbl_task10[[คะแนนเต็ม]:[คะแนนเต็ม]])*tbl_task10[[%]:[%]])</f>
        <v/>
      </c>
      <c r="LN10" s="121" t="str">
        <f>IF(ISBLANK(tbl_task10[[คะแนนเต็ม]:[คะแนนเต็ม]]),"",(tbl_task10[156]/tbl_task10[[คะแนนเต็ม]:[คะแนนเต็ม]])*tbl_task10[[%]:[%]])</f>
        <v/>
      </c>
      <c r="LO10" s="121" t="str">
        <f>IF(ISBLANK(tbl_task10[[คะแนนเต็ม]:[คะแนนเต็ม]]),"",(tbl_task10[157]/tbl_task10[[คะแนนเต็ม]:[คะแนนเต็ม]])*tbl_task10[[%]:[%]])</f>
        <v/>
      </c>
      <c r="LP10" s="121" t="str">
        <f>IF(ISBLANK(tbl_task10[[คะแนนเต็ม]:[คะแนนเต็ม]]),"",(tbl_task10[158]/tbl_task10[[คะแนนเต็ม]:[คะแนนเต็ม]])*tbl_task10[[%]:[%]])</f>
        <v/>
      </c>
      <c r="LQ10" s="121" t="str">
        <f>IF(ISBLANK(tbl_task10[[คะแนนเต็ม]:[คะแนนเต็ม]]),"",(tbl_task10[159]/tbl_task10[[คะแนนเต็ม]:[คะแนนเต็ม]])*tbl_task10[[%]:[%]])</f>
        <v/>
      </c>
      <c r="LR10" s="121" t="str">
        <f>IF(ISBLANK(tbl_task10[[คะแนนเต็ม]:[คะแนนเต็ม]]),"",(tbl_task10[160]/tbl_task10[[คะแนนเต็ม]:[คะแนนเต็ม]])*tbl_task10[[%]:[%]])</f>
        <v/>
      </c>
      <c r="LS10" s="121" t="str">
        <f>IF(ISBLANK(tbl_task10[[คะแนนเต็ม]:[คะแนนเต็ม]]),"",(tbl_task10[161]/tbl_task10[[คะแนนเต็ม]:[คะแนนเต็ม]])*tbl_task10[[%]:[%]])</f>
        <v/>
      </c>
      <c r="LT10" s="121" t="str">
        <f>IF(ISBLANK(tbl_task10[[คะแนนเต็ม]:[คะแนนเต็ม]]),"",(tbl_task10[162]/tbl_task10[[คะแนนเต็ม]:[คะแนนเต็ม]])*tbl_task10[[%]:[%]])</f>
        <v/>
      </c>
      <c r="LU10" s="121" t="str">
        <f>IF(ISBLANK(tbl_task10[[คะแนนเต็ม]:[คะแนนเต็ม]]),"",(tbl_task10[163]/tbl_task10[[คะแนนเต็ม]:[คะแนนเต็ม]])*tbl_task10[[%]:[%]])</f>
        <v/>
      </c>
      <c r="LV10" s="121" t="str">
        <f>IF(ISBLANK(tbl_task10[[คะแนนเต็ม]:[คะแนนเต็ม]]),"",(tbl_task10[164]/tbl_task10[[คะแนนเต็ม]:[คะแนนเต็ม]])*tbl_task10[[%]:[%]])</f>
        <v/>
      </c>
      <c r="LW10" s="121" t="str">
        <f>IF(ISBLANK(tbl_task10[[คะแนนเต็ม]:[คะแนนเต็ม]]),"",(tbl_task10[165]/tbl_task10[[คะแนนเต็ม]:[คะแนนเต็ม]])*tbl_task10[[%]:[%]])</f>
        <v/>
      </c>
    </row>
    <row r="11" spans="1:335" ht="24" customHeight="1" x14ac:dyDescent="0.25">
      <c r="A11" s="24">
        <v>8</v>
      </c>
      <c r="B11" s="20"/>
      <c r="C11" s="5" t="str">
        <f>IF(ISBLANK(B11),"",VLOOKUP(B11,tbl_PLOs[],2,0))</f>
        <v/>
      </c>
      <c r="D11" s="102"/>
      <c r="E11" s="106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22"/>
      <c r="FO11" s="121" t="str">
        <f>IF(ISBLANK(tbl_task10[[คะแนนเต็ม]:[คะแนนเต็ม]]),"",(tbl_task10[1]/tbl_task10[[คะแนนเต็ม]:[คะแนนเต็ม]])*tbl_task10[[%]:[%]])</f>
        <v/>
      </c>
      <c r="FP11" s="121" t="str">
        <f>IF(ISBLANK(tbl_task10[[คะแนนเต็ม]:[คะแนนเต็ม]]),"",(tbl_task10[2]/tbl_task10[[คะแนนเต็ม]:[คะแนนเต็ม]])*tbl_task10[[%]:[%]])</f>
        <v/>
      </c>
      <c r="FQ11" s="121" t="str">
        <f>IF(ISBLANK(tbl_task10[[คะแนนเต็ม]:[คะแนนเต็ม]]),"",(tbl_task10[3]/tbl_task10[[คะแนนเต็ม]:[คะแนนเต็ม]])*tbl_task10[[%]:[%]])</f>
        <v/>
      </c>
      <c r="FR11" s="121" t="str">
        <f>IF(ISBLANK(tbl_task10[[คะแนนเต็ม]:[คะแนนเต็ม]]),"",(tbl_task10[4]/tbl_task10[[คะแนนเต็ม]:[คะแนนเต็ม]])*tbl_task10[[%]:[%]])</f>
        <v/>
      </c>
      <c r="FS11" s="121" t="str">
        <f>IF(ISBLANK(tbl_task10[[คะแนนเต็ม]:[คะแนนเต็ม]]),"",(tbl_task10[5]/tbl_task10[[คะแนนเต็ม]:[คะแนนเต็ม]])*tbl_task10[[%]:[%]])</f>
        <v/>
      </c>
      <c r="FT11" s="121" t="str">
        <f>IF(ISBLANK(tbl_task10[[คะแนนเต็ม]:[คะแนนเต็ม]]),"",(tbl_task10[6]/tbl_task10[[คะแนนเต็ม]:[คะแนนเต็ม]])*tbl_task10[[%]:[%]])</f>
        <v/>
      </c>
      <c r="FU11" s="121" t="str">
        <f>IF(ISBLANK(tbl_task10[[คะแนนเต็ม]:[คะแนนเต็ม]]),"",(tbl_task10[7]/tbl_task10[[คะแนนเต็ม]:[คะแนนเต็ม]])*tbl_task10[[%]:[%]])</f>
        <v/>
      </c>
      <c r="FV11" s="121" t="str">
        <f>IF(ISBLANK(tbl_task10[[คะแนนเต็ม]:[คะแนนเต็ม]]),"",(tbl_task10[8]/tbl_task10[[คะแนนเต็ม]:[คะแนนเต็ม]])*tbl_task10[[%]:[%]])</f>
        <v/>
      </c>
      <c r="FW11" s="121" t="str">
        <f>IF(ISBLANK(tbl_task10[[คะแนนเต็ม]:[คะแนนเต็ม]]),"",(tbl_task10[9]/tbl_task10[[คะแนนเต็ม]:[คะแนนเต็ม]])*tbl_task10[[%]:[%]])</f>
        <v/>
      </c>
      <c r="FX11" s="121" t="str">
        <f>IF(ISBLANK(tbl_task10[[คะแนนเต็ม]:[คะแนนเต็ม]]),"",(tbl_task10[10]/tbl_task10[[คะแนนเต็ม]:[คะแนนเต็ม]])*tbl_task10[[%]:[%]])</f>
        <v/>
      </c>
      <c r="FY11" s="121" t="str">
        <f>IF(ISBLANK(tbl_task10[[คะแนนเต็ม]:[คะแนนเต็ม]]),"",(tbl_task10[11]/tbl_task10[[คะแนนเต็ม]:[คะแนนเต็ม]])*tbl_task10[[%]:[%]])</f>
        <v/>
      </c>
      <c r="FZ11" s="121" t="str">
        <f>IF(ISBLANK(tbl_task10[[คะแนนเต็ม]:[คะแนนเต็ม]]),"",(tbl_task10[12]/tbl_task10[[คะแนนเต็ม]:[คะแนนเต็ม]])*tbl_task10[[%]:[%]])</f>
        <v/>
      </c>
      <c r="GA11" s="121" t="str">
        <f>IF(ISBLANK(tbl_task10[[คะแนนเต็ม]:[คะแนนเต็ม]]),"",(tbl_task10[13]/tbl_task10[[คะแนนเต็ม]:[คะแนนเต็ม]])*tbl_task10[[%]:[%]])</f>
        <v/>
      </c>
      <c r="GB11" s="121" t="str">
        <f>IF(ISBLANK(tbl_task10[[คะแนนเต็ม]:[คะแนนเต็ม]]),"",(tbl_task10[14]/tbl_task10[[คะแนนเต็ม]:[คะแนนเต็ม]])*tbl_task10[[%]:[%]])</f>
        <v/>
      </c>
      <c r="GC11" s="121" t="str">
        <f>IF(ISBLANK(tbl_task10[[คะแนนเต็ม]:[คะแนนเต็ม]]),"",(tbl_task10[15]/tbl_task10[[คะแนนเต็ม]:[คะแนนเต็ม]])*tbl_task10[[%]:[%]])</f>
        <v/>
      </c>
      <c r="GD11" s="121" t="str">
        <f>IF(ISBLANK(tbl_task10[[คะแนนเต็ม]:[คะแนนเต็ม]]),"",(tbl_task10[16]/tbl_task10[[คะแนนเต็ม]:[คะแนนเต็ม]])*tbl_task10[[%]:[%]])</f>
        <v/>
      </c>
      <c r="GE11" s="121" t="str">
        <f>IF(ISBLANK(tbl_task10[[คะแนนเต็ม]:[คะแนนเต็ม]]),"",(tbl_task10[17]/tbl_task10[[คะแนนเต็ม]:[คะแนนเต็ม]])*tbl_task10[[%]:[%]])</f>
        <v/>
      </c>
      <c r="GF11" s="121" t="str">
        <f>IF(ISBLANK(tbl_task10[[คะแนนเต็ม]:[คะแนนเต็ม]]),"",(tbl_task10[18]/tbl_task10[[คะแนนเต็ม]:[คะแนนเต็ม]])*tbl_task10[[%]:[%]])</f>
        <v/>
      </c>
      <c r="GG11" s="121" t="str">
        <f>IF(ISBLANK(tbl_task10[[คะแนนเต็ม]:[คะแนนเต็ม]]),"",(tbl_task10[19]/tbl_task10[[คะแนนเต็ม]:[คะแนนเต็ม]])*tbl_task10[[%]:[%]])</f>
        <v/>
      </c>
      <c r="GH11" s="121" t="str">
        <f>IF(ISBLANK(tbl_task10[[คะแนนเต็ม]:[คะแนนเต็ม]]),"",(tbl_task10[20]/tbl_task10[[คะแนนเต็ม]:[คะแนนเต็ม]])*tbl_task10[[%]:[%]])</f>
        <v/>
      </c>
      <c r="GI11" s="121" t="str">
        <f>IF(ISBLANK(tbl_task10[[คะแนนเต็ม]:[คะแนนเต็ม]]),"",(tbl_task10[21]/tbl_task10[[คะแนนเต็ม]:[คะแนนเต็ม]])*tbl_task10[[%]:[%]])</f>
        <v/>
      </c>
      <c r="GJ11" s="121" t="str">
        <f>IF(ISBLANK(tbl_task10[[คะแนนเต็ม]:[คะแนนเต็ม]]),"",(tbl_task10[22]/tbl_task10[[คะแนนเต็ม]:[คะแนนเต็ม]])*tbl_task10[[%]:[%]])</f>
        <v/>
      </c>
      <c r="GK11" s="121" t="str">
        <f>IF(ISBLANK(tbl_task10[[คะแนนเต็ม]:[คะแนนเต็ม]]),"",(tbl_task10[23]/tbl_task10[[คะแนนเต็ม]:[คะแนนเต็ม]])*tbl_task10[[%]:[%]])</f>
        <v/>
      </c>
      <c r="GL11" s="121" t="str">
        <f>IF(ISBLANK(tbl_task10[[คะแนนเต็ม]:[คะแนนเต็ม]]),"",(tbl_task10[24]/tbl_task10[[คะแนนเต็ม]:[คะแนนเต็ม]])*tbl_task10[[%]:[%]])</f>
        <v/>
      </c>
      <c r="GM11" s="121" t="str">
        <f>IF(ISBLANK(tbl_task10[[คะแนนเต็ม]:[คะแนนเต็ม]]),"",(tbl_task10[25]/tbl_task10[[คะแนนเต็ม]:[คะแนนเต็ม]])*tbl_task10[[%]:[%]])</f>
        <v/>
      </c>
      <c r="GN11" s="121" t="str">
        <f>IF(ISBLANK(tbl_task10[[คะแนนเต็ม]:[คะแนนเต็ม]]),"",(tbl_task10[26]/tbl_task10[[คะแนนเต็ม]:[คะแนนเต็ม]])*tbl_task10[[%]:[%]])</f>
        <v/>
      </c>
      <c r="GO11" s="121" t="str">
        <f>IF(ISBLANK(tbl_task10[[คะแนนเต็ม]:[คะแนนเต็ม]]),"",(tbl_task10[27]/tbl_task10[[คะแนนเต็ม]:[คะแนนเต็ม]])*tbl_task10[[%]:[%]])</f>
        <v/>
      </c>
      <c r="GP11" s="121" t="str">
        <f>IF(ISBLANK(tbl_task10[[คะแนนเต็ม]:[คะแนนเต็ม]]),"",(tbl_task10[28]/tbl_task10[[คะแนนเต็ม]:[คะแนนเต็ม]])*tbl_task10[[%]:[%]])</f>
        <v/>
      </c>
      <c r="GQ11" s="121" t="str">
        <f>IF(ISBLANK(tbl_task10[[คะแนนเต็ม]:[คะแนนเต็ม]]),"",(tbl_task10[29]/tbl_task10[[คะแนนเต็ม]:[คะแนนเต็ม]])*tbl_task10[[%]:[%]])</f>
        <v/>
      </c>
      <c r="GR11" s="121" t="str">
        <f>IF(ISBLANK(tbl_task10[[คะแนนเต็ม]:[คะแนนเต็ม]]),"",(tbl_task10[30]/tbl_task10[[คะแนนเต็ม]:[คะแนนเต็ม]])*tbl_task10[[%]:[%]])</f>
        <v/>
      </c>
      <c r="GS11" s="121" t="str">
        <f>IF(ISBLANK(tbl_task10[[คะแนนเต็ม]:[คะแนนเต็ม]]),"",(tbl_task10[31]/tbl_task10[[คะแนนเต็ม]:[คะแนนเต็ม]])*tbl_task10[[%]:[%]])</f>
        <v/>
      </c>
      <c r="GT11" s="121" t="str">
        <f>IF(ISBLANK(tbl_task10[[คะแนนเต็ม]:[คะแนนเต็ม]]),"",(tbl_task10[32]/tbl_task10[[คะแนนเต็ม]:[คะแนนเต็ม]])*tbl_task10[[%]:[%]])</f>
        <v/>
      </c>
      <c r="GU11" s="121" t="str">
        <f>IF(ISBLANK(tbl_task10[[คะแนนเต็ม]:[คะแนนเต็ม]]),"",(tbl_task10[33]/tbl_task10[[คะแนนเต็ม]:[คะแนนเต็ม]])*tbl_task10[[%]:[%]])</f>
        <v/>
      </c>
      <c r="GV11" s="121" t="str">
        <f>IF(ISBLANK(tbl_task10[[คะแนนเต็ม]:[คะแนนเต็ม]]),"",(tbl_task10[34]/tbl_task10[[คะแนนเต็ม]:[คะแนนเต็ม]])*tbl_task10[[%]:[%]])</f>
        <v/>
      </c>
      <c r="GW11" s="121" t="str">
        <f>IF(ISBLANK(tbl_task10[[คะแนนเต็ม]:[คะแนนเต็ม]]),"",(tbl_task10[35]/tbl_task10[[คะแนนเต็ม]:[คะแนนเต็ม]])*tbl_task10[[%]:[%]])</f>
        <v/>
      </c>
      <c r="GX11" s="121" t="str">
        <f>IF(ISBLANK(tbl_task10[[คะแนนเต็ม]:[คะแนนเต็ม]]),"",(tbl_task10[36]/tbl_task10[[คะแนนเต็ม]:[คะแนนเต็ม]])*tbl_task10[[%]:[%]])</f>
        <v/>
      </c>
      <c r="GY11" s="121" t="str">
        <f>IF(ISBLANK(tbl_task10[[คะแนนเต็ม]:[คะแนนเต็ม]]),"",(tbl_task10[37]/tbl_task10[[คะแนนเต็ม]:[คะแนนเต็ม]])*tbl_task10[[%]:[%]])</f>
        <v/>
      </c>
      <c r="GZ11" s="121" t="str">
        <f>IF(ISBLANK(tbl_task10[[คะแนนเต็ม]:[คะแนนเต็ม]]),"",(tbl_task10[38]/tbl_task10[[คะแนนเต็ม]:[คะแนนเต็ม]])*tbl_task10[[%]:[%]])</f>
        <v/>
      </c>
      <c r="HA11" s="121" t="str">
        <f>IF(ISBLANK(tbl_task10[[คะแนนเต็ม]:[คะแนนเต็ม]]),"",(tbl_task10[39]/tbl_task10[[คะแนนเต็ม]:[คะแนนเต็ม]])*tbl_task10[[%]:[%]])</f>
        <v/>
      </c>
      <c r="HB11" s="121" t="str">
        <f>IF(ISBLANK(tbl_task10[[คะแนนเต็ม]:[คะแนนเต็ม]]),"",(tbl_task10[40]/tbl_task10[[คะแนนเต็ม]:[คะแนนเต็ม]])*tbl_task10[[%]:[%]])</f>
        <v/>
      </c>
      <c r="HC11" s="121" t="str">
        <f>IF(ISBLANK(tbl_task10[[คะแนนเต็ม]:[คะแนนเต็ม]]),"",(tbl_task10[41]/tbl_task10[[คะแนนเต็ม]:[คะแนนเต็ม]])*tbl_task10[[%]:[%]])</f>
        <v/>
      </c>
      <c r="HD11" s="121" t="str">
        <f>IF(ISBLANK(tbl_task10[[คะแนนเต็ม]:[คะแนนเต็ม]]),"",(tbl_task10[42]/tbl_task10[[คะแนนเต็ม]:[คะแนนเต็ม]])*tbl_task10[[%]:[%]])</f>
        <v/>
      </c>
      <c r="HE11" s="121" t="str">
        <f>IF(ISBLANK(tbl_task10[[คะแนนเต็ม]:[คะแนนเต็ม]]),"",(tbl_task10[43]/tbl_task10[[คะแนนเต็ม]:[คะแนนเต็ม]])*tbl_task10[[%]:[%]])</f>
        <v/>
      </c>
      <c r="HF11" s="121" t="str">
        <f>IF(ISBLANK(tbl_task10[[คะแนนเต็ม]:[คะแนนเต็ม]]),"",(tbl_task10[44]/tbl_task10[[คะแนนเต็ม]:[คะแนนเต็ม]])*tbl_task10[[%]:[%]])</f>
        <v/>
      </c>
      <c r="HG11" s="121" t="str">
        <f>IF(ISBLANK(tbl_task10[[คะแนนเต็ม]:[คะแนนเต็ม]]),"",(tbl_task10[45]/tbl_task10[[คะแนนเต็ม]:[คะแนนเต็ม]])*tbl_task10[[%]:[%]])</f>
        <v/>
      </c>
      <c r="HH11" s="121" t="str">
        <f>IF(ISBLANK(tbl_task10[[คะแนนเต็ม]:[คะแนนเต็ม]]),"",(tbl_task10[46]/tbl_task10[[คะแนนเต็ม]:[คะแนนเต็ม]])*tbl_task10[[%]:[%]])</f>
        <v/>
      </c>
      <c r="HI11" s="121" t="str">
        <f>IF(ISBLANK(tbl_task10[[คะแนนเต็ม]:[คะแนนเต็ม]]),"",(tbl_task10[47]/tbl_task10[[คะแนนเต็ม]:[คะแนนเต็ม]])*tbl_task10[[%]:[%]])</f>
        <v/>
      </c>
      <c r="HJ11" s="121" t="str">
        <f>IF(ISBLANK(tbl_task10[[คะแนนเต็ม]:[คะแนนเต็ม]]),"",(tbl_task10[48]/tbl_task10[[คะแนนเต็ม]:[คะแนนเต็ม]])*tbl_task10[[%]:[%]])</f>
        <v/>
      </c>
      <c r="HK11" s="121" t="str">
        <f>IF(ISBLANK(tbl_task10[[คะแนนเต็ม]:[คะแนนเต็ม]]),"",(tbl_task10[49]/tbl_task10[[คะแนนเต็ม]:[คะแนนเต็ม]])*tbl_task10[[%]:[%]])</f>
        <v/>
      </c>
      <c r="HL11" s="121" t="str">
        <f>IF(ISBLANK(tbl_task10[[คะแนนเต็ม]:[คะแนนเต็ม]]),"",(tbl_task10[50]/tbl_task10[[คะแนนเต็ม]:[คะแนนเต็ม]])*tbl_task10[[%]:[%]])</f>
        <v/>
      </c>
      <c r="HM11" s="121" t="str">
        <f>IF(ISBLANK(tbl_task10[[คะแนนเต็ม]:[คะแนนเต็ม]]),"",(tbl_task10[51]/tbl_task10[[คะแนนเต็ม]:[คะแนนเต็ม]])*tbl_task10[[%]:[%]])</f>
        <v/>
      </c>
      <c r="HN11" s="121" t="str">
        <f>IF(ISBLANK(tbl_task10[[คะแนนเต็ม]:[คะแนนเต็ม]]),"",(tbl_task10[52]/tbl_task10[[คะแนนเต็ม]:[คะแนนเต็ม]])*tbl_task10[[%]:[%]])</f>
        <v/>
      </c>
      <c r="HO11" s="121" t="str">
        <f>IF(ISBLANK(tbl_task10[[คะแนนเต็ม]:[คะแนนเต็ม]]),"",(tbl_task10[53]/tbl_task10[[คะแนนเต็ม]:[คะแนนเต็ม]])*tbl_task10[[%]:[%]])</f>
        <v/>
      </c>
      <c r="HP11" s="121" t="str">
        <f>IF(ISBLANK(tbl_task10[[คะแนนเต็ม]:[คะแนนเต็ม]]),"",(tbl_task10[54]/tbl_task10[[คะแนนเต็ม]:[คะแนนเต็ม]])*tbl_task10[[%]:[%]])</f>
        <v/>
      </c>
      <c r="HQ11" s="121" t="str">
        <f>IF(ISBLANK(tbl_task10[[คะแนนเต็ม]:[คะแนนเต็ม]]),"",(tbl_task10[55]/tbl_task10[[คะแนนเต็ม]:[คะแนนเต็ม]])*tbl_task10[[%]:[%]])</f>
        <v/>
      </c>
      <c r="HR11" s="121" t="str">
        <f>IF(ISBLANK(tbl_task10[[คะแนนเต็ม]:[คะแนนเต็ม]]),"",(tbl_task10[56]/tbl_task10[[คะแนนเต็ม]:[คะแนนเต็ม]])*tbl_task10[[%]:[%]])</f>
        <v/>
      </c>
      <c r="HS11" s="121" t="str">
        <f>IF(ISBLANK(tbl_task10[[คะแนนเต็ม]:[คะแนนเต็ม]]),"",(tbl_task10[57]/tbl_task10[[คะแนนเต็ม]:[คะแนนเต็ม]])*tbl_task10[[%]:[%]])</f>
        <v/>
      </c>
      <c r="HT11" s="121" t="str">
        <f>IF(ISBLANK(tbl_task10[[คะแนนเต็ม]:[คะแนนเต็ม]]),"",(tbl_task10[58]/tbl_task10[[คะแนนเต็ม]:[คะแนนเต็ม]])*tbl_task10[[%]:[%]])</f>
        <v/>
      </c>
      <c r="HU11" s="121" t="str">
        <f>IF(ISBLANK(tbl_task10[[คะแนนเต็ม]:[คะแนนเต็ม]]),"",(tbl_task10[59]/tbl_task10[[คะแนนเต็ม]:[คะแนนเต็ม]])*tbl_task10[[%]:[%]])</f>
        <v/>
      </c>
      <c r="HV11" s="121" t="str">
        <f>IF(ISBLANK(tbl_task10[[คะแนนเต็ม]:[คะแนนเต็ม]]),"",(tbl_task10[60]/tbl_task10[[คะแนนเต็ม]:[คะแนนเต็ม]])*tbl_task10[[%]:[%]])</f>
        <v/>
      </c>
      <c r="HW11" s="121" t="str">
        <f>IF(ISBLANK(tbl_task10[[คะแนนเต็ม]:[คะแนนเต็ม]]),"",(tbl_task10[61]/tbl_task10[[คะแนนเต็ม]:[คะแนนเต็ม]])*tbl_task10[[%]:[%]])</f>
        <v/>
      </c>
      <c r="HX11" s="121" t="str">
        <f>IF(ISBLANK(tbl_task10[[คะแนนเต็ม]:[คะแนนเต็ม]]),"",(tbl_task10[62]/tbl_task10[[คะแนนเต็ม]:[คะแนนเต็ม]])*tbl_task10[[%]:[%]])</f>
        <v/>
      </c>
      <c r="HY11" s="121" t="str">
        <f>IF(ISBLANK(tbl_task10[[คะแนนเต็ม]:[คะแนนเต็ม]]),"",(tbl_task10[63]/tbl_task10[[คะแนนเต็ม]:[คะแนนเต็ม]])*tbl_task10[[%]:[%]])</f>
        <v/>
      </c>
      <c r="HZ11" s="121" t="str">
        <f>IF(ISBLANK(tbl_task10[[คะแนนเต็ม]:[คะแนนเต็ม]]),"",(tbl_task10[64]/tbl_task10[[คะแนนเต็ม]:[คะแนนเต็ม]])*tbl_task10[[%]:[%]])</f>
        <v/>
      </c>
      <c r="IA11" s="121" t="str">
        <f>IF(ISBLANK(tbl_task10[[คะแนนเต็ม]:[คะแนนเต็ม]]),"",(tbl_task10[65]/tbl_task10[[คะแนนเต็ม]:[คะแนนเต็ม]])*tbl_task10[[%]:[%]])</f>
        <v/>
      </c>
      <c r="IB11" s="121" t="str">
        <f>IF(ISBLANK(tbl_task10[[คะแนนเต็ม]:[คะแนนเต็ม]]),"",(tbl_task10[66]/tbl_task10[[คะแนนเต็ม]:[คะแนนเต็ม]])*tbl_task10[[%]:[%]])</f>
        <v/>
      </c>
      <c r="IC11" s="121" t="str">
        <f>IF(ISBLANK(tbl_task10[[คะแนนเต็ม]:[คะแนนเต็ม]]),"",(tbl_task10[67]/tbl_task10[[คะแนนเต็ม]:[คะแนนเต็ม]])*tbl_task10[[%]:[%]])</f>
        <v/>
      </c>
      <c r="ID11" s="121" t="str">
        <f>IF(ISBLANK(tbl_task10[[คะแนนเต็ม]:[คะแนนเต็ม]]),"",(tbl_task10[68]/tbl_task10[[คะแนนเต็ม]:[คะแนนเต็ม]])*tbl_task10[[%]:[%]])</f>
        <v/>
      </c>
      <c r="IE11" s="121" t="str">
        <f>IF(ISBLANK(tbl_task10[[คะแนนเต็ม]:[คะแนนเต็ม]]),"",(tbl_task10[69]/tbl_task10[[คะแนนเต็ม]:[คะแนนเต็ม]])*tbl_task10[[%]:[%]])</f>
        <v/>
      </c>
      <c r="IF11" s="121" t="str">
        <f>IF(ISBLANK(tbl_task10[[คะแนนเต็ม]:[คะแนนเต็ม]]),"",(tbl_task10[70]/tbl_task10[[คะแนนเต็ม]:[คะแนนเต็ม]])*tbl_task10[[%]:[%]])</f>
        <v/>
      </c>
      <c r="IG11" s="121" t="str">
        <f>IF(ISBLANK(tbl_task10[[คะแนนเต็ม]:[คะแนนเต็ม]]),"",(tbl_task10[71]/tbl_task10[[คะแนนเต็ม]:[คะแนนเต็ม]])*tbl_task10[[%]:[%]])</f>
        <v/>
      </c>
      <c r="IH11" s="121" t="str">
        <f>IF(ISBLANK(tbl_task10[[คะแนนเต็ม]:[คะแนนเต็ม]]),"",(tbl_task10[72]/tbl_task10[[คะแนนเต็ม]:[คะแนนเต็ม]])*tbl_task10[[%]:[%]])</f>
        <v/>
      </c>
      <c r="II11" s="121" t="str">
        <f>IF(ISBLANK(tbl_task10[[คะแนนเต็ม]:[คะแนนเต็ม]]),"",(tbl_task10[73]/tbl_task10[[คะแนนเต็ม]:[คะแนนเต็ม]])*tbl_task10[[%]:[%]])</f>
        <v/>
      </c>
      <c r="IJ11" s="121" t="str">
        <f>IF(ISBLANK(tbl_task10[[คะแนนเต็ม]:[คะแนนเต็ม]]),"",(tbl_task10[74]/tbl_task10[[คะแนนเต็ม]:[คะแนนเต็ม]])*tbl_task10[[%]:[%]])</f>
        <v/>
      </c>
      <c r="IK11" s="121" t="str">
        <f>IF(ISBLANK(tbl_task10[[คะแนนเต็ม]:[คะแนนเต็ม]]),"",(tbl_task10[75]/tbl_task10[[คะแนนเต็ม]:[คะแนนเต็ม]])*tbl_task10[[%]:[%]])</f>
        <v/>
      </c>
      <c r="IL11" s="121" t="str">
        <f>IF(ISBLANK(tbl_task10[[คะแนนเต็ม]:[คะแนนเต็ม]]),"",(tbl_task10[76]/tbl_task10[[คะแนนเต็ม]:[คะแนนเต็ม]])*tbl_task10[[%]:[%]])</f>
        <v/>
      </c>
      <c r="IM11" s="121" t="str">
        <f>IF(ISBLANK(tbl_task10[[คะแนนเต็ม]:[คะแนนเต็ม]]),"",(tbl_task10[77]/tbl_task10[[คะแนนเต็ม]:[คะแนนเต็ม]])*tbl_task10[[%]:[%]])</f>
        <v/>
      </c>
      <c r="IN11" s="121" t="str">
        <f>IF(ISBLANK(tbl_task10[[คะแนนเต็ม]:[คะแนนเต็ม]]),"",(tbl_task10[78]/tbl_task10[[คะแนนเต็ม]:[คะแนนเต็ม]])*tbl_task10[[%]:[%]])</f>
        <v/>
      </c>
      <c r="IO11" s="121" t="str">
        <f>IF(ISBLANK(tbl_task10[[คะแนนเต็ม]:[คะแนนเต็ม]]),"",(tbl_task10[79]/tbl_task10[[คะแนนเต็ม]:[คะแนนเต็ม]])*tbl_task10[[%]:[%]])</f>
        <v/>
      </c>
      <c r="IP11" s="121" t="str">
        <f>IF(ISBLANK(tbl_task10[[คะแนนเต็ม]:[คะแนนเต็ม]]),"",(tbl_task10[80]/tbl_task10[[คะแนนเต็ม]:[คะแนนเต็ม]])*tbl_task10[[%]:[%]])</f>
        <v/>
      </c>
      <c r="IQ11" s="121" t="str">
        <f>IF(ISBLANK(tbl_task10[[คะแนนเต็ม]:[คะแนนเต็ม]]),"",(tbl_task10[81]/tbl_task10[[คะแนนเต็ม]:[คะแนนเต็ม]])*tbl_task10[[%]:[%]])</f>
        <v/>
      </c>
      <c r="IR11" s="121" t="str">
        <f>IF(ISBLANK(tbl_task10[[คะแนนเต็ม]:[คะแนนเต็ม]]),"",(tbl_task10[82]/tbl_task10[[คะแนนเต็ม]:[คะแนนเต็ม]])*tbl_task10[[%]:[%]])</f>
        <v/>
      </c>
      <c r="IS11" s="121" t="str">
        <f>IF(ISBLANK(tbl_task10[[คะแนนเต็ม]:[คะแนนเต็ม]]),"",(tbl_task10[83]/tbl_task10[[คะแนนเต็ม]:[คะแนนเต็ม]])*tbl_task10[[%]:[%]])</f>
        <v/>
      </c>
      <c r="IT11" s="121" t="str">
        <f>IF(ISBLANK(tbl_task10[[คะแนนเต็ม]:[คะแนนเต็ม]]),"",(tbl_task10[84]/tbl_task10[[คะแนนเต็ม]:[คะแนนเต็ม]])*tbl_task10[[%]:[%]])</f>
        <v/>
      </c>
      <c r="IU11" s="121" t="str">
        <f>IF(ISBLANK(tbl_task10[[คะแนนเต็ม]:[คะแนนเต็ม]]),"",(tbl_task10[85]/tbl_task10[[คะแนนเต็ม]:[คะแนนเต็ม]])*tbl_task10[[%]:[%]])</f>
        <v/>
      </c>
      <c r="IV11" s="121" t="str">
        <f>IF(ISBLANK(tbl_task10[[คะแนนเต็ม]:[คะแนนเต็ม]]),"",(tbl_task10[86]/tbl_task10[[คะแนนเต็ม]:[คะแนนเต็ม]])*tbl_task10[[%]:[%]])</f>
        <v/>
      </c>
      <c r="IW11" s="121" t="str">
        <f>IF(ISBLANK(tbl_task10[[คะแนนเต็ม]:[คะแนนเต็ม]]),"",(tbl_task10[87]/tbl_task10[[คะแนนเต็ม]:[คะแนนเต็ม]])*tbl_task10[[%]:[%]])</f>
        <v/>
      </c>
      <c r="IX11" s="121" t="str">
        <f>IF(ISBLANK(tbl_task10[[คะแนนเต็ม]:[คะแนนเต็ม]]),"",(tbl_task10[88]/tbl_task10[[คะแนนเต็ม]:[คะแนนเต็ม]])*tbl_task10[[%]:[%]])</f>
        <v/>
      </c>
      <c r="IY11" s="121" t="str">
        <f>IF(ISBLANK(tbl_task10[[คะแนนเต็ม]:[คะแนนเต็ม]]),"",(tbl_task10[89]/tbl_task10[[คะแนนเต็ม]:[คะแนนเต็ม]])*tbl_task10[[%]:[%]])</f>
        <v/>
      </c>
      <c r="IZ11" s="121" t="str">
        <f>IF(ISBLANK(tbl_task10[[คะแนนเต็ม]:[คะแนนเต็ม]]),"",(tbl_task10[90]/tbl_task10[[คะแนนเต็ม]:[คะแนนเต็ม]])*tbl_task10[[%]:[%]])</f>
        <v/>
      </c>
      <c r="JA11" s="121" t="str">
        <f>IF(ISBLANK(tbl_task10[[คะแนนเต็ม]:[คะแนนเต็ม]]),"",(tbl_task10[91]/tbl_task10[[คะแนนเต็ม]:[คะแนนเต็ม]])*tbl_task10[[%]:[%]])</f>
        <v/>
      </c>
      <c r="JB11" s="121" t="str">
        <f>IF(ISBLANK(tbl_task10[[คะแนนเต็ม]:[คะแนนเต็ม]]),"",(tbl_task10[92]/tbl_task10[[คะแนนเต็ม]:[คะแนนเต็ม]])*tbl_task10[[%]:[%]])</f>
        <v/>
      </c>
      <c r="JC11" s="121" t="str">
        <f>IF(ISBLANK(tbl_task10[[คะแนนเต็ม]:[คะแนนเต็ม]]),"",(tbl_task10[93]/tbl_task10[[คะแนนเต็ม]:[คะแนนเต็ม]])*tbl_task10[[%]:[%]])</f>
        <v/>
      </c>
      <c r="JD11" s="121" t="str">
        <f>IF(ISBLANK(tbl_task10[[คะแนนเต็ม]:[คะแนนเต็ม]]),"",(tbl_task10[94]/tbl_task10[[คะแนนเต็ม]:[คะแนนเต็ม]])*tbl_task10[[%]:[%]])</f>
        <v/>
      </c>
      <c r="JE11" s="121" t="str">
        <f>IF(ISBLANK(tbl_task10[[คะแนนเต็ม]:[คะแนนเต็ม]]),"",(tbl_task10[95]/tbl_task10[[คะแนนเต็ม]:[คะแนนเต็ม]])*tbl_task10[[%]:[%]])</f>
        <v/>
      </c>
      <c r="JF11" s="121" t="str">
        <f>IF(ISBLANK(tbl_task10[[คะแนนเต็ม]:[คะแนนเต็ม]]),"",(tbl_task10[96]/tbl_task10[[คะแนนเต็ม]:[คะแนนเต็ม]])*tbl_task10[[%]:[%]])</f>
        <v/>
      </c>
      <c r="JG11" s="121" t="str">
        <f>IF(ISBLANK(tbl_task10[[คะแนนเต็ม]:[คะแนนเต็ม]]),"",(tbl_task10[97]/tbl_task10[[คะแนนเต็ม]:[คะแนนเต็ม]])*tbl_task10[[%]:[%]])</f>
        <v/>
      </c>
      <c r="JH11" s="121" t="str">
        <f>IF(ISBLANK(tbl_task10[[คะแนนเต็ม]:[คะแนนเต็ม]]),"",(tbl_task10[98]/tbl_task10[[คะแนนเต็ม]:[คะแนนเต็ม]])*tbl_task10[[%]:[%]])</f>
        <v/>
      </c>
      <c r="JI11" s="121" t="str">
        <f>IF(ISBLANK(tbl_task10[[คะแนนเต็ม]:[คะแนนเต็ม]]),"",(tbl_task10[99]/tbl_task10[[คะแนนเต็ม]:[คะแนนเต็ม]])*tbl_task10[[%]:[%]])</f>
        <v/>
      </c>
      <c r="JJ11" s="121" t="str">
        <f>IF(ISBLANK(tbl_task10[[คะแนนเต็ม]:[คะแนนเต็ม]]),"",(tbl_task10[100]/tbl_task10[[คะแนนเต็ม]:[คะแนนเต็ม]])*tbl_task10[[%]:[%]])</f>
        <v/>
      </c>
      <c r="JK11" s="121" t="str">
        <f>IF(ISBLANK(tbl_task10[[คะแนนเต็ม]:[คะแนนเต็ม]]),"",(tbl_task10[101]/tbl_task10[[คะแนนเต็ม]:[คะแนนเต็ม]])*tbl_task10[[%]:[%]])</f>
        <v/>
      </c>
      <c r="JL11" s="121" t="str">
        <f>IF(ISBLANK(tbl_task10[[คะแนนเต็ม]:[คะแนนเต็ม]]),"",(tbl_task10[102]/tbl_task10[[คะแนนเต็ม]:[คะแนนเต็ม]])*tbl_task10[[%]:[%]])</f>
        <v/>
      </c>
      <c r="JM11" s="121" t="str">
        <f>IF(ISBLANK(tbl_task10[[คะแนนเต็ม]:[คะแนนเต็ม]]),"",(tbl_task10[103]/tbl_task10[[คะแนนเต็ม]:[คะแนนเต็ม]])*tbl_task10[[%]:[%]])</f>
        <v/>
      </c>
      <c r="JN11" s="121" t="str">
        <f>IF(ISBLANK(tbl_task10[[คะแนนเต็ม]:[คะแนนเต็ม]]),"",(tbl_task10[104]/tbl_task10[[คะแนนเต็ม]:[คะแนนเต็ม]])*tbl_task10[[%]:[%]])</f>
        <v/>
      </c>
      <c r="JO11" s="121" t="str">
        <f>IF(ISBLANK(tbl_task10[[คะแนนเต็ม]:[คะแนนเต็ม]]),"",(tbl_task10[105]/tbl_task10[[คะแนนเต็ม]:[คะแนนเต็ม]])*tbl_task10[[%]:[%]])</f>
        <v/>
      </c>
      <c r="JP11" s="121" t="str">
        <f>IF(ISBLANK(tbl_task10[[คะแนนเต็ม]:[คะแนนเต็ม]]),"",(tbl_task10[106]/tbl_task10[[คะแนนเต็ม]:[คะแนนเต็ม]])*tbl_task10[[%]:[%]])</f>
        <v/>
      </c>
      <c r="JQ11" s="121" t="str">
        <f>IF(ISBLANK(tbl_task10[[คะแนนเต็ม]:[คะแนนเต็ม]]),"",(tbl_task10[107]/tbl_task10[[คะแนนเต็ม]:[คะแนนเต็ม]])*tbl_task10[[%]:[%]])</f>
        <v/>
      </c>
      <c r="JR11" s="121" t="str">
        <f>IF(ISBLANK(tbl_task10[[คะแนนเต็ม]:[คะแนนเต็ม]]),"",(tbl_task10[108]/tbl_task10[[คะแนนเต็ม]:[คะแนนเต็ม]])*tbl_task10[[%]:[%]])</f>
        <v/>
      </c>
      <c r="JS11" s="121" t="str">
        <f>IF(ISBLANK(tbl_task10[[คะแนนเต็ม]:[คะแนนเต็ม]]),"",(tbl_task10[109]/tbl_task10[[คะแนนเต็ม]:[คะแนนเต็ม]])*tbl_task10[[%]:[%]])</f>
        <v/>
      </c>
      <c r="JT11" s="121" t="str">
        <f>IF(ISBLANK(tbl_task10[[คะแนนเต็ม]:[คะแนนเต็ม]]),"",(tbl_task10[110]/tbl_task10[[คะแนนเต็ม]:[คะแนนเต็ม]])*tbl_task10[[%]:[%]])</f>
        <v/>
      </c>
      <c r="JU11" s="121" t="str">
        <f>IF(ISBLANK(tbl_task10[[คะแนนเต็ม]:[คะแนนเต็ม]]),"",(tbl_task10[111]/tbl_task10[[คะแนนเต็ม]:[คะแนนเต็ม]])*tbl_task10[[%]:[%]])</f>
        <v/>
      </c>
      <c r="JV11" s="121" t="str">
        <f>IF(ISBLANK(tbl_task10[[คะแนนเต็ม]:[คะแนนเต็ม]]),"",(tbl_task10[112]/tbl_task10[[คะแนนเต็ม]:[คะแนนเต็ม]])*tbl_task10[[%]:[%]])</f>
        <v/>
      </c>
      <c r="JW11" s="121" t="str">
        <f>IF(ISBLANK(tbl_task10[[คะแนนเต็ม]:[คะแนนเต็ม]]),"",(tbl_task10[113]/tbl_task10[[คะแนนเต็ม]:[คะแนนเต็ม]])*tbl_task10[[%]:[%]])</f>
        <v/>
      </c>
      <c r="JX11" s="121" t="str">
        <f>IF(ISBLANK(tbl_task10[[คะแนนเต็ม]:[คะแนนเต็ม]]),"",(tbl_task10[114]/tbl_task10[[คะแนนเต็ม]:[คะแนนเต็ม]])*tbl_task10[[%]:[%]])</f>
        <v/>
      </c>
      <c r="JY11" s="121" t="str">
        <f>IF(ISBLANK(tbl_task10[[คะแนนเต็ม]:[คะแนนเต็ม]]),"",(tbl_task10[115]/tbl_task10[[คะแนนเต็ม]:[คะแนนเต็ม]])*tbl_task10[[%]:[%]])</f>
        <v/>
      </c>
      <c r="JZ11" s="121" t="str">
        <f>IF(ISBLANK(tbl_task10[[คะแนนเต็ม]:[คะแนนเต็ม]]),"",(tbl_task10[116]/tbl_task10[[คะแนนเต็ม]:[คะแนนเต็ม]])*tbl_task10[[%]:[%]])</f>
        <v/>
      </c>
      <c r="KA11" s="121" t="str">
        <f>IF(ISBLANK(tbl_task10[[คะแนนเต็ม]:[คะแนนเต็ม]]),"",(tbl_task10[117]/tbl_task10[[คะแนนเต็ม]:[คะแนนเต็ม]])*tbl_task10[[%]:[%]])</f>
        <v/>
      </c>
      <c r="KB11" s="121" t="str">
        <f>IF(ISBLANK(tbl_task10[[คะแนนเต็ม]:[คะแนนเต็ม]]),"",(tbl_task10[118]/tbl_task10[[คะแนนเต็ม]:[คะแนนเต็ม]])*tbl_task10[[%]:[%]])</f>
        <v/>
      </c>
      <c r="KC11" s="121" t="str">
        <f>IF(ISBLANK(tbl_task10[[คะแนนเต็ม]:[คะแนนเต็ม]]),"",(tbl_task10[119]/tbl_task10[[คะแนนเต็ม]:[คะแนนเต็ม]])*tbl_task10[[%]:[%]])</f>
        <v/>
      </c>
      <c r="KD11" s="121" t="str">
        <f>IF(ISBLANK(tbl_task10[[คะแนนเต็ม]:[คะแนนเต็ม]]),"",(tbl_task10[120]/tbl_task10[[คะแนนเต็ม]:[คะแนนเต็ม]])*tbl_task10[[%]:[%]])</f>
        <v/>
      </c>
      <c r="KE11" s="121" t="str">
        <f>IF(ISBLANK(tbl_task10[[คะแนนเต็ม]:[คะแนนเต็ม]]),"",(tbl_task10[121]/tbl_task10[[คะแนนเต็ม]:[คะแนนเต็ม]])*tbl_task10[[%]:[%]])</f>
        <v/>
      </c>
      <c r="KF11" s="121" t="str">
        <f>IF(ISBLANK(tbl_task10[[คะแนนเต็ม]:[คะแนนเต็ม]]),"",(tbl_task10[122]/tbl_task10[[คะแนนเต็ม]:[คะแนนเต็ม]])*tbl_task10[[%]:[%]])</f>
        <v/>
      </c>
      <c r="KG11" s="121" t="str">
        <f>IF(ISBLANK(tbl_task10[[คะแนนเต็ม]:[คะแนนเต็ม]]),"",(tbl_task10[123]/tbl_task10[[คะแนนเต็ม]:[คะแนนเต็ม]])*tbl_task10[[%]:[%]])</f>
        <v/>
      </c>
      <c r="KH11" s="121" t="str">
        <f>IF(ISBLANK(tbl_task10[[คะแนนเต็ม]:[คะแนนเต็ม]]),"",(tbl_task10[124]/tbl_task10[[คะแนนเต็ม]:[คะแนนเต็ม]])*tbl_task10[[%]:[%]])</f>
        <v/>
      </c>
      <c r="KI11" s="121" t="str">
        <f>IF(ISBLANK(tbl_task10[[คะแนนเต็ม]:[คะแนนเต็ม]]),"",(tbl_task10[125]/tbl_task10[[คะแนนเต็ม]:[คะแนนเต็ม]])*tbl_task10[[%]:[%]])</f>
        <v/>
      </c>
      <c r="KJ11" s="121" t="str">
        <f>IF(ISBLANK(tbl_task10[[คะแนนเต็ม]:[คะแนนเต็ม]]),"",(tbl_task10[126]/tbl_task10[[คะแนนเต็ม]:[คะแนนเต็ม]])*tbl_task10[[%]:[%]])</f>
        <v/>
      </c>
      <c r="KK11" s="121" t="str">
        <f>IF(ISBLANK(tbl_task10[[คะแนนเต็ม]:[คะแนนเต็ม]]),"",(tbl_task10[127]/tbl_task10[[คะแนนเต็ม]:[คะแนนเต็ม]])*tbl_task10[[%]:[%]])</f>
        <v/>
      </c>
      <c r="KL11" s="121" t="str">
        <f>IF(ISBLANK(tbl_task10[[คะแนนเต็ม]:[คะแนนเต็ม]]),"",(tbl_task10[128]/tbl_task10[[คะแนนเต็ม]:[คะแนนเต็ม]])*tbl_task10[[%]:[%]])</f>
        <v/>
      </c>
      <c r="KM11" s="121" t="str">
        <f>IF(ISBLANK(tbl_task10[[คะแนนเต็ม]:[คะแนนเต็ม]]),"",(tbl_task10[129]/tbl_task10[[คะแนนเต็ม]:[คะแนนเต็ม]])*tbl_task10[[%]:[%]])</f>
        <v/>
      </c>
      <c r="KN11" s="121" t="str">
        <f>IF(ISBLANK(tbl_task10[[คะแนนเต็ม]:[คะแนนเต็ม]]),"",(tbl_task10[130]/tbl_task10[[คะแนนเต็ม]:[คะแนนเต็ม]])*tbl_task10[[%]:[%]])</f>
        <v/>
      </c>
      <c r="KO11" s="121" t="str">
        <f>IF(ISBLANK(tbl_task10[[คะแนนเต็ม]:[คะแนนเต็ม]]),"",(tbl_task10[131]/tbl_task10[[คะแนนเต็ม]:[คะแนนเต็ม]])*tbl_task10[[%]:[%]])</f>
        <v/>
      </c>
      <c r="KP11" s="121" t="str">
        <f>IF(ISBLANK(tbl_task10[[คะแนนเต็ม]:[คะแนนเต็ม]]),"",(tbl_task10[132]/tbl_task10[[คะแนนเต็ม]:[คะแนนเต็ม]])*tbl_task10[[%]:[%]])</f>
        <v/>
      </c>
      <c r="KQ11" s="121" t="str">
        <f>IF(ISBLANK(tbl_task10[[คะแนนเต็ม]:[คะแนนเต็ม]]),"",(tbl_task10[133]/tbl_task10[[คะแนนเต็ม]:[คะแนนเต็ม]])*tbl_task10[[%]:[%]])</f>
        <v/>
      </c>
      <c r="KR11" s="121" t="str">
        <f>IF(ISBLANK(tbl_task10[[คะแนนเต็ม]:[คะแนนเต็ม]]),"",(tbl_task10[134]/tbl_task10[[คะแนนเต็ม]:[คะแนนเต็ม]])*tbl_task10[[%]:[%]])</f>
        <v/>
      </c>
      <c r="KS11" s="121" t="str">
        <f>IF(ISBLANK(tbl_task10[[คะแนนเต็ม]:[คะแนนเต็ม]]),"",(tbl_task10[135]/tbl_task10[[คะแนนเต็ม]:[คะแนนเต็ม]])*tbl_task10[[%]:[%]])</f>
        <v/>
      </c>
      <c r="KT11" s="121" t="str">
        <f>IF(ISBLANK(tbl_task10[[คะแนนเต็ม]:[คะแนนเต็ม]]),"",(tbl_task10[136]/tbl_task10[[คะแนนเต็ม]:[คะแนนเต็ม]])*tbl_task10[[%]:[%]])</f>
        <v/>
      </c>
      <c r="KU11" s="121" t="str">
        <f>IF(ISBLANK(tbl_task10[[คะแนนเต็ม]:[คะแนนเต็ม]]),"",(tbl_task10[137]/tbl_task10[[คะแนนเต็ม]:[คะแนนเต็ม]])*tbl_task10[[%]:[%]])</f>
        <v/>
      </c>
      <c r="KV11" s="121" t="str">
        <f>IF(ISBLANK(tbl_task10[[คะแนนเต็ม]:[คะแนนเต็ม]]),"",(tbl_task10[138]/tbl_task10[[คะแนนเต็ม]:[คะแนนเต็ม]])*tbl_task10[[%]:[%]])</f>
        <v/>
      </c>
      <c r="KW11" s="121" t="str">
        <f>IF(ISBLANK(tbl_task10[[คะแนนเต็ม]:[คะแนนเต็ม]]),"",(tbl_task10[139]/tbl_task10[[คะแนนเต็ม]:[คะแนนเต็ม]])*tbl_task10[[%]:[%]])</f>
        <v/>
      </c>
      <c r="KX11" s="121" t="str">
        <f>IF(ISBLANK(tbl_task10[[คะแนนเต็ม]:[คะแนนเต็ม]]),"",(tbl_task10[140]/tbl_task10[[คะแนนเต็ม]:[คะแนนเต็ม]])*tbl_task10[[%]:[%]])</f>
        <v/>
      </c>
      <c r="KY11" s="121" t="str">
        <f>IF(ISBLANK(tbl_task10[[คะแนนเต็ม]:[คะแนนเต็ม]]),"",(tbl_task10[141]/tbl_task10[[คะแนนเต็ม]:[คะแนนเต็ม]])*tbl_task10[[%]:[%]])</f>
        <v/>
      </c>
      <c r="KZ11" s="121" t="str">
        <f>IF(ISBLANK(tbl_task10[[คะแนนเต็ม]:[คะแนนเต็ม]]),"",(tbl_task10[142]/tbl_task10[[คะแนนเต็ม]:[คะแนนเต็ม]])*tbl_task10[[%]:[%]])</f>
        <v/>
      </c>
      <c r="LA11" s="121" t="str">
        <f>IF(ISBLANK(tbl_task10[[คะแนนเต็ม]:[คะแนนเต็ม]]),"",(tbl_task10[143]/tbl_task10[[คะแนนเต็ม]:[คะแนนเต็ม]])*tbl_task10[[%]:[%]])</f>
        <v/>
      </c>
      <c r="LB11" s="121" t="str">
        <f>IF(ISBLANK(tbl_task10[[คะแนนเต็ม]:[คะแนนเต็ม]]),"",(tbl_task10[144]/tbl_task10[[คะแนนเต็ม]:[คะแนนเต็ม]])*tbl_task10[[%]:[%]])</f>
        <v/>
      </c>
      <c r="LC11" s="121" t="str">
        <f>IF(ISBLANK(tbl_task10[[คะแนนเต็ม]:[คะแนนเต็ม]]),"",(tbl_task10[145]/tbl_task10[[คะแนนเต็ม]:[คะแนนเต็ม]])*tbl_task10[[%]:[%]])</f>
        <v/>
      </c>
      <c r="LD11" s="121" t="str">
        <f>IF(ISBLANK(tbl_task10[[คะแนนเต็ม]:[คะแนนเต็ม]]),"",(tbl_task10[146]/tbl_task10[[คะแนนเต็ม]:[คะแนนเต็ม]])*tbl_task10[[%]:[%]])</f>
        <v/>
      </c>
      <c r="LE11" s="121" t="str">
        <f>IF(ISBLANK(tbl_task10[[คะแนนเต็ม]:[คะแนนเต็ม]]),"",(tbl_task10[147]/tbl_task10[[คะแนนเต็ม]:[คะแนนเต็ม]])*tbl_task10[[%]:[%]])</f>
        <v/>
      </c>
      <c r="LF11" s="121" t="str">
        <f>IF(ISBLANK(tbl_task10[[คะแนนเต็ม]:[คะแนนเต็ม]]),"",(tbl_task10[148]/tbl_task10[[คะแนนเต็ม]:[คะแนนเต็ม]])*tbl_task10[[%]:[%]])</f>
        <v/>
      </c>
      <c r="LG11" s="121" t="str">
        <f>IF(ISBLANK(tbl_task10[[คะแนนเต็ม]:[คะแนนเต็ม]]),"",(tbl_task10[149]/tbl_task10[[คะแนนเต็ม]:[คะแนนเต็ม]])*tbl_task10[[%]:[%]])</f>
        <v/>
      </c>
      <c r="LH11" s="121" t="str">
        <f>IF(ISBLANK(tbl_task10[[คะแนนเต็ม]:[คะแนนเต็ม]]),"",(tbl_task10[150]/tbl_task10[[คะแนนเต็ม]:[คะแนนเต็ม]])*tbl_task10[[%]:[%]])</f>
        <v/>
      </c>
      <c r="LI11" s="121" t="str">
        <f>IF(ISBLANK(tbl_task10[[คะแนนเต็ม]:[คะแนนเต็ม]]),"",(tbl_task10[151]/tbl_task10[[คะแนนเต็ม]:[คะแนนเต็ม]])*tbl_task10[[%]:[%]])</f>
        <v/>
      </c>
      <c r="LJ11" s="121" t="str">
        <f>IF(ISBLANK(tbl_task10[[คะแนนเต็ม]:[คะแนนเต็ม]]),"",(tbl_task10[152]/tbl_task10[[คะแนนเต็ม]:[คะแนนเต็ม]])*tbl_task10[[%]:[%]])</f>
        <v/>
      </c>
      <c r="LK11" s="121" t="str">
        <f>IF(ISBLANK(tbl_task10[[คะแนนเต็ม]:[คะแนนเต็ม]]),"",(tbl_task10[153]/tbl_task10[[คะแนนเต็ม]:[คะแนนเต็ม]])*tbl_task10[[%]:[%]])</f>
        <v/>
      </c>
      <c r="LL11" s="121" t="str">
        <f>IF(ISBLANK(tbl_task10[[คะแนนเต็ม]:[คะแนนเต็ม]]),"",(tbl_task10[154]/tbl_task10[[คะแนนเต็ม]:[คะแนนเต็ม]])*tbl_task10[[%]:[%]])</f>
        <v/>
      </c>
      <c r="LM11" s="121" t="str">
        <f>IF(ISBLANK(tbl_task10[[คะแนนเต็ม]:[คะแนนเต็ม]]),"",(tbl_task10[155]/tbl_task10[[คะแนนเต็ม]:[คะแนนเต็ม]])*tbl_task10[[%]:[%]])</f>
        <v/>
      </c>
      <c r="LN11" s="121" t="str">
        <f>IF(ISBLANK(tbl_task10[[คะแนนเต็ม]:[คะแนนเต็ม]]),"",(tbl_task10[156]/tbl_task10[[คะแนนเต็ม]:[คะแนนเต็ม]])*tbl_task10[[%]:[%]])</f>
        <v/>
      </c>
      <c r="LO11" s="121" t="str">
        <f>IF(ISBLANK(tbl_task10[[คะแนนเต็ม]:[คะแนนเต็ม]]),"",(tbl_task10[157]/tbl_task10[[คะแนนเต็ม]:[คะแนนเต็ม]])*tbl_task10[[%]:[%]])</f>
        <v/>
      </c>
      <c r="LP11" s="121" t="str">
        <f>IF(ISBLANK(tbl_task10[[คะแนนเต็ม]:[คะแนนเต็ม]]),"",(tbl_task10[158]/tbl_task10[[คะแนนเต็ม]:[คะแนนเต็ม]])*tbl_task10[[%]:[%]])</f>
        <v/>
      </c>
      <c r="LQ11" s="121" t="str">
        <f>IF(ISBLANK(tbl_task10[[คะแนนเต็ม]:[คะแนนเต็ม]]),"",(tbl_task10[159]/tbl_task10[[คะแนนเต็ม]:[คะแนนเต็ม]])*tbl_task10[[%]:[%]])</f>
        <v/>
      </c>
      <c r="LR11" s="121" t="str">
        <f>IF(ISBLANK(tbl_task10[[คะแนนเต็ม]:[คะแนนเต็ม]]),"",(tbl_task10[160]/tbl_task10[[คะแนนเต็ม]:[คะแนนเต็ม]])*tbl_task10[[%]:[%]])</f>
        <v/>
      </c>
      <c r="LS11" s="121" t="str">
        <f>IF(ISBLANK(tbl_task10[[คะแนนเต็ม]:[คะแนนเต็ม]]),"",(tbl_task10[161]/tbl_task10[[คะแนนเต็ม]:[คะแนนเต็ม]])*tbl_task10[[%]:[%]])</f>
        <v/>
      </c>
      <c r="LT11" s="121" t="str">
        <f>IF(ISBLANK(tbl_task10[[คะแนนเต็ม]:[คะแนนเต็ม]]),"",(tbl_task10[162]/tbl_task10[[คะแนนเต็ม]:[คะแนนเต็ม]])*tbl_task10[[%]:[%]])</f>
        <v/>
      </c>
      <c r="LU11" s="121" t="str">
        <f>IF(ISBLANK(tbl_task10[[คะแนนเต็ม]:[คะแนนเต็ม]]),"",(tbl_task10[163]/tbl_task10[[คะแนนเต็ม]:[คะแนนเต็ม]])*tbl_task10[[%]:[%]])</f>
        <v/>
      </c>
      <c r="LV11" s="121" t="str">
        <f>IF(ISBLANK(tbl_task10[[คะแนนเต็ม]:[คะแนนเต็ม]]),"",(tbl_task10[164]/tbl_task10[[คะแนนเต็ม]:[คะแนนเต็ม]])*tbl_task10[[%]:[%]])</f>
        <v/>
      </c>
      <c r="LW11" s="121" t="str">
        <f>IF(ISBLANK(tbl_task10[[คะแนนเต็ม]:[คะแนนเต็ม]]),"",(tbl_task10[165]/tbl_task10[[คะแนนเต็ม]:[คะแนนเต็ม]])*tbl_task10[[%]:[%]])</f>
        <v/>
      </c>
    </row>
    <row r="12" spans="1:335" ht="24" customHeight="1" x14ac:dyDescent="0.25">
      <c r="A12" s="24">
        <v>9</v>
      </c>
      <c r="B12" s="20"/>
      <c r="C12" s="5" t="str">
        <f>IF(ISBLANK(B12),"",VLOOKUP(B12,tbl_PLOs[],2,0))</f>
        <v/>
      </c>
      <c r="D12" s="102"/>
      <c r="E12" s="106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22"/>
      <c r="FO12" s="121" t="str">
        <f>IF(ISBLANK(tbl_task10[[คะแนนเต็ม]:[คะแนนเต็ม]]),"",(tbl_task10[1]/tbl_task10[[คะแนนเต็ม]:[คะแนนเต็ม]])*tbl_task10[[%]:[%]])</f>
        <v/>
      </c>
      <c r="FP12" s="121" t="str">
        <f>IF(ISBLANK(tbl_task10[[คะแนนเต็ม]:[คะแนนเต็ม]]),"",(tbl_task10[2]/tbl_task10[[คะแนนเต็ม]:[คะแนนเต็ม]])*tbl_task10[[%]:[%]])</f>
        <v/>
      </c>
      <c r="FQ12" s="121" t="str">
        <f>IF(ISBLANK(tbl_task10[[คะแนนเต็ม]:[คะแนนเต็ม]]),"",(tbl_task10[3]/tbl_task10[[คะแนนเต็ม]:[คะแนนเต็ม]])*tbl_task10[[%]:[%]])</f>
        <v/>
      </c>
      <c r="FR12" s="121" t="str">
        <f>IF(ISBLANK(tbl_task10[[คะแนนเต็ม]:[คะแนนเต็ม]]),"",(tbl_task10[4]/tbl_task10[[คะแนนเต็ม]:[คะแนนเต็ม]])*tbl_task10[[%]:[%]])</f>
        <v/>
      </c>
      <c r="FS12" s="121" t="str">
        <f>IF(ISBLANK(tbl_task10[[คะแนนเต็ม]:[คะแนนเต็ม]]),"",(tbl_task10[5]/tbl_task10[[คะแนนเต็ม]:[คะแนนเต็ม]])*tbl_task10[[%]:[%]])</f>
        <v/>
      </c>
      <c r="FT12" s="121" t="str">
        <f>IF(ISBLANK(tbl_task10[[คะแนนเต็ม]:[คะแนนเต็ม]]),"",(tbl_task10[6]/tbl_task10[[คะแนนเต็ม]:[คะแนนเต็ม]])*tbl_task10[[%]:[%]])</f>
        <v/>
      </c>
      <c r="FU12" s="121" t="str">
        <f>IF(ISBLANK(tbl_task10[[คะแนนเต็ม]:[คะแนนเต็ม]]),"",(tbl_task10[7]/tbl_task10[[คะแนนเต็ม]:[คะแนนเต็ม]])*tbl_task10[[%]:[%]])</f>
        <v/>
      </c>
      <c r="FV12" s="121" t="str">
        <f>IF(ISBLANK(tbl_task10[[คะแนนเต็ม]:[คะแนนเต็ม]]),"",(tbl_task10[8]/tbl_task10[[คะแนนเต็ม]:[คะแนนเต็ม]])*tbl_task10[[%]:[%]])</f>
        <v/>
      </c>
      <c r="FW12" s="121" t="str">
        <f>IF(ISBLANK(tbl_task10[[คะแนนเต็ม]:[คะแนนเต็ม]]),"",(tbl_task10[9]/tbl_task10[[คะแนนเต็ม]:[คะแนนเต็ม]])*tbl_task10[[%]:[%]])</f>
        <v/>
      </c>
      <c r="FX12" s="121" t="str">
        <f>IF(ISBLANK(tbl_task10[[คะแนนเต็ม]:[คะแนนเต็ม]]),"",(tbl_task10[10]/tbl_task10[[คะแนนเต็ม]:[คะแนนเต็ม]])*tbl_task10[[%]:[%]])</f>
        <v/>
      </c>
      <c r="FY12" s="121" t="str">
        <f>IF(ISBLANK(tbl_task10[[คะแนนเต็ม]:[คะแนนเต็ม]]),"",(tbl_task10[11]/tbl_task10[[คะแนนเต็ม]:[คะแนนเต็ม]])*tbl_task10[[%]:[%]])</f>
        <v/>
      </c>
      <c r="FZ12" s="121" t="str">
        <f>IF(ISBLANK(tbl_task10[[คะแนนเต็ม]:[คะแนนเต็ม]]),"",(tbl_task10[12]/tbl_task10[[คะแนนเต็ม]:[คะแนนเต็ม]])*tbl_task10[[%]:[%]])</f>
        <v/>
      </c>
      <c r="GA12" s="121" t="str">
        <f>IF(ISBLANK(tbl_task10[[คะแนนเต็ม]:[คะแนนเต็ม]]),"",(tbl_task10[13]/tbl_task10[[คะแนนเต็ม]:[คะแนนเต็ม]])*tbl_task10[[%]:[%]])</f>
        <v/>
      </c>
      <c r="GB12" s="121" t="str">
        <f>IF(ISBLANK(tbl_task10[[คะแนนเต็ม]:[คะแนนเต็ม]]),"",(tbl_task10[14]/tbl_task10[[คะแนนเต็ม]:[คะแนนเต็ม]])*tbl_task10[[%]:[%]])</f>
        <v/>
      </c>
      <c r="GC12" s="121" t="str">
        <f>IF(ISBLANK(tbl_task10[[คะแนนเต็ม]:[คะแนนเต็ม]]),"",(tbl_task10[15]/tbl_task10[[คะแนนเต็ม]:[คะแนนเต็ม]])*tbl_task10[[%]:[%]])</f>
        <v/>
      </c>
      <c r="GD12" s="121" t="str">
        <f>IF(ISBLANK(tbl_task10[[คะแนนเต็ม]:[คะแนนเต็ม]]),"",(tbl_task10[16]/tbl_task10[[คะแนนเต็ม]:[คะแนนเต็ม]])*tbl_task10[[%]:[%]])</f>
        <v/>
      </c>
      <c r="GE12" s="121" t="str">
        <f>IF(ISBLANK(tbl_task10[[คะแนนเต็ม]:[คะแนนเต็ม]]),"",(tbl_task10[17]/tbl_task10[[คะแนนเต็ม]:[คะแนนเต็ม]])*tbl_task10[[%]:[%]])</f>
        <v/>
      </c>
      <c r="GF12" s="121" t="str">
        <f>IF(ISBLANK(tbl_task10[[คะแนนเต็ม]:[คะแนนเต็ม]]),"",(tbl_task10[18]/tbl_task10[[คะแนนเต็ม]:[คะแนนเต็ม]])*tbl_task10[[%]:[%]])</f>
        <v/>
      </c>
      <c r="GG12" s="121" t="str">
        <f>IF(ISBLANK(tbl_task10[[คะแนนเต็ม]:[คะแนนเต็ม]]),"",(tbl_task10[19]/tbl_task10[[คะแนนเต็ม]:[คะแนนเต็ม]])*tbl_task10[[%]:[%]])</f>
        <v/>
      </c>
      <c r="GH12" s="121" t="str">
        <f>IF(ISBLANK(tbl_task10[[คะแนนเต็ม]:[คะแนนเต็ม]]),"",(tbl_task10[20]/tbl_task10[[คะแนนเต็ม]:[คะแนนเต็ม]])*tbl_task10[[%]:[%]])</f>
        <v/>
      </c>
      <c r="GI12" s="121" t="str">
        <f>IF(ISBLANK(tbl_task10[[คะแนนเต็ม]:[คะแนนเต็ม]]),"",(tbl_task10[21]/tbl_task10[[คะแนนเต็ม]:[คะแนนเต็ม]])*tbl_task10[[%]:[%]])</f>
        <v/>
      </c>
      <c r="GJ12" s="121" t="str">
        <f>IF(ISBLANK(tbl_task10[[คะแนนเต็ม]:[คะแนนเต็ม]]),"",(tbl_task10[22]/tbl_task10[[คะแนนเต็ม]:[คะแนนเต็ม]])*tbl_task10[[%]:[%]])</f>
        <v/>
      </c>
      <c r="GK12" s="121" t="str">
        <f>IF(ISBLANK(tbl_task10[[คะแนนเต็ม]:[คะแนนเต็ม]]),"",(tbl_task10[23]/tbl_task10[[คะแนนเต็ม]:[คะแนนเต็ม]])*tbl_task10[[%]:[%]])</f>
        <v/>
      </c>
      <c r="GL12" s="121" t="str">
        <f>IF(ISBLANK(tbl_task10[[คะแนนเต็ม]:[คะแนนเต็ม]]),"",(tbl_task10[24]/tbl_task10[[คะแนนเต็ม]:[คะแนนเต็ม]])*tbl_task10[[%]:[%]])</f>
        <v/>
      </c>
      <c r="GM12" s="121" t="str">
        <f>IF(ISBLANK(tbl_task10[[คะแนนเต็ม]:[คะแนนเต็ม]]),"",(tbl_task10[25]/tbl_task10[[คะแนนเต็ม]:[คะแนนเต็ม]])*tbl_task10[[%]:[%]])</f>
        <v/>
      </c>
      <c r="GN12" s="121" t="str">
        <f>IF(ISBLANK(tbl_task10[[คะแนนเต็ม]:[คะแนนเต็ม]]),"",(tbl_task10[26]/tbl_task10[[คะแนนเต็ม]:[คะแนนเต็ม]])*tbl_task10[[%]:[%]])</f>
        <v/>
      </c>
      <c r="GO12" s="121" t="str">
        <f>IF(ISBLANK(tbl_task10[[คะแนนเต็ม]:[คะแนนเต็ม]]),"",(tbl_task10[27]/tbl_task10[[คะแนนเต็ม]:[คะแนนเต็ม]])*tbl_task10[[%]:[%]])</f>
        <v/>
      </c>
      <c r="GP12" s="121" t="str">
        <f>IF(ISBLANK(tbl_task10[[คะแนนเต็ม]:[คะแนนเต็ม]]),"",(tbl_task10[28]/tbl_task10[[คะแนนเต็ม]:[คะแนนเต็ม]])*tbl_task10[[%]:[%]])</f>
        <v/>
      </c>
      <c r="GQ12" s="121" t="str">
        <f>IF(ISBLANK(tbl_task10[[คะแนนเต็ม]:[คะแนนเต็ม]]),"",(tbl_task10[29]/tbl_task10[[คะแนนเต็ม]:[คะแนนเต็ม]])*tbl_task10[[%]:[%]])</f>
        <v/>
      </c>
      <c r="GR12" s="121" t="str">
        <f>IF(ISBLANK(tbl_task10[[คะแนนเต็ม]:[คะแนนเต็ม]]),"",(tbl_task10[30]/tbl_task10[[คะแนนเต็ม]:[คะแนนเต็ม]])*tbl_task10[[%]:[%]])</f>
        <v/>
      </c>
      <c r="GS12" s="121" t="str">
        <f>IF(ISBLANK(tbl_task10[[คะแนนเต็ม]:[คะแนนเต็ม]]),"",(tbl_task10[31]/tbl_task10[[คะแนนเต็ม]:[คะแนนเต็ม]])*tbl_task10[[%]:[%]])</f>
        <v/>
      </c>
      <c r="GT12" s="121" t="str">
        <f>IF(ISBLANK(tbl_task10[[คะแนนเต็ม]:[คะแนนเต็ม]]),"",(tbl_task10[32]/tbl_task10[[คะแนนเต็ม]:[คะแนนเต็ม]])*tbl_task10[[%]:[%]])</f>
        <v/>
      </c>
      <c r="GU12" s="121" t="str">
        <f>IF(ISBLANK(tbl_task10[[คะแนนเต็ม]:[คะแนนเต็ม]]),"",(tbl_task10[33]/tbl_task10[[คะแนนเต็ม]:[คะแนนเต็ม]])*tbl_task10[[%]:[%]])</f>
        <v/>
      </c>
      <c r="GV12" s="121" t="str">
        <f>IF(ISBLANK(tbl_task10[[คะแนนเต็ม]:[คะแนนเต็ม]]),"",(tbl_task10[34]/tbl_task10[[คะแนนเต็ม]:[คะแนนเต็ม]])*tbl_task10[[%]:[%]])</f>
        <v/>
      </c>
      <c r="GW12" s="121" t="str">
        <f>IF(ISBLANK(tbl_task10[[คะแนนเต็ม]:[คะแนนเต็ม]]),"",(tbl_task10[35]/tbl_task10[[คะแนนเต็ม]:[คะแนนเต็ม]])*tbl_task10[[%]:[%]])</f>
        <v/>
      </c>
      <c r="GX12" s="121" t="str">
        <f>IF(ISBLANK(tbl_task10[[คะแนนเต็ม]:[คะแนนเต็ม]]),"",(tbl_task10[36]/tbl_task10[[คะแนนเต็ม]:[คะแนนเต็ม]])*tbl_task10[[%]:[%]])</f>
        <v/>
      </c>
      <c r="GY12" s="121" t="str">
        <f>IF(ISBLANK(tbl_task10[[คะแนนเต็ม]:[คะแนนเต็ม]]),"",(tbl_task10[37]/tbl_task10[[คะแนนเต็ม]:[คะแนนเต็ม]])*tbl_task10[[%]:[%]])</f>
        <v/>
      </c>
      <c r="GZ12" s="121" t="str">
        <f>IF(ISBLANK(tbl_task10[[คะแนนเต็ม]:[คะแนนเต็ม]]),"",(tbl_task10[38]/tbl_task10[[คะแนนเต็ม]:[คะแนนเต็ม]])*tbl_task10[[%]:[%]])</f>
        <v/>
      </c>
      <c r="HA12" s="121" t="str">
        <f>IF(ISBLANK(tbl_task10[[คะแนนเต็ม]:[คะแนนเต็ม]]),"",(tbl_task10[39]/tbl_task10[[คะแนนเต็ม]:[คะแนนเต็ม]])*tbl_task10[[%]:[%]])</f>
        <v/>
      </c>
      <c r="HB12" s="121" t="str">
        <f>IF(ISBLANK(tbl_task10[[คะแนนเต็ม]:[คะแนนเต็ม]]),"",(tbl_task10[40]/tbl_task10[[คะแนนเต็ม]:[คะแนนเต็ม]])*tbl_task10[[%]:[%]])</f>
        <v/>
      </c>
      <c r="HC12" s="121" t="str">
        <f>IF(ISBLANK(tbl_task10[[คะแนนเต็ม]:[คะแนนเต็ม]]),"",(tbl_task10[41]/tbl_task10[[คะแนนเต็ม]:[คะแนนเต็ม]])*tbl_task10[[%]:[%]])</f>
        <v/>
      </c>
      <c r="HD12" s="121" t="str">
        <f>IF(ISBLANK(tbl_task10[[คะแนนเต็ม]:[คะแนนเต็ม]]),"",(tbl_task10[42]/tbl_task10[[คะแนนเต็ม]:[คะแนนเต็ม]])*tbl_task10[[%]:[%]])</f>
        <v/>
      </c>
      <c r="HE12" s="121" t="str">
        <f>IF(ISBLANK(tbl_task10[[คะแนนเต็ม]:[คะแนนเต็ม]]),"",(tbl_task10[43]/tbl_task10[[คะแนนเต็ม]:[คะแนนเต็ม]])*tbl_task10[[%]:[%]])</f>
        <v/>
      </c>
      <c r="HF12" s="121" t="str">
        <f>IF(ISBLANK(tbl_task10[[คะแนนเต็ม]:[คะแนนเต็ม]]),"",(tbl_task10[44]/tbl_task10[[คะแนนเต็ม]:[คะแนนเต็ม]])*tbl_task10[[%]:[%]])</f>
        <v/>
      </c>
      <c r="HG12" s="121" t="str">
        <f>IF(ISBLANK(tbl_task10[[คะแนนเต็ม]:[คะแนนเต็ม]]),"",(tbl_task10[45]/tbl_task10[[คะแนนเต็ม]:[คะแนนเต็ม]])*tbl_task10[[%]:[%]])</f>
        <v/>
      </c>
      <c r="HH12" s="121" t="str">
        <f>IF(ISBLANK(tbl_task10[[คะแนนเต็ม]:[คะแนนเต็ม]]),"",(tbl_task10[46]/tbl_task10[[คะแนนเต็ม]:[คะแนนเต็ม]])*tbl_task10[[%]:[%]])</f>
        <v/>
      </c>
      <c r="HI12" s="121" t="str">
        <f>IF(ISBLANK(tbl_task10[[คะแนนเต็ม]:[คะแนนเต็ม]]),"",(tbl_task10[47]/tbl_task10[[คะแนนเต็ม]:[คะแนนเต็ม]])*tbl_task10[[%]:[%]])</f>
        <v/>
      </c>
      <c r="HJ12" s="121" t="str">
        <f>IF(ISBLANK(tbl_task10[[คะแนนเต็ม]:[คะแนนเต็ม]]),"",(tbl_task10[48]/tbl_task10[[คะแนนเต็ม]:[คะแนนเต็ม]])*tbl_task10[[%]:[%]])</f>
        <v/>
      </c>
      <c r="HK12" s="121" t="str">
        <f>IF(ISBLANK(tbl_task10[[คะแนนเต็ม]:[คะแนนเต็ม]]),"",(tbl_task10[49]/tbl_task10[[คะแนนเต็ม]:[คะแนนเต็ม]])*tbl_task10[[%]:[%]])</f>
        <v/>
      </c>
      <c r="HL12" s="121" t="str">
        <f>IF(ISBLANK(tbl_task10[[คะแนนเต็ม]:[คะแนนเต็ม]]),"",(tbl_task10[50]/tbl_task10[[คะแนนเต็ม]:[คะแนนเต็ม]])*tbl_task10[[%]:[%]])</f>
        <v/>
      </c>
      <c r="HM12" s="121" t="str">
        <f>IF(ISBLANK(tbl_task10[[คะแนนเต็ม]:[คะแนนเต็ม]]),"",(tbl_task10[51]/tbl_task10[[คะแนนเต็ม]:[คะแนนเต็ม]])*tbl_task10[[%]:[%]])</f>
        <v/>
      </c>
      <c r="HN12" s="121" t="str">
        <f>IF(ISBLANK(tbl_task10[[คะแนนเต็ม]:[คะแนนเต็ม]]),"",(tbl_task10[52]/tbl_task10[[คะแนนเต็ม]:[คะแนนเต็ม]])*tbl_task10[[%]:[%]])</f>
        <v/>
      </c>
      <c r="HO12" s="121" t="str">
        <f>IF(ISBLANK(tbl_task10[[คะแนนเต็ม]:[คะแนนเต็ม]]),"",(tbl_task10[53]/tbl_task10[[คะแนนเต็ม]:[คะแนนเต็ม]])*tbl_task10[[%]:[%]])</f>
        <v/>
      </c>
      <c r="HP12" s="121" t="str">
        <f>IF(ISBLANK(tbl_task10[[คะแนนเต็ม]:[คะแนนเต็ม]]),"",(tbl_task10[54]/tbl_task10[[คะแนนเต็ม]:[คะแนนเต็ม]])*tbl_task10[[%]:[%]])</f>
        <v/>
      </c>
      <c r="HQ12" s="121" t="str">
        <f>IF(ISBLANK(tbl_task10[[คะแนนเต็ม]:[คะแนนเต็ม]]),"",(tbl_task10[55]/tbl_task10[[คะแนนเต็ม]:[คะแนนเต็ม]])*tbl_task10[[%]:[%]])</f>
        <v/>
      </c>
      <c r="HR12" s="121" t="str">
        <f>IF(ISBLANK(tbl_task10[[คะแนนเต็ม]:[คะแนนเต็ม]]),"",(tbl_task10[56]/tbl_task10[[คะแนนเต็ม]:[คะแนนเต็ม]])*tbl_task10[[%]:[%]])</f>
        <v/>
      </c>
      <c r="HS12" s="121" t="str">
        <f>IF(ISBLANK(tbl_task10[[คะแนนเต็ม]:[คะแนนเต็ม]]),"",(tbl_task10[57]/tbl_task10[[คะแนนเต็ม]:[คะแนนเต็ม]])*tbl_task10[[%]:[%]])</f>
        <v/>
      </c>
      <c r="HT12" s="121" t="str">
        <f>IF(ISBLANK(tbl_task10[[คะแนนเต็ม]:[คะแนนเต็ม]]),"",(tbl_task10[58]/tbl_task10[[คะแนนเต็ม]:[คะแนนเต็ม]])*tbl_task10[[%]:[%]])</f>
        <v/>
      </c>
      <c r="HU12" s="121" t="str">
        <f>IF(ISBLANK(tbl_task10[[คะแนนเต็ม]:[คะแนนเต็ม]]),"",(tbl_task10[59]/tbl_task10[[คะแนนเต็ม]:[คะแนนเต็ม]])*tbl_task10[[%]:[%]])</f>
        <v/>
      </c>
      <c r="HV12" s="121" t="str">
        <f>IF(ISBLANK(tbl_task10[[คะแนนเต็ม]:[คะแนนเต็ม]]),"",(tbl_task10[60]/tbl_task10[[คะแนนเต็ม]:[คะแนนเต็ม]])*tbl_task10[[%]:[%]])</f>
        <v/>
      </c>
      <c r="HW12" s="121" t="str">
        <f>IF(ISBLANK(tbl_task10[[คะแนนเต็ม]:[คะแนนเต็ม]]),"",(tbl_task10[61]/tbl_task10[[คะแนนเต็ม]:[คะแนนเต็ม]])*tbl_task10[[%]:[%]])</f>
        <v/>
      </c>
      <c r="HX12" s="121" t="str">
        <f>IF(ISBLANK(tbl_task10[[คะแนนเต็ม]:[คะแนนเต็ม]]),"",(tbl_task10[62]/tbl_task10[[คะแนนเต็ม]:[คะแนนเต็ม]])*tbl_task10[[%]:[%]])</f>
        <v/>
      </c>
      <c r="HY12" s="121" t="str">
        <f>IF(ISBLANK(tbl_task10[[คะแนนเต็ม]:[คะแนนเต็ม]]),"",(tbl_task10[63]/tbl_task10[[คะแนนเต็ม]:[คะแนนเต็ม]])*tbl_task10[[%]:[%]])</f>
        <v/>
      </c>
      <c r="HZ12" s="121" t="str">
        <f>IF(ISBLANK(tbl_task10[[คะแนนเต็ม]:[คะแนนเต็ม]]),"",(tbl_task10[64]/tbl_task10[[คะแนนเต็ม]:[คะแนนเต็ม]])*tbl_task10[[%]:[%]])</f>
        <v/>
      </c>
      <c r="IA12" s="121" t="str">
        <f>IF(ISBLANK(tbl_task10[[คะแนนเต็ม]:[คะแนนเต็ม]]),"",(tbl_task10[65]/tbl_task10[[คะแนนเต็ม]:[คะแนนเต็ม]])*tbl_task10[[%]:[%]])</f>
        <v/>
      </c>
      <c r="IB12" s="121" t="str">
        <f>IF(ISBLANK(tbl_task10[[คะแนนเต็ม]:[คะแนนเต็ม]]),"",(tbl_task10[66]/tbl_task10[[คะแนนเต็ม]:[คะแนนเต็ม]])*tbl_task10[[%]:[%]])</f>
        <v/>
      </c>
      <c r="IC12" s="121" t="str">
        <f>IF(ISBLANK(tbl_task10[[คะแนนเต็ม]:[คะแนนเต็ม]]),"",(tbl_task10[67]/tbl_task10[[คะแนนเต็ม]:[คะแนนเต็ม]])*tbl_task10[[%]:[%]])</f>
        <v/>
      </c>
      <c r="ID12" s="121" t="str">
        <f>IF(ISBLANK(tbl_task10[[คะแนนเต็ม]:[คะแนนเต็ม]]),"",(tbl_task10[68]/tbl_task10[[คะแนนเต็ม]:[คะแนนเต็ม]])*tbl_task10[[%]:[%]])</f>
        <v/>
      </c>
      <c r="IE12" s="121" t="str">
        <f>IF(ISBLANK(tbl_task10[[คะแนนเต็ม]:[คะแนนเต็ม]]),"",(tbl_task10[69]/tbl_task10[[คะแนนเต็ม]:[คะแนนเต็ม]])*tbl_task10[[%]:[%]])</f>
        <v/>
      </c>
      <c r="IF12" s="121" t="str">
        <f>IF(ISBLANK(tbl_task10[[คะแนนเต็ม]:[คะแนนเต็ม]]),"",(tbl_task10[70]/tbl_task10[[คะแนนเต็ม]:[คะแนนเต็ม]])*tbl_task10[[%]:[%]])</f>
        <v/>
      </c>
      <c r="IG12" s="121" t="str">
        <f>IF(ISBLANK(tbl_task10[[คะแนนเต็ม]:[คะแนนเต็ม]]),"",(tbl_task10[71]/tbl_task10[[คะแนนเต็ม]:[คะแนนเต็ม]])*tbl_task10[[%]:[%]])</f>
        <v/>
      </c>
      <c r="IH12" s="121" t="str">
        <f>IF(ISBLANK(tbl_task10[[คะแนนเต็ม]:[คะแนนเต็ม]]),"",(tbl_task10[72]/tbl_task10[[คะแนนเต็ม]:[คะแนนเต็ม]])*tbl_task10[[%]:[%]])</f>
        <v/>
      </c>
      <c r="II12" s="121" t="str">
        <f>IF(ISBLANK(tbl_task10[[คะแนนเต็ม]:[คะแนนเต็ม]]),"",(tbl_task10[73]/tbl_task10[[คะแนนเต็ม]:[คะแนนเต็ม]])*tbl_task10[[%]:[%]])</f>
        <v/>
      </c>
      <c r="IJ12" s="121" t="str">
        <f>IF(ISBLANK(tbl_task10[[คะแนนเต็ม]:[คะแนนเต็ม]]),"",(tbl_task10[74]/tbl_task10[[คะแนนเต็ม]:[คะแนนเต็ม]])*tbl_task10[[%]:[%]])</f>
        <v/>
      </c>
      <c r="IK12" s="121" t="str">
        <f>IF(ISBLANK(tbl_task10[[คะแนนเต็ม]:[คะแนนเต็ม]]),"",(tbl_task10[75]/tbl_task10[[คะแนนเต็ม]:[คะแนนเต็ม]])*tbl_task10[[%]:[%]])</f>
        <v/>
      </c>
      <c r="IL12" s="121" t="str">
        <f>IF(ISBLANK(tbl_task10[[คะแนนเต็ม]:[คะแนนเต็ม]]),"",(tbl_task10[76]/tbl_task10[[คะแนนเต็ม]:[คะแนนเต็ม]])*tbl_task10[[%]:[%]])</f>
        <v/>
      </c>
      <c r="IM12" s="121" t="str">
        <f>IF(ISBLANK(tbl_task10[[คะแนนเต็ม]:[คะแนนเต็ม]]),"",(tbl_task10[77]/tbl_task10[[คะแนนเต็ม]:[คะแนนเต็ม]])*tbl_task10[[%]:[%]])</f>
        <v/>
      </c>
      <c r="IN12" s="121" t="str">
        <f>IF(ISBLANK(tbl_task10[[คะแนนเต็ม]:[คะแนนเต็ม]]),"",(tbl_task10[78]/tbl_task10[[คะแนนเต็ม]:[คะแนนเต็ม]])*tbl_task10[[%]:[%]])</f>
        <v/>
      </c>
      <c r="IO12" s="121" t="str">
        <f>IF(ISBLANK(tbl_task10[[คะแนนเต็ม]:[คะแนนเต็ม]]),"",(tbl_task10[79]/tbl_task10[[คะแนนเต็ม]:[คะแนนเต็ม]])*tbl_task10[[%]:[%]])</f>
        <v/>
      </c>
      <c r="IP12" s="121" t="str">
        <f>IF(ISBLANK(tbl_task10[[คะแนนเต็ม]:[คะแนนเต็ม]]),"",(tbl_task10[80]/tbl_task10[[คะแนนเต็ม]:[คะแนนเต็ม]])*tbl_task10[[%]:[%]])</f>
        <v/>
      </c>
      <c r="IQ12" s="121" t="str">
        <f>IF(ISBLANK(tbl_task10[[คะแนนเต็ม]:[คะแนนเต็ม]]),"",(tbl_task10[81]/tbl_task10[[คะแนนเต็ม]:[คะแนนเต็ม]])*tbl_task10[[%]:[%]])</f>
        <v/>
      </c>
      <c r="IR12" s="121" t="str">
        <f>IF(ISBLANK(tbl_task10[[คะแนนเต็ม]:[คะแนนเต็ม]]),"",(tbl_task10[82]/tbl_task10[[คะแนนเต็ม]:[คะแนนเต็ม]])*tbl_task10[[%]:[%]])</f>
        <v/>
      </c>
      <c r="IS12" s="121" t="str">
        <f>IF(ISBLANK(tbl_task10[[คะแนนเต็ม]:[คะแนนเต็ม]]),"",(tbl_task10[83]/tbl_task10[[คะแนนเต็ม]:[คะแนนเต็ม]])*tbl_task10[[%]:[%]])</f>
        <v/>
      </c>
      <c r="IT12" s="121" t="str">
        <f>IF(ISBLANK(tbl_task10[[คะแนนเต็ม]:[คะแนนเต็ม]]),"",(tbl_task10[84]/tbl_task10[[คะแนนเต็ม]:[คะแนนเต็ม]])*tbl_task10[[%]:[%]])</f>
        <v/>
      </c>
      <c r="IU12" s="121" t="str">
        <f>IF(ISBLANK(tbl_task10[[คะแนนเต็ม]:[คะแนนเต็ม]]),"",(tbl_task10[85]/tbl_task10[[คะแนนเต็ม]:[คะแนนเต็ม]])*tbl_task10[[%]:[%]])</f>
        <v/>
      </c>
      <c r="IV12" s="121" t="str">
        <f>IF(ISBLANK(tbl_task10[[คะแนนเต็ม]:[คะแนนเต็ม]]),"",(tbl_task10[86]/tbl_task10[[คะแนนเต็ม]:[คะแนนเต็ม]])*tbl_task10[[%]:[%]])</f>
        <v/>
      </c>
      <c r="IW12" s="121" t="str">
        <f>IF(ISBLANK(tbl_task10[[คะแนนเต็ม]:[คะแนนเต็ม]]),"",(tbl_task10[87]/tbl_task10[[คะแนนเต็ม]:[คะแนนเต็ม]])*tbl_task10[[%]:[%]])</f>
        <v/>
      </c>
      <c r="IX12" s="121" t="str">
        <f>IF(ISBLANK(tbl_task10[[คะแนนเต็ม]:[คะแนนเต็ม]]),"",(tbl_task10[88]/tbl_task10[[คะแนนเต็ม]:[คะแนนเต็ม]])*tbl_task10[[%]:[%]])</f>
        <v/>
      </c>
      <c r="IY12" s="121" t="str">
        <f>IF(ISBLANK(tbl_task10[[คะแนนเต็ม]:[คะแนนเต็ม]]),"",(tbl_task10[89]/tbl_task10[[คะแนนเต็ม]:[คะแนนเต็ม]])*tbl_task10[[%]:[%]])</f>
        <v/>
      </c>
      <c r="IZ12" s="121" t="str">
        <f>IF(ISBLANK(tbl_task10[[คะแนนเต็ม]:[คะแนนเต็ม]]),"",(tbl_task10[90]/tbl_task10[[คะแนนเต็ม]:[คะแนนเต็ม]])*tbl_task10[[%]:[%]])</f>
        <v/>
      </c>
      <c r="JA12" s="121" t="str">
        <f>IF(ISBLANK(tbl_task10[[คะแนนเต็ม]:[คะแนนเต็ม]]),"",(tbl_task10[91]/tbl_task10[[คะแนนเต็ม]:[คะแนนเต็ม]])*tbl_task10[[%]:[%]])</f>
        <v/>
      </c>
      <c r="JB12" s="121" t="str">
        <f>IF(ISBLANK(tbl_task10[[คะแนนเต็ม]:[คะแนนเต็ม]]),"",(tbl_task10[92]/tbl_task10[[คะแนนเต็ม]:[คะแนนเต็ม]])*tbl_task10[[%]:[%]])</f>
        <v/>
      </c>
      <c r="JC12" s="121" t="str">
        <f>IF(ISBLANK(tbl_task10[[คะแนนเต็ม]:[คะแนนเต็ม]]),"",(tbl_task10[93]/tbl_task10[[คะแนนเต็ม]:[คะแนนเต็ม]])*tbl_task10[[%]:[%]])</f>
        <v/>
      </c>
      <c r="JD12" s="121" t="str">
        <f>IF(ISBLANK(tbl_task10[[คะแนนเต็ม]:[คะแนนเต็ม]]),"",(tbl_task10[94]/tbl_task10[[คะแนนเต็ม]:[คะแนนเต็ม]])*tbl_task10[[%]:[%]])</f>
        <v/>
      </c>
      <c r="JE12" s="121" t="str">
        <f>IF(ISBLANK(tbl_task10[[คะแนนเต็ม]:[คะแนนเต็ม]]),"",(tbl_task10[95]/tbl_task10[[คะแนนเต็ม]:[คะแนนเต็ม]])*tbl_task10[[%]:[%]])</f>
        <v/>
      </c>
      <c r="JF12" s="121" t="str">
        <f>IF(ISBLANK(tbl_task10[[คะแนนเต็ม]:[คะแนนเต็ม]]),"",(tbl_task10[96]/tbl_task10[[คะแนนเต็ม]:[คะแนนเต็ม]])*tbl_task10[[%]:[%]])</f>
        <v/>
      </c>
      <c r="JG12" s="121" t="str">
        <f>IF(ISBLANK(tbl_task10[[คะแนนเต็ม]:[คะแนนเต็ม]]),"",(tbl_task10[97]/tbl_task10[[คะแนนเต็ม]:[คะแนนเต็ม]])*tbl_task10[[%]:[%]])</f>
        <v/>
      </c>
      <c r="JH12" s="121" t="str">
        <f>IF(ISBLANK(tbl_task10[[คะแนนเต็ม]:[คะแนนเต็ม]]),"",(tbl_task10[98]/tbl_task10[[คะแนนเต็ม]:[คะแนนเต็ม]])*tbl_task10[[%]:[%]])</f>
        <v/>
      </c>
      <c r="JI12" s="121" t="str">
        <f>IF(ISBLANK(tbl_task10[[คะแนนเต็ม]:[คะแนนเต็ม]]),"",(tbl_task10[99]/tbl_task10[[คะแนนเต็ม]:[คะแนนเต็ม]])*tbl_task10[[%]:[%]])</f>
        <v/>
      </c>
      <c r="JJ12" s="121" t="str">
        <f>IF(ISBLANK(tbl_task10[[คะแนนเต็ม]:[คะแนนเต็ม]]),"",(tbl_task10[100]/tbl_task10[[คะแนนเต็ม]:[คะแนนเต็ม]])*tbl_task10[[%]:[%]])</f>
        <v/>
      </c>
      <c r="JK12" s="121" t="str">
        <f>IF(ISBLANK(tbl_task10[[คะแนนเต็ม]:[คะแนนเต็ม]]),"",(tbl_task10[101]/tbl_task10[[คะแนนเต็ม]:[คะแนนเต็ม]])*tbl_task10[[%]:[%]])</f>
        <v/>
      </c>
      <c r="JL12" s="121" t="str">
        <f>IF(ISBLANK(tbl_task10[[คะแนนเต็ม]:[คะแนนเต็ม]]),"",(tbl_task10[102]/tbl_task10[[คะแนนเต็ม]:[คะแนนเต็ม]])*tbl_task10[[%]:[%]])</f>
        <v/>
      </c>
      <c r="JM12" s="121" t="str">
        <f>IF(ISBLANK(tbl_task10[[คะแนนเต็ม]:[คะแนนเต็ม]]),"",(tbl_task10[103]/tbl_task10[[คะแนนเต็ม]:[คะแนนเต็ม]])*tbl_task10[[%]:[%]])</f>
        <v/>
      </c>
      <c r="JN12" s="121" t="str">
        <f>IF(ISBLANK(tbl_task10[[คะแนนเต็ม]:[คะแนนเต็ม]]),"",(tbl_task10[104]/tbl_task10[[คะแนนเต็ม]:[คะแนนเต็ม]])*tbl_task10[[%]:[%]])</f>
        <v/>
      </c>
      <c r="JO12" s="121" t="str">
        <f>IF(ISBLANK(tbl_task10[[คะแนนเต็ม]:[คะแนนเต็ม]]),"",(tbl_task10[105]/tbl_task10[[คะแนนเต็ม]:[คะแนนเต็ม]])*tbl_task10[[%]:[%]])</f>
        <v/>
      </c>
      <c r="JP12" s="121" t="str">
        <f>IF(ISBLANK(tbl_task10[[คะแนนเต็ม]:[คะแนนเต็ม]]),"",(tbl_task10[106]/tbl_task10[[คะแนนเต็ม]:[คะแนนเต็ม]])*tbl_task10[[%]:[%]])</f>
        <v/>
      </c>
      <c r="JQ12" s="121" t="str">
        <f>IF(ISBLANK(tbl_task10[[คะแนนเต็ม]:[คะแนนเต็ม]]),"",(tbl_task10[107]/tbl_task10[[คะแนนเต็ม]:[คะแนนเต็ม]])*tbl_task10[[%]:[%]])</f>
        <v/>
      </c>
      <c r="JR12" s="121" t="str">
        <f>IF(ISBLANK(tbl_task10[[คะแนนเต็ม]:[คะแนนเต็ม]]),"",(tbl_task10[108]/tbl_task10[[คะแนนเต็ม]:[คะแนนเต็ม]])*tbl_task10[[%]:[%]])</f>
        <v/>
      </c>
      <c r="JS12" s="121" t="str">
        <f>IF(ISBLANK(tbl_task10[[คะแนนเต็ม]:[คะแนนเต็ม]]),"",(tbl_task10[109]/tbl_task10[[คะแนนเต็ม]:[คะแนนเต็ม]])*tbl_task10[[%]:[%]])</f>
        <v/>
      </c>
      <c r="JT12" s="121" t="str">
        <f>IF(ISBLANK(tbl_task10[[คะแนนเต็ม]:[คะแนนเต็ม]]),"",(tbl_task10[110]/tbl_task10[[คะแนนเต็ม]:[คะแนนเต็ม]])*tbl_task10[[%]:[%]])</f>
        <v/>
      </c>
      <c r="JU12" s="121" t="str">
        <f>IF(ISBLANK(tbl_task10[[คะแนนเต็ม]:[คะแนนเต็ม]]),"",(tbl_task10[111]/tbl_task10[[คะแนนเต็ม]:[คะแนนเต็ม]])*tbl_task10[[%]:[%]])</f>
        <v/>
      </c>
      <c r="JV12" s="121" t="str">
        <f>IF(ISBLANK(tbl_task10[[คะแนนเต็ม]:[คะแนนเต็ม]]),"",(tbl_task10[112]/tbl_task10[[คะแนนเต็ม]:[คะแนนเต็ม]])*tbl_task10[[%]:[%]])</f>
        <v/>
      </c>
      <c r="JW12" s="121" t="str">
        <f>IF(ISBLANK(tbl_task10[[คะแนนเต็ม]:[คะแนนเต็ม]]),"",(tbl_task10[113]/tbl_task10[[คะแนนเต็ม]:[คะแนนเต็ม]])*tbl_task10[[%]:[%]])</f>
        <v/>
      </c>
      <c r="JX12" s="121" t="str">
        <f>IF(ISBLANK(tbl_task10[[คะแนนเต็ม]:[คะแนนเต็ม]]),"",(tbl_task10[114]/tbl_task10[[คะแนนเต็ม]:[คะแนนเต็ม]])*tbl_task10[[%]:[%]])</f>
        <v/>
      </c>
      <c r="JY12" s="121" t="str">
        <f>IF(ISBLANK(tbl_task10[[คะแนนเต็ม]:[คะแนนเต็ม]]),"",(tbl_task10[115]/tbl_task10[[คะแนนเต็ม]:[คะแนนเต็ม]])*tbl_task10[[%]:[%]])</f>
        <v/>
      </c>
      <c r="JZ12" s="121" t="str">
        <f>IF(ISBLANK(tbl_task10[[คะแนนเต็ม]:[คะแนนเต็ม]]),"",(tbl_task10[116]/tbl_task10[[คะแนนเต็ม]:[คะแนนเต็ม]])*tbl_task10[[%]:[%]])</f>
        <v/>
      </c>
      <c r="KA12" s="121" t="str">
        <f>IF(ISBLANK(tbl_task10[[คะแนนเต็ม]:[คะแนนเต็ม]]),"",(tbl_task10[117]/tbl_task10[[คะแนนเต็ม]:[คะแนนเต็ม]])*tbl_task10[[%]:[%]])</f>
        <v/>
      </c>
      <c r="KB12" s="121" t="str">
        <f>IF(ISBLANK(tbl_task10[[คะแนนเต็ม]:[คะแนนเต็ม]]),"",(tbl_task10[118]/tbl_task10[[คะแนนเต็ม]:[คะแนนเต็ม]])*tbl_task10[[%]:[%]])</f>
        <v/>
      </c>
      <c r="KC12" s="121" t="str">
        <f>IF(ISBLANK(tbl_task10[[คะแนนเต็ม]:[คะแนนเต็ม]]),"",(tbl_task10[119]/tbl_task10[[คะแนนเต็ม]:[คะแนนเต็ม]])*tbl_task10[[%]:[%]])</f>
        <v/>
      </c>
      <c r="KD12" s="121" t="str">
        <f>IF(ISBLANK(tbl_task10[[คะแนนเต็ม]:[คะแนนเต็ม]]),"",(tbl_task10[120]/tbl_task10[[คะแนนเต็ม]:[คะแนนเต็ม]])*tbl_task10[[%]:[%]])</f>
        <v/>
      </c>
      <c r="KE12" s="121" t="str">
        <f>IF(ISBLANK(tbl_task10[[คะแนนเต็ม]:[คะแนนเต็ม]]),"",(tbl_task10[121]/tbl_task10[[คะแนนเต็ม]:[คะแนนเต็ม]])*tbl_task10[[%]:[%]])</f>
        <v/>
      </c>
      <c r="KF12" s="121" t="str">
        <f>IF(ISBLANK(tbl_task10[[คะแนนเต็ม]:[คะแนนเต็ม]]),"",(tbl_task10[122]/tbl_task10[[คะแนนเต็ม]:[คะแนนเต็ม]])*tbl_task10[[%]:[%]])</f>
        <v/>
      </c>
      <c r="KG12" s="121" t="str">
        <f>IF(ISBLANK(tbl_task10[[คะแนนเต็ม]:[คะแนนเต็ม]]),"",(tbl_task10[123]/tbl_task10[[คะแนนเต็ม]:[คะแนนเต็ม]])*tbl_task10[[%]:[%]])</f>
        <v/>
      </c>
      <c r="KH12" s="121" t="str">
        <f>IF(ISBLANK(tbl_task10[[คะแนนเต็ม]:[คะแนนเต็ม]]),"",(tbl_task10[124]/tbl_task10[[คะแนนเต็ม]:[คะแนนเต็ม]])*tbl_task10[[%]:[%]])</f>
        <v/>
      </c>
      <c r="KI12" s="121" t="str">
        <f>IF(ISBLANK(tbl_task10[[คะแนนเต็ม]:[คะแนนเต็ม]]),"",(tbl_task10[125]/tbl_task10[[คะแนนเต็ม]:[คะแนนเต็ม]])*tbl_task10[[%]:[%]])</f>
        <v/>
      </c>
      <c r="KJ12" s="121" t="str">
        <f>IF(ISBLANK(tbl_task10[[คะแนนเต็ม]:[คะแนนเต็ม]]),"",(tbl_task10[126]/tbl_task10[[คะแนนเต็ม]:[คะแนนเต็ม]])*tbl_task10[[%]:[%]])</f>
        <v/>
      </c>
      <c r="KK12" s="121" t="str">
        <f>IF(ISBLANK(tbl_task10[[คะแนนเต็ม]:[คะแนนเต็ม]]),"",(tbl_task10[127]/tbl_task10[[คะแนนเต็ม]:[คะแนนเต็ม]])*tbl_task10[[%]:[%]])</f>
        <v/>
      </c>
      <c r="KL12" s="121" t="str">
        <f>IF(ISBLANK(tbl_task10[[คะแนนเต็ม]:[คะแนนเต็ม]]),"",(tbl_task10[128]/tbl_task10[[คะแนนเต็ม]:[คะแนนเต็ม]])*tbl_task10[[%]:[%]])</f>
        <v/>
      </c>
      <c r="KM12" s="121" t="str">
        <f>IF(ISBLANK(tbl_task10[[คะแนนเต็ม]:[คะแนนเต็ม]]),"",(tbl_task10[129]/tbl_task10[[คะแนนเต็ม]:[คะแนนเต็ม]])*tbl_task10[[%]:[%]])</f>
        <v/>
      </c>
      <c r="KN12" s="121" t="str">
        <f>IF(ISBLANK(tbl_task10[[คะแนนเต็ม]:[คะแนนเต็ม]]),"",(tbl_task10[130]/tbl_task10[[คะแนนเต็ม]:[คะแนนเต็ม]])*tbl_task10[[%]:[%]])</f>
        <v/>
      </c>
      <c r="KO12" s="121" t="str">
        <f>IF(ISBLANK(tbl_task10[[คะแนนเต็ม]:[คะแนนเต็ม]]),"",(tbl_task10[131]/tbl_task10[[คะแนนเต็ม]:[คะแนนเต็ม]])*tbl_task10[[%]:[%]])</f>
        <v/>
      </c>
      <c r="KP12" s="121" t="str">
        <f>IF(ISBLANK(tbl_task10[[คะแนนเต็ม]:[คะแนนเต็ม]]),"",(tbl_task10[132]/tbl_task10[[คะแนนเต็ม]:[คะแนนเต็ม]])*tbl_task10[[%]:[%]])</f>
        <v/>
      </c>
      <c r="KQ12" s="121" t="str">
        <f>IF(ISBLANK(tbl_task10[[คะแนนเต็ม]:[คะแนนเต็ม]]),"",(tbl_task10[133]/tbl_task10[[คะแนนเต็ม]:[คะแนนเต็ม]])*tbl_task10[[%]:[%]])</f>
        <v/>
      </c>
      <c r="KR12" s="121" t="str">
        <f>IF(ISBLANK(tbl_task10[[คะแนนเต็ม]:[คะแนนเต็ม]]),"",(tbl_task10[134]/tbl_task10[[คะแนนเต็ม]:[คะแนนเต็ม]])*tbl_task10[[%]:[%]])</f>
        <v/>
      </c>
      <c r="KS12" s="121" t="str">
        <f>IF(ISBLANK(tbl_task10[[คะแนนเต็ม]:[คะแนนเต็ม]]),"",(tbl_task10[135]/tbl_task10[[คะแนนเต็ม]:[คะแนนเต็ม]])*tbl_task10[[%]:[%]])</f>
        <v/>
      </c>
      <c r="KT12" s="121" t="str">
        <f>IF(ISBLANK(tbl_task10[[คะแนนเต็ม]:[คะแนนเต็ม]]),"",(tbl_task10[136]/tbl_task10[[คะแนนเต็ม]:[คะแนนเต็ม]])*tbl_task10[[%]:[%]])</f>
        <v/>
      </c>
      <c r="KU12" s="121" t="str">
        <f>IF(ISBLANK(tbl_task10[[คะแนนเต็ม]:[คะแนนเต็ม]]),"",(tbl_task10[137]/tbl_task10[[คะแนนเต็ม]:[คะแนนเต็ม]])*tbl_task10[[%]:[%]])</f>
        <v/>
      </c>
      <c r="KV12" s="121" t="str">
        <f>IF(ISBLANK(tbl_task10[[คะแนนเต็ม]:[คะแนนเต็ม]]),"",(tbl_task10[138]/tbl_task10[[คะแนนเต็ม]:[คะแนนเต็ม]])*tbl_task10[[%]:[%]])</f>
        <v/>
      </c>
      <c r="KW12" s="121" t="str">
        <f>IF(ISBLANK(tbl_task10[[คะแนนเต็ม]:[คะแนนเต็ม]]),"",(tbl_task10[139]/tbl_task10[[คะแนนเต็ม]:[คะแนนเต็ม]])*tbl_task10[[%]:[%]])</f>
        <v/>
      </c>
      <c r="KX12" s="121" t="str">
        <f>IF(ISBLANK(tbl_task10[[คะแนนเต็ม]:[คะแนนเต็ม]]),"",(tbl_task10[140]/tbl_task10[[คะแนนเต็ม]:[คะแนนเต็ม]])*tbl_task10[[%]:[%]])</f>
        <v/>
      </c>
      <c r="KY12" s="121" t="str">
        <f>IF(ISBLANK(tbl_task10[[คะแนนเต็ม]:[คะแนนเต็ม]]),"",(tbl_task10[141]/tbl_task10[[คะแนนเต็ม]:[คะแนนเต็ม]])*tbl_task10[[%]:[%]])</f>
        <v/>
      </c>
      <c r="KZ12" s="121" t="str">
        <f>IF(ISBLANK(tbl_task10[[คะแนนเต็ม]:[คะแนนเต็ม]]),"",(tbl_task10[142]/tbl_task10[[คะแนนเต็ม]:[คะแนนเต็ม]])*tbl_task10[[%]:[%]])</f>
        <v/>
      </c>
      <c r="LA12" s="121" t="str">
        <f>IF(ISBLANK(tbl_task10[[คะแนนเต็ม]:[คะแนนเต็ม]]),"",(tbl_task10[143]/tbl_task10[[คะแนนเต็ม]:[คะแนนเต็ม]])*tbl_task10[[%]:[%]])</f>
        <v/>
      </c>
      <c r="LB12" s="121" t="str">
        <f>IF(ISBLANK(tbl_task10[[คะแนนเต็ม]:[คะแนนเต็ม]]),"",(tbl_task10[144]/tbl_task10[[คะแนนเต็ม]:[คะแนนเต็ม]])*tbl_task10[[%]:[%]])</f>
        <v/>
      </c>
      <c r="LC12" s="121" t="str">
        <f>IF(ISBLANK(tbl_task10[[คะแนนเต็ม]:[คะแนนเต็ม]]),"",(tbl_task10[145]/tbl_task10[[คะแนนเต็ม]:[คะแนนเต็ม]])*tbl_task10[[%]:[%]])</f>
        <v/>
      </c>
      <c r="LD12" s="121" t="str">
        <f>IF(ISBLANK(tbl_task10[[คะแนนเต็ม]:[คะแนนเต็ม]]),"",(tbl_task10[146]/tbl_task10[[คะแนนเต็ม]:[คะแนนเต็ม]])*tbl_task10[[%]:[%]])</f>
        <v/>
      </c>
      <c r="LE12" s="121" t="str">
        <f>IF(ISBLANK(tbl_task10[[คะแนนเต็ม]:[คะแนนเต็ม]]),"",(tbl_task10[147]/tbl_task10[[คะแนนเต็ม]:[คะแนนเต็ม]])*tbl_task10[[%]:[%]])</f>
        <v/>
      </c>
      <c r="LF12" s="121" t="str">
        <f>IF(ISBLANK(tbl_task10[[คะแนนเต็ม]:[คะแนนเต็ม]]),"",(tbl_task10[148]/tbl_task10[[คะแนนเต็ม]:[คะแนนเต็ม]])*tbl_task10[[%]:[%]])</f>
        <v/>
      </c>
      <c r="LG12" s="121" t="str">
        <f>IF(ISBLANK(tbl_task10[[คะแนนเต็ม]:[คะแนนเต็ม]]),"",(tbl_task10[149]/tbl_task10[[คะแนนเต็ม]:[คะแนนเต็ม]])*tbl_task10[[%]:[%]])</f>
        <v/>
      </c>
      <c r="LH12" s="121" t="str">
        <f>IF(ISBLANK(tbl_task10[[คะแนนเต็ม]:[คะแนนเต็ม]]),"",(tbl_task10[150]/tbl_task10[[คะแนนเต็ม]:[คะแนนเต็ม]])*tbl_task10[[%]:[%]])</f>
        <v/>
      </c>
      <c r="LI12" s="121" t="str">
        <f>IF(ISBLANK(tbl_task10[[คะแนนเต็ม]:[คะแนนเต็ม]]),"",(tbl_task10[151]/tbl_task10[[คะแนนเต็ม]:[คะแนนเต็ม]])*tbl_task10[[%]:[%]])</f>
        <v/>
      </c>
      <c r="LJ12" s="121" t="str">
        <f>IF(ISBLANK(tbl_task10[[คะแนนเต็ม]:[คะแนนเต็ม]]),"",(tbl_task10[152]/tbl_task10[[คะแนนเต็ม]:[คะแนนเต็ม]])*tbl_task10[[%]:[%]])</f>
        <v/>
      </c>
      <c r="LK12" s="121" t="str">
        <f>IF(ISBLANK(tbl_task10[[คะแนนเต็ม]:[คะแนนเต็ม]]),"",(tbl_task10[153]/tbl_task10[[คะแนนเต็ม]:[คะแนนเต็ม]])*tbl_task10[[%]:[%]])</f>
        <v/>
      </c>
      <c r="LL12" s="121" t="str">
        <f>IF(ISBLANK(tbl_task10[[คะแนนเต็ม]:[คะแนนเต็ม]]),"",(tbl_task10[154]/tbl_task10[[คะแนนเต็ม]:[คะแนนเต็ม]])*tbl_task10[[%]:[%]])</f>
        <v/>
      </c>
      <c r="LM12" s="121" t="str">
        <f>IF(ISBLANK(tbl_task10[[คะแนนเต็ม]:[คะแนนเต็ม]]),"",(tbl_task10[155]/tbl_task10[[คะแนนเต็ม]:[คะแนนเต็ม]])*tbl_task10[[%]:[%]])</f>
        <v/>
      </c>
      <c r="LN12" s="121" t="str">
        <f>IF(ISBLANK(tbl_task10[[คะแนนเต็ม]:[คะแนนเต็ม]]),"",(tbl_task10[156]/tbl_task10[[คะแนนเต็ม]:[คะแนนเต็ม]])*tbl_task10[[%]:[%]])</f>
        <v/>
      </c>
      <c r="LO12" s="121" t="str">
        <f>IF(ISBLANK(tbl_task10[[คะแนนเต็ม]:[คะแนนเต็ม]]),"",(tbl_task10[157]/tbl_task10[[คะแนนเต็ม]:[คะแนนเต็ม]])*tbl_task10[[%]:[%]])</f>
        <v/>
      </c>
      <c r="LP12" s="121" t="str">
        <f>IF(ISBLANK(tbl_task10[[คะแนนเต็ม]:[คะแนนเต็ม]]),"",(tbl_task10[158]/tbl_task10[[คะแนนเต็ม]:[คะแนนเต็ม]])*tbl_task10[[%]:[%]])</f>
        <v/>
      </c>
      <c r="LQ12" s="121" t="str">
        <f>IF(ISBLANK(tbl_task10[[คะแนนเต็ม]:[คะแนนเต็ม]]),"",(tbl_task10[159]/tbl_task10[[คะแนนเต็ม]:[คะแนนเต็ม]])*tbl_task10[[%]:[%]])</f>
        <v/>
      </c>
      <c r="LR12" s="121" t="str">
        <f>IF(ISBLANK(tbl_task10[[คะแนนเต็ม]:[คะแนนเต็ม]]),"",(tbl_task10[160]/tbl_task10[[คะแนนเต็ม]:[คะแนนเต็ม]])*tbl_task10[[%]:[%]])</f>
        <v/>
      </c>
      <c r="LS12" s="121" t="str">
        <f>IF(ISBLANK(tbl_task10[[คะแนนเต็ม]:[คะแนนเต็ม]]),"",(tbl_task10[161]/tbl_task10[[คะแนนเต็ม]:[คะแนนเต็ม]])*tbl_task10[[%]:[%]])</f>
        <v/>
      </c>
      <c r="LT12" s="121" t="str">
        <f>IF(ISBLANK(tbl_task10[[คะแนนเต็ม]:[คะแนนเต็ม]]),"",(tbl_task10[162]/tbl_task10[[คะแนนเต็ม]:[คะแนนเต็ม]])*tbl_task10[[%]:[%]])</f>
        <v/>
      </c>
      <c r="LU12" s="121" t="str">
        <f>IF(ISBLANK(tbl_task10[[คะแนนเต็ม]:[คะแนนเต็ม]]),"",(tbl_task10[163]/tbl_task10[[คะแนนเต็ม]:[คะแนนเต็ม]])*tbl_task10[[%]:[%]])</f>
        <v/>
      </c>
      <c r="LV12" s="121" t="str">
        <f>IF(ISBLANK(tbl_task10[[คะแนนเต็ม]:[คะแนนเต็ม]]),"",(tbl_task10[164]/tbl_task10[[คะแนนเต็ม]:[คะแนนเต็ม]])*tbl_task10[[%]:[%]])</f>
        <v/>
      </c>
      <c r="LW12" s="121" t="str">
        <f>IF(ISBLANK(tbl_task10[[คะแนนเต็ม]:[คะแนนเต็ม]]),"",(tbl_task10[165]/tbl_task10[[คะแนนเต็ม]:[คะแนนเต็ม]])*tbl_task10[[%]:[%]])</f>
        <v/>
      </c>
    </row>
    <row r="13" spans="1:335" ht="24" customHeight="1" x14ac:dyDescent="0.25">
      <c r="A13" s="24">
        <v>10</v>
      </c>
      <c r="B13" s="20"/>
      <c r="C13" s="5" t="str">
        <f>IF(ISBLANK(B13),"",VLOOKUP(B13,tbl_PLOs[],2,0))</f>
        <v/>
      </c>
      <c r="D13" s="102"/>
      <c r="E13" s="106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22"/>
      <c r="FO13" s="121" t="str">
        <f>IF(ISBLANK(tbl_task10[[คะแนนเต็ม]:[คะแนนเต็ม]]),"",(tbl_task10[1]/tbl_task10[[คะแนนเต็ม]:[คะแนนเต็ม]])*tbl_task10[[%]:[%]])</f>
        <v/>
      </c>
      <c r="FP13" s="121" t="str">
        <f>IF(ISBLANK(tbl_task10[[คะแนนเต็ม]:[คะแนนเต็ม]]),"",(tbl_task10[2]/tbl_task10[[คะแนนเต็ม]:[คะแนนเต็ม]])*tbl_task10[[%]:[%]])</f>
        <v/>
      </c>
      <c r="FQ13" s="121" t="str">
        <f>IF(ISBLANK(tbl_task10[[คะแนนเต็ม]:[คะแนนเต็ม]]),"",(tbl_task10[3]/tbl_task10[[คะแนนเต็ม]:[คะแนนเต็ม]])*tbl_task10[[%]:[%]])</f>
        <v/>
      </c>
      <c r="FR13" s="121" t="str">
        <f>IF(ISBLANK(tbl_task10[[คะแนนเต็ม]:[คะแนนเต็ม]]),"",(tbl_task10[4]/tbl_task10[[คะแนนเต็ม]:[คะแนนเต็ม]])*tbl_task10[[%]:[%]])</f>
        <v/>
      </c>
      <c r="FS13" s="121" t="str">
        <f>IF(ISBLANK(tbl_task10[[คะแนนเต็ม]:[คะแนนเต็ม]]),"",(tbl_task10[5]/tbl_task10[[คะแนนเต็ม]:[คะแนนเต็ม]])*tbl_task10[[%]:[%]])</f>
        <v/>
      </c>
      <c r="FT13" s="121" t="str">
        <f>IF(ISBLANK(tbl_task10[[คะแนนเต็ม]:[คะแนนเต็ม]]),"",(tbl_task10[6]/tbl_task10[[คะแนนเต็ม]:[คะแนนเต็ม]])*tbl_task10[[%]:[%]])</f>
        <v/>
      </c>
      <c r="FU13" s="121" t="str">
        <f>IF(ISBLANK(tbl_task10[[คะแนนเต็ม]:[คะแนนเต็ม]]),"",(tbl_task10[7]/tbl_task10[[คะแนนเต็ม]:[คะแนนเต็ม]])*tbl_task10[[%]:[%]])</f>
        <v/>
      </c>
      <c r="FV13" s="121" t="str">
        <f>IF(ISBLANK(tbl_task10[[คะแนนเต็ม]:[คะแนนเต็ม]]),"",(tbl_task10[8]/tbl_task10[[คะแนนเต็ม]:[คะแนนเต็ม]])*tbl_task10[[%]:[%]])</f>
        <v/>
      </c>
      <c r="FW13" s="121" t="str">
        <f>IF(ISBLANK(tbl_task10[[คะแนนเต็ม]:[คะแนนเต็ม]]),"",(tbl_task10[9]/tbl_task10[[คะแนนเต็ม]:[คะแนนเต็ม]])*tbl_task10[[%]:[%]])</f>
        <v/>
      </c>
      <c r="FX13" s="121" t="str">
        <f>IF(ISBLANK(tbl_task10[[คะแนนเต็ม]:[คะแนนเต็ม]]),"",(tbl_task10[10]/tbl_task10[[คะแนนเต็ม]:[คะแนนเต็ม]])*tbl_task10[[%]:[%]])</f>
        <v/>
      </c>
      <c r="FY13" s="121" t="str">
        <f>IF(ISBLANK(tbl_task10[[คะแนนเต็ม]:[คะแนนเต็ม]]),"",(tbl_task10[11]/tbl_task10[[คะแนนเต็ม]:[คะแนนเต็ม]])*tbl_task10[[%]:[%]])</f>
        <v/>
      </c>
      <c r="FZ13" s="121" t="str">
        <f>IF(ISBLANK(tbl_task10[[คะแนนเต็ม]:[คะแนนเต็ม]]),"",(tbl_task10[12]/tbl_task10[[คะแนนเต็ม]:[คะแนนเต็ม]])*tbl_task10[[%]:[%]])</f>
        <v/>
      </c>
      <c r="GA13" s="121" t="str">
        <f>IF(ISBLANK(tbl_task10[[คะแนนเต็ม]:[คะแนนเต็ม]]),"",(tbl_task10[13]/tbl_task10[[คะแนนเต็ม]:[คะแนนเต็ม]])*tbl_task10[[%]:[%]])</f>
        <v/>
      </c>
      <c r="GB13" s="121" t="str">
        <f>IF(ISBLANK(tbl_task10[[คะแนนเต็ม]:[คะแนนเต็ม]]),"",(tbl_task10[14]/tbl_task10[[คะแนนเต็ม]:[คะแนนเต็ม]])*tbl_task10[[%]:[%]])</f>
        <v/>
      </c>
      <c r="GC13" s="121" t="str">
        <f>IF(ISBLANK(tbl_task10[[คะแนนเต็ม]:[คะแนนเต็ม]]),"",(tbl_task10[15]/tbl_task10[[คะแนนเต็ม]:[คะแนนเต็ม]])*tbl_task10[[%]:[%]])</f>
        <v/>
      </c>
      <c r="GD13" s="121" t="str">
        <f>IF(ISBLANK(tbl_task10[[คะแนนเต็ม]:[คะแนนเต็ม]]),"",(tbl_task10[16]/tbl_task10[[คะแนนเต็ม]:[คะแนนเต็ม]])*tbl_task10[[%]:[%]])</f>
        <v/>
      </c>
      <c r="GE13" s="121" t="str">
        <f>IF(ISBLANK(tbl_task10[[คะแนนเต็ม]:[คะแนนเต็ม]]),"",(tbl_task10[17]/tbl_task10[[คะแนนเต็ม]:[คะแนนเต็ม]])*tbl_task10[[%]:[%]])</f>
        <v/>
      </c>
      <c r="GF13" s="121" t="str">
        <f>IF(ISBLANK(tbl_task10[[คะแนนเต็ม]:[คะแนนเต็ม]]),"",(tbl_task10[18]/tbl_task10[[คะแนนเต็ม]:[คะแนนเต็ม]])*tbl_task10[[%]:[%]])</f>
        <v/>
      </c>
      <c r="GG13" s="121" t="str">
        <f>IF(ISBLANK(tbl_task10[[คะแนนเต็ม]:[คะแนนเต็ม]]),"",(tbl_task10[19]/tbl_task10[[คะแนนเต็ม]:[คะแนนเต็ม]])*tbl_task10[[%]:[%]])</f>
        <v/>
      </c>
      <c r="GH13" s="121" t="str">
        <f>IF(ISBLANK(tbl_task10[[คะแนนเต็ม]:[คะแนนเต็ม]]),"",(tbl_task10[20]/tbl_task10[[คะแนนเต็ม]:[คะแนนเต็ม]])*tbl_task10[[%]:[%]])</f>
        <v/>
      </c>
      <c r="GI13" s="121" t="str">
        <f>IF(ISBLANK(tbl_task10[[คะแนนเต็ม]:[คะแนนเต็ม]]),"",(tbl_task10[21]/tbl_task10[[คะแนนเต็ม]:[คะแนนเต็ม]])*tbl_task10[[%]:[%]])</f>
        <v/>
      </c>
      <c r="GJ13" s="121" t="str">
        <f>IF(ISBLANK(tbl_task10[[คะแนนเต็ม]:[คะแนนเต็ม]]),"",(tbl_task10[22]/tbl_task10[[คะแนนเต็ม]:[คะแนนเต็ม]])*tbl_task10[[%]:[%]])</f>
        <v/>
      </c>
      <c r="GK13" s="121" t="str">
        <f>IF(ISBLANK(tbl_task10[[คะแนนเต็ม]:[คะแนนเต็ม]]),"",(tbl_task10[23]/tbl_task10[[คะแนนเต็ม]:[คะแนนเต็ม]])*tbl_task10[[%]:[%]])</f>
        <v/>
      </c>
      <c r="GL13" s="121" t="str">
        <f>IF(ISBLANK(tbl_task10[[คะแนนเต็ม]:[คะแนนเต็ม]]),"",(tbl_task10[24]/tbl_task10[[คะแนนเต็ม]:[คะแนนเต็ม]])*tbl_task10[[%]:[%]])</f>
        <v/>
      </c>
      <c r="GM13" s="121" t="str">
        <f>IF(ISBLANK(tbl_task10[[คะแนนเต็ม]:[คะแนนเต็ม]]),"",(tbl_task10[25]/tbl_task10[[คะแนนเต็ม]:[คะแนนเต็ม]])*tbl_task10[[%]:[%]])</f>
        <v/>
      </c>
      <c r="GN13" s="121" t="str">
        <f>IF(ISBLANK(tbl_task10[[คะแนนเต็ม]:[คะแนนเต็ม]]),"",(tbl_task10[26]/tbl_task10[[คะแนนเต็ม]:[คะแนนเต็ม]])*tbl_task10[[%]:[%]])</f>
        <v/>
      </c>
      <c r="GO13" s="121" t="str">
        <f>IF(ISBLANK(tbl_task10[[คะแนนเต็ม]:[คะแนนเต็ม]]),"",(tbl_task10[27]/tbl_task10[[คะแนนเต็ม]:[คะแนนเต็ม]])*tbl_task10[[%]:[%]])</f>
        <v/>
      </c>
      <c r="GP13" s="121" t="str">
        <f>IF(ISBLANK(tbl_task10[[คะแนนเต็ม]:[คะแนนเต็ม]]),"",(tbl_task10[28]/tbl_task10[[คะแนนเต็ม]:[คะแนนเต็ม]])*tbl_task10[[%]:[%]])</f>
        <v/>
      </c>
      <c r="GQ13" s="121" t="str">
        <f>IF(ISBLANK(tbl_task10[[คะแนนเต็ม]:[คะแนนเต็ม]]),"",(tbl_task10[29]/tbl_task10[[คะแนนเต็ม]:[คะแนนเต็ม]])*tbl_task10[[%]:[%]])</f>
        <v/>
      </c>
      <c r="GR13" s="121" t="str">
        <f>IF(ISBLANK(tbl_task10[[คะแนนเต็ม]:[คะแนนเต็ม]]),"",(tbl_task10[30]/tbl_task10[[คะแนนเต็ม]:[คะแนนเต็ม]])*tbl_task10[[%]:[%]])</f>
        <v/>
      </c>
      <c r="GS13" s="121" t="str">
        <f>IF(ISBLANK(tbl_task10[[คะแนนเต็ม]:[คะแนนเต็ม]]),"",(tbl_task10[31]/tbl_task10[[คะแนนเต็ม]:[คะแนนเต็ม]])*tbl_task10[[%]:[%]])</f>
        <v/>
      </c>
      <c r="GT13" s="121" t="str">
        <f>IF(ISBLANK(tbl_task10[[คะแนนเต็ม]:[คะแนนเต็ม]]),"",(tbl_task10[32]/tbl_task10[[คะแนนเต็ม]:[คะแนนเต็ม]])*tbl_task10[[%]:[%]])</f>
        <v/>
      </c>
      <c r="GU13" s="121" t="str">
        <f>IF(ISBLANK(tbl_task10[[คะแนนเต็ม]:[คะแนนเต็ม]]),"",(tbl_task10[33]/tbl_task10[[คะแนนเต็ม]:[คะแนนเต็ม]])*tbl_task10[[%]:[%]])</f>
        <v/>
      </c>
      <c r="GV13" s="121" t="str">
        <f>IF(ISBLANK(tbl_task10[[คะแนนเต็ม]:[คะแนนเต็ม]]),"",(tbl_task10[34]/tbl_task10[[คะแนนเต็ม]:[คะแนนเต็ม]])*tbl_task10[[%]:[%]])</f>
        <v/>
      </c>
      <c r="GW13" s="121" t="str">
        <f>IF(ISBLANK(tbl_task10[[คะแนนเต็ม]:[คะแนนเต็ม]]),"",(tbl_task10[35]/tbl_task10[[คะแนนเต็ม]:[คะแนนเต็ม]])*tbl_task10[[%]:[%]])</f>
        <v/>
      </c>
      <c r="GX13" s="121" t="str">
        <f>IF(ISBLANK(tbl_task10[[คะแนนเต็ม]:[คะแนนเต็ม]]),"",(tbl_task10[36]/tbl_task10[[คะแนนเต็ม]:[คะแนนเต็ม]])*tbl_task10[[%]:[%]])</f>
        <v/>
      </c>
      <c r="GY13" s="121" t="str">
        <f>IF(ISBLANK(tbl_task10[[คะแนนเต็ม]:[คะแนนเต็ม]]),"",(tbl_task10[37]/tbl_task10[[คะแนนเต็ม]:[คะแนนเต็ม]])*tbl_task10[[%]:[%]])</f>
        <v/>
      </c>
      <c r="GZ13" s="121" t="str">
        <f>IF(ISBLANK(tbl_task10[[คะแนนเต็ม]:[คะแนนเต็ม]]),"",(tbl_task10[38]/tbl_task10[[คะแนนเต็ม]:[คะแนนเต็ม]])*tbl_task10[[%]:[%]])</f>
        <v/>
      </c>
      <c r="HA13" s="121" t="str">
        <f>IF(ISBLANK(tbl_task10[[คะแนนเต็ม]:[คะแนนเต็ม]]),"",(tbl_task10[39]/tbl_task10[[คะแนนเต็ม]:[คะแนนเต็ม]])*tbl_task10[[%]:[%]])</f>
        <v/>
      </c>
      <c r="HB13" s="121" t="str">
        <f>IF(ISBLANK(tbl_task10[[คะแนนเต็ม]:[คะแนนเต็ม]]),"",(tbl_task10[40]/tbl_task10[[คะแนนเต็ม]:[คะแนนเต็ม]])*tbl_task10[[%]:[%]])</f>
        <v/>
      </c>
      <c r="HC13" s="121" t="str">
        <f>IF(ISBLANK(tbl_task10[[คะแนนเต็ม]:[คะแนนเต็ม]]),"",(tbl_task10[41]/tbl_task10[[คะแนนเต็ม]:[คะแนนเต็ม]])*tbl_task10[[%]:[%]])</f>
        <v/>
      </c>
      <c r="HD13" s="121" t="str">
        <f>IF(ISBLANK(tbl_task10[[คะแนนเต็ม]:[คะแนนเต็ม]]),"",(tbl_task10[42]/tbl_task10[[คะแนนเต็ม]:[คะแนนเต็ม]])*tbl_task10[[%]:[%]])</f>
        <v/>
      </c>
      <c r="HE13" s="121" t="str">
        <f>IF(ISBLANK(tbl_task10[[คะแนนเต็ม]:[คะแนนเต็ม]]),"",(tbl_task10[43]/tbl_task10[[คะแนนเต็ม]:[คะแนนเต็ม]])*tbl_task10[[%]:[%]])</f>
        <v/>
      </c>
      <c r="HF13" s="121" t="str">
        <f>IF(ISBLANK(tbl_task10[[คะแนนเต็ม]:[คะแนนเต็ม]]),"",(tbl_task10[44]/tbl_task10[[คะแนนเต็ม]:[คะแนนเต็ม]])*tbl_task10[[%]:[%]])</f>
        <v/>
      </c>
      <c r="HG13" s="121" t="str">
        <f>IF(ISBLANK(tbl_task10[[คะแนนเต็ม]:[คะแนนเต็ม]]),"",(tbl_task10[45]/tbl_task10[[คะแนนเต็ม]:[คะแนนเต็ม]])*tbl_task10[[%]:[%]])</f>
        <v/>
      </c>
      <c r="HH13" s="121" t="str">
        <f>IF(ISBLANK(tbl_task10[[คะแนนเต็ม]:[คะแนนเต็ม]]),"",(tbl_task10[46]/tbl_task10[[คะแนนเต็ม]:[คะแนนเต็ม]])*tbl_task10[[%]:[%]])</f>
        <v/>
      </c>
      <c r="HI13" s="121" t="str">
        <f>IF(ISBLANK(tbl_task10[[คะแนนเต็ม]:[คะแนนเต็ม]]),"",(tbl_task10[47]/tbl_task10[[คะแนนเต็ม]:[คะแนนเต็ม]])*tbl_task10[[%]:[%]])</f>
        <v/>
      </c>
      <c r="HJ13" s="121" t="str">
        <f>IF(ISBLANK(tbl_task10[[คะแนนเต็ม]:[คะแนนเต็ม]]),"",(tbl_task10[48]/tbl_task10[[คะแนนเต็ม]:[คะแนนเต็ม]])*tbl_task10[[%]:[%]])</f>
        <v/>
      </c>
      <c r="HK13" s="121" t="str">
        <f>IF(ISBLANK(tbl_task10[[คะแนนเต็ม]:[คะแนนเต็ม]]),"",(tbl_task10[49]/tbl_task10[[คะแนนเต็ม]:[คะแนนเต็ม]])*tbl_task10[[%]:[%]])</f>
        <v/>
      </c>
      <c r="HL13" s="121" t="str">
        <f>IF(ISBLANK(tbl_task10[[คะแนนเต็ม]:[คะแนนเต็ม]]),"",(tbl_task10[50]/tbl_task10[[คะแนนเต็ม]:[คะแนนเต็ม]])*tbl_task10[[%]:[%]])</f>
        <v/>
      </c>
      <c r="HM13" s="121" t="str">
        <f>IF(ISBLANK(tbl_task10[[คะแนนเต็ม]:[คะแนนเต็ม]]),"",(tbl_task10[51]/tbl_task10[[คะแนนเต็ม]:[คะแนนเต็ม]])*tbl_task10[[%]:[%]])</f>
        <v/>
      </c>
      <c r="HN13" s="121" t="str">
        <f>IF(ISBLANK(tbl_task10[[คะแนนเต็ม]:[คะแนนเต็ม]]),"",(tbl_task10[52]/tbl_task10[[คะแนนเต็ม]:[คะแนนเต็ม]])*tbl_task10[[%]:[%]])</f>
        <v/>
      </c>
      <c r="HO13" s="121" t="str">
        <f>IF(ISBLANK(tbl_task10[[คะแนนเต็ม]:[คะแนนเต็ม]]),"",(tbl_task10[53]/tbl_task10[[คะแนนเต็ม]:[คะแนนเต็ม]])*tbl_task10[[%]:[%]])</f>
        <v/>
      </c>
      <c r="HP13" s="121" t="str">
        <f>IF(ISBLANK(tbl_task10[[คะแนนเต็ม]:[คะแนนเต็ม]]),"",(tbl_task10[54]/tbl_task10[[คะแนนเต็ม]:[คะแนนเต็ม]])*tbl_task10[[%]:[%]])</f>
        <v/>
      </c>
      <c r="HQ13" s="121" t="str">
        <f>IF(ISBLANK(tbl_task10[[คะแนนเต็ม]:[คะแนนเต็ม]]),"",(tbl_task10[55]/tbl_task10[[คะแนนเต็ม]:[คะแนนเต็ม]])*tbl_task10[[%]:[%]])</f>
        <v/>
      </c>
      <c r="HR13" s="121" t="str">
        <f>IF(ISBLANK(tbl_task10[[คะแนนเต็ม]:[คะแนนเต็ม]]),"",(tbl_task10[56]/tbl_task10[[คะแนนเต็ม]:[คะแนนเต็ม]])*tbl_task10[[%]:[%]])</f>
        <v/>
      </c>
      <c r="HS13" s="121" t="str">
        <f>IF(ISBLANK(tbl_task10[[คะแนนเต็ม]:[คะแนนเต็ม]]),"",(tbl_task10[57]/tbl_task10[[คะแนนเต็ม]:[คะแนนเต็ม]])*tbl_task10[[%]:[%]])</f>
        <v/>
      </c>
      <c r="HT13" s="121" t="str">
        <f>IF(ISBLANK(tbl_task10[[คะแนนเต็ม]:[คะแนนเต็ม]]),"",(tbl_task10[58]/tbl_task10[[คะแนนเต็ม]:[คะแนนเต็ม]])*tbl_task10[[%]:[%]])</f>
        <v/>
      </c>
      <c r="HU13" s="121" t="str">
        <f>IF(ISBLANK(tbl_task10[[คะแนนเต็ม]:[คะแนนเต็ม]]),"",(tbl_task10[59]/tbl_task10[[คะแนนเต็ม]:[คะแนนเต็ม]])*tbl_task10[[%]:[%]])</f>
        <v/>
      </c>
      <c r="HV13" s="121" t="str">
        <f>IF(ISBLANK(tbl_task10[[คะแนนเต็ม]:[คะแนนเต็ม]]),"",(tbl_task10[60]/tbl_task10[[คะแนนเต็ม]:[คะแนนเต็ม]])*tbl_task10[[%]:[%]])</f>
        <v/>
      </c>
      <c r="HW13" s="121" t="str">
        <f>IF(ISBLANK(tbl_task10[[คะแนนเต็ม]:[คะแนนเต็ม]]),"",(tbl_task10[61]/tbl_task10[[คะแนนเต็ม]:[คะแนนเต็ม]])*tbl_task10[[%]:[%]])</f>
        <v/>
      </c>
      <c r="HX13" s="121" t="str">
        <f>IF(ISBLANK(tbl_task10[[คะแนนเต็ม]:[คะแนนเต็ม]]),"",(tbl_task10[62]/tbl_task10[[คะแนนเต็ม]:[คะแนนเต็ม]])*tbl_task10[[%]:[%]])</f>
        <v/>
      </c>
      <c r="HY13" s="121" t="str">
        <f>IF(ISBLANK(tbl_task10[[คะแนนเต็ม]:[คะแนนเต็ม]]),"",(tbl_task10[63]/tbl_task10[[คะแนนเต็ม]:[คะแนนเต็ม]])*tbl_task10[[%]:[%]])</f>
        <v/>
      </c>
      <c r="HZ13" s="121" t="str">
        <f>IF(ISBLANK(tbl_task10[[คะแนนเต็ม]:[คะแนนเต็ม]]),"",(tbl_task10[64]/tbl_task10[[คะแนนเต็ม]:[คะแนนเต็ม]])*tbl_task10[[%]:[%]])</f>
        <v/>
      </c>
      <c r="IA13" s="121" t="str">
        <f>IF(ISBLANK(tbl_task10[[คะแนนเต็ม]:[คะแนนเต็ม]]),"",(tbl_task10[65]/tbl_task10[[คะแนนเต็ม]:[คะแนนเต็ม]])*tbl_task10[[%]:[%]])</f>
        <v/>
      </c>
      <c r="IB13" s="121" t="str">
        <f>IF(ISBLANK(tbl_task10[[คะแนนเต็ม]:[คะแนนเต็ม]]),"",(tbl_task10[66]/tbl_task10[[คะแนนเต็ม]:[คะแนนเต็ม]])*tbl_task10[[%]:[%]])</f>
        <v/>
      </c>
      <c r="IC13" s="121" t="str">
        <f>IF(ISBLANK(tbl_task10[[คะแนนเต็ม]:[คะแนนเต็ม]]),"",(tbl_task10[67]/tbl_task10[[คะแนนเต็ม]:[คะแนนเต็ม]])*tbl_task10[[%]:[%]])</f>
        <v/>
      </c>
      <c r="ID13" s="121" t="str">
        <f>IF(ISBLANK(tbl_task10[[คะแนนเต็ม]:[คะแนนเต็ม]]),"",(tbl_task10[68]/tbl_task10[[คะแนนเต็ม]:[คะแนนเต็ม]])*tbl_task10[[%]:[%]])</f>
        <v/>
      </c>
      <c r="IE13" s="121" t="str">
        <f>IF(ISBLANK(tbl_task10[[คะแนนเต็ม]:[คะแนนเต็ม]]),"",(tbl_task10[69]/tbl_task10[[คะแนนเต็ม]:[คะแนนเต็ม]])*tbl_task10[[%]:[%]])</f>
        <v/>
      </c>
      <c r="IF13" s="121" t="str">
        <f>IF(ISBLANK(tbl_task10[[คะแนนเต็ม]:[คะแนนเต็ม]]),"",(tbl_task10[70]/tbl_task10[[คะแนนเต็ม]:[คะแนนเต็ม]])*tbl_task10[[%]:[%]])</f>
        <v/>
      </c>
      <c r="IG13" s="121" t="str">
        <f>IF(ISBLANK(tbl_task10[[คะแนนเต็ม]:[คะแนนเต็ม]]),"",(tbl_task10[71]/tbl_task10[[คะแนนเต็ม]:[คะแนนเต็ม]])*tbl_task10[[%]:[%]])</f>
        <v/>
      </c>
      <c r="IH13" s="121" t="str">
        <f>IF(ISBLANK(tbl_task10[[คะแนนเต็ม]:[คะแนนเต็ม]]),"",(tbl_task10[72]/tbl_task10[[คะแนนเต็ม]:[คะแนนเต็ม]])*tbl_task10[[%]:[%]])</f>
        <v/>
      </c>
      <c r="II13" s="121" t="str">
        <f>IF(ISBLANK(tbl_task10[[คะแนนเต็ม]:[คะแนนเต็ม]]),"",(tbl_task10[73]/tbl_task10[[คะแนนเต็ม]:[คะแนนเต็ม]])*tbl_task10[[%]:[%]])</f>
        <v/>
      </c>
      <c r="IJ13" s="121" t="str">
        <f>IF(ISBLANK(tbl_task10[[คะแนนเต็ม]:[คะแนนเต็ม]]),"",(tbl_task10[74]/tbl_task10[[คะแนนเต็ม]:[คะแนนเต็ม]])*tbl_task10[[%]:[%]])</f>
        <v/>
      </c>
      <c r="IK13" s="121" t="str">
        <f>IF(ISBLANK(tbl_task10[[คะแนนเต็ม]:[คะแนนเต็ม]]),"",(tbl_task10[75]/tbl_task10[[คะแนนเต็ม]:[คะแนนเต็ม]])*tbl_task10[[%]:[%]])</f>
        <v/>
      </c>
      <c r="IL13" s="121" t="str">
        <f>IF(ISBLANK(tbl_task10[[คะแนนเต็ม]:[คะแนนเต็ม]]),"",(tbl_task10[76]/tbl_task10[[คะแนนเต็ม]:[คะแนนเต็ม]])*tbl_task10[[%]:[%]])</f>
        <v/>
      </c>
      <c r="IM13" s="121" t="str">
        <f>IF(ISBLANK(tbl_task10[[คะแนนเต็ม]:[คะแนนเต็ม]]),"",(tbl_task10[77]/tbl_task10[[คะแนนเต็ม]:[คะแนนเต็ม]])*tbl_task10[[%]:[%]])</f>
        <v/>
      </c>
      <c r="IN13" s="121" t="str">
        <f>IF(ISBLANK(tbl_task10[[คะแนนเต็ม]:[คะแนนเต็ม]]),"",(tbl_task10[78]/tbl_task10[[คะแนนเต็ม]:[คะแนนเต็ม]])*tbl_task10[[%]:[%]])</f>
        <v/>
      </c>
      <c r="IO13" s="121" t="str">
        <f>IF(ISBLANK(tbl_task10[[คะแนนเต็ม]:[คะแนนเต็ม]]),"",(tbl_task10[79]/tbl_task10[[คะแนนเต็ม]:[คะแนนเต็ม]])*tbl_task10[[%]:[%]])</f>
        <v/>
      </c>
      <c r="IP13" s="121" t="str">
        <f>IF(ISBLANK(tbl_task10[[คะแนนเต็ม]:[คะแนนเต็ม]]),"",(tbl_task10[80]/tbl_task10[[คะแนนเต็ม]:[คะแนนเต็ม]])*tbl_task10[[%]:[%]])</f>
        <v/>
      </c>
      <c r="IQ13" s="121" t="str">
        <f>IF(ISBLANK(tbl_task10[[คะแนนเต็ม]:[คะแนนเต็ม]]),"",(tbl_task10[81]/tbl_task10[[คะแนนเต็ม]:[คะแนนเต็ม]])*tbl_task10[[%]:[%]])</f>
        <v/>
      </c>
      <c r="IR13" s="121" t="str">
        <f>IF(ISBLANK(tbl_task10[[คะแนนเต็ม]:[คะแนนเต็ม]]),"",(tbl_task10[82]/tbl_task10[[คะแนนเต็ม]:[คะแนนเต็ม]])*tbl_task10[[%]:[%]])</f>
        <v/>
      </c>
      <c r="IS13" s="121" t="str">
        <f>IF(ISBLANK(tbl_task10[[คะแนนเต็ม]:[คะแนนเต็ม]]),"",(tbl_task10[83]/tbl_task10[[คะแนนเต็ม]:[คะแนนเต็ม]])*tbl_task10[[%]:[%]])</f>
        <v/>
      </c>
      <c r="IT13" s="121" t="str">
        <f>IF(ISBLANK(tbl_task10[[คะแนนเต็ม]:[คะแนนเต็ม]]),"",(tbl_task10[84]/tbl_task10[[คะแนนเต็ม]:[คะแนนเต็ม]])*tbl_task10[[%]:[%]])</f>
        <v/>
      </c>
      <c r="IU13" s="121" t="str">
        <f>IF(ISBLANK(tbl_task10[[คะแนนเต็ม]:[คะแนนเต็ม]]),"",(tbl_task10[85]/tbl_task10[[คะแนนเต็ม]:[คะแนนเต็ม]])*tbl_task10[[%]:[%]])</f>
        <v/>
      </c>
      <c r="IV13" s="121" t="str">
        <f>IF(ISBLANK(tbl_task10[[คะแนนเต็ม]:[คะแนนเต็ม]]),"",(tbl_task10[86]/tbl_task10[[คะแนนเต็ม]:[คะแนนเต็ม]])*tbl_task10[[%]:[%]])</f>
        <v/>
      </c>
      <c r="IW13" s="121" t="str">
        <f>IF(ISBLANK(tbl_task10[[คะแนนเต็ม]:[คะแนนเต็ม]]),"",(tbl_task10[87]/tbl_task10[[คะแนนเต็ม]:[คะแนนเต็ม]])*tbl_task10[[%]:[%]])</f>
        <v/>
      </c>
      <c r="IX13" s="121" t="str">
        <f>IF(ISBLANK(tbl_task10[[คะแนนเต็ม]:[คะแนนเต็ม]]),"",(tbl_task10[88]/tbl_task10[[คะแนนเต็ม]:[คะแนนเต็ม]])*tbl_task10[[%]:[%]])</f>
        <v/>
      </c>
      <c r="IY13" s="121" t="str">
        <f>IF(ISBLANK(tbl_task10[[คะแนนเต็ม]:[คะแนนเต็ม]]),"",(tbl_task10[89]/tbl_task10[[คะแนนเต็ม]:[คะแนนเต็ม]])*tbl_task10[[%]:[%]])</f>
        <v/>
      </c>
      <c r="IZ13" s="121" t="str">
        <f>IF(ISBLANK(tbl_task10[[คะแนนเต็ม]:[คะแนนเต็ม]]),"",(tbl_task10[90]/tbl_task10[[คะแนนเต็ม]:[คะแนนเต็ม]])*tbl_task10[[%]:[%]])</f>
        <v/>
      </c>
      <c r="JA13" s="121" t="str">
        <f>IF(ISBLANK(tbl_task10[[คะแนนเต็ม]:[คะแนนเต็ม]]),"",(tbl_task10[91]/tbl_task10[[คะแนนเต็ม]:[คะแนนเต็ม]])*tbl_task10[[%]:[%]])</f>
        <v/>
      </c>
      <c r="JB13" s="121" t="str">
        <f>IF(ISBLANK(tbl_task10[[คะแนนเต็ม]:[คะแนนเต็ม]]),"",(tbl_task10[92]/tbl_task10[[คะแนนเต็ม]:[คะแนนเต็ม]])*tbl_task10[[%]:[%]])</f>
        <v/>
      </c>
      <c r="JC13" s="121" t="str">
        <f>IF(ISBLANK(tbl_task10[[คะแนนเต็ม]:[คะแนนเต็ม]]),"",(tbl_task10[93]/tbl_task10[[คะแนนเต็ม]:[คะแนนเต็ม]])*tbl_task10[[%]:[%]])</f>
        <v/>
      </c>
      <c r="JD13" s="121" t="str">
        <f>IF(ISBLANK(tbl_task10[[คะแนนเต็ม]:[คะแนนเต็ม]]),"",(tbl_task10[94]/tbl_task10[[คะแนนเต็ม]:[คะแนนเต็ม]])*tbl_task10[[%]:[%]])</f>
        <v/>
      </c>
      <c r="JE13" s="121" t="str">
        <f>IF(ISBLANK(tbl_task10[[คะแนนเต็ม]:[คะแนนเต็ม]]),"",(tbl_task10[95]/tbl_task10[[คะแนนเต็ม]:[คะแนนเต็ม]])*tbl_task10[[%]:[%]])</f>
        <v/>
      </c>
      <c r="JF13" s="121" t="str">
        <f>IF(ISBLANK(tbl_task10[[คะแนนเต็ม]:[คะแนนเต็ม]]),"",(tbl_task10[96]/tbl_task10[[คะแนนเต็ม]:[คะแนนเต็ม]])*tbl_task10[[%]:[%]])</f>
        <v/>
      </c>
      <c r="JG13" s="121" t="str">
        <f>IF(ISBLANK(tbl_task10[[คะแนนเต็ม]:[คะแนนเต็ม]]),"",(tbl_task10[97]/tbl_task10[[คะแนนเต็ม]:[คะแนนเต็ม]])*tbl_task10[[%]:[%]])</f>
        <v/>
      </c>
      <c r="JH13" s="121" t="str">
        <f>IF(ISBLANK(tbl_task10[[คะแนนเต็ม]:[คะแนนเต็ม]]),"",(tbl_task10[98]/tbl_task10[[คะแนนเต็ม]:[คะแนนเต็ม]])*tbl_task10[[%]:[%]])</f>
        <v/>
      </c>
      <c r="JI13" s="121" t="str">
        <f>IF(ISBLANK(tbl_task10[[คะแนนเต็ม]:[คะแนนเต็ม]]),"",(tbl_task10[99]/tbl_task10[[คะแนนเต็ม]:[คะแนนเต็ม]])*tbl_task10[[%]:[%]])</f>
        <v/>
      </c>
      <c r="JJ13" s="121" t="str">
        <f>IF(ISBLANK(tbl_task10[[คะแนนเต็ม]:[คะแนนเต็ม]]),"",(tbl_task10[100]/tbl_task10[[คะแนนเต็ม]:[คะแนนเต็ม]])*tbl_task10[[%]:[%]])</f>
        <v/>
      </c>
      <c r="JK13" s="121" t="str">
        <f>IF(ISBLANK(tbl_task10[[คะแนนเต็ม]:[คะแนนเต็ม]]),"",(tbl_task10[101]/tbl_task10[[คะแนนเต็ม]:[คะแนนเต็ม]])*tbl_task10[[%]:[%]])</f>
        <v/>
      </c>
      <c r="JL13" s="121" t="str">
        <f>IF(ISBLANK(tbl_task10[[คะแนนเต็ม]:[คะแนนเต็ม]]),"",(tbl_task10[102]/tbl_task10[[คะแนนเต็ม]:[คะแนนเต็ม]])*tbl_task10[[%]:[%]])</f>
        <v/>
      </c>
      <c r="JM13" s="121" t="str">
        <f>IF(ISBLANK(tbl_task10[[คะแนนเต็ม]:[คะแนนเต็ม]]),"",(tbl_task10[103]/tbl_task10[[คะแนนเต็ม]:[คะแนนเต็ม]])*tbl_task10[[%]:[%]])</f>
        <v/>
      </c>
      <c r="JN13" s="121" t="str">
        <f>IF(ISBLANK(tbl_task10[[คะแนนเต็ม]:[คะแนนเต็ม]]),"",(tbl_task10[104]/tbl_task10[[คะแนนเต็ม]:[คะแนนเต็ม]])*tbl_task10[[%]:[%]])</f>
        <v/>
      </c>
      <c r="JO13" s="121" t="str">
        <f>IF(ISBLANK(tbl_task10[[คะแนนเต็ม]:[คะแนนเต็ม]]),"",(tbl_task10[105]/tbl_task10[[คะแนนเต็ม]:[คะแนนเต็ม]])*tbl_task10[[%]:[%]])</f>
        <v/>
      </c>
      <c r="JP13" s="121" t="str">
        <f>IF(ISBLANK(tbl_task10[[คะแนนเต็ม]:[คะแนนเต็ม]]),"",(tbl_task10[106]/tbl_task10[[คะแนนเต็ม]:[คะแนนเต็ม]])*tbl_task10[[%]:[%]])</f>
        <v/>
      </c>
      <c r="JQ13" s="121" t="str">
        <f>IF(ISBLANK(tbl_task10[[คะแนนเต็ม]:[คะแนนเต็ม]]),"",(tbl_task10[107]/tbl_task10[[คะแนนเต็ม]:[คะแนนเต็ม]])*tbl_task10[[%]:[%]])</f>
        <v/>
      </c>
      <c r="JR13" s="121" t="str">
        <f>IF(ISBLANK(tbl_task10[[คะแนนเต็ม]:[คะแนนเต็ม]]),"",(tbl_task10[108]/tbl_task10[[คะแนนเต็ม]:[คะแนนเต็ม]])*tbl_task10[[%]:[%]])</f>
        <v/>
      </c>
      <c r="JS13" s="121" t="str">
        <f>IF(ISBLANK(tbl_task10[[คะแนนเต็ม]:[คะแนนเต็ม]]),"",(tbl_task10[109]/tbl_task10[[คะแนนเต็ม]:[คะแนนเต็ม]])*tbl_task10[[%]:[%]])</f>
        <v/>
      </c>
      <c r="JT13" s="121" t="str">
        <f>IF(ISBLANK(tbl_task10[[คะแนนเต็ม]:[คะแนนเต็ม]]),"",(tbl_task10[110]/tbl_task10[[คะแนนเต็ม]:[คะแนนเต็ม]])*tbl_task10[[%]:[%]])</f>
        <v/>
      </c>
      <c r="JU13" s="121" t="str">
        <f>IF(ISBLANK(tbl_task10[[คะแนนเต็ม]:[คะแนนเต็ม]]),"",(tbl_task10[111]/tbl_task10[[คะแนนเต็ม]:[คะแนนเต็ม]])*tbl_task10[[%]:[%]])</f>
        <v/>
      </c>
      <c r="JV13" s="121" t="str">
        <f>IF(ISBLANK(tbl_task10[[คะแนนเต็ม]:[คะแนนเต็ม]]),"",(tbl_task10[112]/tbl_task10[[คะแนนเต็ม]:[คะแนนเต็ม]])*tbl_task10[[%]:[%]])</f>
        <v/>
      </c>
      <c r="JW13" s="121" t="str">
        <f>IF(ISBLANK(tbl_task10[[คะแนนเต็ม]:[คะแนนเต็ม]]),"",(tbl_task10[113]/tbl_task10[[คะแนนเต็ม]:[คะแนนเต็ม]])*tbl_task10[[%]:[%]])</f>
        <v/>
      </c>
      <c r="JX13" s="121" t="str">
        <f>IF(ISBLANK(tbl_task10[[คะแนนเต็ม]:[คะแนนเต็ม]]),"",(tbl_task10[114]/tbl_task10[[คะแนนเต็ม]:[คะแนนเต็ม]])*tbl_task10[[%]:[%]])</f>
        <v/>
      </c>
      <c r="JY13" s="121" t="str">
        <f>IF(ISBLANK(tbl_task10[[คะแนนเต็ม]:[คะแนนเต็ม]]),"",(tbl_task10[115]/tbl_task10[[คะแนนเต็ม]:[คะแนนเต็ม]])*tbl_task10[[%]:[%]])</f>
        <v/>
      </c>
      <c r="JZ13" s="121" t="str">
        <f>IF(ISBLANK(tbl_task10[[คะแนนเต็ม]:[คะแนนเต็ม]]),"",(tbl_task10[116]/tbl_task10[[คะแนนเต็ม]:[คะแนนเต็ม]])*tbl_task10[[%]:[%]])</f>
        <v/>
      </c>
      <c r="KA13" s="121" t="str">
        <f>IF(ISBLANK(tbl_task10[[คะแนนเต็ม]:[คะแนนเต็ม]]),"",(tbl_task10[117]/tbl_task10[[คะแนนเต็ม]:[คะแนนเต็ม]])*tbl_task10[[%]:[%]])</f>
        <v/>
      </c>
      <c r="KB13" s="121" t="str">
        <f>IF(ISBLANK(tbl_task10[[คะแนนเต็ม]:[คะแนนเต็ม]]),"",(tbl_task10[118]/tbl_task10[[คะแนนเต็ม]:[คะแนนเต็ม]])*tbl_task10[[%]:[%]])</f>
        <v/>
      </c>
      <c r="KC13" s="121" t="str">
        <f>IF(ISBLANK(tbl_task10[[คะแนนเต็ม]:[คะแนนเต็ม]]),"",(tbl_task10[119]/tbl_task10[[คะแนนเต็ม]:[คะแนนเต็ม]])*tbl_task10[[%]:[%]])</f>
        <v/>
      </c>
      <c r="KD13" s="121" t="str">
        <f>IF(ISBLANK(tbl_task10[[คะแนนเต็ม]:[คะแนนเต็ม]]),"",(tbl_task10[120]/tbl_task10[[คะแนนเต็ม]:[คะแนนเต็ม]])*tbl_task10[[%]:[%]])</f>
        <v/>
      </c>
      <c r="KE13" s="121" t="str">
        <f>IF(ISBLANK(tbl_task10[[คะแนนเต็ม]:[คะแนนเต็ม]]),"",(tbl_task10[121]/tbl_task10[[คะแนนเต็ม]:[คะแนนเต็ม]])*tbl_task10[[%]:[%]])</f>
        <v/>
      </c>
      <c r="KF13" s="121" t="str">
        <f>IF(ISBLANK(tbl_task10[[คะแนนเต็ม]:[คะแนนเต็ม]]),"",(tbl_task10[122]/tbl_task10[[คะแนนเต็ม]:[คะแนนเต็ม]])*tbl_task10[[%]:[%]])</f>
        <v/>
      </c>
      <c r="KG13" s="121" t="str">
        <f>IF(ISBLANK(tbl_task10[[คะแนนเต็ม]:[คะแนนเต็ม]]),"",(tbl_task10[123]/tbl_task10[[คะแนนเต็ม]:[คะแนนเต็ม]])*tbl_task10[[%]:[%]])</f>
        <v/>
      </c>
      <c r="KH13" s="121" t="str">
        <f>IF(ISBLANK(tbl_task10[[คะแนนเต็ม]:[คะแนนเต็ม]]),"",(tbl_task10[124]/tbl_task10[[คะแนนเต็ม]:[คะแนนเต็ม]])*tbl_task10[[%]:[%]])</f>
        <v/>
      </c>
      <c r="KI13" s="121" t="str">
        <f>IF(ISBLANK(tbl_task10[[คะแนนเต็ม]:[คะแนนเต็ม]]),"",(tbl_task10[125]/tbl_task10[[คะแนนเต็ม]:[คะแนนเต็ม]])*tbl_task10[[%]:[%]])</f>
        <v/>
      </c>
      <c r="KJ13" s="121" t="str">
        <f>IF(ISBLANK(tbl_task10[[คะแนนเต็ม]:[คะแนนเต็ม]]),"",(tbl_task10[126]/tbl_task10[[คะแนนเต็ม]:[คะแนนเต็ม]])*tbl_task10[[%]:[%]])</f>
        <v/>
      </c>
      <c r="KK13" s="121" t="str">
        <f>IF(ISBLANK(tbl_task10[[คะแนนเต็ม]:[คะแนนเต็ม]]),"",(tbl_task10[127]/tbl_task10[[คะแนนเต็ม]:[คะแนนเต็ม]])*tbl_task10[[%]:[%]])</f>
        <v/>
      </c>
      <c r="KL13" s="121" t="str">
        <f>IF(ISBLANK(tbl_task10[[คะแนนเต็ม]:[คะแนนเต็ม]]),"",(tbl_task10[128]/tbl_task10[[คะแนนเต็ม]:[คะแนนเต็ม]])*tbl_task10[[%]:[%]])</f>
        <v/>
      </c>
      <c r="KM13" s="121" t="str">
        <f>IF(ISBLANK(tbl_task10[[คะแนนเต็ม]:[คะแนนเต็ม]]),"",(tbl_task10[129]/tbl_task10[[คะแนนเต็ม]:[คะแนนเต็ม]])*tbl_task10[[%]:[%]])</f>
        <v/>
      </c>
      <c r="KN13" s="121" t="str">
        <f>IF(ISBLANK(tbl_task10[[คะแนนเต็ม]:[คะแนนเต็ม]]),"",(tbl_task10[130]/tbl_task10[[คะแนนเต็ม]:[คะแนนเต็ม]])*tbl_task10[[%]:[%]])</f>
        <v/>
      </c>
      <c r="KO13" s="121" t="str">
        <f>IF(ISBLANK(tbl_task10[[คะแนนเต็ม]:[คะแนนเต็ม]]),"",(tbl_task10[131]/tbl_task10[[คะแนนเต็ม]:[คะแนนเต็ม]])*tbl_task10[[%]:[%]])</f>
        <v/>
      </c>
      <c r="KP13" s="121" t="str">
        <f>IF(ISBLANK(tbl_task10[[คะแนนเต็ม]:[คะแนนเต็ม]]),"",(tbl_task10[132]/tbl_task10[[คะแนนเต็ม]:[คะแนนเต็ม]])*tbl_task10[[%]:[%]])</f>
        <v/>
      </c>
      <c r="KQ13" s="121" t="str">
        <f>IF(ISBLANK(tbl_task10[[คะแนนเต็ม]:[คะแนนเต็ม]]),"",(tbl_task10[133]/tbl_task10[[คะแนนเต็ม]:[คะแนนเต็ม]])*tbl_task10[[%]:[%]])</f>
        <v/>
      </c>
      <c r="KR13" s="121" t="str">
        <f>IF(ISBLANK(tbl_task10[[คะแนนเต็ม]:[คะแนนเต็ม]]),"",(tbl_task10[134]/tbl_task10[[คะแนนเต็ม]:[คะแนนเต็ม]])*tbl_task10[[%]:[%]])</f>
        <v/>
      </c>
      <c r="KS13" s="121" t="str">
        <f>IF(ISBLANK(tbl_task10[[คะแนนเต็ม]:[คะแนนเต็ม]]),"",(tbl_task10[135]/tbl_task10[[คะแนนเต็ม]:[คะแนนเต็ม]])*tbl_task10[[%]:[%]])</f>
        <v/>
      </c>
      <c r="KT13" s="121" t="str">
        <f>IF(ISBLANK(tbl_task10[[คะแนนเต็ม]:[คะแนนเต็ม]]),"",(tbl_task10[136]/tbl_task10[[คะแนนเต็ม]:[คะแนนเต็ม]])*tbl_task10[[%]:[%]])</f>
        <v/>
      </c>
      <c r="KU13" s="121" t="str">
        <f>IF(ISBLANK(tbl_task10[[คะแนนเต็ม]:[คะแนนเต็ม]]),"",(tbl_task10[137]/tbl_task10[[คะแนนเต็ม]:[คะแนนเต็ม]])*tbl_task10[[%]:[%]])</f>
        <v/>
      </c>
      <c r="KV13" s="121" t="str">
        <f>IF(ISBLANK(tbl_task10[[คะแนนเต็ม]:[คะแนนเต็ม]]),"",(tbl_task10[138]/tbl_task10[[คะแนนเต็ม]:[คะแนนเต็ม]])*tbl_task10[[%]:[%]])</f>
        <v/>
      </c>
      <c r="KW13" s="121" t="str">
        <f>IF(ISBLANK(tbl_task10[[คะแนนเต็ม]:[คะแนนเต็ม]]),"",(tbl_task10[139]/tbl_task10[[คะแนนเต็ม]:[คะแนนเต็ม]])*tbl_task10[[%]:[%]])</f>
        <v/>
      </c>
      <c r="KX13" s="121" t="str">
        <f>IF(ISBLANK(tbl_task10[[คะแนนเต็ม]:[คะแนนเต็ม]]),"",(tbl_task10[140]/tbl_task10[[คะแนนเต็ม]:[คะแนนเต็ม]])*tbl_task10[[%]:[%]])</f>
        <v/>
      </c>
      <c r="KY13" s="121" t="str">
        <f>IF(ISBLANK(tbl_task10[[คะแนนเต็ม]:[คะแนนเต็ม]]),"",(tbl_task10[141]/tbl_task10[[คะแนนเต็ม]:[คะแนนเต็ม]])*tbl_task10[[%]:[%]])</f>
        <v/>
      </c>
      <c r="KZ13" s="121" t="str">
        <f>IF(ISBLANK(tbl_task10[[คะแนนเต็ม]:[คะแนนเต็ม]]),"",(tbl_task10[142]/tbl_task10[[คะแนนเต็ม]:[คะแนนเต็ม]])*tbl_task10[[%]:[%]])</f>
        <v/>
      </c>
      <c r="LA13" s="121" t="str">
        <f>IF(ISBLANK(tbl_task10[[คะแนนเต็ม]:[คะแนนเต็ม]]),"",(tbl_task10[143]/tbl_task10[[คะแนนเต็ม]:[คะแนนเต็ม]])*tbl_task10[[%]:[%]])</f>
        <v/>
      </c>
      <c r="LB13" s="121" t="str">
        <f>IF(ISBLANK(tbl_task10[[คะแนนเต็ม]:[คะแนนเต็ม]]),"",(tbl_task10[144]/tbl_task10[[คะแนนเต็ม]:[คะแนนเต็ม]])*tbl_task10[[%]:[%]])</f>
        <v/>
      </c>
      <c r="LC13" s="121" t="str">
        <f>IF(ISBLANK(tbl_task10[[คะแนนเต็ม]:[คะแนนเต็ม]]),"",(tbl_task10[145]/tbl_task10[[คะแนนเต็ม]:[คะแนนเต็ม]])*tbl_task10[[%]:[%]])</f>
        <v/>
      </c>
      <c r="LD13" s="121" t="str">
        <f>IF(ISBLANK(tbl_task10[[คะแนนเต็ม]:[คะแนนเต็ม]]),"",(tbl_task10[146]/tbl_task10[[คะแนนเต็ม]:[คะแนนเต็ม]])*tbl_task10[[%]:[%]])</f>
        <v/>
      </c>
      <c r="LE13" s="121" t="str">
        <f>IF(ISBLANK(tbl_task10[[คะแนนเต็ม]:[คะแนนเต็ม]]),"",(tbl_task10[147]/tbl_task10[[คะแนนเต็ม]:[คะแนนเต็ม]])*tbl_task10[[%]:[%]])</f>
        <v/>
      </c>
      <c r="LF13" s="121" t="str">
        <f>IF(ISBLANK(tbl_task10[[คะแนนเต็ม]:[คะแนนเต็ม]]),"",(tbl_task10[148]/tbl_task10[[คะแนนเต็ม]:[คะแนนเต็ม]])*tbl_task10[[%]:[%]])</f>
        <v/>
      </c>
      <c r="LG13" s="121" t="str">
        <f>IF(ISBLANK(tbl_task10[[คะแนนเต็ม]:[คะแนนเต็ม]]),"",(tbl_task10[149]/tbl_task10[[คะแนนเต็ม]:[คะแนนเต็ม]])*tbl_task10[[%]:[%]])</f>
        <v/>
      </c>
      <c r="LH13" s="121" t="str">
        <f>IF(ISBLANK(tbl_task10[[คะแนนเต็ม]:[คะแนนเต็ม]]),"",(tbl_task10[150]/tbl_task10[[คะแนนเต็ม]:[คะแนนเต็ม]])*tbl_task10[[%]:[%]])</f>
        <v/>
      </c>
      <c r="LI13" s="121" t="str">
        <f>IF(ISBLANK(tbl_task10[[คะแนนเต็ม]:[คะแนนเต็ม]]),"",(tbl_task10[151]/tbl_task10[[คะแนนเต็ม]:[คะแนนเต็ม]])*tbl_task10[[%]:[%]])</f>
        <v/>
      </c>
      <c r="LJ13" s="121" t="str">
        <f>IF(ISBLANK(tbl_task10[[คะแนนเต็ม]:[คะแนนเต็ม]]),"",(tbl_task10[152]/tbl_task10[[คะแนนเต็ม]:[คะแนนเต็ม]])*tbl_task10[[%]:[%]])</f>
        <v/>
      </c>
      <c r="LK13" s="121" t="str">
        <f>IF(ISBLANK(tbl_task10[[คะแนนเต็ม]:[คะแนนเต็ม]]),"",(tbl_task10[153]/tbl_task10[[คะแนนเต็ม]:[คะแนนเต็ม]])*tbl_task10[[%]:[%]])</f>
        <v/>
      </c>
      <c r="LL13" s="121" t="str">
        <f>IF(ISBLANK(tbl_task10[[คะแนนเต็ม]:[คะแนนเต็ม]]),"",(tbl_task10[154]/tbl_task10[[คะแนนเต็ม]:[คะแนนเต็ม]])*tbl_task10[[%]:[%]])</f>
        <v/>
      </c>
      <c r="LM13" s="121" t="str">
        <f>IF(ISBLANK(tbl_task10[[คะแนนเต็ม]:[คะแนนเต็ม]]),"",(tbl_task10[155]/tbl_task10[[คะแนนเต็ม]:[คะแนนเต็ม]])*tbl_task10[[%]:[%]])</f>
        <v/>
      </c>
      <c r="LN13" s="121" t="str">
        <f>IF(ISBLANK(tbl_task10[[คะแนนเต็ม]:[คะแนนเต็ม]]),"",(tbl_task10[156]/tbl_task10[[คะแนนเต็ม]:[คะแนนเต็ม]])*tbl_task10[[%]:[%]])</f>
        <v/>
      </c>
      <c r="LO13" s="121" t="str">
        <f>IF(ISBLANK(tbl_task10[[คะแนนเต็ม]:[คะแนนเต็ม]]),"",(tbl_task10[157]/tbl_task10[[คะแนนเต็ม]:[คะแนนเต็ม]])*tbl_task10[[%]:[%]])</f>
        <v/>
      </c>
      <c r="LP13" s="121" t="str">
        <f>IF(ISBLANK(tbl_task10[[คะแนนเต็ม]:[คะแนนเต็ม]]),"",(tbl_task10[158]/tbl_task10[[คะแนนเต็ม]:[คะแนนเต็ม]])*tbl_task10[[%]:[%]])</f>
        <v/>
      </c>
      <c r="LQ13" s="121" t="str">
        <f>IF(ISBLANK(tbl_task10[[คะแนนเต็ม]:[คะแนนเต็ม]]),"",(tbl_task10[159]/tbl_task10[[คะแนนเต็ม]:[คะแนนเต็ม]])*tbl_task10[[%]:[%]])</f>
        <v/>
      </c>
      <c r="LR13" s="121" t="str">
        <f>IF(ISBLANK(tbl_task10[[คะแนนเต็ม]:[คะแนนเต็ม]]),"",(tbl_task10[160]/tbl_task10[[คะแนนเต็ม]:[คะแนนเต็ม]])*tbl_task10[[%]:[%]])</f>
        <v/>
      </c>
      <c r="LS13" s="121" t="str">
        <f>IF(ISBLANK(tbl_task10[[คะแนนเต็ม]:[คะแนนเต็ม]]),"",(tbl_task10[161]/tbl_task10[[คะแนนเต็ม]:[คะแนนเต็ม]])*tbl_task10[[%]:[%]])</f>
        <v/>
      </c>
      <c r="LT13" s="121" t="str">
        <f>IF(ISBLANK(tbl_task10[[คะแนนเต็ม]:[คะแนนเต็ม]]),"",(tbl_task10[162]/tbl_task10[[คะแนนเต็ม]:[คะแนนเต็ม]])*tbl_task10[[%]:[%]])</f>
        <v/>
      </c>
      <c r="LU13" s="121" t="str">
        <f>IF(ISBLANK(tbl_task10[[คะแนนเต็ม]:[คะแนนเต็ม]]),"",(tbl_task10[163]/tbl_task10[[คะแนนเต็ม]:[คะแนนเต็ม]])*tbl_task10[[%]:[%]])</f>
        <v/>
      </c>
      <c r="LV13" s="121" t="str">
        <f>IF(ISBLANK(tbl_task10[[คะแนนเต็ม]:[คะแนนเต็ม]]),"",(tbl_task10[164]/tbl_task10[[คะแนนเต็ม]:[คะแนนเต็ม]])*tbl_task10[[%]:[%]])</f>
        <v/>
      </c>
      <c r="LW13" s="121" t="str">
        <f>IF(ISBLANK(tbl_task10[[คะแนนเต็ม]:[คะแนนเต็ม]]),"",(tbl_task10[165]/tbl_task10[[คะแนนเต็ม]:[คะแนนเต็ม]])*tbl_task10[[%]:[%]])</f>
        <v/>
      </c>
    </row>
    <row r="14" spans="1:335" ht="24" customHeight="1" x14ac:dyDescent="0.25">
      <c r="A14" s="24">
        <v>11</v>
      </c>
      <c r="B14" s="20"/>
      <c r="C14" s="5" t="str">
        <f>IF(ISBLANK(B14),"",VLOOKUP(B14,tbl_PLOs[],2,0))</f>
        <v/>
      </c>
      <c r="D14" s="102"/>
      <c r="E14" s="106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21" t="str">
        <f>IF(ISBLANK(tbl_task10[[คะแนนเต็ม]:[คะแนนเต็ม]]),"",(tbl_task10[1]/tbl_task10[[คะแนนเต็ม]:[คะแนนเต็ม]])*tbl_task10[[%]:[%]])</f>
        <v/>
      </c>
      <c r="FP14" s="121" t="str">
        <f>IF(ISBLANK(tbl_task10[[คะแนนเต็ม]:[คะแนนเต็ม]]),"",(tbl_task10[2]/tbl_task10[[คะแนนเต็ม]:[คะแนนเต็ม]])*tbl_task10[[%]:[%]])</f>
        <v/>
      </c>
      <c r="FQ14" s="121" t="str">
        <f>IF(ISBLANK(tbl_task10[[คะแนนเต็ม]:[คะแนนเต็ม]]),"",(tbl_task10[3]/tbl_task10[[คะแนนเต็ม]:[คะแนนเต็ม]])*tbl_task10[[%]:[%]])</f>
        <v/>
      </c>
      <c r="FR14" s="121" t="str">
        <f>IF(ISBLANK(tbl_task10[[คะแนนเต็ม]:[คะแนนเต็ม]]),"",(tbl_task10[4]/tbl_task10[[คะแนนเต็ม]:[คะแนนเต็ม]])*tbl_task10[[%]:[%]])</f>
        <v/>
      </c>
      <c r="FS14" s="121" t="str">
        <f>IF(ISBLANK(tbl_task10[[คะแนนเต็ม]:[คะแนนเต็ม]]),"",(tbl_task10[5]/tbl_task10[[คะแนนเต็ม]:[คะแนนเต็ม]])*tbl_task10[[%]:[%]])</f>
        <v/>
      </c>
      <c r="FT14" s="121" t="str">
        <f>IF(ISBLANK(tbl_task10[[คะแนนเต็ม]:[คะแนนเต็ม]]),"",(tbl_task10[6]/tbl_task10[[คะแนนเต็ม]:[คะแนนเต็ม]])*tbl_task10[[%]:[%]])</f>
        <v/>
      </c>
      <c r="FU14" s="121" t="str">
        <f>IF(ISBLANK(tbl_task10[[คะแนนเต็ม]:[คะแนนเต็ม]]),"",(tbl_task10[7]/tbl_task10[[คะแนนเต็ม]:[คะแนนเต็ม]])*tbl_task10[[%]:[%]])</f>
        <v/>
      </c>
      <c r="FV14" s="121" t="str">
        <f>IF(ISBLANK(tbl_task10[[คะแนนเต็ม]:[คะแนนเต็ม]]),"",(tbl_task10[8]/tbl_task10[[คะแนนเต็ม]:[คะแนนเต็ม]])*tbl_task10[[%]:[%]])</f>
        <v/>
      </c>
      <c r="FW14" s="121" t="str">
        <f>IF(ISBLANK(tbl_task10[[คะแนนเต็ม]:[คะแนนเต็ม]]),"",(tbl_task10[9]/tbl_task10[[คะแนนเต็ม]:[คะแนนเต็ม]])*tbl_task10[[%]:[%]])</f>
        <v/>
      </c>
      <c r="FX14" s="121" t="str">
        <f>IF(ISBLANK(tbl_task10[[คะแนนเต็ม]:[คะแนนเต็ม]]),"",(tbl_task10[10]/tbl_task10[[คะแนนเต็ม]:[คะแนนเต็ม]])*tbl_task10[[%]:[%]])</f>
        <v/>
      </c>
      <c r="FY14" s="121" t="str">
        <f>IF(ISBLANK(tbl_task10[[คะแนนเต็ม]:[คะแนนเต็ม]]),"",(tbl_task10[11]/tbl_task10[[คะแนนเต็ม]:[คะแนนเต็ม]])*tbl_task10[[%]:[%]])</f>
        <v/>
      </c>
      <c r="FZ14" s="121" t="str">
        <f>IF(ISBLANK(tbl_task10[[คะแนนเต็ม]:[คะแนนเต็ม]]),"",(tbl_task10[12]/tbl_task10[[คะแนนเต็ม]:[คะแนนเต็ม]])*tbl_task10[[%]:[%]])</f>
        <v/>
      </c>
      <c r="GA14" s="121" t="str">
        <f>IF(ISBLANK(tbl_task10[[คะแนนเต็ม]:[คะแนนเต็ม]]),"",(tbl_task10[13]/tbl_task10[[คะแนนเต็ม]:[คะแนนเต็ม]])*tbl_task10[[%]:[%]])</f>
        <v/>
      </c>
      <c r="GB14" s="121" t="str">
        <f>IF(ISBLANK(tbl_task10[[คะแนนเต็ม]:[คะแนนเต็ม]]),"",(tbl_task10[14]/tbl_task10[[คะแนนเต็ม]:[คะแนนเต็ม]])*tbl_task10[[%]:[%]])</f>
        <v/>
      </c>
      <c r="GC14" s="121" t="str">
        <f>IF(ISBLANK(tbl_task10[[คะแนนเต็ม]:[คะแนนเต็ม]]),"",(tbl_task10[15]/tbl_task10[[คะแนนเต็ม]:[คะแนนเต็ม]])*tbl_task10[[%]:[%]])</f>
        <v/>
      </c>
      <c r="GD14" s="121" t="str">
        <f>IF(ISBLANK(tbl_task10[[คะแนนเต็ม]:[คะแนนเต็ม]]),"",(tbl_task10[16]/tbl_task10[[คะแนนเต็ม]:[คะแนนเต็ม]])*tbl_task10[[%]:[%]])</f>
        <v/>
      </c>
      <c r="GE14" s="121" t="str">
        <f>IF(ISBLANK(tbl_task10[[คะแนนเต็ม]:[คะแนนเต็ม]]),"",(tbl_task10[17]/tbl_task10[[คะแนนเต็ม]:[คะแนนเต็ม]])*tbl_task10[[%]:[%]])</f>
        <v/>
      </c>
      <c r="GF14" s="121" t="str">
        <f>IF(ISBLANK(tbl_task10[[คะแนนเต็ม]:[คะแนนเต็ม]]),"",(tbl_task10[18]/tbl_task10[[คะแนนเต็ม]:[คะแนนเต็ม]])*tbl_task10[[%]:[%]])</f>
        <v/>
      </c>
      <c r="GG14" s="121" t="str">
        <f>IF(ISBLANK(tbl_task10[[คะแนนเต็ม]:[คะแนนเต็ม]]),"",(tbl_task10[19]/tbl_task10[[คะแนนเต็ม]:[คะแนนเต็ม]])*tbl_task10[[%]:[%]])</f>
        <v/>
      </c>
      <c r="GH14" s="121" t="str">
        <f>IF(ISBLANK(tbl_task10[[คะแนนเต็ม]:[คะแนนเต็ม]]),"",(tbl_task10[20]/tbl_task10[[คะแนนเต็ม]:[คะแนนเต็ม]])*tbl_task10[[%]:[%]])</f>
        <v/>
      </c>
      <c r="GI14" s="121" t="str">
        <f>IF(ISBLANK(tbl_task10[[คะแนนเต็ม]:[คะแนนเต็ม]]),"",(tbl_task10[21]/tbl_task10[[คะแนนเต็ม]:[คะแนนเต็ม]])*tbl_task10[[%]:[%]])</f>
        <v/>
      </c>
      <c r="GJ14" s="121" t="str">
        <f>IF(ISBLANK(tbl_task10[[คะแนนเต็ม]:[คะแนนเต็ม]]),"",(tbl_task10[22]/tbl_task10[[คะแนนเต็ม]:[คะแนนเต็ม]])*tbl_task10[[%]:[%]])</f>
        <v/>
      </c>
      <c r="GK14" s="121" t="str">
        <f>IF(ISBLANK(tbl_task10[[คะแนนเต็ม]:[คะแนนเต็ม]]),"",(tbl_task10[23]/tbl_task10[[คะแนนเต็ม]:[คะแนนเต็ม]])*tbl_task10[[%]:[%]])</f>
        <v/>
      </c>
      <c r="GL14" s="121" t="str">
        <f>IF(ISBLANK(tbl_task10[[คะแนนเต็ม]:[คะแนนเต็ม]]),"",(tbl_task10[24]/tbl_task10[[คะแนนเต็ม]:[คะแนนเต็ม]])*tbl_task10[[%]:[%]])</f>
        <v/>
      </c>
      <c r="GM14" s="121" t="str">
        <f>IF(ISBLANK(tbl_task10[[คะแนนเต็ม]:[คะแนนเต็ม]]),"",(tbl_task10[25]/tbl_task10[[คะแนนเต็ม]:[คะแนนเต็ม]])*tbl_task10[[%]:[%]])</f>
        <v/>
      </c>
      <c r="GN14" s="121" t="str">
        <f>IF(ISBLANK(tbl_task10[[คะแนนเต็ม]:[คะแนนเต็ม]]),"",(tbl_task10[26]/tbl_task10[[คะแนนเต็ม]:[คะแนนเต็ม]])*tbl_task10[[%]:[%]])</f>
        <v/>
      </c>
      <c r="GO14" s="121" t="str">
        <f>IF(ISBLANK(tbl_task10[[คะแนนเต็ม]:[คะแนนเต็ม]]),"",(tbl_task10[27]/tbl_task10[[คะแนนเต็ม]:[คะแนนเต็ม]])*tbl_task10[[%]:[%]])</f>
        <v/>
      </c>
      <c r="GP14" s="121" t="str">
        <f>IF(ISBLANK(tbl_task10[[คะแนนเต็ม]:[คะแนนเต็ม]]),"",(tbl_task10[28]/tbl_task10[[คะแนนเต็ม]:[คะแนนเต็ม]])*tbl_task10[[%]:[%]])</f>
        <v/>
      </c>
      <c r="GQ14" s="121" t="str">
        <f>IF(ISBLANK(tbl_task10[[คะแนนเต็ม]:[คะแนนเต็ม]]),"",(tbl_task10[29]/tbl_task10[[คะแนนเต็ม]:[คะแนนเต็ม]])*tbl_task10[[%]:[%]])</f>
        <v/>
      </c>
      <c r="GR14" s="121" t="str">
        <f>IF(ISBLANK(tbl_task10[[คะแนนเต็ม]:[คะแนนเต็ม]]),"",(tbl_task10[30]/tbl_task10[[คะแนนเต็ม]:[คะแนนเต็ม]])*tbl_task10[[%]:[%]])</f>
        <v/>
      </c>
      <c r="GS14" s="121" t="str">
        <f>IF(ISBLANK(tbl_task10[[คะแนนเต็ม]:[คะแนนเต็ม]]),"",(tbl_task10[31]/tbl_task10[[คะแนนเต็ม]:[คะแนนเต็ม]])*tbl_task10[[%]:[%]])</f>
        <v/>
      </c>
      <c r="GT14" s="121" t="str">
        <f>IF(ISBLANK(tbl_task10[[คะแนนเต็ม]:[คะแนนเต็ม]]),"",(tbl_task10[32]/tbl_task10[[คะแนนเต็ม]:[คะแนนเต็ม]])*tbl_task10[[%]:[%]])</f>
        <v/>
      </c>
      <c r="GU14" s="121" t="str">
        <f>IF(ISBLANK(tbl_task10[[คะแนนเต็ม]:[คะแนนเต็ม]]),"",(tbl_task10[33]/tbl_task10[[คะแนนเต็ม]:[คะแนนเต็ม]])*tbl_task10[[%]:[%]])</f>
        <v/>
      </c>
      <c r="GV14" s="121" t="str">
        <f>IF(ISBLANK(tbl_task10[[คะแนนเต็ม]:[คะแนนเต็ม]]),"",(tbl_task10[34]/tbl_task10[[คะแนนเต็ม]:[คะแนนเต็ม]])*tbl_task10[[%]:[%]])</f>
        <v/>
      </c>
      <c r="GW14" s="121" t="str">
        <f>IF(ISBLANK(tbl_task10[[คะแนนเต็ม]:[คะแนนเต็ม]]),"",(tbl_task10[35]/tbl_task10[[คะแนนเต็ม]:[คะแนนเต็ม]])*tbl_task10[[%]:[%]])</f>
        <v/>
      </c>
      <c r="GX14" s="121" t="str">
        <f>IF(ISBLANK(tbl_task10[[คะแนนเต็ม]:[คะแนนเต็ม]]),"",(tbl_task10[36]/tbl_task10[[คะแนนเต็ม]:[คะแนนเต็ม]])*tbl_task10[[%]:[%]])</f>
        <v/>
      </c>
      <c r="GY14" s="121" t="str">
        <f>IF(ISBLANK(tbl_task10[[คะแนนเต็ม]:[คะแนนเต็ม]]),"",(tbl_task10[37]/tbl_task10[[คะแนนเต็ม]:[คะแนนเต็ม]])*tbl_task10[[%]:[%]])</f>
        <v/>
      </c>
      <c r="GZ14" s="121" t="str">
        <f>IF(ISBLANK(tbl_task10[[คะแนนเต็ม]:[คะแนนเต็ม]]),"",(tbl_task10[38]/tbl_task10[[คะแนนเต็ม]:[คะแนนเต็ม]])*tbl_task10[[%]:[%]])</f>
        <v/>
      </c>
      <c r="HA14" s="121" t="str">
        <f>IF(ISBLANK(tbl_task10[[คะแนนเต็ม]:[คะแนนเต็ม]]),"",(tbl_task10[39]/tbl_task10[[คะแนนเต็ม]:[คะแนนเต็ม]])*tbl_task10[[%]:[%]])</f>
        <v/>
      </c>
      <c r="HB14" s="121" t="str">
        <f>IF(ISBLANK(tbl_task10[[คะแนนเต็ม]:[คะแนนเต็ม]]),"",(tbl_task10[40]/tbl_task10[[คะแนนเต็ม]:[คะแนนเต็ม]])*tbl_task10[[%]:[%]])</f>
        <v/>
      </c>
      <c r="HC14" s="121" t="str">
        <f>IF(ISBLANK(tbl_task10[[คะแนนเต็ม]:[คะแนนเต็ม]]),"",(tbl_task10[41]/tbl_task10[[คะแนนเต็ม]:[คะแนนเต็ม]])*tbl_task10[[%]:[%]])</f>
        <v/>
      </c>
      <c r="HD14" s="121" t="str">
        <f>IF(ISBLANK(tbl_task10[[คะแนนเต็ม]:[คะแนนเต็ม]]),"",(tbl_task10[42]/tbl_task10[[คะแนนเต็ม]:[คะแนนเต็ม]])*tbl_task10[[%]:[%]])</f>
        <v/>
      </c>
      <c r="HE14" s="121" t="str">
        <f>IF(ISBLANK(tbl_task10[[คะแนนเต็ม]:[คะแนนเต็ม]]),"",(tbl_task10[43]/tbl_task10[[คะแนนเต็ม]:[คะแนนเต็ม]])*tbl_task10[[%]:[%]])</f>
        <v/>
      </c>
      <c r="HF14" s="121" t="str">
        <f>IF(ISBLANK(tbl_task10[[คะแนนเต็ม]:[คะแนนเต็ม]]),"",(tbl_task10[44]/tbl_task10[[คะแนนเต็ม]:[คะแนนเต็ม]])*tbl_task10[[%]:[%]])</f>
        <v/>
      </c>
      <c r="HG14" s="121" t="str">
        <f>IF(ISBLANK(tbl_task10[[คะแนนเต็ม]:[คะแนนเต็ม]]),"",(tbl_task10[45]/tbl_task10[[คะแนนเต็ม]:[คะแนนเต็ม]])*tbl_task10[[%]:[%]])</f>
        <v/>
      </c>
      <c r="HH14" s="121" t="str">
        <f>IF(ISBLANK(tbl_task10[[คะแนนเต็ม]:[คะแนนเต็ม]]),"",(tbl_task10[46]/tbl_task10[[คะแนนเต็ม]:[คะแนนเต็ม]])*tbl_task10[[%]:[%]])</f>
        <v/>
      </c>
      <c r="HI14" s="121" t="str">
        <f>IF(ISBLANK(tbl_task10[[คะแนนเต็ม]:[คะแนนเต็ม]]),"",(tbl_task10[47]/tbl_task10[[คะแนนเต็ม]:[คะแนนเต็ม]])*tbl_task10[[%]:[%]])</f>
        <v/>
      </c>
      <c r="HJ14" s="121" t="str">
        <f>IF(ISBLANK(tbl_task10[[คะแนนเต็ม]:[คะแนนเต็ม]]),"",(tbl_task10[48]/tbl_task10[[คะแนนเต็ม]:[คะแนนเต็ม]])*tbl_task10[[%]:[%]])</f>
        <v/>
      </c>
      <c r="HK14" s="121" t="str">
        <f>IF(ISBLANK(tbl_task10[[คะแนนเต็ม]:[คะแนนเต็ม]]),"",(tbl_task10[49]/tbl_task10[[คะแนนเต็ม]:[คะแนนเต็ม]])*tbl_task10[[%]:[%]])</f>
        <v/>
      </c>
      <c r="HL14" s="121" t="str">
        <f>IF(ISBLANK(tbl_task10[[คะแนนเต็ม]:[คะแนนเต็ม]]),"",(tbl_task10[50]/tbl_task10[[คะแนนเต็ม]:[คะแนนเต็ม]])*tbl_task10[[%]:[%]])</f>
        <v/>
      </c>
      <c r="HM14" s="121" t="str">
        <f>IF(ISBLANK(tbl_task10[[คะแนนเต็ม]:[คะแนนเต็ม]]),"",(tbl_task10[51]/tbl_task10[[คะแนนเต็ม]:[คะแนนเต็ม]])*tbl_task10[[%]:[%]])</f>
        <v/>
      </c>
      <c r="HN14" s="121" t="str">
        <f>IF(ISBLANK(tbl_task10[[คะแนนเต็ม]:[คะแนนเต็ม]]),"",(tbl_task10[52]/tbl_task10[[คะแนนเต็ม]:[คะแนนเต็ม]])*tbl_task10[[%]:[%]])</f>
        <v/>
      </c>
      <c r="HO14" s="121" t="str">
        <f>IF(ISBLANK(tbl_task10[[คะแนนเต็ม]:[คะแนนเต็ม]]),"",(tbl_task10[53]/tbl_task10[[คะแนนเต็ม]:[คะแนนเต็ม]])*tbl_task10[[%]:[%]])</f>
        <v/>
      </c>
      <c r="HP14" s="121" t="str">
        <f>IF(ISBLANK(tbl_task10[[คะแนนเต็ม]:[คะแนนเต็ม]]),"",(tbl_task10[54]/tbl_task10[[คะแนนเต็ม]:[คะแนนเต็ม]])*tbl_task10[[%]:[%]])</f>
        <v/>
      </c>
      <c r="HQ14" s="121" t="str">
        <f>IF(ISBLANK(tbl_task10[[คะแนนเต็ม]:[คะแนนเต็ม]]),"",(tbl_task10[55]/tbl_task10[[คะแนนเต็ม]:[คะแนนเต็ม]])*tbl_task10[[%]:[%]])</f>
        <v/>
      </c>
      <c r="HR14" s="121" t="str">
        <f>IF(ISBLANK(tbl_task10[[คะแนนเต็ม]:[คะแนนเต็ม]]),"",(tbl_task10[56]/tbl_task10[[คะแนนเต็ม]:[คะแนนเต็ม]])*tbl_task10[[%]:[%]])</f>
        <v/>
      </c>
      <c r="HS14" s="121" t="str">
        <f>IF(ISBLANK(tbl_task10[[คะแนนเต็ม]:[คะแนนเต็ม]]),"",(tbl_task10[57]/tbl_task10[[คะแนนเต็ม]:[คะแนนเต็ม]])*tbl_task10[[%]:[%]])</f>
        <v/>
      </c>
      <c r="HT14" s="121" t="str">
        <f>IF(ISBLANK(tbl_task10[[คะแนนเต็ม]:[คะแนนเต็ม]]),"",(tbl_task10[58]/tbl_task10[[คะแนนเต็ม]:[คะแนนเต็ม]])*tbl_task10[[%]:[%]])</f>
        <v/>
      </c>
      <c r="HU14" s="121" t="str">
        <f>IF(ISBLANK(tbl_task10[[คะแนนเต็ม]:[คะแนนเต็ม]]),"",(tbl_task10[59]/tbl_task10[[คะแนนเต็ม]:[คะแนนเต็ม]])*tbl_task10[[%]:[%]])</f>
        <v/>
      </c>
      <c r="HV14" s="121" t="str">
        <f>IF(ISBLANK(tbl_task10[[คะแนนเต็ม]:[คะแนนเต็ม]]),"",(tbl_task10[60]/tbl_task10[[คะแนนเต็ม]:[คะแนนเต็ม]])*tbl_task10[[%]:[%]])</f>
        <v/>
      </c>
      <c r="HW14" s="121" t="str">
        <f>IF(ISBLANK(tbl_task10[[คะแนนเต็ม]:[คะแนนเต็ม]]),"",(tbl_task10[61]/tbl_task10[[คะแนนเต็ม]:[คะแนนเต็ม]])*tbl_task10[[%]:[%]])</f>
        <v/>
      </c>
      <c r="HX14" s="121" t="str">
        <f>IF(ISBLANK(tbl_task10[[คะแนนเต็ม]:[คะแนนเต็ม]]),"",(tbl_task10[62]/tbl_task10[[คะแนนเต็ม]:[คะแนนเต็ม]])*tbl_task10[[%]:[%]])</f>
        <v/>
      </c>
      <c r="HY14" s="121" t="str">
        <f>IF(ISBLANK(tbl_task10[[คะแนนเต็ม]:[คะแนนเต็ม]]),"",(tbl_task10[63]/tbl_task10[[คะแนนเต็ม]:[คะแนนเต็ม]])*tbl_task10[[%]:[%]])</f>
        <v/>
      </c>
      <c r="HZ14" s="121" t="str">
        <f>IF(ISBLANK(tbl_task10[[คะแนนเต็ม]:[คะแนนเต็ม]]),"",(tbl_task10[64]/tbl_task10[[คะแนนเต็ม]:[คะแนนเต็ม]])*tbl_task10[[%]:[%]])</f>
        <v/>
      </c>
      <c r="IA14" s="121" t="str">
        <f>IF(ISBLANK(tbl_task10[[คะแนนเต็ม]:[คะแนนเต็ม]]),"",(tbl_task10[65]/tbl_task10[[คะแนนเต็ม]:[คะแนนเต็ม]])*tbl_task10[[%]:[%]])</f>
        <v/>
      </c>
      <c r="IB14" s="121" t="str">
        <f>IF(ISBLANK(tbl_task10[[คะแนนเต็ม]:[คะแนนเต็ม]]),"",(tbl_task10[66]/tbl_task10[[คะแนนเต็ม]:[คะแนนเต็ม]])*tbl_task10[[%]:[%]])</f>
        <v/>
      </c>
      <c r="IC14" s="121" t="str">
        <f>IF(ISBLANK(tbl_task10[[คะแนนเต็ม]:[คะแนนเต็ม]]),"",(tbl_task10[67]/tbl_task10[[คะแนนเต็ม]:[คะแนนเต็ม]])*tbl_task10[[%]:[%]])</f>
        <v/>
      </c>
      <c r="ID14" s="121" t="str">
        <f>IF(ISBLANK(tbl_task10[[คะแนนเต็ม]:[คะแนนเต็ม]]),"",(tbl_task10[68]/tbl_task10[[คะแนนเต็ม]:[คะแนนเต็ม]])*tbl_task10[[%]:[%]])</f>
        <v/>
      </c>
      <c r="IE14" s="121" t="str">
        <f>IF(ISBLANK(tbl_task10[[คะแนนเต็ม]:[คะแนนเต็ม]]),"",(tbl_task10[69]/tbl_task10[[คะแนนเต็ม]:[คะแนนเต็ม]])*tbl_task10[[%]:[%]])</f>
        <v/>
      </c>
      <c r="IF14" s="121" t="str">
        <f>IF(ISBLANK(tbl_task10[[คะแนนเต็ม]:[คะแนนเต็ม]]),"",(tbl_task10[70]/tbl_task10[[คะแนนเต็ม]:[คะแนนเต็ม]])*tbl_task10[[%]:[%]])</f>
        <v/>
      </c>
      <c r="IG14" s="121" t="str">
        <f>IF(ISBLANK(tbl_task10[[คะแนนเต็ม]:[คะแนนเต็ม]]),"",(tbl_task10[71]/tbl_task10[[คะแนนเต็ม]:[คะแนนเต็ม]])*tbl_task10[[%]:[%]])</f>
        <v/>
      </c>
      <c r="IH14" s="121" t="str">
        <f>IF(ISBLANK(tbl_task10[[คะแนนเต็ม]:[คะแนนเต็ม]]),"",(tbl_task10[72]/tbl_task10[[คะแนนเต็ม]:[คะแนนเต็ม]])*tbl_task10[[%]:[%]])</f>
        <v/>
      </c>
      <c r="II14" s="121" t="str">
        <f>IF(ISBLANK(tbl_task10[[คะแนนเต็ม]:[คะแนนเต็ม]]),"",(tbl_task10[73]/tbl_task10[[คะแนนเต็ม]:[คะแนนเต็ม]])*tbl_task10[[%]:[%]])</f>
        <v/>
      </c>
      <c r="IJ14" s="121" t="str">
        <f>IF(ISBLANK(tbl_task10[[คะแนนเต็ม]:[คะแนนเต็ม]]),"",(tbl_task10[74]/tbl_task10[[คะแนนเต็ม]:[คะแนนเต็ม]])*tbl_task10[[%]:[%]])</f>
        <v/>
      </c>
      <c r="IK14" s="121" t="str">
        <f>IF(ISBLANK(tbl_task10[[คะแนนเต็ม]:[คะแนนเต็ม]]),"",(tbl_task10[75]/tbl_task10[[คะแนนเต็ม]:[คะแนนเต็ม]])*tbl_task10[[%]:[%]])</f>
        <v/>
      </c>
      <c r="IL14" s="121" t="str">
        <f>IF(ISBLANK(tbl_task10[[คะแนนเต็ม]:[คะแนนเต็ม]]),"",(tbl_task10[76]/tbl_task10[[คะแนนเต็ม]:[คะแนนเต็ม]])*tbl_task10[[%]:[%]])</f>
        <v/>
      </c>
      <c r="IM14" s="121" t="str">
        <f>IF(ISBLANK(tbl_task10[[คะแนนเต็ม]:[คะแนนเต็ม]]),"",(tbl_task10[77]/tbl_task10[[คะแนนเต็ม]:[คะแนนเต็ม]])*tbl_task10[[%]:[%]])</f>
        <v/>
      </c>
      <c r="IN14" s="121" t="str">
        <f>IF(ISBLANK(tbl_task10[[คะแนนเต็ม]:[คะแนนเต็ม]]),"",(tbl_task10[78]/tbl_task10[[คะแนนเต็ม]:[คะแนนเต็ม]])*tbl_task10[[%]:[%]])</f>
        <v/>
      </c>
      <c r="IO14" s="121" t="str">
        <f>IF(ISBLANK(tbl_task10[[คะแนนเต็ม]:[คะแนนเต็ม]]),"",(tbl_task10[79]/tbl_task10[[คะแนนเต็ม]:[คะแนนเต็ม]])*tbl_task10[[%]:[%]])</f>
        <v/>
      </c>
      <c r="IP14" s="121" t="str">
        <f>IF(ISBLANK(tbl_task10[[คะแนนเต็ม]:[คะแนนเต็ม]]),"",(tbl_task10[80]/tbl_task10[[คะแนนเต็ม]:[คะแนนเต็ม]])*tbl_task10[[%]:[%]])</f>
        <v/>
      </c>
      <c r="IQ14" s="121" t="str">
        <f>IF(ISBLANK(tbl_task10[[คะแนนเต็ม]:[คะแนนเต็ม]]),"",(tbl_task10[81]/tbl_task10[[คะแนนเต็ม]:[คะแนนเต็ม]])*tbl_task10[[%]:[%]])</f>
        <v/>
      </c>
      <c r="IR14" s="121" t="str">
        <f>IF(ISBLANK(tbl_task10[[คะแนนเต็ม]:[คะแนนเต็ม]]),"",(tbl_task10[82]/tbl_task10[[คะแนนเต็ม]:[คะแนนเต็ม]])*tbl_task10[[%]:[%]])</f>
        <v/>
      </c>
      <c r="IS14" s="121" t="str">
        <f>IF(ISBLANK(tbl_task10[[คะแนนเต็ม]:[คะแนนเต็ม]]),"",(tbl_task10[83]/tbl_task10[[คะแนนเต็ม]:[คะแนนเต็ม]])*tbl_task10[[%]:[%]])</f>
        <v/>
      </c>
      <c r="IT14" s="121" t="str">
        <f>IF(ISBLANK(tbl_task10[[คะแนนเต็ม]:[คะแนนเต็ม]]),"",(tbl_task10[84]/tbl_task10[[คะแนนเต็ม]:[คะแนนเต็ม]])*tbl_task10[[%]:[%]])</f>
        <v/>
      </c>
      <c r="IU14" s="121" t="str">
        <f>IF(ISBLANK(tbl_task10[[คะแนนเต็ม]:[คะแนนเต็ม]]),"",(tbl_task10[85]/tbl_task10[[คะแนนเต็ม]:[คะแนนเต็ม]])*tbl_task10[[%]:[%]])</f>
        <v/>
      </c>
      <c r="IV14" s="121" t="str">
        <f>IF(ISBLANK(tbl_task10[[คะแนนเต็ม]:[คะแนนเต็ม]]),"",(tbl_task10[86]/tbl_task10[[คะแนนเต็ม]:[คะแนนเต็ม]])*tbl_task10[[%]:[%]])</f>
        <v/>
      </c>
      <c r="IW14" s="121" t="str">
        <f>IF(ISBLANK(tbl_task10[[คะแนนเต็ม]:[คะแนนเต็ม]]),"",(tbl_task10[87]/tbl_task10[[คะแนนเต็ม]:[คะแนนเต็ม]])*tbl_task10[[%]:[%]])</f>
        <v/>
      </c>
      <c r="IX14" s="121" t="str">
        <f>IF(ISBLANK(tbl_task10[[คะแนนเต็ม]:[คะแนนเต็ม]]),"",(tbl_task10[88]/tbl_task10[[คะแนนเต็ม]:[คะแนนเต็ม]])*tbl_task10[[%]:[%]])</f>
        <v/>
      </c>
      <c r="IY14" s="121" t="str">
        <f>IF(ISBLANK(tbl_task10[[คะแนนเต็ม]:[คะแนนเต็ม]]),"",(tbl_task10[89]/tbl_task10[[คะแนนเต็ม]:[คะแนนเต็ม]])*tbl_task10[[%]:[%]])</f>
        <v/>
      </c>
      <c r="IZ14" s="121" t="str">
        <f>IF(ISBLANK(tbl_task10[[คะแนนเต็ม]:[คะแนนเต็ม]]),"",(tbl_task10[90]/tbl_task10[[คะแนนเต็ม]:[คะแนนเต็ม]])*tbl_task10[[%]:[%]])</f>
        <v/>
      </c>
      <c r="JA14" s="121" t="str">
        <f>IF(ISBLANK(tbl_task10[[คะแนนเต็ม]:[คะแนนเต็ม]]),"",(tbl_task10[91]/tbl_task10[[คะแนนเต็ม]:[คะแนนเต็ม]])*tbl_task10[[%]:[%]])</f>
        <v/>
      </c>
      <c r="JB14" s="121" t="str">
        <f>IF(ISBLANK(tbl_task10[[คะแนนเต็ม]:[คะแนนเต็ม]]),"",(tbl_task10[92]/tbl_task10[[คะแนนเต็ม]:[คะแนนเต็ม]])*tbl_task10[[%]:[%]])</f>
        <v/>
      </c>
      <c r="JC14" s="121" t="str">
        <f>IF(ISBLANK(tbl_task10[[คะแนนเต็ม]:[คะแนนเต็ม]]),"",(tbl_task10[93]/tbl_task10[[คะแนนเต็ม]:[คะแนนเต็ม]])*tbl_task10[[%]:[%]])</f>
        <v/>
      </c>
      <c r="JD14" s="121" t="str">
        <f>IF(ISBLANK(tbl_task10[[คะแนนเต็ม]:[คะแนนเต็ม]]),"",(tbl_task10[94]/tbl_task10[[คะแนนเต็ม]:[คะแนนเต็ม]])*tbl_task10[[%]:[%]])</f>
        <v/>
      </c>
      <c r="JE14" s="121" t="str">
        <f>IF(ISBLANK(tbl_task10[[คะแนนเต็ม]:[คะแนนเต็ม]]),"",(tbl_task10[95]/tbl_task10[[คะแนนเต็ม]:[คะแนนเต็ม]])*tbl_task10[[%]:[%]])</f>
        <v/>
      </c>
      <c r="JF14" s="121" t="str">
        <f>IF(ISBLANK(tbl_task10[[คะแนนเต็ม]:[คะแนนเต็ม]]),"",(tbl_task10[96]/tbl_task10[[คะแนนเต็ม]:[คะแนนเต็ม]])*tbl_task10[[%]:[%]])</f>
        <v/>
      </c>
      <c r="JG14" s="121" t="str">
        <f>IF(ISBLANK(tbl_task10[[คะแนนเต็ม]:[คะแนนเต็ม]]),"",(tbl_task10[97]/tbl_task10[[คะแนนเต็ม]:[คะแนนเต็ม]])*tbl_task10[[%]:[%]])</f>
        <v/>
      </c>
      <c r="JH14" s="121" t="str">
        <f>IF(ISBLANK(tbl_task10[[คะแนนเต็ม]:[คะแนนเต็ม]]),"",(tbl_task10[98]/tbl_task10[[คะแนนเต็ม]:[คะแนนเต็ม]])*tbl_task10[[%]:[%]])</f>
        <v/>
      </c>
      <c r="JI14" s="121" t="str">
        <f>IF(ISBLANK(tbl_task10[[คะแนนเต็ม]:[คะแนนเต็ม]]),"",(tbl_task10[99]/tbl_task10[[คะแนนเต็ม]:[คะแนนเต็ม]])*tbl_task10[[%]:[%]])</f>
        <v/>
      </c>
      <c r="JJ14" s="121" t="str">
        <f>IF(ISBLANK(tbl_task10[[คะแนนเต็ม]:[คะแนนเต็ม]]),"",(tbl_task10[100]/tbl_task10[[คะแนนเต็ม]:[คะแนนเต็ม]])*tbl_task10[[%]:[%]])</f>
        <v/>
      </c>
      <c r="JK14" s="121" t="str">
        <f>IF(ISBLANK(tbl_task10[[คะแนนเต็ม]:[คะแนนเต็ม]]),"",(tbl_task10[101]/tbl_task10[[คะแนนเต็ม]:[คะแนนเต็ม]])*tbl_task10[[%]:[%]])</f>
        <v/>
      </c>
      <c r="JL14" s="121" t="str">
        <f>IF(ISBLANK(tbl_task10[[คะแนนเต็ม]:[คะแนนเต็ม]]),"",(tbl_task10[102]/tbl_task10[[คะแนนเต็ม]:[คะแนนเต็ม]])*tbl_task10[[%]:[%]])</f>
        <v/>
      </c>
      <c r="JM14" s="121" t="str">
        <f>IF(ISBLANK(tbl_task10[[คะแนนเต็ม]:[คะแนนเต็ม]]),"",(tbl_task10[103]/tbl_task10[[คะแนนเต็ม]:[คะแนนเต็ม]])*tbl_task10[[%]:[%]])</f>
        <v/>
      </c>
      <c r="JN14" s="121" t="str">
        <f>IF(ISBLANK(tbl_task10[[คะแนนเต็ม]:[คะแนนเต็ม]]),"",(tbl_task10[104]/tbl_task10[[คะแนนเต็ม]:[คะแนนเต็ม]])*tbl_task10[[%]:[%]])</f>
        <v/>
      </c>
      <c r="JO14" s="121" t="str">
        <f>IF(ISBLANK(tbl_task10[[คะแนนเต็ม]:[คะแนนเต็ม]]),"",(tbl_task10[105]/tbl_task10[[คะแนนเต็ม]:[คะแนนเต็ม]])*tbl_task10[[%]:[%]])</f>
        <v/>
      </c>
      <c r="JP14" s="121" t="str">
        <f>IF(ISBLANK(tbl_task10[[คะแนนเต็ม]:[คะแนนเต็ม]]),"",(tbl_task10[106]/tbl_task10[[คะแนนเต็ม]:[คะแนนเต็ม]])*tbl_task10[[%]:[%]])</f>
        <v/>
      </c>
      <c r="JQ14" s="121" t="str">
        <f>IF(ISBLANK(tbl_task10[[คะแนนเต็ม]:[คะแนนเต็ม]]),"",(tbl_task10[107]/tbl_task10[[คะแนนเต็ม]:[คะแนนเต็ม]])*tbl_task10[[%]:[%]])</f>
        <v/>
      </c>
      <c r="JR14" s="121" t="str">
        <f>IF(ISBLANK(tbl_task10[[คะแนนเต็ม]:[คะแนนเต็ม]]),"",(tbl_task10[108]/tbl_task10[[คะแนนเต็ม]:[คะแนนเต็ม]])*tbl_task10[[%]:[%]])</f>
        <v/>
      </c>
      <c r="JS14" s="121" t="str">
        <f>IF(ISBLANK(tbl_task10[[คะแนนเต็ม]:[คะแนนเต็ม]]),"",(tbl_task10[109]/tbl_task10[[คะแนนเต็ม]:[คะแนนเต็ม]])*tbl_task10[[%]:[%]])</f>
        <v/>
      </c>
      <c r="JT14" s="121" t="str">
        <f>IF(ISBLANK(tbl_task10[[คะแนนเต็ม]:[คะแนนเต็ม]]),"",(tbl_task10[110]/tbl_task10[[คะแนนเต็ม]:[คะแนนเต็ม]])*tbl_task10[[%]:[%]])</f>
        <v/>
      </c>
      <c r="JU14" s="121" t="str">
        <f>IF(ISBLANK(tbl_task10[[คะแนนเต็ม]:[คะแนนเต็ม]]),"",(tbl_task10[111]/tbl_task10[[คะแนนเต็ม]:[คะแนนเต็ม]])*tbl_task10[[%]:[%]])</f>
        <v/>
      </c>
      <c r="JV14" s="121" t="str">
        <f>IF(ISBLANK(tbl_task10[[คะแนนเต็ม]:[คะแนนเต็ม]]),"",(tbl_task10[112]/tbl_task10[[คะแนนเต็ม]:[คะแนนเต็ม]])*tbl_task10[[%]:[%]])</f>
        <v/>
      </c>
      <c r="JW14" s="121" t="str">
        <f>IF(ISBLANK(tbl_task10[[คะแนนเต็ม]:[คะแนนเต็ม]]),"",(tbl_task10[113]/tbl_task10[[คะแนนเต็ม]:[คะแนนเต็ม]])*tbl_task10[[%]:[%]])</f>
        <v/>
      </c>
      <c r="JX14" s="121" t="str">
        <f>IF(ISBLANK(tbl_task10[[คะแนนเต็ม]:[คะแนนเต็ม]]),"",(tbl_task10[114]/tbl_task10[[คะแนนเต็ม]:[คะแนนเต็ม]])*tbl_task10[[%]:[%]])</f>
        <v/>
      </c>
      <c r="JY14" s="121" t="str">
        <f>IF(ISBLANK(tbl_task10[[คะแนนเต็ม]:[คะแนนเต็ม]]),"",(tbl_task10[115]/tbl_task10[[คะแนนเต็ม]:[คะแนนเต็ม]])*tbl_task10[[%]:[%]])</f>
        <v/>
      </c>
      <c r="JZ14" s="121" t="str">
        <f>IF(ISBLANK(tbl_task10[[คะแนนเต็ม]:[คะแนนเต็ม]]),"",(tbl_task10[116]/tbl_task10[[คะแนนเต็ม]:[คะแนนเต็ม]])*tbl_task10[[%]:[%]])</f>
        <v/>
      </c>
      <c r="KA14" s="121" t="str">
        <f>IF(ISBLANK(tbl_task10[[คะแนนเต็ม]:[คะแนนเต็ม]]),"",(tbl_task10[117]/tbl_task10[[คะแนนเต็ม]:[คะแนนเต็ม]])*tbl_task10[[%]:[%]])</f>
        <v/>
      </c>
      <c r="KB14" s="121" t="str">
        <f>IF(ISBLANK(tbl_task10[[คะแนนเต็ม]:[คะแนนเต็ม]]),"",(tbl_task10[118]/tbl_task10[[คะแนนเต็ม]:[คะแนนเต็ม]])*tbl_task10[[%]:[%]])</f>
        <v/>
      </c>
      <c r="KC14" s="121" t="str">
        <f>IF(ISBLANK(tbl_task10[[คะแนนเต็ม]:[คะแนนเต็ม]]),"",(tbl_task10[119]/tbl_task10[[คะแนนเต็ม]:[คะแนนเต็ม]])*tbl_task10[[%]:[%]])</f>
        <v/>
      </c>
      <c r="KD14" s="121" t="str">
        <f>IF(ISBLANK(tbl_task10[[คะแนนเต็ม]:[คะแนนเต็ม]]),"",(tbl_task10[120]/tbl_task10[[คะแนนเต็ม]:[คะแนนเต็ม]])*tbl_task10[[%]:[%]])</f>
        <v/>
      </c>
      <c r="KE14" s="121" t="str">
        <f>IF(ISBLANK(tbl_task10[[คะแนนเต็ม]:[คะแนนเต็ม]]),"",(tbl_task10[121]/tbl_task10[[คะแนนเต็ม]:[คะแนนเต็ม]])*tbl_task10[[%]:[%]])</f>
        <v/>
      </c>
      <c r="KF14" s="121" t="str">
        <f>IF(ISBLANK(tbl_task10[[คะแนนเต็ม]:[คะแนนเต็ม]]),"",(tbl_task10[122]/tbl_task10[[คะแนนเต็ม]:[คะแนนเต็ม]])*tbl_task10[[%]:[%]])</f>
        <v/>
      </c>
      <c r="KG14" s="121" t="str">
        <f>IF(ISBLANK(tbl_task10[[คะแนนเต็ม]:[คะแนนเต็ม]]),"",(tbl_task10[123]/tbl_task10[[คะแนนเต็ม]:[คะแนนเต็ม]])*tbl_task10[[%]:[%]])</f>
        <v/>
      </c>
      <c r="KH14" s="121" t="str">
        <f>IF(ISBLANK(tbl_task10[[คะแนนเต็ม]:[คะแนนเต็ม]]),"",(tbl_task10[124]/tbl_task10[[คะแนนเต็ม]:[คะแนนเต็ม]])*tbl_task10[[%]:[%]])</f>
        <v/>
      </c>
      <c r="KI14" s="121" t="str">
        <f>IF(ISBLANK(tbl_task10[[คะแนนเต็ม]:[คะแนนเต็ม]]),"",(tbl_task10[125]/tbl_task10[[คะแนนเต็ม]:[คะแนนเต็ม]])*tbl_task10[[%]:[%]])</f>
        <v/>
      </c>
      <c r="KJ14" s="121" t="str">
        <f>IF(ISBLANK(tbl_task10[[คะแนนเต็ม]:[คะแนนเต็ม]]),"",(tbl_task10[126]/tbl_task10[[คะแนนเต็ม]:[คะแนนเต็ม]])*tbl_task10[[%]:[%]])</f>
        <v/>
      </c>
      <c r="KK14" s="121" t="str">
        <f>IF(ISBLANK(tbl_task10[[คะแนนเต็ม]:[คะแนนเต็ม]]),"",(tbl_task10[127]/tbl_task10[[คะแนนเต็ม]:[คะแนนเต็ม]])*tbl_task10[[%]:[%]])</f>
        <v/>
      </c>
      <c r="KL14" s="121" t="str">
        <f>IF(ISBLANK(tbl_task10[[คะแนนเต็ม]:[คะแนนเต็ม]]),"",(tbl_task10[128]/tbl_task10[[คะแนนเต็ม]:[คะแนนเต็ม]])*tbl_task10[[%]:[%]])</f>
        <v/>
      </c>
      <c r="KM14" s="121" t="str">
        <f>IF(ISBLANK(tbl_task10[[คะแนนเต็ม]:[คะแนนเต็ม]]),"",(tbl_task10[129]/tbl_task10[[คะแนนเต็ม]:[คะแนนเต็ม]])*tbl_task10[[%]:[%]])</f>
        <v/>
      </c>
      <c r="KN14" s="121" t="str">
        <f>IF(ISBLANK(tbl_task10[[คะแนนเต็ม]:[คะแนนเต็ม]]),"",(tbl_task10[130]/tbl_task10[[คะแนนเต็ม]:[คะแนนเต็ม]])*tbl_task10[[%]:[%]])</f>
        <v/>
      </c>
      <c r="KO14" s="121" t="str">
        <f>IF(ISBLANK(tbl_task10[[คะแนนเต็ม]:[คะแนนเต็ม]]),"",(tbl_task10[131]/tbl_task10[[คะแนนเต็ม]:[คะแนนเต็ม]])*tbl_task10[[%]:[%]])</f>
        <v/>
      </c>
      <c r="KP14" s="121" t="str">
        <f>IF(ISBLANK(tbl_task10[[คะแนนเต็ม]:[คะแนนเต็ม]]),"",(tbl_task10[132]/tbl_task10[[คะแนนเต็ม]:[คะแนนเต็ม]])*tbl_task10[[%]:[%]])</f>
        <v/>
      </c>
      <c r="KQ14" s="121" t="str">
        <f>IF(ISBLANK(tbl_task10[[คะแนนเต็ม]:[คะแนนเต็ม]]),"",(tbl_task10[133]/tbl_task10[[คะแนนเต็ม]:[คะแนนเต็ม]])*tbl_task10[[%]:[%]])</f>
        <v/>
      </c>
      <c r="KR14" s="121" t="str">
        <f>IF(ISBLANK(tbl_task10[[คะแนนเต็ม]:[คะแนนเต็ม]]),"",(tbl_task10[134]/tbl_task10[[คะแนนเต็ม]:[คะแนนเต็ม]])*tbl_task10[[%]:[%]])</f>
        <v/>
      </c>
      <c r="KS14" s="121" t="str">
        <f>IF(ISBLANK(tbl_task10[[คะแนนเต็ม]:[คะแนนเต็ม]]),"",(tbl_task10[135]/tbl_task10[[คะแนนเต็ม]:[คะแนนเต็ม]])*tbl_task10[[%]:[%]])</f>
        <v/>
      </c>
      <c r="KT14" s="121" t="str">
        <f>IF(ISBLANK(tbl_task10[[คะแนนเต็ม]:[คะแนนเต็ม]]),"",(tbl_task10[136]/tbl_task10[[คะแนนเต็ม]:[คะแนนเต็ม]])*tbl_task10[[%]:[%]])</f>
        <v/>
      </c>
      <c r="KU14" s="121" t="str">
        <f>IF(ISBLANK(tbl_task10[[คะแนนเต็ม]:[คะแนนเต็ม]]),"",(tbl_task10[137]/tbl_task10[[คะแนนเต็ม]:[คะแนนเต็ม]])*tbl_task10[[%]:[%]])</f>
        <v/>
      </c>
      <c r="KV14" s="121" t="str">
        <f>IF(ISBLANK(tbl_task10[[คะแนนเต็ม]:[คะแนนเต็ม]]),"",(tbl_task10[138]/tbl_task10[[คะแนนเต็ม]:[คะแนนเต็ม]])*tbl_task10[[%]:[%]])</f>
        <v/>
      </c>
      <c r="KW14" s="121" t="str">
        <f>IF(ISBLANK(tbl_task10[[คะแนนเต็ม]:[คะแนนเต็ม]]),"",(tbl_task10[139]/tbl_task10[[คะแนนเต็ม]:[คะแนนเต็ม]])*tbl_task10[[%]:[%]])</f>
        <v/>
      </c>
      <c r="KX14" s="121" t="str">
        <f>IF(ISBLANK(tbl_task10[[คะแนนเต็ม]:[คะแนนเต็ม]]),"",(tbl_task10[140]/tbl_task10[[คะแนนเต็ม]:[คะแนนเต็ม]])*tbl_task10[[%]:[%]])</f>
        <v/>
      </c>
      <c r="KY14" s="121" t="str">
        <f>IF(ISBLANK(tbl_task10[[คะแนนเต็ม]:[คะแนนเต็ม]]),"",(tbl_task10[141]/tbl_task10[[คะแนนเต็ม]:[คะแนนเต็ม]])*tbl_task10[[%]:[%]])</f>
        <v/>
      </c>
      <c r="KZ14" s="121" t="str">
        <f>IF(ISBLANK(tbl_task10[[คะแนนเต็ม]:[คะแนนเต็ม]]),"",(tbl_task10[142]/tbl_task10[[คะแนนเต็ม]:[คะแนนเต็ม]])*tbl_task10[[%]:[%]])</f>
        <v/>
      </c>
      <c r="LA14" s="121" t="str">
        <f>IF(ISBLANK(tbl_task10[[คะแนนเต็ม]:[คะแนนเต็ม]]),"",(tbl_task10[143]/tbl_task10[[คะแนนเต็ม]:[คะแนนเต็ม]])*tbl_task10[[%]:[%]])</f>
        <v/>
      </c>
      <c r="LB14" s="121" t="str">
        <f>IF(ISBLANK(tbl_task10[[คะแนนเต็ม]:[คะแนนเต็ม]]),"",(tbl_task10[144]/tbl_task10[[คะแนนเต็ม]:[คะแนนเต็ม]])*tbl_task10[[%]:[%]])</f>
        <v/>
      </c>
      <c r="LC14" s="121" t="str">
        <f>IF(ISBLANK(tbl_task10[[คะแนนเต็ม]:[คะแนนเต็ม]]),"",(tbl_task10[145]/tbl_task10[[คะแนนเต็ม]:[คะแนนเต็ม]])*tbl_task10[[%]:[%]])</f>
        <v/>
      </c>
      <c r="LD14" s="121" t="str">
        <f>IF(ISBLANK(tbl_task10[[คะแนนเต็ม]:[คะแนนเต็ม]]),"",(tbl_task10[146]/tbl_task10[[คะแนนเต็ม]:[คะแนนเต็ม]])*tbl_task10[[%]:[%]])</f>
        <v/>
      </c>
      <c r="LE14" s="121" t="str">
        <f>IF(ISBLANK(tbl_task10[[คะแนนเต็ม]:[คะแนนเต็ม]]),"",(tbl_task10[147]/tbl_task10[[คะแนนเต็ม]:[คะแนนเต็ม]])*tbl_task10[[%]:[%]])</f>
        <v/>
      </c>
      <c r="LF14" s="121" t="str">
        <f>IF(ISBLANK(tbl_task10[[คะแนนเต็ม]:[คะแนนเต็ม]]),"",(tbl_task10[148]/tbl_task10[[คะแนนเต็ม]:[คะแนนเต็ม]])*tbl_task10[[%]:[%]])</f>
        <v/>
      </c>
      <c r="LG14" s="121" t="str">
        <f>IF(ISBLANK(tbl_task10[[คะแนนเต็ม]:[คะแนนเต็ม]]),"",(tbl_task10[149]/tbl_task10[[คะแนนเต็ม]:[คะแนนเต็ม]])*tbl_task10[[%]:[%]])</f>
        <v/>
      </c>
      <c r="LH14" s="121" t="str">
        <f>IF(ISBLANK(tbl_task10[[คะแนนเต็ม]:[คะแนนเต็ม]]),"",(tbl_task10[150]/tbl_task10[[คะแนนเต็ม]:[คะแนนเต็ม]])*tbl_task10[[%]:[%]])</f>
        <v/>
      </c>
      <c r="LI14" s="121" t="str">
        <f>IF(ISBLANK(tbl_task10[[คะแนนเต็ม]:[คะแนนเต็ม]]),"",(tbl_task10[151]/tbl_task10[[คะแนนเต็ม]:[คะแนนเต็ม]])*tbl_task10[[%]:[%]])</f>
        <v/>
      </c>
      <c r="LJ14" s="121" t="str">
        <f>IF(ISBLANK(tbl_task10[[คะแนนเต็ม]:[คะแนนเต็ม]]),"",(tbl_task10[152]/tbl_task10[[คะแนนเต็ม]:[คะแนนเต็ม]])*tbl_task10[[%]:[%]])</f>
        <v/>
      </c>
      <c r="LK14" s="121" t="str">
        <f>IF(ISBLANK(tbl_task10[[คะแนนเต็ม]:[คะแนนเต็ม]]),"",(tbl_task10[153]/tbl_task10[[คะแนนเต็ม]:[คะแนนเต็ม]])*tbl_task10[[%]:[%]])</f>
        <v/>
      </c>
      <c r="LL14" s="121" t="str">
        <f>IF(ISBLANK(tbl_task10[[คะแนนเต็ม]:[คะแนนเต็ม]]),"",(tbl_task10[154]/tbl_task10[[คะแนนเต็ม]:[คะแนนเต็ม]])*tbl_task10[[%]:[%]])</f>
        <v/>
      </c>
      <c r="LM14" s="121" t="str">
        <f>IF(ISBLANK(tbl_task10[[คะแนนเต็ม]:[คะแนนเต็ม]]),"",(tbl_task10[155]/tbl_task10[[คะแนนเต็ม]:[คะแนนเต็ม]])*tbl_task10[[%]:[%]])</f>
        <v/>
      </c>
      <c r="LN14" s="121" t="str">
        <f>IF(ISBLANK(tbl_task10[[คะแนนเต็ม]:[คะแนนเต็ม]]),"",(tbl_task10[156]/tbl_task10[[คะแนนเต็ม]:[คะแนนเต็ม]])*tbl_task10[[%]:[%]])</f>
        <v/>
      </c>
      <c r="LO14" s="121" t="str">
        <f>IF(ISBLANK(tbl_task10[[คะแนนเต็ม]:[คะแนนเต็ม]]),"",(tbl_task10[157]/tbl_task10[[คะแนนเต็ม]:[คะแนนเต็ม]])*tbl_task10[[%]:[%]])</f>
        <v/>
      </c>
      <c r="LP14" s="121" t="str">
        <f>IF(ISBLANK(tbl_task10[[คะแนนเต็ม]:[คะแนนเต็ม]]),"",(tbl_task10[158]/tbl_task10[[คะแนนเต็ม]:[คะแนนเต็ม]])*tbl_task10[[%]:[%]])</f>
        <v/>
      </c>
      <c r="LQ14" s="121" t="str">
        <f>IF(ISBLANK(tbl_task10[[คะแนนเต็ม]:[คะแนนเต็ม]]),"",(tbl_task10[159]/tbl_task10[[คะแนนเต็ม]:[คะแนนเต็ม]])*tbl_task10[[%]:[%]])</f>
        <v/>
      </c>
      <c r="LR14" s="121" t="str">
        <f>IF(ISBLANK(tbl_task10[[คะแนนเต็ม]:[คะแนนเต็ม]]),"",(tbl_task10[160]/tbl_task10[[คะแนนเต็ม]:[คะแนนเต็ม]])*tbl_task10[[%]:[%]])</f>
        <v/>
      </c>
      <c r="LS14" s="121" t="str">
        <f>IF(ISBLANK(tbl_task10[[คะแนนเต็ม]:[คะแนนเต็ม]]),"",(tbl_task10[161]/tbl_task10[[คะแนนเต็ม]:[คะแนนเต็ม]])*tbl_task10[[%]:[%]])</f>
        <v/>
      </c>
      <c r="LT14" s="121" t="str">
        <f>IF(ISBLANK(tbl_task10[[คะแนนเต็ม]:[คะแนนเต็ม]]),"",(tbl_task10[162]/tbl_task10[[คะแนนเต็ม]:[คะแนนเต็ม]])*tbl_task10[[%]:[%]])</f>
        <v/>
      </c>
      <c r="LU14" s="121" t="str">
        <f>IF(ISBLANK(tbl_task10[[คะแนนเต็ม]:[คะแนนเต็ม]]),"",(tbl_task10[163]/tbl_task10[[คะแนนเต็ม]:[คะแนนเต็ม]])*tbl_task10[[%]:[%]])</f>
        <v/>
      </c>
      <c r="LV14" s="121" t="str">
        <f>IF(ISBLANK(tbl_task10[[คะแนนเต็ม]:[คะแนนเต็ม]]),"",(tbl_task10[164]/tbl_task10[[คะแนนเต็ม]:[คะแนนเต็ม]])*tbl_task10[[%]:[%]])</f>
        <v/>
      </c>
      <c r="LW14" s="121" t="str">
        <f>IF(ISBLANK(tbl_task10[[คะแนนเต็ม]:[คะแนนเต็ม]]),"",(tbl_task10[165]/tbl_task10[[คะแนนเต็ม]:[คะแนนเต็ม]])*tbl_task10[[%]:[%]])</f>
        <v/>
      </c>
    </row>
    <row r="15" spans="1:335" ht="24" customHeight="1" x14ac:dyDescent="0.25">
      <c r="A15" s="24">
        <v>12</v>
      </c>
      <c r="B15" s="20"/>
      <c r="C15" s="5" t="str">
        <f>IF(ISBLANK(B15),"",VLOOKUP(B15,tbl_PLOs[],2,0))</f>
        <v/>
      </c>
      <c r="D15" s="102"/>
      <c r="E15" s="106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121" t="str">
        <f>IF(ISBLANK(tbl_task10[[คะแนนเต็ม]:[คะแนนเต็ม]]),"",(tbl_task10[1]/tbl_task10[[คะแนนเต็ม]:[คะแนนเต็ม]])*tbl_task10[[%]:[%]])</f>
        <v/>
      </c>
      <c r="FP15" s="121" t="str">
        <f>IF(ISBLANK(tbl_task10[[คะแนนเต็ม]:[คะแนนเต็ม]]),"",(tbl_task10[2]/tbl_task10[[คะแนนเต็ม]:[คะแนนเต็ม]])*tbl_task10[[%]:[%]])</f>
        <v/>
      </c>
      <c r="FQ15" s="121" t="str">
        <f>IF(ISBLANK(tbl_task10[[คะแนนเต็ม]:[คะแนนเต็ม]]),"",(tbl_task10[3]/tbl_task10[[คะแนนเต็ม]:[คะแนนเต็ม]])*tbl_task10[[%]:[%]])</f>
        <v/>
      </c>
      <c r="FR15" s="121" t="str">
        <f>IF(ISBLANK(tbl_task10[[คะแนนเต็ม]:[คะแนนเต็ม]]),"",(tbl_task10[4]/tbl_task10[[คะแนนเต็ม]:[คะแนนเต็ม]])*tbl_task10[[%]:[%]])</f>
        <v/>
      </c>
      <c r="FS15" s="121" t="str">
        <f>IF(ISBLANK(tbl_task10[[คะแนนเต็ม]:[คะแนนเต็ม]]),"",(tbl_task10[5]/tbl_task10[[คะแนนเต็ม]:[คะแนนเต็ม]])*tbl_task10[[%]:[%]])</f>
        <v/>
      </c>
      <c r="FT15" s="121" t="str">
        <f>IF(ISBLANK(tbl_task10[[คะแนนเต็ม]:[คะแนนเต็ม]]),"",(tbl_task10[6]/tbl_task10[[คะแนนเต็ม]:[คะแนนเต็ม]])*tbl_task10[[%]:[%]])</f>
        <v/>
      </c>
      <c r="FU15" s="121" t="str">
        <f>IF(ISBLANK(tbl_task10[[คะแนนเต็ม]:[คะแนนเต็ม]]),"",(tbl_task10[7]/tbl_task10[[คะแนนเต็ม]:[คะแนนเต็ม]])*tbl_task10[[%]:[%]])</f>
        <v/>
      </c>
      <c r="FV15" s="121" t="str">
        <f>IF(ISBLANK(tbl_task10[[คะแนนเต็ม]:[คะแนนเต็ม]]),"",(tbl_task10[8]/tbl_task10[[คะแนนเต็ม]:[คะแนนเต็ม]])*tbl_task10[[%]:[%]])</f>
        <v/>
      </c>
      <c r="FW15" s="121" t="str">
        <f>IF(ISBLANK(tbl_task10[[คะแนนเต็ม]:[คะแนนเต็ม]]),"",(tbl_task10[9]/tbl_task10[[คะแนนเต็ม]:[คะแนนเต็ม]])*tbl_task10[[%]:[%]])</f>
        <v/>
      </c>
      <c r="FX15" s="121" t="str">
        <f>IF(ISBLANK(tbl_task10[[คะแนนเต็ม]:[คะแนนเต็ม]]),"",(tbl_task10[10]/tbl_task10[[คะแนนเต็ม]:[คะแนนเต็ม]])*tbl_task10[[%]:[%]])</f>
        <v/>
      </c>
      <c r="FY15" s="121" t="str">
        <f>IF(ISBLANK(tbl_task10[[คะแนนเต็ม]:[คะแนนเต็ม]]),"",(tbl_task10[11]/tbl_task10[[คะแนนเต็ม]:[คะแนนเต็ม]])*tbl_task10[[%]:[%]])</f>
        <v/>
      </c>
      <c r="FZ15" s="121" t="str">
        <f>IF(ISBLANK(tbl_task10[[คะแนนเต็ม]:[คะแนนเต็ม]]),"",(tbl_task10[12]/tbl_task10[[คะแนนเต็ม]:[คะแนนเต็ม]])*tbl_task10[[%]:[%]])</f>
        <v/>
      </c>
      <c r="GA15" s="121" t="str">
        <f>IF(ISBLANK(tbl_task10[[คะแนนเต็ม]:[คะแนนเต็ม]]),"",(tbl_task10[13]/tbl_task10[[คะแนนเต็ม]:[คะแนนเต็ม]])*tbl_task10[[%]:[%]])</f>
        <v/>
      </c>
      <c r="GB15" s="121" t="str">
        <f>IF(ISBLANK(tbl_task10[[คะแนนเต็ม]:[คะแนนเต็ม]]),"",(tbl_task10[14]/tbl_task10[[คะแนนเต็ม]:[คะแนนเต็ม]])*tbl_task10[[%]:[%]])</f>
        <v/>
      </c>
      <c r="GC15" s="121" t="str">
        <f>IF(ISBLANK(tbl_task10[[คะแนนเต็ม]:[คะแนนเต็ม]]),"",(tbl_task10[15]/tbl_task10[[คะแนนเต็ม]:[คะแนนเต็ม]])*tbl_task10[[%]:[%]])</f>
        <v/>
      </c>
      <c r="GD15" s="121" t="str">
        <f>IF(ISBLANK(tbl_task10[[คะแนนเต็ม]:[คะแนนเต็ม]]),"",(tbl_task10[16]/tbl_task10[[คะแนนเต็ม]:[คะแนนเต็ม]])*tbl_task10[[%]:[%]])</f>
        <v/>
      </c>
      <c r="GE15" s="121" t="str">
        <f>IF(ISBLANK(tbl_task10[[คะแนนเต็ม]:[คะแนนเต็ม]]),"",(tbl_task10[17]/tbl_task10[[คะแนนเต็ม]:[คะแนนเต็ม]])*tbl_task10[[%]:[%]])</f>
        <v/>
      </c>
      <c r="GF15" s="121" t="str">
        <f>IF(ISBLANK(tbl_task10[[คะแนนเต็ม]:[คะแนนเต็ม]]),"",(tbl_task10[18]/tbl_task10[[คะแนนเต็ม]:[คะแนนเต็ม]])*tbl_task10[[%]:[%]])</f>
        <v/>
      </c>
      <c r="GG15" s="121" t="str">
        <f>IF(ISBLANK(tbl_task10[[คะแนนเต็ม]:[คะแนนเต็ม]]),"",(tbl_task10[19]/tbl_task10[[คะแนนเต็ม]:[คะแนนเต็ม]])*tbl_task10[[%]:[%]])</f>
        <v/>
      </c>
      <c r="GH15" s="121" t="str">
        <f>IF(ISBLANK(tbl_task10[[คะแนนเต็ม]:[คะแนนเต็ม]]),"",(tbl_task10[20]/tbl_task10[[คะแนนเต็ม]:[คะแนนเต็ม]])*tbl_task10[[%]:[%]])</f>
        <v/>
      </c>
      <c r="GI15" s="121" t="str">
        <f>IF(ISBLANK(tbl_task10[[คะแนนเต็ม]:[คะแนนเต็ม]]),"",(tbl_task10[21]/tbl_task10[[คะแนนเต็ม]:[คะแนนเต็ม]])*tbl_task10[[%]:[%]])</f>
        <v/>
      </c>
      <c r="GJ15" s="121" t="str">
        <f>IF(ISBLANK(tbl_task10[[คะแนนเต็ม]:[คะแนนเต็ม]]),"",(tbl_task10[22]/tbl_task10[[คะแนนเต็ม]:[คะแนนเต็ม]])*tbl_task10[[%]:[%]])</f>
        <v/>
      </c>
      <c r="GK15" s="121" t="str">
        <f>IF(ISBLANK(tbl_task10[[คะแนนเต็ม]:[คะแนนเต็ม]]),"",(tbl_task10[23]/tbl_task10[[คะแนนเต็ม]:[คะแนนเต็ม]])*tbl_task10[[%]:[%]])</f>
        <v/>
      </c>
      <c r="GL15" s="121" t="str">
        <f>IF(ISBLANK(tbl_task10[[คะแนนเต็ม]:[คะแนนเต็ม]]),"",(tbl_task10[24]/tbl_task10[[คะแนนเต็ม]:[คะแนนเต็ม]])*tbl_task10[[%]:[%]])</f>
        <v/>
      </c>
      <c r="GM15" s="121" t="str">
        <f>IF(ISBLANK(tbl_task10[[คะแนนเต็ม]:[คะแนนเต็ม]]),"",(tbl_task10[25]/tbl_task10[[คะแนนเต็ม]:[คะแนนเต็ม]])*tbl_task10[[%]:[%]])</f>
        <v/>
      </c>
      <c r="GN15" s="121" t="str">
        <f>IF(ISBLANK(tbl_task10[[คะแนนเต็ม]:[คะแนนเต็ม]]),"",(tbl_task10[26]/tbl_task10[[คะแนนเต็ม]:[คะแนนเต็ม]])*tbl_task10[[%]:[%]])</f>
        <v/>
      </c>
      <c r="GO15" s="121" t="str">
        <f>IF(ISBLANK(tbl_task10[[คะแนนเต็ม]:[คะแนนเต็ม]]),"",(tbl_task10[27]/tbl_task10[[คะแนนเต็ม]:[คะแนนเต็ม]])*tbl_task10[[%]:[%]])</f>
        <v/>
      </c>
      <c r="GP15" s="121" t="str">
        <f>IF(ISBLANK(tbl_task10[[คะแนนเต็ม]:[คะแนนเต็ม]]),"",(tbl_task10[28]/tbl_task10[[คะแนนเต็ม]:[คะแนนเต็ม]])*tbl_task10[[%]:[%]])</f>
        <v/>
      </c>
      <c r="GQ15" s="121" t="str">
        <f>IF(ISBLANK(tbl_task10[[คะแนนเต็ม]:[คะแนนเต็ม]]),"",(tbl_task10[29]/tbl_task10[[คะแนนเต็ม]:[คะแนนเต็ม]])*tbl_task10[[%]:[%]])</f>
        <v/>
      </c>
      <c r="GR15" s="121" t="str">
        <f>IF(ISBLANK(tbl_task10[[คะแนนเต็ม]:[คะแนนเต็ม]]),"",(tbl_task10[30]/tbl_task10[[คะแนนเต็ม]:[คะแนนเต็ม]])*tbl_task10[[%]:[%]])</f>
        <v/>
      </c>
      <c r="GS15" s="121" t="str">
        <f>IF(ISBLANK(tbl_task10[[คะแนนเต็ม]:[คะแนนเต็ม]]),"",(tbl_task10[31]/tbl_task10[[คะแนนเต็ม]:[คะแนนเต็ม]])*tbl_task10[[%]:[%]])</f>
        <v/>
      </c>
      <c r="GT15" s="121" t="str">
        <f>IF(ISBLANK(tbl_task10[[คะแนนเต็ม]:[คะแนนเต็ม]]),"",(tbl_task10[32]/tbl_task10[[คะแนนเต็ม]:[คะแนนเต็ม]])*tbl_task10[[%]:[%]])</f>
        <v/>
      </c>
      <c r="GU15" s="121" t="str">
        <f>IF(ISBLANK(tbl_task10[[คะแนนเต็ม]:[คะแนนเต็ม]]),"",(tbl_task10[33]/tbl_task10[[คะแนนเต็ม]:[คะแนนเต็ม]])*tbl_task10[[%]:[%]])</f>
        <v/>
      </c>
      <c r="GV15" s="121" t="str">
        <f>IF(ISBLANK(tbl_task10[[คะแนนเต็ม]:[คะแนนเต็ม]]),"",(tbl_task10[34]/tbl_task10[[คะแนนเต็ม]:[คะแนนเต็ม]])*tbl_task10[[%]:[%]])</f>
        <v/>
      </c>
      <c r="GW15" s="121" t="str">
        <f>IF(ISBLANK(tbl_task10[[คะแนนเต็ม]:[คะแนนเต็ม]]),"",(tbl_task10[35]/tbl_task10[[คะแนนเต็ม]:[คะแนนเต็ม]])*tbl_task10[[%]:[%]])</f>
        <v/>
      </c>
      <c r="GX15" s="121" t="str">
        <f>IF(ISBLANK(tbl_task10[[คะแนนเต็ม]:[คะแนนเต็ม]]),"",(tbl_task10[36]/tbl_task10[[คะแนนเต็ม]:[คะแนนเต็ม]])*tbl_task10[[%]:[%]])</f>
        <v/>
      </c>
      <c r="GY15" s="121" t="str">
        <f>IF(ISBLANK(tbl_task10[[คะแนนเต็ม]:[คะแนนเต็ม]]),"",(tbl_task10[37]/tbl_task10[[คะแนนเต็ม]:[คะแนนเต็ม]])*tbl_task10[[%]:[%]])</f>
        <v/>
      </c>
      <c r="GZ15" s="121" t="str">
        <f>IF(ISBLANK(tbl_task10[[คะแนนเต็ม]:[คะแนนเต็ม]]),"",(tbl_task10[38]/tbl_task10[[คะแนนเต็ม]:[คะแนนเต็ม]])*tbl_task10[[%]:[%]])</f>
        <v/>
      </c>
      <c r="HA15" s="121" t="str">
        <f>IF(ISBLANK(tbl_task10[[คะแนนเต็ม]:[คะแนนเต็ม]]),"",(tbl_task10[39]/tbl_task10[[คะแนนเต็ม]:[คะแนนเต็ม]])*tbl_task10[[%]:[%]])</f>
        <v/>
      </c>
      <c r="HB15" s="121" t="str">
        <f>IF(ISBLANK(tbl_task10[[คะแนนเต็ม]:[คะแนนเต็ม]]),"",(tbl_task10[40]/tbl_task10[[คะแนนเต็ม]:[คะแนนเต็ม]])*tbl_task10[[%]:[%]])</f>
        <v/>
      </c>
      <c r="HC15" s="121" t="str">
        <f>IF(ISBLANK(tbl_task10[[คะแนนเต็ม]:[คะแนนเต็ม]]),"",(tbl_task10[41]/tbl_task10[[คะแนนเต็ม]:[คะแนนเต็ม]])*tbl_task10[[%]:[%]])</f>
        <v/>
      </c>
      <c r="HD15" s="121" t="str">
        <f>IF(ISBLANK(tbl_task10[[คะแนนเต็ม]:[คะแนนเต็ม]]),"",(tbl_task10[42]/tbl_task10[[คะแนนเต็ม]:[คะแนนเต็ม]])*tbl_task10[[%]:[%]])</f>
        <v/>
      </c>
      <c r="HE15" s="121" t="str">
        <f>IF(ISBLANK(tbl_task10[[คะแนนเต็ม]:[คะแนนเต็ม]]),"",(tbl_task10[43]/tbl_task10[[คะแนนเต็ม]:[คะแนนเต็ม]])*tbl_task10[[%]:[%]])</f>
        <v/>
      </c>
      <c r="HF15" s="121" t="str">
        <f>IF(ISBLANK(tbl_task10[[คะแนนเต็ม]:[คะแนนเต็ม]]),"",(tbl_task10[44]/tbl_task10[[คะแนนเต็ม]:[คะแนนเต็ม]])*tbl_task10[[%]:[%]])</f>
        <v/>
      </c>
      <c r="HG15" s="121" t="str">
        <f>IF(ISBLANK(tbl_task10[[คะแนนเต็ม]:[คะแนนเต็ม]]),"",(tbl_task10[45]/tbl_task10[[คะแนนเต็ม]:[คะแนนเต็ม]])*tbl_task10[[%]:[%]])</f>
        <v/>
      </c>
      <c r="HH15" s="121" t="str">
        <f>IF(ISBLANK(tbl_task10[[คะแนนเต็ม]:[คะแนนเต็ม]]),"",(tbl_task10[46]/tbl_task10[[คะแนนเต็ม]:[คะแนนเต็ม]])*tbl_task10[[%]:[%]])</f>
        <v/>
      </c>
      <c r="HI15" s="121" t="str">
        <f>IF(ISBLANK(tbl_task10[[คะแนนเต็ม]:[คะแนนเต็ม]]),"",(tbl_task10[47]/tbl_task10[[คะแนนเต็ม]:[คะแนนเต็ม]])*tbl_task10[[%]:[%]])</f>
        <v/>
      </c>
      <c r="HJ15" s="121" t="str">
        <f>IF(ISBLANK(tbl_task10[[คะแนนเต็ม]:[คะแนนเต็ม]]),"",(tbl_task10[48]/tbl_task10[[คะแนนเต็ม]:[คะแนนเต็ม]])*tbl_task10[[%]:[%]])</f>
        <v/>
      </c>
      <c r="HK15" s="121" t="str">
        <f>IF(ISBLANK(tbl_task10[[คะแนนเต็ม]:[คะแนนเต็ม]]),"",(tbl_task10[49]/tbl_task10[[คะแนนเต็ม]:[คะแนนเต็ม]])*tbl_task10[[%]:[%]])</f>
        <v/>
      </c>
      <c r="HL15" s="121" t="str">
        <f>IF(ISBLANK(tbl_task10[[คะแนนเต็ม]:[คะแนนเต็ม]]),"",(tbl_task10[50]/tbl_task10[[คะแนนเต็ม]:[คะแนนเต็ม]])*tbl_task10[[%]:[%]])</f>
        <v/>
      </c>
      <c r="HM15" s="121" t="str">
        <f>IF(ISBLANK(tbl_task10[[คะแนนเต็ม]:[คะแนนเต็ม]]),"",(tbl_task10[51]/tbl_task10[[คะแนนเต็ม]:[คะแนนเต็ม]])*tbl_task10[[%]:[%]])</f>
        <v/>
      </c>
      <c r="HN15" s="121" t="str">
        <f>IF(ISBLANK(tbl_task10[[คะแนนเต็ม]:[คะแนนเต็ม]]),"",(tbl_task10[52]/tbl_task10[[คะแนนเต็ม]:[คะแนนเต็ม]])*tbl_task10[[%]:[%]])</f>
        <v/>
      </c>
      <c r="HO15" s="121" t="str">
        <f>IF(ISBLANK(tbl_task10[[คะแนนเต็ม]:[คะแนนเต็ม]]),"",(tbl_task10[53]/tbl_task10[[คะแนนเต็ม]:[คะแนนเต็ม]])*tbl_task10[[%]:[%]])</f>
        <v/>
      </c>
      <c r="HP15" s="121" t="str">
        <f>IF(ISBLANK(tbl_task10[[คะแนนเต็ม]:[คะแนนเต็ม]]),"",(tbl_task10[54]/tbl_task10[[คะแนนเต็ม]:[คะแนนเต็ม]])*tbl_task10[[%]:[%]])</f>
        <v/>
      </c>
      <c r="HQ15" s="121" t="str">
        <f>IF(ISBLANK(tbl_task10[[คะแนนเต็ม]:[คะแนนเต็ม]]),"",(tbl_task10[55]/tbl_task10[[คะแนนเต็ม]:[คะแนนเต็ม]])*tbl_task10[[%]:[%]])</f>
        <v/>
      </c>
      <c r="HR15" s="121" t="str">
        <f>IF(ISBLANK(tbl_task10[[คะแนนเต็ม]:[คะแนนเต็ม]]),"",(tbl_task10[56]/tbl_task10[[คะแนนเต็ม]:[คะแนนเต็ม]])*tbl_task10[[%]:[%]])</f>
        <v/>
      </c>
      <c r="HS15" s="121" t="str">
        <f>IF(ISBLANK(tbl_task10[[คะแนนเต็ม]:[คะแนนเต็ม]]),"",(tbl_task10[57]/tbl_task10[[คะแนนเต็ม]:[คะแนนเต็ม]])*tbl_task10[[%]:[%]])</f>
        <v/>
      </c>
      <c r="HT15" s="121" t="str">
        <f>IF(ISBLANK(tbl_task10[[คะแนนเต็ม]:[คะแนนเต็ม]]),"",(tbl_task10[58]/tbl_task10[[คะแนนเต็ม]:[คะแนนเต็ม]])*tbl_task10[[%]:[%]])</f>
        <v/>
      </c>
      <c r="HU15" s="121" t="str">
        <f>IF(ISBLANK(tbl_task10[[คะแนนเต็ม]:[คะแนนเต็ม]]),"",(tbl_task10[59]/tbl_task10[[คะแนนเต็ม]:[คะแนนเต็ม]])*tbl_task10[[%]:[%]])</f>
        <v/>
      </c>
      <c r="HV15" s="121" t="str">
        <f>IF(ISBLANK(tbl_task10[[คะแนนเต็ม]:[คะแนนเต็ม]]),"",(tbl_task10[60]/tbl_task10[[คะแนนเต็ม]:[คะแนนเต็ม]])*tbl_task10[[%]:[%]])</f>
        <v/>
      </c>
      <c r="HW15" s="121" t="str">
        <f>IF(ISBLANK(tbl_task10[[คะแนนเต็ม]:[คะแนนเต็ม]]),"",(tbl_task10[61]/tbl_task10[[คะแนนเต็ม]:[คะแนนเต็ม]])*tbl_task10[[%]:[%]])</f>
        <v/>
      </c>
      <c r="HX15" s="121" t="str">
        <f>IF(ISBLANK(tbl_task10[[คะแนนเต็ม]:[คะแนนเต็ม]]),"",(tbl_task10[62]/tbl_task10[[คะแนนเต็ม]:[คะแนนเต็ม]])*tbl_task10[[%]:[%]])</f>
        <v/>
      </c>
      <c r="HY15" s="121" t="str">
        <f>IF(ISBLANK(tbl_task10[[คะแนนเต็ม]:[คะแนนเต็ม]]),"",(tbl_task10[63]/tbl_task10[[คะแนนเต็ม]:[คะแนนเต็ม]])*tbl_task10[[%]:[%]])</f>
        <v/>
      </c>
      <c r="HZ15" s="121" t="str">
        <f>IF(ISBLANK(tbl_task10[[คะแนนเต็ม]:[คะแนนเต็ม]]),"",(tbl_task10[64]/tbl_task10[[คะแนนเต็ม]:[คะแนนเต็ม]])*tbl_task10[[%]:[%]])</f>
        <v/>
      </c>
      <c r="IA15" s="121" t="str">
        <f>IF(ISBLANK(tbl_task10[[คะแนนเต็ม]:[คะแนนเต็ม]]),"",(tbl_task10[65]/tbl_task10[[คะแนนเต็ม]:[คะแนนเต็ม]])*tbl_task10[[%]:[%]])</f>
        <v/>
      </c>
      <c r="IB15" s="121" t="str">
        <f>IF(ISBLANK(tbl_task10[[คะแนนเต็ม]:[คะแนนเต็ม]]),"",(tbl_task10[66]/tbl_task10[[คะแนนเต็ม]:[คะแนนเต็ม]])*tbl_task10[[%]:[%]])</f>
        <v/>
      </c>
      <c r="IC15" s="121" t="str">
        <f>IF(ISBLANK(tbl_task10[[คะแนนเต็ม]:[คะแนนเต็ม]]),"",(tbl_task10[67]/tbl_task10[[คะแนนเต็ม]:[คะแนนเต็ม]])*tbl_task10[[%]:[%]])</f>
        <v/>
      </c>
      <c r="ID15" s="121" t="str">
        <f>IF(ISBLANK(tbl_task10[[คะแนนเต็ม]:[คะแนนเต็ม]]),"",(tbl_task10[68]/tbl_task10[[คะแนนเต็ม]:[คะแนนเต็ม]])*tbl_task10[[%]:[%]])</f>
        <v/>
      </c>
      <c r="IE15" s="121" t="str">
        <f>IF(ISBLANK(tbl_task10[[คะแนนเต็ม]:[คะแนนเต็ม]]),"",(tbl_task10[69]/tbl_task10[[คะแนนเต็ม]:[คะแนนเต็ม]])*tbl_task10[[%]:[%]])</f>
        <v/>
      </c>
      <c r="IF15" s="121" t="str">
        <f>IF(ISBLANK(tbl_task10[[คะแนนเต็ม]:[คะแนนเต็ม]]),"",(tbl_task10[70]/tbl_task10[[คะแนนเต็ม]:[คะแนนเต็ม]])*tbl_task10[[%]:[%]])</f>
        <v/>
      </c>
      <c r="IG15" s="121" t="str">
        <f>IF(ISBLANK(tbl_task10[[คะแนนเต็ม]:[คะแนนเต็ม]]),"",(tbl_task10[71]/tbl_task10[[คะแนนเต็ม]:[คะแนนเต็ม]])*tbl_task10[[%]:[%]])</f>
        <v/>
      </c>
      <c r="IH15" s="121" t="str">
        <f>IF(ISBLANK(tbl_task10[[คะแนนเต็ม]:[คะแนนเต็ม]]),"",(tbl_task10[72]/tbl_task10[[คะแนนเต็ม]:[คะแนนเต็ม]])*tbl_task10[[%]:[%]])</f>
        <v/>
      </c>
      <c r="II15" s="121" t="str">
        <f>IF(ISBLANK(tbl_task10[[คะแนนเต็ม]:[คะแนนเต็ม]]),"",(tbl_task10[73]/tbl_task10[[คะแนนเต็ม]:[คะแนนเต็ม]])*tbl_task10[[%]:[%]])</f>
        <v/>
      </c>
      <c r="IJ15" s="121" t="str">
        <f>IF(ISBLANK(tbl_task10[[คะแนนเต็ม]:[คะแนนเต็ม]]),"",(tbl_task10[74]/tbl_task10[[คะแนนเต็ม]:[คะแนนเต็ม]])*tbl_task10[[%]:[%]])</f>
        <v/>
      </c>
      <c r="IK15" s="121" t="str">
        <f>IF(ISBLANK(tbl_task10[[คะแนนเต็ม]:[คะแนนเต็ม]]),"",(tbl_task10[75]/tbl_task10[[คะแนนเต็ม]:[คะแนนเต็ม]])*tbl_task10[[%]:[%]])</f>
        <v/>
      </c>
      <c r="IL15" s="121" t="str">
        <f>IF(ISBLANK(tbl_task10[[คะแนนเต็ม]:[คะแนนเต็ม]]),"",(tbl_task10[76]/tbl_task10[[คะแนนเต็ม]:[คะแนนเต็ม]])*tbl_task10[[%]:[%]])</f>
        <v/>
      </c>
      <c r="IM15" s="121" t="str">
        <f>IF(ISBLANK(tbl_task10[[คะแนนเต็ม]:[คะแนนเต็ม]]),"",(tbl_task10[77]/tbl_task10[[คะแนนเต็ม]:[คะแนนเต็ม]])*tbl_task10[[%]:[%]])</f>
        <v/>
      </c>
      <c r="IN15" s="121" t="str">
        <f>IF(ISBLANK(tbl_task10[[คะแนนเต็ม]:[คะแนนเต็ม]]),"",(tbl_task10[78]/tbl_task10[[คะแนนเต็ม]:[คะแนนเต็ม]])*tbl_task10[[%]:[%]])</f>
        <v/>
      </c>
      <c r="IO15" s="121" t="str">
        <f>IF(ISBLANK(tbl_task10[[คะแนนเต็ม]:[คะแนนเต็ม]]),"",(tbl_task10[79]/tbl_task10[[คะแนนเต็ม]:[คะแนนเต็ม]])*tbl_task10[[%]:[%]])</f>
        <v/>
      </c>
      <c r="IP15" s="121" t="str">
        <f>IF(ISBLANK(tbl_task10[[คะแนนเต็ม]:[คะแนนเต็ม]]),"",(tbl_task10[80]/tbl_task10[[คะแนนเต็ม]:[คะแนนเต็ม]])*tbl_task10[[%]:[%]])</f>
        <v/>
      </c>
      <c r="IQ15" s="121" t="str">
        <f>IF(ISBLANK(tbl_task10[[คะแนนเต็ม]:[คะแนนเต็ม]]),"",(tbl_task10[81]/tbl_task10[[คะแนนเต็ม]:[คะแนนเต็ม]])*tbl_task10[[%]:[%]])</f>
        <v/>
      </c>
      <c r="IR15" s="121" t="str">
        <f>IF(ISBLANK(tbl_task10[[คะแนนเต็ม]:[คะแนนเต็ม]]),"",(tbl_task10[82]/tbl_task10[[คะแนนเต็ม]:[คะแนนเต็ม]])*tbl_task10[[%]:[%]])</f>
        <v/>
      </c>
      <c r="IS15" s="121" t="str">
        <f>IF(ISBLANK(tbl_task10[[คะแนนเต็ม]:[คะแนนเต็ม]]),"",(tbl_task10[83]/tbl_task10[[คะแนนเต็ม]:[คะแนนเต็ม]])*tbl_task10[[%]:[%]])</f>
        <v/>
      </c>
      <c r="IT15" s="121" t="str">
        <f>IF(ISBLANK(tbl_task10[[คะแนนเต็ม]:[คะแนนเต็ม]]),"",(tbl_task10[84]/tbl_task10[[คะแนนเต็ม]:[คะแนนเต็ม]])*tbl_task10[[%]:[%]])</f>
        <v/>
      </c>
      <c r="IU15" s="121" t="str">
        <f>IF(ISBLANK(tbl_task10[[คะแนนเต็ม]:[คะแนนเต็ม]]),"",(tbl_task10[85]/tbl_task10[[คะแนนเต็ม]:[คะแนนเต็ม]])*tbl_task10[[%]:[%]])</f>
        <v/>
      </c>
      <c r="IV15" s="121" t="str">
        <f>IF(ISBLANK(tbl_task10[[คะแนนเต็ม]:[คะแนนเต็ม]]),"",(tbl_task10[86]/tbl_task10[[คะแนนเต็ม]:[คะแนนเต็ม]])*tbl_task10[[%]:[%]])</f>
        <v/>
      </c>
      <c r="IW15" s="121" t="str">
        <f>IF(ISBLANK(tbl_task10[[คะแนนเต็ม]:[คะแนนเต็ม]]),"",(tbl_task10[87]/tbl_task10[[คะแนนเต็ม]:[คะแนนเต็ม]])*tbl_task10[[%]:[%]])</f>
        <v/>
      </c>
      <c r="IX15" s="121" t="str">
        <f>IF(ISBLANK(tbl_task10[[คะแนนเต็ม]:[คะแนนเต็ม]]),"",(tbl_task10[88]/tbl_task10[[คะแนนเต็ม]:[คะแนนเต็ม]])*tbl_task10[[%]:[%]])</f>
        <v/>
      </c>
      <c r="IY15" s="121" t="str">
        <f>IF(ISBLANK(tbl_task10[[คะแนนเต็ม]:[คะแนนเต็ม]]),"",(tbl_task10[89]/tbl_task10[[คะแนนเต็ม]:[คะแนนเต็ม]])*tbl_task10[[%]:[%]])</f>
        <v/>
      </c>
      <c r="IZ15" s="121" t="str">
        <f>IF(ISBLANK(tbl_task10[[คะแนนเต็ม]:[คะแนนเต็ม]]),"",(tbl_task10[90]/tbl_task10[[คะแนนเต็ม]:[คะแนนเต็ม]])*tbl_task10[[%]:[%]])</f>
        <v/>
      </c>
      <c r="JA15" s="121" t="str">
        <f>IF(ISBLANK(tbl_task10[[คะแนนเต็ม]:[คะแนนเต็ม]]),"",(tbl_task10[91]/tbl_task10[[คะแนนเต็ม]:[คะแนนเต็ม]])*tbl_task10[[%]:[%]])</f>
        <v/>
      </c>
      <c r="JB15" s="121" t="str">
        <f>IF(ISBLANK(tbl_task10[[คะแนนเต็ม]:[คะแนนเต็ม]]),"",(tbl_task10[92]/tbl_task10[[คะแนนเต็ม]:[คะแนนเต็ม]])*tbl_task10[[%]:[%]])</f>
        <v/>
      </c>
      <c r="JC15" s="121" t="str">
        <f>IF(ISBLANK(tbl_task10[[คะแนนเต็ม]:[คะแนนเต็ม]]),"",(tbl_task10[93]/tbl_task10[[คะแนนเต็ม]:[คะแนนเต็ม]])*tbl_task10[[%]:[%]])</f>
        <v/>
      </c>
      <c r="JD15" s="121" t="str">
        <f>IF(ISBLANK(tbl_task10[[คะแนนเต็ม]:[คะแนนเต็ม]]),"",(tbl_task10[94]/tbl_task10[[คะแนนเต็ม]:[คะแนนเต็ม]])*tbl_task10[[%]:[%]])</f>
        <v/>
      </c>
      <c r="JE15" s="121" t="str">
        <f>IF(ISBLANK(tbl_task10[[คะแนนเต็ม]:[คะแนนเต็ม]]),"",(tbl_task10[95]/tbl_task10[[คะแนนเต็ม]:[คะแนนเต็ม]])*tbl_task10[[%]:[%]])</f>
        <v/>
      </c>
      <c r="JF15" s="121" t="str">
        <f>IF(ISBLANK(tbl_task10[[คะแนนเต็ม]:[คะแนนเต็ม]]),"",(tbl_task10[96]/tbl_task10[[คะแนนเต็ม]:[คะแนนเต็ม]])*tbl_task10[[%]:[%]])</f>
        <v/>
      </c>
      <c r="JG15" s="121" t="str">
        <f>IF(ISBLANK(tbl_task10[[คะแนนเต็ม]:[คะแนนเต็ม]]),"",(tbl_task10[97]/tbl_task10[[คะแนนเต็ม]:[คะแนนเต็ม]])*tbl_task10[[%]:[%]])</f>
        <v/>
      </c>
      <c r="JH15" s="121" t="str">
        <f>IF(ISBLANK(tbl_task10[[คะแนนเต็ม]:[คะแนนเต็ม]]),"",(tbl_task10[98]/tbl_task10[[คะแนนเต็ม]:[คะแนนเต็ม]])*tbl_task10[[%]:[%]])</f>
        <v/>
      </c>
      <c r="JI15" s="121" t="str">
        <f>IF(ISBLANK(tbl_task10[[คะแนนเต็ม]:[คะแนนเต็ม]]),"",(tbl_task10[99]/tbl_task10[[คะแนนเต็ม]:[คะแนนเต็ม]])*tbl_task10[[%]:[%]])</f>
        <v/>
      </c>
      <c r="JJ15" s="121" t="str">
        <f>IF(ISBLANK(tbl_task10[[คะแนนเต็ม]:[คะแนนเต็ม]]),"",(tbl_task10[100]/tbl_task10[[คะแนนเต็ม]:[คะแนนเต็ม]])*tbl_task10[[%]:[%]])</f>
        <v/>
      </c>
      <c r="JK15" s="121" t="str">
        <f>IF(ISBLANK(tbl_task10[[คะแนนเต็ม]:[คะแนนเต็ม]]),"",(tbl_task10[101]/tbl_task10[[คะแนนเต็ม]:[คะแนนเต็ม]])*tbl_task10[[%]:[%]])</f>
        <v/>
      </c>
      <c r="JL15" s="121" t="str">
        <f>IF(ISBLANK(tbl_task10[[คะแนนเต็ม]:[คะแนนเต็ม]]),"",(tbl_task10[102]/tbl_task10[[คะแนนเต็ม]:[คะแนนเต็ม]])*tbl_task10[[%]:[%]])</f>
        <v/>
      </c>
      <c r="JM15" s="121" t="str">
        <f>IF(ISBLANK(tbl_task10[[คะแนนเต็ม]:[คะแนนเต็ม]]),"",(tbl_task10[103]/tbl_task10[[คะแนนเต็ม]:[คะแนนเต็ม]])*tbl_task10[[%]:[%]])</f>
        <v/>
      </c>
      <c r="JN15" s="121" t="str">
        <f>IF(ISBLANK(tbl_task10[[คะแนนเต็ม]:[คะแนนเต็ม]]),"",(tbl_task10[104]/tbl_task10[[คะแนนเต็ม]:[คะแนนเต็ม]])*tbl_task10[[%]:[%]])</f>
        <v/>
      </c>
      <c r="JO15" s="121" t="str">
        <f>IF(ISBLANK(tbl_task10[[คะแนนเต็ม]:[คะแนนเต็ม]]),"",(tbl_task10[105]/tbl_task10[[คะแนนเต็ม]:[คะแนนเต็ม]])*tbl_task10[[%]:[%]])</f>
        <v/>
      </c>
      <c r="JP15" s="121" t="str">
        <f>IF(ISBLANK(tbl_task10[[คะแนนเต็ม]:[คะแนนเต็ม]]),"",(tbl_task10[106]/tbl_task10[[คะแนนเต็ม]:[คะแนนเต็ม]])*tbl_task10[[%]:[%]])</f>
        <v/>
      </c>
      <c r="JQ15" s="121" t="str">
        <f>IF(ISBLANK(tbl_task10[[คะแนนเต็ม]:[คะแนนเต็ม]]),"",(tbl_task10[107]/tbl_task10[[คะแนนเต็ม]:[คะแนนเต็ม]])*tbl_task10[[%]:[%]])</f>
        <v/>
      </c>
      <c r="JR15" s="121" t="str">
        <f>IF(ISBLANK(tbl_task10[[คะแนนเต็ม]:[คะแนนเต็ม]]),"",(tbl_task10[108]/tbl_task10[[คะแนนเต็ม]:[คะแนนเต็ม]])*tbl_task10[[%]:[%]])</f>
        <v/>
      </c>
      <c r="JS15" s="121" t="str">
        <f>IF(ISBLANK(tbl_task10[[คะแนนเต็ม]:[คะแนนเต็ม]]),"",(tbl_task10[109]/tbl_task10[[คะแนนเต็ม]:[คะแนนเต็ม]])*tbl_task10[[%]:[%]])</f>
        <v/>
      </c>
      <c r="JT15" s="121" t="str">
        <f>IF(ISBLANK(tbl_task10[[คะแนนเต็ม]:[คะแนนเต็ม]]),"",(tbl_task10[110]/tbl_task10[[คะแนนเต็ม]:[คะแนนเต็ม]])*tbl_task10[[%]:[%]])</f>
        <v/>
      </c>
      <c r="JU15" s="121" t="str">
        <f>IF(ISBLANK(tbl_task10[[คะแนนเต็ม]:[คะแนนเต็ม]]),"",(tbl_task10[111]/tbl_task10[[คะแนนเต็ม]:[คะแนนเต็ม]])*tbl_task10[[%]:[%]])</f>
        <v/>
      </c>
      <c r="JV15" s="121" t="str">
        <f>IF(ISBLANK(tbl_task10[[คะแนนเต็ม]:[คะแนนเต็ม]]),"",(tbl_task10[112]/tbl_task10[[คะแนนเต็ม]:[คะแนนเต็ม]])*tbl_task10[[%]:[%]])</f>
        <v/>
      </c>
      <c r="JW15" s="121" t="str">
        <f>IF(ISBLANK(tbl_task10[[คะแนนเต็ม]:[คะแนนเต็ม]]),"",(tbl_task10[113]/tbl_task10[[คะแนนเต็ม]:[คะแนนเต็ม]])*tbl_task10[[%]:[%]])</f>
        <v/>
      </c>
      <c r="JX15" s="121" t="str">
        <f>IF(ISBLANK(tbl_task10[[คะแนนเต็ม]:[คะแนนเต็ม]]),"",(tbl_task10[114]/tbl_task10[[คะแนนเต็ม]:[คะแนนเต็ม]])*tbl_task10[[%]:[%]])</f>
        <v/>
      </c>
      <c r="JY15" s="121" t="str">
        <f>IF(ISBLANK(tbl_task10[[คะแนนเต็ม]:[คะแนนเต็ม]]),"",(tbl_task10[115]/tbl_task10[[คะแนนเต็ม]:[คะแนนเต็ม]])*tbl_task10[[%]:[%]])</f>
        <v/>
      </c>
      <c r="JZ15" s="121" t="str">
        <f>IF(ISBLANK(tbl_task10[[คะแนนเต็ม]:[คะแนนเต็ม]]),"",(tbl_task10[116]/tbl_task10[[คะแนนเต็ม]:[คะแนนเต็ม]])*tbl_task10[[%]:[%]])</f>
        <v/>
      </c>
      <c r="KA15" s="121" t="str">
        <f>IF(ISBLANK(tbl_task10[[คะแนนเต็ม]:[คะแนนเต็ม]]),"",(tbl_task10[117]/tbl_task10[[คะแนนเต็ม]:[คะแนนเต็ม]])*tbl_task10[[%]:[%]])</f>
        <v/>
      </c>
      <c r="KB15" s="121" t="str">
        <f>IF(ISBLANK(tbl_task10[[คะแนนเต็ม]:[คะแนนเต็ม]]),"",(tbl_task10[118]/tbl_task10[[คะแนนเต็ม]:[คะแนนเต็ม]])*tbl_task10[[%]:[%]])</f>
        <v/>
      </c>
      <c r="KC15" s="121" t="str">
        <f>IF(ISBLANK(tbl_task10[[คะแนนเต็ม]:[คะแนนเต็ม]]),"",(tbl_task10[119]/tbl_task10[[คะแนนเต็ม]:[คะแนนเต็ม]])*tbl_task10[[%]:[%]])</f>
        <v/>
      </c>
      <c r="KD15" s="121" t="str">
        <f>IF(ISBLANK(tbl_task10[[คะแนนเต็ม]:[คะแนนเต็ม]]),"",(tbl_task10[120]/tbl_task10[[คะแนนเต็ม]:[คะแนนเต็ม]])*tbl_task10[[%]:[%]])</f>
        <v/>
      </c>
      <c r="KE15" s="121" t="str">
        <f>IF(ISBLANK(tbl_task10[[คะแนนเต็ม]:[คะแนนเต็ม]]),"",(tbl_task10[121]/tbl_task10[[คะแนนเต็ม]:[คะแนนเต็ม]])*tbl_task10[[%]:[%]])</f>
        <v/>
      </c>
      <c r="KF15" s="121" t="str">
        <f>IF(ISBLANK(tbl_task10[[คะแนนเต็ม]:[คะแนนเต็ม]]),"",(tbl_task10[122]/tbl_task10[[คะแนนเต็ม]:[คะแนนเต็ม]])*tbl_task10[[%]:[%]])</f>
        <v/>
      </c>
      <c r="KG15" s="121" t="str">
        <f>IF(ISBLANK(tbl_task10[[คะแนนเต็ม]:[คะแนนเต็ม]]),"",(tbl_task10[123]/tbl_task10[[คะแนนเต็ม]:[คะแนนเต็ม]])*tbl_task10[[%]:[%]])</f>
        <v/>
      </c>
      <c r="KH15" s="121" t="str">
        <f>IF(ISBLANK(tbl_task10[[คะแนนเต็ม]:[คะแนนเต็ม]]),"",(tbl_task10[124]/tbl_task10[[คะแนนเต็ม]:[คะแนนเต็ม]])*tbl_task10[[%]:[%]])</f>
        <v/>
      </c>
      <c r="KI15" s="121" t="str">
        <f>IF(ISBLANK(tbl_task10[[คะแนนเต็ม]:[คะแนนเต็ม]]),"",(tbl_task10[125]/tbl_task10[[คะแนนเต็ม]:[คะแนนเต็ม]])*tbl_task10[[%]:[%]])</f>
        <v/>
      </c>
      <c r="KJ15" s="121" t="str">
        <f>IF(ISBLANK(tbl_task10[[คะแนนเต็ม]:[คะแนนเต็ม]]),"",(tbl_task10[126]/tbl_task10[[คะแนนเต็ม]:[คะแนนเต็ม]])*tbl_task10[[%]:[%]])</f>
        <v/>
      </c>
      <c r="KK15" s="121" t="str">
        <f>IF(ISBLANK(tbl_task10[[คะแนนเต็ม]:[คะแนนเต็ม]]),"",(tbl_task10[127]/tbl_task10[[คะแนนเต็ม]:[คะแนนเต็ม]])*tbl_task10[[%]:[%]])</f>
        <v/>
      </c>
      <c r="KL15" s="121" t="str">
        <f>IF(ISBLANK(tbl_task10[[คะแนนเต็ม]:[คะแนนเต็ม]]),"",(tbl_task10[128]/tbl_task10[[คะแนนเต็ม]:[คะแนนเต็ม]])*tbl_task10[[%]:[%]])</f>
        <v/>
      </c>
      <c r="KM15" s="121" t="str">
        <f>IF(ISBLANK(tbl_task10[[คะแนนเต็ม]:[คะแนนเต็ม]]),"",(tbl_task10[129]/tbl_task10[[คะแนนเต็ม]:[คะแนนเต็ม]])*tbl_task10[[%]:[%]])</f>
        <v/>
      </c>
      <c r="KN15" s="121" t="str">
        <f>IF(ISBLANK(tbl_task10[[คะแนนเต็ม]:[คะแนนเต็ม]]),"",(tbl_task10[130]/tbl_task10[[คะแนนเต็ม]:[คะแนนเต็ม]])*tbl_task10[[%]:[%]])</f>
        <v/>
      </c>
      <c r="KO15" s="121" t="str">
        <f>IF(ISBLANK(tbl_task10[[คะแนนเต็ม]:[คะแนนเต็ม]]),"",(tbl_task10[131]/tbl_task10[[คะแนนเต็ม]:[คะแนนเต็ม]])*tbl_task10[[%]:[%]])</f>
        <v/>
      </c>
      <c r="KP15" s="121" t="str">
        <f>IF(ISBLANK(tbl_task10[[คะแนนเต็ม]:[คะแนนเต็ม]]),"",(tbl_task10[132]/tbl_task10[[คะแนนเต็ม]:[คะแนนเต็ม]])*tbl_task10[[%]:[%]])</f>
        <v/>
      </c>
      <c r="KQ15" s="121" t="str">
        <f>IF(ISBLANK(tbl_task10[[คะแนนเต็ม]:[คะแนนเต็ม]]),"",(tbl_task10[133]/tbl_task10[[คะแนนเต็ม]:[คะแนนเต็ม]])*tbl_task10[[%]:[%]])</f>
        <v/>
      </c>
      <c r="KR15" s="121" t="str">
        <f>IF(ISBLANK(tbl_task10[[คะแนนเต็ม]:[คะแนนเต็ม]]),"",(tbl_task10[134]/tbl_task10[[คะแนนเต็ม]:[คะแนนเต็ม]])*tbl_task10[[%]:[%]])</f>
        <v/>
      </c>
      <c r="KS15" s="121" t="str">
        <f>IF(ISBLANK(tbl_task10[[คะแนนเต็ม]:[คะแนนเต็ม]]),"",(tbl_task10[135]/tbl_task10[[คะแนนเต็ม]:[คะแนนเต็ม]])*tbl_task10[[%]:[%]])</f>
        <v/>
      </c>
      <c r="KT15" s="121" t="str">
        <f>IF(ISBLANK(tbl_task10[[คะแนนเต็ม]:[คะแนนเต็ม]]),"",(tbl_task10[136]/tbl_task10[[คะแนนเต็ม]:[คะแนนเต็ม]])*tbl_task10[[%]:[%]])</f>
        <v/>
      </c>
      <c r="KU15" s="121" t="str">
        <f>IF(ISBLANK(tbl_task10[[คะแนนเต็ม]:[คะแนนเต็ม]]),"",(tbl_task10[137]/tbl_task10[[คะแนนเต็ม]:[คะแนนเต็ม]])*tbl_task10[[%]:[%]])</f>
        <v/>
      </c>
      <c r="KV15" s="121" t="str">
        <f>IF(ISBLANK(tbl_task10[[คะแนนเต็ม]:[คะแนนเต็ม]]),"",(tbl_task10[138]/tbl_task10[[คะแนนเต็ม]:[คะแนนเต็ม]])*tbl_task10[[%]:[%]])</f>
        <v/>
      </c>
      <c r="KW15" s="121" t="str">
        <f>IF(ISBLANK(tbl_task10[[คะแนนเต็ม]:[คะแนนเต็ม]]),"",(tbl_task10[139]/tbl_task10[[คะแนนเต็ม]:[คะแนนเต็ม]])*tbl_task10[[%]:[%]])</f>
        <v/>
      </c>
      <c r="KX15" s="121" t="str">
        <f>IF(ISBLANK(tbl_task10[[คะแนนเต็ม]:[คะแนนเต็ม]]),"",(tbl_task10[140]/tbl_task10[[คะแนนเต็ม]:[คะแนนเต็ม]])*tbl_task10[[%]:[%]])</f>
        <v/>
      </c>
      <c r="KY15" s="121" t="str">
        <f>IF(ISBLANK(tbl_task10[[คะแนนเต็ม]:[คะแนนเต็ม]]),"",(tbl_task10[141]/tbl_task10[[คะแนนเต็ม]:[คะแนนเต็ม]])*tbl_task10[[%]:[%]])</f>
        <v/>
      </c>
      <c r="KZ15" s="121" t="str">
        <f>IF(ISBLANK(tbl_task10[[คะแนนเต็ม]:[คะแนนเต็ม]]),"",(tbl_task10[142]/tbl_task10[[คะแนนเต็ม]:[คะแนนเต็ม]])*tbl_task10[[%]:[%]])</f>
        <v/>
      </c>
      <c r="LA15" s="121" t="str">
        <f>IF(ISBLANK(tbl_task10[[คะแนนเต็ม]:[คะแนนเต็ม]]),"",(tbl_task10[143]/tbl_task10[[คะแนนเต็ม]:[คะแนนเต็ม]])*tbl_task10[[%]:[%]])</f>
        <v/>
      </c>
      <c r="LB15" s="121" t="str">
        <f>IF(ISBLANK(tbl_task10[[คะแนนเต็ม]:[คะแนนเต็ม]]),"",(tbl_task10[144]/tbl_task10[[คะแนนเต็ม]:[คะแนนเต็ม]])*tbl_task10[[%]:[%]])</f>
        <v/>
      </c>
      <c r="LC15" s="121" t="str">
        <f>IF(ISBLANK(tbl_task10[[คะแนนเต็ม]:[คะแนนเต็ม]]),"",(tbl_task10[145]/tbl_task10[[คะแนนเต็ม]:[คะแนนเต็ม]])*tbl_task10[[%]:[%]])</f>
        <v/>
      </c>
      <c r="LD15" s="121" t="str">
        <f>IF(ISBLANK(tbl_task10[[คะแนนเต็ม]:[คะแนนเต็ม]]),"",(tbl_task10[146]/tbl_task10[[คะแนนเต็ม]:[คะแนนเต็ม]])*tbl_task10[[%]:[%]])</f>
        <v/>
      </c>
      <c r="LE15" s="121" t="str">
        <f>IF(ISBLANK(tbl_task10[[คะแนนเต็ม]:[คะแนนเต็ม]]),"",(tbl_task10[147]/tbl_task10[[คะแนนเต็ม]:[คะแนนเต็ม]])*tbl_task10[[%]:[%]])</f>
        <v/>
      </c>
      <c r="LF15" s="121" t="str">
        <f>IF(ISBLANK(tbl_task10[[คะแนนเต็ม]:[คะแนนเต็ม]]),"",(tbl_task10[148]/tbl_task10[[คะแนนเต็ม]:[คะแนนเต็ม]])*tbl_task10[[%]:[%]])</f>
        <v/>
      </c>
      <c r="LG15" s="121" t="str">
        <f>IF(ISBLANK(tbl_task10[[คะแนนเต็ม]:[คะแนนเต็ม]]),"",(tbl_task10[149]/tbl_task10[[คะแนนเต็ม]:[คะแนนเต็ม]])*tbl_task10[[%]:[%]])</f>
        <v/>
      </c>
      <c r="LH15" s="121" t="str">
        <f>IF(ISBLANK(tbl_task10[[คะแนนเต็ม]:[คะแนนเต็ม]]),"",(tbl_task10[150]/tbl_task10[[คะแนนเต็ม]:[คะแนนเต็ม]])*tbl_task10[[%]:[%]])</f>
        <v/>
      </c>
      <c r="LI15" s="121" t="str">
        <f>IF(ISBLANK(tbl_task10[[คะแนนเต็ม]:[คะแนนเต็ม]]),"",(tbl_task10[151]/tbl_task10[[คะแนนเต็ม]:[คะแนนเต็ม]])*tbl_task10[[%]:[%]])</f>
        <v/>
      </c>
      <c r="LJ15" s="121" t="str">
        <f>IF(ISBLANK(tbl_task10[[คะแนนเต็ม]:[คะแนนเต็ม]]),"",(tbl_task10[152]/tbl_task10[[คะแนนเต็ม]:[คะแนนเต็ม]])*tbl_task10[[%]:[%]])</f>
        <v/>
      </c>
      <c r="LK15" s="121" t="str">
        <f>IF(ISBLANK(tbl_task10[[คะแนนเต็ม]:[คะแนนเต็ม]]),"",(tbl_task10[153]/tbl_task10[[คะแนนเต็ม]:[คะแนนเต็ม]])*tbl_task10[[%]:[%]])</f>
        <v/>
      </c>
      <c r="LL15" s="121" t="str">
        <f>IF(ISBLANK(tbl_task10[[คะแนนเต็ม]:[คะแนนเต็ม]]),"",(tbl_task10[154]/tbl_task10[[คะแนนเต็ม]:[คะแนนเต็ม]])*tbl_task10[[%]:[%]])</f>
        <v/>
      </c>
      <c r="LM15" s="121" t="str">
        <f>IF(ISBLANK(tbl_task10[[คะแนนเต็ม]:[คะแนนเต็ม]]),"",(tbl_task10[155]/tbl_task10[[คะแนนเต็ม]:[คะแนนเต็ม]])*tbl_task10[[%]:[%]])</f>
        <v/>
      </c>
      <c r="LN15" s="121" t="str">
        <f>IF(ISBLANK(tbl_task10[[คะแนนเต็ม]:[คะแนนเต็ม]]),"",(tbl_task10[156]/tbl_task10[[คะแนนเต็ม]:[คะแนนเต็ม]])*tbl_task10[[%]:[%]])</f>
        <v/>
      </c>
      <c r="LO15" s="121" t="str">
        <f>IF(ISBLANK(tbl_task10[[คะแนนเต็ม]:[คะแนนเต็ม]]),"",(tbl_task10[157]/tbl_task10[[คะแนนเต็ม]:[คะแนนเต็ม]])*tbl_task10[[%]:[%]])</f>
        <v/>
      </c>
      <c r="LP15" s="121" t="str">
        <f>IF(ISBLANK(tbl_task10[[คะแนนเต็ม]:[คะแนนเต็ม]]),"",(tbl_task10[158]/tbl_task10[[คะแนนเต็ม]:[คะแนนเต็ม]])*tbl_task10[[%]:[%]])</f>
        <v/>
      </c>
      <c r="LQ15" s="121" t="str">
        <f>IF(ISBLANK(tbl_task10[[คะแนนเต็ม]:[คะแนนเต็ม]]),"",(tbl_task10[159]/tbl_task10[[คะแนนเต็ม]:[คะแนนเต็ม]])*tbl_task10[[%]:[%]])</f>
        <v/>
      </c>
      <c r="LR15" s="121" t="str">
        <f>IF(ISBLANK(tbl_task10[[คะแนนเต็ม]:[คะแนนเต็ม]]),"",(tbl_task10[160]/tbl_task10[[คะแนนเต็ม]:[คะแนนเต็ม]])*tbl_task10[[%]:[%]])</f>
        <v/>
      </c>
      <c r="LS15" s="121" t="str">
        <f>IF(ISBLANK(tbl_task10[[คะแนนเต็ม]:[คะแนนเต็ม]]),"",(tbl_task10[161]/tbl_task10[[คะแนนเต็ม]:[คะแนนเต็ม]])*tbl_task10[[%]:[%]])</f>
        <v/>
      </c>
      <c r="LT15" s="121" t="str">
        <f>IF(ISBLANK(tbl_task10[[คะแนนเต็ม]:[คะแนนเต็ม]]),"",(tbl_task10[162]/tbl_task10[[คะแนนเต็ม]:[คะแนนเต็ม]])*tbl_task10[[%]:[%]])</f>
        <v/>
      </c>
      <c r="LU15" s="121" t="str">
        <f>IF(ISBLANK(tbl_task10[[คะแนนเต็ม]:[คะแนนเต็ม]]),"",(tbl_task10[163]/tbl_task10[[คะแนนเต็ม]:[คะแนนเต็ม]])*tbl_task10[[%]:[%]])</f>
        <v/>
      </c>
      <c r="LV15" s="121" t="str">
        <f>IF(ISBLANK(tbl_task10[[คะแนนเต็ม]:[คะแนนเต็ม]]),"",(tbl_task10[164]/tbl_task10[[คะแนนเต็ม]:[คะแนนเต็ม]])*tbl_task10[[%]:[%]])</f>
        <v/>
      </c>
      <c r="LW15" s="121" t="str">
        <f>IF(ISBLANK(tbl_task10[[คะแนนเต็ม]:[คะแนนเต็ม]]),"",(tbl_task10[165]/tbl_task10[[คะแนนเต็ม]:[คะแนนเต็ม]])*tbl_task10[[%]:[%]])</f>
        <v/>
      </c>
    </row>
    <row r="16" spans="1:335" ht="24" customHeight="1" x14ac:dyDescent="0.25">
      <c r="A16" s="24">
        <v>13</v>
      </c>
      <c r="B16" s="20"/>
      <c r="C16" s="5" t="str">
        <f>IF(ISBLANK(B16),"",VLOOKUP(B16,tbl_PLOs[],2,0))</f>
        <v/>
      </c>
      <c r="D16" s="102"/>
      <c r="E16" s="106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121" t="str">
        <f>IF(ISBLANK(tbl_task10[[คะแนนเต็ม]:[คะแนนเต็ม]]),"",(tbl_task10[1]/tbl_task10[[คะแนนเต็ม]:[คะแนนเต็ม]])*tbl_task10[[%]:[%]])</f>
        <v/>
      </c>
      <c r="FP16" s="121" t="str">
        <f>IF(ISBLANK(tbl_task10[[คะแนนเต็ม]:[คะแนนเต็ม]]),"",(tbl_task10[2]/tbl_task10[[คะแนนเต็ม]:[คะแนนเต็ม]])*tbl_task10[[%]:[%]])</f>
        <v/>
      </c>
      <c r="FQ16" s="121" t="str">
        <f>IF(ISBLANK(tbl_task10[[คะแนนเต็ม]:[คะแนนเต็ม]]),"",(tbl_task10[3]/tbl_task10[[คะแนนเต็ม]:[คะแนนเต็ม]])*tbl_task10[[%]:[%]])</f>
        <v/>
      </c>
      <c r="FR16" s="121" t="str">
        <f>IF(ISBLANK(tbl_task10[[คะแนนเต็ม]:[คะแนนเต็ม]]),"",(tbl_task10[4]/tbl_task10[[คะแนนเต็ม]:[คะแนนเต็ม]])*tbl_task10[[%]:[%]])</f>
        <v/>
      </c>
      <c r="FS16" s="121" t="str">
        <f>IF(ISBLANK(tbl_task10[[คะแนนเต็ม]:[คะแนนเต็ม]]),"",(tbl_task10[5]/tbl_task10[[คะแนนเต็ม]:[คะแนนเต็ม]])*tbl_task10[[%]:[%]])</f>
        <v/>
      </c>
      <c r="FT16" s="121" t="str">
        <f>IF(ISBLANK(tbl_task10[[คะแนนเต็ม]:[คะแนนเต็ม]]),"",(tbl_task10[6]/tbl_task10[[คะแนนเต็ม]:[คะแนนเต็ม]])*tbl_task10[[%]:[%]])</f>
        <v/>
      </c>
      <c r="FU16" s="121" t="str">
        <f>IF(ISBLANK(tbl_task10[[คะแนนเต็ม]:[คะแนนเต็ม]]),"",(tbl_task10[7]/tbl_task10[[คะแนนเต็ม]:[คะแนนเต็ม]])*tbl_task10[[%]:[%]])</f>
        <v/>
      </c>
      <c r="FV16" s="121" t="str">
        <f>IF(ISBLANK(tbl_task10[[คะแนนเต็ม]:[คะแนนเต็ม]]),"",(tbl_task10[8]/tbl_task10[[คะแนนเต็ม]:[คะแนนเต็ม]])*tbl_task10[[%]:[%]])</f>
        <v/>
      </c>
      <c r="FW16" s="121" t="str">
        <f>IF(ISBLANK(tbl_task10[[คะแนนเต็ม]:[คะแนนเต็ม]]),"",(tbl_task10[9]/tbl_task10[[คะแนนเต็ม]:[คะแนนเต็ม]])*tbl_task10[[%]:[%]])</f>
        <v/>
      </c>
      <c r="FX16" s="121" t="str">
        <f>IF(ISBLANK(tbl_task10[[คะแนนเต็ม]:[คะแนนเต็ม]]),"",(tbl_task10[10]/tbl_task10[[คะแนนเต็ม]:[คะแนนเต็ม]])*tbl_task10[[%]:[%]])</f>
        <v/>
      </c>
      <c r="FY16" s="121" t="str">
        <f>IF(ISBLANK(tbl_task10[[คะแนนเต็ม]:[คะแนนเต็ม]]),"",(tbl_task10[11]/tbl_task10[[คะแนนเต็ม]:[คะแนนเต็ม]])*tbl_task10[[%]:[%]])</f>
        <v/>
      </c>
      <c r="FZ16" s="121" t="str">
        <f>IF(ISBLANK(tbl_task10[[คะแนนเต็ม]:[คะแนนเต็ม]]),"",(tbl_task10[12]/tbl_task10[[คะแนนเต็ม]:[คะแนนเต็ม]])*tbl_task10[[%]:[%]])</f>
        <v/>
      </c>
      <c r="GA16" s="121" t="str">
        <f>IF(ISBLANK(tbl_task10[[คะแนนเต็ม]:[คะแนนเต็ม]]),"",(tbl_task10[13]/tbl_task10[[คะแนนเต็ม]:[คะแนนเต็ม]])*tbl_task10[[%]:[%]])</f>
        <v/>
      </c>
      <c r="GB16" s="121" t="str">
        <f>IF(ISBLANK(tbl_task10[[คะแนนเต็ม]:[คะแนนเต็ม]]),"",(tbl_task10[14]/tbl_task10[[คะแนนเต็ม]:[คะแนนเต็ม]])*tbl_task10[[%]:[%]])</f>
        <v/>
      </c>
      <c r="GC16" s="121" t="str">
        <f>IF(ISBLANK(tbl_task10[[คะแนนเต็ม]:[คะแนนเต็ม]]),"",(tbl_task10[15]/tbl_task10[[คะแนนเต็ม]:[คะแนนเต็ม]])*tbl_task10[[%]:[%]])</f>
        <v/>
      </c>
      <c r="GD16" s="121" t="str">
        <f>IF(ISBLANK(tbl_task10[[คะแนนเต็ม]:[คะแนนเต็ม]]),"",(tbl_task10[16]/tbl_task10[[คะแนนเต็ม]:[คะแนนเต็ม]])*tbl_task10[[%]:[%]])</f>
        <v/>
      </c>
      <c r="GE16" s="121" t="str">
        <f>IF(ISBLANK(tbl_task10[[คะแนนเต็ม]:[คะแนนเต็ม]]),"",(tbl_task10[17]/tbl_task10[[คะแนนเต็ม]:[คะแนนเต็ม]])*tbl_task10[[%]:[%]])</f>
        <v/>
      </c>
      <c r="GF16" s="121" t="str">
        <f>IF(ISBLANK(tbl_task10[[คะแนนเต็ม]:[คะแนนเต็ม]]),"",(tbl_task10[18]/tbl_task10[[คะแนนเต็ม]:[คะแนนเต็ม]])*tbl_task10[[%]:[%]])</f>
        <v/>
      </c>
      <c r="GG16" s="121" t="str">
        <f>IF(ISBLANK(tbl_task10[[คะแนนเต็ม]:[คะแนนเต็ม]]),"",(tbl_task10[19]/tbl_task10[[คะแนนเต็ม]:[คะแนนเต็ม]])*tbl_task10[[%]:[%]])</f>
        <v/>
      </c>
      <c r="GH16" s="121" t="str">
        <f>IF(ISBLANK(tbl_task10[[คะแนนเต็ม]:[คะแนนเต็ม]]),"",(tbl_task10[20]/tbl_task10[[คะแนนเต็ม]:[คะแนนเต็ม]])*tbl_task10[[%]:[%]])</f>
        <v/>
      </c>
      <c r="GI16" s="121" t="str">
        <f>IF(ISBLANK(tbl_task10[[คะแนนเต็ม]:[คะแนนเต็ม]]),"",(tbl_task10[21]/tbl_task10[[คะแนนเต็ม]:[คะแนนเต็ม]])*tbl_task10[[%]:[%]])</f>
        <v/>
      </c>
      <c r="GJ16" s="121" t="str">
        <f>IF(ISBLANK(tbl_task10[[คะแนนเต็ม]:[คะแนนเต็ม]]),"",(tbl_task10[22]/tbl_task10[[คะแนนเต็ม]:[คะแนนเต็ม]])*tbl_task10[[%]:[%]])</f>
        <v/>
      </c>
      <c r="GK16" s="121" t="str">
        <f>IF(ISBLANK(tbl_task10[[คะแนนเต็ม]:[คะแนนเต็ม]]),"",(tbl_task10[23]/tbl_task10[[คะแนนเต็ม]:[คะแนนเต็ม]])*tbl_task10[[%]:[%]])</f>
        <v/>
      </c>
      <c r="GL16" s="121" t="str">
        <f>IF(ISBLANK(tbl_task10[[คะแนนเต็ม]:[คะแนนเต็ม]]),"",(tbl_task10[24]/tbl_task10[[คะแนนเต็ม]:[คะแนนเต็ม]])*tbl_task10[[%]:[%]])</f>
        <v/>
      </c>
      <c r="GM16" s="121" t="str">
        <f>IF(ISBLANK(tbl_task10[[คะแนนเต็ม]:[คะแนนเต็ม]]),"",(tbl_task10[25]/tbl_task10[[คะแนนเต็ม]:[คะแนนเต็ม]])*tbl_task10[[%]:[%]])</f>
        <v/>
      </c>
      <c r="GN16" s="121" t="str">
        <f>IF(ISBLANK(tbl_task10[[คะแนนเต็ม]:[คะแนนเต็ม]]),"",(tbl_task10[26]/tbl_task10[[คะแนนเต็ม]:[คะแนนเต็ม]])*tbl_task10[[%]:[%]])</f>
        <v/>
      </c>
      <c r="GO16" s="121" t="str">
        <f>IF(ISBLANK(tbl_task10[[คะแนนเต็ม]:[คะแนนเต็ม]]),"",(tbl_task10[27]/tbl_task10[[คะแนนเต็ม]:[คะแนนเต็ม]])*tbl_task10[[%]:[%]])</f>
        <v/>
      </c>
      <c r="GP16" s="121" t="str">
        <f>IF(ISBLANK(tbl_task10[[คะแนนเต็ม]:[คะแนนเต็ม]]),"",(tbl_task10[28]/tbl_task10[[คะแนนเต็ม]:[คะแนนเต็ม]])*tbl_task10[[%]:[%]])</f>
        <v/>
      </c>
      <c r="GQ16" s="121" t="str">
        <f>IF(ISBLANK(tbl_task10[[คะแนนเต็ม]:[คะแนนเต็ม]]),"",(tbl_task10[29]/tbl_task10[[คะแนนเต็ม]:[คะแนนเต็ม]])*tbl_task10[[%]:[%]])</f>
        <v/>
      </c>
      <c r="GR16" s="121" t="str">
        <f>IF(ISBLANK(tbl_task10[[คะแนนเต็ม]:[คะแนนเต็ม]]),"",(tbl_task10[30]/tbl_task10[[คะแนนเต็ม]:[คะแนนเต็ม]])*tbl_task10[[%]:[%]])</f>
        <v/>
      </c>
      <c r="GS16" s="121" t="str">
        <f>IF(ISBLANK(tbl_task10[[คะแนนเต็ม]:[คะแนนเต็ม]]),"",(tbl_task10[31]/tbl_task10[[คะแนนเต็ม]:[คะแนนเต็ม]])*tbl_task10[[%]:[%]])</f>
        <v/>
      </c>
      <c r="GT16" s="121" t="str">
        <f>IF(ISBLANK(tbl_task10[[คะแนนเต็ม]:[คะแนนเต็ม]]),"",(tbl_task10[32]/tbl_task10[[คะแนนเต็ม]:[คะแนนเต็ม]])*tbl_task10[[%]:[%]])</f>
        <v/>
      </c>
      <c r="GU16" s="121" t="str">
        <f>IF(ISBLANK(tbl_task10[[คะแนนเต็ม]:[คะแนนเต็ม]]),"",(tbl_task10[33]/tbl_task10[[คะแนนเต็ม]:[คะแนนเต็ม]])*tbl_task10[[%]:[%]])</f>
        <v/>
      </c>
      <c r="GV16" s="121" t="str">
        <f>IF(ISBLANK(tbl_task10[[คะแนนเต็ม]:[คะแนนเต็ม]]),"",(tbl_task10[34]/tbl_task10[[คะแนนเต็ม]:[คะแนนเต็ม]])*tbl_task10[[%]:[%]])</f>
        <v/>
      </c>
      <c r="GW16" s="121" t="str">
        <f>IF(ISBLANK(tbl_task10[[คะแนนเต็ม]:[คะแนนเต็ม]]),"",(tbl_task10[35]/tbl_task10[[คะแนนเต็ม]:[คะแนนเต็ม]])*tbl_task10[[%]:[%]])</f>
        <v/>
      </c>
      <c r="GX16" s="121" t="str">
        <f>IF(ISBLANK(tbl_task10[[คะแนนเต็ม]:[คะแนนเต็ม]]),"",(tbl_task10[36]/tbl_task10[[คะแนนเต็ม]:[คะแนนเต็ม]])*tbl_task10[[%]:[%]])</f>
        <v/>
      </c>
      <c r="GY16" s="121" t="str">
        <f>IF(ISBLANK(tbl_task10[[คะแนนเต็ม]:[คะแนนเต็ม]]),"",(tbl_task10[37]/tbl_task10[[คะแนนเต็ม]:[คะแนนเต็ม]])*tbl_task10[[%]:[%]])</f>
        <v/>
      </c>
      <c r="GZ16" s="121" t="str">
        <f>IF(ISBLANK(tbl_task10[[คะแนนเต็ม]:[คะแนนเต็ม]]),"",(tbl_task10[38]/tbl_task10[[คะแนนเต็ม]:[คะแนนเต็ม]])*tbl_task10[[%]:[%]])</f>
        <v/>
      </c>
      <c r="HA16" s="121" t="str">
        <f>IF(ISBLANK(tbl_task10[[คะแนนเต็ม]:[คะแนนเต็ม]]),"",(tbl_task10[39]/tbl_task10[[คะแนนเต็ม]:[คะแนนเต็ม]])*tbl_task10[[%]:[%]])</f>
        <v/>
      </c>
      <c r="HB16" s="121" t="str">
        <f>IF(ISBLANK(tbl_task10[[คะแนนเต็ม]:[คะแนนเต็ม]]),"",(tbl_task10[40]/tbl_task10[[คะแนนเต็ม]:[คะแนนเต็ม]])*tbl_task10[[%]:[%]])</f>
        <v/>
      </c>
      <c r="HC16" s="121" t="str">
        <f>IF(ISBLANK(tbl_task10[[คะแนนเต็ม]:[คะแนนเต็ม]]),"",(tbl_task10[41]/tbl_task10[[คะแนนเต็ม]:[คะแนนเต็ม]])*tbl_task10[[%]:[%]])</f>
        <v/>
      </c>
      <c r="HD16" s="121" t="str">
        <f>IF(ISBLANK(tbl_task10[[คะแนนเต็ม]:[คะแนนเต็ม]]),"",(tbl_task10[42]/tbl_task10[[คะแนนเต็ม]:[คะแนนเต็ม]])*tbl_task10[[%]:[%]])</f>
        <v/>
      </c>
      <c r="HE16" s="121" t="str">
        <f>IF(ISBLANK(tbl_task10[[คะแนนเต็ม]:[คะแนนเต็ม]]),"",(tbl_task10[43]/tbl_task10[[คะแนนเต็ม]:[คะแนนเต็ม]])*tbl_task10[[%]:[%]])</f>
        <v/>
      </c>
      <c r="HF16" s="121" t="str">
        <f>IF(ISBLANK(tbl_task10[[คะแนนเต็ม]:[คะแนนเต็ม]]),"",(tbl_task10[44]/tbl_task10[[คะแนนเต็ม]:[คะแนนเต็ม]])*tbl_task10[[%]:[%]])</f>
        <v/>
      </c>
      <c r="HG16" s="121" t="str">
        <f>IF(ISBLANK(tbl_task10[[คะแนนเต็ม]:[คะแนนเต็ม]]),"",(tbl_task10[45]/tbl_task10[[คะแนนเต็ม]:[คะแนนเต็ม]])*tbl_task10[[%]:[%]])</f>
        <v/>
      </c>
      <c r="HH16" s="121" t="str">
        <f>IF(ISBLANK(tbl_task10[[คะแนนเต็ม]:[คะแนนเต็ม]]),"",(tbl_task10[46]/tbl_task10[[คะแนนเต็ม]:[คะแนนเต็ม]])*tbl_task10[[%]:[%]])</f>
        <v/>
      </c>
      <c r="HI16" s="121" t="str">
        <f>IF(ISBLANK(tbl_task10[[คะแนนเต็ม]:[คะแนนเต็ม]]),"",(tbl_task10[47]/tbl_task10[[คะแนนเต็ม]:[คะแนนเต็ม]])*tbl_task10[[%]:[%]])</f>
        <v/>
      </c>
      <c r="HJ16" s="121" t="str">
        <f>IF(ISBLANK(tbl_task10[[คะแนนเต็ม]:[คะแนนเต็ม]]),"",(tbl_task10[48]/tbl_task10[[คะแนนเต็ม]:[คะแนนเต็ม]])*tbl_task10[[%]:[%]])</f>
        <v/>
      </c>
      <c r="HK16" s="121" t="str">
        <f>IF(ISBLANK(tbl_task10[[คะแนนเต็ม]:[คะแนนเต็ม]]),"",(tbl_task10[49]/tbl_task10[[คะแนนเต็ม]:[คะแนนเต็ม]])*tbl_task10[[%]:[%]])</f>
        <v/>
      </c>
      <c r="HL16" s="121" t="str">
        <f>IF(ISBLANK(tbl_task10[[คะแนนเต็ม]:[คะแนนเต็ม]]),"",(tbl_task10[50]/tbl_task10[[คะแนนเต็ม]:[คะแนนเต็ม]])*tbl_task10[[%]:[%]])</f>
        <v/>
      </c>
      <c r="HM16" s="121" t="str">
        <f>IF(ISBLANK(tbl_task10[[คะแนนเต็ม]:[คะแนนเต็ม]]),"",(tbl_task10[51]/tbl_task10[[คะแนนเต็ม]:[คะแนนเต็ม]])*tbl_task10[[%]:[%]])</f>
        <v/>
      </c>
      <c r="HN16" s="121" t="str">
        <f>IF(ISBLANK(tbl_task10[[คะแนนเต็ม]:[คะแนนเต็ม]]),"",(tbl_task10[52]/tbl_task10[[คะแนนเต็ม]:[คะแนนเต็ม]])*tbl_task10[[%]:[%]])</f>
        <v/>
      </c>
      <c r="HO16" s="121" t="str">
        <f>IF(ISBLANK(tbl_task10[[คะแนนเต็ม]:[คะแนนเต็ม]]),"",(tbl_task10[53]/tbl_task10[[คะแนนเต็ม]:[คะแนนเต็ม]])*tbl_task10[[%]:[%]])</f>
        <v/>
      </c>
      <c r="HP16" s="121" t="str">
        <f>IF(ISBLANK(tbl_task10[[คะแนนเต็ม]:[คะแนนเต็ม]]),"",(tbl_task10[54]/tbl_task10[[คะแนนเต็ม]:[คะแนนเต็ม]])*tbl_task10[[%]:[%]])</f>
        <v/>
      </c>
      <c r="HQ16" s="121" t="str">
        <f>IF(ISBLANK(tbl_task10[[คะแนนเต็ม]:[คะแนนเต็ม]]),"",(tbl_task10[55]/tbl_task10[[คะแนนเต็ม]:[คะแนนเต็ม]])*tbl_task10[[%]:[%]])</f>
        <v/>
      </c>
      <c r="HR16" s="121" t="str">
        <f>IF(ISBLANK(tbl_task10[[คะแนนเต็ม]:[คะแนนเต็ม]]),"",(tbl_task10[56]/tbl_task10[[คะแนนเต็ม]:[คะแนนเต็ม]])*tbl_task10[[%]:[%]])</f>
        <v/>
      </c>
      <c r="HS16" s="121" t="str">
        <f>IF(ISBLANK(tbl_task10[[คะแนนเต็ม]:[คะแนนเต็ม]]),"",(tbl_task10[57]/tbl_task10[[คะแนนเต็ม]:[คะแนนเต็ม]])*tbl_task10[[%]:[%]])</f>
        <v/>
      </c>
      <c r="HT16" s="121" t="str">
        <f>IF(ISBLANK(tbl_task10[[คะแนนเต็ม]:[คะแนนเต็ม]]),"",(tbl_task10[58]/tbl_task10[[คะแนนเต็ม]:[คะแนนเต็ม]])*tbl_task10[[%]:[%]])</f>
        <v/>
      </c>
      <c r="HU16" s="121" t="str">
        <f>IF(ISBLANK(tbl_task10[[คะแนนเต็ม]:[คะแนนเต็ม]]),"",(tbl_task10[59]/tbl_task10[[คะแนนเต็ม]:[คะแนนเต็ม]])*tbl_task10[[%]:[%]])</f>
        <v/>
      </c>
      <c r="HV16" s="121" t="str">
        <f>IF(ISBLANK(tbl_task10[[คะแนนเต็ม]:[คะแนนเต็ม]]),"",(tbl_task10[60]/tbl_task10[[คะแนนเต็ม]:[คะแนนเต็ม]])*tbl_task10[[%]:[%]])</f>
        <v/>
      </c>
      <c r="HW16" s="121" t="str">
        <f>IF(ISBLANK(tbl_task10[[คะแนนเต็ม]:[คะแนนเต็ม]]),"",(tbl_task10[61]/tbl_task10[[คะแนนเต็ม]:[คะแนนเต็ม]])*tbl_task10[[%]:[%]])</f>
        <v/>
      </c>
      <c r="HX16" s="121" t="str">
        <f>IF(ISBLANK(tbl_task10[[คะแนนเต็ม]:[คะแนนเต็ม]]),"",(tbl_task10[62]/tbl_task10[[คะแนนเต็ม]:[คะแนนเต็ม]])*tbl_task10[[%]:[%]])</f>
        <v/>
      </c>
      <c r="HY16" s="121" t="str">
        <f>IF(ISBLANK(tbl_task10[[คะแนนเต็ม]:[คะแนนเต็ม]]),"",(tbl_task10[63]/tbl_task10[[คะแนนเต็ม]:[คะแนนเต็ม]])*tbl_task10[[%]:[%]])</f>
        <v/>
      </c>
      <c r="HZ16" s="121" t="str">
        <f>IF(ISBLANK(tbl_task10[[คะแนนเต็ม]:[คะแนนเต็ม]]),"",(tbl_task10[64]/tbl_task10[[คะแนนเต็ม]:[คะแนนเต็ม]])*tbl_task10[[%]:[%]])</f>
        <v/>
      </c>
      <c r="IA16" s="121" t="str">
        <f>IF(ISBLANK(tbl_task10[[คะแนนเต็ม]:[คะแนนเต็ม]]),"",(tbl_task10[65]/tbl_task10[[คะแนนเต็ม]:[คะแนนเต็ม]])*tbl_task10[[%]:[%]])</f>
        <v/>
      </c>
      <c r="IB16" s="121" t="str">
        <f>IF(ISBLANK(tbl_task10[[คะแนนเต็ม]:[คะแนนเต็ม]]),"",(tbl_task10[66]/tbl_task10[[คะแนนเต็ม]:[คะแนนเต็ม]])*tbl_task10[[%]:[%]])</f>
        <v/>
      </c>
      <c r="IC16" s="121" t="str">
        <f>IF(ISBLANK(tbl_task10[[คะแนนเต็ม]:[คะแนนเต็ม]]),"",(tbl_task10[67]/tbl_task10[[คะแนนเต็ม]:[คะแนนเต็ม]])*tbl_task10[[%]:[%]])</f>
        <v/>
      </c>
      <c r="ID16" s="121" t="str">
        <f>IF(ISBLANK(tbl_task10[[คะแนนเต็ม]:[คะแนนเต็ม]]),"",(tbl_task10[68]/tbl_task10[[คะแนนเต็ม]:[คะแนนเต็ม]])*tbl_task10[[%]:[%]])</f>
        <v/>
      </c>
      <c r="IE16" s="121" t="str">
        <f>IF(ISBLANK(tbl_task10[[คะแนนเต็ม]:[คะแนนเต็ม]]),"",(tbl_task10[69]/tbl_task10[[คะแนนเต็ม]:[คะแนนเต็ม]])*tbl_task10[[%]:[%]])</f>
        <v/>
      </c>
      <c r="IF16" s="121" t="str">
        <f>IF(ISBLANK(tbl_task10[[คะแนนเต็ม]:[คะแนนเต็ม]]),"",(tbl_task10[70]/tbl_task10[[คะแนนเต็ม]:[คะแนนเต็ม]])*tbl_task10[[%]:[%]])</f>
        <v/>
      </c>
      <c r="IG16" s="121" t="str">
        <f>IF(ISBLANK(tbl_task10[[คะแนนเต็ม]:[คะแนนเต็ม]]),"",(tbl_task10[71]/tbl_task10[[คะแนนเต็ม]:[คะแนนเต็ม]])*tbl_task10[[%]:[%]])</f>
        <v/>
      </c>
      <c r="IH16" s="121" t="str">
        <f>IF(ISBLANK(tbl_task10[[คะแนนเต็ม]:[คะแนนเต็ม]]),"",(tbl_task10[72]/tbl_task10[[คะแนนเต็ม]:[คะแนนเต็ม]])*tbl_task10[[%]:[%]])</f>
        <v/>
      </c>
      <c r="II16" s="121" t="str">
        <f>IF(ISBLANK(tbl_task10[[คะแนนเต็ม]:[คะแนนเต็ม]]),"",(tbl_task10[73]/tbl_task10[[คะแนนเต็ม]:[คะแนนเต็ม]])*tbl_task10[[%]:[%]])</f>
        <v/>
      </c>
      <c r="IJ16" s="121" t="str">
        <f>IF(ISBLANK(tbl_task10[[คะแนนเต็ม]:[คะแนนเต็ม]]),"",(tbl_task10[74]/tbl_task10[[คะแนนเต็ม]:[คะแนนเต็ม]])*tbl_task10[[%]:[%]])</f>
        <v/>
      </c>
      <c r="IK16" s="121" t="str">
        <f>IF(ISBLANK(tbl_task10[[คะแนนเต็ม]:[คะแนนเต็ม]]),"",(tbl_task10[75]/tbl_task10[[คะแนนเต็ม]:[คะแนนเต็ม]])*tbl_task10[[%]:[%]])</f>
        <v/>
      </c>
      <c r="IL16" s="121" t="str">
        <f>IF(ISBLANK(tbl_task10[[คะแนนเต็ม]:[คะแนนเต็ม]]),"",(tbl_task10[76]/tbl_task10[[คะแนนเต็ม]:[คะแนนเต็ม]])*tbl_task10[[%]:[%]])</f>
        <v/>
      </c>
      <c r="IM16" s="121" t="str">
        <f>IF(ISBLANK(tbl_task10[[คะแนนเต็ม]:[คะแนนเต็ม]]),"",(tbl_task10[77]/tbl_task10[[คะแนนเต็ม]:[คะแนนเต็ม]])*tbl_task10[[%]:[%]])</f>
        <v/>
      </c>
      <c r="IN16" s="121" t="str">
        <f>IF(ISBLANK(tbl_task10[[คะแนนเต็ม]:[คะแนนเต็ม]]),"",(tbl_task10[78]/tbl_task10[[คะแนนเต็ม]:[คะแนนเต็ม]])*tbl_task10[[%]:[%]])</f>
        <v/>
      </c>
      <c r="IO16" s="121" t="str">
        <f>IF(ISBLANK(tbl_task10[[คะแนนเต็ม]:[คะแนนเต็ม]]),"",(tbl_task10[79]/tbl_task10[[คะแนนเต็ม]:[คะแนนเต็ม]])*tbl_task10[[%]:[%]])</f>
        <v/>
      </c>
      <c r="IP16" s="121" t="str">
        <f>IF(ISBLANK(tbl_task10[[คะแนนเต็ม]:[คะแนนเต็ม]]),"",(tbl_task10[80]/tbl_task10[[คะแนนเต็ม]:[คะแนนเต็ม]])*tbl_task10[[%]:[%]])</f>
        <v/>
      </c>
      <c r="IQ16" s="121" t="str">
        <f>IF(ISBLANK(tbl_task10[[คะแนนเต็ม]:[คะแนนเต็ม]]),"",(tbl_task10[81]/tbl_task10[[คะแนนเต็ม]:[คะแนนเต็ม]])*tbl_task10[[%]:[%]])</f>
        <v/>
      </c>
      <c r="IR16" s="121" t="str">
        <f>IF(ISBLANK(tbl_task10[[คะแนนเต็ม]:[คะแนนเต็ม]]),"",(tbl_task10[82]/tbl_task10[[คะแนนเต็ม]:[คะแนนเต็ม]])*tbl_task10[[%]:[%]])</f>
        <v/>
      </c>
      <c r="IS16" s="121" t="str">
        <f>IF(ISBLANK(tbl_task10[[คะแนนเต็ม]:[คะแนนเต็ม]]),"",(tbl_task10[83]/tbl_task10[[คะแนนเต็ม]:[คะแนนเต็ม]])*tbl_task10[[%]:[%]])</f>
        <v/>
      </c>
      <c r="IT16" s="121" t="str">
        <f>IF(ISBLANK(tbl_task10[[คะแนนเต็ม]:[คะแนนเต็ม]]),"",(tbl_task10[84]/tbl_task10[[คะแนนเต็ม]:[คะแนนเต็ม]])*tbl_task10[[%]:[%]])</f>
        <v/>
      </c>
      <c r="IU16" s="121" t="str">
        <f>IF(ISBLANK(tbl_task10[[คะแนนเต็ม]:[คะแนนเต็ม]]),"",(tbl_task10[85]/tbl_task10[[คะแนนเต็ม]:[คะแนนเต็ม]])*tbl_task10[[%]:[%]])</f>
        <v/>
      </c>
      <c r="IV16" s="121" t="str">
        <f>IF(ISBLANK(tbl_task10[[คะแนนเต็ม]:[คะแนนเต็ม]]),"",(tbl_task10[86]/tbl_task10[[คะแนนเต็ม]:[คะแนนเต็ม]])*tbl_task10[[%]:[%]])</f>
        <v/>
      </c>
      <c r="IW16" s="121" t="str">
        <f>IF(ISBLANK(tbl_task10[[คะแนนเต็ม]:[คะแนนเต็ม]]),"",(tbl_task10[87]/tbl_task10[[คะแนนเต็ม]:[คะแนนเต็ม]])*tbl_task10[[%]:[%]])</f>
        <v/>
      </c>
      <c r="IX16" s="121" t="str">
        <f>IF(ISBLANK(tbl_task10[[คะแนนเต็ม]:[คะแนนเต็ม]]),"",(tbl_task10[88]/tbl_task10[[คะแนนเต็ม]:[คะแนนเต็ม]])*tbl_task10[[%]:[%]])</f>
        <v/>
      </c>
      <c r="IY16" s="121" t="str">
        <f>IF(ISBLANK(tbl_task10[[คะแนนเต็ม]:[คะแนนเต็ม]]),"",(tbl_task10[89]/tbl_task10[[คะแนนเต็ม]:[คะแนนเต็ม]])*tbl_task10[[%]:[%]])</f>
        <v/>
      </c>
      <c r="IZ16" s="121" t="str">
        <f>IF(ISBLANK(tbl_task10[[คะแนนเต็ม]:[คะแนนเต็ม]]),"",(tbl_task10[90]/tbl_task10[[คะแนนเต็ม]:[คะแนนเต็ม]])*tbl_task10[[%]:[%]])</f>
        <v/>
      </c>
      <c r="JA16" s="121" t="str">
        <f>IF(ISBLANK(tbl_task10[[คะแนนเต็ม]:[คะแนนเต็ม]]),"",(tbl_task10[91]/tbl_task10[[คะแนนเต็ม]:[คะแนนเต็ม]])*tbl_task10[[%]:[%]])</f>
        <v/>
      </c>
      <c r="JB16" s="121" t="str">
        <f>IF(ISBLANK(tbl_task10[[คะแนนเต็ม]:[คะแนนเต็ม]]),"",(tbl_task10[92]/tbl_task10[[คะแนนเต็ม]:[คะแนนเต็ม]])*tbl_task10[[%]:[%]])</f>
        <v/>
      </c>
      <c r="JC16" s="121" t="str">
        <f>IF(ISBLANK(tbl_task10[[คะแนนเต็ม]:[คะแนนเต็ม]]),"",(tbl_task10[93]/tbl_task10[[คะแนนเต็ม]:[คะแนนเต็ม]])*tbl_task10[[%]:[%]])</f>
        <v/>
      </c>
      <c r="JD16" s="121" t="str">
        <f>IF(ISBLANK(tbl_task10[[คะแนนเต็ม]:[คะแนนเต็ม]]),"",(tbl_task10[94]/tbl_task10[[คะแนนเต็ม]:[คะแนนเต็ม]])*tbl_task10[[%]:[%]])</f>
        <v/>
      </c>
      <c r="JE16" s="121" t="str">
        <f>IF(ISBLANK(tbl_task10[[คะแนนเต็ม]:[คะแนนเต็ม]]),"",(tbl_task10[95]/tbl_task10[[คะแนนเต็ม]:[คะแนนเต็ม]])*tbl_task10[[%]:[%]])</f>
        <v/>
      </c>
      <c r="JF16" s="121" t="str">
        <f>IF(ISBLANK(tbl_task10[[คะแนนเต็ม]:[คะแนนเต็ม]]),"",(tbl_task10[96]/tbl_task10[[คะแนนเต็ม]:[คะแนนเต็ม]])*tbl_task10[[%]:[%]])</f>
        <v/>
      </c>
      <c r="JG16" s="121" t="str">
        <f>IF(ISBLANK(tbl_task10[[คะแนนเต็ม]:[คะแนนเต็ม]]),"",(tbl_task10[97]/tbl_task10[[คะแนนเต็ม]:[คะแนนเต็ม]])*tbl_task10[[%]:[%]])</f>
        <v/>
      </c>
      <c r="JH16" s="121" t="str">
        <f>IF(ISBLANK(tbl_task10[[คะแนนเต็ม]:[คะแนนเต็ม]]),"",(tbl_task10[98]/tbl_task10[[คะแนนเต็ม]:[คะแนนเต็ม]])*tbl_task10[[%]:[%]])</f>
        <v/>
      </c>
      <c r="JI16" s="121" t="str">
        <f>IF(ISBLANK(tbl_task10[[คะแนนเต็ม]:[คะแนนเต็ม]]),"",(tbl_task10[99]/tbl_task10[[คะแนนเต็ม]:[คะแนนเต็ม]])*tbl_task10[[%]:[%]])</f>
        <v/>
      </c>
      <c r="JJ16" s="121" t="str">
        <f>IF(ISBLANK(tbl_task10[[คะแนนเต็ม]:[คะแนนเต็ม]]),"",(tbl_task10[100]/tbl_task10[[คะแนนเต็ม]:[คะแนนเต็ม]])*tbl_task10[[%]:[%]])</f>
        <v/>
      </c>
      <c r="JK16" s="121" t="str">
        <f>IF(ISBLANK(tbl_task10[[คะแนนเต็ม]:[คะแนนเต็ม]]),"",(tbl_task10[101]/tbl_task10[[คะแนนเต็ม]:[คะแนนเต็ม]])*tbl_task10[[%]:[%]])</f>
        <v/>
      </c>
      <c r="JL16" s="121" t="str">
        <f>IF(ISBLANK(tbl_task10[[คะแนนเต็ม]:[คะแนนเต็ม]]),"",(tbl_task10[102]/tbl_task10[[คะแนนเต็ม]:[คะแนนเต็ม]])*tbl_task10[[%]:[%]])</f>
        <v/>
      </c>
      <c r="JM16" s="121" t="str">
        <f>IF(ISBLANK(tbl_task10[[คะแนนเต็ม]:[คะแนนเต็ม]]),"",(tbl_task10[103]/tbl_task10[[คะแนนเต็ม]:[คะแนนเต็ม]])*tbl_task10[[%]:[%]])</f>
        <v/>
      </c>
      <c r="JN16" s="121" t="str">
        <f>IF(ISBLANK(tbl_task10[[คะแนนเต็ม]:[คะแนนเต็ม]]),"",(tbl_task10[104]/tbl_task10[[คะแนนเต็ม]:[คะแนนเต็ม]])*tbl_task10[[%]:[%]])</f>
        <v/>
      </c>
      <c r="JO16" s="121" t="str">
        <f>IF(ISBLANK(tbl_task10[[คะแนนเต็ม]:[คะแนนเต็ม]]),"",(tbl_task10[105]/tbl_task10[[คะแนนเต็ม]:[คะแนนเต็ม]])*tbl_task10[[%]:[%]])</f>
        <v/>
      </c>
      <c r="JP16" s="121" t="str">
        <f>IF(ISBLANK(tbl_task10[[คะแนนเต็ม]:[คะแนนเต็ม]]),"",(tbl_task10[106]/tbl_task10[[คะแนนเต็ม]:[คะแนนเต็ม]])*tbl_task10[[%]:[%]])</f>
        <v/>
      </c>
      <c r="JQ16" s="121" t="str">
        <f>IF(ISBLANK(tbl_task10[[คะแนนเต็ม]:[คะแนนเต็ม]]),"",(tbl_task10[107]/tbl_task10[[คะแนนเต็ม]:[คะแนนเต็ม]])*tbl_task10[[%]:[%]])</f>
        <v/>
      </c>
      <c r="JR16" s="121" t="str">
        <f>IF(ISBLANK(tbl_task10[[คะแนนเต็ม]:[คะแนนเต็ม]]),"",(tbl_task10[108]/tbl_task10[[คะแนนเต็ม]:[คะแนนเต็ม]])*tbl_task10[[%]:[%]])</f>
        <v/>
      </c>
      <c r="JS16" s="121" t="str">
        <f>IF(ISBLANK(tbl_task10[[คะแนนเต็ม]:[คะแนนเต็ม]]),"",(tbl_task10[109]/tbl_task10[[คะแนนเต็ม]:[คะแนนเต็ม]])*tbl_task10[[%]:[%]])</f>
        <v/>
      </c>
      <c r="JT16" s="121" t="str">
        <f>IF(ISBLANK(tbl_task10[[คะแนนเต็ม]:[คะแนนเต็ม]]),"",(tbl_task10[110]/tbl_task10[[คะแนนเต็ม]:[คะแนนเต็ม]])*tbl_task10[[%]:[%]])</f>
        <v/>
      </c>
      <c r="JU16" s="121" t="str">
        <f>IF(ISBLANK(tbl_task10[[คะแนนเต็ม]:[คะแนนเต็ม]]),"",(tbl_task10[111]/tbl_task10[[คะแนนเต็ม]:[คะแนนเต็ม]])*tbl_task10[[%]:[%]])</f>
        <v/>
      </c>
      <c r="JV16" s="121" t="str">
        <f>IF(ISBLANK(tbl_task10[[คะแนนเต็ม]:[คะแนนเต็ม]]),"",(tbl_task10[112]/tbl_task10[[คะแนนเต็ม]:[คะแนนเต็ม]])*tbl_task10[[%]:[%]])</f>
        <v/>
      </c>
      <c r="JW16" s="121" t="str">
        <f>IF(ISBLANK(tbl_task10[[คะแนนเต็ม]:[คะแนนเต็ม]]),"",(tbl_task10[113]/tbl_task10[[คะแนนเต็ม]:[คะแนนเต็ม]])*tbl_task10[[%]:[%]])</f>
        <v/>
      </c>
      <c r="JX16" s="121" t="str">
        <f>IF(ISBLANK(tbl_task10[[คะแนนเต็ม]:[คะแนนเต็ม]]),"",(tbl_task10[114]/tbl_task10[[คะแนนเต็ม]:[คะแนนเต็ม]])*tbl_task10[[%]:[%]])</f>
        <v/>
      </c>
      <c r="JY16" s="121" t="str">
        <f>IF(ISBLANK(tbl_task10[[คะแนนเต็ม]:[คะแนนเต็ม]]),"",(tbl_task10[115]/tbl_task10[[คะแนนเต็ม]:[คะแนนเต็ม]])*tbl_task10[[%]:[%]])</f>
        <v/>
      </c>
      <c r="JZ16" s="121" t="str">
        <f>IF(ISBLANK(tbl_task10[[คะแนนเต็ม]:[คะแนนเต็ม]]),"",(tbl_task10[116]/tbl_task10[[คะแนนเต็ม]:[คะแนนเต็ม]])*tbl_task10[[%]:[%]])</f>
        <v/>
      </c>
      <c r="KA16" s="121" t="str">
        <f>IF(ISBLANK(tbl_task10[[คะแนนเต็ม]:[คะแนนเต็ม]]),"",(tbl_task10[117]/tbl_task10[[คะแนนเต็ม]:[คะแนนเต็ม]])*tbl_task10[[%]:[%]])</f>
        <v/>
      </c>
      <c r="KB16" s="121" t="str">
        <f>IF(ISBLANK(tbl_task10[[คะแนนเต็ม]:[คะแนนเต็ม]]),"",(tbl_task10[118]/tbl_task10[[คะแนนเต็ม]:[คะแนนเต็ม]])*tbl_task10[[%]:[%]])</f>
        <v/>
      </c>
      <c r="KC16" s="121" t="str">
        <f>IF(ISBLANK(tbl_task10[[คะแนนเต็ม]:[คะแนนเต็ม]]),"",(tbl_task10[119]/tbl_task10[[คะแนนเต็ม]:[คะแนนเต็ม]])*tbl_task10[[%]:[%]])</f>
        <v/>
      </c>
      <c r="KD16" s="121" t="str">
        <f>IF(ISBLANK(tbl_task10[[คะแนนเต็ม]:[คะแนนเต็ม]]),"",(tbl_task10[120]/tbl_task10[[คะแนนเต็ม]:[คะแนนเต็ม]])*tbl_task10[[%]:[%]])</f>
        <v/>
      </c>
      <c r="KE16" s="121" t="str">
        <f>IF(ISBLANK(tbl_task10[[คะแนนเต็ม]:[คะแนนเต็ม]]),"",(tbl_task10[121]/tbl_task10[[คะแนนเต็ม]:[คะแนนเต็ม]])*tbl_task10[[%]:[%]])</f>
        <v/>
      </c>
      <c r="KF16" s="121" t="str">
        <f>IF(ISBLANK(tbl_task10[[คะแนนเต็ม]:[คะแนนเต็ม]]),"",(tbl_task10[122]/tbl_task10[[คะแนนเต็ม]:[คะแนนเต็ม]])*tbl_task10[[%]:[%]])</f>
        <v/>
      </c>
      <c r="KG16" s="121" t="str">
        <f>IF(ISBLANK(tbl_task10[[คะแนนเต็ม]:[คะแนนเต็ม]]),"",(tbl_task10[123]/tbl_task10[[คะแนนเต็ม]:[คะแนนเต็ม]])*tbl_task10[[%]:[%]])</f>
        <v/>
      </c>
      <c r="KH16" s="121" t="str">
        <f>IF(ISBLANK(tbl_task10[[คะแนนเต็ม]:[คะแนนเต็ม]]),"",(tbl_task10[124]/tbl_task10[[คะแนนเต็ม]:[คะแนนเต็ม]])*tbl_task10[[%]:[%]])</f>
        <v/>
      </c>
      <c r="KI16" s="121" t="str">
        <f>IF(ISBLANK(tbl_task10[[คะแนนเต็ม]:[คะแนนเต็ม]]),"",(tbl_task10[125]/tbl_task10[[คะแนนเต็ม]:[คะแนนเต็ม]])*tbl_task10[[%]:[%]])</f>
        <v/>
      </c>
      <c r="KJ16" s="121" t="str">
        <f>IF(ISBLANK(tbl_task10[[คะแนนเต็ม]:[คะแนนเต็ม]]),"",(tbl_task10[126]/tbl_task10[[คะแนนเต็ม]:[คะแนนเต็ม]])*tbl_task10[[%]:[%]])</f>
        <v/>
      </c>
      <c r="KK16" s="121" t="str">
        <f>IF(ISBLANK(tbl_task10[[คะแนนเต็ม]:[คะแนนเต็ม]]),"",(tbl_task10[127]/tbl_task10[[คะแนนเต็ม]:[คะแนนเต็ม]])*tbl_task10[[%]:[%]])</f>
        <v/>
      </c>
      <c r="KL16" s="121" t="str">
        <f>IF(ISBLANK(tbl_task10[[คะแนนเต็ม]:[คะแนนเต็ม]]),"",(tbl_task10[128]/tbl_task10[[คะแนนเต็ม]:[คะแนนเต็ม]])*tbl_task10[[%]:[%]])</f>
        <v/>
      </c>
      <c r="KM16" s="121" t="str">
        <f>IF(ISBLANK(tbl_task10[[คะแนนเต็ม]:[คะแนนเต็ม]]),"",(tbl_task10[129]/tbl_task10[[คะแนนเต็ม]:[คะแนนเต็ม]])*tbl_task10[[%]:[%]])</f>
        <v/>
      </c>
      <c r="KN16" s="121" t="str">
        <f>IF(ISBLANK(tbl_task10[[คะแนนเต็ม]:[คะแนนเต็ม]]),"",(tbl_task10[130]/tbl_task10[[คะแนนเต็ม]:[คะแนนเต็ม]])*tbl_task10[[%]:[%]])</f>
        <v/>
      </c>
      <c r="KO16" s="121" t="str">
        <f>IF(ISBLANK(tbl_task10[[คะแนนเต็ม]:[คะแนนเต็ม]]),"",(tbl_task10[131]/tbl_task10[[คะแนนเต็ม]:[คะแนนเต็ม]])*tbl_task10[[%]:[%]])</f>
        <v/>
      </c>
      <c r="KP16" s="121" t="str">
        <f>IF(ISBLANK(tbl_task10[[คะแนนเต็ม]:[คะแนนเต็ม]]),"",(tbl_task10[132]/tbl_task10[[คะแนนเต็ม]:[คะแนนเต็ม]])*tbl_task10[[%]:[%]])</f>
        <v/>
      </c>
      <c r="KQ16" s="121" t="str">
        <f>IF(ISBLANK(tbl_task10[[คะแนนเต็ม]:[คะแนนเต็ม]]),"",(tbl_task10[133]/tbl_task10[[คะแนนเต็ม]:[คะแนนเต็ม]])*tbl_task10[[%]:[%]])</f>
        <v/>
      </c>
      <c r="KR16" s="121" t="str">
        <f>IF(ISBLANK(tbl_task10[[คะแนนเต็ม]:[คะแนนเต็ม]]),"",(tbl_task10[134]/tbl_task10[[คะแนนเต็ม]:[คะแนนเต็ม]])*tbl_task10[[%]:[%]])</f>
        <v/>
      </c>
      <c r="KS16" s="121" t="str">
        <f>IF(ISBLANK(tbl_task10[[คะแนนเต็ม]:[คะแนนเต็ม]]),"",(tbl_task10[135]/tbl_task10[[คะแนนเต็ม]:[คะแนนเต็ม]])*tbl_task10[[%]:[%]])</f>
        <v/>
      </c>
      <c r="KT16" s="121" t="str">
        <f>IF(ISBLANK(tbl_task10[[คะแนนเต็ม]:[คะแนนเต็ม]]),"",(tbl_task10[136]/tbl_task10[[คะแนนเต็ม]:[คะแนนเต็ม]])*tbl_task10[[%]:[%]])</f>
        <v/>
      </c>
      <c r="KU16" s="121" t="str">
        <f>IF(ISBLANK(tbl_task10[[คะแนนเต็ม]:[คะแนนเต็ม]]),"",(tbl_task10[137]/tbl_task10[[คะแนนเต็ม]:[คะแนนเต็ม]])*tbl_task10[[%]:[%]])</f>
        <v/>
      </c>
      <c r="KV16" s="121" t="str">
        <f>IF(ISBLANK(tbl_task10[[คะแนนเต็ม]:[คะแนนเต็ม]]),"",(tbl_task10[138]/tbl_task10[[คะแนนเต็ม]:[คะแนนเต็ม]])*tbl_task10[[%]:[%]])</f>
        <v/>
      </c>
      <c r="KW16" s="121" t="str">
        <f>IF(ISBLANK(tbl_task10[[คะแนนเต็ม]:[คะแนนเต็ม]]),"",(tbl_task10[139]/tbl_task10[[คะแนนเต็ม]:[คะแนนเต็ม]])*tbl_task10[[%]:[%]])</f>
        <v/>
      </c>
      <c r="KX16" s="121" t="str">
        <f>IF(ISBLANK(tbl_task10[[คะแนนเต็ม]:[คะแนนเต็ม]]),"",(tbl_task10[140]/tbl_task10[[คะแนนเต็ม]:[คะแนนเต็ม]])*tbl_task10[[%]:[%]])</f>
        <v/>
      </c>
      <c r="KY16" s="121" t="str">
        <f>IF(ISBLANK(tbl_task10[[คะแนนเต็ม]:[คะแนนเต็ม]]),"",(tbl_task10[141]/tbl_task10[[คะแนนเต็ม]:[คะแนนเต็ม]])*tbl_task10[[%]:[%]])</f>
        <v/>
      </c>
      <c r="KZ16" s="121" t="str">
        <f>IF(ISBLANK(tbl_task10[[คะแนนเต็ม]:[คะแนนเต็ม]]),"",(tbl_task10[142]/tbl_task10[[คะแนนเต็ม]:[คะแนนเต็ม]])*tbl_task10[[%]:[%]])</f>
        <v/>
      </c>
      <c r="LA16" s="121" t="str">
        <f>IF(ISBLANK(tbl_task10[[คะแนนเต็ม]:[คะแนนเต็ม]]),"",(tbl_task10[143]/tbl_task10[[คะแนนเต็ม]:[คะแนนเต็ม]])*tbl_task10[[%]:[%]])</f>
        <v/>
      </c>
      <c r="LB16" s="121" t="str">
        <f>IF(ISBLANK(tbl_task10[[คะแนนเต็ม]:[คะแนนเต็ม]]),"",(tbl_task10[144]/tbl_task10[[คะแนนเต็ม]:[คะแนนเต็ม]])*tbl_task10[[%]:[%]])</f>
        <v/>
      </c>
      <c r="LC16" s="121" t="str">
        <f>IF(ISBLANK(tbl_task10[[คะแนนเต็ม]:[คะแนนเต็ม]]),"",(tbl_task10[145]/tbl_task10[[คะแนนเต็ม]:[คะแนนเต็ม]])*tbl_task10[[%]:[%]])</f>
        <v/>
      </c>
      <c r="LD16" s="121" t="str">
        <f>IF(ISBLANK(tbl_task10[[คะแนนเต็ม]:[คะแนนเต็ม]]),"",(tbl_task10[146]/tbl_task10[[คะแนนเต็ม]:[คะแนนเต็ม]])*tbl_task10[[%]:[%]])</f>
        <v/>
      </c>
      <c r="LE16" s="121" t="str">
        <f>IF(ISBLANK(tbl_task10[[คะแนนเต็ม]:[คะแนนเต็ม]]),"",(tbl_task10[147]/tbl_task10[[คะแนนเต็ม]:[คะแนนเต็ม]])*tbl_task10[[%]:[%]])</f>
        <v/>
      </c>
      <c r="LF16" s="121" t="str">
        <f>IF(ISBLANK(tbl_task10[[คะแนนเต็ม]:[คะแนนเต็ม]]),"",(tbl_task10[148]/tbl_task10[[คะแนนเต็ม]:[คะแนนเต็ม]])*tbl_task10[[%]:[%]])</f>
        <v/>
      </c>
      <c r="LG16" s="121" t="str">
        <f>IF(ISBLANK(tbl_task10[[คะแนนเต็ม]:[คะแนนเต็ม]]),"",(tbl_task10[149]/tbl_task10[[คะแนนเต็ม]:[คะแนนเต็ม]])*tbl_task10[[%]:[%]])</f>
        <v/>
      </c>
      <c r="LH16" s="121" t="str">
        <f>IF(ISBLANK(tbl_task10[[คะแนนเต็ม]:[คะแนนเต็ม]]),"",(tbl_task10[150]/tbl_task10[[คะแนนเต็ม]:[คะแนนเต็ม]])*tbl_task10[[%]:[%]])</f>
        <v/>
      </c>
      <c r="LI16" s="121" t="str">
        <f>IF(ISBLANK(tbl_task10[[คะแนนเต็ม]:[คะแนนเต็ม]]),"",(tbl_task10[151]/tbl_task10[[คะแนนเต็ม]:[คะแนนเต็ม]])*tbl_task10[[%]:[%]])</f>
        <v/>
      </c>
      <c r="LJ16" s="121" t="str">
        <f>IF(ISBLANK(tbl_task10[[คะแนนเต็ม]:[คะแนนเต็ม]]),"",(tbl_task10[152]/tbl_task10[[คะแนนเต็ม]:[คะแนนเต็ม]])*tbl_task10[[%]:[%]])</f>
        <v/>
      </c>
      <c r="LK16" s="121" t="str">
        <f>IF(ISBLANK(tbl_task10[[คะแนนเต็ม]:[คะแนนเต็ม]]),"",(tbl_task10[153]/tbl_task10[[คะแนนเต็ม]:[คะแนนเต็ม]])*tbl_task10[[%]:[%]])</f>
        <v/>
      </c>
      <c r="LL16" s="121" t="str">
        <f>IF(ISBLANK(tbl_task10[[คะแนนเต็ม]:[คะแนนเต็ม]]),"",(tbl_task10[154]/tbl_task10[[คะแนนเต็ม]:[คะแนนเต็ม]])*tbl_task10[[%]:[%]])</f>
        <v/>
      </c>
      <c r="LM16" s="121" t="str">
        <f>IF(ISBLANK(tbl_task10[[คะแนนเต็ม]:[คะแนนเต็ม]]),"",(tbl_task10[155]/tbl_task10[[คะแนนเต็ม]:[คะแนนเต็ม]])*tbl_task10[[%]:[%]])</f>
        <v/>
      </c>
      <c r="LN16" s="121" t="str">
        <f>IF(ISBLANK(tbl_task10[[คะแนนเต็ม]:[คะแนนเต็ม]]),"",(tbl_task10[156]/tbl_task10[[คะแนนเต็ม]:[คะแนนเต็ม]])*tbl_task10[[%]:[%]])</f>
        <v/>
      </c>
      <c r="LO16" s="121" t="str">
        <f>IF(ISBLANK(tbl_task10[[คะแนนเต็ม]:[คะแนนเต็ม]]),"",(tbl_task10[157]/tbl_task10[[คะแนนเต็ม]:[คะแนนเต็ม]])*tbl_task10[[%]:[%]])</f>
        <v/>
      </c>
      <c r="LP16" s="121" t="str">
        <f>IF(ISBLANK(tbl_task10[[คะแนนเต็ม]:[คะแนนเต็ม]]),"",(tbl_task10[158]/tbl_task10[[คะแนนเต็ม]:[คะแนนเต็ม]])*tbl_task10[[%]:[%]])</f>
        <v/>
      </c>
      <c r="LQ16" s="121" t="str">
        <f>IF(ISBLANK(tbl_task10[[คะแนนเต็ม]:[คะแนนเต็ม]]),"",(tbl_task10[159]/tbl_task10[[คะแนนเต็ม]:[คะแนนเต็ม]])*tbl_task10[[%]:[%]])</f>
        <v/>
      </c>
      <c r="LR16" s="121" t="str">
        <f>IF(ISBLANK(tbl_task10[[คะแนนเต็ม]:[คะแนนเต็ม]]),"",(tbl_task10[160]/tbl_task10[[คะแนนเต็ม]:[คะแนนเต็ม]])*tbl_task10[[%]:[%]])</f>
        <v/>
      </c>
      <c r="LS16" s="121" t="str">
        <f>IF(ISBLANK(tbl_task10[[คะแนนเต็ม]:[คะแนนเต็ม]]),"",(tbl_task10[161]/tbl_task10[[คะแนนเต็ม]:[คะแนนเต็ม]])*tbl_task10[[%]:[%]])</f>
        <v/>
      </c>
      <c r="LT16" s="121" t="str">
        <f>IF(ISBLANK(tbl_task10[[คะแนนเต็ม]:[คะแนนเต็ม]]),"",(tbl_task10[162]/tbl_task10[[คะแนนเต็ม]:[คะแนนเต็ม]])*tbl_task10[[%]:[%]])</f>
        <v/>
      </c>
      <c r="LU16" s="121" t="str">
        <f>IF(ISBLANK(tbl_task10[[คะแนนเต็ม]:[คะแนนเต็ม]]),"",(tbl_task10[163]/tbl_task10[[คะแนนเต็ม]:[คะแนนเต็ม]])*tbl_task10[[%]:[%]])</f>
        <v/>
      </c>
      <c r="LV16" s="121" t="str">
        <f>IF(ISBLANK(tbl_task10[[คะแนนเต็ม]:[คะแนนเต็ม]]),"",(tbl_task10[164]/tbl_task10[[คะแนนเต็ม]:[คะแนนเต็ม]])*tbl_task10[[%]:[%]])</f>
        <v/>
      </c>
      <c r="LW16" s="121" t="str">
        <f>IF(ISBLANK(tbl_task10[[คะแนนเต็ม]:[คะแนนเต็ม]]),"",(tbl_task10[165]/tbl_task10[[คะแนนเต็ม]:[คะแนนเต็ม]])*tbl_task10[[%]:[%]])</f>
        <v/>
      </c>
    </row>
    <row r="17" spans="1:335" ht="24" customHeight="1" x14ac:dyDescent="0.25">
      <c r="A17" s="24">
        <v>14</v>
      </c>
      <c r="B17" s="20"/>
      <c r="C17" s="5" t="str">
        <f>IF(ISBLANK(B17),"",VLOOKUP(B17,tbl_PLOs[],2,0))</f>
        <v/>
      </c>
      <c r="D17" s="102"/>
      <c r="E17" s="10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121" t="str">
        <f>IF(ISBLANK(tbl_task10[[คะแนนเต็ม]:[คะแนนเต็ม]]),"",(tbl_task10[1]/tbl_task10[[คะแนนเต็ม]:[คะแนนเต็ม]])*tbl_task10[[%]:[%]])</f>
        <v/>
      </c>
      <c r="FP17" s="121" t="str">
        <f>IF(ISBLANK(tbl_task10[[คะแนนเต็ม]:[คะแนนเต็ม]]),"",(tbl_task10[2]/tbl_task10[[คะแนนเต็ม]:[คะแนนเต็ม]])*tbl_task10[[%]:[%]])</f>
        <v/>
      </c>
      <c r="FQ17" s="121" t="str">
        <f>IF(ISBLANK(tbl_task10[[คะแนนเต็ม]:[คะแนนเต็ม]]),"",(tbl_task10[3]/tbl_task10[[คะแนนเต็ม]:[คะแนนเต็ม]])*tbl_task10[[%]:[%]])</f>
        <v/>
      </c>
      <c r="FR17" s="121" t="str">
        <f>IF(ISBLANK(tbl_task10[[คะแนนเต็ม]:[คะแนนเต็ม]]),"",(tbl_task10[4]/tbl_task10[[คะแนนเต็ม]:[คะแนนเต็ม]])*tbl_task10[[%]:[%]])</f>
        <v/>
      </c>
      <c r="FS17" s="121" t="str">
        <f>IF(ISBLANK(tbl_task10[[คะแนนเต็ม]:[คะแนนเต็ม]]),"",(tbl_task10[5]/tbl_task10[[คะแนนเต็ม]:[คะแนนเต็ม]])*tbl_task10[[%]:[%]])</f>
        <v/>
      </c>
      <c r="FT17" s="121" t="str">
        <f>IF(ISBLANK(tbl_task10[[คะแนนเต็ม]:[คะแนนเต็ม]]),"",(tbl_task10[6]/tbl_task10[[คะแนนเต็ม]:[คะแนนเต็ม]])*tbl_task10[[%]:[%]])</f>
        <v/>
      </c>
      <c r="FU17" s="121" t="str">
        <f>IF(ISBLANK(tbl_task10[[คะแนนเต็ม]:[คะแนนเต็ม]]),"",(tbl_task10[7]/tbl_task10[[คะแนนเต็ม]:[คะแนนเต็ม]])*tbl_task10[[%]:[%]])</f>
        <v/>
      </c>
      <c r="FV17" s="121" t="str">
        <f>IF(ISBLANK(tbl_task10[[คะแนนเต็ม]:[คะแนนเต็ม]]),"",(tbl_task10[8]/tbl_task10[[คะแนนเต็ม]:[คะแนนเต็ม]])*tbl_task10[[%]:[%]])</f>
        <v/>
      </c>
      <c r="FW17" s="121" t="str">
        <f>IF(ISBLANK(tbl_task10[[คะแนนเต็ม]:[คะแนนเต็ม]]),"",(tbl_task10[9]/tbl_task10[[คะแนนเต็ม]:[คะแนนเต็ม]])*tbl_task10[[%]:[%]])</f>
        <v/>
      </c>
      <c r="FX17" s="121" t="str">
        <f>IF(ISBLANK(tbl_task10[[คะแนนเต็ม]:[คะแนนเต็ม]]),"",(tbl_task10[10]/tbl_task10[[คะแนนเต็ม]:[คะแนนเต็ม]])*tbl_task10[[%]:[%]])</f>
        <v/>
      </c>
      <c r="FY17" s="121" t="str">
        <f>IF(ISBLANK(tbl_task10[[คะแนนเต็ม]:[คะแนนเต็ม]]),"",(tbl_task10[11]/tbl_task10[[คะแนนเต็ม]:[คะแนนเต็ม]])*tbl_task10[[%]:[%]])</f>
        <v/>
      </c>
      <c r="FZ17" s="121" t="str">
        <f>IF(ISBLANK(tbl_task10[[คะแนนเต็ม]:[คะแนนเต็ม]]),"",(tbl_task10[12]/tbl_task10[[คะแนนเต็ม]:[คะแนนเต็ม]])*tbl_task10[[%]:[%]])</f>
        <v/>
      </c>
      <c r="GA17" s="121" t="str">
        <f>IF(ISBLANK(tbl_task10[[คะแนนเต็ม]:[คะแนนเต็ม]]),"",(tbl_task10[13]/tbl_task10[[คะแนนเต็ม]:[คะแนนเต็ม]])*tbl_task10[[%]:[%]])</f>
        <v/>
      </c>
      <c r="GB17" s="121" t="str">
        <f>IF(ISBLANK(tbl_task10[[คะแนนเต็ม]:[คะแนนเต็ม]]),"",(tbl_task10[14]/tbl_task10[[คะแนนเต็ม]:[คะแนนเต็ม]])*tbl_task10[[%]:[%]])</f>
        <v/>
      </c>
      <c r="GC17" s="121" t="str">
        <f>IF(ISBLANK(tbl_task10[[คะแนนเต็ม]:[คะแนนเต็ม]]),"",(tbl_task10[15]/tbl_task10[[คะแนนเต็ม]:[คะแนนเต็ม]])*tbl_task10[[%]:[%]])</f>
        <v/>
      </c>
      <c r="GD17" s="121" t="str">
        <f>IF(ISBLANK(tbl_task10[[คะแนนเต็ม]:[คะแนนเต็ม]]),"",(tbl_task10[16]/tbl_task10[[คะแนนเต็ม]:[คะแนนเต็ม]])*tbl_task10[[%]:[%]])</f>
        <v/>
      </c>
      <c r="GE17" s="121" t="str">
        <f>IF(ISBLANK(tbl_task10[[คะแนนเต็ม]:[คะแนนเต็ม]]),"",(tbl_task10[17]/tbl_task10[[คะแนนเต็ม]:[คะแนนเต็ม]])*tbl_task10[[%]:[%]])</f>
        <v/>
      </c>
      <c r="GF17" s="121" t="str">
        <f>IF(ISBLANK(tbl_task10[[คะแนนเต็ม]:[คะแนนเต็ม]]),"",(tbl_task10[18]/tbl_task10[[คะแนนเต็ม]:[คะแนนเต็ม]])*tbl_task10[[%]:[%]])</f>
        <v/>
      </c>
      <c r="GG17" s="121" t="str">
        <f>IF(ISBLANK(tbl_task10[[คะแนนเต็ม]:[คะแนนเต็ม]]),"",(tbl_task10[19]/tbl_task10[[คะแนนเต็ม]:[คะแนนเต็ม]])*tbl_task10[[%]:[%]])</f>
        <v/>
      </c>
      <c r="GH17" s="121" t="str">
        <f>IF(ISBLANK(tbl_task10[[คะแนนเต็ม]:[คะแนนเต็ม]]),"",(tbl_task10[20]/tbl_task10[[คะแนนเต็ม]:[คะแนนเต็ม]])*tbl_task10[[%]:[%]])</f>
        <v/>
      </c>
      <c r="GI17" s="121" t="str">
        <f>IF(ISBLANK(tbl_task10[[คะแนนเต็ม]:[คะแนนเต็ม]]),"",(tbl_task10[21]/tbl_task10[[คะแนนเต็ม]:[คะแนนเต็ม]])*tbl_task10[[%]:[%]])</f>
        <v/>
      </c>
      <c r="GJ17" s="121" t="str">
        <f>IF(ISBLANK(tbl_task10[[คะแนนเต็ม]:[คะแนนเต็ม]]),"",(tbl_task10[22]/tbl_task10[[คะแนนเต็ม]:[คะแนนเต็ม]])*tbl_task10[[%]:[%]])</f>
        <v/>
      </c>
      <c r="GK17" s="121" t="str">
        <f>IF(ISBLANK(tbl_task10[[คะแนนเต็ม]:[คะแนนเต็ม]]),"",(tbl_task10[23]/tbl_task10[[คะแนนเต็ม]:[คะแนนเต็ม]])*tbl_task10[[%]:[%]])</f>
        <v/>
      </c>
      <c r="GL17" s="121" t="str">
        <f>IF(ISBLANK(tbl_task10[[คะแนนเต็ม]:[คะแนนเต็ม]]),"",(tbl_task10[24]/tbl_task10[[คะแนนเต็ม]:[คะแนนเต็ม]])*tbl_task10[[%]:[%]])</f>
        <v/>
      </c>
      <c r="GM17" s="121" t="str">
        <f>IF(ISBLANK(tbl_task10[[คะแนนเต็ม]:[คะแนนเต็ม]]),"",(tbl_task10[25]/tbl_task10[[คะแนนเต็ม]:[คะแนนเต็ม]])*tbl_task10[[%]:[%]])</f>
        <v/>
      </c>
      <c r="GN17" s="121" t="str">
        <f>IF(ISBLANK(tbl_task10[[คะแนนเต็ม]:[คะแนนเต็ม]]),"",(tbl_task10[26]/tbl_task10[[คะแนนเต็ม]:[คะแนนเต็ม]])*tbl_task10[[%]:[%]])</f>
        <v/>
      </c>
      <c r="GO17" s="121" t="str">
        <f>IF(ISBLANK(tbl_task10[[คะแนนเต็ม]:[คะแนนเต็ม]]),"",(tbl_task10[27]/tbl_task10[[คะแนนเต็ม]:[คะแนนเต็ม]])*tbl_task10[[%]:[%]])</f>
        <v/>
      </c>
      <c r="GP17" s="121" t="str">
        <f>IF(ISBLANK(tbl_task10[[คะแนนเต็ม]:[คะแนนเต็ม]]),"",(tbl_task10[28]/tbl_task10[[คะแนนเต็ม]:[คะแนนเต็ม]])*tbl_task10[[%]:[%]])</f>
        <v/>
      </c>
      <c r="GQ17" s="121" t="str">
        <f>IF(ISBLANK(tbl_task10[[คะแนนเต็ม]:[คะแนนเต็ม]]),"",(tbl_task10[29]/tbl_task10[[คะแนนเต็ม]:[คะแนนเต็ม]])*tbl_task10[[%]:[%]])</f>
        <v/>
      </c>
      <c r="GR17" s="121" t="str">
        <f>IF(ISBLANK(tbl_task10[[คะแนนเต็ม]:[คะแนนเต็ม]]),"",(tbl_task10[30]/tbl_task10[[คะแนนเต็ม]:[คะแนนเต็ม]])*tbl_task10[[%]:[%]])</f>
        <v/>
      </c>
      <c r="GS17" s="121" t="str">
        <f>IF(ISBLANK(tbl_task10[[คะแนนเต็ม]:[คะแนนเต็ม]]),"",(tbl_task10[31]/tbl_task10[[คะแนนเต็ม]:[คะแนนเต็ม]])*tbl_task10[[%]:[%]])</f>
        <v/>
      </c>
      <c r="GT17" s="121" t="str">
        <f>IF(ISBLANK(tbl_task10[[คะแนนเต็ม]:[คะแนนเต็ม]]),"",(tbl_task10[32]/tbl_task10[[คะแนนเต็ม]:[คะแนนเต็ม]])*tbl_task10[[%]:[%]])</f>
        <v/>
      </c>
      <c r="GU17" s="121" t="str">
        <f>IF(ISBLANK(tbl_task10[[คะแนนเต็ม]:[คะแนนเต็ม]]),"",(tbl_task10[33]/tbl_task10[[คะแนนเต็ม]:[คะแนนเต็ม]])*tbl_task10[[%]:[%]])</f>
        <v/>
      </c>
      <c r="GV17" s="121" t="str">
        <f>IF(ISBLANK(tbl_task10[[คะแนนเต็ม]:[คะแนนเต็ม]]),"",(tbl_task10[34]/tbl_task10[[คะแนนเต็ม]:[คะแนนเต็ม]])*tbl_task10[[%]:[%]])</f>
        <v/>
      </c>
      <c r="GW17" s="121" t="str">
        <f>IF(ISBLANK(tbl_task10[[คะแนนเต็ม]:[คะแนนเต็ม]]),"",(tbl_task10[35]/tbl_task10[[คะแนนเต็ม]:[คะแนนเต็ม]])*tbl_task10[[%]:[%]])</f>
        <v/>
      </c>
      <c r="GX17" s="121" t="str">
        <f>IF(ISBLANK(tbl_task10[[คะแนนเต็ม]:[คะแนนเต็ม]]),"",(tbl_task10[36]/tbl_task10[[คะแนนเต็ม]:[คะแนนเต็ม]])*tbl_task10[[%]:[%]])</f>
        <v/>
      </c>
      <c r="GY17" s="121" t="str">
        <f>IF(ISBLANK(tbl_task10[[คะแนนเต็ม]:[คะแนนเต็ม]]),"",(tbl_task10[37]/tbl_task10[[คะแนนเต็ม]:[คะแนนเต็ม]])*tbl_task10[[%]:[%]])</f>
        <v/>
      </c>
      <c r="GZ17" s="121" t="str">
        <f>IF(ISBLANK(tbl_task10[[คะแนนเต็ม]:[คะแนนเต็ม]]),"",(tbl_task10[38]/tbl_task10[[คะแนนเต็ม]:[คะแนนเต็ม]])*tbl_task10[[%]:[%]])</f>
        <v/>
      </c>
      <c r="HA17" s="121" t="str">
        <f>IF(ISBLANK(tbl_task10[[คะแนนเต็ม]:[คะแนนเต็ม]]),"",(tbl_task10[39]/tbl_task10[[คะแนนเต็ม]:[คะแนนเต็ม]])*tbl_task10[[%]:[%]])</f>
        <v/>
      </c>
      <c r="HB17" s="121" t="str">
        <f>IF(ISBLANK(tbl_task10[[คะแนนเต็ม]:[คะแนนเต็ม]]),"",(tbl_task10[40]/tbl_task10[[คะแนนเต็ม]:[คะแนนเต็ม]])*tbl_task10[[%]:[%]])</f>
        <v/>
      </c>
      <c r="HC17" s="121" t="str">
        <f>IF(ISBLANK(tbl_task10[[คะแนนเต็ม]:[คะแนนเต็ม]]),"",(tbl_task10[41]/tbl_task10[[คะแนนเต็ม]:[คะแนนเต็ม]])*tbl_task10[[%]:[%]])</f>
        <v/>
      </c>
      <c r="HD17" s="121" t="str">
        <f>IF(ISBLANK(tbl_task10[[คะแนนเต็ม]:[คะแนนเต็ม]]),"",(tbl_task10[42]/tbl_task10[[คะแนนเต็ม]:[คะแนนเต็ม]])*tbl_task10[[%]:[%]])</f>
        <v/>
      </c>
      <c r="HE17" s="121" t="str">
        <f>IF(ISBLANK(tbl_task10[[คะแนนเต็ม]:[คะแนนเต็ม]]),"",(tbl_task10[43]/tbl_task10[[คะแนนเต็ม]:[คะแนนเต็ม]])*tbl_task10[[%]:[%]])</f>
        <v/>
      </c>
      <c r="HF17" s="121" t="str">
        <f>IF(ISBLANK(tbl_task10[[คะแนนเต็ม]:[คะแนนเต็ม]]),"",(tbl_task10[44]/tbl_task10[[คะแนนเต็ม]:[คะแนนเต็ม]])*tbl_task10[[%]:[%]])</f>
        <v/>
      </c>
      <c r="HG17" s="121" t="str">
        <f>IF(ISBLANK(tbl_task10[[คะแนนเต็ม]:[คะแนนเต็ม]]),"",(tbl_task10[45]/tbl_task10[[คะแนนเต็ม]:[คะแนนเต็ม]])*tbl_task10[[%]:[%]])</f>
        <v/>
      </c>
      <c r="HH17" s="121" t="str">
        <f>IF(ISBLANK(tbl_task10[[คะแนนเต็ม]:[คะแนนเต็ม]]),"",(tbl_task10[46]/tbl_task10[[คะแนนเต็ม]:[คะแนนเต็ม]])*tbl_task10[[%]:[%]])</f>
        <v/>
      </c>
      <c r="HI17" s="121" t="str">
        <f>IF(ISBLANK(tbl_task10[[คะแนนเต็ม]:[คะแนนเต็ม]]),"",(tbl_task10[47]/tbl_task10[[คะแนนเต็ม]:[คะแนนเต็ม]])*tbl_task10[[%]:[%]])</f>
        <v/>
      </c>
      <c r="HJ17" s="121" t="str">
        <f>IF(ISBLANK(tbl_task10[[คะแนนเต็ม]:[คะแนนเต็ม]]),"",(tbl_task10[48]/tbl_task10[[คะแนนเต็ม]:[คะแนนเต็ม]])*tbl_task10[[%]:[%]])</f>
        <v/>
      </c>
      <c r="HK17" s="121" t="str">
        <f>IF(ISBLANK(tbl_task10[[คะแนนเต็ม]:[คะแนนเต็ม]]),"",(tbl_task10[49]/tbl_task10[[คะแนนเต็ม]:[คะแนนเต็ม]])*tbl_task10[[%]:[%]])</f>
        <v/>
      </c>
      <c r="HL17" s="121" t="str">
        <f>IF(ISBLANK(tbl_task10[[คะแนนเต็ม]:[คะแนนเต็ม]]),"",(tbl_task10[50]/tbl_task10[[คะแนนเต็ม]:[คะแนนเต็ม]])*tbl_task10[[%]:[%]])</f>
        <v/>
      </c>
      <c r="HM17" s="121" t="str">
        <f>IF(ISBLANK(tbl_task10[[คะแนนเต็ม]:[คะแนนเต็ม]]),"",(tbl_task10[51]/tbl_task10[[คะแนนเต็ม]:[คะแนนเต็ม]])*tbl_task10[[%]:[%]])</f>
        <v/>
      </c>
      <c r="HN17" s="121" t="str">
        <f>IF(ISBLANK(tbl_task10[[คะแนนเต็ม]:[คะแนนเต็ม]]),"",(tbl_task10[52]/tbl_task10[[คะแนนเต็ม]:[คะแนนเต็ม]])*tbl_task10[[%]:[%]])</f>
        <v/>
      </c>
      <c r="HO17" s="121" t="str">
        <f>IF(ISBLANK(tbl_task10[[คะแนนเต็ม]:[คะแนนเต็ม]]),"",(tbl_task10[53]/tbl_task10[[คะแนนเต็ม]:[คะแนนเต็ม]])*tbl_task10[[%]:[%]])</f>
        <v/>
      </c>
      <c r="HP17" s="121" t="str">
        <f>IF(ISBLANK(tbl_task10[[คะแนนเต็ม]:[คะแนนเต็ม]]),"",(tbl_task10[54]/tbl_task10[[คะแนนเต็ม]:[คะแนนเต็ม]])*tbl_task10[[%]:[%]])</f>
        <v/>
      </c>
      <c r="HQ17" s="121" t="str">
        <f>IF(ISBLANK(tbl_task10[[คะแนนเต็ม]:[คะแนนเต็ม]]),"",(tbl_task10[55]/tbl_task10[[คะแนนเต็ม]:[คะแนนเต็ม]])*tbl_task10[[%]:[%]])</f>
        <v/>
      </c>
      <c r="HR17" s="121" t="str">
        <f>IF(ISBLANK(tbl_task10[[คะแนนเต็ม]:[คะแนนเต็ม]]),"",(tbl_task10[56]/tbl_task10[[คะแนนเต็ม]:[คะแนนเต็ม]])*tbl_task10[[%]:[%]])</f>
        <v/>
      </c>
      <c r="HS17" s="121" t="str">
        <f>IF(ISBLANK(tbl_task10[[คะแนนเต็ม]:[คะแนนเต็ม]]),"",(tbl_task10[57]/tbl_task10[[คะแนนเต็ม]:[คะแนนเต็ม]])*tbl_task10[[%]:[%]])</f>
        <v/>
      </c>
      <c r="HT17" s="121" t="str">
        <f>IF(ISBLANK(tbl_task10[[คะแนนเต็ม]:[คะแนนเต็ม]]),"",(tbl_task10[58]/tbl_task10[[คะแนนเต็ม]:[คะแนนเต็ม]])*tbl_task10[[%]:[%]])</f>
        <v/>
      </c>
      <c r="HU17" s="121" t="str">
        <f>IF(ISBLANK(tbl_task10[[คะแนนเต็ม]:[คะแนนเต็ม]]),"",(tbl_task10[59]/tbl_task10[[คะแนนเต็ม]:[คะแนนเต็ม]])*tbl_task10[[%]:[%]])</f>
        <v/>
      </c>
      <c r="HV17" s="121" t="str">
        <f>IF(ISBLANK(tbl_task10[[คะแนนเต็ม]:[คะแนนเต็ม]]),"",(tbl_task10[60]/tbl_task10[[คะแนนเต็ม]:[คะแนนเต็ม]])*tbl_task10[[%]:[%]])</f>
        <v/>
      </c>
      <c r="HW17" s="121" t="str">
        <f>IF(ISBLANK(tbl_task10[[คะแนนเต็ม]:[คะแนนเต็ม]]),"",(tbl_task10[61]/tbl_task10[[คะแนนเต็ม]:[คะแนนเต็ม]])*tbl_task10[[%]:[%]])</f>
        <v/>
      </c>
      <c r="HX17" s="121" t="str">
        <f>IF(ISBLANK(tbl_task10[[คะแนนเต็ม]:[คะแนนเต็ม]]),"",(tbl_task10[62]/tbl_task10[[คะแนนเต็ม]:[คะแนนเต็ม]])*tbl_task10[[%]:[%]])</f>
        <v/>
      </c>
      <c r="HY17" s="121" t="str">
        <f>IF(ISBLANK(tbl_task10[[คะแนนเต็ม]:[คะแนนเต็ม]]),"",(tbl_task10[63]/tbl_task10[[คะแนนเต็ม]:[คะแนนเต็ม]])*tbl_task10[[%]:[%]])</f>
        <v/>
      </c>
      <c r="HZ17" s="121" t="str">
        <f>IF(ISBLANK(tbl_task10[[คะแนนเต็ม]:[คะแนนเต็ม]]),"",(tbl_task10[64]/tbl_task10[[คะแนนเต็ม]:[คะแนนเต็ม]])*tbl_task10[[%]:[%]])</f>
        <v/>
      </c>
      <c r="IA17" s="121" t="str">
        <f>IF(ISBLANK(tbl_task10[[คะแนนเต็ม]:[คะแนนเต็ม]]),"",(tbl_task10[65]/tbl_task10[[คะแนนเต็ม]:[คะแนนเต็ม]])*tbl_task10[[%]:[%]])</f>
        <v/>
      </c>
      <c r="IB17" s="121" t="str">
        <f>IF(ISBLANK(tbl_task10[[คะแนนเต็ม]:[คะแนนเต็ม]]),"",(tbl_task10[66]/tbl_task10[[คะแนนเต็ม]:[คะแนนเต็ม]])*tbl_task10[[%]:[%]])</f>
        <v/>
      </c>
      <c r="IC17" s="121" t="str">
        <f>IF(ISBLANK(tbl_task10[[คะแนนเต็ม]:[คะแนนเต็ม]]),"",(tbl_task10[67]/tbl_task10[[คะแนนเต็ม]:[คะแนนเต็ม]])*tbl_task10[[%]:[%]])</f>
        <v/>
      </c>
      <c r="ID17" s="121" t="str">
        <f>IF(ISBLANK(tbl_task10[[คะแนนเต็ม]:[คะแนนเต็ม]]),"",(tbl_task10[68]/tbl_task10[[คะแนนเต็ม]:[คะแนนเต็ม]])*tbl_task10[[%]:[%]])</f>
        <v/>
      </c>
      <c r="IE17" s="121" t="str">
        <f>IF(ISBLANK(tbl_task10[[คะแนนเต็ม]:[คะแนนเต็ม]]),"",(tbl_task10[69]/tbl_task10[[คะแนนเต็ม]:[คะแนนเต็ม]])*tbl_task10[[%]:[%]])</f>
        <v/>
      </c>
      <c r="IF17" s="121" t="str">
        <f>IF(ISBLANK(tbl_task10[[คะแนนเต็ม]:[คะแนนเต็ม]]),"",(tbl_task10[70]/tbl_task10[[คะแนนเต็ม]:[คะแนนเต็ม]])*tbl_task10[[%]:[%]])</f>
        <v/>
      </c>
      <c r="IG17" s="121" t="str">
        <f>IF(ISBLANK(tbl_task10[[คะแนนเต็ม]:[คะแนนเต็ม]]),"",(tbl_task10[71]/tbl_task10[[คะแนนเต็ม]:[คะแนนเต็ม]])*tbl_task10[[%]:[%]])</f>
        <v/>
      </c>
      <c r="IH17" s="121" t="str">
        <f>IF(ISBLANK(tbl_task10[[คะแนนเต็ม]:[คะแนนเต็ม]]),"",(tbl_task10[72]/tbl_task10[[คะแนนเต็ม]:[คะแนนเต็ม]])*tbl_task10[[%]:[%]])</f>
        <v/>
      </c>
      <c r="II17" s="121" t="str">
        <f>IF(ISBLANK(tbl_task10[[คะแนนเต็ม]:[คะแนนเต็ม]]),"",(tbl_task10[73]/tbl_task10[[คะแนนเต็ม]:[คะแนนเต็ม]])*tbl_task10[[%]:[%]])</f>
        <v/>
      </c>
      <c r="IJ17" s="121" t="str">
        <f>IF(ISBLANK(tbl_task10[[คะแนนเต็ม]:[คะแนนเต็ม]]),"",(tbl_task10[74]/tbl_task10[[คะแนนเต็ม]:[คะแนนเต็ม]])*tbl_task10[[%]:[%]])</f>
        <v/>
      </c>
      <c r="IK17" s="121" t="str">
        <f>IF(ISBLANK(tbl_task10[[คะแนนเต็ม]:[คะแนนเต็ม]]),"",(tbl_task10[75]/tbl_task10[[คะแนนเต็ม]:[คะแนนเต็ม]])*tbl_task10[[%]:[%]])</f>
        <v/>
      </c>
      <c r="IL17" s="121" t="str">
        <f>IF(ISBLANK(tbl_task10[[คะแนนเต็ม]:[คะแนนเต็ม]]),"",(tbl_task10[76]/tbl_task10[[คะแนนเต็ม]:[คะแนนเต็ม]])*tbl_task10[[%]:[%]])</f>
        <v/>
      </c>
      <c r="IM17" s="121" t="str">
        <f>IF(ISBLANK(tbl_task10[[คะแนนเต็ม]:[คะแนนเต็ม]]),"",(tbl_task10[77]/tbl_task10[[คะแนนเต็ม]:[คะแนนเต็ม]])*tbl_task10[[%]:[%]])</f>
        <v/>
      </c>
      <c r="IN17" s="121" t="str">
        <f>IF(ISBLANK(tbl_task10[[คะแนนเต็ม]:[คะแนนเต็ม]]),"",(tbl_task10[78]/tbl_task10[[คะแนนเต็ม]:[คะแนนเต็ม]])*tbl_task10[[%]:[%]])</f>
        <v/>
      </c>
      <c r="IO17" s="121" t="str">
        <f>IF(ISBLANK(tbl_task10[[คะแนนเต็ม]:[คะแนนเต็ม]]),"",(tbl_task10[79]/tbl_task10[[คะแนนเต็ม]:[คะแนนเต็ม]])*tbl_task10[[%]:[%]])</f>
        <v/>
      </c>
      <c r="IP17" s="121" t="str">
        <f>IF(ISBLANK(tbl_task10[[คะแนนเต็ม]:[คะแนนเต็ม]]),"",(tbl_task10[80]/tbl_task10[[คะแนนเต็ม]:[คะแนนเต็ม]])*tbl_task10[[%]:[%]])</f>
        <v/>
      </c>
      <c r="IQ17" s="121" t="str">
        <f>IF(ISBLANK(tbl_task10[[คะแนนเต็ม]:[คะแนนเต็ม]]),"",(tbl_task10[81]/tbl_task10[[คะแนนเต็ม]:[คะแนนเต็ม]])*tbl_task10[[%]:[%]])</f>
        <v/>
      </c>
      <c r="IR17" s="121" t="str">
        <f>IF(ISBLANK(tbl_task10[[คะแนนเต็ม]:[คะแนนเต็ม]]),"",(tbl_task10[82]/tbl_task10[[คะแนนเต็ม]:[คะแนนเต็ม]])*tbl_task10[[%]:[%]])</f>
        <v/>
      </c>
      <c r="IS17" s="121" t="str">
        <f>IF(ISBLANK(tbl_task10[[คะแนนเต็ม]:[คะแนนเต็ม]]),"",(tbl_task10[83]/tbl_task10[[คะแนนเต็ม]:[คะแนนเต็ม]])*tbl_task10[[%]:[%]])</f>
        <v/>
      </c>
      <c r="IT17" s="121" t="str">
        <f>IF(ISBLANK(tbl_task10[[คะแนนเต็ม]:[คะแนนเต็ม]]),"",(tbl_task10[84]/tbl_task10[[คะแนนเต็ม]:[คะแนนเต็ม]])*tbl_task10[[%]:[%]])</f>
        <v/>
      </c>
      <c r="IU17" s="121" t="str">
        <f>IF(ISBLANK(tbl_task10[[คะแนนเต็ม]:[คะแนนเต็ม]]),"",(tbl_task10[85]/tbl_task10[[คะแนนเต็ม]:[คะแนนเต็ม]])*tbl_task10[[%]:[%]])</f>
        <v/>
      </c>
      <c r="IV17" s="121" t="str">
        <f>IF(ISBLANK(tbl_task10[[คะแนนเต็ม]:[คะแนนเต็ม]]),"",(tbl_task10[86]/tbl_task10[[คะแนนเต็ม]:[คะแนนเต็ม]])*tbl_task10[[%]:[%]])</f>
        <v/>
      </c>
      <c r="IW17" s="121" t="str">
        <f>IF(ISBLANK(tbl_task10[[คะแนนเต็ม]:[คะแนนเต็ม]]),"",(tbl_task10[87]/tbl_task10[[คะแนนเต็ม]:[คะแนนเต็ม]])*tbl_task10[[%]:[%]])</f>
        <v/>
      </c>
      <c r="IX17" s="121" t="str">
        <f>IF(ISBLANK(tbl_task10[[คะแนนเต็ม]:[คะแนนเต็ม]]),"",(tbl_task10[88]/tbl_task10[[คะแนนเต็ม]:[คะแนนเต็ม]])*tbl_task10[[%]:[%]])</f>
        <v/>
      </c>
      <c r="IY17" s="121" t="str">
        <f>IF(ISBLANK(tbl_task10[[คะแนนเต็ม]:[คะแนนเต็ม]]),"",(tbl_task10[89]/tbl_task10[[คะแนนเต็ม]:[คะแนนเต็ม]])*tbl_task10[[%]:[%]])</f>
        <v/>
      </c>
      <c r="IZ17" s="121" t="str">
        <f>IF(ISBLANK(tbl_task10[[คะแนนเต็ม]:[คะแนนเต็ม]]),"",(tbl_task10[90]/tbl_task10[[คะแนนเต็ม]:[คะแนนเต็ม]])*tbl_task10[[%]:[%]])</f>
        <v/>
      </c>
      <c r="JA17" s="121" t="str">
        <f>IF(ISBLANK(tbl_task10[[คะแนนเต็ม]:[คะแนนเต็ม]]),"",(tbl_task10[91]/tbl_task10[[คะแนนเต็ม]:[คะแนนเต็ม]])*tbl_task10[[%]:[%]])</f>
        <v/>
      </c>
      <c r="JB17" s="121" t="str">
        <f>IF(ISBLANK(tbl_task10[[คะแนนเต็ม]:[คะแนนเต็ม]]),"",(tbl_task10[92]/tbl_task10[[คะแนนเต็ม]:[คะแนนเต็ม]])*tbl_task10[[%]:[%]])</f>
        <v/>
      </c>
      <c r="JC17" s="121" t="str">
        <f>IF(ISBLANK(tbl_task10[[คะแนนเต็ม]:[คะแนนเต็ม]]),"",(tbl_task10[93]/tbl_task10[[คะแนนเต็ม]:[คะแนนเต็ม]])*tbl_task10[[%]:[%]])</f>
        <v/>
      </c>
      <c r="JD17" s="121" t="str">
        <f>IF(ISBLANK(tbl_task10[[คะแนนเต็ม]:[คะแนนเต็ม]]),"",(tbl_task10[94]/tbl_task10[[คะแนนเต็ม]:[คะแนนเต็ม]])*tbl_task10[[%]:[%]])</f>
        <v/>
      </c>
      <c r="JE17" s="121" t="str">
        <f>IF(ISBLANK(tbl_task10[[คะแนนเต็ม]:[คะแนนเต็ม]]),"",(tbl_task10[95]/tbl_task10[[คะแนนเต็ม]:[คะแนนเต็ม]])*tbl_task10[[%]:[%]])</f>
        <v/>
      </c>
      <c r="JF17" s="121" t="str">
        <f>IF(ISBLANK(tbl_task10[[คะแนนเต็ม]:[คะแนนเต็ม]]),"",(tbl_task10[96]/tbl_task10[[คะแนนเต็ม]:[คะแนนเต็ม]])*tbl_task10[[%]:[%]])</f>
        <v/>
      </c>
      <c r="JG17" s="121" t="str">
        <f>IF(ISBLANK(tbl_task10[[คะแนนเต็ม]:[คะแนนเต็ม]]),"",(tbl_task10[97]/tbl_task10[[คะแนนเต็ม]:[คะแนนเต็ม]])*tbl_task10[[%]:[%]])</f>
        <v/>
      </c>
      <c r="JH17" s="121" t="str">
        <f>IF(ISBLANK(tbl_task10[[คะแนนเต็ม]:[คะแนนเต็ม]]),"",(tbl_task10[98]/tbl_task10[[คะแนนเต็ม]:[คะแนนเต็ม]])*tbl_task10[[%]:[%]])</f>
        <v/>
      </c>
      <c r="JI17" s="121" t="str">
        <f>IF(ISBLANK(tbl_task10[[คะแนนเต็ม]:[คะแนนเต็ม]]),"",(tbl_task10[99]/tbl_task10[[คะแนนเต็ม]:[คะแนนเต็ม]])*tbl_task10[[%]:[%]])</f>
        <v/>
      </c>
      <c r="JJ17" s="121" t="str">
        <f>IF(ISBLANK(tbl_task10[[คะแนนเต็ม]:[คะแนนเต็ม]]),"",(tbl_task10[100]/tbl_task10[[คะแนนเต็ม]:[คะแนนเต็ม]])*tbl_task10[[%]:[%]])</f>
        <v/>
      </c>
      <c r="JK17" s="121" t="str">
        <f>IF(ISBLANK(tbl_task10[[คะแนนเต็ม]:[คะแนนเต็ม]]),"",(tbl_task10[101]/tbl_task10[[คะแนนเต็ม]:[คะแนนเต็ม]])*tbl_task10[[%]:[%]])</f>
        <v/>
      </c>
      <c r="JL17" s="121" t="str">
        <f>IF(ISBLANK(tbl_task10[[คะแนนเต็ม]:[คะแนนเต็ม]]),"",(tbl_task10[102]/tbl_task10[[คะแนนเต็ม]:[คะแนนเต็ม]])*tbl_task10[[%]:[%]])</f>
        <v/>
      </c>
      <c r="JM17" s="121" t="str">
        <f>IF(ISBLANK(tbl_task10[[คะแนนเต็ม]:[คะแนนเต็ม]]),"",(tbl_task10[103]/tbl_task10[[คะแนนเต็ม]:[คะแนนเต็ม]])*tbl_task10[[%]:[%]])</f>
        <v/>
      </c>
      <c r="JN17" s="121" t="str">
        <f>IF(ISBLANK(tbl_task10[[คะแนนเต็ม]:[คะแนนเต็ม]]),"",(tbl_task10[104]/tbl_task10[[คะแนนเต็ม]:[คะแนนเต็ม]])*tbl_task10[[%]:[%]])</f>
        <v/>
      </c>
      <c r="JO17" s="121" t="str">
        <f>IF(ISBLANK(tbl_task10[[คะแนนเต็ม]:[คะแนนเต็ม]]),"",(tbl_task10[105]/tbl_task10[[คะแนนเต็ม]:[คะแนนเต็ม]])*tbl_task10[[%]:[%]])</f>
        <v/>
      </c>
      <c r="JP17" s="121" t="str">
        <f>IF(ISBLANK(tbl_task10[[คะแนนเต็ม]:[คะแนนเต็ม]]),"",(tbl_task10[106]/tbl_task10[[คะแนนเต็ม]:[คะแนนเต็ม]])*tbl_task10[[%]:[%]])</f>
        <v/>
      </c>
      <c r="JQ17" s="121" t="str">
        <f>IF(ISBLANK(tbl_task10[[คะแนนเต็ม]:[คะแนนเต็ม]]),"",(tbl_task10[107]/tbl_task10[[คะแนนเต็ม]:[คะแนนเต็ม]])*tbl_task10[[%]:[%]])</f>
        <v/>
      </c>
      <c r="JR17" s="121" t="str">
        <f>IF(ISBLANK(tbl_task10[[คะแนนเต็ม]:[คะแนนเต็ม]]),"",(tbl_task10[108]/tbl_task10[[คะแนนเต็ม]:[คะแนนเต็ม]])*tbl_task10[[%]:[%]])</f>
        <v/>
      </c>
      <c r="JS17" s="121" t="str">
        <f>IF(ISBLANK(tbl_task10[[คะแนนเต็ม]:[คะแนนเต็ม]]),"",(tbl_task10[109]/tbl_task10[[คะแนนเต็ม]:[คะแนนเต็ม]])*tbl_task10[[%]:[%]])</f>
        <v/>
      </c>
      <c r="JT17" s="121" t="str">
        <f>IF(ISBLANK(tbl_task10[[คะแนนเต็ม]:[คะแนนเต็ม]]),"",(tbl_task10[110]/tbl_task10[[คะแนนเต็ม]:[คะแนนเต็ม]])*tbl_task10[[%]:[%]])</f>
        <v/>
      </c>
      <c r="JU17" s="121" t="str">
        <f>IF(ISBLANK(tbl_task10[[คะแนนเต็ม]:[คะแนนเต็ม]]),"",(tbl_task10[111]/tbl_task10[[คะแนนเต็ม]:[คะแนนเต็ม]])*tbl_task10[[%]:[%]])</f>
        <v/>
      </c>
      <c r="JV17" s="121" t="str">
        <f>IF(ISBLANK(tbl_task10[[คะแนนเต็ม]:[คะแนนเต็ม]]),"",(tbl_task10[112]/tbl_task10[[คะแนนเต็ม]:[คะแนนเต็ม]])*tbl_task10[[%]:[%]])</f>
        <v/>
      </c>
      <c r="JW17" s="121" t="str">
        <f>IF(ISBLANK(tbl_task10[[คะแนนเต็ม]:[คะแนนเต็ม]]),"",(tbl_task10[113]/tbl_task10[[คะแนนเต็ม]:[คะแนนเต็ม]])*tbl_task10[[%]:[%]])</f>
        <v/>
      </c>
      <c r="JX17" s="121" t="str">
        <f>IF(ISBLANK(tbl_task10[[คะแนนเต็ม]:[คะแนนเต็ม]]),"",(tbl_task10[114]/tbl_task10[[คะแนนเต็ม]:[คะแนนเต็ม]])*tbl_task10[[%]:[%]])</f>
        <v/>
      </c>
      <c r="JY17" s="121" t="str">
        <f>IF(ISBLANK(tbl_task10[[คะแนนเต็ม]:[คะแนนเต็ม]]),"",(tbl_task10[115]/tbl_task10[[คะแนนเต็ม]:[คะแนนเต็ม]])*tbl_task10[[%]:[%]])</f>
        <v/>
      </c>
      <c r="JZ17" s="121" t="str">
        <f>IF(ISBLANK(tbl_task10[[คะแนนเต็ม]:[คะแนนเต็ม]]),"",(tbl_task10[116]/tbl_task10[[คะแนนเต็ม]:[คะแนนเต็ม]])*tbl_task10[[%]:[%]])</f>
        <v/>
      </c>
      <c r="KA17" s="121" t="str">
        <f>IF(ISBLANK(tbl_task10[[คะแนนเต็ม]:[คะแนนเต็ม]]),"",(tbl_task10[117]/tbl_task10[[คะแนนเต็ม]:[คะแนนเต็ม]])*tbl_task10[[%]:[%]])</f>
        <v/>
      </c>
      <c r="KB17" s="121" t="str">
        <f>IF(ISBLANK(tbl_task10[[คะแนนเต็ม]:[คะแนนเต็ม]]),"",(tbl_task10[118]/tbl_task10[[คะแนนเต็ม]:[คะแนนเต็ม]])*tbl_task10[[%]:[%]])</f>
        <v/>
      </c>
      <c r="KC17" s="121" t="str">
        <f>IF(ISBLANK(tbl_task10[[คะแนนเต็ม]:[คะแนนเต็ม]]),"",(tbl_task10[119]/tbl_task10[[คะแนนเต็ม]:[คะแนนเต็ม]])*tbl_task10[[%]:[%]])</f>
        <v/>
      </c>
      <c r="KD17" s="121" t="str">
        <f>IF(ISBLANK(tbl_task10[[คะแนนเต็ม]:[คะแนนเต็ม]]),"",(tbl_task10[120]/tbl_task10[[คะแนนเต็ม]:[คะแนนเต็ม]])*tbl_task10[[%]:[%]])</f>
        <v/>
      </c>
      <c r="KE17" s="121" t="str">
        <f>IF(ISBLANK(tbl_task10[[คะแนนเต็ม]:[คะแนนเต็ม]]),"",(tbl_task10[121]/tbl_task10[[คะแนนเต็ม]:[คะแนนเต็ม]])*tbl_task10[[%]:[%]])</f>
        <v/>
      </c>
      <c r="KF17" s="121" t="str">
        <f>IF(ISBLANK(tbl_task10[[คะแนนเต็ม]:[คะแนนเต็ม]]),"",(tbl_task10[122]/tbl_task10[[คะแนนเต็ม]:[คะแนนเต็ม]])*tbl_task10[[%]:[%]])</f>
        <v/>
      </c>
      <c r="KG17" s="121" t="str">
        <f>IF(ISBLANK(tbl_task10[[คะแนนเต็ม]:[คะแนนเต็ม]]),"",(tbl_task10[123]/tbl_task10[[คะแนนเต็ม]:[คะแนนเต็ม]])*tbl_task10[[%]:[%]])</f>
        <v/>
      </c>
      <c r="KH17" s="121" t="str">
        <f>IF(ISBLANK(tbl_task10[[คะแนนเต็ม]:[คะแนนเต็ม]]),"",(tbl_task10[124]/tbl_task10[[คะแนนเต็ม]:[คะแนนเต็ม]])*tbl_task10[[%]:[%]])</f>
        <v/>
      </c>
      <c r="KI17" s="121" t="str">
        <f>IF(ISBLANK(tbl_task10[[คะแนนเต็ม]:[คะแนนเต็ม]]),"",(tbl_task10[125]/tbl_task10[[คะแนนเต็ม]:[คะแนนเต็ม]])*tbl_task10[[%]:[%]])</f>
        <v/>
      </c>
      <c r="KJ17" s="121" t="str">
        <f>IF(ISBLANK(tbl_task10[[คะแนนเต็ม]:[คะแนนเต็ม]]),"",(tbl_task10[126]/tbl_task10[[คะแนนเต็ม]:[คะแนนเต็ม]])*tbl_task10[[%]:[%]])</f>
        <v/>
      </c>
      <c r="KK17" s="121" t="str">
        <f>IF(ISBLANK(tbl_task10[[คะแนนเต็ม]:[คะแนนเต็ม]]),"",(tbl_task10[127]/tbl_task10[[คะแนนเต็ม]:[คะแนนเต็ม]])*tbl_task10[[%]:[%]])</f>
        <v/>
      </c>
      <c r="KL17" s="121" t="str">
        <f>IF(ISBLANK(tbl_task10[[คะแนนเต็ม]:[คะแนนเต็ม]]),"",(tbl_task10[128]/tbl_task10[[คะแนนเต็ม]:[คะแนนเต็ม]])*tbl_task10[[%]:[%]])</f>
        <v/>
      </c>
      <c r="KM17" s="121" t="str">
        <f>IF(ISBLANK(tbl_task10[[คะแนนเต็ม]:[คะแนนเต็ม]]),"",(tbl_task10[129]/tbl_task10[[คะแนนเต็ม]:[คะแนนเต็ม]])*tbl_task10[[%]:[%]])</f>
        <v/>
      </c>
      <c r="KN17" s="121" t="str">
        <f>IF(ISBLANK(tbl_task10[[คะแนนเต็ม]:[คะแนนเต็ม]]),"",(tbl_task10[130]/tbl_task10[[คะแนนเต็ม]:[คะแนนเต็ม]])*tbl_task10[[%]:[%]])</f>
        <v/>
      </c>
      <c r="KO17" s="121" t="str">
        <f>IF(ISBLANK(tbl_task10[[คะแนนเต็ม]:[คะแนนเต็ม]]),"",(tbl_task10[131]/tbl_task10[[คะแนนเต็ม]:[คะแนนเต็ม]])*tbl_task10[[%]:[%]])</f>
        <v/>
      </c>
      <c r="KP17" s="121" t="str">
        <f>IF(ISBLANK(tbl_task10[[คะแนนเต็ม]:[คะแนนเต็ม]]),"",(tbl_task10[132]/tbl_task10[[คะแนนเต็ม]:[คะแนนเต็ม]])*tbl_task10[[%]:[%]])</f>
        <v/>
      </c>
      <c r="KQ17" s="121" t="str">
        <f>IF(ISBLANK(tbl_task10[[คะแนนเต็ม]:[คะแนนเต็ม]]),"",(tbl_task10[133]/tbl_task10[[คะแนนเต็ม]:[คะแนนเต็ม]])*tbl_task10[[%]:[%]])</f>
        <v/>
      </c>
      <c r="KR17" s="121" t="str">
        <f>IF(ISBLANK(tbl_task10[[คะแนนเต็ม]:[คะแนนเต็ม]]),"",(tbl_task10[134]/tbl_task10[[คะแนนเต็ม]:[คะแนนเต็ม]])*tbl_task10[[%]:[%]])</f>
        <v/>
      </c>
      <c r="KS17" s="121" t="str">
        <f>IF(ISBLANK(tbl_task10[[คะแนนเต็ม]:[คะแนนเต็ม]]),"",(tbl_task10[135]/tbl_task10[[คะแนนเต็ม]:[คะแนนเต็ม]])*tbl_task10[[%]:[%]])</f>
        <v/>
      </c>
      <c r="KT17" s="121" t="str">
        <f>IF(ISBLANK(tbl_task10[[คะแนนเต็ม]:[คะแนนเต็ม]]),"",(tbl_task10[136]/tbl_task10[[คะแนนเต็ม]:[คะแนนเต็ม]])*tbl_task10[[%]:[%]])</f>
        <v/>
      </c>
      <c r="KU17" s="121" t="str">
        <f>IF(ISBLANK(tbl_task10[[คะแนนเต็ม]:[คะแนนเต็ม]]),"",(tbl_task10[137]/tbl_task10[[คะแนนเต็ม]:[คะแนนเต็ม]])*tbl_task10[[%]:[%]])</f>
        <v/>
      </c>
      <c r="KV17" s="121" t="str">
        <f>IF(ISBLANK(tbl_task10[[คะแนนเต็ม]:[คะแนนเต็ม]]),"",(tbl_task10[138]/tbl_task10[[คะแนนเต็ม]:[คะแนนเต็ม]])*tbl_task10[[%]:[%]])</f>
        <v/>
      </c>
      <c r="KW17" s="121" t="str">
        <f>IF(ISBLANK(tbl_task10[[คะแนนเต็ม]:[คะแนนเต็ม]]),"",(tbl_task10[139]/tbl_task10[[คะแนนเต็ม]:[คะแนนเต็ม]])*tbl_task10[[%]:[%]])</f>
        <v/>
      </c>
      <c r="KX17" s="121" t="str">
        <f>IF(ISBLANK(tbl_task10[[คะแนนเต็ม]:[คะแนนเต็ม]]),"",(tbl_task10[140]/tbl_task10[[คะแนนเต็ม]:[คะแนนเต็ม]])*tbl_task10[[%]:[%]])</f>
        <v/>
      </c>
      <c r="KY17" s="121" t="str">
        <f>IF(ISBLANK(tbl_task10[[คะแนนเต็ม]:[คะแนนเต็ม]]),"",(tbl_task10[141]/tbl_task10[[คะแนนเต็ม]:[คะแนนเต็ม]])*tbl_task10[[%]:[%]])</f>
        <v/>
      </c>
      <c r="KZ17" s="121" t="str">
        <f>IF(ISBLANK(tbl_task10[[คะแนนเต็ม]:[คะแนนเต็ม]]),"",(tbl_task10[142]/tbl_task10[[คะแนนเต็ม]:[คะแนนเต็ม]])*tbl_task10[[%]:[%]])</f>
        <v/>
      </c>
      <c r="LA17" s="121" t="str">
        <f>IF(ISBLANK(tbl_task10[[คะแนนเต็ม]:[คะแนนเต็ม]]),"",(tbl_task10[143]/tbl_task10[[คะแนนเต็ม]:[คะแนนเต็ม]])*tbl_task10[[%]:[%]])</f>
        <v/>
      </c>
      <c r="LB17" s="121" t="str">
        <f>IF(ISBLANK(tbl_task10[[คะแนนเต็ม]:[คะแนนเต็ม]]),"",(tbl_task10[144]/tbl_task10[[คะแนนเต็ม]:[คะแนนเต็ม]])*tbl_task10[[%]:[%]])</f>
        <v/>
      </c>
      <c r="LC17" s="121" t="str">
        <f>IF(ISBLANK(tbl_task10[[คะแนนเต็ม]:[คะแนนเต็ม]]),"",(tbl_task10[145]/tbl_task10[[คะแนนเต็ม]:[คะแนนเต็ม]])*tbl_task10[[%]:[%]])</f>
        <v/>
      </c>
      <c r="LD17" s="121" t="str">
        <f>IF(ISBLANK(tbl_task10[[คะแนนเต็ม]:[คะแนนเต็ม]]),"",(tbl_task10[146]/tbl_task10[[คะแนนเต็ม]:[คะแนนเต็ม]])*tbl_task10[[%]:[%]])</f>
        <v/>
      </c>
      <c r="LE17" s="121" t="str">
        <f>IF(ISBLANK(tbl_task10[[คะแนนเต็ม]:[คะแนนเต็ม]]),"",(tbl_task10[147]/tbl_task10[[คะแนนเต็ม]:[คะแนนเต็ม]])*tbl_task10[[%]:[%]])</f>
        <v/>
      </c>
      <c r="LF17" s="121" t="str">
        <f>IF(ISBLANK(tbl_task10[[คะแนนเต็ม]:[คะแนนเต็ม]]),"",(tbl_task10[148]/tbl_task10[[คะแนนเต็ม]:[คะแนนเต็ม]])*tbl_task10[[%]:[%]])</f>
        <v/>
      </c>
      <c r="LG17" s="121" t="str">
        <f>IF(ISBLANK(tbl_task10[[คะแนนเต็ม]:[คะแนนเต็ม]]),"",(tbl_task10[149]/tbl_task10[[คะแนนเต็ม]:[คะแนนเต็ม]])*tbl_task10[[%]:[%]])</f>
        <v/>
      </c>
      <c r="LH17" s="121" t="str">
        <f>IF(ISBLANK(tbl_task10[[คะแนนเต็ม]:[คะแนนเต็ม]]),"",(tbl_task10[150]/tbl_task10[[คะแนนเต็ม]:[คะแนนเต็ม]])*tbl_task10[[%]:[%]])</f>
        <v/>
      </c>
      <c r="LI17" s="121" t="str">
        <f>IF(ISBLANK(tbl_task10[[คะแนนเต็ม]:[คะแนนเต็ม]]),"",(tbl_task10[151]/tbl_task10[[คะแนนเต็ม]:[คะแนนเต็ม]])*tbl_task10[[%]:[%]])</f>
        <v/>
      </c>
      <c r="LJ17" s="121" t="str">
        <f>IF(ISBLANK(tbl_task10[[คะแนนเต็ม]:[คะแนนเต็ม]]),"",(tbl_task10[152]/tbl_task10[[คะแนนเต็ม]:[คะแนนเต็ม]])*tbl_task10[[%]:[%]])</f>
        <v/>
      </c>
      <c r="LK17" s="121" t="str">
        <f>IF(ISBLANK(tbl_task10[[คะแนนเต็ม]:[คะแนนเต็ม]]),"",(tbl_task10[153]/tbl_task10[[คะแนนเต็ม]:[คะแนนเต็ม]])*tbl_task10[[%]:[%]])</f>
        <v/>
      </c>
      <c r="LL17" s="121" t="str">
        <f>IF(ISBLANK(tbl_task10[[คะแนนเต็ม]:[คะแนนเต็ม]]),"",(tbl_task10[154]/tbl_task10[[คะแนนเต็ม]:[คะแนนเต็ม]])*tbl_task10[[%]:[%]])</f>
        <v/>
      </c>
      <c r="LM17" s="121" t="str">
        <f>IF(ISBLANK(tbl_task10[[คะแนนเต็ม]:[คะแนนเต็ม]]),"",(tbl_task10[155]/tbl_task10[[คะแนนเต็ม]:[คะแนนเต็ม]])*tbl_task10[[%]:[%]])</f>
        <v/>
      </c>
      <c r="LN17" s="121" t="str">
        <f>IF(ISBLANK(tbl_task10[[คะแนนเต็ม]:[คะแนนเต็ม]]),"",(tbl_task10[156]/tbl_task10[[คะแนนเต็ม]:[คะแนนเต็ม]])*tbl_task10[[%]:[%]])</f>
        <v/>
      </c>
      <c r="LO17" s="121" t="str">
        <f>IF(ISBLANK(tbl_task10[[คะแนนเต็ม]:[คะแนนเต็ม]]),"",(tbl_task10[157]/tbl_task10[[คะแนนเต็ม]:[คะแนนเต็ม]])*tbl_task10[[%]:[%]])</f>
        <v/>
      </c>
      <c r="LP17" s="121" t="str">
        <f>IF(ISBLANK(tbl_task10[[คะแนนเต็ม]:[คะแนนเต็ม]]),"",(tbl_task10[158]/tbl_task10[[คะแนนเต็ม]:[คะแนนเต็ม]])*tbl_task10[[%]:[%]])</f>
        <v/>
      </c>
      <c r="LQ17" s="121" t="str">
        <f>IF(ISBLANK(tbl_task10[[คะแนนเต็ม]:[คะแนนเต็ม]]),"",(tbl_task10[159]/tbl_task10[[คะแนนเต็ม]:[คะแนนเต็ม]])*tbl_task10[[%]:[%]])</f>
        <v/>
      </c>
      <c r="LR17" s="121" t="str">
        <f>IF(ISBLANK(tbl_task10[[คะแนนเต็ม]:[คะแนนเต็ม]]),"",(tbl_task10[160]/tbl_task10[[คะแนนเต็ม]:[คะแนนเต็ม]])*tbl_task10[[%]:[%]])</f>
        <v/>
      </c>
      <c r="LS17" s="121" t="str">
        <f>IF(ISBLANK(tbl_task10[[คะแนนเต็ม]:[คะแนนเต็ม]]),"",(tbl_task10[161]/tbl_task10[[คะแนนเต็ม]:[คะแนนเต็ม]])*tbl_task10[[%]:[%]])</f>
        <v/>
      </c>
      <c r="LT17" s="121" t="str">
        <f>IF(ISBLANK(tbl_task10[[คะแนนเต็ม]:[คะแนนเต็ม]]),"",(tbl_task10[162]/tbl_task10[[คะแนนเต็ม]:[คะแนนเต็ม]])*tbl_task10[[%]:[%]])</f>
        <v/>
      </c>
      <c r="LU17" s="121" t="str">
        <f>IF(ISBLANK(tbl_task10[[คะแนนเต็ม]:[คะแนนเต็ม]]),"",(tbl_task10[163]/tbl_task10[[คะแนนเต็ม]:[คะแนนเต็ม]])*tbl_task10[[%]:[%]])</f>
        <v/>
      </c>
      <c r="LV17" s="121" t="str">
        <f>IF(ISBLANK(tbl_task10[[คะแนนเต็ม]:[คะแนนเต็ม]]),"",(tbl_task10[164]/tbl_task10[[คะแนนเต็ม]:[คะแนนเต็ม]])*tbl_task10[[%]:[%]])</f>
        <v/>
      </c>
      <c r="LW17" s="121" t="str">
        <f>IF(ISBLANK(tbl_task10[[คะแนนเต็ม]:[คะแนนเต็ม]]),"",(tbl_task10[165]/tbl_task10[[คะแนนเต็ม]:[คะแนนเต็ม]])*tbl_task10[[%]:[%]])</f>
        <v/>
      </c>
    </row>
    <row r="18" spans="1:335" ht="24" customHeight="1" x14ac:dyDescent="0.25">
      <c r="A18" s="24">
        <v>15</v>
      </c>
      <c r="B18" s="20"/>
      <c r="C18" s="5" t="str">
        <f>IF(ISBLANK(B18),"",VLOOKUP(B18,tbl_PLOs[],2,0))</f>
        <v/>
      </c>
      <c r="D18" s="102"/>
      <c r="E18" s="106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121" t="str">
        <f>IF(ISBLANK(tbl_task10[[คะแนนเต็ม]:[คะแนนเต็ม]]),"",(tbl_task10[1]/tbl_task10[[คะแนนเต็ม]:[คะแนนเต็ม]])*tbl_task10[[%]:[%]])</f>
        <v/>
      </c>
      <c r="FP18" s="121" t="str">
        <f>IF(ISBLANK(tbl_task10[[คะแนนเต็ม]:[คะแนนเต็ม]]),"",(tbl_task10[2]/tbl_task10[[คะแนนเต็ม]:[คะแนนเต็ม]])*tbl_task10[[%]:[%]])</f>
        <v/>
      </c>
      <c r="FQ18" s="121" t="str">
        <f>IF(ISBLANK(tbl_task10[[คะแนนเต็ม]:[คะแนนเต็ม]]),"",(tbl_task10[3]/tbl_task10[[คะแนนเต็ม]:[คะแนนเต็ม]])*tbl_task10[[%]:[%]])</f>
        <v/>
      </c>
      <c r="FR18" s="121" t="str">
        <f>IF(ISBLANK(tbl_task10[[คะแนนเต็ม]:[คะแนนเต็ม]]),"",(tbl_task10[4]/tbl_task10[[คะแนนเต็ม]:[คะแนนเต็ม]])*tbl_task10[[%]:[%]])</f>
        <v/>
      </c>
      <c r="FS18" s="121" t="str">
        <f>IF(ISBLANK(tbl_task10[[คะแนนเต็ม]:[คะแนนเต็ม]]),"",(tbl_task10[5]/tbl_task10[[คะแนนเต็ม]:[คะแนนเต็ม]])*tbl_task10[[%]:[%]])</f>
        <v/>
      </c>
      <c r="FT18" s="121" t="str">
        <f>IF(ISBLANK(tbl_task10[[คะแนนเต็ม]:[คะแนนเต็ม]]),"",(tbl_task10[6]/tbl_task10[[คะแนนเต็ม]:[คะแนนเต็ม]])*tbl_task10[[%]:[%]])</f>
        <v/>
      </c>
      <c r="FU18" s="121" t="str">
        <f>IF(ISBLANK(tbl_task10[[คะแนนเต็ม]:[คะแนนเต็ม]]),"",(tbl_task10[7]/tbl_task10[[คะแนนเต็ม]:[คะแนนเต็ม]])*tbl_task10[[%]:[%]])</f>
        <v/>
      </c>
      <c r="FV18" s="121" t="str">
        <f>IF(ISBLANK(tbl_task10[[คะแนนเต็ม]:[คะแนนเต็ม]]),"",(tbl_task10[8]/tbl_task10[[คะแนนเต็ม]:[คะแนนเต็ม]])*tbl_task10[[%]:[%]])</f>
        <v/>
      </c>
      <c r="FW18" s="121" t="str">
        <f>IF(ISBLANK(tbl_task10[[คะแนนเต็ม]:[คะแนนเต็ม]]),"",(tbl_task10[9]/tbl_task10[[คะแนนเต็ม]:[คะแนนเต็ม]])*tbl_task10[[%]:[%]])</f>
        <v/>
      </c>
      <c r="FX18" s="121" t="str">
        <f>IF(ISBLANK(tbl_task10[[คะแนนเต็ม]:[คะแนนเต็ม]]),"",(tbl_task10[10]/tbl_task10[[คะแนนเต็ม]:[คะแนนเต็ม]])*tbl_task10[[%]:[%]])</f>
        <v/>
      </c>
      <c r="FY18" s="121" t="str">
        <f>IF(ISBLANK(tbl_task10[[คะแนนเต็ม]:[คะแนนเต็ม]]),"",(tbl_task10[11]/tbl_task10[[คะแนนเต็ม]:[คะแนนเต็ม]])*tbl_task10[[%]:[%]])</f>
        <v/>
      </c>
      <c r="FZ18" s="121" t="str">
        <f>IF(ISBLANK(tbl_task10[[คะแนนเต็ม]:[คะแนนเต็ม]]),"",(tbl_task10[12]/tbl_task10[[คะแนนเต็ม]:[คะแนนเต็ม]])*tbl_task10[[%]:[%]])</f>
        <v/>
      </c>
      <c r="GA18" s="121" t="str">
        <f>IF(ISBLANK(tbl_task10[[คะแนนเต็ม]:[คะแนนเต็ม]]),"",(tbl_task10[13]/tbl_task10[[คะแนนเต็ม]:[คะแนนเต็ม]])*tbl_task10[[%]:[%]])</f>
        <v/>
      </c>
      <c r="GB18" s="121" t="str">
        <f>IF(ISBLANK(tbl_task10[[คะแนนเต็ม]:[คะแนนเต็ม]]),"",(tbl_task10[14]/tbl_task10[[คะแนนเต็ม]:[คะแนนเต็ม]])*tbl_task10[[%]:[%]])</f>
        <v/>
      </c>
      <c r="GC18" s="121" t="str">
        <f>IF(ISBLANK(tbl_task10[[คะแนนเต็ม]:[คะแนนเต็ม]]),"",(tbl_task10[15]/tbl_task10[[คะแนนเต็ม]:[คะแนนเต็ม]])*tbl_task10[[%]:[%]])</f>
        <v/>
      </c>
      <c r="GD18" s="121" t="str">
        <f>IF(ISBLANK(tbl_task10[[คะแนนเต็ม]:[คะแนนเต็ม]]),"",(tbl_task10[16]/tbl_task10[[คะแนนเต็ม]:[คะแนนเต็ม]])*tbl_task10[[%]:[%]])</f>
        <v/>
      </c>
      <c r="GE18" s="121" t="str">
        <f>IF(ISBLANK(tbl_task10[[คะแนนเต็ม]:[คะแนนเต็ม]]),"",(tbl_task10[17]/tbl_task10[[คะแนนเต็ม]:[คะแนนเต็ม]])*tbl_task10[[%]:[%]])</f>
        <v/>
      </c>
      <c r="GF18" s="121" t="str">
        <f>IF(ISBLANK(tbl_task10[[คะแนนเต็ม]:[คะแนนเต็ม]]),"",(tbl_task10[18]/tbl_task10[[คะแนนเต็ม]:[คะแนนเต็ม]])*tbl_task10[[%]:[%]])</f>
        <v/>
      </c>
      <c r="GG18" s="121" t="str">
        <f>IF(ISBLANK(tbl_task10[[คะแนนเต็ม]:[คะแนนเต็ม]]),"",(tbl_task10[19]/tbl_task10[[คะแนนเต็ม]:[คะแนนเต็ม]])*tbl_task10[[%]:[%]])</f>
        <v/>
      </c>
      <c r="GH18" s="121" t="str">
        <f>IF(ISBLANK(tbl_task10[[คะแนนเต็ม]:[คะแนนเต็ม]]),"",(tbl_task10[20]/tbl_task10[[คะแนนเต็ม]:[คะแนนเต็ม]])*tbl_task10[[%]:[%]])</f>
        <v/>
      </c>
      <c r="GI18" s="121" t="str">
        <f>IF(ISBLANK(tbl_task10[[คะแนนเต็ม]:[คะแนนเต็ม]]),"",(tbl_task10[21]/tbl_task10[[คะแนนเต็ม]:[คะแนนเต็ม]])*tbl_task10[[%]:[%]])</f>
        <v/>
      </c>
      <c r="GJ18" s="121" t="str">
        <f>IF(ISBLANK(tbl_task10[[คะแนนเต็ม]:[คะแนนเต็ม]]),"",(tbl_task10[22]/tbl_task10[[คะแนนเต็ม]:[คะแนนเต็ม]])*tbl_task10[[%]:[%]])</f>
        <v/>
      </c>
      <c r="GK18" s="121" t="str">
        <f>IF(ISBLANK(tbl_task10[[คะแนนเต็ม]:[คะแนนเต็ม]]),"",(tbl_task10[23]/tbl_task10[[คะแนนเต็ม]:[คะแนนเต็ม]])*tbl_task10[[%]:[%]])</f>
        <v/>
      </c>
      <c r="GL18" s="121" t="str">
        <f>IF(ISBLANK(tbl_task10[[คะแนนเต็ม]:[คะแนนเต็ม]]),"",(tbl_task10[24]/tbl_task10[[คะแนนเต็ม]:[คะแนนเต็ม]])*tbl_task10[[%]:[%]])</f>
        <v/>
      </c>
      <c r="GM18" s="121" t="str">
        <f>IF(ISBLANK(tbl_task10[[คะแนนเต็ม]:[คะแนนเต็ม]]),"",(tbl_task10[25]/tbl_task10[[คะแนนเต็ม]:[คะแนนเต็ม]])*tbl_task10[[%]:[%]])</f>
        <v/>
      </c>
      <c r="GN18" s="121" t="str">
        <f>IF(ISBLANK(tbl_task10[[คะแนนเต็ม]:[คะแนนเต็ม]]),"",(tbl_task10[26]/tbl_task10[[คะแนนเต็ม]:[คะแนนเต็ม]])*tbl_task10[[%]:[%]])</f>
        <v/>
      </c>
      <c r="GO18" s="121" t="str">
        <f>IF(ISBLANK(tbl_task10[[คะแนนเต็ม]:[คะแนนเต็ม]]),"",(tbl_task10[27]/tbl_task10[[คะแนนเต็ม]:[คะแนนเต็ม]])*tbl_task10[[%]:[%]])</f>
        <v/>
      </c>
      <c r="GP18" s="121" t="str">
        <f>IF(ISBLANK(tbl_task10[[คะแนนเต็ม]:[คะแนนเต็ม]]),"",(tbl_task10[28]/tbl_task10[[คะแนนเต็ม]:[คะแนนเต็ม]])*tbl_task10[[%]:[%]])</f>
        <v/>
      </c>
      <c r="GQ18" s="121" t="str">
        <f>IF(ISBLANK(tbl_task10[[คะแนนเต็ม]:[คะแนนเต็ม]]),"",(tbl_task10[29]/tbl_task10[[คะแนนเต็ม]:[คะแนนเต็ม]])*tbl_task10[[%]:[%]])</f>
        <v/>
      </c>
      <c r="GR18" s="121" t="str">
        <f>IF(ISBLANK(tbl_task10[[คะแนนเต็ม]:[คะแนนเต็ม]]),"",(tbl_task10[30]/tbl_task10[[คะแนนเต็ม]:[คะแนนเต็ม]])*tbl_task10[[%]:[%]])</f>
        <v/>
      </c>
      <c r="GS18" s="121" t="str">
        <f>IF(ISBLANK(tbl_task10[[คะแนนเต็ม]:[คะแนนเต็ม]]),"",(tbl_task10[31]/tbl_task10[[คะแนนเต็ม]:[คะแนนเต็ม]])*tbl_task10[[%]:[%]])</f>
        <v/>
      </c>
      <c r="GT18" s="121" t="str">
        <f>IF(ISBLANK(tbl_task10[[คะแนนเต็ม]:[คะแนนเต็ม]]),"",(tbl_task10[32]/tbl_task10[[คะแนนเต็ม]:[คะแนนเต็ม]])*tbl_task10[[%]:[%]])</f>
        <v/>
      </c>
      <c r="GU18" s="121" t="str">
        <f>IF(ISBLANK(tbl_task10[[คะแนนเต็ม]:[คะแนนเต็ม]]),"",(tbl_task10[33]/tbl_task10[[คะแนนเต็ม]:[คะแนนเต็ม]])*tbl_task10[[%]:[%]])</f>
        <v/>
      </c>
      <c r="GV18" s="121" t="str">
        <f>IF(ISBLANK(tbl_task10[[คะแนนเต็ม]:[คะแนนเต็ม]]),"",(tbl_task10[34]/tbl_task10[[คะแนนเต็ม]:[คะแนนเต็ม]])*tbl_task10[[%]:[%]])</f>
        <v/>
      </c>
      <c r="GW18" s="121" t="str">
        <f>IF(ISBLANK(tbl_task10[[คะแนนเต็ม]:[คะแนนเต็ม]]),"",(tbl_task10[35]/tbl_task10[[คะแนนเต็ม]:[คะแนนเต็ม]])*tbl_task10[[%]:[%]])</f>
        <v/>
      </c>
      <c r="GX18" s="121" t="str">
        <f>IF(ISBLANK(tbl_task10[[คะแนนเต็ม]:[คะแนนเต็ม]]),"",(tbl_task10[36]/tbl_task10[[คะแนนเต็ม]:[คะแนนเต็ม]])*tbl_task10[[%]:[%]])</f>
        <v/>
      </c>
      <c r="GY18" s="121" t="str">
        <f>IF(ISBLANK(tbl_task10[[คะแนนเต็ม]:[คะแนนเต็ม]]),"",(tbl_task10[37]/tbl_task10[[คะแนนเต็ม]:[คะแนนเต็ม]])*tbl_task10[[%]:[%]])</f>
        <v/>
      </c>
      <c r="GZ18" s="121" t="str">
        <f>IF(ISBLANK(tbl_task10[[คะแนนเต็ม]:[คะแนนเต็ม]]),"",(tbl_task10[38]/tbl_task10[[คะแนนเต็ม]:[คะแนนเต็ม]])*tbl_task10[[%]:[%]])</f>
        <v/>
      </c>
      <c r="HA18" s="121" t="str">
        <f>IF(ISBLANK(tbl_task10[[คะแนนเต็ม]:[คะแนนเต็ม]]),"",(tbl_task10[39]/tbl_task10[[คะแนนเต็ม]:[คะแนนเต็ม]])*tbl_task10[[%]:[%]])</f>
        <v/>
      </c>
      <c r="HB18" s="121" t="str">
        <f>IF(ISBLANK(tbl_task10[[คะแนนเต็ม]:[คะแนนเต็ม]]),"",(tbl_task10[40]/tbl_task10[[คะแนนเต็ม]:[คะแนนเต็ม]])*tbl_task10[[%]:[%]])</f>
        <v/>
      </c>
      <c r="HC18" s="121" t="str">
        <f>IF(ISBLANK(tbl_task10[[คะแนนเต็ม]:[คะแนนเต็ม]]),"",(tbl_task10[41]/tbl_task10[[คะแนนเต็ม]:[คะแนนเต็ม]])*tbl_task10[[%]:[%]])</f>
        <v/>
      </c>
      <c r="HD18" s="121" t="str">
        <f>IF(ISBLANK(tbl_task10[[คะแนนเต็ม]:[คะแนนเต็ม]]),"",(tbl_task10[42]/tbl_task10[[คะแนนเต็ม]:[คะแนนเต็ม]])*tbl_task10[[%]:[%]])</f>
        <v/>
      </c>
      <c r="HE18" s="121" t="str">
        <f>IF(ISBLANK(tbl_task10[[คะแนนเต็ม]:[คะแนนเต็ม]]),"",(tbl_task10[43]/tbl_task10[[คะแนนเต็ม]:[คะแนนเต็ม]])*tbl_task10[[%]:[%]])</f>
        <v/>
      </c>
      <c r="HF18" s="121" t="str">
        <f>IF(ISBLANK(tbl_task10[[คะแนนเต็ม]:[คะแนนเต็ม]]),"",(tbl_task10[44]/tbl_task10[[คะแนนเต็ม]:[คะแนนเต็ม]])*tbl_task10[[%]:[%]])</f>
        <v/>
      </c>
      <c r="HG18" s="121" t="str">
        <f>IF(ISBLANK(tbl_task10[[คะแนนเต็ม]:[คะแนนเต็ม]]),"",(tbl_task10[45]/tbl_task10[[คะแนนเต็ม]:[คะแนนเต็ม]])*tbl_task10[[%]:[%]])</f>
        <v/>
      </c>
      <c r="HH18" s="121" t="str">
        <f>IF(ISBLANK(tbl_task10[[คะแนนเต็ม]:[คะแนนเต็ม]]),"",(tbl_task10[46]/tbl_task10[[คะแนนเต็ม]:[คะแนนเต็ม]])*tbl_task10[[%]:[%]])</f>
        <v/>
      </c>
      <c r="HI18" s="121" t="str">
        <f>IF(ISBLANK(tbl_task10[[คะแนนเต็ม]:[คะแนนเต็ม]]),"",(tbl_task10[47]/tbl_task10[[คะแนนเต็ม]:[คะแนนเต็ม]])*tbl_task10[[%]:[%]])</f>
        <v/>
      </c>
      <c r="HJ18" s="121" t="str">
        <f>IF(ISBLANK(tbl_task10[[คะแนนเต็ม]:[คะแนนเต็ม]]),"",(tbl_task10[48]/tbl_task10[[คะแนนเต็ม]:[คะแนนเต็ม]])*tbl_task10[[%]:[%]])</f>
        <v/>
      </c>
      <c r="HK18" s="121" t="str">
        <f>IF(ISBLANK(tbl_task10[[คะแนนเต็ม]:[คะแนนเต็ม]]),"",(tbl_task10[49]/tbl_task10[[คะแนนเต็ม]:[คะแนนเต็ม]])*tbl_task10[[%]:[%]])</f>
        <v/>
      </c>
      <c r="HL18" s="121" t="str">
        <f>IF(ISBLANK(tbl_task10[[คะแนนเต็ม]:[คะแนนเต็ม]]),"",(tbl_task10[50]/tbl_task10[[คะแนนเต็ม]:[คะแนนเต็ม]])*tbl_task10[[%]:[%]])</f>
        <v/>
      </c>
      <c r="HM18" s="121" t="str">
        <f>IF(ISBLANK(tbl_task10[[คะแนนเต็ม]:[คะแนนเต็ม]]),"",(tbl_task10[51]/tbl_task10[[คะแนนเต็ม]:[คะแนนเต็ม]])*tbl_task10[[%]:[%]])</f>
        <v/>
      </c>
      <c r="HN18" s="121" t="str">
        <f>IF(ISBLANK(tbl_task10[[คะแนนเต็ม]:[คะแนนเต็ม]]),"",(tbl_task10[52]/tbl_task10[[คะแนนเต็ม]:[คะแนนเต็ม]])*tbl_task10[[%]:[%]])</f>
        <v/>
      </c>
      <c r="HO18" s="121" t="str">
        <f>IF(ISBLANK(tbl_task10[[คะแนนเต็ม]:[คะแนนเต็ม]]),"",(tbl_task10[53]/tbl_task10[[คะแนนเต็ม]:[คะแนนเต็ม]])*tbl_task10[[%]:[%]])</f>
        <v/>
      </c>
      <c r="HP18" s="121" t="str">
        <f>IF(ISBLANK(tbl_task10[[คะแนนเต็ม]:[คะแนนเต็ม]]),"",(tbl_task10[54]/tbl_task10[[คะแนนเต็ม]:[คะแนนเต็ม]])*tbl_task10[[%]:[%]])</f>
        <v/>
      </c>
      <c r="HQ18" s="121" t="str">
        <f>IF(ISBLANK(tbl_task10[[คะแนนเต็ม]:[คะแนนเต็ม]]),"",(tbl_task10[55]/tbl_task10[[คะแนนเต็ม]:[คะแนนเต็ม]])*tbl_task10[[%]:[%]])</f>
        <v/>
      </c>
      <c r="HR18" s="121" t="str">
        <f>IF(ISBLANK(tbl_task10[[คะแนนเต็ม]:[คะแนนเต็ม]]),"",(tbl_task10[56]/tbl_task10[[คะแนนเต็ม]:[คะแนนเต็ม]])*tbl_task10[[%]:[%]])</f>
        <v/>
      </c>
      <c r="HS18" s="121" t="str">
        <f>IF(ISBLANK(tbl_task10[[คะแนนเต็ม]:[คะแนนเต็ม]]),"",(tbl_task10[57]/tbl_task10[[คะแนนเต็ม]:[คะแนนเต็ม]])*tbl_task10[[%]:[%]])</f>
        <v/>
      </c>
      <c r="HT18" s="121" t="str">
        <f>IF(ISBLANK(tbl_task10[[คะแนนเต็ม]:[คะแนนเต็ม]]),"",(tbl_task10[58]/tbl_task10[[คะแนนเต็ม]:[คะแนนเต็ม]])*tbl_task10[[%]:[%]])</f>
        <v/>
      </c>
      <c r="HU18" s="121" t="str">
        <f>IF(ISBLANK(tbl_task10[[คะแนนเต็ม]:[คะแนนเต็ม]]),"",(tbl_task10[59]/tbl_task10[[คะแนนเต็ม]:[คะแนนเต็ม]])*tbl_task10[[%]:[%]])</f>
        <v/>
      </c>
      <c r="HV18" s="121" t="str">
        <f>IF(ISBLANK(tbl_task10[[คะแนนเต็ม]:[คะแนนเต็ม]]),"",(tbl_task10[60]/tbl_task10[[คะแนนเต็ม]:[คะแนนเต็ม]])*tbl_task10[[%]:[%]])</f>
        <v/>
      </c>
      <c r="HW18" s="121" t="str">
        <f>IF(ISBLANK(tbl_task10[[คะแนนเต็ม]:[คะแนนเต็ม]]),"",(tbl_task10[61]/tbl_task10[[คะแนนเต็ม]:[คะแนนเต็ม]])*tbl_task10[[%]:[%]])</f>
        <v/>
      </c>
      <c r="HX18" s="121" t="str">
        <f>IF(ISBLANK(tbl_task10[[คะแนนเต็ม]:[คะแนนเต็ม]]),"",(tbl_task10[62]/tbl_task10[[คะแนนเต็ม]:[คะแนนเต็ม]])*tbl_task10[[%]:[%]])</f>
        <v/>
      </c>
      <c r="HY18" s="121" t="str">
        <f>IF(ISBLANK(tbl_task10[[คะแนนเต็ม]:[คะแนนเต็ม]]),"",(tbl_task10[63]/tbl_task10[[คะแนนเต็ม]:[คะแนนเต็ม]])*tbl_task10[[%]:[%]])</f>
        <v/>
      </c>
      <c r="HZ18" s="121" t="str">
        <f>IF(ISBLANK(tbl_task10[[คะแนนเต็ม]:[คะแนนเต็ม]]),"",(tbl_task10[64]/tbl_task10[[คะแนนเต็ม]:[คะแนนเต็ม]])*tbl_task10[[%]:[%]])</f>
        <v/>
      </c>
      <c r="IA18" s="121" t="str">
        <f>IF(ISBLANK(tbl_task10[[คะแนนเต็ม]:[คะแนนเต็ม]]),"",(tbl_task10[65]/tbl_task10[[คะแนนเต็ม]:[คะแนนเต็ม]])*tbl_task10[[%]:[%]])</f>
        <v/>
      </c>
      <c r="IB18" s="121" t="str">
        <f>IF(ISBLANK(tbl_task10[[คะแนนเต็ม]:[คะแนนเต็ม]]),"",(tbl_task10[66]/tbl_task10[[คะแนนเต็ม]:[คะแนนเต็ม]])*tbl_task10[[%]:[%]])</f>
        <v/>
      </c>
      <c r="IC18" s="121" t="str">
        <f>IF(ISBLANK(tbl_task10[[คะแนนเต็ม]:[คะแนนเต็ม]]),"",(tbl_task10[67]/tbl_task10[[คะแนนเต็ม]:[คะแนนเต็ม]])*tbl_task10[[%]:[%]])</f>
        <v/>
      </c>
      <c r="ID18" s="121" t="str">
        <f>IF(ISBLANK(tbl_task10[[คะแนนเต็ม]:[คะแนนเต็ม]]),"",(tbl_task10[68]/tbl_task10[[คะแนนเต็ม]:[คะแนนเต็ม]])*tbl_task10[[%]:[%]])</f>
        <v/>
      </c>
      <c r="IE18" s="121" t="str">
        <f>IF(ISBLANK(tbl_task10[[คะแนนเต็ม]:[คะแนนเต็ม]]),"",(tbl_task10[69]/tbl_task10[[คะแนนเต็ม]:[คะแนนเต็ม]])*tbl_task10[[%]:[%]])</f>
        <v/>
      </c>
      <c r="IF18" s="121" t="str">
        <f>IF(ISBLANK(tbl_task10[[คะแนนเต็ม]:[คะแนนเต็ม]]),"",(tbl_task10[70]/tbl_task10[[คะแนนเต็ม]:[คะแนนเต็ม]])*tbl_task10[[%]:[%]])</f>
        <v/>
      </c>
      <c r="IG18" s="121" t="str">
        <f>IF(ISBLANK(tbl_task10[[คะแนนเต็ม]:[คะแนนเต็ม]]),"",(tbl_task10[71]/tbl_task10[[คะแนนเต็ม]:[คะแนนเต็ม]])*tbl_task10[[%]:[%]])</f>
        <v/>
      </c>
      <c r="IH18" s="121" t="str">
        <f>IF(ISBLANK(tbl_task10[[คะแนนเต็ม]:[คะแนนเต็ม]]),"",(tbl_task10[72]/tbl_task10[[คะแนนเต็ม]:[คะแนนเต็ม]])*tbl_task10[[%]:[%]])</f>
        <v/>
      </c>
      <c r="II18" s="121" t="str">
        <f>IF(ISBLANK(tbl_task10[[คะแนนเต็ม]:[คะแนนเต็ม]]),"",(tbl_task10[73]/tbl_task10[[คะแนนเต็ม]:[คะแนนเต็ม]])*tbl_task10[[%]:[%]])</f>
        <v/>
      </c>
      <c r="IJ18" s="121" t="str">
        <f>IF(ISBLANK(tbl_task10[[คะแนนเต็ม]:[คะแนนเต็ม]]),"",(tbl_task10[74]/tbl_task10[[คะแนนเต็ม]:[คะแนนเต็ม]])*tbl_task10[[%]:[%]])</f>
        <v/>
      </c>
      <c r="IK18" s="121" t="str">
        <f>IF(ISBLANK(tbl_task10[[คะแนนเต็ม]:[คะแนนเต็ม]]),"",(tbl_task10[75]/tbl_task10[[คะแนนเต็ม]:[คะแนนเต็ม]])*tbl_task10[[%]:[%]])</f>
        <v/>
      </c>
      <c r="IL18" s="121" t="str">
        <f>IF(ISBLANK(tbl_task10[[คะแนนเต็ม]:[คะแนนเต็ม]]),"",(tbl_task10[76]/tbl_task10[[คะแนนเต็ม]:[คะแนนเต็ม]])*tbl_task10[[%]:[%]])</f>
        <v/>
      </c>
      <c r="IM18" s="121" t="str">
        <f>IF(ISBLANK(tbl_task10[[คะแนนเต็ม]:[คะแนนเต็ม]]),"",(tbl_task10[77]/tbl_task10[[คะแนนเต็ม]:[คะแนนเต็ม]])*tbl_task10[[%]:[%]])</f>
        <v/>
      </c>
      <c r="IN18" s="121" t="str">
        <f>IF(ISBLANK(tbl_task10[[คะแนนเต็ม]:[คะแนนเต็ม]]),"",(tbl_task10[78]/tbl_task10[[คะแนนเต็ม]:[คะแนนเต็ม]])*tbl_task10[[%]:[%]])</f>
        <v/>
      </c>
      <c r="IO18" s="121" t="str">
        <f>IF(ISBLANK(tbl_task10[[คะแนนเต็ม]:[คะแนนเต็ม]]),"",(tbl_task10[79]/tbl_task10[[คะแนนเต็ม]:[คะแนนเต็ม]])*tbl_task10[[%]:[%]])</f>
        <v/>
      </c>
      <c r="IP18" s="121" t="str">
        <f>IF(ISBLANK(tbl_task10[[คะแนนเต็ม]:[คะแนนเต็ม]]),"",(tbl_task10[80]/tbl_task10[[คะแนนเต็ม]:[คะแนนเต็ม]])*tbl_task10[[%]:[%]])</f>
        <v/>
      </c>
      <c r="IQ18" s="121" t="str">
        <f>IF(ISBLANK(tbl_task10[[คะแนนเต็ม]:[คะแนนเต็ม]]),"",(tbl_task10[81]/tbl_task10[[คะแนนเต็ม]:[คะแนนเต็ม]])*tbl_task10[[%]:[%]])</f>
        <v/>
      </c>
      <c r="IR18" s="121" t="str">
        <f>IF(ISBLANK(tbl_task10[[คะแนนเต็ม]:[คะแนนเต็ม]]),"",(tbl_task10[82]/tbl_task10[[คะแนนเต็ม]:[คะแนนเต็ม]])*tbl_task10[[%]:[%]])</f>
        <v/>
      </c>
      <c r="IS18" s="121" t="str">
        <f>IF(ISBLANK(tbl_task10[[คะแนนเต็ม]:[คะแนนเต็ม]]),"",(tbl_task10[83]/tbl_task10[[คะแนนเต็ม]:[คะแนนเต็ม]])*tbl_task10[[%]:[%]])</f>
        <v/>
      </c>
      <c r="IT18" s="121" t="str">
        <f>IF(ISBLANK(tbl_task10[[คะแนนเต็ม]:[คะแนนเต็ม]]),"",(tbl_task10[84]/tbl_task10[[คะแนนเต็ม]:[คะแนนเต็ม]])*tbl_task10[[%]:[%]])</f>
        <v/>
      </c>
      <c r="IU18" s="121" t="str">
        <f>IF(ISBLANK(tbl_task10[[คะแนนเต็ม]:[คะแนนเต็ม]]),"",(tbl_task10[85]/tbl_task10[[คะแนนเต็ม]:[คะแนนเต็ม]])*tbl_task10[[%]:[%]])</f>
        <v/>
      </c>
      <c r="IV18" s="121" t="str">
        <f>IF(ISBLANK(tbl_task10[[คะแนนเต็ม]:[คะแนนเต็ม]]),"",(tbl_task10[86]/tbl_task10[[คะแนนเต็ม]:[คะแนนเต็ม]])*tbl_task10[[%]:[%]])</f>
        <v/>
      </c>
      <c r="IW18" s="121" t="str">
        <f>IF(ISBLANK(tbl_task10[[คะแนนเต็ม]:[คะแนนเต็ม]]),"",(tbl_task10[87]/tbl_task10[[คะแนนเต็ม]:[คะแนนเต็ม]])*tbl_task10[[%]:[%]])</f>
        <v/>
      </c>
      <c r="IX18" s="121" t="str">
        <f>IF(ISBLANK(tbl_task10[[คะแนนเต็ม]:[คะแนนเต็ม]]),"",(tbl_task10[88]/tbl_task10[[คะแนนเต็ม]:[คะแนนเต็ม]])*tbl_task10[[%]:[%]])</f>
        <v/>
      </c>
      <c r="IY18" s="121" t="str">
        <f>IF(ISBLANK(tbl_task10[[คะแนนเต็ม]:[คะแนนเต็ม]]),"",(tbl_task10[89]/tbl_task10[[คะแนนเต็ม]:[คะแนนเต็ม]])*tbl_task10[[%]:[%]])</f>
        <v/>
      </c>
      <c r="IZ18" s="121" t="str">
        <f>IF(ISBLANK(tbl_task10[[คะแนนเต็ม]:[คะแนนเต็ม]]),"",(tbl_task10[90]/tbl_task10[[คะแนนเต็ม]:[คะแนนเต็ม]])*tbl_task10[[%]:[%]])</f>
        <v/>
      </c>
      <c r="JA18" s="121" t="str">
        <f>IF(ISBLANK(tbl_task10[[คะแนนเต็ม]:[คะแนนเต็ม]]),"",(tbl_task10[91]/tbl_task10[[คะแนนเต็ม]:[คะแนนเต็ม]])*tbl_task10[[%]:[%]])</f>
        <v/>
      </c>
      <c r="JB18" s="121" t="str">
        <f>IF(ISBLANK(tbl_task10[[คะแนนเต็ม]:[คะแนนเต็ม]]),"",(tbl_task10[92]/tbl_task10[[คะแนนเต็ม]:[คะแนนเต็ม]])*tbl_task10[[%]:[%]])</f>
        <v/>
      </c>
      <c r="JC18" s="121" t="str">
        <f>IF(ISBLANK(tbl_task10[[คะแนนเต็ม]:[คะแนนเต็ม]]),"",(tbl_task10[93]/tbl_task10[[คะแนนเต็ม]:[คะแนนเต็ม]])*tbl_task10[[%]:[%]])</f>
        <v/>
      </c>
      <c r="JD18" s="121" t="str">
        <f>IF(ISBLANK(tbl_task10[[คะแนนเต็ม]:[คะแนนเต็ม]]),"",(tbl_task10[94]/tbl_task10[[คะแนนเต็ม]:[คะแนนเต็ม]])*tbl_task10[[%]:[%]])</f>
        <v/>
      </c>
      <c r="JE18" s="121" t="str">
        <f>IF(ISBLANK(tbl_task10[[คะแนนเต็ม]:[คะแนนเต็ม]]),"",(tbl_task10[95]/tbl_task10[[คะแนนเต็ม]:[คะแนนเต็ม]])*tbl_task10[[%]:[%]])</f>
        <v/>
      </c>
      <c r="JF18" s="121" t="str">
        <f>IF(ISBLANK(tbl_task10[[คะแนนเต็ม]:[คะแนนเต็ม]]),"",(tbl_task10[96]/tbl_task10[[คะแนนเต็ม]:[คะแนนเต็ม]])*tbl_task10[[%]:[%]])</f>
        <v/>
      </c>
      <c r="JG18" s="121" t="str">
        <f>IF(ISBLANK(tbl_task10[[คะแนนเต็ม]:[คะแนนเต็ม]]),"",(tbl_task10[97]/tbl_task10[[คะแนนเต็ม]:[คะแนนเต็ม]])*tbl_task10[[%]:[%]])</f>
        <v/>
      </c>
      <c r="JH18" s="121" t="str">
        <f>IF(ISBLANK(tbl_task10[[คะแนนเต็ม]:[คะแนนเต็ม]]),"",(tbl_task10[98]/tbl_task10[[คะแนนเต็ม]:[คะแนนเต็ม]])*tbl_task10[[%]:[%]])</f>
        <v/>
      </c>
      <c r="JI18" s="121" t="str">
        <f>IF(ISBLANK(tbl_task10[[คะแนนเต็ม]:[คะแนนเต็ม]]),"",(tbl_task10[99]/tbl_task10[[คะแนนเต็ม]:[คะแนนเต็ม]])*tbl_task10[[%]:[%]])</f>
        <v/>
      </c>
      <c r="JJ18" s="121" t="str">
        <f>IF(ISBLANK(tbl_task10[[คะแนนเต็ม]:[คะแนนเต็ม]]),"",(tbl_task10[100]/tbl_task10[[คะแนนเต็ม]:[คะแนนเต็ม]])*tbl_task10[[%]:[%]])</f>
        <v/>
      </c>
      <c r="JK18" s="121" t="str">
        <f>IF(ISBLANK(tbl_task10[[คะแนนเต็ม]:[คะแนนเต็ม]]),"",(tbl_task10[101]/tbl_task10[[คะแนนเต็ม]:[คะแนนเต็ม]])*tbl_task10[[%]:[%]])</f>
        <v/>
      </c>
      <c r="JL18" s="121" t="str">
        <f>IF(ISBLANK(tbl_task10[[คะแนนเต็ม]:[คะแนนเต็ม]]),"",(tbl_task10[102]/tbl_task10[[คะแนนเต็ม]:[คะแนนเต็ม]])*tbl_task10[[%]:[%]])</f>
        <v/>
      </c>
      <c r="JM18" s="121" t="str">
        <f>IF(ISBLANK(tbl_task10[[คะแนนเต็ม]:[คะแนนเต็ม]]),"",(tbl_task10[103]/tbl_task10[[คะแนนเต็ม]:[คะแนนเต็ม]])*tbl_task10[[%]:[%]])</f>
        <v/>
      </c>
      <c r="JN18" s="121" t="str">
        <f>IF(ISBLANK(tbl_task10[[คะแนนเต็ม]:[คะแนนเต็ม]]),"",(tbl_task10[104]/tbl_task10[[คะแนนเต็ม]:[คะแนนเต็ม]])*tbl_task10[[%]:[%]])</f>
        <v/>
      </c>
      <c r="JO18" s="121" t="str">
        <f>IF(ISBLANK(tbl_task10[[คะแนนเต็ม]:[คะแนนเต็ม]]),"",(tbl_task10[105]/tbl_task10[[คะแนนเต็ม]:[คะแนนเต็ม]])*tbl_task10[[%]:[%]])</f>
        <v/>
      </c>
      <c r="JP18" s="121" t="str">
        <f>IF(ISBLANK(tbl_task10[[คะแนนเต็ม]:[คะแนนเต็ม]]),"",(tbl_task10[106]/tbl_task10[[คะแนนเต็ม]:[คะแนนเต็ม]])*tbl_task10[[%]:[%]])</f>
        <v/>
      </c>
      <c r="JQ18" s="121" t="str">
        <f>IF(ISBLANK(tbl_task10[[คะแนนเต็ม]:[คะแนนเต็ม]]),"",(tbl_task10[107]/tbl_task10[[คะแนนเต็ม]:[คะแนนเต็ม]])*tbl_task10[[%]:[%]])</f>
        <v/>
      </c>
      <c r="JR18" s="121" t="str">
        <f>IF(ISBLANK(tbl_task10[[คะแนนเต็ม]:[คะแนนเต็ม]]),"",(tbl_task10[108]/tbl_task10[[คะแนนเต็ม]:[คะแนนเต็ม]])*tbl_task10[[%]:[%]])</f>
        <v/>
      </c>
      <c r="JS18" s="121" t="str">
        <f>IF(ISBLANK(tbl_task10[[คะแนนเต็ม]:[คะแนนเต็ม]]),"",(tbl_task10[109]/tbl_task10[[คะแนนเต็ม]:[คะแนนเต็ม]])*tbl_task10[[%]:[%]])</f>
        <v/>
      </c>
      <c r="JT18" s="121" t="str">
        <f>IF(ISBLANK(tbl_task10[[คะแนนเต็ม]:[คะแนนเต็ม]]),"",(tbl_task10[110]/tbl_task10[[คะแนนเต็ม]:[คะแนนเต็ม]])*tbl_task10[[%]:[%]])</f>
        <v/>
      </c>
      <c r="JU18" s="121" t="str">
        <f>IF(ISBLANK(tbl_task10[[คะแนนเต็ม]:[คะแนนเต็ม]]),"",(tbl_task10[111]/tbl_task10[[คะแนนเต็ม]:[คะแนนเต็ม]])*tbl_task10[[%]:[%]])</f>
        <v/>
      </c>
      <c r="JV18" s="121" t="str">
        <f>IF(ISBLANK(tbl_task10[[คะแนนเต็ม]:[คะแนนเต็ม]]),"",(tbl_task10[112]/tbl_task10[[คะแนนเต็ม]:[คะแนนเต็ม]])*tbl_task10[[%]:[%]])</f>
        <v/>
      </c>
      <c r="JW18" s="121" t="str">
        <f>IF(ISBLANK(tbl_task10[[คะแนนเต็ม]:[คะแนนเต็ม]]),"",(tbl_task10[113]/tbl_task10[[คะแนนเต็ม]:[คะแนนเต็ม]])*tbl_task10[[%]:[%]])</f>
        <v/>
      </c>
      <c r="JX18" s="121" t="str">
        <f>IF(ISBLANK(tbl_task10[[คะแนนเต็ม]:[คะแนนเต็ม]]),"",(tbl_task10[114]/tbl_task10[[คะแนนเต็ม]:[คะแนนเต็ม]])*tbl_task10[[%]:[%]])</f>
        <v/>
      </c>
      <c r="JY18" s="121" t="str">
        <f>IF(ISBLANK(tbl_task10[[คะแนนเต็ม]:[คะแนนเต็ม]]),"",(tbl_task10[115]/tbl_task10[[คะแนนเต็ม]:[คะแนนเต็ม]])*tbl_task10[[%]:[%]])</f>
        <v/>
      </c>
      <c r="JZ18" s="121" t="str">
        <f>IF(ISBLANK(tbl_task10[[คะแนนเต็ม]:[คะแนนเต็ม]]),"",(tbl_task10[116]/tbl_task10[[คะแนนเต็ม]:[คะแนนเต็ม]])*tbl_task10[[%]:[%]])</f>
        <v/>
      </c>
      <c r="KA18" s="121" t="str">
        <f>IF(ISBLANK(tbl_task10[[คะแนนเต็ม]:[คะแนนเต็ม]]),"",(tbl_task10[117]/tbl_task10[[คะแนนเต็ม]:[คะแนนเต็ม]])*tbl_task10[[%]:[%]])</f>
        <v/>
      </c>
      <c r="KB18" s="121" t="str">
        <f>IF(ISBLANK(tbl_task10[[คะแนนเต็ม]:[คะแนนเต็ม]]),"",(tbl_task10[118]/tbl_task10[[คะแนนเต็ม]:[คะแนนเต็ม]])*tbl_task10[[%]:[%]])</f>
        <v/>
      </c>
      <c r="KC18" s="121" t="str">
        <f>IF(ISBLANK(tbl_task10[[คะแนนเต็ม]:[คะแนนเต็ม]]),"",(tbl_task10[119]/tbl_task10[[คะแนนเต็ม]:[คะแนนเต็ม]])*tbl_task10[[%]:[%]])</f>
        <v/>
      </c>
      <c r="KD18" s="121" t="str">
        <f>IF(ISBLANK(tbl_task10[[คะแนนเต็ม]:[คะแนนเต็ม]]),"",(tbl_task10[120]/tbl_task10[[คะแนนเต็ม]:[คะแนนเต็ม]])*tbl_task10[[%]:[%]])</f>
        <v/>
      </c>
      <c r="KE18" s="121" t="str">
        <f>IF(ISBLANK(tbl_task10[[คะแนนเต็ม]:[คะแนนเต็ม]]),"",(tbl_task10[121]/tbl_task10[[คะแนนเต็ม]:[คะแนนเต็ม]])*tbl_task10[[%]:[%]])</f>
        <v/>
      </c>
      <c r="KF18" s="121" t="str">
        <f>IF(ISBLANK(tbl_task10[[คะแนนเต็ม]:[คะแนนเต็ม]]),"",(tbl_task10[122]/tbl_task10[[คะแนนเต็ม]:[คะแนนเต็ม]])*tbl_task10[[%]:[%]])</f>
        <v/>
      </c>
      <c r="KG18" s="121" t="str">
        <f>IF(ISBLANK(tbl_task10[[คะแนนเต็ม]:[คะแนนเต็ม]]),"",(tbl_task10[123]/tbl_task10[[คะแนนเต็ม]:[คะแนนเต็ม]])*tbl_task10[[%]:[%]])</f>
        <v/>
      </c>
      <c r="KH18" s="121" t="str">
        <f>IF(ISBLANK(tbl_task10[[คะแนนเต็ม]:[คะแนนเต็ม]]),"",(tbl_task10[124]/tbl_task10[[คะแนนเต็ม]:[คะแนนเต็ม]])*tbl_task10[[%]:[%]])</f>
        <v/>
      </c>
      <c r="KI18" s="121" t="str">
        <f>IF(ISBLANK(tbl_task10[[คะแนนเต็ม]:[คะแนนเต็ม]]),"",(tbl_task10[125]/tbl_task10[[คะแนนเต็ม]:[คะแนนเต็ม]])*tbl_task10[[%]:[%]])</f>
        <v/>
      </c>
      <c r="KJ18" s="121" t="str">
        <f>IF(ISBLANK(tbl_task10[[คะแนนเต็ม]:[คะแนนเต็ม]]),"",(tbl_task10[126]/tbl_task10[[คะแนนเต็ม]:[คะแนนเต็ม]])*tbl_task10[[%]:[%]])</f>
        <v/>
      </c>
      <c r="KK18" s="121" t="str">
        <f>IF(ISBLANK(tbl_task10[[คะแนนเต็ม]:[คะแนนเต็ม]]),"",(tbl_task10[127]/tbl_task10[[คะแนนเต็ม]:[คะแนนเต็ม]])*tbl_task10[[%]:[%]])</f>
        <v/>
      </c>
      <c r="KL18" s="121" t="str">
        <f>IF(ISBLANK(tbl_task10[[คะแนนเต็ม]:[คะแนนเต็ม]]),"",(tbl_task10[128]/tbl_task10[[คะแนนเต็ม]:[คะแนนเต็ม]])*tbl_task10[[%]:[%]])</f>
        <v/>
      </c>
      <c r="KM18" s="121" t="str">
        <f>IF(ISBLANK(tbl_task10[[คะแนนเต็ม]:[คะแนนเต็ม]]),"",(tbl_task10[129]/tbl_task10[[คะแนนเต็ม]:[คะแนนเต็ม]])*tbl_task10[[%]:[%]])</f>
        <v/>
      </c>
      <c r="KN18" s="121" t="str">
        <f>IF(ISBLANK(tbl_task10[[คะแนนเต็ม]:[คะแนนเต็ม]]),"",(tbl_task10[130]/tbl_task10[[คะแนนเต็ม]:[คะแนนเต็ม]])*tbl_task10[[%]:[%]])</f>
        <v/>
      </c>
      <c r="KO18" s="121" t="str">
        <f>IF(ISBLANK(tbl_task10[[คะแนนเต็ม]:[คะแนนเต็ม]]),"",(tbl_task10[131]/tbl_task10[[คะแนนเต็ม]:[คะแนนเต็ม]])*tbl_task10[[%]:[%]])</f>
        <v/>
      </c>
      <c r="KP18" s="121" t="str">
        <f>IF(ISBLANK(tbl_task10[[คะแนนเต็ม]:[คะแนนเต็ม]]),"",(tbl_task10[132]/tbl_task10[[คะแนนเต็ม]:[คะแนนเต็ม]])*tbl_task10[[%]:[%]])</f>
        <v/>
      </c>
      <c r="KQ18" s="121" t="str">
        <f>IF(ISBLANK(tbl_task10[[คะแนนเต็ม]:[คะแนนเต็ม]]),"",(tbl_task10[133]/tbl_task10[[คะแนนเต็ม]:[คะแนนเต็ม]])*tbl_task10[[%]:[%]])</f>
        <v/>
      </c>
      <c r="KR18" s="121" t="str">
        <f>IF(ISBLANK(tbl_task10[[คะแนนเต็ม]:[คะแนนเต็ม]]),"",(tbl_task10[134]/tbl_task10[[คะแนนเต็ม]:[คะแนนเต็ม]])*tbl_task10[[%]:[%]])</f>
        <v/>
      </c>
      <c r="KS18" s="121" t="str">
        <f>IF(ISBLANK(tbl_task10[[คะแนนเต็ม]:[คะแนนเต็ม]]),"",(tbl_task10[135]/tbl_task10[[คะแนนเต็ม]:[คะแนนเต็ม]])*tbl_task10[[%]:[%]])</f>
        <v/>
      </c>
      <c r="KT18" s="121" t="str">
        <f>IF(ISBLANK(tbl_task10[[คะแนนเต็ม]:[คะแนนเต็ม]]),"",(tbl_task10[136]/tbl_task10[[คะแนนเต็ม]:[คะแนนเต็ม]])*tbl_task10[[%]:[%]])</f>
        <v/>
      </c>
      <c r="KU18" s="121" t="str">
        <f>IF(ISBLANK(tbl_task10[[คะแนนเต็ม]:[คะแนนเต็ม]]),"",(tbl_task10[137]/tbl_task10[[คะแนนเต็ม]:[คะแนนเต็ม]])*tbl_task10[[%]:[%]])</f>
        <v/>
      </c>
      <c r="KV18" s="121" t="str">
        <f>IF(ISBLANK(tbl_task10[[คะแนนเต็ม]:[คะแนนเต็ม]]),"",(tbl_task10[138]/tbl_task10[[คะแนนเต็ม]:[คะแนนเต็ม]])*tbl_task10[[%]:[%]])</f>
        <v/>
      </c>
      <c r="KW18" s="121" t="str">
        <f>IF(ISBLANK(tbl_task10[[คะแนนเต็ม]:[คะแนนเต็ม]]),"",(tbl_task10[139]/tbl_task10[[คะแนนเต็ม]:[คะแนนเต็ม]])*tbl_task10[[%]:[%]])</f>
        <v/>
      </c>
      <c r="KX18" s="121" t="str">
        <f>IF(ISBLANK(tbl_task10[[คะแนนเต็ม]:[คะแนนเต็ม]]),"",(tbl_task10[140]/tbl_task10[[คะแนนเต็ม]:[คะแนนเต็ม]])*tbl_task10[[%]:[%]])</f>
        <v/>
      </c>
      <c r="KY18" s="121" t="str">
        <f>IF(ISBLANK(tbl_task10[[คะแนนเต็ม]:[คะแนนเต็ม]]),"",(tbl_task10[141]/tbl_task10[[คะแนนเต็ม]:[คะแนนเต็ม]])*tbl_task10[[%]:[%]])</f>
        <v/>
      </c>
      <c r="KZ18" s="121" t="str">
        <f>IF(ISBLANK(tbl_task10[[คะแนนเต็ม]:[คะแนนเต็ม]]),"",(tbl_task10[142]/tbl_task10[[คะแนนเต็ม]:[คะแนนเต็ม]])*tbl_task10[[%]:[%]])</f>
        <v/>
      </c>
      <c r="LA18" s="121" t="str">
        <f>IF(ISBLANK(tbl_task10[[คะแนนเต็ม]:[คะแนนเต็ม]]),"",(tbl_task10[143]/tbl_task10[[คะแนนเต็ม]:[คะแนนเต็ม]])*tbl_task10[[%]:[%]])</f>
        <v/>
      </c>
      <c r="LB18" s="121" t="str">
        <f>IF(ISBLANK(tbl_task10[[คะแนนเต็ม]:[คะแนนเต็ม]]),"",(tbl_task10[144]/tbl_task10[[คะแนนเต็ม]:[คะแนนเต็ม]])*tbl_task10[[%]:[%]])</f>
        <v/>
      </c>
      <c r="LC18" s="121" t="str">
        <f>IF(ISBLANK(tbl_task10[[คะแนนเต็ม]:[คะแนนเต็ม]]),"",(tbl_task10[145]/tbl_task10[[คะแนนเต็ม]:[คะแนนเต็ม]])*tbl_task10[[%]:[%]])</f>
        <v/>
      </c>
      <c r="LD18" s="121" t="str">
        <f>IF(ISBLANK(tbl_task10[[คะแนนเต็ม]:[คะแนนเต็ม]]),"",(tbl_task10[146]/tbl_task10[[คะแนนเต็ม]:[คะแนนเต็ม]])*tbl_task10[[%]:[%]])</f>
        <v/>
      </c>
      <c r="LE18" s="121" t="str">
        <f>IF(ISBLANK(tbl_task10[[คะแนนเต็ม]:[คะแนนเต็ม]]),"",(tbl_task10[147]/tbl_task10[[คะแนนเต็ม]:[คะแนนเต็ม]])*tbl_task10[[%]:[%]])</f>
        <v/>
      </c>
      <c r="LF18" s="121" t="str">
        <f>IF(ISBLANK(tbl_task10[[คะแนนเต็ม]:[คะแนนเต็ม]]),"",(tbl_task10[148]/tbl_task10[[คะแนนเต็ม]:[คะแนนเต็ม]])*tbl_task10[[%]:[%]])</f>
        <v/>
      </c>
      <c r="LG18" s="121" t="str">
        <f>IF(ISBLANK(tbl_task10[[คะแนนเต็ม]:[คะแนนเต็ม]]),"",(tbl_task10[149]/tbl_task10[[คะแนนเต็ม]:[คะแนนเต็ม]])*tbl_task10[[%]:[%]])</f>
        <v/>
      </c>
      <c r="LH18" s="121" t="str">
        <f>IF(ISBLANK(tbl_task10[[คะแนนเต็ม]:[คะแนนเต็ม]]),"",(tbl_task10[150]/tbl_task10[[คะแนนเต็ม]:[คะแนนเต็ม]])*tbl_task10[[%]:[%]])</f>
        <v/>
      </c>
      <c r="LI18" s="121" t="str">
        <f>IF(ISBLANK(tbl_task10[[คะแนนเต็ม]:[คะแนนเต็ม]]),"",(tbl_task10[151]/tbl_task10[[คะแนนเต็ม]:[คะแนนเต็ม]])*tbl_task10[[%]:[%]])</f>
        <v/>
      </c>
      <c r="LJ18" s="121" t="str">
        <f>IF(ISBLANK(tbl_task10[[คะแนนเต็ม]:[คะแนนเต็ม]]),"",(tbl_task10[152]/tbl_task10[[คะแนนเต็ม]:[คะแนนเต็ม]])*tbl_task10[[%]:[%]])</f>
        <v/>
      </c>
      <c r="LK18" s="121" t="str">
        <f>IF(ISBLANK(tbl_task10[[คะแนนเต็ม]:[คะแนนเต็ม]]),"",(tbl_task10[153]/tbl_task10[[คะแนนเต็ม]:[คะแนนเต็ม]])*tbl_task10[[%]:[%]])</f>
        <v/>
      </c>
      <c r="LL18" s="121" t="str">
        <f>IF(ISBLANK(tbl_task10[[คะแนนเต็ม]:[คะแนนเต็ม]]),"",(tbl_task10[154]/tbl_task10[[คะแนนเต็ม]:[คะแนนเต็ม]])*tbl_task10[[%]:[%]])</f>
        <v/>
      </c>
      <c r="LM18" s="121" t="str">
        <f>IF(ISBLANK(tbl_task10[[คะแนนเต็ม]:[คะแนนเต็ม]]),"",(tbl_task10[155]/tbl_task10[[คะแนนเต็ม]:[คะแนนเต็ม]])*tbl_task10[[%]:[%]])</f>
        <v/>
      </c>
      <c r="LN18" s="121" t="str">
        <f>IF(ISBLANK(tbl_task10[[คะแนนเต็ม]:[คะแนนเต็ม]]),"",(tbl_task10[156]/tbl_task10[[คะแนนเต็ม]:[คะแนนเต็ม]])*tbl_task10[[%]:[%]])</f>
        <v/>
      </c>
      <c r="LO18" s="121" t="str">
        <f>IF(ISBLANK(tbl_task10[[คะแนนเต็ม]:[คะแนนเต็ม]]),"",(tbl_task10[157]/tbl_task10[[คะแนนเต็ม]:[คะแนนเต็ม]])*tbl_task10[[%]:[%]])</f>
        <v/>
      </c>
      <c r="LP18" s="121" t="str">
        <f>IF(ISBLANK(tbl_task10[[คะแนนเต็ม]:[คะแนนเต็ม]]),"",(tbl_task10[158]/tbl_task10[[คะแนนเต็ม]:[คะแนนเต็ม]])*tbl_task10[[%]:[%]])</f>
        <v/>
      </c>
      <c r="LQ18" s="121" t="str">
        <f>IF(ISBLANK(tbl_task10[[คะแนนเต็ม]:[คะแนนเต็ม]]),"",(tbl_task10[159]/tbl_task10[[คะแนนเต็ม]:[คะแนนเต็ม]])*tbl_task10[[%]:[%]])</f>
        <v/>
      </c>
      <c r="LR18" s="121" t="str">
        <f>IF(ISBLANK(tbl_task10[[คะแนนเต็ม]:[คะแนนเต็ม]]),"",(tbl_task10[160]/tbl_task10[[คะแนนเต็ม]:[คะแนนเต็ม]])*tbl_task10[[%]:[%]])</f>
        <v/>
      </c>
      <c r="LS18" s="121" t="str">
        <f>IF(ISBLANK(tbl_task10[[คะแนนเต็ม]:[คะแนนเต็ม]]),"",(tbl_task10[161]/tbl_task10[[คะแนนเต็ม]:[คะแนนเต็ม]])*tbl_task10[[%]:[%]])</f>
        <v/>
      </c>
      <c r="LT18" s="121" t="str">
        <f>IF(ISBLANK(tbl_task10[[คะแนนเต็ม]:[คะแนนเต็ม]]),"",(tbl_task10[162]/tbl_task10[[คะแนนเต็ม]:[คะแนนเต็ม]])*tbl_task10[[%]:[%]])</f>
        <v/>
      </c>
      <c r="LU18" s="121" t="str">
        <f>IF(ISBLANK(tbl_task10[[คะแนนเต็ม]:[คะแนนเต็ม]]),"",(tbl_task10[163]/tbl_task10[[คะแนนเต็ม]:[คะแนนเต็ม]])*tbl_task10[[%]:[%]])</f>
        <v/>
      </c>
      <c r="LV18" s="121" t="str">
        <f>IF(ISBLANK(tbl_task10[[คะแนนเต็ม]:[คะแนนเต็ม]]),"",(tbl_task10[164]/tbl_task10[[คะแนนเต็ม]:[คะแนนเต็ม]])*tbl_task10[[%]:[%]])</f>
        <v/>
      </c>
      <c r="LW18" s="121" t="str">
        <f>IF(ISBLANK(tbl_task10[[คะแนนเต็ม]:[คะแนนเต็ม]]),"",(tbl_task10[165]/tbl_task10[[คะแนนเต็ม]:[คะแนนเต็ม]])*tbl_task10[[%]:[%]])</f>
        <v/>
      </c>
    </row>
    <row r="19" spans="1:335" ht="24" customHeight="1" x14ac:dyDescent="0.25">
      <c r="A19" s="24">
        <v>16</v>
      </c>
      <c r="B19" s="20"/>
      <c r="C19" s="5" t="str">
        <f>IF(ISBLANK(B19),"",VLOOKUP(B19,tbl_PLOs[],2,0))</f>
        <v/>
      </c>
      <c r="D19" s="102"/>
      <c r="E19" s="106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121" t="str">
        <f>IF(ISBLANK(tbl_task10[[คะแนนเต็ม]:[คะแนนเต็ม]]),"",(tbl_task10[1]/tbl_task10[[คะแนนเต็ม]:[คะแนนเต็ม]])*tbl_task10[[%]:[%]])</f>
        <v/>
      </c>
      <c r="FP19" s="121" t="str">
        <f>IF(ISBLANK(tbl_task10[[คะแนนเต็ม]:[คะแนนเต็ม]]),"",(tbl_task10[2]/tbl_task10[[คะแนนเต็ม]:[คะแนนเต็ม]])*tbl_task10[[%]:[%]])</f>
        <v/>
      </c>
      <c r="FQ19" s="121" t="str">
        <f>IF(ISBLANK(tbl_task10[[คะแนนเต็ม]:[คะแนนเต็ม]]),"",(tbl_task10[3]/tbl_task10[[คะแนนเต็ม]:[คะแนนเต็ม]])*tbl_task10[[%]:[%]])</f>
        <v/>
      </c>
      <c r="FR19" s="121" t="str">
        <f>IF(ISBLANK(tbl_task10[[คะแนนเต็ม]:[คะแนนเต็ม]]),"",(tbl_task10[4]/tbl_task10[[คะแนนเต็ม]:[คะแนนเต็ม]])*tbl_task10[[%]:[%]])</f>
        <v/>
      </c>
      <c r="FS19" s="121" t="str">
        <f>IF(ISBLANK(tbl_task10[[คะแนนเต็ม]:[คะแนนเต็ม]]),"",(tbl_task10[5]/tbl_task10[[คะแนนเต็ม]:[คะแนนเต็ม]])*tbl_task10[[%]:[%]])</f>
        <v/>
      </c>
      <c r="FT19" s="121" t="str">
        <f>IF(ISBLANK(tbl_task10[[คะแนนเต็ม]:[คะแนนเต็ม]]),"",(tbl_task10[6]/tbl_task10[[คะแนนเต็ม]:[คะแนนเต็ม]])*tbl_task10[[%]:[%]])</f>
        <v/>
      </c>
      <c r="FU19" s="121" t="str">
        <f>IF(ISBLANK(tbl_task10[[คะแนนเต็ม]:[คะแนนเต็ม]]),"",(tbl_task10[7]/tbl_task10[[คะแนนเต็ม]:[คะแนนเต็ม]])*tbl_task10[[%]:[%]])</f>
        <v/>
      </c>
      <c r="FV19" s="121" t="str">
        <f>IF(ISBLANK(tbl_task10[[คะแนนเต็ม]:[คะแนนเต็ม]]),"",(tbl_task10[8]/tbl_task10[[คะแนนเต็ม]:[คะแนนเต็ม]])*tbl_task10[[%]:[%]])</f>
        <v/>
      </c>
      <c r="FW19" s="121" t="str">
        <f>IF(ISBLANK(tbl_task10[[คะแนนเต็ม]:[คะแนนเต็ม]]),"",(tbl_task10[9]/tbl_task10[[คะแนนเต็ม]:[คะแนนเต็ม]])*tbl_task10[[%]:[%]])</f>
        <v/>
      </c>
      <c r="FX19" s="121" t="str">
        <f>IF(ISBLANK(tbl_task10[[คะแนนเต็ม]:[คะแนนเต็ม]]),"",(tbl_task10[10]/tbl_task10[[คะแนนเต็ม]:[คะแนนเต็ม]])*tbl_task10[[%]:[%]])</f>
        <v/>
      </c>
      <c r="FY19" s="121" t="str">
        <f>IF(ISBLANK(tbl_task10[[คะแนนเต็ม]:[คะแนนเต็ม]]),"",(tbl_task10[11]/tbl_task10[[คะแนนเต็ม]:[คะแนนเต็ม]])*tbl_task10[[%]:[%]])</f>
        <v/>
      </c>
      <c r="FZ19" s="121" t="str">
        <f>IF(ISBLANK(tbl_task10[[คะแนนเต็ม]:[คะแนนเต็ม]]),"",(tbl_task10[12]/tbl_task10[[คะแนนเต็ม]:[คะแนนเต็ม]])*tbl_task10[[%]:[%]])</f>
        <v/>
      </c>
      <c r="GA19" s="121" t="str">
        <f>IF(ISBLANK(tbl_task10[[คะแนนเต็ม]:[คะแนนเต็ม]]),"",(tbl_task10[13]/tbl_task10[[คะแนนเต็ม]:[คะแนนเต็ม]])*tbl_task10[[%]:[%]])</f>
        <v/>
      </c>
      <c r="GB19" s="121" t="str">
        <f>IF(ISBLANK(tbl_task10[[คะแนนเต็ม]:[คะแนนเต็ม]]),"",(tbl_task10[14]/tbl_task10[[คะแนนเต็ม]:[คะแนนเต็ม]])*tbl_task10[[%]:[%]])</f>
        <v/>
      </c>
      <c r="GC19" s="121" t="str">
        <f>IF(ISBLANK(tbl_task10[[คะแนนเต็ม]:[คะแนนเต็ม]]),"",(tbl_task10[15]/tbl_task10[[คะแนนเต็ม]:[คะแนนเต็ม]])*tbl_task10[[%]:[%]])</f>
        <v/>
      </c>
      <c r="GD19" s="121" t="str">
        <f>IF(ISBLANK(tbl_task10[[คะแนนเต็ม]:[คะแนนเต็ม]]),"",(tbl_task10[16]/tbl_task10[[คะแนนเต็ม]:[คะแนนเต็ม]])*tbl_task10[[%]:[%]])</f>
        <v/>
      </c>
      <c r="GE19" s="121" t="str">
        <f>IF(ISBLANK(tbl_task10[[คะแนนเต็ม]:[คะแนนเต็ม]]),"",(tbl_task10[17]/tbl_task10[[คะแนนเต็ม]:[คะแนนเต็ม]])*tbl_task10[[%]:[%]])</f>
        <v/>
      </c>
      <c r="GF19" s="121" t="str">
        <f>IF(ISBLANK(tbl_task10[[คะแนนเต็ม]:[คะแนนเต็ม]]),"",(tbl_task10[18]/tbl_task10[[คะแนนเต็ม]:[คะแนนเต็ม]])*tbl_task10[[%]:[%]])</f>
        <v/>
      </c>
      <c r="GG19" s="121" t="str">
        <f>IF(ISBLANK(tbl_task10[[คะแนนเต็ม]:[คะแนนเต็ม]]),"",(tbl_task10[19]/tbl_task10[[คะแนนเต็ม]:[คะแนนเต็ม]])*tbl_task10[[%]:[%]])</f>
        <v/>
      </c>
      <c r="GH19" s="121" t="str">
        <f>IF(ISBLANK(tbl_task10[[คะแนนเต็ม]:[คะแนนเต็ม]]),"",(tbl_task10[20]/tbl_task10[[คะแนนเต็ม]:[คะแนนเต็ม]])*tbl_task10[[%]:[%]])</f>
        <v/>
      </c>
      <c r="GI19" s="121" t="str">
        <f>IF(ISBLANK(tbl_task10[[คะแนนเต็ม]:[คะแนนเต็ม]]),"",(tbl_task10[21]/tbl_task10[[คะแนนเต็ม]:[คะแนนเต็ม]])*tbl_task10[[%]:[%]])</f>
        <v/>
      </c>
      <c r="GJ19" s="121" t="str">
        <f>IF(ISBLANK(tbl_task10[[คะแนนเต็ม]:[คะแนนเต็ม]]),"",(tbl_task10[22]/tbl_task10[[คะแนนเต็ม]:[คะแนนเต็ม]])*tbl_task10[[%]:[%]])</f>
        <v/>
      </c>
      <c r="GK19" s="121" t="str">
        <f>IF(ISBLANK(tbl_task10[[คะแนนเต็ม]:[คะแนนเต็ม]]),"",(tbl_task10[23]/tbl_task10[[คะแนนเต็ม]:[คะแนนเต็ม]])*tbl_task10[[%]:[%]])</f>
        <v/>
      </c>
      <c r="GL19" s="121" t="str">
        <f>IF(ISBLANK(tbl_task10[[คะแนนเต็ม]:[คะแนนเต็ม]]),"",(tbl_task10[24]/tbl_task10[[คะแนนเต็ม]:[คะแนนเต็ม]])*tbl_task10[[%]:[%]])</f>
        <v/>
      </c>
      <c r="GM19" s="121" t="str">
        <f>IF(ISBLANK(tbl_task10[[คะแนนเต็ม]:[คะแนนเต็ม]]),"",(tbl_task10[25]/tbl_task10[[คะแนนเต็ม]:[คะแนนเต็ม]])*tbl_task10[[%]:[%]])</f>
        <v/>
      </c>
      <c r="GN19" s="121" t="str">
        <f>IF(ISBLANK(tbl_task10[[คะแนนเต็ม]:[คะแนนเต็ม]]),"",(tbl_task10[26]/tbl_task10[[คะแนนเต็ม]:[คะแนนเต็ม]])*tbl_task10[[%]:[%]])</f>
        <v/>
      </c>
      <c r="GO19" s="121" t="str">
        <f>IF(ISBLANK(tbl_task10[[คะแนนเต็ม]:[คะแนนเต็ม]]),"",(tbl_task10[27]/tbl_task10[[คะแนนเต็ม]:[คะแนนเต็ม]])*tbl_task10[[%]:[%]])</f>
        <v/>
      </c>
      <c r="GP19" s="121" t="str">
        <f>IF(ISBLANK(tbl_task10[[คะแนนเต็ม]:[คะแนนเต็ม]]),"",(tbl_task10[28]/tbl_task10[[คะแนนเต็ม]:[คะแนนเต็ม]])*tbl_task10[[%]:[%]])</f>
        <v/>
      </c>
      <c r="GQ19" s="121" t="str">
        <f>IF(ISBLANK(tbl_task10[[คะแนนเต็ม]:[คะแนนเต็ม]]),"",(tbl_task10[29]/tbl_task10[[คะแนนเต็ม]:[คะแนนเต็ม]])*tbl_task10[[%]:[%]])</f>
        <v/>
      </c>
      <c r="GR19" s="121" t="str">
        <f>IF(ISBLANK(tbl_task10[[คะแนนเต็ม]:[คะแนนเต็ม]]),"",(tbl_task10[30]/tbl_task10[[คะแนนเต็ม]:[คะแนนเต็ม]])*tbl_task10[[%]:[%]])</f>
        <v/>
      </c>
      <c r="GS19" s="121" t="str">
        <f>IF(ISBLANK(tbl_task10[[คะแนนเต็ม]:[คะแนนเต็ม]]),"",(tbl_task10[31]/tbl_task10[[คะแนนเต็ม]:[คะแนนเต็ม]])*tbl_task10[[%]:[%]])</f>
        <v/>
      </c>
      <c r="GT19" s="121" t="str">
        <f>IF(ISBLANK(tbl_task10[[คะแนนเต็ม]:[คะแนนเต็ม]]),"",(tbl_task10[32]/tbl_task10[[คะแนนเต็ม]:[คะแนนเต็ม]])*tbl_task10[[%]:[%]])</f>
        <v/>
      </c>
      <c r="GU19" s="121" t="str">
        <f>IF(ISBLANK(tbl_task10[[คะแนนเต็ม]:[คะแนนเต็ม]]),"",(tbl_task10[33]/tbl_task10[[คะแนนเต็ม]:[คะแนนเต็ม]])*tbl_task10[[%]:[%]])</f>
        <v/>
      </c>
      <c r="GV19" s="121" t="str">
        <f>IF(ISBLANK(tbl_task10[[คะแนนเต็ม]:[คะแนนเต็ม]]),"",(tbl_task10[34]/tbl_task10[[คะแนนเต็ม]:[คะแนนเต็ม]])*tbl_task10[[%]:[%]])</f>
        <v/>
      </c>
      <c r="GW19" s="121" t="str">
        <f>IF(ISBLANK(tbl_task10[[คะแนนเต็ม]:[คะแนนเต็ม]]),"",(tbl_task10[35]/tbl_task10[[คะแนนเต็ม]:[คะแนนเต็ม]])*tbl_task10[[%]:[%]])</f>
        <v/>
      </c>
      <c r="GX19" s="121" t="str">
        <f>IF(ISBLANK(tbl_task10[[คะแนนเต็ม]:[คะแนนเต็ม]]),"",(tbl_task10[36]/tbl_task10[[คะแนนเต็ม]:[คะแนนเต็ม]])*tbl_task10[[%]:[%]])</f>
        <v/>
      </c>
      <c r="GY19" s="121" t="str">
        <f>IF(ISBLANK(tbl_task10[[คะแนนเต็ม]:[คะแนนเต็ม]]),"",(tbl_task10[37]/tbl_task10[[คะแนนเต็ม]:[คะแนนเต็ม]])*tbl_task10[[%]:[%]])</f>
        <v/>
      </c>
      <c r="GZ19" s="121" t="str">
        <f>IF(ISBLANK(tbl_task10[[คะแนนเต็ม]:[คะแนนเต็ม]]),"",(tbl_task10[38]/tbl_task10[[คะแนนเต็ม]:[คะแนนเต็ม]])*tbl_task10[[%]:[%]])</f>
        <v/>
      </c>
      <c r="HA19" s="121" t="str">
        <f>IF(ISBLANK(tbl_task10[[คะแนนเต็ม]:[คะแนนเต็ม]]),"",(tbl_task10[39]/tbl_task10[[คะแนนเต็ม]:[คะแนนเต็ม]])*tbl_task10[[%]:[%]])</f>
        <v/>
      </c>
      <c r="HB19" s="121" t="str">
        <f>IF(ISBLANK(tbl_task10[[คะแนนเต็ม]:[คะแนนเต็ม]]),"",(tbl_task10[40]/tbl_task10[[คะแนนเต็ม]:[คะแนนเต็ม]])*tbl_task10[[%]:[%]])</f>
        <v/>
      </c>
      <c r="HC19" s="121" t="str">
        <f>IF(ISBLANK(tbl_task10[[คะแนนเต็ม]:[คะแนนเต็ม]]),"",(tbl_task10[41]/tbl_task10[[คะแนนเต็ม]:[คะแนนเต็ม]])*tbl_task10[[%]:[%]])</f>
        <v/>
      </c>
      <c r="HD19" s="121" t="str">
        <f>IF(ISBLANK(tbl_task10[[คะแนนเต็ม]:[คะแนนเต็ม]]),"",(tbl_task10[42]/tbl_task10[[คะแนนเต็ม]:[คะแนนเต็ม]])*tbl_task10[[%]:[%]])</f>
        <v/>
      </c>
      <c r="HE19" s="121" t="str">
        <f>IF(ISBLANK(tbl_task10[[คะแนนเต็ม]:[คะแนนเต็ม]]),"",(tbl_task10[43]/tbl_task10[[คะแนนเต็ม]:[คะแนนเต็ม]])*tbl_task10[[%]:[%]])</f>
        <v/>
      </c>
      <c r="HF19" s="121" t="str">
        <f>IF(ISBLANK(tbl_task10[[คะแนนเต็ม]:[คะแนนเต็ม]]),"",(tbl_task10[44]/tbl_task10[[คะแนนเต็ม]:[คะแนนเต็ม]])*tbl_task10[[%]:[%]])</f>
        <v/>
      </c>
      <c r="HG19" s="121" t="str">
        <f>IF(ISBLANK(tbl_task10[[คะแนนเต็ม]:[คะแนนเต็ม]]),"",(tbl_task10[45]/tbl_task10[[คะแนนเต็ม]:[คะแนนเต็ม]])*tbl_task10[[%]:[%]])</f>
        <v/>
      </c>
      <c r="HH19" s="121" t="str">
        <f>IF(ISBLANK(tbl_task10[[คะแนนเต็ม]:[คะแนนเต็ม]]),"",(tbl_task10[46]/tbl_task10[[คะแนนเต็ม]:[คะแนนเต็ม]])*tbl_task10[[%]:[%]])</f>
        <v/>
      </c>
      <c r="HI19" s="121" t="str">
        <f>IF(ISBLANK(tbl_task10[[คะแนนเต็ม]:[คะแนนเต็ม]]),"",(tbl_task10[47]/tbl_task10[[คะแนนเต็ม]:[คะแนนเต็ม]])*tbl_task10[[%]:[%]])</f>
        <v/>
      </c>
      <c r="HJ19" s="121" t="str">
        <f>IF(ISBLANK(tbl_task10[[คะแนนเต็ม]:[คะแนนเต็ม]]),"",(tbl_task10[48]/tbl_task10[[คะแนนเต็ม]:[คะแนนเต็ม]])*tbl_task10[[%]:[%]])</f>
        <v/>
      </c>
      <c r="HK19" s="121" t="str">
        <f>IF(ISBLANK(tbl_task10[[คะแนนเต็ม]:[คะแนนเต็ม]]),"",(tbl_task10[49]/tbl_task10[[คะแนนเต็ม]:[คะแนนเต็ม]])*tbl_task10[[%]:[%]])</f>
        <v/>
      </c>
      <c r="HL19" s="121" t="str">
        <f>IF(ISBLANK(tbl_task10[[คะแนนเต็ม]:[คะแนนเต็ม]]),"",(tbl_task10[50]/tbl_task10[[คะแนนเต็ม]:[คะแนนเต็ม]])*tbl_task10[[%]:[%]])</f>
        <v/>
      </c>
      <c r="HM19" s="121" t="str">
        <f>IF(ISBLANK(tbl_task10[[คะแนนเต็ม]:[คะแนนเต็ม]]),"",(tbl_task10[51]/tbl_task10[[คะแนนเต็ม]:[คะแนนเต็ม]])*tbl_task10[[%]:[%]])</f>
        <v/>
      </c>
      <c r="HN19" s="121" t="str">
        <f>IF(ISBLANK(tbl_task10[[คะแนนเต็ม]:[คะแนนเต็ม]]),"",(tbl_task10[52]/tbl_task10[[คะแนนเต็ม]:[คะแนนเต็ม]])*tbl_task10[[%]:[%]])</f>
        <v/>
      </c>
      <c r="HO19" s="121" t="str">
        <f>IF(ISBLANK(tbl_task10[[คะแนนเต็ม]:[คะแนนเต็ม]]),"",(tbl_task10[53]/tbl_task10[[คะแนนเต็ม]:[คะแนนเต็ม]])*tbl_task10[[%]:[%]])</f>
        <v/>
      </c>
      <c r="HP19" s="121" t="str">
        <f>IF(ISBLANK(tbl_task10[[คะแนนเต็ม]:[คะแนนเต็ม]]),"",(tbl_task10[54]/tbl_task10[[คะแนนเต็ม]:[คะแนนเต็ม]])*tbl_task10[[%]:[%]])</f>
        <v/>
      </c>
      <c r="HQ19" s="121" t="str">
        <f>IF(ISBLANK(tbl_task10[[คะแนนเต็ม]:[คะแนนเต็ม]]),"",(tbl_task10[55]/tbl_task10[[คะแนนเต็ม]:[คะแนนเต็ม]])*tbl_task10[[%]:[%]])</f>
        <v/>
      </c>
      <c r="HR19" s="121" t="str">
        <f>IF(ISBLANK(tbl_task10[[คะแนนเต็ม]:[คะแนนเต็ม]]),"",(tbl_task10[56]/tbl_task10[[คะแนนเต็ม]:[คะแนนเต็ม]])*tbl_task10[[%]:[%]])</f>
        <v/>
      </c>
      <c r="HS19" s="121" t="str">
        <f>IF(ISBLANK(tbl_task10[[คะแนนเต็ม]:[คะแนนเต็ม]]),"",(tbl_task10[57]/tbl_task10[[คะแนนเต็ม]:[คะแนนเต็ม]])*tbl_task10[[%]:[%]])</f>
        <v/>
      </c>
      <c r="HT19" s="121" t="str">
        <f>IF(ISBLANK(tbl_task10[[คะแนนเต็ม]:[คะแนนเต็ม]]),"",(tbl_task10[58]/tbl_task10[[คะแนนเต็ม]:[คะแนนเต็ม]])*tbl_task10[[%]:[%]])</f>
        <v/>
      </c>
      <c r="HU19" s="121" t="str">
        <f>IF(ISBLANK(tbl_task10[[คะแนนเต็ม]:[คะแนนเต็ม]]),"",(tbl_task10[59]/tbl_task10[[คะแนนเต็ม]:[คะแนนเต็ม]])*tbl_task10[[%]:[%]])</f>
        <v/>
      </c>
      <c r="HV19" s="121" t="str">
        <f>IF(ISBLANK(tbl_task10[[คะแนนเต็ม]:[คะแนนเต็ม]]),"",(tbl_task10[60]/tbl_task10[[คะแนนเต็ม]:[คะแนนเต็ม]])*tbl_task10[[%]:[%]])</f>
        <v/>
      </c>
      <c r="HW19" s="121" t="str">
        <f>IF(ISBLANK(tbl_task10[[คะแนนเต็ม]:[คะแนนเต็ม]]),"",(tbl_task10[61]/tbl_task10[[คะแนนเต็ม]:[คะแนนเต็ม]])*tbl_task10[[%]:[%]])</f>
        <v/>
      </c>
      <c r="HX19" s="121" t="str">
        <f>IF(ISBLANK(tbl_task10[[คะแนนเต็ม]:[คะแนนเต็ม]]),"",(tbl_task10[62]/tbl_task10[[คะแนนเต็ม]:[คะแนนเต็ม]])*tbl_task10[[%]:[%]])</f>
        <v/>
      </c>
      <c r="HY19" s="121" t="str">
        <f>IF(ISBLANK(tbl_task10[[คะแนนเต็ม]:[คะแนนเต็ม]]),"",(tbl_task10[63]/tbl_task10[[คะแนนเต็ม]:[คะแนนเต็ม]])*tbl_task10[[%]:[%]])</f>
        <v/>
      </c>
      <c r="HZ19" s="121" t="str">
        <f>IF(ISBLANK(tbl_task10[[คะแนนเต็ม]:[คะแนนเต็ม]]),"",(tbl_task10[64]/tbl_task10[[คะแนนเต็ม]:[คะแนนเต็ม]])*tbl_task10[[%]:[%]])</f>
        <v/>
      </c>
      <c r="IA19" s="121" t="str">
        <f>IF(ISBLANK(tbl_task10[[คะแนนเต็ม]:[คะแนนเต็ม]]),"",(tbl_task10[65]/tbl_task10[[คะแนนเต็ม]:[คะแนนเต็ม]])*tbl_task10[[%]:[%]])</f>
        <v/>
      </c>
      <c r="IB19" s="121" t="str">
        <f>IF(ISBLANK(tbl_task10[[คะแนนเต็ม]:[คะแนนเต็ม]]),"",(tbl_task10[66]/tbl_task10[[คะแนนเต็ม]:[คะแนนเต็ม]])*tbl_task10[[%]:[%]])</f>
        <v/>
      </c>
      <c r="IC19" s="121" t="str">
        <f>IF(ISBLANK(tbl_task10[[คะแนนเต็ม]:[คะแนนเต็ม]]),"",(tbl_task10[67]/tbl_task10[[คะแนนเต็ม]:[คะแนนเต็ม]])*tbl_task10[[%]:[%]])</f>
        <v/>
      </c>
      <c r="ID19" s="121" t="str">
        <f>IF(ISBLANK(tbl_task10[[คะแนนเต็ม]:[คะแนนเต็ม]]),"",(tbl_task10[68]/tbl_task10[[คะแนนเต็ม]:[คะแนนเต็ม]])*tbl_task10[[%]:[%]])</f>
        <v/>
      </c>
      <c r="IE19" s="121" t="str">
        <f>IF(ISBLANK(tbl_task10[[คะแนนเต็ม]:[คะแนนเต็ม]]),"",(tbl_task10[69]/tbl_task10[[คะแนนเต็ม]:[คะแนนเต็ม]])*tbl_task10[[%]:[%]])</f>
        <v/>
      </c>
      <c r="IF19" s="121" t="str">
        <f>IF(ISBLANK(tbl_task10[[คะแนนเต็ม]:[คะแนนเต็ม]]),"",(tbl_task10[70]/tbl_task10[[คะแนนเต็ม]:[คะแนนเต็ม]])*tbl_task10[[%]:[%]])</f>
        <v/>
      </c>
      <c r="IG19" s="121" t="str">
        <f>IF(ISBLANK(tbl_task10[[คะแนนเต็ม]:[คะแนนเต็ม]]),"",(tbl_task10[71]/tbl_task10[[คะแนนเต็ม]:[คะแนนเต็ม]])*tbl_task10[[%]:[%]])</f>
        <v/>
      </c>
      <c r="IH19" s="121" t="str">
        <f>IF(ISBLANK(tbl_task10[[คะแนนเต็ม]:[คะแนนเต็ม]]),"",(tbl_task10[72]/tbl_task10[[คะแนนเต็ม]:[คะแนนเต็ม]])*tbl_task10[[%]:[%]])</f>
        <v/>
      </c>
      <c r="II19" s="121" t="str">
        <f>IF(ISBLANK(tbl_task10[[คะแนนเต็ม]:[คะแนนเต็ม]]),"",(tbl_task10[73]/tbl_task10[[คะแนนเต็ม]:[คะแนนเต็ม]])*tbl_task10[[%]:[%]])</f>
        <v/>
      </c>
      <c r="IJ19" s="121" t="str">
        <f>IF(ISBLANK(tbl_task10[[คะแนนเต็ม]:[คะแนนเต็ม]]),"",(tbl_task10[74]/tbl_task10[[คะแนนเต็ม]:[คะแนนเต็ม]])*tbl_task10[[%]:[%]])</f>
        <v/>
      </c>
      <c r="IK19" s="121" t="str">
        <f>IF(ISBLANK(tbl_task10[[คะแนนเต็ม]:[คะแนนเต็ม]]),"",(tbl_task10[75]/tbl_task10[[คะแนนเต็ม]:[คะแนนเต็ม]])*tbl_task10[[%]:[%]])</f>
        <v/>
      </c>
      <c r="IL19" s="121" t="str">
        <f>IF(ISBLANK(tbl_task10[[คะแนนเต็ม]:[คะแนนเต็ม]]),"",(tbl_task10[76]/tbl_task10[[คะแนนเต็ม]:[คะแนนเต็ม]])*tbl_task10[[%]:[%]])</f>
        <v/>
      </c>
      <c r="IM19" s="121" t="str">
        <f>IF(ISBLANK(tbl_task10[[คะแนนเต็ม]:[คะแนนเต็ม]]),"",(tbl_task10[77]/tbl_task10[[คะแนนเต็ม]:[คะแนนเต็ม]])*tbl_task10[[%]:[%]])</f>
        <v/>
      </c>
      <c r="IN19" s="121" t="str">
        <f>IF(ISBLANK(tbl_task10[[คะแนนเต็ม]:[คะแนนเต็ม]]),"",(tbl_task10[78]/tbl_task10[[คะแนนเต็ม]:[คะแนนเต็ม]])*tbl_task10[[%]:[%]])</f>
        <v/>
      </c>
      <c r="IO19" s="121" t="str">
        <f>IF(ISBLANK(tbl_task10[[คะแนนเต็ม]:[คะแนนเต็ม]]),"",(tbl_task10[79]/tbl_task10[[คะแนนเต็ม]:[คะแนนเต็ม]])*tbl_task10[[%]:[%]])</f>
        <v/>
      </c>
      <c r="IP19" s="121" t="str">
        <f>IF(ISBLANK(tbl_task10[[คะแนนเต็ม]:[คะแนนเต็ม]]),"",(tbl_task10[80]/tbl_task10[[คะแนนเต็ม]:[คะแนนเต็ม]])*tbl_task10[[%]:[%]])</f>
        <v/>
      </c>
      <c r="IQ19" s="121" t="str">
        <f>IF(ISBLANK(tbl_task10[[คะแนนเต็ม]:[คะแนนเต็ม]]),"",(tbl_task10[81]/tbl_task10[[คะแนนเต็ม]:[คะแนนเต็ม]])*tbl_task10[[%]:[%]])</f>
        <v/>
      </c>
      <c r="IR19" s="121" t="str">
        <f>IF(ISBLANK(tbl_task10[[คะแนนเต็ม]:[คะแนนเต็ม]]),"",(tbl_task10[82]/tbl_task10[[คะแนนเต็ม]:[คะแนนเต็ม]])*tbl_task10[[%]:[%]])</f>
        <v/>
      </c>
      <c r="IS19" s="121" t="str">
        <f>IF(ISBLANK(tbl_task10[[คะแนนเต็ม]:[คะแนนเต็ม]]),"",(tbl_task10[83]/tbl_task10[[คะแนนเต็ม]:[คะแนนเต็ม]])*tbl_task10[[%]:[%]])</f>
        <v/>
      </c>
      <c r="IT19" s="121" t="str">
        <f>IF(ISBLANK(tbl_task10[[คะแนนเต็ม]:[คะแนนเต็ม]]),"",(tbl_task10[84]/tbl_task10[[คะแนนเต็ม]:[คะแนนเต็ม]])*tbl_task10[[%]:[%]])</f>
        <v/>
      </c>
      <c r="IU19" s="121" t="str">
        <f>IF(ISBLANK(tbl_task10[[คะแนนเต็ม]:[คะแนนเต็ม]]),"",(tbl_task10[85]/tbl_task10[[คะแนนเต็ม]:[คะแนนเต็ม]])*tbl_task10[[%]:[%]])</f>
        <v/>
      </c>
      <c r="IV19" s="121" t="str">
        <f>IF(ISBLANK(tbl_task10[[คะแนนเต็ม]:[คะแนนเต็ม]]),"",(tbl_task10[86]/tbl_task10[[คะแนนเต็ม]:[คะแนนเต็ม]])*tbl_task10[[%]:[%]])</f>
        <v/>
      </c>
      <c r="IW19" s="121" t="str">
        <f>IF(ISBLANK(tbl_task10[[คะแนนเต็ม]:[คะแนนเต็ม]]),"",(tbl_task10[87]/tbl_task10[[คะแนนเต็ม]:[คะแนนเต็ม]])*tbl_task10[[%]:[%]])</f>
        <v/>
      </c>
      <c r="IX19" s="121" t="str">
        <f>IF(ISBLANK(tbl_task10[[คะแนนเต็ม]:[คะแนนเต็ม]]),"",(tbl_task10[88]/tbl_task10[[คะแนนเต็ม]:[คะแนนเต็ม]])*tbl_task10[[%]:[%]])</f>
        <v/>
      </c>
      <c r="IY19" s="121" t="str">
        <f>IF(ISBLANK(tbl_task10[[คะแนนเต็ม]:[คะแนนเต็ม]]),"",(tbl_task10[89]/tbl_task10[[คะแนนเต็ม]:[คะแนนเต็ม]])*tbl_task10[[%]:[%]])</f>
        <v/>
      </c>
      <c r="IZ19" s="121" t="str">
        <f>IF(ISBLANK(tbl_task10[[คะแนนเต็ม]:[คะแนนเต็ม]]),"",(tbl_task10[90]/tbl_task10[[คะแนนเต็ม]:[คะแนนเต็ม]])*tbl_task10[[%]:[%]])</f>
        <v/>
      </c>
      <c r="JA19" s="121" t="str">
        <f>IF(ISBLANK(tbl_task10[[คะแนนเต็ม]:[คะแนนเต็ม]]),"",(tbl_task10[91]/tbl_task10[[คะแนนเต็ม]:[คะแนนเต็ม]])*tbl_task10[[%]:[%]])</f>
        <v/>
      </c>
      <c r="JB19" s="121" t="str">
        <f>IF(ISBLANK(tbl_task10[[คะแนนเต็ม]:[คะแนนเต็ม]]),"",(tbl_task10[92]/tbl_task10[[คะแนนเต็ม]:[คะแนนเต็ม]])*tbl_task10[[%]:[%]])</f>
        <v/>
      </c>
      <c r="JC19" s="121" t="str">
        <f>IF(ISBLANK(tbl_task10[[คะแนนเต็ม]:[คะแนนเต็ม]]),"",(tbl_task10[93]/tbl_task10[[คะแนนเต็ม]:[คะแนนเต็ม]])*tbl_task10[[%]:[%]])</f>
        <v/>
      </c>
      <c r="JD19" s="121" t="str">
        <f>IF(ISBLANK(tbl_task10[[คะแนนเต็ม]:[คะแนนเต็ม]]),"",(tbl_task10[94]/tbl_task10[[คะแนนเต็ม]:[คะแนนเต็ม]])*tbl_task10[[%]:[%]])</f>
        <v/>
      </c>
      <c r="JE19" s="121" t="str">
        <f>IF(ISBLANK(tbl_task10[[คะแนนเต็ม]:[คะแนนเต็ม]]),"",(tbl_task10[95]/tbl_task10[[คะแนนเต็ม]:[คะแนนเต็ม]])*tbl_task10[[%]:[%]])</f>
        <v/>
      </c>
      <c r="JF19" s="121" t="str">
        <f>IF(ISBLANK(tbl_task10[[คะแนนเต็ม]:[คะแนนเต็ม]]),"",(tbl_task10[96]/tbl_task10[[คะแนนเต็ม]:[คะแนนเต็ม]])*tbl_task10[[%]:[%]])</f>
        <v/>
      </c>
      <c r="JG19" s="121" t="str">
        <f>IF(ISBLANK(tbl_task10[[คะแนนเต็ม]:[คะแนนเต็ม]]),"",(tbl_task10[97]/tbl_task10[[คะแนนเต็ม]:[คะแนนเต็ม]])*tbl_task10[[%]:[%]])</f>
        <v/>
      </c>
      <c r="JH19" s="121" t="str">
        <f>IF(ISBLANK(tbl_task10[[คะแนนเต็ม]:[คะแนนเต็ม]]),"",(tbl_task10[98]/tbl_task10[[คะแนนเต็ม]:[คะแนนเต็ม]])*tbl_task10[[%]:[%]])</f>
        <v/>
      </c>
      <c r="JI19" s="121" t="str">
        <f>IF(ISBLANK(tbl_task10[[คะแนนเต็ม]:[คะแนนเต็ม]]),"",(tbl_task10[99]/tbl_task10[[คะแนนเต็ม]:[คะแนนเต็ม]])*tbl_task10[[%]:[%]])</f>
        <v/>
      </c>
      <c r="JJ19" s="121" t="str">
        <f>IF(ISBLANK(tbl_task10[[คะแนนเต็ม]:[คะแนนเต็ม]]),"",(tbl_task10[100]/tbl_task10[[คะแนนเต็ม]:[คะแนนเต็ม]])*tbl_task10[[%]:[%]])</f>
        <v/>
      </c>
      <c r="JK19" s="121" t="str">
        <f>IF(ISBLANK(tbl_task10[[คะแนนเต็ม]:[คะแนนเต็ม]]),"",(tbl_task10[101]/tbl_task10[[คะแนนเต็ม]:[คะแนนเต็ม]])*tbl_task10[[%]:[%]])</f>
        <v/>
      </c>
      <c r="JL19" s="121" t="str">
        <f>IF(ISBLANK(tbl_task10[[คะแนนเต็ม]:[คะแนนเต็ม]]),"",(tbl_task10[102]/tbl_task10[[คะแนนเต็ม]:[คะแนนเต็ม]])*tbl_task10[[%]:[%]])</f>
        <v/>
      </c>
      <c r="JM19" s="121" t="str">
        <f>IF(ISBLANK(tbl_task10[[คะแนนเต็ม]:[คะแนนเต็ม]]),"",(tbl_task10[103]/tbl_task10[[คะแนนเต็ม]:[คะแนนเต็ม]])*tbl_task10[[%]:[%]])</f>
        <v/>
      </c>
      <c r="JN19" s="121" t="str">
        <f>IF(ISBLANK(tbl_task10[[คะแนนเต็ม]:[คะแนนเต็ม]]),"",(tbl_task10[104]/tbl_task10[[คะแนนเต็ม]:[คะแนนเต็ม]])*tbl_task10[[%]:[%]])</f>
        <v/>
      </c>
      <c r="JO19" s="121" t="str">
        <f>IF(ISBLANK(tbl_task10[[คะแนนเต็ม]:[คะแนนเต็ม]]),"",(tbl_task10[105]/tbl_task10[[คะแนนเต็ม]:[คะแนนเต็ม]])*tbl_task10[[%]:[%]])</f>
        <v/>
      </c>
      <c r="JP19" s="121" t="str">
        <f>IF(ISBLANK(tbl_task10[[คะแนนเต็ม]:[คะแนนเต็ม]]),"",(tbl_task10[106]/tbl_task10[[คะแนนเต็ม]:[คะแนนเต็ม]])*tbl_task10[[%]:[%]])</f>
        <v/>
      </c>
      <c r="JQ19" s="121" t="str">
        <f>IF(ISBLANK(tbl_task10[[คะแนนเต็ม]:[คะแนนเต็ม]]),"",(tbl_task10[107]/tbl_task10[[คะแนนเต็ม]:[คะแนนเต็ม]])*tbl_task10[[%]:[%]])</f>
        <v/>
      </c>
      <c r="JR19" s="121" t="str">
        <f>IF(ISBLANK(tbl_task10[[คะแนนเต็ม]:[คะแนนเต็ม]]),"",(tbl_task10[108]/tbl_task10[[คะแนนเต็ม]:[คะแนนเต็ม]])*tbl_task10[[%]:[%]])</f>
        <v/>
      </c>
      <c r="JS19" s="121" t="str">
        <f>IF(ISBLANK(tbl_task10[[คะแนนเต็ม]:[คะแนนเต็ม]]),"",(tbl_task10[109]/tbl_task10[[คะแนนเต็ม]:[คะแนนเต็ม]])*tbl_task10[[%]:[%]])</f>
        <v/>
      </c>
      <c r="JT19" s="121" t="str">
        <f>IF(ISBLANK(tbl_task10[[คะแนนเต็ม]:[คะแนนเต็ม]]),"",(tbl_task10[110]/tbl_task10[[คะแนนเต็ม]:[คะแนนเต็ม]])*tbl_task10[[%]:[%]])</f>
        <v/>
      </c>
      <c r="JU19" s="121" t="str">
        <f>IF(ISBLANK(tbl_task10[[คะแนนเต็ม]:[คะแนนเต็ม]]),"",(tbl_task10[111]/tbl_task10[[คะแนนเต็ม]:[คะแนนเต็ม]])*tbl_task10[[%]:[%]])</f>
        <v/>
      </c>
      <c r="JV19" s="121" t="str">
        <f>IF(ISBLANK(tbl_task10[[คะแนนเต็ม]:[คะแนนเต็ม]]),"",(tbl_task10[112]/tbl_task10[[คะแนนเต็ม]:[คะแนนเต็ม]])*tbl_task10[[%]:[%]])</f>
        <v/>
      </c>
      <c r="JW19" s="121" t="str">
        <f>IF(ISBLANK(tbl_task10[[คะแนนเต็ม]:[คะแนนเต็ม]]),"",(tbl_task10[113]/tbl_task10[[คะแนนเต็ม]:[คะแนนเต็ม]])*tbl_task10[[%]:[%]])</f>
        <v/>
      </c>
      <c r="JX19" s="121" t="str">
        <f>IF(ISBLANK(tbl_task10[[คะแนนเต็ม]:[คะแนนเต็ม]]),"",(tbl_task10[114]/tbl_task10[[คะแนนเต็ม]:[คะแนนเต็ม]])*tbl_task10[[%]:[%]])</f>
        <v/>
      </c>
      <c r="JY19" s="121" t="str">
        <f>IF(ISBLANK(tbl_task10[[คะแนนเต็ม]:[คะแนนเต็ม]]),"",(tbl_task10[115]/tbl_task10[[คะแนนเต็ม]:[คะแนนเต็ม]])*tbl_task10[[%]:[%]])</f>
        <v/>
      </c>
      <c r="JZ19" s="121" t="str">
        <f>IF(ISBLANK(tbl_task10[[คะแนนเต็ม]:[คะแนนเต็ม]]),"",(tbl_task10[116]/tbl_task10[[คะแนนเต็ม]:[คะแนนเต็ม]])*tbl_task10[[%]:[%]])</f>
        <v/>
      </c>
      <c r="KA19" s="121" t="str">
        <f>IF(ISBLANK(tbl_task10[[คะแนนเต็ม]:[คะแนนเต็ม]]),"",(tbl_task10[117]/tbl_task10[[คะแนนเต็ม]:[คะแนนเต็ม]])*tbl_task10[[%]:[%]])</f>
        <v/>
      </c>
      <c r="KB19" s="121" t="str">
        <f>IF(ISBLANK(tbl_task10[[คะแนนเต็ม]:[คะแนนเต็ม]]),"",(tbl_task10[118]/tbl_task10[[คะแนนเต็ม]:[คะแนนเต็ม]])*tbl_task10[[%]:[%]])</f>
        <v/>
      </c>
      <c r="KC19" s="121" t="str">
        <f>IF(ISBLANK(tbl_task10[[คะแนนเต็ม]:[คะแนนเต็ม]]),"",(tbl_task10[119]/tbl_task10[[คะแนนเต็ม]:[คะแนนเต็ม]])*tbl_task10[[%]:[%]])</f>
        <v/>
      </c>
      <c r="KD19" s="121" t="str">
        <f>IF(ISBLANK(tbl_task10[[คะแนนเต็ม]:[คะแนนเต็ม]]),"",(tbl_task10[120]/tbl_task10[[คะแนนเต็ม]:[คะแนนเต็ม]])*tbl_task10[[%]:[%]])</f>
        <v/>
      </c>
      <c r="KE19" s="121" t="str">
        <f>IF(ISBLANK(tbl_task10[[คะแนนเต็ม]:[คะแนนเต็ม]]),"",(tbl_task10[121]/tbl_task10[[คะแนนเต็ม]:[คะแนนเต็ม]])*tbl_task10[[%]:[%]])</f>
        <v/>
      </c>
      <c r="KF19" s="121" t="str">
        <f>IF(ISBLANK(tbl_task10[[คะแนนเต็ม]:[คะแนนเต็ม]]),"",(tbl_task10[122]/tbl_task10[[คะแนนเต็ม]:[คะแนนเต็ม]])*tbl_task10[[%]:[%]])</f>
        <v/>
      </c>
      <c r="KG19" s="121" t="str">
        <f>IF(ISBLANK(tbl_task10[[คะแนนเต็ม]:[คะแนนเต็ม]]),"",(tbl_task10[123]/tbl_task10[[คะแนนเต็ม]:[คะแนนเต็ม]])*tbl_task10[[%]:[%]])</f>
        <v/>
      </c>
      <c r="KH19" s="121" t="str">
        <f>IF(ISBLANK(tbl_task10[[คะแนนเต็ม]:[คะแนนเต็ม]]),"",(tbl_task10[124]/tbl_task10[[คะแนนเต็ม]:[คะแนนเต็ม]])*tbl_task10[[%]:[%]])</f>
        <v/>
      </c>
      <c r="KI19" s="121" t="str">
        <f>IF(ISBLANK(tbl_task10[[คะแนนเต็ม]:[คะแนนเต็ม]]),"",(tbl_task10[125]/tbl_task10[[คะแนนเต็ม]:[คะแนนเต็ม]])*tbl_task10[[%]:[%]])</f>
        <v/>
      </c>
      <c r="KJ19" s="121" t="str">
        <f>IF(ISBLANK(tbl_task10[[คะแนนเต็ม]:[คะแนนเต็ม]]),"",(tbl_task10[126]/tbl_task10[[คะแนนเต็ม]:[คะแนนเต็ม]])*tbl_task10[[%]:[%]])</f>
        <v/>
      </c>
      <c r="KK19" s="121" t="str">
        <f>IF(ISBLANK(tbl_task10[[คะแนนเต็ม]:[คะแนนเต็ม]]),"",(tbl_task10[127]/tbl_task10[[คะแนนเต็ม]:[คะแนนเต็ม]])*tbl_task10[[%]:[%]])</f>
        <v/>
      </c>
      <c r="KL19" s="121" t="str">
        <f>IF(ISBLANK(tbl_task10[[คะแนนเต็ม]:[คะแนนเต็ม]]),"",(tbl_task10[128]/tbl_task10[[คะแนนเต็ม]:[คะแนนเต็ม]])*tbl_task10[[%]:[%]])</f>
        <v/>
      </c>
      <c r="KM19" s="121" t="str">
        <f>IF(ISBLANK(tbl_task10[[คะแนนเต็ม]:[คะแนนเต็ม]]),"",(tbl_task10[129]/tbl_task10[[คะแนนเต็ม]:[คะแนนเต็ม]])*tbl_task10[[%]:[%]])</f>
        <v/>
      </c>
      <c r="KN19" s="121" t="str">
        <f>IF(ISBLANK(tbl_task10[[คะแนนเต็ม]:[คะแนนเต็ม]]),"",(tbl_task10[130]/tbl_task10[[คะแนนเต็ม]:[คะแนนเต็ม]])*tbl_task10[[%]:[%]])</f>
        <v/>
      </c>
      <c r="KO19" s="121" t="str">
        <f>IF(ISBLANK(tbl_task10[[คะแนนเต็ม]:[คะแนนเต็ม]]),"",(tbl_task10[131]/tbl_task10[[คะแนนเต็ม]:[คะแนนเต็ม]])*tbl_task10[[%]:[%]])</f>
        <v/>
      </c>
      <c r="KP19" s="121" t="str">
        <f>IF(ISBLANK(tbl_task10[[คะแนนเต็ม]:[คะแนนเต็ม]]),"",(tbl_task10[132]/tbl_task10[[คะแนนเต็ม]:[คะแนนเต็ม]])*tbl_task10[[%]:[%]])</f>
        <v/>
      </c>
      <c r="KQ19" s="121" t="str">
        <f>IF(ISBLANK(tbl_task10[[คะแนนเต็ม]:[คะแนนเต็ม]]),"",(tbl_task10[133]/tbl_task10[[คะแนนเต็ม]:[คะแนนเต็ม]])*tbl_task10[[%]:[%]])</f>
        <v/>
      </c>
      <c r="KR19" s="121" t="str">
        <f>IF(ISBLANK(tbl_task10[[คะแนนเต็ม]:[คะแนนเต็ม]]),"",(tbl_task10[134]/tbl_task10[[คะแนนเต็ม]:[คะแนนเต็ม]])*tbl_task10[[%]:[%]])</f>
        <v/>
      </c>
      <c r="KS19" s="121" t="str">
        <f>IF(ISBLANK(tbl_task10[[คะแนนเต็ม]:[คะแนนเต็ม]]),"",(tbl_task10[135]/tbl_task10[[คะแนนเต็ม]:[คะแนนเต็ม]])*tbl_task10[[%]:[%]])</f>
        <v/>
      </c>
      <c r="KT19" s="121" t="str">
        <f>IF(ISBLANK(tbl_task10[[คะแนนเต็ม]:[คะแนนเต็ม]]),"",(tbl_task10[136]/tbl_task10[[คะแนนเต็ม]:[คะแนนเต็ม]])*tbl_task10[[%]:[%]])</f>
        <v/>
      </c>
      <c r="KU19" s="121" t="str">
        <f>IF(ISBLANK(tbl_task10[[คะแนนเต็ม]:[คะแนนเต็ม]]),"",(tbl_task10[137]/tbl_task10[[คะแนนเต็ม]:[คะแนนเต็ม]])*tbl_task10[[%]:[%]])</f>
        <v/>
      </c>
      <c r="KV19" s="121" t="str">
        <f>IF(ISBLANK(tbl_task10[[คะแนนเต็ม]:[คะแนนเต็ม]]),"",(tbl_task10[138]/tbl_task10[[คะแนนเต็ม]:[คะแนนเต็ม]])*tbl_task10[[%]:[%]])</f>
        <v/>
      </c>
      <c r="KW19" s="121" t="str">
        <f>IF(ISBLANK(tbl_task10[[คะแนนเต็ม]:[คะแนนเต็ม]]),"",(tbl_task10[139]/tbl_task10[[คะแนนเต็ม]:[คะแนนเต็ม]])*tbl_task10[[%]:[%]])</f>
        <v/>
      </c>
      <c r="KX19" s="121" t="str">
        <f>IF(ISBLANK(tbl_task10[[คะแนนเต็ม]:[คะแนนเต็ม]]),"",(tbl_task10[140]/tbl_task10[[คะแนนเต็ม]:[คะแนนเต็ม]])*tbl_task10[[%]:[%]])</f>
        <v/>
      </c>
      <c r="KY19" s="121" t="str">
        <f>IF(ISBLANK(tbl_task10[[คะแนนเต็ม]:[คะแนนเต็ม]]),"",(tbl_task10[141]/tbl_task10[[คะแนนเต็ม]:[คะแนนเต็ม]])*tbl_task10[[%]:[%]])</f>
        <v/>
      </c>
      <c r="KZ19" s="121" t="str">
        <f>IF(ISBLANK(tbl_task10[[คะแนนเต็ม]:[คะแนนเต็ม]]),"",(tbl_task10[142]/tbl_task10[[คะแนนเต็ม]:[คะแนนเต็ม]])*tbl_task10[[%]:[%]])</f>
        <v/>
      </c>
      <c r="LA19" s="121" t="str">
        <f>IF(ISBLANK(tbl_task10[[คะแนนเต็ม]:[คะแนนเต็ม]]),"",(tbl_task10[143]/tbl_task10[[คะแนนเต็ม]:[คะแนนเต็ม]])*tbl_task10[[%]:[%]])</f>
        <v/>
      </c>
      <c r="LB19" s="121" t="str">
        <f>IF(ISBLANK(tbl_task10[[คะแนนเต็ม]:[คะแนนเต็ม]]),"",(tbl_task10[144]/tbl_task10[[คะแนนเต็ม]:[คะแนนเต็ม]])*tbl_task10[[%]:[%]])</f>
        <v/>
      </c>
      <c r="LC19" s="121" t="str">
        <f>IF(ISBLANK(tbl_task10[[คะแนนเต็ม]:[คะแนนเต็ม]]),"",(tbl_task10[145]/tbl_task10[[คะแนนเต็ม]:[คะแนนเต็ม]])*tbl_task10[[%]:[%]])</f>
        <v/>
      </c>
      <c r="LD19" s="121" t="str">
        <f>IF(ISBLANK(tbl_task10[[คะแนนเต็ม]:[คะแนนเต็ม]]),"",(tbl_task10[146]/tbl_task10[[คะแนนเต็ม]:[คะแนนเต็ม]])*tbl_task10[[%]:[%]])</f>
        <v/>
      </c>
      <c r="LE19" s="121" t="str">
        <f>IF(ISBLANK(tbl_task10[[คะแนนเต็ม]:[คะแนนเต็ม]]),"",(tbl_task10[147]/tbl_task10[[คะแนนเต็ม]:[คะแนนเต็ม]])*tbl_task10[[%]:[%]])</f>
        <v/>
      </c>
      <c r="LF19" s="121" t="str">
        <f>IF(ISBLANK(tbl_task10[[คะแนนเต็ม]:[คะแนนเต็ม]]),"",(tbl_task10[148]/tbl_task10[[คะแนนเต็ม]:[คะแนนเต็ม]])*tbl_task10[[%]:[%]])</f>
        <v/>
      </c>
      <c r="LG19" s="121" t="str">
        <f>IF(ISBLANK(tbl_task10[[คะแนนเต็ม]:[คะแนนเต็ม]]),"",(tbl_task10[149]/tbl_task10[[คะแนนเต็ม]:[คะแนนเต็ม]])*tbl_task10[[%]:[%]])</f>
        <v/>
      </c>
      <c r="LH19" s="121" t="str">
        <f>IF(ISBLANK(tbl_task10[[คะแนนเต็ม]:[คะแนนเต็ม]]),"",(tbl_task10[150]/tbl_task10[[คะแนนเต็ม]:[คะแนนเต็ม]])*tbl_task10[[%]:[%]])</f>
        <v/>
      </c>
      <c r="LI19" s="121" t="str">
        <f>IF(ISBLANK(tbl_task10[[คะแนนเต็ม]:[คะแนนเต็ม]]),"",(tbl_task10[151]/tbl_task10[[คะแนนเต็ม]:[คะแนนเต็ม]])*tbl_task10[[%]:[%]])</f>
        <v/>
      </c>
      <c r="LJ19" s="121" t="str">
        <f>IF(ISBLANK(tbl_task10[[คะแนนเต็ม]:[คะแนนเต็ม]]),"",(tbl_task10[152]/tbl_task10[[คะแนนเต็ม]:[คะแนนเต็ม]])*tbl_task10[[%]:[%]])</f>
        <v/>
      </c>
      <c r="LK19" s="121" t="str">
        <f>IF(ISBLANK(tbl_task10[[คะแนนเต็ม]:[คะแนนเต็ม]]),"",(tbl_task10[153]/tbl_task10[[คะแนนเต็ม]:[คะแนนเต็ม]])*tbl_task10[[%]:[%]])</f>
        <v/>
      </c>
      <c r="LL19" s="121" t="str">
        <f>IF(ISBLANK(tbl_task10[[คะแนนเต็ม]:[คะแนนเต็ม]]),"",(tbl_task10[154]/tbl_task10[[คะแนนเต็ม]:[คะแนนเต็ม]])*tbl_task10[[%]:[%]])</f>
        <v/>
      </c>
      <c r="LM19" s="121" t="str">
        <f>IF(ISBLANK(tbl_task10[[คะแนนเต็ม]:[คะแนนเต็ม]]),"",(tbl_task10[155]/tbl_task10[[คะแนนเต็ม]:[คะแนนเต็ม]])*tbl_task10[[%]:[%]])</f>
        <v/>
      </c>
      <c r="LN19" s="121" t="str">
        <f>IF(ISBLANK(tbl_task10[[คะแนนเต็ม]:[คะแนนเต็ม]]),"",(tbl_task10[156]/tbl_task10[[คะแนนเต็ม]:[คะแนนเต็ม]])*tbl_task10[[%]:[%]])</f>
        <v/>
      </c>
      <c r="LO19" s="121" t="str">
        <f>IF(ISBLANK(tbl_task10[[คะแนนเต็ม]:[คะแนนเต็ม]]),"",(tbl_task10[157]/tbl_task10[[คะแนนเต็ม]:[คะแนนเต็ม]])*tbl_task10[[%]:[%]])</f>
        <v/>
      </c>
      <c r="LP19" s="121" t="str">
        <f>IF(ISBLANK(tbl_task10[[คะแนนเต็ม]:[คะแนนเต็ม]]),"",(tbl_task10[158]/tbl_task10[[คะแนนเต็ม]:[คะแนนเต็ม]])*tbl_task10[[%]:[%]])</f>
        <v/>
      </c>
      <c r="LQ19" s="121" t="str">
        <f>IF(ISBLANK(tbl_task10[[คะแนนเต็ม]:[คะแนนเต็ม]]),"",(tbl_task10[159]/tbl_task10[[คะแนนเต็ม]:[คะแนนเต็ม]])*tbl_task10[[%]:[%]])</f>
        <v/>
      </c>
      <c r="LR19" s="121" t="str">
        <f>IF(ISBLANK(tbl_task10[[คะแนนเต็ม]:[คะแนนเต็ม]]),"",(tbl_task10[160]/tbl_task10[[คะแนนเต็ม]:[คะแนนเต็ม]])*tbl_task10[[%]:[%]])</f>
        <v/>
      </c>
      <c r="LS19" s="121" t="str">
        <f>IF(ISBLANK(tbl_task10[[คะแนนเต็ม]:[คะแนนเต็ม]]),"",(tbl_task10[161]/tbl_task10[[คะแนนเต็ม]:[คะแนนเต็ม]])*tbl_task10[[%]:[%]])</f>
        <v/>
      </c>
      <c r="LT19" s="121" t="str">
        <f>IF(ISBLANK(tbl_task10[[คะแนนเต็ม]:[คะแนนเต็ม]]),"",(tbl_task10[162]/tbl_task10[[คะแนนเต็ม]:[คะแนนเต็ม]])*tbl_task10[[%]:[%]])</f>
        <v/>
      </c>
      <c r="LU19" s="121" t="str">
        <f>IF(ISBLANK(tbl_task10[[คะแนนเต็ม]:[คะแนนเต็ม]]),"",(tbl_task10[163]/tbl_task10[[คะแนนเต็ม]:[คะแนนเต็ม]])*tbl_task10[[%]:[%]])</f>
        <v/>
      </c>
      <c r="LV19" s="121" t="str">
        <f>IF(ISBLANK(tbl_task10[[คะแนนเต็ม]:[คะแนนเต็ม]]),"",(tbl_task10[164]/tbl_task10[[คะแนนเต็ม]:[คะแนนเต็ม]])*tbl_task10[[%]:[%]])</f>
        <v/>
      </c>
      <c r="LW19" s="121" t="str">
        <f>IF(ISBLANK(tbl_task10[[คะแนนเต็ม]:[คะแนนเต็ม]]),"",(tbl_task10[165]/tbl_task10[[คะแนนเต็ม]:[คะแนนเต็ม]])*tbl_task10[[%]:[%]])</f>
        <v/>
      </c>
    </row>
    <row r="20" spans="1:335" ht="24" customHeight="1" x14ac:dyDescent="0.25">
      <c r="A20" s="24">
        <v>17</v>
      </c>
      <c r="B20" s="20"/>
      <c r="C20" s="5" t="str">
        <f>IF(ISBLANK(B20),"",VLOOKUP(B20,tbl_PLOs[],2,0))</f>
        <v/>
      </c>
      <c r="D20" s="102"/>
      <c r="E20" s="106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121" t="str">
        <f>IF(ISBLANK(tbl_task10[[คะแนนเต็ม]:[คะแนนเต็ม]]),"",(tbl_task10[1]/tbl_task10[[คะแนนเต็ม]:[คะแนนเต็ม]])*tbl_task10[[%]:[%]])</f>
        <v/>
      </c>
      <c r="FP20" s="121" t="str">
        <f>IF(ISBLANK(tbl_task10[[คะแนนเต็ม]:[คะแนนเต็ม]]),"",(tbl_task10[2]/tbl_task10[[คะแนนเต็ม]:[คะแนนเต็ม]])*tbl_task10[[%]:[%]])</f>
        <v/>
      </c>
      <c r="FQ20" s="121" t="str">
        <f>IF(ISBLANK(tbl_task10[[คะแนนเต็ม]:[คะแนนเต็ม]]),"",(tbl_task10[3]/tbl_task10[[คะแนนเต็ม]:[คะแนนเต็ม]])*tbl_task10[[%]:[%]])</f>
        <v/>
      </c>
      <c r="FR20" s="121" t="str">
        <f>IF(ISBLANK(tbl_task10[[คะแนนเต็ม]:[คะแนนเต็ม]]),"",(tbl_task10[4]/tbl_task10[[คะแนนเต็ม]:[คะแนนเต็ม]])*tbl_task10[[%]:[%]])</f>
        <v/>
      </c>
      <c r="FS20" s="121" t="str">
        <f>IF(ISBLANK(tbl_task10[[คะแนนเต็ม]:[คะแนนเต็ม]]),"",(tbl_task10[5]/tbl_task10[[คะแนนเต็ม]:[คะแนนเต็ม]])*tbl_task10[[%]:[%]])</f>
        <v/>
      </c>
      <c r="FT20" s="121" t="str">
        <f>IF(ISBLANK(tbl_task10[[คะแนนเต็ม]:[คะแนนเต็ม]]),"",(tbl_task10[6]/tbl_task10[[คะแนนเต็ม]:[คะแนนเต็ม]])*tbl_task10[[%]:[%]])</f>
        <v/>
      </c>
      <c r="FU20" s="121" t="str">
        <f>IF(ISBLANK(tbl_task10[[คะแนนเต็ม]:[คะแนนเต็ม]]),"",(tbl_task10[7]/tbl_task10[[คะแนนเต็ม]:[คะแนนเต็ม]])*tbl_task10[[%]:[%]])</f>
        <v/>
      </c>
      <c r="FV20" s="121" t="str">
        <f>IF(ISBLANK(tbl_task10[[คะแนนเต็ม]:[คะแนนเต็ม]]),"",(tbl_task10[8]/tbl_task10[[คะแนนเต็ม]:[คะแนนเต็ม]])*tbl_task10[[%]:[%]])</f>
        <v/>
      </c>
      <c r="FW20" s="121" t="str">
        <f>IF(ISBLANK(tbl_task10[[คะแนนเต็ม]:[คะแนนเต็ม]]),"",(tbl_task10[9]/tbl_task10[[คะแนนเต็ม]:[คะแนนเต็ม]])*tbl_task10[[%]:[%]])</f>
        <v/>
      </c>
      <c r="FX20" s="121" t="str">
        <f>IF(ISBLANK(tbl_task10[[คะแนนเต็ม]:[คะแนนเต็ม]]),"",(tbl_task10[10]/tbl_task10[[คะแนนเต็ม]:[คะแนนเต็ม]])*tbl_task10[[%]:[%]])</f>
        <v/>
      </c>
      <c r="FY20" s="121" t="str">
        <f>IF(ISBLANK(tbl_task10[[คะแนนเต็ม]:[คะแนนเต็ม]]),"",(tbl_task10[11]/tbl_task10[[คะแนนเต็ม]:[คะแนนเต็ม]])*tbl_task10[[%]:[%]])</f>
        <v/>
      </c>
      <c r="FZ20" s="121" t="str">
        <f>IF(ISBLANK(tbl_task10[[คะแนนเต็ม]:[คะแนนเต็ม]]),"",(tbl_task10[12]/tbl_task10[[คะแนนเต็ม]:[คะแนนเต็ม]])*tbl_task10[[%]:[%]])</f>
        <v/>
      </c>
      <c r="GA20" s="121" t="str">
        <f>IF(ISBLANK(tbl_task10[[คะแนนเต็ม]:[คะแนนเต็ม]]),"",(tbl_task10[13]/tbl_task10[[คะแนนเต็ม]:[คะแนนเต็ม]])*tbl_task10[[%]:[%]])</f>
        <v/>
      </c>
      <c r="GB20" s="121" t="str">
        <f>IF(ISBLANK(tbl_task10[[คะแนนเต็ม]:[คะแนนเต็ม]]),"",(tbl_task10[14]/tbl_task10[[คะแนนเต็ม]:[คะแนนเต็ม]])*tbl_task10[[%]:[%]])</f>
        <v/>
      </c>
      <c r="GC20" s="121" t="str">
        <f>IF(ISBLANK(tbl_task10[[คะแนนเต็ม]:[คะแนนเต็ม]]),"",(tbl_task10[15]/tbl_task10[[คะแนนเต็ม]:[คะแนนเต็ม]])*tbl_task10[[%]:[%]])</f>
        <v/>
      </c>
      <c r="GD20" s="121" t="str">
        <f>IF(ISBLANK(tbl_task10[[คะแนนเต็ม]:[คะแนนเต็ม]]),"",(tbl_task10[16]/tbl_task10[[คะแนนเต็ม]:[คะแนนเต็ม]])*tbl_task10[[%]:[%]])</f>
        <v/>
      </c>
      <c r="GE20" s="121" t="str">
        <f>IF(ISBLANK(tbl_task10[[คะแนนเต็ม]:[คะแนนเต็ม]]),"",(tbl_task10[17]/tbl_task10[[คะแนนเต็ม]:[คะแนนเต็ม]])*tbl_task10[[%]:[%]])</f>
        <v/>
      </c>
      <c r="GF20" s="121" t="str">
        <f>IF(ISBLANK(tbl_task10[[คะแนนเต็ม]:[คะแนนเต็ม]]),"",(tbl_task10[18]/tbl_task10[[คะแนนเต็ม]:[คะแนนเต็ม]])*tbl_task10[[%]:[%]])</f>
        <v/>
      </c>
      <c r="GG20" s="121" t="str">
        <f>IF(ISBLANK(tbl_task10[[คะแนนเต็ม]:[คะแนนเต็ม]]),"",(tbl_task10[19]/tbl_task10[[คะแนนเต็ม]:[คะแนนเต็ม]])*tbl_task10[[%]:[%]])</f>
        <v/>
      </c>
      <c r="GH20" s="121" t="str">
        <f>IF(ISBLANK(tbl_task10[[คะแนนเต็ม]:[คะแนนเต็ม]]),"",(tbl_task10[20]/tbl_task10[[คะแนนเต็ม]:[คะแนนเต็ม]])*tbl_task10[[%]:[%]])</f>
        <v/>
      </c>
      <c r="GI20" s="121" t="str">
        <f>IF(ISBLANK(tbl_task10[[คะแนนเต็ม]:[คะแนนเต็ม]]),"",(tbl_task10[21]/tbl_task10[[คะแนนเต็ม]:[คะแนนเต็ม]])*tbl_task10[[%]:[%]])</f>
        <v/>
      </c>
      <c r="GJ20" s="121" t="str">
        <f>IF(ISBLANK(tbl_task10[[คะแนนเต็ม]:[คะแนนเต็ม]]),"",(tbl_task10[22]/tbl_task10[[คะแนนเต็ม]:[คะแนนเต็ม]])*tbl_task10[[%]:[%]])</f>
        <v/>
      </c>
      <c r="GK20" s="121" t="str">
        <f>IF(ISBLANK(tbl_task10[[คะแนนเต็ม]:[คะแนนเต็ม]]),"",(tbl_task10[23]/tbl_task10[[คะแนนเต็ม]:[คะแนนเต็ม]])*tbl_task10[[%]:[%]])</f>
        <v/>
      </c>
      <c r="GL20" s="121" t="str">
        <f>IF(ISBLANK(tbl_task10[[คะแนนเต็ม]:[คะแนนเต็ม]]),"",(tbl_task10[24]/tbl_task10[[คะแนนเต็ม]:[คะแนนเต็ม]])*tbl_task10[[%]:[%]])</f>
        <v/>
      </c>
      <c r="GM20" s="121" t="str">
        <f>IF(ISBLANK(tbl_task10[[คะแนนเต็ม]:[คะแนนเต็ม]]),"",(tbl_task10[25]/tbl_task10[[คะแนนเต็ม]:[คะแนนเต็ม]])*tbl_task10[[%]:[%]])</f>
        <v/>
      </c>
      <c r="GN20" s="121" t="str">
        <f>IF(ISBLANK(tbl_task10[[คะแนนเต็ม]:[คะแนนเต็ม]]),"",(tbl_task10[26]/tbl_task10[[คะแนนเต็ม]:[คะแนนเต็ม]])*tbl_task10[[%]:[%]])</f>
        <v/>
      </c>
      <c r="GO20" s="121" t="str">
        <f>IF(ISBLANK(tbl_task10[[คะแนนเต็ม]:[คะแนนเต็ม]]),"",(tbl_task10[27]/tbl_task10[[คะแนนเต็ม]:[คะแนนเต็ม]])*tbl_task10[[%]:[%]])</f>
        <v/>
      </c>
      <c r="GP20" s="121" t="str">
        <f>IF(ISBLANK(tbl_task10[[คะแนนเต็ม]:[คะแนนเต็ม]]),"",(tbl_task10[28]/tbl_task10[[คะแนนเต็ม]:[คะแนนเต็ม]])*tbl_task10[[%]:[%]])</f>
        <v/>
      </c>
      <c r="GQ20" s="121" t="str">
        <f>IF(ISBLANK(tbl_task10[[คะแนนเต็ม]:[คะแนนเต็ม]]),"",(tbl_task10[29]/tbl_task10[[คะแนนเต็ม]:[คะแนนเต็ม]])*tbl_task10[[%]:[%]])</f>
        <v/>
      </c>
      <c r="GR20" s="121" t="str">
        <f>IF(ISBLANK(tbl_task10[[คะแนนเต็ม]:[คะแนนเต็ม]]),"",(tbl_task10[30]/tbl_task10[[คะแนนเต็ม]:[คะแนนเต็ม]])*tbl_task10[[%]:[%]])</f>
        <v/>
      </c>
      <c r="GS20" s="121" t="str">
        <f>IF(ISBLANK(tbl_task10[[คะแนนเต็ม]:[คะแนนเต็ม]]),"",(tbl_task10[31]/tbl_task10[[คะแนนเต็ม]:[คะแนนเต็ม]])*tbl_task10[[%]:[%]])</f>
        <v/>
      </c>
      <c r="GT20" s="121" t="str">
        <f>IF(ISBLANK(tbl_task10[[คะแนนเต็ม]:[คะแนนเต็ม]]),"",(tbl_task10[32]/tbl_task10[[คะแนนเต็ม]:[คะแนนเต็ม]])*tbl_task10[[%]:[%]])</f>
        <v/>
      </c>
      <c r="GU20" s="121" t="str">
        <f>IF(ISBLANK(tbl_task10[[คะแนนเต็ม]:[คะแนนเต็ม]]),"",(tbl_task10[33]/tbl_task10[[คะแนนเต็ม]:[คะแนนเต็ม]])*tbl_task10[[%]:[%]])</f>
        <v/>
      </c>
      <c r="GV20" s="121" t="str">
        <f>IF(ISBLANK(tbl_task10[[คะแนนเต็ม]:[คะแนนเต็ม]]),"",(tbl_task10[34]/tbl_task10[[คะแนนเต็ม]:[คะแนนเต็ม]])*tbl_task10[[%]:[%]])</f>
        <v/>
      </c>
      <c r="GW20" s="121" t="str">
        <f>IF(ISBLANK(tbl_task10[[คะแนนเต็ม]:[คะแนนเต็ม]]),"",(tbl_task10[35]/tbl_task10[[คะแนนเต็ม]:[คะแนนเต็ม]])*tbl_task10[[%]:[%]])</f>
        <v/>
      </c>
      <c r="GX20" s="121" t="str">
        <f>IF(ISBLANK(tbl_task10[[คะแนนเต็ม]:[คะแนนเต็ม]]),"",(tbl_task10[36]/tbl_task10[[คะแนนเต็ม]:[คะแนนเต็ม]])*tbl_task10[[%]:[%]])</f>
        <v/>
      </c>
      <c r="GY20" s="121" t="str">
        <f>IF(ISBLANK(tbl_task10[[คะแนนเต็ม]:[คะแนนเต็ม]]),"",(tbl_task10[37]/tbl_task10[[คะแนนเต็ม]:[คะแนนเต็ม]])*tbl_task10[[%]:[%]])</f>
        <v/>
      </c>
      <c r="GZ20" s="121" t="str">
        <f>IF(ISBLANK(tbl_task10[[คะแนนเต็ม]:[คะแนนเต็ม]]),"",(tbl_task10[38]/tbl_task10[[คะแนนเต็ม]:[คะแนนเต็ม]])*tbl_task10[[%]:[%]])</f>
        <v/>
      </c>
      <c r="HA20" s="121" t="str">
        <f>IF(ISBLANK(tbl_task10[[คะแนนเต็ม]:[คะแนนเต็ม]]),"",(tbl_task10[39]/tbl_task10[[คะแนนเต็ม]:[คะแนนเต็ม]])*tbl_task10[[%]:[%]])</f>
        <v/>
      </c>
      <c r="HB20" s="121" t="str">
        <f>IF(ISBLANK(tbl_task10[[คะแนนเต็ม]:[คะแนนเต็ม]]),"",(tbl_task10[40]/tbl_task10[[คะแนนเต็ม]:[คะแนนเต็ม]])*tbl_task10[[%]:[%]])</f>
        <v/>
      </c>
      <c r="HC20" s="121" t="str">
        <f>IF(ISBLANK(tbl_task10[[คะแนนเต็ม]:[คะแนนเต็ม]]),"",(tbl_task10[41]/tbl_task10[[คะแนนเต็ม]:[คะแนนเต็ม]])*tbl_task10[[%]:[%]])</f>
        <v/>
      </c>
      <c r="HD20" s="121" t="str">
        <f>IF(ISBLANK(tbl_task10[[คะแนนเต็ม]:[คะแนนเต็ม]]),"",(tbl_task10[42]/tbl_task10[[คะแนนเต็ม]:[คะแนนเต็ม]])*tbl_task10[[%]:[%]])</f>
        <v/>
      </c>
      <c r="HE20" s="121" t="str">
        <f>IF(ISBLANK(tbl_task10[[คะแนนเต็ม]:[คะแนนเต็ม]]),"",(tbl_task10[43]/tbl_task10[[คะแนนเต็ม]:[คะแนนเต็ม]])*tbl_task10[[%]:[%]])</f>
        <v/>
      </c>
      <c r="HF20" s="121" t="str">
        <f>IF(ISBLANK(tbl_task10[[คะแนนเต็ม]:[คะแนนเต็ม]]),"",(tbl_task10[44]/tbl_task10[[คะแนนเต็ม]:[คะแนนเต็ม]])*tbl_task10[[%]:[%]])</f>
        <v/>
      </c>
      <c r="HG20" s="121" t="str">
        <f>IF(ISBLANK(tbl_task10[[คะแนนเต็ม]:[คะแนนเต็ม]]),"",(tbl_task10[45]/tbl_task10[[คะแนนเต็ม]:[คะแนนเต็ม]])*tbl_task10[[%]:[%]])</f>
        <v/>
      </c>
      <c r="HH20" s="121" t="str">
        <f>IF(ISBLANK(tbl_task10[[คะแนนเต็ม]:[คะแนนเต็ม]]),"",(tbl_task10[46]/tbl_task10[[คะแนนเต็ม]:[คะแนนเต็ม]])*tbl_task10[[%]:[%]])</f>
        <v/>
      </c>
      <c r="HI20" s="121" t="str">
        <f>IF(ISBLANK(tbl_task10[[คะแนนเต็ม]:[คะแนนเต็ม]]),"",(tbl_task10[47]/tbl_task10[[คะแนนเต็ม]:[คะแนนเต็ม]])*tbl_task10[[%]:[%]])</f>
        <v/>
      </c>
      <c r="HJ20" s="121" t="str">
        <f>IF(ISBLANK(tbl_task10[[คะแนนเต็ม]:[คะแนนเต็ม]]),"",(tbl_task10[48]/tbl_task10[[คะแนนเต็ม]:[คะแนนเต็ม]])*tbl_task10[[%]:[%]])</f>
        <v/>
      </c>
      <c r="HK20" s="121" t="str">
        <f>IF(ISBLANK(tbl_task10[[คะแนนเต็ม]:[คะแนนเต็ม]]),"",(tbl_task10[49]/tbl_task10[[คะแนนเต็ม]:[คะแนนเต็ม]])*tbl_task10[[%]:[%]])</f>
        <v/>
      </c>
      <c r="HL20" s="121" t="str">
        <f>IF(ISBLANK(tbl_task10[[คะแนนเต็ม]:[คะแนนเต็ม]]),"",(tbl_task10[50]/tbl_task10[[คะแนนเต็ม]:[คะแนนเต็ม]])*tbl_task10[[%]:[%]])</f>
        <v/>
      </c>
      <c r="HM20" s="121" t="str">
        <f>IF(ISBLANK(tbl_task10[[คะแนนเต็ม]:[คะแนนเต็ม]]),"",(tbl_task10[51]/tbl_task10[[คะแนนเต็ม]:[คะแนนเต็ม]])*tbl_task10[[%]:[%]])</f>
        <v/>
      </c>
      <c r="HN20" s="121" t="str">
        <f>IF(ISBLANK(tbl_task10[[คะแนนเต็ม]:[คะแนนเต็ม]]),"",(tbl_task10[52]/tbl_task10[[คะแนนเต็ม]:[คะแนนเต็ม]])*tbl_task10[[%]:[%]])</f>
        <v/>
      </c>
      <c r="HO20" s="121" t="str">
        <f>IF(ISBLANK(tbl_task10[[คะแนนเต็ม]:[คะแนนเต็ม]]),"",(tbl_task10[53]/tbl_task10[[คะแนนเต็ม]:[คะแนนเต็ม]])*tbl_task10[[%]:[%]])</f>
        <v/>
      </c>
      <c r="HP20" s="121" t="str">
        <f>IF(ISBLANK(tbl_task10[[คะแนนเต็ม]:[คะแนนเต็ม]]),"",(tbl_task10[54]/tbl_task10[[คะแนนเต็ม]:[คะแนนเต็ม]])*tbl_task10[[%]:[%]])</f>
        <v/>
      </c>
      <c r="HQ20" s="121" t="str">
        <f>IF(ISBLANK(tbl_task10[[คะแนนเต็ม]:[คะแนนเต็ม]]),"",(tbl_task10[55]/tbl_task10[[คะแนนเต็ม]:[คะแนนเต็ม]])*tbl_task10[[%]:[%]])</f>
        <v/>
      </c>
      <c r="HR20" s="121" t="str">
        <f>IF(ISBLANK(tbl_task10[[คะแนนเต็ม]:[คะแนนเต็ม]]),"",(tbl_task10[56]/tbl_task10[[คะแนนเต็ม]:[คะแนนเต็ม]])*tbl_task10[[%]:[%]])</f>
        <v/>
      </c>
      <c r="HS20" s="121" t="str">
        <f>IF(ISBLANK(tbl_task10[[คะแนนเต็ม]:[คะแนนเต็ม]]),"",(tbl_task10[57]/tbl_task10[[คะแนนเต็ม]:[คะแนนเต็ม]])*tbl_task10[[%]:[%]])</f>
        <v/>
      </c>
      <c r="HT20" s="121" t="str">
        <f>IF(ISBLANK(tbl_task10[[คะแนนเต็ม]:[คะแนนเต็ม]]),"",(tbl_task10[58]/tbl_task10[[คะแนนเต็ม]:[คะแนนเต็ม]])*tbl_task10[[%]:[%]])</f>
        <v/>
      </c>
      <c r="HU20" s="121" t="str">
        <f>IF(ISBLANK(tbl_task10[[คะแนนเต็ม]:[คะแนนเต็ม]]),"",(tbl_task10[59]/tbl_task10[[คะแนนเต็ม]:[คะแนนเต็ม]])*tbl_task10[[%]:[%]])</f>
        <v/>
      </c>
      <c r="HV20" s="121" t="str">
        <f>IF(ISBLANK(tbl_task10[[คะแนนเต็ม]:[คะแนนเต็ม]]),"",(tbl_task10[60]/tbl_task10[[คะแนนเต็ม]:[คะแนนเต็ม]])*tbl_task10[[%]:[%]])</f>
        <v/>
      </c>
      <c r="HW20" s="121" t="str">
        <f>IF(ISBLANK(tbl_task10[[คะแนนเต็ม]:[คะแนนเต็ม]]),"",(tbl_task10[61]/tbl_task10[[คะแนนเต็ม]:[คะแนนเต็ม]])*tbl_task10[[%]:[%]])</f>
        <v/>
      </c>
      <c r="HX20" s="121" t="str">
        <f>IF(ISBLANK(tbl_task10[[คะแนนเต็ม]:[คะแนนเต็ม]]),"",(tbl_task10[62]/tbl_task10[[คะแนนเต็ม]:[คะแนนเต็ม]])*tbl_task10[[%]:[%]])</f>
        <v/>
      </c>
      <c r="HY20" s="121" t="str">
        <f>IF(ISBLANK(tbl_task10[[คะแนนเต็ม]:[คะแนนเต็ม]]),"",(tbl_task10[63]/tbl_task10[[คะแนนเต็ม]:[คะแนนเต็ม]])*tbl_task10[[%]:[%]])</f>
        <v/>
      </c>
      <c r="HZ20" s="121" t="str">
        <f>IF(ISBLANK(tbl_task10[[คะแนนเต็ม]:[คะแนนเต็ม]]),"",(tbl_task10[64]/tbl_task10[[คะแนนเต็ม]:[คะแนนเต็ม]])*tbl_task10[[%]:[%]])</f>
        <v/>
      </c>
      <c r="IA20" s="121" t="str">
        <f>IF(ISBLANK(tbl_task10[[คะแนนเต็ม]:[คะแนนเต็ม]]),"",(tbl_task10[65]/tbl_task10[[คะแนนเต็ม]:[คะแนนเต็ม]])*tbl_task10[[%]:[%]])</f>
        <v/>
      </c>
      <c r="IB20" s="121" t="str">
        <f>IF(ISBLANK(tbl_task10[[คะแนนเต็ม]:[คะแนนเต็ม]]),"",(tbl_task10[66]/tbl_task10[[คะแนนเต็ม]:[คะแนนเต็ม]])*tbl_task10[[%]:[%]])</f>
        <v/>
      </c>
      <c r="IC20" s="121" t="str">
        <f>IF(ISBLANK(tbl_task10[[คะแนนเต็ม]:[คะแนนเต็ม]]),"",(tbl_task10[67]/tbl_task10[[คะแนนเต็ม]:[คะแนนเต็ม]])*tbl_task10[[%]:[%]])</f>
        <v/>
      </c>
      <c r="ID20" s="121" t="str">
        <f>IF(ISBLANK(tbl_task10[[คะแนนเต็ม]:[คะแนนเต็ม]]),"",(tbl_task10[68]/tbl_task10[[คะแนนเต็ม]:[คะแนนเต็ม]])*tbl_task10[[%]:[%]])</f>
        <v/>
      </c>
      <c r="IE20" s="121" t="str">
        <f>IF(ISBLANK(tbl_task10[[คะแนนเต็ม]:[คะแนนเต็ม]]),"",(tbl_task10[69]/tbl_task10[[คะแนนเต็ม]:[คะแนนเต็ม]])*tbl_task10[[%]:[%]])</f>
        <v/>
      </c>
      <c r="IF20" s="121" t="str">
        <f>IF(ISBLANK(tbl_task10[[คะแนนเต็ม]:[คะแนนเต็ม]]),"",(tbl_task10[70]/tbl_task10[[คะแนนเต็ม]:[คะแนนเต็ม]])*tbl_task10[[%]:[%]])</f>
        <v/>
      </c>
      <c r="IG20" s="121" t="str">
        <f>IF(ISBLANK(tbl_task10[[คะแนนเต็ม]:[คะแนนเต็ม]]),"",(tbl_task10[71]/tbl_task10[[คะแนนเต็ม]:[คะแนนเต็ม]])*tbl_task10[[%]:[%]])</f>
        <v/>
      </c>
      <c r="IH20" s="121" t="str">
        <f>IF(ISBLANK(tbl_task10[[คะแนนเต็ม]:[คะแนนเต็ม]]),"",(tbl_task10[72]/tbl_task10[[คะแนนเต็ม]:[คะแนนเต็ม]])*tbl_task10[[%]:[%]])</f>
        <v/>
      </c>
      <c r="II20" s="121" t="str">
        <f>IF(ISBLANK(tbl_task10[[คะแนนเต็ม]:[คะแนนเต็ม]]),"",(tbl_task10[73]/tbl_task10[[คะแนนเต็ม]:[คะแนนเต็ม]])*tbl_task10[[%]:[%]])</f>
        <v/>
      </c>
      <c r="IJ20" s="121" t="str">
        <f>IF(ISBLANK(tbl_task10[[คะแนนเต็ม]:[คะแนนเต็ม]]),"",(tbl_task10[74]/tbl_task10[[คะแนนเต็ม]:[คะแนนเต็ม]])*tbl_task10[[%]:[%]])</f>
        <v/>
      </c>
      <c r="IK20" s="121" t="str">
        <f>IF(ISBLANK(tbl_task10[[คะแนนเต็ม]:[คะแนนเต็ม]]),"",(tbl_task10[75]/tbl_task10[[คะแนนเต็ม]:[คะแนนเต็ม]])*tbl_task10[[%]:[%]])</f>
        <v/>
      </c>
      <c r="IL20" s="121" t="str">
        <f>IF(ISBLANK(tbl_task10[[คะแนนเต็ม]:[คะแนนเต็ม]]),"",(tbl_task10[76]/tbl_task10[[คะแนนเต็ม]:[คะแนนเต็ม]])*tbl_task10[[%]:[%]])</f>
        <v/>
      </c>
      <c r="IM20" s="121" t="str">
        <f>IF(ISBLANK(tbl_task10[[คะแนนเต็ม]:[คะแนนเต็ม]]),"",(tbl_task10[77]/tbl_task10[[คะแนนเต็ม]:[คะแนนเต็ม]])*tbl_task10[[%]:[%]])</f>
        <v/>
      </c>
      <c r="IN20" s="121" t="str">
        <f>IF(ISBLANK(tbl_task10[[คะแนนเต็ม]:[คะแนนเต็ม]]),"",(tbl_task10[78]/tbl_task10[[คะแนนเต็ม]:[คะแนนเต็ม]])*tbl_task10[[%]:[%]])</f>
        <v/>
      </c>
      <c r="IO20" s="121" t="str">
        <f>IF(ISBLANK(tbl_task10[[คะแนนเต็ม]:[คะแนนเต็ม]]),"",(tbl_task10[79]/tbl_task10[[คะแนนเต็ม]:[คะแนนเต็ม]])*tbl_task10[[%]:[%]])</f>
        <v/>
      </c>
      <c r="IP20" s="121" t="str">
        <f>IF(ISBLANK(tbl_task10[[คะแนนเต็ม]:[คะแนนเต็ม]]),"",(tbl_task10[80]/tbl_task10[[คะแนนเต็ม]:[คะแนนเต็ม]])*tbl_task10[[%]:[%]])</f>
        <v/>
      </c>
      <c r="IQ20" s="121" t="str">
        <f>IF(ISBLANK(tbl_task10[[คะแนนเต็ม]:[คะแนนเต็ม]]),"",(tbl_task10[81]/tbl_task10[[คะแนนเต็ม]:[คะแนนเต็ม]])*tbl_task10[[%]:[%]])</f>
        <v/>
      </c>
      <c r="IR20" s="121" t="str">
        <f>IF(ISBLANK(tbl_task10[[คะแนนเต็ม]:[คะแนนเต็ม]]),"",(tbl_task10[82]/tbl_task10[[คะแนนเต็ม]:[คะแนนเต็ม]])*tbl_task10[[%]:[%]])</f>
        <v/>
      </c>
      <c r="IS20" s="121" t="str">
        <f>IF(ISBLANK(tbl_task10[[คะแนนเต็ม]:[คะแนนเต็ม]]),"",(tbl_task10[83]/tbl_task10[[คะแนนเต็ม]:[คะแนนเต็ม]])*tbl_task10[[%]:[%]])</f>
        <v/>
      </c>
      <c r="IT20" s="121" t="str">
        <f>IF(ISBLANK(tbl_task10[[คะแนนเต็ม]:[คะแนนเต็ม]]),"",(tbl_task10[84]/tbl_task10[[คะแนนเต็ม]:[คะแนนเต็ม]])*tbl_task10[[%]:[%]])</f>
        <v/>
      </c>
      <c r="IU20" s="121" t="str">
        <f>IF(ISBLANK(tbl_task10[[คะแนนเต็ม]:[คะแนนเต็ม]]),"",(tbl_task10[85]/tbl_task10[[คะแนนเต็ม]:[คะแนนเต็ม]])*tbl_task10[[%]:[%]])</f>
        <v/>
      </c>
      <c r="IV20" s="121" t="str">
        <f>IF(ISBLANK(tbl_task10[[คะแนนเต็ม]:[คะแนนเต็ม]]),"",(tbl_task10[86]/tbl_task10[[คะแนนเต็ม]:[คะแนนเต็ม]])*tbl_task10[[%]:[%]])</f>
        <v/>
      </c>
      <c r="IW20" s="121" t="str">
        <f>IF(ISBLANK(tbl_task10[[คะแนนเต็ม]:[คะแนนเต็ม]]),"",(tbl_task10[87]/tbl_task10[[คะแนนเต็ม]:[คะแนนเต็ม]])*tbl_task10[[%]:[%]])</f>
        <v/>
      </c>
      <c r="IX20" s="121" t="str">
        <f>IF(ISBLANK(tbl_task10[[คะแนนเต็ม]:[คะแนนเต็ม]]),"",(tbl_task10[88]/tbl_task10[[คะแนนเต็ม]:[คะแนนเต็ม]])*tbl_task10[[%]:[%]])</f>
        <v/>
      </c>
      <c r="IY20" s="121" t="str">
        <f>IF(ISBLANK(tbl_task10[[คะแนนเต็ม]:[คะแนนเต็ม]]),"",(tbl_task10[89]/tbl_task10[[คะแนนเต็ม]:[คะแนนเต็ม]])*tbl_task10[[%]:[%]])</f>
        <v/>
      </c>
      <c r="IZ20" s="121" t="str">
        <f>IF(ISBLANK(tbl_task10[[คะแนนเต็ม]:[คะแนนเต็ม]]),"",(tbl_task10[90]/tbl_task10[[คะแนนเต็ม]:[คะแนนเต็ม]])*tbl_task10[[%]:[%]])</f>
        <v/>
      </c>
      <c r="JA20" s="121" t="str">
        <f>IF(ISBLANK(tbl_task10[[คะแนนเต็ม]:[คะแนนเต็ม]]),"",(tbl_task10[91]/tbl_task10[[คะแนนเต็ม]:[คะแนนเต็ม]])*tbl_task10[[%]:[%]])</f>
        <v/>
      </c>
      <c r="JB20" s="121" t="str">
        <f>IF(ISBLANK(tbl_task10[[คะแนนเต็ม]:[คะแนนเต็ม]]),"",(tbl_task10[92]/tbl_task10[[คะแนนเต็ม]:[คะแนนเต็ม]])*tbl_task10[[%]:[%]])</f>
        <v/>
      </c>
      <c r="JC20" s="121" t="str">
        <f>IF(ISBLANK(tbl_task10[[คะแนนเต็ม]:[คะแนนเต็ม]]),"",(tbl_task10[93]/tbl_task10[[คะแนนเต็ม]:[คะแนนเต็ม]])*tbl_task10[[%]:[%]])</f>
        <v/>
      </c>
      <c r="JD20" s="121" t="str">
        <f>IF(ISBLANK(tbl_task10[[คะแนนเต็ม]:[คะแนนเต็ม]]),"",(tbl_task10[94]/tbl_task10[[คะแนนเต็ม]:[คะแนนเต็ม]])*tbl_task10[[%]:[%]])</f>
        <v/>
      </c>
      <c r="JE20" s="121" t="str">
        <f>IF(ISBLANK(tbl_task10[[คะแนนเต็ม]:[คะแนนเต็ม]]),"",(tbl_task10[95]/tbl_task10[[คะแนนเต็ม]:[คะแนนเต็ม]])*tbl_task10[[%]:[%]])</f>
        <v/>
      </c>
      <c r="JF20" s="121" t="str">
        <f>IF(ISBLANK(tbl_task10[[คะแนนเต็ม]:[คะแนนเต็ม]]),"",(tbl_task10[96]/tbl_task10[[คะแนนเต็ม]:[คะแนนเต็ม]])*tbl_task10[[%]:[%]])</f>
        <v/>
      </c>
      <c r="JG20" s="121" t="str">
        <f>IF(ISBLANK(tbl_task10[[คะแนนเต็ม]:[คะแนนเต็ม]]),"",(tbl_task10[97]/tbl_task10[[คะแนนเต็ม]:[คะแนนเต็ม]])*tbl_task10[[%]:[%]])</f>
        <v/>
      </c>
      <c r="JH20" s="121" t="str">
        <f>IF(ISBLANK(tbl_task10[[คะแนนเต็ม]:[คะแนนเต็ม]]),"",(tbl_task10[98]/tbl_task10[[คะแนนเต็ม]:[คะแนนเต็ม]])*tbl_task10[[%]:[%]])</f>
        <v/>
      </c>
      <c r="JI20" s="121" t="str">
        <f>IF(ISBLANK(tbl_task10[[คะแนนเต็ม]:[คะแนนเต็ม]]),"",(tbl_task10[99]/tbl_task10[[คะแนนเต็ม]:[คะแนนเต็ม]])*tbl_task10[[%]:[%]])</f>
        <v/>
      </c>
      <c r="JJ20" s="121" t="str">
        <f>IF(ISBLANK(tbl_task10[[คะแนนเต็ม]:[คะแนนเต็ม]]),"",(tbl_task10[100]/tbl_task10[[คะแนนเต็ม]:[คะแนนเต็ม]])*tbl_task10[[%]:[%]])</f>
        <v/>
      </c>
      <c r="JK20" s="121" t="str">
        <f>IF(ISBLANK(tbl_task10[[คะแนนเต็ม]:[คะแนนเต็ม]]),"",(tbl_task10[101]/tbl_task10[[คะแนนเต็ม]:[คะแนนเต็ม]])*tbl_task10[[%]:[%]])</f>
        <v/>
      </c>
      <c r="JL20" s="121" t="str">
        <f>IF(ISBLANK(tbl_task10[[คะแนนเต็ม]:[คะแนนเต็ม]]),"",(tbl_task10[102]/tbl_task10[[คะแนนเต็ม]:[คะแนนเต็ม]])*tbl_task10[[%]:[%]])</f>
        <v/>
      </c>
      <c r="JM20" s="121" t="str">
        <f>IF(ISBLANK(tbl_task10[[คะแนนเต็ม]:[คะแนนเต็ม]]),"",(tbl_task10[103]/tbl_task10[[คะแนนเต็ม]:[คะแนนเต็ม]])*tbl_task10[[%]:[%]])</f>
        <v/>
      </c>
      <c r="JN20" s="121" t="str">
        <f>IF(ISBLANK(tbl_task10[[คะแนนเต็ม]:[คะแนนเต็ม]]),"",(tbl_task10[104]/tbl_task10[[คะแนนเต็ม]:[คะแนนเต็ม]])*tbl_task10[[%]:[%]])</f>
        <v/>
      </c>
      <c r="JO20" s="121" t="str">
        <f>IF(ISBLANK(tbl_task10[[คะแนนเต็ม]:[คะแนนเต็ม]]),"",(tbl_task10[105]/tbl_task10[[คะแนนเต็ม]:[คะแนนเต็ม]])*tbl_task10[[%]:[%]])</f>
        <v/>
      </c>
      <c r="JP20" s="121" t="str">
        <f>IF(ISBLANK(tbl_task10[[คะแนนเต็ม]:[คะแนนเต็ม]]),"",(tbl_task10[106]/tbl_task10[[คะแนนเต็ม]:[คะแนนเต็ม]])*tbl_task10[[%]:[%]])</f>
        <v/>
      </c>
      <c r="JQ20" s="121" t="str">
        <f>IF(ISBLANK(tbl_task10[[คะแนนเต็ม]:[คะแนนเต็ม]]),"",(tbl_task10[107]/tbl_task10[[คะแนนเต็ม]:[คะแนนเต็ม]])*tbl_task10[[%]:[%]])</f>
        <v/>
      </c>
      <c r="JR20" s="121" t="str">
        <f>IF(ISBLANK(tbl_task10[[คะแนนเต็ม]:[คะแนนเต็ม]]),"",(tbl_task10[108]/tbl_task10[[คะแนนเต็ม]:[คะแนนเต็ม]])*tbl_task10[[%]:[%]])</f>
        <v/>
      </c>
      <c r="JS20" s="121" t="str">
        <f>IF(ISBLANK(tbl_task10[[คะแนนเต็ม]:[คะแนนเต็ม]]),"",(tbl_task10[109]/tbl_task10[[คะแนนเต็ม]:[คะแนนเต็ม]])*tbl_task10[[%]:[%]])</f>
        <v/>
      </c>
      <c r="JT20" s="121" t="str">
        <f>IF(ISBLANK(tbl_task10[[คะแนนเต็ม]:[คะแนนเต็ม]]),"",(tbl_task10[110]/tbl_task10[[คะแนนเต็ม]:[คะแนนเต็ม]])*tbl_task10[[%]:[%]])</f>
        <v/>
      </c>
      <c r="JU20" s="121" t="str">
        <f>IF(ISBLANK(tbl_task10[[คะแนนเต็ม]:[คะแนนเต็ม]]),"",(tbl_task10[111]/tbl_task10[[คะแนนเต็ม]:[คะแนนเต็ม]])*tbl_task10[[%]:[%]])</f>
        <v/>
      </c>
      <c r="JV20" s="121" t="str">
        <f>IF(ISBLANK(tbl_task10[[คะแนนเต็ม]:[คะแนนเต็ม]]),"",(tbl_task10[112]/tbl_task10[[คะแนนเต็ม]:[คะแนนเต็ม]])*tbl_task10[[%]:[%]])</f>
        <v/>
      </c>
      <c r="JW20" s="121" t="str">
        <f>IF(ISBLANK(tbl_task10[[คะแนนเต็ม]:[คะแนนเต็ม]]),"",(tbl_task10[113]/tbl_task10[[คะแนนเต็ม]:[คะแนนเต็ม]])*tbl_task10[[%]:[%]])</f>
        <v/>
      </c>
      <c r="JX20" s="121" t="str">
        <f>IF(ISBLANK(tbl_task10[[คะแนนเต็ม]:[คะแนนเต็ม]]),"",(tbl_task10[114]/tbl_task10[[คะแนนเต็ม]:[คะแนนเต็ม]])*tbl_task10[[%]:[%]])</f>
        <v/>
      </c>
      <c r="JY20" s="121" t="str">
        <f>IF(ISBLANK(tbl_task10[[คะแนนเต็ม]:[คะแนนเต็ม]]),"",(tbl_task10[115]/tbl_task10[[คะแนนเต็ม]:[คะแนนเต็ม]])*tbl_task10[[%]:[%]])</f>
        <v/>
      </c>
      <c r="JZ20" s="121" t="str">
        <f>IF(ISBLANK(tbl_task10[[คะแนนเต็ม]:[คะแนนเต็ม]]),"",(tbl_task10[116]/tbl_task10[[คะแนนเต็ม]:[คะแนนเต็ม]])*tbl_task10[[%]:[%]])</f>
        <v/>
      </c>
      <c r="KA20" s="121" t="str">
        <f>IF(ISBLANK(tbl_task10[[คะแนนเต็ม]:[คะแนนเต็ม]]),"",(tbl_task10[117]/tbl_task10[[คะแนนเต็ม]:[คะแนนเต็ม]])*tbl_task10[[%]:[%]])</f>
        <v/>
      </c>
      <c r="KB20" s="121" t="str">
        <f>IF(ISBLANK(tbl_task10[[คะแนนเต็ม]:[คะแนนเต็ม]]),"",(tbl_task10[118]/tbl_task10[[คะแนนเต็ม]:[คะแนนเต็ม]])*tbl_task10[[%]:[%]])</f>
        <v/>
      </c>
      <c r="KC20" s="121" t="str">
        <f>IF(ISBLANK(tbl_task10[[คะแนนเต็ม]:[คะแนนเต็ม]]),"",(tbl_task10[119]/tbl_task10[[คะแนนเต็ม]:[คะแนนเต็ม]])*tbl_task10[[%]:[%]])</f>
        <v/>
      </c>
      <c r="KD20" s="121" t="str">
        <f>IF(ISBLANK(tbl_task10[[คะแนนเต็ม]:[คะแนนเต็ม]]),"",(tbl_task10[120]/tbl_task10[[คะแนนเต็ม]:[คะแนนเต็ม]])*tbl_task10[[%]:[%]])</f>
        <v/>
      </c>
      <c r="KE20" s="121" t="str">
        <f>IF(ISBLANK(tbl_task10[[คะแนนเต็ม]:[คะแนนเต็ม]]),"",(tbl_task10[121]/tbl_task10[[คะแนนเต็ม]:[คะแนนเต็ม]])*tbl_task10[[%]:[%]])</f>
        <v/>
      </c>
      <c r="KF20" s="121" t="str">
        <f>IF(ISBLANK(tbl_task10[[คะแนนเต็ม]:[คะแนนเต็ม]]),"",(tbl_task10[122]/tbl_task10[[คะแนนเต็ม]:[คะแนนเต็ม]])*tbl_task10[[%]:[%]])</f>
        <v/>
      </c>
      <c r="KG20" s="121" t="str">
        <f>IF(ISBLANK(tbl_task10[[คะแนนเต็ม]:[คะแนนเต็ม]]),"",(tbl_task10[123]/tbl_task10[[คะแนนเต็ม]:[คะแนนเต็ม]])*tbl_task10[[%]:[%]])</f>
        <v/>
      </c>
      <c r="KH20" s="121" t="str">
        <f>IF(ISBLANK(tbl_task10[[คะแนนเต็ม]:[คะแนนเต็ม]]),"",(tbl_task10[124]/tbl_task10[[คะแนนเต็ม]:[คะแนนเต็ม]])*tbl_task10[[%]:[%]])</f>
        <v/>
      </c>
      <c r="KI20" s="121" t="str">
        <f>IF(ISBLANK(tbl_task10[[คะแนนเต็ม]:[คะแนนเต็ม]]),"",(tbl_task10[125]/tbl_task10[[คะแนนเต็ม]:[คะแนนเต็ม]])*tbl_task10[[%]:[%]])</f>
        <v/>
      </c>
      <c r="KJ20" s="121" t="str">
        <f>IF(ISBLANK(tbl_task10[[คะแนนเต็ม]:[คะแนนเต็ม]]),"",(tbl_task10[126]/tbl_task10[[คะแนนเต็ม]:[คะแนนเต็ม]])*tbl_task10[[%]:[%]])</f>
        <v/>
      </c>
      <c r="KK20" s="121" t="str">
        <f>IF(ISBLANK(tbl_task10[[คะแนนเต็ม]:[คะแนนเต็ม]]),"",(tbl_task10[127]/tbl_task10[[คะแนนเต็ม]:[คะแนนเต็ม]])*tbl_task10[[%]:[%]])</f>
        <v/>
      </c>
      <c r="KL20" s="121" t="str">
        <f>IF(ISBLANK(tbl_task10[[คะแนนเต็ม]:[คะแนนเต็ม]]),"",(tbl_task10[128]/tbl_task10[[คะแนนเต็ม]:[คะแนนเต็ม]])*tbl_task10[[%]:[%]])</f>
        <v/>
      </c>
      <c r="KM20" s="121" t="str">
        <f>IF(ISBLANK(tbl_task10[[คะแนนเต็ม]:[คะแนนเต็ม]]),"",(tbl_task10[129]/tbl_task10[[คะแนนเต็ม]:[คะแนนเต็ม]])*tbl_task10[[%]:[%]])</f>
        <v/>
      </c>
      <c r="KN20" s="121" t="str">
        <f>IF(ISBLANK(tbl_task10[[คะแนนเต็ม]:[คะแนนเต็ม]]),"",(tbl_task10[130]/tbl_task10[[คะแนนเต็ม]:[คะแนนเต็ม]])*tbl_task10[[%]:[%]])</f>
        <v/>
      </c>
      <c r="KO20" s="121" t="str">
        <f>IF(ISBLANK(tbl_task10[[คะแนนเต็ม]:[คะแนนเต็ม]]),"",(tbl_task10[131]/tbl_task10[[คะแนนเต็ม]:[คะแนนเต็ม]])*tbl_task10[[%]:[%]])</f>
        <v/>
      </c>
      <c r="KP20" s="121" t="str">
        <f>IF(ISBLANK(tbl_task10[[คะแนนเต็ม]:[คะแนนเต็ม]]),"",(tbl_task10[132]/tbl_task10[[คะแนนเต็ม]:[คะแนนเต็ม]])*tbl_task10[[%]:[%]])</f>
        <v/>
      </c>
      <c r="KQ20" s="121" t="str">
        <f>IF(ISBLANK(tbl_task10[[คะแนนเต็ม]:[คะแนนเต็ม]]),"",(tbl_task10[133]/tbl_task10[[คะแนนเต็ม]:[คะแนนเต็ม]])*tbl_task10[[%]:[%]])</f>
        <v/>
      </c>
      <c r="KR20" s="121" t="str">
        <f>IF(ISBLANK(tbl_task10[[คะแนนเต็ม]:[คะแนนเต็ม]]),"",(tbl_task10[134]/tbl_task10[[คะแนนเต็ม]:[คะแนนเต็ม]])*tbl_task10[[%]:[%]])</f>
        <v/>
      </c>
      <c r="KS20" s="121" t="str">
        <f>IF(ISBLANK(tbl_task10[[คะแนนเต็ม]:[คะแนนเต็ม]]),"",(tbl_task10[135]/tbl_task10[[คะแนนเต็ม]:[คะแนนเต็ม]])*tbl_task10[[%]:[%]])</f>
        <v/>
      </c>
      <c r="KT20" s="121" t="str">
        <f>IF(ISBLANK(tbl_task10[[คะแนนเต็ม]:[คะแนนเต็ม]]),"",(tbl_task10[136]/tbl_task10[[คะแนนเต็ม]:[คะแนนเต็ม]])*tbl_task10[[%]:[%]])</f>
        <v/>
      </c>
      <c r="KU20" s="121" t="str">
        <f>IF(ISBLANK(tbl_task10[[คะแนนเต็ม]:[คะแนนเต็ม]]),"",(tbl_task10[137]/tbl_task10[[คะแนนเต็ม]:[คะแนนเต็ม]])*tbl_task10[[%]:[%]])</f>
        <v/>
      </c>
      <c r="KV20" s="121" t="str">
        <f>IF(ISBLANK(tbl_task10[[คะแนนเต็ม]:[คะแนนเต็ม]]),"",(tbl_task10[138]/tbl_task10[[คะแนนเต็ม]:[คะแนนเต็ม]])*tbl_task10[[%]:[%]])</f>
        <v/>
      </c>
      <c r="KW20" s="121" t="str">
        <f>IF(ISBLANK(tbl_task10[[คะแนนเต็ม]:[คะแนนเต็ม]]),"",(tbl_task10[139]/tbl_task10[[คะแนนเต็ม]:[คะแนนเต็ม]])*tbl_task10[[%]:[%]])</f>
        <v/>
      </c>
      <c r="KX20" s="121" t="str">
        <f>IF(ISBLANK(tbl_task10[[คะแนนเต็ม]:[คะแนนเต็ม]]),"",(tbl_task10[140]/tbl_task10[[คะแนนเต็ม]:[คะแนนเต็ม]])*tbl_task10[[%]:[%]])</f>
        <v/>
      </c>
      <c r="KY20" s="121" t="str">
        <f>IF(ISBLANK(tbl_task10[[คะแนนเต็ม]:[คะแนนเต็ม]]),"",(tbl_task10[141]/tbl_task10[[คะแนนเต็ม]:[คะแนนเต็ม]])*tbl_task10[[%]:[%]])</f>
        <v/>
      </c>
      <c r="KZ20" s="121" t="str">
        <f>IF(ISBLANK(tbl_task10[[คะแนนเต็ม]:[คะแนนเต็ม]]),"",(tbl_task10[142]/tbl_task10[[คะแนนเต็ม]:[คะแนนเต็ม]])*tbl_task10[[%]:[%]])</f>
        <v/>
      </c>
      <c r="LA20" s="121" t="str">
        <f>IF(ISBLANK(tbl_task10[[คะแนนเต็ม]:[คะแนนเต็ม]]),"",(tbl_task10[143]/tbl_task10[[คะแนนเต็ม]:[คะแนนเต็ม]])*tbl_task10[[%]:[%]])</f>
        <v/>
      </c>
      <c r="LB20" s="121" t="str">
        <f>IF(ISBLANK(tbl_task10[[คะแนนเต็ม]:[คะแนนเต็ม]]),"",(tbl_task10[144]/tbl_task10[[คะแนนเต็ม]:[คะแนนเต็ม]])*tbl_task10[[%]:[%]])</f>
        <v/>
      </c>
      <c r="LC20" s="121" t="str">
        <f>IF(ISBLANK(tbl_task10[[คะแนนเต็ม]:[คะแนนเต็ม]]),"",(tbl_task10[145]/tbl_task10[[คะแนนเต็ม]:[คะแนนเต็ม]])*tbl_task10[[%]:[%]])</f>
        <v/>
      </c>
      <c r="LD20" s="121" t="str">
        <f>IF(ISBLANK(tbl_task10[[คะแนนเต็ม]:[คะแนนเต็ม]]),"",(tbl_task10[146]/tbl_task10[[คะแนนเต็ม]:[คะแนนเต็ม]])*tbl_task10[[%]:[%]])</f>
        <v/>
      </c>
      <c r="LE20" s="121" t="str">
        <f>IF(ISBLANK(tbl_task10[[คะแนนเต็ม]:[คะแนนเต็ม]]),"",(tbl_task10[147]/tbl_task10[[คะแนนเต็ม]:[คะแนนเต็ม]])*tbl_task10[[%]:[%]])</f>
        <v/>
      </c>
      <c r="LF20" s="121" t="str">
        <f>IF(ISBLANK(tbl_task10[[คะแนนเต็ม]:[คะแนนเต็ม]]),"",(tbl_task10[148]/tbl_task10[[คะแนนเต็ม]:[คะแนนเต็ม]])*tbl_task10[[%]:[%]])</f>
        <v/>
      </c>
      <c r="LG20" s="121" t="str">
        <f>IF(ISBLANK(tbl_task10[[คะแนนเต็ม]:[คะแนนเต็ม]]),"",(tbl_task10[149]/tbl_task10[[คะแนนเต็ม]:[คะแนนเต็ม]])*tbl_task10[[%]:[%]])</f>
        <v/>
      </c>
      <c r="LH20" s="121" t="str">
        <f>IF(ISBLANK(tbl_task10[[คะแนนเต็ม]:[คะแนนเต็ม]]),"",(tbl_task10[150]/tbl_task10[[คะแนนเต็ม]:[คะแนนเต็ม]])*tbl_task10[[%]:[%]])</f>
        <v/>
      </c>
      <c r="LI20" s="121" t="str">
        <f>IF(ISBLANK(tbl_task10[[คะแนนเต็ม]:[คะแนนเต็ม]]),"",(tbl_task10[151]/tbl_task10[[คะแนนเต็ม]:[คะแนนเต็ม]])*tbl_task10[[%]:[%]])</f>
        <v/>
      </c>
      <c r="LJ20" s="121" t="str">
        <f>IF(ISBLANK(tbl_task10[[คะแนนเต็ม]:[คะแนนเต็ม]]),"",(tbl_task10[152]/tbl_task10[[คะแนนเต็ม]:[คะแนนเต็ม]])*tbl_task10[[%]:[%]])</f>
        <v/>
      </c>
      <c r="LK20" s="121" t="str">
        <f>IF(ISBLANK(tbl_task10[[คะแนนเต็ม]:[คะแนนเต็ม]]),"",(tbl_task10[153]/tbl_task10[[คะแนนเต็ม]:[คะแนนเต็ม]])*tbl_task10[[%]:[%]])</f>
        <v/>
      </c>
      <c r="LL20" s="121" t="str">
        <f>IF(ISBLANK(tbl_task10[[คะแนนเต็ม]:[คะแนนเต็ม]]),"",(tbl_task10[154]/tbl_task10[[คะแนนเต็ม]:[คะแนนเต็ม]])*tbl_task10[[%]:[%]])</f>
        <v/>
      </c>
      <c r="LM20" s="121" t="str">
        <f>IF(ISBLANK(tbl_task10[[คะแนนเต็ม]:[คะแนนเต็ม]]),"",(tbl_task10[155]/tbl_task10[[คะแนนเต็ม]:[คะแนนเต็ม]])*tbl_task10[[%]:[%]])</f>
        <v/>
      </c>
      <c r="LN20" s="121" t="str">
        <f>IF(ISBLANK(tbl_task10[[คะแนนเต็ม]:[คะแนนเต็ม]]),"",(tbl_task10[156]/tbl_task10[[คะแนนเต็ม]:[คะแนนเต็ม]])*tbl_task10[[%]:[%]])</f>
        <v/>
      </c>
      <c r="LO20" s="121" t="str">
        <f>IF(ISBLANK(tbl_task10[[คะแนนเต็ม]:[คะแนนเต็ม]]),"",(tbl_task10[157]/tbl_task10[[คะแนนเต็ม]:[คะแนนเต็ม]])*tbl_task10[[%]:[%]])</f>
        <v/>
      </c>
      <c r="LP20" s="121" t="str">
        <f>IF(ISBLANK(tbl_task10[[คะแนนเต็ม]:[คะแนนเต็ม]]),"",(tbl_task10[158]/tbl_task10[[คะแนนเต็ม]:[คะแนนเต็ม]])*tbl_task10[[%]:[%]])</f>
        <v/>
      </c>
      <c r="LQ20" s="121" t="str">
        <f>IF(ISBLANK(tbl_task10[[คะแนนเต็ม]:[คะแนนเต็ม]]),"",(tbl_task10[159]/tbl_task10[[คะแนนเต็ม]:[คะแนนเต็ม]])*tbl_task10[[%]:[%]])</f>
        <v/>
      </c>
      <c r="LR20" s="121" t="str">
        <f>IF(ISBLANK(tbl_task10[[คะแนนเต็ม]:[คะแนนเต็ม]]),"",(tbl_task10[160]/tbl_task10[[คะแนนเต็ม]:[คะแนนเต็ม]])*tbl_task10[[%]:[%]])</f>
        <v/>
      </c>
      <c r="LS20" s="121" t="str">
        <f>IF(ISBLANK(tbl_task10[[คะแนนเต็ม]:[คะแนนเต็ม]]),"",(tbl_task10[161]/tbl_task10[[คะแนนเต็ม]:[คะแนนเต็ม]])*tbl_task10[[%]:[%]])</f>
        <v/>
      </c>
      <c r="LT20" s="121" t="str">
        <f>IF(ISBLANK(tbl_task10[[คะแนนเต็ม]:[คะแนนเต็ม]]),"",(tbl_task10[162]/tbl_task10[[คะแนนเต็ม]:[คะแนนเต็ม]])*tbl_task10[[%]:[%]])</f>
        <v/>
      </c>
      <c r="LU20" s="121" t="str">
        <f>IF(ISBLANK(tbl_task10[[คะแนนเต็ม]:[คะแนนเต็ม]]),"",(tbl_task10[163]/tbl_task10[[คะแนนเต็ม]:[คะแนนเต็ม]])*tbl_task10[[%]:[%]])</f>
        <v/>
      </c>
      <c r="LV20" s="121" t="str">
        <f>IF(ISBLANK(tbl_task10[[คะแนนเต็ม]:[คะแนนเต็ม]]),"",(tbl_task10[164]/tbl_task10[[คะแนนเต็ม]:[คะแนนเต็ม]])*tbl_task10[[%]:[%]])</f>
        <v/>
      </c>
      <c r="LW20" s="121" t="str">
        <f>IF(ISBLANK(tbl_task10[[คะแนนเต็ม]:[คะแนนเต็ม]]),"",(tbl_task10[165]/tbl_task10[[คะแนนเต็ม]:[คะแนนเต็ม]])*tbl_task10[[%]:[%]])</f>
        <v/>
      </c>
    </row>
    <row r="21" spans="1:335" ht="24" customHeight="1" x14ac:dyDescent="0.25">
      <c r="A21" s="24">
        <v>18</v>
      </c>
      <c r="B21" s="20"/>
      <c r="C21" s="5" t="str">
        <f>IF(ISBLANK(B21),"",VLOOKUP(B21,tbl_PLOs[],2,0))</f>
        <v/>
      </c>
      <c r="D21" s="102"/>
      <c r="E21" s="106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21" t="str">
        <f>IF(ISBLANK(tbl_task10[[คะแนนเต็ม]:[คะแนนเต็ม]]),"",(tbl_task10[1]/tbl_task10[[คะแนนเต็ม]:[คะแนนเต็ม]])*tbl_task10[[%]:[%]])</f>
        <v/>
      </c>
      <c r="FP21" s="121" t="str">
        <f>IF(ISBLANK(tbl_task10[[คะแนนเต็ม]:[คะแนนเต็ม]]),"",(tbl_task10[2]/tbl_task10[[คะแนนเต็ม]:[คะแนนเต็ม]])*tbl_task10[[%]:[%]])</f>
        <v/>
      </c>
      <c r="FQ21" s="121" t="str">
        <f>IF(ISBLANK(tbl_task10[[คะแนนเต็ม]:[คะแนนเต็ม]]),"",(tbl_task10[3]/tbl_task10[[คะแนนเต็ม]:[คะแนนเต็ม]])*tbl_task10[[%]:[%]])</f>
        <v/>
      </c>
      <c r="FR21" s="121" t="str">
        <f>IF(ISBLANK(tbl_task10[[คะแนนเต็ม]:[คะแนนเต็ม]]),"",(tbl_task10[4]/tbl_task10[[คะแนนเต็ม]:[คะแนนเต็ม]])*tbl_task10[[%]:[%]])</f>
        <v/>
      </c>
      <c r="FS21" s="121" t="str">
        <f>IF(ISBLANK(tbl_task10[[คะแนนเต็ม]:[คะแนนเต็ม]]),"",(tbl_task10[5]/tbl_task10[[คะแนนเต็ม]:[คะแนนเต็ม]])*tbl_task10[[%]:[%]])</f>
        <v/>
      </c>
      <c r="FT21" s="121" t="str">
        <f>IF(ISBLANK(tbl_task10[[คะแนนเต็ม]:[คะแนนเต็ม]]),"",(tbl_task10[6]/tbl_task10[[คะแนนเต็ม]:[คะแนนเต็ม]])*tbl_task10[[%]:[%]])</f>
        <v/>
      </c>
      <c r="FU21" s="121" t="str">
        <f>IF(ISBLANK(tbl_task10[[คะแนนเต็ม]:[คะแนนเต็ม]]),"",(tbl_task10[7]/tbl_task10[[คะแนนเต็ม]:[คะแนนเต็ม]])*tbl_task10[[%]:[%]])</f>
        <v/>
      </c>
      <c r="FV21" s="121" t="str">
        <f>IF(ISBLANK(tbl_task10[[คะแนนเต็ม]:[คะแนนเต็ม]]),"",(tbl_task10[8]/tbl_task10[[คะแนนเต็ม]:[คะแนนเต็ม]])*tbl_task10[[%]:[%]])</f>
        <v/>
      </c>
      <c r="FW21" s="121" t="str">
        <f>IF(ISBLANK(tbl_task10[[คะแนนเต็ม]:[คะแนนเต็ม]]),"",(tbl_task10[9]/tbl_task10[[คะแนนเต็ม]:[คะแนนเต็ม]])*tbl_task10[[%]:[%]])</f>
        <v/>
      </c>
      <c r="FX21" s="121" t="str">
        <f>IF(ISBLANK(tbl_task10[[คะแนนเต็ม]:[คะแนนเต็ม]]),"",(tbl_task10[10]/tbl_task10[[คะแนนเต็ม]:[คะแนนเต็ม]])*tbl_task10[[%]:[%]])</f>
        <v/>
      </c>
      <c r="FY21" s="121" t="str">
        <f>IF(ISBLANK(tbl_task10[[คะแนนเต็ม]:[คะแนนเต็ม]]),"",(tbl_task10[11]/tbl_task10[[คะแนนเต็ม]:[คะแนนเต็ม]])*tbl_task10[[%]:[%]])</f>
        <v/>
      </c>
      <c r="FZ21" s="121" t="str">
        <f>IF(ISBLANK(tbl_task10[[คะแนนเต็ม]:[คะแนนเต็ม]]),"",(tbl_task10[12]/tbl_task10[[คะแนนเต็ม]:[คะแนนเต็ม]])*tbl_task10[[%]:[%]])</f>
        <v/>
      </c>
      <c r="GA21" s="121" t="str">
        <f>IF(ISBLANK(tbl_task10[[คะแนนเต็ม]:[คะแนนเต็ม]]),"",(tbl_task10[13]/tbl_task10[[คะแนนเต็ม]:[คะแนนเต็ม]])*tbl_task10[[%]:[%]])</f>
        <v/>
      </c>
      <c r="GB21" s="121" t="str">
        <f>IF(ISBLANK(tbl_task10[[คะแนนเต็ม]:[คะแนนเต็ม]]),"",(tbl_task10[14]/tbl_task10[[คะแนนเต็ม]:[คะแนนเต็ม]])*tbl_task10[[%]:[%]])</f>
        <v/>
      </c>
      <c r="GC21" s="121" t="str">
        <f>IF(ISBLANK(tbl_task10[[คะแนนเต็ม]:[คะแนนเต็ม]]),"",(tbl_task10[15]/tbl_task10[[คะแนนเต็ม]:[คะแนนเต็ม]])*tbl_task10[[%]:[%]])</f>
        <v/>
      </c>
      <c r="GD21" s="121" t="str">
        <f>IF(ISBLANK(tbl_task10[[คะแนนเต็ม]:[คะแนนเต็ม]]),"",(tbl_task10[16]/tbl_task10[[คะแนนเต็ม]:[คะแนนเต็ม]])*tbl_task10[[%]:[%]])</f>
        <v/>
      </c>
      <c r="GE21" s="121" t="str">
        <f>IF(ISBLANK(tbl_task10[[คะแนนเต็ม]:[คะแนนเต็ม]]),"",(tbl_task10[17]/tbl_task10[[คะแนนเต็ม]:[คะแนนเต็ม]])*tbl_task10[[%]:[%]])</f>
        <v/>
      </c>
      <c r="GF21" s="121" t="str">
        <f>IF(ISBLANK(tbl_task10[[คะแนนเต็ม]:[คะแนนเต็ม]]),"",(tbl_task10[18]/tbl_task10[[คะแนนเต็ม]:[คะแนนเต็ม]])*tbl_task10[[%]:[%]])</f>
        <v/>
      </c>
      <c r="GG21" s="121" t="str">
        <f>IF(ISBLANK(tbl_task10[[คะแนนเต็ม]:[คะแนนเต็ม]]),"",(tbl_task10[19]/tbl_task10[[คะแนนเต็ม]:[คะแนนเต็ม]])*tbl_task10[[%]:[%]])</f>
        <v/>
      </c>
      <c r="GH21" s="121" t="str">
        <f>IF(ISBLANK(tbl_task10[[คะแนนเต็ม]:[คะแนนเต็ม]]),"",(tbl_task10[20]/tbl_task10[[คะแนนเต็ม]:[คะแนนเต็ม]])*tbl_task10[[%]:[%]])</f>
        <v/>
      </c>
      <c r="GI21" s="121" t="str">
        <f>IF(ISBLANK(tbl_task10[[คะแนนเต็ม]:[คะแนนเต็ม]]),"",(tbl_task10[21]/tbl_task10[[คะแนนเต็ม]:[คะแนนเต็ม]])*tbl_task10[[%]:[%]])</f>
        <v/>
      </c>
      <c r="GJ21" s="121" t="str">
        <f>IF(ISBLANK(tbl_task10[[คะแนนเต็ม]:[คะแนนเต็ม]]),"",(tbl_task10[22]/tbl_task10[[คะแนนเต็ม]:[คะแนนเต็ม]])*tbl_task10[[%]:[%]])</f>
        <v/>
      </c>
      <c r="GK21" s="121" t="str">
        <f>IF(ISBLANK(tbl_task10[[คะแนนเต็ม]:[คะแนนเต็ม]]),"",(tbl_task10[23]/tbl_task10[[คะแนนเต็ม]:[คะแนนเต็ม]])*tbl_task10[[%]:[%]])</f>
        <v/>
      </c>
      <c r="GL21" s="121" t="str">
        <f>IF(ISBLANK(tbl_task10[[คะแนนเต็ม]:[คะแนนเต็ม]]),"",(tbl_task10[24]/tbl_task10[[คะแนนเต็ม]:[คะแนนเต็ม]])*tbl_task10[[%]:[%]])</f>
        <v/>
      </c>
      <c r="GM21" s="121" t="str">
        <f>IF(ISBLANK(tbl_task10[[คะแนนเต็ม]:[คะแนนเต็ม]]),"",(tbl_task10[25]/tbl_task10[[คะแนนเต็ม]:[คะแนนเต็ม]])*tbl_task10[[%]:[%]])</f>
        <v/>
      </c>
      <c r="GN21" s="121" t="str">
        <f>IF(ISBLANK(tbl_task10[[คะแนนเต็ม]:[คะแนนเต็ม]]),"",(tbl_task10[26]/tbl_task10[[คะแนนเต็ม]:[คะแนนเต็ม]])*tbl_task10[[%]:[%]])</f>
        <v/>
      </c>
      <c r="GO21" s="121" t="str">
        <f>IF(ISBLANK(tbl_task10[[คะแนนเต็ม]:[คะแนนเต็ม]]),"",(tbl_task10[27]/tbl_task10[[คะแนนเต็ม]:[คะแนนเต็ม]])*tbl_task10[[%]:[%]])</f>
        <v/>
      </c>
      <c r="GP21" s="121" t="str">
        <f>IF(ISBLANK(tbl_task10[[คะแนนเต็ม]:[คะแนนเต็ม]]),"",(tbl_task10[28]/tbl_task10[[คะแนนเต็ม]:[คะแนนเต็ม]])*tbl_task10[[%]:[%]])</f>
        <v/>
      </c>
      <c r="GQ21" s="121" t="str">
        <f>IF(ISBLANK(tbl_task10[[คะแนนเต็ม]:[คะแนนเต็ม]]),"",(tbl_task10[29]/tbl_task10[[คะแนนเต็ม]:[คะแนนเต็ม]])*tbl_task10[[%]:[%]])</f>
        <v/>
      </c>
      <c r="GR21" s="121" t="str">
        <f>IF(ISBLANK(tbl_task10[[คะแนนเต็ม]:[คะแนนเต็ม]]),"",(tbl_task10[30]/tbl_task10[[คะแนนเต็ม]:[คะแนนเต็ม]])*tbl_task10[[%]:[%]])</f>
        <v/>
      </c>
      <c r="GS21" s="121" t="str">
        <f>IF(ISBLANK(tbl_task10[[คะแนนเต็ม]:[คะแนนเต็ม]]),"",(tbl_task10[31]/tbl_task10[[คะแนนเต็ม]:[คะแนนเต็ม]])*tbl_task10[[%]:[%]])</f>
        <v/>
      </c>
      <c r="GT21" s="121" t="str">
        <f>IF(ISBLANK(tbl_task10[[คะแนนเต็ม]:[คะแนนเต็ม]]),"",(tbl_task10[32]/tbl_task10[[คะแนนเต็ม]:[คะแนนเต็ม]])*tbl_task10[[%]:[%]])</f>
        <v/>
      </c>
      <c r="GU21" s="121" t="str">
        <f>IF(ISBLANK(tbl_task10[[คะแนนเต็ม]:[คะแนนเต็ม]]),"",(tbl_task10[33]/tbl_task10[[คะแนนเต็ม]:[คะแนนเต็ม]])*tbl_task10[[%]:[%]])</f>
        <v/>
      </c>
      <c r="GV21" s="121" t="str">
        <f>IF(ISBLANK(tbl_task10[[คะแนนเต็ม]:[คะแนนเต็ม]]),"",(tbl_task10[34]/tbl_task10[[คะแนนเต็ม]:[คะแนนเต็ม]])*tbl_task10[[%]:[%]])</f>
        <v/>
      </c>
      <c r="GW21" s="121" t="str">
        <f>IF(ISBLANK(tbl_task10[[คะแนนเต็ม]:[คะแนนเต็ม]]),"",(tbl_task10[35]/tbl_task10[[คะแนนเต็ม]:[คะแนนเต็ม]])*tbl_task10[[%]:[%]])</f>
        <v/>
      </c>
      <c r="GX21" s="121" t="str">
        <f>IF(ISBLANK(tbl_task10[[คะแนนเต็ม]:[คะแนนเต็ม]]),"",(tbl_task10[36]/tbl_task10[[คะแนนเต็ม]:[คะแนนเต็ม]])*tbl_task10[[%]:[%]])</f>
        <v/>
      </c>
      <c r="GY21" s="121" t="str">
        <f>IF(ISBLANK(tbl_task10[[คะแนนเต็ม]:[คะแนนเต็ม]]),"",(tbl_task10[37]/tbl_task10[[คะแนนเต็ม]:[คะแนนเต็ม]])*tbl_task10[[%]:[%]])</f>
        <v/>
      </c>
      <c r="GZ21" s="121" t="str">
        <f>IF(ISBLANK(tbl_task10[[คะแนนเต็ม]:[คะแนนเต็ม]]),"",(tbl_task10[38]/tbl_task10[[คะแนนเต็ม]:[คะแนนเต็ม]])*tbl_task10[[%]:[%]])</f>
        <v/>
      </c>
      <c r="HA21" s="121" t="str">
        <f>IF(ISBLANK(tbl_task10[[คะแนนเต็ม]:[คะแนนเต็ม]]),"",(tbl_task10[39]/tbl_task10[[คะแนนเต็ม]:[คะแนนเต็ม]])*tbl_task10[[%]:[%]])</f>
        <v/>
      </c>
      <c r="HB21" s="121" t="str">
        <f>IF(ISBLANK(tbl_task10[[คะแนนเต็ม]:[คะแนนเต็ม]]),"",(tbl_task10[40]/tbl_task10[[คะแนนเต็ม]:[คะแนนเต็ม]])*tbl_task10[[%]:[%]])</f>
        <v/>
      </c>
      <c r="HC21" s="121" t="str">
        <f>IF(ISBLANK(tbl_task10[[คะแนนเต็ม]:[คะแนนเต็ม]]),"",(tbl_task10[41]/tbl_task10[[คะแนนเต็ม]:[คะแนนเต็ม]])*tbl_task10[[%]:[%]])</f>
        <v/>
      </c>
      <c r="HD21" s="121" t="str">
        <f>IF(ISBLANK(tbl_task10[[คะแนนเต็ม]:[คะแนนเต็ม]]),"",(tbl_task10[42]/tbl_task10[[คะแนนเต็ม]:[คะแนนเต็ม]])*tbl_task10[[%]:[%]])</f>
        <v/>
      </c>
      <c r="HE21" s="121" t="str">
        <f>IF(ISBLANK(tbl_task10[[คะแนนเต็ม]:[คะแนนเต็ม]]),"",(tbl_task10[43]/tbl_task10[[คะแนนเต็ม]:[คะแนนเต็ม]])*tbl_task10[[%]:[%]])</f>
        <v/>
      </c>
      <c r="HF21" s="121" t="str">
        <f>IF(ISBLANK(tbl_task10[[คะแนนเต็ม]:[คะแนนเต็ม]]),"",(tbl_task10[44]/tbl_task10[[คะแนนเต็ม]:[คะแนนเต็ม]])*tbl_task10[[%]:[%]])</f>
        <v/>
      </c>
      <c r="HG21" s="121" t="str">
        <f>IF(ISBLANK(tbl_task10[[คะแนนเต็ม]:[คะแนนเต็ม]]),"",(tbl_task10[45]/tbl_task10[[คะแนนเต็ม]:[คะแนนเต็ม]])*tbl_task10[[%]:[%]])</f>
        <v/>
      </c>
      <c r="HH21" s="121" t="str">
        <f>IF(ISBLANK(tbl_task10[[คะแนนเต็ม]:[คะแนนเต็ม]]),"",(tbl_task10[46]/tbl_task10[[คะแนนเต็ม]:[คะแนนเต็ม]])*tbl_task10[[%]:[%]])</f>
        <v/>
      </c>
      <c r="HI21" s="121" t="str">
        <f>IF(ISBLANK(tbl_task10[[คะแนนเต็ม]:[คะแนนเต็ม]]),"",(tbl_task10[47]/tbl_task10[[คะแนนเต็ม]:[คะแนนเต็ม]])*tbl_task10[[%]:[%]])</f>
        <v/>
      </c>
      <c r="HJ21" s="121" t="str">
        <f>IF(ISBLANK(tbl_task10[[คะแนนเต็ม]:[คะแนนเต็ม]]),"",(tbl_task10[48]/tbl_task10[[คะแนนเต็ม]:[คะแนนเต็ม]])*tbl_task10[[%]:[%]])</f>
        <v/>
      </c>
      <c r="HK21" s="121" t="str">
        <f>IF(ISBLANK(tbl_task10[[คะแนนเต็ม]:[คะแนนเต็ม]]),"",(tbl_task10[49]/tbl_task10[[คะแนนเต็ม]:[คะแนนเต็ม]])*tbl_task10[[%]:[%]])</f>
        <v/>
      </c>
      <c r="HL21" s="121" t="str">
        <f>IF(ISBLANK(tbl_task10[[คะแนนเต็ม]:[คะแนนเต็ม]]),"",(tbl_task10[50]/tbl_task10[[คะแนนเต็ม]:[คะแนนเต็ม]])*tbl_task10[[%]:[%]])</f>
        <v/>
      </c>
      <c r="HM21" s="121" t="str">
        <f>IF(ISBLANK(tbl_task10[[คะแนนเต็ม]:[คะแนนเต็ม]]),"",(tbl_task10[51]/tbl_task10[[คะแนนเต็ม]:[คะแนนเต็ม]])*tbl_task10[[%]:[%]])</f>
        <v/>
      </c>
      <c r="HN21" s="121" t="str">
        <f>IF(ISBLANK(tbl_task10[[คะแนนเต็ม]:[คะแนนเต็ม]]),"",(tbl_task10[52]/tbl_task10[[คะแนนเต็ม]:[คะแนนเต็ม]])*tbl_task10[[%]:[%]])</f>
        <v/>
      </c>
      <c r="HO21" s="121" t="str">
        <f>IF(ISBLANK(tbl_task10[[คะแนนเต็ม]:[คะแนนเต็ม]]),"",(tbl_task10[53]/tbl_task10[[คะแนนเต็ม]:[คะแนนเต็ม]])*tbl_task10[[%]:[%]])</f>
        <v/>
      </c>
      <c r="HP21" s="121" t="str">
        <f>IF(ISBLANK(tbl_task10[[คะแนนเต็ม]:[คะแนนเต็ม]]),"",(tbl_task10[54]/tbl_task10[[คะแนนเต็ม]:[คะแนนเต็ม]])*tbl_task10[[%]:[%]])</f>
        <v/>
      </c>
      <c r="HQ21" s="121" t="str">
        <f>IF(ISBLANK(tbl_task10[[คะแนนเต็ม]:[คะแนนเต็ม]]),"",(tbl_task10[55]/tbl_task10[[คะแนนเต็ม]:[คะแนนเต็ม]])*tbl_task10[[%]:[%]])</f>
        <v/>
      </c>
      <c r="HR21" s="121" t="str">
        <f>IF(ISBLANK(tbl_task10[[คะแนนเต็ม]:[คะแนนเต็ม]]),"",(tbl_task10[56]/tbl_task10[[คะแนนเต็ม]:[คะแนนเต็ม]])*tbl_task10[[%]:[%]])</f>
        <v/>
      </c>
      <c r="HS21" s="121" t="str">
        <f>IF(ISBLANK(tbl_task10[[คะแนนเต็ม]:[คะแนนเต็ม]]),"",(tbl_task10[57]/tbl_task10[[คะแนนเต็ม]:[คะแนนเต็ม]])*tbl_task10[[%]:[%]])</f>
        <v/>
      </c>
      <c r="HT21" s="121" t="str">
        <f>IF(ISBLANK(tbl_task10[[คะแนนเต็ม]:[คะแนนเต็ม]]),"",(tbl_task10[58]/tbl_task10[[คะแนนเต็ม]:[คะแนนเต็ม]])*tbl_task10[[%]:[%]])</f>
        <v/>
      </c>
      <c r="HU21" s="121" t="str">
        <f>IF(ISBLANK(tbl_task10[[คะแนนเต็ม]:[คะแนนเต็ม]]),"",(tbl_task10[59]/tbl_task10[[คะแนนเต็ม]:[คะแนนเต็ม]])*tbl_task10[[%]:[%]])</f>
        <v/>
      </c>
      <c r="HV21" s="121" t="str">
        <f>IF(ISBLANK(tbl_task10[[คะแนนเต็ม]:[คะแนนเต็ม]]),"",(tbl_task10[60]/tbl_task10[[คะแนนเต็ม]:[คะแนนเต็ม]])*tbl_task10[[%]:[%]])</f>
        <v/>
      </c>
      <c r="HW21" s="121" t="str">
        <f>IF(ISBLANK(tbl_task10[[คะแนนเต็ม]:[คะแนนเต็ม]]),"",(tbl_task10[61]/tbl_task10[[คะแนนเต็ม]:[คะแนนเต็ม]])*tbl_task10[[%]:[%]])</f>
        <v/>
      </c>
      <c r="HX21" s="121" t="str">
        <f>IF(ISBLANK(tbl_task10[[คะแนนเต็ม]:[คะแนนเต็ม]]),"",(tbl_task10[62]/tbl_task10[[คะแนนเต็ม]:[คะแนนเต็ม]])*tbl_task10[[%]:[%]])</f>
        <v/>
      </c>
      <c r="HY21" s="121" t="str">
        <f>IF(ISBLANK(tbl_task10[[คะแนนเต็ม]:[คะแนนเต็ม]]),"",(tbl_task10[63]/tbl_task10[[คะแนนเต็ม]:[คะแนนเต็ม]])*tbl_task10[[%]:[%]])</f>
        <v/>
      </c>
      <c r="HZ21" s="121" t="str">
        <f>IF(ISBLANK(tbl_task10[[คะแนนเต็ม]:[คะแนนเต็ม]]),"",(tbl_task10[64]/tbl_task10[[คะแนนเต็ม]:[คะแนนเต็ม]])*tbl_task10[[%]:[%]])</f>
        <v/>
      </c>
      <c r="IA21" s="121" t="str">
        <f>IF(ISBLANK(tbl_task10[[คะแนนเต็ม]:[คะแนนเต็ม]]),"",(tbl_task10[65]/tbl_task10[[คะแนนเต็ม]:[คะแนนเต็ม]])*tbl_task10[[%]:[%]])</f>
        <v/>
      </c>
      <c r="IB21" s="121" t="str">
        <f>IF(ISBLANK(tbl_task10[[คะแนนเต็ม]:[คะแนนเต็ม]]),"",(tbl_task10[66]/tbl_task10[[คะแนนเต็ม]:[คะแนนเต็ม]])*tbl_task10[[%]:[%]])</f>
        <v/>
      </c>
      <c r="IC21" s="121" t="str">
        <f>IF(ISBLANK(tbl_task10[[คะแนนเต็ม]:[คะแนนเต็ม]]),"",(tbl_task10[67]/tbl_task10[[คะแนนเต็ม]:[คะแนนเต็ม]])*tbl_task10[[%]:[%]])</f>
        <v/>
      </c>
      <c r="ID21" s="121" t="str">
        <f>IF(ISBLANK(tbl_task10[[คะแนนเต็ม]:[คะแนนเต็ม]]),"",(tbl_task10[68]/tbl_task10[[คะแนนเต็ม]:[คะแนนเต็ม]])*tbl_task10[[%]:[%]])</f>
        <v/>
      </c>
      <c r="IE21" s="121" t="str">
        <f>IF(ISBLANK(tbl_task10[[คะแนนเต็ม]:[คะแนนเต็ม]]),"",(tbl_task10[69]/tbl_task10[[คะแนนเต็ม]:[คะแนนเต็ม]])*tbl_task10[[%]:[%]])</f>
        <v/>
      </c>
      <c r="IF21" s="121" t="str">
        <f>IF(ISBLANK(tbl_task10[[คะแนนเต็ม]:[คะแนนเต็ม]]),"",(tbl_task10[70]/tbl_task10[[คะแนนเต็ม]:[คะแนนเต็ม]])*tbl_task10[[%]:[%]])</f>
        <v/>
      </c>
      <c r="IG21" s="121" t="str">
        <f>IF(ISBLANK(tbl_task10[[คะแนนเต็ม]:[คะแนนเต็ม]]),"",(tbl_task10[71]/tbl_task10[[คะแนนเต็ม]:[คะแนนเต็ม]])*tbl_task10[[%]:[%]])</f>
        <v/>
      </c>
      <c r="IH21" s="121" t="str">
        <f>IF(ISBLANK(tbl_task10[[คะแนนเต็ม]:[คะแนนเต็ม]]),"",(tbl_task10[72]/tbl_task10[[คะแนนเต็ม]:[คะแนนเต็ม]])*tbl_task10[[%]:[%]])</f>
        <v/>
      </c>
      <c r="II21" s="121" t="str">
        <f>IF(ISBLANK(tbl_task10[[คะแนนเต็ม]:[คะแนนเต็ม]]),"",(tbl_task10[73]/tbl_task10[[คะแนนเต็ม]:[คะแนนเต็ม]])*tbl_task10[[%]:[%]])</f>
        <v/>
      </c>
      <c r="IJ21" s="121" t="str">
        <f>IF(ISBLANK(tbl_task10[[คะแนนเต็ม]:[คะแนนเต็ม]]),"",(tbl_task10[74]/tbl_task10[[คะแนนเต็ม]:[คะแนนเต็ม]])*tbl_task10[[%]:[%]])</f>
        <v/>
      </c>
      <c r="IK21" s="121" t="str">
        <f>IF(ISBLANK(tbl_task10[[คะแนนเต็ม]:[คะแนนเต็ม]]),"",(tbl_task10[75]/tbl_task10[[คะแนนเต็ม]:[คะแนนเต็ม]])*tbl_task10[[%]:[%]])</f>
        <v/>
      </c>
      <c r="IL21" s="121" t="str">
        <f>IF(ISBLANK(tbl_task10[[คะแนนเต็ม]:[คะแนนเต็ม]]),"",(tbl_task10[76]/tbl_task10[[คะแนนเต็ม]:[คะแนนเต็ม]])*tbl_task10[[%]:[%]])</f>
        <v/>
      </c>
      <c r="IM21" s="121" t="str">
        <f>IF(ISBLANK(tbl_task10[[คะแนนเต็ม]:[คะแนนเต็ม]]),"",(tbl_task10[77]/tbl_task10[[คะแนนเต็ม]:[คะแนนเต็ม]])*tbl_task10[[%]:[%]])</f>
        <v/>
      </c>
      <c r="IN21" s="121" t="str">
        <f>IF(ISBLANK(tbl_task10[[คะแนนเต็ม]:[คะแนนเต็ม]]),"",(tbl_task10[78]/tbl_task10[[คะแนนเต็ม]:[คะแนนเต็ม]])*tbl_task10[[%]:[%]])</f>
        <v/>
      </c>
      <c r="IO21" s="121" t="str">
        <f>IF(ISBLANK(tbl_task10[[คะแนนเต็ม]:[คะแนนเต็ม]]),"",(tbl_task10[79]/tbl_task10[[คะแนนเต็ม]:[คะแนนเต็ม]])*tbl_task10[[%]:[%]])</f>
        <v/>
      </c>
      <c r="IP21" s="121" t="str">
        <f>IF(ISBLANK(tbl_task10[[คะแนนเต็ม]:[คะแนนเต็ม]]),"",(tbl_task10[80]/tbl_task10[[คะแนนเต็ม]:[คะแนนเต็ม]])*tbl_task10[[%]:[%]])</f>
        <v/>
      </c>
      <c r="IQ21" s="121" t="str">
        <f>IF(ISBLANK(tbl_task10[[คะแนนเต็ม]:[คะแนนเต็ม]]),"",(tbl_task10[81]/tbl_task10[[คะแนนเต็ม]:[คะแนนเต็ม]])*tbl_task10[[%]:[%]])</f>
        <v/>
      </c>
      <c r="IR21" s="121" t="str">
        <f>IF(ISBLANK(tbl_task10[[คะแนนเต็ม]:[คะแนนเต็ม]]),"",(tbl_task10[82]/tbl_task10[[คะแนนเต็ม]:[คะแนนเต็ม]])*tbl_task10[[%]:[%]])</f>
        <v/>
      </c>
      <c r="IS21" s="121" t="str">
        <f>IF(ISBLANK(tbl_task10[[คะแนนเต็ม]:[คะแนนเต็ม]]),"",(tbl_task10[83]/tbl_task10[[คะแนนเต็ม]:[คะแนนเต็ม]])*tbl_task10[[%]:[%]])</f>
        <v/>
      </c>
      <c r="IT21" s="121" t="str">
        <f>IF(ISBLANK(tbl_task10[[คะแนนเต็ม]:[คะแนนเต็ม]]),"",(tbl_task10[84]/tbl_task10[[คะแนนเต็ม]:[คะแนนเต็ม]])*tbl_task10[[%]:[%]])</f>
        <v/>
      </c>
      <c r="IU21" s="121" t="str">
        <f>IF(ISBLANK(tbl_task10[[คะแนนเต็ม]:[คะแนนเต็ม]]),"",(tbl_task10[85]/tbl_task10[[คะแนนเต็ม]:[คะแนนเต็ม]])*tbl_task10[[%]:[%]])</f>
        <v/>
      </c>
      <c r="IV21" s="121" t="str">
        <f>IF(ISBLANK(tbl_task10[[คะแนนเต็ม]:[คะแนนเต็ม]]),"",(tbl_task10[86]/tbl_task10[[คะแนนเต็ม]:[คะแนนเต็ม]])*tbl_task10[[%]:[%]])</f>
        <v/>
      </c>
      <c r="IW21" s="121" t="str">
        <f>IF(ISBLANK(tbl_task10[[คะแนนเต็ม]:[คะแนนเต็ม]]),"",(tbl_task10[87]/tbl_task10[[คะแนนเต็ม]:[คะแนนเต็ม]])*tbl_task10[[%]:[%]])</f>
        <v/>
      </c>
      <c r="IX21" s="121" t="str">
        <f>IF(ISBLANK(tbl_task10[[คะแนนเต็ม]:[คะแนนเต็ม]]),"",(tbl_task10[88]/tbl_task10[[คะแนนเต็ม]:[คะแนนเต็ม]])*tbl_task10[[%]:[%]])</f>
        <v/>
      </c>
      <c r="IY21" s="121" t="str">
        <f>IF(ISBLANK(tbl_task10[[คะแนนเต็ม]:[คะแนนเต็ม]]),"",(tbl_task10[89]/tbl_task10[[คะแนนเต็ม]:[คะแนนเต็ม]])*tbl_task10[[%]:[%]])</f>
        <v/>
      </c>
      <c r="IZ21" s="121" t="str">
        <f>IF(ISBLANK(tbl_task10[[คะแนนเต็ม]:[คะแนนเต็ม]]),"",(tbl_task10[90]/tbl_task10[[คะแนนเต็ม]:[คะแนนเต็ม]])*tbl_task10[[%]:[%]])</f>
        <v/>
      </c>
      <c r="JA21" s="121" t="str">
        <f>IF(ISBLANK(tbl_task10[[คะแนนเต็ม]:[คะแนนเต็ม]]),"",(tbl_task10[91]/tbl_task10[[คะแนนเต็ม]:[คะแนนเต็ม]])*tbl_task10[[%]:[%]])</f>
        <v/>
      </c>
      <c r="JB21" s="121" t="str">
        <f>IF(ISBLANK(tbl_task10[[คะแนนเต็ม]:[คะแนนเต็ม]]),"",(tbl_task10[92]/tbl_task10[[คะแนนเต็ม]:[คะแนนเต็ม]])*tbl_task10[[%]:[%]])</f>
        <v/>
      </c>
      <c r="JC21" s="121" t="str">
        <f>IF(ISBLANK(tbl_task10[[คะแนนเต็ม]:[คะแนนเต็ม]]),"",(tbl_task10[93]/tbl_task10[[คะแนนเต็ม]:[คะแนนเต็ม]])*tbl_task10[[%]:[%]])</f>
        <v/>
      </c>
      <c r="JD21" s="121" t="str">
        <f>IF(ISBLANK(tbl_task10[[คะแนนเต็ม]:[คะแนนเต็ม]]),"",(tbl_task10[94]/tbl_task10[[คะแนนเต็ม]:[คะแนนเต็ม]])*tbl_task10[[%]:[%]])</f>
        <v/>
      </c>
      <c r="JE21" s="121" t="str">
        <f>IF(ISBLANK(tbl_task10[[คะแนนเต็ม]:[คะแนนเต็ม]]),"",(tbl_task10[95]/tbl_task10[[คะแนนเต็ม]:[คะแนนเต็ม]])*tbl_task10[[%]:[%]])</f>
        <v/>
      </c>
      <c r="JF21" s="121" t="str">
        <f>IF(ISBLANK(tbl_task10[[คะแนนเต็ม]:[คะแนนเต็ม]]),"",(tbl_task10[96]/tbl_task10[[คะแนนเต็ม]:[คะแนนเต็ม]])*tbl_task10[[%]:[%]])</f>
        <v/>
      </c>
      <c r="JG21" s="121" t="str">
        <f>IF(ISBLANK(tbl_task10[[คะแนนเต็ม]:[คะแนนเต็ม]]),"",(tbl_task10[97]/tbl_task10[[คะแนนเต็ม]:[คะแนนเต็ม]])*tbl_task10[[%]:[%]])</f>
        <v/>
      </c>
      <c r="JH21" s="121" t="str">
        <f>IF(ISBLANK(tbl_task10[[คะแนนเต็ม]:[คะแนนเต็ม]]),"",(tbl_task10[98]/tbl_task10[[คะแนนเต็ม]:[คะแนนเต็ม]])*tbl_task10[[%]:[%]])</f>
        <v/>
      </c>
      <c r="JI21" s="121" t="str">
        <f>IF(ISBLANK(tbl_task10[[คะแนนเต็ม]:[คะแนนเต็ม]]),"",(tbl_task10[99]/tbl_task10[[คะแนนเต็ม]:[คะแนนเต็ม]])*tbl_task10[[%]:[%]])</f>
        <v/>
      </c>
      <c r="JJ21" s="121" t="str">
        <f>IF(ISBLANK(tbl_task10[[คะแนนเต็ม]:[คะแนนเต็ม]]),"",(tbl_task10[100]/tbl_task10[[คะแนนเต็ม]:[คะแนนเต็ม]])*tbl_task10[[%]:[%]])</f>
        <v/>
      </c>
      <c r="JK21" s="121" t="str">
        <f>IF(ISBLANK(tbl_task10[[คะแนนเต็ม]:[คะแนนเต็ม]]),"",(tbl_task10[101]/tbl_task10[[คะแนนเต็ม]:[คะแนนเต็ม]])*tbl_task10[[%]:[%]])</f>
        <v/>
      </c>
      <c r="JL21" s="121" t="str">
        <f>IF(ISBLANK(tbl_task10[[คะแนนเต็ม]:[คะแนนเต็ม]]),"",(tbl_task10[102]/tbl_task10[[คะแนนเต็ม]:[คะแนนเต็ม]])*tbl_task10[[%]:[%]])</f>
        <v/>
      </c>
      <c r="JM21" s="121" t="str">
        <f>IF(ISBLANK(tbl_task10[[คะแนนเต็ม]:[คะแนนเต็ม]]),"",(tbl_task10[103]/tbl_task10[[คะแนนเต็ม]:[คะแนนเต็ม]])*tbl_task10[[%]:[%]])</f>
        <v/>
      </c>
      <c r="JN21" s="121" t="str">
        <f>IF(ISBLANK(tbl_task10[[คะแนนเต็ม]:[คะแนนเต็ม]]),"",(tbl_task10[104]/tbl_task10[[คะแนนเต็ม]:[คะแนนเต็ม]])*tbl_task10[[%]:[%]])</f>
        <v/>
      </c>
      <c r="JO21" s="121" t="str">
        <f>IF(ISBLANK(tbl_task10[[คะแนนเต็ม]:[คะแนนเต็ม]]),"",(tbl_task10[105]/tbl_task10[[คะแนนเต็ม]:[คะแนนเต็ม]])*tbl_task10[[%]:[%]])</f>
        <v/>
      </c>
      <c r="JP21" s="121" t="str">
        <f>IF(ISBLANK(tbl_task10[[คะแนนเต็ม]:[คะแนนเต็ม]]),"",(tbl_task10[106]/tbl_task10[[คะแนนเต็ม]:[คะแนนเต็ม]])*tbl_task10[[%]:[%]])</f>
        <v/>
      </c>
      <c r="JQ21" s="121" t="str">
        <f>IF(ISBLANK(tbl_task10[[คะแนนเต็ม]:[คะแนนเต็ม]]),"",(tbl_task10[107]/tbl_task10[[คะแนนเต็ม]:[คะแนนเต็ม]])*tbl_task10[[%]:[%]])</f>
        <v/>
      </c>
      <c r="JR21" s="121" t="str">
        <f>IF(ISBLANK(tbl_task10[[คะแนนเต็ม]:[คะแนนเต็ม]]),"",(tbl_task10[108]/tbl_task10[[คะแนนเต็ม]:[คะแนนเต็ม]])*tbl_task10[[%]:[%]])</f>
        <v/>
      </c>
      <c r="JS21" s="121" t="str">
        <f>IF(ISBLANK(tbl_task10[[คะแนนเต็ม]:[คะแนนเต็ม]]),"",(tbl_task10[109]/tbl_task10[[คะแนนเต็ม]:[คะแนนเต็ม]])*tbl_task10[[%]:[%]])</f>
        <v/>
      </c>
      <c r="JT21" s="121" t="str">
        <f>IF(ISBLANK(tbl_task10[[คะแนนเต็ม]:[คะแนนเต็ม]]),"",(tbl_task10[110]/tbl_task10[[คะแนนเต็ม]:[คะแนนเต็ม]])*tbl_task10[[%]:[%]])</f>
        <v/>
      </c>
      <c r="JU21" s="121" t="str">
        <f>IF(ISBLANK(tbl_task10[[คะแนนเต็ม]:[คะแนนเต็ม]]),"",(tbl_task10[111]/tbl_task10[[คะแนนเต็ม]:[คะแนนเต็ม]])*tbl_task10[[%]:[%]])</f>
        <v/>
      </c>
      <c r="JV21" s="121" t="str">
        <f>IF(ISBLANK(tbl_task10[[คะแนนเต็ม]:[คะแนนเต็ม]]),"",(tbl_task10[112]/tbl_task10[[คะแนนเต็ม]:[คะแนนเต็ม]])*tbl_task10[[%]:[%]])</f>
        <v/>
      </c>
      <c r="JW21" s="121" t="str">
        <f>IF(ISBLANK(tbl_task10[[คะแนนเต็ม]:[คะแนนเต็ม]]),"",(tbl_task10[113]/tbl_task10[[คะแนนเต็ม]:[คะแนนเต็ม]])*tbl_task10[[%]:[%]])</f>
        <v/>
      </c>
      <c r="JX21" s="121" t="str">
        <f>IF(ISBLANK(tbl_task10[[คะแนนเต็ม]:[คะแนนเต็ม]]),"",(tbl_task10[114]/tbl_task10[[คะแนนเต็ม]:[คะแนนเต็ม]])*tbl_task10[[%]:[%]])</f>
        <v/>
      </c>
      <c r="JY21" s="121" t="str">
        <f>IF(ISBLANK(tbl_task10[[คะแนนเต็ม]:[คะแนนเต็ม]]),"",(tbl_task10[115]/tbl_task10[[คะแนนเต็ม]:[คะแนนเต็ม]])*tbl_task10[[%]:[%]])</f>
        <v/>
      </c>
      <c r="JZ21" s="121" t="str">
        <f>IF(ISBLANK(tbl_task10[[คะแนนเต็ม]:[คะแนนเต็ม]]),"",(tbl_task10[116]/tbl_task10[[คะแนนเต็ม]:[คะแนนเต็ม]])*tbl_task10[[%]:[%]])</f>
        <v/>
      </c>
      <c r="KA21" s="121" t="str">
        <f>IF(ISBLANK(tbl_task10[[คะแนนเต็ม]:[คะแนนเต็ม]]),"",(tbl_task10[117]/tbl_task10[[คะแนนเต็ม]:[คะแนนเต็ม]])*tbl_task10[[%]:[%]])</f>
        <v/>
      </c>
      <c r="KB21" s="121" t="str">
        <f>IF(ISBLANK(tbl_task10[[คะแนนเต็ม]:[คะแนนเต็ม]]),"",(tbl_task10[118]/tbl_task10[[คะแนนเต็ม]:[คะแนนเต็ม]])*tbl_task10[[%]:[%]])</f>
        <v/>
      </c>
      <c r="KC21" s="121" t="str">
        <f>IF(ISBLANK(tbl_task10[[คะแนนเต็ม]:[คะแนนเต็ม]]),"",(tbl_task10[119]/tbl_task10[[คะแนนเต็ม]:[คะแนนเต็ม]])*tbl_task10[[%]:[%]])</f>
        <v/>
      </c>
      <c r="KD21" s="121" t="str">
        <f>IF(ISBLANK(tbl_task10[[คะแนนเต็ม]:[คะแนนเต็ม]]),"",(tbl_task10[120]/tbl_task10[[คะแนนเต็ม]:[คะแนนเต็ม]])*tbl_task10[[%]:[%]])</f>
        <v/>
      </c>
      <c r="KE21" s="121" t="str">
        <f>IF(ISBLANK(tbl_task10[[คะแนนเต็ม]:[คะแนนเต็ม]]),"",(tbl_task10[121]/tbl_task10[[คะแนนเต็ม]:[คะแนนเต็ม]])*tbl_task10[[%]:[%]])</f>
        <v/>
      </c>
      <c r="KF21" s="121" t="str">
        <f>IF(ISBLANK(tbl_task10[[คะแนนเต็ม]:[คะแนนเต็ม]]),"",(tbl_task10[122]/tbl_task10[[คะแนนเต็ม]:[คะแนนเต็ม]])*tbl_task10[[%]:[%]])</f>
        <v/>
      </c>
      <c r="KG21" s="121" t="str">
        <f>IF(ISBLANK(tbl_task10[[คะแนนเต็ม]:[คะแนนเต็ม]]),"",(tbl_task10[123]/tbl_task10[[คะแนนเต็ม]:[คะแนนเต็ม]])*tbl_task10[[%]:[%]])</f>
        <v/>
      </c>
      <c r="KH21" s="121" t="str">
        <f>IF(ISBLANK(tbl_task10[[คะแนนเต็ม]:[คะแนนเต็ม]]),"",(tbl_task10[124]/tbl_task10[[คะแนนเต็ม]:[คะแนนเต็ม]])*tbl_task10[[%]:[%]])</f>
        <v/>
      </c>
      <c r="KI21" s="121" t="str">
        <f>IF(ISBLANK(tbl_task10[[คะแนนเต็ม]:[คะแนนเต็ม]]),"",(tbl_task10[125]/tbl_task10[[คะแนนเต็ม]:[คะแนนเต็ม]])*tbl_task10[[%]:[%]])</f>
        <v/>
      </c>
      <c r="KJ21" s="121" t="str">
        <f>IF(ISBLANK(tbl_task10[[คะแนนเต็ม]:[คะแนนเต็ม]]),"",(tbl_task10[126]/tbl_task10[[คะแนนเต็ม]:[คะแนนเต็ม]])*tbl_task10[[%]:[%]])</f>
        <v/>
      </c>
      <c r="KK21" s="121" t="str">
        <f>IF(ISBLANK(tbl_task10[[คะแนนเต็ม]:[คะแนนเต็ม]]),"",(tbl_task10[127]/tbl_task10[[คะแนนเต็ม]:[คะแนนเต็ม]])*tbl_task10[[%]:[%]])</f>
        <v/>
      </c>
      <c r="KL21" s="121" t="str">
        <f>IF(ISBLANK(tbl_task10[[คะแนนเต็ม]:[คะแนนเต็ม]]),"",(tbl_task10[128]/tbl_task10[[คะแนนเต็ม]:[คะแนนเต็ม]])*tbl_task10[[%]:[%]])</f>
        <v/>
      </c>
      <c r="KM21" s="121" t="str">
        <f>IF(ISBLANK(tbl_task10[[คะแนนเต็ม]:[คะแนนเต็ม]]),"",(tbl_task10[129]/tbl_task10[[คะแนนเต็ม]:[คะแนนเต็ม]])*tbl_task10[[%]:[%]])</f>
        <v/>
      </c>
      <c r="KN21" s="121" t="str">
        <f>IF(ISBLANK(tbl_task10[[คะแนนเต็ม]:[คะแนนเต็ม]]),"",(tbl_task10[130]/tbl_task10[[คะแนนเต็ม]:[คะแนนเต็ม]])*tbl_task10[[%]:[%]])</f>
        <v/>
      </c>
      <c r="KO21" s="121" t="str">
        <f>IF(ISBLANK(tbl_task10[[คะแนนเต็ม]:[คะแนนเต็ม]]),"",(tbl_task10[131]/tbl_task10[[คะแนนเต็ม]:[คะแนนเต็ม]])*tbl_task10[[%]:[%]])</f>
        <v/>
      </c>
      <c r="KP21" s="121" t="str">
        <f>IF(ISBLANK(tbl_task10[[คะแนนเต็ม]:[คะแนนเต็ม]]),"",(tbl_task10[132]/tbl_task10[[คะแนนเต็ม]:[คะแนนเต็ม]])*tbl_task10[[%]:[%]])</f>
        <v/>
      </c>
      <c r="KQ21" s="121" t="str">
        <f>IF(ISBLANK(tbl_task10[[คะแนนเต็ม]:[คะแนนเต็ม]]),"",(tbl_task10[133]/tbl_task10[[คะแนนเต็ม]:[คะแนนเต็ม]])*tbl_task10[[%]:[%]])</f>
        <v/>
      </c>
      <c r="KR21" s="121" t="str">
        <f>IF(ISBLANK(tbl_task10[[คะแนนเต็ม]:[คะแนนเต็ม]]),"",(tbl_task10[134]/tbl_task10[[คะแนนเต็ม]:[คะแนนเต็ม]])*tbl_task10[[%]:[%]])</f>
        <v/>
      </c>
      <c r="KS21" s="121" t="str">
        <f>IF(ISBLANK(tbl_task10[[คะแนนเต็ม]:[คะแนนเต็ม]]),"",(tbl_task10[135]/tbl_task10[[คะแนนเต็ม]:[คะแนนเต็ม]])*tbl_task10[[%]:[%]])</f>
        <v/>
      </c>
      <c r="KT21" s="121" t="str">
        <f>IF(ISBLANK(tbl_task10[[คะแนนเต็ม]:[คะแนนเต็ม]]),"",(tbl_task10[136]/tbl_task10[[คะแนนเต็ม]:[คะแนนเต็ม]])*tbl_task10[[%]:[%]])</f>
        <v/>
      </c>
      <c r="KU21" s="121" t="str">
        <f>IF(ISBLANK(tbl_task10[[คะแนนเต็ม]:[คะแนนเต็ม]]),"",(tbl_task10[137]/tbl_task10[[คะแนนเต็ม]:[คะแนนเต็ม]])*tbl_task10[[%]:[%]])</f>
        <v/>
      </c>
      <c r="KV21" s="121" t="str">
        <f>IF(ISBLANK(tbl_task10[[คะแนนเต็ม]:[คะแนนเต็ม]]),"",(tbl_task10[138]/tbl_task10[[คะแนนเต็ม]:[คะแนนเต็ม]])*tbl_task10[[%]:[%]])</f>
        <v/>
      </c>
      <c r="KW21" s="121" t="str">
        <f>IF(ISBLANK(tbl_task10[[คะแนนเต็ม]:[คะแนนเต็ม]]),"",(tbl_task10[139]/tbl_task10[[คะแนนเต็ม]:[คะแนนเต็ม]])*tbl_task10[[%]:[%]])</f>
        <v/>
      </c>
      <c r="KX21" s="121" t="str">
        <f>IF(ISBLANK(tbl_task10[[คะแนนเต็ม]:[คะแนนเต็ม]]),"",(tbl_task10[140]/tbl_task10[[คะแนนเต็ม]:[คะแนนเต็ม]])*tbl_task10[[%]:[%]])</f>
        <v/>
      </c>
      <c r="KY21" s="121" t="str">
        <f>IF(ISBLANK(tbl_task10[[คะแนนเต็ม]:[คะแนนเต็ม]]),"",(tbl_task10[141]/tbl_task10[[คะแนนเต็ม]:[คะแนนเต็ม]])*tbl_task10[[%]:[%]])</f>
        <v/>
      </c>
      <c r="KZ21" s="121" t="str">
        <f>IF(ISBLANK(tbl_task10[[คะแนนเต็ม]:[คะแนนเต็ม]]),"",(tbl_task10[142]/tbl_task10[[คะแนนเต็ม]:[คะแนนเต็ม]])*tbl_task10[[%]:[%]])</f>
        <v/>
      </c>
      <c r="LA21" s="121" t="str">
        <f>IF(ISBLANK(tbl_task10[[คะแนนเต็ม]:[คะแนนเต็ม]]),"",(tbl_task10[143]/tbl_task10[[คะแนนเต็ม]:[คะแนนเต็ม]])*tbl_task10[[%]:[%]])</f>
        <v/>
      </c>
      <c r="LB21" s="121" t="str">
        <f>IF(ISBLANK(tbl_task10[[คะแนนเต็ม]:[คะแนนเต็ม]]),"",(tbl_task10[144]/tbl_task10[[คะแนนเต็ม]:[คะแนนเต็ม]])*tbl_task10[[%]:[%]])</f>
        <v/>
      </c>
      <c r="LC21" s="121" t="str">
        <f>IF(ISBLANK(tbl_task10[[คะแนนเต็ม]:[คะแนนเต็ม]]),"",(tbl_task10[145]/tbl_task10[[คะแนนเต็ม]:[คะแนนเต็ม]])*tbl_task10[[%]:[%]])</f>
        <v/>
      </c>
      <c r="LD21" s="121" t="str">
        <f>IF(ISBLANK(tbl_task10[[คะแนนเต็ม]:[คะแนนเต็ม]]),"",(tbl_task10[146]/tbl_task10[[คะแนนเต็ม]:[คะแนนเต็ม]])*tbl_task10[[%]:[%]])</f>
        <v/>
      </c>
      <c r="LE21" s="121" t="str">
        <f>IF(ISBLANK(tbl_task10[[คะแนนเต็ม]:[คะแนนเต็ม]]),"",(tbl_task10[147]/tbl_task10[[คะแนนเต็ม]:[คะแนนเต็ม]])*tbl_task10[[%]:[%]])</f>
        <v/>
      </c>
      <c r="LF21" s="121" t="str">
        <f>IF(ISBLANK(tbl_task10[[คะแนนเต็ม]:[คะแนนเต็ม]]),"",(tbl_task10[148]/tbl_task10[[คะแนนเต็ม]:[คะแนนเต็ม]])*tbl_task10[[%]:[%]])</f>
        <v/>
      </c>
      <c r="LG21" s="121" t="str">
        <f>IF(ISBLANK(tbl_task10[[คะแนนเต็ม]:[คะแนนเต็ม]]),"",(tbl_task10[149]/tbl_task10[[คะแนนเต็ม]:[คะแนนเต็ม]])*tbl_task10[[%]:[%]])</f>
        <v/>
      </c>
      <c r="LH21" s="121" t="str">
        <f>IF(ISBLANK(tbl_task10[[คะแนนเต็ม]:[คะแนนเต็ม]]),"",(tbl_task10[150]/tbl_task10[[คะแนนเต็ม]:[คะแนนเต็ม]])*tbl_task10[[%]:[%]])</f>
        <v/>
      </c>
      <c r="LI21" s="121" t="str">
        <f>IF(ISBLANK(tbl_task10[[คะแนนเต็ม]:[คะแนนเต็ม]]),"",(tbl_task10[151]/tbl_task10[[คะแนนเต็ม]:[คะแนนเต็ม]])*tbl_task10[[%]:[%]])</f>
        <v/>
      </c>
      <c r="LJ21" s="121" t="str">
        <f>IF(ISBLANK(tbl_task10[[คะแนนเต็ม]:[คะแนนเต็ม]]),"",(tbl_task10[152]/tbl_task10[[คะแนนเต็ม]:[คะแนนเต็ม]])*tbl_task10[[%]:[%]])</f>
        <v/>
      </c>
      <c r="LK21" s="121" t="str">
        <f>IF(ISBLANK(tbl_task10[[คะแนนเต็ม]:[คะแนนเต็ม]]),"",(tbl_task10[153]/tbl_task10[[คะแนนเต็ม]:[คะแนนเต็ม]])*tbl_task10[[%]:[%]])</f>
        <v/>
      </c>
      <c r="LL21" s="121" t="str">
        <f>IF(ISBLANK(tbl_task10[[คะแนนเต็ม]:[คะแนนเต็ม]]),"",(tbl_task10[154]/tbl_task10[[คะแนนเต็ม]:[คะแนนเต็ม]])*tbl_task10[[%]:[%]])</f>
        <v/>
      </c>
      <c r="LM21" s="121" t="str">
        <f>IF(ISBLANK(tbl_task10[[คะแนนเต็ม]:[คะแนนเต็ม]]),"",(tbl_task10[155]/tbl_task10[[คะแนนเต็ม]:[คะแนนเต็ม]])*tbl_task10[[%]:[%]])</f>
        <v/>
      </c>
      <c r="LN21" s="121" t="str">
        <f>IF(ISBLANK(tbl_task10[[คะแนนเต็ม]:[คะแนนเต็ม]]),"",(tbl_task10[156]/tbl_task10[[คะแนนเต็ม]:[คะแนนเต็ม]])*tbl_task10[[%]:[%]])</f>
        <v/>
      </c>
      <c r="LO21" s="121" t="str">
        <f>IF(ISBLANK(tbl_task10[[คะแนนเต็ม]:[คะแนนเต็ม]]),"",(tbl_task10[157]/tbl_task10[[คะแนนเต็ม]:[คะแนนเต็ม]])*tbl_task10[[%]:[%]])</f>
        <v/>
      </c>
      <c r="LP21" s="121" t="str">
        <f>IF(ISBLANK(tbl_task10[[คะแนนเต็ม]:[คะแนนเต็ม]]),"",(tbl_task10[158]/tbl_task10[[คะแนนเต็ม]:[คะแนนเต็ม]])*tbl_task10[[%]:[%]])</f>
        <v/>
      </c>
      <c r="LQ21" s="121" t="str">
        <f>IF(ISBLANK(tbl_task10[[คะแนนเต็ม]:[คะแนนเต็ม]]),"",(tbl_task10[159]/tbl_task10[[คะแนนเต็ม]:[คะแนนเต็ม]])*tbl_task10[[%]:[%]])</f>
        <v/>
      </c>
      <c r="LR21" s="121" t="str">
        <f>IF(ISBLANK(tbl_task10[[คะแนนเต็ม]:[คะแนนเต็ม]]),"",(tbl_task10[160]/tbl_task10[[คะแนนเต็ม]:[คะแนนเต็ม]])*tbl_task10[[%]:[%]])</f>
        <v/>
      </c>
      <c r="LS21" s="121" t="str">
        <f>IF(ISBLANK(tbl_task10[[คะแนนเต็ม]:[คะแนนเต็ม]]),"",(tbl_task10[161]/tbl_task10[[คะแนนเต็ม]:[คะแนนเต็ม]])*tbl_task10[[%]:[%]])</f>
        <v/>
      </c>
      <c r="LT21" s="121" t="str">
        <f>IF(ISBLANK(tbl_task10[[คะแนนเต็ม]:[คะแนนเต็ม]]),"",(tbl_task10[162]/tbl_task10[[คะแนนเต็ม]:[คะแนนเต็ม]])*tbl_task10[[%]:[%]])</f>
        <v/>
      </c>
      <c r="LU21" s="121" t="str">
        <f>IF(ISBLANK(tbl_task10[[คะแนนเต็ม]:[คะแนนเต็ม]]),"",(tbl_task10[163]/tbl_task10[[คะแนนเต็ม]:[คะแนนเต็ม]])*tbl_task10[[%]:[%]])</f>
        <v/>
      </c>
      <c r="LV21" s="121" t="str">
        <f>IF(ISBLANK(tbl_task10[[คะแนนเต็ม]:[คะแนนเต็ม]]),"",(tbl_task10[164]/tbl_task10[[คะแนนเต็ม]:[คะแนนเต็ม]])*tbl_task10[[%]:[%]])</f>
        <v/>
      </c>
      <c r="LW21" s="121" t="str">
        <f>IF(ISBLANK(tbl_task10[[คะแนนเต็ม]:[คะแนนเต็ม]]),"",(tbl_task10[165]/tbl_task10[[คะแนนเต็ม]:[คะแนนเต็ม]])*tbl_task10[[%]:[%]])</f>
        <v/>
      </c>
    </row>
    <row r="22" spans="1:335" ht="24" customHeight="1" x14ac:dyDescent="0.25">
      <c r="A22" s="24">
        <v>19</v>
      </c>
      <c r="B22" s="20"/>
      <c r="C22" s="5" t="str">
        <f>IF(ISBLANK(B22),"",VLOOKUP(B22,tbl_PLOs[],2,0))</f>
        <v/>
      </c>
      <c r="D22" s="102"/>
      <c r="E22" s="106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121" t="str">
        <f>IF(ISBLANK(tbl_task10[[คะแนนเต็ม]:[คะแนนเต็ม]]),"",(tbl_task10[1]/tbl_task10[[คะแนนเต็ม]:[คะแนนเต็ม]])*tbl_task10[[%]:[%]])</f>
        <v/>
      </c>
      <c r="FP22" s="121" t="str">
        <f>IF(ISBLANK(tbl_task10[[คะแนนเต็ม]:[คะแนนเต็ม]]),"",(tbl_task10[2]/tbl_task10[[คะแนนเต็ม]:[คะแนนเต็ม]])*tbl_task10[[%]:[%]])</f>
        <v/>
      </c>
      <c r="FQ22" s="121" t="str">
        <f>IF(ISBLANK(tbl_task10[[คะแนนเต็ม]:[คะแนนเต็ม]]),"",(tbl_task10[3]/tbl_task10[[คะแนนเต็ม]:[คะแนนเต็ม]])*tbl_task10[[%]:[%]])</f>
        <v/>
      </c>
      <c r="FR22" s="121" t="str">
        <f>IF(ISBLANK(tbl_task10[[คะแนนเต็ม]:[คะแนนเต็ม]]),"",(tbl_task10[4]/tbl_task10[[คะแนนเต็ม]:[คะแนนเต็ม]])*tbl_task10[[%]:[%]])</f>
        <v/>
      </c>
      <c r="FS22" s="121" t="str">
        <f>IF(ISBLANK(tbl_task10[[คะแนนเต็ม]:[คะแนนเต็ม]]),"",(tbl_task10[5]/tbl_task10[[คะแนนเต็ม]:[คะแนนเต็ม]])*tbl_task10[[%]:[%]])</f>
        <v/>
      </c>
      <c r="FT22" s="121" t="str">
        <f>IF(ISBLANK(tbl_task10[[คะแนนเต็ม]:[คะแนนเต็ม]]),"",(tbl_task10[6]/tbl_task10[[คะแนนเต็ม]:[คะแนนเต็ม]])*tbl_task10[[%]:[%]])</f>
        <v/>
      </c>
      <c r="FU22" s="121" t="str">
        <f>IF(ISBLANK(tbl_task10[[คะแนนเต็ม]:[คะแนนเต็ม]]),"",(tbl_task10[7]/tbl_task10[[คะแนนเต็ม]:[คะแนนเต็ม]])*tbl_task10[[%]:[%]])</f>
        <v/>
      </c>
      <c r="FV22" s="121" t="str">
        <f>IF(ISBLANK(tbl_task10[[คะแนนเต็ม]:[คะแนนเต็ม]]),"",(tbl_task10[8]/tbl_task10[[คะแนนเต็ม]:[คะแนนเต็ม]])*tbl_task10[[%]:[%]])</f>
        <v/>
      </c>
      <c r="FW22" s="121" t="str">
        <f>IF(ISBLANK(tbl_task10[[คะแนนเต็ม]:[คะแนนเต็ม]]),"",(tbl_task10[9]/tbl_task10[[คะแนนเต็ม]:[คะแนนเต็ม]])*tbl_task10[[%]:[%]])</f>
        <v/>
      </c>
      <c r="FX22" s="121" t="str">
        <f>IF(ISBLANK(tbl_task10[[คะแนนเต็ม]:[คะแนนเต็ม]]),"",(tbl_task10[10]/tbl_task10[[คะแนนเต็ม]:[คะแนนเต็ม]])*tbl_task10[[%]:[%]])</f>
        <v/>
      </c>
      <c r="FY22" s="121" t="str">
        <f>IF(ISBLANK(tbl_task10[[คะแนนเต็ม]:[คะแนนเต็ม]]),"",(tbl_task10[11]/tbl_task10[[คะแนนเต็ม]:[คะแนนเต็ม]])*tbl_task10[[%]:[%]])</f>
        <v/>
      </c>
      <c r="FZ22" s="121" t="str">
        <f>IF(ISBLANK(tbl_task10[[คะแนนเต็ม]:[คะแนนเต็ม]]),"",(tbl_task10[12]/tbl_task10[[คะแนนเต็ม]:[คะแนนเต็ม]])*tbl_task10[[%]:[%]])</f>
        <v/>
      </c>
      <c r="GA22" s="121" t="str">
        <f>IF(ISBLANK(tbl_task10[[คะแนนเต็ม]:[คะแนนเต็ม]]),"",(tbl_task10[13]/tbl_task10[[คะแนนเต็ม]:[คะแนนเต็ม]])*tbl_task10[[%]:[%]])</f>
        <v/>
      </c>
      <c r="GB22" s="121" t="str">
        <f>IF(ISBLANK(tbl_task10[[คะแนนเต็ม]:[คะแนนเต็ม]]),"",(tbl_task10[14]/tbl_task10[[คะแนนเต็ม]:[คะแนนเต็ม]])*tbl_task10[[%]:[%]])</f>
        <v/>
      </c>
      <c r="GC22" s="121" t="str">
        <f>IF(ISBLANK(tbl_task10[[คะแนนเต็ม]:[คะแนนเต็ม]]),"",(tbl_task10[15]/tbl_task10[[คะแนนเต็ม]:[คะแนนเต็ม]])*tbl_task10[[%]:[%]])</f>
        <v/>
      </c>
      <c r="GD22" s="121" t="str">
        <f>IF(ISBLANK(tbl_task10[[คะแนนเต็ม]:[คะแนนเต็ม]]),"",(tbl_task10[16]/tbl_task10[[คะแนนเต็ม]:[คะแนนเต็ม]])*tbl_task10[[%]:[%]])</f>
        <v/>
      </c>
      <c r="GE22" s="121" t="str">
        <f>IF(ISBLANK(tbl_task10[[คะแนนเต็ม]:[คะแนนเต็ม]]),"",(tbl_task10[17]/tbl_task10[[คะแนนเต็ม]:[คะแนนเต็ม]])*tbl_task10[[%]:[%]])</f>
        <v/>
      </c>
      <c r="GF22" s="121" t="str">
        <f>IF(ISBLANK(tbl_task10[[คะแนนเต็ม]:[คะแนนเต็ม]]),"",(tbl_task10[18]/tbl_task10[[คะแนนเต็ม]:[คะแนนเต็ม]])*tbl_task10[[%]:[%]])</f>
        <v/>
      </c>
      <c r="GG22" s="121" t="str">
        <f>IF(ISBLANK(tbl_task10[[คะแนนเต็ม]:[คะแนนเต็ม]]),"",(tbl_task10[19]/tbl_task10[[คะแนนเต็ม]:[คะแนนเต็ม]])*tbl_task10[[%]:[%]])</f>
        <v/>
      </c>
      <c r="GH22" s="121" t="str">
        <f>IF(ISBLANK(tbl_task10[[คะแนนเต็ม]:[คะแนนเต็ม]]),"",(tbl_task10[20]/tbl_task10[[คะแนนเต็ม]:[คะแนนเต็ม]])*tbl_task10[[%]:[%]])</f>
        <v/>
      </c>
      <c r="GI22" s="121" t="str">
        <f>IF(ISBLANK(tbl_task10[[คะแนนเต็ม]:[คะแนนเต็ม]]),"",(tbl_task10[21]/tbl_task10[[คะแนนเต็ม]:[คะแนนเต็ม]])*tbl_task10[[%]:[%]])</f>
        <v/>
      </c>
      <c r="GJ22" s="121" t="str">
        <f>IF(ISBLANK(tbl_task10[[คะแนนเต็ม]:[คะแนนเต็ม]]),"",(tbl_task10[22]/tbl_task10[[คะแนนเต็ม]:[คะแนนเต็ม]])*tbl_task10[[%]:[%]])</f>
        <v/>
      </c>
      <c r="GK22" s="121" t="str">
        <f>IF(ISBLANK(tbl_task10[[คะแนนเต็ม]:[คะแนนเต็ม]]),"",(tbl_task10[23]/tbl_task10[[คะแนนเต็ม]:[คะแนนเต็ม]])*tbl_task10[[%]:[%]])</f>
        <v/>
      </c>
      <c r="GL22" s="121" t="str">
        <f>IF(ISBLANK(tbl_task10[[คะแนนเต็ม]:[คะแนนเต็ม]]),"",(tbl_task10[24]/tbl_task10[[คะแนนเต็ม]:[คะแนนเต็ม]])*tbl_task10[[%]:[%]])</f>
        <v/>
      </c>
      <c r="GM22" s="121" t="str">
        <f>IF(ISBLANK(tbl_task10[[คะแนนเต็ม]:[คะแนนเต็ม]]),"",(tbl_task10[25]/tbl_task10[[คะแนนเต็ม]:[คะแนนเต็ม]])*tbl_task10[[%]:[%]])</f>
        <v/>
      </c>
      <c r="GN22" s="121" t="str">
        <f>IF(ISBLANK(tbl_task10[[คะแนนเต็ม]:[คะแนนเต็ม]]),"",(tbl_task10[26]/tbl_task10[[คะแนนเต็ม]:[คะแนนเต็ม]])*tbl_task10[[%]:[%]])</f>
        <v/>
      </c>
      <c r="GO22" s="121" t="str">
        <f>IF(ISBLANK(tbl_task10[[คะแนนเต็ม]:[คะแนนเต็ม]]),"",(tbl_task10[27]/tbl_task10[[คะแนนเต็ม]:[คะแนนเต็ม]])*tbl_task10[[%]:[%]])</f>
        <v/>
      </c>
      <c r="GP22" s="121" t="str">
        <f>IF(ISBLANK(tbl_task10[[คะแนนเต็ม]:[คะแนนเต็ม]]),"",(tbl_task10[28]/tbl_task10[[คะแนนเต็ม]:[คะแนนเต็ม]])*tbl_task10[[%]:[%]])</f>
        <v/>
      </c>
      <c r="GQ22" s="121" t="str">
        <f>IF(ISBLANK(tbl_task10[[คะแนนเต็ม]:[คะแนนเต็ม]]),"",(tbl_task10[29]/tbl_task10[[คะแนนเต็ม]:[คะแนนเต็ม]])*tbl_task10[[%]:[%]])</f>
        <v/>
      </c>
      <c r="GR22" s="121" t="str">
        <f>IF(ISBLANK(tbl_task10[[คะแนนเต็ม]:[คะแนนเต็ม]]),"",(tbl_task10[30]/tbl_task10[[คะแนนเต็ม]:[คะแนนเต็ม]])*tbl_task10[[%]:[%]])</f>
        <v/>
      </c>
      <c r="GS22" s="121" t="str">
        <f>IF(ISBLANK(tbl_task10[[คะแนนเต็ม]:[คะแนนเต็ม]]),"",(tbl_task10[31]/tbl_task10[[คะแนนเต็ม]:[คะแนนเต็ม]])*tbl_task10[[%]:[%]])</f>
        <v/>
      </c>
      <c r="GT22" s="121" t="str">
        <f>IF(ISBLANK(tbl_task10[[คะแนนเต็ม]:[คะแนนเต็ม]]),"",(tbl_task10[32]/tbl_task10[[คะแนนเต็ม]:[คะแนนเต็ม]])*tbl_task10[[%]:[%]])</f>
        <v/>
      </c>
      <c r="GU22" s="121" t="str">
        <f>IF(ISBLANK(tbl_task10[[คะแนนเต็ม]:[คะแนนเต็ม]]),"",(tbl_task10[33]/tbl_task10[[คะแนนเต็ม]:[คะแนนเต็ม]])*tbl_task10[[%]:[%]])</f>
        <v/>
      </c>
      <c r="GV22" s="121" t="str">
        <f>IF(ISBLANK(tbl_task10[[คะแนนเต็ม]:[คะแนนเต็ม]]),"",(tbl_task10[34]/tbl_task10[[คะแนนเต็ม]:[คะแนนเต็ม]])*tbl_task10[[%]:[%]])</f>
        <v/>
      </c>
      <c r="GW22" s="121" t="str">
        <f>IF(ISBLANK(tbl_task10[[คะแนนเต็ม]:[คะแนนเต็ม]]),"",(tbl_task10[35]/tbl_task10[[คะแนนเต็ม]:[คะแนนเต็ม]])*tbl_task10[[%]:[%]])</f>
        <v/>
      </c>
      <c r="GX22" s="121" t="str">
        <f>IF(ISBLANK(tbl_task10[[คะแนนเต็ม]:[คะแนนเต็ม]]),"",(tbl_task10[36]/tbl_task10[[คะแนนเต็ม]:[คะแนนเต็ม]])*tbl_task10[[%]:[%]])</f>
        <v/>
      </c>
      <c r="GY22" s="121" t="str">
        <f>IF(ISBLANK(tbl_task10[[คะแนนเต็ม]:[คะแนนเต็ม]]),"",(tbl_task10[37]/tbl_task10[[คะแนนเต็ม]:[คะแนนเต็ม]])*tbl_task10[[%]:[%]])</f>
        <v/>
      </c>
      <c r="GZ22" s="121" t="str">
        <f>IF(ISBLANK(tbl_task10[[คะแนนเต็ม]:[คะแนนเต็ม]]),"",(tbl_task10[38]/tbl_task10[[คะแนนเต็ม]:[คะแนนเต็ม]])*tbl_task10[[%]:[%]])</f>
        <v/>
      </c>
      <c r="HA22" s="121" t="str">
        <f>IF(ISBLANK(tbl_task10[[คะแนนเต็ม]:[คะแนนเต็ม]]),"",(tbl_task10[39]/tbl_task10[[คะแนนเต็ม]:[คะแนนเต็ม]])*tbl_task10[[%]:[%]])</f>
        <v/>
      </c>
      <c r="HB22" s="121" t="str">
        <f>IF(ISBLANK(tbl_task10[[คะแนนเต็ม]:[คะแนนเต็ม]]),"",(tbl_task10[40]/tbl_task10[[คะแนนเต็ม]:[คะแนนเต็ม]])*tbl_task10[[%]:[%]])</f>
        <v/>
      </c>
      <c r="HC22" s="121" t="str">
        <f>IF(ISBLANK(tbl_task10[[คะแนนเต็ม]:[คะแนนเต็ม]]),"",(tbl_task10[41]/tbl_task10[[คะแนนเต็ม]:[คะแนนเต็ม]])*tbl_task10[[%]:[%]])</f>
        <v/>
      </c>
      <c r="HD22" s="121" t="str">
        <f>IF(ISBLANK(tbl_task10[[คะแนนเต็ม]:[คะแนนเต็ม]]),"",(tbl_task10[42]/tbl_task10[[คะแนนเต็ม]:[คะแนนเต็ม]])*tbl_task10[[%]:[%]])</f>
        <v/>
      </c>
      <c r="HE22" s="121" t="str">
        <f>IF(ISBLANK(tbl_task10[[คะแนนเต็ม]:[คะแนนเต็ม]]),"",(tbl_task10[43]/tbl_task10[[คะแนนเต็ม]:[คะแนนเต็ม]])*tbl_task10[[%]:[%]])</f>
        <v/>
      </c>
      <c r="HF22" s="121" t="str">
        <f>IF(ISBLANK(tbl_task10[[คะแนนเต็ม]:[คะแนนเต็ม]]),"",(tbl_task10[44]/tbl_task10[[คะแนนเต็ม]:[คะแนนเต็ม]])*tbl_task10[[%]:[%]])</f>
        <v/>
      </c>
      <c r="HG22" s="121" t="str">
        <f>IF(ISBLANK(tbl_task10[[คะแนนเต็ม]:[คะแนนเต็ม]]),"",(tbl_task10[45]/tbl_task10[[คะแนนเต็ม]:[คะแนนเต็ม]])*tbl_task10[[%]:[%]])</f>
        <v/>
      </c>
      <c r="HH22" s="121" t="str">
        <f>IF(ISBLANK(tbl_task10[[คะแนนเต็ม]:[คะแนนเต็ม]]),"",(tbl_task10[46]/tbl_task10[[คะแนนเต็ม]:[คะแนนเต็ม]])*tbl_task10[[%]:[%]])</f>
        <v/>
      </c>
      <c r="HI22" s="121" t="str">
        <f>IF(ISBLANK(tbl_task10[[คะแนนเต็ม]:[คะแนนเต็ม]]),"",(tbl_task10[47]/tbl_task10[[คะแนนเต็ม]:[คะแนนเต็ม]])*tbl_task10[[%]:[%]])</f>
        <v/>
      </c>
      <c r="HJ22" s="121" t="str">
        <f>IF(ISBLANK(tbl_task10[[คะแนนเต็ม]:[คะแนนเต็ม]]),"",(tbl_task10[48]/tbl_task10[[คะแนนเต็ม]:[คะแนนเต็ม]])*tbl_task10[[%]:[%]])</f>
        <v/>
      </c>
      <c r="HK22" s="121" t="str">
        <f>IF(ISBLANK(tbl_task10[[คะแนนเต็ม]:[คะแนนเต็ม]]),"",(tbl_task10[49]/tbl_task10[[คะแนนเต็ม]:[คะแนนเต็ม]])*tbl_task10[[%]:[%]])</f>
        <v/>
      </c>
      <c r="HL22" s="121" t="str">
        <f>IF(ISBLANK(tbl_task10[[คะแนนเต็ม]:[คะแนนเต็ม]]),"",(tbl_task10[50]/tbl_task10[[คะแนนเต็ม]:[คะแนนเต็ม]])*tbl_task10[[%]:[%]])</f>
        <v/>
      </c>
      <c r="HM22" s="121" t="str">
        <f>IF(ISBLANK(tbl_task10[[คะแนนเต็ม]:[คะแนนเต็ม]]),"",(tbl_task10[51]/tbl_task10[[คะแนนเต็ม]:[คะแนนเต็ม]])*tbl_task10[[%]:[%]])</f>
        <v/>
      </c>
      <c r="HN22" s="121" t="str">
        <f>IF(ISBLANK(tbl_task10[[คะแนนเต็ม]:[คะแนนเต็ม]]),"",(tbl_task10[52]/tbl_task10[[คะแนนเต็ม]:[คะแนนเต็ม]])*tbl_task10[[%]:[%]])</f>
        <v/>
      </c>
      <c r="HO22" s="121" t="str">
        <f>IF(ISBLANK(tbl_task10[[คะแนนเต็ม]:[คะแนนเต็ม]]),"",(tbl_task10[53]/tbl_task10[[คะแนนเต็ม]:[คะแนนเต็ม]])*tbl_task10[[%]:[%]])</f>
        <v/>
      </c>
      <c r="HP22" s="121" t="str">
        <f>IF(ISBLANK(tbl_task10[[คะแนนเต็ม]:[คะแนนเต็ม]]),"",(tbl_task10[54]/tbl_task10[[คะแนนเต็ม]:[คะแนนเต็ม]])*tbl_task10[[%]:[%]])</f>
        <v/>
      </c>
      <c r="HQ22" s="121" t="str">
        <f>IF(ISBLANK(tbl_task10[[คะแนนเต็ม]:[คะแนนเต็ม]]),"",(tbl_task10[55]/tbl_task10[[คะแนนเต็ม]:[คะแนนเต็ม]])*tbl_task10[[%]:[%]])</f>
        <v/>
      </c>
      <c r="HR22" s="121" t="str">
        <f>IF(ISBLANK(tbl_task10[[คะแนนเต็ม]:[คะแนนเต็ม]]),"",(tbl_task10[56]/tbl_task10[[คะแนนเต็ม]:[คะแนนเต็ม]])*tbl_task10[[%]:[%]])</f>
        <v/>
      </c>
      <c r="HS22" s="121" t="str">
        <f>IF(ISBLANK(tbl_task10[[คะแนนเต็ม]:[คะแนนเต็ม]]),"",(tbl_task10[57]/tbl_task10[[คะแนนเต็ม]:[คะแนนเต็ม]])*tbl_task10[[%]:[%]])</f>
        <v/>
      </c>
      <c r="HT22" s="121" t="str">
        <f>IF(ISBLANK(tbl_task10[[คะแนนเต็ม]:[คะแนนเต็ม]]),"",(tbl_task10[58]/tbl_task10[[คะแนนเต็ม]:[คะแนนเต็ม]])*tbl_task10[[%]:[%]])</f>
        <v/>
      </c>
      <c r="HU22" s="121" t="str">
        <f>IF(ISBLANK(tbl_task10[[คะแนนเต็ม]:[คะแนนเต็ม]]),"",(tbl_task10[59]/tbl_task10[[คะแนนเต็ม]:[คะแนนเต็ม]])*tbl_task10[[%]:[%]])</f>
        <v/>
      </c>
      <c r="HV22" s="121" t="str">
        <f>IF(ISBLANK(tbl_task10[[คะแนนเต็ม]:[คะแนนเต็ม]]),"",(tbl_task10[60]/tbl_task10[[คะแนนเต็ม]:[คะแนนเต็ม]])*tbl_task10[[%]:[%]])</f>
        <v/>
      </c>
      <c r="HW22" s="121" t="str">
        <f>IF(ISBLANK(tbl_task10[[คะแนนเต็ม]:[คะแนนเต็ม]]),"",(tbl_task10[61]/tbl_task10[[คะแนนเต็ม]:[คะแนนเต็ม]])*tbl_task10[[%]:[%]])</f>
        <v/>
      </c>
      <c r="HX22" s="121" t="str">
        <f>IF(ISBLANK(tbl_task10[[คะแนนเต็ม]:[คะแนนเต็ม]]),"",(tbl_task10[62]/tbl_task10[[คะแนนเต็ม]:[คะแนนเต็ม]])*tbl_task10[[%]:[%]])</f>
        <v/>
      </c>
      <c r="HY22" s="121" t="str">
        <f>IF(ISBLANK(tbl_task10[[คะแนนเต็ม]:[คะแนนเต็ม]]),"",(tbl_task10[63]/tbl_task10[[คะแนนเต็ม]:[คะแนนเต็ม]])*tbl_task10[[%]:[%]])</f>
        <v/>
      </c>
      <c r="HZ22" s="121" t="str">
        <f>IF(ISBLANK(tbl_task10[[คะแนนเต็ม]:[คะแนนเต็ม]]),"",(tbl_task10[64]/tbl_task10[[คะแนนเต็ม]:[คะแนนเต็ม]])*tbl_task10[[%]:[%]])</f>
        <v/>
      </c>
      <c r="IA22" s="121" t="str">
        <f>IF(ISBLANK(tbl_task10[[คะแนนเต็ม]:[คะแนนเต็ม]]),"",(tbl_task10[65]/tbl_task10[[คะแนนเต็ม]:[คะแนนเต็ม]])*tbl_task10[[%]:[%]])</f>
        <v/>
      </c>
      <c r="IB22" s="121" t="str">
        <f>IF(ISBLANK(tbl_task10[[คะแนนเต็ม]:[คะแนนเต็ม]]),"",(tbl_task10[66]/tbl_task10[[คะแนนเต็ม]:[คะแนนเต็ม]])*tbl_task10[[%]:[%]])</f>
        <v/>
      </c>
      <c r="IC22" s="121" t="str">
        <f>IF(ISBLANK(tbl_task10[[คะแนนเต็ม]:[คะแนนเต็ม]]),"",(tbl_task10[67]/tbl_task10[[คะแนนเต็ม]:[คะแนนเต็ม]])*tbl_task10[[%]:[%]])</f>
        <v/>
      </c>
      <c r="ID22" s="121" t="str">
        <f>IF(ISBLANK(tbl_task10[[คะแนนเต็ม]:[คะแนนเต็ม]]),"",(tbl_task10[68]/tbl_task10[[คะแนนเต็ม]:[คะแนนเต็ม]])*tbl_task10[[%]:[%]])</f>
        <v/>
      </c>
      <c r="IE22" s="121" t="str">
        <f>IF(ISBLANK(tbl_task10[[คะแนนเต็ม]:[คะแนนเต็ม]]),"",(tbl_task10[69]/tbl_task10[[คะแนนเต็ม]:[คะแนนเต็ม]])*tbl_task10[[%]:[%]])</f>
        <v/>
      </c>
      <c r="IF22" s="121" t="str">
        <f>IF(ISBLANK(tbl_task10[[คะแนนเต็ม]:[คะแนนเต็ม]]),"",(tbl_task10[70]/tbl_task10[[คะแนนเต็ม]:[คะแนนเต็ม]])*tbl_task10[[%]:[%]])</f>
        <v/>
      </c>
      <c r="IG22" s="121" t="str">
        <f>IF(ISBLANK(tbl_task10[[คะแนนเต็ม]:[คะแนนเต็ม]]),"",(tbl_task10[71]/tbl_task10[[คะแนนเต็ม]:[คะแนนเต็ม]])*tbl_task10[[%]:[%]])</f>
        <v/>
      </c>
      <c r="IH22" s="121" t="str">
        <f>IF(ISBLANK(tbl_task10[[คะแนนเต็ม]:[คะแนนเต็ม]]),"",(tbl_task10[72]/tbl_task10[[คะแนนเต็ม]:[คะแนนเต็ม]])*tbl_task10[[%]:[%]])</f>
        <v/>
      </c>
      <c r="II22" s="121" t="str">
        <f>IF(ISBLANK(tbl_task10[[คะแนนเต็ม]:[คะแนนเต็ม]]),"",(tbl_task10[73]/tbl_task10[[คะแนนเต็ม]:[คะแนนเต็ม]])*tbl_task10[[%]:[%]])</f>
        <v/>
      </c>
      <c r="IJ22" s="121" t="str">
        <f>IF(ISBLANK(tbl_task10[[คะแนนเต็ม]:[คะแนนเต็ม]]),"",(tbl_task10[74]/tbl_task10[[คะแนนเต็ม]:[คะแนนเต็ม]])*tbl_task10[[%]:[%]])</f>
        <v/>
      </c>
      <c r="IK22" s="121" t="str">
        <f>IF(ISBLANK(tbl_task10[[คะแนนเต็ม]:[คะแนนเต็ม]]),"",(tbl_task10[75]/tbl_task10[[คะแนนเต็ม]:[คะแนนเต็ม]])*tbl_task10[[%]:[%]])</f>
        <v/>
      </c>
      <c r="IL22" s="121" t="str">
        <f>IF(ISBLANK(tbl_task10[[คะแนนเต็ม]:[คะแนนเต็ม]]),"",(tbl_task10[76]/tbl_task10[[คะแนนเต็ม]:[คะแนนเต็ม]])*tbl_task10[[%]:[%]])</f>
        <v/>
      </c>
      <c r="IM22" s="121" t="str">
        <f>IF(ISBLANK(tbl_task10[[คะแนนเต็ม]:[คะแนนเต็ม]]),"",(tbl_task10[77]/tbl_task10[[คะแนนเต็ม]:[คะแนนเต็ม]])*tbl_task10[[%]:[%]])</f>
        <v/>
      </c>
      <c r="IN22" s="121" t="str">
        <f>IF(ISBLANK(tbl_task10[[คะแนนเต็ม]:[คะแนนเต็ม]]),"",(tbl_task10[78]/tbl_task10[[คะแนนเต็ม]:[คะแนนเต็ม]])*tbl_task10[[%]:[%]])</f>
        <v/>
      </c>
      <c r="IO22" s="121" t="str">
        <f>IF(ISBLANK(tbl_task10[[คะแนนเต็ม]:[คะแนนเต็ม]]),"",(tbl_task10[79]/tbl_task10[[คะแนนเต็ม]:[คะแนนเต็ม]])*tbl_task10[[%]:[%]])</f>
        <v/>
      </c>
      <c r="IP22" s="121" t="str">
        <f>IF(ISBLANK(tbl_task10[[คะแนนเต็ม]:[คะแนนเต็ม]]),"",(tbl_task10[80]/tbl_task10[[คะแนนเต็ม]:[คะแนนเต็ม]])*tbl_task10[[%]:[%]])</f>
        <v/>
      </c>
      <c r="IQ22" s="121" t="str">
        <f>IF(ISBLANK(tbl_task10[[คะแนนเต็ม]:[คะแนนเต็ม]]),"",(tbl_task10[81]/tbl_task10[[คะแนนเต็ม]:[คะแนนเต็ม]])*tbl_task10[[%]:[%]])</f>
        <v/>
      </c>
      <c r="IR22" s="121" t="str">
        <f>IF(ISBLANK(tbl_task10[[คะแนนเต็ม]:[คะแนนเต็ม]]),"",(tbl_task10[82]/tbl_task10[[คะแนนเต็ม]:[คะแนนเต็ม]])*tbl_task10[[%]:[%]])</f>
        <v/>
      </c>
      <c r="IS22" s="121" t="str">
        <f>IF(ISBLANK(tbl_task10[[คะแนนเต็ม]:[คะแนนเต็ม]]),"",(tbl_task10[83]/tbl_task10[[คะแนนเต็ม]:[คะแนนเต็ม]])*tbl_task10[[%]:[%]])</f>
        <v/>
      </c>
      <c r="IT22" s="121" t="str">
        <f>IF(ISBLANK(tbl_task10[[คะแนนเต็ม]:[คะแนนเต็ม]]),"",(tbl_task10[84]/tbl_task10[[คะแนนเต็ม]:[คะแนนเต็ม]])*tbl_task10[[%]:[%]])</f>
        <v/>
      </c>
      <c r="IU22" s="121" t="str">
        <f>IF(ISBLANK(tbl_task10[[คะแนนเต็ม]:[คะแนนเต็ม]]),"",(tbl_task10[85]/tbl_task10[[คะแนนเต็ม]:[คะแนนเต็ม]])*tbl_task10[[%]:[%]])</f>
        <v/>
      </c>
      <c r="IV22" s="121" t="str">
        <f>IF(ISBLANK(tbl_task10[[คะแนนเต็ม]:[คะแนนเต็ม]]),"",(tbl_task10[86]/tbl_task10[[คะแนนเต็ม]:[คะแนนเต็ม]])*tbl_task10[[%]:[%]])</f>
        <v/>
      </c>
      <c r="IW22" s="121" t="str">
        <f>IF(ISBLANK(tbl_task10[[คะแนนเต็ม]:[คะแนนเต็ม]]),"",(tbl_task10[87]/tbl_task10[[คะแนนเต็ม]:[คะแนนเต็ม]])*tbl_task10[[%]:[%]])</f>
        <v/>
      </c>
      <c r="IX22" s="121" t="str">
        <f>IF(ISBLANK(tbl_task10[[คะแนนเต็ม]:[คะแนนเต็ม]]),"",(tbl_task10[88]/tbl_task10[[คะแนนเต็ม]:[คะแนนเต็ม]])*tbl_task10[[%]:[%]])</f>
        <v/>
      </c>
      <c r="IY22" s="121" t="str">
        <f>IF(ISBLANK(tbl_task10[[คะแนนเต็ม]:[คะแนนเต็ม]]),"",(tbl_task10[89]/tbl_task10[[คะแนนเต็ม]:[คะแนนเต็ม]])*tbl_task10[[%]:[%]])</f>
        <v/>
      </c>
      <c r="IZ22" s="121" t="str">
        <f>IF(ISBLANK(tbl_task10[[คะแนนเต็ม]:[คะแนนเต็ม]]),"",(tbl_task10[90]/tbl_task10[[คะแนนเต็ม]:[คะแนนเต็ม]])*tbl_task10[[%]:[%]])</f>
        <v/>
      </c>
      <c r="JA22" s="121" t="str">
        <f>IF(ISBLANK(tbl_task10[[คะแนนเต็ม]:[คะแนนเต็ม]]),"",(tbl_task10[91]/tbl_task10[[คะแนนเต็ม]:[คะแนนเต็ม]])*tbl_task10[[%]:[%]])</f>
        <v/>
      </c>
      <c r="JB22" s="121" t="str">
        <f>IF(ISBLANK(tbl_task10[[คะแนนเต็ม]:[คะแนนเต็ม]]),"",(tbl_task10[92]/tbl_task10[[คะแนนเต็ม]:[คะแนนเต็ม]])*tbl_task10[[%]:[%]])</f>
        <v/>
      </c>
      <c r="JC22" s="121" t="str">
        <f>IF(ISBLANK(tbl_task10[[คะแนนเต็ม]:[คะแนนเต็ม]]),"",(tbl_task10[93]/tbl_task10[[คะแนนเต็ม]:[คะแนนเต็ม]])*tbl_task10[[%]:[%]])</f>
        <v/>
      </c>
      <c r="JD22" s="121" t="str">
        <f>IF(ISBLANK(tbl_task10[[คะแนนเต็ม]:[คะแนนเต็ม]]),"",(tbl_task10[94]/tbl_task10[[คะแนนเต็ม]:[คะแนนเต็ม]])*tbl_task10[[%]:[%]])</f>
        <v/>
      </c>
      <c r="JE22" s="121" t="str">
        <f>IF(ISBLANK(tbl_task10[[คะแนนเต็ม]:[คะแนนเต็ม]]),"",(tbl_task10[95]/tbl_task10[[คะแนนเต็ม]:[คะแนนเต็ม]])*tbl_task10[[%]:[%]])</f>
        <v/>
      </c>
      <c r="JF22" s="121" t="str">
        <f>IF(ISBLANK(tbl_task10[[คะแนนเต็ม]:[คะแนนเต็ม]]),"",(tbl_task10[96]/tbl_task10[[คะแนนเต็ม]:[คะแนนเต็ม]])*tbl_task10[[%]:[%]])</f>
        <v/>
      </c>
      <c r="JG22" s="121" t="str">
        <f>IF(ISBLANK(tbl_task10[[คะแนนเต็ม]:[คะแนนเต็ม]]),"",(tbl_task10[97]/tbl_task10[[คะแนนเต็ม]:[คะแนนเต็ม]])*tbl_task10[[%]:[%]])</f>
        <v/>
      </c>
      <c r="JH22" s="121" t="str">
        <f>IF(ISBLANK(tbl_task10[[คะแนนเต็ม]:[คะแนนเต็ม]]),"",(tbl_task10[98]/tbl_task10[[คะแนนเต็ม]:[คะแนนเต็ม]])*tbl_task10[[%]:[%]])</f>
        <v/>
      </c>
      <c r="JI22" s="121" t="str">
        <f>IF(ISBLANK(tbl_task10[[คะแนนเต็ม]:[คะแนนเต็ม]]),"",(tbl_task10[99]/tbl_task10[[คะแนนเต็ม]:[คะแนนเต็ม]])*tbl_task10[[%]:[%]])</f>
        <v/>
      </c>
      <c r="JJ22" s="121" t="str">
        <f>IF(ISBLANK(tbl_task10[[คะแนนเต็ม]:[คะแนนเต็ม]]),"",(tbl_task10[100]/tbl_task10[[คะแนนเต็ม]:[คะแนนเต็ม]])*tbl_task10[[%]:[%]])</f>
        <v/>
      </c>
      <c r="JK22" s="121" t="str">
        <f>IF(ISBLANK(tbl_task10[[คะแนนเต็ม]:[คะแนนเต็ม]]),"",(tbl_task10[101]/tbl_task10[[คะแนนเต็ม]:[คะแนนเต็ม]])*tbl_task10[[%]:[%]])</f>
        <v/>
      </c>
      <c r="JL22" s="121" t="str">
        <f>IF(ISBLANK(tbl_task10[[คะแนนเต็ม]:[คะแนนเต็ม]]),"",(tbl_task10[102]/tbl_task10[[คะแนนเต็ม]:[คะแนนเต็ม]])*tbl_task10[[%]:[%]])</f>
        <v/>
      </c>
      <c r="JM22" s="121" t="str">
        <f>IF(ISBLANK(tbl_task10[[คะแนนเต็ม]:[คะแนนเต็ม]]),"",(tbl_task10[103]/tbl_task10[[คะแนนเต็ม]:[คะแนนเต็ม]])*tbl_task10[[%]:[%]])</f>
        <v/>
      </c>
      <c r="JN22" s="121" t="str">
        <f>IF(ISBLANK(tbl_task10[[คะแนนเต็ม]:[คะแนนเต็ม]]),"",(tbl_task10[104]/tbl_task10[[คะแนนเต็ม]:[คะแนนเต็ม]])*tbl_task10[[%]:[%]])</f>
        <v/>
      </c>
      <c r="JO22" s="121" t="str">
        <f>IF(ISBLANK(tbl_task10[[คะแนนเต็ม]:[คะแนนเต็ม]]),"",(tbl_task10[105]/tbl_task10[[คะแนนเต็ม]:[คะแนนเต็ม]])*tbl_task10[[%]:[%]])</f>
        <v/>
      </c>
      <c r="JP22" s="121" t="str">
        <f>IF(ISBLANK(tbl_task10[[คะแนนเต็ม]:[คะแนนเต็ม]]),"",(tbl_task10[106]/tbl_task10[[คะแนนเต็ม]:[คะแนนเต็ม]])*tbl_task10[[%]:[%]])</f>
        <v/>
      </c>
      <c r="JQ22" s="121" t="str">
        <f>IF(ISBLANK(tbl_task10[[คะแนนเต็ม]:[คะแนนเต็ม]]),"",(tbl_task10[107]/tbl_task10[[คะแนนเต็ม]:[คะแนนเต็ม]])*tbl_task10[[%]:[%]])</f>
        <v/>
      </c>
      <c r="JR22" s="121" t="str">
        <f>IF(ISBLANK(tbl_task10[[คะแนนเต็ม]:[คะแนนเต็ม]]),"",(tbl_task10[108]/tbl_task10[[คะแนนเต็ม]:[คะแนนเต็ม]])*tbl_task10[[%]:[%]])</f>
        <v/>
      </c>
      <c r="JS22" s="121" t="str">
        <f>IF(ISBLANK(tbl_task10[[คะแนนเต็ม]:[คะแนนเต็ม]]),"",(tbl_task10[109]/tbl_task10[[คะแนนเต็ม]:[คะแนนเต็ม]])*tbl_task10[[%]:[%]])</f>
        <v/>
      </c>
      <c r="JT22" s="121" t="str">
        <f>IF(ISBLANK(tbl_task10[[คะแนนเต็ม]:[คะแนนเต็ม]]),"",(tbl_task10[110]/tbl_task10[[คะแนนเต็ม]:[คะแนนเต็ม]])*tbl_task10[[%]:[%]])</f>
        <v/>
      </c>
      <c r="JU22" s="121" t="str">
        <f>IF(ISBLANK(tbl_task10[[คะแนนเต็ม]:[คะแนนเต็ม]]),"",(tbl_task10[111]/tbl_task10[[คะแนนเต็ม]:[คะแนนเต็ม]])*tbl_task10[[%]:[%]])</f>
        <v/>
      </c>
      <c r="JV22" s="121" t="str">
        <f>IF(ISBLANK(tbl_task10[[คะแนนเต็ม]:[คะแนนเต็ม]]),"",(tbl_task10[112]/tbl_task10[[คะแนนเต็ม]:[คะแนนเต็ม]])*tbl_task10[[%]:[%]])</f>
        <v/>
      </c>
      <c r="JW22" s="121" t="str">
        <f>IF(ISBLANK(tbl_task10[[คะแนนเต็ม]:[คะแนนเต็ม]]),"",(tbl_task10[113]/tbl_task10[[คะแนนเต็ม]:[คะแนนเต็ม]])*tbl_task10[[%]:[%]])</f>
        <v/>
      </c>
      <c r="JX22" s="121" t="str">
        <f>IF(ISBLANK(tbl_task10[[คะแนนเต็ม]:[คะแนนเต็ม]]),"",(tbl_task10[114]/tbl_task10[[คะแนนเต็ม]:[คะแนนเต็ม]])*tbl_task10[[%]:[%]])</f>
        <v/>
      </c>
      <c r="JY22" s="121" t="str">
        <f>IF(ISBLANK(tbl_task10[[คะแนนเต็ม]:[คะแนนเต็ม]]),"",(tbl_task10[115]/tbl_task10[[คะแนนเต็ม]:[คะแนนเต็ม]])*tbl_task10[[%]:[%]])</f>
        <v/>
      </c>
      <c r="JZ22" s="121" t="str">
        <f>IF(ISBLANK(tbl_task10[[คะแนนเต็ม]:[คะแนนเต็ม]]),"",(tbl_task10[116]/tbl_task10[[คะแนนเต็ม]:[คะแนนเต็ม]])*tbl_task10[[%]:[%]])</f>
        <v/>
      </c>
      <c r="KA22" s="121" t="str">
        <f>IF(ISBLANK(tbl_task10[[คะแนนเต็ม]:[คะแนนเต็ม]]),"",(tbl_task10[117]/tbl_task10[[คะแนนเต็ม]:[คะแนนเต็ม]])*tbl_task10[[%]:[%]])</f>
        <v/>
      </c>
      <c r="KB22" s="121" t="str">
        <f>IF(ISBLANK(tbl_task10[[คะแนนเต็ม]:[คะแนนเต็ม]]),"",(tbl_task10[118]/tbl_task10[[คะแนนเต็ม]:[คะแนนเต็ม]])*tbl_task10[[%]:[%]])</f>
        <v/>
      </c>
      <c r="KC22" s="121" t="str">
        <f>IF(ISBLANK(tbl_task10[[คะแนนเต็ม]:[คะแนนเต็ม]]),"",(tbl_task10[119]/tbl_task10[[คะแนนเต็ม]:[คะแนนเต็ม]])*tbl_task10[[%]:[%]])</f>
        <v/>
      </c>
      <c r="KD22" s="121" t="str">
        <f>IF(ISBLANK(tbl_task10[[คะแนนเต็ม]:[คะแนนเต็ม]]),"",(tbl_task10[120]/tbl_task10[[คะแนนเต็ม]:[คะแนนเต็ม]])*tbl_task10[[%]:[%]])</f>
        <v/>
      </c>
      <c r="KE22" s="121" t="str">
        <f>IF(ISBLANK(tbl_task10[[คะแนนเต็ม]:[คะแนนเต็ม]]),"",(tbl_task10[121]/tbl_task10[[คะแนนเต็ม]:[คะแนนเต็ม]])*tbl_task10[[%]:[%]])</f>
        <v/>
      </c>
      <c r="KF22" s="121" t="str">
        <f>IF(ISBLANK(tbl_task10[[คะแนนเต็ม]:[คะแนนเต็ม]]),"",(tbl_task10[122]/tbl_task10[[คะแนนเต็ม]:[คะแนนเต็ม]])*tbl_task10[[%]:[%]])</f>
        <v/>
      </c>
      <c r="KG22" s="121" t="str">
        <f>IF(ISBLANK(tbl_task10[[คะแนนเต็ม]:[คะแนนเต็ม]]),"",(tbl_task10[123]/tbl_task10[[คะแนนเต็ม]:[คะแนนเต็ม]])*tbl_task10[[%]:[%]])</f>
        <v/>
      </c>
      <c r="KH22" s="121" t="str">
        <f>IF(ISBLANK(tbl_task10[[คะแนนเต็ม]:[คะแนนเต็ม]]),"",(tbl_task10[124]/tbl_task10[[คะแนนเต็ม]:[คะแนนเต็ม]])*tbl_task10[[%]:[%]])</f>
        <v/>
      </c>
      <c r="KI22" s="121" t="str">
        <f>IF(ISBLANK(tbl_task10[[คะแนนเต็ม]:[คะแนนเต็ม]]),"",(tbl_task10[125]/tbl_task10[[คะแนนเต็ม]:[คะแนนเต็ม]])*tbl_task10[[%]:[%]])</f>
        <v/>
      </c>
      <c r="KJ22" s="121" t="str">
        <f>IF(ISBLANK(tbl_task10[[คะแนนเต็ม]:[คะแนนเต็ม]]),"",(tbl_task10[126]/tbl_task10[[คะแนนเต็ม]:[คะแนนเต็ม]])*tbl_task10[[%]:[%]])</f>
        <v/>
      </c>
      <c r="KK22" s="121" t="str">
        <f>IF(ISBLANK(tbl_task10[[คะแนนเต็ม]:[คะแนนเต็ม]]),"",(tbl_task10[127]/tbl_task10[[คะแนนเต็ม]:[คะแนนเต็ม]])*tbl_task10[[%]:[%]])</f>
        <v/>
      </c>
      <c r="KL22" s="121" t="str">
        <f>IF(ISBLANK(tbl_task10[[คะแนนเต็ม]:[คะแนนเต็ม]]),"",(tbl_task10[128]/tbl_task10[[คะแนนเต็ม]:[คะแนนเต็ม]])*tbl_task10[[%]:[%]])</f>
        <v/>
      </c>
      <c r="KM22" s="121" t="str">
        <f>IF(ISBLANK(tbl_task10[[คะแนนเต็ม]:[คะแนนเต็ม]]),"",(tbl_task10[129]/tbl_task10[[คะแนนเต็ม]:[คะแนนเต็ม]])*tbl_task10[[%]:[%]])</f>
        <v/>
      </c>
      <c r="KN22" s="121" t="str">
        <f>IF(ISBLANK(tbl_task10[[คะแนนเต็ม]:[คะแนนเต็ม]]),"",(tbl_task10[130]/tbl_task10[[คะแนนเต็ม]:[คะแนนเต็ม]])*tbl_task10[[%]:[%]])</f>
        <v/>
      </c>
      <c r="KO22" s="121" t="str">
        <f>IF(ISBLANK(tbl_task10[[คะแนนเต็ม]:[คะแนนเต็ม]]),"",(tbl_task10[131]/tbl_task10[[คะแนนเต็ม]:[คะแนนเต็ม]])*tbl_task10[[%]:[%]])</f>
        <v/>
      </c>
      <c r="KP22" s="121" t="str">
        <f>IF(ISBLANK(tbl_task10[[คะแนนเต็ม]:[คะแนนเต็ม]]),"",(tbl_task10[132]/tbl_task10[[คะแนนเต็ม]:[คะแนนเต็ม]])*tbl_task10[[%]:[%]])</f>
        <v/>
      </c>
      <c r="KQ22" s="121" t="str">
        <f>IF(ISBLANK(tbl_task10[[คะแนนเต็ม]:[คะแนนเต็ม]]),"",(tbl_task10[133]/tbl_task10[[คะแนนเต็ม]:[คะแนนเต็ม]])*tbl_task10[[%]:[%]])</f>
        <v/>
      </c>
      <c r="KR22" s="121" t="str">
        <f>IF(ISBLANK(tbl_task10[[คะแนนเต็ม]:[คะแนนเต็ม]]),"",(tbl_task10[134]/tbl_task10[[คะแนนเต็ม]:[คะแนนเต็ม]])*tbl_task10[[%]:[%]])</f>
        <v/>
      </c>
      <c r="KS22" s="121" t="str">
        <f>IF(ISBLANK(tbl_task10[[คะแนนเต็ม]:[คะแนนเต็ม]]),"",(tbl_task10[135]/tbl_task10[[คะแนนเต็ม]:[คะแนนเต็ม]])*tbl_task10[[%]:[%]])</f>
        <v/>
      </c>
      <c r="KT22" s="121" t="str">
        <f>IF(ISBLANK(tbl_task10[[คะแนนเต็ม]:[คะแนนเต็ม]]),"",(tbl_task10[136]/tbl_task10[[คะแนนเต็ม]:[คะแนนเต็ม]])*tbl_task10[[%]:[%]])</f>
        <v/>
      </c>
      <c r="KU22" s="121" t="str">
        <f>IF(ISBLANK(tbl_task10[[คะแนนเต็ม]:[คะแนนเต็ม]]),"",(tbl_task10[137]/tbl_task10[[คะแนนเต็ม]:[คะแนนเต็ม]])*tbl_task10[[%]:[%]])</f>
        <v/>
      </c>
      <c r="KV22" s="121" t="str">
        <f>IF(ISBLANK(tbl_task10[[คะแนนเต็ม]:[คะแนนเต็ม]]),"",(tbl_task10[138]/tbl_task10[[คะแนนเต็ม]:[คะแนนเต็ม]])*tbl_task10[[%]:[%]])</f>
        <v/>
      </c>
      <c r="KW22" s="121" t="str">
        <f>IF(ISBLANK(tbl_task10[[คะแนนเต็ม]:[คะแนนเต็ม]]),"",(tbl_task10[139]/tbl_task10[[คะแนนเต็ม]:[คะแนนเต็ม]])*tbl_task10[[%]:[%]])</f>
        <v/>
      </c>
      <c r="KX22" s="121" t="str">
        <f>IF(ISBLANK(tbl_task10[[คะแนนเต็ม]:[คะแนนเต็ม]]),"",(tbl_task10[140]/tbl_task10[[คะแนนเต็ม]:[คะแนนเต็ม]])*tbl_task10[[%]:[%]])</f>
        <v/>
      </c>
      <c r="KY22" s="121" t="str">
        <f>IF(ISBLANK(tbl_task10[[คะแนนเต็ม]:[คะแนนเต็ม]]),"",(tbl_task10[141]/tbl_task10[[คะแนนเต็ม]:[คะแนนเต็ม]])*tbl_task10[[%]:[%]])</f>
        <v/>
      </c>
      <c r="KZ22" s="121" t="str">
        <f>IF(ISBLANK(tbl_task10[[คะแนนเต็ม]:[คะแนนเต็ม]]),"",(tbl_task10[142]/tbl_task10[[คะแนนเต็ม]:[คะแนนเต็ม]])*tbl_task10[[%]:[%]])</f>
        <v/>
      </c>
      <c r="LA22" s="121" t="str">
        <f>IF(ISBLANK(tbl_task10[[คะแนนเต็ม]:[คะแนนเต็ม]]),"",(tbl_task10[143]/tbl_task10[[คะแนนเต็ม]:[คะแนนเต็ม]])*tbl_task10[[%]:[%]])</f>
        <v/>
      </c>
      <c r="LB22" s="121" t="str">
        <f>IF(ISBLANK(tbl_task10[[คะแนนเต็ม]:[คะแนนเต็ม]]),"",(tbl_task10[144]/tbl_task10[[คะแนนเต็ม]:[คะแนนเต็ม]])*tbl_task10[[%]:[%]])</f>
        <v/>
      </c>
      <c r="LC22" s="121" t="str">
        <f>IF(ISBLANK(tbl_task10[[คะแนนเต็ม]:[คะแนนเต็ม]]),"",(tbl_task10[145]/tbl_task10[[คะแนนเต็ม]:[คะแนนเต็ม]])*tbl_task10[[%]:[%]])</f>
        <v/>
      </c>
      <c r="LD22" s="121" t="str">
        <f>IF(ISBLANK(tbl_task10[[คะแนนเต็ม]:[คะแนนเต็ม]]),"",(tbl_task10[146]/tbl_task10[[คะแนนเต็ม]:[คะแนนเต็ม]])*tbl_task10[[%]:[%]])</f>
        <v/>
      </c>
      <c r="LE22" s="121" t="str">
        <f>IF(ISBLANK(tbl_task10[[คะแนนเต็ม]:[คะแนนเต็ม]]),"",(tbl_task10[147]/tbl_task10[[คะแนนเต็ม]:[คะแนนเต็ม]])*tbl_task10[[%]:[%]])</f>
        <v/>
      </c>
      <c r="LF22" s="121" t="str">
        <f>IF(ISBLANK(tbl_task10[[คะแนนเต็ม]:[คะแนนเต็ม]]),"",(tbl_task10[148]/tbl_task10[[คะแนนเต็ม]:[คะแนนเต็ม]])*tbl_task10[[%]:[%]])</f>
        <v/>
      </c>
      <c r="LG22" s="121" t="str">
        <f>IF(ISBLANK(tbl_task10[[คะแนนเต็ม]:[คะแนนเต็ม]]),"",(tbl_task10[149]/tbl_task10[[คะแนนเต็ม]:[คะแนนเต็ม]])*tbl_task10[[%]:[%]])</f>
        <v/>
      </c>
      <c r="LH22" s="121" t="str">
        <f>IF(ISBLANK(tbl_task10[[คะแนนเต็ม]:[คะแนนเต็ม]]),"",(tbl_task10[150]/tbl_task10[[คะแนนเต็ม]:[คะแนนเต็ม]])*tbl_task10[[%]:[%]])</f>
        <v/>
      </c>
      <c r="LI22" s="121" t="str">
        <f>IF(ISBLANK(tbl_task10[[คะแนนเต็ม]:[คะแนนเต็ม]]),"",(tbl_task10[151]/tbl_task10[[คะแนนเต็ม]:[คะแนนเต็ม]])*tbl_task10[[%]:[%]])</f>
        <v/>
      </c>
      <c r="LJ22" s="121" t="str">
        <f>IF(ISBLANK(tbl_task10[[คะแนนเต็ม]:[คะแนนเต็ม]]),"",(tbl_task10[152]/tbl_task10[[คะแนนเต็ม]:[คะแนนเต็ม]])*tbl_task10[[%]:[%]])</f>
        <v/>
      </c>
      <c r="LK22" s="121" t="str">
        <f>IF(ISBLANK(tbl_task10[[คะแนนเต็ม]:[คะแนนเต็ม]]),"",(tbl_task10[153]/tbl_task10[[คะแนนเต็ม]:[คะแนนเต็ม]])*tbl_task10[[%]:[%]])</f>
        <v/>
      </c>
      <c r="LL22" s="121" t="str">
        <f>IF(ISBLANK(tbl_task10[[คะแนนเต็ม]:[คะแนนเต็ม]]),"",(tbl_task10[154]/tbl_task10[[คะแนนเต็ม]:[คะแนนเต็ม]])*tbl_task10[[%]:[%]])</f>
        <v/>
      </c>
      <c r="LM22" s="121" t="str">
        <f>IF(ISBLANK(tbl_task10[[คะแนนเต็ม]:[คะแนนเต็ม]]),"",(tbl_task10[155]/tbl_task10[[คะแนนเต็ม]:[คะแนนเต็ม]])*tbl_task10[[%]:[%]])</f>
        <v/>
      </c>
      <c r="LN22" s="121" t="str">
        <f>IF(ISBLANK(tbl_task10[[คะแนนเต็ม]:[คะแนนเต็ม]]),"",(tbl_task10[156]/tbl_task10[[คะแนนเต็ม]:[คะแนนเต็ม]])*tbl_task10[[%]:[%]])</f>
        <v/>
      </c>
      <c r="LO22" s="121" t="str">
        <f>IF(ISBLANK(tbl_task10[[คะแนนเต็ม]:[คะแนนเต็ม]]),"",(tbl_task10[157]/tbl_task10[[คะแนนเต็ม]:[คะแนนเต็ม]])*tbl_task10[[%]:[%]])</f>
        <v/>
      </c>
      <c r="LP22" s="121" t="str">
        <f>IF(ISBLANK(tbl_task10[[คะแนนเต็ม]:[คะแนนเต็ม]]),"",(tbl_task10[158]/tbl_task10[[คะแนนเต็ม]:[คะแนนเต็ม]])*tbl_task10[[%]:[%]])</f>
        <v/>
      </c>
      <c r="LQ22" s="121" t="str">
        <f>IF(ISBLANK(tbl_task10[[คะแนนเต็ม]:[คะแนนเต็ม]]),"",(tbl_task10[159]/tbl_task10[[คะแนนเต็ม]:[คะแนนเต็ม]])*tbl_task10[[%]:[%]])</f>
        <v/>
      </c>
      <c r="LR22" s="121" t="str">
        <f>IF(ISBLANK(tbl_task10[[คะแนนเต็ม]:[คะแนนเต็ม]]),"",(tbl_task10[160]/tbl_task10[[คะแนนเต็ม]:[คะแนนเต็ม]])*tbl_task10[[%]:[%]])</f>
        <v/>
      </c>
      <c r="LS22" s="121" t="str">
        <f>IF(ISBLANK(tbl_task10[[คะแนนเต็ม]:[คะแนนเต็ม]]),"",(tbl_task10[161]/tbl_task10[[คะแนนเต็ม]:[คะแนนเต็ม]])*tbl_task10[[%]:[%]])</f>
        <v/>
      </c>
      <c r="LT22" s="121" t="str">
        <f>IF(ISBLANK(tbl_task10[[คะแนนเต็ม]:[คะแนนเต็ม]]),"",(tbl_task10[162]/tbl_task10[[คะแนนเต็ม]:[คะแนนเต็ม]])*tbl_task10[[%]:[%]])</f>
        <v/>
      </c>
      <c r="LU22" s="121" t="str">
        <f>IF(ISBLANK(tbl_task10[[คะแนนเต็ม]:[คะแนนเต็ม]]),"",(tbl_task10[163]/tbl_task10[[คะแนนเต็ม]:[คะแนนเต็ม]])*tbl_task10[[%]:[%]])</f>
        <v/>
      </c>
      <c r="LV22" s="121" t="str">
        <f>IF(ISBLANK(tbl_task10[[คะแนนเต็ม]:[คะแนนเต็ม]]),"",(tbl_task10[164]/tbl_task10[[คะแนนเต็ม]:[คะแนนเต็ม]])*tbl_task10[[%]:[%]])</f>
        <v/>
      </c>
      <c r="LW22" s="121" t="str">
        <f>IF(ISBLANK(tbl_task10[[คะแนนเต็ม]:[คะแนนเต็ม]]),"",(tbl_task10[165]/tbl_task10[[คะแนนเต็ม]:[คะแนนเต็ม]])*tbl_task10[[%]:[%]])</f>
        <v/>
      </c>
    </row>
    <row r="23" spans="1:335" ht="24" customHeight="1" x14ac:dyDescent="0.25">
      <c r="A23" s="24">
        <v>20</v>
      </c>
      <c r="B23" s="25"/>
      <c r="C23" s="26" t="str">
        <f>IF(ISBLANK(B23),"",VLOOKUP(B23,tbl_PLOs[],2,0))</f>
        <v/>
      </c>
      <c r="D23" s="103"/>
      <c r="E23" s="10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21" t="str">
        <f>IF(ISBLANK(tbl_task10[[คะแนนเต็ม]:[คะแนนเต็ม]]),"",(tbl_task10[1]/tbl_task10[[คะแนนเต็ม]:[คะแนนเต็ม]])*tbl_task10[[%]:[%]])</f>
        <v/>
      </c>
      <c r="FP23" s="121" t="str">
        <f>IF(ISBLANK(tbl_task10[[คะแนนเต็ม]:[คะแนนเต็ม]]),"",(tbl_task10[2]/tbl_task10[[คะแนนเต็ม]:[คะแนนเต็ม]])*tbl_task10[[%]:[%]])</f>
        <v/>
      </c>
      <c r="FQ23" s="121" t="str">
        <f>IF(ISBLANK(tbl_task10[[คะแนนเต็ม]:[คะแนนเต็ม]]),"",(tbl_task10[3]/tbl_task10[[คะแนนเต็ม]:[คะแนนเต็ม]])*tbl_task10[[%]:[%]])</f>
        <v/>
      </c>
      <c r="FR23" s="121" t="str">
        <f>IF(ISBLANK(tbl_task10[[คะแนนเต็ม]:[คะแนนเต็ม]]),"",(tbl_task10[4]/tbl_task10[[คะแนนเต็ม]:[คะแนนเต็ม]])*tbl_task10[[%]:[%]])</f>
        <v/>
      </c>
      <c r="FS23" s="121" t="str">
        <f>IF(ISBLANK(tbl_task10[[คะแนนเต็ม]:[คะแนนเต็ม]]),"",(tbl_task10[5]/tbl_task10[[คะแนนเต็ม]:[คะแนนเต็ม]])*tbl_task10[[%]:[%]])</f>
        <v/>
      </c>
      <c r="FT23" s="121" t="str">
        <f>IF(ISBLANK(tbl_task10[[คะแนนเต็ม]:[คะแนนเต็ม]]),"",(tbl_task10[6]/tbl_task10[[คะแนนเต็ม]:[คะแนนเต็ม]])*tbl_task10[[%]:[%]])</f>
        <v/>
      </c>
      <c r="FU23" s="121" t="str">
        <f>IF(ISBLANK(tbl_task10[[คะแนนเต็ม]:[คะแนนเต็ม]]),"",(tbl_task10[7]/tbl_task10[[คะแนนเต็ม]:[คะแนนเต็ม]])*tbl_task10[[%]:[%]])</f>
        <v/>
      </c>
      <c r="FV23" s="121" t="str">
        <f>IF(ISBLANK(tbl_task10[[คะแนนเต็ม]:[คะแนนเต็ม]]),"",(tbl_task10[8]/tbl_task10[[คะแนนเต็ม]:[คะแนนเต็ม]])*tbl_task10[[%]:[%]])</f>
        <v/>
      </c>
      <c r="FW23" s="121" t="str">
        <f>IF(ISBLANK(tbl_task10[[คะแนนเต็ม]:[คะแนนเต็ม]]),"",(tbl_task10[9]/tbl_task10[[คะแนนเต็ม]:[คะแนนเต็ม]])*tbl_task10[[%]:[%]])</f>
        <v/>
      </c>
      <c r="FX23" s="121" t="str">
        <f>IF(ISBLANK(tbl_task10[[คะแนนเต็ม]:[คะแนนเต็ม]]),"",(tbl_task10[10]/tbl_task10[[คะแนนเต็ม]:[คะแนนเต็ม]])*tbl_task10[[%]:[%]])</f>
        <v/>
      </c>
      <c r="FY23" s="121" t="str">
        <f>IF(ISBLANK(tbl_task10[[คะแนนเต็ม]:[คะแนนเต็ม]]),"",(tbl_task10[11]/tbl_task10[[คะแนนเต็ม]:[คะแนนเต็ม]])*tbl_task10[[%]:[%]])</f>
        <v/>
      </c>
      <c r="FZ23" s="121" t="str">
        <f>IF(ISBLANK(tbl_task10[[คะแนนเต็ม]:[คะแนนเต็ม]]),"",(tbl_task10[12]/tbl_task10[[คะแนนเต็ม]:[คะแนนเต็ม]])*tbl_task10[[%]:[%]])</f>
        <v/>
      </c>
      <c r="GA23" s="121" t="str">
        <f>IF(ISBLANK(tbl_task10[[คะแนนเต็ม]:[คะแนนเต็ม]]),"",(tbl_task10[13]/tbl_task10[[คะแนนเต็ม]:[คะแนนเต็ม]])*tbl_task10[[%]:[%]])</f>
        <v/>
      </c>
      <c r="GB23" s="121" t="str">
        <f>IF(ISBLANK(tbl_task10[[คะแนนเต็ม]:[คะแนนเต็ม]]),"",(tbl_task10[14]/tbl_task10[[คะแนนเต็ม]:[คะแนนเต็ม]])*tbl_task10[[%]:[%]])</f>
        <v/>
      </c>
      <c r="GC23" s="121" t="str">
        <f>IF(ISBLANK(tbl_task10[[คะแนนเต็ม]:[คะแนนเต็ม]]),"",(tbl_task10[15]/tbl_task10[[คะแนนเต็ม]:[คะแนนเต็ม]])*tbl_task10[[%]:[%]])</f>
        <v/>
      </c>
      <c r="GD23" s="121" t="str">
        <f>IF(ISBLANK(tbl_task10[[คะแนนเต็ม]:[คะแนนเต็ม]]),"",(tbl_task10[16]/tbl_task10[[คะแนนเต็ม]:[คะแนนเต็ม]])*tbl_task10[[%]:[%]])</f>
        <v/>
      </c>
      <c r="GE23" s="121" t="str">
        <f>IF(ISBLANK(tbl_task10[[คะแนนเต็ม]:[คะแนนเต็ม]]),"",(tbl_task10[17]/tbl_task10[[คะแนนเต็ม]:[คะแนนเต็ม]])*tbl_task10[[%]:[%]])</f>
        <v/>
      </c>
      <c r="GF23" s="121" t="str">
        <f>IF(ISBLANK(tbl_task10[[คะแนนเต็ม]:[คะแนนเต็ม]]),"",(tbl_task10[18]/tbl_task10[[คะแนนเต็ม]:[คะแนนเต็ม]])*tbl_task10[[%]:[%]])</f>
        <v/>
      </c>
      <c r="GG23" s="121" t="str">
        <f>IF(ISBLANK(tbl_task10[[คะแนนเต็ม]:[คะแนนเต็ม]]),"",(tbl_task10[19]/tbl_task10[[คะแนนเต็ม]:[คะแนนเต็ม]])*tbl_task10[[%]:[%]])</f>
        <v/>
      </c>
      <c r="GH23" s="121" t="str">
        <f>IF(ISBLANK(tbl_task10[[คะแนนเต็ม]:[คะแนนเต็ม]]),"",(tbl_task10[20]/tbl_task10[[คะแนนเต็ม]:[คะแนนเต็ม]])*tbl_task10[[%]:[%]])</f>
        <v/>
      </c>
      <c r="GI23" s="121" t="str">
        <f>IF(ISBLANK(tbl_task10[[คะแนนเต็ม]:[คะแนนเต็ม]]),"",(tbl_task10[21]/tbl_task10[[คะแนนเต็ม]:[คะแนนเต็ม]])*tbl_task10[[%]:[%]])</f>
        <v/>
      </c>
      <c r="GJ23" s="121" t="str">
        <f>IF(ISBLANK(tbl_task10[[คะแนนเต็ม]:[คะแนนเต็ม]]),"",(tbl_task10[22]/tbl_task10[[คะแนนเต็ม]:[คะแนนเต็ม]])*tbl_task10[[%]:[%]])</f>
        <v/>
      </c>
      <c r="GK23" s="121" t="str">
        <f>IF(ISBLANK(tbl_task10[[คะแนนเต็ม]:[คะแนนเต็ม]]),"",(tbl_task10[23]/tbl_task10[[คะแนนเต็ม]:[คะแนนเต็ม]])*tbl_task10[[%]:[%]])</f>
        <v/>
      </c>
      <c r="GL23" s="121" t="str">
        <f>IF(ISBLANK(tbl_task10[[คะแนนเต็ม]:[คะแนนเต็ม]]),"",(tbl_task10[24]/tbl_task10[[คะแนนเต็ม]:[คะแนนเต็ม]])*tbl_task10[[%]:[%]])</f>
        <v/>
      </c>
      <c r="GM23" s="121" t="str">
        <f>IF(ISBLANK(tbl_task10[[คะแนนเต็ม]:[คะแนนเต็ม]]),"",(tbl_task10[25]/tbl_task10[[คะแนนเต็ม]:[คะแนนเต็ม]])*tbl_task10[[%]:[%]])</f>
        <v/>
      </c>
      <c r="GN23" s="121" t="str">
        <f>IF(ISBLANK(tbl_task10[[คะแนนเต็ม]:[คะแนนเต็ม]]),"",(tbl_task10[26]/tbl_task10[[คะแนนเต็ม]:[คะแนนเต็ม]])*tbl_task10[[%]:[%]])</f>
        <v/>
      </c>
      <c r="GO23" s="121" t="str">
        <f>IF(ISBLANK(tbl_task10[[คะแนนเต็ม]:[คะแนนเต็ม]]),"",(tbl_task10[27]/tbl_task10[[คะแนนเต็ม]:[คะแนนเต็ม]])*tbl_task10[[%]:[%]])</f>
        <v/>
      </c>
      <c r="GP23" s="121" t="str">
        <f>IF(ISBLANK(tbl_task10[[คะแนนเต็ม]:[คะแนนเต็ม]]),"",(tbl_task10[28]/tbl_task10[[คะแนนเต็ม]:[คะแนนเต็ม]])*tbl_task10[[%]:[%]])</f>
        <v/>
      </c>
      <c r="GQ23" s="121" t="str">
        <f>IF(ISBLANK(tbl_task10[[คะแนนเต็ม]:[คะแนนเต็ม]]),"",(tbl_task10[29]/tbl_task10[[คะแนนเต็ม]:[คะแนนเต็ม]])*tbl_task10[[%]:[%]])</f>
        <v/>
      </c>
      <c r="GR23" s="121" t="str">
        <f>IF(ISBLANK(tbl_task10[[คะแนนเต็ม]:[คะแนนเต็ม]]),"",(tbl_task10[30]/tbl_task10[[คะแนนเต็ม]:[คะแนนเต็ม]])*tbl_task10[[%]:[%]])</f>
        <v/>
      </c>
      <c r="GS23" s="121" t="str">
        <f>IF(ISBLANK(tbl_task10[[คะแนนเต็ม]:[คะแนนเต็ม]]),"",(tbl_task10[31]/tbl_task10[[คะแนนเต็ม]:[คะแนนเต็ม]])*tbl_task10[[%]:[%]])</f>
        <v/>
      </c>
      <c r="GT23" s="121" t="str">
        <f>IF(ISBLANK(tbl_task10[[คะแนนเต็ม]:[คะแนนเต็ม]]),"",(tbl_task10[32]/tbl_task10[[คะแนนเต็ม]:[คะแนนเต็ม]])*tbl_task10[[%]:[%]])</f>
        <v/>
      </c>
      <c r="GU23" s="121" t="str">
        <f>IF(ISBLANK(tbl_task10[[คะแนนเต็ม]:[คะแนนเต็ม]]),"",(tbl_task10[33]/tbl_task10[[คะแนนเต็ม]:[คะแนนเต็ม]])*tbl_task10[[%]:[%]])</f>
        <v/>
      </c>
      <c r="GV23" s="121" t="str">
        <f>IF(ISBLANK(tbl_task10[[คะแนนเต็ม]:[คะแนนเต็ม]]),"",(tbl_task10[34]/tbl_task10[[คะแนนเต็ม]:[คะแนนเต็ม]])*tbl_task10[[%]:[%]])</f>
        <v/>
      </c>
      <c r="GW23" s="121" t="str">
        <f>IF(ISBLANK(tbl_task10[[คะแนนเต็ม]:[คะแนนเต็ม]]),"",(tbl_task10[35]/tbl_task10[[คะแนนเต็ม]:[คะแนนเต็ม]])*tbl_task10[[%]:[%]])</f>
        <v/>
      </c>
      <c r="GX23" s="121" t="str">
        <f>IF(ISBLANK(tbl_task10[[คะแนนเต็ม]:[คะแนนเต็ม]]),"",(tbl_task10[36]/tbl_task10[[คะแนนเต็ม]:[คะแนนเต็ม]])*tbl_task10[[%]:[%]])</f>
        <v/>
      </c>
      <c r="GY23" s="121" t="str">
        <f>IF(ISBLANK(tbl_task10[[คะแนนเต็ม]:[คะแนนเต็ม]]),"",(tbl_task10[37]/tbl_task10[[คะแนนเต็ม]:[คะแนนเต็ม]])*tbl_task10[[%]:[%]])</f>
        <v/>
      </c>
      <c r="GZ23" s="121" t="str">
        <f>IF(ISBLANK(tbl_task10[[คะแนนเต็ม]:[คะแนนเต็ม]]),"",(tbl_task10[38]/tbl_task10[[คะแนนเต็ม]:[คะแนนเต็ม]])*tbl_task10[[%]:[%]])</f>
        <v/>
      </c>
      <c r="HA23" s="121" t="str">
        <f>IF(ISBLANK(tbl_task10[[คะแนนเต็ม]:[คะแนนเต็ม]]),"",(tbl_task10[39]/tbl_task10[[คะแนนเต็ม]:[คะแนนเต็ม]])*tbl_task10[[%]:[%]])</f>
        <v/>
      </c>
      <c r="HB23" s="121" t="str">
        <f>IF(ISBLANK(tbl_task10[[คะแนนเต็ม]:[คะแนนเต็ม]]),"",(tbl_task10[40]/tbl_task10[[คะแนนเต็ม]:[คะแนนเต็ม]])*tbl_task10[[%]:[%]])</f>
        <v/>
      </c>
      <c r="HC23" s="121" t="str">
        <f>IF(ISBLANK(tbl_task10[[คะแนนเต็ม]:[คะแนนเต็ม]]),"",(tbl_task10[41]/tbl_task10[[คะแนนเต็ม]:[คะแนนเต็ม]])*tbl_task10[[%]:[%]])</f>
        <v/>
      </c>
      <c r="HD23" s="121" t="str">
        <f>IF(ISBLANK(tbl_task10[[คะแนนเต็ม]:[คะแนนเต็ม]]),"",(tbl_task10[42]/tbl_task10[[คะแนนเต็ม]:[คะแนนเต็ม]])*tbl_task10[[%]:[%]])</f>
        <v/>
      </c>
      <c r="HE23" s="121" t="str">
        <f>IF(ISBLANK(tbl_task10[[คะแนนเต็ม]:[คะแนนเต็ม]]),"",(tbl_task10[43]/tbl_task10[[คะแนนเต็ม]:[คะแนนเต็ม]])*tbl_task10[[%]:[%]])</f>
        <v/>
      </c>
      <c r="HF23" s="121" t="str">
        <f>IF(ISBLANK(tbl_task10[[คะแนนเต็ม]:[คะแนนเต็ม]]),"",(tbl_task10[44]/tbl_task10[[คะแนนเต็ม]:[คะแนนเต็ม]])*tbl_task10[[%]:[%]])</f>
        <v/>
      </c>
      <c r="HG23" s="121" t="str">
        <f>IF(ISBLANK(tbl_task10[[คะแนนเต็ม]:[คะแนนเต็ม]]),"",(tbl_task10[45]/tbl_task10[[คะแนนเต็ม]:[คะแนนเต็ม]])*tbl_task10[[%]:[%]])</f>
        <v/>
      </c>
      <c r="HH23" s="121" t="str">
        <f>IF(ISBLANK(tbl_task10[[คะแนนเต็ม]:[คะแนนเต็ม]]),"",(tbl_task10[46]/tbl_task10[[คะแนนเต็ม]:[คะแนนเต็ม]])*tbl_task10[[%]:[%]])</f>
        <v/>
      </c>
      <c r="HI23" s="121" t="str">
        <f>IF(ISBLANK(tbl_task10[[คะแนนเต็ม]:[คะแนนเต็ม]]),"",(tbl_task10[47]/tbl_task10[[คะแนนเต็ม]:[คะแนนเต็ม]])*tbl_task10[[%]:[%]])</f>
        <v/>
      </c>
      <c r="HJ23" s="121" t="str">
        <f>IF(ISBLANK(tbl_task10[[คะแนนเต็ม]:[คะแนนเต็ม]]),"",(tbl_task10[48]/tbl_task10[[คะแนนเต็ม]:[คะแนนเต็ม]])*tbl_task10[[%]:[%]])</f>
        <v/>
      </c>
      <c r="HK23" s="121" t="str">
        <f>IF(ISBLANK(tbl_task10[[คะแนนเต็ม]:[คะแนนเต็ม]]),"",(tbl_task10[49]/tbl_task10[[คะแนนเต็ม]:[คะแนนเต็ม]])*tbl_task10[[%]:[%]])</f>
        <v/>
      </c>
      <c r="HL23" s="121" t="str">
        <f>IF(ISBLANK(tbl_task10[[คะแนนเต็ม]:[คะแนนเต็ม]]),"",(tbl_task10[50]/tbl_task10[[คะแนนเต็ม]:[คะแนนเต็ม]])*tbl_task10[[%]:[%]])</f>
        <v/>
      </c>
      <c r="HM23" s="121" t="str">
        <f>IF(ISBLANK(tbl_task10[[คะแนนเต็ม]:[คะแนนเต็ม]]),"",(tbl_task10[51]/tbl_task10[[คะแนนเต็ม]:[คะแนนเต็ม]])*tbl_task10[[%]:[%]])</f>
        <v/>
      </c>
      <c r="HN23" s="121" t="str">
        <f>IF(ISBLANK(tbl_task10[[คะแนนเต็ม]:[คะแนนเต็ม]]),"",(tbl_task10[52]/tbl_task10[[คะแนนเต็ม]:[คะแนนเต็ม]])*tbl_task10[[%]:[%]])</f>
        <v/>
      </c>
      <c r="HO23" s="121" t="str">
        <f>IF(ISBLANK(tbl_task10[[คะแนนเต็ม]:[คะแนนเต็ม]]),"",(tbl_task10[53]/tbl_task10[[คะแนนเต็ม]:[คะแนนเต็ม]])*tbl_task10[[%]:[%]])</f>
        <v/>
      </c>
      <c r="HP23" s="121" t="str">
        <f>IF(ISBLANK(tbl_task10[[คะแนนเต็ม]:[คะแนนเต็ม]]),"",(tbl_task10[54]/tbl_task10[[คะแนนเต็ม]:[คะแนนเต็ม]])*tbl_task10[[%]:[%]])</f>
        <v/>
      </c>
      <c r="HQ23" s="121" t="str">
        <f>IF(ISBLANK(tbl_task10[[คะแนนเต็ม]:[คะแนนเต็ม]]),"",(tbl_task10[55]/tbl_task10[[คะแนนเต็ม]:[คะแนนเต็ม]])*tbl_task10[[%]:[%]])</f>
        <v/>
      </c>
      <c r="HR23" s="121" t="str">
        <f>IF(ISBLANK(tbl_task10[[คะแนนเต็ม]:[คะแนนเต็ม]]),"",(tbl_task10[56]/tbl_task10[[คะแนนเต็ม]:[คะแนนเต็ม]])*tbl_task10[[%]:[%]])</f>
        <v/>
      </c>
      <c r="HS23" s="121" t="str">
        <f>IF(ISBLANK(tbl_task10[[คะแนนเต็ม]:[คะแนนเต็ม]]),"",(tbl_task10[57]/tbl_task10[[คะแนนเต็ม]:[คะแนนเต็ม]])*tbl_task10[[%]:[%]])</f>
        <v/>
      </c>
      <c r="HT23" s="121" t="str">
        <f>IF(ISBLANK(tbl_task10[[คะแนนเต็ม]:[คะแนนเต็ม]]),"",(tbl_task10[58]/tbl_task10[[คะแนนเต็ม]:[คะแนนเต็ม]])*tbl_task10[[%]:[%]])</f>
        <v/>
      </c>
      <c r="HU23" s="121" t="str">
        <f>IF(ISBLANK(tbl_task10[[คะแนนเต็ม]:[คะแนนเต็ม]]),"",(tbl_task10[59]/tbl_task10[[คะแนนเต็ม]:[คะแนนเต็ม]])*tbl_task10[[%]:[%]])</f>
        <v/>
      </c>
      <c r="HV23" s="121" t="str">
        <f>IF(ISBLANK(tbl_task10[[คะแนนเต็ม]:[คะแนนเต็ม]]),"",(tbl_task10[60]/tbl_task10[[คะแนนเต็ม]:[คะแนนเต็ม]])*tbl_task10[[%]:[%]])</f>
        <v/>
      </c>
      <c r="HW23" s="121" t="str">
        <f>IF(ISBLANK(tbl_task10[[คะแนนเต็ม]:[คะแนนเต็ม]]),"",(tbl_task10[61]/tbl_task10[[คะแนนเต็ม]:[คะแนนเต็ม]])*tbl_task10[[%]:[%]])</f>
        <v/>
      </c>
      <c r="HX23" s="121" t="str">
        <f>IF(ISBLANK(tbl_task10[[คะแนนเต็ม]:[คะแนนเต็ม]]),"",(tbl_task10[62]/tbl_task10[[คะแนนเต็ม]:[คะแนนเต็ม]])*tbl_task10[[%]:[%]])</f>
        <v/>
      </c>
      <c r="HY23" s="121" t="str">
        <f>IF(ISBLANK(tbl_task10[[คะแนนเต็ม]:[คะแนนเต็ม]]),"",(tbl_task10[63]/tbl_task10[[คะแนนเต็ม]:[คะแนนเต็ม]])*tbl_task10[[%]:[%]])</f>
        <v/>
      </c>
      <c r="HZ23" s="121" t="str">
        <f>IF(ISBLANK(tbl_task10[[คะแนนเต็ม]:[คะแนนเต็ม]]),"",(tbl_task10[64]/tbl_task10[[คะแนนเต็ม]:[คะแนนเต็ม]])*tbl_task10[[%]:[%]])</f>
        <v/>
      </c>
      <c r="IA23" s="121" t="str">
        <f>IF(ISBLANK(tbl_task10[[คะแนนเต็ม]:[คะแนนเต็ม]]),"",(tbl_task10[65]/tbl_task10[[คะแนนเต็ม]:[คะแนนเต็ม]])*tbl_task10[[%]:[%]])</f>
        <v/>
      </c>
      <c r="IB23" s="121" t="str">
        <f>IF(ISBLANK(tbl_task10[[คะแนนเต็ม]:[คะแนนเต็ม]]),"",(tbl_task10[66]/tbl_task10[[คะแนนเต็ม]:[คะแนนเต็ม]])*tbl_task10[[%]:[%]])</f>
        <v/>
      </c>
      <c r="IC23" s="121" t="str">
        <f>IF(ISBLANK(tbl_task10[[คะแนนเต็ม]:[คะแนนเต็ม]]),"",(tbl_task10[67]/tbl_task10[[คะแนนเต็ม]:[คะแนนเต็ม]])*tbl_task10[[%]:[%]])</f>
        <v/>
      </c>
      <c r="ID23" s="121" t="str">
        <f>IF(ISBLANK(tbl_task10[[คะแนนเต็ม]:[คะแนนเต็ม]]),"",(tbl_task10[68]/tbl_task10[[คะแนนเต็ม]:[คะแนนเต็ม]])*tbl_task10[[%]:[%]])</f>
        <v/>
      </c>
      <c r="IE23" s="121" t="str">
        <f>IF(ISBLANK(tbl_task10[[คะแนนเต็ม]:[คะแนนเต็ม]]),"",(tbl_task10[69]/tbl_task10[[คะแนนเต็ม]:[คะแนนเต็ม]])*tbl_task10[[%]:[%]])</f>
        <v/>
      </c>
      <c r="IF23" s="121" t="str">
        <f>IF(ISBLANK(tbl_task10[[คะแนนเต็ม]:[คะแนนเต็ม]]),"",(tbl_task10[70]/tbl_task10[[คะแนนเต็ม]:[คะแนนเต็ม]])*tbl_task10[[%]:[%]])</f>
        <v/>
      </c>
      <c r="IG23" s="121" t="str">
        <f>IF(ISBLANK(tbl_task10[[คะแนนเต็ม]:[คะแนนเต็ม]]),"",(tbl_task10[71]/tbl_task10[[คะแนนเต็ม]:[คะแนนเต็ม]])*tbl_task10[[%]:[%]])</f>
        <v/>
      </c>
      <c r="IH23" s="121" t="str">
        <f>IF(ISBLANK(tbl_task10[[คะแนนเต็ม]:[คะแนนเต็ม]]),"",(tbl_task10[72]/tbl_task10[[คะแนนเต็ม]:[คะแนนเต็ม]])*tbl_task10[[%]:[%]])</f>
        <v/>
      </c>
      <c r="II23" s="121" t="str">
        <f>IF(ISBLANK(tbl_task10[[คะแนนเต็ม]:[คะแนนเต็ม]]),"",(tbl_task10[73]/tbl_task10[[คะแนนเต็ม]:[คะแนนเต็ม]])*tbl_task10[[%]:[%]])</f>
        <v/>
      </c>
      <c r="IJ23" s="121" t="str">
        <f>IF(ISBLANK(tbl_task10[[คะแนนเต็ม]:[คะแนนเต็ม]]),"",(tbl_task10[74]/tbl_task10[[คะแนนเต็ม]:[คะแนนเต็ม]])*tbl_task10[[%]:[%]])</f>
        <v/>
      </c>
      <c r="IK23" s="121" t="str">
        <f>IF(ISBLANK(tbl_task10[[คะแนนเต็ม]:[คะแนนเต็ม]]),"",(tbl_task10[75]/tbl_task10[[คะแนนเต็ม]:[คะแนนเต็ม]])*tbl_task10[[%]:[%]])</f>
        <v/>
      </c>
      <c r="IL23" s="121" t="str">
        <f>IF(ISBLANK(tbl_task10[[คะแนนเต็ม]:[คะแนนเต็ม]]),"",(tbl_task10[76]/tbl_task10[[คะแนนเต็ม]:[คะแนนเต็ม]])*tbl_task10[[%]:[%]])</f>
        <v/>
      </c>
      <c r="IM23" s="121" t="str">
        <f>IF(ISBLANK(tbl_task10[[คะแนนเต็ม]:[คะแนนเต็ม]]),"",(tbl_task10[77]/tbl_task10[[คะแนนเต็ม]:[คะแนนเต็ม]])*tbl_task10[[%]:[%]])</f>
        <v/>
      </c>
      <c r="IN23" s="121" t="str">
        <f>IF(ISBLANK(tbl_task10[[คะแนนเต็ม]:[คะแนนเต็ม]]),"",(tbl_task10[78]/tbl_task10[[คะแนนเต็ม]:[คะแนนเต็ม]])*tbl_task10[[%]:[%]])</f>
        <v/>
      </c>
      <c r="IO23" s="121" t="str">
        <f>IF(ISBLANK(tbl_task10[[คะแนนเต็ม]:[คะแนนเต็ม]]),"",(tbl_task10[79]/tbl_task10[[คะแนนเต็ม]:[คะแนนเต็ม]])*tbl_task10[[%]:[%]])</f>
        <v/>
      </c>
      <c r="IP23" s="121" t="str">
        <f>IF(ISBLANK(tbl_task10[[คะแนนเต็ม]:[คะแนนเต็ม]]),"",(tbl_task10[80]/tbl_task10[[คะแนนเต็ม]:[คะแนนเต็ม]])*tbl_task10[[%]:[%]])</f>
        <v/>
      </c>
      <c r="IQ23" s="121" t="str">
        <f>IF(ISBLANK(tbl_task10[[คะแนนเต็ม]:[คะแนนเต็ม]]),"",(tbl_task10[81]/tbl_task10[[คะแนนเต็ม]:[คะแนนเต็ม]])*tbl_task10[[%]:[%]])</f>
        <v/>
      </c>
      <c r="IR23" s="121" t="str">
        <f>IF(ISBLANK(tbl_task10[[คะแนนเต็ม]:[คะแนนเต็ม]]),"",(tbl_task10[82]/tbl_task10[[คะแนนเต็ม]:[คะแนนเต็ม]])*tbl_task10[[%]:[%]])</f>
        <v/>
      </c>
      <c r="IS23" s="121" t="str">
        <f>IF(ISBLANK(tbl_task10[[คะแนนเต็ม]:[คะแนนเต็ม]]),"",(tbl_task10[83]/tbl_task10[[คะแนนเต็ม]:[คะแนนเต็ม]])*tbl_task10[[%]:[%]])</f>
        <v/>
      </c>
      <c r="IT23" s="121" t="str">
        <f>IF(ISBLANK(tbl_task10[[คะแนนเต็ม]:[คะแนนเต็ม]]),"",(tbl_task10[84]/tbl_task10[[คะแนนเต็ม]:[คะแนนเต็ม]])*tbl_task10[[%]:[%]])</f>
        <v/>
      </c>
      <c r="IU23" s="121" t="str">
        <f>IF(ISBLANK(tbl_task10[[คะแนนเต็ม]:[คะแนนเต็ม]]),"",(tbl_task10[85]/tbl_task10[[คะแนนเต็ม]:[คะแนนเต็ม]])*tbl_task10[[%]:[%]])</f>
        <v/>
      </c>
      <c r="IV23" s="121" t="str">
        <f>IF(ISBLANK(tbl_task10[[คะแนนเต็ม]:[คะแนนเต็ม]]),"",(tbl_task10[86]/tbl_task10[[คะแนนเต็ม]:[คะแนนเต็ม]])*tbl_task10[[%]:[%]])</f>
        <v/>
      </c>
      <c r="IW23" s="121" t="str">
        <f>IF(ISBLANK(tbl_task10[[คะแนนเต็ม]:[คะแนนเต็ม]]),"",(tbl_task10[87]/tbl_task10[[คะแนนเต็ม]:[คะแนนเต็ม]])*tbl_task10[[%]:[%]])</f>
        <v/>
      </c>
      <c r="IX23" s="121" t="str">
        <f>IF(ISBLANK(tbl_task10[[คะแนนเต็ม]:[คะแนนเต็ม]]),"",(tbl_task10[88]/tbl_task10[[คะแนนเต็ม]:[คะแนนเต็ม]])*tbl_task10[[%]:[%]])</f>
        <v/>
      </c>
      <c r="IY23" s="121" t="str">
        <f>IF(ISBLANK(tbl_task10[[คะแนนเต็ม]:[คะแนนเต็ม]]),"",(tbl_task10[89]/tbl_task10[[คะแนนเต็ม]:[คะแนนเต็ม]])*tbl_task10[[%]:[%]])</f>
        <v/>
      </c>
      <c r="IZ23" s="121" t="str">
        <f>IF(ISBLANK(tbl_task10[[คะแนนเต็ม]:[คะแนนเต็ม]]),"",(tbl_task10[90]/tbl_task10[[คะแนนเต็ม]:[คะแนนเต็ม]])*tbl_task10[[%]:[%]])</f>
        <v/>
      </c>
      <c r="JA23" s="121" t="str">
        <f>IF(ISBLANK(tbl_task10[[คะแนนเต็ม]:[คะแนนเต็ม]]),"",(tbl_task10[91]/tbl_task10[[คะแนนเต็ม]:[คะแนนเต็ม]])*tbl_task10[[%]:[%]])</f>
        <v/>
      </c>
      <c r="JB23" s="121" t="str">
        <f>IF(ISBLANK(tbl_task10[[คะแนนเต็ม]:[คะแนนเต็ม]]),"",(tbl_task10[92]/tbl_task10[[คะแนนเต็ม]:[คะแนนเต็ม]])*tbl_task10[[%]:[%]])</f>
        <v/>
      </c>
      <c r="JC23" s="121" t="str">
        <f>IF(ISBLANK(tbl_task10[[คะแนนเต็ม]:[คะแนนเต็ม]]),"",(tbl_task10[93]/tbl_task10[[คะแนนเต็ม]:[คะแนนเต็ม]])*tbl_task10[[%]:[%]])</f>
        <v/>
      </c>
      <c r="JD23" s="121" t="str">
        <f>IF(ISBLANK(tbl_task10[[คะแนนเต็ม]:[คะแนนเต็ม]]),"",(tbl_task10[94]/tbl_task10[[คะแนนเต็ม]:[คะแนนเต็ม]])*tbl_task10[[%]:[%]])</f>
        <v/>
      </c>
      <c r="JE23" s="121" t="str">
        <f>IF(ISBLANK(tbl_task10[[คะแนนเต็ม]:[คะแนนเต็ม]]),"",(tbl_task10[95]/tbl_task10[[คะแนนเต็ม]:[คะแนนเต็ม]])*tbl_task10[[%]:[%]])</f>
        <v/>
      </c>
      <c r="JF23" s="121" t="str">
        <f>IF(ISBLANK(tbl_task10[[คะแนนเต็ม]:[คะแนนเต็ม]]),"",(tbl_task10[96]/tbl_task10[[คะแนนเต็ม]:[คะแนนเต็ม]])*tbl_task10[[%]:[%]])</f>
        <v/>
      </c>
      <c r="JG23" s="121" t="str">
        <f>IF(ISBLANK(tbl_task10[[คะแนนเต็ม]:[คะแนนเต็ม]]),"",(tbl_task10[97]/tbl_task10[[คะแนนเต็ม]:[คะแนนเต็ม]])*tbl_task10[[%]:[%]])</f>
        <v/>
      </c>
      <c r="JH23" s="121" t="str">
        <f>IF(ISBLANK(tbl_task10[[คะแนนเต็ม]:[คะแนนเต็ม]]),"",(tbl_task10[98]/tbl_task10[[คะแนนเต็ม]:[คะแนนเต็ม]])*tbl_task10[[%]:[%]])</f>
        <v/>
      </c>
      <c r="JI23" s="121" t="str">
        <f>IF(ISBLANK(tbl_task10[[คะแนนเต็ม]:[คะแนนเต็ม]]),"",(tbl_task10[99]/tbl_task10[[คะแนนเต็ม]:[คะแนนเต็ม]])*tbl_task10[[%]:[%]])</f>
        <v/>
      </c>
      <c r="JJ23" s="121" t="str">
        <f>IF(ISBLANK(tbl_task10[[คะแนนเต็ม]:[คะแนนเต็ม]]),"",(tbl_task10[100]/tbl_task10[[คะแนนเต็ม]:[คะแนนเต็ม]])*tbl_task10[[%]:[%]])</f>
        <v/>
      </c>
      <c r="JK23" s="121" t="str">
        <f>IF(ISBLANK(tbl_task10[[คะแนนเต็ม]:[คะแนนเต็ม]]),"",(tbl_task10[101]/tbl_task10[[คะแนนเต็ม]:[คะแนนเต็ม]])*tbl_task10[[%]:[%]])</f>
        <v/>
      </c>
      <c r="JL23" s="121" t="str">
        <f>IF(ISBLANK(tbl_task10[[คะแนนเต็ม]:[คะแนนเต็ม]]),"",(tbl_task10[102]/tbl_task10[[คะแนนเต็ม]:[คะแนนเต็ม]])*tbl_task10[[%]:[%]])</f>
        <v/>
      </c>
      <c r="JM23" s="121" t="str">
        <f>IF(ISBLANK(tbl_task10[[คะแนนเต็ม]:[คะแนนเต็ม]]),"",(tbl_task10[103]/tbl_task10[[คะแนนเต็ม]:[คะแนนเต็ม]])*tbl_task10[[%]:[%]])</f>
        <v/>
      </c>
      <c r="JN23" s="121" t="str">
        <f>IF(ISBLANK(tbl_task10[[คะแนนเต็ม]:[คะแนนเต็ม]]),"",(tbl_task10[104]/tbl_task10[[คะแนนเต็ม]:[คะแนนเต็ม]])*tbl_task10[[%]:[%]])</f>
        <v/>
      </c>
      <c r="JO23" s="121" t="str">
        <f>IF(ISBLANK(tbl_task10[[คะแนนเต็ม]:[คะแนนเต็ม]]),"",(tbl_task10[105]/tbl_task10[[คะแนนเต็ม]:[คะแนนเต็ม]])*tbl_task10[[%]:[%]])</f>
        <v/>
      </c>
      <c r="JP23" s="121" t="str">
        <f>IF(ISBLANK(tbl_task10[[คะแนนเต็ม]:[คะแนนเต็ม]]),"",(tbl_task10[106]/tbl_task10[[คะแนนเต็ม]:[คะแนนเต็ม]])*tbl_task10[[%]:[%]])</f>
        <v/>
      </c>
      <c r="JQ23" s="121" t="str">
        <f>IF(ISBLANK(tbl_task10[[คะแนนเต็ม]:[คะแนนเต็ม]]),"",(tbl_task10[107]/tbl_task10[[คะแนนเต็ม]:[คะแนนเต็ม]])*tbl_task10[[%]:[%]])</f>
        <v/>
      </c>
      <c r="JR23" s="121" t="str">
        <f>IF(ISBLANK(tbl_task10[[คะแนนเต็ม]:[คะแนนเต็ม]]),"",(tbl_task10[108]/tbl_task10[[คะแนนเต็ม]:[คะแนนเต็ม]])*tbl_task10[[%]:[%]])</f>
        <v/>
      </c>
      <c r="JS23" s="121" t="str">
        <f>IF(ISBLANK(tbl_task10[[คะแนนเต็ม]:[คะแนนเต็ม]]),"",(tbl_task10[109]/tbl_task10[[คะแนนเต็ม]:[คะแนนเต็ม]])*tbl_task10[[%]:[%]])</f>
        <v/>
      </c>
      <c r="JT23" s="121" t="str">
        <f>IF(ISBLANK(tbl_task10[[คะแนนเต็ม]:[คะแนนเต็ม]]),"",(tbl_task10[110]/tbl_task10[[คะแนนเต็ม]:[คะแนนเต็ม]])*tbl_task10[[%]:[%]])</f>
        <v/>
      </c>
      <c r="JU23" s="121" t="str">
        <f>IF(ISBLANK(tbl_task10[[คะแนนเต็ม]:[คะแนนเต็ม]]),"",(tbl_task10[111]/tbl_task10[[คะแนนเต็ม]:[คะแนนเต็ม]])*tbl_task10[[%]:[%]])</f>
        <v/>
      </c>
      <c r="JV23" s="121" t="str">
        <f>IF(ISBLANK(tbl_task10[[คะแนนเต็ม]:[คะแนนเต็ม]]),"",(tbl_task10[112]/tbl_task10[[คะแนนเต็ม]:[คะแนนเต็ม]])*tbl_task10[[%]:[%]])</f>
        <v/>
      </c>
      <c r="JW23" s="121" t="str">
        <f>IF(ISBLANK(tbl_task10[[คะแนนเต็ม]:[คะแนนเต็ม]]),"",(tbl_task10[113]/tbl_task10[[คะแนนเต็ม]:[คะแนนเต็ม]])*tbl_task10[[%]:[%]])</f>
        <v/>
      </c>
      <c r="JX23" s="121" t="str">
        <f>IF(ISBLANK(tbl_task10[[คะแนนเต็ม]:[คะแนนเต็ม]]),"",(tbl_task10[114]/tbl_task10[[คะแนนเต็ม]:[คะแนนเต็ม]])*tbl_task10[[%]:[%]])</f>
        <v/>
      </c>
      <c r="JY23" s="121" t="str">
        <f>IF(ISBLANK(tbl_task10[[คะแนนเต็ม]:[คะแนนเต็ม]]),"",(tbl_task10[115]/tbl_task10[[คะแนนเต็ม]:[คะแนนเต็ม]])*tbl_task10[[%]:[%]])</f>
        <v/>
      </c>
      <c r="JZ23" s="121" t="str">
        <f>IF(ISBLANK(tbl_task10[[คะแนนเต็ม]:[คะแนนเต็ม]]),"",(tbl_task10[116]/tbl_task10[[คะแนนเต็ม]:[คะแนนเต็ม]])*tbl_task10[[%]:[%]])</f>
        <v/>
      </c>
      <c r="KA23" s="121" t="str">
        <f>IF(ISBLANK(tbl_task10[[คะแนนเต็ม]:[คะแนนเต็ม]]),"",(tbl_task10[117]/tbl_task10[[คะแนนเต็ม]:[คะแนนเต็ม]])*tbl_task10[[%]:[%]])</f>
        <v/>
      </c>
      <c r="KB23" s="121" t="str">
        <f>IF(ISBLANK(tbl_task10[[คะแนนเต็ม]:[คะแนนเต็ม]]),"",(tbl_task10[118]/tbl_task10[[คะแนนเต็ม]:[คะแนนเต็ม]])*tbl_task10[[%]:[%]])</f>
        <v/>
      </c>
      <c r="KC23" s="121" t="str">
        <f>IF(ISBLANK(tbl_task10[[คะแนนเต็ม]:[คะแนนเต็ม]]),"",(tbl_task10[119]/tbl_task10[[คะแนนเต็ม]:[คะแนนเต็ม]])*tbl_task10[[%]:[%]])</f>
        <v/>
      </c>
      <c r="KD23" s="121" t="str">
        <f>IF(ISBLANK(tbl_task10[[คะแนนเต็ม]:[คะแนนเต็ม]]),"",(tbl_task10[120]/tbl_task10[[คะแนนเต็ม]:[คะแนนเต็ม]])*tbl_task10[[%]:[%]])</f>
        <v/>
      </c>
      <c r="KE23" s="121" t="str">
        <f>IF(ISBLANK(tbl_task10[[คะแนนเต็ม]:[คะแนนเต็ม]]),"",(tbl_task10[121]/tbl_task10[[คะแนนเต็ม]:[คะแนนเต็ม]])*tbl_task10[[%]:[%]])</f>
        <v/>
      </c>
      <c r="KF23" s="121" t="str">
        <f>IF(ISBLANK(tbl_task10[[คะแนนเต็ม]:[คะแนนเต็ม]]),"",(tbl_task10[122]/tbl_task10[[คะแนนเต็ม]:[คะแนนเต็ม]])*tbl_task10[[%]:[%]])</f>
        <v/>
      </c>
      <c r="KG23" s="121" t="str">
        <f>IF(ISBLANK(tbl_task10[[คะแนนเต็ม]:[คะแนนเต็ม]]),"",(tbl_task10[123]/tbl_task10[[คะแนนเต็ม]:[คะแนนเต็ม]])*tbl_task10[[%]:[%]])</f>
        <v/>
      </c>
      <c r="KH23" s="121" t="str">
        <f>IF(ISBLANK(tbl_task10[[คะแนนเต็ม]:[คะแนนเต็ม]]),"",(tbl_task10[124]/tbl_task10[[คะแนนเต็ม]:[คะแนนเต็ม]])*tbl_task10[[%]:[%]])</f>
        <v/>
      </c>
      <c r="KI23" s="121" t="str">
        <f>IF(ISBLANK(tbl_task10[[คะแนนเต็ม]:[คะแนนเต็ม]]),"",(tbl_task10[125]/tbl_task10[[คะแนนเต็ม]:[คะแนนเต็ม]])*tbl_task10[[%]:[%]])</f>
        <v/>
      </c>
      <c r="KJ23" s="121" t="str">
        <f>IF(ISBLANK(tbl_task10[[คะแนนเต็ม]:[คะแนนเต็ม]]),"",(tbl_task10[126]/tbl_task10[[คะแนนเต็ม]:[คะแนนเต็ม]])*tbl_task10[[%]:[%]])</f>
        <v/>
      </c>
      <c r="KK23" s="121" t="str">
        <f>IF(ISBLANK(tbl_task10[[คะแนนเต็ม]:[คะแนนเต็ม]]),"",(tbl_task10[127]/tbl_task10[[คะแนนเต็ม]:[คะแนนเต็ม]])*tbl_task10[[%]:[%]])</f>
        <v/>
      </c>
      <c r="KL23" s="121" t="str">
        <f>IF(ISBLANK(tbl_task10[[คะแนนเต็ม]:[คะแนนเต็ม]]),"",(tbl_task10[128]/tbl_task10[[คะแนนเต็ม]:[คะแนนเต็ม]])*tbl_task10[[%]:[%]])</f>
        <v/>
      </c>
      <c r="KM23" s="121" t="str">
        <f>IF(ISBLANK(tbl_task10[[คะแนนเต็ม]:[คะแนนเต็ม]]),"",(tbl_task10[129]/tbl_task10[[คะแนนเต็ม]:[คะแนนเต็ม]])*tbl_task10[[%]:[%]])</f>
        <v/>
      </c>
      <c r="KN23" s="121" t="str">
        <f>IF(ISBLANK(tbl_task10[[คะแนนเต็ม]:[คะแนนเต็ม]]),"",(tbl_task10[130]/tbl_task10[[คะแนนเต็ม]:[คะแนนเต็ม]])*tbl_task10[[%]:[%]])</f>
        <v/>
      </c>
      <c r="KO23" s="121" t="str">
        <f>IF(ISBLANK(tbl_task10[[คะแนนเต็ม]:[คะแนนเต็ม]]),"",(tbl_task10[131]/tbl_task10[[คะแนนเต็ม]:[คะแนนเต็ม]])*tbl_task10[[%]:[%]])</f>
        <v/>
      </c>
      <c r="KP23" s="121" t="str">
        <f>IF(ISBLANK(tbl_task10[[คะแนนเต็ม]:[คะแนนเต็ม]]),"",(tbl_task10[132]/tbl_task10[[คะแนนเต็ม]:[คะแนนเต็ม]])*tbl_task10[[%]:[%]])</f>
        <v/>
      </c>
      <c r="KQ23" s="121" t="str">
        <f>IF(ISBLANK(tbl_task10[[คะแนนเต็ม]:[คะแนนเต็ม]]),"",(tbl_task10[133]/tbl_task10[[คะแนนเต็ม]:[คะแนนเต็ม]])*tbl_task10[[%]:[%]])</f>
        <v/>
      </c>
      <c r="KR23" s="121" t="str">
        <f>IF(ISBLANK(tbl_task10[[คะแนนเต็ม]:[คะแนนเต็ม]]),"",(tbl_task10[134]/tbl_task10[[คะแนนเต็ม]:[คะแนนเต็ม]])*tbl_task10[[%]:[%]])</f>
        <v/>
      </c>
      <c r="KS23" s="121" t="str">
        <f>IF(ISBLANK(tbl_task10[[คะแนนเต็ม]:[คะแนนเต็ม]]),"",(tbl_task10[135]/tbl_task10[[คะแนนเต็ม]:[คะแนนเต็ม]])*tbl_task10[[%]:[%]])</f>
        <v/>
      </c>
      <c r="KT23" s="121" t="str">
        <f>IF(ISBLANK(tbl_task10[[คะแนนเต็ม]:[คะแนนเต็ม]]),"",(tbl_task10[136]/tbl_task10[[คะแนนเต็ม]:[คะแนนเต็ม]])*tbl_task10[[%]:[%]])</f>
        <v/>
      </c>
      <c r="KU23" s="121" t="str">
        <f>IF(ISBLANK(tbl_task10[[คะแนนเต็ม]:[คะแนนเต็ม]]),"",(tbl_task10[137]/tbl_task10[[คะแนนเต็ม]:[คะแนนเต็ม]])*tbl_task10[[%]:[%]])</f>
        <v/>
      </c>
      <c r="KV23" s="121" t="str">
        <f>IF(ISBLANK(tbl_task10[[คะแนนเต็ม]:[คะแนนเต็ม]]),"",(tbl_task10[138]/tbl_task10[[คะแนนเต็ม]:[คะแนนเต็ม]])*tbl_task10[[%]:[%]])</f>
        <v/>
      </c>
      <c r="KW23" s="121" t="str">
        <f>IF(ISBLANK(tbl_task10[[คะแนนเต็ม]:[คะแนนเต็ม]]),"",(tbl_task10[139]/tbl_task10[[คะแนนเต็ม]:[คะแนนเต็ม]])*tbl_task10[[%]:[%]])</f>
        <v/>
      </c>
      <c r="KX23" s="121" t="str">
        <f>IF(ISBLANK(tbl_task10[[คะแนนเต็ม]:[คะแนนเต็ม]]),"",(tbl_task10[140]/tbl_task10[[คะแนนเต็ม]:[คะแนนเต็ม]])*tbl_task10[[%]:[%]])</f>
        <v/>
      </c>
      <c r="KY23" s="121" t="str">
        <f>IF(ISBLANK(tbl_task10[[คะแนนเต็ม]:[คะแนนเต็ม]]),"",(tbl_task10[141]/tbl_task10[[คะแนนเต็ม]:[คะแนนเต็ม]])*tbl_task10[[%]:[%]])</f>
        <v/>
      </c>
      <c r="KZ23" s="121" t="str">
        <f>IF(ISBLANK(tbl_task10[[คะแนนเต็ม]:[คะแนนเต็ม]]),"",(tbl_task10[142]/tbl_task10[[คะแนนเต็ม]:[คะแนนเต็ม]])*tbl_task10[[%]:[%]])</f>
        <v/>
      </c>
      <c r="LA23" s="121" t="str">
        <f>IF(ISBLANK(tbl_task10[[คะแนนเต็ม]:[คะแนนเต็ม]]),"",(tbl_task10[143]/tbl_task10[[คะแนนเต็ม]:[คะแนนเต็ม]])*tbl_task10[[%]:[%]])</f>
        <v/>
      </c>
      <c r="LB23" s="121" t="str">
        <f>IF(ISBLANK(tbl_task10[[คะแนนเต็ม]:[คะแนนเต็ม]]),"",(tbl_task10[144]/tbl_task10[[คะแนนเต็ม]:[คะแนนเต็ม]])*tbl_task10[[%]:[%]])</f>
        <v/>
      </c>
      <c r="LC23" s="121" t="str">
        <f>IF(ISBLANK(tbl_task10[[คะแนนเต็ม]:[คะแนนเต็ม]]),"",(tbl_task10[145]/tbl_task10[[คะแนนเต็ม]:[คะแนนเต็ม]])*tbl_task10[[%]:[%]])</f>
        <v/>
      </c>
      <c r="LD23" s="121" t="str">
        <f>IF(ISBLANK(tbl_task10[[คะแนนเต็ม]:[คะแนนเต็ม]]),"",(tbl_task10[146]/tbl_task10[[คะแนนเต็ม]:[คะแนนเต็ม]])*tbl_task10[[%]:[%]])</f>
        <v/>
      </c>
      <c r="LE23" s="121" t="str">
        <f>IF(ISBLANK(tbl_task10[[คะแนนเต็ม]:[คะแนนเต็ม]]),"",(tbl_task10[147]/tbl_task10[[คะแนนเต็ม]:[คะแนนเต็ม]])*tbl_task10[[%]:[%]])</f>
        <v/>
      </c>
      <c r="LF23" s="121" t="str">
        <f>IF(ISBLANK(tbl_task10[[คะแนนเต็ม]:[คะแนนเต็ม]]),"",(tbl_task10[148]/tbl_task10[[คะแนนเต็ม]:[คะแนนเต็ม]])*tbl_task10[[%]:[%]])</f>
        <v/>
      </c>
      <c r="LG23" s="121" t="str">
        <f>IF(ISBLANK(tbl_task10[[คะแนนเต็ม]:[คะแนนเต็ม]]),"",(tbl_task10[149]/tbl_task10[[คะแนนเต็ม]:[คะแนนเต็ม]])*tbl_task10[[%]:[%]])</f>
        <v/>
      </c>
      <c r="LH23" s="121" t="str">
        <f>IF(ISBLANK(tbl_task10[[คะแนนเต็ม]:[คะแนนเต็ม]]),"",(tbl_task10[150]/tbl_task10[[คะแนนเต็ม]:[คะแนนเต็ม]])*tbl_task10[[%]:[%]])</f>
        <v/>
      </c>
      <c r="LI23" s="121" t="str">
        <f>IF(ISBLANK(tbl_task10[[คะแนนเต็ม]:[คะแนนเต็ม]]),"",(tbl_task10[151]/tbl_task10[[คะแนนเต็ม]:[คะแนนเต็ม]])*tbl_task10[[%]:[%]])</f>
        <v/>
      </c>
      <c r="LJ23" s="121" t="str">
        <f>IF(ISBLANK(tbl_task10[[คะแนนเต็ม]:[คะแนนเต็ม]]),"",(tbl_task10[152]/tbl_task10[[คะแนนเต็ม]:[คะแนนเต็ม]])*tbl_task10[[%]:[%]])</f>
        <v/>
      </c>
      <c r="LK23" s="121" t="str">
        <f>IF(ISBLANK(tbl_task10[[คะแนนเต็ม]:[คะแนนเต็ม]]),"",(tbl_task10[153]/tbl_task10[[คะแนนเต็ม]:[คะแนนเต็ม]])*tbl_task10[[%]:[%]])</f>
        <v/>
      </c>
      <c r="LL23" s="121" t="str">
        <f>IF(ISBLANK(tbl_task10[[คะแนนเต็ม]:[คะแนนเต็ม]]),"",(tbl_task10[154]/tbl_task10[[คะแนนเต็ม]:[คะแนนเต็ม]])*tbl_task10[[%]:[%]])</f>
        <v/>
      </c>
      <c r="LM23" s="121" t="str">
        <f>IF(ISBLANK(tbl_task10[[คะแนนเต็ม]:[คะแนนเต็ม]]),"",(tbl_task10[155]/tbl_task10[[คะแนนเต็ม]:[คะแนนเต็ม]])*tbl_task10[[%]:[%]])</f>
        <v/>
      </c>
      <c r="LN23" s="121" t="str">
        <f>IF(ISBLANK(tbl_task10[[คะแนนเต็ม]:[คะแนนเต็ม]]),"",(tbl_task10[156]/tbl_task10[[คะแนนเต็ม]:[คะแนนเต็ม]])*tbl_task10[[%]:[%]])</f>
        <v/>
      </c>
      <c r="LO23" s="121" t="str">
        <f>IF(ISBLANK(tbl_task10[[คะแนนเต็ม]:[คะแนนเต็ม]]),"",(tbl_task10[157]/tbl_task10[[คะแนนเต็ม]:[คะแนนเต็ม]])*tbl_task10[[%]:[%]])</f>
        <v/>
      </c>
      <c r="LP23" s="121" t="str">
        <f>IF(ISBLANK(tbl_task10[[คะแนนเต็ม]:[คะแนนเต็ม]]),"",(tbl_task10[158]/tbl_task10[[คะแนนเต็ม]:[คะแนนเต็ม]])*tbl_task10[[%]:[%]])</f>
        <v/>
      </c>
      <c r="LQ23" s="121" t="str">
        <f>IF(ISBLANK(tbl_task10[[คะแนนเต็ม]:[คะแนนเต็ม]]),"",(tbl_task10[159]/tbl_task10[[คะแนนเต็ม]:[คะแนนเต็ม]])*tbl_task10[[%]:[%]])</f>
        <v/>
      </c>
      <c r="LR23" s="121" t="str">
        <f>IF(ISBLANK(tbl_task10[[คะแนนเต็ม]:[คะแนนเต็ม]]),"",(tbl_task10[160]/tbl_task10[[คะแนนเต็ม]:[คะแนนเต็ม]])*tbl_task10[[%]:[%]])</f>
        <v/>
      </c>
      <c r="LS23" s="121" t="str">
        <f>IF(ISBLANK(tbl_task10[[คะแนนเต็ม]:[คะแนนเต็ม]]),"",(tbl_task10[161]/tbl_task10[[คะแนนเต็ม]:[คะแนนเต็ม]])*tbl_task10[[%]:[%]])</f>
        <v/>
      </c>
      <c r="LT23" s="121" t="str">
        <f>IF(ISBLANK(tbl_task10[[คะแนนเต็ม]:[คะแนนเต็ม]]),"",(tbl_task10[162]/tbl_task10[[คะแนนเต็ม]:[คะแนนเต็ม]])*tbl_task10[[%]:[%]])</f>
        <v/>
      </c>
      <c r="LU23" s="121" t="str">
        <f>IF(ISBLANK(tbl_task10[[คะแนนเต็ม]:[คะแนนเต็ม]]),"",(tbl_task10[163]/tbl_task10[[คะแนนเต็ม]:[คะแนนเต็ม]])*tbl_task10[[%]:[%]])</f>
        <v/>
      </c>
      <c r="LV23" s="121" t="str">
        <f>IF(ISBLANK(tbl_task10[[คะแนนเต็ม]:[คะแนนเต็ม]]),"",(tbl_task10[164]/tbl_task10[[คะแนนเต็ม]:[คะแนนเต็ม]])*tbl_task10[[%]:[%]])</f>
        <v/>
      </c>
      <c r="LW23" s="121" t="str">
        <f>IF(ISBLANK(tbl_task10[[คะแนนเต็ม]:[คะแนนเต็ม]]),"",(tbl_task10[165]/tbl_task10[[คะแนนเต็ม]:[คะแนนเต็ม]])*tbl_task10[[%]:[%]])</f>
        <v/>
      </c>
    </row>
    <row r="24" spans="1:335" ht="24" customHeight="1" x14ac:dyDescent="0.25">
      <c r="A24" s="24">
        <v>21</v>
      </c>
      <c r="B24" s="20"/>
      <c r="C24" s="5" t="str">
        <f>IF(ISBLANK(B24),"",VLOOKUP(B24,tbl_PLOs[],2,0))</f>
        <v/>
      </c>
      <c r="D24" s="102"/>
      <c r="E24" s="106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21" t="str">
        <f>IF(ISBLANK(tbl_task10[[คะแนนเต็ม]:[คะแนนเต็ม]]),"",(tbl_task10[1]/tbl_task10[[คะแนนเต็ม]:[คะแนนเต็ม]])*tbl_task10[[%]:[%]])</f>
        <v/>
      </c>
      <c r="FP24" s="121" t="str">
        <f>IF(ISBLANK(tbl_task10[[คะแนนเต็ม]:[คะแนนเต็ม]]),"",(tbl_task10[2]/tbl_task10[[คะแนนเต็ม]:[คะแนนเต็ม]])*tbl_task10[[%]:[%]])</f>
        <v/>
      </c>
      <c r="FQ24" s="121" t="str">
        <f>IF(ISBLANK(tbl_task10[[คะแนนเต็ม]:[คะแนนเต็ม]]),"",(tbl_task10[3]/tbl_task10[[คะแนนเต็ม]:[คะแนนเต็ม]])*tbl_task10[[%]:[%]])</f>
        <v/>
      </c>
      <c r="FR24" s="121" t="str">
        <f>IF(ISBLANK(tbl_task10[[คะแนนเต็ม]:[คะแนนเต็ม]]),"",(tbl_task10[4]/tbl_task10[[คะแนนเต็ม]:[คะแนนเต็ม]])*tbl_task10[[%]:[%]])</f>
        <v/>
      </c>
      <c r="FS24" s="121" t="str">
        <f>IF(ISBLANK(tbl_task10[[คะแนนเต็ม]:[คะแนนเต็ม]]),"",(tbl_task10[5]/tbl_task10[[คะแนนเต็ม]:[คะแนนเต็ม]])*tbl_task10[[%]:[%]])</f>
        <v/>
      </c>
      <c r="FT24" s="121" t="str">
        <f>IF(ISBLANK(tbl_task10[[คะแนนเต็ม]:[คะแนนเต็ม]]),"",(tbl_task10[6]/tbl_task10[[คะแนนเต็ม]:[คะแนนเต็ม]])*tbl_task10[[%]:[%]])</f>
        <v/>
      </c>
      <c r="FU24" s="121" t="str">
        <f>IF(ISBLANK(tbl_task10[[คะแนนเต็ม]:[คะแนนเต็ม]]),"",(tbl_task10[7]/tbl_task10[[คะแนนเต็ม]:[คะแนนเต็ม]])*tbl_task10[[%]:[%]])</f>
        <v/>
      </c>
      <c r="FV24" s="121" t="str">
        <f>IF(ISBLANK(tbl_task10[[คะแนนเต็ม]:[คะแนนเต็ม]]),"",(tbl_task10[8]/tbl_task10[[คะแนนเต็ม]:[คะแนนเต็ม]])*tbl_task10[[%]:[%]])</f>
        <v/>
      </c>
      <c r="FW24" s="121" t="str">
        <f>IF(ISBLANK(tbl_task10[[คะแนนเต็ม]:[คะแนนเต็ม]]),"",(tbl_task10[9]/tbl_task10[[คะแนนเต็ม]:[คะแนนเต็ม]])*tbl_task10[[%]:[%]])</f>
        <v/>
      </c>
      <c r="FX24" s="121" t="str">
        <f>IF(ISBLANK(tbl_task10[[คะแนนเต็ม]:[คะแนนเต็ม]]),"",(tbl_task10[10]/tbl_task10[[คะแนนเต็ม]:[คะแนนเต็ม]])*tbl_task10[[%]:[%]])</f>
        <v/>
      </c>
      <c r="FY24" s="121" t="str">
        <f>IF(ISBLANK(tbl_task10[[คะแนนเต็ม]:[คะแนนเต็ม]]),"",(tbl_task10[11]/tbl_task10[[คะแนนเต็ม]:[คะแนนเต็ม]])*tbl_task10[[%]:[%]])</f>
        <v/>
      </c>
      <c r="FZ24" s="121" t="str">
        <f>IF(ISBLANK(tbl_task10[[คะแนนเต็ม]:[คะแนนเต็ม]]),"",(tbl_task10[12]/tbl_task10[[คะแนนเต็ม]:[คะแนนเต็ม]])*tbl_task10[[%]:[%]])</f>
        <v/>
      </c>
      <c r="GA24" s="121" t="str">
        <f>IF(ISBLANK(tbl_task10[[คะแนนเต็ม]:[คะแนนเต็ม]]),"",(tbl_task10[13]/tbl_task10[[คะแนนเต็ม]:[คะแนนเต็ม]])*tbl_task10[[%]:[%]])</f>
        <v/>
      </c>
      <c r="GB24" s="121" t="str">
        <f>IF(ISBLANK(tbl_task10[[คะแนนเต็ม]:[คะแนนเต็ม]]),"",(tbl_task10[14]/tbl_task10[[คะแนนเต็ม]:[คะแนนเต็ม]])*tbl_task10[[%]:[%]])</f>
        <v/>
      </c>
      <c r="GC24" s="121" t="str">
        <f>IF(ISBLANK(tbl_task10[[คะแนนเต็ม]:[คะแนนเต็ม]]),"",(tbl_task10[15]/tbl_task10[[คะแนนเต็ม]:[คะแนนเต็ม]])*tbl_task10[[%]:[%]])</f>
        <v/>
      </c>
      <c r="GD24" s="121" t="str">
        <f>IF(ISBLANK(tbl_task10[[คะแนนเต็ม]:[คะแนนเต็ม]]),"",(tbl_task10[16]/tbl_task10[[คะแนนเต็ม]:[คะแนนเต็ม]])*tbl_task10[[%]:[%]])</f>
        <v/>
      </c>
      <c r="GE24" s="121" t="str">
        <f>IF(ISBLANK(tbl_task10[[คะแนนเต็ม]:[คะแนนเต็ม]]),"",(tbl_task10[17]/tbl_task10[[คะแนนเต็ม]:[คะแนนเต็ม]])*tbl_task10[[%]:[%]])</f>
        <v/>
      </c>
      <c r="GF24" s="121" t="str">
        <f>IF(ISBLANK(tbl_task10[[คะแนนเต็ม]:[คะแนนเต็ม]]),"",(tbl_task10[18]/tbl_task10[[คะแนนเต็ม]:[คะแนนเต็ม]])*tbl_task10[[%]:[%]])</f>
        <v/>
      </c>
      <c r="GG24" s="121" t="str">
        <f>IF(ISBLANK(tbl_task10[[คะแนนเต็ม]:[คะแนนเต็ม]]),"",(tbl_task10[19]/tbl_task10[[คะแนนเต็ม]:[คะแนนเต็ม]])*tbl_task10[[%]:[%]])</f>
        <v/>
      </c>
      <c r="GH24" s="121" t="str">
        <f>IF(ISBLANK(tbl_task10[[คะแนนเต็ม]:[คะแนนเต็ม]]),"",(tbl_task10[20]/tbl_task10[[คะแนนเต็ม]:[คะแนนเต็ม]])*tbl_task10[[%]:[%]])</f>
        <v/>
      </c>
      <c r="GI24" s="121" t="str">
        <f>IF(ISBLANK(tbl_task10[[คะแนนเต็ม]:[คะแนนเต็ม]]),"",(tbl_task10[21]/tbl_task10[[คะแนนเต็ม]:[คะแนนเต็ม]])*tbl_task10[[%]:[%]])</f>
        <v/>
      </c>
      <c r="GJ24" s="121" t="str">
        <f>IF(ISBLANK(tbl_task10[[คะแนนเต็ม]:[คะแนนเต็ม]]),"",(tbl_task10[22]/tbl_task10[[คะแนนเต็ม]:[คะแนนเต็ม]])*tbl_task10[[%]:[%]])</f>
        <v/>
      </c>
      <c r="GK24" s="121" t="str">
        <f>IF(ISBLANK(tbl_task10[[คะแนนเต็ม]:[คะแนนเต็ม]]),"",(tbl_task10[23]/tbl_task10[[คะแนนเต็ม]:[คะแนนเต็ม]])*tbl_task10[[%]:[%]])</f>
        <v/>
      </c>
      <c r="GL24" s="121" t="str">
        <f>IF(ISBLANK(tbl_task10[[คะแนนเต็ม]:[คะแนนเต็ม]]),"",(tbl_task10[24]/tbl_task10[[คะแนนเต็ม]:[คะแนนเต็ม]])*tbl_task10[[%]:[%]])</f>
        <v/>
      </c>
      <c r="GM24" s="121" t="str">
        <f>IF(ISBLANK(tbl_task10[[คะแนนเต็ม]:[คะแนนเต็ม]]),"",(tbl_task10[25]/tbl_task10[[คะแนนเต็ม]:[คะแนนเต็ม]])*tbl_task10[[%]:[%]])</f>
        <v/>
      </c>
      <c r="GN24" s="121" t="str">
        <f>IF(ISBLANK(tbl_task10[[คะแนนเต็ม]:[คะแนนเต็ม]]),"",(tbl_task10[26]/tbl_task10[[คะแนนเต็ม]:[คะแนนเต็ม]])*tbl_task10[[%]:[%]])</f>
        <v/>
      </c>
      <c r="GO24" s="121" t="str">
        <f>IF(ISBLANK(tbl_task10[[คะแนนเต็ม]:[คะแนนเต็ม]]),"",(tbl_task10[27]/tbl_task10[[คะแนนเต็ม]:[คะแนนเต็ม]])*tbl_task10[[%]:[%]])</f>
        <v/>
      </c>
      <c r="GP24" s="121" t="str">
        <f>IF(ISBLANK(tbl_task10[[คะแนนเต็ม]:[คะแนนเต็ม]]),"",(tbl_task10[28]/tbl_task10[[คะแนนเต็ม]:[คะแนนเต็ม]])*tbl_task10[[%]:[%]])</f>
        <v/>
      </c>
      <c r="GQ24" s="121" t="str">
        <f>IF(ISBLANK(tbl_task10[[คะแนนเต็ม]:[คะแนนเต็ม]]),"",(tbl_task10[29]/tbl_task10[[คะแนนเต็ม]:[คะแนนเต็ม]])*tbl_task10[[%]:[%]])</f>
        <v/>
      </c>
      <c r="GR24" s="121" t="str">
        <f>IF(ISBLANK(tbl_task10[[คะแนนเต็ม]:[คะแนนเต็ม]]),"",(tbl_task10[30]/tbl_task10[[คะแนนเต็ม]:[คะแนนเต็ม]])*tbl_task10[[%]:[%]])</f>
        <v/>
      </c>
      <c r="GS24" s="121" t="str">
        <f>IF(ISBLANK(tbl_task10[[คะแนนเต็ม]:[คะแนนเต็ม]]),"",(tbl_task10[31]/tbl_task10[[คะแนนเต็ม]:[คะแนนเต็ม]])*tbl_task10[[%]:[%]])</f>
        <v/>
      </c>
      <c r="GT24" s="121" t="str">
        <f>IF(ISBLANK(tbl_task10[[คะแนนเต็ม]:[คะแนนเต็ม]]),"",(tbl_task10[32]/tbl_task10[[คะแนนเต็ม]:[คะแนนเต็ม]])*tbl_task10[[%]:[%]])</f>
        <v/>
      </c>
      <c r="GU24" s="121" t="str">
        <f>IF(ISBLANK(tbl_task10[[คะแนนเต็ม]:[คะแนนเต็ม]]),"",(tbl_task10[33]/tbl_task10[[คะแนนเต็ม]:[คะแนนเต็ม]])*tbl_task10[[%]:[%]])</f>
        <v/>
      </c>
      <c r="GV24" s="121" t="str">
        <f>IF(ISBLANK(tbl_task10[[คะแนนเต็ม]:[คะแนนเต็ม]]),"",(tbl_task10[34]/tbl_task10[[คะแนนเต็ม]:[คะแนนเต็ม]])*tbl_task10[[%]:[%]])</f>
        <v/>
      </c>
      <c r="GW24" s="121" t="str">
        <f>IF(ISBLANK(tbl_task10[[คะแนนเต็ม]:[คะแนนเต็ม]]),"",(tbl_task10[35]/tbl_task10[[คะแนนเต็ม]:[คะแนนเต็ม]])*tbl_task10[[%]:[%]])</f>
        <v/>
      </c>
      <c r="GX24" s="121" t="str">
        <f>IF(ISBLANK(tbl_task10[[คะแนนเต็ม]:[คะแนนเต็ม]]),"",(tbl_task10[36]/tbl_task10[[คะแนนเต็ม]:[คะแนนเต็ม]])*tbl_task10[[%]:[%]])</f>
        <v/>
      </c>
      <c r="GY24" s="121" t="str">
        <f>IF(ISBLANK(tbl_task10[[คะแนนเต็ม]:[คะแนนเต็ม]]),"",(tbl_task10[37]/tbl_task10[[คะแนนเต็ม]:[คะแนนเต็ม]])*tbl_task10[[%]:[%]])</f>
        <v/>
      </c>
      <c r="GZ24" s="121" t="str">
        <f>IF(ISBLANK(tbl_task10[[คะแนนเต็ม]:[คะแนนเต็ม]]),"",(tbl_task10[38]/tbl_task10[[คะแนนเต็ม]:[คะแนนเต็ม]])*tbl_task10[[%]:[%]])</f>
        <v/>
      </c>
      <c r="HA24" s="121" t="str">
        <f>IF(ISBLANK(tbl_task10[[คะแนนเต็ม]:[คะแนนเต็ม]]),"",(tbl_task10[39]/tbl_task10[[คะแนนเต็ม]:[คะแนนเต็ม]])*tbl_task10[[%]:[%]])</f>
        <v/>
      </c>
      <c r="HB24" s="121" t="str">
        <f>IF(ISBLANK(tbl_task10[[คะแนนเต็ม]:[คะแนนเต็ม]]),"",(tbl_task10[40]/tbl_task10[[คะแนนเต็ม]:[คะแนนเต็ม]])*tbl_task10[[%]:[%]])</f>
        <v/>
      </c>
      <c r="HC24" s="121" t="str">
        <f>IF(ISBLANK(tbl_task10[[คะแนนเต็ม]:[คะแนนเต็ม]]),"",(tbl_task10[41]/tbl_task10[[คะแนนเต็ม]:[คะแนนเต็ม]])*tbl_task10[[%]:[%]])</f>
        <v/>
      </c>
      <c r="HD24" s="121" t="str">
        <f>IF(ISBLANK(tbl_task10[[คะแนนเต็ม]:[คะแนนเต็ม]]),"",(tbl_task10[42]/tbl_task10[[คะแนนเต็ม]:[คะแนนเต็ม]])*tbl_task10[[%]:[%]])</f>
        <v/>
      </c>
      <c r="HE24" s="121" t="str">
        <f>IF(ISBLANK(tbl_task10[[คะแนนเต็ม]:[คะแนนเต็ม]]),"",(tbl_task10[43]/tbl_task10[[คะแนนเต็ม]:[คะแนนเต็ม]])*tbl_task10[[%]:[%]])</f>
        <v/>
      </c>
      <c r="HF24" s="121" t="str">
        <f>IF(ISBLANK(tbl_task10[[คะแนนเต็ม]:[คะแนนเต็ม]]),"",(tbl_task10[44]/tbl_task10[[คะแนนเต็ม]:[คะแนนเต็ม]])*tbl_task10[[%]:[%]])</f>
        <v/>
      </c>
      <c r="HG24" s="121" t="str">
        <f>IF(ISBLANK(tbl_task10[[คะแนนเต็ม]:[คะแนนเต็ม]]),"",(tbl_task10[45]/tbl_task10[[คะแนนเต็ม]:[คะแนนเต็ม]])*tbl_task10[[%]:[%]])</f>
        <v/>
      </c>
      <c r="HH24" s="121" t="str">
        <f>IF(ISBLANK(tbl_task10[[คะแนนเต็ม]:[คะแนนเต็ม]]),"",(tbl_task10[46]/tbl_task10[[คะแนนเต็ม]:[คะแนนเต็ม]])*tbl_task10[[%]:[%]])</f>
        <v/>
      </c>
      <c r="HI24" s="121" t="str">
        <f>IF(ISBLANK(tbl_task10[[คะแนนเต็ม]:[คะแนนเต็ม]]),"",(tbl_task10[47]/tbl_task10[[คะแนนเต็ม]:[คะแนนเต็ม]])*tbl_task10[[%]:[%]])</f>
        <v/>
      </c>
      <c r="HJ24" s="121" t="str">
        <f>IF(ISBLANK(tbl_task10[[คะแนนเต็ม]:[คะแนนเต็ม]]),"",(tbl_task10[48]/tbl_task10[[คะแนนเต็ม]:[คะแนนเต็ม]])*tbl_task10[[%]:[%]])</f>
        <v/>
      </c>
      <c r="HK24" s="121" t="str">
        <f>IF(ISBLANK(tbl_task10[[คะแนนเต็ม]:[คะแนนเต็ม]]),"",(tbl_task10[49]/tbl_task10[[คะแนนเต็ม]:[คะแนนเต็ม]])*tbl_task10[[%]:[%]])</f>
        <v/>
      </c>
      <c r="HL24" s="121" t="str">
        <f>IF(ISBLANK(tbl_task10[[คะแนนเต็ม]:[คะแนนเต็ม]]),"",(tbl_task10[50]/tbl_task10[[คะแนนเต็ม]:[คะแนนเต็ม]])*tbl_task10[[%]:[%]])</f>
        <v/>
      </c>
      <c r="HM24" s="121" t="str">
        <f>IF(ISBLANK(tbl_task10[[คะแนนเต็ม]:[คะแนนเต็ม]]),"",(tbl_task10[51]/tbl_task10[[คะแนนเต็ม]:[คะแนนเต็ม]])*tbl_task10[[%]:[%]])</f>
        <v/>
      </c>
      <c r="HN24" s="121" t="str">
        <f>IF(ISBLANK(tbl_task10[[คะแนนเต็ม]:[คะแนนเต็ม]]),"",(tbl_task10[52]/tbl_task10[[คะแนนเต็ม]:[คะแนนเต็ม]])*tbl_task10[[%]:[%]])</f>
        <v/>
      </c>
      <c r="HO24" s="121" t="str">
        <f>IF(ISBLANK(tbl_task10[[คะแนนเต็ม]:[คะแนนเต็ม]]),"",(tbl_task10[53]/tbl_task10[[คะแนนเต็ม]:[คะแนนเต็ม]])*tbl_task10[[%]:[%]])</f>
        <v/>
      </c>
      <c r="HP24" s="121" t="str">
        <f>IF(ISBLANK(tbl_task10[[คะแนนเต็ม]:[คะแนนเต็ม]]),"",(tbl_task10[54]/tbl_task10[[คะแนนเต็ม]:[คะแนนเต็ม]])*tbl_task10[[%]:[%]])</f>
        <v/>
      </c>
      <c r="HQ24" s="121" t="str">
        <f>IF(ISBLANK(tbl_task10[[คะแนนเต็ม]:[คะแนนเต็ม]]),"",(tbl_task10[55]/tbl_task10[[คะแนนเต็ม]:[คะแนนเต็ม]])*tbl_task10[[%]:[%]])</f>
        <v/>
      </c>
      <c r="HR24" s="121" t="str">
        <f>IF(ISBLANK(tbl_task10[[คะแนนเต็ม]:[คะแนนเต็ม]]),"",(tbl_task10[56]/tbl_task10[[คะแนนเต็ม]:[คะแนนเต็ม]])*tbl_task10[[%]:[%]])</f>
        <v/>
      </c>
      <c r="HS24" s="121" t="str">
        <f>IF(ISBLANK(tbl_task10[[คะแนนเต็ม]:[คะแนนเต็ม]]),"",(tbl_task10[57]/tbl_task10[[คะแนนเต็ม]:[คะแนนเต็ม]])*tbl_task10[[%]:[%]])</f>
        <v/>
      </c>
      <c r="HT24" s="121" t="str">
        <f>IF(ISBLANK(tbl_task10[[คะแนนเต็ม]:[คะแนนเต็ม]]),"",(tbl_task10[58]/tbl_task10[[คะแนนเต็ม]:[คะแนนเต็ม]])*tbl_task10[[%]:[%]])</f>
        <v/>
      </c>
      <c r="HU24" s="121" t="str">
        <f>IF(ISBLANK(tbl_task10[[คะแนนเต็ม]:[คะแนนเต็ม]]),"",(tbl_task10[59]/tbl_task10[[คะแนนเต็ม]:[คะแนนเต็ม]])*tbl_task10[[%]:[%]])</f>
        <v/>
      </c>
      <c r="HV24" s="121" t="str">
        <f>IF(ISBLANK(tbl_task10[[คะแนนเต็ม]:[คะแนนเต็ม]]),"",(tbl_task10[60]/tbl_task10[[คะแนนเต็ม]:[คะแนนเต็ม]])*tbl_task10[[%]:[%]])</f>
        <v/>
      </c>
      <c r="HW24" s="121" t="str">
        <f>IF(ISBLANK(tbl_task10[[คะแนนเต็ม]:[คะแนนเต็ม]]),"",(tbl_task10[61]/tbl_task10[[คะแนนเต็ม]:[คะแนนเต็ม]])*tbl_task10[[%]:[%]])</f>
        <v/>
      </c>
      <c r="HX24" s="121" t="str">
        <f>IF(ISBLANK(tbl_task10[[คะแนนเต็ม]:[คะแนนเต็ม]]),"",(tbl_task10[62]/tbl_task10[[คะแนนเต็ม]:[คะแนนเต็ม]])*tbl_task10[[%]:[%]])</f>
        <v/>
      </c>
      <c r="HY24" s="121" t="str">
        <f>IF(ISBLANK(tbl_task10[[คะแนนเต็ม]:[คะแนนเต็ม]]),"",(tbl_task10[63]/tbl_task10[[คะแนนเต็ม]:[คะแนนเต็ม]])*tbl_task10[[%]:[%]])</f>
        <v/>
      </c>
      <c r="HZ24" s="121" t="str">
        <f>IF(ISBLANK(tbl_task10[[คะแนนเต็ม]:[คะแนนเต็ม]]),"",(tbl_task10[64]/tbl_task10[[คะแนนเต็ม]:[คะแนนเต็ม]])*tbl_task10[[%]:[%]])</f>
        <v/>
      </c>
      <c r="IA24" s="121" t="str">
        <f>IF(ISBLANK(tbl_task10[[คะแนนเต็ม]:[คะแนนเต็ม]]),"",(tbl_task10[65]/tbl_task10[[คะแนนเต็ม]:[คะแนนเต็ม]])*tbl_task10[[%]:[%]])</f>
        <v/>
      </c>
      <c r="IB24" s="121" t="str">
        <f>IF(ISBLANK(tbl_task10[[คะแนนเต็ม]:[คะแนนเต็ม]]),"",(tbl_task10[66]/tbl_task10[[คะแนนเต็ม]:[คะแนนเต็ม]])*tbl_task10[[%]:[%]])</f>
        <v/>
      </c>
      <c r="IC24" s="121" t="str">
        <f>IF(ISBLANK(tbl_task10[[คะแนนเต็ม]:[คะแนนเต็ม]]),"",(tbl_task10[67]/tbl_task10[[คะแนนเต็ม]:[คะแนนเต็ม]])*tbl_task10[[%]:[%]])</f>
        <v/>
      </c>
      <c r="ID24" s="121" t="str">
        <f>IF(ISBLANK(tbl_task10[[คะแนนเต็ม]:[คะแนนเต็ม]]),"",(tbl_task10[68]/tbl_task10[[คะแนนเต็ม]:[คะแนนเต็ม]])*tbl_task10[[%]:[%]])</f>
        <v/>
      </c>
      <c r="IE24" s="121" t="str">
        <f>IF(ISBLANK(tbl_task10[[คะแนนเต็ม]:[คะแนนเต็ม]]),"",(tbl_task10[69]/tbl_task10[[คะแนนเต็ม]:[คะแนนเต็ม]])*tbl_task10[[%]:[%]])</f>
        <v/>
      </c>
      <c r="IF24" s="121" t="str">
        <f>IF(ISBLANK(tbl_task10[[คะแนนเต็ม]:[คะแนนเต็ม]]),"",(tbl_task10[70]/tbl_task10[[คะแนนเต็ม]:[คะแนนเต็ม]])*tbl_task10[[%]:[%]])</f>
        <v/>
      </c>
      <c r="IG24" s="121" t="str">
        <f>IF(ISBLANK(tbl_task10[[คะแนนเต็ม]:[คะแนนเต็ม]]),"",(tbl_task10[71]/tbl_task10[[คะแนนเต็ม]:[คะแนนเต็ม]])*tbl_task10[[%]:[%]])</f>
        <v/>
      </c>
      <c r="IH24" s="121" t="str">
        <f>IF(ISBLANK(tbl_task10[[คะแนนเต็ม]:[คะแนนเต็ม]]),"",(tbl_task10[72]/tbl_task10[[คะแนนเต็ม]:[คะแนนเต็ม]])*tbl_task10[[%]:[%]])</f>
        <v/>
      </c>
      <c r="II24" s="121" t="str">
        <f>IF(ISBLANK(tbl_task10[[คะแนนเต็ม]:[คะแนนเต็ม]]),"",(tbl_task10[73]/tbl_task10[[คะแนนเต็ม]:[คะแนนเต็ม]])*tbl_task10[[%]:[%]])</f>
        <v/>
      </c>
      <c r="IJ24" s="121" t="str">
        <f>IF(ISBLANK(tbl_task10[[คะแนนเต็ม]:[คะแนนเต็ม]]),"",(tbl_task10[74]/tbl_task10[[คะแนนเต็ม]:[คะแนนเต็ม]])*tbl_task10[[%]:[%]])</f>
        <v/>
      </c>
      <c r="IK24" s="121" t="str">
        <f>IF(ISBLANK(tbl_task10[[คะแนนเต็ม]:[คะแนนเต็ม]]),"",(tbl_task10[75]/tbl_task10[[คะแนนเต็ม]:[คะแนนเต็ม]])*tbl_task10[[%]:[%]])</f>
        <v/>
      </c>
      <c r="IL24" s="121" t="str">
        <f>IF(ISBLANK(tbl_task10[[คะแนนเต็ม]:[คะแนนเต็ม]]),"",(tbl_task10[76]/tbl_task10[[คะแนนเต็ม]:[คะแนนเต็ม]])*tbl_task10[[%]:[%]])</f>
        <v/>
      </c>
      <c r="IM24" s="121" t="str">
        <f>IF(ISBLANK(tbl_task10[[คะแนนเต็ม]:[คะแนนเต็ม]]),"",(tbl_task10[77]/tbl_task10[[คะแนนเต็ม]:[คะแนนเต็ม]])*tbl_task10[[%]:[%]])</f>
        <v/>
      </c>
      <c r="IN24" s="121" t="str">
        <f>IF(ISBLANK(tbl_task10[[คะแนนเต็ม]:[คะแนนเต็ม]]),"",(tbl_task10[78]/tbl_task10[[คะแนนเต็ม]:[คะแนนเต็ม]])*tbl_task10[[%]:[%]])</f>
        <v/>
      </c>
      <c r="IO24" s="121" t="str">
        <f>IF(ISBLANK(tbl_task10[[คะแนนเต็ม]:[คะแนนเต็ม]]),"",(tbl_task10[79]/tbl_task10[[คะแนนเต็ม]:[คะแนนเต็ม]])*tbl_task10[[%]:[%]])</f>
        <v/>
      </c>
      <c r="IP24" s="121" t="str">
        <f>IF(ISBLANK(tbl_task10[[คะแนนเต็ม]:[คะแนนเต็ม]]),"",(tbl_task10[80]/tbl_task10[[คะแนนเต็ม]:[คะแนนเต็ม]])*tbl_task10[[%]:[%]])</f>
        <v/>
      </c>
      <c r="IQ24" s="121" t="str">
        <f>IF(ISBLANK(tbl_task10[[คะแนนเต็ม]:[คะแนนเต็ม]]),"",(tbl_task10[81]/tbl_task10[[คะแนนเต็ม]:[คะแนนเต็ม]])*tbl_task10[[%]:[%]])</f>
        <v/>
      </c>
      <c r="IR24" s="121" t="str">
        <f>IF(ISBLANK(tbl_task10[[คะแนนเต็ม]:[คะแนนเต็ม]]),"",(tbl_task10[82]/tbl_task10[[คะแนนเต็ม]:[คะแนนเต็ม]])*tbl_task10[[%]:[%]])</f>
        <v/>
      </c>
      <c r="IS24" s="121" t="str">
        <f>IF(ISBLANK(tbl_task10[[คะแนนเต็ม]:[คะแนนเต็ม]]),"",(tbl_task10[83]/tbl_task10[[คะแนนเต็ม]:[คะแนนเต็ม]])*tbl_task10[[%]:[%]])</f>
        <v/>
      </c>
      <c r="IT24" s="121" t="str">
        <f>IF(ISBLANK(tbl_task10[[คะแนนเต็ม]:[คะแนนเต็ม]]),"",(tbl_task10[84]/tbl_task10[[คะแนนเต็ม]:[คะแนนเต็ม]])*tbl_task10[[%]:[%]])</f>
        <v/>
      </c>
      <c r="IU24" s="121" t="str">
        <f>IF(ISBLANK(tbl_task10[[คะแนนเต็ม]:[คะแนนเต็ม]]),"",(tbl_task10[85]/tbl_task10[[คะแนนเต็ม]:[คะแนนเต็ม]])*tbl_task10[[%]:[%]])</f>
        <v/>
      </c>
      <c r="IV24" s="121" t="str">
        <f>IF(ISBLANK(tbl_task10[[คะแนนเต็ม]:[คะแนนเต็ม]]),"",(tbl_task10[86]/tbl_task10[[คะแนนเต็ม]:[คะแนนเต็ม]])*tbl_task10[[%]:[%]])</f>
        <v/>
      </c>
      <c r="IW24" s="121" t="str">
        <f>IF(ISBLANK(tbl_task10[[คะแนนเต็ม]:[คะแนนเต็ม]]),"",(tbl_task10[87]/tbl_task10[[คะแนนเต็ม]:[คะแนนเต็ม]])*tbl_task10[[%]:[%]])</f>
        <v/>
      </c>
      <c r="IX24" s="121" t="str">
        <f>IF(ISBLANK(tbl_task10[[คะแนนเต็ม]:[คะแนนเต็ม]]),"",(tbl_task10[88]/tbl_task10[[คะแนนเต็ม]:[คะแนนเต็ม]])*tbl_task10[[%]:[%]])</f>
        <v/>
      </c>
      <c r="IY24" s="121" t="str">
        <f>IF(ISBLANK(tbl_task10[[คะแนนเต็ม]:[คะแนนเต็ม]]),"",(tbl_task10[89]/tbl_task10[[คะแนนเต็ม]:[คะแนนเต็ม]])*tbl_task10[[%]:[%]])</f>
        <v/>
      </c>
      <c r="IZ24" s="121" t="str">
        <f>IF(ISBLANK(tbl_task10[[คะแนนเต็ม]:[คะแนนเต็ม]]),"",(tbl_task10[90]/tbl_task10[[คะแนนเต็ม]:[คะแนนเต็ม]])*tbl_task10[[%]:[%]])</f>
        <v/>
      </c>
      <c r="JA24" s="121" t="str">
        <f>IF(ISBLANK(tbl_task10[[คะแนนเต็ม]:[คะแนนเต็ม]]),"",(tbl_task10[91]/tbl_task10[[คะแนนเต็ม]:[คะแนนเต็ม]])*tbl_task10[[%]:[%]])</f>
        <v/>
      </c>
      <c r="JB24" s="121" t="str">
        <f>IF(ISBLANK(tbl_task10[[คะแนนเต็ม]:[คะแนนเต็ม]]),"",(tbl_task10[92]/tbl_task10[[คะแนนเต็ม]:[คะแนนเต็ม]])*tbl_task10[[%]:[%]])</f>
        <v/>
      </c>
      <c r="JC24" s="121" t="str">
        <f>IF(ISBLANK(tbl_task10[[คะแนนเต็ม]:[คะแนนเต็ม]]),"",(tbl_task10[93]/tbl_task10[[คะแนนเต็ม]:[คะแนนเต็ม]])*tbl_task10[[%]:[%]])</f>
        <v/>
      </c>
      <c r="JD24" s="121" t="str">
        <f>IF(ISBLANK(tbl_task10[[คะแนนเต็ม]:[คะแนนเต็ม]]),"",(tbl_task10[94]/tbl_task10[[คะแนนเต็ม]:[คะแนนเต็ม]])*tbl_task10[[%]:[%]])</f>
        <v/>
      </c>
      <c r="JE24" s="121" t="str">
        <f>IF(ISBLANK(tbl_task10[[คะแนนเต็ม]:[คะแนนเต็ม]]),"",(tbl_task10[95]/tbl_task10[[คะแนนเต็ม]:[คะแนนเต็ม]])*tbl_task10[[%]:[%]])</f>
        <v/>
      </c>
      <c r="JF24" s="121" t="str">
        <f>IF(ISBLANK(tbl_task10[[คะแนนเต็ม]:[คะแนนเต็ม]]),"",(tbl_task10[96]/tbl_task10[[คะแนนเต็ม]:[คะแนนเต็ม]])*tbl_task10[[%]:[%]])</f>
        <v/>
      </c>
      <c r="JG24" s="121" t="str">
        <f>IF(ISBLANK(tbl_task10[[คะแนนเต็ม]:[คะแนนเต็ม]]),"",(tbl_task10[97]/tbl_task10[[คะแนนเต็ม]:[คะแนนเต็ม]])*tbl_task10[[%]:[%]])</f>
        <v/>
      </c>
      <c r="JH24" s="121" t="str">
        <f>IF(ISBLANK(tbl_task10[[คะแนนเต็ม]:[คะแนนเต็ม]]),"",(tbl_task10[98]/tbl_task10[[คะแนนเต็ม]:[คะแนนเต็ม]])*tbl_task10[[%]:[%]])</f>
        <v/>
      </c>
      <c r="JI24" s="121" t="str">
        <f>IF(ISBLANK(tbl_task10[[คะแนนเต็ม]:[คะแนนเต็ม]]),"",(tbl_task10[99]/tbl_task10[[คะแนนเต็ม]:[คะแนนเต็ม]])*tbl_task10[[%]:[%]])</f>
        <v/>
      </c>
      <c r="JJ24" s="121" t="str">
        <f>IF(ISBLANK(tbl_task10[[คะแนนเต็ม]:[คะแนนเต็ม]]),"",(tbl_task10[100]/tbl_task10[[คะแนนเต็ม]:[คะแนนเต็ม]])*tbl_task10[[%]:[%]])</f>
        <v/>
      </c>
      <c r="JK24" s="121" t="str">
        <f>IF(ISBLANK(tbl_task10[[คะแนนเต็ม]:[คะแนนเต็ม]]),"",(tbl_task10[101]/tbl_task10[[คะแนนเต็ม]:[คะแนนเต็ม]])*tbl_task10[[%]:[%]])</f>
        <v/>
      </c>
      <c r="JL24" s="121" t="str">
        <f>IF(ISBLANK(tbl_task10[[คะแนนเต็ม]:[คะแนนเต็ม]]),"",(tbl_task10[102]/tbl_task10[[คะแนนเต็ม]:[คะแนนเต็ม]])*tbl_task10[[%]:[%]])</f>
        <v/>
      </c>
      <c r="JM24" s="121" t="str">
        <f>IF(ISBLANK(tbl_task10[[คะแนนเต็ม]:[คะแนนเต็ม]]),"",(tbl_task10[103]/tbl_task10[[คะแนนเต็ม]:[คะแนนเต็ม]])*tbl_task10[[%]:[%]])</f>
        <v/>
      </c>
      <c r="JN24" s="121" t="str">
        <f>IF(ISBLANK(tbl_task10[[คะแนนเต็ม]:[คะแนนเต็ม]]),"",(tbl_task10[104]/tbl_task10[[คะแนนเต็ม]:[คะแนนเต็ม]])*tbl_task10[[%]:[%]])</f>
        <v/>
      </c>
      <c r="JO24" s="121" t="str">
        <f>IF(ISBLANK(tbl_task10[[คะแนนเต็ม]:[คะแนนเต็ม]]),"",(tbl_task10[105]/tbl_task10[[คะแนนเต็ม]:[คะแนนเต็ม]])*tbl_task10[[%]:[%]])</f>
        <v/>
      </c>
      <c r="JP24" s="121" t="str">
        <f>IF(ISBLANK(tbl_task10[[คะแนนเต็ม]:[คะแนนเต็ม]]),"",(tbl_task10[106]/tbl_task10[[คะแนนเต็ม]:[คะแนนเต็ม]])*tbl_task10[[%]:[%]])</f>
        <v/>
      </c>
      <c r="JQ24" s="121" t="str">
        <f>IF(ISBLANK(tbl_task10[[คะแนนเต็ม]:[คะแนนเต็ม]]),"",(tbl_task10[107]/tbl_task10[[คะแนนเต็ม]:[คะแนนเต็ม]])*tbl_task10[[%]:[%]])</f>
        <v/>
      </c>
      <c r="JR24" s="121" t="str">
        <f>IF(ISBLANK(tbl_task10[[คะแนนเต็ม]:[คะแนนเต็ม]]),"",(tbl_task10[108]/tbl_task10[[คะแนนเต็ม]:[คะแนนเต็ม]])*tbl_task10[[%]:[%]])</f>
        <v/>
      </c>
      <c r="JS24" s="121" t="str">
        <f>IF(ISBLANK(tbl_task10[[คะแนนเต็ม]:[คะแนนเต็ม]]),"",(tbl_task10[109]/tbl_task10[[คะแนนเต็ม]:[คะแนนเต็ม]])*tbl_task10[[%]:[%]])</f>
        <v/>
      </c>
      <c r="JT24" s="121" t="str">
        <f>IF(ISBLANK(tbl_task10[[คะแนนเต็ม]:[คะแนนเต็ม]]),"",(tbl_task10[110]/tbl_task10[[คะแนนเต็ม]:[คะแนนเต็ม]])*tbl_task10[[%]:[%]])</f>
        <v/>
      </c>
      <c r="JU24" s="121" t="str">
        <f>IF(ISBLANK(tbl_task10[[คะแนนเต็ม]:[คะแนนเต็ม]]),"",(tbl_task10[111]/tbl_task10[[คะแนนเต็ม]:[คะแนนเต็ม]])*tbl_task10[[%]:[%]])</f>
        <v/>
      </c>
      <c r="JV24" s="121" t="str">
        <f>IF(ISBLANK(tbl_task10[[คะแนนเต็ม]:[คะแนนเต็ม]]),"",(tbl_task10[112]/tbl_task10[[คะแนนเต็ม]:[คะแนนเต็ม]])*tbl_task10[[%]:[%]])</f>
        <v/>
      </c>
      <c r="JW24" s="121" t="str">
        <f>IF(ISBLANK(tbl_task10[[คะแนนเต็ม]:[คะแนนเต็ม]]),"",(tbl_task10[113]/tbl_task10[[คะแนนเต็ม]:[คะแนนเต็ม]])*tbl_task10[[%]:[%]])</f>
        <v/>
      </c>
      <c r="JX24" s="121" t="str">
        <f>IF(ISBLANK(tbl_task10[[คะแนนเต็ม]:[คะแนนเต็ม]]),"",(tbl_task10[114]/tbl_task10[[คะแนนเต็ม]:[คะแนนเต็ม]])*tbl_task10[[%]:[%]])</f>
        <v/>
      </c>
      <c r="JY24" s="121" t="str">
        <f>IF(ISBLANK(tbl_task10[[คะแนนเต็ม]:[คะแนนเต็ม]]),"",(tbl_task10[115]/tbl_task10[[คะแนนเต็ม]:[คะแนนเต็ม]])*tbl_task10[[%]:[%]])</f>
        <v/>
      </c>
      <c r="JZ24" s="121" t="str">
        <f>IF(ISBLANK(tbl_task10[[คะแนนเต็ม]:[คะแนนเต็ม]]),"",(tbl_task10[116]/tbl_task10[[คะแนนเต็ม]:[คะแนนเต็ม]])*tbl_task10[[%]:[%]])</f>
        <v/>
      </c>
      <c r="KA24" s="121" t="str">
        <f>IF(ISBLANK(tbl_task10[[คะแนนเต็ม]:[คะแนนเต็ม]]),"",(tbl_task10[117]/tbl_task10[[คะแนนเต็ม]:[คะแนนเต็ม]])*tbl_task10[[%]:[%]])</f>
        <v/>
      </c>
      <c r="KB24" s="121" t="str">
        <f>IF(ISBLANK(tbl_task10[[คะแนนเต็ม]:[คะแนนเต็ม]]),"",(tbl_task10[118]/tbl_task10[[คะแนนเต็ม]:[คะแนนเต็ม]])*tbl_task10[[%]:[%]])</f>
        <v/>
      </c>
      <c r="KC24" s="121" t="str">
        <f>IF(ISBLANK(tbl_task10[[คะแนนเต็ม]:[คะแนนเต็ม]]),"",(tbl_task10[119]/tbl_task10[[คะแนนเต็ม]:[คะแนนเต็ม]])*tbl_task10[[%]:[%]])</f>
        <v/>
      </c>
      <c r="KD24" s="121" t="str">
        <f>IF(ISBLANK(tbl_task10[[คะแนนเต็ม]:[คะแนนเต็ม]]),"",(tbl_task10[120]/tbl_task10[[คะแนนเต็ม]:[คะแนนเต็ม]])*tbl_task10[[%]:[%]])</f>
        <v/>
      </c>
      <c r="KE24" s="121" t="str">
        <f>IF(ISBLANK(tbl_task10[[คะแนนเต็ม]:[คะแนนเต็ม]]),"",(tbl_task10[121]/tbl_task10[[คะแนนเต็ม]:[คะแนนเต็ม]])*tbl_task10[[%]:[%]])</f>
        <v/>
      </c>
      <c r="KF24" s="121" t="str">
        <f>IF(ISBLANK(tbl_task10[[คะแนนเต็ม]:[คะแนนเต็ม]]),"",(tbl_task10[122]/tbl_task10[[คะแนนเต็ม]:[คะแนนเต็ม]])*tbl_task10[[%]:[%]])</f>
        <v/>
      </c>
      <c r="KG24" s="121" t="str">
        <f>IF(ISBLANK(tbl_task10[[คะแนนเต็ม]:[คะแนนเต็ม]]),"",(tbl_task10[123]/tbl_task10[[คะแนนเต็ม]:[คะแนนเต็ม]])*tbl_task10[[%]:[%]])</f>
        <v/>
      </c>
      <c r="KH24" s="121" t="str">
        <f>IF(ISBLANK(tbl_task10[[คะแนนเต็ม]:[คะแนนเต็ม]]),"",(tbl_task10[124]/tbl_task10[[คะแนนเต็ม]:[คะแนนเต็ม]])*tbl_task10[[%]:[%]])</f>
        <v/>
      </c>
      <c r="KI24" s="121" t="str">
        <f>IF(ISBLANK(tbl_task10[[คะแนนเต็ม]:[คะแนนเต็ม]]),"",(tbl_task10[125]/tbl_task10[[คะแนนเต็ม]:[คะแนนเต็ม]])*tbl_task10[[%]:[%]])</f>
        <v/>
      </c>
      <c r="KJ24" s="121" t="str">
        <f>IF(ISBLANK(tbl_task10[[คะแนนเต็ม]:[คะแนนเต็ม]]),"",(tbl_task10[126]/tbl_task10[[คะแนนเต็ม]:[คะแนนเต็ม]])*tbl_task10[[%]:[%]])</f>
        <v/>
      </c>
      <c r="KK24" s="121" t="str">
        <f>IF(ISBLANK(tbl_task10[[คะแนนเต็ม]:[คะแนนเต็ม]]),"",(tbl_task10[127]/tbl_task10[[คะแนนเต็ม]:[คะแนนเต็ม]])*tbl_task10[[%]:[%]])</f>
        <v/>
      </c>
      <c r="KL24" s="121" t="str">
        <f>IF(ISBLANK(tbl_task10[[คะแนนเต็ม]:[คะแนนเต็ม]]),"",(tbl_task10[128]/tbl_task10[[คะแนนเต็ม]:[คะแนนเต็ม]])*tbl_task10[[%]:[%]])</f>
        <v/>
      </c>
      <c r="KM24" s="121" t="str">
        <f>IF(ISBLANK(tbl_task10[[คะแนนเต็ม]:[คะแนนเต็ม]]),"",(tbl_task10[129]/tbl_task10[[คะแนนเต็ม]:[คะแนนเต็ม]])*tbl_task10[[%]:[%]])</f>
        <v/>
      </c>
      <c r="KN24" s="121" t="str">
        <f>IF(ISBLANK(tbl_task10[[คะแนนเต็ม]:[คะแนนเต็ม]]),"",(tbl_task10[130]/tbl_task10[[คะแนนเต็ม]:[คะแนนเต็ม]])*tbl_task10[[%]:[%]])</f>
        <v/>
      </c>
      <c r="KO24" s="121" t="str">
        <f>IF(ISBLANK(tbl_task10[[คะแนนเต็ม]:[คะแนนเต็ม]]),"",(tbl_task10[131]/tbl_task10[[คะแนนเต็ม]:[คะแนนเต็ม]])*tbl_task10[[%]:[%]])</f>
        <v/>
      </c>
      <c r="KP24" s="121" t="str">
        <f>IF(ISBLANK(tbl_task10[[คะแนนเต็ม]:[คะแนนเต็ม]]),"",(tbl_task10[132]/tbl_task10[[คะแนนเต็ม]:[คะแนนเต็ม]])*tbl_task10[[%]:[%]])</f>
        <v/>
      </c>
      <c r="KQ24" s="121" t="str">
        <f>IF(ISBLANK(tbl_task10[[คะแนนเต็ม]:[คะแนนเต็ม]]),"",(tbl_task10[133]/tbl_task10[[คะแนนเต็ม]:[คะแนนเต็ม]])*tbl_task10[[%]:[%]])</f>
        <v/>
      </c>
      <c r="KR24" s="121" t="str">
        <f>IF(ISBLANK(tbl_task10[[คะแนนเต็ม]:[คะแนนเต็ม]]),"",(tbl_task10[134]/tbl_task10[[คะแนนเต็ม]:[คะแนนเต็ม]])*tbl_task10[[%]:[%]])</f>
        <v/>
      </c>
      <c r="KS24" s="121" t="str">
        <f>IF(ISBLANK(tbl_task10[[คะแนนเต็ม]:[คะแนนเต็ม]]),"",(tbl_task10[135]/tbl_task10[[คะแนนเต็ม]:[คะแนนเต็ม]])*tbl_task10[[%]:[%]])</f>
        <v/>
      </c>
      <c r="KT24" s="121" t="str">
        <f>IF(ISBLANK(tbl_task10[[คะแนนเต็ม]:[คะแนนเต็ม]]),"",(tbl_task10[136]/tbl_task10[[คะแนนเต็ม]:[คะแนนเต็ม]])*tbl_task10[[%]:[%]])</f>
        <v/>
      </c>
      <c r="KU24" s="121" t="str">
        <f>IF(ISBLANK(tbl_task10[[คะแนนเต็ม]:[คะแนนเต็ม]]),"",(tbl_task10[137]/tbl_task10[[คะแนนเต็ม]:[คะแนนเต็ม]])*tbl_task10[[%]:[%]])</f>
        <v/>
      </c>
      <c r="KV24" s="121" t="str">
        <f>IF(ISBLANK(tbl_task10[[คะแนนเต็ม]:[คะแนนเต็ม]]),"",(tbl_task10[138]/tbl_task10[[คะแนนเต็ม]:[คะแนนเต็ม]])*tbl_task10[[%]:[%]])</f>
        <v/>
      </c>
      <c r="KW24" s="121" t="str">
        <f>IF(ISBLANK(tbl_task10[[คะแนนเต็ม]:[คะแนนเต็ม]]),"",(tbl_task10[139]/tbl_task10[[คะแนนเต็ม]:[คะแนนเต็ม]])*tbl_task10[[%]:[%]])</f>
        <v/>
      </c>
      <c r="KX24" s="121" t="str">
        <f>IF(ISBLANK(tbl_task10[[คะแนนเต็ม]:[คะแนนเต็ม]]),"",(tbl_task10[140]/tbl_task10[[คะแนนเต็ม]:[คะแนนเต็ม]])*tbl_task10[[%]:[%]])</f>
        <v/>
      </c>
      <c r="KY24" s="121" t="str">
        <f>IF(ISBLANK(tbl_task10[[คะแนนเต็ม]:[คะแนนเต็ม]]),"",(tbl_task10[141]/tbl_task10[[คะแนนเต็ม]:[คะแนนเต็ม]])*tbl_task10[[%]:[%]])</f>
        <v/>
      </c>
      <c r="KZ24" s="121" t="str">
        <f>IF(ISBLANK(tbl_task10[[คะแนนเต็ม]:[คะแนนเต็ม]]),"",(tbl_task10[142]/tbl_task10[[คะแนนเต็ม]:[คะแนนเต็ม]])*tbl_task10[[%]:[%]])</f>
        <v/>
      </c>
      <c r="LA24" s="121" t="str">
        <f>IF(ISBLANK(tbl_task10[[คะแนนเต็ม]:[คะแนนเต็ม]]),"",(tbl_task10[143]/tbl_task10[[คะแนนเต็ม]:[คะแนนเต็ม]])*tbl_task10[[%]:[%]])</f>
        <v/>
      </c>
      <c r="LB24" s="121" t="str">
        <f>IF(ISBLANK(tbl_task10[[คะแนนเต็ม]:[คะแนนเต็ม]]),"",(tbl_task10[144]/tbl_task10[[คะแนนเต็ม]:[คะแนนเต็ม]])*tbl_task10[[%]:[%]])</f>
        <v/>
      </c>
      <c r="LC24" s="121" t="str">
        <f>IF(ISBLANK(tbl_task10[[คะแนนเต็ม]:[คะแนนเต็ม]]),"",(tbl_task10[145]/tbl_task10[[คะแนนเต็ม]:[คะแนนเต็ม]])*tbl_task10[[%]:[%]])</f>
        <v/>
      </c>
      <c r="LD24" s="121" t="str">
        <f>IF(ISBLANK(tbl_task10[[คะแนนเต็ม]:[คะแนนเต็ม]]),"",(tbl_task10[146]/tbl_task10[[คะแนนเต็ม]:[คะแนนเต็ม]])*tbl_task10[[%]:[%]])</f>
        <v/>
      </c>
      <c r="LE24" s="121" t="str">
        <f>IF(ISBLANK(tbl_task10[[คะแนนเต็ม]:[คะแนนเต็ม]]),"",(tbl_task10[147]/tbl_task10[[คะแนนเต็ม]:[คะแนนเต็ม]])*tbl_task10[[%]:[%]])</f>
        <v/>
      </c>
      <c r="LF24" s="121" t="str">
        <f>IF(ISBLANK(tbl_task10[[คะแนนเต็ม]:[คะแนนเต็ม]]),"",(tbl_task10[148]/tbl_task10[[คะแนนเต็ม]:[คะแนนเต็ม]])*tbl_task10[[%]:[%]])</f>
        <v/>
      </c>
      <c r="LG24" s="121" t="str">
        <f>IF(ISBLANK(tbl_task10[[คะแนนเต็ม]:[คะแนนเต็ม]]),"",(tbl_task10[149]/tbl_task10[[คะแนนเต็ม]:[คะแนนเต็ม]])*tbl_task10[[%]:[%]])</f>
        <v/>
      </c>
      <c r="LH24" s="121" t="str">
        <f>IF(ISBLANK(tbl_task10[[คะแนนเต็ม]:[คะแนนเต็ม]]),"",(tbl_task10[150]/tbl_task10[[คะแนนเต็ม]:[คะแนนเต็ม]])*tbl_task10[[%]:[%]])</f>
        <v/>
      </c>
      <c r="LI24" s="121" t="str">
        <f>IF(ISBLANK(tbl_task10[[คะแนนเต็ม]:[คะแนนเต็ม]]),"",(tbl_task10[151]/tbl_task10[[คะแนนเต็ม]:[คะแนนเต็ม]])*tbl_task10[[%]:[%]])</f>
        <v/>
      </c>
      <c r="LJ24" s="121" t="str">
        <f>IF(ISBLANK(tbl_task10[[คะแนนเต็ม]:[คะแนนเต็ม]]),"",(tbl_task10[152]/tbl_task10[[คะแนนเต็ม]:[คะแนนเต็ม]])*tbl_task10[[%]:[%]])</f>
        <v/>
      </c>
      <c r="LK24" s="121" t="str">
        <f>IF(ISBLANK(tbl_task10[[คะแนนเต็ม]:[คะแนนเต็ม]]),"",(tbl_task10[153]/tbl_task10[[คะแนนเต็ม]:[คะแนนเต็ม]])*tbl_task10[[%]:[%]])</f>
        <v/>
      </c>
      <c r="LL24" s="121" t="str">
        <f>IF(ISBLANK(tbl_task10[[คะแนนเต็ม]:[คะแนนเต็ม]]),"",(tbl_task10[154]/tbl_task10[[คะแนนเต็ม]:[คะแนนเต็ม]])*tbl_task10[[%]:[%]])</f>
        <v/>
      </c>
      <c r="LM24" s="121" t="str">
        <f>IF(ISBLANK(tbl_task10[[คะแนนเต็ม]:[คะแนนเต็ม]]),"",(tbl_task10[155]/tbl_task10[[คะแนนเต็ม]:[คะแนนเต็ม]])*tbl_task10[[%]:[%]])</f>
        <v/>
      </c>
      <c r="LN24" s="121" t="str">
        <f>IF(ISBLANK(tbl_task10[[คะแนนเต็ม]:[คะแนนเต็ม]]),"",(tbl_task10[156]/tbl_task10[[คะแนนเต็ม]:[คะแนนเต็ม]])*tbl_task10[[%]:[%]])</f>
        <v/>
      </c>
      <c r="LO24" s="121" t="str">
        <f>IF(ISBLANK(tbl_task10[[คะแนนเต็ม]:[คะแนนเต็ม]]),"",(tbl_task10[157]/tbl_task10[[คะแนนเต็ม]:[คะแนนเต็ม]])*tbl_task10[[%]:[%]])</f>
        <v/>
      </c>
      <c r="LP24" s="121" t="str">
        <f>IF(ISBLANK(tbl_task10[[คะแนนเต็ม]:[คะแนนเต็ม]]),"",(tbl_task10[158]/tbl_task10[[คะแนนเต็ม]:[คะแนนเต็ม]])*tbl_task10[[%]:[%]])</f>
        <v/>
      </c>
      <c r="LQ24" s="121" t="str">
        <f>IF(ISBLANK(tbl_task10[[คะแนนเต็ม]:[คะแนนเต็ม]]),"",(tbl_task10[159]/tbl_task10[[คะแนนเต็ม]:[คะแนนเต็ม]])*tbl_task10[[%]:[%]])</f>
        <v/>
      </c>
      <c r="LR24" s="121" t="str">
        <f>IF(ISBLANK(tbl_task10[[คะแนนเต็ม]:[คะแนนเต็ม]]),"",(tbl_task10[160]/tbl_task10[[คะแนนเต็ม]:[คะแนนเต็ม]])*tbl_task10[[%]:[%]])</f>
        <v/>
      </c>
      <c r="LS24" s="121" t="str">
        <f>IF(ISBLANK(tbl_task10[[คะแนนเต็ม]:[คะแนนเต็ม]]),"",(tbl_task10[161]/tbl_task10[[คะแนนเต็ม]:[คะแนนเต็ม]])*tbl_task10[[%]:[%]])</f>
        <v/>
      </c>
      <c r="LT24" s="121" t="str">
        <f>IF(ISBLANK(tbl_task10[[คะแนนเต็ม]:[คะแนนเต็ม]]),"",(tbl_task10[162]/tbl_task10[[คะแนนเต็ม]:[คะแนนเต็ม]])*tbl_task10[[%]:[%]])</f>
        <v/>
      </c>
      <c r="LU24" s="121" t="str">
        <f>IF(ISBLANK(tbl_task10[[คะแนนเต็ม]:[คะแนนเต็ม]]),"",(tbl_task10[163]/tbl_task10[[คะแนนเต็ม]:[คะแนนเต็ม]])*tbl_task10[[%]:[%]])</f>
        <v/>
      </c>
      <c r="LV24" s="121" t="str">
        <f>IF(ISBLANK(tbl_task10[[คะแนนเต็ม]:[คะแนนเต็ม]]),"",(tbl_task10[164]/tbl_task10[[คะแนนเต็ม]:[คะแนนเต็ม]])*tbl_task10[[%]:[%]])</f>
        <v/>
      </c>
      <c r="LW24" s="121" t="str">
        <f>IF(ISBLANK(tbl_task10[[คะแนนเต็ม]:[คะแนนเต็ม]]),"",(tbl_task10[165]/tbl_task10[[คะแนนเต็ม]:[คะแนนเต็ม]])*tbl_task10[[%]:[%]])</f>
        <v/>
      </c>
    </row>
    <row r="25" spans="1:335" ht="24" customHeight="1" x14ac:dyDescent="0.25">
      <c r="A25" s="24">
        <v>22</v>
      </c>
      <c r="B25" s="20"/>
      <c r="C25" s="5" t="str">
        <f>IF(ISBLANK(B25),"",VLOOKUP(B25,tbl_PLOs[],2,0))</f>
        <v/>
      </c>
      <c r="D25" s="102"/>
      <c r="E25" s="106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21" t="str">
        <f>IF(ISBLANK(tbl_task10[[คะแนนเต็ม]:[คะแนนเต็ม]]),"",(tbl_task10[1]/tbl_task10[[คะแนนเต็ม]:[คะแนนเต็ม]])*tbl_task10[[%]:[%]])</f>
        <v/>
      </c>
      <c r="FP25" s="121" t="str">
        <f>IF(ISBLANK(tbl_task10[[คะแนนเต็ม]:[คะแนนเต็ม]]),"",(tbl_task10[2]/tbl_task10[[คะแนนเต็ม]:[คะแนนเต็ม]])*tbl_task10[[%]:[%]])</f>
        <v/>
      </c>
      <c r="FQ25" s="121" t="str">
        <f>IF(ISBLANK(tbl_task10[[คะแนนเต็ม]:[คะแนนเต็ม]]),"",(tbl_task10[3]/tbl_task10[[คะแนนเต็ม]:[คะแนนเต็ม]])*tbl_task10[[%]:[%]])</f>
        <v/>
      </c>
      <c r="FR25" s="121" t="str">
        <f>IF(ISBLANK(tbl_task10[[คะแนนเต็ม]:[คะแนนเต็ม]]),"",(tbl_task10[4]/tbl_task10[[คะแนนเต็ม]:[คะแนนเต็ม]])*tbl_task10[[%]:[%]])</f>
        <v/>
      </c>
      <c r="FS25" s="121" t="str">
        <f>IF(ISBLANK(tbl_task10[[คะแนนเต็ม]:[คะแนนเต็ม]]),"",(tbl_task10[5]/tbl_task10[[คะแนนเต็ม]:[คะแนนเต็ม]])*tbl_task10[[%]:[%]])</f>
        <v/>
      </c>
      <c r="FT25" s="121" t="str">
        <f>IF(ISBLANK(tbl_task10[[คะแนนเต็ม]:[คะแนนเต็ม]]),"",(tbl_task10[6]/tbl_task10[[คะแนนเต็ม]:[คะแนนเต็ม]])*tbl_task10[[%]:[%]])</f>
        <v/>
      </c>
      <c r="FU25" s="121" t="str">
        <f>IF(ISBLANK(tbl_task10[[คะแนนเต็ม]:[คะแนนเต็ม]]),"",(tbl_task10[7]/tbl_task10[[คะแนนเต็ม]:[คะแนนเต็ม]])*tbl_task10[[%]:[%]])</f>
        <v/>
      </c>
      <c r="FV25" s="121" t="str">
        <f>IF(ISBLANK(tbl_task10[[คะแนนเต็ม]:[คะแนนเต็ม]]),"",(tbl_task10[8]/tbl_task10[[คะแนนเต็ม]:[คะแนนเต็ม]])*tbl_task10[[%]:[%]])</f>
        <v/>
      </c>
      <c r="FW25" s="121" t="str">
        <f>IF(ISBLANK(tbl_task10[[คะแนนเต็ม]:[คะแนนเต็ม]]),"",(tbl_task10[9]/tbl_task10[[คะแนนเต็ม]:[คะแนนเต็ม]])*tbl_task10[[%]:[%]])</f>
        <v/>
      </c>
      <c r="FX25" s="121" t="str">
        <f>IF(ISBLANK(tbl_task10[[คะแนนเต็ม]:[คะแนนเต็ม]]),"",(tbl_task10[10]/tbl_task10[[คะแนนเต็ม]:[คะแนนเต็ม]])*tbl_task10[[%]:[%]])</f>
        <v/>
      </c>
      <c r="FY25" s="121" t="str">
        <f>IF(ISBLANK(tbl_task10[[คะแนนเต็ม]:[คะแนนเต็ม]]),"",(tbl_task10[11]/tbl_task10[[คะแนนเต็ม]:[คะแนนเต็ม]])*tbl_task10[[%]:[%]])</f>
        <v/>
      </c>
      <c r="FZ25" s="121" t="str">
        <f>IF(ISBLANK(tbl_task10[[คะแนนเต็ม]:[คะแนนเต็ม]]),"",(tbl_task10[12]/tbl_task10[[คะแนนเต็ม]:[คะแนนเต็ม]])*tbl_task10[[%]:[%]])</f>
        <v/>
      </c>
      <c r="GA25" s="121" t="str">
        <f>IF(ISBLANK(tbl_task10[[คะแนนเต็ม]:[คะแนนเต็ม]]),"",(tbl_task10[13]/tbl_task10[[คะแนนเต็ม]:[คะแนนเต็ม]])*tbl_task10[[%]:[%]])</f>
        <v/>
      </c>
      <c r="GB25" s="121" t="str">
        <f>IF(ISBLANK(tbl_task10[[คะแนนเต็ม]:[คะแนนเต็ม]]),"",(tbl_task10[14]/tbl_task10[[คะแนนเต็ม]:[คะแนนเต็ม]])*tbl_task10[[%]:[%]])</f>
        <v/>
      </c>
      <c r="GC25" s="121" t="str">
        <f>IF(ISBLANK(tbl_task10[[คะแนนเต็ม]:[คะแนนเต็ม]]),"",(tbl_task10[15]/tbl_task10[[คะแนนเต็ม]:[คะแนนเต็ม]])*tbl_task10[[%]:[%]])</f>
        <v/>
      </c>
      <c r="GD25" s="121" t="str">
        <f>IF(ISBLANK(tbl_task10[[คะแนนเต็ม]:[คะแนนเต็ม]]),"",(tbl_task10[16]/tbl_task10[[คะแนนเต็ม]:[คะแนนเต็ม]])*tbl_task10[[%]:[%]])</f>
        <v/>
      </c>
      <c r="GE25" s="121" t="str">
        <f>IF(ISBLANK(tbl_task10[[คะแนนเต็ม]:[คะแนนเต็ม]]),"",(tbl_task10[17]/tbl_task10[[คะแนนเต็ม]:[คะแนนเต็ม]])*tbl_task10[[%]:[%]])</f>
        <v/>
      </c>
      <c r="GF25" s="121" t="str">
        <f>IF(ISBLANK(tbl_task10[[คะแนนเต็ม]:[คะแนนเต็ม]]),"",(tbl_task10[18]/tbl_task10[[คะแนนเต็ม]:[คะแนนเต็ม]])*tbl_task10[[%]:[%]])</f>
        <v/>
      </c>
      <c r="GG25" s="121" t="str">
        <f>IF(ISBLANK(tbl_task10[[คะแนนเต็ม]:[คะแนนเต็ม]]),"",(tbl_task10[19]/tbl_task10[[คะแนนเต็ม]:[คะแนนเต็ม]])*tbl_task10[[%]:[%]])</f>
        <v/>
      </c>
      <c r="GH25" s="121" t="str">
        <f>IF(ISBLANK(tbl_task10[[คะแนนเต็ม]:[คะแนนเต็ม]]),"",(tbl_task10[20]/tbl_task10[[คะแนนเต็ม]:[คะแนนเต็ม]])*tbl_task10[[%]:[%]])</f>
        <v/>
      </c>
      <c r="GI25" s="121" t="str">
        <f>IF(ISBLANK(tbl_task10[[คะแนนเต็ม]:[คะแนนเต็ม]]),"",(tbl_task10[21]/tbl_task10[[คะแนนเต็ม]:[คะแนนเต็ม]])*tbl_task10[[%]:[%]])</f>
        <v/>
      </c>
      <c r="GJ25" s="121" t="str">
        <f>IF(ISBLANK(tbl_task10[[คะแนนเต็ม]:[คะแนนเต็ม]]),"",(tbl_task10[22]/tbl_task10[[คะแนนเต็ม]:[คะแนนเต็ม]])*tbl_task10[[%]:[%]])</f>
        <v/>
      </c>
      <c r="GK25" s="121" t="str">
        <f>IF(ISBLANK(tbl_task10[[คะแนนเต็ม]:[คะแนนเต็ม]]),"",(tbl_task10[23]/tbl_task10[[คะแนนเต็ม]:[คะแนนเต็ม]])*tbl_task10[[%]:[%]])</f>
        <v/>
      </c>
      <c r="GL25" s="121" t="str">
        <f>IF(ISBLANK(tbl_task10[[คะแนนเต็ม]:[คะแนนเต็ม]]),"",(tbl_task10[24]/tbl_task10[[คะแนนเต็ม]:[คะแนนเต็ม]])*tbl_task10[[%]:[%]])</f>
        <v/>
      </c>
      <c r="GM25" s="121" t="str">
        <f>IF(ISBLANK(tbl_task10[[คะแนนเต็ม]:[คะแนนเต็ม]]),"",(tbl_task10[25]/tbl_task10[[คะแนนเต็ม]:[คะแนนเต็ม]])*tbl_task10[[%]:[%]])</f>
        <v/>
      </c>
      <c r="GN25" s="121" t="str">
        <f>IF(ISBLANK(tbl_task10[[คะแนนเต็ม]:[คะแนนเต็ม]]),"",(tbl_task10[26]/tbl_task10[[คะแนนเต็ม]:[คะแนนเต็ม]])*tbl_task10[[%]:[%]])</f>
        <v/>
      </c>
      <c r="GO25" s="121" t="str">
        <f>IF(ISBLANK(tbl_task10[[คะแนนเต็ม]:[คะแนนเต็ม]]),"",(tbl_task10[27]/tbl_task10[[คะแนนเต็ม]:[คะแนนเต็ม]])*tbl_task10[[%]:[%]])</f>
        <v/>
      </c>
      <c r="GP25" s="121" t="str">
        <f>IF(ISBLANK(tbl_task10[[คะแนนเต็ม]:[คะแนนเต็ม]]),"",(tbl_task10[28]/tbl_task10[[คะแนนเต็ม]:[คะแนนเต็ม]])*tbl_task10[[%]:[%]])</f>
        <v/>
      </c>
      <c r="GQ25" s="121" t="str">
        <f>IF(ISBLANK(tbl_task10[[คะแนนเต็ม]:[คะแนนเต็ม]]),"",(tbl_task10[29]/tbl_task10[[คะแนนเต็ม]:[คะแนนเต็ม]])*tbl_task10[[%]:[%]])</f>
        <v/>
      </c>
      <c r="GR25" s="121" t="str">
        <f>IF(ISBLANK(tbl_task10[[คะแนนเต็ม]:[คะแนนเต็ม]]),"",(tbl_task10[30]/tbl_task10[[คะแนนเต็ม]:[คะแนนเต็ม]])*tbl_task10[[%]:[%]])</f>
        <v/>
      </c>
      <c r="GS25" s="121" t="str">
        <f>IF(ISBLANK(tbl_task10[[คะแนนเต็ม]:[คะแนนเต็ม]]),"",(tbl_task10[31]/tbl_task10[[คะแนนเต็ม]:[คะแนนเต็ม]])*tbl_task10[[%]:[%]])</f>
        <v/>
      </c>
      <c r="GT25" s="121" t="str">
        <f>IF(ISBLANK(tbl_task10[[คะแนนเต็ม]:[คะแนนเต็ม]]),"",(tbl_task10[32]/tbl_task10[[คะแนนเต็ม]:[คะแนนเต็ม]])*tbl_task10[[%]:[%]])</f>
        <v/>
      </c>
      <c r="GU25" s="121" t="str">
        <f>IF(ISBLANK(tbl_task10[[คะแนนเต็ม]:[คะแนนเต็ม]]),"",(tbl_task10[33]/tbl_task10[[คะแนนเต็ม]:[คะแนนเต็ม]])*tbl_task10[[%]:[%]])</f>
        <v/>
      </c>
      <c r="GV25" s="121" t="str">
        <f>IF(ISBLANK(tbl_task10[[คะแนนเต็ม]:[คะแนนเต็ม]]),"",(tbl_task10[34]/tbl_task10[[คะแนนเต็ม]:[คะแนนเต็ม]])*tbl_task10[[%]:[%]])</f>
        <v/>
      </c>
      <c r="GW25" s="121" t="str">
        <f>IF(ISBLANK(tbl_task10[[คะแนนเต็ม]:[คะแนนเต็ม]]),"",(tbl_task10[35]/tbl_task10[[คะแนนเต็ม]:[คะแนนเต็ม]])*tbl_task10[[%]:[%]])</f>
        <v/>
      </c>
      <c r="GX25" s="121" t="str">
        <f>IF(ISBLANK(tbl_task10[[คะแนนเต็ม]:[คะแนนเต็ม]]),"",(tbl_task10[36]/tbl_task10[[คะแนนเต็ม]:[คะแนนเต็ม]])*tbl_task10[[%]:[%]])</f>
        <v/>
      </c>
      <c r="GY25" s="121" t="str">
        <f>IF(ISBLANK(tbl_task10[[คะแนนเต็ม]:[คะแนนเต็ม]]),"",(tbl_task10[37]/tbl_task10[[คะแนนเต็ม]:[คะแนนเต็ม]])*tbl_task10[[%]:[%]])</f>
        <v/>
      </c>
      <c r="GZ25" s="121" t="str">
        <f>IF(ISBLANK(tbl_task10[[คะแนนเต็ม]:[คะแนนเต็ม]]),"",(tbl_task10[38]/tbl_task10[[คะแนนเต็ม]:[คะแนนเต็ม]])*tbl_task10[[%]:[%]])</f>
        <v/>
      </c>
      <c r="HA25" s="121" t="str">
        <f>IF(ISBLANK(tbl_task10[[คะแนนเต็ม]:[คะแนนเต็ม]]),"",(tbl_task10[39]/tbl_task10[[คะแนนเต็ม]:[คะแนนเต็ม]])*tbl_task10[[%]:[%]])</f>
        <v/>
      </c>
      <c r="HB25" s="121" t="str">
        <f>IF(ISBLANK(tbl_task10[[คะแนนเต็ม]:[คะแนนเต็ม]]),"",(tbl_task10[40]/tbl_task10[[คะแนนเต็ม]:[คะแนนเต็ม]])*tbl_task10[[%]:[%]])</f>
        <v/>
      </c>
      <c r="HC25" s="121" t="str">
        <f>IF(ISBLANK(tbl_task10[[คะแนนเต็ม]:[คะแนนเต็ม]]),"",(tbl_task10[41]/tbl_task10[[คะแนนเต็ม]:[คะแนนเต็ม]])*tbl_task10[[%]:[%]])</f>
        <v/>
      </c>
      <c r="HD25" s="121" t="str">
        <f>IF(ISBLANK(tbl_task10[[คะแนนเต็ม]:[คะแนนเต็ม]]),"",(tbl_task10[42]/tbl_task10[[คะแนนเต็ม]:[คะแนนเต็ม]])*tbl_task10[[%]:[%]])</f>
        <v/>
      </c>
      <c r="HE25" s="121" t="str">
        <f>IF(ISBLANK(tbl_task10[[คะแนนเต็ม]:[คะแนนเต็ม]]),"",(tbl_task10[43]/tbl_task10[[คะแนนเต็ม]:[คะแนนเต็ม]])*tbl_task10[[%]:[%]])</f>
        <v/>
      </c>
      <c r="HF25" s="121" t="str">
        <f>IF(ISBLANK(tbl_task10[[คะแนนเต็ม]:[คะแนนเต็ม]]),"",(tbl_task10[44]/tbl_task10[[คะแนนเต็ม]:[คะแนนเต็ม]])*tbl_task10[[%]:[%]])</f>
        <v/>
      </c>
      <c r="HG25" s="121" t="str">
        <f>IF(ISBLANK(tbl_task10[[คะแนนเต็ม]:[คะแนนเต็ม]]),"",(tbl_task10[45]/tbl_task10[[คะแนนเต็ม]:[คะแนนเต็ม]])*tbl_task10[[%]:[%]])</f>
        <v/>
      </c>
      <c r="HH25" s="121" t="str">
        <f>IF(ISBLANK(tbl_task10[[คะแนนเต็ม]:[คะแนนเต็ม]]),"",(tbl_task10[46]/tbl_task10[[คะแนนเต็ม]:[คะแนนเต็ม]])*tbl_task10[[%]:[%]])</f>
        <v/>
      </c>
      <c r="HI25" s="121" t="str">
        <f>IF(ISBLANK(tbl_task10[[คะแนนเต็ม]:[คะแนนเต็ม]]),"",(tbl_task10[47]/tbl_task10[[คะแนนเต็ม]:[คะแนนเต็ม]])*tbl_task10[[%]:[%]])</f>
        <v/>
      </c>
      <c r="HJ25" s="121" t="str">
        <f>IF(ISBLANK(tbl_task10[[คะแนนเต็ม]:[คะแนนเต็ม]]),"",(tbl_task10[48]/tbl_task10[[คะแนนเต็ม]:[คะแนนเต็ม]])*tbl_task10[[%]:[%]])</f>
        <v/>
      </c>
      <c r="HK25" s="121" t="str">
        <f>IF(ISBLANK(tbl_task10[[คะแนนเต็ม]:[คะแนนเต็ม]]),"",(tbl_task10[49]/tbl_task10[[คะแนนเต็ม]:[คะแนนเต็ม]])*tbl_task10[[%]:[%]])</f>
        <v/>
      </c>
      <c r="HL25" s="121" t="str">
        <f>IF(ISBLANK(tbl_task10[[คะแนนเต็ม]:[คะแนนเต็ม]]),"",(tbl_task10[50]/tbl_task10[[คะแนนเต็ม]:[คะแนนเต็ม]])*tbl_task10[[%]:[%]])</f>
        <v/>
      </c>
      <c r="HM25" s="121" t="str">
        <f>IF(ISBLANK(tbl_task10[[คะแนนเต็ม]:[คะแนนเต็ม]]),"",(tbl_task10[51]/tbl_task10[[คะแนนเต็ม]:[คะแนนเต็ม]])*tbl_task10[[%]:[%]])</f>
        <v/>
      </c>
      <c r="HN25" s="121" t="str">
        <f>IF(ISBLANK(tbl_task10[[คะแนนเต็ม]:[คะแนนเต็ม]]),"",(tbl_task10[52]/tbl_task10[[คะแนนเต็ม]:[คะแนนเต็ม]])*tbl_task10[[%]:[%]])</f>
        <v/>
      </c>
      <c r="HO25" s="121" t="str">
        <f>IF(ISBLANK(tbl_task10[[คะแนนเต็ม]:[คะแนนเต็ม]]),"",(tbl_task10[53]/tbl_task10[[คะแนนเต็ม]:[คะแนนเต็ม]])*tbl_task10[[%]:[%]])</f>
        <v/>
      </c>
      <c r="HP25" s="121" t="str">
        <f>IF(ISBLANK(tbl_task10[[คะแนนเต็ม]:[คะแนนเต็ม]]),"",(tbl_task10[54]/tbl_task10[[คะแนนเต็ม]:[คะแนนเต็ม]])*tbl_task10[[%]:[%]])</f>
        <v/>
      </c>
      <c r="HQ25" s="121" t="str">
        <f>IF(ISBLANK(tbl_task10[[คะแนนเต็ม]:[คะแนนเต็ม]]),"",(tbl_task10[55]/tbl_task10[[คะแนนเต็ม]:[คะแนนเต็ม]])*tbl_task10[[%]:[%]])</f>
        <v/>
      </c>
      <c r="HR25" s="121" t="str">
        <f>IF(ISBLANK(tbl_task10[[คะแนนเต็ม]:[คะแนนเต็ม]]),"",(tbl_task10[56]/tbl_task10[[คะแนนเต็ม]:[คะแนนเต็ม]])*tbl_task10[[%]:[%]])</f>
        <v/>
      </c>
      <c r="HS25" s="121" t="str">
        <f>IF(ISBLANK(tbl_task10[[คะแนนเต็ม]:[คะแนนเต็ม]]),"",(tbl_task10[57]/tbl_task10[[คะแนนเต็ม]:[คะแนนเต็ม]])*tbl_task10[[%]:[%]])</f>
        <v/>
      </c>
      <c r="HT25" s="121" t="str">
        <f>IF(ISBLANK(tbl_task10[[คะแนนเต็ม]:[คะแนนเต็ม]]),"",(tbl_task10[58]/tbl_task10[[คะแนนเต็ม]:[คะแนนเต็ม]])*tbl_task10[[%]:[%]])</f>
        <v/>
      </c>
      <c r="HU25" s="121" t="str">
        <f>IF(ISBLANK(tbl_task10[[คะแนนเต็ม]:[คะแนนเต็ม]]),"",(tbl_task10[59]/tbl_task10[[คะแนนเต็ม]:[คะแนนเต็ม]])*tbl_task10[[%]:[%]])</f>
        <v/>
      </c>
      <c r="HV25" s="121" t="str">
        <f>IF(ISBLANK(tbl_task10[[คะแนนเต็ม]:[คะแนนเต็ม]]),"",(tbl_task10[60]/tbl_task10[[คะแนนเต็ม]:[คะแนนเต็ม]])*tbl_task10[[%]:[%]])</f>
        <v/>
      </c>
      <c r="HW25" s="121" t="str">
        <f>IF(ISBLANK(tbl_task10[[คะแนนเต็ม]:[คะแนนเต็ม]]),"",(tbl_task10[61]/tbl_task10[[คะแนนเต็ม]:[คะแนนเต็ม]])*tbl_task10[[%]:[%]])</f>
        <v/>
      </c>
      <c r="HX25" s="121" t="str">
        <f>IF(ISBLANK(tbl_task10[[คะแนนเต็ม]:[คะแนนเต็ม]]),"",(tbl_task10[62]/tbl_task10[[คะแนนเต็ม]:[คะแนนเต็ม]])*tbl_task10[[%]:[%]])</f>
        <v/>
      </c>
      <c r="HY25" s="121" t="str">
        <f>IF(ISBLANK(tbl_task10[[คะแนนเต็ม]:[คะแนนเต็ม]]),"",(tbl_task10[63]/tbl_task10[[คะแนนเต็ม]:[คะแนนเต็ม]])*tbl_task10[[%]:[%]])</f>
        <v/>
      </c>
      <c r="HZ25" s="121" t="str">
        <f>IF(ISBLANK(tbl_task10[[คะแนนเต็ม]:[คะแนนเต็ม]]),"",(tbl_task10[64]/tbl_task10[[คะแนนเต็ม]:[คะแนนเต็ม]])*tbl_task10[[%]:[%]])</f>
        <v/>
      </c>
      <c r="IA25" s="121" t="str">
        <f>IF(ISBLANK(tbl_task10[[คะแนนเต็ม]:[คะแนนเต็ม]]),"",(tbl_task10[65]/tbl_task10[[คะแนนเต็ม]:[คะแนนเต็ม]])*tbl_task10[[%]:[%]])</f>
        <v/>
      </c>
      <c r="IB25" s="121" t="str">
        <f>IF(ISBLANK(tbl_task10[[คะแนนเต็ม]:[คะแนนเต็ม]]),"",(tbl_task10[66]/tbl_task10[[คะแนนเต็ม]:[คะแนนเต็ม]])*tbl_task10[[%]:[%]])</f>
        <v/>
      </c>
      <c r="IC25" s="121" t="str">
        <f>IF(ISBLANK(tbl_task10[[คะแนนเต็ม]:[คะแนนเต็ม]]),"",(tbl_task10[67]/tbl_task10[[คะแนนเต็ม]:[คะแนนเต็ม]])*tbl_task10[[%]:[%]])</f>
        <v/>
      </c>
      <c r="ID25" s="121" t="str">
        <f>IF(ISBLANK(tbl_task10[[คะแนนเต็ม]:[คะแนนเต็ม]]),"",(tbl_task10[68]/tbl_task10[[คะแนนเต็ม]:[คะแนนเต็ม]])*tbl_task10[[%]:[%]])</f>
        <v/>
      </c>
      <c r="IE25" s="121" t="str">
        <f>IF(ISBLANK(tbl_task10[[คะแนนเต็ม]:[คะแนนเต็ม]]),"",(tbl_task10[69]/tbl_task10[[คะแนนเต็ม]:[คะแนนเต็ม]])*tbl_task10[[%]:[%]])</f>
        <v/>
      </c>
      <c r="IF25" s="121" t="str">
        <f>IF(ISBLANK(tbl_task10[[คะแนนเต็ม]:[คะแนนเต็ม]]),"",(tbl_task10[70]/tbl_task10[[คะแนนเต็ม]:[คะแนนเต็ม]])*tbl_task10[[%]:[%]])</f>
        <v/>
      </c>
      <c r="IG25" s="121" t="str">
        <f>IF(ISBLANK(tbl_task10[[คะแนนเต็ม]:[คะแนนเต็ม]]),"",(tbl_task10[71]/tbl_task10[[คะแนนเต็ม]:[คะแนนเต็ม]])*tbl_task10[[%]:[%]])</f>
        <v/>
      </c>
      <c r="IH25" s="121" t="str">
        <f>IF(ISBLANK(tbl_task10[[คะแนนเต็ม]:[คะแนนเต็ม]]),"",(tbl_task10[72]/tbl_task10[[คะแนนเต็ม]:[คะแนนเต็ม]])*tbl_task10[[%]:[%]])</f>
        <v/>
      </c>
      <c r="II25" s="121" t="str">
        <f>IF(ISBLANK(tbl_task10[[คะแนนเต็ม]:[คะแนนเต็ม]]),"",(tbl_task10[73]/tbl_task10[[คะแนนเต็ม]:[คะแนนเต็ม]])*tbl_task10[[%]:[%]])</f>
        <v/>
      </c>
      <c r="IJ25" s="121" t="str">
        <f>IF(ISBLANK(tbl_task10[[คะแนนเต็ม]:[คะแนนเต็ม]]),"",(tbl_task10[74]/tbl_task10[[คะแนนเต็ม]:[คะแนนเต็ม]])*tbl_task10[[%]:[%]])</f>
        <v/>
      </c>
      <c r="IK25" s="121" t="str">
        <f>IF(ISBLANK(tbl_task10[[คะแนนเต็ม]:[คะแนนเต็ม]]),"",(tbl_task10[75]/tbl_task10[[คะแนนเต็ม]:[คะแนนเต็ม]])*tbl_task10[[%]:[%]])</f>
        <v/>
      </c>
      <c r="IL25" s="121" t="str">
        <f>IF(ISBLANK(tbl_task10[[คะแนนเต็ม]:[คะแนนเต็ม]]),"",(tbl_task10[76]/tbl_task10[[คะแนนเต็ม]:[คะแนนเต็ม]])*tbl_task10[[%]:[%]])</f>
        <v/>
      </c>
      <c r="IM25" s="121" t="str">
        <f>IF(ISBLANK(tbl_task10[[คะแนนเต็ม]:[คะแนนเต็ม]]),"",(tbl_task10[77]/tbl_task10[[คะแนนเต็ม]:[คะแนนเต็ม]])*tbl_task10[[%]:[%]])</f>
        <v/>
      </c>
      <c r="IN25" s="121" t="str">
        <f>IF(ISBLANK(tbl_task10[[คะแนนเต็ม]:[คะแนนเต็ม]]),"",(tbl_task10[78]/tbl_task10[[คะแนนเต็ม]:[คะแนนเต็ม]])*tbl_task10[[%]:[%]])</f>
        <v/>
      </c>
      <c r="IO25" s="121" t="str">
        <f>IF(ISBLANK(tbl_task10[[คะแนนเต็ม]:[คะแนนเต็ม]]),"",(tbl_task10[79]/tbl_task10[[คะแนนเต็ม]:[คะแนนเต็ม]])*tbl_task10[[%]:[%]])</f>
        <v/>
      </c>
      <c r="IP25" s="121" t="str">
        <f>IF(ISBLANK(tbl_task10[[คะแนนเต็ม]:[คะแนนเต็ม]]),"",(tbl_task10[80]/tbl_task10[[คะแนนเต็ม]:[คะแนนเต็ม]])*tbl_task10[[%]:[%]])</f>
        <v/>
      </c>
      <c r="IQ25" s="121" t="str">
        <f>IF(ISBLANK(tbl_task10[[คะแนนเต็ม]:[คะแนนเต็ม]]),"",(tbl_task10[81]/tbl_task10[[คะแนนเต็ม]:[คะแนนเต็ม]])*tbl_task10[[%]:[%]])</f>
        <v/>
      </c>
      <c r="IR25" s="121" t="str">
        <f>IF(ISBLANK(tbl_task10[[คะแนนเต็ม]:[คะแนนเต็ม]]),"",(tbl_task10[82]/tbl_task10[[คะแนนเต็ม]:[คะแนนเต็ม]])*tbl_task10[[%]:[%]])</f>
        <v/>
      </c>
      <c r="IS25" s="121" t="str">
        <f>IF(ISBLANK(tbl_task10[[คะแนนเต็ม]:[คะแนนเต็ม]]),"",(tbl_task10[83]/tbl_task10[[คะแนนเต็ม]:[คะแนนเต็ม]])*tbl_task10[[%]:[%]])</f>
        <v/>
      </c>
      <c r="IT25" s="121" t="str">
        <f>IF(ISBLANK(tbl_task10[[คะแนนเต็ม]:[คะแนนเต็ม]]),"",(tbl_task10[84]/tbl_task10[[คะแนนเต็ม]:[คะแนนเต็ม]])*tbl_task10[[%]:[%]])</f>
        <v/>
      </c>
      <c r="IU25" s="121" t="str">
        <f>IF(ISBLANK(tbl_task10[[คะแนนเต็ม]:[คะแนนเต็ม]]),"",(tbl_task10[85]/tbl_task10[[คะแนนเต็ม]:[คะแนนเต็ม]])*tbl_task10[[%]:[%]])</f>
        <v/>
      </c>
      <c r="IV25" s="121" t="str">
        <f>IF(ISBLANK(tbl_task10[[คะแนนเต็ม]:[คะแนนเต็ม]]),"",(tbl_task10[86]/tbl_task10[[คะแนนเต็ม]:[คะแนนเต็ม]])*tbl_task10[[%]:[%]])</f>
        <v/>
      </c>
      <c r="IW25" s="121" t="str">
        <f>IF(ISBLANK(tbl_task10[[คะแนนเต็ม]:[คะแนนเต็ม]]),"",(tbl_task10[87]/tbl_task10[[คะแนนเต็ม]:[คะแนนเต็ม]])*tbl_task10[[%]:[%]])</f>
        <v/>
      </c>
      <c r="IX25" s="121" t="str">
        <f>IF(ISBLANK(tbl_task10[[คะแนนเต็ม]:[คะแนนเต็ม]]),"",(tbl_task10[88]/tbl_task10[[คะแนนเต็ม]:[คะแนนเต็ม]])*tbl_task10[[%]:[%]])</f>
        <v/>
      </c>
      <c r="IY25" s="121" t="str">
        <f>IF(ISBLANK(tbl_task10[[คะแนนเต็ม]:[คะแนนเต็ม]]),"",(tbl_task10[89]/tbl_task10[[คะแนนเต็ม]:[คะแนนเต็ม]])*tbl_task10[[%]:[%]])</f>
        <v/>
      </c>
      <c r="IZ25" s="121" t="str">
        <f>IF(ISBLANK(tbl_task10[[คะแนนเต็ม]:[คะแนนเต็ม]]),"",(tbl_task10[90]/tbl_task10[[คะแนนเต็ม]:[คะแนนเต็ม]])*tbl_task10[[%]:[%]])</f>
        <v/>
      </c>
      <c r="JA25" s="121" t="str">
        <f>IF(ISBLANK(tbl_task10[[คะแนนเต็ม]:[คะแนนเต็ม]]),"",(tbl_task10[91]/tbl_task10[[คะแนนเต็ม]:[คะแนนเต็ม]])*tbl_task10[[%]:[%]])</f>
        <v/>
      </c>
      <c r="JB25" s="121" t="str">
        <f>IF(ISBLANK(tbl_task10[[คะแนนเต็ม]:[คะแนนเต็ม]]),"",(tbl_task10[92]/tbl_task10[[คะแนนเต็ม]:[คะแนนเต็ม]])*tbl_task10[[%]:[%]])</f>
        <v/>
      </c>
      <c r="JC25" s="121" t="str">
        <f>IF(ISBLANK(tbl_task10[[คะแนนเต็ม]:[คะแนนเต็ม]]),"",(tbl_task10[93]/tbl_task10[[คะแนนเต็ม]:[คะแนนเต็ม]])*tbl_task10[[%]:[%]])</f>
        <v/>
      </c>
      <c r="JD25" s="121" t="str">
        <f>IF(ISBLANK(tbl_task10[[คะแนนเต็ม]:[คะแนนเต็ม]]),"",(tbl_task10[94]/tbl_task10[[คะแนนเต็ม]:[คะแนนเต็ม]])*tbl_task10[[%]:[%]])</f>
        <v/>
      </c>
      <c r="JE25" s="121" t="str">
        <f>IF(ISBLANK(tbl_task10[[คะแนนเต็ม]:[คะแนนเต็ม]]),"",(tbl_task10[95]/tbl_task10[[คะแนนเต็ม]:[คะแนนเต็ม]])*tbl_task10[[%]:[%]])</f>
        <v/>
      </c>
      <c r="JF25" s="121" t="str">
        <f>IF(ISBLANK(tbl_task10[[คะแนนเต็ม]:[คะแนนเต็ม]]),"",(tbl_task10[96]/tbl_task10[[คะแนนเต็ม]:[คะแนนเต็ม]])*tbl_task10[[%]:[%]])</f>
        <v/>
      </c>
      <c r="JG25" s="121" t="str">
        <f>IF(ISBLANK(tbl_task10[[คะแนนเต็ม]:[คะแนนเต็ม]]),"",(tbl_task10[97]/tbl_task10[[คะแนนเต็ม]:[คะแนนเต็ม]])*tbl_task10[[%]:[%]])</f>
        <v/>
      </c>
      <c r="JH25" s="121" t="str">
        <f>IF(ISBLANK(tbl_task10[[คะแนนเต็ม]:[คะแนนเต็ม]]),"",(tbl_task10[98]/tbl_task10[[คะแนนเต็ม]:[คะแนนเต็ม]])*tbl_task10[[%]:[%]])</f>
        <v/>
      </c>
      <c r="JI25" s="121" t="str">
        <f>IF(ISBLANK(tbl_task10[[คะแนนเต็ม]:[คะแนนเต็ม]]),"",(tbl_task10[99]/tbl_task10[[คะแนนเต็ม]:[คะแนนเต็ม]])*tbl_task10[[%]:[%]])</f>
        <v/>
      </c>
      <c r="JJ25" s="121" t="str">
        <f>IF(ISBLANK(tbl_task10[[คะแนนเต็ม]:[คะแนนเต็ม]]),"",(tbl_task10[100]/tbl_task10[[คะแนนเต็ม]:[คะแนนเต็ม]])*tbl_task10[[%]:[%]])</f>
        <v/>
      </c>
      <c r="JK25" s="121" t="str">
        <f>IF(ISBLANK(tbl_task10[[คะแนนเต็ม]:[คะแนนเต็ม]]),"",(tbl_task10[101]/tbl_task10[[คะแนนเต็ม]:[คะแนนเต็ม]])*tbl_task10[[%]:[%]])</f>
        <v/>
      </c>
      <c r="JL25" s="121" t="str">
        <f>IF(ISBLANK(tbl_task10[[คะแนนเต็ม]:[คะแนนเต็ม]]),"",(tbl_task10[102]/tbl_task10[[คะแนนเต็ม]:[คะแนนเต็ม]])*tbl_task10[[%]:[%]])</f>
        <v/>
      </c>
      <c r="JM25" s="121" t="str">
        <f>IF(ISBLANK(tbl_task10[[คะแนนเต็ม]:[คะแนนเต็ม]]),"",(tbl_task10[103]/tbl_task10[[คะแนนเต็ม]:[คะแนนเต็ม]])*tbl_task10[[%]:[%]])</f>
        <v/>
      </c>
      <c r="JN25" s="121" t="str">
        <f>IF(ISBLANK(tbl_task10[[คะแนนเต็ม]:[คะแนนเต็ม]]),"",(tbl_task10[104]/tbl_task10[[คะแนนเต็ม]:[คะแนนเต็ม]])*tbl_task10[[%]:[%]])</f>
        <v/>
      </c>
      <c r="JO25" s="121" t="str">
        <f>IF(ISBLANK(tbl_task10[[คะแนนเต็ม]:[คะแนนเต็ม]]),"",(tbl_task10[105]/tbl_task10[[คะแนนเต็ม]:[คะแนนเต็ม]])*tbl_task10[[%]:[%]])</f>
        <v/>
      </c>
      <c r="JP25" s="121" t="str">
        <f>IF(ISBLANK(tbl_task10[[คะแนนเต็ม]:[คะแนนเต็ม]]),"",(tbl_task10[106]/tbl_task10[[คะแนนเต็ม]:[คะแนนเต็ม]])*tbl_task10[[%]:[%]])</f>
        <v/>
      </c>
      <c r="JQ25" s="121" t="str">
        <f>IF(ISBLANK(tbl_task10[[คะแนนเต็ม]:[คะแนนเต็ม]]),"",(tbl_task10[107]/tbl_task10[[คะแนนเต็ม]:[คะแนนเต็ม]])*tbl_task10[[%]:[%]])</f>
        <v/>
      </c>
      <c r="JR25" s="121" t="str">
        <f>IF(ISBLANK(tbl_task10[[คะแนนเต็ม]:[คะแนนเต็ม]]),"",(tbl_task10[108]/tbl_task10[[คะแนนเต็ม]:[คะแนนเต็ม]])*tbl_task10[[%]:[%]])</f>
        <v/>
      </c>
      <c r="JS25" s="121" t="str">
        <f>IF(ISBLANK(tbl_task10[[คะแนนเต็ม]:[คะแนนเต็ม]]),"",(tbl_task10[109]/tbl_task10[[คะแนนเต็ม]:[คะแนนเต็ม]])*tbl_task10[[%]:[%]])</f>
        <v/>
      </c>
      <c r="JT25" s="121" t="str">
        <f>IF(ISBLANK(tbl_task10[[คะแนนเต็ม]:[คะแนนเต็ม]]),"",(tbl_task10[110]/tbl_task10[[คะแนนเต็ม]:[คะแนนเต็ม]])*tbl_task10[[%]:[%]])</f>
        <v/>
      </c>
      <c r="JU25" s="121" t="str">
        <f>IF(ISBLANK(tbl_task10[[คะแนนเต็ม]:[คะแนนเต็ม]]),"",(tbl_task10[111]/tbl_task10[[คะแนนเต็ม]:[คะแนนเต็ม]])*tbl_task10[[%]:[%]])</f>
        <v/>
      </c>
      <c r="JV25" s="121" t="str">
        <f>IF(ISBLANK(tbl_task10[[คะแนนเต็ม]:[คะแนนเต็ม]]),"",(tbl_task10[112]/tbl_task10[[คะแนนเต็ม]:[คะแนนเต็ม]])*tbl_task10[[%]:[%]])</f>
        <v/>
      </c>
      <c r="JW25" s="121" t="str">
        <f>IF(ISBLANK(tbl_task10[[คะแนนเต็ม]:[คะแนนเต็ม]]),"",(tbl_task10[113]/tbl_task10[[คะแนนเต็ม]:[คะแนนเต็ม]])*tbl_task10[[%]:[%]])</f>
        <v/>
      </c>
      <c r="JX25" s="121" t="str">
        <f>IF(ISBLANK(tbl_task10[[คะแนนเต็ม]:[คะแนนเต็ม]]),"",(tbl_task10[114]/tbl_task10[[คะแนนเต็ม]:[คะแนนเต็ม]])*tbl_task10[[%]:[%]])</f>
        <v/>
      </c>
      <c r="JY25" s="121" t="str">
        <f>IF(ISBLANK(tbl_task10[[คะแนนเต็ม]:[คะแนนเต็ม]]),"",(tbl_task10[115]/tbl_task10[[คะแนนเต็ม]:[คะแนนเต็ม]])*tbl_task10[[%]:[%]])</f>
        <v/>
      </c>
      <c r="JZ25" s="121" t="str">
        <f>IF(ISBLANK(tbl_task10[[คะแนนเต็ม]:[คะแนนเต็ม]]),"",(tbl_task10[116]/tbl_task10[[คะแนนเต็ม]:[คะแนนเต็ม]])*tbl_task10[[%]:[%]])</f>
        <v/>
      </c>
      <c r="KA25" s="121" t="str">
        <f>IF(ISBLANK(tbl_task10[[คะแนนเต็ม]:[คะแนนเต็ม]]),"",(tbl_task10[117]/tbl_task10[[คะแนนเต็ม]:[คะแนนเต็ม]])*tbl_task10[[%]:[%]])</f>
        <v/>
      </c>
      <c r="KB25" s="121" t="str">
        <f>IF(ISBLANK(tbl_task10[[คะแนนเต็ม]:[คะแนนเต็ม]]),"",(tbl_task10[118]/tbl_task10[[คะแนนเต็ม]:[คะแนนเต็ม]])*tbl_task10[[%]:[%]])</f>
        <v/>
      </c>
      <c r="KC25" s="121" t="str">
        <f>IF(ISBLANK(tbl_task10[[คะแนนเต็ม]:[คะแนนเต็ม]]),"",(tbl_task10[119]/tbl_task10[[คะแนนเต็ม]:[คะแนนเต็ม]])*tbl_task10[[%]:[%]])</f>
        <v/>
      </c>
      <c r="KD25" s="121" t="str">
        <f>IF(ISBLANK(tbl_task10[[คะแนนเต็ม]:[คะแนนเต็ม]]),"",(tbl_task10[120]/tbl_task10[[คะแนนเต็ม]:[คะแนนเต็ม]])*tbl_task10[[%]:[%]])</f>
        <v/>
      </c>
      <c r="KE25" s="121" t="str">
        <f>IF(ISBLANK(tbl_task10[[คะแนนเต็ม]:[คะแนนเต็ม]]),"",(tbl_task10[121]/tbl_task10[[คะแนนเต็ม]:[คะแนนเต็ม]])*tbl_task10[[%]:[%]])</f>
        <v/>
      </c>
      <c r="KF25" s="121" t="str">
        <f>IF(ISBLANK(tbl_task10[[คะแนนเต็ม]:[คะแนนเต็ม]]),"",(tbl_task10[122]/tbl_task10[[คะแนนเต็ม]:[คะแนนเต็ม]])*tbl_task10[[%]:[%]])</f>
        <v/>
      </c>
      <c r="KG25" s="121" t="str">
        <f>IF(ISBLANK(tbl_task10[[คะแนนเต็ม]:[คะแนนเต็ม]]),"",(tbl_task10[123]/tbl_task10[[คะแนนเต็ม]:[คะแนนเต็ม]])*tbl_task10[[%]:[%]])</f>
        <v/>
      </c>
      <c r="KH25" s="121" t="str">
        <f>IF(ISBLANK(tbl_task10[[คะแนนเต็ม]:[คะแนนเต็ม]]),"",(tbl_task10[124]/tbl_task10[[คะแนนเต็ม]:[คะแนนเต็ม]])*tbl_task10[[%]:[%]])</f>
        <v/>
      </c>
      <c r="KI25" s="121" t="str">
        <f>IF(ISBLANK(tbl_task10[[คะแนนเต็ม]:[คะแนนเต็ม]]),"",(tbl_task10[125]/tbl_task10[[คะแนนเต็ม]:[คะแนนเต็ม]])*tbl_task10[[%]:[%]])</f>
        <v/>
      </c>
      <c r="KJ25" s="121" t="str">
        <f>IF(ISBLANK(tbl_task10[[คะแนนเต็ม]:[คะแนนเต็ม]]),"",(tbl_task10[126]/tbl_task10[[คะแนนเต็ม]:[คะแนนเต็ม]])*tbl_task10[[%]:[%]])</f>
        <v/>
      </c>
      <c r="KK25" s="121" t="str">
        <f>IF(ISBLANK(tbl_task10[[คะแนนเต็ม]:[คะแนนเต็ม]]),"",(tbl_task10[127]/tbl_task10[[คะแนนเต็ม]:[คะแนนเต็ม]])*tbl_task10[[%]:[%]])</f>
        <v/>
      </c>
      <c r="KL25" s="121" t="str">
        <f>IF(ISBLANK(tbl_task10[[คะแนนเต็ม]:[คะแนนเต็ม]]),"",(tbl_task10[128]/tbl_task10[[คะแนนเต็ม]:[คะแนนเต็ม]])*tbl_task10[[%]:[%]])</f>
        <v/>
      </c>
      <c r="KM25" s="121" t="str">
        <f>IF(ISBLANK(tbl_task10[[คะแนนเต็ม]:[คะแนนเต็ม]]),"",(tbl_task10[129]/tbl_task10[[คะแนนเต็ม]:[คะแนนเต็ม]])*tbl_task10[[%]:[%]])</f>
        <v/>
      </c>
      <c r="KN25" s="121" t="str">
        <f>IF(ISBLANK(tbl_task10[[คะแนนเต็ม]:[คะแนนเต็ม]]),"",(tbl_task10[130]/tbl_task10[[คะแนนเต็ม]:[คะแนนเต็ม]])*tbl_task10[[%]:[%]])</f>
        <v/>
      </c>
      <c r="KO25" s="121" t="str">
        <f>IF(ISBLANK(tbl_task10[[คะแนนเต็ม]:[คะแนนเต็ม]]),"",(tbl_task10[131]/tbl_task10[[คะแนนเต็ม]:[คะแนนเต็ม]])*tbl_task10[[%]:[%]])</f>
        <v/>
      </c>
      <c r="KP25" s="121" t="str">
        <f>IF(ISBLANK(tbl_task10[[คะแนนเต็ม]:[คะแนนเต็ม]]),"",(tbl_task10[132]/tbl_task10[[คะแนนเต็ม]:[คะแนนเต็ม]])*tbl_task10[[%]:[%]])</f>
        <v/>
      </c>
      <c r="KQ25" s="121" t="str">
        <f>IF(ISBLANK(tbl_task10[[คะแนนเต็ม]:[คะแนนเต็ม]]),"",(tbl_task10[133]/tbl_task10[[คะแนนเต็ม]:[คะแนนเต็ม]])*tbl_task10[[%]:[%]])</f>
        <v/>
      </c>
      <c r="KR25" s="121" t="str">
        <f>IF(ISBLANK(tbl_task10[[คะแนนเต็ม]:[คะแนนเต็ม]]),"",(tbl_task10[134]/tbl_task10[[คะแนนเต็ม]:[คะแนนเต็ม]])*tbl_task10[[%]:[%]])</f>
        <v/>
      </c>
      <c r="KS25" s="121" t="str">
        <f>IF(ISBLANK(tbl_task10[[คะแนนเต็ม]:[คะแนนเต็ม]]),"",(tbl_task10[135]/tbl_task10[[คะแนนเต็ม]:[คะแนนเต็ม]])*tbl_task10[[%]:[%]])</f>
        <v/>
      </c>
      <c r="KT25" s="121" t="str">
        <f>IF(ISBLANK(tbl_task10[[คะแนนเต็ม]:[คะแนนเต็ม]]),"",(tbl_task10[136]/tbl_task10[[คะแนนเต็ม]:[คะแนนเต็ม]])*tbl_task10[[%]:[%]])</f>
        <v/>
      </c>
      <c r="KU25" s="121" t="str">
        <f>IF(ISBLANK(tbl_task10[[คะแนนเต็ม]:[คะแนนเต็ม]]),"",(tbl_task10[137]/tbl_task10[[คะแนนเต็ม]:[คะแนนเต็ม]])*tbl_task10[[%]:[%]])</f>
        <v/>
      </c>
      <c r="KV25" s="121" t="str">
        <f>IF(ISBLANK(tbl_task10[[คะแนนเต็ม]:[คะแนนเต็ม]]),"",(tbl_task10[138]/tbl_task10[[คะแนนเต็ม]:[คะแนนเต็ม]])*tbl_task10[[%]:[%]])</f>
        <v/>
      </c>
      <c r="KW25" s="121" t="str">
        <f>IF(ISBLANK(tbl_task10[[คะแนนเต็ม]:[คะแนนเต็ม]]),"",(tbl_task10[139]/tbl_task10[[คะแนนเต็ม]:[คะแนนเต็ม]])*tbl_task10[[%]:[%]])</f>
        <v/>
      </c>
      <c r="KX25" s="121" t="str">
        <f>IF(ISBLANK(tbl_task10[[คะแนนเต็ม]:[คะแนนเต็ม]]),"",(tbl_task10[140]/tbl_task10[[คะแนนเต็ม]:[คะแนนเต็ม]])*tbl_task10[[%]:[%]])</f>
        <v/>
      </c>
      <c r="KY25" s="121" t="str">
        <f>IF(ISBLANK(tbl_task10[[คะแนนเต็ม]:[คะแนนเต็ม]]),"",(tbl_task10[141]/tbl_task10[[คะแนนเต็ม]:[คะแนนเต็ม]])*tbl_task10[[%]:[%]])</f>
        <v/>
      </c>
      <c r="KZ25" s="121" t="str">
        <f>IF(ISBLANK(tbl_task10[[คะแนนเต็ม]:[คะแนนเต็ม]]),"",(tbl_task10[142]/tbl_task10[[คะแนนเต็ม]:[คะแนนเต็ม]])*tbl_task10[[%]:[%]])</f>
        <v/>
      </c>
      <c r="LA25" s="121" t="str">
        <f>IF(ISBLANK(tbl_task10[[คะแนนเต็ม]:[คะแนนเต็ม]]),"",(tbl_task10[143]/tbl_task10[[คะแนนเต็ม]:[คะแนนเต็ม]])*tbl_task10[[%]:[%]])</f>
        <v/>
      </c>
      <c r="LB25" s="121" t="str">
        <f>IF(ISBLANK(tbl_task10[[คะแนนเต็ม]:[คะแนนเต็ม]]),"",(tbl_task10[144]/tbl_task10[[คะแนนเต็ม]:[คะแนนเต็ม]])*tbl_task10[[%]:[%]])</f>
        <v/>
      </c>
      <c r="LC25" s="121" t="str">
        <f>IF(ISBLANK(tbl_task10[[คะแนนเต็ม]:[คะแนนเต็ม]]),"",(tbl_task10[145]/tbl_task10[[คะแนนเต็ม]:[คะแนนเต็ม]])*tbl_task10[[%]:[%]])</f>
        <v/>
      </c>
      <c r="LD25" s="121" t="str">
        <f>IF(ISBLANK(tbl_task10[[คะแนนเต็ม]:[คะแนนเต็ม]]),"",(tbl_task10[146]/tbl_task10[[คะแนนเต็ม]:[คะแนนเต็ม]])*tbl_task10[[%]:[%]])</f>
        <v/>
      </c>
      <c r="LE25" s="121" t="str">
        <f>IF(ISBLANK(tbl_task10[[คะแนนเต็ม]:[คะแนนเต็ม]]),"",(tbl_task10[147]/tbl_task10[[คะแนนเต็ม]:[คะแนนเต็ม]])*tbl_task10[[%]:[%]])</f>
        <v/>
      </c>
      <c r="LF25" s="121" t="str">
        <f>IF(ISBLANK(tbl_task10[[คะแนนเต็ม]:[คะแนนเต็ม]]),"",(tbl_task10[148]/tbl_task10[[คะแนนเต็ม]:[คะแนนเต็ม]])*tbl_task10[[%]:[%]])</f>
        <v/>
      </c>
      <c r="LG25" s="121" t="str">
        <f>IF(ISBLANK(tbl_task10[[คะแนนเต็ม]:[คะแนนเต็ม]]),"",(tbl_task10[149]/tbl_task10[[คะแนนเต็ม]:[คะแนนเต็ม]])*tbl_task10[[%]:[%]])</f>
        <v/>
      </c>
      <c r="LH25" s="121" t="str">
        <f>IF(ISBLANK(tbl_task10[[คะแนนเต็ม]:[คะแนนเต็ม]]),"",(tbl_task10[150]/tbl_task10[[คะแนนเต็ม]:[คะแนนเต็ม]])*tbl_task10[[%]:[%]])</f>
        <v/>
      </c>
      <c r="LI25" s="121" t="str">
        <f>IF(ISBLANK(tbl_task10[[คะแนนเต็ม]:[คะแนนเต็ม]]),"",(tbl_task10[151]/tbl_task10[[คะแนนเต็ม]:[คะแนนเต็ม]])*tbl_task10[[%]:[%]])</f>
        <v/>
      </c>
      <c r="LJ25" s="121" t="str">
        <f>IF(ISBLANK(tbl_task10[[คะแนนเต็ม]:[คะแนนเต็ม]]),"",(tbl_task10[152]/tbl_task10[[คะแนนเต็ม]:[คะแนนเต็ม]])*tbl_task10[[%]:[%]])</f>
        <v/>
      </c>
      <c r="LK25" s="121" t="str">
        <f>IF(ISBLANK(tbl_task10[[คะแนนเต็ม]:[คะแนนเต็ม]]),"",(tbl_task10[153]/tbl_task10[[คะแนนเต็ม]:[คะแนนเต็ม]])*tbl_task10[[%]:[%]])</f>
        <v/>
      </c>
      <c r="LL25" s="121" t="str">
        <f>IF(ISBLANK(tbl_task10[[คะแนนเต็ม]:[คะแนนเต็ม]]),"",(tbl_task10[154]/tbl_task10[[คะแนนเต็ม]:[คะแนนเต็ม]])*tbl_task10[[%]:[%]])</f>
        <v/>
      </c>
      <c r="LM25" s="121" t="str">
        <f>IF(ISBLANK(tbl_task10[[คะแนนเต็ม]:[คะแนนเต็ม]]),"",(tbl_task10[155]/tbl_task10[[คะแนนเต็ม]:[คะแนนเต็ม]])*tbl_task10[[%]:[%]])</f>
        <v/>
      </c>
      <c r="LN25" s="121" t="str">
        <f>IF(ISBLANK(tbl_task10[[คะแนนเต็ม]:[คะแนนเต็ม]]),"",(tbl_task10[156]/tbl_task10[[คะแนนเต็ม]:[คะแนนเต็ม]])*tbl_task10[[%]:[%]])</f>
        <v/>
      </c>
      <c r="LO25" s="121" t="str">
        <f>IF(ISBLANK(tbl_task10[[คะแนนเต็ม]:[คะแนนเต็ม]]),"",(tbl_task10[157]/tbl_task10[[คะแนนเต็ม]:[คะแนนเต็ม]])*tbl_task10[[%]:[%]])</f>
        <v/>
      </c>
      <c r="LP25" s="121" t="str">
        <f>IF(ISBLANK(tbl_task10[[คะแนนเต็ม]:[คะแนนเต็ม]]),"",(tbl_task10[158]/tbl_task10[[คะแนนเต็ม]:[คะแนนเต็ม]])*tbl_task10[[%]:[%]])</f>
        <v/>
      </c>
      <c r="LQ25" s="121" t="str">
        <f>IF(ISBLANK(tbl_task10[[คะแนนเต็ม]:[คะแนนเต็ม]]),"",(tbl_task10[159]/tbl_task10[[คะแนนเต็ม]:[คะแนนเต็ม]])*tbl_task10[[%]:[%]])</f>
        <v/>
      </c>
      <c r="LR25" s="121" t="str">
        <f>IF(ISBLANK(tbl_task10[[คะแนนเต็ม]:[คะแนนเต็ม]]),"",(tbl_task10[160]/tbl_task10[[คะแนนเต็ม]:[คะแนนเต็ม]])*tbl_task10[[%]:[%]])</f>
        <v/>
      </c>
      <c r="LS25" s="121" t="str">
        <f>IF(ISBLANK(tbl_task10[[คะแนนเต็ม]:[คะแนนเต็ม]]),"",(tbl_task10[161]/tbl_task10[[คะแนนเต็ม]:[คะแนนเต็ม]])*tbl_task10[[%]:[%]])</f>
        <v/>
      </c>
      <c r="LT25" s="121" t="str">
        <f>IF(ISBLANK(tbl_task10[[คะแนนเต็ม]:[คะแนนเต็ม]]),"",(tbl_task10[162]/tbl_task10[[คะแนนเต็ม]:[คะแนนเต็ม]])*tbl_task10[[%]:[%]])</f>
        <v/>
      </c>
      <c r="LU25" s="121" t="str">
        <f>IF(ISBLANK(tbl_task10[[คะแนนเต็ม]:[คะแนนเต็ม]]),"",(tbl_task10[163]/tbl_task10[[คะแนนเต็ม]:[คะแนนเต็ม]])*tbl_task10[[%]:[%]])</f>
        <v/>
      </c>
      <c r="LV25" s="121" t="str">
        <f>IF(ISBLANK(tbl_task10[[คะแนนเต็ม]:[คะแนนเต็ม]]),"",(tbl_task10[164]/tbl_task10[[คะแนนเต็ม]:[คะแนนเต็ม]])*tbl_task10[[%]:[%]])</f>
        <v/>
      </c>
      <c r="LW25" s="121" t="str">
        <f>IF(ISBLANK(tbl_task10[[คะแนนเต็ม]:[คะแนนเต็ม]]),"",(tbl_task10[165]/tbl_task10[[คะแนนเต็ม]:[คะแนนเต็ม]])*tbl_task10[[%]:[%]])</f>
        <v/>
      </c>
    </row>
    <row r="26" spans="1:335" ht="24" customHeight="1" x14ac:dyDescent="0.25">
      <c r="A26" s="24">
        <v>23</v>
      </c>
      <c r="B26" s="20"/>
      <c r="C26" s="5" t="str">
        <f>IF(ISBLANK(B26),"",VLOOKUP(B26,tbl_PLOs[],2,0))</f>
        <v/>
      </c>
      <c r="D26" s="102"/>
      <c r="E26" s="106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21" t="str">
        <f>IF(ISBLANK(tbl_task10[[คะแนนเต็ม]:[คะแนนเต็ม]]),"",(tbl_task10[1]/tbl_task10[[คะแนนเต็ม]:[คะแนนเต็ม]])*tbl_task10[[%]:[%]])</f>
        <v/>
      </c>
      <c r="FP26" s="121" t="str">
        <f>IF(ISBLANK(tbl_task10[[คะแนนเต็ม]:[คะแนนเต็ม]]),"",(tbl_task10[2]/tbl_task10[[คะแนนเต็ม]:[คะแนนเต็ม]])*tbl_task10[[%]:[%]])</f>
        <v/>
      </c>
      <c r="FQ26" s="121" t="str">
        <f>IF(ISBLANK(tbl_task10[[คะแนนเต็ม]:[คะแนนเต็ม]]),"",(tbl_task10[3]/tbl_task10[[คะแนนเต็ม]:[คะแนนเต็ม]])*tbl_task10[[%]:[%]])</f>
        <v/>
      </c>
      <c r="FR26" s="121" t="str">
        <f>IF(ISBLANK(tbl_task10[[คะแนนเต็ม]:[คะแนนเต็ม]]),"",(tbl_task10[4]/tbl_task10[[คะแนนเต็ม]:[คะแนนเต็ม]])*tbl_task10[[%]:[%]])</f>
        <v/>
      </c>
      <c r="FS26" s="121" t="str">
        <f>IF(ISBLANK(tbl_task10[[คะแนนเต็ม]:[คะแนนเต็ม]]),"",(tbl_task10[5]/tbl_task10[[คะแนนเต็ม]:[คะแนนเต็ม]])*tbl_task10[[%]:[%]])</f>
        <v/>
      </c>
      <c r="FT26" s="121" t="str">
        <f>IF(ISBLANK(tbl_task10[[คะแนนเต็ม]:[คะแนนเต็ม]]),"",(tbl_task10[6]/tbl_task10[[คะแนนเต็ม]:[คะแนนเต็ม]])*tbl_task10[[%]:[%]])</f>
        <v/>
      </c>
      <c r="FU26" s="121" t="str">
        <f>IF(ISBLANK(tbl_task10[[คะแนนเต็ม]:[คะแนนเต็ม]]),"",(tbl_task10[7]/tbl_task10[[คะแนนเต็ม]:[คะแนนเต็ม]])*tbl_task10[[%]:[%]])</f>
        <v/>
      </c>
      <c r="FV26" s="121" t="str">
        <f>IF(ISBLANK(tbl_task10[[คะแนนเต็ม]:[คะแนนเต็ม]]),"",(tbl_task10[8]/tbl_task10[[คะแนนเต็ม]:[คะแนนเต็ม]])*tbl_task10[[%]:[%]])</f>
        <v/>
      </c>
      <c r="FW26" s="121" t="str">
        <f>IF(ISBLANK(tbl_task10[[คะแนนเต็ม]:[คะแนนเต็ม]]),"",(tbl_task10[9]/tbl_task10[[คะแนนเต็ม]:[คะแนนเต็ม]])*tbl_task10[[%]:[%]])</f>
        <v/>
      </c>
      <c r="FX26" s="121" t="str">
        <f>IF(ISBLANK(tbl_task10[[คะแนนเต็ม]:[คะแนนเต็ม]]),"",(tbl_task10[10]/tbl_task10[[คะแนนเต็ม]:[คะแนนเต็ม]])*tbl_task10[[%]:[%]])</f>
        <v/>
      </c>
      <c r="FY26" s="121" t="str">
        <f>IF(ISBLANK(tbl_task10[[คะแนนเต็ม]:[คะแนนเต็ม]]),"",(tbl_task10[11]/tbl_task10[[คะแนนเต็ม]:[คะแนนเต็ม]])*tbl_task10[[%]:[%]])</f>
        <v/>
      </c>
      <c r="FZ26" s="121" t="str">
        <f>IF(ISBLANK(tbl_task10[[คะแนนเต็ม]:[คะแนนเต็ม]]),"",(tbl_task10[12]/tbl_task10[[คะแนนเต็ม]:[คะแนนเต็ม]])*tbl_task10[[%]:[%]])</f>
        <v/>
      </c>
      <c r="GA26" s="121" t="str">
        <f>IF(ISBLANK(tbl_task10[[คะแนนเต็ม]:[คะแนนเต็ม]]),"",(tbl_task10[13]/tbl_task10[[คะแนนเต็ม]:[คะแนนเต็ม]])*tbl_task10[[%]:[%]])</f>
        <v/>
      </c>
      <c r="GB26" s="121" t="str">
        <f>IF(ISBLANK(tbl_task10[[คะแนนเต็ม]:[คะแนนเต็ม]]),"",(tbl_task10[14]/tbl_task10[[คะแนนเต็ม]:[คะแนนเต็ม]])*tbl_task10[[%]:[%]])</f>
        <v/>
      </c>
      <c r="GC26" s="121" t="str">
        <f>IF(ISBLANK(tbl_task10[[คะแนนเต็ม]:[คะแนนเต็ม]]),"",(tbl_task10[15]/tbl_task10[[คะแนนเต็ม]:[คะแนนเต็ม]])*tbl_task10[[%]:[%]])</f>
        <v/>
      </c>
      <c r="GD26" s="121" t="str">
        <f>IF(ISBLANK(tbl_task10[[คะแนนเต็ม]:[คะแนนเต็ม]]),"",(tbl_task10[16]/tbl_task10[[คะแนนเต็ม]:[คะแนนเต็ม]])*tbl_task10[[%]:[%]])</f>
        <v/>
      </c>
      <c r="GE26" s="121" t="str">
        <f>IF(ISBLANK(tbl_task10[[คะแนนเต็ม]:[คะแนนเต็ม]]),"",(tbl_task10[17]/tbl_task10[[คะแนนเต็ม]:[คะแนนเต็ม]])*tbl_task10[[%]:[%]])</f>
        <v/>
      </c>
      <c r="GF26" s="121" t="str">
        <f>IF(ISBLANK(tbl_task10[[คะแนนเต็ม]:[คะแนนเต็ม]]),"",(tbl_task10[18]/tbl_task10[[คะแนนเต็ม]:[คะแนนเต็ม]])*tbl_task10[[%]:[%]])</f>
        <v/>
      </c>
      <c r="GG26" s="121" t="str">
        <f>IF(ISBLANK(tbl_task10[[คะแนนเต็ม]:[คะแนนเต็ม]]),"",(tbl_task10[19]/tbl_task10[[คะแนนเต็ม]:[คะแนนเต็ม]])*tbl_task10[[%]:[%]])</f>
        <v/>
      </c>
      <c r="GH26" s="121" t="str">
        <f>IF(ISBLANK(tbl_task10[[คะแนนเต็ม]:[คะแนนเต็ม]]),"",(tbl_task10[20]/tbl_task10[[คะแนนเต็ม]:[คะแนนเต็ม]])*tbl_task10[[%]:[%]])</f>
        <v/>
      </c>
      <c r="GI26" s="121" t="str">
        <f>IF(ISBLANK(tbl_task10[[คะแนนเต็ม]:[คะแนนเต็ม]]),"",(tbl_task10[21]/tbl_task10[[คะแนนเต็ม]:[คะแนนเต็ม]])*tbl_task10[[%]:[%]])</f>
        <v/>
      </c>
      <c r="GJ26" s="121" t="str">
        <f>IF(ISBLANK(tbl_task10[[คะแนนเต็ม]:[คะแนนเต็ม]]),"",(tbl_task10[22]/tbl_task10[[คะแนนเต็ม]:[คะแนนเต็ม]])*tbl_task10[[%]:[%]])</f>
        <v/>
      </c>
      <c r="GK26" s="121" t="str">
        <f>IF(ISBLANK(tbl_task10[[คะแนนเต็ม]:[คะแนนเต็ม]]),"",(tbl_task10[23]/tbl_task10[[คะแนนเต็ม]:[คะแนนเต็ม]])*tbl_task10[[%]:[%]])</f>
        <v/>
      </c>
      <c r="GL26" s="121" t="str">
        <f>IF(ISBLANK(tbl_task10[[คะแนนเต็ม]:[คะแนนเต็ม]]),"",(tbl_task10[24]/tbl_task10[[คะแนนเต็ม]:[คะแนนเต็ม]])*tbl_task10[[%]:[%]])</f>
        <v/>
      </c>
      <c r="GM26" s="121" t="str">
        <f>IF(ISBLANK(tbl_task10[[คะแนนเต็ม]:[คะแนนเต็ม]]),"",(tbl_task10[25]/tbl_task10[[คะแนนเต็ม]:[คะแนนเต็ม]])*tbl_task10[[%]:[%]])</f>
        <v/>
      </c>
      <c r="GN26" s="121" t="str">
        <f>IF(ISBLANK(tbl_task10[[คะแนนเต็ม]:[คะแนนเต็ม]]),"",(tbl_task10[26]/tbl_task10[[คะแนนเต็ม]:[คะแนนเต็ม]])*tbl_task10[[%]:[%]])</f>
        <v/>
      </c>
      <c r="GO26" s="121" t="str">
        <f>IF(ISBLANK(tbl_task10[[คะแนนเต็ม]:[คะแนนเต็ม]]),"",(tbl_task10[27]/tbl_task10[[คะแนนเต็ม]:[คะแนนเต็ม]])*tbl_task10[[%]:[%]])</f>
        <v/>
      </c>
      <c r="GP26" s="121" t="str">
        <f>IF(ISBLANK(tbl_task10[[คะแนนเต็ม]:[คะแนนเต็ม]]),"",(tbl_task10[28]/tbl_task10[[คะแนนเต็ม]:[คะแนนเต็ม]])*tbl_task10[[%]:[%]])</f>
        <v/>
      </c>
      <c r="GQ26" s="121" t="str">
        <f>IF(ISBLANK(tbl_task10[[คะแนนเต็ม]:[คะแนนเต็ม]]),"",(tbl_task10[29]/tbl_task10[[คะแนนเต็ม]:[คะแนนเต็ม]])*tbl_task10[[%]:[%]])</f>
        <v/>
      </c>
      <c r="GR26" s="121" t="str">
        <f>IF(ISBLANK(tbl_task10[[คะแนนเต็ม]:[คะแนนเต็ม]]),"",(tbl_task10[30]/tbl_task10[[คะแนนเต็ม]:[คะแนนเต็ม]])*tbl_task10[[%]:[%]])</f>
        <v/>
      </c>
      <c r="GS26" s="121" t="str">
        <f>IF(ISBLANK(tbl_task10[[คะแนนเต็ม]:[คะแนนเต็ม]]),"",(tbl_task10[31]/tbl_task10[[คะแนนเต็ม]:[คะแนนเต็ม]])*tbl_task10[[%]:[%]])</f>
        <v/>
      </c>
      <c r="GT26" s="121" t="str">
        <f>IF(ISBLANK(tbl_task10[[คะแนนเต็ม]:[คะแนนเต็ม]]),"",(tbl_task10[32]/tbl_task10[[คะแนนเต็ม]:[คะแนนเต็ม]])*tbl_task10[[%]:[%]])</f>
        <v/>
      </c>
      <c r="GU26" s="121" t="str">
        <f>IF(ISBLANK(tbl_task10[[คะแนนเต็ม]:[คะแนนเต็ม]]),"",(tbl_task10[33]/tbl_task10[[คะแนนเต็ม]:[คะแนนเต็ม]])*tbl_task10[[%]:[%]])</f>
        <v/>
      </c>
      <c r="GV26" s="121" t="str">
        <f>IF(ISBLANK(tbl_task10[[คะแนนเต็ม]:[คะแนนเต็ม]]),"",(tbl_task10[34]/tbl_task10[[คะแนนเต็ม]:[คะแนนเต็ม]])*tbl_task10[[%]:[%]])</f>
        <v/>
      </c>
      <c r="GW26" s="121" t="str">
        <f>IF(ISBLANK(tbl_task10[[คะแนนเต็ม]:[คะแนนเต็ม]]),"",(tbl_task10[35]/tbl_task10[[คะแนนเต็ม]:[คะแนนเต็ม]])*tbl_task10[[%]:[%]])</f>
        <v/>
      </c>
      <c r="GX26" s="121" t="str">
        <f>IF(ISBLANK(tbl_task10[[คะแนนเต็ม]:[คะแนนเต็ม]]),"",(tbl_task10[36]/tbl_task10[[คะแนนเต็ม]:[คะแนนเต็ม]])*tbl_task10[[%]:[%]])</f>
        <v/>
      </c>
      <c r="GY26" s="121" t="str">
        <f>IF(ISBLANK(tbl_task10[[คะแนนเต็ม]:[คะแนนเต็ม]]),"",(tbl_task10[37]/tbl_task10[[คะแนนเต็ม]:[คะแนนเต็ม]])*tbl_task10[[%]:[%]])</f>
        <v/>
      </c>
      <c r="GZ26" s="121" t="str">
        <f>IF(ISBLANK(tbl_task10[[คะแนนเต็ม]:[คะแนนเต็ม]]),"",(tbl_task10[38]/tbl_task10[[คะแนนเต็ม]:[คะแนนเต็ม]])*tbl_task10[[%]:[%]])</f>
        <v/>
      </c>
      <c r="HA26" s="121" t="str">
        <f>IF(ISBLANK(tbl_task10[[คะแนนเต็ม]:[คะแนนเต็ม]]),"",(tbl_task10[39]/tbl_task10[[คะแนนเต็ม]:[คะแนนเต็ม]])*tbl_task10[[%]:[%]])</f>
        <v/>
      </c>
      <c r="HB26" s="121" t="str">
        <f>IF(ISBLANK(tbl_task10[[คะแนนเต็ม]:[คะแนนเต็ม]]),"",(tbl_task10[40]/tbl_task10[[คะแนนเต็ม]:[คะแนนเต็ม]])*tbl_task10[[%]:[%]])</f>
        <v/>
      </c>
      <c r="HC26" s="121" t="str">
        <f>IF(ISBLANK(tbl_task10[[คะแนนเต็ม]:[คะแนนเต็ม]]),"",(tbl_task10[41]/tbl_task10[[คะแนนเต็ม]:[คะแนนเต็ม]])*tbl_task10[[%]:[%]])</f>
        <v/>
      </c>
      <c r="HD26" s="121" t="str">
        <f>IF(ISBLANK(tbl_task10[[คะแนนเต็ม]:[คะแนนเต็ม]]),"",(tbl_task10[42]/tbl_task10[[คะแนนเต็ม]:[คะแนนเต็ม]])*tbl_task10[[%]:[%]])</f>
        <v/>
      </c>
      <c r="HE26" s="121" t="str">
        <f>IF(ISBLANK(tbl_task10[[คะแนนเต็ม]:[คะแนนเต็ม]]),"",(tbl_task10[43]/tbl_task10[[คะแนนเต็ม]:[คะแนนเต็ม]])*tbl_task10[[%]:[%]])</f>
        <v/>
      </c>
      <c r="HF26" s="121" t="str">
        <f>IF(ISBLANK(tbl_task10[[คะแนนเต็ม]:[คะแนนเต็ม]]),"",(tbl_task10[44]/tbl_task10[[คะแนนเต็ม]:[คะแนนเต็ม]])*tbl_task10[[%]:[%]])</f>
        <v/>
      </c>
      <c r="HG26" s="121" t="str">
        <f>IF(ISBLANK(tbl_task10[[คะแนนเต็ม]:[คะแนนเต็ม]]),"",(tbl_task10[45]/tbl_task10[[คะแนนเต็ม]:[คะแนนเต็ม]])*tbl_task10[[%]:[%]])</f>
        <v/>
      </c>
      <c r="HH26" s="121" t="str">
        <f>IF(ISBLANK(tbl_task10[[คะแนนเต็ม]:[คะแนนเต็ม]]),"",(tbl_task10[46]/tbl_task10[[คะแนนเต็ม]:[คะแนนเต็ม]])*tbl_task10[[%]:[%]])</f>
        <v/>
      </c>
      <c r="HI26" s="121" t="str">
        <f>IF(ISBLANK(tbl_task10[[คะแนนเต็ม]:[คะแนนเต็ม]]),"",(tbl_task10[47]/tbl_task10[[คะแนนเต็ม]:[คะแนนเต็ม]])*tbl_task10[[%]:[%]])</f>
        <v/>
      </c>
      <c r="HJ26" s="121" t="str">
        <f>IF(ISBLANK(tbl_task10[[คะแนนเต็ม]:[คะแนนเต็ม]]),"",(tbl_task10[48]/tbl_task10[[คะแนนเต็ม]:[คะแนนเต็ม]])*tbl_task10[[%]:[%]])</f>
        <v/>
      </c>
      <c r="HK26" s="121" t="str">
        <f>IF(ISBLANK(tbl_task10[[คะแนนเต็ม]:[คะแนนเต็ม]]),"",(tbl_task10[49]/tbl_task10[[คะแนนเต็ม]:[คะแนนเต็ม]])*tbl_task10[[%]:[%]])</f>
        <v/>
      </c>
      <c r="HL26" s="121" t="str">
        <f>IF(ISBLANK(tbl_task10[[คะแนนเต็ม]:[คะแนนเต็ม]]),"",(tbl_task10[50]/tbl_task10[[คะแนนเต็ม]:[คะแนนเต็ม]])*tbl_task10[[%]:[%]])</f>
        <v/>
      </c>
      <c r="HM26" s="121" t="str">
        <f>IF(ISBLANK(tbl_task10[[คะแนนเต็ม]:[คะแนนเต็ม]]),"",(tbl_task10[51]/tbl_task10[[คะแนนเต็ม]:[คะแนนเต็ม]])*tbl_task10[[%]:[%]])</f>
        <v/>
      </c>
      <c r="HN26" s="121" t="str">
        <f>IF(ISBLANK(tbl_task10[[คะแนนเต็ม]:[คะแนนเต็ม]]),"",(tbl_task10[52]/tbl_task10[[คะแนนเต็ม]:[คะแนนเต็ม]])*tbl_task10[[%]:[%]])</f>
        <v/>
      </c>
      <c r="HO26" s="121" t="str">
        <f>IF(ISBLANK(tbl_task10[[คะแนนเต็ม]:[คะแนนเต็ม]]),"",(tbl_task10[53]/tbl_task10[[คะแนนเต็ม]:[คะแนนเต็ม]])*tbl_task10[[%]:[%]])</f>
        <v/>
      </c>
      <c r="HP26" s="121" t="str">
        <f>IF(ISBLANK(tbl_task10[[คะแนนเต็ม]:[คะแนนเต็ม]]),"",(tbl_task10[54]/tbl_task10[[คะแนนเต็ม]:[คะแนนเต็ม]])*tbl_task10[[%]:[%]])</f>
        <v/>
      </c>
      <c r="HQ26" s="121" t="str">
        <f>IF(ISBLANK(tbl_task10[[คะแนนเต็ม]:[คะแนนเต็ม]]),"",(tbl_task10[55]/tbl_task10[[คะแนนเต็ม]:[คะแนนเต็ม]])*tbl_task10[[%]:[%]])</f>
        <v/>
      </c>
      <c r="HR26" s="121" t="str">
        <f>IF(ISBLANK(tbl_task10[[คะแนนเต็ม]:[คะแนนเต็ม]]),"",(tbl_task10[56]/tbl_task10[[คะแนนเต็ม]:[คะแนนเต็ม]])*tbl_task10[[%]:[%]])</f>
        <v/>
      </c>
      <c r="HS26" s="121" t="str">
        <f>IF(ISBLANK(tbl_task10[[คะแนนเต็ม]:[คะแนนเต็ม]]),"",(tbl_task10[57]/tbl_task10[[คะแนนเต็ม]:[คะแนนเต็ม]])*tbl_task10[[%]:[%]])</f>
        <v/>
      </c>
      <c r="HT26" s="121" t="str">
        <f>IF(ISBLANK(tbl_task10[[คะแนนเต็ม]:[คะแนนเต็ม]]),"",(tbl_task10[58]/tbl_task10[[คะแนนเต็ม]:[คะแนนเต็ม]])*tbl_task10[[%]:[%]])</f>
        <v/>
      </c>
      <c r="HU26" s="121" t="str">
        <f>IF(ISBLANK(tbl_task10[[คะแนนเต็ม]:[คะแนนเต็ม]]),"",(tbl_task10[59]/tbl_task10[[คะแนนเต็ม]:[คะแนนเต็ม]])*tbl_task10[[%]:[%]])</f>
        <v/>
      </c>
      <c r="HV26" s="121" t="str">
        <f>IF(ISBLANK(tbl_task10[[คะแนนเต็ม]:[คะแนนเต็ม]]),"",(tbl_task10[60]/tbl_task10[[คะแนนเต็ม]:[คะแนนเต็ม]])*tbl_task10[[%]:[%]])</f>
        <v/>
      </c>
      <c r="HW26" s="121" t="str">
        <f>IF(ISBLANK(tbl_task10[[คะแนนเต็ม]:[คะแนนเต็ม]]),"",(tbl_task10[61]/tbl_task10[[คะแนนเต็ม]:[คะแนนเต็ม]])*tbl_task10[[%]:[%]])</f>
        <v/>
      </c>
      <c r="HX26" s="121" t="str">
        <f>IF(ISBLANK(tbl_task10[[คะแนนเต็ม]:[คะแนนเต็ม]]),"",(tbl_task10[62]/tbl_task10[[คะแนนเต็ม]:[คะแนนเต็ม]])*tbl_task10[[%]:[%]])</f>
        <v/>
      </c>
      <c r="HY26" s="121" t="str">
        <f>IF(ISBLANK(tbl_task10[[คะแนนเต็ม]:[คะแนนเต็ม]]),"",(tbl_task10[63]/tbl_task10[[คะแนนเต็ม]:[คะแนนเต็ม]])*tbl_task10[[%]:[%]])</f>
        <v/>
      </c>
      <c r="HZ26" s="121" t="str">
        <f>IF(ISBLANK(tbl_task10[[คะแนนเต็ม]:[คะแนนเต็ม]]),"",(tbl_task10[64]/tbl_task10[[คะแนนเต็ม]:[คะแนนเต็ม]])*tbl_task10[[%]:[%]])</f>
        <v/>
      </c>
      <c r="IA26" s="121" t="str">
        <f>IF(ISBLANK(tbl_task10[[คะแนนเต็ม]:[คะแนนเต็ม]]),"",(tbl_task10[65]/tbl_task10[[คะแนนเต็ม]:[คะแนนเต็ม]])*tbl_task10[[%]:[%]])</f>
        <v/>
      </c>
      <c r="IB26" s="121" t="str">
        <f>IF(ISBLANK(tbl_task10[[คะแนนเต็ม]:[คะแนนเต็ม]]),"",(tbl_task10[66]/tbl_task10[[คะแนนเต็ม]:[คะแนนเต็ม]])*tbl_task10[[%]:[%]])</f>
        <v/>
      </c>
      <c r="IC26" s="121" t="str">
        <f>IF(ISBLANK(tbl_task10[[คะแนนเต็ม]:[คะแนนเต็ม]]),"",(tbl_task10[67]/tbl_task10[[คะแนนเต็ม]:[คะแนนเต็ม]])*tbl_task10[[%]:[%]])</f>
        <v/>
      </c>
      <c r="ID26" s="121" t="str">
        <f>IF(ISBLANK(tbl_task10[[คะแนนเต็ม]:[คะแนนเต็ม]]),"",(tbl_task10[68]/tbl_task10[[คะแนนเต็ม]:[คะแนนเต็ม]])*tbl_task10[[%]:[%]])</f>
        <v/>
      </c>
      <c r="IE26" s="121" t="str">
        <f>IF(ISBLANK(tbl_task10[[คะแนนเต็ม]:[คะแนนเต็ม]]),"",(tbl_task10[69]/tbl_task10[[คะแนนเต็ม]:[คะแนนเต็ม]])*tbl_task10[[%]:[%]])</f>
        <v/>
      </c>
      <c r="IF26" s="121" t="str">
        <f>IF(ISBLANK(tbl_task10[[คะแนนเต็ม]:[คะแนนเต็ม]]),"",(tbl_task10[70]/tbl_task10[[คะแนนเต็ม]:[คะแนนเต็ม]])*tbl_task10[[%]:[%]])</f>
        <v/>
      </c>
      <c r="IG26" s="121" t="str">
        <f>IF(ISBLANK(tbl_task10[[คะแนนเต็ม]:[คะแนนเต็ม]]),"",(tbl_task10[71]/tbl_task10[[คะแนนเต็ม]:[คะแนนเต็ม]])*tbl_task10[[%]:[%]])</f>
        <v/>
      </c>
      <c r="IH26" s="121" t="str">
        <f>IF(ISBLANK(tbl_task10[[คะแนนเต็ม]:[คะแนนเต็ม]]),"",(tbl_task10[72]/tbl_task10[[คะแนนเต็ม]:[คะแนนเต็ม]])*tbl_task10[[%]:[%]])</f>
        <v/>
      </c>
      <c r="II26" s="121" t="str">
        <f>IF(ISBLANK(tbl_task10[[คะแนนเต็ม]:[คะแนนเต็ม]]),"",(tbl_task10[73]/tbl_task10[[คะแนนเต็ม]:[คะแนนเต็ม]])*tbl_task10[[%]:[%]])</f>
        <v/>
      </c>
      <c r="IJ26" s="121" t="str">
        <f>IF(ISBLANK(tbl_task10[[คะแนนเต็ม]:[คะแนนเต็ม]]),"",(tbl_task10[74]/tbl_task10[[คะแนนเต็ม]:[คะแนนเต็ม]])*tbl_task10[[%]:[%]])</f>
        <v/>
      </c>
      <c r="IK26" s="121" t="str">
        <f>IF(ISBLANK(tbl_task10[[คะแนนเต็ม]:[คะแนนเต็ม]]),"",(tbl_task10[75]/tbl_task10[[คะแนนเต็ม]:[คะแนนเต็ม]])*tbl_task10[[%]:[%]])</f>
        <v/>
      </c>
      <c r="IL26" s="121" t="str">
        <f>IF(ISBLANK(tbl_task10[[คะแนนเต็ม]:[คะแนนเต็ม]]),"",(tbl_task10[76]/tbl_task10[[คะแนนเต็ม]:[คะแนนเต็ม]])*tbl_task10[[%]:[%]])</f>
        <v/>
      </c>
      <c r="IM26" s="121" t="str">
        <f>IF(ISBLANK(tbl_task10[[คะแนนเต็ม]:[คะแนนเต็ม]]),"",(tbl_task10[77]/tbl_task10[[คะแนนเต็ม]:[คะแนนเต็ม]])*tbl_task10[[%]:[%]])</f>
        <v/>
      </c>
      <c r="IN26" s="121" t="str">
        <f>IF(ISBLANK(tbl_task10[[คะแนนเต็ม]:[คะแนนเต็ม]]),"",(tbl_task10[78]/tbl_task10[[คะแนนเต็ม]:[คะแนนเต็ม]])*tbl_task10[[%]:[%]])</f>
        <v/>
      </c>
      <c r="IO26" s="121" t="str">
        <f>IF(ISBLANK(tbl_task10[[คะแนนเต็ม]:[คะแนนเต็ม]]),"",(tbl_task10[79]/tbl_task10[[คะแนนเต็ม]:[คะแนนเต็ม]])*tbl_task10[[%]:[%]])</f>
        <v/>
      </c>
      <c r="IP26" s="121" t="str">
        <f>IF(ISBLANK(tbl_task10[[คะแนนเต็ม]:[คะแนนเต็ม]]),"",(tbl_task10[80]/tbl_task10[[คะแนนเต็ม]:[คะแนนเต็ม]])*tbl_task10[[%]:[%]])</f>
        <v/>
      </c>
      <c r="IQ26" s="121" t="str">
        <f>IF(ISBLANK(tbl_task10[[คะแนนเต็ม]:[คะแนนเต็ม]]),"",(tbl_task10[81]/tbl_task10[[คะแนนเต็ม]:[คะแนนเต็ม]])*tbl_task10[[%]:[%]])</f>
        <v/>
      </c>
      <c r="IR26" s="121" t="str">
        <f>IF(ISBLANK(tbl_task10[[คะแนนเต็ม]:[คะแนนเต็ม]]),"",(tbl_task10[82]/tbl_task10[[คะแนนเต็ม]:[คะแนนเต็ม]])*tbl_task10[[%]:[%]])</f>
        <v/>
      </c>
      <c r="IS26" s="121" t="str">
        <f>IF(ISBLANK(tbl_task10[[คะแนนเต็ม]:[คะแนนเต็ม]]),"",(tbl_task10[83]/tbl_task10[[คะแนนเต็ม]:[คะแนนเต็ม]])*tbl_task10[[%]:[%]])</f>
        <v/>
      </c>
      <c r="IT26" s="121" t="str">
        <f>IF(ISBLANK(tbl_task10[[คะแนนเต็ม]:[คะแนนเต็ม]]),"",(tbl_task10[84]/tbl_task10[[คะแนนเต็ม]:[คะแนนเต็ม]])*tbl_task10[[%]:[%]])</f>
        <v/>
      </c>
      <c r="IU26" s="121" t="str">
        <f>IF(ISBLANK(tbl_task10[[คะแนนเต็ม]:[คะแนนเต็ม]]),"",(tbl_task10[85]/tbl_task10[[คะแนนเต็ม]:[คะแนนเต็ม]])*tbl_task10[[%]:[%]])</f>
        <v/>
      </c>
      <c r="IV26" s="121" t="str">
        <f>IF(ISBLANK(tbl_task10[[คะแนนเต็ม]:[คะแนนเต็ม]]),"",(tbl_task10[86]/tbl_task10[[คะแนนเต็ม]:[คะแนนเต็ม]])*tbl_task10[[%]:[%]])</f>
        <v/>
      </c>
      <c r="IW26" s="121" t="str">
        <f>IF(ISBLANK(tbl_task10[[คะแนนเต็ม]:[คะแนนเต็ม]]),"",(tbl_task10[87]/tbl_task10[[คะแนนเต็ม]:[คะแนนเต็ม]])*tbl_task10[[%]:[%]])</f>
        <v/>
      </c>
      <c r="IX26" s="121" t="str">
        <f>IF(ISBLANK(tbl_task10[[คะแนนเต็ม]:[คะแนนเต็ม]]),"",(tbl_task10[88]/tbl_task10[[คะแนนเต็ม]:[คะแนนเต็ม]])*tbl_task10[[%]:[%]])</f>
        <v/>
      </c>
      <c r="IY26" s="121" t="str">
        <f>IF(ISBLANK(tbl_task10[[คะแนนเต็ม]:[คะแนนเต็ม]]),"",(tbl_task10[89]/tbl_task10[[คะแนนเต็ม]:[คะแนนเต็ม]])*tbl_task10[[%]:[%]])</f>
        <v/>
      </c>
      <c r="IZ26" s="121" t="str">
        <f>IF(ISBLANK(tbl_task10[[คะแนนเต็ม]:[คะแนนเต็ม]]),"",(tbl_task10[90]/tbl_task10[[คะแนนเต็ม]:[คะแนนเต็ม]])*tbl_task10[[%]:[%]])</f>
        <v/>
      </c>
      <c r="JA26" s="121" t="str">
        <f>IF(ISBLANK(tbl_task10[[คะแนนเต็ม]:[คะแนนเต็ม]]),"",(tbl_task10[91]/tbl_task10[[คะแนนเต็ม]:[คะแนนเต็ม]])*tbl_task10[[%]:[%]])</f>
        <v/>
      </c>
      <c r="JB26" s="121" t="str">
        <f>IF(ISBLANK(tbl_task10[[คะแนนเต็ม]:[คะแนนเต็ม]]),"",(tbl_task10[92]/tbl_task10[[คะแนนเต็ม]:[คะแนนเต็ม]])*tbl_task10[[%]:[%]])</f>
        <v/>
      </c>
      <c r="JC26" s="121" t="str">
        <f>IF(ISBLANK(tbl_task10[[คะแนนเต็ม]:[คะแนนเต็ม]]),"",(tbl_task10[93]/tbl_task10[[คะแนนเต็ม]:[คะแนนเต็ม]])*tbl_task10[[%]:[%]])</f>
        <v/>
      </c>
      <c r="JD26" s="121" t="str">
        <f>IF(ISBLANK(tbl_task10[[คะแนนเต็ม]:[คะแนนเต็ม]]),"",(tbl_task10[94]/tbl_task10[[คะแนนเต็ม]:[คะแนนเต็ม]])*tbl_task10[[%]:[%]])</f>
        <v/>
      </c>
      <c r="JE26" s="121" t="str">
        <f>IF(ISBLANK(tbl_task10[[คะแนนเต็ม]:[คะแนนเต็ม]]),"",(tbl_task10[95]/tbl_task10[[คะแนนเต็ม]:[คะแนนเต็ม]])*tbl_task10[[%]:[%]])</f>
        <v/>
      </c>
      <c r="JF26" s="121" t="str">
        <f>IF(ISBLANK(tbl_task10[[คะแนนเต็ม]:[คะแนนเต็ม]]),"",(tbl_task10[96]/tbl_task10[[คะแนนเต็ม]:[คะแนนเต็ม]])*tbl_task10[[%]:[%]])</f>
        <v/>
      </c>
      <c r="JG26" s="121" t="str">
        <f>IF(ISBLANK(tbl_task10[[คะแนนเต็ม]:[คะแนนเต็ม]]),"",(tbl_task10[97]/tbl_task10[[คะแนนเต็ม]:[คะแนนเต็ม]])*tbl_task10[[%]:[%]])</f>
        <v/>
      </c>
      <c r="JH26" s="121" t="str">
        <f>IF(ISBLANK(tbl_task10[[คะแนนเต็ม]:[คะแนนเต็ม]]),"",(tbl_task10[98]/tbl_task10[[คะแนนเต็ม]:[คะแนนเต็ม]])*tbl_task10[[%]:[%]])</f>
        <v/>
      </c>
      <c r="JI26" s="121" t="str">
        <f>IF(ISBLANK(tbl_task10[[คะแนนเต็ม]:[คะแนนเต็ม]]),"",(tbl_task10[99]/tbl_task10[[คะแนนเต็ม]:[คะแนนเต็ม]])*tbl_task10[[%]:[%]])</f>
        <v/>
      </c>
      <c r="JJ26" s="121" t="str">
        <f>IF(ISBLANK(tbl_task10[[คะแนนเต็ม]:[คะแนนเต็ม]]),"",(tbl_task10[100]/tbl_task10[[คะแนนเต็ม]:[คะแนนเต็ม]])*tbl_task10[[%]:[%]])</f>
        <v/>
      </c>
      <c r="JK26" s="121" t="str">
        <f>IF(ISBLANK(tbl_task10[[คะแนนเต็ม]:[คะแนนเต็ม]]),"",(tbl_task10[101]/tbl_task10[[คะแนนเต็ม]:[คะแนนเต็ม]])*tbl_task10[[%]:[%]])</f>
        <v/>
      </c>
      <c r="JL26" s="121" t="str">
        <f>IF(ISBLANK(tbl_task10[[คะแนนเต็ม]:[คะแนนเต็ม]]),"",(tbl_task10[102]/tbl_task10[[คะแนนเต็ม]:[คะแนนเต็ม]])*tbl_task10[[%]:[%]])</f>
        <v/>
      </c>
      <c r="JM26" s="121" t="str">
        <f>IF(ISBLANK(tbl_task10[[คะแนนเต็ม]:[คะแนนเต็ม]]),"",(tbl_task10[103]/tbl_task10[[คะแนนเต็ม]:[คะแนนเต็ม]])*tbl_task10[[%]:[%]])</f>
        <v/>
      </c>
      <c r="JN26" s="121" t="str">
        <f>IF(ISBLANK(tbl_task10[[คะแนนเต็ม]:[คะแนนเต็ม]]),"",(tbl_task10[104]/tbl_task10[[คะแนนเต็ม]:[คะแนนเต็ม]])*tbl_task10[[%]:[%]])</f>
        <v/>
      </c>
      <c r="JO26" s="121" t="str">
        <f>IF(ISBLANK(tbl_task10[[คะแนนเต็ม]:[คะแนนเต็ม]]),"",(tbl_task10[105]/tbl_task10[[คะแนนเต็ม]:[คะแนนเต็ม]])*tbl_task10[[%]:[%]])</f>
        <v/>
      </c>
      <c r="JP26" s="121" t="str">
        <f>IF(ISBLANK(tbl_task10[[คะแนนเต็ม]:[คะแนนเต็ม]]),"",(tbl_task10[106]/tbl_task10[[คะแนนเต็ม]:[คะแนนเต็ม]])*tbl_task10[[%]:[%]])</f>
        <v/>
      </c>
      <c r="JQ26" s="121" t="str">
        <f>IF(ISBLANK(tbl_task10[[คะแนนเต็ม]:[คะแนนเต็ม]]),"",(tbl_task10[107]/tbl_task10[[คะแนนเต็ม]:[คะแนนเต็ม]])*tbl_task10[[%]:[%]])</f>
        <v/>
      </c>
      <c r="JR26" s="121" t="str">
        <f>IF(ISBLANK(tbl_task10[[คะแนนเต็ม]:[คะแนนเต็ม]]),"",(tbl_task10[108]/tbl_task10[[คะแนนเต็ม]:[คะแนนเต็ม]])*tbl_task10[[%]:[%]])</f>
        <v/>
      </c>
      <c r="JS26" s="121" t="str">
        <f>IF(ISBLANK(tbl_task10[[คะแนนเต็ม]:[คะแนนเต็ม]]),"",(tbl_task10[109]/tbl_task10[[คะแนนเต็ม]:[คะแนนเต็ม]])*tbl_task10[[%]:[%]])</f>
        <v/>
      </c>
      <c r="JT26" s="121" t="str">
        <f>IF(ISBLANK(tbl_task10[[คะแนนเต็ม]:[คะแนนเต็ม]]),"",(tbl_task10[110]/tbl_task10[[คะแนนเต็ม]:[คะแนนเต็ม]])*tbl_task10[[%]:[%]])</f>
        <v/>
      </c>
      <c r="JU26" s="121" t="str">
        <f>IF(ISBLANK(tbl_task10[[คะแนนเต็ม]:[คะแนนเต็ม]]),"",(tbl_task10[111]/tbl_task10[[คะแนนเต็ม]:[คะแนนเต็ม]])*tbl_task10[[%]:[%]])</f>
        <v/>
      </c>
      <c r="JV26" s="121" t="str">
        <f>IF(ISBLANK(tbl_task10[[คะแนนเต็ม]:[คะแนนเต็ม]]),"",(tbl_task10[112]/tbl_task10[[คะแนนเต็ม]:[คะแนนเต็ม]])*tbl_task10[[%]:[%]])</f>
        <v/>
      </c>
      <c r="JW26" s="121" t="str">
        <f>IF(ISBLANK(tbl_task10[[คะแนนเต็ม]:[คะแนนเต็ม]]),"",(tbl_task10[113]/tbl_task10[[คะแนนเต็ม]:[คะแนนเต็ม]])*tbl_task10[[%]:[%]])</f>
        <v/>
      </c>
      <c r="JX26" s="121" t="str">
        <f>IF(ISBLANK(tbl_task10[[คะแนนเต็ม]:[คะแนนเต็ม]]),"",(tbl_task10[114]/tbl_task10[[คะแนนเต็ม]:[คะแนนเต็ม]])*tbl_task10[[%]:[%]])</f>
        <v/>
      </c>
      <c r="JY26" s="121" t="str">
        <f>IF(ISBLANK(tbl_task10[[คะแนนเต็ม]:[คะแนนเต็ม]]),"",(tbl_task10[115]/tbl_task10[[คะแนนเต็ม]:[คะแนนเต็ม]])*tbl_task10[[%]:[%]])</f>
        <v/>
      </c>
      <c r="JZ26" s="121" t="str">
        <f>IF(ISBLANK(tbl_task10[[คะแนนเต็ม]:[คะแนนเต็ม]]),"",(tbl_task10[116]/tbl_task10[[คะแนนเต็ม]:[คะแนนเต็ม]])*tbl_task10[[%]:[%]])</f>
        <v/>
      </c>
      <c r="KA26" s="121" t="str">
        <f>IF(ISBLANK(tbl_task10[[คะแนนเต็ม]:[คะแนนเต็ม]]),"",(tbl_task10[117]/tbl_task10[[คะแนนเต็ม]:[คะแนนเต็ม]])*tbl_task10[[%]:[%]])</f>
        <v/>
      </c>
      <c r="KB26" s="121" t="str">
        <f>IF(ISBLANK(tbl_task10[[คะแนนเต็ม]:[คะแนนเต็ม]]),"",(tbl_task10[118]/tbl_task10[[คะแนนเต็ม]:[คะแนนเต็ม]])*tbl_task10[[%]:[%]])</f>
        <v/>
      </c>
      <c r="KC26" s="121" t="str">
        <f>IF(ISBLANK(tbl_task10[[คะแนนเต็ม]:[คะแนนเต็ม]]),"",(tbl_task10[119]/tbl_task10[[คะแนนเต็ม]:[คะแนนเต็ม]])*tbl_task10[[%]:[%]])</f>
        <v/>
      </c>
      <c r="KD26" s="121" t="str">
        <f>IF(ISBLANK(tbl_task10[[คะแนนเต็ม]:[คะแนนเต็ม]]),"",(tbl_task10[120]/tbl_task10[[คะแนนเต็ม]:[คะแนนเต็ม]])*tbl_task10[[%]:[%]])</f>
        <v/>
      </c>
      <c r="KE26" s="121" t="str">
        <f>IF(ISBLANK(tbl_task10[[คะแนนเต็ม]:[คะแนนเต็ม]]),"",(tbl_task10[121]/tbl_task10[[คะแนนเต็ม]:[คะแนนเต็ม]])*tbl_task10[[%]:[%]])</f>
        <v/>
      </c>
      <c r="KF26" s="121" t="str">
        <f>IF(ISBLANK(tbl_task10[[คะแนนเต็ม]:[คะแนนเต็ม]]),"",(tbl_task10[122]/tbl_task10[[คะแนนเต็ม]:[คะแนนเต็ม]])*tbl_task10[[%]:[%]])</f>
        <v/>
      </c>
      <c r="KG26" s="121" t="str">
        <f>IF(ISBLANK(tbl_task10[[คะแนนเต็ม]:[คะแนนเต็ม]]),"",(tbl_task10[123]/tbl_task10[[คะแนนเต็ม]:[คะแนนเต็ม]])*tbl_task10[[%]:[%]])</f>
        <v/>
      </c>
      <c r="KH26" s="121" t="str">
        <f>IF(ISBLANK(tbl_task10[[คะแนนเต็ม]:[คะแนนเต็ม]]),"",(tbl_task10[124]/tbl_task10[[คะแนนเต็ม]:[คะแนนเต็ม]])*tbl_task10[[%]:[%]])</f>
        <v/>
      </c>
      <c r="KI26" s="121" t="str">
        <f>IF(ISBLANK(tbl_task10[[คะแนนเต็ม]:[คะแนนเต็ม]]),"",(tbl_task10[125]/tbl_task10[[คะแนนเต็ม]:[คะแนนเต็ม]])*tbl_task10[[%]:[%]])</f>
        <v/>
      </c>
      <c r="KJ26" s="121" t="str">
        <f>IF(ISBLANK(tbl_task10[[คะแนนเต็ม]:[คะแนนเต็ม]]),"",(tbl_task10[126]/tbl_task10[[คะแนนเต็ม]:[คะแนนเต็ม]])*tbl_task10[[%]:[%]])</f>
        <v/>
      </c>
      <c r="KK26" s="121" t="str">
        <f>IF(ISBLANK(tbl_task10[[คะแนนเต็ม]:[คะแนนเต็ม]]),"",(tbl_task10[127]/tbl_task10[[คะแนนเต็ม]:[คะแนนเต็ม]])*tbl_task10[[%]:[%]])</f>
        <v/>
      </c>
      <c r="KL26" s="121" t="str">
        <f>IF(ISBLANK(tbl_task10[[คะแนนเต็ม]:[คะแนนเต็ม]]),"",(tbl_task10[128]/tbl_task10[[คะแนนเต็ม]:[คะแนนเต็ม]])*tbl_task10[[%]:[%]])</f>
        <v/>
      </c>
      <c r="KM26" s="121" t="str">
        <f>IF(ISBLANK(tbl_task10[[คะแนนเต็ม]:[คะแนนเต็ม]]),"",(tbl_task10[129]/tbl_task10[[คะแนนเต็ม]:[คะแนนเต็ม]])*tbl_task10[[%]:[%]])</f>
        <v/>
      </c>
      <c r="KN26" s="121" t="str">
        <f>IF(ISBLANK(tbl_task10[[คะแนนเต็ม]:[คะแนนเต็ม]]),"",(tbl_task10[130]/tbl_task10[[คะแนนเต็ม]:[คะแนนเต็ม]])*tbl_task10[[%]:[%]])</f>
        <v/>
      </c>
      <c r="KO26" s="121" t="str">
        <f>IF(ISBLANK(tbl_task10[[คะแนนเต็ม]:[คะแนนเต็ม]]),"",(tbl_task10[131]/tbl_task10[[คะแนนเต็ม]:[คะแนนเต็ม]])*tbl_task10[[%]:[%]])</f>
        <v/>
      </c>
      <c r="KP26" s="121" t="str">
        <f>IF(ISBLANK(tbl_task10[[คะแนนเต็ม]:[คะแนนเต็ม]]),"",(tbl_task10[132]/tbl_task10[[คะแนนเต็ม]:[คะแนนเต็ม]])*tbl_task10[[%]:[%]])</f>
        <v/>
      </c>
      <c r="KQ26" s="121" t="str">
        <f>IF(ISBLANK(tbl_task10[[คะแนนเต็ม]:[คะแนนเต็ม]]),"",(tbl_task10[133]/tbl_task10[[คะแนนเต็ม]:[คะแนนเต็ม]])*tbl_task10[[%]:[%]])</f>
        <v/>
      </c>
      <c r="KR26" s="121" t="str">
        <f>IF(ISBLANK(tbl_task10[[คะแนนเต็ม]:[คะแนนเต็ม]]),"",(tbl_task10[134]/tbl_task10[[คะแนนเต็ม]:[คะแนนเต็ม]])*tbl_task10[[%]:[%]])</f>
        <v/>
      </c>
      <c r="KS26" s="121" t="str">
        <f>IF(ISBLANK(tbl_task10[[คะแนนเต็ม]:[คะแนนเต็ม]]),"",(tbl_task10[135]/tbl_task10[[คะแนนเต็ม]:[คะแนนเต็ม]])*tbl_task10[[%]:[%]])</f>
        <v/>
      </c>
      <c r="KT26" s="121" t="str">
        <f>IF(ISBLANK(tbl_task10[[คะแนนเต็ม]:[คะแนนเต็ม]]),"",(tbl_task10[136]/tbl_task10[[คะแนนเต็ม]:[คะแนนเต็ม]])*tbl_task10[[%]:[%]])</f>
        <v/>
      </c>
      <c r="KU26" s="121" t="str">
        <f>IF(ISBLANK(tbl_task10[[คะแนนเต็ม]:[คะแนนเต็ม]]),"",(tbl_task10[137]/tbl_task10[[คะแนนเต็ม]:[คะแนนเต็ม]])*tbl_task10[[%]:[%]])</f>
        <v/>
      </c>
      <c r="KV26" s="121" t="str">
        <f>IF(ISBLANK(tbl_task10[[คะแนนเต็ม]:[คะแนนเต็ม]]),"",(tbl_task10[138]/tbl_task10[[คะแนนเต็ม]:[คะแนนเต็ม]])*tbl_task10[[%]:[%]])</f>
        <v/>
      </c>
      <c r="KW26" s="121" t="str">
        <f>IF(ISBLANK(tbl_task10[[คะแนนเต็ม]:[คะแนนเต็ม]]),"",(tbl_task10[139]/tbl_task10[[คะแนนเต็ม]:[คะแนนเต็ม]])*tbl_task10[[%]:[%]])</f>
        <v/>
      </c>
      <c r="KX26" s="121" t="str">
        <f>IF(ISBLANK(tbl_task10[[คะแนนเต็ม]:[คะแนนเต็ม]]),"",(tbl_task10[140]/tbl_task10[[คะแนนเต็ม]:[คะแนนเต็ม]])*tbl_task10[[%]:[%]])</f>
        <v/>
      </c>
      <c r="KY26" s="121" t="str">
        <f>IF(ISBLANK(tbl_task10[[คะแนนเต็ม]:[คะแนนเต็ม]]),"",(tbl_task10[141]/tbl_task10[[คะแนนเต็ม]:[คะแนนเต็ม]])*tbl_task10[[%]:[%]])</f>
        <v/>
      </c>
      <c r="KZ26" s="121" t="str">
        <f>IF(ISBLANK(tbl_task10[[คะแนนเต็ม]:[คะแนนเต็ม]]),"",(tbl_task10[142]/tbl_task10[[คะแนนเต็ม]:[คะแนนเต็ม]])*tbl_task10[[%]:[%]])</f>
        <v/>
      </c>
      <c r="LA26" s="121" t="str">
        <f>IF(ISBLANK(tbl_task10[[คะแนนเต็ม]:[คะแนนเต็ม]]),"",(tbl_task10[143]/tbl_task10[[คะแนนเต็ม]:[คะแนนเต็ม]])*tbl_task10[[%]:[%]])</f>
        <v/>
      </c>
      <c r="LB26" s="121" t="str">
        <f>IF(ISBLANK(tbl_task10[[คะแนนเต็ม]:[คะแนนเต็ม]]),"",(tbl_task10[144]/tbl_task10[[คะแนนเต็ม]:[คะแนนเต็ม]])*tbl_task10[[%]:[%]])</f>
        <v/>
      </c>
      <c r="LC26" s="121" t="str">
        <f>IF(ISBLANK(tbl_task10[[คะแนนเต็ม]:[คะแนนเต็ม]]),"",(tbl_task10[145]/tbl_task10[[คะแนนเต็ม]:[คะแนนเต็ม]])*tbl_task10[[%]:[%]])</f>
        <v/>
      </c>
      <c r="LD26" s="121" t="str">
        <f>IF(ISBLANK(tbl_task10[[คะแนนเต็ม]:[คะแนนเต็ม]]),"",(tbl_task10[146]/tbl_task10[[คะแนนเต็ม]:[คะแนนเต็ม]])*tbl_task10[[%]:[%]])</f>
        <v/>
      </c>
      <c r="LE26" s="121" t="str">
        <f>IF(ISBLANK(tbl_task10[[คะแนนเต็ม]:[คะแนนเต็ม]]),"",(tbl_task10[147]/tbl_task10[[คะแนนเต็ม]:[คะแนนเต็ม]])*tbl_task10[[%]:[%]])</f>
        <v/>
      </c>
      <c r="LF26" s="121" t="str">
        <f>IF(ISBLANK(tbl_task10[[คะแนนเต็ม]:[คะแนนเต็ม]]),"",(tbl_task10[148]/tbl_task10[[คะแนนเต็ม]:[คะแนนเต็ม]])*tbl_task10[[%]:[%]])</f>
        <v/>
      </c>
      <c r="LG26" s="121" t="str">
        <f>IF(ISBLANK(tbl_task10[[คะแนนเต็ม]:[คะแนนเต็ม]]),"",(tbl_task10[149]/tbl_task10[[คะแนนเต็ม]:[คะแนนเต็ม]])*tbl_task10[[%]:[%]])</f>
        <v/>
      </c>
      <c r="LH26" s="121" t="str">
        <f>IF(ISBLANK(tbl_task10[[คะแนนเต็ม]:[คะแนนเต็ม]]),"",(tbl_task10[150]/tbl_task10[[คะแนนเต็ม]:[คะแนนเต็ม]])*tbl_task10[[%]:[%]])</f>
        <v/>
      </c>
      <c r="LI26" s="121" t="str">
        <f>IF(ISBLANK(tbl_task10[[คะแนนเต็ม]:[คะแนนเต็ม]]),"",(tbl_task10[151]/tbl_task10[[คะแนนเต็ม]:[คะแนนเต็ม]])*tbl_task10[[%]:[%]])</f>
        <v/>
      </c>
      <c r="LJ26" s="121" t="str">
        <f>IF(ISBLANK(tbl_task10[[คะแนนเต็ม]:[คะแนนเต็ม]]),"",(tbl_task10[152]/tbl_task10[[คะแนนเต็ม]:[คะแนนเต็ม]])*tbl_task10[[%]:[%]])</f>
        <v/>
      </c>
      <c r="LK26" s="121" t="str">
        <f>IF(ISBLANK(tbl_task10[[คะแนนเต็ม]:[คะแนนเต็ม]]),"",(tbl_task10[153]/tbl_task10[[คะแนนเต็ม]:[คะแนนเต็ม]])*tbl_task10[[%]:[%]])</f>
        <v/>
      </c>
      <c r="LL26" s="121" t="str">
        <f>IF(ISBLANK(tbl_task10[[คะแนนเต็ม]:[คะแนนเต็ม]]),"",(tbl_task10[154]/tbl_task10[[คะแนนเต็ม]:[คะแนนเต็ม]])*tbl_task10[[%]:[%]])</f>
        <v/>
      </c>
      <c r="LM26" s="121" t="str">
        <f>IF(ISBLANK(tbl_task10[[คะแนนเต็ม]:[คะแนนเต็ม]]),"",(tbl_task10[155]/tbl_task10[[คะแนนเต็ม]:[คะแนนเต็ม]])*tbl_task10[[%]:[%]])</f>
        <v/>
      </c>
      <c r="LN26" s="121" t="str">
        <f>IF(ISBLANK(tbl_task10[[คะแนนเต็ม]:[คะแนนเต็ม]]),"",(tbl_task10[156]/tbl_task10[[คะแนนเต็ม]:[คะแนนเต็ม]])*tbl_task10[[%]:[%]])</f>
        <v/>
      </c>
      <c r="LO26" s="121" t="str">
        <f>IF(ISBLANK(tbl_task10[[คะแนนเต็ม]:[คะแนนเต็ม]]),"",(tbl_task10[157]/tbl_task10[[คะแนนเต็ม]:[คะแนนเต็ม]])*tbl_task10[[%]:[%]])</f>
        <v/>
      </c>
      <c r="LP26" s="121" t="str">
        <f>IF(ISBLANK(tbl_task10[[คะแนนเต็ม]:[คะแนนเต็ม]]),"",(tbl_task10[158]/tbl_task10[[คะแนนเต็ม]:[คะแนนเต็ม]])*tbl_task10[[%]:[%]])</f>
        <v/>
      </c>
      <c r="LQ26" s="121" t="str">
        <f>IF(ISBLANK(tbl_task10[[คะแนนเต็ม]:[คะแนนเต็ม]]),"",(tbl_task10[159]/tbl_task10[[คะแนนเต็ม]:[คะแนนเต็ม]])*tbl_task10[[%]:[%]])</f>
        <v/>
      </c>
      <c r="LR26" s="121" t="str">
        <f>IF(ISBLANK(tbl_task10[[คะแนนเต็ม]:[คะแนนเต็ม]]),"",(tbl_task10[160]/tbl_task10[[คะแนนเต็ม]:[คะแนนเต็ม]])*tbl_task10[[%]:[%]])</f>
        <v/>
      </c>
      <c r="LS26" s="121" t="str">
        <f>IF(ISBLANK(tbl_task10[[คะแนนเต็ม]:[คะแนนเต็ม]]),"",(tbl_task10[161]/tbl_task10[[คะแนนเต็ม]:[คะแนนเต็ม]])*tbl_task10[[%]:[%]])</f>
        <v/>
      </c>
      <c r="LT26" s="121" t="str">
        <f>IF(ISBLANK(tbl_task10[[คะแนนเต็ม]:[คะแนนเต็ม]]),"",(tbl_task10[162]/tbl_task10[[คะแนนเต็ม]:[คะแนนเต็ม]])*tbl_task10[[%]:[%]])</f>
        <v/>
      </c>
      <c r="LU26" s="121" t="str">
        <f>IF(ISBLANK(tbl_task10[[คะแนนเต็ม]:[คะแนนเต็ม]]),"",(tbl_task10[163]/tbl_task10[[คะแนนเต็ม]:[คะแนนเต็ม]])*tbl_task10[[%]:[%]])</f>
        <v/>
      </c>
      <c r="LV26" s="121" t="str">
        <f>IF(ISBLANK(tbl_task10[[คะแนนเต็ม]:[คะแนนเต็ม]]),"",(tbl_task10[164]/tbl_task10[[คะแนนเต็ม]:[คะแนนเต็ม]])*tbl_task10[[%]:[%]])</f>
        <v/>
      </c>
      <c r="LW26" s="121" t="str">
        <f>IF(ISBLANK(tbl_task10[[คะแนนเต็ม]:[คะแนนเต็ม]]),"",(tbl_task10[165]/tbl_task10[[คะแนนเต็ม]:[คะแนนเต็ม]])*tbl_task10[[%]:[%]])</f>
        <v/>
      </c>
    </row>
    <row r="27" spans="1:335" ht="24" customHeight="1" x14ac:dyDescent="0.25">
      <c r="A27" s="24">
        <v>24</v>
      </c>
      <c r="B27" s="20"/>
      <c r="C27" s="5" t="str">
        <f>IF(ISBLANK(B27),"",VLOOKUP(B27,tbl_PLOs[],2,0))</f>
        <v/>
      </c>
      <c r="D27" s="102"/>
      <c r="E27" s="106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21" t="str">
        <f>IF(ISBLANK(tbl_task10[[คะแนนเต็ม]:[คะแนนเต็ม]]),"",(tbl_task10[1]/tbl_task10[[คะแนนเต็ม]:[คะแนนเต็ม]])*tbl_task10[[%]:[%]])</f>
        <v/>
      </c>
      <c r="FP27" s="121" t="str">
        <f>IF(ISBLANK(tbl_task10[[คะแนนเต็ม]:[คะแนนเต็ม]]),"",(tbl_task10[2]/tbl_task10[[คะแนนเต็ม]:[คะแนนเต็ม]])*tbl_task10[[%]:[%]])</f>
        <v/>
      </c>
      <c r="FQ27" s="121" t="str">
        <f>IF(ISBLANK(tbl_task10[[คะแนนเต็ม]:[คะแนนเต็ม]]),"",(tbl_task10[3]/tbl_task10[[คะแนนเต็ม]:[คะแนนเต็ม]])*tbl_task10[[%]:[%]])</f>
        <v/>
      </c>
      <c r="FR27" s="121" t="str">
        <f>IF(ISBLANK(tbl_task10[[คะแนนเต็ม]:[คะแนนเต็ม]]),"",(tbl_task10[4]/tbl_task10[[คะแนนเต็ม]:[คะแนนเต็ม]])*tbl_task10[[%]:[%]])</f>
        <v/>
      </c>
      <c r="FS27" s="121" t="str">
        <f>IF(ISBLANK(tbl_task10[[คะแนนเต็ม]:[คะแนนเต็ม]]),"",(tbl_task10[5]/tbl_task10[[คะแนนเต็ม]:[คะแนนเต็ม]])*tbl_task10[[%]:[%]])</f>
        <v/>
      </c>
      <c r="FT27" s="121" t="str">
        <f>IF(ISBLANK(tbl_task10[[คะแนนเต็ม]:[คะแนนเต็ม]]),"",(tbl_task10[6]/tbl_task10[[คะแนนเต็ม]:[คะแนนเต็ม]])*tbl_task10[[%]:[%]])</f>
        <v/>
      </c>
      <c r="FU27" s="121" t="str">
        <f>IF(ISBLANK(tbl_task10[[คะแนนเต็ม]:[คะแนนเต็ม]]),"",(tbl_task10[7]/tbl_task10[[คะแนนเต็ม]:[คะแนนเต็ม]])*tbl_task10[[%]:[%]])</f>
        <v/>
      </c>
      <c r="FV27" s="121" t="str">
        <f>IF(ISBLANK(tbl_task10[[คะแนนเต็ม]:[คะแนนเต็ม]]),"",(tbl_task10[8]/tbl_task10[[คะแนนเต็ม]:[คะแนนเต็ม]])*tbl_task10[[%]:[%]])</f>
        <v/>
      </c>
      <c r="FW27" s="121" t="str">
        <f>IF(ISBLANK(tbl_task10[[คะแนนเต็ม]:[คะแนนเต็ม]]),"",(tbl_task10[9]/tbl_task10[[คะแนนเต็ม]:[คะแนนเต็ม]])*tbl_task10[[%]:[%]])</f>
        <v/>
      </c>
      <c r="FX27" s="121" t="str">
        <f>IF(ISBLANK(tbl_task10[[คะแนนเต็ม]:[คะแนนเต็ม]]),"",(tbl_task10[10]/tbl_task10[[คะแนนเต็ม]:[คะแนนเต็ม]])*tbl_task10[[%]:[%]])</f>
        <v/>
      </c>
      <c r="FY27" s="121" t="str">
        <f>IF(ISBLANK(tbl_task10[[คะแนนเต็ม]:[คะแนนเต็ม]]),"",(tbl_task10[11]/tbl_task10[[คะแนนเต็ม]:[คะแนนเต็ม]])*tbl_task10[[%]:[%]])</f>
        <v/>
      </c>
      <c r="FZ27" s="121" t="str">
        <f>IF(ISBLANK(tbl_task10[[คะแนนเต็ม]:[คะแนนเต็ม]]),"",(tbl_task10[12]/tbl_task10[[คะแนนเต็ม]:[คะแนนเต็ม]])*tbl_task10[[%]:[%]])</f>
        <v/>
      </c>
      <c r="GA27" s="121" t="str">
        <f>IF(ISBLANK(tbl_task10[[คะแนนเต็ม]:[คะแนนเต็ม]]),"",(tbl_task10[13]/tbl_task10[[คะแนนเต็ม]:[คะแนนเต็ม]])*tbl_task10[[%]:[%]])</f>
        <v/>
      </c>
      <c r="GB27" s="121" t="str">
        <f>IF(ISBLANK(tbl_task10[[คะแนนเต็ม]:[คะแนนเต็ม]]),"",(tbl_task10[14]/tbl_task10[[คะแนนเต็ม]:[คะแนนเต็ม]])*tbl_task10[[%]:[%]])</f>
        <v/>
      </c>
      <c r="GC27" s="121" t="str">
        <f>IF(ISBLANK(tbl_task10[[คะแนนเต็ม]:[คะแนนเต็ม]]),"",(tbl_task10[15]/tbl_task10[[คะแนนเต็ม]:[คะแนนเต็ม]])*tbl_task10[[%]:[%]])</f>
        <v/>
      </c>
      <c r="GD27" s="121" t="str">
        <f>IF(ISBLANK(tbl_task10[[คะแนนเต็ม]:[คะแนนเต็ม]]),"",(tbl_task10[16]/tbl_task10[[คะแนนเต็ม]:[คะแนนเต็ม]])*tbl_task10[[%]:[%]])</f>
        <v/>
      </c>
      <c r="GE27" s="121" t="str">
        <f>IF(ISBLANK(tbl_task10[[คะแนนเต็ม]:[คะแนนเต็ม]]),"",(tbl_task10[17]/tbl_task10[[คะแนนเต็ม]:[คะแนนเต็ม]])*tbl_task10[[%]:[%]])</f>
        <v/>
      </c>
      <c r="GF27" s="121" t="str">
        <f>IF(ISBLANK(tbl_task10[[คะแนนเต็ม]:[คะแนนเต็ม]]),"",(tbl_task10[18]/tbl_task10[[คะแนนเต็ม]:[คะแนนเต็ม]])*tbl_task10[[%]:[%]])</f>
        <v/>
      </c>
      <c r="GG27" s="121" t="str">
        <f>IF(ISBLANK(tbl_task10[[คะแนนเต็ม]:[คะแนนเต็ม]]),"",(tbl_task10[19]/tbl_task10[[คะแนนเต็ม]:[คะแนนเต็ม]])*tbl_task10[[%]:[%]])</f>
        <v/>
      </c>
      <c r="GH27" s="121" t="str">
        <f>IF(ISBLANK(tbl_task10[[คะแนนเต็ม]:[คะแนนเต็ม]]),"",(tbl_task10[20]/tbl_task10[[คะแนนเต็ม]:[คะแนนเต็ม]])*tbl_task10[[%]:[%]])</f>
        <v/>
      </c>
      <c r="GI27" s="121" t="str">
        <f>IF(ISBLANK(tbl_task10[[คะแนนเต็ม]:[คะแนนเต็ม]]),"",(tbl_task10[21]/tbl_task10[[คะแนนเต็ม]:[คะแนนเต็ม]])*tbl_task10[[%]:[%]])</f>
        <v/>
      </c>
      <c r="GJ27" s="121" t="str">
        <f>IF(ISBLANK(tbl_task10[[คะแนนเต็ม]:[คะแนนเต็ม]]),"",(tbl_task10[22]/tbl_task10[[คะแนนเต็ม]:[คะแนนเต็ม]])*tbl_task10[[%]:[%]])</f>
        <v/>
      </c>
      <c r="GK27" s="121" t="str">
        <f>IF(ISBLANK(tbl_task10[[คะแนนเต็ม]:[คะแนนเต็ม]]),"",(tbl_task10[23]/tbl_task10[[คะแนนเต็ม]:[คะแนนเต็ม]])*tbl_task10[[%]:[%]])</f>
        <v/>
      </c>
      <c r="GL27" s="121" t="str">
        <f>IF(ISBLANK(tbl_task10[[คะแนนเต็ม]:[คะแนนเต็ม]]),"",(tbl_task10[24]/tbl_task10[[คะแนนเต็ม]:[คะแนนเต็ม]])*tbl_task10[[%]:[%]])</f>
        <v/>
      </c>
      <c r="GM27" s="121" t="str">
        <f>IF(ISBLANK(tbl_task10[[คะแนนเต็ม]:[คะแนนเต็ม]]),"",(tbl_task10[25]/tbl_task10[[คะแนนเต็ม]:[คะแนนเต็ม]])*tbl_task10[[%]:[%]])</f>
        <v/>
      </c>
      <c r="GN27" s="121" t="str">
        <f>IF(ISBLANK(tbl_task10[[คะแนนเต็ม]:[คะแนนเต็ม]]),"",(tbl_task10[26]/tbl_task10[[คะแนนเต็ม]:[คะแนนเต็ม]])*tbl_task10[[%]:[%]])</f>
        <v/>
      </c>
      <c r="GO27" s="121" t="str">
        <f>IF(ISBLANK(tbl_task10[[คะแนนเต็ม]:[คะแนนเต็ม]]),"",(tbl_task10[27]/tbl_task10[[คะแนนเต็ม]:[คะแนนเต็ม]])*tbl_task10[[%]:[%]])</f>
        <v/>
      </c>
      <c r="GP27" s="121" t="str">
        <f>IF(ISBLANK(tbl_task10[[คะแนนเต็ม]:[คะแนนเต็ม]]),"",(tbl_task10[28]/tbl_task10[[คะแนนเต็ม]:[คะแนนเต็ม]])*tbl_task10[[%]:[%]])</f>
        <v/>
      </c>
      <c r="GQ27" s="121" t="str">
        <f>IF(ISBLANK(tbl_task10[[คะแนนเต็ม]:[คะแนนเต็ม]]),"",(tbl_task10[29]/tbl_task10[[คะแนนเต็ม]:[คะแนนเต็ม]])*tbl_task10[[%]:[%]])</f>
        <v/>
      </c>
      <c r="GR27" s="121" t="str">
        <f>IF(ISBLANK(tbl_task10[[คะแนนเต็ม]:[คะแนนเต็ม]]),"",(tbl_task10[30]/tbl_task10[[คะแนนเต็ม]:[คะแนนเต็ม]])*tbl_task10[[%]:[%]])</f>
        <v/>
      </c>
      <c r="GS27" s="121" t="str">
        <f>IF(ISBLANK(tbl_task10[[คะแนนเต็ม]:[คะแนนเต็ม]]),"",(tbl_task10[31]/tbl_task10[[คะแนนเต็ม]:[คะแนนเต็ม]])*tbl_task10[[%]:[%]])</f>
        <v/>
      </c>
      <c r="GT27" s="121" t="str">
        <f>IF(ISBLANK(tbl_task10[[คะแนนเต็ม]:[คะแนนเต็ม]]),"",(tbl_task10[32]/tbl_task10[[คะแนนเต็ม]:[คะแนนเต็ม]])*tbl_task10[[%]:[%]])</f>
        <v/>
      </c>
      <c r="GU27" s="121" t="str">
        <f>IF(ISBLANK(tbl_task10[[คะแนนเต็ม]:[คะแนนเต็ม]]),"",(tbl_task10[33]/tbl_task10[[คะแนนเต็ม]:[คะแนนเต็ม]])*tbl_task10[[%]:[%]])</f>
        <v/>
      </c>
      <c r="GV27" s="121" t="str">
        <f>IF(ISBLANK(tbl_task10[[คะแนนเต็ม]:[คะแนนเต็ม]]),"",(tbl_task10[34]/tbl_task10[[คะแนนเต็ม]:[คะแนนเต็ม]])*tbl_task10[[%]:[%]])</f>
        <v/>
      </c>
      <c r="GW27" s="121" t="str">
        <f>IF(ISBLANK(tbl_task10[[คะแนนเต็ม]:[คะแนนเต็ม]]),"",(tbl_task10[35]/tbl_task10[[คะแนนเต็ม]:[คะแนนเต็ม]])*tbl_task10[[%]:[%]])</f>
        <v/>
      </c>
      <c r="GX27" s="121" t="str">
        <f>IF(ISBLANK(tbl_task10[[คะแนนเต็ม]:[คะแนนเต็ม]]),"",(tbl_task10[36]/tbl_task10[[คะแนนเต็ม]:[คะแนนเต็ม]])*tbl_task10[[%]:[%]])</f>
        <v/>
      </c>
      <c r="GY27" s="121" t="str">
        <f>IF(ISBLANK(tbl_task10[[คะแนนเต็ม]:[คะแนนเต็ม]]),"",(tbl_task10[37]/tbl_task10[[คะแนนเต็ม]:[คะแนนเต็ม]])*tbl_task10[[%]:[%]])</f>
        <v/>
      </c>
      <c r="GZ27" s="121" t="str">
        <f>IF(ISBLANK(tbl_task10[[คะแนนเต็ม]:[คะแนนเต็ม]]),"",(tbl_task10[38]/tbl_task10[[คะแนนเต็ม]:[คะแนนเต็ม]])*tbl_task10[[%]:[%]])</f>
        <v/>
      </c>
      <c r="HA27" s="121" t="str">
        <f>IF(ISBLANK(tbl_task10[[คะแนนเต็ม]:[คะแนนเต็ม]]),"",(tbl_task10[39]/tbl_task10[[คะแนนเต็ม]:[คะแนนเต็ม]])*tbl_task10[[%]:[%]])</f>
        <v/>
      </c>
      <c r="HB27" s="121" t="str">
        <f>IF(ISBLANK(tbl_task10[[คะแนนเต็ม]:[คะแนนเต็ม]]),"",(tbl_task10[40]/tbl_task10[[คะแนนเต็ม]:[คะแนนเต็ม]])*tbl_task10[[%]:[%]])</f>
        <v/>
      </c>
      <c r="HC27" s="121" t="str">
        <f>IF(ISBLANK(tbl_task10[[คะแนนเต็ม]:[คะแนนเต็ม]]),"",(tbl_task10[41]/tbl_task10[[คะแนนเต็ม]:[คะแนนเต็ม]])*tbl_task10[[%]:[%]])</f>
        <v/>
      </c>
      <c r="HD27" s="121" t="str">
        <f>IF(ISBLANK(tbl_task10[[คะแนนเต็ม]:[คะแนนเต็ม]]),"",(tbl_task10[42]/tbl_task10[[คะแนนเต็ม]:[คะแนนเต็ม]])*tbl_task10[[%]:[%]])</f>
        <v/>
      </c>
      <c r="HE27" s="121" t="str">
        <f>IF(ISBLANK(tbl_task10[[คะแนนเต็ม]:[คะแนนเต็ม]]),"",(tbl_task10[43]/tbl_task10[[คะแนนเต็ม]:[คะแนนเต็ม]])*tbl_task10[[%]:[%]])</f>
        <v/>
      </c>
      <c r="HF27" s="121" t="str">
        <f>IF(ISBLANK(tbl_task10[[คะแนนเต็ม]:[คะแนนเต็ม]]),"",(tbl_task10[44]/tbl_task10[[คะแนนเต็ม]:[คะแนนเต็ม]])*tbl_task10[[%]:[%]])</f>
        <v/>
      </c>
      <c r="HG27" s="121" t="str">
        <f>IF(ISBLANK(tbl_task10[[คะแนนเต็ม]:[คะแนนเต็ม]]),"",(tbl_task10[45]/tbl_task10[[คะแนนเต็ม]:[คะแนนเต็ม]])*tbl_task10[[%]:[%]])</f>
        <v/>
      </c>
      <c r="HH27" s="121" t="str">
        <f>IF(ISBLANK(tbl_task10[[คะแนนเต็ม]:[คะแนนเต็ม]]),"",(tbl_task10[46]/tbl_task10[[คะแนนเต็ม]:[คะแนนเต็ม]])*tbl_task10[[%]:[%]])</f>
        <v/>
      </c>
      <c r="HI27" s="121" t="str">
        <f>IF(ISBLANK(tbl_task10[[คะแนนเต็ม]:[คะแนนเต็ม]]),"",(tbl_task10[47]/tbl_task10[[คะแนนเต็ม]:[คะแนนเต็ม]])*tbl_task10[[%]:[%]])</f>
        <v/>
      </c>
      <c r="HJ27" s="121" t="str">
        <f>IF(ISBLANK(tbl_task10[[คะแนนเต็ม]:[คะแนนเต็ม]]),"",(tbl_task10[48]/tbl_task10[[คะแนนเต็ม]:[คะแนนเต็ม]])*tbl_task10[[%]:[%]])</f>
        <v/>
      </c>
      <c r="HK27" s="121" t="str">
        <f>IF(ISBLANK(tbl_task10[[คะแนนเต็ม]:[คะแนนเต็ม]]),"",(tbl_task10[49]/tbl_task10[[คะแนนเต็ม]:[คะแนนเต็ม]])*tbl_task10[[%]:[%]])</f>
        <v/>
      </c>
      <c r="HL27" s="121" t="str">
        <f>IF(ISBLANK(tbl_task10[[คะแนนเต็ม]:[คะแนนเต็ม]]),"",(tbl_task10[50]/tbl_task10[[คะแนนเต็ม]:[คะแนนเต็ม]])*tbl_task10[[%]:[%]])</f>
        <v/>
      </c>
      <c r="HM27" s="121" t="str">
        <f>IF(ISBLANK(tbl_task10[[คะแนนเต็ม]:[คะแนนเต็ม]]),"",(tbl_task10[51]/tbl_task10[[คะแนนเต็ม]:[คะแนนเต็ม]])*tbl_task10[[%]:[%]])</f>
        <v/>
      </c>
      <c r="HN27" s="121" t="str">
        <f>IF(ISBLANK(tbl_task10[[คะแนนเต็ม]:[คะแนนเต็ม]]),"",(tbl_task10[52]/tbl_task10[[คะแนนเต็ม]:[คะแนนเต็ม]])*tbl_task10[[%]:[%]])</f>
        <v/>
      </c>
      <c r="HO27" s="121" t="str">
        <f>IF(ISBLANK(tbl_task10[[คะแนนเต็ม]:[คะแนนเต็ม]]),"",(tbl_task10[53]/tbl_task10[[คะแนนเต็ม]:[คะแนนเต็ม]])*tbl_task10[[%]:[%]])</f>
        <v/>
      </c>
      <c r="HP27" s="121" t="str">
        <f>IF(ISBLANK(tbl_task10[[คะแนนเต็ม]:[คะแนนเต็ม]]),"",(tbl_task10[54]/tbl_task10[[คะแนนเต็ม]:[คะแนนเต็ม]])*tbl_task10[[%]:[%]])</f>
        <v/>
      </c>
      <c r="HQ27" s="121" t="str">
        <f>IF(ISBLANK(tbl_task10[[คะแนนเต็ม]:[คะแนนเต็ม]]),"",(tbl_task10[55]/tbl_task10[[คะแนนเต็ม]:[คะแนนเต็ม]])*tbl_task10[[%]:[%]])</f>
        <v/>
      </c>
      <c r="HR27" s="121" t="str">
        <f>IF(ISBLANK(tbl_task10[[คะแนนเต็ม]:[คะแนนเต็ม]]),"",(tbl_task10[56]/tbl_task10[[คะแนนเต็ม]:[คะแนนเต็ม]])*tbl_task10[[%]:[%]])</f>
        <v/>
      </c>
      <c r="HS27" s="121" t="str">
        <f>IF(ISBLANK(tbl_task10[[คะแนนเต็ม]:[คะแนนเต็ม]]),"",(tbl_task10[57]/tbl_task10[[คะแนนเต็ม]:[คะแนนเต็ม]])*tbl_task10[[%]:[%]])</f>
        <v/>
      </c>
      <c r="HT27" s="121" t="str">
        <f>IF(ISBLANK(tbl_task10[[คะแนนเต็ม]:[คะแนนเต็ม]]),"",(tbl_task10[58]/tbl_task10[[คะแนนเต็ม]:[คะแนนเต็ม]])*tbl_task10[[%]:[%]])</f>
        <v/>
      </c>
      <c r="HU27" s="121" t="str">
        <f>IF(ISBLANK(tbl_task10[[คะแนนเต็ม]:[คะแนนเต็ม]]),"",(tbl_task10[59]/tbl_task10[[คะแนนเต็ม]:[คะแนนเต็ม]])*tbl_task10[[%]:[%]])</f>
        <v/>
      </c>
      <c r="HV27" s="121" t="str">
        <f>IF(ISBLANK(tbl_task10[[คะแนนเต็ม]:[คะแนนเต็ม]]),"",(tbl_task10[60]/tbl_task10[[คะแนนเต็ม]:[คะแนนเต็ม]])*tbl_task10[[%]:[%]])</f>
        <v/>
      </c>
      <c r="HW27" s="121" t="str">
        <f>IF(ISBLANK(tbl_task10[[คะแนนเต็ม]:[คะแนนเต็ม]]),"",(tbl_task10[61]/tbl_task10[[คะแนนเต็ม]:[คะแนนเต็ม]])*tbl_task10[[%]:[%]])</f>
        <v/>
      </c>
      <c r="HX27" s="121" t="str">
        <f>IF(ISBLANK(tbl_task10[[คะแนนเต็ม]:[คะแนนเต็ม]]),"",(tbl_task10[62]/tbl_task10[[คะแนนเต็ม]:[คะแนนเต็ม]])*tbl_task10[[%]:[%]])</f>
        <v/>
      </c>
      <c r="HY27" s="121" t="str">
        <f>IF(ISBLANK(tbl_task10[[คะแนนเต็ม]:[คะแนนเต็ม]]),"",(tbl_task10[63]/tbl_task10[[คะแนนเต็ม]:[คะแนนเต็ม]])*tbl_task10[[%]:[%]])</f>
        <v/>
      </c>
      <c r="HZ27" s="121" t="str">
        <f>IF(ISBLANK(tbl_task10[[คะแนนเต็ม]:[คะแนนเต็ม]]),"",(tbl_task10[64]/tbl_task10[[คะแนนเต็ม]:[คะแนนเต็ม]])*tbl_task10[[%]:[%]])</f>
        <v/>
      </c>
      <c r="IA27" s="121" t="str">
        <f>IF(ISBLANK(tbl_task10[[คะแนนเต็ม]:[คะแนนเต็ม]]),"",(tbl_task10[65]/tbl_task10[[คะแนนเต็ม]:[คะแนนเต็ม]])*tbl_task10[[%]:[%]])</f>
        <v/>
      </c>
      <c r="IB27" s="121" t="str">
        <f>IF(ISBLANK(tbl_task10[[คะแนนเต็ม]:[คะแนนเต็ม]]),"",(tbl_task10[66]/tbl_task10[[คะแนนเต็ม]:[คะแนนเต็ม]])*tbl_task10[[%]:[%]])</f>
        <v/>
      </c>
      <c r="IC27" s="121" t="str">
        <f>IF(ISBLANK(tbl_task10[[คะแนนเต็ม]:[คะแนนเต็ม]]),"",(tbl_task10[67]/tbl_task10[[คะแนนเต็ม]:[คะแนนเต็ม]])*tbl_task10[[%]:[%]])</f>
        <v/>
      </c>
      <c r="ID27" s="121" t="str">
        <f>IF(ISBLANK(tbl_task10[[คะแนนเต็ม]:[คะแนนเต็ม]]),"",(tbl_task10[68]/tbl_task10[[คะแนนเต็ม]:[คะแนนเต็ม]])*tbl_task10[[%]:[%]])</f>
        <v/>
      </c>
      <c r="IE27" s="121" t="str">
        <f>IF(ISBLANK(tbl_task10[[คะแนนเต็ม]:[คะแนนเต็ม]]),"",(tbl_task10[69]/tbl_task10[[คะแนนเต็ม]:[คะแนนเต็ม]])*tbl_task10[[%]:[%]])</f>
        <v/>
      </c>
      <c r="IF27" s="121" t="str">
        <f>IF(ISBLANK(tbl_task10[[คะแนนเต็ม]:[คะแนนเต็ม]]),"",(tbl_task10[70]/tbl_task10[[คะแนนเต็ม]:[คะแนนเต็ม]])*tbl_task10[[%]:[%]])</f>
        <v/>
      </c>
      <c r="IG27" s="121" t="str">
        <f>IF(ISBLANK(tbl_task10[[คะแนนเต็ม]:[คะแนนเต็ม]]),"",(tbl_task10[71]/tbl_task10[[คะแนนเต็ม]:[คะแนนเต็ม]])*tbl_task10[[%]:[%]])</f>
        <v/>
      </c>
      <c r="IH27" s="121" t="str">
        <f>IF(ISBLANK(tbl_task10[[คะแนนเต็ม]:[คะแนนเต็ม]]),"",(tbl_task10[72]/tbl_task10[[คะแนนเต็ม]:[คะแนนเต็ม]])*tbl_task10[[%]:[%]])</f>
        <v/>
      </c>
      <c r="II27" s="121" t="str">
        <f>IF(ISBLANK(tbl_task10[[คะแนนเต็ม]:[คะแนนเต็ม]]),"",(tbl_task10[73]/tbl_task10[[คะแนนเต็ม]:[คะแนนเต็ม]])*tbl_task10[[%]:[%]])</f>
        <v/>
      </c>
      <c r="IJ27" s="121" t="str">
        <f>IF(ISBLANK(tbl_task10[[คะแนนเต็ม]:[คะแนนเต็ม]]),"",(tbl_task10[74]/tbl_task10[[คะแนนเต็ม]:[คะแนนเต็ม]])*tbl_task10[[%]:[%]])</f>
        <v/>
      </c>
      <c r="IK27" s="121" t="str">
        <f>IF(ISBLANK(tbl_task10[[คะแนนเต็ม]:[คะแนนเต็ม]]),"",(tbl_task10[75]/tbl_task10[[คะแนนเต็ม]:[คะแนนเต็ม]])*tbl_task10[[%]:[%]])</f>
        <v/>
      </c>
      <c r="IL27" s="121" t="str">
        <f>IF(ISBLANK(tbl_task10[[คะแนนเต็ม]:[คะแนนเต็ม]]),"",(tbl_task10[76]/tbl_task10[[คะแนนเต็ม]:[คะแนนเต็ม]])*tbl_task10[[%]:[%]])</f>
        <v/>
      </c>
      <c r="IM27" s="121" t="str">
        <f>IF(ISBLANK(tbl_task10[[คะแนนเต็ม]:[คะแนนเต็ม]]),"",(tbl_task10[77]/tbl_task10[[คะแนนเต็ม]:[คะแนนเต็ม]])*tbl_task10[[%]:[%]])</f>
        <v/>
      </c>
      <c r="IN27" s="121" t="str">
        <f>IF(ISBLANK(tbl_task10[[คะแนนเต็ม]:[คะแนนเต็ม]]),"",(tbl_task10[78]/tbl_task10[[คะแนนเต็ม]:[คะแนนเต็ม]])*tbl_task10[[%]:[%]])</f>
        <v/>
      </c>
      <c r="IO27" s="121" t="str">
        <f>IF(ISBLANK(tbl_task10[[คะแนนเต็ม]:[คะแนนเต็ม]]),"",(tbl_task10[79]/tbl_task10[[คะแนนเต็ม]:[คะแนนเต็ม]])*tbl_task10[[%]:[%]])</f>
        <v/>
      </c>
      <c r="IP27" s="121" t="str">
        <f>IF(ISBLANK(tbl_task10[[คะแนนเต็ม]:[คะแนนเต็ม]]),"",(tbl_task10[80]/tbl_task10[[คะแนนเต็ม]:[คะแนนเต็ม]])*tbl_task10[[%]:[%]])</f>
        <v/>
      </c>
      <c r="IQ27" s="121" t="str">
        <f>IF(ISBLANK(tbl_task10[[คะแนนเต็ม]:[คะแนนเต็ม]]),"",(tbl_task10[81]/tbl_task10[[คะแนนเต็ม]:[คะแนนเต็ม]])*tbl_task10[[%]:[%]])</f>
        <v/>
      </c>
      <c r="IR27" s="121" t="str">
        <f>IF(ISBLANK(tbl_task10[[คะแนนเต็ม]:[คะแนนเต็ม]]),"",(tbl_task10[82]/tbl_task10[[คะแนนเต็ม]:[คะแนนเต็ม]])*tbl_task10[[%]:[%]])</f>
        <v/>
      </c>
      <c r="IS27" s="121" t="str">
        <f>IF(ISBLANK(tbl_task10[[คะแนนเต็ม]:[คะแนนเต็ม]]),"",(tbl_task10[83]/tbl_task10[[คะแนนเต็ม]:[คะแนนเต็ม]])*tbl_task10[[%]:[%]])</f>
        <v/>
      </c>
      <c r="IT27" s="121" t="str">
        <f>IF(ISBLANK(tbl_task10[[คะแนนเต็ม]:[คะแนนเต็ม]]),"",(tbl_task10[84]/tbl_task10[[คะแนนเต็ม]:[คะแนนเต็ม]])*tbl_task10[[%]:[%]])</f>
        <v/>
      </c>
      <c r="IU27" s="121" t="str">
        <f>IF(ISBLANK(tbl_task10[[คะแนนเต็ม]:[คะแนนเต็ม]]),"",(tbl_task10[85]/tbl_task10[[คะแนนเต็ม]:[คะแนนเต็ม]])*tbl_task10[[%]:[%]])</f>
        <v/>
      </c>
      <c r="IV27" s="121" t="str">
        <f>IF(ISBLANK(tbl_task10[[คะแนนเต็ม]:[คะแนนเต็ม]]),"",(tbl_task10[86]/tbl_task10[[คะแนนเต็ม]:[คะแนนเต็ม]])*tbl_task10[[%]:[%]])</f>
        <v/>
      </c>
      <c r="IW27" s="121" t="str">
        <f>IF(ISBLANK(tbl_task10[[คะแนนเต็ม]:[คะแนนเต็ม]]),"",(tbl_task10[87]/tbl_task10[[คะแนนเต็ม]:[คะแนนเต็ม]])*tbl_task10[[%]:[%]])</f>
        <v/>
      </c>
      <c r="IX27" s="121" t="str">
        <f>IF(ISBLANK(tbl_task10[[คะแนนเต็ม]:[คะแนนเต็ม]]),"",(tbl_task10[88]/tbl_task10[[คะแนนเต็ม]:[คะแนนเต็ม]])*tbl_task10[[%]:[%]])</f>
        <v/>
      </c>
      <c r="IY27" s="121" t="str">
        <f>IF(ISBLANK(tbl_task10[[คะแนนเต็ม]:[คะแนนเต็ม]]),"",(tbl_task10[89]/tbl_task10[[คะแนนเต็ม]:[คะแนนเต็ม]])*tbl_task10[[%]:[%]])</f>
        <v/>
      </c>
      <c r="IZ27" s="121" t="str">
        <f>IF(ISBLANK(tbl_task10[[คะแนนเต็ม]:[คะแนนเต็ม]]),"",(tbl_task10[90]/tbl_task10[[คะแนนเต็ม]:[คะแนนเต็ม]])*tbl_task10[[%]:[%]])</f>
        <v/>
      </c>
      <c r="JA27" s="121" t="str">
        <f>IF(ISBLANK(tbl_task10[[คะแนนเต็ม]:[คะแนนเต็ม]]),"",(tbl_task10[91]/tbl_task10[[คะแนนเต็ม]:[คะแนนเต็ม]])*tbl_task10[[%]:[%]])</f>
        <v/>
      </c>
      <c r="JB27" s="121" t="str">
        <f>IF(ISBLANK(tbl_task10[[คะแนนเต็ม]:[คะแนนเต็ม]]),"",(tbl_task10[92]/tbl_task10[[คะแนนเต็ม]:[คะแนนเต็ม]])*tbl_task10[[%]:[%]])</f>
        <v/>
      </c>
      <c r="JC27" s="121" t="str">
        <f>IF(ISBLANK(tbl_task10[[คะแนนเต็ม]:[คะแนนเต็ม]]),"",(tbl_task10[93]/tbl_task10[[คะแนนเต็ม]:[คะแนนเต็ม]])*tbl_task10[[%]:[%]])</f>
        <v/>
      </c>
      <c r="JD27" s="121" t="str">
        <f>IF(ISBLANK(tbl_task10[[คะแนนเต็ม]:[คะแนนเต็ม]]),"",(tbl_task10[94]/tbl_task10[[คะแนนเต็ม]:[คะแนนเต็ม]])*tbl_task10[[%]:[%]])</f>
        <v/>
      </c>
      <c r="JE27" s="121" t="str">
        <f>IF(ISBLANK(tbl_task10[[คะแนนเต็ม]:[คะแนนเต็ม]]),"",(tbl_task10[95]/tbl_task10[[คะแนนเต็ม]:[คะแนนเต็ม]])*tbl_task10[[%]:[%]])</f>
        <v/>
      </c>
      <c r="JF27" s="121" t="str">
        <f>IF(ISBLANK(tbl_task10[[คะแนนเต็ม]:[คะแนนเต็ม]]),"",(tbl_task10[96]/tbl_task10[[คะแนนเต็ม]:[คะแนนเต็ม]])*tbl_task10[[%]:[%]])</f>
        <v/>
      </c>
      <c r="JG27" s="121" t="str">
        <f>IF(ISBLANK(tbl_task10[[คะแนนเต็ม]:[คะแนนเต็ม]]),"",(tbl_task10[97]/tbl_task10[[คะแนนเต็ม]:[คะแนนเต็ม]])*tbl_task10[[%]:[%]])</f>
        <v/>
      </c>
      <c r="JH27" s="121" t="str">
        <f>IF(ISBLANK(tbl_task10[[คะแนนเต็ม]:[คะแนนเต็ม]]),"",(tbl_task10[98]/tbl_task10[[คะแนนเต็ม]:[คะแนนเต็ม]])*tbl_task10[[%]:[%]])</f>
        <v/>
      </c>
      <c r="JI27" s="121" t="str">
        <f>IF(ISBLANK(tbl_task10[[คะแนนเต็ม]:[คะแนนเต็ม]]),"",(tbl_task10[99]/tbl_task10[[คะแนนเต็ม]:[คะแนนเต็ม]])*tbl_task10[[%]:[%]])</f>
        <v/>
      </c>
      <c r="JJ27" s="121" t="str">
        <f>IF(ISBLANK(tbl_task10[[คะแนนเต็ม]:[คะแนนเต็ม]]),"",(tbl_task10[100]/tbl_task10[[คะแนนเต็ม]:[คะแนนเต็ม]])*tbl_task10[[%]:[%]])</f>
        <v/>
      </c>
      <c r="JK27" s="121" t="str">
        <f>IF(ISBLANK(tbl_task10[[คะแนนเต็ม]:[คะแนนเต็ม]]),"",(tbl_task10[101]/tbl_task10[[คะแนนเต็ม]:[คะแนนเต็ม]])*tbl_task10[[%]:[%]])</f>
        <v/>
      </c>
      <c r="JL27" s="121" t="str">
        <f>IF(ISBLANK(tbl_task10[[คะแนนเต็ม]:[คะแนนเต็ม]]),"",(tbl_task10[102]/tbl_task10[[คะแนนเต็ม]:[คะแนนเต็ม]])*tbl_task10[[%]:[%]])</f>
        <v/>
      </c>
      <c r="JM27" s="121" t="str">
        <f>IF(ISBLANK(tbl_task10[[คะแนนเต็ม]:[คะแนนเต็ม]]),"",(tbl_task10[103]/tbl_task10[[คะแนนเต็ม]:[คะแนนเต็ม]])*tbl_task10[[%]:[%]])</f>
        <v/>
      </c>
      <c r="JN27" s="121" t="str">
        <f>IF(ISBLANK(tbl_task10[[คะแนนเต็ม]:[คะแนนเต็ม]]),"",(tbl_task10[104]/tbl_task10[[คะแนนเต็ม]:[คะแนนเต็ม]])*tbl_task10[[%]:[%]])</f>
        <v/>
      </c>
      <c r="JO27" s="121" t="str">
        <f>IF(ISBLANK(tbl_task10[[คะแนนเต็ม]:[คะแนนเต็ม]]),"",(tbl_task10[105]/tbl_task10[[คะแนนเต็ม]:[คะแนนเต็ม]])*tbl_task10[[%]:[%]])</f>
        <v/>
      </c>
      <c r="JP27" s="121" t="str">
        <f>IF(ISBLANK(tbl_task10[[คะแนนเต็ม]:[คะแนนเต็ม]]),"",(tbl_task10[106]/tbl_task10[[คะแนนเต็ม]:[คะแนนเต็ม]])*tbl_task10[[%]:[%]])</f>
        <v/>
      </c>
      <c r="JQ27" s="121" t="str">
        <f>IF(ISBLANK(tbl_task10[[คะแนนเต็ม]:[คะแนนเต็ม]]),"",(tbl_task10[107]/tbl_task10[[คะแนนเต็ม]:[คะแนนเต็ม]])*tbl_task10[[%]:[%]])</f>
        <v/>
      </c>
      <c r="JR27" s="121" t="str">
        <f>IF(ISBLANK(tbl_task10[[คะแนนเต็ม]:[คะแนนเต็ม]]),"",(tbl_task10[108]/tbl_task10[[คะแนนเต็ม]:[คะแนนเต็ม]])*tbl_task10[[%]:[%]])</f>
        <v/>
      </c>
      <c r="JS27" s="121" t="str">
        <f>IF(ISBLANK(tbl_task10[[คะแนนเต็ม]:[คะแนนเต็ม]]),"",(tbl_task10[109]/tbl_task10[[คะแนนเต็ม]:[คะแนนเต็ม]])*tbl_task10[[%]:[%]])</f>
        <v/>
      </c>
      <c r="JT27" s="121" t="str">
        <f>IF(ISBLANK(tbl_task10[[คะแนนเต็ม]:[คะแนนเต็ม]]),"",(tbl_task10[110]/tbl_task10[[คะแนนเต็ม]:[คะแนนเต็ม]])*tbl_task10[[%]:[%]])</f>
        <v/>
      </c>
      <c r="JU27" s="121" t="str">
        <f>IF(ISBLANK(tbl_task10[[คะแนนเต็ม]:[คะแนนเต็ม]]),"",(tbl_task10[111]/tbl_task10[[คะแนนเต็ม]:[คะแนนเต็ม]])*tbl_task10[[%]:[%]])</f>
        <v/>
      </c>
      <c r="JV27" s="121" t="str">
        <f>IF(ISBLANK(tbl_task10[[คะแนนเต็ม]:[คะแนนเต็ม]]),"",(tbl_task10[112]/tbl_task10[[คะแนนเต็ม]:[คะแนนเต็ม]])*tbl_task10[[%]:[%]])</f>
        <v/>
      </c>
      <c r="JW27" s="121" t="str">
        <f>IF(ISBLANK(tbl_task10[[คะแนนเต็ม]:[คะแนนเต็ม]]),"",(tbl_task10[113]/tbl_task10[[คะแนนเต็ม]:[คะแนนเต็ม]])*tbl_task10[[%]:[%]])</f>
        <v/>
      </c>
      <c r="JX27" s="121" t="str">
        <f>IF(ISBLANK(tbl_task10[[คะแนนเต็ม]:[คะแนนเต็ม]]),"",(tbl_task10[114]/tbl_task10[[คะแนนเต็ม]:[คะแนนเต็ม]])*tbl_task10[[%]:[%]])</f>
        <v/>
      </c>
      <c r="JY27" s="121" t="str">
        <f>IF(ISBLANK(tbl_task10[[คะแนนเต็ม]:[คะแนนเต็ม]]),"",(tbl_task10[115]/tbl_task10[[คะแนนเต็ม]:[คะแนนเต็ม]])*tbl_task10[[%]:[%]])</f>
        <v/>
      </c>
      <c r="JZ27" s="121" t="str">
        <f>IF(ISBLANK(tbl_task10[[คะแนนเต็ม]:[คะแนนเต็ม]]),"",(tbl_task10[116]/tbl_task10[[คะแนนเต็ม]:[คะแนนเต็ม]])*tbl_task10[[%]:[%]])</f>
        <v/>
      </c>
      <c r="KA27" s="121" t="str">
        <f>IF(ISBLANK(tbl_task10[[คะแนนเต็ม]:[คะแนนเต็ม]]),"",(tbl_task10[117]/tbl_task10[[คะแนนเต็ม]:[คะแนนเต็ม]])*tbl_task10[[%]:[%]])</f>
        <v/>
      </c>
      <c r="KB27" s="121" t="str">
        <f>IF(ISBLANK(tbl_task10[[คะแนนเต็ม]:[คะแนนเต็ม]]),"",(tbl_task10[118]/tbl_task10[[คะแนนเต็ม]:[คะแนนเต็ม]])*tbl_task10[[%]:[%]])</f>
        <v/>
      </c>
      <c r="KC27" s="121" t="str">
        <f>IF(ISBLANK(tbl_task10[[คะแนนเต็ม]:[คะแนนเต็ม]]),"",(tbl_task10[119]/tbl_task10[[คะแนนเต็ม]:[คะแนนเต็ม]])*tbl_task10[[%]:[%]])</f>
        <v/>
      </c>
      <c r="KD27" s="121" t="str">
        <f>IF(ISBLANK(tbl_task10[[คะแนนเต็ม]:[คะแนนเต็ม]]),"",(tbl_task10[120]/tbl_task10[[คะแนนเต็ม]:[คะแนนเต็ม]])*tbl_task10[[%]:[%]])</f>
        <v/>
      </c>
      <c r="KE27" s="121" t="str">
        <f>IF(ISBLANK(tbl_task10[[คะแนนเต็ม]:[คะแนนเต็ม]]),"",(tbl_task10[121]/tbl_task10[[คะแนนเต็ม]:[คะแนนเต็ม]])*tbl_task10[[%]:[%]])</f>
        <v/>
      </c>
      <c r="KF27" s="121" t="str">
        <f>IF(ISBLANK(tbl_task10[[คะแนนเต็ม]:[คะแนนเต็ม]]),"",(tbl_task10[122]/tbl_task10[[คะแนนเต็ม]:[คะแนนเต็ม]])*tbl_task10[[%]:[%]])</f>
        <v/>
      </c>
      <c r="KG27" s="121" t="str">
        <f>IF(ISBLANK(tbl_task10[[คะแนนเต็ม]:[คะแนนเต็ม]]),"",(tbl_task10[123]/tbl_task10[[คะแนนเต็ม]:[คะแนนเต็ม]])*tbl_task10[[%]:[%]])</f>
        <v/>
      </c>
      <c r="KH27" s="121" t="str">
        <f>IF(ISBLANK(tbl_task10[[คะแนนเต็ม]:[คะแนนเต็ม]]),"",(tbl_task10[124]/tbl_task10[[คะแนนเต็ม]:[คะแนนเต็ม]])*tbl_task10[[%]:[%]])</f>
        <v/>
      </c>
      <c r="KI27" s="121" t="str">
        <f>IF(ISBLANK(tbl_task10[[คะแนนเต็ม]:[คะแนนเต็ม]]),"",(tbl_task10[125]/tbl_task10[[คะแนนเต็ม]:[คะแนนเต็ม]])*tbl_task10[[%]:[%]])</f>
        <v/>
      </c>
      <c r="KJ27" s="121" t="str">
        <f>IF(ISBLANK(tbl_task10[[คะแนนเต็ม]:[คะแนนเต็ม]]),"",(tbl_task10[126]/tbl_task10[[คะแนนเต็ม]:[คะแนนเต็ม]])*tbl_task10[[%]:[%]])</f>
        <v/>
      </c>
      <c r="KK27" s="121" t="str">
        <f>IF(ISBLANK(tbl_task10[[คะแนนเต็ม]:[คะแนนเต็ม]]),"",(tbl_task10[127]/tbl_task10[[คะแนนเต็ม]:[คะแนนเต็ม]])*tbl_task10[[%]:[%]])</f>
        <v/>
      </c>
      <c r="KL27" s="121" t="str">
        <f>IF(ISBLANK(tbl_task10[[คะแนนเต็ม]:[คะแนนเต็ม]]),"",(tbl_task10[128]/tbl_task10[[คะแนนเต็ม]:[คะแนนเต็ม]])*tbl_task10[[%]:[%]])</f>
        <v/>
      </c>
      <c r="KM27" s="121" t="str">
        <f>IF(ISBLANK(tbl_task10[[คะแนนเต็ม]:[คะแนนเต็ม]]),"",(tbl_task10[129]/tbl_task10[[คะแนนเต็ม]:[คะแนนเต็ม]])*tbl_task10[[%]:[%]])</f>
        <v/>
      </c>
      <c r="KN27" s="121" t="str">
        <f>IF(ISBLANK(tbl_task10[[คะแนนเต็ม]:[คะแนนเต็ม]]),"",(tbl_task10[130]/tbl_task10[[คะแนนเต็ม]:[คะแนนเต็ม]])*tbl_task10[[%]:[%]])</f>
        <v/>
      </c>
      <c r="KO27" s="121" t="str">
        <f>IF(ISBLANK(tbl_task10[[คะแนนเต็ม]:[คะแนนเต็ม]]),"",(tbl_task10[131]/tbl_task10[[คะแนนเต็ม]:[คะแนนเต็ม]])*tbl_task10[[%]:[%]])</f>
        <v/>
      </c>
      <c r="KP27" s="121" t="str">
        <f>IF(ISBLANK(tbl_task10[[คะแนนเต็ม]:[คะแนนเต็ม]]),"",(tbl_task10[132]/tbl_task10[[คะแนนเต็ม]:[คะแนนเต็ม]])*tbl_task10[[%]:[%]])</f>
        <v/>
      </c>
      <c r="KQ27" s="121" t="str">
        <f>IF(ISBLANK(tbl_task10[[คะแนนเต็ม]:[คะแนนเต็ม]]),"",(tbl_task10[133]/tbl_task10[[คะแนนเต็ม]:[คะแนนเต็ม]])*tbl_task10[[%]:[%]])</f>
        <v/>
      </c>
      <c r="KR27" s="121" t="str">
        <f>IF(ISBLANK(tbl_task10[[คะแนนเต็ม]:[คะแนนเต็ม]]),"",(tbl_task10[134]/tbl_task10[[คะแนนเต็ม]:[คะแนนเต็ม]])*tbl_task10[[%]:[%]])</f>
        <v/>
      </c>
      <c r="KS27" s="121" t="str">
        <f>IF(ISBLANK(tbl_task10[[คะแนนเต็ม]:[คะแนนเต็ม]]),"",(tbl_task10[135]/tbl_task10[[คะแนนเต็ม]:[คะแนนเต็ม]])*tbl_task10[[%]:[%]])</f>
        <v/>
      </c>
      <c r="KT27" s="121" t="str">
        <f>IF(ISBLANK(tbl_task10[[คะแนนเต็ม]:[คะแนนเต็ม]]),"",(tbl_task10[136]/tbl_task10[[คะแนนเต็ม]:[คะแนนเต็ม]])*tbl_task10[[%]:[%]])</f>
        <v/>
      </c>
      <c r="KU27" s="121" t="str">
        <f>IF(ISBLANK(tbl_task10[[คะแนนเต็ม]:[คะแนนเต็ม]]),"",(tbl_task10[137]/tbl_task10[[คะแนนเต็ม]:[คะแนนเต็ม]])*tbl_task10[[%]:[%]])</f>
        <v/>
      </c>
      <c r="KV27" s="121" t="str">
        <f>IF(ISBLANK(tbl_task10[[คะแนนเต็ม]:[คะแนนเต็ม]]),"",(tbl_task10[138]/tbl_task10[[คะแนนเต็ม]:[คะแนนเต็ม]])*tbl_task10[[%]:[%]])</f>
        <v/>
      </c>
      <c r="KW27" s="121" t="str">
        <f>IF(ISBLANK(tbl_task10[[คะแนนเต็ม]:[คะแนนเต็ม]]),"",(tbl_task10[139]/tbl_task10[[คะแนนเต็ม]:[คะแนนเต็ม]])*tbl_task10[[%]:[%]])</f>
        <v/>
      </c>
      <c r="KX27" s="121" t="str">
        <f>IF(ISBLANK(tbl_task10[[คะแนนเต็ม]:[คะแนนเต็ม]]),"",(tbl_task10[140]/tbl_task10[[คะแนนเต็ม]:[คะแนนเต็ม]])*tbl_task10[[%]:[%]])</f>
        <v/>
      </c>
      <c r="KY27" s="121" t="str">
        <f>IF(ISBLANK(tbl_task10[[คะแนนเต็ม]:[คะแนนเต็ม]]),"",(tbl_task10[141]/tbl_task10[[คะแนนเต็ม]:[คะแนนเต็ม]])*tbl_task10[[%]:[%]])</f>
        <v/>
      </c>
      <c r="KZ27" s="121" t="str">
        <f>IF(ISBLANK(tbl_task10[[คะแนนเต็ม]:[คะแนนเต็ม]]),"",(tbl_task10[142]/tbl_task10[[คะแนนเต็ม]:[คะแนนเต็ม]])*tbl_task10[[%]:[%]])</f>
        <v/>
      </c>
      <c r="LA27" s="121" t="str">
        <f>IF(ISBLANK(tbl_task10[[คะแนนเต็ม]:[คะแนนเต็ม]]),"",(tbl_task10[143]/tbl_task10[[คะแนนเต็ม]:[คะแนนเต็ม]])*tbl_task10[[%]:[%]])</f>
        <v/>
      </c>
      <c r="LB27" s="121" t="str">
        <f>IF(ISBLANK(tbl_task10[[คะแนนเต็ม]:[คะแนนเต็ม]]),"",(tbl_task10[144]/tbl_task10[[คะแนนเต็ม]:[คะแนนเต็ม]])*tbl_task10[[%]:[%]])</f>
        <v/>
      </c>
      <c r="LC27" s="121" t="str">
        <f>IF(ISBLANK(tbl_task10[[คะแนนเต็ม]:[คะแนนเต็ม]]),"",(tbl_task10[145]/tbl_task10[[คะแนนเต็ม]:[คะแนนเต็ม]])*tbl_task10[[%]:[%]])</f>
        <v/>
      </c>
      <c r="LD27" s="121" t="str">
        <f>IF(ISBLANK(tbl_task10[[คะแนนเต็ม]:[คะแนนเต็ม]]),"",(tbl_task10[146]/tbl_task10[[คะแนนเต็ม]:[คะแนนเต็ม]])*tbl_task10[[%]:[%]])</f>
        <v/>
      </c>
      <c r="LE27" s="121" t="str">
        <f>IF(ISBLANK(tbl_task10[[คะแนนเต็ม]:[คะแนนเต็ม]]),"",(tbl_task10[147]/tbl_task10[[คะแนนเต็ม]:[คะแนนเต็ม]])*tbl_task10[[%]:[%]])</f>
        <v/>
      </c>
      <c r="LF27" s="121" t="str">
        <f>IF(ISBLANK(tbl_task10[[คะแนนเต็ม]:[คะแนนเต็ม]]),"",(tbl_task10[148]/tbl_task10[[คะแนนเต็ม]:[คะแนนเต็ม]])*tbl_task10[[%]:[%]])</f>
        <v/>
      </c>
      <c r="LG27" s="121" t="str">
        <f>IF(ISBLANK(tbl_task10[[คะแนนเต็ม]:[คะแนนเต็ม]]),"",(tbl_task10[149]/tbl_task10[[คะแนนเต็ม]:[คะแนนเต็ม]])*tbl_task10[[%]:[%]])</f>
        <v/>
      </c>
      <c r="LH27" s="121" t="str">
        <f>IF(ISBLANK(tbl_task10[[คะแนนเต็ม]:[คะแนนเต็ม]]),"",(tbl_task10[150]/tbl_task10[[คะแนนเต็ม]:[คะแนนเต็ม]])*tbl_task10[[%]:[%]])</f>
        <v/>
      </c>
      <c r="LI27" s="121" t="str">
        <f>IF(ISBLANK(tbl_task10[[คะแนนเต็ม]:[คะแนนเต็ม]]),"",(tbl_task10[151]/tbl_task10[[คะแนนเต็ม]:[คะแนนเต็ม]])*tbl_task10[[%]:[%]])</f>
        <v/>
      </c>
      <c r="LJ27" s="121" t="str">
        <f>IF(ISBLANK(tbl_task10[[คะแนนเต็ม]:[คะแนนเต็ม]]),"",(tbl_task10[152]/tbl_task10[[คะแนนเต็ม]:[คะแนนเต็ม]])*tbl_task10[[%]:[%]])</f>
        <v/>
      </c>
      <c r="LK27" s="121" t="str">
        <f>IF(ISBLANK(tbl_task10[[คะแนนเต็ม]:[คะแนนเต็ม]]),"",(tbl_task10[153]/tbl_task10[[คะแนนเต็ม]:[คะแนนเต็ม]])*tbl_task10[[%]:[%]])</f>
        <v/>
      </c>
      <c r="LL27" s="121" t="str">
        <f>IF(ISBLANK(tbl_task10[[คะแนนเต็ม]:[คะแนนเต็ม]]),"",(tbl_task10[154]/tbl_task10[[คะแนนเต็ม]:[คะแนนเต็ม]])*tbl_task10[[%]:[%]])</f>
        <v/>
      </c>
      <c r="LM27" s="121" t="str">
        <f>IF(ISBLANK(tbl_task10[[คะแนนเต็ม]:[คะแนนเต็ม]]),"",(tbl_task10[155]/tbl_task10[[คะแนนเต็ม]:[คะแนนเต็ม]])*tbl_task10[[%]:[%]])</f>
        <v/>
      </c>
      <c r="LN27" s="121" t="str">
        <f>IF(ISBLANK(tbl_task10[[คะแนนเต็ม]:[คะแนนเต็ม]]),"",(tbl_task10[156]/tbl_task10[[คะแนนเต็ม]:[คะแนนเต็ม]])*tbl_task10[[%]:[%]])</f>
        <v/>
      </c>
      <c r="LO27" s="121" t="str">
        <f>IF(ISBLANK(tbl_task10[[คะแนนเต็ม]:[คะแนนเต็ม]]),"",(tbl_task10[157]/tbl_task10[[คะแนนเต็ม]:[คะแนนเต็ม]])*tbl_task10[[%]:[%]])</f>
        <v/>
      </c>
      <c r="LP27" s="121" t="str">
        <f>IF(ISBLANK(tbl_task10[[คะแนนเต็ม]:[คะแนนเต็ม]]),"",(tbl_task10[158]/tbl_task10[[คะแนนเต็ม]:[คะแนนเต็ม]])*tbl_task10[[%]:[%]])</f>
        <v/>
      </c>
      <c r="LQ27" s="121" t="str">
        <f>IF(ISBLANK(tbl_task10[[คะแนนเต็ม]:[คะแนนเต็ม]]),"",(tbl_task10[159]/tbl_task10[[คะแนนเต็ม]:[คะแนนเต็ม]])*tbl_task10[[%]:[%]])</f>
        <v/>
      </c>
      <c r="LR27" s="121" t="str">
        <f>IF(ISBLANK(tbl_task10[[คะแนนเต็ม]:[คะแนนเต็ม]]),"",(tbl_task10[160]/tbl_task10[[คะแนนเต็ม]:[คะแนนเต็ม]])*tbl_task10[[%]:[%]])</f>
        <v/>
      </c>
      <c r="LS27" s="121" t="str">
        <f>IF(ISBLANK(tbl_task10[[คะแนนเต็ม]:[คะแนนเต็ม]]),"",(tbl_task10[161]/tbl_task10[[คะแนนเต็ม]:[คะแนนเต็ม]])*tbl_task10[[%]:[%]])</f>
        <v/>
      </c>
      <c r="LT27" s="121" t="str">
        <f>IF(ISBLANK(tbl_task10[[คะแนนเต็ม]:[คะแนนเต็ม]]),"",(tbl_task10[162]/tbl_task10[[คะแนนเต็ม]:[คะแนนเต็ม]])*tbl_task10[[%]:[%]])</f>
        <v/>
      </c>
      <c r="LU27" s="121" t="str">
        <f>IF(ISBLANK(tbl_task10[[คะแนนเต็ม]:[คะแนนเต็ม]]),"",(tbl_task10[163]/tbl_task10[[คะแนนเต็ม]:[คะแนนเต็ม]])*tbl_task10[[%]:[%]])</f>
        <v/>
      </c>
      <c r="LV27" s="121" t="str">
        <f>IF(ISBLANK(tbl_task10[[คะแนนเต็ม]:[คะแนนเต็ม]]),"",(tbl_task10[164]/tbl_task10[[คะแนนเต็ม]:[คะแนนเต็ม]])*tbl_task10[[%]:[%]])</f>
        <v/>
      </c>
      <c r="LW27" s="121" t="str">
        <f>IF(ISBLANK(tbl_task10[[คะแนนเต็ม]:[คะแนนเต็ม]]),"",(tbl_task10[165]/tbl_task10[[คะแนนเต็ม]:[คะแนนเต็ม]])*tbl_task10[[%]:[%]])</f>
        <v/>
      </c>
    </row>
    <row r="28" spans="1:335" ht="24" customHeight="1" x14ac:dyDescent="0.25">
      <c r="A28" s="24">
        <v>25</v>
      </c>
      <c r="B28" s="25"/>
      <c r="C28" s="26" t="str">
        <f>IF(ISBLANK(B28),"",VLOOKUP(B28,tbl_PLOs[],2,0))</f>
        <v/>
      </c>
      <c r="D28" s="103"/>
      <c r="E28" s="10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121" t="str">
        <f>IF(ISBLANK(tbl_task10[[คะแนนเต็ม]:[คะแนนเต็ม]]),"",(tbl_task10[1]/tbl_task10[[คะแนนเต็ม]:[คะแนนเต็ม]])*tbl_task10[[%]:[%]])</f>
        <v/>
      </c>
      <c r="FP28" s="121" t="str">
        <f>IF(ISBLANK(tbl_task10[[คะแนนเต็ม]:[คะแนนเต็ม]]),"",(tbl_task10[2]/tbl_task10[[คะแนนเต็ม]:[คะแนนเต็ม]])*tbl_task10[[%]:[%]])</f>
        <v/>
      </c>
      <c r="FQ28" s="121" t="str">
        <f>IF(ISBLANK(tbl_task10[[คะแนนเต็ม]:[คะแนนเต็ม]]),"",(tbl_task10[3]/tbl_task10[[คะแนนเต็ม]:[คะแนนเต็ม]])*tbl_task10[[%]:[%]])</f>
        <v/>
      </c>
      <c r="FR28" s="121" t="str">
        <f>IF(ISBLANK(tbl_task10[[คะแนนเต็ม]:[คะแนนเต็ม]]),"",(tbl_task10[4]/tbl_task10[[คะแนนเต็ม]:[คะแนนเต็ม]])*tbl_task10[[%]:[%]])</f>
        <v/>
      </c>
      <c r="FS28" s="121" t="str">
        <f>IF(ISBLANK(tbl_task10[[คะแนนเต็ม]:[คะแนนเต็ม]]),"",(tbl_task10[5]/tbl_task10[[คะแนนเต็ม]:[คะแนนเต็ม]])*tbl_task10[[%]:[%]])</f>
        <v/>
      </c>
      <c r="FT28" s="121" t="str">
        <f>IF(ISBLANK(tbl_task10[[คะแนนเต็ม]:[คะแนนเต็ม]]),"",(tbl_task10[6]/tbl_task10[[คะแนนเต็ม]:[คะแนนเต็ม]])*tbl_task10[[%]:[%]])</f>
        <v/>
      </c>
      <c r="FU28" s="121" t="str">
        <f>IF(ISBLANK(tbl_task10[[คะแนนเต็ม]:[คะแนนเต็ม]]),"",(tbl_task10[7]/tbl_task10[[คะแนนเต็ม]:[คะแนนเต็ม]])*tbl_task10[[%]:[%]])</f>
        <v/>
      </c>
      <c r="FV28" s="121" t="str">
        <f>IF(ISBLANK(tbl_task10[[คะแนนเต็ม]:[คะแนนเต็ม]]),"",(tbl_task10[8]/tbl_task10[[คะแนนเต็ม]:[คะแนนเต็ม]])*tbl_task10[[%]:[%]])</f>
        <v/>
      </c>
      <c r="FW28" s="121" t="str">
        <f>IF(ISBLANK(tbl_task10[[คะแนนเต็ม]:[คะแนนเต็ม]]),"",(tbl_task10[9]/tbl_task10[[คะแนนเต็ม]:[คะแนนเต็ม]])*tbl_task10[[%]:[%]])</f>
        <v/>
      </c>
      <c r="FX28" s="121" t="str">
        <f>IF(ISBLANK(tbl_task10[[คะแนนเต็ม]:[คะแนนเต็ม]]),"",(tbl_task10[10]/tbl_task10[[คะแนนเต็ม]:[คะแนนเต็ม]])*tbl_task10[[%]:[%]])</f>
        <v/>
      </c>
      <c r="FY28" s="121" t="str">
        <f>IF(ISBLANK(tbl_task10[[คะแนนเต็ม]:[คะแนนเต็ม]]),"",(tbl_task10[11]/tbl_task10[[คะแนนเต็ม]:[คะแนนเต็ม]])*tbl_task10[[%]:[%]])</f>
        <v/>
      </c>
      <c r="FZ28" s="121" t="str">
        <f>IF(ISBLANK(tbl_task10[[คะแนนเต็ม]:[คะแนนเต็ม]]),"",(tbl_task10[12]/tbl_task10[[คะแนนเต็ม]:[คะแนนเต็ม]])*tbl_task10[[%]:[%]])</f>
        <v/>
      </c>
      <c r="GA28" s="121" t="str">
        <f>IF(ISBLANK(tbl_task10[[คะแนนเต็ม]:[คะแนนเต็ม]]),"",(tbl_task10[13]/tbl_task10[[คะแนนเต็ม]:[คะแนนเต็ม]])*tbl_task10[[%]:[%]])</f>
        <v/>
      </c>
      <c r="GB28" s="121" t="str">
        <f>IF(ISBLANK(tbl_task10[[คะแนนเต็ม]:[คะแนนเต็ม]]),"",(tbl_task10[14]/tbl_task10[[คะแนนเต็ม]:[คะแนนเต็ม]])*tbl_task10[[%]:[%]])</f>
        <v/>
      </c>
      <c r="GC28" s="121" t="str">
        <f>IF(ISBLANK(tbl_task10[[คะแนนเต็ม]:[คะแนนเต็ม]]),"",(tbl_task10[15]/tbl_task10[[คะแนนเต็ม]:[คะแนนเต็ม]])*tbl_task10[[%]:[%]])</f>
        <v/>
      </c>
      <c r="GD28" s="121" t="str">
        <f>IF(ISBLANK(tbl_task10[[คะแนนเต็ม]:[คะแนนเต็ม]]),"",(tbl_task10[16]/tbl_task10[[คะแนนเต็ม]:[คะแนนเต็ม]])*tbl_task10[[%]:[%]])</f>
        <v/>
      </c>
      <c r="GE28" s="121" t="str">
        <f>IF(ISBLANK(tbl_task10[[คะแนนเต็ม]:[คะแนนเต็ม]]),"",(tbl_task10[17]/tbl_task10[[คะแนนเต็ม]:[คะแนนเต็ม]])*tbl_task10[[%]:[%]])</f>
        <v/>
      </c>
      <c r="GF28" s="121" t="str">
        <f>IF(ISBLANK(tbl_task10[[คะแนนเต็ม]:[คะแนนเต็ม]]),"",(tbl_task10[18]/tbl_task10[[คะแนนเต็ม]:[คะแนนเต็ม]])*tbl_task10[[%]:[%]])</f>
        <v/>
      </c>
      <c r="GG28" s="121" t="str">
        <f>IF(ISBLANK(tbl_task10[[คะแนนเต็ม]:[คะแนนเต็ม]]),"",(tbl_task10[19]/tbl_task10[[คะแนนเต็ม]:[คะแนนเต็ม]])*tbl_task10[[%]:[%]])</f>
        <v/>
      </c>
      <c r="GH28" s="121" t="str">
        <f>IF(ISBLANK(tbl_task10[[คะแนนเต็ม]:[คะแนนเต็ม]]),"",(tbl_task10[20]/tbl_task10[[คะแนนเต็ม]:[คะแนนเต็ม]])*tbl_task10[[%]:[%]])</f>
        <v/>
      </c>
      <c r="GI28" s="121" t="str">
        <f>IF(ISBLANK(tbl_task10[[คะแนนเต็ม]:[คะแนนเต็ม]]),"",(tbl_task10[21]/tbl_task10[[คะแนนเต็ม]:[คะแนนเต็ม]])*tbl_task10[[%]:[%]])</f>
        <v/>
      </c>
      <c r="GJ28" s="121" t="str">
        <f>IF(ISBLANK(tbl_task10[[คะแนนเต็ม]:[คะแนนเต็ม]]),"",(tbl_task10[22]/tbl_task10[[คะแนนเต็ม]:[คะแนนเต็ม]])*tbl_task10[[%]:[%]])</f>
        <v/>
      </c>
      <c r="GK28" s="121" t="str">
        <f>IF(ISBLANK(tbl_task10[[คะแนนเต็ม]:[คะแนนเต็ม]]),"",(tbl_task10[23]/tbl_task10[[คะแนนเต็ม]:[คะแนนเต็ม]])*tbl_task10[[%]:[%]])</f>
        <v/>
      </c>
      <c r="GL28" s="121" t="str">
        <f>IF(ISBLANK(tbl_task10[[คะแนนเต็ม]:[คะแนนเต็ม]]),"",(tbl_task10[24]/tbl_task10[[คะแนนเต็ม]:[คะแนนเต็ม]])*tbl_task10[[%]:[%]])</f>
        <v/>
      </c>
      <c r="GM28" s="121" t="str">
        <f>IF(ISBLANK(tbl_task10[[คะแนนเต็ม]:[คะแนนเต็ม]]),"",(tbl_task10[25]/tbl_task10[[คะแนนเต็ม]:[คะแนนเต็ม]])*tbl_task10[[%]:[%]])</f>
        <v/>
      </c>
      <c r="GN28" s="121" t="str">
        <f>IF(ISBLANK(tbl_task10[[คะแนนเต็ม]:[คะแนนเต็ม]]),"",(tbl_task10[26]/tbl_task10[[คะแนนเต็ม]:[คะแนนเต็ม]])*tbl_task10[[%]:[%]])</f>
        <v/>
      </c>
      <c r="GO28" s="121" t="str">
        <f>IF(ISBLANK(tbl_task10[[คะแนนเต็ม]:[คะแนนเต็ม]]),"",(tbl_task10[27]/tbl_task10[[คะแนนเต็ม]:[คะแนนเต็ม]])*tbl_task10[[%]:[%]])</f>
        <v/>
      </c>
      <c r="GP28" s="121" t="str">
        <f>IF(ISBLANK(tbl_task10[[คะแนนเต็ม]:[คะแนนเต็ม]]),"",(tbl_task10[28]/tbl_task10[[คะแนนเต็ม]:[คะแนนเต็ม]])*tbl_task10[[%]:[%]])</f>
        <v/>
      </c>
      <c r="GQ28" s="121" t="str">
        <f>IF(ISBLANK(tbl_task10[[คะแนนเต็ม]:[คะแนนเต็ม]]),"",(tbl_task10[29]/tbl_task10[[คะแนนเต็ม]:[คะแนนเต็ม]])*tbl_task10[[%]:[%]])</f>
        <v/>
      </c>
      <c r="GR28" s="121" t="str">
        <f>IF(ISBLANK(tbl_task10[[คะแนนเต็ม]:[คะแนนเต็ม]]),"",(tbl_task10[30]/tbl_task10[[คะแนนเต็ม]:[คะแนนเต็ม]])*tbl_task10[[%]:[%]])</f>
        <v/>
      </c>
      <c r="GS28" s="121" t="str">
        <f>IF(ISBLANK(tbl_task10[[คะแนนเต็ม]:[คะแนนเต็ม]]),"",(tbl_task10[31]/tbl_task10[[คะแนนเต็ม]:[คะแนนเต็ม]])*tbl_task10[[%]:[%]])</f>
        <v/>
      </c>
      <c r="GT28" s="121" t="str">
        <f>IF(ISBLANK(tbl_task10[[คะแนนเต็ม]:[คะแนนเต็ม]]),"",(tbl_task10[32]/tbl_task10[[คะแนนเต็ม]:[คะแนนเต็ม]])*tbl_task10[[%]:[%]])</f>
        <v/>
      </c>
      <c r="GU28" s="121" t="str">
        <f>IF(ISBLANK(tbl_task10[[คะแนนเต็ม]:[คะแนนเต็ม]]),"",(tbl_task10[33]/tbl_task10[[คะแนนเต็ม]:[คะแนนเต็ม]])*tbl_task10[[%]:[%]])</f>
        <v/>
      </c>
      <c r="GV28" s="121" t="str">
        <f>IF(ISBLANK(tbl_task10[[คะแนนเต็ม]:[คะแนนเต็ม]]),"",(tbl_task10[34]/tbl_task10[[คะแนนเต็ม]:[คะแนนเต็ม]])*tbl_task10[[%]:[%]])</f>
        <v/>
      </c>
      <c r="GW28" s="121" t="str">
        <f>IF(ISBLANK(tbl_task10[[คะแนนเต็ม]:[คะแนนเต็ม]]),"",(tbl_task10[35]/tbl_task10[[คะแนนเต็ม]:[คะแนนเต็ม]])*tbl_task10[[%]:[%]])</f>
        <v/>
      </c>
      <c r="GX28" s="121" t="str">
        <f>IF(ISBLANK(tbl_task10[[คะแนนเต็ม]:[คะแนนเต็ม]]),"",(tbl_task10[36]/tbl_task10[[คะแนนเต็ม]:[คะแนนเต็ม]])*tbl_task10[[%]:[%]])</f>
        <v/>
      </c>
      <c r="GY28" s="121" t="str">
        <f>IF(ISBLANK(tbl_task10[[คะแนนเต็ม]:[คะแนนเต็ม]]),"",(tbl_task10[37]/tbl_task10[[คะแนนเต็ม]:[คะแนนเต็ม]])*tbl_task10[[%]:[%]])</f>
        <v/>
      </c>
      <c r="GZ28" s="121" t="str">
        <f>IF(ISBLANK(tbl_task10[[คะแนนเต็ม]:[คะแนนเต็ม]]),"",(tbl_task10[38]/tbl_task10[[คะแนนเต็ม]:[คะแนนเต็ม]])*tbl_task10[[%]:[%]])</f>
        <v/>
      </c>
      <c r="HA28" s="121" t="str">
        <f>IF(ISBLANK(tbl_task10[[คะแนนเต็ม]:[คะแนนเต็ม]]),"",(tbl_task10[39]/tbl_task10[[คะแนนเต็ม]:[คะแนนเต็ม]])*tbl_task10[[%]:[%]])</f>
        <v/>
      </c>
      <c r="HB28" s="121" t="str">
        <f>IF(ISBLANK(tbl_task10[[คะแนนเต็ม]:[คะแนนเต็ม]]),"",(tbl_task10[40]/tbl_task10[[คะแนนเต็ม]:[คะแนนเต็ม]])*tbl_task10[[%]:[%]])</f>
        <v/>
      </c>
      <c r="HC28" s="121" t="str">
        <f>IF(ISBLANK(tbl_task10[[คะแนนเต็ม]:[คะแนนเต็ม]]),"",(tbl_task10[41]/tbl_task10[[คะแนนเต็ม]:[คะแนนเต็ม]])*tbl_task10[[%]:[%]])</f>
        <v/>
      </c>
      <c r="HD28" s="121" t="str">
        <f>IF(ISBLANK(tbl_task10[[คะแนนเต็ม]:[คะแนนเต็ม]]),"",(tbl_task10[42]/tbl_task10[[คะแนนเต็ม]:[คะแนนเต็ม]])*tbl_task10[[%]:[%]])</f>
        <v/>
      </c>
      <c r="HE28" s="121" t="str">
        <f>IF(ISBLANK(tbl_task10[[คะแนนเต็ม]:[คะแนนเต็ม]]),"",(tbl_task10[43]/tbl_task10[[คะแนนเต็ม]:[คะแนนเต็ม]])*tbl_task10[[%]:[%]])</f>
        <v/>
      </c>
      <c r="HF28" s="121" t="str">
        <f>IF(ISBLANK(tbl_task10[[คะแนนเต็ม]:[คะแนนเต็ม]]),"",(tbl_task10[44]/tbl_task10[[คะแนนเต็ม]:[คะแนนเต็ม]])*tbl_task10[[%]:[%]])</f>
        <v/>
      </c>
      <c r="HG28" s="121" t="str">
        <f>IF(ISBLANK(tbl_task10[[คะแนนเต็ม]:[คะแนนเต็ม]]),"",(tbl_task10[45]/tbl_task10[[คะแนนเต็ม]:[คะแนนเต็ม]])*tbl_task10[[%]:[%]])</f>
        <v/>
      </c>
      <c r="HH28" s="121" t="str">
        <f>IF(ISBLANK(tbl_task10[[คะแนนเต็ม]:[คะแนนเต็ม]]),"",(tbl_task10[46]/tbl_task10[[คะแนนเต็ม]:[คะแนนเต็ม]])*tbl_task10[[%]:[%]])</f>
        <v/>
      </c>
      <c r="HI28" s="121" t="str">
        <f>IF(ISBLANK(tbl_task10[[คะแนนเต็ม]:[คะแนนเต็ม]]),"",(tbl_task10[47]/tbl_task10[[คะแนนเต็ม]:[คะแนนเต็ม]])*tbl_task10[[%]:[%]])</f>
        <v/>
      </c>
      <c r="HJ28" s="121" t="str">
        <f>IF(ISBLANK(tbl_task10[[คะแนนเต็ม]:[คะแนนเต็ม]]),"",(tbl_task10[48]/tbl_task10[[คะแนนเต็ม]:[คะแนนเต็ม]])*tbl_task10[[%]:[%]])</f>
        <v/>
      </c>
      <c r="HK28" s="121" t="str">
        <f>IF(ISBLANK(tbl_task10[[คะแนนเต็ม]:[คะแนนเต็ม]]),"",(tbl_task10[49]/tbl_task10[[คะแนนเต็ม]:[คะแนนเต็ม]])*tbl_task10[[%]:[%]])</f>
        <v/>
      </c>
      <c r="HL28" s="121" t="str">
        <f>IF(ISBLANK(tbl_task10[[คะแนนเต็ม]:[คะแนนเต็ม]]),"",(tbl_task10[50]/tbl_task10[[คะแนนเต็ม]:[คะแนนเต็ม]])*tbl_task10[[%]:[%]])</f>
        <v/>
      </c>
      <c r="HM28" s="121" t="str">
        <f>IF(ISBLANK(tbl_task10[[คะแนนเต็ม]:[คะแนนเต็ม]]),"",(tbl_task10[51]/tbl_task10[[คะแนนเต็ม]:[คะแนนเต็ม]])*tbl_task10[[%]:[%]])</f>
        <v/>
      </c>
      <c r="HN28" s="121" t="str">
        <f>IF(ISBLANK(tbl_task10[[คะแนนเต็ม]:[คะแนนเต็ม]]),"",(tbl_task10[52]/tbl_task10[[คะแนนเต็ม]:[คะแนนเต็ม]])*tbl_task10[[%]:[%]])</f>
        <v/>
      </c>
      <c r="HO28" s="121" t="str">
        <f>IF(ISBLANK(tbl_task10[[คะแนนเต็ม]:[คะแนนเต็ม]]),"",(tbl_task10[53]/tbl_task10[[คะแนนเต็ม]:[คะแนนเต็ม]])*tbl_task10[[%]:[%]])</f>
        <v/>
      </c>
      <c r="HP28" s="121" t="str">
        <f>IF(ISBLANK(tbl_task10[[คะแนนเต็ม]:[คะแนนเต็ม]]),"",(tbl_task10[54]/tbl_task10[[คะแนนเต็ม]:[คะแนนเต็ม]])*tbl_task10[[%]:[%]])</f>
        <v/>
      </c>
      <c r="HQ28" s="121" t="str">
        <f>IF(ISBLANK(tbl_task10[[คะแนนเต็ม]:[คะแนนเต็ม]]),"",(tbl_task10[55]/tbl_task10[[คะแนนเต็ม]:[คะแนนเต็ม]])*tbl_task10[[%]:[%]])</f>
        <v/>
      </c>
      <c r="HR28" s="121" t="str">
        <f>IF(ISBLANK(tbl_task10[[คะแนนเต็ม]:[คะแนนเต็ม]]),"",(tbl_task10[56]/tbl_task10[[คะแนนเต็ม]:[คะแนนเต็ม]])*tbl_task10[[%]:[%]])</f>
        <v/>
      </c>
      <c r="HS28" s="121" t="str">
        <f>IF(ISBLANK(tbl_task10[[คะแนนเต็ม]:[คะแนนเต็ม]]),"",(tbl_task10[57]/tbl_task10[[คะแนนเต็ม]:[คะแนนเต็ม]])*tbl_task10[[%]:[%]])</f>
        <v/>
      </c>
      <c r="HT28" s="121" t="str">
        <f>IF(ISBLANK(tbl_task10[[คะแนนเต็ม]:[คะแนนเต็ม]]),"",(tbl_task10[58]/tbl_task10[[คะแนนเต็ม]:[คะแนนเต็ม]])*tbl_task10[[%]:[%]])</f>
        <v/>
      </c>
      <c r="HU28" s="121" t="str">
        <f>IF(ISBLANK(tbl_task10[[คะแนนเต็ม]:[คะแนนเต็ม]]),"",(tbl_task10[59]/tbl_task10[[คะแนนเต็ม]:[คะแนนเต็ม]])*tbl_task10[[%]:[%]])</f>
        <v/>
      </c>
      <c r="HV28" s="121" t="str">
        <f>IF(ISBLANK(tbl_task10[[คะแนนเต็ม]:[คะแนนเต็ม]]),"",(tbl_task10[60]/tbl_task10[[คะแนนเต็ม]:[คะแนนเต็ม]])*tbl_task10[[%]:[%]])</f>
        <v/>
      </c>
      <c r="HW28" s="121" t="str">
        <f>IF(ISBLANK(tbl_task10[[คะแนนเต็ม]:[คะแนนเต็ม]]),"",(tbl_task10[61]/tbl_task10[[คะแนนเต็ม]:[คะแนนเต็ม]])*tbl_task10[[%]:[%]])</f>
        <v/>
      </c>
      <c r="HX28" s="121" t="str">
        <f>IF(ISBLANK(tbl_task10[[คะแนนเต็ม]:[คะแนนเต็ม]]),"",(tbl_task10[62]/tbl_task10[[คะแนนเต็ม]:[คะแนนเต็ม]])*tbl_task10[[%]:[%]])</f>
        <v/>
      </c>
      <c r="HY28" s="121" t="str">
        <f>IF(ISBLANK(tbl_task10[[คะแนนเต็ม]:[คะแนนเต็ม]]),"",(tbl_task10[63]/tbl_task10[[คะแนนเต็ม]:[คะแนนเต็ม]])*tbl_task10[[%]:[%]])</f>
        <v/>
      </c>
      <c r="HZ28" s="121" t="str">
        <f>IF(ISBLANK(tbl_task10[[คะแนนเต็ม]:[คะแนนเต็ม]]),"",(tbl_task10[64]/tbl_task10[[คะแนนเต็ม]:[คะแนนเต็ม]])*tbl_task10[[%]:[%]])</f>
        <v/>
      </c>
      <c r="IA28" s="121" t="str">
        <f>IF(ISBLANK(tbl_task10[[คะแนนเต็ม]:[คะแนนเต็ม]]),"",(tbl_task10[65]/tbl_task10[[คะแนนเต็ม]:[คะแนนเต็ม]])*tbl_task10[[%]:[%]])</f>
        <v/>
      </c>
      <c r="IB28" s="121" t="str">
        <f>IF(ISBLANK(tbl_task10[[คะแนนเต็ม]:[คะแนนเต็ม]]),"",(tbl_task10[66]/tbl_task10[[คะแนนเต็ม]:[คะแนนเต็ม]])*tbl_task10[[%]:[%]])</f>
        <v/>
      </c>
      <c r="IC28" s="121" t="str">
        <f>IF(ISBLANK(tbl_task10[[คะแนนเต็ม]:[คะแนนเต็ม]]),"",(tbl_task10[67]/tbl_task10[[คะแนนเต็ม]:[คะแนนเต็ม]])*tbl_task10[[%]:[%]])</f>
        <v/>
      </c>
      <c r="ID28" s="121" t="str">
        <f>IF(ISBLANK(tbl_task10[[คะแนนเต็ม]:[คะแนนเต็ม]]),"",(tbl_task10[68]/tbl_task10[[คะแนนเต็ม]:[คะแนนเต็ม]])*tbl_task10[[%]:[%]])</f>
        <v/>
      </c>
      <c r="IE28" s="121" t="str">
        <f>IF(ISBLANK(tbl_task10[[คะแนนเต็ม]:[คะแนนเต็ม]]),"",(tbl_task10[69]/tbl_task10[[คะแนนเต็ม]:[คะแนนเต็ม]])*tbl_task10[[%]:[%]])</f>
        <v/>
      </c>
      <c r="IF28" s="121" t="str">
        <f>IF(ISBLANK(tbl_task10[[คะแนนเต็ม]:[คะแนนเต็ม]]),"",(tbl_task10[70]/tbl_task10[[คะแนนเต็ม]:[คะแนนเต็ม]])*tbl_task10[[%]:[%]])</f>
        <v/>
      </c>
      <c r="IG28" s="121" t="str">
        <f>IF(ISBLANK(tbl_task10[[คะแนนเต็ม]:[คะแนนเต็ม]]),"",(tbl_task10[71]/tbl_task10[[คะแนนเต็ม]:[คะแนนเต็ม]])*tbl_task10[[%]:[%]])</f>
        <v/>
      </c>
      <c r="IH28" s="121" t="str">
        <f>IF(ISBLANK(tbl_task10[[คะแนนเต็ม]:[คะแนนเต็ม]]),"",(tbl_task10[72]/tbl_task10[[คะแนนเต็ม]:[คะแนนเต็ม]])*tbl_task10[[%]:[%]])</f>
        <v/>
      </c>
      <c r="II28" s="121" t="str">
        <f>IF(ISBLANK(tbl_task10[[คะแนนเต็ม]:[คะแนนเต็ม]]),"",(tbl_task10[73]/tbl_task10[[คะแนนเต็ม]:[คะแนนเต็ม]])*tbl_task10[[%]:[%]])</f>
        <v/>
      </c>
      <c r="IJ28" s="121" t="str">
        <f>IF(ISBLANK(tbl_task10[[คะแนนเต็ม]:[คะแนนเต็ม]]),"",(tbl_task10[74]/tbl_task10[[คะแนนเต็ม]:[คะแนนเต็ม]])*tbl_task10[[%]:[%]])</f>
        <v/>
      </c>
      <c r="IK28" s="121" t="str">
        <f>IF(ISBLANK(tbl_task10[[คะแนนเต็ม]:[คะแนนเต็ม]]),"",(tbl_task10[75]/tbl_task10[[คะแนนเต็ม]:[คะแนนเต็ม]])*tbl_task10[[%]:[%]])</f>
        <v/>
      </c>
      <c r="IL28" s="121" t="str">
        <f>IF(ISBLANK(tbl_task10[[คะแนนเต็ม]:[คะแนนเต็ม]]),"",(tbl_task10[76]/tbl_task10[[คะแนนเต็ม]:[คะแนนเต็ม]])*tbl_task10[[%]:[%]])</f>
        <v/>
      </c>
      <c r="IM28" s="121" t="str">
        <f>IF(ISBLANK(tbl_task10[[คะแนนเต็ม]:[คะแนนเต็ม]]),"",(tbl_task10[77]/tbl_task10[[คะแนนเต็ม]:[คะแนนเต็ม]])*tbl_task10[[%]:[%]])</f>
        <v/>
      </c>
      <c r="IN28" s="121" t="str">
        <f>IF(ISBLANK(tbl_task10[[คะแนนเต็ม]:[คะแนนเต็ม]]),"",(tbl_task10[78]/tbl_task10[[คะแนนเต็ม]:[คะแนนเต็ม]])*tbl_task10[[%]:[%]])</f>
        <v/>
      </c>
      <c r="IO28" s="121" t="str">
        <f>IF(ISBLANK(tbl_task10[[คะแนนเต็ม]:[คะแนนเต็ม]]),"",(tbl_task10[79]/tbl_task10[[คะแนนเต็ม]:[คะแนนเต็ม]])*tbl_task10[[%]:[%]])</f>
        <v/>
      </c>
      <c r="IP28" s="121" t="str">
        <f>IF(ISBLANK(tbl_task10[[คะแนนเต็ม]:[คะแนนเต็ม]]),"",(tbl_task10[80]/tbl_task10[[คะแนนเต็ม]:[คะแนนเต็ม]])*tbl_task10[[%]:[%]])</f>
        <v/>
      </c>
      <c r="IQ28" s="121" t="str">
        <f>IF(ISBLANK(tbl_task10[[คะแนนเต็ม]:[คะแนนเต็ม]]),"",(tbl_task10[81]/tbl_task10[[คะแนนเต็ม]:[คะแนนเต็ม]])*tbl_task10[[%]:[%]])</f>
        <v/>
      </c>
      <c r="IR28" s="121" t="str">
        <f>IF(ISBLANK(tbl_task10[[คะแนนเต็ม]:[คะแนนเต็ม]]),"",(tbl_task10[82]/tbl_task10[[คะแนนเต็ม]:[คะแนนเต็ม]])*tbl_task10[[%]:[%]])</f>
        <v/>
      </c>
      <c r="IS28" s="121" t="str">
        <f>IF(ISBLANK(tbl_task10[[คะแนนเต็ม]:[คะแนนเต็ม]]),"",(tbl_task10[83]/tbl_task10[[คะแนนเต็ม]:[คะแนนเต็ม]])*tbl_task10[[%]:[%]])</f>
        <v/>
      </c>
      <c r="IT28" s="121" t="str">
        <f>IF(ISBLANK(tbl_task10[[คะแนนเต็ม]:[คะแนนเต็ม]]),"",(tbl_task10[84]/tbl_task10[[คะแนนเต็ม]:[คะแนนเต็ม]])*tbl_task10[[%]:[%]])</f>
        <v/>
      </c>
      <c r="IU28" s="121" t="str">
        <f>IF(ISBLANK(tbl_task10[[คะแนนเต็ม]:[คะแนนเต็ม]]),"",(tbl_task10[85]/tbl_task10[[คะแนนเต็ม]:[คะแนนเต็ม]])*tbl_task10[[%]:[%]])</f>
        <v/>
      </c>
      <c r="IV28" s="121" t="str">
        <f>IF(ISBLANK(tbl_task10[[คะแนนเต็ม]:[คะแนนเต็ม]]),"",(tbl_task10[86]/tbl_task10[[คะแนนเต็ม]:[คะแนนเต็ม]])*tbl_task10[[%]:[%]])</f>
        <v/>
      </c>
      <c r="IW28" s="121" t="str">
        <f>IF(ISBLANK(tbl_task10[[คะแนนเต็ม]:[คะแนนเต็ม]]),"",(tbl_task10[87]/tbl_task10[[คะแนนเต็ม]:[คะแนนเต็ม]])*tbl_task10[[%]:[%]])</f>
        <v/>
      </c>
      <c r="IX28" s="121" t="str">
        <f>IF(ISBLANK(tbl_task10[[คะแนนเต็ม]:[คะแนนเต็ม]]),"",(tbl_task10[88]/tbl_task10[[คะแนนเต็ม]:[คะแนนเต็ม]])*tbl_task10[[%]:[%]])</f>
        <v/>
      </c>
      <c r="IY28" s="121" t="str">
        <f>IF(ISBLANK(tbl_task10[[คะแนนเต็ม]:[คะแนนเต็ม]]),"",(tbl_task10[89]/tbl_task10[[คะแนนเต็ม]:[คะแนนเต็ม]])*tbl_task10[[%]:[%]])</f>
        <v/>
      </c>
      <c r="IZ28" s="121" t="str">
        <f>IF(ISBLANK(tbl_task10[[คะแนนเต็ม]:[คะแนนเต็ม]]),"",(tbl_task10[90]/tbl_task10[[คะแนนเต็ม]:[คะแนนเต็ม]])*tbl_task10[[%]:[%]])</f>
        <v/>
      </c>
      <c r="JA28" s="121" t="str">
        <f>IF(ISBLANK(tbl_task10[[คะแนนเต็ม]:[คะแนนเต็ม]]),"",(tbl_task10[91]/tbl_task10[[คะแนนเต็ม]:[คะแนนเต็ม]])*tbl_task10[[%]:[%]])</f>
        <v/>
      </c>
      <c r="JB28" s="121" t="str">
        <f>IF(ISBLANK(tbl_task10[[คะแนนเต็ม]:[คะแนนเต็ม]]),"",(tbl_task10[92]/tbl_task10[[คะแนนเต็ม]:[คะแนนเต็ม]])*tbl_task10[[%]:[%]])</f>
        <v/>
      </c>
      <c r="JC28" s="121" t="str">
        <f>IF(ISBLANK(tbl_task10[[คะแนนเต็ม]:[คะแนนเต็ม]]),"",(tbl_task10[93]/tbl_task10[[คะแนนเต็ม]:[คะแนนเต็ม]])*tbl_task10[[%]:[%]])</f>
        <v/>
      </c>
      <c r="JD28" s="121" t="str">
        <f>IF(ISBLANK(tbl_task10[[คะแนนเต็ม]:[คะแนนเต็ม]]),"",(tbl_task10[94]/tbl_task10[[คะแนนเต็ม]:[คะแนนเต็ม]])*tbl_task10[[%]:[%]])</f>
        <v/>
      </c>
      <c r="JE28" s="121" t="str">
        <f>IF(ISBLANK(tbl_task10[[คะแนนเต็ม]:[คะแนนเต็ม]]),"",(tbl_task10[95]/tbl_task10[[คะแนนเต็ม]:[คะแนนเต็ม]])*tbl_task10[[%]:[%]])</f>
        <v/>
      </c>
      <c r="JF28" s="121" t="str">
        <f>IF(ISBLANK(tbl_task10[[คะแนนเต็ม]:[คะแนนเต็ม]]),"",(tbl_task10[96]/tbl_task10[[คะแนนเต็ม]:[คะแนนเต็ม]])*tbl_task10[[%]:[%]])</f>
        <v/>
      </c>
      <c r="JG28" s="121" t="str">
        <f>IF(ISBLANK(tbl_task10[[คะแนนเต็ม]:[คะแนนเต็ม]]),"",(tbl_task10[97]/tbl_task10[[คะแนนเต็ม]:[คะแนนเต็ม]])*tbl_task10[[%]:[%]])</f>
        <v/>
      </c>
      <c r="JH28" s="121" t="str">
        <f>IF(ISBLANK(tbl_task10[[คะแนนเต็ม]:[คะแนนเต็ม]]),"",(tbl_task10[98]/tbl_task10[[คะแนนเต็ม]:[คะแนนเต็ม]])*tbl_task10[[%]:[%]])</f>
        <v/>
      </c>
      <c r="JI28" s="121" t="str">
        <f>IF(ISBLANK(tbl_task10[[คะแนนเต็ม]:[คะแนนเต็ม]]),"",(tbl_task10[99]/tbl_task10[[คะแนนเต็ม]:[คะแนนเต็ม]])*tbl_task10[[%]:[%]])</f>
        <v/>
      </c>
      <c r="JJ28" s="121" t="str">
        <f>IF(ISBLANK(tbl_task10[[คะแนนเต็ม]:[คะแนนเต็ม]]),"",(tbl_task10[100]/tbl_task10[[คะแนนเต็ม]:[คะแนนเต็ม]])*tbl_task10[[%]:[%]])</f>
        <v/>
      </c>
      <c r="JK28" s="121" t="str">
        <f>IF(ISBLANK(tbl_task10[[คะแนนเต็ม]:[คะแนนเต็ม]]),"",(tbl_task10[101]/tbl_task10[[คะแนนเต็ม]:[คะแนนเต็ม]])*tbl_task10[[%]:[%]])</f>
        <v/>
      </c>
      <c r="JL28" s="121" t="str">
        <f>IF(ISBLANK(tbl_task10[[คะแนนเต็ม]:[คะแนนเต็ม]]),"",(tbl_task10[102]/tbl_task10[[คะแนนเต็ม]:[คะแนนเต็ม]])*tbl_task10[[%]:[%]])</f>
        <v/>
      </c>
      <c r="JM28" s="121" t="str">
        <f>IF(ISBLANK(tbl_task10[[คะแนนเต็ม]:[คะแนนเต็ม]]),"",(tbl_task10[103]/tbl_task10[[คะแนนเต็ม]:[คะแนนเต็ม]])*tbl_task10[[%]:[%]])</f>
        <v/>
      </c>
      <c r="JN28" s="121" t="str">
        <f>IF(ISBLANK(tbl_task10[[คะแนนเต็ม]:[คะแนนเต็ม]]),"",(tbl_task10[104]/tbl_task10[[คะแนนเต็ม]:[คะแนนเต็ม]])*tbl_task10[[%]:[%]])</f>
        <v/>
      </c>
      <c r="JO28" s="121" t="str">
        <f>IF(ISBLANK(tbl_task10[[คะแนนเต็ม]:[คะแนนเต็ม]]),"",(tbl_task10[105]/tbl_task10[[คะแนนเต็ม]:[คะแนนเต็ม]])*tbl_task10[[%]:[%]])</f>
        <v/>
      </c>
      <c r="JP28" s="121" t="str">
        <f>IF(ISBLANK(tbl_task10[[คะแนนเต็ม]:[คะแนนเต็ม]]),"",(tbl_task10[106]/tbl_task10[[คะแนนเต็ม]:[คะแนนเต็ม]])*tbl_task10[[%]:[%]])</f>
        <v/>
      </c>
      <c r="JQ28" s="121" t="str">
        <f>IF(ISBLANK(tbl_task10[[คะแนนเต็ม]:[คะแนนเต็ม]]),"",(tbl_task10[107]/tbl_task10[[คะแนนเต็ม]:[คะแนนเต็ม]])*tbl_task10[[%]:[%]])</f>
        <v/>
      </c>
      <c r="JR28" s="121" t="str">
        <f>IF(ISBLANK(tbl_task10[[คะแนนเต็ม]:[คะแนนเต็ม]]),"",(tbl_task10[108]/tbl_task10[[คะแนนเต็ม]:[คะแนนเต็ม]])*tbl_task10[[%]:[%]])</f>
        <v/>
      </c>
      <c r="JS28" s="121" t="str">
        <f>IF(ISBLANK(tbl_task10[[คะแนนเต็ม]:[คะแนนเต็ม]]),"",(tbl_task10[109]/tbl_task10[[คะแนนเต็ม]:[คะแนนเต็ม]])*tbl_task10[[%]:[%]])</f>
        <v/>
      </c>
      <c r="JT28" s="121" t="str">
        <f>IF(ISBLANK(tbl_task10[[คะแนนเต็ม]:[คะแนนเต็ม]]),"",(tbl_task10[110]/tbl_task10[[คะแนนเต็ม]:[คะแนนเต็ม]])*tbl_task10[[%]:[%]])</f>
        <v/>
      </c>
      <c r="JU28" s="121" t="str">
        <f>IF(ISBLANK(tbl_task10[[คะแนนเต็ม]:[คะแนนเต็ม]]),"",(tbl_task10[111]/tbl_task10[[คะแนนเต็ม]:[คะแนนเต็ม]])*tbl_task10[[%]:[%]])</f>
        <v/>
      </c>
      <c r="JV28" s="121" t="str">
        <f>IF(ISBLANK(tbl_task10[[คะแนนเต็ม]:[คะแนนเต็ม]]),"",(tbl_task10[112]/tbl_task10[[คะแนนเต็ม]:[คะแนนเต็ม]])*tbl_task10[[%]:[%]])</f>
        <v/>
      </c>
      <c r="JW28" s="121" t="str">
        <f>IF(ISBLANK(tbl_task10[[คะแนนเต็ม]:[คะแนนเต็ม]]),"",(tbl_task10[113]/tbl_task10[[คะแนนเต็ม]:[คะแนนเต็ม]])*tbl_task10[[%]:[%]])</f>
        <v/>
      </c>
      <c r="JX28" s="121" t="str">
        <f>IF(ISBLANK(tbl_task10[[คะแนนเต็ม]:[คะแนนเต็ม]]),"",(tbl_task10[114]/tbl_task10[[คะแนนเต็ม]:[คะแนนเต็ม]])*tbl_task10[[%]:[%]])</f>
        <v/>
      </c>
      <c r="JY28" s="121" t="str">
        <f>IF(ISBLANK(tbl_task10[[คะแนนเต็ม]:[คะแนนเต็ม]]),"",(tbl_task10[115]/tbl_task10[[คะแนนเต็ม]:[คะแนนเต็ม]])*tbl_task10[[%]:[%]])</f>
        <v/>
      </c>
      <c r="JZ28" s="121" t="str">
        <f>IF(ISBLANK(tbl_task10[[คะแนนเต็ม]:[คะแนนเต็ม]]),"",(tbl_task10[116]/tbl_task10[[คะแนนเต็ม]:[คะแนนเต็ม]])*tbl_task10[[%]:[%]])</f>
        <v/>
      </c>
      <c r="KA28" s="121" t="str">
        <f>IF(ISBLANK(tbl_task10[[คะแนนเต็ม]:[คะแนนเต็ม]]),"",(tbl_task10[117]/tbl_task10[[คะแนนเต็ม]:[คะแนนเต็ม]])*tbl_task10[[%]:[%]])</f>
        <v/>
      </c>
      <c r="KB28" s="121" t="str">
        <f>IF(ISBLANK(tbl_task10[[คะแนนเต็ม]:[คะแนนเต็ม]]),"",(tbl_task10[118]/tbl_task10[[คะแนนเต็ม]:[คะแนนเต็ม]])*tbl_task10[[%]:[%]])</f>
        <v/>
      </c>
      <c r="KC28" s="121" t="str">
        <f>IF(ISBLANK(tbl_task10[[คะแนนเต็ม]:[คะแนนเต็ม]]),"",(tbl_task10[119]/tbl_task10[[คะแนนเต็ม]:[คะแนนเต็ม]])*tbl_task10[[%]:[%]])</f>
        <v/>
      </c>
      <c r="KD28" s="121" t="str">
        <f>IF(ISBLANK(tbl_task10[[คะแนนเต็ม]:[คะแนนเต็ม]]),"",(tbl_task10[120]/tbl_task10[[คะแนนเต็ม]:[คะแนนเต็ม]])*tbl_task10[[%]:[%]])</f>
        <v/>
      </c>
      <c r="KE28" s="121" t="str">
        <f>IF(ISBLANK(tbl_task10[[คะแนนเต็ม]:[คะแนนเต็ม]]),"",(tbl_task10[121]/tbl_task10[[คะแนนเต็ม]:[คะแนนเต็ม]])*tbl_task10[[%]:[%]])</f>
        <v/>
      </c>
      <c r="KF28" s="121" t="str">
        <f>IF(ISBLANK(tbl_task10[[คะแนนเต็ม]:[คะแนนเต็ม]]),"",(tbl_task10[122]/tbl_task10[[คะแนนเต็ม]:[คะแนนเต็ม]])*tbl_task10[[%]:[%]])</f>
        <v/>
      </c>
      <c r="KG28" s="121" t="str">
        <f>IF(ISBLANK(tbl_task10[[คะแนนเต็ม]:[คะแนนเต็ม]]),"",(tbl_task10[123]/tbl_task10[[คะแนนเต็ม]:[คะแนนเต็ม]])*tbl_task10[[%]:[%]])</f>
        <v/>
      </c>
      <c r="KH28" s="121" t="str">
        <f>IF(ISBLANK(tbl_task10[[คะแนนเต็ม]:[คะแนนเต็ม]]),"",(tbl_task10[124]/tbl_task10[[คะแนนเต็ม]:[คะแนนเต็ม]])*tbl_task10[[%]:[%]])</f>
        <v/>
      </c>
      <c r="KI28" s="121" t="str">
        <f>IF(ISBLANK(tbl_task10[[คะแนนเต็ม]:[คะแนนเต็ม]]),"",(tbl_task10[125]/tbl_task10[[คะแนนเต็ม]:[คะแนนเต็ม]])*tbl_task10[[%]:[%]])</f>
        <v/>
      </c>
      <c r="KJ28" s="121" t="str">
        <f>IF(ISBLANK(tbl_task10[[คะแนนเต็ม]:[คะแนนเต็ม]]),"",(tbl_task10[126]/tbl_task10[[คะแนนเต็ม]:[คะแนนเต็ม]])*tbl_task10[[%]:[%]])</f>
        <v/>
      </c>
      <c r="KK28" s="121" t="str">
        <f>IF(ISBLANK(tbl_task10[[คะแนนเต็ม]:[คะแนนเต็ม]]),"",(tbl_task10[127]/tbl_task10[[คะแนนเต็ม]:[คะแนนเต็ม]])*tbl_task10[[%]:[%]])</f>
        <v/>
      </c>
      <c r="KL28" s="121" t="str">
        <f>IF(ISBLANK(tbl_task10[[คะแนนเต็ม]:[คะแนนเต็ม]]),"",(tbl_task10[128]/tbl_task10[[คะแนนเต็ม]:[คะแนนเต็ม]])*tbl_task10[[%]:[%]])</f>
        <v/>
      </c>
      <c r="KM28" s="121" t="str">
        <f>IF(ISBLANK(tbl_task10[[คะแนนเต็ม]:[คะแนนเต็ม]]),"",(tbl_task10[129]/tbl_task10[[คะแนนเต็ม]:[คะแนนเต็ม]])*tbl_task10[[%]:[%]])</f>
        <v/>
      </c>
      <c r="KN28" s="121" t="str">
        <f>IF(ISBLANK(tbl_task10[[คะแนนเต็ม]:[คะแนนเต็ม]]),"",(tbl_task10[130]/tbl_task10[[คะแนนเต็ม]:[คะแนนเต็ม]])*tbl_task10[[%]:[%]])</f>
        <v/>
      </c>
      <c r="KO28" s="121" t="str">
        <f>IF(ISBLANK(tbl_task10[[คะแนนเต็ม]:[คะแนนเต็ม]]),"",(tbl_task10[131]/tbl_task10[[คะแนนเต็ม]:[คะแนนเต็ม]])*tbl_task10[[%]:[%]])</f>
        <v/>
      </c>
      <c r="KP28" s="121" t="str">
        <f>IF(ISBLANK(tbl_task10[[คะแนนเต็ม]:[คะแนนเต็ม]]),"",(tbl_task10[132]/tbl_task10[[คะแนนเต็ม]:[คะแนนเต็ม]])*tbl_task10[[%]:[%]])</f>
        <v/>
      </c>
      <c r="KQ28" s="121" t="str">
        <f>IF(ISBLANK(tbl_task10[[คะแนนเต็ม]:[คะแนนเต็ม]]),"",(tbl_task10[133]/tbl_task10[[คะแนนเต็ม]:[คะแนนเต็ม]])*tbl_task10[[%]:[%]])</f>
        <v/>
      </c>
      <c r="KR28" s="121" t="str">
        <f>IF(ISBLANK(tbl_task10[[คะแนนเต็ม]:[คะแนนเต็ม]]),"",(tbl_task10[134]/tbl_task10[[คะแนนเต็ม]:[คะแนนเต็ม]])*tbl_task10[[%]:[%]])</f>
        <v/>
      </c>
      <c r="KS28" s="121" t="str">
        <f>IF(ISBLANK(tbl_task10[[คะแนนเต็ม]:[คะแนนเต็ม]]),"",(tbl_task10[135]/tbl_task10[[คะแนนเต็ม]:[คะแนนเต็ม]])*tbl_task10[[%]:[%]])</f>
        <v/>
      </c>
      <c r="KT28" s="121" t="str">
        <f>IF(ISBLANK(tbl_task10[[คะแนนเต็ม]:[คะแนนเต็ม]]),"",(tbl_task10[136]/tbl_task10[[คะแนนเต็ม]:[คะแนนเต็ม]])*tbl_task10[[%]:[%]])</f>
        <v/>
      </c>
      <c r="KU28" s="121" t="str">
        <f>IF(ISBLANK(tbl_task10[[คะแนนเต็ม]:[คะแนนเต็ม]]),"",(tbl_task10[137]/tbl_task10[[คะแนนเต็ม]:[คะแนนเต็ม]])*tbl_task10[[%]:[%]])</f>
        <v/>
      </c>
      <c r="KV28" s="121" t="str">
        <f>IF(ISBLANK(tbl_task10[[คะแนนเต็ม]:[คะแนนเต็ม]]),"",(tbl_task10[138]/tbl_task10[[คะแนนเต็ม]:[คะแนนเต็ม]])*tbl_task10[[%]:[%]])</f>
        <v/>
      </c>
      <c r="KW28" s="121" t="str">
        <f>IF(ISBLANK(tbl_task10[[คะแนนเต็ม]:[คะแนนเต็ม]]),"",(tbl_task10[139]/tbl_task10[[คะแนนเต็ม]:[คะแนนเต็ม]])*tbl_task10[[%]:[%]])</f>
        <v/>
      </c>
      <c r="KX28" s="121" t="str">
        <f>IF(ISBLANK(tbl_task10[[คะแนนเต็ม]:[คะแนนเต็ม]]),"",(tbl_task10[140]/tbl_task10[[คะแนนเต็ม]:[คะแนนเต็ม]])*tbl_task10[[%]:[%]])</f>
        <v/>
      </c>
      <c r="KY28" s="121" t="str">
        <f>IF(ISBLANK(tbl_task10[[คะแนนเต็ม]:[คะแนนเต็ม]]),"",(tbl_task10[141]/tbl_task10[[คะแนนเต็ม]:[คะแนนเต็ม]])*tbl_task10[[%]:[%]])</f>
        <v/>
      </c>
      <c r="KZ28" s="121" t="str">
        <f>IF(ISBLANK(tbl_task10[[คะแนนเต็ม]:[คะแนนเต็ม]]),"",(tbl_task10[142]/tbl_task10[[คะแนนเต็ม]:[คะแนนเต็ม]])*tbl_task10[[%]:[%]])</f>
        <v/>
      </c>
      <c r="LA28" s="121" t="str">
        <f>IF(ISBLANK(tbl_task10[[คะแนนเต็ม]:[คะแนนเต็ม]]),"",(tbl_task10[143]/tbl_task10[[คะแนนเต็ม]:[คะแนนเต็ม]])*tbl_task10[[%]:[%]])</f>
        <v/>
      </c>
      <c r="LB28" s="121" t="str">
        <f>IF(ISBLANK(tbl_task10[[คะแนนเต็ม]:[คะแนนเต็ม]]),"",(tbl_task10[144]/tbl_task10[[คะแนนเต็ม]:[คะแนนเต็ม]])*tbl_task10[[%]:[%]])</f>
        <v/>
      </c>
      <c r="LC28" s="121" t="str">
        <f>IF(ISBLANK(tbl_task10[[คะแนนเต็ม]:[คะแนนเต็ม]]),"",(tbl_task10[145]/tbl_task10[[คะแนนเต็ม]:[คะแนนเต็ม]])*tbl_task10[[%]:[%]])</f>
        <v/>
      </c>
      <c r="LD28" s="121" t="str">
        <f>IF(ISBLANK(tbl_task10[[คะแนนเต็ม]:[คะแนนเต็ม]]),"",(tbl_task10[146]/tbl_task10[[คะแนนเต็ม]:[คะแนนเต็ม]])*tbl_task10[[%]:[%]])</f>
        <v/>
      </c>
      <c r="LE28" s="121" t="str">
        <f>IF(ISBLANK(tbl_task10[[คะแนนเต็ม]:[คะแนนเต็ม]]),"",(tbl_task10[147]/tbl_task10[[คะแนนเต็ม]:[คะแนนเต็ม]])*tbl_task10[[%]:[%]])</f>
        <v/>
      </c>
      <c r="LF28" s="121" t="str">
        <f>IF(ISBLANK(tbl_task10[[คะแนนเต็ม]:[คะแนนเต็ม]]),"",(tbl_task10[148]/tbl_task10[[คะแนนเต็ม]:[คะแนนเต็ม]])*tbl_task10[[%]:[%]])</f>
        <v/>
      </c>
      <c r="LG28" s="121" t="str">
        <f>IF(ISBLANK(tbl_task10[[คะแนนเต็ม]:[คะแนนเต็ม]]),"",(tbl_task10[149]/tbl_task10[[คะแนนเต็ม]:[คะแนนเต็ม]])*tbl_task10[[%]:[%]])</f>
        <v/>
      </c>
      <c r="LH28" s="121" t="str">
        <f>IF(ISBLANK(tbl_task10[[คะแนนเต็ม]:[คะแนนเต็ม]]),"",(tbl_task10[150]/tbl_task10[[คะแนนเต็ม]:[คะแนนเต็ม]])*tbl_task10[[%]:[%]])</f>
        <v/>
      </c>
      <c r="LI28" s="121" t="str">
        <f>IF(ISBLANK(tbl_task10[[คะแนนเต็ม]:[คะแนนเต็ม]]),"",(tbl_task10[151]/tbl_task10[[คะแนนเต็ม]:[คะแนนเต็ม]])*tbl_task10[[%]:[%]])</f>
        <v/>
      </c>
      <c r="LJ28" s="121" t="str">
        <f>IF(ISBLANK(tbl_task10[[คะแนนเต็ม]:[คะแนนเต็ม]]),"",(tbl_task10[152]/tbl_task10[[คะแนนเต็ม]:[คะแนนเต็ม]])*tbl_task10[[%]:[%]])</f>
        <v/>
      </c>
      <c r="LK28" s="121" t="str">
        <f>IF(ISBLANK(tbl_task10[[คะแนนเต็ม]:[คะแนนเต็ม]]),"",(tbl_task10[153]/tbl_task10[[คะแนนเต็ม]:[คะแนนเต็ม]])*tbl_task10[[%]:[%]])</f>
        <v/>
      </c>
      <c r="LL28" s="121" t="str">
        <f>IF(ISBLANK(tbl_task10[[คะแนนเต็ม]:[คะแนนเต็ม]]),"",(tbl_task10[154]/tbl_task10[[คะแนนเต็ม]:[คะแนนเต็ม]])*tbl_task10[[%]:[%]])</f>
        <v/>
      </c>
      <c r="LM28" s="121" t="str">
        <f>IF(ISBLANK(tbl_task10[[คะแนนเต็ม]:[คะแนนเต็ม]]),"",(tbl_task10[155]/tbl_task10[[คะแนนเต็ม]:[คะแนนเต็ม]])*tbl_task10[[%]:[%]])</f>
        <v/>
      </c>
      <c r="LN28" s="121" t="str">
        <f>IF(ISBLANK(tbl_task10[[คะแนนเต็ม]:[คะแนนเต็ม]]),"",(tbl_task10[156]/tbl_task10[[คะแนนเต็ม]:[คะแนนเต็ม]])*tbl_task10[[%]:[%]])</f>
        <v/>
      </c>
      <c r="LO28" s="121" t="str">
        <f>IF(ISBLANK(tbl_task10[[คะแนนเต็ม]:[คะแนนเต็ม]]),"",(tbl_task10[157]/tbl_task10[[คะแนนเต็ม]:[คะแนนเต็ม]])*tbl_task10[[%]:[%]])</f>
        <v/>
      </c>
      <c r="LP28" s="121" t="str">
        <f>IF(ISBLANK(tbl_task10[[คะแนนเต็ม]:[คะแนนเต็ม]]),"",(tbl_task10[158]/tbl_task10[[คะแนนเต็ม]:[คะแนนเต็ม]])*tbl_task10[[%]:[%]])</f>
        <v/>
      </c>
      <c r="LQ28" s="121" t="str">
        <f>IF(ISBLANK(tbl_task10[[คะแนนเต็ม]:[คะแนนเต็ม]]),"",(tbl_task10[159]/tbl_task10[[คะแนนเต็ม]:[คะแนนเต็ม]])*tbl_task10[[%]:[%]])</f>
        <v/>
      </c>
      <c r="LR28" s="121" t="str">
        <f>IF(ISBLANK(tbl_task10[[คะแนนเต็ม]:[คะแนนเต็ม]]),"",(tbl_task10[160]/tbl_task10[[คะแนนเต็ม]:[คะแนนเต็ม]])*tbl_task10[[%]:[%]])</f>
        <v/>
      </c>
      <c r="LS28" s="121" t="str">
        <f>IF(ISBLANK(tbl_task10[[คะแนนเต็ม]:[คะแนนเต็ม]]),"",(tbl_task10[161]/tbl_task10[[คะแนนเต็ม]:[คะแนนเต็ม]])*tbl_task10[[%]:[%]])</f>
        <v/>
      </c>
      <c r="LT28" s="121" t="str">
        <f>IF(ISBLANK(tbl_task10[[คะแนนเต็ม]:[คะแนนเต็ม]]),"",(tbl_task10[162]/tbl_task10[[คะแนนเต็ม]:[คะแนนเต็ม]])*tbl_task10[[%]:[%]])</f>
        <v/>
      </c>
      <c r="LU28" s="121" t="str">
        <f>IF(ISBLANK(tbl_task10[[คะแนนเต็ม]:[คะแนนเต็ม]]),"",(tbl_task10[163]/tbl_task10[[คะแนนเต็ม]:[คะแนนเต็ม]])*tbl_task10[[%]:[%]])</f>
        <v/>
      </c>
      <c r="LV28" s="121" t="str">
        <f>IF(ISBLANK(tbl_task10[[คะแนนเต็ม]:[คะแนนเต็ม]]),"",(tbl_task10[164]/tbl_task10[[คะแนนเต็ม]:[คะแนนเต็ม]])*tbl_task10[[%]:[%]])</f>
        <v/>
      </c>
      <c r="LW28" s="121" t="str">
        <f>IF(ISBLANK(tbl_task10[[คะแนนเต็ม]:[คะแนนเต็ม]]),"",(tbl_task10[165]/tbl_task10[[คะแนนเต็ม]:[คะแนนเต็ม]])*tbl_task10[[%]:[%]])</f>
        <v/>
      </c>
    </row>
    <row r="29" spans="1:335" s="39" customFormat="1" ht="30" customHeight="1" x14ac:dyDescent="0.25">
      <c r="A29" s="42" t="s">
        <v>11</v>
      </c>
      <c r="B29" s="109">
        <f>COUNTA(tbl_task10[SubPLOs])</f>
        <v>0</v>
      </c>
      <c r="C29" s="129"/>
      <c r="D29" s="108">
        <f>SUM(tbl_task10[คะแนนเต็ม])</f>
        <v>0</v>
      </c>
      <c r="E29" s="108">
        <f>SUM(tbl_task10[%])</f>
        <v>0</v>
      </c>
      <c r="F29" s="124">
        <f>SUM(tbl_task10[1])</f>
        <v>0</v>
      </c>
      <c r="G29" s="124">
        <f>SUM(tbl_task10[2])</f>
        <v>0</v>
      </c>
      <c r="H29" s="124">
        <f>SUM(tbl_task10[3])</f>
        <v>0</v>
      </c>
      <c r="I29" s="124">
        <f>SUM(tbl_task10[4])</f>
        <v>0</v>
      </c>
      <c r="J29" s="124">
        <f>SUM(tbl_task10[5])</f>
        <v>0</v>
      </c>
      <c r="K29" s="124">
        <f>SUM(tbl_task10[6])</f>
        <v>0</v>
      </c>
      <c r="L29" s="124">
        <f>SUM(tbl_task10[7])</f>
        <v>0</v>
      </c>
      <c r="M29" s="124">
        <f>SUM(tbl_task10[8])</f>
        <v>0</v>
      </c>
      <c r="N29" s="124">
        <f>SUM(tbl_task10[9])</f>
        <v>0</v>
      </c>
      <c r="O29" s="124">
        <f>SUM(tbl_task10[10])</f>
        <v>0</v>
      </c>
      <c r="P29" s="124">
        <f>SUM(tbl_task10[11])</f>
        <v>0</v>
      </c>
      <c r="Q29" s="124">
        <f>SUM(tbl_task10[12])</f>
        <v>0</v>
      </c>
      <c r="R29" s="124">
        <f>SUM(tbl_task10[13])</f>
        <v>0</v>
      </c>
      <c r="S29" s="124">
        <f>SUM(tbl_task10[14])</f>
        <v>0</v>
      </c>
      <c r="T29" s="124">
        <f>SUM(tbl_task10[15])</f>
        <v>0</v>
      </c>
      <c r="U29" s="124">
        <f>SUM(tbl_task10[16])</f>
        <v>0</v>
      </c>
      <c r="V29" s="124">
        <f>SUM(tbl_task10[17])</f>
        <v>0</v>
      </c>
      <c r="W29" s="124">
        <f>SUM(tbl_task10[18])</f>
        <v>0</v>
      </c>
      <c r="X29" s="124">
        <f>SUM(tbl_task10[19])</f>
        <v>0</v>
      </c>
      <c r="Y29" s="124">
        <f>SUM(tbl_task10[20])</f>
        <v>0</v>
      </c>
      <c r="Z29" s="124">
        <f>SUM(tbl_task10[21])</f>
        <v>0</v>
      </c>
      <c r="AA29" s="124">
        <f>SUM(tbl_task10[22])</f>
        <v>0</v>
      </c>
      <c r="AB29" s="124">
        <f>SUM(tbl_task10[23])</f>
        <v>0</v>
      </c>
      <c r="AC29" s="124">
        <f>SUM(tbl_task10[24])</f>
        <v>0</v>
      </c>
      <c r="AD29" s="124">
        <f>SUM(tbl_task10[25])</f>
        <v>0</v>
      </c>
      <c r="AE29" s="124">
        <f>SUM(tbl_task10[26])</f>
        <v>0</v>
      </c>
      <c r="AF29" s="124">
        <f>SUM(tbl_task10[27])</f>
        <v>0</v>
      </c>
      <c r="AG29" s="124">
        <f>SUM(tbl_task10[28])</f>
        <v>0</v>
      </c>
      <c r="AH29" s="124">
        <f>SUM(tbl_task10[29])</f>
        <v>0</v>
      </c>
      <c r="AI29" s="124">
        <f>SUM(tbl_task10[30])</f>
        <v>0</v>
      </c>
      <c r="AJ29" s="124">
        <f>SUM(tbl_task10[31])</f>
        <v>0</v>
      </c>
      <c r="AK29" s="124">
        <f>SUM(tbl_task10[32])</f>
        <v>0</v>
      </c>
      <c r="AL29" s="124">
        <f>SUM(tbl_task10[33])</f>
        <v>0</v>
      </c>
      <c r="AM29" s="124">
        <f>SUM(tbl_task10[34])</f>
        <v>0</v>
      </c>
      <c r="AN29" s="124">
        <f>SUM(tbl_task10[35])</f>
        <v>0</v>
      </c>
      <c r="AO29" s="124">
        <f>SUM(tbl_task10[36])</f>
        <v>0</v>
      </c>
      <c r="AP29" s="124">
        <f>SUM(tbl_task10[37])</f>
        <v>0</v>
      </c>
      <c r="AQ29" s="124">
        <f>SUM(tbl_task10[38])</f>
        <v>0</v>
      </c>
      <c r="AR29" s="124">
        <f>SUM(tbl_task10[39])</f>
        <v>0</v>
      </c>
      <c r="AS29" s="124">
        <f>SUM(tbl_task10[40])</f>
        <v>0</v>
      </c>
      <c r="AT29" s="124">
        <f>SUM(tbl_task10[41])</f>
        <v>0</v>
      </c>
      <c r="AU29" s="124">
        <f>SUM(tbl_task10[42])</f>
        <v>0</v>
      </c>
      <c r="AV29" s="124">
        <f>SUM(tbl_task10[43])</f>
        <v>0</v>
      </c>
      <c r="AW29" s="124">
        <f>SUM(tbl_task10[44])</f>
        <v>0</v>
      </c>
      <c r="AX29" s="124">
        <f>SUM(tbl_task10[45])</f>
        <v>0</v>
      </c>
      <c r="AY29" s="124">
        <f>SUM(tbl_task10[46])</f>
        <v>0</v>
      </c>
      <c r="AZ29" s="124">
        <f>SUM(tbl_task10[47])</f>
        <v>0</v>
      </c>
      <c r="BA29" s="124">
        <f>SUM(tbl_task10[48])</f>
        <v>0</v>
      </c>
      <c r="BB29" s="124">
        <f>SUM(tbl_task10[49])</f>
        <v>0</v>
      </c>
      <c r="BC29" s="124">
        <f>SUM(tbl_task10[50])</f>
        <v>0</v>
      </c>
      <c r="BD29" s="124">
        <f>SUM(tbl_task10[51])</f>
        <v>0</v>
      </c>
      <c r="BE29" s="124">
        <f>SUM(tbl_task10[52])</f>
        <v>0</v>
      </c>
      <c r="BF29" s="124">
        <f>SUM(tbl_task10[53])</f>
        <v>0</v>
      </c>
      <c r="BG29" s="124">
        <f>SUM(tbl_task10[54])</f>
        <v>0</v>
      </c>
      <c r="BH29" s="124">
        <f>SUM(tbl_task10[55])</f>
        <v>0</v>
      </c>
      <c r="BI29" s="124">
        <f>SUM(tbl_task10[56])</f>
        <v>0</v>
      </c>
      <c r="BJ29" s="124">
        <f>SUM(tbl_task10[57])</f>
        <v>0</v>
      </c>
      <c r="BK29" s="124">
        <f>SUM(tbl_task10[58])</f>
        <v>0</v>
      </c>
      <c r="BL29" s="124">
        <f>SUM(tbl_task10[59])</f>
        <v>0</v>
      </c>
      <c r="BM29" s="124">
        <f>SUM(tbl_task10[60])</f>
        <v>0</v>
      </c>
      <c r="BN29" s="124">
        <f>SUM(tbl_task10[61])</f>
        <v>0</v>
      </c>
      <c r="BO29" s="124">
        <f>SUM(tbl_task10[62])</f>
        <v>0</v>
      </c>
      <c r="BP29" s="124">
        <f>SUM(tbl_task10[63])</f>
        <v>0</v>
      </c>
      <c r="BQ29" s="124">
        <f>SUM(tbl_task10[64])</f>
        <v>0</v>
      </c>
      <c r="BR29" s="124">
        <f>SUM(tbl_task10[65])</f>
        <v>0</v>
      </c>
      <c r="BS29" s="124">
        <f>SUM(tbl_task10[66])</f>
        <v>0</v>
      </c>
      <c r="BT29" s="124">
        <f>SUM(tbl_task10[67])</f>
        <v>0</v>
      </c>
      <c r="BU29" s="124">
        <f>SUM(tbl_task10[68])</f>
        <v>0</v>
      </c>
      <c r="BV29" s="124">
        <f>SUM(tbl_task10[69])</f>
        <v>0</v>
      </c>
      <c r="BW29" s="124">
        <f>SUM(tbl_task10[70])</f>
        <v>0</v>
      </c>
      <c r="BX29" s="124">
        <f>SUM(tbl_task10[71])</f>
        <v>0</v>
      </c>
      <c r="BY29" s="124">
        <f>SUM(tbl_task10[72])</f>
        <v>0</v>
      </c>
      <c r="BZ29" s="124">
        <f>SUM(tbl_task10[73])</f>
        <v>0</v>
      </c>
      <c r="CA29" s="124">
        <f>SUM(tbl_task10[74])</f>
        <v>0</v>
      </c>
      <c r="CB29" s="124">
        <f>SUM(tbl_task10[75])</f>
        <v>0</v>
      </c>
      <c r="CC29" s="124">
        <f>SUM(tbl_task10[76])</f>
        <v>0</v>
      </c>
      <c r="CD29" s="124">
        <f>SUM(tbl_task10[77])</f>
        <v>0</v>
      </c>
      <c r="CE29" s="124">
        <f>SUM(tbl_task10[78])</f>
        <v>0</v>
      </c>
      <c r="CF29" s="124">
        <f>SUM(tbl_task10[79])</f>
        <v>0</v>
      </c>
      <c r="CG29" s="124">
        <f>SUM(tbl_task10[80])</f>
        <v>0</v>
      </c>
      <c r="CH29" s="124">
        <f>SUM(tbl_task10[81])</f>
        <v>0</v>
      </c>
      <c r="CI29" s="124">
        <f>SUM(tbl_task10[82])</f>
        <v>0</v>
      </c>
      <c r="CJ29" s="124">
        <f>SUM(tbl_task10[83])</f>
        <v>0</v>
      </c>
      <c r="CK29" s="124">
        <f>SUM(tbl_task10[84])</f>
        <v>0</v>
      </c>
      <c r="CL29" s="124">
        <f>SUM(tbl_task10[85])</f>
        <v>0</v>
      </c>
      <c r="CM29" s="124">
        <f>SUM(tbl_task10[86])</f>
        <v>0</v>
      </c>
      <c r="CN29" s="124">
        <f>SUM(tbl_task10[87])</f>
        <v>0</v>
      </c>
      <c r="CO29" s="124">
        <f>SUM(tbl_task10[88])</f>
        <v>0</v>
      </c>
      <c r="CP29" s="124">
        <f>SUM(tbl_task10[89])</f>
        <v>0</v>
      </c>
      <c r="CQ29" s="124">
        <f>SUM(tbl_task10[90])</f>
        <v>0</v>
      </c>
      <c r="CR29" s="124">
        <f>SUM(tbl_task10[91])</f>
        <v>0</v>
      </c>
      <c r="CS29" s="124">
        <f>SUM(tbl_task10[92])</f>
        <v>0</v>
      </c>
      <c r="CT29" s="124">
        <f>SUM(tbl_task10[93])</f>
        <v>0</v>
      </c>
      <c r="CU29" s="124">
        <f>SUM(tbl_task10[94])</f>
        <v>0</v>
      </c>
      <c r="CV29" s="124">
        <f>SUM(tbl_task10[95])</f>
        <v>0</v>
      </c>
      <c r="CW29" s="124">
        <f>SUM(tbl_task10[96])</f>
        <v>0</v>
      </c>
      <c r="CX29" s="124">
        <f>SUM(tbl_task10[97])</f>
        <v>0</v>
      </c>
      <c r="CY29" s="124">
        <f>SUM(tbl_task10[98])</f>
        <v>0</v>
      </c>
      <c r="CZ29" s="124">
        <f>SUM(tbl_task10[99])</f>
        <v>0</v>
      </c>
      <c r="DA29" s="124">
        <f>SUM(tbl_task10[100])</f>
        <v>0</v>
      </c>
      <c r="DB29" s="124">
        <f>SUM(tbl_task10[101])</f>
        <v>0</v>
      </c>
      <c r="DC29" s="124">
        <f>SUM(tbl_task10[102])</f>
        <v>0</v>
      </c>
      <c r="DD29" s="124">
        <f>SUM(tbl_task10[103])</f>
        <v>0</v>
      </c>
      <c r="DE29" s="124">
        <f>SUM(tbl_task10[104])</f>
        <v>0</v>
      </c>
      <c r="DF29" s="124">
        <f>SUM(tbl_task10[105])</f>
        <v>0</v>
      </c>
      <c r="DG29" s="124">
        <f>SUM(tbl_task10[106])</f>
        <v>0</v>
      </c>
      <c r="DH29" s="124">
        <f>SUM(tbl_task10[107])</f>
        <v>0</v>
      </c>
      <c r="DI29" s="124">
        <f>SUM(tbl_task10[108])</f>
        <v>0</v>
      </c>
      <c r="DJ29" s="124">
        <f>SUM(tbl_task10[109])</f>
        <v>0</v>
      </c>
      <c r="DK29" s="124">
        <f>SUM(tbl_task10[110])</f>
        <v>0</v>
      </c>
      <c r="DL29" s="124">
        <f>SUM(tbl_task10[111])</f>
        <v>0</v>
      </c>
      <c r="DM29" s="124">
        <f>SUM(tbl_task10[112])</f>
        <v>0</v>
      </c>
      <c r="DN29" s="124">
        <f>SUM(tbl_task10[113])</f>
        <v>0</v>
      </c>
      <c r="DO29" s="124">
        <f>SUM(tbl_task10[114])</f>
        <v>0</v>
      </c>
      <c r="DP29" s="124">
        <f>SUM(tbl_task10[115])</f>
        <v>0</v>
      </c>
      <c r="DQ29" s="124">
        <f>SUM(tbl_task10[116])</f>
        <v>0</v>
      </c>
      <c r="DR29" s="124">
        <f>SUM(tbl_task10[117])</f>
        <v>0</v>
      </c>
      <c r="DS29" s="124">
        <f>SUM(tbl_task10[118])</f>
        <v>0</v>
      </c>
      <c r="DT29" s="124">
        <f>SUM(tbl_task10[119])</f>
        <v>0</v>
      </c>
      <c r="DU29" s="124">
        <f>SUM(tbl_task10[120])</f>
        <v>0</v>
      </c>
      <c r="DV29" s="124">
        <f>SUM(tbl_task10[121])</f>
        <v>0</v>
      </c>
      <c r="DW29" s="124">
        <f>SUM(tbl_task10[122])</f>
        <v>0</v>
      </c>
      <c r="DX29" s="124">
        <f>SUM(tbl_task10[123])</f>
        <v>0</v>
      </c>
      <c r="DY29" s="124">
        <f>SUM(tbl_task10[124])</f>
        <v>0</v>
      </c>
      <c r="DZ29" s="124">
        <f>SUM(tbl_task10[125])</f>
        <v>0</v>
      </c>
      <c r="EA29" s="124">
        <f>SUM(tbl_task10[126])</f>
        <v>0</v>
      </c>
      <c r="EB29" s="124">
        <f>SUM(tbl_task10[127])</f>
        <v>0</v>
      </c>
      <c r="EC29" s="124">
        <f>SUM(tbl_task10[128])</f>
        <v>0</v>
      </c>
      <c r="ED29" s="124">
        <f>SUM(tbl_task10[129])</f>
        <v>0</v>
      </c>
      <c r="EE29" s="124">
        <f>SUM(tbl_task10[130])</f>
        <v>0</v>
      </c>
      <c r="EF29" s="124">
        <f>SUM(tbl_task10[131])</f>
        <v>0</v>
      </c>
      <c r="EG29" s="124">
        <f>SUM(tbl_task10[132])</f>
        <v>0</v>
      </c>
      <c r="EH29" s="124">
        <f>SUM(tbl_task10[133])</f>
        <v>0</v>
      </c>
      <c r="EI29" s="124">
        <f>SUM(tbl_task10[134])</f>
        <v>0</v>
      </c>
      <c r="EJ29" s="124">
        <f>SUM(tbl_task10[135])</f>
        <v>0</v>
      </c>
      <c r="EK29" s="124">
        <f>SUM(tbl_task10[136])</f>
        <v>0</v>
      </c>
      <c r="EL29" s="124">
        <f>SUM(tbl_task10[137])</f>
        <v>0</v>
      </c>
      <c r="EM29" s="124">
        <f>SUM(tbl_task10[138])</f>
        <v>0</v>
      </c>
      <c r="EN29" s="124">
        <f>SUM(tbl_task10[139])</f>
        <v>0</v>
      </c>
      <c r="EO29" s="124">
        <f>SUM(tbl_task10[140])</f>
        <v>0</v>
      </c>
      <c r="EP29" s="124">
        <f>SUM(tbl_task10[141])</f>
        <v>0</v>
      </c>
      <c r="EQ29" s="124">
        <f>SUM(tbl_task10[142])</f>
        <v>0</v>
      </c>
      <c r="ER29" s="124">
        <f>SUM(tbl_task10[143])</f>
        <v>0</v>
      </c>
      <c r="ES29" s="124">
        <f>SUM(tbl_task10[144])</f>
        <v>0</v>
      </c>
      <c r="ET29" s="124">
        <f>SUM(tbl_task10[145])</f>
        <v>0</v>
      </c>
      <c r="EU29" s="124">
        <f>SUM(tbl_task10[146])</f>
        <v>0</v>
      </c>
      <c r="EV29" s="124">
        <f>SUM(tbl_task10[147])</f>
        <v>0</v>
      </c>
      <c r="EW29" s="124">
        <f>SUM(tbl_task10[148])</f>
        <v>0</v>
      </c>
      <c r="EX29" s="124">
        <f>SUM(tbl_task10[149])</f>
        <v>0</v>
      </c>
      <c r="EY29" s="124">
        <f>SUM(tbl_task10[150])</f>
        <v>0</v>
      </c>
      <c r="EZ29" s="124">
        <f>SUM(tbl_task10[151])</f>
        <v>0</v>
      </c>
      <c r="FA29" s="124">
        <f>SUM(tbl_task10[152])</f>
        <v>0</v>
      </c>
      <c r="FB29" s="124">
        <f>SUM(tbl_task10[153])</f>
        <v>0</v>
      </c>
      <c r="FC29" s="124">
        <f>SUM(tbl_task10[154])</f>
        <v>0</v>
      </c>
      <c r="FD29" s="124">
        <f>SUM(tbl_task10[155])</f>
        <v>0</v>
      </c>
      <c r="FE29" s="124">
        <f>SUM(tbl_task10[156])</f>
        <v>0</v>
      </c>
      <c r="FF29" s="124">
        <f>SUM(tbl_task10[157])</f>
        <v>0</v>
      </c>
      <c r="FG29" s="124">
        <f>SUM(tbl_task10[158])</f>
        <v>0</v>
      </c>
      <c r="FH29" s="124">
        <f>SUM(tbl_task10[159])</f>
        <v>0</v>
      </c>
      <c r="FI29" s="124">
        <f>SUM(tbl_task10[160])</f>
        <v>0</v>
      </c>
      <c r="FJ29" s="124">
        <f>SUM(tbl_task10[161])</f>
        <v>0</v>
      </c>
      <c r="FK29" s="124">
        <f>SUM(tbl_task10[162])</f>
        <v>0</v>
      </c>
      <c r="FL29" s="124">
        <f>SUM(tbl_task10[163])</f>
        <v>0</v>
      </c>
      <c r="FM29" s="124">
        <f>SUM(tbl_task10[164])</f>
        <v>0</v>
      </c>
      <c r="FN29" s="124">
        <f>SUM(tbl_task10[165])</f>
        <v>0</v>
      </c>
      <c r="FO29" s="124">
        <f>SUM(tbl_task10[S1])</f>
        <v>0</v>
      </c>
      <c r="FP29" s="124">
        <f>SUM(tbl_task10[S2])</f>
        <v>0</v>
      </c>
      <c r="FQ29" s="124">
        <f>SUM(tbl_task10[S3])</f>
        <v>0</v>
      </c>
      <c r="FR29" s="124">
        <f>SUM(tbl_task10[S4])</f>
        <v>0</v>
      </c>
      <c r="FS29" s="124">
        <f>SUM(tbl_task10[S5])</f>
        <v>0</v>
      </c>
      <c r="FT29" s="124">
        <f>SUM(tbl_task10[S6])</f>
        <v>0</v>
      </c>
      <c r="FU29" s="124">
        <f>SUM(tbl_task10[S7])</f>
        <v>0</v>
      </c>
      <c r="FV29" s="124">
        <f>SUM(tbl_task10[S8])</f>
        <v>0</v>
      </c>
      <c r="FW29" s="124">
        <f>SUM(tbl_task10[S9])</f>
        <v>0</v>
      </c>
      <c r="FX29" s="124">
        <f>SUM(tbl_task10[S10])</f>
        <v>0</v>
      </c>
      <c r="FY29" s="124">
        <f>SUM(tbl_task10[S11])</f>
        <v>0</v>
      </c>
      <c r="FZ29" s="124">
        <f>SUM(tbl_task10[S12])</f>
        <v>0</v>
      </c>
      <c r="GA29" s="124">
        <f>SUM(tbl_task10[S13])</f>
        <v>0</v>
      </c>
      <c r="GB29" s="124">
        <f>SUM(tbl_task10[S14])</f>
        <v>0</v>
      </c>
      <c r="GC29" s="124">
        <f>SUM(tbl_task10[S15])</f>
        <v>0</v>
      </c>
      <c r="GD29" s="124">
        <f>SUM(tbl_task10[S16])</f>
        <v>0</v>
      </c>
      <c r="GE29" s="124">
        <f>SUM(tbl_task10[S17])</f>
        <v>0</v>
      </c>
      <c r="GF29" s="124">
        <f>SUM(tbl_task10[S18])</f>
        <v>0</v>
      </c>
      <c r="GG29" s="124">
        <f>SUM(tbl_task10[S19])</f>
        <v>0</v>
      </c>
      <c r="GH29" s="124">
        <f>SUM(tbl_task10[S20])</f>
        <v>0</v>
      </c>
      <c r="GI29" s="124">
        <f>SUM(tbl_task10[S21])</f>
        <v>0</v>
      </c>
      <c r="GJ29" s="124">
        <f>SUM(tbl_task10[S22])</f>
        <v>0</v>
      </c>
      <c r="GK29" s="124">
        <f>SUM(tbl_task10[S23])</f>
        <v>0</v>
      </c>
      <c r="GL29" s="124">
        <f>SUM(tbl_task10[S24])</f>
        <v>0</v>
      </c>
      <c r="GM29" s="124">
        <f>SUM(tbl_task10[S25])</f>
        <v>0</v>
      </c>
      <c r="GN29" s="124">
        <f>SUM(tbl_task10[S26])</f>
        <v>0</v>
      </c>
      <c r="GO29" s="124">
        <f>SUM(tbl_task10[S27])</f>
        <v>0</v>
      </c>
      <c r="GP29" s="124">
        <f>SUM(tbl_task10[S28])</f>
        <v>0</v>
      </c>
      <c r="GQ29" s="124">
        <f>SUM(tbl_task10[S29])</f>
        <v>0</v>
      </c>
      <c r="GR29" s="124">
        <f>SUM(tbl_task10[S30])</f>
        <v>0</v>
      </c>
      <c r="GS29" s="124">
        <f>SUM(tbl_task10[S31])</f>
        <v>0</v>
      </c>
      <c r="GT29" s="124">
        <f>SUM(tbl_task10[S32])</f>
        <v>0</v>
      </c>
      <c r="GU29" s="124">
        <f>SUM(tbl_task10[S33])</f>
        <v>0</v>
      </c>
      <c r="GV29" s="124">
        <f>SUM(tbl_task10[S34])</f>
        <v>0</v>
      </c>
      <c r="GW29" s="124">
        <f>SUM(tbl_task10[S35])</f>
        <v>0</v>
      </c>
      <c r="GX29" s="124">
        <f>SUM(tbl_task10[S36])</f>
        <v>0</v>
      </c>
      <c r="GY29" s="124">
        <f>SUM(tbl_task10[S37])</f>
        <v>0</v>
      </c>
      <c r="GZ29" s="124">
        <f>SUM(tbl_task10[S38])</f>
        <v>0</v>
      </c>
      <c r="HA29" s="124">
        <f>SUM(tbl_task10[S39])</f>
        <v>0</v>
      </c>
      <c r="HB29" s="124">
        <f>SUM(tbl_task10[S40])</f>
        <v>0</v>
      </c>
      <c r="HC29" s="124">
        <f>SUM(tbl_task10[S41])</f>
        <v>0</v>
      </c>
      <c r="HD29" s="124">
        <f>SUM(tbl_task10[S42])</f>
        <v>0</v>
      </c>
      <c r="HE29" s="124">
        <f>SUM(tbl_task10[S43])</f>
        <v>0</v>
      </c>
      <c r="HF29" s="124">
        <f>SUM(tbl_task10[S44])</f>
        <v>0</v>
      </c>
      <c r="HG29" s="124">
        <f>SUM(tbl_task10[S45])</f>
        <v>0</v>
      </c>
      <c r="HH29" s="124">
        <f>SUM(tbl_task10[S46])</f>
        <v>0</v>
      </c>
      <c r="HI29" s="124">
        <f>SUM(tbl_task10[S47])</f>
        <v>0</v>
      </c>
      <c r="HJ29" s="124">
        <f>SUM(tbl_task10[S48])</f>
        <v>0</v>
      </c>
      <c r="HK29" s="124">
        <f>SUM(tbl_task10[S49])</f>
        <v>0</v>
      </c>
      <c r="HL29" s="124">
        <f>SUM(tbl_task10[S50])</f>
        <v>0</v>
      </c>
      <c r="HM29" s="124">
        <f>SUM(tbl_task10[S51])</f>
        <v>0</v>
      </c>
      <c r="HN29" s="124">
        <f>SUM(tbl_task10[S52])</f>
        <v>0</v>
      </c>
      <c r="HO29" s="124">
        <f>SUM(tbl_task10[S53])</f>
        <v>0</v>
      </c>
      <c r="HP29" s="124">
        <f>SUM(tbl_task10[S54])</f>
        <v>0</v>
      </c>
      <c r="HQ29" s="124">
        <f>SUM(tbl_task10[S55])</f>
        <v>0</v>
      </c>
      <c r="HR29" s="124">
        <f>SUM(tbl_task10[S56])</f>
        <v>0</v>
      </c>
      <c r="HS29" s="124">
        <f>SUM(tbl_task10[S57])</f>
        <v>0</v>
      </c>
      <c r="HT29" s="124">
        <f>SUM(tbl_task10[S58])</f>
        <v>0</v>
      </c>
      <c r="HU29" s="124">
        <f>SUM(tbl_task10[S59])</f>
        <v>0</v>
      </c>
      <c r="HV29" s="124">
        <f>SUM(tbl_task10[S60])</f>
        <v>0</v>
      </c>
      <c r="HW29" s="124">
        <f>SUM(tbl_task10[S61])</f>
        <v>0</v>
      </c>
      <c r="HX29" s="124">
        <f>SUM(tbl_task10[S62])</f>
        <v>0</v>
      </c>
      <c r="HY29" s="124">
        <f>SUM(tbl_task10[S63])</f>
        <v>0</v>
      </c>
      <c r="HZ29" s="124">
        <f>SUM(tbl_task10[S64])</f>
        <v>0</v>
      </c>
      <c r="IA29" s="124">
        <f>SUM(tbl_task10[S65])</f>
        <v>0</v>
      </c>
      <c r="IB29" s="124">
        <f>SUM(tbl_task10[S66])</f>
        <v>0</v>
      </c>
      <c r="IC29" s="124">
        <f>SUM(tbl_task10[S67])</f>
        <v>0</v>
      </c>
      <c r="ID29" s="124">
        <f>SUM(tbl_task10[S68])</f>
        <v>0</v>
      </c>
      <c r="IE29" s="124">
        <f>SUM(tbl_task10[S69])</f>
        <v>0</v>
      </c>
      <c r="IF29" s="124">
        <f>SUM(tbl_task10[S70])</f>
        <v>0</v>
      </c>
      <c r="IG29" s="124">
        <f>SUM(tbl_task10[S71])</f>
        <v>0</v>
      </c>
      <c r="IH29" s="124">
        <f>SUM(tbl_task10[S72])</f>
        <v>0</v>
      </c>
      <c r="II29" s="124">
        <f>SUM(tbl_task10[S73])</f>
        <v>0</v>
      </c>
      <c r="IJ29" s="124">
        <f>SUM(tbl_task10[S74])</f>
        <v>0</v>
      </c>
      <c r="IK29" s="124">
        <f>SUM(tbl_task10[S75])</f>
        <v>0</v>
      </c>
      <c r="IL29" s="124">
        <f>SUM(tbl_task10[S76])</f>
        <v>0</v>
      </c>
      <c r="IM29" s="124">
        <f>SUM(tbl_task10[S77])</f>
        <v>0</v>
      </c>
      <c r="IN29" s="124">
        <f>SUM(tbl_task10[S78])</f>
        <v>0</v>
      </c>
      <c r="IO29" s="124">
        <f>SUM(tbl_task10[S79])</f>
        <v>0</v>
      </c>
      <c r="IP29" s="124">
        <f>SUM(tbl_task10[S80])</f>
        <v>0</v>
      </c>
      <c r="IQ29" s="124">
        <f>SUM(tbl_task10[S81])</f>
        <v>0</v>
      </c>
      <c r="IR29" s="124">
        <f>SUM(tbl_task10[S82])</f>
        <v>0</v>
      </c>
      <c r="IS29" s="124">
        <f>SUM(tbl_task10[S83])</f>
        <v>0</v>
      </c>
      <c r="IT29" s="124">
        <f>SUM(tbl_task10[S84])</f>
        <v>0</v>
      </c>
      <c r="IU29" s="124">
        <f>SUM(tbl_task10[S85])</f>
        <v>0</v>
      </c>
      <c r="IV29" s="124">
        <f>SUM(tbl_task10[S86])</f>
        <v>0</v>
      </c>
      <c r="IW29" s="124">
        <f>SUM(tbl_task10[S87])</f>
        <v>0</v>
      </c>
      <c r="IX29" s="124">
        <f>SUM(tbl_task10[S88])</f>
        <v>0</v>
      </c>
      <c r="IY29" s="124">
        <f>SUM(tbl_task10[S89])</f>
        <v>0</v>
      </c>
      <c r="IZ29" s="124">
        <f>SUM(tbl_task10[S90])</f>
        <v>0</v>
      </c>
      <c r="JA29" s="124">
        <f>SUM(tbl_task10[S91])</f>
        <v>0</v>
      </c>
      <c r="JB29" s="124">
        <f>SUM(tbl_task10[S92])</f>
        <v>0</v>
      </c>
      <c r="JC29" s="124">
        <f>SUM(tbl_task10[S93])</f>
        <v>0</v>
      </c>
      <c r="JD29" s="124">
        <f>SUM(tbl_task10[S94])</f>
        <v>0</v>
      </c>
      <c r="JE29" s="124">
        <f>SUM(tbl_task10[S95])</f>
        <v>0</v>
      </c>
      <c r="JF29" s="124">
        <f>SUM(tbl_task10[S96])</f>
        <v>0</v>
      </c>
      <c r="JG29" s="124">
        <f>SUM(tbl_task10[S97])</f>
        <v>0</v>
      </c>
      <c r="JH29" s="124">
        <f>SUM(tbl_task10[S98])</f>
        <v>0</v>
      </c>
      <c r="JI29" s="124">
        <f>SUM(tbl_task10[S99])</f>
        <v>0</v>
      </c>
      <c r="JJ29" s="124">
        <f>SUM(tbl_task10[S100])</f>
        <v>0</v>
      </c>
      <c r="JK29" s="124">
        <f>SUM(tbl_task10[S101])</f>
        <v>0</v>
      </c>
      <c r="JL29" s="124">
        <f>SUM(tbl_task10[S102])</f>
        <v>0</v>
      </c>
      <c r="JM29" s="124">
        <f>SUM(tbl_task10[S103])</f>
        <v>0</v>
      </c>
      <c r="JN29" s="124">
        <f>SUM(tbl_task10[S104])</f>
        <v>0</v>
      </c>
      <c r="JO29" s="124">
        <f>SUM(tbl_task10[S105])</f>
        <v>0</v>
      </c>
      <c r="JP29" s="124">
        <f>SUM(tbl_task10[S106])</f>
        <v>0</v>
      </c>
      <c r="JQ29" s="124">
        <f>SUM(tbl_task10[S107])</f>
        <v>0</v>
      </c>
      <c r="JR29" s="124">
        <f>SUM(tbl_task10[S108])</f>
        <v>0</v>
      </c>
      <c r="JS29" s="124">
        <f>SUM(tbl_task10[S109])</f>
        <v>0</v>
      </c>
      <c r="JT29" s="124">
        <f>SUM(tbl_task10[S110])</f>
        <v>0</v>
      </c>
      <c r="JU29" s="124">
        <f>SUM(tbl_task10[S111])</f>
        <v>0</v>
      </c>
      <c r="JV29" s="124">
        <f>SUM(tbl_task10[S112])</f>
        <v>0</v>
      </c>
      <c r="JW29" s="124">
        <f>SUM(tbl_task10[S113])</f>
        <v>0</v>
      </c>
      <c r="JX29" s="124">
        <f>SUM(tbl_task10[S114])</f>
        <v>0</v>
      </c>
      <c r="JY29" s="124">
        <f>SUM(tbl_task10[S115])</f>
        <v>0</v>
      </c>
      <c r="JZ29" s="124">
        <f>SUM(tbl_task10[S116])</f>
        <v>0</v>
      </c>
      <c r="KA29" s="124">
        <f>SUM(tbl_task10[S117])</f>
        <v>0</v>
      </c>
      <c r="KB29" s="124">
        <f>SUM(tbl_task10[S118])</f>
        <v>0</v>
      </c>
      <c r="KC29" s="124">
        <f>SUM(tbl_task10[S119])</f>
        <v>0</v>
      </c>
      <c r="KD29" s="124">
        <f>SUM(tbl_task10[S120])</f>
        <v>0</v>
      </c>
      <c r="KE29" s="124">
        <f>SUM(tbl_task10[S121])</f>
        <v>0</v>
      </c>
      <c r="KF29" s="124">
        <f>SUM(tbl_task10[S122])</f>
        <v>0</v>
      </c>
      <c r="KG29" s="124">
        <f>SUM(tbl_task10[S123])</f>
        <v>0</v>
      </c>
      <c r="KH29" s="124">
        <f>SUM(tbl_task10[S124])</f>
        <v>0</v>
      </c>
      <c r="KI29" s="124">
        <f>SUM(tbl_task10[S125])</f>
        <v>0</v>
      </c>
      <c r="KJ29" s="124">
        <f>SUM(tbl_task10[S126])</f>
        <v>0</v>
      </c>
      <c r="KK29" s="124">
        <f>SUM(tbl_task10[S127])</f>
        <v>0</v>
      </c>
      <c r="KL29" s="124">
        <f>SUM(tbl_task10[S128])</f>
        <v>0</v>
      </c>
      <c r="KM29" s="124">
        <f>SUM(tbl_task10[S129])</f>
        <v>0</v>
      </c>
      <c r="KN29" s="124">
        <f>SUM(tbl_task10[S130])</f>
        <v>0</v>
      </c>
      <c r="KO29" s="124">
        <f>SUM(tbl_task10[S131])</f>
        <v>0</v>
      </c>
      <c r="KP29" s="124">
        <f>SUM(tbl_task10[S132])</f>
        <v>0</v>
      </c>
      <c r="KQ29" s="124">
        <f>SUM(tbl_task10[S133])</f>
        <v>0</v>
      </c>
      <c r="KR29" s="124">
        <f>SUM(tbl_task10[S134])</f>
        <v>0</v>
      </c>
      <c r="KS29" s="124">
        <f>SUM(tbl_task10[S135])</f>
        <v>0</v>
      </c>
      <c r="KT29" s="124">
        <f>SUM(tbl_task10[S136])</f>
        <v>0</v>
      </c>
      <c r="KU29" s="124">
        <f>SUM(tbl_task10[S137])</f>
        <v>0</v>
      </c>
      <c r="KV29" s="124">
        <f>SUM(tbl_task10[S138])</f>
        <v>0</v>
      </c>
      <c r="KW29" s="124">
        <f>SUM(tbl_task10[S139])</f>
        <v>0</v>
      </c>
      <c r="KX29" s="124">
        <f>SUM(tbl_task10[S140])</f>
        <v>0</v>
      </c>
      <c r="KY29" s="124">
        <f>SUM(tbl_task10[S141])</f>
        <v>0</v>
      </c>
      <c r="KZ29" s="124">
        <f>SUM(tbl_task10[S142])</f>
        <v>0</v>
      </c>
      <c r="LA29" s="124">
        <f>SUM(tbl_task10[S143])</f>
        <v>0</v>
      </c>
      <c r="LB29" s="124">
        <f>SUM(tbl_task10[S144])</f>
        <v>0</v>
      </c>
      <c r="LC29" s="124">
        <f>SUM(tbl_task10[S145])</f>
        <v>0</v>
      </c>
      <c r="LD29" s="124">
        <f>SUM(tbl_task10[S146])</f>
        <v>0</v>
      </c>
      <c r="LE29" s="124">
        <f>SUM(tbl_task10[S147])</f>
        <v>0</v>
      </c>
      <c r="LF29" s="124">
        <f>SUM(tbl_task10[S148])</f>
        <v>0</v>
      </c>
      <c r="LG29" s="124">
        <f>SUM(tbl_task10[S149])</f>
        <v>0</v>
      </c>
      <c r="LH29" s="124">
        <f>SUM(tbl_task10[S150])</f>
        <v>0</v>
      </c>
      <c r="LI29" s="124">
        <f>SUM(tbl_task10[S151])</f>
        <v>0</v>
      </c>
      <c r="LJ29" s="124">
        <f>SUM(tbl_task10[S152])</f>
        <v>0</v>
      </c>
      <c r="LK29" s="124">
        <f>SUM(tbl_task10[S153])</f>
        <v>0</v>
      </c>
      <c r="LL29" s="124">
        <f>SUM(tbl_task10[S154])</f>
        <v>0</v>
      </c>
      <c r="LM29" s="124">
        <f>SUM(tbl_task10[S155])</f>
        <v>0</v>
      </c>
      <c r="LN29" s="124">
        <f>SUM(tbl_task10[S156])</f>
        <v>0</v>
      </c>
      <c r="LO29" s="124">
        <f>SUM(tbl_task10[S157])</f>
        <v>0</v>
      </c>
      <c r="LP29" s="124">
        <f>SUM(tbl_task10[S158])</f>
        <v>0</v>
      </c>
      <c r="LQ29" s="124">
        <f>SUM(tbl_task10[S159])</f>
        <v>0</v>
      </c>
      <c r="LR29" s="124">
        <f>SUM(tbl_task10[S160])</f>
        <v>0</v>
      </c>
      <c r="LS29" s="124">
        <f>SUM(tbl_task10[S161])</f>
        <v>0</v>
      </c>
      <c r="LT29" s="124">
        <f>SUM(tbl_task10[S162])</f>
        <v>0</v>
      </c>
      <c r="LU29" s="124">
        <f>SUM(tbl_task10[S163])</f>
        <v>0</v>
      </c>
      <c r="LV29" s="124">
        <f>SUM(tbl_task10[S164])</f>
        <v>0</v>
      </c>
      <c r="LW29" s="124">
        <f>SUM(tbl_task10[S165])</f>
        <v>0</v>
      </c>
    </row>
    <row r="30" spans="1:335" ht="10.5" customHeight="1" x14ac:dyDescent="0.25">
      <c r="A30" s="23"/>
      <c r="B30" s="35"/>
      <c r="C30" s="36"/>
      <c r="D30" s="100"/>
      <c r="E30" s="37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</row>
    <row r="31" spans="1:335" x14ac:dyDescent="0.25">
      <c r="A31" s="23"/>
      <c r="B31" s="35"/>
      <c r="C31" s="36"/>
      <c r="D31" s="100"/>
      <c r="E31" s="37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</row>
    <row r="32" spans="1:335" x14ac:dyDescent="0.25">
      <c r="A32" s="6" t="s">
        <v>410</v>
      </c>
    </row>
    <row r="33" spans="1:335" ht="42" x14ac:dyDescent="0.25">
      <c r="A33" s="7" t="s">
        <v>10</v>
      </c>
      <c r="B33" s="21" t="s">
        <v>286</v>
      </c>
      <c r="C33" s="21" t="s">
        <v>451</v>
      </c>
      <c r="D33" s="21" t="s">
        <v>409</v>
      </c>
      <c r="E33" s="43" t="s">
        <v>249</v>
      </c>
      <c r="F33" s="122" t="s">
        <v>22</v>
      </c>
      <c r="G33" s="122" t="s">
        <v>23</v>
      </c>
      <c r="H33" s="122" t="s">
        <v>24</v>
      </c>
      <c r="I33" s="122" t="s">
        <v>25</v>
      </c>
      <c r="J33" s="122" t="s">
        <v>26</v>
      </c>
      <c r="K33" s="122" t="s">
        <v>27</v>
      </c>
      <c r="L33" s="122" t="s">
        <v>28</v>
      </c>
      <c r="M33" s="122" t="s">
        <v>29</v>
      </c>
      <c r="N33" s="122" t="s">
        <v>30</v>
      </c>
      <c r="O33" s="122" t="s">
        <v>31</v>
      </c>
      <c r="P33" s="122" t="s">
        <v>32</v>
      </c>
      <c r="Q33" s="122" t="s">
        <v>33</v>
      </c>
      <c r="R33" s="122" t="s">
        <v>34</v>
      </c>
      <c r="S33" s="122" t="s">
        <v>35</v>
      </c>
      <c r="T33" s="122" t="s">
        <v>36</v>
      </c>
      <c r="U33" s="122" t="s">
        <v>37</v>
      </c>
      <c r="V33" s="122" t="s">
        <v>38</v>
      </c>
      <c r="W33" s="122" t="s">
        <v>39</v>
      </c>
      <c r="X33" s="122" t="s">
        <v>40</v>
      </c>
      <c r="Y33" s="122" t="s">
        <v>41</v>
      </c>
      <c r="Z33" s="122" t="s">
        <v>42</v>
      </c>
      <c r="AA33" s="122" t="s">
        <v>43</v>
      </c>
      <c r="AB33" s="122" t="s">
        <v>44</v>
      </c>
      <c r="AC33" s="122" t="s">
        <v>45</v>
      </c>
      <c r="AD33" s="122" t="s">
        <v>46</v>
      </c>
      <c r="AE33" s="122" t="s">
        <v>47</v>
      </c>
      <c r="AF33" s="122" t="s">
        <v>48</v>
      </c>
      <c r="AG33" s="122" t="s">
        <v>49</v>
      </c>
      <c r="AH33" s="122" t="s">
        <v>50</v>
      </c>
      <c r="AI33" s="122" t="s">
        <v>51</v>
      </c>
      <c r="AJ33" s="122" t="s">
        <v>52</v>
      </c>
      <c r="AK33" s="122" t="s">
        <v>53</v>
      </c>
      <c r="AL33" s="122" t="s">
        <v>54</v>
      </c>
      <c r="AM33" s="122" t="s">
        <v>55</v>
      </c>
      <c r="AN33" s="122" t="s">
        <v>56</v>
      </c>
      <c r="AO33" s="122" t="s">
        <v>57</v>
      </c>
      <c r="AP33" s="122" t="s">
        <v>58</v>
      </c>
      <c r="AQ33" s="122" t="s">
        <v>59</v>
      </c>
      <c r="AR33" s="122" t="s">
        <v>60</v>
      </c>
      <c r="AS33" s="122" t="s">
        <v>61</v>
      </c>
      <c r="AT33" s="122" t="s">
        <v>62</v>
      </c>
      <c r="AU33" s="122" t="s">
        <v>63</v>
      </c>
      <c r="AV33" s="122" t="s">
        <v>64</v>
      </c>
      <c r="AW33" s="122" t="s">
        <v>65</v>
      </c>
      <c r="AX33" s="122" t="s">
        <v>66</v>
      </c>
      <c r="AY33" s="122" t="s">
        <v>67</v>
      </c>
      <c r="AZ33" s="122" t="s">
        <v>68</v>
      </c>
      <c r="BA33" s="122" t="s">
        <v>69</v>
      </c>
      <c r="BB33" s="122" t="s">
        <v>70</v>
      </c>
      <c r="BC33" s="122" t="s">
        <v>71</v>
      </c>
      <c r="BD33" s="122" t="s">
        <v>72</v>
      </c>
      <c r="BE33" s="122" t="s">
        <v>73</v>
      </c>
      <c r="BF33" s="122" t="s">
        <v>74</v>
      </c>
      <c r="BG33" s="122" t="s">
        <v>75</v>
      </c>
      <c r="BH33" s="122" t="s">
        <v>76</v>
      </c>
      <c r="BI33" s="122" t="s">
        <v>77</v>
      </c>
      <c r="BJ33" s="122" t="s">
        <v>78</v>
      </c>
      <c r="BK33" s="122" t="s">
        <v>79</v>
      </c>
      <c r="BL33" s="122" t="s">
        <v>80</v>
      </c>
      <c r="BM33" s="122" t="s">
        <v>81</v>
      </c>
      <c r="BN33" s="122" t="s">
        <v>82</v>
      </c>
      <c r="BO33" s="122" t="s">
        <v>83</v>
      </c>
      <c r="BP33" s="122" t="s">
        <v>84</v>
      </c>
      <c r="BQ33" s="122" t="s">
        <v>85</v>
      </c>
      <c r="BR33" s="122" t="s">
        <v>86</v>
      </c>
      <c r="BS33" s="122" t="s">
        <v>87</v>
      </c>
      <c r="BT33" s="122" t="s">
        <v>88</v>
      </c>
      <c r="BU33" s="122" t="s">
        <v>89</v>
      </c>
      <c r="BV33" s="122" t="s">
        <v>90</v>
      </c>
      <c r="BW33" s="122" t="s">
        <v>91</v>
      </c>
      <c r="BX33" s="122" t="s">
        <v>92</v>
      </c>
      <c r="BY33" s="122" t="s">
        <v>93</v>
      </c>
      <c r="BZ33" s="122" t="s">
        <v>94</v>
      </c>
      <c r="CA33" s="122" t="s">
        <v>95</v>
      </c>
      <c r="CB33" s="122" t="s">
        <v>96</v>
      </c>
      <c r="CC33" s="122" t="s">
        <v>97</v>
      </c>
      <c r="CD33" s="122" t="s">
        <v>98</v>
      </c>
      <c r="CE33" s="122" t="s">
        <v>99</v>
      </c>
      <c r="CF33" s="122" t="s">
        <v>100</v>
      </c>
      <c r="CG33" s="122" t="s">
        <v>101</v>
      </c>
      <c r="CH33" s="122" t="s">
        <v>102</v>
      </c>
      <c r="CI33" s="122" t="s">
        <v>103</v>
      </c>
      <c r="CJ33" s="122" t="s">
        <v>104</v>
      </c>
      <c r="CK33" s="122" t="s">
        <v>105</v>
      </c>
      <c r="CL33" s="122" t="s">
        <v>106</v>
      </c>
      <c r="CM33" s="122" t="s">
        <v>107</v>
      </c>
      <c r="CN33" s="122" t="s">
        <v>108</v>
      </c>
      <c r="CO33" s="122" t="s">
        <v>109</v>
      </c>
      <c r="CP33" s="122" t="s">
        <v>110</v>
      </c>
      <c r="CQ33" s="122" t="s">
        <v>111</v>
      </c>
      <c r="CR33" s="122" t="s">
        <v>112</v>
      </c>
      <c r="CS33" s="122" t="s">
        <v>113</v>
      </c>
      <c r="CT33" s="122" t="s">
        <v>114</v>
      </c>
      <c r="CU33" s="122" t="s">
        <v>115</v>
      </c>
      <c r="CV33" s="122" t="s">
        <v>116</v>
      </c>
      <c r="CW33" s="122" t="s">
        <v>117</v>
      </c>
      <c r="CX33" s="122" t="s">
        <v>118</v>
      </c>
      <c r="CY33" s="122" t="s">
        <v>119</v>
      </c>
      <c r="CZ33" s="122" t="s">
        <v>120</v>
      </c>
      <c r="DA33" s="122" t="s">
        <v>121</v>
      </c>
      <c r="DB33" s="122" t="s">
        <v>122</v>
      </c>
      <c r="DC33" s="122" t="s">
        <v>123</v>
      </c>
      <c r="DD33" s="122" t="s">
        <v>124</v>
      </c>
      <c r="DE33" s="122" t="s">
        <v>125</v>
      </c>
      <c r="DF33" s="122" t="s">
        <v>126</v>
      </c>
      <c r="DG33" s="122" t="s">
        <v>127</v>
      </c>
      <c r="DH33" s="122" t="s">
        <v>128</v>
      </c>
      <c r="DI33" s="122" t="s">
        <v>129</v>
      </c>
      <c r="DJ33" s="122" t="s">
        <v>130</v>
      </c>
      <c r="DK33" s="122" t="s">
        <v>131</v>
      </c>
      <c r="DL33" s="122" t="s">
        <v>132</v>
      </c>
      <c r="DM33" s="122" t="s">
        <v>133</v>
      </c>
      <c r="DN33" s="122" t="s">
        <v>134</v>
      </c>
      <c r="DO33" s="122" t="s">
        <v>135</v>
      </c>
      <c r="DP33" s="122" t="s">
        <v>136</v>
      </c>
      <c r="DQ33" s="122" t="s">
        <v>359</v>
      </c>
      <c r="DR33" s="122" t="s">
        <v>360</v>
      </c>
      <c r="DS33" s="122" t="s">
        <v>361</v>
      </c>
      <c r="DT33" s="122" t="s">
        <v>362</v>
      </c>
      <c r="DU33" s="122" t="s">
        <v>363</v>
      </c>
      <c r="DV33" s="122" t="s">
        <v>364</v>
      </c>
      <c r="DW33" s="122" t="s">
        <v>365</v>
      </c>
      <c r="DX33" s="122" t="s">
        <v>366</v>
      </c>
      <c r="DY33" s="122" t="s">
        <v>367</v>
      </c>
      <c r="DZ33" s="122" t="s">
        <v>368</v>
      </c>
      <c r="EA33" s="122" t="s">
        <v>369</v>
      </c>
      <c r="EB33" s="122" t="s">
        <v>370</v>
      </c>
      <c r="EC33" s="122" t="s">
        <v>371</v>
      </c>
      <c r="ED33" s="122" t="s">
        <v>372</v>
      </c>
      <c r="EE33" s="122" t="s">
        <v>373</v>
      </c>
      <c r="EF33" s="122" t="s">
        <v>374</v>
      </c>
      <c r="EG33" s="122" t="s">
        <v>375</v>
      </c>
      <c r="EH33" s="122" t="s">
        <v>376</v>
      </c>
      <c r="EI33" s="122" t="s">
        <v>377</v>
      </c>
      <c r="EJ33" s="122" t="s">
        <v>378</v>
      </c>
      <c r="EK33" s="122" t="s">
        <v>379</v>
      </c>
      <c r="EL33" s="122" t="s">
        <v>380</v>
      </c>
      <c r="EM33" s="122" t="s">
        <v>381</v>
      </c>
      <c r="EN33" s="122" t="s">
        <v>382</v>
      </c>
      <c r="EO33" s="122" t="s">
        <v>383</v>
      </c>
      <c r="EP33" s="122" t="s">
        <v>384</v>
      </c>
      <c r="EQ33" s="122" t="s">
        <v>385</v>
      </c>
      <c r="ER33" s="122" t="s">
        <v>386</v>
      </c>
      <c r="ES33" s="122" t="s">
        <v>387</v>
      </c>
      <c r="ET33" s="122" t="s">
        <v>388</v>
      </c>
      <c r="EU33" s="122" t="s">
        <v>389</v>
      </c>
      <c r="EV33" s="122" t="s">
        <v>390</v>
      </c>
      <c r="EW33" s="122" t="s">
        <v>391</v>
      </c>
      <c r="EX33" s="122" t="s">
        <v>392</v>
      </c>
      <c r="EY33" s="122" t="s">
        <v>393</v>
      </c>
      <c r="EZ33" s="122" t="s">
        <v>394</v>
      </c>
      <c r="FA33" s="122" t="s">
        <v>395</v>
      </c>
      <c r="FB33" s="122" t="s">
        <v>396</v>
      </c>
      <c r="FC33" s="122" t="s">
        <v>397</v>
      </c>
      <c r="FD33" s="122" t="s">
        <v>398</v>
      </c>
      <c r="FE33" s="122" t="s">
        <v>399</v>
      </c>
      <c r="FF33" s="122" t="s">
        <v>400</v>
      </c>
      <c r="FG33" s="122" t="s">
        <v>401</v>
      </c>
      <c r="FH33" s="122" t="s">
        <v>402</v>
      </c>
      <c r="FI33" s="122" t="s">
        <v>403</v>
      </c>
      <c r="FJ33" s="122" t="s">
        <v>404</v>
      </c>
      <c r="FK33" s="122" t="s">
        <v>405</v>
      </c>
      <c r="FL33" s="122" t="s">
        <v>406</v>
      </c>
      <c r="FM33" s="122" t="s">
        <v>407</v>
      </c>
      <c r="FN33" s="122" t="s">
        <v>408</v>
      </c>
    </row>
    <row r="34" spans="1:335" ht="84" x14ac:dyDescent="0.25">
      <c r="A34" s="135">
        <v>1</v>
      </c>
      <c r="B34" s="5" t="s">
        <v>617</v>
      </c>
      <c r="C34" s="136">
        <f>COUNTIFS(tbl_task10[SubPLOs],"&gt;=1",tbl_task10[SubPLOs],"&lt;2")</f>
        <v>0</v>
      </c>
      <c r="D34" s="136">
        <f>SUMIFS(tbl_task10[คะแนนเต็ม],tbl_task10[SubPLOs],"&gt;=1",tbl_task10[SubPLOs],"&lt;2")</f>
        <v>0</v>
      </c>
      <c r="E34" s="137">
        <f>SUMIFS(tbl_task10[%],tbl_task10[SubPLOs],"&gt;=1",tbl_task10[SubPLOs],"&lt;2")</f>
        <v>0</v>
      </c>
      <c r="F34" s="138">
        <f>SUMIFS(tbl_task10[S1],tbl_task10[[SubPLOs]:[SubPLOs]],"&gt;=1",tbl_task10[[SubPLOs]:[SubPLOs]],"&lt;2")</f>
        <v>0</v>
      </c>
      <c r="G34" s="138">
        <f>SUMIFS(tbl_task10[S2],tbl_task10[[SubPLOs]:[SubPLOs]],"&gt;=1",tbl_task10[[SubPLOs]:[SubPLOs]],"&lt;2")</f>
        <v>0</v>
      </c>
      <c r="H34" s="138">
        <f>SUMIFS(tbl_task10[S3],tbl_task10[[SubPLOs]:[SubPLOs]],"&gt;=1",tbl_task10[[SubPLOs]:[SubPLOs]],"&lt;2")</f>
        <v>0</v>
      </c>
      <c r="I34" s="138">
        <f>SUMIFS(tbl_task10[S4],tbl_task10[[SubPLOs]:[SubPLOs]],"&gt;=1",tbl_task10[[SubPLOs]:[SubPLOs]],"&lt;2")</f>
        <v>0</v>
      </c>
      <c r="J34" s="138">
        <f>SUMIFS(tbl_task10[S5],tbl_task10[[SubPLOs]:[SubPLOs]],"&gt;=1",tbl_task10[[SubPLOs]:[SubPLOs]],"&lt;2")</f>
        <v>0</v>
      </c>
      <c r="K34" s="138">
        <f>SUMIFS(tbl_task10[S6],tbl_task10[[SubPLOs]:[SubPLOs]],"&gt;=1",tbl_task10[[SubPLOs]:[SubPLOs]],"&lt;2")</f>
        <v>0</v>
      </c>
      <c r="L34" s="138">
        <f>SUMIFS(tbl_task10[S7],tbl_task10[[SubPLOs]:[SubPLOs]],"&gt;=1",tbl_task10[[SubPLOs]:[SubPLOs]],"&lt;2")</f>
        <v>0</v>
      </c>
      <c r="M34" s="138">
        <f>SUMIFS(tbl_task10[S8],tbl_task10[[SubPLOs]:[SubPLOs]],"&gt;=1",tbl_task10[[SubPLOs]:[SubPLOs]],"&lt;2")</f>
        <v>0</v>
      </c>
      <c r="N34" s="138">
        <f>SUMIFS(tbl_task10[S9],tbl_task10[[SubPLOs]:[SubPLOs]],"&gt;=1",tbl_task10[[SubPLOs]:[SubPLOs]],"&lt;2")</f>
        <v>0</v>
      </c>
      <c r="O34" s="138">
        <f>SUMIFS(tbl_task10[S10],tbl_task10[[SubPLOs]:[SubPLOs]],"&gt;=1",tbl_task10[[SubPLOs]:[SubPLOs]],"&lt;2")</f>
        <v>0</v>
      </c>
      <c r="P34" s="138">
        <f>SUMIFS(tbl_task10[S11],tbl_task10[[SubPLOs]:[SubPLOs]],"&gt;=1",tbl_task10[[SubPLOs]:[SubPLOs]],"&lt;2")</f>
        <v>0</v>
      </c>
      <c r="Q34" s="138">
        <f>SUMIFS(tbl_task10[S12],tbl_task10[[SubPLOs]:[SubPLOs]],"&gt;=1",tbl_task10[[SubPLOs]:[SubPLOs]],"&lt;2")</f>
        <v>0</v>
      </c>
      <c r="R34" s="138">
        <f>SUMIFS(tbl_task10[S13],tbl_task10[[SubPLOs]:[SubPLOs]],"&gt;=1",tbl_task10[[SubPLOs]:[SubPLOs]],"&lt;2")</f>
        <v>0</v>
      </c>
      <c r="S34" s="138">
        <f>SUMIFS(tbl_task10[S14],tbl_task10[[SubPLOs]:[SubPLOs]],"&gt;=1",tbl_task10[[SubPLOs]:[SubPLOs]],"&lt;2")</f>
        <v>0</v>
      </c>
      <c r="T34" s="138">
        <f>SUMIFS(tbl_task10[S15],tbl_task10[[SubPLOs]:[SubPLOs]],"&gt;=1",tbl_task10[[SubPLOs]:[SubPLOs]],"&lt;2")</f>
        <v>0</v>
      </c>
      <c r="U34" s="138">
        <f>SUMIFS(tbl_task10[S16],tbl_task10[[SubPLOs]:[SubPLOs]],"&gt;=1",tbl_task10[[SubPLOs]:[SubPLOs]],"&lt;2")</f>
        <v>0</v>
      </c>
      <c r="V34" s="138">
        <f>SUMIFS(tbl_task10[S17],tbl_task10[[SubPLOs]:[SubPLOs]],"&gt;=1",tbl_task10[[SubPLOs]:[SubPLOs]],"&lt;2")</f>
        <v>0</v>
      </c>
      <c r="W34" s="138">
        <f>SUMIFS(tbl_task10[S18],tbl_task10[[SubPLOs]:[SubPLOs]],"&gt;=1",tbl_task10[[SubPLOs]:[SubPLOs]],"&lt;2")</f>
        <v>0</v>
      </c>
      <c r="X34" s="138">
        <f>SUMIFS(tbl_task10[S19],tbl_task10[[SubPLOs]:[SubPLOs]],"&gt;=1",tbl_task10[[SubPLOs]:[SubPLOs]],"&lt;2")</f>
        <v>0</v>
      </c>
      <c r="Y34" s="138">
        <f>SUMIFS(tbl_task10[S20],tbl_task10[[SubPLOs]:[SubPLOs]],"&gt;=1",tbl_task10[[SubPLOs]:[SubPLOs]],"&lt;2")</f>
        <v>0</v>
      </c>
      <c r="Z34" s="138">
        <f>SUMIFS(tbl_task10[S21],tbl_task10[[SubPLOs]:[SubPLOs]],"&gt;=1",tbl_task10[[SubPLOs]:[SubPLOs]],"&lt;2")</f>
        <v>0</v>
      </c>
      <c r="AA34" s="138">
        <f>SUMIFS(tbl_task10[S22],tbl_task10[[SubPLOs]:[SubPLOs]],"&gt;=1",tbl_task10[[SubPLOs]:[SubPLOs]],"&lt;2")</f>
        <v>0</v>
      </c>
      <c r="AB34" s="138">
        <f>SUMIFS(tbl_task10[S23],tbl_task10[[SubPLOs]:[SubPLOs]],"&gt;=1",tbl_task10[[SubPLOs]:[SubPLOs]],"&lt;2")</f>
        <v>0</v>
      </c>
      <c r="AC34" s="138">
        <f>SUMIFS(tbl_task10[S24],tbl_task10[[SubPLOs]:[SubPLOs]],"&gt;=1",tbl_task10[[SubPLOs]:[SubPLOs]],"&lt;2")</f>
        <v>0</v>
      </c>
      <c r="AD34" s="138">
        <f>SUMIFS(tbl_task10[S25],tbl_task10[[SubPLOs]:[SubPLOs]],"&gt;=1",tbl_task10[[SubPLOs]:[SubPLOs]],"&lt;2")</f>
        <v>0</v>
      </c>
      <c r="AE34" s="138">
        <f>SUMIFS(tbl_task10[S26],tbl_task10[[SubPLOs]:[SubPLOs]],"&gt;=1",tbl_task10[[SubPLOs]:[SubPLOs]],"&lt;2")</f>
        <v>0</v>
      </c>
      <c r="AF34" s="138">
        <f>SUMIFS(tbl_task10[S27],tbl_task10[[SubPLOs]:[SubPLOs]],"&gt;=1",tbl_task10[[SubPLOs]:[SubPLOs]],"&lt;2")</f>
        <v>0</v>
      </c>
      <c r="AG34" s="138">
        <f>SUMIFS(tbl_task10[S28],tbl_task10[[SubPLOs]:[SubPLOs]],"&gt;=1",tbl_task10[[SubPLOs]:[SubPLOs]],"&lt;2")</f>
        <v>0</v>
      </c>
      <c r="AH34" s="138">
        <f>SUMIFS(tbl_task10[S29],tbl_task10[[SubPLOs]:[SubPLOs]],"&gt;=1",tbl_task10[[SubPLOs]:[SubPLOs]],"&lt;2")</f>
        <v>0</v>
      </c>
      <c r="AI34" s="138">
        <f>SUMIFS(tbl_task10[S30],tbl_task10[[SubPLOs]:[SubPLOs]],"&gt;=1",tbl_task10[[SubPLOs]:[SubPLOs]],"&lt;2")</f>
        <v>0</v>
      </c>
      <c r="AJ34" s="138">
        <f>SUMIFS(tbl_task10[S31],tbl_task10[[SubPLOs]:[SubPLOs]],"&gt;=1",tbl_task10[[SubPLOs]:[SubPLOs]],"&lt;2")</f>
        <v>0</v>
      </c>
      <c r="AK34" s="138">
        <f>SUMIFS(tbl_task10[S32],tbl_task10[[SubPLOs]:[SubPLOs]],"&gt;=1",tbl_task10[[SubPLOs]:[SubPLOs]],"&lt;2")</f>
        <v>0</v>
      </c>
      <c r="AL34" s="138">
        <f>SUMIFS(tbl_task10[S33],tbl_task10[[SubPLOs]:[SubPLOs]],"&gt;=1",tbl_task10[[SubPLOs]:[SubPLOs]],"&lt;2")</f>
        <v>0</v>
      </c>
      <c r="AM34" s="138">
        <f>SUMIFS(tbl_task10[S34],tbl_task10[[SubPLOs]:[SubPLOs]],"&gt;=1",tbl_task10[[SubPLOs]:[SubPLOs]],"&lt;2")</f>
        <v>0</v>
      </c>
      <c r="AN34" s="138">
        <f>SUMIFS(tbl_task10[S35],tbl_task10[[SubPLOs]:[SubPLOs]],"&gt;=1",tbl_task10[[SubPLOs]:[SubPLOs]],"&lt;2")</f>
        <v>0</v>
      </c>
      <c r="AO34" s="138">
        <f>SUMIFS(tbl_task10[S36],tbl_task10[[SubPLOs]:[SubPLOs]],"&gt;=1",tbl_task10[[SubPLOs]:[SubPLOs]],"&lt;2")</f>
        <v>0</v>
      </c>
      <c r="AP34" s="138">
        <f>SUMIFS(tbl_task10[S37],tbl_task10[[SubPLOs]:[SubPLOs]],"&gt;=1",tbl_task10[[SubPLOs]:[SubPLOs]],"&lt;2")</f>
        <v>0</v>
      </c>
      <c r="AQ34" s="138">
        <f>SUMIFS(tbl_task10[S38],tbl_task10[[SubPLOs]:[SubPLOs]],"&gt;=1",tbl_task10[[SubPLOs]:[SubPLOs]],"&lt;2")</f>
        <v>0</v>
      </c>
      <c r="AR34" s="138">
        <f>SUMIFS(tbl_task10[S39],tbl_task10[[SubPLOs]:[SubPLOs]],"&gt;=1",tbl_task10[[SubPLOs]:[SubPLOs]],"&lt;2")</f>
        <v>0</v>
      </c>
      <c r="AS34" s="138">
        <f>SUMIFS(tbl_task10[S40],tbl_task10[[SubPLOs]:[SubPLOs]],"&gt;=1",tbl_task10[[SubPLOs]:[SubPLOs]],"&lt;2")</f>
        <v>0</v>
      </c>
      <c r="AT34" s="138">
        <f>SUMIFS(tbl_task10[S41],tbl_task10[[SubPLOs]:[SubPLOs]],"&gt;=1",tbl_task10[[SubPLOs]:[SubPLOs]],"&lt;2")</f>
        <v>0</v>
      </c>
      <c r="AU34" s="138">
        <f>SUMIFS(tbl_task10[S42],tbl_task10[[SubPLOs]:[SubPLOs]],"&gt;=1",tbl_task10[[SubPLOs]:[SubPLOs]],"&lt;2")</f>
        <v>0</v>
      </c>
      <c r="AV34" s="138">
        <f>SUMIFS(tbl_task10[S43],tbl_task10[[SubPLOs]:[SubPLOs]],"&gt;=1",tbl_task10[[SubPLOs]:[SubPLOs]],"&lt;2")</f>
        <v>0</v>
      </c>
      <c r="AW34" s="138">
        <f>SUMIFS(tbl_task10[S44],tbl_task10[[SubPLOs]:[SubPLOs]],"&gt;=1",tbl_task10[[SubPLOs]:[SubPLOs]],"&lt;2")</f>
        <v>0</v>
      </c>
      <c r="AX34" s="138">
        <f>SUMIFS(tbl_task10[S45],tbl_task10[[SubPLOs]:[SubPLOs]],"&gt;=1",tbl_task10[[SubPLOs]:[SubPLOs]],"&lt;2")</f>
        <v>0</v>
      </c>
      <c r="AY34" s="138">
        <f>SUMIFS(tbl_task10[S46],tbl_task10[[SubPLOs]:[SubPLOs]],"&gt;=1",tbl_task10[[SubPLOs]:[SubPLOs]],"&lt;2")</f>
        <v>0</v>
      </c>
      <c r="AZ34" s="138">
        <f>SUMIFS(tbl_task10[S47],tbl_task10[[SubPLOs]:[SubPLOs]],"&gt;=1",tbl_task10[[SubPLOs]:[SubPLOs]],"&lt;2")</f>
        <v>0</v>
      </c>
      <c r="BA34" s="138">
        <f>SUMIFS(tbl_task10[S48],tbl_task10[[SubPLOs]:[SubPLOs]],"&gt;=1",tbl_task10[[SubPLOs]:[SubPLOs]],"&lt;2")</f>
        <v>0</v>
      </c>
      <c r="BB34" s="138">
        <f>SUMIFS(tbl_task10[S49],tbl_task10[[SubPLOs]:[SubPLOs]],"&gt;=1",tbl_task10[[SubPLOs]:[SubPLOs]],"&lt;2")</f>
        <v>0</v>
      </c>
      <c r="BC34" s="138">
        <f>SUMIFS(tbl_task10[S50],tbl_task10[[SubPLOs]:[SubPLOs]],"&gt;=1",tbl_task10[[SubPLOs]:[SubPLOs]],"&lt;2")</f>
        <v>0</v>
      </c>
      <c r="BD34" s="138">
        <f>SUMIFS(tbl_task10[S51],tbl_task10[[SubPLOs]:[SubPLOs]],"&gt;=1",tbl_task10[[SubPLOs]:[SubPLOs]],"&lt;2")</f>
        <v>0</v>
      </c>
      <c r="BE34" s="138">
        <f>SUMIFS(tbl_task10[S52],tbl_task10[[SubPLOs]:[SubPLOs]],"&gt;=1",tbl_task10[[SubPLOs]:[SubPLOs]],"&lt;2")</f>
        <v>0</v>
      </c>
      <c r="BF34" s="138">
        <f>SUMIFS(tbl_task10[S53],tbl_task10[[SubPLOs]:[SubPLOs]],"&gt;=1",tbl_task10[[SubPLOs]:[SubPLOs]],"&lt;2")</f>
        <v>0</v>
      </c>
      <c r="BG34" s="138">
        <f>SUMIFS(tbl_task10[S54],tbl_task10[[SubPLOs]:[SubPLOs]],"&gt;=1",tbl_task10[[SubPLOs]:[SubPLOs]],"&lt;2")</f>
        <v>0</v>
      </c>
      <c r="BH34" s="138">
        <f>SUMIFS(tbl_task10[S55],tbl_task10[[SubPLOs]:[SubPLOs]],"&gt;=1",tbl_task10[[SubPLOs]:[SubPLOs]],"&lt;2")</f>
        <v>0</v>
      </c>
      <c r="BI34" s="138">
        <f>SUMIFS(tbl_task10[S56],tbl_task10[[SubPLOs]:[SubPLOs]],"&gt;=1",tbl_task10[[SubPLOs]:[SubPLOs]],"&lt;2")</f>
        <v>0</v>
      </c>
      <c r="BJ34" s="138">
        <f>SUMIFS(tbl_task10[S57],tbl_task10[[SubPLOs]:[SubPLOs]],"&gt;=1",tbl_task10[[SubPLOs]:[SubPLOs]],"&lt;2")</f>
        <v>0</v>
      </c>
      <c r="BK34" s="138">
        <f>SUMIFS(tbl_task10[S58],tbl_task10[[SubPLOs]:[SubPLOs]],"&gt;=1",tbl_task10[[SubPLOs]:[SubPLOs]],"&lt;2")</f>
        <v>0</v>
      </c>
      <c r="BL34" s="138">
        <f>SUMIFS(tbl_task10[S59],tbl_task10[[SubPLOs]:[SubPLOs]],"&gt;=1",tbl_task10[[SubPLOs]:[SubPLOs]],"&lt;2")</f>
        <v>0</v>
      </c>
      <c r="BM34" s="138">
        <f>SUMIFS(tbl_task10[S60],tbl_task10[[SubPLOs]:[SubPLOs]],"&gt;=1",tbl_task10[[SubPLOs]:[SubPLOs]],"&lt;2")</f>
        <v>0</v>
      </c>
      <c r="BN34" s="138">
        <f>SUMIFS(tbl_task10[S61],tbl_task10[[SubPLOs]:[SubPLOs]],"&gt;=1",tbl_task10[[SubPLOs]:[SubPLOs]],"&lt;2")</f>
        <v>0</v>
      </c>
      <c r="BO34" s="138">
        <f>SUMIFS(tbl_task10[S62],tbl_task10[[SubPLOs]:[SubPLOs]],"&gt;=1",tbl_task10[[SubPLOs]:[SubPLOs]],"&lt;2")</f>
        <v>0</v>
      </c>
      <c r="BP34" s="138">
        <f>SUMIFS(tbl_task10[S63],tbl_task10[[SubPLOs]:[SubPLOs]],"&gt;=1",tbl_task10[[SubPLOs]:[SubPLOs]],"&lt;2")</f>
        <v>0</v>
      </c>
      <c r="BQ34" s="138">
        <f>SUMIFS(tbl_task10[S64],tbl_task10[[SubPLOs]:[SubPLOs]],"&gt;=1",tbl_task10[[SubPLOs]:[SubPLOs]],"&lt;2")</f>
        <v>0</v>
      </c>
      <c r="BR34" s="138">
        <f>SUMIFS(tbl_task10[S65],tbl_task10[[SubPLOs]:[SubPLOs]],"&gt;=1",tbl_task10[[SubPLOs]:[SubPLOs]],"&lt;2")</f>
        <v>0</v>
      </c>
      <c r="BS34" s="138">
        <f>SUMIFS(tbl_task10[S66],tbl_task10[[SubPLOs]:[SubPLOs]],"&gt;=1",tbl_task10[[SubPLOs]:[SubPLOs]],"&lt;2")</f>
        <v>0</v>
      </c>
      <c r="BT34" s="138">
        <f>SUMIFS(tbl_task10[S67],tbl_task10[[SubPLOs]:[SubPLOs]],"&gt;=1",tbl_task10[[SubPLOs]:[SubPLOs]],"&lt;2")</f>
        <v>0</v>
      </c>
      <c r="BU34" s="138">
        <f>SUMIFS(tbl_task10[S68],tbl_task10[[SubPLOs]:[SubPLOs]],"&gt;=1",tbl_task10[[SubPLOs]:[SubPLOs]],"&lt;2")</f>
        <v>0</v>
      </c>
      <c r="BV34" s="138">
        <f>SUMIFS(tbl_task10[S69],tbl_task10[[SubPLOs]:[SubPLOs]],"&gt;=1",tbl_task10[[SubPLOs]:[SubPLOs]],"&lt;2")</f>
        <v>0</v>
      </c>
      <c r="BW34" s="138">
        <f>SUMIFS(tbl_task10[S70],tbl_task10[[SubPLOs]:[SubPLOs]],"&gt;=1",tbl_task10[[SubPLOs]:[SubPLOs]],"&lt;2")</f>
        <v>0</v>
      </c>
      <c r="BX34" s="138">
        <f>SUMIFS(tbl_task10[S71],tbl_task10[[SubPLOs]:[SubPLOs]],"&gt;=1",tbl_task10[[SubPLOs]:[SubPLOs]],"&lt;2")</f>
        <v>0</v>
      </c>
      <c r="BY34" s="138">
        <f>SUMIFS(tbl_task10[S72],tbl_task10[[SubPLOs]:[SubPLOs]],"&gt;=1",tbl_task10[[SubPLOs]:[SubPLOs]],"&lt;2")</f>
        <v>0</v>
      </c>
      <c r="BZ34" s="138">
        <f>SUMIFS(tbl_task10[S73],tbl_task10[[SubPLOs]:[SubPLOs]],"&gt;=1",tbl_task10[[SubPLOs]:[SubPLOs]],"&lt;2")</f>
        <v>0</v>
      </c>
      <c r="CA34" s="138">
        <f>SUMIFS(tbl_task10[S74],tbl_task10[[SubPLOs]:[SubPLOs]],"&gt;=1",tbl_task10[[SubPLOs]:[SubPLOs]],"&lt;2")</f>
        <v>0</v>
      </c>
      <c r="CB34" s="138">
        <f>SUMIFS(tbl_task10[S75],tbl_task10[[SubPLOs]:[SubPLOs]],"&gt;=1",tbl_task10[[SubPLOs]:[SubPLOs]],"&lt;2")</f>
        <v>0</v>
      </c>
      <c r="CC34" s="138">
        <f>SUMIFS(tbl_task10[S76],tbl_task10[[SubPLOs]:[SubPLOs]],"&gt;=1",tbl_task10[[SubPLOs]:[SubPLOs]],"&lt;2")</f>
        <v>0</v>
      </c>
      <c r="CD34" s="138">
        <f>SUMIFS(tbl_task10[S77],tbl_task10[[SubPLOs]:[SubPLOs]],"&gt;=1",tbl_task10[[SubPLOs]:[SubPLOs]],"&lt;2")</f>
        <v>0</v>
      </c>
      <c r="CE34" s="138">
        <f>SUMIFS(tbl_task10[S78],tbl_task10[[SubPLOs]:[SubPLOs]],"&gt;=1",tbl_task10[[SubPLOs]:[SubPLOs]],"&lt;2")</f>
        <v>0</v>
      </c>
      <c r="CF34" s="138">
        <f>SUMIFS(tbl_task10[S79],tbl_task10[[SubPLOs]:[SubPLOs]],"&gt;=1",tbl_task10[[SubPLOs]:[SubPLOs]],"&lt;2")</f>
        <v>0</v>
      </c>
      <c r="CG34" s="138">
        <f>SUMIFS(tbl_task10[S80],tbl_task10[[SubPLOs]:[SubPLOs]],"&gt;=1",tbl_task10[[SubPLOs]:[SubPLOs]],"&lt;2")</f>
        <v>0</v>
      </c>
      <c r="CH34" s="138">
        <f>SUMIFS(tbl_task10[S81],tbl_task10[[SubPLOs]:[SubPLOs]],"&gt;=1",tbl_task10[[SubPLOs]:[SubPLOs]],"&lt;2")</f>
        <v>0</v>
      </c>
      <c r="CI34" s="138">
        <f>SUMIFS(tbl_task10[S82],tbl_task10[[SubPLOs]:[SubPLOs]],"&gt;=1",tbl_task10[[SubPLOs]:[SubPLOs]],"&lt;2")</f>
        <v>0</v>
      </c>
      <c r="CJ34" s="138">
        <f>SUMIFS(tbl_task10[S83],tbl_task10[[SubPLOs]:[SubPLOs]],"&gt;=1",tbl_task10[[SubPLOs]:[SubPLOs]],"&lt;2")</f>
        <v>0</v>
      </c>
      <c r="CK34" s="138">
        <f>SUMIFS(tbl_task10[S84],tbl_task10[[SubPLOs]:[SubPLOs]],"&gt;=1",tbl_task10[[SubPLOs]:[SubPLOs]],"&lt;2")</f>
        <v>0</v>
      </c>
      <c r="CL34" s="138">
        <f>SUMIFS(tbl_task10[S85],tbl_task10[[SubPLOs]:[SubPLOs]],"&gt;=1",tbl_task10[[SubPLOs]:[SubPLOs]],"&lt;2")</f>
        <v>0</v>
      </c>
      <c r="CM34" s="138">
        <f>SUMIFS(tbl_task10[S86],tbl_task10[[SubPLOs]:[SubPLOs]],"&gt;=1",tbl_task10[[SubPLOs]:[SubPLOs]],"&lt;2")</f>
        <v>0</v>
      </c>
      <c r="CN34" s="138">
        <f>SUMIFS(tbl_task10[S87],tbl_task10[[SubPLOs]:[SubPLOs]],"&gt;=1",tbl_task10[[SubPLOs]:[SubPLOs]],"&lt;2")</f>
        <v>0</v>
      </c>
      <c r="CO34" s="138">
        <f>SUMIFS(tbl_task10[S88],tbl_task10[[SubPLOs]:[SubPLOs]],"&gt;=1",tbl_task10[[SubPLOs]:[SubPLOs]],"&lt;2")</f>
        <v>0</v>
      </c>
      <c r="CP34" s="138">
        <f>SUMIFS(tbl_task10[S89],tbl_task10[[SubPLOs]:[SubPLOs]],"&gt;=1",tbl_task10[[SubPLOs]:[SubPLOs]],"&lt;2")</f>
        <v>0</v>
      </c>
      <c r="CQ34" s="138">
        <f>SUMIFS(tbl_task10[S90],tbl_task10[[SubPLOs]:[SubPLOs]],"&gt;=1",tbl_task10[[SubPLOs]:[SubPLOs]],"&lt;2")</f>
        <v>0</v>
      </c>
      <c r="CR34" s="138">
        <f>SUMIFS(tbl_task10[S91],tbl_task10[[SubPLOs]:[SubPLOs]],"&gt;=1",tbl_task10[[SubPLOs]:[SubPLOs]],"&lt;2")</f>
        <v>0</v>
      </c>
      <c r="CS34" s="138">
        <f>SUMIFS(tbl_task10[S92],tbl_task10[[SubPLOs]:[SubPLOs]],"&gt;=1",tbl_task10[[SubPLOs]:[SubPLOs]],"&lt;2")</f>
        <v>0</v>
      </c>
      <c r="CT34" s="138">
        <f>SUMIFS(tbl_task10[S93],tbl_task10[[SubPLOs]:[SubPLOs]],"&gt;=1",tbl_task10[[SubPLOs]:[SubPLOs]],"&lt;2")</f>
        <v>0</v>
      </c>
      <c r="CU34" s="138">
        <f>SUMIFS(tbl_task10[S94],tbl_task10[[SubPLOs]:[SubPLOs]],"&gt;=1",tbl_task10[[SubPLOs]:[SubPLOs]],"&lt;2")</f>
        <v>0</v>
      </c>
      <c r="CV34" s="138">
        <f>SUMIFS(tbl_task10[S95],tbl_task10[[SubPLOs]:[SubPLOs]],"&gt;=1",tbl_task10[[SubPLOs]:[SubPLOs]],"&lt;2")</f>
        <v>0</v>
      </c>
      <c r="CW34" s="138">
        <f>SUMIFS(tbl_task10[S96],tbl_task10[[SubPLOs]:[SubPLOs]],"&gt;=1",tbl_task10[[SubPLOs]:[SubPLOs]],"&lt;2")</f>
        <v>0</v>
      </c>
      <c r="CX34" s="138">
        <f>SUMIFS(tbl_task10[S97],tbl_task10[[SubPLOs]:[SubPLOs]],"&gt;=1",tbl_task10[[SubPLOs]:[SubPLOs]],"&lt;2")</f>
        <v>0</v>
      </c>
      <c r="CY34" s="138">
        <f>SUMIFS(tbl_task10[S98],tbl_task10[[SubPLOs]:[SubPLOs]],"&gt;=1",tbl_task10[[SubPLOs]:[SubPLOs]],"&lt;2")</f>
        <v>0</v>
      </c>
      <c r="CZ34" s="138">
        <f>SUMIFS(tbl_task10[S99],tbl_task10[[SubPLOs]:[SubPLOs]],"&gt;=1",tbl_task10[[SubPLOs]:[SubPLOs]],"&lt;2")</f>
        <v>0</v>
      </c>
      <c r="DA34" s="138">
        <f>SUMIFS(tbl_task10[S100],tbl_task10[[SubPLOs]:[SubPLOs]],"&gt;=1",tbl_task10[[SubPLOs]:[SubPLOs]],"&lt;2")</f>
        <v>0</v>
      </c>
      <c r="DB34" s="138">
        <f>SUMIFS(tbl_task10[S101],tbl_task10[[SubPLOs]:[SubPLOs]],"&gt;=1",tbl_task10[[SubPLOs]:[SubPLOs]],"&lt;2")</f>
        <v>0</v>
      </c>
      <c r="DC34" s="138">
        <f>SUMIFS(tbl_task10[S102],tbl_task10[[SubPLOs]:[SubPLOs]],"&gt;=1",tbl_task10[[SubPLOs]:[SubPLOs]],"&lt;2")</f>
        <v>0</v>
      </c>
      <c r="DD34" s="138">
        <f>SUMIFS(tbl_task10[S103],tbl_task10[[SubPLOs]:[SubPLOs]],"&gt;=1",tbl_task10[[SubPLOs]:[SubPLOs]],"&lt;2")</f>
        <v>0</v>
      </c>
      <c r="DE34" s="138">
        <f>SUMIFS(tbl_task10[S104],tbl_task10[[SubPLOs]:[SubPLOs]],"&gt;=1",tbl_task10[[SubPLOs]:[SubPLOs]],"&lt;2")</f>
        <v>0</v>
      </c>
      <c r="DF34" s="138">
        <f>SUMIFS(tbl_task10[S105],tbl_task10[[SubPLOs]:[SubPLOs]],"&gt;=1",tbl_task10[[SubPLOs]:[SubPLOs]],"&lt;2")</f>
        <v>0</v>
      </c>
      <c r="DG34" s="138">
        <f>SUMIFS(tbl_task10[S106],tbl_task10[[SubPLOs]:[SubPLOs]],"&gt;=1",tbl_task10[[SubPLOs]:[SubPLOs]],"&lt;2")</f>
        <v>0</v>
      </c>
      <c r="DH34" s="138">
        <f>SUMIFS(tbl_task10[S106],tbl_task10[[SubPLOs]:[SubPLOs]],"&gt;=1",tbl_task10[[SubPLOs]:[SubPLOs]],"&lt;2")</f>
        <v>0</v>
      </c>
      <c r="DI34" s="138">
        <f>SUMIFS(tbl_task10[S108],tbl_task10[[SubPLOs]:[SubPLOs]],"&gt;=1",tbl_task10[[SubPLOs]:[SubPLOs]],"&lt;2")</f>
        <v>0</v>
      </c>
      <c r="DJ34" s="138">
        <f>SUMIFS(tbl_task10[S109],tbl_task10[[SubPLOs]:[SubPLOs]],"&gt;=1",tbl_task10[[SubPLOs]:[SubPLOs]],"&lt;2")</f>
        <v>0</v>
      </c>
      <c r="DK34" s="138">
        <f>SUMIFS(tbl_task10[S110],tbl_task10[[SubPLOs]:[SubPLOs]],"&gt;=1",tbl_task10[[SubPLOs]:[SubPLOs]],"&lt;2")</f>
        <v>0</v>
      </c>
      <c r="DL34" s="138">
        <f>SUMIFS(tbl_task10[S111],tbl_task10[[SubPLOs]:[SubPLOs]],"&gt;=1",tbl_task10[[SubPLOs]:[SubPLOs]],"&lt;2")</f>
        <v>0</v>
      </c>
      <c r="DM34" s="138">
        <f>SUMIFS(tbl_task10[S112],tbl_task10[[SubPLOs]:[SubPLOs]],"&gt;=1",tbl_task10[[SubPLOs]:[SubPLOs]],"&lt;2")</f>
        <v>0</v>
      </c>
      <c r="DN34" s="138">
        <f>SUMIFS(tbl_task10[S113],tbl_task10[[SubPLOs]:[SubPLOs]],"&gt;=1",tbl_task10[[SubPLOs]:[SubPLOs]],"&lt;2")</f>
        <v>0</v>
      </c>
      <c r="DO34" s="138">
        <f>SUMIFS(tbl_task10[S114],tbl_task10[[SubPLOs]:[SubPLOs]],"&gt;=1",tbl_task10[[SubPLOs]:[SubPLOs]],"&lt;2")</f>
        <v>0</v>
      </c>
      <c r="DP34" s="138">
        <f>SUMIFS(tbl_task10[S115],tbl_task10[[SubPLOs]:[SubPLOs]],"&gt;=1",tbl_task10[[SubPLOs]:[SubPLOs]],"&lt;2")</f>
        <v>0</v>
      </c>
      <c r="DQ34" s="138">
        <f>SUMIFS(tbl_task10[S116],tbl_task10[[SubPLOs]:[SubPLOs]],"&gt;=1",tbl_task10[[SubPLOs]:[SubPLOs]],"&lt;2")</f>
        <v>0</v>
      </c>
      <c r="DR34" s="138">
        <f>SUMIFS(tbl_task10[S117],tbl_task10[[SubPLOs]:[SubPLOs]],"&gt;=1",tbl_task10[[SubPLOs]:[SubPLOs]],"&lt;2")</f>
        <v>0</v>
      </c>
      <c r="DS34" s="138">
        <f>SUMIFS(tbl_task10[S118],tbl_task10[[SubPLOs]:[SubPLOs]],"&gt;=1",tbl_task10[[SubPLOs]:[SubPLOs]],"&lt;2")</f>
        <v>0</v>
      </c>
      <c r="DT34" s="138">
        <f>SUMIFS(tbl_task10[S119],tbl_task10[[SubPLOs]:[SubPLOs]],"&gt;=1",tbl_task10[[SubPLOs]:[SubPLOs]],"&lt;2")</f>
        <v>0</v>
      </c>
      <c r="DU34" s="138">
        <f>SUMIFS(tbl_task10[S120],tbl_task10[[SubPLOs]:[SubPLOs]],"&gt;=1",tbl_task10[[SubPLOs]:[SubPLOs]],"&lt;2")</f>
        <v>0</v>
      </c>
      <c r="DV34" s="138">
        <f>SUMIFS(tbl_task10[S121],tbl_task10[[SubPLOs]:[SubPLOs]],"&gt;=1",tbl_task10[[SubPLOs]:[SubPLOs]],"&lt;2")</f>
        <v>0</v>
      </c>
      <c r="DW34" s="138">
        <f>SUMIFS(tbl_task10[S122],tbl_task10[[SubPLOs]:[SubPLOs]],"&gt;=1",tbl_task10[[SubPLOs]:[SubPLOs]],"&lt;2")</f>
        <v>0</v>
      </c>
      <c r="DX34" s="138">
        <f>SUMIFS(tbl_task10[S123],tbl_task10[[SubPLOs]:[SubPLOs]],"&gt;=1",tbl_task10[[SubPLOs]:[SubPLOs]],"&lt;2")</f>
        <v>0</v>
      </c>
      <c r="DY34" s="138">
        <f>SUMIFS(tbl_task10[S124],tbl_task10[[SubPLOs]:[SubPLOs]],"&gt;=1",tbl_task10[[SubPLOs]:[SubPLOs]],"&lt;2")</f>
        <v>0</v>
      </c>
      <c r="DZ34" s="138">
        <f>SUMIFS(tbl_task10[S125],tbl_task10[[SubPLOs]:[SubPLOs]],"&gt;=1",tbl_task10[[SubPLOs]:[SubPLOs]],"&lt;2")</f>
        <v>0</v>
      </c>
      <c r="EA34" s="138">
        <f>SUMIFS(tbl_task10[S126],tbl_task10[[SubPLOs]:[SubPLOs]],"&gt;=1",tbl_task10[[SubPLOs]:[SubPLOs]],"&lt;2")</f>
        <v>0</v>
      </c>
      <c r="EB34" s="138">
        <f>SUMIFS(tbl_task10[S127],tbl_task10[[SubPLOs]:[SubPLOs]],"&gt;=1",tbl_task10[[SubPLOs]:[SubPLOs]],"&lt;2")</f>
        <v>0</v>
      </c>
      <c r="EC34" s="138">
        <f>SUMIFS(tbl_task10[S128],tbl_task10[[SubPLOs]:[SubPLOs]],"&gt;=1",tbl_task10[[SubPLOs]:[SubPLOs]],"&lt;2")</f>
        <v>0</v>
      </c>
      <c r="ED34" s="138">
        <f>SUMIFS(tbl_task10[S129],tbl_task10[[SubPLOs]:[SubPLOs]],"&gt;=1",tbl_task10[[SubPLOs]:[SubPLOs]],"&lt;2")</f>
        <v>0</v>
      </c>
      <c r="EE34" s="138">
        <f>SUMIFS(tbl_task10[S130],tbl_task10[[SubPLOs]:[SubPLOs]],"&gt;=1",tbl_task10[[SubPLOs]:[SubPLOs]],"&lt;2")</f>
        <v>0</v>
      </c>
      <c r="EF34" s="138">
        <f>SUMIFS(tbl_task10[S131],tbl_task10[[SubPLOs]:[SubPLOs]],"&gt;=1",tbl_task10[[SubPLOs]:[SubPLOs]],"&lt;2")</f>
        <v>0</v>
      </c>
      <c r="EG34" s="138">
        <f>SUMIFS(tbl_task10[S132],tbl_task10[[SubPLOs]:[SubPLOs]],"&gt;=1",tbl_task10[[SubPLOs]:[SubPLOs]],"&lt;2")</f>
        <v>0</v>
      </c>
      <c r="EH34" s="138">
        <f>SUMIFS(tbl_task10[S133],tbl_task10[[SubPLOs]:[SubPLOs]],"&gt;=1",tbl_task10[[SubPLOs]:[SubPLOs]],"&lt;2")</f>
        <v>0</v>
      </c>
      <c r="EI34" s="138">
        <f>SUMIFS(tbl_task10[S134],tbl_task10[[SubPLOs]:[SubPLOs]],"&gt;=1",tbl_task10[[SubPLOs]:[SubPLOs]],"&lt;2")</f>
        <v>0</v>
      </c>
      <c r="EJ34" s="138">
        <f>SUMIFS(tbl_task10[S135],tbl_task10[[SubPLOs]:[SubPLOs]],"&gt;=1",tbl_task10[[SubPLOs]:[SubPLOs]],"&lt;2")</f>
        <v>0</v>
      </c>
      <c r="EK34" s="138">
        <f>SUMIFS(tbl_task10[S136],tbl_task10[[SubPLOs]:[SubPLOs]],"&gt;=1",tbl_task10[[SubPLOs]:[SubPLOs]],"&lt;2")</f>
        <v>0</v>
      </c>
      <c r="EL34" s="138">
        <f>SUMIFS(tbl_task10[S137],tbl_task10[[SubPLOs]:[SubPLOs]],"&gt;=1",tbl_task10[[SubPLOs]:[SubPLOs]],"&lt;2")</f>
        <v>0</v>
      </c>
      <c r="EM34" s="138">
        <f>SUMIFS(tbl_task10[S138],tbl_task10[[SubPLOs]:[SubPLOs]],"&gt;=1",tbl_task10[[SubPLOs]:[SubPLOs]],"&lt;2")</f>
        <v>0</v>
      </c>
      <c r="EN34" s="138">
        <f>SUMIFS(tbl_task10[S139],tbl_task10[[SubPLOs]:[SubPLOs]],"&gt;=1",tbl_task10[[SubPLOs]:[SubPLOs]],"&lt;2")</f>
        <v>0</v>
      </c>
      <c r="EO34" s="138">
        <f>SUMIFS(tbl_task10[S140],tbl_task10[[SubPLOs]:[SubPLOs]],"&gt;=1",tbl_task10[[SubPLOs]:[SubPLOs]],"&lt;2")</f>
        <v>0</v>
      </c>
      <c r="EP34" s="138">
        <f>SUMIFS(tbl_task10[S141],tbl_task10[[SubPLOs]:[SubPLOs]],"&gt;=1",tbl_task10[[SubPLOs]:[SubPLOs]],"&lt;2")</f>
        <v>0</v>
      </c>
      <c r="EQ34" s="138">
        <f>SUMIFS(tbl_task10[S142],tbl_task10[[SubPLOs]:[SubPLOs]],"&gt;=1",tbl_task10[[SubPLOs]:[SubPLOs]],"&lt;2")</f>
        <v>0</v>
      </c>
      <c r="ER34" s="138">
        <f>SUMIFS(tbl_task10[S143],tbl_task10[[SubPLOs]:[SubPLOs]],"&gt;=1",tbl_task10[[SubPLOs]:[SubPLOs]],"&lt;2")</f>
        <v>0</v>
      </c>
      <c r="ES34" s="138">
        <f>SUMIFS(tbl_task10[S144],tbl_task10[[SubPLOs]:[SubPLOs]],"&gt;=1",tbl_task10[[SubPLOs]:[SubPLOs]],"&lt;2")</f>
        <v>0</v>
      </c>
      <c r="ET34" s="138">
        <f>SUMIFS(tbl_task10[S145],tbl_task10[[SubPLOs]:[SubPLOs]],"&gt;=1",tbl_task10[[SubPLOs]:[SubPLOs]],"&lt;2")</f>
        <v>0</v>
      </c>
      <c r="EU34" s="138">
        <f>SUMIFS(tbl_task10[S146],tbl_task10[[SubPLOs]:[SubPLOs]],"&gt;=1",tbl_task10[[SubPLOs]:[SubPLOs]],"&lt;2")</f>
        <v>0</v>
      </c>
      <c r="EV34" s="138">
        <f>SUMIFS(tbl_task10[S147],tbl_task10[[SubPLOs]:[SubPLOs]],"&gt;=1",tbl_task10[[SubPLOs]:[SubPLOs]],"&lt;2")</f>
        <v>0</v>
      </c>
      <c r="EW34" s="138">
        <f>SUMIFS(tbl_task10[S148],tbl_task10[[SubPLOs]:[SubPLOs]],"&gt;=1",tbl_task10[[SubPLOs]:[SubPLOs]],"&lt;2")</f>
        <v>0</v>
      </c>
      <c r="EX34" s="138">
        <f>SUMIFS(tbl_task10[S149],tbl_task10[[SubPLOs]:[SubPLOs]],"&gt;=1",tbl_task10[[SubPLOs]:[SubPLOs]],"&lt;2")</f>
        <v>0</v>
      </c>
      <c r="EY34" s="138">
        <f>SUMIFS(tbl_task10[S150],tbl_task10[[SubPLOs]:[SubPLOs]],"&gt;=1",tbl_task10[[SubPLOs]:[SubPLOs]],"&lt;2")</f>
        <v>0</v>
      </c>
      <c r="EZ34" s="138">
        <f>SUMIFS(tbl_task10[S151],tbl_task10[[SubPLOs]:[SubPLOs]],"&gt;=1",tbl_task10[[SubPLOs]:[SubPLOs]],"&lt;2")</f>
        <v>0</v>
      </c>
      <c r="FA34" s="138">
        <f>SUMIFS(tbl_task10[S152],tbl_task10[[SubPLOs]:[SubPLOs]],"&gt;=1",tbl_task10[[SubPLOs]:[SubPLOs]],"&lt;2")</f>
        <v>0</v>
      </c>
      <c r="FB34" s="138">
        <f>SUMIFS(tbl_task10[S153],tbl_task10[[SubPLOs]:[SubPLOs]],"&gt;=1",tbl_task10[[SubPLOs]:[SubPLOs]],"&lt;2")</f>
        <v>0</v>
      </c>
      <c r="FC34" s="138">
        <f>SUMIFS(tbl_task10[S154],tbl_task10[[SubPLOs]:[SubPLOs]],"&gt;=1",tbl_task10[[SubPLOs]:[SubPLOs]],"&lt;2")</f>
        <v>0</v>
      </c>
      <c r="FD34" s="138">
        <f>SUMIFS(tbl_task10[S155],tbl_task10[[SubPLOs]:[SubPLOs]],"&gt;=1",tbl_task10[[SubPLOs]:[SubPLOs]],"&lt;2")</f>
        <v>0</v>
      </c>
      <c r="FE34" s="138">
        <f>SUMIFS(tbl_task10[S156],tbl_task10[[SubPLOs]:[SubPLOs]],"&gt;=1",tbl_task10[[SubPLOs]:[SubPLOs]],"&lt;2")</f>
        <v>0</v>
      </c>
      <c r="FF34" s="138">
        <f>SUMIFS(tbl_task10[S157],tbl_task10[[SubPLOs]:[SubPLOs]],"&gt;=1",tbl_task10[[SubPLOs]:[SubPLOs]],"&lt;2")</f>
        <v>0</v>
      </c>
      <c r="FG34" s="138">
        <f>SUMIFS(tbl_task10[S158],tbl_task10[[SubPLOs]:[SubPLOs]],"&gt;=1",tbl_task10[[SubPLOs]:[SubPLOs]],"&lt;2")</f>
        <v>0</v>
      </c>
      <c r="FH34" s="138">
        <f>SUMIFS(tbl_task10[S159],tbl_task10[[SubPLOs]:[SubPLOs]],"&gt;=1",tbl_task10[[SubPLOs]:[SubPLOs]],"&lt;2")</f>
        <v>0</v>
      </c>
      <c r="FI34" s="138">
        <f>SUMIFS(tbl_task10[S160],tbl_task10[[SubPLOs]:[SubPLOs]],"&gt;=1",tbl_task10[[SubPLOs]:[SubPLOs]],"&lt;2")</f>
        <v>0</v>
      </c>
      <c r="FJ34" s="138">
        <f>SUMIFS(tbl_task10[S161],tbl_task10[[SubPLOs]:[SubPLOs]],"&gt;=1",tbl_task10[[SubPLOs]:[SubPLOs]],"&lt;2")</f>
        <v>0</v>
      </c>
      <c r="FK34" s="138">
        <f>SUMIFS(tbl_task10[S162],tbl_task10[[SubPLOs]:[SubPLOs]],"&gt;=1",tbl_task10[[SubPLOs]:[SubPLOs]],"&lt;2")</f>
        <v>0</v>
      </c>
      <c r="FL34" s="138">
        <f>SUMIFS(tbl_task10[S163],tbl_task10[[SubPLOs]:[SubPLOs]],"&gt;=1",tbl_task10[[SubPLOs]:[SubPLOs]],"&lt;2")</f>
        <v>0</v>
      </c>
      <c r="FM34" s="138">
        <f>SUMIFS(tbl_task10[S164],tbl_task10[[SubPLOs]:[SubPLOs]],"&gt;=1",tbl_task10[[SubPLOs]:[SubPLOs]],"&lt;2")</f>
        <v>0</v>
      </c>
      <c r="FN34" s="138">
        <f>SUMIFS(tbl_task10[S165],tbl_task10[[SubPLOs]:[SubPLOs]],"&gt;=1",tbl_task10[[SubPLOs]:[SubPLOs]],"&lt;2")</f>
        <v>0</v>
      </c>
    </row>
    <row r="35" spans="1:335" ht="147" x14ac:dyDescent="0.25">
      <c r="A35" s="135">
        <v>2</v>
      </c>
      <c r="B35" s="5" t="s">
        <v>435</v>
      </c>
      <c r="C35" s="136">
        <f>COUNTIFS(tbl_task10[SubPLOs],"&gt;=2",tbl_task10[SubPLOs],"&lt;3")</f>
        <v>0</v>
      </c>
      <c r="D35" s="136">
        <f>SUMIFS(tbl_task10[คะแนนเต็ม],tbl_task10[SubPLOs],"&gt;=2",tbl_task10[SubPLOs],"&lt;3")</f>
        <v>0</v>
      </c>
      <c r="E35" s="137">
        <f>SUMIFS(tbl_task10[%],tbl_task10[SubPLOs],"&gt;=2",tbl_task10[SubPLOs],"&lt;3")</f>
        <v>0</v>
      </c>
      <c r="F35" s="138">
        <f>SUMIFS(tbl_task10[S1],tbl_task10[[SubPLOs]:[SubPLOs]],"&gt;=2",tbl_task10[[SubPLOs]:[SubPLOs]],"&lt;3")</f>
        <v>0</v>
      </c>
      <c r="G35" s="138">
        <f>SUMIFS(tbl_task10[S2],tbl_task10[[SubPLOs]:[SubPLOs]],"&gt;=2",tbl_task10[[SubPLOs]:[SubPLOs]],"&lt;3")</f>
        <v>0</v>
      </c>
      <c r="H35" s="138">
        <f>SUMIFS(tbl_task10[S3],tbl_task10[[SubPLOs]:[SubPLOs]],"&gt;=2",tbl_task10[[SubPLOs]:[SubPLOs]],"&lt;3")</f>
        <v>0</v>
      </c>
      <c r="I35" s="138">
        <f>SUMIFS(tbl_task10[S4],tbl_task10[[SubPLOs]:[SubPLOs]],"&gt;=2",tbl_task10[[SubPLOs]:[SubPLOs]],"&lt;3")</f>
        <v>0</v>
      </c>
      <c r="J35" s="138">
        <f>SUMIFS(tbl_task10[S5],tbl_task10[[SubPLOs]:[SubPLOs]],"&gt;=2",tbl_task10[[SubPLOs]:[SubPLOs]],"&lt;3")</f>
        <v>0</v>
      </c>
      <c r="K35" s="138">
        <f>SUMIFS(tbl_task10[S6],tbl_task10[[SubPLOs]:[SubPLOs]],"&gt;=2",tbl_task10[[SubPLOs]:[SubPLOs]],"&lt;3")</f>
        <v>0</v>
      </c>
      <c r="L35" s="138">
        <f>SUMIFS(tbl_task10[S7],tbl_task10[[SubPLOs]:[SubPLOs]],"&gt;=2",tbl_task10[[SubPLOs]:[SubPLOs]],"&lt;3")</f>
        <v>0</v>
      </c>
      <c r="M35" s="138">
        <f>SUMIFS(tbl_task10[S8],tbl_task10[[SubPLOs]:[SubPLOs]],"&gt;=2",tbl_task10[[SubPLOs]:[SubPLOs]],"&lt;3")</f>
        <v>0</v>
      </c>
      <c r="N35" s="138">
        <f>SUMIFS(tbl_task10[S9],tbl_task10[[SubPLOs]:[SubPLOs]],"&gt;=2",tbl_task10[[SubPLOs]:[SubPLOs]],"&lt;3")</f>
        <v>0</v>
      </c>
      <c r="O35" s="138">
        <f>SUMIFS(tbl_task10[S10],tbl_task10[[SubPLOs]:[SubPLOs]],"&gt;=2",tbl_task10[[SubPLOs]:[SubPLOs]],"&lt;3")</f>
        <v>0</v>
      </c>
      <c r="P35" s="138">
        <f>SUMIFS(tbl_task10[S11],tbl_task10[[SubPLOs]:[SubPLOs]],"&gt;=2",tbl_task10[[SubPLOs]:[SubPLOs]],"&lt;3")</f>
        <v>0</v>
      </c>
      <c r="Q35" s="138">
        <f>SUMIFS(tbl_task10[S12],tbl_task10[[SubPLOs]:[SubPLOs]],"&gt;=2",tbl_task10[[SubPLOs]:[SubPLOs]],"&lt;3")</f>
        <v>0</v>
      </c>
      <c r="R35" s="138">
        <f>SUMIFS(tbl_task10[S13],tbl_task10[[SubPLOs]:[SubPLOs]],"&gt;=2",tbl_task10[[SubPLOs]:[SubPLOs]],"&lt;3")</f>
        <v>0</v>
      </c>
      <c r="S35" s="138">
        <f>SUMIFS(tbl_task10[S14],tbl_task10[[SubPLOs]:[SubPLOs]],"&gt;=2",tbl_task10[[SubPLOs]:[SubPLOs]],"&lt;3")</f>
        <v>0</v>
      </c>
      <c r="T35" s="138">
        <f>SUMIFS(tbl_task10[S15],tbl_task10[[SubPLOs]:[SubPLOs]],"&gt;=2",tbl_task10[[SubPLOs]:[SubPLOs]],"&lt;3")</f>
        <v>0</v>
      </c>
      <c r="U35" s="138">
        <f>SUMIFS(tbl_task10[S16],tbl_task10[[SubPLOs]:[SubPLOs]],"&gt;=2",tbl_task10[[SubPLOs]:[SubPLOs]],"&lt;3")</f>
        <v>0</v>
      </c>
      <c r="V35" s="138">
        <f>SUMIFS(tbl_task10[S17],tbl_task10[[SubPLOs]:[SubPLOs]],"&gt;=2",tbl_task10[[SubPLOs]:[SubPLOs]],"&lt;3")</f>
        <v>0</v>
      </c>
      <c r="W35" s="138">
        <f>SUMIFS(tbl_task10[S18],tbl_task10[[SubPLOs]:[SubPLOs]],"&gt;=2",tbl_task10[[SubPLOs]:[SubPLOs]],"&lt;3")</f>
        <v>0</v>
      </c>
      <c r="X35" s="138">
        <f>SUMIFS(tbl_task10[S19],tbl_task10[[SubPLOs]:[SubPLOs]],"&gt;=2",tbl_task10[[SubPLOs]:[SubPLOs]],"&lt;3")</f>
        <v>0</v>
      </c>
      <c r="Y35" s="138">
        <f>SUMIFS(tbl_task10[S20],tbl_task10[[SubPLOs]:[SubPLOs]],"&gt;=2",tbl_task10[[SubPLOs]:[SubPLOs]],"&lt;3")</f>
        <v>0</v>
      </c>
      <c r="Z35" s="138">
        <f>SUMIFS(tbl_task10[S21],tbl_task10[[SubPLOs]:[SubPLOs]],"&gt;=2",tbl_task10[[SubPLOs]:[SubPLOs]],"&lt;3")</f>
        <v>0</v>
      </c>
      <c r="AA35" s="138">
        <f>SUMIFS(tbl_task10[S22],tbl_task10[[SubPLOs]:[SubPLOs]],"&gt;=2",tbl_task10[[SubPLOs]:[SubPLOs]],"&lt;3")</f>
        <v>0</v>
      </c>
      <c r="AB35" s="138">
        <f>SUMIFS(tbl_task10[S23],tbl_task10[[SubPLOs]:[SubPLOs]],"&gt;=2",tbl_task10[[SubPLOs]:[SubPLOs]],"&lt;3")</f>
        <v>0</v>
      </c>
      <c r="AC35" s="138">
        <f>SUMIFS(tbl_task10[S24],tbl_task10[[SubPLOs]:[SubPLOs]],"&gt;=2",tbl_task10[[SubPLOs]:[SubPLOs]],"&lt;3")</f>
        <v>0</v>
      </c>
      <c r="AD35" s="138">
        <f>SUMIFS(tbl_task10[S25],tbl_task10[[SubPLOs]:[SubPLOs]],"&gt;=2",tbl_task10[[SubPLOs]:[SubPLOs]],"&lt;3")</f>
        <v>0</v>
      </c>
      <c r="AE35" s="138">
        <f>SUMIFS(tbl_task10[S26],tbl_task10[[SubPLOs]:[SubPLOs]],"&gt;=2",tbl_task10[[SubPLOs]:[SubPLOs]],"&lt;3")</f>
        <v>0</v>
      </c>
      <c r="AF35" s="138">
        <f>SUMIFS(tbl_task10[S27],tbl_task10[[SubPLOs]:[SubPLOs]],"&gt;=2",tbl_task10[[SubPLOs]:[SubPLOs]],"&lt;3")</f>
        <v>0</v>
      </c>
      <c r="AG35" s="138">
        <f>SUMIFS(tbl_task10[S28],tbl_task10[[SubPLOs]:[SubPLOs]],"&gt;=2",tbl_task10[[SubPLOs]:[SubPLOs]],"&lt;3")</f>
        <v>0</v>
      </c>
      <c r="AH35" s="138">
        <f>SUMIFS(tbl_task10[S29],tbl_task10[[SubPLOs]:[SubPLOs]],"&gt;=2",tbl_task10[[SubPLOs]:[SubPLOs]],"&lt;3")</f>
        <v>0</v>
      </c>
      <c r="AI35" s="138">
        <f>SUMIFS(tbl_task10[S30],tbl_task10[[SubPLOs]:[SubPLOs]],"&gt;=2",tbl_task10[[SubPLOs]:[SubPLOs]],"&lt;3")</f>
        <v>0</v>
      </c>
      <c r="AJ35" s="138">
        <f>SUMIFS(tbl_task10[S31],tbl_task10[[SubPLOs]:[SubPLOs]],"&gt;=2",tbl_task10[[SubPLOs]:[SubPLOs]],"&lt;3")</f>
        <v>0</v>
      </c>
      <c r="AK35" s="138">
        <f>SUMIFS(tbl_task10[S32],tbl_task10[[SubPLOs]:[SubPLOs]],"&gt;=2",tbl_task10[[SubPLOs]:[SubPLOs]],"&lt;3")</f>
        <v>0</v>
      </c>
      <c r="AL35" s="138">
        <f>SUMIFS(tbl_task10[S33],tbl_task10[[SubPLOs]:[SubPLOs]],"&gt;=2",tbl_task10[[SubPLOs]:[SubPLOs]],"&lt;3")</f>
        <v>0</v>
      </c>
      <c r="AM35" s="138">
        <f>SUMIFS(tbl_task10[S34],tbl_task10[[SubPLOs]:[SubPLOs]],"&gt;=2",tbl_task10[[SubPLOs]:[SubPLOs]],"&lt;3")</f>
        <v>0</v>
      </c>
      <c r="AN35" s="138">
        <f>SUMIFS(tbl_task10[S35],tbl_task10[[SubPLOs]:[SubPLOs]],"&gt;=2",tbl_task10[[SubPLOs]:[SubPLOs]],"&lt;3")</f>
        <v>0</v>
      </c>
      <c r="AO35" s="138">
        <f>SUMIFS(tbl_task10[S36],tbl_task10[[SubPLOs]:[SubPLOs]],"&gt;=2",tbl_task10[[SubPLOs]:[SubPLOs]],"&lt;3")</f>
        <v>0</v>
      </c>
      <c r="AP35" s="138">
        <f>SUMIFS(tbl_task10[S37],tbl_task10[[SubPLOs]:[SubPLOs]],"&gt;=2",tbl_task10[[SubPLOs]:[SubPLOs]],"&lt;3")</f>
        <v>0</v>
      </c>
      <c r="AQ35" s="138">
        <f>SUMIFS(tbl_task10[S38],tbl_task10[[SubPLOs]:[SubPLOs]],"&gt;=2",tbl_task10[[SubPLOs]:[SubPLOs]],"&lt;3")</f>
        <v>0</v>
      </c>
      <c r="AR35" s="138">
        <f>SUMIFS(tbl_task10[S39],tbl_task10[[SubPLOs]:[SubPLOs]],"&gt;=2",tbl_task10[[SubPLOs]:[SubPLOs]],"&lt;3")</f>
        <v>0</v>
      </c>
      <c r="AS35" s="138">
        <f>SUMIFS(tbl_task10[S40],tbl_task10[[SubPLOs]:[SubPLOs]],"&gt;=2",tbl_task10[[SubPLOs]:[SubPLOs]],"&lt;3")</f>
        <v>0</v>
      </c>
      <c r="AT35" s="138">
        <f>SUMIFS(tbl_task10[S41],tbl_task10[[SubPLOs]:[SubPLOs]],"&gt;=2",tbl_task10[[SubPLOs]:[SubPLOs]],"&lt;3")</f>
        <v>0</v>
      </c>
      <c r="AU35" s="138">
        <f>SUMIFS(tbl_task10[S42],tbl_task10[[SubPLOs]:[SubPLOs]],"&gt;=2",tbl_task10[[SubPLOs]:[SubPLOs]],"&lt;3")</f>
        <v>0</v>
      </c>
      <c r="AV35" s="138">
        <f>SUMIFS(tbl_task10[S43],tbl_task10[[SubPLOs]:[SubPLOs]],"&gt;=2",tbl_task10[[SubPLOs]:[SubPLOs]],"&lt;3")</f>
        <v>0</v>
      </c>
      <c r="AW35" s="138">
        <f>SUMIFS(tbl_task10[S44],tbl_task10[[SubPLOs]:[SubPLOs]],"&gt;=2",tbl_task10[[SubPLOs]:[SubPLOs]],"&lt;3")</f>
        <v>0</v>
      </c>
      <c r="AX35" s="138">
        <f>SUMIFS(tbl_task10[S45],tbl_task10[[SubPLOs]:[SubPLOs]],"&gt;=2",tbl_task10[[SubPLOs]:[SubPLOs]],"&lt;3")</f>
        <v>0</v>
      </c>
      <c r="AY35" s="138">
        <f>SUMIFS(tbl_task10[S46],tbl_task10[[SubPLOs]:[SubPLOs]],"&gt;=2",tbl_task10[[SubPLOs]:[SubPLOs]],"&lt;3")</f>
        <v>0</v>
      </c>
      <c r="AZ35" s="138">
        <f>SUMIFS(tbl_task10[S47],tbl_task10[[SubPLOs]:[SubPLOs]],"&gt;=2",tbl_task10[[SubPLOs]:[SubPLOs]],"&lt;3")</f>
        <v>0</v>
      </c>
      <c r="BA35" s="138">
        <f>SUMIFS(tbl_task10[S48],tbl_task10[[SubPLOs]:[SubPLOs]],"&gt;=2",tbl_task10[[SubPLOs]:[SubPLOs]],"&lt;3")</f>
        <v>0</v>
      </c>
      <c r="BB35" s="138">
        <f>SUMIFS(tbl_task10[S49],tbl_task10[[SubPLOs]:[SubPLOs]],"&gt;=2",tbl_task10[[SubPLOs]:[SubPLOs]],"&lt;3")</f>
        <v>0</v>
      </c>
      <c r="BC35" s="138">
        <f>SUMIFS(tbl_task10[S50],tbl_task10[[SubPLOs]:[SubPLOs]],"&gt;=2",tbl_task10[[SubPLOs]:[SubPLOs]],"&lt;3")</f>
        <v>0</v>
      </c>
      <c r="BD35" s="138">
        <f>SUMIFS(tbl_task10[S51],tbl_task10[[SubPLOs]:[SubPLOs]],"&gt;=2",tbl_task10[[SubPLOs]:[SubPLOs]],"&lt;3")</f>
        <v>0</v>
      </c>
      <c r="BE35" s="138">
        <f>SUMIFS(tbl_task10[S52],tbl_task10[[SubPLOs]:[SubPLOs]],"&gt;=2",tbl_task10[[SubPLOs]:[SubPLOs]],"&lt;3")</f>
        <v>0</v>
      </c>
      <c r="BF35" s="138">
        <f>SUMIFS(tbl_task10[S53],tbl_task10[[SubPLOs]:[SubPLOs]],"&gt;=2",tbl_task10[[SubPLOs]:[SubPLOs]],"&lt;3")</f>
        <v>0</v>
      </c>
      <c r="BG35" s="138">
        <f>SUMIFS(tbl_task10[S54],tbl_task10[[SubPLOs]:[SubPLOs]],"&gt;=2",tbl_task10[[SubPLOs]:[SubPLOs]],"&lt;3")</f>
        <v>0</v>
      </c>
      <c r="BH35" s="138">
        <f>SUMIFS(tbl_task10[S55],tbl_task10[[SubPLOs]:[SubPLOs]],"&gt;=2",tbl_task10[[SubPLOs]:[SubPLOs]],"&lt;3")</f>
        <v>0</v>
      </c>
      <c r="BI35" s="138">
        <f>SUMIFS(tbl_task10[S56],tbl_task10[[SubPLOs]:[SubPLOs]],"&gt;=2",tbl_task10[[SubPLOs]:[SubPLOs]],"&lt;3")</f>
        <v>0</v>
      </c>
      <c r="BJ35" s="138">
        <f>SUMIFS(tbl_task10[S57],tbl_task10[[SubPLOs]:[SubPLOs]],"&gt;=2",tbl_task10[[SubPLOs]:[SubPLOs]],"&lt;3")</f>
        <v>0</v>
      </c>
      <c r="BK35" s="138">
        <f>SUMIFS(tbl_task10[S58],tbl_task10[[SubPLOs]:[SubPLOs]],"&gt;=2",tbl_task10[[SubPLOs]:[SubPLOs]],"&lt;3")</f>
        <v>0</v>
      </c>
      <c r="BL35" s="138">
        <f>SUMIFS(tbl_task10[S59],tbl_task10[[SubPLOs]:[SubPLOs]],"&gt;=2",tbl_task10[[SubPLOs]:[SubPLOs]],"&lt;3")</f>
        <v>0</v>
      </c>
      <c r="BM35" s="138">
        <f>SUMIFS(tbl_task10[S60],tbl_task10[[SubPLOs]:[SubPLOs]],"&gt;=2",tbl_task10[[SubPLOs]:[SubPLOs]],"&lt;3")</f>
        <v>0</v>
      </c>
      <c r="BN35" s="138">
        <f>SUMIFS(tbl_task10[S61],tbl_task10[[SubPLOs]:[SubPLOs]],"&gt;=2",tbl_task10[[SubPLOs]:[SubPLOs]],"&lt;3")</f>
        <v>0</v>
      </c>
      <c r="BO35" s="138">
        <f>SUMIFS(tbl_task10[S62],tbl_task10[[SubPLOs]:[SubPLOs]],"&gt;=2",tbl_task10[[SubPLOs]:[SubPLOs]],"&lt;3")</f>
        <v>0</v>
      </c>
      <c r="BP35" s="138">
        <f>SUMIFS(tbl_task10[S63],tbl_task10[[SubPLOs]:[SubPLOs]],"&gt;=2",tbl_task10[[SubPLOs]:[SubPLOs]],"&lt;3")</f>
        <v>0</v>
      </c>
      <c r="BQ35" s="138">
        <f>SUMIFS(tbl_task10[S64],tbl_task10[[SubPLOs]:[SubPLOs]],"&gt;=2",tbl_task10[[SubPLOs]:[SubPLOs]],"&lt;3")</f>
        <v>0</v>
      </c>
      <c r="BR35" s="138">
        <f>SUMIFS(tbl_task10[S65],tbl_task10[[SubPLOs]:[SubPLOs]],"&gt;=2",tbl_task10[[SubPLOs]:[SubPLOs]],"&lt;3")</f>
        <v>0</v>
      </c>
      <c r="BS35" s="138">
        <f>SUMIFS(tbl_task10[S66],tbl_task10[[SubPLOs]:[SubPLOs]],"&gt;=2",tbl_task10[[SubPLOs]:[SubPLOs]],"&lt;3")</f>
        <v>0</v>
      </c>
      <c r="BT35" s="138">
        <f>SUMIFS(tbl_task10[S67],tbl_task10[[SubPLOs]:[SubPLOs]],"&gt;=2",tbl_task10[[SubPLOs]:[SubPLOs]],"&lt;3")</f>
        <v>0</v>
      </c>
      <c r="BU35" s="138">
        <f>SUMIFS(tbl_task10[S68],tbl_task10[[SubPLOs]:[SubPLOs]],"&gt;=2",tbl_task10[[SubPLOs]:[SubPLOs]],"&lt;3")</f>
        <v>0</v>
      </c>
      <c r="BV35" s="138">
        <f>SUMIFS(tbl_task10[S69],tbl_task10[[SubPLOs]:[SubPLOs]],"&gt;=2",tbl_task10[[SubPLOs]:[SubPLOs]],"&lt;3")</f>
        <v>0</v>
      </c>
      <c r="BW35" s="138">
        <f>SUMIFS(tbl_task10[S70],tbl_task10[[SubPLOs]:[SubPLOs]],"&gt;=2",tbl_task10[[SubPLOs]:[SubPLOs]],"&lt;3")</f>
        <v>0</v>
      </c>
      <c r="BX35" s="138">
        <f>SUMIFS(tbl_task10[S71],tbl_task10[[SubPLOs]:[SubPLOs]],"&gt;=2",tbl_task10[[SubPLOs]:[SubPLOs]],"&lt;3")</f>
        <v>0</v>
      </c>
      <c r="BY35" s="138">
        <f>SUMIFS(tbl_task10[S72],tbl_task10[[SubPLOs]:[SubPLOs]],"&gt;=2",tbl_task10[[SubPLOs]:[SubPLOs]],"&lt;3")</f>
        <v>0</v>
      </c>
      <c r="BZ35" s="138">
        <f>SUMIFS(tbl_task10[S73],tbl_task10[[SubPLOs]:[SubPLOs]],"&gt;=2",tbl_task10[[SubPLOs]:[SubPLOs]],"&lt;3")</f>
        <v>0</v>
      </c>
      <c r="CA35" s="138">
        <f>SUMIFS(tbl_task10[S74],tbl_task10[[SubPLOs]:[SubPLOs]],"&gt;=2",tbl_task10[[SubPLOs]:[SubPLOs]],"&lt;3")</f>
        <v>0</v>
      </c>
      <c r="CB35" s="138">
        <f>SUMIFS(tbl_task10[S75],tbl_task10[[SubPLOs]:[SubPLOs]],"&gt;=2",tbl_task10[[SubPLOs]:[SubPLOs]],"&lt;3")</f>
        <v>0</v>
      </c>
      <c r="CC35" s="138">
        <f>SUMIFS(tbl_task10[S76],tbl_task10[[SubPLOs]:[SubPLOs]],"&gt;=2",tbl_task10[[SubPLOs]:[SubPLOs]],"&lt;3")</f>
        <v>0</v>
      </c>
      <c r="CD35" s="138">
        <f>SUMIFS(tbl_task10[S77],tbl_task10[[SubPLOs]:[SubPLOs]],"&gt;=2",tbl_task10[[SubPLOs]:[SubPLOs]],"&lt;3")</f>
        <v>0</v>
      </c>
      <c r="CE35" s="138">
        <f>SUMIFS(tbl_task10[S78],tbl_task10[[SubPLOs]:[SubPLOs]],"&gt;=2",tbl_task10[[SubPLOs]:[SubPLOs]],"&lt;3")</f>
        <v>0</v>
      </c>
      <c r="CF35" s="138">
        <f>SUMIFS(tbl_task10[S79],tbl_task10[[SubPLOs]:[SubPLOs]],"&gt;=2",tbl_task10[[SubPLOs]:[SubPLOs]],"&lt;3")</f>
        <v>0</v>
      </c>
      <c r="CG35" s="138">
        <f>SUMIFS(tbl_task10[S80],tbl_task10[[SubPLOs]:[SubPLOs]],"&gt;=2",tbl_task10[[SubPLOs]:[SubPLOs]],"&lt;3")</f>
        <v>0</v>
      </c>
      <c r="CH35" s="138">
        <f>SUMIFS(tbl_task10[S81],tbl_task10[[SubPLOs]:[SubPLOs]],"&gt;=2",tbl_task10[[SubPLOs]:[SubPLOs]],"&lt;3")</f>
        <v>0</v>
      </c>
      <c r="CI35" s="138">
        <f>SUMIFS(tbl_task10[S82],tbl_task10[[SubPLOs]:[SubPLOs]],"&gt;=2",tbl_task10[[SubPLOs]:[SubPLOs]],"&lt;3")</f>
        <v>0</v>
      </c>
      <c r="CJ35" s="138">
        <f>SUMIFS(tbl_task10[S83],tbl_task10[[SubPLOs]:[SubPLOs]],"&gt;=2",tbl_task10[[SubPLOs]:[SubPLOs]],"&lt;3")</f>
        <v>0</v>
      </c>
      <c r="CK35" s="138">
        <f>SUMIFS(tbl_task10[S84],tbl_task10[[SubPLOs]:[SubPLOs]],"&gt;=2",tbl_task10[[SubPLOs]:[SubPLOs]],"&lt;3")</f>
        <v>0</v>
      </c>
      <c r="CL35" s="138">
        <f>SUMIFS(tbl_task10[S85],tbl_task10[[SubPLOs]:[SubPLOs]],"&gt;=2",tbl_task10[[SubPLOs]:[SubPLOs]],"&lt;3")</f>
        <v>0</v>
      </c>
      <c r="CM35" s="138">
        <f>SUMIFS(tbl_task10[S86],tbl_task10[[SubPLOs]:[SubPLOs]],"&gt;=2",tbl_task10[[SubPLOs]:[SubPLOs]],"&lt;3")</f>
        <v>0</v>
      </c>
      <c r="CN35" s="138">
        <f>SUMIFS(tbl_task10[S87],tbl_task10[[SubPLOs]:[SubPLOs]],"&gt;=2",tbl_task10[[SubPLOs]:[SubPLOs]],"&lt;3")</f>
        <v>0</v>
      </c>
      <c r="CO35" s="138">
        <f>SUMIFS(tbl_task10[S88],tbl_task10[[SubPLOs]:[SubPLOs]],"&gt;=2",tbl_task10[[SubPLOs]:[SubPLOs]],"&lt;3")</f>
        <v>0</v>
      </c>
      <c r="CP35" s="138">
        <f>SUMIFS(tbl_task10[S89],tbl_task10[[SubPLOs]:[SubPLOs]],"&gt;=2",tbl_task10[[SubPLOs]:[SubPLOs]],"&lt;3")</f>
        <v>0</v>
      </c>
      <c r="CQ35" s="138">
        <f>SUMIFS(tbl_task10[S90],tbl_task10[[SubPLOs]:[SubPLOs]],"&gt;=2",tbl_task10[[SubPLOs]:[SubPLOs]],"&lt;3")</f>
        <v>0</v>
      </c>
      <c r="CR35" s="138">
        <f>SUMIFS(tbl_task10[S91],tbl_task10[[SubPLOs]:[SubPLOs]],"&gt;=2",tbl_task10[[SubPLOs]:[SubPLOs]],"&lt;3")</f>
        <v>0</v>
      </c>
      <c r="CS35" s="138">
        <f>SUMIFS(tbl_task10[S92],tbl_task10[[SubPLOs]:[SubPLOs]],"&gt;=2",tbl_task10[[SubPLOs]:[SubPLOs]],"&lt;3")</f>
        <v>0</v>
      </c>
      <c r="CT35" s="138">
        <f>SUMIFS(tbl_task10[S93],tbl_task10[[SubPLOs]:[SubPLOs]],"&gt;=2",tbl_task10[[SubPLOs]:[SubPLOs]],"&lt;3")</f>
        <v>0</v>
      </c>
      <c r="CU35" s="138">
        <f>SUMIFS(tbl_task10[S94],tbl_task10[[SubPLOs]:[SubPLOs]],"&gt;=2",tbl_task10[[SubPLOs]:[SubPLOs]],"&lt;3")</f>
        <v>0</v>
      </c>
      <c r="CV35" s="138">
        <f>SUMIFS(tbl_task10[S95],tbl_task10[[SubPLOs]:[SubPLOs]],"&gt;=2",tbl_task10[[SubPLOs]:[SubPLOs]],"&lt;3")</f>
        <v>0</v>
      </c>
      <c r="CW35" s="138">
        <f>SUMIFS(tbl_task10[S96],tbl_task10[[SubPLOs]:[SubPLOs]],"&gt;=2",tbl_task10[[SubPLOs]:[SubPLOs]],"&lt;3")</f>
        <v>0</v>
      </c>
      <c r="CX35" s="138">
        <f>SUMIFS(tbl_task10[S97],tbl_task10[[SubPLOs]:[SubPLOs]],"&gt;=2",tbl_task10[[SubPLOs]:[SubPLOs]],"&lt;3")</f>
        <v>0</v>
      </c>
      <c r="CY35" s="138">
        <f>SUMIFS(tbl_task10[S98],tbl_task10[[SubPLOs]:[SubPLOs]],"&gt;=2",tbl_task10[[SubPLOs]:[SubPLOs]],"&lt;3")</f>
        <v>0</v>
      </c>
      <c r="CZ35" s="138">
        <f>SUMIFS(tbl_task10[S99],tbl_task10[[SubPLOs]:[SubPLOs]],"&gt;=2",tbl_task10[[SubPLOs]:[SubPLOs]],"&lt;3")</f>
        <v>0</v>
      </c>
      <c r="DA35" s="138">
        <f>SUMIFS(tbl_task10[S100],tbl_task10[[SubPLOs]:[SubPLOs]],"&gt;=2",tbl_task10[[SubPLOs]:[SubPLOs]],"&lt;3")</f>
        <v>0</v>
      </c>
      <c r="DB35" s="138">
        <f>SUMIFS(tbl_task10[S101],tbl_task10[[SubPLOs]:[SubPLOs]],"&gt;=2",tbl_task10[[SubPLOs]:[SubPLOs]],"&lt;3")</f>
        <v>0</v>
      </c>
      <c r="DC35" s="138">
        <f>SUMIFS(tbl_task10[S102],tbl_task10[[SubPLOs]:[SubPLOs]],"&gt;=2",tbl_task10[[SubPLOs]:[SubPLOs]],"&lt;3")</f>
        <v>0</v>
      </c>
      <c r="DD35" s="138">
        <f>SUMIFS(tbl_task10[S103],tbl_task10[[SubPLOs]:[SubPLOs]],"&gt;=2",tbl_task10[[SubPLOs]:[SubPLOs]],"&lt;3")</f>
        <v>0</v>
      </c>
      <c r="DE35" s="138">
        <f>SUMIFS(tbl_task10[S104],tbl_task10[[SubPLOs]:[SubPLOs]],"&gt;=2",tbl_task10[[SubPLOs]:[SubPLOs]],"&lt;3")</f>
        <v>0</v>
      </c>
      <c r="DF35" s="138">
        <f>SUMIFS(tbl_task10[S105],tbl_task10[[SubPLOs]:[SubPLOs]],"&gt;=2",tbl_task10[[SubPLOs]:[SubPLOs]],"&lt;3")</f>
        <v>0</v>
      </c>
      <c r="DG35" s="138">
        <f>SUMIFS(tbl_task10[S106],tbl_task10[[SubPLOs]:[SubPLOs]],"&gt;=2",tbl_task10[[SubPLOs]:[SubPLOs]],"&lt;3")</f>
        <v>0</v>
      </c>
      <c r="DH35" s="138">
        <f>SUMIFS(tbl_task10[S106],tbl_task10[[SubPLOs]:[SubPLOs]],"&gt;=2",tbl_task10[[SubPLOs]:[SubPLOs]],"&lt;3")</f>
        <v>0</v>
      </c>
      <c r="DI35" s="138">
        <f>SUMIFS(tbl_task10[S108],tbl_task10[[SubPLOs]:[SubPLOs]],"&gt;=2",tbl_task10[[SubPLOs]:[SubPLOs]],"&lt;3")</f>
        <v>0</v>
      </c>
      <c r="DJ35" s="138">
        <f>SUMIFS(tbl_task10[S109],tbl_task10[[SubPLOs]:[SubPLOs]],"&gt;=2",tbl_task10[[SubPLOs]:[SubPLOs]],"&lt;3")</f>
        <v>0</v>
      </c>
      <c r="DK35" s="138">
        <f>SUMIFS(tbl_task10[S110],tbl_task10[[SubPLOs]:[SubPLOs]],"&gt;=2",tbl_task10[[SubPLOs]:[SubPLOs]],"&lt;3")</f>
        <v>0</v>
      </c>
      <c r="DL35" s="138">
        <f>SUMIFS(tbl_task10[S111],tbl_task10[[SubPLOs]:[SubPLOs]],"&gt;=2",tbl_task10[[SubPLOs]:[SubPLOs]],"&lt;3")</f>
        <v>0</v>
      </c>
      <c r="DM35" s="138">
        <f>SUMIFS(tbl_task10[S112],tbl_task10[[SubPLOs]:[SubPLOs]],"&gt;=2",tbl_task10[[SubPLOs]:[SubPLOs]],"&lt;3")</f>
        <v>0</v>
      </c>
      <c r="DN35" s="138">
        <f>SUMIFS(tbl_task10[S113],tbl_task10[[SubPLOs]:[SubPLOs]],"&gt;=2",tbl_task10[[SubPLOs]:[SubPLOs]],"&lt;3")</f>
        <v>0</v>
      </c>
      <c r="DO35" s="138">
        <f>SUMIFS(tbl_task10[S114],tbl_task10[[SubPLOs]:[SubPLOs]],"&gt;=2",tbl_task10[[SubPLOs]:[SubPLOs]],"&lt;3")</f>
        <v>0</v>
      </c>
      <c r="DP35" s="138">
        <f>SUMIFS(tbl_task10[S115],tbl_task10[[SubPLOs]:[SubPLOs]],"&gt;=2",tbl_task10[[SubPLOs]:[SubPLOs]],"&lt;3")</f>
        <v>0</v>
      </c>
      <c r="DQ35" s="138">
        <f>SUMIFS(tbl_task10[S116],tbl_task10[[SubPLOs]:[SubPLOs]],"&gt;=2",tbl_task10[[SubPLOs]:[SubPLOs]],"&lt;3")</f>
        <v>0</v>
      </c>
      <c r="DR35" s="138">
        <f>SUMIFS(tbl_task10[S117],tbl_task10[[SubPLOs]:[SubPLOs]],"&gt;=2",tbl_task10[[SubPLOs]:[SubPLOs]],"&lt;3")</f>
        <v>0</v>
      </c>
      <c r="DS35" s="138">
        <f>SUMIFS(tbl_task10[S118],tbl_task10[[SubPLOs]:[SubPLOs]],"&gt;=2",tbl_task10[[SubPLOs]:[SubPLOs]],"&lt;3")</f>
        <v>0</v>
      </c>
      <c r="DT35" s="138">
        <f>SUMIFS(tbl_task10[S119],tbl_task10[[SubPLOs]:[SubPLOs]],"&gt;=2",tbl_task10[[SubPLOs]:[SubPLOs]],"&lt;3")</f>
        <v>0</v>
      </c>
      <c r="DU35" s="138">
        <f>SUMIFS(tbl_task10[S120],tbl_task10[[SubPLOs]:[SubPLOs]],"&gt;=2",tbl_task10[[SubPLOs]:[SubPLOs]],"&lt;3")</f>
        <v>0</v>
      </c>
      <c r="DV35" s="138">
        <f>SUMIFS(tbl_task10[S121],tbl_task10[[SubPLOs]:[SubPLOs]],"&gt;=2",tbl_task10[[SubPLOs]:[SubPLOs]],"&lt;3")</f>
        <v>0</v>
      </c>
      <c r="DW35" s="138">
        <f>SUMIFS(tbl_task10[S122],tbl_task10[[SubPLOs]:[SubPLOs]],"&gt;=2",tbl_task10[[SubPLOs]:[SubPLOs]],"&lt;3")</f>
        <v>0</v>
      </c>
      <c r="DX35" s="138">
        <f>SUMIFS(tbl_task10[S123],tbl_task10[[SubPLOs]:[SubPLOs]],"&gt;=2",tbl_task10[[SubPLOs]:[SubPLOs]],"&lt;3")</f>
        <v>0</v>
      </c>
      <c r="DY35" s="138">
        <f>SUMIFS(tbl_task10[S124],tbl_task10[[SubPLOs]:[SubPLOs]],"&gt;=2",tbl_task10[[SubPLOs]:[SubPLOs]],"&lt;3")</f>
        <v>0</v>
      </c>
      <c r="DZ35" s="138">
        <f>SUMIFS(tbl_task10[S125],tbl_task10[[SubPLOs]:[SubPLOs]],"&gt;=2",tbl_task10[[SubPLOs]:[SubPLOs]],"&lt;3")</f>
        <v>0</v>
      </c>
      <c r="EA35" s="138">
        <f>SUMIFS(tbl_task10[S126],tbl_task10[[SubPLOs]:[SubPLOs]],"&gt;=2",tbl_task10[[SubPLOs]:[SubPLOs]],"&lt;3")</f>
        <v>0</v>
      </c>
      <c r="EB35" s="138">
        <f>SUMIFS(tbl_task10[S127],tbl_task10[[SubPLOs]:[SubPLOs]],"&gt;=2",tbl_task10[[SubPLOs]:[SubPLOs]],"&lt;3")</f>
        <v>0</v>
      </c>
      <c r="EC35" s="138">
        <f>SUMIFS(tbl_task10[S128],tbl_task10[[SubPLOs]:[SubPLOs]],"&gt;=2",tbl_task10[[SubPLOs]:[SubPLOs]],"&lt;3")</f>
        <v>0</v>
      </c>
      <c r="ED35" s="138">
        <f>SUMIFS(tbl_task10[S129],tbl_task10[[SubPLOs]:[SubPLOs]],"&gt;=2",tbl_task10[[SubPLOs]:[SubPLOs]],"&lt;3")</f>
        <v>0</v>
      </c>
      <c r="EE35" s="138">
        <f>SUMIFS(tbl_task10[S130],tbl_task10[[SubPLOs]:[SubPLOs]],"&gt;=2",tbl_task10[[SubPLOs]:[SubPLOs]],"&lt;3")</f>
        <v>0</v>
      </c>
      <c r="EF35" s="138">
        <f>SUMIFS(tbl_task10[S131],tbl_task10[[SubPLOs]:[SubPLOs]],"&gt;=2",tbl_task10[[SubPLOs]:[SubPLOs]],"&lt;3")</f>
        <v>0</v>
      </c>
      <c r="EG35" s="138">
        <f>SUMIFS(tbl_task10[S132],tbl_task10[[SubPLOs]:[SubPLOs]],"&gt;=2",tbl_task10[[SubPLOs]:[SubPLOs]],"&lt;3")</f>
        <v>0</v>
      </c>
      <c r="EH35" s="138">
        <f>SUMIFS(tbl_task10[S133],tbl_task10[[SubPLOs]:[SubPLOs]],"&gt;=2",tbl_task10[[SubPLOs]:[SubPLOs]],"&lt;3")</f>
        <v>0</v>
      </c>
      <c r="EI35" s="138">
        <f>SUMIFS(tbl_task10[S134],tbl_task10[[SubPLOs]:[SubPLOs]],"&gt;=2",tbl_task10[[SubPLOs]:[SubPLOs]],"&lt;3")</f>
        <v>0</v>
      </c>
      <c r="EJ35" s="138">
        <f>SUMIFS(tbl_task10[S135],tbl_task10[[SubPLOs]:[SubPLOs]],"&gt;=2",tbl_task10[[SubPLOs]:[SubPLOs]],"&lt;3")</f>
        <v>0</v>
      </c>
      <c r="EK35" s="138">
        <f>SUMIFS(tbl_task10[S136],tbl_task10[[SubPLOs]:[SubPLOs]],"&gt;=2",tbl_task10[[SubPLOs]:[SubPLOs]],"&lt;3")</f>
        <v>0</v>
      </c>
      <c r="EL35" s="138">
        <f>SUMIFS(tbl_task10[S137],tbl_task10[[SubPLOs]:[SubPLOs]],"&gt;=2",tbl_task10[[SubPLOs]:[SubPLOs]],"&lt;3")</f>
        <v>0</v>
      </c>
      <c r="EM35" s="138">
        <f>SUMIFS(tbl_task10[S138],tbl_task10[[SubPLOs]:[SubPLOs]],"&gt;=2",tbl_task10[[SubPLOs]:[SubPLOs]],"&lt;3")</f>
        <v>0</v>
      </c>
      <c r="EN35" s="138">
        <f>SUMIFS(tbl_task10[S139],tbl_task10[[SubPLOs]:[SubPLOs]],"&gt;=2",tbl_task10[[SubPLOs]:[SubPLOs]],"&lt;3")</f>
        <v>0</v>
      </c>
      <c r="EO35" s="138">
        <f>SUMIFS(tbl_task10[S140],tbl_task10[[SubPLOs]:[SubPLOs]],"&gt;=2",tbl_task10[[SubPLOs]:[SubPLOs]],"&lt;3")</f>
        <v>0</v>
      </c>
      <c r="EP35" s="138">
        <f>SUMIFS(tbl_task10[S141],tbl_task10[[SubPLOs]:[SubPLOs]],"&gt;=2",tbl_task10[[SubPLOs]:[SubPLOs]],"&lt;3")</f>
        <v>0</v>
      </c>
      <c r="EQ35" s="138">
        <f>SUMIFS(tbl_task10[S142],tbl_task10[[SubPLOs]:[SubPLOs]],"&gt;=2",tbl_task10[[SubPLOs]:[SubPLOs]],"&lt;3")</f>
        <v>0</v>
      </c>
      <c r="ER35" s="138">
        <f>SUMIFS(tbl_task10[S143],tbl_task10[[SubPLOs]:[SubPLOs]],"&gt;=2",tbl_task10[[SubPLOs]:[SubPLOs]],"&lt;3")</f>
        <v>0</v>
      </c>
      <c r="ES35" s="138">
        <f>SUMIFS(tbl_task10[S144],tbl_task10[[SubPLOs]:[SubPLOs]],"&gt;=2",tbl_task10[[SubPLOs]:[SubPLOs]],"&lt;3")</f>
        <v>0</v>
      </c>
      <c r="ET35" s="138">
        <f>SUMIFS(tbl_task10[S145],tbl_task10[[SubPLOs]:[SubPLOs]],"&gt;=2",tbl_task10[[SubPLOs]:[SubPLOs]],"&lt;3")</f>
        <v>0</v>
      </c>
      <c r="EU35" s="138">
        <f>SUMIFS(tbl_task10[S146],tbl_task10[[SubPLOs]:[SubPLOs]],"&gt;=2",tbl_task10[[SubPLOs]:[SubPLOs]],"&lt;3")</f>
        <v>0</v>
      </c>
      <c r="EV35" s="138">
        <f>SUMIFS(tbl_task10[S147],tbl_task10[[SubPLOs]:[SubPLOs]],"&gt;=2",tbl_task10[[SubPLOs]:[SubPLOs]],"&lt;3")</f>
        <v>0</v>
      </c>
      <c r="EW35" s="138">
        <f>SUMIFS(tbl_task10[S148],tbl_task10[[SubPLOs]:[SubPLOs]],"&gt;=2",tbl_task10[[SubPLOs]:[SubPLOs]],"&lt;3")</f>
        <v>0</v>
      </c>
      <c r="EX35" s="138">
        <f>SUMIFS(tbl_task10[S149],tbl_task10[[SubPLOs]:[SubPLOs]],"&gt;=2",tbl_task10[[SubPLOs]:[SubPLOs]],"&lt;3")</f>
        <v>0</v>
      </c>
      <c r="EY35" s="138">
        <f>SUMIFS(tbl_task10[S150],tbl_task10[[SubPLOs]:[SubPLOs]],"&gt;=2",tbl_task10[[SubPLOs]:[SubPLOs]],"&lt;3")</f>
        <v>0</v>
      </c>
      <c r="EZ35" s="138">
        <f>SUMIFS(tbl_task10[S151],tbl_task10[[SubPLOs]:[SubPLOs]],"&gt;=2",tbl_task10[[SubPLOs]:[SubPLOs]],"&lt;3")</f>
        <v>0</v>
      </c>
      <c r="FA35" s="138">
        <f>SUMIFS(tbl_task10[S152],tbl_task10[[SubPLOs]:[SubPLOs]],"&gt;=2",tbl_task10[[SubPLOs]:[SubPLOs]],"&lt;3")</f>
        <v>0</v>
      </c>
      <c r="FB35" s="138">
        <f>SUMIFS(tbl_task10[S153],tbl_task10[[SubPLOs]:[SubPLOs]],"&gt;=2",tbl_task10[[SubPLOs]:[SubPLOs]],"&lt;3")</f>
        <v>0</v>
      </c>
      <c r="FC35" s="138">
        <f>SUMIFS(tbl_task10[S154],tbl_task10[[SubPLOs]:[SubPLOs]],"&gt;=2",tbl_task10[[SubPLOs]:[SubPLOs]],"&lt;3")</f>
        <v>0</v>
      </c>
      <c r="FD35" s="138">
        <f>SUMIFS(tbl_task10[S155],tbl_task10[[SubPLOs]:[SubPLOs]],"&gt;=2",tbl_task10[[SubPLOs]:[SubPLOs]],"&lt;3")</f>
        <v>0</v>
      </c>
      <c r="FE35" s="138">
        <f>SUMIFS(tbl_task10[S156],tbl_task10[[SubPLOs]:[SubPLOs]],"&gt;=2",tbl_task10[[SubPLOs]:[SubPLOs]],"&lt;3")</f>
        <v>0</v>
      </c>
      <c r="FF35" s="138">
        <f>SUMIFS(tbl_task10[S157],tbl_task10[[SubPLOs]:[SubPLOs]],"&gt;=2",tbl_task10[[SubPLOs]:[SubPLOs]],"&lt;3")</f>
        <v>0</v>
      </c>
      <c r="FG35" s="138">
        <f>SUMIFS(tbl_task10[S158],tbl_task10[[SubPLOs]:[SubPLOs]],"&gt;=2",tbl_task10[[SubPLOs]:[SubPLOs]],"&lt;3")</f>
        <v>0</v>
      </c>
      <c r="FH35" s="138">
        <f>SUMIFS(tbl_task10[S159],tbl_task10[[SubPLOs]:[SubPLOs]],"&gt;=2",tbl_task10[[SubPLOs]:[SubPLOs]],"&lt;3")</f>
        <v>0</v>
      </c>
      <c r="FI35" s="138">
        <f>SUMIFS(tbl_task10[S160],tbl_task10[[SubPLOs]:[SubPLOs]],"&gt;=2",tbl_task10[[SubPLOs]:[SubPLOs]],"&lt;3")</f>
        <v>0</v>
      </c>
      <c r="FJ35" s="138">
        <f>SUMIFS(tbl_task10[S161],tbl_task10[[SubPLOs]:[SubPLOs]],"&gt;=2",tbl_task10[[SubPLOs]:[SubPLOs]],"&lt;3")</f>
        <v>0</v>
      </c>
      <c r="FK35" s="138">
        <f>SUMIFS(tbl_task10[S162],tbl_task10[[SubPLOs]:[SubPLOs]],"&gt;=2",tbl_task10[[SubPLOs]:[SubPLOs]],"&lt;3")</f>
        <v>0</v>
      </c>
      <c r="FL35" s="138">
        <f>SUMIFS(tbl_task10[S163],tbl_task10[[SubPLOs]:[SubPLOs]],"&gt;=2",tbl_task10[[SubPLOs]:[SubPLOs]],"&lt;3")</f>
        <v>0</v>
      </c>
      <c r="FM35" s="138">
        <f>SUMIFS(tbl_task10[S164],tbl_task10[[SubPLOs]:[SubPLOs]],"&gt;=2",tbl_task10[[SubPLOs]:[SubPLOs]],"&lt;3")</f>
        <v>0</v>
      </c>
      <c r="FN35" s="138">
        <f>SUMIFS(tbl_task10[S165],tbl_task10[[SubPLOs]:[SubPLOs]],"&gt;=2",tbl_task10[[SubPLOs]:[SubPLOs]],"&lt;3")</f>
        <v>0</v>
      </c>
    </row>
    <row r="36" spans="1:335" ht="63" x14ac:dyDescent="0.25">
      <c r="A36" s="135">
        <v>3</v>
      </c>
      <c r="B36" s="5" t="s">
        <v>436</v>
      </c>
      <c r="C36" s="136">
        <f>COUNTIFS(tbl_task10[SubPLOs],"&gt;=3",tbl_task10[SubPLOs],"&lt;4")</f>
        <v>0</v>
      </c>
      <c r="D36" s="136">
        <f>SUMIFS(tbl_task10[คะแนนเต็ม],tbl_task10[SubPLOs],"&gt;=3",tbl_task10[SubPLOs],"&lt;4")</f>
        <v>0</v>
      </c>
      <c r="E36" s="137">
        <f>SUMIFS(tbl_task10[%],tbl_task10[SubPLOs],"&gt;=3",tbl_task10[SubPLOs],"&lt;4")</f>
        <v>0</v>
      </c>
      <c r="F36" s="138">
        <f>SUMIFS(tbl_task10[S1],tbl_task10[[SubPLOs]:[SubPLOs]],"&gt;=3",tbl_task10[[SubPLOs]:[SubPLOs]],"&lt;4")</f>
        <v>0</v>
      </c>
      <c r="G36" s="138">
        <f>SUMIFS(tbl_task10[S2],tbl_task10[[SubPLOs]:[SubPLOs]],"&gt;=3",tbl_task10[[SubPLOs]:[SubPLOs]],"&lt;4")</f>
        <v>0</v>
      </c>
      <c r="H36" s="138">
        <f>SUMIFS(tbl_task10[S3],tbl_task10[[SubPLOs]:[SubPLOs]],"&gt;=3",tbl_task10[[SubPLOs]:[SubPLOs]],"&lt;4")</f>
        <v>0</v>
      </c>
      <c r="I36" s="138">
        <f>SUMIFS(tbl_task10[S4],tbl_task10[[SubPLOs]:[SubPLOs]],"&gt;=3",tbl_task10[[SubPLOs]:[SubPLOs]],"&lt;4")</f>
        <v>0</v>
      </c>
      <c r="J36" s="138">
        <f>SUMIFS(tbl_task10[S5],tbl_task10[[SubPLOs]:[SubPLOs]],"&gt;=3",tbl_task10[[SubPLOs]:[SubPLOs]],"&lt;4")</f>
        <v>0</v>
      </c>
      <c r="K36" s="138">
        <f>SUMIFS(tbl_task10[S6],tbl_task10[[SubPLOs]:[SubPLOs]],"&gt;=3",tbl_task10[[SubPLOs]:[SubPLOs]],"&lt;4")</f>
        <v>0</v>
      </c>
      <c r="L36" s="138">
        <f>SUMIFS(tbl_task10[S7],tbl_task10[[SubPLOs]:[SubPLOs]],"&gt;=3",tbl_task10[[SubPLOs]:[SubPLOs]],"&lt;4")</f>
        <v>0</v>
      </c>
      <c r="M36" s="138">
        <f>SUMIFS(tbl_task10[S8],tbl_task10[[SubPLOs]:[SubPLOs]],"&gt;=3",tbl_task10[[SubPLOs]:[SubPLOs]],"&lt;4")</f>
        <v>0</v>
      </c>
      <c r="N36" s="138">
        <f>SUMIFS(tbl_task10[S9],tbl_task10[[SubPLOs]:[SubPLOs]],"&gt;=3",tbl_task10[[SubPLOs]:[SubPLOs]],"&lt;4")</f>
        <v>0</v>
      </c>
      <c r="O36" s="138">
        <f>SUMIFS(tbl_task10[S10],tbl_task10[[SubPLOs]:[SubPLOs]],"&gt;=3",tbl_task10[[SubPLOs]:[SubPLOs]],"&lt;4")</f>
        <v>0</v>
      </c>
      <c r="P36" s="138">
        <f>SUMIFS(tbl_task10[S11],tbl_task10[[SubPLOs]:[SubPLOs]],"&gt;=3",tbl_task10[[SubPLOs]:[SubPLOs]],"&lt;4")</f>
        <v>0</v>
      </c>
      <c r="Q36" s="138">
        <f>SUMIFS(tbl_task10[S12],tbl_task10[[SubPLOs]:[SubPLOs]],"&gt;=3",tbl_task10[[SubPLOs]:[SubPLOs]],"&lt;4")</f>
        <v>0</v>
      </c>
      <c r="R36" s="138">
        <f>SUMIFS(tbl_task10[S13],tbl_task10[[SubPLOs]:[SubPLOs]],"&gt;=3",tbl_task10[[SubPLOs]:[SubPLOs]],"&lt;4")</f>
        <v>0</v>
      </c>
      <c r="S36" s="138">
        <f>SUMIFS(tbl_task10[S14],tbl_task10[[SubPLOs]:[SubPLOs]],"&gt;=3",tbl_task10[[SubPLOs]:[SubPLOs]],"&lt;4")</f>
        <v>0</v>
      </c>
      <c r="T36" s="138">
        <f>SUMIFS(tbl_task10[S15],tbl_task10[[SubPLOs]:[SubPLOs]],"&gt;=3",tbl_task10[[SubPLOs]:[SubPLOs]],"&lt;4")</f>
        <v>0</v>
      </c>
      <c r="U36" s="138">
        <f>SUMIFS(tbl_task10[S16],tbl_task10[[SubPLOs]:[SubPLOs]],"&gt;=3",tbl_task10[[SubPLOs]:[SubPLOs]],"&lt;4")</f>
        <v>0</v>
      </c>
      <c r="V36" s="138">
        <f>SUMIFS(tbl_task10[S17],tbl_task10[[SubPLOs]:[SubPLOs]],"&gt;=3",tbl_task10[[SubPLOs]:[SubPLOs]],"&lt;4")</f>
        <v>0</v>
      </c>
      <c r="W36" s="138">
        <f>SUMIFS(tbl_task10[S18],tbl_task10[[SubPLOs]:[SubPLOs]],"&gt;=3",tbl_task10[[SubPLOs]:[SubPLOs]],"&lt;4")</f>
        <v>0</v>
      </c>
      <c r="X36" s="138">
        <f>SUMIFS(tbl_task10[S19],tbl_task10[[SubPLOs]:[SubPLOs]],"&gt;=3",tbl_task10[[SubPLOs]:[SubPLOs]],"&lt;4")</f>
        <v>0</v>
      </c>
      <c r="Y36" s="138">
        <f>SUMIFS(tbl_task10[S20],tbl_task10[[SubPLOs]:[SubPLOs]],"&gt;=3",tbl_task10[[SubPLOs]:[SubPLOs]],"&lt;4")</f>
        <v>0</v>
      </c>
      <c r="Z36" s="138">
        <f>SUMIFS(tbl_task10[S21],tbl_task10[[SubPLOs]:[SubPLOs]],"&gt;=3",tbl_task10[[SubPLOs]:[SubPLOs]],"&lt;4")</f>
        <v>0</v>
      </c>
      <c r="AA36" s="138">
        <f>SUMIFS(tbl_task10[S22],tbl_task10[[SubPLOs]:[SubPLOs]],"&gt;=3",tbl_task10[[SubPLOs]:[SubPLOs]],"&lt;4")</f>
        <v>0</v>
      </c>
      <c r="AB36" s="138">
        <f>SUMIFS(tbl_task10[S23],tbl_task10[[SubPLOs]:[SubPLOs]],"&gt;=3",tbl_task10[[SubPLOs]:[SubPLOs]],"&lt;4")</f>
        <v>0</v>
      </c>
      <c r="AC36" s="138">
        <f>SUMIFS(tbl_task10[S24],tbl_task10[[SubPLOs]:[SubPLOs]],"&gt;=3",tbl_task10[[SubPLOs]:[SubPLOs]],"&lt;4")</f>
        <v>0</v>
      </c>
      <c r="AD36" s="138">
        <f>SUMIFS(tbl_task10[S25],tbl_task10[[SubPLOs]:[SubPLOs]],"&gt;=3",tbl_task10[[SubPLOs]:[SubPLOs]],"&lt;4")</f>
        <v>0</v>
      </c>
      <c r="AE36" s="138">
        <f>SUMIFS(tbl_task10[S26],tbl_task10[[SubPLOs]:[SubPLOs]],"&gt;=3",tbl_task10[[SubPLOs]:[SubPLOs]],"&lt;4")</f>
        <v>0</v>
      </c>
      <c r="AF36" s="138">
        <f>SUMIFS(tbl_task10[S27],tbl_task10[[SubPLOs]:[SubPLOs]],"&gt;=3",tbl_task10[[SubPLOs]:[SubPLOs]],"&lt;4")</f>
        <v>0</v>
      </c>
      <c r="AG36" s="138">
        <f>SUMIFS(tbl_task10[S28],tbl_task10[[SubPLOs]:[SubPLOs]],"&gt;=3",tbl_task10[[SubPLOs]:[SubPLOs]],"&lt;4")</f>
        <v>0</v>
      </c>
      <c r="AH36" s="138">
        <f>SUMIFS(tbl_task10[S29],tbl_task10[[SubPLOs]:[SubPLOs]],"&gt;=3",tbl_task10[[SubPLOs]:[SubPLOs]],"&lt;4")</f>
        <v>0</v>
      </c>
      <c r="AI36" s="138">
        <f>SUMIFS(tbl_task10[S30],tbl_task10[[SubPLOs]:[SubPLOs]],"&gt;=3",tbl_task10[[SubPLOs]:[SubPLOs]],"&lt;4")</f>
        <v>0</v>
      </c>
      <c r="AJ36" s="138">
        <f>SUMIFS(tbl_task10[S31],tbl_task10[[SubPLOs]:[SubPLOs]],"&gt;=3",tbl_task10[[SubPLOs]:[SubPLOs]],"&lt;4")</f>
        <v>0</v>
      </c>
      <c r="AK36" s="138">
        <f>SUMIFS(tbl_task10[S32],tbl_task10[[SubPLOs]:[SubPLOs]],"&gt;=3",tbl_task10[[SubPLOs]:[SubPLOs]],"&lt;4")</f>
        <v>0</v>
      </c>
      <c r="AL36" s="138">
        <f>SUMIFS(tbl_task10[S33],tbl_task10[[SubPLOs]:[SubPLOs]],"&gt;=3",tbl_task10[[SubPLOs]:[SubPLOs]],"&lt;4")</f>
        <v>0</v>
      </c>
      <c r="AM36" s="138">
        <f>SUMIFS(tbl_task10[S34],tbl_task10[[SubPLOs]:[SubPLOs]],"&gt;=3",tbl_task10[[SubPLOs]:[SubPLOs]],"&lt;4")</f>
        <v>0</v>
      </c>
      <c r="AN36" s="138">
        <f>SUMIFS(tbl_task10[S35],tbl_task10[[SubPLOs]:[SubPLOs]],"&gt;=3",tbl_task10[[SubPLOs]:[SubPLOs]],"&lt;4")</f>
        <v>0</v>
      </c>
      <c r="AO36" s="138">
        <f>SUMIFS(tbl_task10[S36],tbl_task10[[SubPLOs]:[SubPLOs]],"&gt;=3",tbl_task10[[SubPLOs]:[SubPLOs]],"&lt;4")</f>
        <v>0</v>
      </c>
      <c r="AP36" s="138">
        <f>SUMIFS(tbl_task10[S37],tbl_task10[[SubPLOs]:[SubPLOs]],"&gt;=3",tbl_task10[[SubPLOs]:[SubPLOs]],"&lt;4")</f>
        <v>0</v>
      </c>
      <c r="AQ36" s="138">
        <f>SUMIFS(tbl_task10[S38],tbl_task10[[SubPLOs]:[SubPLOs]],"&gt;=3",tbl_task10[[SubPLOs]:[SubPLOs]],"&lt;4")</f>
        <v>0</v>
      </c>
      <c r="AR36" s="138">
        <f>SUMIFS(tbl_task10[S39],tbl_task10[[SubPLOs]:[SubPLOs]],"&gt;=3",tbl_task10[[SubPLOs]:[SubPLOs]],"&lt;4")</f>
        <v>0</v>
      </c>
      <c r="AS36" s="138">
        <f>SUMIFS(tbl_task10[S40],tbl_task10[[SubPLOs]:[SubPLOs]],"&gt;=3",tbl_task10[[SubPLOs]:[SubPLOs]],"&lt;4")</f>
        <v>0</v>
      </c>
      <c r="AT36" s="138">
        <f>SUMIFS(tbl_task10[S41],tbl_task10[[SubPLOs]:[SubPLOs]],"&gt;=3",tbl_task10[[SubPLOs]:[SubPLOs]],"&lt;4")</f>
        <v>0</v>
      </c>
      <c r="AU36" s="138">
        <f>SUMIFS(tbl_task10[S42],tbl_task10[[SubPLOs]:[SubPLOs]],"&gt;=3",tbl_task10[[SubPLOs]:[SubPLOs]],"&lt;4")</f>
        <v>0</v>
      </c>
      <c r="AV36" s="138">
        <f>SUMIFS(tbl_task10[S43],tbl_task10[[SubPLOs]:[SubPLOs]],"&gt;=3",tbl_task10[[SubPLOs]:[SubPLOs]],"&lt;4")</f>
        <v>0</v>
      </c>
      <c r="AW36" s="138">
        <f>SUMIFS(tbl_task10[S44],tbl_task10[[SubPLOs]:[SubPLOs]],"&gt;=3",tbl_task10[[SubPLOs]:[SubPLOs]],"&lt;4")</f>
        <v>0</v>
      </c>
      <c r="AX36" s="138">
        <f>SUMIFS(tbl_task10[S45],tbl_task10[[SubPLOs]:[SubPLOs]],"&gt;=3",tbl_task10[[SubPLOs]:[SubPLOs]],"&lt;4")</f>
        <v>0</v>
      </c>
      <c r="AY36" s="138">
        <f>SUMIFS(tbl_task10[S46],tbl_task10[[SubPLOs]:[SubPLOs]],"&gt;=3",tbl_task10[[SubPLOs]:[SubPLOs]],"&lt;4")</f>
        <v>0</v>
      </c>
      <c r="AZ36" s="138">
        <f>SUMIFS(tbl_task10[S47],tbl_task10[[SubPLOs]:[SubPLOs]],"&gt;=3",tbl_task10[[SubPLOs]:[SubPLOs]],"&lt;4")</f>
        <v>0</v>
      </c>
      <c r="BA36" s="138">
        <f>SUMIFS(tbl_task10[S48],tbl_task10[[SubPLOs]:[SubPLOs]],"&gt;=3",tbl_task10[[SubPLOs]:[SubPLOs]],"&lt;4")</f>
        <v>0</v>
      </c>
      <c r="BB36" s="138">
        <f>SUMIFS(tbl_task10[S49],tbl_task10[[SubPLOs]:[SubPLOs]],"&gt;=3",tbl_task10[[SubPLOs]:[SubPLOs]],"&lt;4")</f>
        <v>0</v>
      </c>
      <c r="BC36" s="138">
        <f>SUMIFS(tbl_task10[S50],tbl_task10[[SubPLOs]:[SubPLOs]],"&gt;=3",tbl_task10[[SubPLOs]:[SubPLOs]],"&lt;4")</f>
        <v>0</v>
      </c>
      <c r="BD36" s="138">
        <f>SUMIFS(tbl_task10[S51],tbl_task10[[SubPLOs]:[SubPLOs]],"&gt;=3",tbl_task10[[SubPLOs]:[SubPLOs]],"&lt;4")</f>
        <v>0</v>
      </c>
      <c r="BE36" s="138">
        <f>SUMIFS(tbl_task10[S52],tbl_task10[[SubPLOs]:[SubPLOs]],"&gt;=3",tbl_task10[[SubPLOs]:[SubPLOs]],"&lt;4")</f>
        <v>0</v>
      </c>
      <c r="BF36" s="138">
        <f>SUMIFS(tbl_task10[S53],tbl_task10[[SubPLOs]:[SubPLOs]],"&gt;=3",tbl_task10[[SubPLOs]:[SubPLOs]],"&lt;4")</f>
        <v>0</v>
      </c>
      <c r="BG36" s="138">
        <f>SUMIFS(tbl_task10[S54],tbl_task10[[SubPLOs]:[SubPLOs]],"&gt;=3",tbl_task10[[SubPLOs]:[SubPLOs]],"&lt;4")</f>
        <v>0</v>
      </c>
      <c r="BH36" s="138">
        <f>SUMIFS(tbl_task10[S55],tbl_task10[[SubPLOs]:[SubPLOs]],"&gt;=3",tbl_task10[[SubPLOs]:[SubPLOs]],"&lt;4")</f>
        <v>0</v>
      </c>
      <c r="BI36" s="138">
        <f>SUMIFS(tbl_task10[S56],tbl_task10[[SubPLOs]:[SubPLOs]],"&gt;=3",tbl_task10[[SubPLOs]:[SubPLOs]],"&lt;4")</f>
        <v>0</v>
      </c>
      <c r="BJ36" s="138">
        <f>SUMIFS(tbl_task10[S57],tbl_task10[[SubPLOs]:[SubPLOs]],"&gt;=3",tbl_task10[[SubPLOs]:[SubPLOs]],"&lt;4")</f>
        <v>0</v>
      </c>
      <c r="BK36" s="138">
        <f>SUMIFS(tbl_task10[S58],tbl_task10[[SubPLOs]:[SubPLOs]],"&gt;=3",tbl_task10[[SubPLOs]:[SubPLOs]],"&lt;4")</f>
        <v>0</v>
      </c>
      <c r="BL36" s="138">
        <f>SUMIFS(tbl_task10[S59],tbl_task10[[SubPLOs]:[SubPLOs]],"&gt;=3",tbl_task10[[SubPLOs]:[SubPLOs]],"&lt;4")</f>
        <v>0</v>
      </c>
      <c r="BM36" s="138">
        <f>SUMIFS(tbl_task10[S60],tbl_task10[[SubPLOs]:[SubPLOs]],"&gt;=3",tbl_task10[[SubPLOs]:[SubPLOs]],"&lt;4")</f>
        <v>0</v>
      </c>
      <c r="BN36" s="138">
        <f>SUMIFS(tbl_task10[S61],tbl_task10[[SubPLOs]:[SubPLOs]],"&gt;=3",tbl_task10[[SubPLOs]:[SubPLOs]],"&lt;4")</f>
        <v>0</v>
      </c>
      <c r="BO36" s="138">
        <f>SUMIFS(tbl_task10[S62],tbl_task10[[SubPLOs]:[SubPLOs]],"&gt;=3",tbl_task10[[SubPLOs]:[SubPLOs]],"&lt;4")</f>
        <v>0</v>
      </c>
      <c r="BP36" s="138">
        <f>SUMIFS(tbl_task10[S63],tbl_task10[[SubPLOs]:[SubPLOs]],"&gt;=3",tbl_task10[[SubPLOs]:[SubPLOs]],"&lt;4")</f>
        <v>0</v>
      </c>
      <c r="BQ36" s="138">
        <f>SUMIFS(tbl_task10[S64],tbl_task10[[SubPLOs]:[SubPLOs]],"&gt;=3",tbl_task10[[SubPLOs]:[SubPLOs]],"&lt;4")</f>
        <v>0</v>
      </c>
      <c r="BR36" s="138">
        <f>SUMIFS(tbl_task10[S65],tbl_task10[[SubPLOs]:[SubPLOs]],"&gt;=3",tbl_task10[[SubPLOs]:[SubPLOs]],"&lt;4")</f>
        <v>0</v>
      </c>
      <c r="BS36" s="138">
        <f>SUMIFS(tbl_task10[S66],tbl_task10[[SubPLOs]:[SubPLOs]],"&gt;=3",tbl_task10[[SubPLOs]:[SubPLOs]],"&lt;4")</f>
        <v>0</v>
      </c>
      <c r="BT36" s="138">
        <f>SUMIFS(tbl_task10[S67],tbl_task10[[SubPLOs]:[SubPLOs]],"&gt;=3",tbl_task10[[SubPLOs]:[SubPLOs]],"&lt;4")</f>
        <v>0</v>
      </c>
      <c r="BU36" s="138">
        <f>SUMIFS(tbl_task10[S68],tbl_task10[[SubPLOs]:[SubPLOs]],"&gt;=3",tbl_task10[[SubPLOs]:[SubPLOs]],"&lt;4")</f>
        <v>0</v>
      </c>
      <c r="BV36" s="138">
        <f>SUMIFS(tbl_task10[S69],tbl_task10[[SubPLOs]:[SubPLOs]],"&gt;=3",tbl_task10[[SubPLOs]:[SubPLOs]],"&lt;4")</f>
        <v>0</v>
      </c>
      <c r="BW36" s="138">
        <f>SUMIFS(tbl_task10[S70],tbl_task10[[SubPLOs]:[SubPLOs]],"&gt;=3",tbl_task10[[SubPLOs]:[SubPLOs]],"&lt;4")</f>
        <v>0</v>
      </c>
      <c r="BX36" s="138">
        <f>SUMIFS(tbl_task10[S71],tbl_task10[[SubPLOs]:[SubPLOs]],"&gt;=3",tbl_task10[[SubPLOs]:[SubPLOs]],"&lt;4")</f>
        <v>0</v>
      </c>
      <c r="BY36" s="138">
        <f>SUMIFS(tbl_task10[S72],tbl_task10[[SubPLOs]:[SubPLOs]],"&gt;=3",tbl_task10[[SubPLOs]:[SubPLOs]],"&lt;4")</f>
        <v>0</v>
      </c>
      <c r="BZ36" s="138">
        <f>SUMIFS(tbl_task10[S73],tbl_task10[[SubPLOs]:[SubPLOs]],"&gt;=3",tbl_task10[[SubPLOs]:[SubPLOs]],"&lt;4")</f>
        <v>0</v>
      </c>
      <c r="CA36" s="138">
        <f>SUMIFS(tbl_task10[S74],tbl_task10[[SubPLOs]:[SubPLOs]],"&gt;=3",tbl_task10[[SubPLOs]:[SubPLOs]],"&lt;4")</f>
        <v>0</v>
      </c>
      <c r="CB36" s="138">
        <f>SUMIFS(tbl_task10[S75],tbl_task10[[SubPLOs]:[SubPLOs]],"&gt;=3",tbl_task10[[SubPLOs]:[SubPLOs]],"&lt;4")</f>
        <v>0</v>
      </c>
      <c r="CC36" s="138">
        <f>SUMIFS(tbl_task10[S76],tbl_task10[[SubPLOs]:[SubPLOs]],"&gt;=3",tbl_task10[[SubPLOs]:[SubPLOs]],"&lt;4")</f>
        <v>0</v>
      </c>
      <c r="CD36" s="138">
        <f>SUMIFS(tbl_task10[S77],tbl_task10[[SubPLOs]:[SubPLOs]],"&gt;=3",tbl_task10[[SubPLOs]:[SubPLOs]],"&lt;4")</f>
        <v>0</v>
      </c>
      <c r="CE36" s="138">
        <f>SUMIFS(tbl_task10[S78],tbl_task10[[SubPLOs]:[SubPLOs]],"&gt;=3",tbl_task10[[SubPLOs]:[SubPLOs]],"&lt;4")</f>
        <v>0</v>
      </c>
      <c r="CF36" s="138">
        <f>SUMIFS(tbl_task10[S79],tbl_task10[[SubPLOs]:[SubPLOs]],"&gt;=3",tbl_task10[[SubPLOs]:[SubPLOs]],"&lt;4")</f>
        <v>0</v>
      </c>
      <c r="CG36" s="138">
        <f>SUMIFS(tbl_task10[S80],tbl_task10[[SubPLOs]:[SubPLOs]],"&gt;=3",tbl_task10[[SubPLOs]:[SubPLOs]],"&lt;4")</f>
        <v>0</v>
      </c>
      <c r="CH36" s="138">
        <f>SUMIFS(tbl_task10[S81],tbl_task10[[SubPLOs]:[SubPLOs]],"&gt;=3",tbl_task10[[SubPLOs]:[SubPLOs]],"&lt;4")</f>
        <v>0</v>
      </c>
      <c r="CI36" s="138">
        <f>SUMIFS(tbl_task10[S82],tbl_task10[[SubPLOs]:[SubPLOs]],"&gt;=3",tbl_task10[[SubPLOs]:[SubPLOs]],"&lt;4")</f>
        <v>0</v>
      </c>
      <c r="CJ36" s="138">
        <f>SUMIFS(tbl_task10[S83],tbl_task10[[SubPLOs]:[SubPLOs]],"&gt;=3",tbl_task10[[SubPLOs]:[SubPLOs]],"&lt;4")</f>
        <v>0</v>
      </c>
      <c r="CK36" s="138">
        <f>SUMIFS(tbl_task10[S84],tbl_task10[[SubPLOs]:[SubPLOs]],"&gt;=3",tbl_task10[[SubPLOs]:[SubPLOs]],"&lt;4")</f>
        <v>0</v>
      </c>
      <c r="CL36" s="138">
        <f>SUMIFS(tbl_task10[S85],tbl_task10[[SubPLOs]:[SubPLOs]],"&gt;=3",tbl_task10[[SubPLOs]:[SubPLOs]],"&lt;4")</f>
        <v>0</v>
      </c>
      <c r="CM36" s="138">
        <f>SUMIFS(tbl_task10[S86],tbl_task10[[SubPLOs]:[SubPLOs]],"&gt;=3",tbl_task10[[SubPLOs]:[SubPLOs]],"&lt;4")</f>
        <v>0</v>
      </c>
      <c r="CN36" s="138">
        <f>SUMIFS(tbl_task10[S87],tbl_task10[[SubPLOs]:[SubPLOs]],"&gt;=3",tbl_task10[[SubPLOs]:[SubPLOs]],"&lt;4")</f>
        <v>0</v>
      </c>
      <c r="CO36" s="138">
        <f>SUMIFS(tbl_task10[S88],tbl_task10[[SubPLOs]:[SubPLOs]],"&gt;=3",tbl_task10[[SubPLOs]:[SubPLOs]],"&lt;4")</f>
        <v>0</v>
      </c>
      <c r="CP36" s="138">
        <f>SUMIFS(tbl_task10[S89],tbl_task10[[SubPLOs]:[SubPLOs]],"&gt;=3",tbl_task10[[SubPLOs]:[SubPLOs]],"&lt;4")</f>
        <v>0</v>
      </c>
      <c r="CQ36" s="138">
        <f>SUMIFS(tbl_task10[S90],tbl_task10[[SubPLOs]:[SubPLOs]],"&gt;=3",tbl_task10[[SubPLOs]:[SubPLOs]],"&lt;4")</f>
        <v>0</v>
      </c>
      <c r="CR36" s="138">
        <f>SUMIFS(tbl_task10[S91],tbl_task10[[SubPLOs]:[SubPLOs]],"&gt;=3",tbl_task10[[SubPLOs]:[SubPLOs]],"&lt;4")</f>
        <v>0</v>
      </c>
      <c r="CS36" s="138">
        <f>SUMIFS(tbl_task10[S92],tbl_task10[[SubPLOs]:[SubPLOs]],"&gt;=3",tbl_task10[[SubPLOs]:[SubPLOs]],"&lt;4")</f>
        <v>0</v>
      </c>
      <c r="CT36" s="138">
        <f>SUMIFS(tbl_task10[S93],tbl_task10[[SubPLOs]:[SubPLOs]],"&gt;=3",tbl_task10[[SubPLOs]:[SubPLOs]],"&lt;4")</f>
        <v>0</v>
      </c>
      <c r="CU36" s="138">
        <f>SUMIFS(tbl_task10[S94],tbl_task10[[SubPLOs]:[SubPLOs]],"&gt;=3",tbl_task10[[SubPLOs]:[SubPLOs]],"&lt;4")</f>
        <v>0</v>
      </c>
      <c r="CV36" s="138">
        <f>SUMIFS(tbl_task10[S95],tbl_task10[[SubPLOs]:[SubPLOs]],"&gt;=3",tbl_task10[[SubPLOs]:[SubPLOs]],"&lt;4")</f>
        <v>0</v>
      </c>
      <c r="CW36" s="138">
        <f>SUMIFS(tbl_task10[S96],tbl_task10[[SubPLOs]:[SubPLOs]],"&gt;=3",tbl_task10[[SubPLOs]:[SubPLOs]],"&lt;4")</f>
        <v>0</v>
      </c>
      <c r="CX36" s="138">
        <f>SUMIFS(tbl_task10[S97],tbl_task10[[SubPLOs]:[SubPLOs]],"&gt;=3",tbl_task10[[SubPLOs]:[SubPLOs]],"&lt;4")</f>
        <v>0</v>
      </c>
      <c r="CY36" s="138">
        <f>SUMIFS(tbl_task10[S98],tbl_task10[[SubPLOs]:[SubPLOs]],"&gt;=3",tbl_task10[[SubPLOs]:[SubPLOs]],"&lt;4")</f>
        <v>0</v>
      </c>
      <c r="CZ36" s="138">
        <f>SUMIFS(tbl_task10[S99],tbl_task10[[SubPLOs]:[SubPLOs]],"&gt;=3",tbl_task10[[SubPLOs]:[SubPLOs]],"&lt;4")</f>
        <v>0</v>
      </c>
      <c r="DA36" s="138">
        <f>SUMIFS(tbl_task10[S100],tbl_task10[[SubPLOs]:[SubPLOs]],"&gt;=3",tbl_task10[[SubPLOs]:[SubPLOs]],"&lt;4")</f>
        <v>0</v>
      </c>
      <c r="DB36" s="138">
        <f>SUMIFS(tbl_task10[S101],tbl_task10[[SubPLOs]:[SubPLOs]],"&gt;=3",tbl_task10[[SubPLOs]:[SubPLOs]],"&lt;4")</f>
        <v>0</v>
      </c>
      <c r="DC36" s="138">
        <f>SUMIFS(tbl_task10[S102],tbl_task10[[SubPLOs]:[SubPLOs]],"&gt;=3",tbl_task10[[SubPLOs]:[SubPLOs]],"&lt;4")</f>
        <v>0</v>
      </c>
      <c r="DD36" s="138">
        <f>SUMIFS(tbl_task10[S103],tbl_task10[[SubPLOs]:[SubPLOs]],"&gt;=3",tbl_task10[[SubPLOs]:[SubPLOs]],"&lt;4")</f>
        <v>0</v>
      </c>
      <c r="DE36" s="138">
        <f>SUMIFS(tbl_task10[S104],tbl_task10[[SubPLOs]:[SubPLOs]],"&gt;=3",tbl_task10[[SubPLOs]:[SubPLOs]],"&lt;4")</f>
        <v>0</v>
      </c>
      <c r="DF36" s="138">
        <f>SUMIFS(tbl_task10[S105],tbl_task10[[SubPLOs]:[SubPLOs]],"&gt;=3",tbl_task10[[SubPLOs]:[SubPLOs]],"&lt;4")</f>
        <v>0</v>
      </c>
      <c r="DG36" s="138">
        <f>SUMIFS(tbl_task10[S106],tbl_task10[[SubPLOs]:[SubPLOs]],"&gt;=3",tbl_task10[[SubPLOs]:[SubPLOs]],"&lt;4")</f>
        <v>0</v>
      </c>
      <c r="DH36" s="138">
        <f>SUMIFS(tbl_task10[S106],tbl_task10[[SubPLOs]:[SubPLOs]],"&gt;=3",tbl_task10[[SubPLOs]:[SubPLOs]],"&lt;4")</f>
        <v>0</v>
      </c>
      <c r="DI36" s="138">
        <f>SUMIFS(tbl_task10[S108],tbl_task10[[SubPLOs]:[SubPLOs]],"&gt;=3",tbl_task10[[SubPLOs]:[SubPLOs]],"&lt;4")</f>
        <v>0</v>
      </c>
      <c r="DJ36" s="138">
        <f>SUMIFS(tbl_task10[S109],tbl_task10[[SubPLOs]:[SubPLOs]],"&gt;=3",tbl_task10[[SubPLOs]:[SubPLOs]],"&lt;4")</f>
        <v>0</v>
      </c>
      <c r="DK36" s="138">
        <f>SUMIFS(tbl_task10[S110],tbl_task10[[SubPLOs]:[SubPLOs]],"&gt;=3",tbl_task10[[SubPLOs]:[SubPLOs]],"&lt;4")</f>
        <v>0</v>
      </c>
      <c r="DL36" s="138">
        <f>SUMIFS(tbl_task10[S111],tbl_task10[[SubPLOs]:[SubPLOs]],"&gt;=3",tbl_task10[[SubPLOs]:[SubPLOs]],"&lt;4")</f>
        <v>0</v>
      </c>
      <c r="DM36" s="138">
        <f>SUMIFS(tbl_task10[S112],tbl_task10[[SubPLOs]:[SubPLOs]],"&gt;=3",tbl_task10[[SubPLOs]:[SubPLOs]],"&lt;4")</f>
        <v>0</v>
      </c>
      <c r="DN36" s="138">
        <f>SUMIFS(tbl_task10[S113],tbl_task10[[SubPLOs]:[SubPLOs]],"&gt;=3",tbl_task10[[SubPLOs]:[SubPLOs]],"&lt;4")</f>
        <v>0</v>
      </c>
      <c r="DO36" s="138">
        <f>SUMIFS(tbl_task10[S114],tbl_task10[[SubPLOs]:[SubPLOs]],"&gt;=3",tbl_task10[[SubPLOs]:[SubPLOs]],"&lt;4")</f>
        <v>0</v>
      </c>
      <c r="DP36" s="138">
        <f>SUMIFS(tbl_task10[S115],tbl_task10[[SubPLOs]:[SubPLOs]],"&gt;=3",tbl_task10[[SubPLOs]:[SubPLOs]],"&lt;4")</f>
        <v>0</v>
      </c>
      <c r="DQ36" s="138">
        <f>SUMIFS(tbl_task10[S116],tbl_task10[[SubPLOs]:[SubPLOs]],"&gt;=3",tbl_task10[[SubPLOs]:[SubPLOs]],"&lt;4")</f>
        <v>0</v>
      </c>
      <c r="DR36" s="138">
        <f>SUMIFS(tbl_task10[S117],tbl_task10[[SubPLOs]:[SubPLOs]],"&gt;=3",tbl_task10[[SubPLOs]:[SubPLOs]],"&lt;4")</f>
        <v>0</v>
      </c>
      <c r="DS36" s="138">
        <f>SUMIFS(tbl_task10[S118],tbl_task10[[SubPLOs]:[SubPLOs]],"&gt;=3",tbl_task10[[SubPLOs]:[SubPLOs]],"&lt;4")</f>
        <v>0</v>
      </c>
      <c r="DT36" s="138">
        <f>SUMIFS(tbl_task10[S119],tbl_task10[[SubPLOs]:[SubPLOs]],"&gt;=3",tbl_task10[[SubPLOs]:[SubPLOs]],"&lt;4")</f>
        <v>0</v>
      </c>
      <c r="DU36" s="138">
        <f>SUMIFS(tbl_task10[S120],tbl_task10[[SubPLOs]:[SubPLOs]],"&gt;=3",tbl_task10[[SubPLOs]:[SubPLOs]],"&lt;4")</f>
        <v>0</v>
      </c>
      <c r="DV36" s="138">
        <f>SUMIFS(tbl_task10[S121],tbl_task10[[SubPLOs]:[SubPLOs]],"&gt;=3",tbl_task10[[SubPLOs]:[SubPLOs]],"&lt;4")</f>
        <v>0</v>
      </c>
      <c r="DW36" s="138">
        <f>SUMIFS(tbl_task10[S122],tbl_task10[[SubPLOs]:[SubPLOs]],"&gt;=3",tbl_task10[[SubPLOs]:[SubPLOs]],"&lt;4")</f>
        <v>0</v>
      </c>
      <c r="DX36" s="138">
        <f>SUMIFS(tbl_task10[S123],tbl_task10[[SubPLOs]:[SubPLOs]],"&gt;=3",tbl_task10[[SubPLOs]:[SubPLOs]],"&lt;4")</f>
        <v>0</v>
      </c>
      <c r="DY36" s="138">
        <f>SUMIFS(tbl_task10[S124],tbl_task10[[SubPLOs]:[SubPLOs]],"&gt;=3",tbl_task10[[SubPLOs]:[SubPLOs]],"&lt;4")</f>
        <v>0</v>
      </c>
      <c r="DZ36" s="138">
        <f>SUMIFS(tbl_task10[S125],tbl_task10[[SubPLOs]:[SubPLOs]],"&gt;=3",tbl_task10[[SubPLOs]:[SubPLOs]],"&lt;4")</f>
        <v>0</v>
      </c>
      <c r="EA36" s="138">
        <f>SUMIFS(tbl_task10[S126],tbl_task10[[SubPLOs]:[SubPLOs]],"&gt;=3",tbl_task10[[SubPLOs]:[SubPLOs]],"&lt;4")</f>
        <v>0</v>
      </c>
      <c r="EB36" s="138">
        <f>SUMIFS(tbl_task10[S127],tbl_task10[[SubPLOs]:[SubPLOs]],"&gt;=3",tbl_task10[[SubPLOs]:[SubPLOs]],"&lt;4")</f>
        <v>0</v>
      </c>
      <c r="EC36" s="138">
        <f>SUMIFS(tbl_task10[S128],tbl_task10[[SubPLOs]:[SubPLOs]],"&gt;=3",tbl_task10[[SubPLOs]:[SubPLOs]],"&lt;4")</f>
        <v>0</v>
      </c>
      <c r="ED36" s="138">
        <f>SUMIFS(tbl_task10[S129],tbl_task10[[SubPLOs]:[SubPLOs]],"&gt;=3",tbl_task10[[SubPLOs]:[SubPLOs]],"&lt;4")</f>
        <v>0</v>
      </c>
      <c r="EE36" s="138">
        <f>SUMIFS(tbl_task10[S130],tbl_task10[[SubPLOs]:[SubPLOs]],"&gt;=3",tbl_task10[[SubPLOs]:[SubPLOs]],"&lt;4")</f>
        <v>0</v>
      </c>
      <c r="EF36" s="138">
        <f>SUMIFS(tbl_task10[S131],tbl_task10[[SubPLOs]:[SubPLOs]],"&gt;=3",tbl_task10[[SubPLOs]:[SubPLOs]],"&lt;4")</f>
        <v>0</v>
      </c>
      <c r="EG36" s="138">
        <f>SUMIFS(tbl_task10[S132],tbl_task10[[SubPLOs]:[SubPLOs]],"&gt;=3",tbl_task10[[SubPLOs]:[SubPLOs]],"&lt;4")</f>
        <v>0</v>
      </c>
      <c r="EH36" s="138">
        <f>SUMIFS(tbl_task10[S133],tbl_task10[[SubPLOs]:[SubPLOs]],"&gt;=3",tbl_task10[[SubPLOs]:[SubPLOs]],"&lt;4")</f>
        <v>0</v>
      </c>
      <c r="EI36" s="138">
        <f>SUMIFS(tbl_task10[S134],tbl_task10[[SubPLOs]:[SubPLOs]],"&gt;=3",tbl_task10[[SubPLOs]:[SubPLOs]],"&lt;4")</f>
        <v>0</v>
      </c>
      <c r="EJ36" s="138">
        <f>SUMIFS(tbl_task10[S135],tbl_task10[[SubPLOs]:[SubPLOs]],"&gt;=3",tbl_task10[[SubPLOs]:[SubPLOs]],"&lt;4")</f>
        <v>0</v>
      </c>
      <c r="EK36" s="138">
        <f>SUMIFS(tbl_task10[S136],tbl_task10[[SubPLOs]:[SubPLOs]],"&gt;=3",tbl_task10[[SubPLOs]:[SubPLOs]],"&lt;4")</f>
        <v>0</v>
      </c>
      <c r="EL36" s="138">
        <f>SUMIFS(tbl_task10[S137],tbl_task10[[SubPLOs]:[SubPLOs]],"&gt;=3",tbl_task10[[SubPLOs]:[SubPLOs]],"&lt;4")</f>
        <v>0</v>
      </c>
      <c r="EM36" s="138">
        <f>SUMIFS(tbl_task10[S138],tbl_task10[[SubPLOs]:[SubPLOs]],"&gt;=3",tbl_task10[[SubPLOs]:[SubPLOs]],"&lt;4")</f>
        <v>0</v>
      </c>
      <c r="EN36" s="138">
        <f>SUMIFS(tbl_task10[S139],tbl_task10[[SubPLOs]:[SubPLOs]],"&gt;=3",tbl_task10[[SubPLOs]:[SubPLOs]],"&lt;4")</f>
        <v>0</v>
      </c>
      <c r="EO36" s="138">
        <f>SUMIFS(tbl_task10[S140],tbl_task10[[SubPLOs]:[SubPLOs]],"&gt;=3",tbl_task10[[SubPLOs]:[SubPLOs]],"&lt;4")</f>
        <v>0</v>
      </c>
      <c r="EP36" s="138">
        <f>SUMIFS(tbl_task10[S141],tbl_task10[[SubPLOs]:[SubPLOs]],"&gt;=3",tbl_task10[[SubPLOs]:[SubPLOs]],"&lt;4")</f>
        <v>0</v>
      </c>
      <c r="EQ36" s="138">
        <f>SUMIFS(tbl_task10[S142],tbl_task10[[SubPLOs]:[SubPLOs]],"&gt;=3",tbl_task10[[SubPLOs]:[SubPLOs]],"&lt;4")</f>
        <v>0</v>
      </c>
      <c r="ER36" s="138">
        <f>SUMIFS(tbl_task10[S143],tbl_task10[[SubPLOs]:[SubPLOs]],"&gt;=3",tbl_task10[[SubPLOs]:[SubPLOs]],"&lt;4")</f>
        <v>0</v>
      </c>
      <c r="ES36" s="138">
        <f>SUMIFS(tbl_task10[S144],tbl_task10[[SubPLOs]:[SubPLOs]],"&gt;=3",tbl_task10[[SubPLOs]:[SubPLOs]],"&lt;4")</f>
        <v>0</v>
      </c>
      <c r="ET36" s="138">
        <f>SUMIFS(tbl_task10[S145],tbl_task10[[SubPLOs]:[SubPLOs]],"&gt;=3",tbl_task10[[SubPLOs]:[SubPLOs]],"&lt;4")</f>
        <v>0</v>
      </c>
      <c r="EU36" s="138">
        <f>SUMIFS(tbl_task10[S146],tbl_task10[[SubPLOs]:[SubPLOs]],"&gt;=3",tbl_task10[[SubPLOs]:[SubPLOs]],"&lt;4")</f>
        <v>0</v>
      </c>
      <c r="EV36" s="138">
        <f>SUMIFS(tbl_task10[S147],tbl_task10[[SubPLOs]:[SubPLOs]],"&gt;=3",tbl_task10[[SubPLOs]:[SubPLOs]],"&lt;4")</f>
        <v>0</v>
      </c>
      <c r="EW36" s="138">
        <f>SUMIFS(tbl_task10[S148],tbl_task10[[SubPLOs]:[SubPLOs]],"&gt;=3",tbl_task10[[SubPLOs]:[SubPLOs]],"&lt;4")</f>
        <v>0</v>
      </c>
      <c r="EX36" s="138">
        <f>SUMIFS(tbl_task10[S149],tbl_task10[[SubPLOs]:[SubPLOs]],"&gt;=3",tbl_task10[[SubPLOs]:[SubPLOs]],"&lt;4")</f>
        <v>0</v>
      </c>
      <c r="EY36" s="138">
        <f>SUMIFS(tbl_task10[S150],tbl_task10[[SubPLOs]:[SubPLOs]],"&gt;=3",tbl_task10[[SubPLOs]:[SubPLOs]],"&lt;4")</f>
        <v>0</v>
      </c>
      <c r="EZ36" s="138">
        <f>SUMIFS(tbl_task10[S151],tbl_task10[[SubPLOs]:[SubPLOs]],"&gt;=3",tbl_task10[[SubPLOs]:[SubPLOs]],"&lt;4")</f>
        <v>0</v>
      </c>
      <c r="FA36" s="138">
        <f>SUMIFS(tbl_task10[S152],tbl_task10[[SubPLOs]:[SubPLOs]],"&gt;=3",tbl_task10[[SubPLOs]:[SubPLOs]],"&lt;4")</f>
        <v>0</v>
      </c>
      <c r="FB36" s="138">
        <f>SUMIFS(tbl_task10[S153],tbl_task10[[SubPLOs]:[SubPLOs]],"&gt;=3",tbl_task10[[SubPLOs]:[SubPLOs]],"&lt;4")</f>
        <v>0</v>
      </c>
      <c r="FC36" s="138">
        <f>SUMIFS(tbl_task10[S154],tbl_task10[[SubPLOs]:[SubPLOs]],"&gt;=3",tbl_task10[[SubPLOs]:[SubPLOs]],"&lt;4")</f>
        <v>0</v>
      </c>
      <c r="FD36" s="138">
        <f>SUMIFS(tbl_task10[S155],tbl_task10[[SubPLOs]:[SubPLOs]],"&gt;=3",tbl_task10[[SubPLOs]:[SubPLOs]],"&lt;4")</f>
        <v>0</v>
      </c>
      <c r="FE36" s="138">
        <f>SUMIFS(tbl_task10[S156],tbl_task10[[SubPLOs]:[SubPLOs]],"&gt;=3",tbl_task10[[SubPLOs]:[SubPLOs]],"&lt;4")</f>
        <v>0</v>
      </c>
      <c r="FF36" s="138">
        <f>SUMIFS(tbl_task10[S157],tbl_task10[[SubPLOs]:[SubPLOs]],"&gt;=3",tbl_task10[[SubPLOs]:[SubPLOs]],"&lt;4")</f>
        <v>0</v>
      </c>
      <c r="FG36" s="138">
        <f>SUMIFS(tbl_task10[S158],tbl_task10[[SubPLOs]:[SubPLOs]],"&gt;=3",tbl_task10[[SubPLOs]:[SubPLOs]],"&lt;4")</f>
        <v>0</v>
      </c>
      <c r="FH36" s="138">
        <f>SUMIFS(tbl_task10[S159],tbl_task10[[SubPLOs]:[SubPLOs]],"&gt;=3",tbl_task10[[SubPLOs]:[SubPLOs]],"&lt;4")</f>
        <v>0</v>
      </c>
      <c r="FI36" s="138">
        <f>SUMIFS(tbl_task10[S160],tbl_task10[[SubPLOs]:[SubPLOs]],"&gt;=3",tbl_task10[[SubPLOs]:[SubPLOs]],"&lt;4")</f>
        <v>0</v>
      </c>
      <c r="FJ36" s="138">
        <f>SUMIFS(tbl_task10[S161],tbl_task10[[SubPLOs]:[SubPLOs]],"&gt;=3",tbl_task10[[SubPLOs]:[SubPLOs]],"&lt;4")</f>
        <v>0</v>
      </c>
      <c r="FK36" s="138">
        <f>SUMIFS(tbl_task10[S162],tbl_task10[[SubPLOs]:[SubPLOs]],"&gt;=3",tbl_task10[[SubPLOs]:[SubPLOs]],"&lt;4")</f>
        <v>0</v>
      </c>
      <c r="FL36" s="138">
        <f>SUMIFS(tbl_task10[S163],tbl_task10[[SubPLOs]:[SubPLOs]],"&gt;=3",tbl_task10[[SubPLOs]:[SubPLOs]],"&lt;4")</f>
        <v>0</v>
      </c>
      <c r="FM36" s="138">
        <f>SUMIFS(tbl_task10[S164],tbl_task10[[SubPLOs]:[SubPLOs]],"&gt;=3",tbl_task10[[SubPLOs]:[SubPLOs]],"&lt;4")</f>
        <v>0</v>
      </c>
      <c r="FN36" s="138">
        <f>SUMIFS(tbl_task10[S165],tbl_task10[[SubPLOs]:[SubPLOs]],"&gt;=3",tbl_task10[[SubPLOs]:[SubPLOs]],"&lt;4")</f>
        <v>0</v>
      </c>
    </row>
    <row r="37" spans="1:335" ht="63" x14ac:dyDescent="0.25">
      <c r="A37" s="135">
        <v>4</v>
      </c>
      <c r="B37" s="5" t="s">
        <v>437</v>
      </c>
      <c r="C37" s="136">
        <f>COUNTIFS(tbl_task10[SubPLOs],"&gt;=4",tbl_task10[SubPLOs],"&lt;5")</f>
        <v>0</v>
      </c>
      <c r="D37" s="136">
        <f>SUMIFS(tbl_task10[คะแนนเต็ม],tbl_task10[SubPLOs],"&gt;=4",tbl_task10[SubPLOs],"&lt;5")</f>
        <v>0</v>
      </c>
      <c r="E37" s="137">
        <f>SUMIFS(tbl_task10[%],tbl_task10[SubPLOs],"&gt;=4",tbl_task10[SubPLOs],"&lt;5")</f>
        <v>0</v>
      </c>
      <c r="F37" s="138">
        <f>SUMIFS(tbl_task10[S1],tbl_task10[[SubPLOs]:[SubPLOs]],"&gt;=4",tbl_task10[[SubPLOs]:[SubPLOs]],"&lt;5")</f>
        <v>0</v>
      </c>
      <c r="G37" s="138">
        <f>SUMIFS(tbl_task10[S2],tbl_task10[[SubPLOs]:[SubPLOs]],"&gt;=4",tbl_task10[[SubPLOs]:[SubPLOs]],"&lt;5")</f>
        <v>0</v>
      </c>
      <c r="H37" s="138">
        <f>SUMIFS(tbl_task10[S3],tbl_task10[[SubPLOs]:[SubPLOs]],"&gt;=4",tbl_task10[[SubPLOs]:[SubPLOs]],"&lt;5")</f>
        <v>0</v>
      </c>
      <c r="I37" s="138">
        <f>SUMIFS(tbl_task10[S4],tbl_task10[[SubPLOs]:[SubPLOs]],"&gt;=4",tbl_task10[[SubPLOs]:[SubPLOs]],"&lt;5")</f>
        <v>0</v>
      </c>
      <c r="J37" s="138">
        <f>SUMIFS(tbl_task10[S5],tbl_task10[[SubPLOs]:[SubPLOs]],"&gt;=4",tbl_task10[[SubPLOs]:[SubPLOs]],"&lt;5")</f>
        <v>0</v>
      </c>
      <c r="K37" s="138">
        <f>SUMIFS(tbl_task10[S6],tbl_task10[[SubPLOs]:[SubPLOs]],"&gt;=4",tbl_task10[[SubPLOs]:[SubPLOs]],"&lt;5")</f>
        <v>0</v>
      </c>
      <c r="L37" s="138">
        <f>SUMIFS(tbl_task10[S7],tbl_task10[[SubPLOs]:[SubPLOs]],"&gt;=4",tbl_task10[[SubPLOs]:[SubPLOs]],"&lt;5")</f>
        <v>0</v>
      </c>
      <c r="M37" s="138">
        <f>SUMIFS(tbl_task10[S8],tbl_task10[[SubPLOs]:[SubPLOs]],"&gt;=4",tbl_task10[[SubPLOs]:[SubPLOs]],"&lt;5")</f>
        <v>0</v>
      </c>
      <c r="N37" s="138">
        <f>SUMIFS(tbl_task10[S9],tbl_task10[[SubPLOs]:[SubPLOs]],"&gt;=4",tbl_task10[[SubPLOs]:[SubPLOs]],"&lt;5")</f>
        <v>0</v>
      </c>
      <c r="O37" s="138">
        <f>SUMIFS(tbl_task10[S10],tbl_task10[[SubPLOs]:[SubPLOs]],"&gt;=4",tbl_task10[[SubPLOs]:[SubPLOs]],"&lt;5")</f>
        <v>0</v>
      </c>
      <c r="P37" s="138">
        <f>SUMIFS(tbl_task10[S11],tbl_task10[[SubPLOs]:[SubPLOs]],"&gt;=4",tbl_task10[[SubPLOs]:[SubPLOs]],"&lt;5")</f>
        <v>0</v>
      </c>
      <c r="Q37" s="138">
        <f>SUMIFS(tbl_task10[S12],tbl_task10[[SubPLOs]:[SubPLOs]],"&gt;=4",tbl_task10[[SubPLOs]:[SubPLOs]],"&lt;5")</f>
        <v>0</v>
      </c>
      <c r="R37" s="138">
        <f>SUMIFS(tbl_task10[S13],tbl_task10[[SubPLOs]:[SubPLOs]],"&gt;=4",tbl_task10[[SubPLOs]:[SubPLOs]],"&lt;5")</f>
        <v>0</v>
      </c>
      <c r="S37" s="138">
        <f>SUMIFS(tbl_task10[S14],tbl_task10[[SubPLOs]:[SubPLOs]],"&gt;=4",tbl_task10[[SubPLOs]:[SubPLOs]],"&lt;5")</f>
        <v>0</v>
      </c>
      <c r="T37" s="138">
        <f>SUMIFS(tbl_task10[S15],tbl_task10[[SubPLOs]:[SubPLOs]],"&gt;=4",tbl_task10[[SubPLOs]:[SubPLOs]],"&lt;5")</f>
        <v>0</v>
      </c>
      <c r="U37" s="138">
        <f>SUMIFS(tbl_task10[S16],tbl_task10[[SubPLOs]:[SubPLOs]],"&gt;=4",tbl_task10[[SubPLOs]:[SubPLOs]],"&lt;5")</f>
        <v>0</v>
      </c>
      <c r="V37" s="138">
        <f>SUMIFS(tbl_task10[S17],tbl_task10[[SubPLOs]:[SubPLOs]],"&gt;=4",tbl_task10[[SubPLOs]:[SubPLOs]],"&lt;5")</f>
        <v>0</v>
      </c>
      <c r="W37" s="138">
        <f>SUMIFS(tbl_task10[S18],tbl_task10[[SubPLOs]:[SubPLOs]],"&gt;=4",tbl_task10[[SubPLOs]:[SubPLOs]],"&lt;5")</f>
        <v>0</v>
      </c>
      <c r="X37" s="138">
        <f>SUMIFS(tbl_task10[S19],tbl_task10[[SubPLOs]:[SubPLOs]],"&gt;=4",tbl_task10[[SubPLOs]:[SubPLOs]],"&lt;5")</f>
        <v>0</v>
      </c>
      <c r="Y37" s="138">
        <f>SUMIFS(tbl_task10[S20],tbl_task10[[SubPLOs]:[SubPLOs]],"&gt;=4",tbl_task10[[SubPLOs]:[SubPLOs]],"&lt;5")</f>
        <v>0</v>
      </c>
      <c r="Z37" s="138">
        <f>SUMIFS(tbl_task10[S21],tbl_task10[[SubPLOs]:[SubPLOs]],"&gt;=4",tbl_task10[[SubPLOs]:[SubPLOs]],"&lt;5")</f>
        <v>0</v>
      </c>
      <c r="AA37" s="138">
        <f>SUMIFS(tbl_task10[S22],tbl_task10[[SubPLOs]:[SubPLOs]],"&gt;=4",tbl_task10[[SubPLOs]:[SubPLOs]],"&lt;5")</f>
        <v>0</v>
      </c>
      <c r="AB37" s="138">
        <f>SUMIFS(tbl_task10[S23],tbl_task10[[SubPLOs]:[SubPLOs]],"&gt;=4",tbl_task10[[SubPLOs]:[SubPLOs]],"&lt;5")</f>
        <v>0</v>
      </c>
      <c r="AC37" s="138">
        <f>SUMIFS(tbl_task10[S24],tbl_task10[[SubPLOs]:[SubPLOs]],"&gt;=4",tbl_task10[[SubPLOs]:[SubPLOs]],"&lt;5")</f>
        <v>0</v>
      </c>
      <c r="AD37" s="138">
        <f>SUMIFS(tbl_task10[S25],tbl_task10[[SubPLOs]:[SubPLOs]],"&gt;=4",tbl_task10[[SubPLOs]:[SubPLOs]],"&lt;5")</f>
        <v>0</v>
      </c>
      <c r="AE37" s="138">
        <f>SUMIFS(tbl_task10[S26],tbl_task10[[SubPLOs]:[SubPLOs]],"&gt;=4",tbl_task10[[SubPLOs]:[SubPLOs]],"&lt;5")</f>
        <v>0</v>
      </c>
      <c r="AF37" s="138">
        <f>SUMIFS(tbl_task10[S27],tbl_task10[[SubPLOs]:[SubPLOs]],"&gt;=4",tbl_task10[[SubPLOs]:[SubPLOs]],"&lt;5")</f>
        <v>0</v>
      </c>
      <c r="AG37" s="138">
        <f>SUMIFS(tbl_task10[S28],tbl_task10[[SubPLOs]:[SubPLOs]],"&gt;=4",tbl_task10[[SubPLOs]:[SubPLOs]],"&lt;5")</f>
        <v>0</v>
      </c>
      <c r="AH37" s="138">
        <f>SUMIFS(tbl_task10[S29],tbl_task10[[SubPLOs]:[SubPLOs]],"&gt;=4",tbl_task10[[SubPLOs]:[SubPLOs]],"&lt;5")</f>
        <v>0</v>
      </c>
      <c r="AI37" s="138">
        <f>SUMIFS(tbl_task10[S30],tbl_task10[[SubPLOs]:[SubPLOs]],"&gt;=4",tbl_task10[[SubPLOs]:[SubPLOs]],"&lt;5")</f>
        <v>0</v>
      </c>
      <c r="AJ37" s="138">
        <f>SUMIFS(tbl_task10[S31],tbl_task10[[SubPLOs]:[SubPLOs]],"&gt;=4",tbl_task10[[SubPLOs]:[SubPLOs]],"&lt;5")</f>
        <v>0</v>
      </c>
      <c r="AK37" s="138">
        <f>SUMIFS(tbl_task10[S32],tbl_task10[[SubPLOs]:[SubPLOs]],"&gt;=4",tbl_task10[[SubPLOs]:[SubPLOs]],"&lt;5")</f>
        <v>0</v>
      </c>
      <c r="AL37" s="138">
        <f>SUMIFS(tbl_task10[S33],tbl_task10[[SubPLOs]:[SubPLOs]],"&gt;=4",tbl_task10[[SubPLOs]:[SubPLOs]],"&lt;5")</f>
        <v>0</v>
      </c>
      <c r="AM37" s="138">
        <f>SUMIFS(tbl_task10[S34],tbl_task10[[SubPLOs]:[SubPLOs]],"&gt;=4",tbl_task10[[SubPLOs]:[SubPLOs]],"&lt;5")</f>
        <v>0</v>
      </c>
      <c r="AN37" s="138">
        <f>SUMIFS(tbl_task10[S35],tbl_task10[[SubPLOs]:[SubPLOs]],"&gt;=4",tbl_task10[[SubPLOs]:[SubPLOs]],"&lt;5")</f>
        <v>0</v>
      </c>
      <c r="AO37" s="138">
        <f>SUMIFS(tbl_task10[S36],tbl_task10[[SubPLOs]:[SubPLOs]],"&gt;=4",tbl_task10[[SubPLOs]:[SubPLOs]],"&lt;5")</f>
        <v>0</v>
      </c>
      <c r="AP37" s="138">
        <f>SUMIFS(tbl_task10[S37],tbl_task10[[SubPLOs]:[SubPLOs]],"&gt;=4",tbl_task10[[SubPLOs]:[SubPLOs]],"&lt;5")</f>
        <v>0</v>
      </c>
      <c r="AQ37" s="138">
        <f>SUMIFS(tbl_task10[S38],tbl_task10[[SubPLOs]:[SubPLOs]],"&gt;=4",tbl_task10[[SubPLOs]:[SubPLOs]],"&lt;5")</f>
        <v>0</v>
      </c>
      <c r="AR37" s="138">
        <f>SUMIFS(tbl_task10[S39],tbl_task10[[SubPLOs]:[SubPLOs]],"&gt;=4",tbl_task10[[SubPLOs]:[SubPLOs]],"&lt;5")</f>
        <v>0</v>
      </c>
      <c r="AS37" s="138">
        <f>SUMIFS(tbl_task10[S40],tbl_task10[[SubPLOs]:[SubPLOs]],"&gt;=4",tbl_task10[[SubPLOs]:[SubPLOs]],"&lt;5")</f>
        <v>0</v>
      </c>
      <c r="AT37" s="138">
        <f>SUMIFS(tbl_task10[S41],tbl_task10[[SubPLOs]:[SubPLOs]],"&gt;=4",tbl_task10[[SubPLOs]:[SubPLOs]],"&lt;5")</f>
        <v>0</v>
      </c>
      <c r="AU37" s="138">
        <f>SUMIFS(tbl_task10[S42],tbl_task10[[SubPLOs]:[SubPLOs]],"&gt;=4",tbl_task10[[SubPLOs]:[SubPLOs]],"&lt;5")</f>
        <v>0</v>
      </c>
      <c r="AV37" s="138">
        <f>SUMIFS(tbl_task10[S43],tbl_task10[[SubPLOs]:[SubPLOs]],"&gt;=4",tbl_task10[[SubPLOs]:[SubPLOs]],"&lt;5")</f>
        <v>0</v>
      </c>
      <c r="AW37" s="138">
        <f>SUMIFS(tbl_task10[S44],tbl_task10[[SubPLOs]:[SubPLOs]],"&gt;=4",tbl_task10[[SubPLOs]:[SubPLOs]],"&lt;5")</f>
        <v>0</v>
      </c>
      <c r="AX37" s="138">
        <f>SUMIFS(tbl_task10[S45],tbl_task10[[SubPLOs]:[SubPLOs]],"&gt;=4",tbl_task10[[SubPLOs]:[SubPLOs]],"&lt;5")</f>
        <v>0</v>
      </c>
      <c r="AY37" s="138">
        <f>SUMIFS(tbl_task10[S46],tbl_task10[[SubPLOs]:[SubPLOs]],"&gt;=4",tbl_task10[[SubPLOs]:[SubPLOs]],"&lt;5")</f>
        <v>0</v>
      </c>
      <c r="AZ37" s="138">
        <f>SUMIFS(tbl_task10[S47],tbl_task10[[SubPLOs]:[SubPLOs]],"&gt;=4",tbl_task10[[SubPLOs]:[SubPLOs]],"&lt;5")</f>
        <v>0</v>
      </c>
      <c r="BA37" s="138">
        <f>SUMIFS(tbl_task10[S48],tbl_task10[[SubPLOs]:[SubPLOs]],"&gt;=4",tbl_task10[[SubPLOs]:[SubPLOs]],"&lt;5")</f>
        <v>0</v>
      </c>
      <c r="BB37" s="138">
        <f>SUMIFS(tbl_task10[S49],tbl_task10[[SubPLOs]:[SubPLOs]],"&gt;=4",tbl_task10[[SubPLOs]:[SubPLOs]],"&lt;5")</f>
        <v>0</v>
      </c>
      <c r="BC37" s="138">
        <f>SUMIFS(tbl_task10[S50],tbl_task10[[SubPLOs]:[SubPLOs]],"&gt;=4",tbl_task10[[SubPLOs]:[SubPLOs]],"&lt;5")</f>
        <v>0</v>
      </c>
      <c r="BD37" s="138">
        <f>SUMIFS(tbl_task10[S51],tbl_task10[[SubPLOs]:[SubPLOs]],"&gt;=4",tbl_task10[[SubPLOs]:[SubPLOs]],"&lt;5")</f>
        <v>0</v>
      </c>
      <c r="BE37" s="138">
        <f>SUMIFS(tbl_task10[S52],tbl_task10[[SubPLOs]:[SubPLOs]],"&gt;=4",tbl_task10[[SubPLOs]:[SubPLOs]],"&lt;5")</f>
        <v>0</v>
      </c>
      <c r="BF37" s="138">
        <f>SUMIFS(tbl_task10[S53],tbl_task10[[SubPLOs]:[SubPLOs]],"&gt;=4",tbl_task10[[SubPLOs]:[SubPLOs]],"&lt;5")</f>
        <v>0</v>
      </c>
      <c r="BG37" s="138">
        <f>SUMIFS(tbl_task10[S54],tbl_task10[[SubPLOs]:[SubPLOs]],"&gt;=4",tbl_task10[[SubPLOs]:[SubPLOs]],"&lt;5")</f>
        <v>0</v>
      </c>
      <c r="BH37" s="138">
        <f>SUMIFS(tbl_task10[S55],tbl_task10[[SubPLOs]:[SubPLOs]],"&gt;=4",tbl_task10[[SubPLOs]:[SubPLOs]],"&lt;5")</f>
        <v>0</v>
      </c>
      <c r="BI37" s="138">
        <f>SUMIFS(tbl_task10[S56],tbl_task10[[SubPLOs]:[SubPLOs]],"&gt;=4",tbl_task10[[SubPLOs]:[SubPLOs]],"&lt;5")</f>
        <v>0</v>
      </c>
      <c r="BJ37" s="138">
        <f>SUMIFS(tbl_task10[S57],tbl_task10[[SubPLOs]:[SubPLOs]],"&gt;=4",tbl_task10[[SubPLOs]:[SubPLOs]],"&lt;5")</f>
        <v>0</v>
      </c>
      <c r="BK37" s="138">
        <f>SUMIFS(tbl_task10[S58],tbl_task10[[SubPLOs]:[SubPLOs]],"&gt;=4",tbl_task10[[SubPLOs]:[SubPLOs]],"&lt;5")</f>
        <v>0</v>
      </c>
      <c r="BL37" s="138">
        <f>SUMIFS(tbl_task10[S59],tbl_task10[[SubPLOs]:[SubPLOs]],"&gt;=4",tbl_task10[[SubPLOs]:[SubPLOs]],"&lt;5")</f>
        <v>0</v>
      </c>
      <c r="BM37" s="138">
        <f>SUMIFS(tbl_task10[S60],tbl_task10[[SubPLOs]:[SubPLOs]],"&gt;=4",tbl_task10[[SubPLOs]:[SubPLOs]],"&lt;5")</f>
        <v>0</v>
      </c>
      <c r="BN37" s="138">
        <f>SUMIFS(tbl_task10[S61],tbl_task10[[SubPLOs]:[SubPLOs]],"&gt;=4",tbl_task10[[SubPLOs]:[SubPLOs]],"&lt;5")</f>
        <v>0</v>
      </c>
      <c r="BO37" s="138">
        <f>SUMIFS(tbl_task10[S62],tbl_task10[[SubPLOs]:[SubPLOs]],"&gt;=4",tbl_task10[[SubPLOs]:[SubPLOs]],"&lt;5")</f>
        <v>0</v>
      </c>
      <c r="BP37" s="138">
        <f>SUMIFS(tbl_task10[S63],tbl_task10[[SubPLOs]:[SubPLOs]],"&gt;=4",tbl_task10[[SubPLOs]:[SubPLOs]],"&lt;5")</f>
        <v>0</v>
      </c>
      <c r="BQ37" s="138">
        <f>SUMIFS(tbl_task10[S64],tbl_task10[[SubPLOs]:[SubPLOs]],"&gt;=4",tbl_task10[[SubPLOs]:[SubPLOs]],"&lt;5")</f>
        <v>0</v>
      </c>
      <c r="BR37" s="138">
        <f>SUMIFS(tbl_task10[S65],tbl_task10[[SubPLOs]:[SubPLOs]],"&gt;=4",tbl_task10[[SubPLOs]:[SubPLOs]],"&lt;5")</f>
        <v>0</v>
      </c>
      <c r="BS37" s="138">
        <f>SUMIFS(tbl_task10[S66],tbl_task10[[SubPLOs]:[SubPLOs]],"&gt;=4",tbl_task10[[SubPLOs]:[SubPLOs]],"&lt;5")</f>
        <v>0</v>
      </c>
      <c r="BT37" s="138">
        <f>SUMIFS(tbl_task10[S67],tbl_task10[[SubPLOs]:[SubPLOs]],"&gt;=4",tbl_task10[[SubPLOs]:[SubPLOs]],"&lt;5")</f>
        <v>0</v>
      </c>
      <c r="BU37" s="138">
        <f>SUMIFS(tbl_task10[S68],tbl_task10[[SubPLOs]:[SubPLOs]],"&gt;=4",tbl_task10[[SubPLOs]:[SubPLOs]],"&lt;5")</f>
        <v>0</v>
      </c>
      <c r="BV37" s="138">
        <f>SUMIFS(tbl_task10[S69],tbl_task10[[SubPLOs]:[SubPLOs]],"&gt;=4",tbl_task10[[SubPLOs]:[SubPLOs]],"&lt;5")</f>
        <v>0</v>
      </c>
      <c r="BW37" s="138">
        <f>SUMIFS(tbl_task10[S70],tbl_task10[[SubPLOs]:[SubPLOs]],"&gt;=4",tbl_task10[[SubPLOs]:[SubPLOs]],"&lt;5")</f>
        <v>0</v>
      </c>
      <c r="BX37" s="138">
        <f>SUMIFS(tbl_task10[S71],tbl_task10[[SubPLOs]:[SubPLOs]],"&gt;=4",tbl_task10[[SubPLOs]:[SubPLOs]],"&lt;5")</f>
        <v>0</v>
      </c>
      <c r="BY37" s="138">
        <f>SUMIFS(tbl_task10[S72],tbl_task10[[SubPLOs]:[SubPLOs]],"&gt;=4",tbl_task10[[SubPLOs]:[SubPLOs]],"&lt;5")</f>
        <v>0</v>
      </c>
      <c r="BZ37" s="138">
        <f>SUMIFS(tbl_task10[S73],tbl_task10[[SubPLOs]:[SubPLOs]],"&gt;=4",tbl_task10[[SubPLOs]:[SubPLOs]],"&lt;5")</f>
        <v>0</v>
      </c>
      <c r="CA37" s="138">
        <f>SUMIFS(tbl_task10[S74],tbl_task10[[SubPLOs]:[SubPLOs]],"&gt;=4",tbl_task10[[SubPLOs]:[SubPLOs]],"&lt;5")</f>
        <v>0</v>
      </c>
      <c r="CB37" s="138">
        <f>SUMIFS(tbl_task10[S75],tbl_task10[[SubPLOs]:[SubPLOs]],"&gt;=4",tbl_task10[[SubPLOs]:[SubPLOs]],"&lt;5")</f>
        <v>0</v>
      </c>
      <c r="CC37" s="138">
        <f>SUMIFS(tbl_task10[S76],tbl_task10[[SubPLOs]:[SubPLOs]],"&gt;=4",tbl_task10[[SubPLOs]:[SubPLOs]],"&lt;5")</f>
        <v>0</v>
      </c>
      <c r="CD37" s="138">
        <f>SUMIFS(tbl_task10[S77],tbl_task10[[SubPLOs]:[SubPLOs]],"&gt;=4",tbl_task10[[SubPLOs]:[SubPLOs]],"&lt;5")</f>
        <v>0</v>
      </c>
      <c r="CE37" s="138">
        <f>SUMIFS(tbl_task10[S78],tbl_task10[[SubPLOs]:[SubPLOs]],"&gt;=4",tbl_task10[[SubPLOs]:[SubPLOs]],"&lt;5")</f>
        <v>0</v>
      </c>
      <c r="CF37" s="138">
        <f>SUMIFS(tbl_task10[S79],tbl_task10[[SubPLOs]:[SubPLOs]],"&gt;=4",tbl_task10[[SubPLOs]:[SubPLOs]],"&lt;5")</f>
        <v>0</v>
      </c>
      <c r="CG37" s="138">
        <f>SUMIFS(tbl_task10[S80],tbl_task10[[SubPLOs]:[SubPLOs]],"&gt;=4",tbl_task10[[SubPLOs]:[SubPLOs]],"&lt;5")</f>
        <v>0</v>
      </c>
      <c r="CH37" s="138">
        <f>SUMIFS(tbl_task10[S81],tbl_task10[[SubPLOs]:[SubPLOs]],"&gt;=4",tbl_task10[[SubPLOs]:[SubPLOs]],"&lt;5")</f>
        <v>0</v>
      </c>
      <c r="CI37" s="138">
        <f>SUMIFS(tbl_task10[S82],tbl_task10[[SubPLOs]:[SubPLOs]],"&gt;=4",tbl_task10[[SubPLOs]:[SubPLOs]],"&lt;5")</f>
        <v>0</v>
      </c>
      <c r="CJ37" s="138">
        <f>SUMIFS(tbl_task10[S83],tbl_task10[[SubPLOs]:[SubPLOs]],"&gt;=4",tbl_task10[[SubPLOs]:[SubPLOs]],"&lt;5")</f>
        <v>0</v>
      </c>
      <c r="CK37" s="138">
        <f>SUMIFS(tbl_task10[S84],tbl_task10[[SubPLOs]:[SubPLOs]],"&gt;=4",tbl_task10[[SubPLOs]:[SubPLOs]],"&lt;5")</f>
        <v>0</v>
      </c>
      <c r="CL37" s="138">
        <f>SUMIFS(tbl_task10[S85],tbl_task10[[SubPLOs]:[SubPLOs]],"&gt;=4",tbl_task10[[SubPLOs]:[SubPLOs]],"&lt;5")</f>
        <v>0</v>
      </c>
      <c r="CM37" s="138">
        <f>SUMIFS(tbl_task10[S86],tbl_task10[[SubPLOs]:[SubPLOs]],"&gt;=4",tbl_task10[[SubPLOs]:[SubPLOs]],"&lt;5")</f>
        <v>0</v>
      </c>
      <c r="CN37" s="138">
        <f>SUMIFS(tbl_task10[S87],tbl_task10[[SubPLOs]:[SubPLOs]],"&gt;=4",tbl_task10[[SubPLOs]:[SubPLOs]],"&lt;5")</f>
        <v>0</v>
      </c>
      <c r="CO37" s="138">
        <f>SUMIFS(tbl_task10[S88],tbl_task10[[SubPLOs]:[SubPLOs]],"&gt;=4",tbl_task10[[SubPLOs]:[SubPLOs]],"&lt;5")</f>
        <v>0</v>
      </c>
      <c r="CP37" s="138">
        <f>SUMIFS(tbl_task10[S89],tbl_task10[[SubPLOs]:[SubPLOs]],"&gt;=4",tbl_task10[[SubPLOs]:[SubPLOs]],"&lt;5")</f>
        <v>0</v>
      </c>
      <c r="CQ37" s="138">
        <f>SUMIFS(tbl_task10[S90],tbl_task10[[SubPLOs]:[SubPLOs]],"&gt;=4",tbl_task10[[SubPLOs]:[SubPLOs]],"&lt;5")</f>
        <v>0</v>
      </c>
      <c r="CR37" s="138">
        <f>SUMIFS(tbl_task10[S91],tbl_task10[[SubPLOs]:[SubPLOs]],"&gt;=4",tbl_task10[[SubPLOs]:[SubPLOs]],"&lt;5")</f>
        <v>0</v>
      </c>
      <c r="CS37" s="138">
        <f>SUMIFS(tbl_task10[S92],tbl_task10[[SubPLOs]:[SubPLOs]],"&gt;=4",tbl_task10[[SubPLOs]:[SubPLOs]],"&lt;5")</f>
        <v>0</v>
      </c>
      <c r="CT37" s="138">
        <f>SUMIFS(tbl_task10[S93],tbl_task10[[SubPLOs]:[SubPLOs]],"&gt;=4",tbl_task10[[SubPLOs]:[SubPLOs]],"&lt;5")</f>
        <v>0</v>
      </c>
      <c r="CU37" s="138">
        <f>SUMIFS(tbl_task10[S94],tbl_task10[[SubPLOs]:[SubPLOs]],"&gt;=4",tbl_task10[[SubPLOs]:[SubPLOs]],"&lt;5")</f>
        <v>0</v>
      </c>
      <c r="CV37" s="138">
        <f>SUMIFS(tbl_task10[S95],tbl_task10[[SubPLOs]:[SubPLOs]],"&gt;=4",tbl_task10[[SubPLOs]:[SubPLOs]],"&lt;5")</f>
        <v>0</v>
      </c>
      <c r="CW37" s="138">
        <f>SUMIFS(tbl_task10[S96],tbl_task10[[SubPLOs]:[SubPLOs]],"&gt;=4",tbl_task10[[SubPLOs]:[SubPLOs]],"&lt;5")</f>
        <v>0</v>
      </c>
      <c r="CX37" s="138">
        <f>SUMIFS(tbl_task10[S97],tbl_task10[[SubPLOs]:[SubPLOs]],"&gt;=4",tbl_task10[[SubPLOs]:[SubPLOs]],"&lt;5")</f>
        <v>0</v>
      </c>
      <c r="CY37" s="138">
        <f>SUMIFS(tbl_task10[S98],tbl_task10[[SubPLOs]:[SubPLOs]],"&gt;=4",tbl_task10[[SubPLOs]:[SubPLOs]],"&lt;5")</f>
        <v>0</v>
      </c>
      <c r="CZ37" s="138">
        <f>SUMIFS(tbl_task10[S99],tbl_task10[[SubPLOs]:[SubPLOs]],"&gt;=4",tbl_task10[[SubPLOs]:[SubPLOs]],"&lt;5")</f>
        <v>0</v>
      </c>
      <c r="DA37" s="138">
        <f>SUMIFS(tbl_task10[S100],tbl_task10[[SubPLOs]:[SubPLOs]],"&gt;=4",tbl_task10[[SubPLOs]:[SubPLOs]],"&lt;5")</f>
        <v>0</v>
      </c>
      <c r="DB37" s="138">
        <f>SUMIFS(tbl_task10[S101],tbl_task10[[SubPLOs]:[SubPLOs]],"&gt;=4",tbl_task10[[SubPLOs]:[SubPLOs]],"&lt;5")</f>
        <v>0</v>
      </c>
      <c r="DC37" s="138">
        <f>SUMIFS(tbl_task10[S102],tbl_task10[[SubPLOs]:[SubPLOs]],"&gt;=4",tbl_task10[[SubPLOs]:[SubPLOs]],"&lt;5")</f>
        <v>0</v>
      </c>
      <c r="DD37" s="138">
        <f>SUMIFS(tbl_task10[S103],tbl_task10[[SubPLOs]:[SubPLOs]],"&gt;=4",tbl_task10[[SubPLOs]:[SubPLOs]],"&lt;5")</f>
        <v>0</v>
      </c>
      <c r="DE37" s="138">
        <f>SUMIFS(tbl_task10[S104],tbl_task10[[SubPLOs]:[SubPLOs]],"&gt;=4",tbl_task10[[SubPLOs]:[SubPLOs]],"&lt;5")</f>
        <v>0</v>
      </c>
      <c r="DF37" s="138">
        <f>SUMIFS(tbl_task10[S105],tbl_task10[[SubPLOs]:[SubPLOs]],"&gt;=4",tbl_task10[[SubPLOs]:[SubPLOs]],"&lt;5")</f>
        <v>0</v>
      </c>
      <c r="DG37" s="138">
        <f>SUMIFS(tbl_task10[S106],tbl_task10[[SubPLOs]:[SubPLOs]],"&gt;=4",tbl_task10[[SubPLOs]:[SubPLOs]],"&lt;5")</f>
        <v>0</v>
      </c>
      <c r="DH37" s="138">
        <f>SUMIFS(tbl_task10[S106],tbl_task10[[SubPLOs]:[SubPLOs]],"&gt;=4",tbl_task10[[SubPLOs]:[SubPLOs]],"&lt;5")</f>
        <v>0</v>
      </c>
      <c r="DI37" s="138">
        <f>SUMIFS(tbl_task10[S108],tbl_task10[[SubPLOs]:[SubPLOs]],"&gt;=4",tbl_task10[[SubPLOs]:[SubPLOs]],"&lt;5")</f>
        <v>0</v>
      </c>
      <c r="DJ37" s="138">
        <f>SUMIFS(tbl_task10[S109],tbl_task10[[SubPLOs]:[SubPLOs]],"&gt;=4",tbl_task10[[SubPLOs]:[SubPLOs]],"&lt;5")</f>
        <v>0</v>
      </c>
      <c r="DK37" s="138">
        <f>SUMIFS(tbl_task10[S110],tbl_task10[[SubPLOs]:[SubPLOs]],"&gt;=4",tbl_task10[[SubPLOs]:[SubPLOs]],"&lt;5")</f>
        <v>0</v>
      </c>
      <c r="DL37" s="138">
        <f>SUMIFS(tbl_task10[S111],tbl_task10[[SubPLOs]:[SubPLOs]],"&gt;=4",tbl_task10[[SubPLOs]:[SubPLOs]],"&lt;5")</f>
        <v>0</v>
      </c>
      <c r="DM37" s="138">
        <f>SUMIFS(tbl_task10[S112],tbl_task10[[SubPLOs]:[SubPLOs]],"&gt;=4",tbl_task10[[SubPLOs]:[SubPLOs]],"&lt;5")</f>
        <v>0</v>
      </c>
      <c r="DN37" s="138">
        <f>SUMIFS(tbl_task10[S113],tbl_task10[[SubPLOs]:[SubPLOs]],"&gt;=4",tbl_task10[[SubPLOs]:[SubPLOs]],"&lt;5")</f>
        <v>0</v>
      </c>
      <c r="DO37" s="138">
        <f>SUMIFS(tbl_task10[S114],tbl_task10[[SubPLOs]:[SubPLOs]],"&gt;=4",tbl_task10[[SubPLOs]:[SubPLOs]],"&lt;5")</f>
        <v>0</v>
      </c>
      <c r="DP37" s="138">
        <f>SUMIFS(tbl_task10[S115],tbl_task10[[SubPLOs]:[SubPLOs]],"&gt;=4",tbl_task10[[SubPLOs]:[SubPLOs]],"&lt;5")</f>
        <v>0</v>
      </c>
      <c r="DQ37" s="138">
        <f>SUMIFS(tbl_task10[S116],tbl_task10[[SubPLOs]:[SubPLOs]],"&gt;=4",tbl_task10[[SubPLOs]:[SubPLOs]],"&lt;5")</f>
        <v>0</v>
      </c>
      <c r="DR37" s="138">
        <f>SUMIFS(tbl_task10[S117],tbl_task10[[SubPLOs]:[SubPLOs]],"&gt;=4",tbl_task10[[SubPLOs]:[SubPLOs]],"&lt;5")</f>
        <v>0</v>
      </c>
      <c r="DS37" s="138">
        <f>SUMIFS(tbl_task10[S118],tbl_task10[[SubPLOs]:[SubPLOs]],"&gt;=4",tbl_task10[[SubPLOs]:[SubPLOs]],"&lt;5")</f>
        <v>0</v>
      </c>
      <c r="DT37" s="138">
        <f>SUMIFS(tbl_task10[S119],tbl_task10[[SubPLOs]:[SubPLOs]],"&gt;=4",tbl_task10[[SubPLOs]:[SubPLOs]],"&lt;5")</f>
        <v>0</v>
      </c>
      <c r="DU37" s="138">
        <f>SUMIFS(tbl_task10[S120],tbl_task10[[SubPLOs]:[SubPLOs]],"&gt;=4",tbl_task10[[SubPLOs]:[SubPLOs]],"&lt;5")</f>
        <v>0</v>
      </c>
      <c r="DV37" s="138">
        <f>SUMIFS(tbl_task10[S121],tbl_task10[[SubPLOs]:[SubPLOs]],"&gt;=4",tbl_task10[[SubPLOs]:[SubPLOs]],"&lt;5")</f>
        <v>0</v>
      </c>
      <c r="DW37" s="138">
        <f>SUMIFS(tbl_task10[S122],tbl_task10[[SubPLOs]:[SubPLOs]],"&gt;=4",tbl_task10[[SubPLOs]:[SubPLOs]],"&lt;5")</f>
        <v>0</v>
      </c>
      <c r="DX37" s="138">
        <f>SUMIFS(tbl_task10[S123],tbl_task10[[SubPLOs]:[SubPLOs]],"&gt;=4",tbl_task10[[SubPLOs]:[SubPLOs]],"&lt;5")</f>
        <v>0</v>
      </c>
      <c r="DY37" s="138">
        <f>SUMIFS(tbl_task10[S124],tbl_task10[[SubPLOs]:[SubPLOs]],"&gt;=4",tbl_task10[[SubPLOs]:[SubPLOs]],"&lt;5")</f>
        <v>0</v>
      </c>
      <c r="DZ37" s="138">
        <f>SUMIFS(tbl_task10[S125],tbl_task10[[SubPLOs]:[SubPLOs]],"&gt;=4",tbl_task10[[SubPLOs]:[SubPLOs]],"&lt;5")</f>
        <v>0</v>
      </c>
      <c r="EA37" s="138">
        <f>SUMIFS(tbl_task10[S126],tbl_task10[[SubPLOs]:[SubPLOs]],"&gt;=4",tbl_task10[[SubPLOs]:[SubPLOs]],"&lt;5")</f>
        <v>0</v>
      </c>
      <c r="EB37" s="138">
        <f>SUMIFS(tbl_task10[S127],tbl_task10[[SubPLOs]:[SubPLOs]],"&gt;=4",tbl_task10[[SubPLOs]:[SubPLOs]],"&lt;5")</f>
        <v>0</v>
      </c>
      <c r="EC37" s="138">
        <f>SUMIFS(tbl_task10[S128],tbl_task10[[SubPLOs]:[SubPLOs]],"&gt;=4",tbl_task10[[SubPLOs]:[SubPLOs]],"&lt;5")</f>
        <v>0</v>
      </c>
      <c r="ED37" s="138">
        <f>SUMIFS(tbl_task10[S129],tbl_task10[[SubPLOs]:[SubPLOs]],"&gt;=4",tbl_task10[[SubPLOs]:[SubPLOs]],"&lt;5")</f>
        <v>0</v>
      </c>
      <c r="EE37" s="138">
        <f>SUMIFS(tbl_task10[S130],tbl_task10[[SubPLOs]:[SubPLOs]],"&gt;=4",tbl_task10[[SubPLOs]:[SubPLOs]],"&lt;5")</f>
        <v>0</v>
      </c>
      <c r="EF37" s="138">
        <f>SUMIFS(tbl_task10[S131],tbl_task10[[SubPLOs]:[SubPLOs]],"&gt;=4",tbl_task10[[SubPLOs]:[SubPLOs]],"&lt;5")</f>
        <v>0</v>
      </c>
      <c r="EG37" s="138">
        <f>SUMIFS(tbl_task10[S132],tbl_task10[[SubPLOs]:[SubPLOs]],"&gt;=4",tbl_task10[[SubPLOs]:[SubPLOs]],"&lt;5")</f>
        <v>0</v>
      </c>
      <c r="EH37" s="138">
        <f>SUMIFS(tbl_task10[S133],tbl_task10[[SubPLOs]:[SubPLOs]],"&gt;=4",tbl_task10[[SubPLOs]:[SubPLOs]],"&lt;5")</f>
        <v>0</v>
      </c>
      <c r="EI37" s="138">
        <f>SUMIFS(tbl_task10[S134],tbl_task10[[SubPLOs]:[SubPLOs]],"&gt;=4",tbl_task10[[SubPLOs]:[SubPLOs]],"&lt;5")</f>
        <v>0</v>
      </c>
      <c r="EJ37" s="138">
        <f>SUMIFS(tbl_task10[S135],tbl_task10[[SubPLOs]:[SubPLOs]],"&gt;=4",tbl_task10[[SubPLOs]:[SubPLOs]],"&lt;5")</f>
        <v>0</v>
      </c>
      <c r="EK37" s="138">
        <f>SUMIFS(tbl_task10[S136],tbl_task10[[SubPLOs]:[SubPLOs]],"&gt;=4",tbl_task10[[SubPLOs]:[SubPLOs]],"&lt;5")</f>
        <v>0</v>
      </c>
      <c r="EL37" s="138">
        <f>SUMIFS(tbl_task10[S137],tbl_task10[[SubPLOs]:[SubPLOs]],"&gt;=4",tbl_task10[[SubPLOs]:[SubPLOs]],"&lt;5")</f>
        <v>0</v>
      </c>
      <c r="EM37" s="138">
        <f>SUMIFS(tbl_task10[S138],tbl_task10[[SubPLOs]:[SubPLOs]],"&gt;=4",tbl_task10[[SubPLOs]:[SubPLOs]],"&lt;5")</f>
        <v>0</v>
      </c>
      <c r="EN37" s="138">
        <f>SUMIFS(tbl_task10[S139],tbl_task10[[SubPLOs]:[SubPLOs]],"&gt;=4",tbl_task10[[SubPLOs]:[SubPLOs]],"&lt;5")</f>
        <v>0</v>
      </c>
      <c r="EO37" s="138">
        <f>SUMIFS(tbl_task10[S140],tbl_task10[[SubPLOs]:[SubPLOs]],"&gt;=4",tbl_task10[[SubPLOs]:[SubPLOs]],"&lt;5")</f>
        <v>0</v>
      </c>
      <c r="EP37" s="138">
        <f>SUMIFS(tbl_task10[S141],tbl_task10[[SubPLOs]:[SubPLOs]],"&gt;=4",tbl_task10[[SubPLOs]:[SubPLOs]],"&lt;5")</f>
        <v>0</v>
      </c>
      <c r="EQ37" s="138">
        <f>SUMIFS(tbl_task10[S142],tbl_task10[[SubPLOs]:[SubPLOs]],"&gt;=4",tbl_task10[[SubPLOs]:[SubPLOs]],"&lt;5")</f>
        <v>0</v>
      </c>
      <c r="ER37" s="138">
        <f>SUMIFS(tbl_task10[S143],tbl_task10[[SubPLOs]:[SubPLOs]],"&gt;=4",tbl_task10[[SubPLOs]:[SubPLOs]],"&lt;5")</f>
        <v>0</v>
      </c>
      <c r="ES37" s="138">
        <f>SUMIFS(tbl_task10[S144],tbl_task10[[SubPLOs]:[SubPLOs]],"&gt;=4",tbl_task10[[SubPLOs]:[SubPLOs]],"&lt;5")</f>
        <v>0</v>
      </c>
      <c r="ET37" s="138">
        <f>SUMIFS(tbl_task10[S145],tbl_task10[[SubPLOs]:[SubPLOs]],"&gt;=4",tbl_task10[[SubPLOs]:[SubPLOs]],"&lt;5")</f>
        <v>0</v>
      </c>
      <c r="EU37" s="138">
        <f>SUMIFS(tbl_task10[S146],tbl_task10[[SubPLOs]:[SubPLOs]],"&gt;=4",tbl_task10[[SubPLOs]:[SubPLOs]],"&lt;5")</f>
        <v>0</v>
      </c>
      <c r="EV37" s="138">
        <f>SUMIFS(tbl_task10[S147],tbl_task10[[SubPLOs]:[SubPLOs]],"&gt;=4",tbl_task10[[SubPLOs]:[SubPLOs]],"&lt;5")</f>
        <v>0</v>
      </c>
      <c r="EW37" s="138">
        <f>SUMIFS(tbl_task10[S148],tbl_task10[[SubPLOs]:[SubPLOs]],"&gt;=4",tbl_task10[[SubPLOs]:[SubPLOs]],"&lt;5")</f>
        <v>0</v>
      </c>
      <c r="EX37" s="138">
        <f>SUMIFS(tbl_task10[S149],tbl_task10[[SubPLOs]:[SubPLOs]],"&gt;=4",tbl_task10[[SubPLOs]:[SubPLOs]],"&lt;5")</f>
        <v>0</v>
      </c>
      <c r="EY37" s="138">
        <f>SUMIFS(tbl_task10[S150],tbl_task10[[SubPLOs]:[SubPLOs]],"&gt;=4",tbl_task10[[SubPLOs]:[SubPLOs]],"&lt;5")</f>
        <v>0</v>
      </c>
      <c r="EZ37" s="138">
        <f>SUMIFS(tbl_task10[S151],tbl_task10[[SubPLOs]:[SubPLOs]],"&gt;=4",tbl_task10[[SubPLOs]:[SubPLOs]],"&lt;5")</f>
        <v>0</v>
      </c>
      <c r="FA37" s="138">
        <f>SUMIFS(tbl_task10[S152],tbl_task10[[SubPLOs]:[SubPLOs]],"&gt;=4",tbl_task10[[SubPLOs]:[SubPLOs]],"&lt;5")</f>
        <v>0</v>
      </c>
      <c r="FB37" s="138">
        <f>SUMIFS(tbl_task10[S153],tbl_task10[[SubPLOs]:[SubPLOs]],"&gt;=4",tbl_task10[[SubPLOs]:[SubPLOs]],"&lt;5")</f>
        <v>0</v>
      </c>
      <c r="FC37" s="138">
        <f>SUMIFS(tbl_task10[S154],tbl_task10[[SubPLOs]:[SubPLOs]],"&gt;=4",tbl_task10[[SubPLOs]:[SubPLOs]],"&lt;5")</f>
        <v>0</v>
      </c>
      <c r="FD37" s="138">
        <f>SUMIFS(tbl_task10[S155],tbl_task10[[SubPLOs]:[SubPLOs]],"&gt;=4",tbl_task10[[SubPLOs]:[SubPLOs]],"&lt;5")</f>
        <v>0</v>
      </c>
      <c r="FE37" s="138">
        <f>SUMIFS(tbl_task10[S156],tbl_task10[[SubPLOs]:[SubPLOs]],"&gt;=4",tbl_task10[[SubPLOs]:[SubPLOs]],"&lt;5")</f>
        <v>0</v>
      </c>
      <c r="FF37" s="138">
        <f>SUMIFS(tbl_task10[S157],tbl_task10[[SubPLOs]:[SubPLOs]],"&gt;=4",tbl_task10[[SubPLOs]:[SubPLOs]],"&lt;5")</f>
        <v>0</v>
      </c>
      <c r="FG37" s="138">
        <f>SUMIFS(tbl_task10[S158],tbl_task10[[SubPLOs]:[SubPLOs]],"&gt;=4",tbl_task10[[SubPLOs]:[SubPLOs]],"&lt;5")</f>
        <v>0</v>
      </c>
      <c r="FH37" s="138">
        <f>SUMIFS(tbl_task10[S159],tbl_task10[[SubPLOs]:[SubPLOs]],"&gt;=4",tbl_task10[[SubPLOs]:[SubPLOs]],"&lt;5")</f>
        <v>0</v>
      </c>
      <c r="FI37" s="138">
        <f>SUMIFS(tbl_task10[S160],tbl_task10[[SubPLOs]:[SubPLOs]],"&gt;=4",tbl_task10[[SubPLOs]:[SubPLOs]],"&lt;5")</f>
        <v>0</v>
      </c>
      <c r="FJ37" s="138">
        <f>SUMIFS(tbl_task10[S161],tbl_task10[[SubPLOs]:[SubPLOs]],"&gt;=4",tbl_task10[[SubPLOs]:[SubPLOs]],"&lt;5")</f>
        <v>0</v>
      </c>
      <c r="FK37" s="138">
        <f>SUMIFS(tbl_task10[S162],tbl_task10[[SubPLOs]:[SubPLOs]],"&gt;=4",tbl_task10[[SubPLOs]:[SubPLOs]],"&lt;5")</f>
        <v>0</v>
      </c>
      <c r="FL37" s="138">
        <f>SUMIFS(tbl_task10[S163],tbl_task10[[SubPLOs]:[SubPLOs]],"&gt;=4",tbl_task10[[SubPLOs]:[SubPLOs]],"&lt;5")</f>
        <v>0</v>
      </c>
      <c r="FM37" s="138">
        <f>SUMIFS(tbl_task10[S164],tbl_task10[[SubPLOs]:[SubPLOs]],"&gt;=4",tbl_task10[[SubPLOs]:[SubPLOs]],"&lt;5")</f>
        <v>0</v>
      </c>
      <c r="FN37" s="138">
        <f>SUMIFS(tbl_task10[S165],tbl_task10[[SubPLOs]:[SubPLOs]],"&gt;=4",tbl_task10[[SubPLOs]:[SubPLOs]],"&lt;5")</f>
        <v>0</v>
      </c>
    </row>
    <row r="38" spans="1:335" ht="84" x14ac:dyDescent="0.25">
      <c r="A38" s="135">
        <v>5</v>
      </c>
      <c r="B38" s="5" t="s">
        <v>438</v>
      </c>
      <c r="C38" s="136">
        <f>COUNTIFS(tbl_task10[SubPLOs],"&gt;=5",tbl_task10[SubPLOs],"&lt;6")</f>
        <v>0</v>
      </c>
      <c r="D38" s="136">
        <f>SUMIFS(tbl_task10[คะแนนเต็ม],tbl_task10[SubPLOs],"&gt;=5",tbl_task10[SubPLOs],"&lt;6")</f>
        <v>0</v>
      </c>
      <c r="E38" s="137">
        <f>SUMIFS(tbl_task10[%],tbl_task10[SubPLOs],"&gt;=5",tbl_task10[SubPLOs],"&lt;6")</f>
        <v>0</v>
      </c>
      <c r="F38" s="138">
        <f>SUMIFS(tbl_task10[S1],tbl_task10[[SubPLOs]:[SubPLOs]],"&gt;=5",tbl_task10[[SubPLOs]:[SubPLOs]],"&lt;6")</f>
        <v>0</v>
      </c>
      <c r="G38" s="138">
        <f>SUMIFS(tbl_task10[S2],tbl_task10[[SubPLOs]:[SubPLOs]],"&gt;=5",tbl_task10[[SubPLOs]:[SubPLOs]],"&lt;6")</f>
        <v>0</v>
      </c>
      <c r="H38" s="138">
        <f>SUMIFS(tbl_task10[S3],tbl_task10[[SubPLOs]:[SubPLOs]],"&gt;=5",tbl_task10[[SubPLOs]:[SubPLOs]],"&lt;6")</f>
        <v>0</v>
      </c>
      <c r="I38" s="138">
        <f>SUMIFS(tbl_task10[S4],tbl_task10[[SubPLOs]:[SubPLOs]],"&gt;=5",tbl_task10[[SubPLOs]:[SubPLOs]],"&lt;6")</f>
        <v>0</v>
      </c>
      <c r="J38" s="138">
        <f>SUMIFS(tbl_task10[S5],tbl_task10[[SubPLOs]:[SubPLOs]],"&gt;=5",tbl_task10[[SubPLOs]:[SubPLOs]],"&lt;6")</f>
        <v>0</v>
      </c>
      <c r="K38" s="138">
        <f>SUMIFS(tbl_task10[S6],tbl_task10[[SubPLOs]:[SubPLOs]],"&gt;=5",tbl_task10[[SubPLOs]:[SubPLOs]],"&lt;6")</f>
        <v>0</v>
      </c>
      <c r="L38" s="138">
        <f>SUMIFS(tbl_task10[S7],tbl_task10[[SubPLOs]:[SubPLOs]],"&gt;=5",tbl_task10[[SubPLOs]:[SubPLOs]],"&lt;6")</f>
        <v>0</v>
      </c>
      <c r="M38" s="138">
        <f>SUMIFS(tbl_task10[S8],tbl_task10[[SubPLOs]:[SubPLOs]],"&gt;=5",tbl_task10[[SubPLOs]:[SubPLOs]],"&lt;6")</f>
        <v>0</v>
      </c>
      <c r="N38" s="138">
        <f>SUMIFS(tbl_task10[S9],tbl_task10[[SubPLOs]:[SubPLOs]],"&gt;=5",tbl_task10[[SubPLOs]:[SubPLOs]],"&lt;6")</f>
        <v>0</v>
      </c>
      <c r="O38" s="138">
        <f>SUMIFS(tbl_task10[S10],tbl_task10[[SubPLOs]:[SubPLOs]],"&gt;=5",tbl_task10[[SubPLOs]:[SubPLOs]],"&lt;6")</f>
        <v>0</v>
      </c>
      <c r="P38" s="138">
        <f>SUMIFS(tbl_task10[S11],tbl_task10[[SubPLOs]:[SubPLOs]],"&gt;=5",tbl_task10[[SubPLOs]:[SubPLOs]],"&lt;6")</f>
        <v>0</v>
      </c>
      <c r="Q38" s="138">
        <f>SUMIFS(tbl_task10[S12],tbl_task10[[SubPLOs]:[SubPLOs]],"&gt;=5",tbl_task10[[SubPLOs]:[SubPLOs]],"&lt;6")</f>
        <v>0</v>
      </c>
      <c r="R38" s="138">
        <f>SUMIFS(tbl_task10[S13],tbl_task10[[SubPLOs]:[SubPLOs]],"&gt;=5",tbl_task10[[SubPLOs]:[SubPLOs]],"&lt;6")</f>
        <v>0</v>
      </c>
      <c r="S38" s="138">
        <f>SUMIFS(tbl_task10[S14],tbl_task10[[SubPLOs]:[SubPLOs]],"&gt;=5",tbl_task10[[SubPLOs]:[SubPLOs]],"&lt;6")</f>
        <v>0</v>
      </c>
      <c r="T38" s="138">
        <f>SUMIFS(tbl_task10[S15],tbl_task10[[SubPLOs]:[SubPLOs]],"&gt;=5",tbl_task10[[SubPLOs]:[SubPLOs]],"&lt;6")</f>
        <v>0</v>
      </c>
      <c r="U38" s="138">
        <f>SUMIFS(tbl_task10[S16],tbl_task10[[SubPLOs]:[SubPLOs]],"&gt;=5",tbl_task10[[SubPLOs]:[SubPLOs]],"&lt;6")</f>
        <v>0</v>
      </c>
      <c r="V38" s="138">
        <f>SUMIFS(tbl_task10[S17],tbl_task10[[SubPLOs]:[SubPLOs]],"&gt;=5",tbl_task10[[SubPLOs]:[SubPLOs]],"&lt;6")</f>
        <v>0</v>
      </c>
      <c r="W38" s="138">
        <f>SUMIFS(tbl_task10[S18],tbl_task10[[SubPLOs]:[SubPLOs]],"&gt;=5",tbl_task10[[SubPLOs]:[SubPLOs]],"&lt;6")</f>
        <v>0</v>
      </c>
      <c r="X38" s="138">
        <f>SUMIFS(tbl_task10[S19],tbl_task10[[SubPLOs]:[SubPLOs]],"&gt;=5",tbl_task10[[SubPLOs]:[SubPLOs]],"&lt;6")</f>
        <v>0</v>
      </c>
      <c r="Y38" s="138">
        <f>SUMIFS(tbl_task10[S20],tbl_task10[[SubPLOs]:[SubPLOs]],"&gt;=5",tbl_task10[[SubPLOs]:[SubPLOs]],"&lt;6")</f>
        <v>0</v>
      </c>
      <c r="Z38" s="138">
        <f>SUMIFS(tbl_task10[S21],tbl_task10[[SubPLOs]:[SubPLOs]],"&gt;=5",tbl_task10[[SubPLOs]:[SubPLOs]],"&lt;6")</f>
        <v>0</v>
      </c>
      <c r="AA38" s="138">
        <f>SUMIFS(tbl_task10[S22],tbl_task10[[SubPLOs]:[SubPLOs]],"&gt;=5",tbl_task10[[SubPLOs]:[SubPLOs]],"&lt;6")</f>
        <v>0</v>
      </c>
      <c r="AB38" s="138">
        <f>SUMIFS(tbl_task10[S23],tbl_task10[[SubPLOs]:[SubPLOs]],"&gt;=5",tbl_task10[[SubPLOs]:[SubPLOs]],"&lt;6")</f>
        <v>0</v>
      </c>
      <c r="AC38" s="138">
        <f>SUMIFS(tbl_task10[S24],tbl_task10[[SubPLOs]:[SubPLOs]],"&gt;=5",tbl_task10[[SubPLOs]:[SubPLOs]],"&lt;6")</f>
        <v>0</v>
      </c>
      <c r="AD38" s="138">
        <f>SUMIFS(tbl_task10[S25],tbl_task10[[SubPLOs]:[SubPLOs]],"&gt;=5",tbl_task10[[SubPLOs]:[SubPLOs]],"&lt;6")</f>
        <v>0</v>
      </c>
      <c r="AE38" s="138">
        <f>SUMIFS(tbl_task10[S26],tbl_task10[[SubPLOs]:[SubPLOs]],"&gt;=5",tbl_task10[[SubPLOs]:[SubPLOs]],"&lt;6")</f>
        <v>0</v>
      </c>
      <c r="AF38" s="138">
        <f>SUMIFS(tbl_task10[S27],tbl_task10[[SubPLOs]:[SubPLOs]],"&gt;=5",tbl_task10[[SubPLOs]:[SubPLOs]],"&lt;6")</f>
        <v>0</v>
      </c>
      <c r="AG38" s="138">
        <f>SUMIFS(tbl_task10[S28],tbl_task10[[SubPLOs]:[SubPLOs]],"&gt;=5",tbl_task10[[SubPLOs]:[SubPLOs]],"&lt;6")</f>
        <v>0</v>
      </c>
      <c r="AH38" s="138">
        <f>SUMIFS(tbl_task10[S29],tbl_task10[[SubPLOs]:[SubPLOs]],"&gt;=5",tbl_task10[[SubPLOs]:[SubPLOs]],"&lt;6")</f>
        <v>0</v>
      </c>
      <c r="AI38" s="138">
        <f>SUMIFS(tbl_task10[S30],tbl_task10[[SubPLOs]:[SubPLOs]],"&gt;=5",tbl_task10[[SubPLOs]:[SubPLOs]],"&lt;6")</f>
        <v>0</v>
      </c>
      <c r="AJ38" s="138">
        <f>SUMIFS(tbl_task10[S31],tbl_task10[[SubPLOs]:[SubPLOs]],"&gt;=5",tbl_task10[[SubPLOs]:[SubPLOs]],"&lt;6")</f>
        <v>0</v>
      </c>
      <c r="AK38" s="138">
        <f>SUMIFS(tbl_task10[S32],tbl_task10[[SubPLOs]:[SubPLOs]],"&gt;=5",tbl_task10[[SubPLOs]:[SubPLOs]],"&lt;6")</f>
        <v>0</v>
      </c>
      <c r="AL38" s="138">
        <f>SUMIFS(tbl_task10[S33],tbl_task10[[SubPLOs]:[SubPLOs]],"&gt;=5",tbl_task10[[SubPLOs]:[SubPLOs]],"&lt;6")</f>
        <v>0</v>
      </c>
      <c r="AM38" s="138">
        <f>SUMIFS(tbl_task10[S34],tbl_task10[[SubPLOs]:[SubPLOs]],"&gt;=5",tbl_task10[[SubPLOs]:[SubPLOs]],"&lt;6")</f>
        <v>0</v>
      </c>
      <c r="AN38" s="138">
        <f>SUMIFS(tbl_task10[S35],tbl_task10[[SubPLOs]:[SubPLOs]],"&gt;=5",tbl_task10[[SubPLOs]:[SubPLOs]],"&lt;6")</f>
        <v>0</v>
      </c>
      <c r="AO38" s="138">
        <f>SUMIFS(tbl_task10[S36],tbl_task10[[SubPLOs]:[SubPLOs]],"&gt;=5",tbl_task10[[SubPLOs]:[SubPLOs]],"&lt;6")</f>
        <v>0</v>
      </c>
      <c r="AP38" s="138">
        <f>SUMIFS(tbl_task10[S37],tbl_task10[[SubPLOs]:[SubPLOs]],"&gt;=5",tbl_task10[[SubPLOs]:[SubPLOs]],"&lt;6")</f>
        <v>0</v>
      </c>
      <c r="AQ38" s="138">
        <f>SUMIFS(tbl_task10[S38],tbl_task10[[SubPLOs]:[SubPLOs]],"&gt;=5",tbl_task10[[SubPLOs]:[SubPLOs]],"&lt;6")</f>
        <v>0</v>
      </c>
      <c r="AR38" s="138">
        <f>SUMIFS(tbl_task10[S39],tbl_task10[[SubPLOs]:[SubPLOs]],"&gt;=5",tbl_task10[[SubPLOs]:[SubPLOs]],"&lt;6")</f>
        <v>0</v>
      </c>
      <c r="AS38" s="138">
        <f>SUMIFS(tbl_task10[S40],tbl_task10[[SubPLOs]:[SubPLOs]],"&gt;=5",tbl_task10[[SubPLOs]:[SubPLOs]],"&lt;6")</f>
        <v>0</v>
      </c>
      <c r="AT38" s="138">
        <f>SUMIFS(tbl_task10[S41],tbl_task10[[SubPLOs]:[SubPLOs]],"&gt;=5",tbl_task10[[SubPLOs]:[SubPLOs]],"&lt;6")</f>
        <v>0</v>
      </c>
      <c r="AU38" s="138">
        <f>SUMIFS(tbl_task10[S42],tbl_task10[[SubPLOs]:[SubPLOs]],"&gt;=5",tbl_task10[[SubPLOs]:[SubPLOs]],"&lt;6")</f>
        <v>0</v>
      </c>
      <c r="AV38" s="138">
        <f>SUMIFS(tbl_task10[S43],tbl_task10[[SubPLOs]:[SubPLOs]],"&gt;=5",tbl_task10[[SubPLOs]:[SubPLOs]],"&lt;6")</f>
        <v>0</v>
      </c>
      <c r="AW38" s="138">
        <f>SUMIFS(tbl_task10[S44],tbl_task10[[SubPLOs]:[SubPLOs]],"&gt;=5",tbl_task10[[SubPLOs]:[SubPLOs]],"&lt;6")</f>
        <v>0</v>
      </c>
      <c r="AX38" s="138">
        <f>SUMIFS(tbl_task10[S45],tbl_task10[[SubPLOs]:[SubPLOs]],"&gt;=5",tbl_task10[[SubPLOs]:[SubPLOs]],"&lt;6")</f>
        <v>0</v>
      </c>
      <c r="AY38" s="138">
        <f>SUMIFS(tbl_task10[S46],tbl_task10[[SubPLOs]:[SubPLOs]],"&gt;=5",tbl_task10[[SubPLOs]:[SubPLOs]],"&lt;6")</f>
        <v>0</v>
      </c>
      <c r="AZ38" s="138">
        <f>SUMIFS(tbl_task10[S47],tbl_task10[[SubPLOs]:[SubPLOs]],"&gt;=5",tbl_task10[[SubPLOs]:[SubPLOs]],"&lt;6")</f>
        <v>0</v>
      </c>
      <c r="BA38" s="138">
        <f>SUMIFS(tbl_task10[S48],tbl_task10[[SubPLOs]:[SubPLOs]],"&gt;=5",tbl_task10[[SubPLOs]:[SubPLOs]],"&lt;6")</f>
        <v>0</v>
      </c>
      <c r="BB38" s="138">
        <f>SUMIFS(tbl_task10[S49],tbl_task10[[SubPLOs]:[SubPLOs]],"&gt;=5",tbl_task10[[SubPLOs]:[SubPLOs]],"&lt;6")</f>
        <v>0</v>
      </c>
      <c r="BC38" s="138">
        <f>SUMIFS(tbl_task10[S50],tbl_task10[[SubPLOs]:[SubPLOs]],"&gt;=5",tbl_task10[[SubPLOs]:[SubPLOs]],"&lt;6")</f>
        <v>0</v>
      </c>
      <c r="BD38" s="138">
        <f>SUMIFS(tbl_task10[S51],tbl_task10[[SubPLOs]:[SubPLOs]],"&gt;=5",tbl_task10[[SubPLOs]:[SubPLOs]],"&lt;6")</f>
        <v>0</v>
      </c>
      <c r="BE38" s="138">
        <f>SUMIFS(tbl_task10[S52],tbl_task10[[SubPLOs]:[SubPLOs]],"&gt;=5",tbl_task10[[SubPLOs]:[SubPLOs]],"&lt;6")</f>
        <v>0</v>
      </c>
      <c r="BF38" s="138">
        <f>SUMIFS(tbl_task10[S53],tbl_task10[[SubPLOs]:[SubPLOs]],"&gt;=5",tbl_task10[[SubPLOs]:[SubPLOs]],"&lt;6")</f>
        <v>0</v>
      </c>
      <c r="BG38" s="138">
        <f>SUMIFS(tbl_task10[S54],tbl_task10[[SubPLOs]:[SubPLOs]],"&gt;=5",tbl_task10[[SubPLOs]:[SubPLOs]],"&lt;6")</f>
        <v>0</v>
      </c>
      <c r="BH38" s="138">
        <f>SUMIFS(tbl_task10[S55],tbl_task10[[SubPLOs]:[SubPLOs]],"&gt;=5",tbl_task10[[SubPLOs]:[SubPLOs]],"&lt;6")</f>
        <v>0</v>
      </c>
      <c r="BI38" s="138">
        <f>SUMIFS(tbl_task10[S56],tbl_task10[[SubPLOs]:[SubPLOs]],"&gt;=5",tbl_task10[[SubPLOs]:[SubPLOs]],"&lt;6")</f>
        <v>0</v>
      </c>
      <c r="BJ38" s="138">
        <f>SUMIFS(tbl_task10[S57],tbl_task10[[SubPLOs]:[SubPLOs]],"&gt;=5",tbl_task10[[SubPLOs]:[SubPLOs]],"&lt;6")</f>
        <v>0</v>
      </c>
      <c r="BK38" s="138">
        <f>SUMIFS(tbl_task10[S58],tbl_task10[[SubPLOs]:[SubPLOs]],"&gt;=5",tbl_task10[[SubPLOs]:[SubPLOs]],"&lt;6")</f>
        <v>0</v>
      </c>
      <c r="BL38" s="138">
        <f>SUMIFS(tbl_task10[S59],tbl_task10[[SubPLOs]:[SubPLOs]],"&gt;=5",tbl_task10[[SubPLOs]:[SubPLOs]],"&lt;6")</f>
        <v>0</v>
      </c>
      <c r="BM38" s="138">
        <f>SUMIFS(tbl_task10[S60],tbl_task10[[SubPLOs]:[SubPLOs]],"&gt;=5",tbl_task10[[SubPLOs]:[SubPLOs]],"&lt;6")</f>
        <v>0</v>
      </c>
      <c r="BN38" s="138">
        <f>SUMIFS(tbl_task10[S61],tbl_task10[[SubPLOs]:[SubPLOs]],"&gt;=5",tbl_task10[[SubPLOs]:[SubPLOs]],"&lt;6")</f>
        <v>0</v>
      </c>
      <c r="BO38" s="138">
        <f>SUMIFS(tbl_task10[S62],tbl_task10[[SubPLOs]:[SubPLOs]],"&gt;=5",tbl_task10[[SubPLOs]:[SubPLOs]],"&lt;6")</f>
        <v>0</v>
      </c>
      <c r="BP38" s="138">
        <f>SUMIFS(tbl_task10[S63],tbl_task10[[SubPLOs]:[SubPLOs]],"&gt;=5",tbl_task10[[SubPLOs]:[SubPLOs]],"&lt;6")</f>
        <v>0</v>
      </c>
      <c r="BQ38" s="138">
        <f>SUMIFS(tbl_task10[S64],tbl_task10[[SubPLOs]:[SubPLOs]],"&gt;=5",tbl_task10[[SubPLOs]:[SubPLOs]],"&lt;6")</f>
        <v>0</v>
      </c>
      <c r="BR38" s="138">
        <f>SUMIFS(tbl_task10[S65],tbl_task10[[SubPLOs]:[SubPLOs]],"&gt;=5",tbl_task10[[SubPLOs]:[SubPLOs]],"&lt;6")</f>
        <v>0</v>
      </c>
      <c r="BS38" s="138">
        <f>SUMIFS(tbl_task10[S66],tbl_task10[[SubPLOs]:[SubPLOs]],"&gt;=5",tbl_task10[[SubPLOs]:[SubPLOs]],"&lt;6")</f>
        <v>0</v>
      </c>
      <c r="BT38" s="138">
        <f>SUMIFS(tbl_task10[S67],tbl_task10[[SubPLOs]:[SubPLOs]],"&gt;=5",tbl_task10[[SubPLOs]:[SubPLOs]],"&lt;6")</f>
        <v>0</v>
      </c>
      <c r="BU38" s="138">
        <f>SUMIFS(tbl_task10[S68],tbl_task10[[SubPLOs]:[SubPLOs]],"&gt;=5",tbl_task10[[SubPLOs]:[SubPLOs]],"&lt;6")</f>
        <v>0</v>
      </c>
      <c r="BV38" s="138">
        <f>SUMIFS(tbl_task10[S69],tbl_task10[[SubPLOs]:[SubPLOs]],"&gt;=5",tbl_task10[[SubPLOs]:[SubPLOs]],"&lt;6")</f>
        <v>0</v>
      </c>
      <c r="BW38" s="138">
        <f>SUMIFS(tbl_task10[S70],tbl_task10[[SubPLOs]:[SubPLOs]],"&gt;=5",tbl_task10[[SubPLOs]:[SubPLOs]],"&lt;6")</f>
        <v>0</v>
      </c>
      <c r="BX38" s="138">
        <f>SUMIFS(tbl_task10[S71],tbl_task10[[SubPLOs]:[SubPLOs]],"&gt;=5",tbl_task10[[SubPLOs]:[SubPLOs]],"&lt;6")</f>
        <v>0</v>
      </c>
      <c r="BY38" s="138">
        <f>SUMIFS(tbl_task10[S72],tbl_task10[[SubPLOs]:[SubPLOs]],"&gt;=5",tbl_task10[[SubPLOs]:[SubPLOs]],"&lt;6")</f>
        <v>0</v>
      </c>
      <c r="BZ38" s="138">
        <f>SUMIFS(tbl_task10[S73],tbl_task10[[SubPLOs]:[SubPLOs]],"&gt;=5",tbl_task10[[SubPLOs]:[SubPLOs]],"&lt;6")</f>
        <v>0</v>
      </c>
      <c r="CA38" s="138">
        <f>SUMIFS(tbl_task10[S74],tbl_task10[[SubPLOs]:[SubPLOs]],"&gt;=5",tbl_task10[[SubPLOs]:[SubPLOs]],"&lt;6")</f>
        <v>0</v>
      </c>
      <c r="CB38" s="138">
        <f>SUMIFS(tbl_task10[S75],tbl_task10[[SubPLOs]:[SubPLOs]],"&gt;=5",tbl_task10[[SubPLOs]:[SubPLOs]],"&lt;6")</f>
        <v>0</v>
      </c>
      <c r="CC38" s="138">
        <f>SUMIFS(tbl_task10[S76],tbl_task10[[SubPLOs]:[SubPLOs]],"&gt;=5",tbl_task10[[SubPLOs]:[SubPLOs]],"&lt;6")</f>
        <v>0</v>
      </c>
      <c r="CD38" s="138">
        <f>SUMIFS(tbl_task10[S77],tbl_task10[[SubPLOs]:[SubPLOs]],"&gt;=5",tbl_task10[[SubPLOs]:[SubPLOs]],"&lt;6")</f>
        <v>0</v>
      </c>
      <c r="CE38" s="138">
        <f>SUMIFS(tbl_task10[S78],tbl_task10[[SubPLOs]:[SubPLOs]],"&gt;=5",tbl_task10[[SubPLOs]:[SubPLOs]],"&lt;6")</f>
        <v>0</v>
      </c>
      <c r="CF38" s="138">
        <f>SUMIFS(tbl_task10[S79],tbl_task10[[SubPLOs]:[SubPLOs]],"&gt;=5",tbl_task10[[SubPLOs]:[SubPLOs]],"&lt;6")</f>
        <v>0</v>
      </c>
      <c r="CG38" s="138">
        <f>SUMIFS(tbl_task10[S80],tbl_task10[[SubPLOs]:[SubPLOs]],"&gt;=5",tbl_task10[[SubPLOs]:[SubPLOs]],"&lt;6")</f>
        <v>0</v>
      </c>
      <c r="CH38" s="138">
        <f>SUMIFS(tbl_task10[S81],tbl_task10[[SubPLOs]:[SubPLOs]],"&gt;=5",tbl_task10[[SubPLOs]:[SubPLOs]],"&lt;6")</f>
        <v>0</v>
      </c>
      <c r="CI38" s="138">
        <f>SUMIFS(tbl_task10[S82],tbl_task10[[SubPLOs]:[SubPLOs]],"&gt;=5",tbl_task10[[SubPLOs]:[SubPLOs]],"&lt;6")</f>
        <v>0</v>
      </c>
      <c r="CJ38" s="138">
        <f>SUMIFS(tbl_task10[S83],tbl_task10[[SubPLOs]:[SubPLOs]],"&gt;=5",tbl_task10[[SubPLOs]:[SubPLOs]],"&lt;6")</f>
        <v>0</v>
      </c>
      <c r="CK38" s="138">
        <f>SUMIFS(tbl_task10[S84],tbl_task10[[SubPLOs]:[SubPLOs]],"&gt;=5",tbl_task10[[SubPLOs]:[SubPLOs]],"&lt;6")</f>
        <v>0</v>
      </c>
      <c r="CL38" s="138">
        <f>SUMIFS(tbl_task10[S85],tbl_task10[[SubPLOs]:[SubPLOs]],"&gt;=5",tbl_task10[[SubPLOs]:[SubPLOs]],"&lt;6")</f>
        <v>0</v>
      </c>
      <c r="CM38" s="138">
        <f>SUMIFS(tbl_task10[S86],tbl_task10[[SubPLOs]:[SubPLOs]],"&gt;=5",tbl_task10[[SubPLOs]:[SubPLOs]],"&lt;6")</f>
        <v>0</v>
      </c>
      <c r="CN38" s="138">
        <f>SUMIFS(tbl_task10[S87],tbl_task10[[SubPLOs]:[SubPLOs]],"&gt;=5",tbl_task10[[SubPLOs]:[SubPLOs]],"&lt;6")</f>
        <v>0</v>
      </c>
      <c r="CO38" s="138">
        <f>SUMIFS(tbl_task10[S88],tbl_task10[[SubPLOs]:[SubPLOs]],"&gt;=5",tbl_task10[[SubPLOs]:[SubPLOs]],"&lt;6")</f>
        <v>0</v>
      </c>
      <c r="CP38" s="138">
        <f>SUMIFS(tbl_task10[S89],tbl_task10[[SubPLOs]:[SubPLOs]],"&gt;=5",tbl_task10[[SubPLOs]:[SubPLOs]],"&lt;6")</f>
        <v>0</v>
      </c>
      <c r="CQ38" s="138">
        <f>SUMIFS(tbl_task10[S90],tbl_task10[[SubPLOs]:[SubPLOs]],"&gt;=5",tbl_task10[[SubPLOs]:[SubPLOs]],"&lt;6")</f>
        <v>0</v>
      </c>
      <c r="CR38" s="138">
        <f>SUMIFS(tbl_task10[S91],tbl_task10[[SubPLOs]:[SubPLOs]],"&gt;=5",tbl_task10[[SubPLOs]:[SubPLOs]],"&lt;6")</f>
        <v>0</v>
      </c>
      <c r="CS38" s="138">
        <f>SUMIFS(tbl_task10[S92],tbl_task10[[SubPLOs]:[SubPLOs]],"&gt;=5",tbl_task10[[SubPLOs]:[SubPLOs]],"&lt;6")</f>
        <v>0</v>
      </c>
      <c r="CT38" s="138">
        <f>SUMIFS(tbl_task10[S93],tbl_task10[[SubPLOs]:[SubPLOs]],"&gt;=5",tbl_task10[[SubPLOs]:[SubPLOs]],"&lt;6")</f>
        <v>0</v>
      </c>
      <c r="CU38" s="138">
        <f>SUMIFS(tbl_task10[S94],tbl_task10[[SubPLOs]:[SubPLOs]],"&gt;=5",tbl_task10[[SubPLOs]:[SubPLOs]],"&lt;6")</f>
        <v>0</v>
      </c>
      <c r="CV38" s="138">
        <f>SUMIFS(tbl_task10[S95],tbl_task10[[SubPLOs]:[SubPLOs]],"&gt;=5",tbl_task10[[SubPLOs]:[SubPLOs]],"&lt;6")</f>
        <v>0</v>
      </c>
      <c r="CW38" s="138">
        <f>SUMIFS(tbl_task10[S96],tbl_task10[[SubPLOs]:[SubPLOs]],"&gt;=5",tbl_task10[[SubPLOs]:[SubPLOs]],"&lt;6")</f>
        <v>0</v>
      </c>
      <c r="CX38" s="138">
        <f>SUMIFS(tbl_task10[S97],tbl_task10[[SubPLOs]:[SubPLOs]],"&gt;=5",tbl_task10[[SubPLOs]:[SubPLOs]],"&lt;6")</f>
        <v>0</v>
      </c>
      <c r="CY38" s="138">
        <f>SUMIFS(tbl_task10[S98],tbl_task10[[SubPLOs]:[SubPLOs]],"&gt;=5",tbl_task10[[SubPLOs]:[SubPLOs]],"&lt;6")</f>
        <v>0</v>
      </c>
      <c r="CZ38" s="138">
        <f>SUMIFS(tbl_task10[S99],tbl_task10[[SubPLOs]:[SubPLOs]],"&gt;=5",tbl_task10[[SubPLOs]:[SubPLOs]],"&lt;6")</f>
        <v>0</v>
      </c>
      <c r="DA38" s="138">
        <f>SUMIFS(tbl_task10[S100],tbl_task10[[SubPLOs]:[SubPLOs]],"&gt;=5",tbl_task10[[SubPLOs]:[SubPLOs]],"&lt;6")</f>
        <v>0</v>
      </c>
      <c r="DB38" s="138">
        <f>SUMIFS(tbl_task10[S101],tbl_task10[[SubPLOs]:[SubPLOs]],"&gt;=5",tbl_task10[[SubPLOs]:[SubPLOs]],"&lt;6")</f>
        <v>0</v>
      </c>
      <c r="DC38" s="138">
        <f>SUMIFS(tbl_task10[S102],tbl_task10[[SubPLOs]:[SubPLOs]],"&gt;=5",tbl_task10[[SubPLOs]:[SubPLOs]],"&lt;6")</f>
        <v>0</v>
      </c>
      <c r="DD38" s="138">
        <f>SUMIFS(tbl_task10[S103],tbl_task10[[SubPLOs]:[SubPLOs]],"&gt;=5",tbl_task10[[SubPLOs]:[SubPLOs]],"&lt;6")</f>
        <v>0</v>
      </c>
      <c r="DE38" s="138">
        <f>SUMIFS(tbl_task10[S104],tbl_task10[[SubPLOs]:[SubPLOs]],"&gt;=5",tbl_task10[[SubPLOs]:[SubPLOs]],"&lt;6")</f>
        <v>0</v>
      </c>
      <c r="DF38" s="138">
        <f>SUMIFS(tbl_task10[S105],tbl_task10[[SubPLOs]:[SubPLOs]],"&gt;=5",tbl_task10[[SubPLOs]:[SubPLOs]],"&lt;6")</f>
        <v>0</v>
      </c>
      <c r="DG38" s="138">
        <f>SUMIFS(tbl_task10[S106],tbl_task10[[SubPLOs]:[SubPLOs]],"&gt;=5",tbl_task10[[SubPLOs]:[SubPLOs]],"&lt;6")</f>
        <v>0</v>
      </c>
      <c r="DH38" s="138">
        <f>SUMIFS(tbl_task10[S106],tbl_task10[[SubPLOs]:[SubPLOs]],"&gt;=5",tbl_task10[[SubPLOs]:[SubPLOs]],"&lt;6")</f>
        <v>0</v>
      </c>
      <c r="DI38" s="138">
        <f>SUMIFS(tbl_task10[S108],tbl_task10[[SubPLOs]:[SubPLOs]],"&gt;=5",tbl_task10[[SubPLOs]:[SubPLOs]],"&lt;6")</f>
        <v>0</v>
      </c>
      <c r="DJ38" s="138">
        <f>SUMIFS(tbl_task10[S109],tbl_task10[[SubPLOs]:[SubPLOs]],"&gt;=5",tbl_task10[[SubPLOs]:[SubPLOs]],"&lt;6")</f>
        <v>0</v>
      </c>
      <c r="DK38" s="138">
        <f>SUMIFS(tbl_task10[S110],tbl_task10[[SubPLOs]:[SubPLOs]],"&gt;=5",tbl_task10[[SubPLOs]:[SubPLOs]],"&lt;6")</f>
        <v>0</v>
      </c>
      <c r="DL38" s="138">
        <f>SUMIFS(tbl_task10[S111],tbl_task10[[SubPLOs]:[SubPLOs]],"&gt;=5",tbl_task10[[SubPLOs]:[SubPLOs]],"&lt;6")</f>
        <v>0</v>
      </c>
      <c r="DM38" s="138">
        <f>SUMIFS(tbl_task10[S112],tbl_task10[[SubPLOs]:[SubPLOs]],"&gt;=5",tbl_task10[[SubPLOs]:[SubPLOs]],"&lt;6")</f>
        <v>0</v>
      </c>
      <c r="DN38" s="138">
        <f>SUMIFS(tbl_task10[S113],tbl_task10[[SubPLOs]:[SubPLOs]],"&gt;=5",tbl_task10[[SubPLOs]:[SubPLOs]],"&lt;6")</f>
        <v>0</v>
      </c>
      <c r="DO38" s="138">
        <f>SUMIFS(tbl_task10[S114],tbl_task10[[SubPLOs]:[SubPLOs]],"&gt;=5",tbl_task10[[SubPLOs]:[SubPLOs]],"&lt;6")</f>
        <v>0</v>
      </c>
      <c r="DP38" s="138">
        <f>SUMIFS(tbl_task10[S115],tbl_task10[[SubPLOs]:[SubPLOs]],"&gt;=5",tbl_task10[[SubPLOs]:[SubPLOs]],"&lt;6")</f>
        <v>0</v>
      </c>
      <c r="DQ38" s="138">
        <f>SUMIFS(tbl_task10[S116],tbl_task10[[SubPLOs]:[SubPLOs]],"&gt;=5",tbl_task10[[SubPLOs]:[SubPLOs]],"&lt;6")</f>
        <v>0</v>
      </c>
      <c r="DR38" s="138">
        <f>SUMIFS(tbl_task10[S117],tbl_task10[[SubPLOs]:[SubPLOs]],"&gt;=5",tbl_task10[[SubPLOs]:[SubPLOs]],"&lt;6")</f>
        <v>0</v>
      </c>
      <c r="DS38" s="138">
        <f>SUMIFS(tbl_task10[S118],tbl_task10[[SubPLOs]:[SubPLOs]],"&gt;=5",tbl_task10[[SubPLOs]:[SubPLOs]],"&lt;6")</f>
        <v>0</v>
      </c>
      <c r="DT38" s="138">
        <f>SUMIFS(tbl_task10[S119],tbl_task10[[SubPLOs]:[SubPLOs]],"&gt;=5",tbl_task10[[SubPLOs]:[SubPLOs]],"&lt;6")</f>
        <v>0</v>
      </c>
      <c r="DU38" s="138">
        <f>SUMIFS(tbl_task10[S120],tbl_task10[[SubPLOs]:[SubPLOs]],"&gt;=5",tbl_task10[[SubPLOs]:[SubPLOs]],"&lt;6")</f>
        <v>0</v>
      </c>
      <c r="DV38" s="138">
        <f>SUMIFS(tbl_task10[S121],tbl_task10[[SubPLOs]:[SubPLOs]],"&gt;=5",tbl_task10[[SubPLOs]:[SubPLOs]],"&lt;6")</f>
        <v>0</v>
      </c>
      <c r="DW38" s="138">
        <f>SUMIFS(tbl_task10[S122],tbl_task10[[SubPLOs]:[SubPLOs]],"&gt;=5",tbl_task10[[SubPLOs]:[SubPLOs]],"&lt;6")</f>
        <v>0</v>
      </c>
      <c r="DX38" s="138">
        <f>SUMIFS(tbl_task10[S123],tbl_task10[[SubPLOs]:[SubPLOs]],"&gt;=5",tbl_task10[[SubPLOs]:[SubPLOs]],"&lt;6")</f>
        <v>0</v>
      </c>
      <c r="DY38" s="138">
        <f>SUMIFS(tbl_task10[S124],tbl_task10[[SubPLOs]:[SubPLOs]],"&gt;=5",tbl_task10[[SubPLOs]:[SubPLOs]],"&lt;6")</f>
        <v>0</v>
      </c>
      <c r="DZ38" s="138">
        <f>SUMIFS(tbl_task10[S125],tbl_task10[[SubPLOs]:[SubPLOs]],"&gt;=5",tbl_task10[[SubPLOs]:[SubPLOs]],"&lt;6")</f>
        <v>0</v>
      </c>
      <c r="EA38" s="138">
        <f>SUMIFS(tbl_task10[S126],tbl_task10[[SubPLOs]:[SubPLOs]],"&gt;=5",tbl_task10[[SubPLOs]:[SubPLOs]],"&lt;6")</f>
        <v>0</v>
      </c>
      <c r="EB38" s="138">
        <f>SUMIFS(tbl_task10[S127],tbl_task10[[SubPLOs]:[SubPLOs]],"&gt;=5",tbl_task10[[SubPLOs]:[SubPLOs]],"&lt;6")</f>
        <v>0</v>
      </c>
      <c r="EC38" s="138">
        <f>SUMIFS(tbl_task10[S128],tbl_task10[[SubPLOs]:[SubPLOs]],"&gt;=5",tbl_task10[[SubPLOs]:[SubPLOs]],"&lt;6")</f>
        <v>0</v>
      </c>
      <c r="ED38" s="138">
        <f>SUMIFS(tbl_task10[S129],tbl_task10[[SubPLOs]:[SubPLOs]],"&gt;=5",tbl_task10[[SubPLOs]:[SubPLOs]],"&lt;6")</f>
        <v>0</v>
      </c>
      <c r="EE38" s="138">
        <f>SUMIFS(tbl_task10[S130],tbl_task10[[SubPLOs]:[SubPLOs]],"&gt;=5",tbl_task10[[SubPLOs]:[SubPLOs]],"&lt;6")</f>
        <v>0</v>
      </c>
      <c r="EF38" s="138">
        <f>SUMIFS(tbl_task10[S131],tbl_task10[[SubPLOs]:[SubPLOs]],"&gt;=5",tbl_task10[[SubPLOs]:[SubPLOs]],"&lt;6")</f>
        <v>0</v>
      </c>
      <c r="EG38" s="138">
        <f>SUMIFS(tbl_task10[S132],tbl_task10[[SubPLOs]:[SubPLOs]],"&gt;=5",tbl_task10[[SubPLOs]:[SubPLOs]],"&lt;6")</f>
        <v>0</v>
      </c>
      <c r="EH38" s="138">
        <f>SUMIFS(tbl_task10[S133],tbl_task10[[SubPLOs]:[SubPLOs]],"&gt;=5",tbl_task10[[SubPLOs]:[SubPLOs]],"&lt;6")</f>
        <v>0</v>
      </c>
      <c r="EI38" s="138">
        <f>SUMIFS(tbl_task10[S134],tbl_task10[[SubPLOs]:[SubPLOs]],"&gt;=5",tbl_task10[[SubPLOs]:[SubPLOs]],"&lt;6")</f>
        <v>0</v>
      </c>
      <c r="EJ38" s="138">
        <f>SUMIFS(tbl_task10[S135],tbl_task10[[SubPLOs]:[SubPLOs]],"&gt;=5",tbl_task10[[SubPLOs]:[SubPLOs]],"&lt;6")</f>
        <v>0</v>
      </c>
      <c r="EK38" s="138">
        <f>SUMIFS(tbl_task10[S136],tbl_task10[[SubPLOs]:[SubPLOs]],"&gt;=5",tbl_task10[[SubPLOs]:[SubPLOs]],"&lt;6")</f>
        <v>0</v>
      </c>
      <c r="EL38" s="138">
        <f>SUMIFS(tbl_task10[S137],tbl_task10[[SubPLOs]:[SubPLOs]],"&gt;=5",tbl_task10[[SubPLOs]:[SubPLOs]],"&lt;6")</f>
        <v>0</v>
      </c>
      <c r="EM38" s="138">
        <f>SUMIFS(tbl_task10[S138],tbl_task10[[SubPLOs]:[SubPLOs]],"&gt;=5",tbl_task10[[SubPLOs]:[SubPLOs]],"&lt;6")</f>
        <v>0</v>
      </c>
      <c r="EN38" s="138">
        <f>SUMIFS(tbl_task10[S139],tbl_task10[[SubPLOs]:[SubPLOs]],"&gt;=5",tbl_task10[[SubPLOs]:[SubPLOs]],"&lt;6")</f>
        <v>0</v>
      </c>
      <c r="EO38" s="138">
        <f>SUMIFS(tbl_task10[S140],tbl_task10[[SubPLOs]:[SubPLOs]],"&gt;=5",tbl_task10[[SubPLOs]:[SubPLOs]],"&lt;6")</f>
        <v>0</v>
      </c>
      <c r="EP38" s="138">
        <f>SUMIFS(tbl_task10[S141],tbl_task10[[SubPLOs]:[SubPLOs]],"&gt;=5",tbl_task10[[SubPLOs]:[SubPLOs]],"&lt;6")</f>
        <v>0</v>
      </c>
      <c r="EQ38" s="138">
        <f>SUMIFS(tbl_task10[S142],tbl_task10[[SubPLOs]:[SubPLOs]],"&gt;=5",tbl_task10[[SubPLOs]:[SubPLOs]],"&lt;6")</f>
        <v>0</v>
      </c>
      <c r="ER38" s="138">
        <f>SUMIFS(tbl_task10[S143],tbl_task10[[SubPLOs]:[SubPLOs]],"&gt;=5",tbl_task10[[SubPLOs]:[SubPLOs]],"&lt;6")</f>
        <v>0</v>
      </c>
      <c r="ES38" s="138">
        <f>SUMIFS(tbl_task10[S144],tbl_task10[[SubPLOs]:[SubPLOs]],"&gt;=5",tbl_task10[[SubPLOs]:[SubPLOs]],"&lt;6")</f>
        <v>0</v>
      </c>
      <c r="ET38" s="138">
        <f>SUMIFS(tbl_task10[S145],tbl_task10[[SubPLOs]:[SubPLOs]],"&gt;=5",tbl_task10[[SubPLOs]:[SubPLOs]],"&lt;6")</f>
        <v>0</v>
      </c>
      <c r="EU38" s="138">
        <f>SUMIFS(tbl_task10[S146],tbl_task10[[SubPLOs]:[SubPLOs]],"&gt;=5",tbl_task10[[SubPLOs]:[SubPLOs]],"&lt;6")</f>
        <v>0</v>
      </c>
      <c r="EV38" s="138">
        <f>SUMIFS(tbl_task10[S147],tbl_task10[[SubPLOs]:[SubPLOs]],"&gt;=5",tbl_task10[[SubPLOs]:[SubPLOs]],"&lt;6")</f>
        <v>0</v>
      </c>
      <c r="EW38" s="138">
        <f>SUMIFS(tbl_task10[S148],tbl_task10[[SubPLOs]:[SubPLOs]],"&gt;=5",tbl_task10[[SubPLOs]:[SubPLOs]],"&lt;6")</f>
        <v>0</v>
      </c>
      <c r="EX38" s="138">
        <f>SUMIFS(tbl_task10[S149],tbl_task10[[SubPLOs]:[SubPLOs]],"&gt;=5",tbl_task10[[SubPLOs]:[SubPLOs]],"&lt;6")</f>
        <v>0</v>
      </c>
      <c r="EY38" s="138">
        <f>SUMIFS(tbl_task10[S150],tbl_task10[[SubPLOs]:[SubPLOs]],"&gt;=5",tbl_task10[[SubPLOs]:[SubPLOs]],"&lt;6")</f>
        <v>0</v>
      </c>
      <c r="EZ38" s="138">
        <f>SUMIFS(tbl_task10[S151],tbl_task10[[SubPLOs]:[SubPLOs]],"&gt;=5",tbl_task10[[SubPLOs]:[SubPLOs]],"&lt;6")</f>
        <v>0</v>
      </c>
      <c r="FA38" s="138">
        <f>SUMIFS(tbl_task10[S152],tbl_task10[[SubPLOs]:[SubPLOs]],"&gt;=5",tbl_task10[[SubPLOs]:[SubPLOs]],"&lt;6")</f>
        <v>0</v>
      </c>
      <c r="FB38" s="138">
        <f>SUMIFS(tbl_task10[S153],tbl_task10[[SubPLOs]:[SubPLOs]],"&gt;=5",tbl_task10[[SubPLOs]:[SubPLOs]],"&lt;6")</f>
        <v>0</v>
      </c>
      <c r="FC38" s="138">
        <f>SUMIFS(tbl_task10[S154],tbl_task10[[SubPLOs]:[SubPLOs]],"&gt;=5",tbl_task10[[SubPLOs]:[SubPLOs]],"&lt;6")</f>
        <v>0</v>
      </c>
      <c r="FD38" s="138">
        <f>SUMIFS(tbl_task10[S155],tbl_task10[[SubPLOs]:[SubPLOs]],"&gt;=5",tbl_task10[[SubPLOs]:[SubPLOs]],"&lt;6")</f>
        <v>0</v>
      </c>
      <c r="FE38" s="138">
        <f>SUMIFS(tbl_task10[S156],tbl_task10[[SubPLOs]:[SubPLOs]],"&gt;=5",tbl_task10[[SubPLOs]:[SubPLOs]],"&lt;6")</f>
        <v>0</v>
      </c>
      <c r="FF38" s="138">
        <f>SUMIFS(tbl_task10[S157],tbl_task10[[SubPLOs]:[SubPLOs]],"&gt;=5",tbl_task10[[SubPLOs]:[SubPLOs]],"&lt;6")</f>
        <v>0</v>
      </c>
      <c r="FG38" s="138">
        <f>SUMIFS(tbl_task10[S158],tbl_task10[[SubPLOs]:[SubPLOs]],"&gt;=5",tbl_task10[[SubPLOs]:[SubPLOs]],"&lt;6")</f>
        <v>0</v>
      </c>
      <c r="FH38" s="138">
        <f>SUMIFS(tbl_task10[S159],tbl_task10[[SubPLOs]:[SubPLOs]],"&gt;=5",tbl_task10[[SubPLOs]:[SubPLOs]],"&lt;6")</f>
        <v>0</v>
      </c>
      <c r="FI38" s="138">
        <f>SUMIFS(tbl_task10[S160],tbl_task10[[SubPLOs]:[SubPLOs]],"&gt;=5",tbl_task10[[SubPLOs]:[SubPLOs]],"&lt;6")</f>
        <v>0</v>
      </c>
      <c r="FJ38" s="138">
        <f>SUMIFS(tbl_task10[S161],tbl_task10[[SubPLOs]:[SubPLOs]],"&gt;=5",tbl_task10[[SubPLOs]:[SubPLOs]],"&lt;6")</f>
        <v>0</v>
      </c>
      <c r="FK38" s="138">
        <f>SUMIFS(tbl_task10[S162],tbl_task10[[SubPLOs]:[SubPLOs]],"&gt;=5",tbl_task10[[SubPLOs]:[SubPLOs]],"&lt;6")</f>
        <v>0</v>
      </c>
      <c r="FL38" s="138">
        <f>SUMIFS(tbl_task10[S163],tbl_task10[[SubPLOs]:[SubPLOs]],"&gt;=5",tbl_task10[[SubPLOs]:[SubPLOs]],"&lt;6")</f>
        <v>0</v>
      </c>
      <c r="FM38" s="138">
        <f>SUMIFS(tbl_task10[S164],tbl_task10[[SubPLOs]:[SubPLOs]],"&gt;=5",tbl_task10[[SubPLOs]:[SubPLOs]],"&lt;6")</f>
        <v>0</v>
      </c>
      <c r="FN38" s="138">
        <f>SUMIFS(tbl_task10[S165],tbl_task10[[SubPLOs]:[SubPLOs]],"&gt;=5",tbl_task10[[SubPLOs]:[SubPLOs]],"&lt;6")</f>
        <v>0</v>
      </c>
    </row>
    <row r="39" spans="1:335" ht="42" x14ac:dyDescent="0.25">
      <c r="A39" s="135">
        <v>6</v>
      </c>
      <c r="B39" s="5" t="s">
        <v>439</v>
      </c>
      <c r="C39" s="136">
        <f>COUNTIFS(tbl_task10[SubPLOs],"&gt;=6",tbl_task10[SubPLOs],"&lt;7")</f>
        <v>0</v>
      </c>
      <c r="D39" s="136">
        <f>SUMIFS(tbl_task10[คะแนนเต็ม],tbl_task10[SubPLOs],"&gt;=6",tbl_task10[SubPLOs],"&lt;7")</f>
        <v>0</v>
      </c>
      <c r="E39" s="137">
        <f>SUMIFS(tbl_task10[%],tbl_task10[SubPLOs],"&gt;=6",tbl_task10[SubPLOs],"&lt;7")</f>
        <v>0</v>
      </c>
      <c r="F39" s="138">
        <f>SUMIFS(tbl_task10[S1],tbl_task10[[SubPLOs]:[SubPLOs]],"&gt;=6",tbl_task10[[SubPLOs]:[SubPLOs]],"&lt;7")</f>
        <v>0</v>
      </c>
      <c r="G39" s="138">
        <f>SUMIFS(tbl_task10[S2],tbl_task10[[SubPLOs]:[SubPLOs]],"&gt;=6",tbl_task10[[SubPLOs]:[SubPLOs]],"&lt;7")</f>
        <v>0</v>
      </c>
      <c r="H39" s="138">
        <f>SUMIFS(tbl_task10[S3],tbl_task10[[SubPLOs]:[SubPLOs]],"&gt;=6",tbl_task10[[SubPLOs]:[SubPLOs]],"&lt;7")</f>
        <v>0</v>
      </c>
      <c r="I39" s="138">
        <f>SUMIFS(tbl_task10[S4],tbl_task10[[SubPLOs]:[SubPLOs]],"&gt;=6",tbl_task10[[SubPLOs]:[SubPLOs]],"&lt;7")</f>
        <v>0</v>
      </c>
      <c r="J39" s="138">
        <f>SUMIFS(tbl_task10[S5],tbl_task10[[SubPLOs]:[SubPLOs]],"&gt;=6",tbl_task10[[SubPLOs]:[SubPLOs]],"&lt;7")</f>
        <v>0</v>
      </c>
      <c r="K39" s="138">
        <f>SUMIFS(tbl_task10[S6],tbl_task10[[SubPLOs]:[SubPLOs]],"&gt;=6",tbl_task10[[SubPLOs]:[SubPLOs]],"&lt;7")</f>
        <v>0</v>
      </c>
      <c r="L39" s="138">
        <f>SUMIFS(tbl_task10[S7],tbl_task10[[SubPLOs]:[SubPLOs]],"&gt;=6",tbl_task10[[SubPLOs]:[SubPLOs]],"&lt;7")</f>
        <v>0</v>
      </c>
      <c r="M39" s="138">
        <f>SUMIFS(tbl_task10[S8],tbl_task10[[SubPLOs]:[SubPLOs]],"&gt;=6",tbl_task10[[SubPLOs]:[SubPLOs]],"&lt;7")</f>
        <v>0</v>
      </c>
      <c r="N39" s="138">
        <f>SUMIFS(tbl_task10[S9],tbl_task10[[SubPLOs]:[SubPLOs]],"&gt;=6",tbl_task10[[SubPLOs]:[SubPLOs]],"&lt;7")</f>
        <v>0</v>
      </c>
      <c r="O39" s="138">
        <f>SUMIFS(tbl_task10[S10],tbl_task10[[SubPLOs]:[SubPLOs]],"&gt;=6",tbl_task10[[SubPLOs]:[SubPLOs]],"&lt;7")</f>
        <v>0</v>
      </c>
      <c r="P39" s="138">
        <f>SUMIFS(tbl_task10[S11],tbl_task10[[SubPLOs]:[SubPLOs]],"&gt;=6",tbl_task10[[SubPLOs]:[SubPLOs]],"&lt;7")</f>
        <v>0</v>
      </c>
      <c r="Q39" s="138">
        <f>SUMIFS(tbl_task10[S12],tbl_task10[[SubPLOs]:[SubPLOs]],"&gt;=6",tbl_task10[[SubPLOs]:[SubPLOs]],"&lt;7")</f>
        <v>0</v>
      </c>
      <c r="R39" s="138">
        <f>SUMIFS(tbl_task10[S13],tbl_task10[[SubPLOs]:[SubPLOs]],"&gt;=6",tbl_task10[[SubPLOs]:[SubPLOs]],"&lt;7")</f>
        <v>0</v>
      </c>
      <c r="S39" s="138">
        <f>SUMIFS(tbl_task10[S14],tbl_task10[[SubPLOs]:[SubPLOs]],"&gt;=6",tbl_task10[[SubPLOs]:[SubPLOs]],"&lt;7")</f>
        <v>0</v>
      </c>
      <c r="T39" s="138">
        <f>SUMIFS(tbl_task10[S15],tbl_task10[[SubPLOs]:[SubPLOs]],"&gt;=6",tbl_task10[[SubPLOs]:[SubPLOs]],"&lt;7")</f>
        <v>0</v>
      </c>
      <c r="U39" s="138">
        <f>SUMIFS(tbl_task10[S16],tbl_task10[[SubPLOs]:[SubPLOs]],"&gt;=6",tbl_task10[[SubPLOs]:[SubPLOs]],"&lt;7")</f>
        <v>0</v>
      </c>
      <c r="V39" s="138">
        <f>SUMIFS(tbl_task10[S17],tbl_task10[[SubPLOs]:[SubPLOs]],"&gt;=6",tbl_task10[[SubPLOs]:[SubPLOs]],"&lt;7")</f>
        <v>0</v>
      </c>
      <c r="W39" s="138">
        <f>SUMIFS(tbl_task10[S18],tbl_task10[[SubPLOs]:[SubPLOs]],"&gt;=6",tbl_task10[[SubPLOs]:[SubPLOs]],"&lt;7")</f>
        <v>0</v>
      </c>
      <c r="X39" s="138">
        <f>SUMIFS(tbl_task10[S19],tbl_task10[[SubPLOs]:[SubPLOs]],"&gt;=6",tbl_task10[[SubPLOs]:[SubPLOs]],"&lt;7")</f>
        <v>0</v>
      </c>
      <c r="Y39" s="138">
        <f>SUMIFS(tbl_task10[S20],tbl_task10[[SubPLOs]:[SubPLOs]],"&gt;=6",tbl_task10[[SubPLOs]:[SubPLOs]],"&lt;7")</f>
        <v>0</v>
      </c>
      <c r="Z39" s="138">
        <f>SUMIFS(tbl_task10[S21],tbl_task10[[SubPLOs]:[SubPLOs]],"&gt;=6",tbl_task10[[SubPLOs]:[SubPLOs]],"&lt;7")</f>
        <v>0</v>
      </c>
      <c r="AA39" s="138">
        <f>SUMIFS(tbl_task10[S22],tbl_task10[[SubPLOs]:[SubPLOs]],"&gt;=6",tbl_task10[[SubPLOs]:[SubPLOs]],"&lt;7")</f>
        <v>0</v>
      </c>
      <c r="AB39" s="138">
        <f>SUMIFS(tbl_task10[S23],tbl_task10[[SubPLOs]:[SubPLOs]],"&gt;=6",tbl_task10[[SubPLOs]:[SubPLOs]],"&lt;7")</f>
        <v>0</v>
      </c>
      <c r="AC39" s="138">
        <f>SUMIFS(tbl_task10[S24],tbl_task10[[SubPLOs]:[SubPLOs]],"&gt;=6",tbl_task10[[SubPLOs]:[SubPLOs]],"&lt;7")</f>
        <v>0</v>
      </c>
      <c r="AD39" s="138">
        <f>SUMIFS(tbl_task10[S25],tbl_task10[[SubPLOs]:[SubPLOs]],"&gt;=6",tbl_task10[[SubPLOs]:[SubPLOs]],"&lt;7")</f>
        <v>0</v>
      </c>
      <c r="AE39" s="138">
        <f>SUMIFS(tbl_task10[S26],tbl_task10[[SubPLOs]:[SubPLOs]],"&gt;=6",tbl_task10[[SubPLOs]:[SubPLOs]],"&lt;7")</f>
        <v>0</v>
      </c>
      <c r="AF39" s="138">
        <f>SUMIFS(tbl_task10[S27],tbl_task10[[SubPLOs]:[SubPLOs]],"&gt;=6",tbl_task10[[SubPLOs]:[SubPLOs]],"&lt;7")</f>
        <v>0</v>
      </c>
      <c r="AG39" s="138">
        <f>SUMIFS(tbl_task10[S28],tbl_task10[[SubPLOs]:[SubPLOs]],"&gt;=6",tbl_task10[[SubPLOs]:[SubPLOs]],"&lt;7")</f>
        <v>0</v>
      </c>
      <c r="AH39" s="138">
        <f>SUMIFS(tbl_task10[S29],tbl_task10[[SubPLOs]:[SubPLOs]],"&gt;=6",tbl_task10[[SubPLOs]:[SubPLOs]],"&lt;7")</f>
        <v>0</v>
      </c>
      <c r="AI39" s="138">
        <f>SUMIFS(tbl_task10[S30],tbl_task10[[SubPLOs]:[SubPLOs]],"&gt;=6",tbl_task10[[SubPLOs]:[SubPLOs]],"&lt;7")</f>
        <v>0</v>
      </c>
      <c r="AJ39" s="138">
        <f>SUMIFS(tbl_task10[S31],tbl_task10[[SubPLOs]:[SubPLOs]],"&gt;=6",tbl_task10[[SubPLOs]:[SubPLOs]],"&lt;7")</f>
        <v>0</v>
      </c>
      <c r="AK39" s="138">
        <f>SUMIFS(tbl_task10[S32],tbl_task10[[SubPLOs]:[SubPLOs]],"&gt;=6",tbl_task10[[SubPLOs]:[SubPLOs]],"&lt;7")</f>
        <v>0</v>
      </c>
      <c r="AL39" s="138">
        <f>SUMIFS(tbl_task10[S33],tbl_task10[[SubPLOs]:[SubPLOs]],"&gt;=6",tbl_task10[[SubPLOs]:[SubPLOs]],"&lt;7")</f>
        <v>0</v>
      </c>
      <c r="AM39" s="138">
        <f>SUMIFS(tbl_task10[S34],tbl_task10[[SubPLOs]:[SubPLOs]],"&gt;=6",tbl_task10[[SubPLOs]:[SubPLOs]],"&lt;7")</f>
        <v>0</v>
      </c>
      <c r="AN39" s="138">
        <f>SUMIFS(tbl_task10[S35],tbl_task10[[SubPLOs]:[SubPLOs]],"&gt;=6",tbl_task10[[SubPLOs]:[SubPLOs]],"&lt;7")</f>
        <v>0</v>
      </c>
      <c r="AO39" s="138">
        <f>SUMIFS(tbl_task10[S36],tbl_task10[[SubPLOs]:[SubPLOs]],"&gt;=6",tbl_task10[[SubPLOs]:[SubPLOs]],"&lt;7")</f>
        <v>0</v>
      </c>
      <c r="AP39" s="138">
        <f>SUMIFS(tbl_task10[S37],tbl_task10[[SubPLOs]:[SubPLOs]],"&gt;=6",tbl_task10[[SubPLOs]:[SubPLOs]],"&lt;7")</f>
        <v>0</v>
      </c>
      <c r="AQ39" s="138">
        <f>SUMIFS(tbl_task10[S38],tbl_task10[[SubPLOs]:[SubPLOs]],"&gt;=6",tbl_task10[[SubPLOs]:[SubPLOs]],"&lt;7")</f>
        <v>0</v>
      </c>
      <c r="AR39" s="138">
        <f>SUMIFS(tbl_task10[S39],tbl_task10[[SubPLOs]:[SubPLOs]],"&gt;=6",tbl_task10[[SubPLOs]:[SubPLOs]],"&lt;7")</f>
        <v>0</v>
      </c>
      <c r="AS39" s="138">
        <f>SUMIFS(tbl_task10[S40],tbl_task10[[SubPLOs]:[SubPLOs]],"&gt;=6",tbl_task10[[SubPLOs]:[SubPLOs]],"&lt;7")</f>
        <v>0</v>
      </c>
      <c r="AT39" s="138">
        <f>SUMIFS(tbl_task10[S41],tbl_task10[[SubPLOs]:[SubPLOs]],"&gt;=6",tbl_task10[[SubPLOs]:[SubPLOs]],"&lt;7")</f>
        <v>0</v>
      </c>
      <c r="AU39" s="138">
        <f>SUMIFS(tbl_task10[S42],tbl_task10[[SubPLOs]:[SubPLOs]],"&gt;=6",tbl_task10[[SubPLOs]:[SubPLOs]],"&lt;7")</f>
        <v>0</v>
      </c>
      <c r="AV39" s="138">
        <f>SUMIFS(tbl_task10[S43],tbl_task10[[SubPLOs]:[SubPLOs]],"&gt;=6",tbl_task10[[SubPLOs]:[SubPLOs]],"&lt;7")</f>
        <v>0</v>
      </c>
      <c r="AW39" s="138">
        <f>SUMIFS(tbl_task10[S44],tbl_task10[[SubPLOs]:[SubPLOs]],"&gt;=6",tbl_task10[[SubPLOs]:[SubPLOs]],"&lt;7")</f>
        <v>0</v>
      </c>
      <c r="AX39" s="138">
        <f>SUMIFS(tbl_task10[S45],tbl_task10[[SubPLOs]:[SubPLOs]],"&gt;=6",tbl_task10[[SubPLOs]:[SubPLOs]],"&lt;7")</f>
        <v>0</v>
      </c>
      <c r="AY39" s="138">
        <f>SUMIFS(tbl_task10[S46],tbl_task10[[SubPLOs]:[SubPLOs]],"&gt;=6",tbl_task10[[SubPLOs]:[SubPLOs]],"&lt;7")</f>
        <v>0</v>
      </c>
      <c r="AZ39" s="138">
        <f>SUMIFS(tbl_task10[S47],tbl_task10[[SubPLOs]:[SubPLOs]],"&gt;=6",tbl_task10[[SubPLOs]:[SubPLOs]],"&lt;7")</f>
        <v>0</v>
      </c>
      <c r="BA39" s="138">
        <f>SUMIFS(tbl_task10[S48],tbl_task10[[SubPLOs]:[SubPLOs]],"&gt;=6",tbl_task10[[SubPLOs]:[SubPLOs]],"&lt;7")</f>
        <v>0</v>
      </c>
      <c r="BB39" s="138">
        <f>SUMIFS(tbl_task10[S49],tbl_task10[[SubPLOs]:[SubPLOs]],"&gt;=6",tbl_task10[[SubPLOs]:[SubPLOs]],"&lt;7")</f>
        <v>0</v>
      </c>
      <c r="BC39" s="138">
        <f>SUMIFS(tbl_task10[S50],tbl_task10[[SubPLOs]:[SubPLOs]],"&gt;=6",tbl_task10[[SubPLOs]:[SubPLOs]],"&lt;7")</f>
        <v>0</v>
      </c>
      <c r="BD39" s="138">
        <f>SUMIFS(tbl_task10[S51],tbl_task10[[SubPLOs]:[SubPLOs]],"&gt;=6",tbl_task10[[SubPLOs]:[SubPLOs]],"&lt;7")</f>
        <v>0</v>
      </c>
      <c r="BE39" s="138">
        <f>SUMIFS(tbl_task10[S52],tbl_task10[[SubPLOs]:[SubPLOs]],"&gt;=6",tbl_task10[[SubPLOs]:[SubPLOs]],"&lt;7")</f>
        <v>0</v>
      </c>
      <c r="BF39" s="138">
        <f>SUMIFS(tbl_task10[S53],tbl_task10[[SubPLOs]:[SubPLOs]],"&gt;=6",tbl_task10[[SubPLOs]:[SubPLOs]],"&lt;7")</f>
        <v>0</v>
      </c>
      <c r="BG39" s="138">
        <f>SUMIFS(tbl_task10[S54],tbl_task10[[SubPLOs]:[SubPLOs]],"&gt;=6",tbl_task10[[SubPLOs]:[SubPLOs]],"&lt;7")</f>
        <v>0</v>
      </c>
      <c r="BH39" s="138">
        <f>SUMIFS(tbl_task10[S55],tbl_task10[[SubPLOs]:[SubPLOs]],"&gt;=6",tbl_task10[[SubPLOs]:[SubPLOs]],"&lt;7")</f>
        <v>0</v>
      </c>
      <c r="BI39" s="138">
        <f>SUMIFS(tbl_task10[S56],tbl_task10[[SubPLOs]:[SubPLOs]],"&gt;=6",tbl_task10[[SubPLOs]:[SubPLOs]],"&lt;7")</f>
        <v>0</v>
      </c>
      <c r="BJ39" s="138">
        <f>SUMIFS(tbl_task10[S57],tbl_task10[[SubPLOs]:[SubPLOs]],"&gt;=6",tbl_task10[[SubPLOs]:[SubPLOs]],"&lt;7")</f>
        <v>0</v>
      </c>
      <c r="BK39" s="138">
        <f>SUMIFS(tbl_task10[S58],tbl_task10[[SubPLOs]:[SubPLOs]],"&gt;=6",tbl_task10[[SubPLOs]:[SubPLOs]],"&lt;7")</f>
        <v>0</v>
      </c>
      <c r="BL39" s="138">
        <f>SUMIFS(tbl_task10[S59],tbl_task10[[SubPLOs]:[SubPLOs]],"&gt;=6",tbl_task10[[SubPLOs]:[SubPLOs]],"&lt;7")</f>
        <v>0</v>
      </c>
      <c r="BM39" s="138">
        <f>SUMIFS(tbl_task10[S60],tbl_task10[[SubPLOs]:[SubPLOs]],"&gt;=6",tbl_task10[[SubPLOs]:[SubPLOs]],"&lt;7")</f>
        <v>0</v>
      </c>
      <c r="BN39" s="138">
        <f>SUMIFS(tbl_task10[S61],tbl_task10[[SubPLOs]:[SubPLOs]],"&gt;=6",tbl_task10[[SubPLOs]:[SubPLOs]],"&lt;7")</f>
        <v>0</v>
      </c>
      <c r="BO39" s="138">
        <f>SUMIFS(tbl_task10[S62],tbl_task10[[SubPLOs]:[SubPLOs]],"&gt;=6",tbl_task10[[SubPLOs]:[SubPLOs]],"&lt;7")</f>
        <v>0</v>
      </c>
      <c r="BP39" s="138">
        <f>SUMIFS(tbl_task10[S63],tbl_task10[[SubPLOs]:[SubPLOs]],"&gt;=6",tbl_task10[[SubPLOs]:[SubPLOs]],"&lt;7")</f>
        <v>0</v>
      </c>
      <c r="BQ39" s="138">
        <f>SUMIFS(tbl_task10[S64],tbl_task10[[SubPLOs]:[SubPLOs]],"&gt;=6",tbl_task10[[SubPLOs]:[SubPLOs]],"&lt;7")</f>
        <v>0</v>
      </c>
      <c r="BR39" s="138">
        <f>SUMIFS(tbl_task10[S65],tbl_task10[[SubPLOs]:[SubPLOs]],"&gt;=6",tbl_task10[[SubPLOs]:[SubPLOs]],"&lt;7")</f>
        <v>0</v>
      </c>
      <c r="BS39" s="138">
        <f>SUMIFS(tbl_task10[S66],tbl_task10[[SubPLOs]:[SubPLOs]],"&gt;=6",tbl_task10[[SubPLOs]:[SubPLOs]],"&lt;7")</f>
        <v>0</v>
      </c>
      <c r="BT39" s="138">
        <f>SUMIFS(tbl_task10[S67],tbl_task10[[SubPLOs]:[SubPLOs]],"&gt;=6",tbl_task10[[SubPLOs]:[SubPLOs]],"&lt;7")</f>
        <v>0</v>
      </c>
      <c r="BU39" s="138">
        <f>SUMIFS(tbl_task10[S68],tbl_task10[[SubPLOs]:[SubPLOs]],"&gt;=6",tbl_task10[[SubPLOs]:[SubPLOs]],"&lt;7")</f>
        <v>0</v>
      </c>
      <c r="BV39" s="138">
        <f>SUMIFS(tbl_task10[S69],tbl_task10[[SubPLOs]:[SubPLOs]],"&gt;=6",tbl_task10[[SubPLOs]:[SubPLOs]],"&lt;7")</f>
        <v>0</v>
      </c>
      <c r="BW39" s="138">
        <f>SUMIFS(tbl_task10[S70],tbl_task10[[SubPLOs]:[SubPLOs]],"&gt;=6",tbl_task10[[SubPLOs]:[SubPLOs]],"&lt;7")</f>
        <v>0</v>
      </c>
      <c r="BX39" s="138">
        <f>SUMIFS(tbl_task10[S71],tbl_task10[[SubPLOs]:[SubPLOs]],"&gt;=6",tbl_task10[[SubPLOs]:[SubPLOs]],"&lt;7")</f>
        <v>0</v>
      </c>
      <c r="BY39" s="138">
        <f>SUMIFS(tbl_task10[S72],tbl_task10[[SubPLOs]:[SubPLOs]],"&gt;=6",tbl_task10[[SubPLOs]:[SubPLOs]],"&lt;7")</f>
        <v>0</v>
      </c>
      <c r="BZ39" s="138">
        <f>SUMIFS(tbl_task10[S73],tbl_task10[[SubPLOs]:[SubPLOs]],"&gt;=6",tbl_task10[[SubPLOs]:[SubPLOs]],"&lt;7")</f>
        <v>0</v>
      </c>
      <c r="CA39" s="138">
        <f>SUMIFS(tbl_task10[S74],tbl_task10[[SubPLOs]:[SubPLOs]],"&gt;=6",tbl_task10[[SubPLOs]:[SubPLOs]],"&lt;7")</f>
        <v>0</v>
      </c>
      <c r="CB39" s="138">
        <f>SUMIFS(tbl_task10[S75],tbl_task10[[SubPLOs]:[SubPLOs]],"&gt;=6",tbl_task10[[SubPLOs]:[SubPLOs]],"&lt;7")</f>
        <v>0</v>
      </c>
      <c r="CC39" s="138">
        <f>SUMIFS(tbl_task10[S76],tbl_task10[[SubPLOs]:[SubPLOs]],"&gt;=6",tbl_task10[[SubPLOs]:[SubPLOs]],"&lt;7")</f>
        <v>0</v>
      </c>
      <c r="CD39" s="138">
        <f>SUMIFS(tbl_task10[S77],tbl_task10[[SubPLOs]:[SubPLOs]],"&gt;=6",tbl_task10[[SubPLOs]:[SubPLOs]],"&lt;7")</f>
        <v>0</v>
      </c>
      <c r="CE39" s="138">
        <f>SUMIFS(tbl_task10[S78],tbl_task10[[SubPLOs]:[SubPLOs]],"&gt;=6",tbl_task10[[SubPLOs]:[SubPLOs]],"&lt;7")</f>
        <v>0</v>
      </c>
      <c r="CF39" s="138">
        <f>SUMIFS(tbl_task10[S79],tbl_task10[[SubPLOs]:[SubPLOs]],"&gt;=6",tbl_task10[[SubPLOs]:[SubPLOs]],"&lt;7")</f>
        <v>0</v>
      </c>
      <c r="CG39" s="138">
        <f>SUMIFS(tbl_task10[S80],tbl_task10[[SubPLOs]:[SubPLOs]],"&gt;=6",tbl_task10[[SubPLOs]:[SubPLOs]],"&lt;7")</f>
        <v>0</v>
      </c>
      <c r="CH39" s="138">
        <f>SUMIFS(tbl_task10[S81],tbl_task10[[SubPLOs]:[SubPLOs]],"&gt;=6",tbl_task10[[SubPLOs]:[SubPLOs]],"&lt;7")</f>
        <v>0</v>
      </c>
      <c r="CI39" s="138">
        <f>SUMIFS(tbl_task10[S82],tbl_task10[[SubPLOs]:[SubPLOs]],"&gt;=6",tbl_task10[[SubPLOs]:[SubPLOs]],"&lt;7")</f>
        <v>0</v>
      </c>
      <c r="CJ39" s="138">
        <f>SUMIFS(tbl_task10[S83],tbl_task10[[SubPLOs]:[SubPLOs]],"&gt;=6",tbl_task10[[SubPLOs]:[SubPLOs]],"&lt;7")</f>
        <v>0</v>
      </c>
      <c r="CK39" s="138">
        <f>SUMIFS(tbl_task10[S84],tbl_task10[[SubPLOs]:[SubPLOs]],"&gt;=6",tbl_task10[[SubPLOs]:[SubPLOs]],"&lt;7")</f>
        <v>0</v>
      </c>
      <c r="CL39" s="138">
        <f>SUMIFS(tbl_task10[S85],tbl_task10[[SubPLOs]:[SubPLOs]],"&gt;=6",tbl_task10[[SubPLOs]:[SubPLOs]],"&lt;7")</f>
        <v>0</v>
      </c>
      <c r="CM39" s="138">
        <f>SUMIFS(tbl_task10[S86],tbl_task10[[SubPLOs]:[SubPLOs]],"&gt;=6",tbl_task10[[SubPLOs]:[SubPLOs]],"&lt;7")</f>
        <v>0</v>
      </c>
      <c r="CN39" s="138">
        <f>SUMIFS(tbl_task10[S87],tbl_task10[[SubPLOs]:[SubPLOs]],"&gt;=6",tbl_task10[[SubPLOs]:[SubPLOs]],"&lt;7")</f>
        <v>0</v>
      </c>
      <c r="CO39" s="138">
        <f>SUMIFS(tbl_task10[S88],tbl_task10[[SubPLOs]:[SubPLOs]],"&gt;=6",tbl_task10[[SubPLOs]:[SubPLOs]],"&lt;7")</f>
        <v>0</v>
      </c>
      <c r="CP39" s="138">
        <f>SUMIFS(tbl_task10[S89],tbl_task10[[SubPLOs]:[SubPLOs]],"&gt;=6",tbl_task10[[SubPLOs]:[SubPLOs]],"&lt;7")</f>
        <v>0</v>
      </c>
      <c r="CQ39" s="138">
        <f>SUMIFS(tbl_task10[S90],tbl_task10[[SubPLOs]:[SubPLOs]],"&gt;=6",tbl_task10[[SubPLOs]:[SubPLOs]],"&lt;7")</f>
        <v>0</v>
      </c>
      <c r="CR39" s="138">
        <f>SUMIFS(tbl_task10[S91],tbl_task10[[SubPLOs]:[SubPLOs]],"&gt;=6",tbl_task10[[SubPLOs]:[SubPLOs]],"&lt;7")</f>
        <v>0</v>
      </c>
      <c r="CS39" s="138">
        <f>SUMIFS(tbl_task10[S92],tbl_task10[[SubPLOs]:[SubPLOs]],"&gt;=6",tbl_task10[[SubPLOs]:[SubPLOs]],"&lt;7")</f>
        <v>0</v>
      </c>
      <c r="CT39" s="138">
        <f>SUMIFS(tbl_task10[S93],tbl_task10[[SubPLOs]:[SubPLOs]],"&gt;=6",tbl_task10[[SubPLOs]:[SubPLOs]],"&lt;7")</f>
        <v>0</v>
      </c>
      <c r="CU39" s="138">
        <f>SUMIFS(tbl_task10[S94],tbl_task10[[SubPLOs]:[SubPLOs]],"&gt;=6",tbl_task10[[SubPLOs]:[SubPLOs]],"&lt;7")</f>
        <v>0</v>
      </c>
      <c r="CV39" s="138">
        <f>SUMIFS(tbl_task10[S95],tbl_task10[[SubPLOs]:[SubPLOs]],"&gt;=6",tbl_task10[[SubPLOs]:[SubPLOs]],"&lt;7")</f>
        <v>0</v>
      </c>
      <c r="CW39" s="138">
        <f>SUMIFS(tbl_task10[S96],tbl_task10[[SubPLOs]:[SubPLOs]],"&gt;=6",tbl_task10[[SubPLOs]:[SubPLOs]],"&lt;7")</f>
        <v>0</v>
      </c>
      <c r="CX39" s="138">
        <f>SUMIFS(tbl_task10[S97],tbl_task10[[SubPLOs]:[SubPLOs]],"&gt;=6",tbl_task10[[SubPLOs]:[SubPLOs]],"&lt;7")</f>
        <v>0</v>
      </c>
      <c r="CY39" s="138">
        <f>SUMIFS(tbl_task10[S98],tbl_task10[[SubPLOs]:[SubPLOs]],"&gt;=6",tbl_task10[[SubPLOs]:[SubPLOs]],"&lt;7")</f>
        <v>0</v>
      </c>
      <c r="CZ39" s="138">
        <f>SUMIFS(tbl_task10[S99],tbl_task10[[SubPLOs]:[SubPLOs]],"&gt;=6",tbl_task10[[SubPLOs]:[SubPLOs]],"&lt;7")</f>
        <v>0</v>
      </c>
      <c r="DA39" s="138">
        <f>SUMIFS(tbl_task10[S100],tbl_task10[[SubPLOs]:[SubPLOs]],"&gt;=6",tbl_task10[[SubPLOs]:[SubPLOs]],"&lt;7")</f>
        <v>0</v>
      </c>
      <c r="DB39" s="138">
        <f>SUMIFS(tbl_task10[S101],tbl_task10[[SubPLOs]:[SubPLOs]],"&gt;=6",tbl_task10[[SubPLOs]:[SubPLOs]],"&lt;7")</f>
        <v>0</v>
      </c>
      <c r="DC39" s="138">
        <f>SUMIFS(tbl_task10[S102],tbl_task10[[SubPLOs]:[SubPLOs]],"&gt;=6",tbl_task10[[SubPLOs]:[SubPLOs]],"&lt;7")</f>
        <v>0</v>
      </c>
      <c r="DD39" s="138">
        <f>SUMIFS(tbl_task10[S103],tbl_task10[[SubPLOs]:[SubPLOs]],"&gt;=6",tbl_task10[[SubPLOs]:[SubPLOs]],"&lt;7")</f>
        <v>0</v>
      </c>
      <c r="DE39" s="138">
        <f>SUMIFS(tbl_task10[S104],tbl_task10[[SubPLOs]:[SubPLOs]],"&gt;=6",tbl_task10[[SubPLOs]:[SubPLOs]],"&lt;7")</f>
        <v>0</v>
      </c>
      <c r="DF39" s="138">
        <f>SUMIFS(tbl_task10[S105],tbl_task10[[SubPLOs]:[SubPLOs]],"&gt;=6",tbl_task10[[SubPLOs]:[SubPLOs]],"&lt;7")</f>
        <v>0</v>
      </c>
      <c r="DG39" s="138">
        <f>SUMIFS(tbl_task10[S106],tbl_task10[[SubPLOs]:[SubPLOs]],"&gt;=6",tbl_task10[[SubPLOs]:[SubPLOs]],"&lt;7")</f>
        <v>0</v>
      </c>
      <c r="DH39" s="138">
        <f>SUMIFS(tbl_task10[S106],tbl_task10[[SubPLOs]:[SubPLOs]],"&gt;=6",tbl_task10[[SubPLOs]:[SubPLOs]],"&lt;7")</f>
        <v>0</v>
      </c>
      <c r="DI39" s="138">
        <f>SUMIFS(tbl_task10[S108],tbl_task10[[SubPLOs]:[SubPLOs]],"&gt;=6",tbl_task10[[SubPLOs]:[SubPLOs]],"&lt;7")</f>
        <v>0</v>
      </c>
      <c r="DJ39" s="138">
        <f>SUMIFS(tbl_task10[S109],tbl_task10[[SubPLOs]:[SubPLOs]],"&gt;=6",tbl_task10[[SubPLOs]:[SubPLOs]],"&lt;7")</f>
        <v>0</v>
      </c>
      <c r="DK39" s="138">
        <f>SUMIFS(tbl_task10[S110],tbl_task10[[SubPLOs]:[SubPLOs]],"&gt;=6",tbl_task10[[SubPLOs]:[SubPLOs]],"&lt;7")</f>
        <v>0</v>
      </c>
      <c r="DL39" s="138">
        <f>SUMIFS(tbl_task10[S111],tbl_task10[[SubPLOs]:[SubPLOs]],"&gt;=6",tbl_task10[[SubPLOs]:[SubPLOs]],"&lt;7")</f>
        <v>0</v>
      </c>
      <c r="DM39" s="138">
        <f>SUMIFS(tbl_task10[S112],tbl_task10[[SubPLOs]:[SubPLOs]],"&gt;=6",tbl_task10[[SubPLOs]:[SubPLOs]],"&lt;7")</f>
        <v>0</v>
      </c>
      <c r="DN39" s="138">
        <f>SUMIFS(tbl_task10[S113],tbl_task10[[SubPLOs]:[SubPLOs]],"&gt;=6",tbl_task10[[SubPLOs]:[SubPLOs]],"&lt;7")</f>
        <v>0</v>
      </c>
      <c r="DO39" s="138">
        <f>SUMIFS(tbl_task10[S114],tbl_task10[[SubPLOs]:[SubPLOs]],"&gt;=6",tbl_task10[[SubPLOs]:[SubPLOs]],"&lt;7")</f>
        <v>0</v>
      </c>
      <c r="DP39" s="138">
        <f>SUMIFS(tbl_task10[S115],tbl_task10[[SubPLOs]:[SubPLOs]],"&gt;=6",tbl_task10[[SubPLOs]:[SubPLOs]],"&lt;7")</f>
        <v>0</v>
      </c>
      <c r="DQ39" s="138">
        <f>SUMIFS(tbl_task10[S116],tbl_task10[[SubPLOs]:[SubPLOs]],"&gt;=6",tbl_task10[[SubPLOs]:[SubPLOs]],"&lt;7")</f>
        <v>0</v>
      </c>
      <c r="DR39" s="138">
        <f>SUMIFS(tbl_task10[S117],tbl_task10[[SubPLOs]:[SubPLOs]],"&gt;=6",tbl_task10[[SubPLOs]:[SubPLOs]],"&lt;7")</f>
        <v>0</v>
      </c>
      <c r="DS39" s="138">
        <f>SUMIFS(tbl_task10[S118],tbl_task10[[SubPLOs]:[SubPLOs]],"&gt;=6",tbl_task10[[SubPLOs]:[SubPLOs]],"&lt;7")</f>
        <v>0</v>
      </c>
      <c r="DT39" s="138">
        <f>SUMIFS(tbl_task10[S119],tbl_task10[[SubPLOs]:[SubPLOs]],"&gt;=6",tbl_task10[[SubPLOs]:[SubPLOs]],"&lt;7")</f>
        <v>0</v>
      </c>
      <c r="DU39" s="138">
        <f>SUMIFS(tbl_task10[S120],tbl_task10[[SubPLOs]:[SubPLOs]],"&gt;=6",tbl_task10[[SubPLOs]:[SubPLOs]],"&lt;7")</f>
        <v>0</v>
      </c>
      <c r="DV39" s="138">
        <f>SUMIFS(tbl_task10[S121],tbl_task10[[SubPLOs]:[SubPLOs]],"&gt;=6",tbl_task10[[SubPLOs]:[SubPLOs]],"&lt;7")</f>
        <v>0</v>
      </c>
      <c r="DW39" s="138">
        <f>SUMIFS(tbl_task10[S122],tbl_task10[[SubPLOs]:[SubPLOs]],"&gt;=6",tbl_task10[[SubPLOs]:[SubPLOs]],"&lt;7")</f>
        <v>0</v>
      </c>
      <c r="DX39" s="138">
        <f>SUMIFS(tbl_task10[S123],tbl_task10[[SubPLOs]:[SubPLOs]],"&gt;=6",tbl_task10[[SubPLOs]:[SubPLOs]],"&lt;7")</f>
        <v>0</v>
      </c>
      <c r="DY39" s="138">
        <f>SUMIFS(tbl_task10[S124],tbl_task10[[SubPLOs]:[SubPLOs]],"&gt;=6",tbl_task10[[SubPLOs]:[SubPLOs]],"&lt;7")</f>
        <v>0</v>
      </c>
      <c r="DZ39" s="138">
        <f>SUMIFS(tbl_task10[S125],tbl_task10[[SubPLOs]:[SubPLOs]],"&gt;=6",tbl_task10[[SubPLOs]:[SubPLOs]],"&lt;7")</f>
        <v>0</v>
      </c>
      <c r="EA39" s="138">
        <f>SUMIFS(tbl_task10[S126],tbl_task10[[SubPLOs]:[SubPLOs]],"&gt;=6",tbl_task10[[SubPLOs]:[SubPLOs]],"&lt;7")</f>
        <v>0</v>
      </c>
      <c r="EB39" s="138">
        <f>SUMIFS(tbl_task10[S127],tbl_task10[[SubPLOs]:[SubPLOs]],"&gt;=6",tbl_task10[[SubPLOs]:[SubPLOs]],"&lt;7")</f>
        <v>0</v>
      </c>
      <c r="EC39" s="138">
        <f>SUMIFS(tbl_task10[S128],tbl_task10[[SubPLOs]:[SubPLOs]],"&gt;=6",tbl_task10[[SubPLOs]:[SubPLOs]],"&lt;7")</f>
        <v>0</v>
      </c>
      <c r="ED39" s="138">
        <f>SUMIFS(tbl_task10[S129],tbl_task10[[SubPLOs]:[SubPLOs]],"&gt;=6",tbl_task10[[SubPLOs]:[SubPLOs]],"&lt;7")</f>
        <v>0</v>
      </c>
      <c r="EE39" s="138">
        <f>SUMIFS(tbl_task10[S130],tbl_task10[[SubPLOs]:[SubPLOs]],"&gt;=6",tbl_task10[[SubPLOs]:[SubPLOs]],"&lt;7")</f>
        <v>0</v>
      </c>
      <c r="EF39" s="138">
        <f>SUMIFS(tbl_task10[S131],tbl_task10[[SubPLOs]:[SubPLOs]],"&gt;=6",tbl_task10[[SubPLOs]:[SubPLOs]],"&lt;7")</f>
        <v>0</v>
      </c>
      <c r="EG39" s="138">
        <f>SUMIFS(tbl_task10[S132],tbl_task10[[SubPLOs]:[SubPLOs]],"&gt;=6",tbl_task10[[SubPLOs]:[SubPLOs]],"&lt;7")</f>
        <v>0</v>
      </c>
      <c r="EH39" s="138">
        <f>SUMIFS(tbl_task10[S133],tbl_task10[[SubPLOs]:[SubPLOs]],"&gt;=6",tbl_task10[[SubPLOs]:[SubPLOs]],"&lt;7")</f>
        <v>0</v>
      </c>
      <c r="EI39" s="138">
        <f>SUMIFS(tbl_task10[S134],tbl_task10[[SubPLOs]:[SubPLOs]],"&gt;=6",tbl_task10[[SubPLOs]:[SubPLOs]],"&lt;7")</f>
        <v>0</v>
      </c>
      <c r="EJ39" s="138">
        <f>SUMIFS(tbl_task10[S135],tbl_task10[[SubPLOs]:[SubPLOs]],"&gt;=6",tbl_task10[[SubPLOs]:[SubPLOs]],"&lt;7")</f>
        <v>0</v>
      </c>
      <c r="EK39" s="138">
        <f>SUMIFS(tbl_task10[S136],tbl_task10[[SubPLOs]:[SubPLOs]],"&gt;=6",tbl_task10[[SubPLOs]:[SubPLOs]],"&lt;7")</f>
        <v>0</v>
      </c>
      <c r="EL39" s="138">
        <f>SUMIFS(tbl_task10[S137],tbl_task10[[SubPLOs]:[SubPLOs]],"&gt;=6",tbl_task10[[SubPLOs]:[SubPLOs]],"&lt;7")</f>
        <v>0</v>
      </c>
      <c r="EM39" s="138">
        <f>SUMIFS(tbl_task10[S138],tbl_task10[[SubPLOs]:[SubPLOs]],"&gt;=6",tbl_task10[[SubPLOs]:[SubPLOs]],"&lt;7")</f>
        <v>0</v>
      </c>
      <c r="EN39" s="138">
        <f>SUMIFS(tbl_task10[S139],tbl_task10[[SubPLOs]:[SubPLOs]],"&gt;=6",tbl_task10[[SubPLOs]:[SubPLOs]],"&lt;7")</f>
        <v>0</v>
      </c>
      <c r="EO39" s="138">
        <f>SUMIFS(tbl_task10[S140],tbl_task10[[SubPLOs]:[SubPLOs]],"&gt;=6",tbl_task10[[SubPLOs]:[SubPLOs]],"&lt;7")</f>
        <v>0</v>
      </c>
      <c r="EP39" s="138">
        <f>SUMIFS(tbl_task10[S141],tbl_task10[[SubPLOs]:[SubPLOs]],"&gt;=6",tbl_task10[[SubPLOs]:[SubPLOs]],"&lt;7")</f>
        <v>0</v>
      </c>
      <c r="EQ39" s="138">
        <f>SUMIFS(tbl_task10[S142],tbl_task10[[SubPLOs]:[SubPLOs]],"&gt;=6",tbl_task10[[SubPLOs]:[SubPLOs]],"&lt;7")</f>
        <v>0</v>
      </c>
      <c r="ER39" s="138">
        <f>SUMIFS(tbl_task10[S143],tbl_task10[[SubPLOs]:[SubPLOs]],"&gt;=6",tbl_task10[[SubPLOs]:[SubPLOs]],"&lt;7")</f>
        <v>0</v>
      </c>
      <c r="ES39" s="138">
        <f>SUMIFS(tbl_task10[S144],tbl_task10[[SubPLOs]:[SubPLOs]],"&gt;=6",tbl_task10[[SubPLOs]:[SubPLOs]],"&lt;7")</f>
        <v>0</v>
      </c>
      <c r="ET39" s="138">
        <f>SUMIFS(tbl_task10[S145],tbl_task10[[SubPLOs]:[SubPLOs]],"&gt;=6",tbl_task10[[SubPLOs]:[SubPLOs]],"&lt;7")</f>
        <v>0</v>
      </c>
      <c r="EU39" s="138">
        <f>SUMIFS(tbl_task10[S146],tbl_task10[[SubPLOs]:[SubPLOs]],"&gt;=6",tbl_task10[[SubPLOs]:[SubPLOs]],"&lt;7")</f>
        <v>0</v>
      </c>
      <c r="EV39" s="138">
        <f>SUMIFS(tbl_task10[S147],tbl_task10[[SubPLOs]:[SubPLOs]],"&gt;=6",tbl_task10[[SubPLOs]:[SubPLOs]],"&lt;7")</f>
        <v>0</v>
      </c>
      <c r="EW39" s="138">
        <f>SUMIFS(tbl_task10[S148],tbl_task10[[SubPLOs]:[SubPLOs]],"&gt;=6",tbl_task10[[SubPLOs]:[SubPLOs]],"&lt;7")</f>
        <v>0</v>
      </c>
      <c r="EX39" s="138">
        <f>SUMIFS(tbl_task10[S149],tbl_task10[[SubPLOs]:[SubPLOs]],"&gt;=6",tbl_task10[[SubPLOs]:[SubPLOs]],"&lt;7")</f>
        <v>0</v>
      </c>
      <c r="EY39" s="138">
        <f>SUMIFS(tbl_task10[S150],tbl_task10[[SubPLOs]:[SubPLOs]],"&gt;=6",tbl_task10[[SubPLOs]:[SubPLOs]],"&lt;7")</f>
        <v>0</v>
      </c>
      <c r="EZ39" s="138">
        <f>SUMIFS(tbl_task10[S151],tbl_task10[[SubPLOs]:[SubPLOs]],"&gt;=6",tbl_task10[[SubPLOs]:[SubPLOs]],"&lt;7")</f>
        <v>0</v>
      </c>
      <c r="FA39" s="138">
        <f>SUMIFS(tbl_task10[S152],tbl_task10[[SubPLOs]:[SubPLOs]],"&gt;=6",tbl_task10[[SubPLOs]:[SubPLOs]],"&lt;7")</f>
        <v>0</v>
      </c>
      <c r="FB39" s="138">
        <f>SUMIFS(tbl_task10[S153],tbl_task10[[SubPLOs]:[SubPLOs]],"&gt;=6",tbl_task10[[SubPLOs]:[SubPLOs]],"&lt;7")</f>
        <v>0</v>
      </c>
      <c r="FC39" s="138">
        <f>SUMIFS(tbl_task10[S154],tbl_task10[[SubPLOs]:[SubPLOs]],"&gt;=6",tbl_task10[[SubPLOs]:[SubPLOs]],"&lt;7")</f>
        <v>0</v>
      </c>
      <c r="FD39" s="138">
        <f>SUMIFS(tbl_task10[S155],tbl_task10[[SubPLOs]:[SubPLOs]],"&gt;=6",tbl_task10[[SubPLOs]:[SubPLOs]],"&lt;7")</f>
        <v>0</v>
      </c>
      <c r="FE39" s="138">
        <f>SUMIFS(tbl_task10[S156],tbl_task10[[SubPLOs]:[SubPLOs]],"&gt;=6",tbl_task10[[SubPLOs]:[SubPLOs]],"&lt;7")</f>
        <v>0</v>
      </c>
      <c r="FF39" s="138">
        <f>SUMIFS(tbl_task10[S157],tbl_task10[[SubPLOs]:[SubPLOs]],"&gt;=6",tbl_task10[[SubPLOs]:[SubPLOs]],"&lt;7")</f>
        <v>0</v>
      </c>
      <c r="FG39" s="138">
        <f>SUMIFS(tbl_task10[S158],tbl_task10[[SubPLOs]:[SubPLOs]],"&gt;=6",tbl_task10[[SubPLOs]:[SubPLOs]],"&lt;7")</f>
        <v>0</v>
      </c>
      <c r="FH39" s="138">
        <f>SUMIFS(tbl_task10[S159],tbl_task10[[SubPLOs]:[SubPLOs]],"&gt;=6",tbl_task10[[SubPLOs]:[SubPLOs]],"&lt;7")</f>
        <v>0</v>
      </c>
      <c r="FI39" s="138">
        <f>SUMIFS(tbl_task10[S160],tbl_task10[[SubPLOs]:[SubPLOs]],"&gt;=6",tbl_task10[[SubPLOs]:[SubPLOs]],"&lt;7")</f>
        <v>0</v>
      </c>
      <c r="FJ39" s="138">
        <f>SUMIFS(tbl_task10[S161],tbl_task10[[SubPLOs]:[SubPLOs]],"&gt;=6",tbl_task10[[SubPLOs]:[SubPLOs]],"&lt;7")</f>
        <v>0</v>
      </c>
      <c r="FK39" s="138">
        <f>SUMIFS(tbl_task10[S162],tbl_task10[[SubPLOs]:[SubPLOs]],"&gt;=6",tbl_task10[[SubPLOs]:[SubPLOs]],"&lt;7")</f>
        <v>0</v>
      </c>
      <c r="FL39" s="138">
        <f>SUMIFS(tbl_task10[S163],tbl_task10[[SubPLOs]:[SubPLOs]],"&gt;=6",tbl_task10[[SubPLOs]:[SubPLOs]],"&lt;7")</f>
        <v>0</v>
      </c>
      <c r="FM39" s="138">
        <f>SUMIFS(tbl_task10[S164],tbl_task10[[SubPLOs]:[SubPLOs]],"&gt;=6",tbl_task10[[SubPLOs]:[SubPLOs]],"&lt;7")</f>
        <v>0</v>
      </c>
      <c r="FN39" s="138">
        <f>SUMIFS(tbl_task10[S165],tbl_task10[[SubPLOs]:[SubPLOs]],"&gt;=6",tbl_task10[[SubPLOs]:[SubPLOs]],"&lt;7")</f>
        <v>0</v>
      </c>
    </row>
    <row r="40" spans="1:335" ht="42" x14ac:dyDescent="0.25">
      <c r="A40" s="135">
        <v>7</v>
      </c>
      <c r="B40" s="5" t="s">
        <v>440</v>
      </c>
      <c r="C40" s="136">
        <f>COUNTIFS(tbl_task10[SubPLOs],"&gt;=7",tbl_task10[SubPLOs],"&lt;8")</f>
        <v>0</v>
      </c>
      <c r="D40" s="136">
        <f>SUMIFS(tbl_task10[คะแนนเต็ม],tbl_task10[SubPLOs],"&gt;=7",tbl_task10[SubPLOs],"&lt;8")</f>
        <v>0</v>
      </c>
      <c r="E40" s="137">
        <f>SUMIFS(tbl_task10[%],tbl_task10[SubPLOs],"&gt;=7",tbl_task10[SubPLOs],"&lt;8")</f>
        <v>0</v>
      </c>
      <c r="F40" s="138">
        <f>SUMIFS(tbl_task10[S1],tbl_task10[[SubPLOs]:[SubPLOs]],"&gt;=7",tbl_task10[[SubPLOs]:[SubPLOs]],"&lt;8")</f>
        <v>0</v>
      </c>
      <c r="G40" s="138">
        <f>SUMIFS(tbl_task10[S2],tbl_task10[[SubPLOs]:[SubPLOs]],"&gt;=7",tbl_task10[[SubPLOs]:[SubPLOs]],"&lt;8")</f>
        <v>0</v>
      </c>
      <c r="H40" s="138">
        <f>SUMIFS(tbl_task10[S3],tbl_task10[[SubPLOs]:[SubPLOs]],"&gt;=7",tbl_task10[[SubPLOs]:[SubPLOs]],"&lt;8")</f>
        <v>0</v>
      </c>
      <c r="I40" s="138">
        <f>SUMIFS(tbl_task10[S4],tbl_task10[[SubPLOs]:[SubPLOs]],"&gt;=7",tbl_task10[[SubPLOs]:[SubPLOs]],"&lt;8")</f>
        <v>0</v>
      </c>
      <c r="J40" s="138">
        <f>SUMIFS(tbl_task10[S5],tbl_task10[[SubPLOs]:[SubPLOs]],"&gt;=7",tbl_task10[[SubPLOs]:[SubPLOs]],"&lt;8")</f>
        <v>0</v>
      </c>
      <c r="K40" s="138">
        <f>SUMIFS(tbl_task10[S6],tbl_task10[[SubPLOs]:[SubPLOs]],"&gt;=7",tbl_task10[[SubPLOs]:[SubPLOs]],"&lt;8")</f>
        <v>0</v>
      </c>
      <c r="L40" s="138">
        <f>SUMIFS(tbl_task10[S7],tbl_task10[[SubPLOs]:[SubPLOs]],"&gt;=7",tbl_task10[[SubPLOs]:[SubPLOs]],"&lt;8")</f>
        <v>0</v>
      </c>
      <c r="M40" s="138">
        <f>SUMIFS(tbl_task10[S8],tbl_task10[[SubPLOs]:[SubPLOs]],"&gt;=7",tbl_task10[[SubPLOs]:[SubPLOs]],"&lt;8")</f>
        <v>0</v>
      </c>
      <c r="N40" s="138">
        <f>SUMIFS(tbl_task10[S9],tbl_task10[[SubPLOs]:[SubPLOs]],"&gt;=7",tbl_task10[[SubPLOs]:[SubPLOs]],"&lt;8")</f>
        <v>0</v>
      </c>
      <c r="O40" s="138">
        <f>SUMIFS(tbl_task10[S10],tbl_task10[[SubPLOs]:[SubPLOs]],"&gt;=7",tbl_task10[[SubPLOs]:[SubPLOs]],"&lt;8")</f>
        <v>0</v>
      </c>
      <c r="P40" s="138">
        <f>SUMIFS(tbl_task10[S11],tbl_task10[[SubPLOs]:[SubPLOs]],"&gt;=7",tbl_task10[[SubPLOs]:[SubPLOs]],"&lt;8")</f>
        <v>0</v>
      </c>
      <c r="Q40" s="138">
        <f>SUMIFS(tbl_task10[S12],tbl_task10[[SubPLOs]:[SubPLOs]],"&gt;=7",tbl_task10[[SubPLOs]:[SubPLOs]],"&lt;8")</f>
        <v>0</v>
      </c>
      <c r="R40" s="138">
        <f>SUMIFS(tbl_task10[S13],tbl_task10[[SubPLOs]:[SubPLOs]],"&gt;=7",tbl_task10[[SubPLOs]:[SubPLOs]],"&lt;8")</f>
        <v>0</v>
      </c>
      <c r="S40" s="138">
        <f>SUMIFS(tbl_task10[S14],tbl_task10[[SubPLOs]:[SubPLOs]],"&gt;=7",tbl_task10[[SubPLOs]:[SubPLOs]],"&lt;8")</f>
        <v>0</v>
      </c>
      <c r="T40" s="138">
        <f>SUMIFS(tbl_task10[S15],tbl_task10[[SubPLOs]:[SubPLOs]],"&gt;=7",tbl_task10[[SubPLOs]:[SubPLOs]],"&lt;8")</f>
        <v>0</v>
      </c>
      <c r="U40" s="138">
        <f>SUMIFS(tbl_task10[S16],tbl_task10[[SubPLOs]:[SubPLOs]],"&gt;=7",tbl_task10[[SubPLOs]:[SubPLOs]],"&lt;8")</f>
        <v>0</v>
      </c>
      <c r="V40" s="138">
        <f>SUMIFS(tbl_task10[S17],tbl_task10[[SubPLOs]:[SubPLOs]],"&gt;=7",tbl_task10[[SubPLOs]:[SubPLOs]],"&lt;8")</f>
        <v>0</v>
      </c>
      <c r="W40" s="138">
        <f>SUMIFS(tbl_task10[S18],tbl_task10[[SubPLOs]:[SubPLOs]],"&gt;=7",tbl_task10[[SubPLOs]:[SubPLOs]],"&lt;8")</f>
        <v>0</v>
      </c>
      <c r="X40" s="138">
        <f>SUMIFS(tbl_task10[S19],tbl_task10[[SubPLOs]:[SubPLOs]],"&gt;=7",tbl_task10[[SubPLOs]:[SubPLOs]],"&lt;8")</f>
        <v>0</v>
      </c>
      <c r="Y40" s="138">
        <f>SUMIFS(tbl_task10[S20],tbl_task10[[SubPLOs]:[SubPLOs]],"&gt;=7",tbl_task10[[SubPLOs]:[SubPLOs]],"&lt;8")</f>
        <v>0</v>
      </c>
      <c r="Z40" s="138">
        <f>SUMIFS(tbl_task10[S21],tbl_task10[[SubPLOs]:[SubPLOs]],"&gt;=7",tbl_task10[[SubPLOs]:[SubPLOs]],"&lt;8")</f>
        <v>0</v>
      </c>
      <c r="AA40" s="138">
        <f>SUMIFS(tbl_task10[S22],tbl_task10[[SubPLOs]:[SubPLOs]],"&gt;=7",tbl_task10[[SubPLOs]:[SubPLOs]],"&lt;8")</f>
        <v>0</v>
      </c>
      <c r="AB40" s="138">
        <f>SUMIFS(tbl_task10[S23],tbl_task10[[SubPLOs]:[SubPLOs]],"&gt;=7",tbl_task10[[SubPLOs]:[SubPLOs]],"&lt;8")</f>
        <v>0</v>
      </c>
      <c r="AC40" s="138">
        <f>SUMIFS(tbl_task10[S24],tbl_task10[[SubPLOs]:[SubPLOs]],"&gt;=7",tbl_task10[[SubPLOs]:[SubPLOs]],"&lt;8")</f>
        <v>0</v>
      </c>
      <c r="AD40" s="138">
        <f>SUMIFS(tbl_task10[S25],tbl_task10[[SubPLOs]:[SubPLOs]],"&gt;=7",tbl_task10[[SubPLOs]:[SubPLOs]],"&lt;8")</f>
        <v>0</v>
      </c>
      <c r="AE40" s="138">
        <f>SUMIFS(tbl_task10[S26],tbl_task10[[SubPLOs]:[SubPLOs]],"&gt;=7",tbl_task10[[SubPLOs]:[SubPLOs]],"&lt;8")</f>
        <v>0</v>
      </c>
      <c r="AF40" s="138">
        <f>SUMIFS(tbl_task10[S27],tbl_task10[[SubPLOs]:[SubPLOs]],"&gt;=7",tbl_task10[[SubPLOs]:[SubPLOs]],"&lt;8")</f>
        <v>0</v>
      </c>
      <c r="AG40" s="138">
        <f>SUMIFS(tbl_task10[S28],tbl_task10[[SubPLOs]:[SubPLOs]],"&gt;=7",tbl_task10[[SubPLOs]:[SubPLOs]],"&lt;8")</f>
        <v>0</v>
      </c>
      <c r="AH40" s="138">
        <f>SUMIFS(tbl_task10[S29],tbl_task10[[SubPLOs]:[SubPLOs]],"&gt;=7",tbl_task10[[SubPLOs]:[SubPLOs]],"&lt;8")</f>
        <v>0</v>
      </c>
      <c r="AI40" s="138">
        <f>SUMIFS(tbl_task10[S30],tbl_task10[[SubPLOs]:[SubPLOs]],"&gt;=7",tbl_task10[[SubPLOs]:[SubPLOs]],"&lt;8")</f>
        <v>0</v>
      </c>
      <c r="AJ40" s="138">
        <f>SUMIFS(tbl_task10[S31],tbl_task10[[SubPLOs]:[SubPLOs]],"&gt;=7",tbl_task10[[SubPLOs]:[SubPLOs]],"&lt;8")</f>
        <v>0</v>
      </c>
      <c r="AK40" s="138">
        <f>SUMIFS(tbl_task10[S32],tbl_task10[[SubPLOs]:[SubPLOs]],"&gt;=7",tbl_task10[[SubPLOs]:[SubPLOs]],"&lt;8")</f>
        <v>0</v>
      </c>
      <c r="AL40" s="138">
        <f>SUMIFS(tbl_task10[S33],tbl_task10[[SubPLOs]:[SubPLOs]],"&gt;=7",tbl_task10[[SubPLOs]:[SubPLOs]],"&lt;8")</f>
        <v>0</v>
      </c>
      <c r="AM40" s="138">
        <f>SUMIFS(tbl_task10[S34],tbl_task10[[SubPLOs]:[SubPLOs]],"&gt;=7",tbl_task10[[SubPLOs]:[SubPLOs]],"&lt;8")</f>
        <v>0</v>
      </c>
      <c r="AN40" s="138">
        <f>SUMIFS(tbl_task10[S35],tbl_task10[[SubPLOs]:[SubPLOs]],"&gt;=7",tbl_task10[[SubPLOs]:[SubPLOs]],"&lt;8")</f>
        <v>0</v>
      </c>
      <c r="AO40" s="138">
        <f>SUMIFS(tbl_task10[S36],tbl_task10[[SubPLOs]:[SubPLOs]],"&gt;=7",tbl_task10[[SubPLOs]:[SubPLOs]],"&lt;8")</f>
        <v>0</v>
      </c>
      <c r="AP40" s="138">
        <f>SUMIFS(tbl_task10[S37],tbl_task10[[SubPLOs]:[SubPLOs]],"&gt;=7",tbl_task10[[SubPLOs]:[SubPLOs]],"&lt;8")</f>
        <v>0</v>
      </c>
      <c r="AQ40" s="138">
        <f>SUMIFS(tbl_task10[S38],tbl_task10[[SubPLOs]:[SubPLOs]],"&gt;=7",tbl_task10[[SubPLOs]:[SubPLOs]],"&lt;8")</f>
        <v>0</v>
      </c>
      <c r="AR40" s="138">
        <f>SUMIFS(tbl_task10[S39],tbl_task10[[SubPLOs]:[SubPLOs]],"&gt;=7",tbl_task10[[SubPLOs]:[SubPLOs]],"&lt;8")</f>
        <v>0</v>
      </c>
      <c r="AS40" s="138">
        <f>SUMIFS(tbl_task10[S40],tbl_task10[[SubPLOs]:[SubPLOs]],"&gt;=7",tbl_task10[[SubPLOs]:[SubPLOs]],"&lt;8")</f>
        <v>0</v>
      </c>
      <c r="AT40" s="138">
        <f>SUMIFS(tbl_task10[S41],tbl_task10[[SubPLOs]:[SubPLOs]],"&gt;=7",tbl_task10[[SubPLOs]:[SubPLOs]],"&lt;8")</f>
        <v>0</v>
      </c>
      <c r="AU40" s="138">
        <f>SUMIFS(tbl_task10[S42],tbl_task10[[SubPLOs]:[SubPLOs]],"&gt;=7",tbl_task10[[SubPLOs]:[SubPLOs]],"&lt;8")</f>
        <v>0</v>
      </c>
      <c r="AV40" s="138">
        <f>SUMIFS(tbl_task10[S43],tbl_task10[[SubPLOs]:[SubPLOs]],"&gt;=7",tbl_task10[[SubPLOs]:[SubPLOs]],"&lt;8")</f>
        <v>0</v>
      </c>
      <c r="AW40" s="138">
        <f>SUMIFS(tbl_task10[S44],tbl_task10[[SubPLOs]:[SubPLOs]],"&gt;=7",tbl_task10[[SubPLOs]:[SubPLOs]],"&lt;8")</f>
        <v>0</v>
      </c>
      <c r="AX40" s="138">
        <f>SUMIFS(tbl_task10[S45],tbl_task10[[SubPLOs]:[SubPLOs]],"&gt;=7",tbl_task10[[SubPLOs]:[SubPLOs]],"&lt;8")</f>
        <v>0</v>
      </c>
      <c r="AY40" s="138">
        <f>SUMIFS(tbl_task10[S46],tbl_task10[[SubPLOs]:[SubPLOs]],"&gt;=7",tbl_task10[[SubPLOs]:[SubPLOs]],"&lt;8")</f>
        <v>0</v>
      </c>
      <c r="AZ40" s="138">
        <f>SUMIFS(tbl_task10[S47],tbl_task10[[SubPLOs]:[SubPLOs]],"&gt;=7",tbl_task10[[SubPLOs]:[SubPLOs]],"&lt;8")</f>
        <v>0</v>
      </c>
      <c r="BA40" s="138">
        <f>SUMIFS(tbl_task10[S48],tbl_task10[[SubPLOs]:[SubPLOs]],"&gt;=7",tbl_task10[[SubPLOs]:[SubPLOs]],"&lt;8")</f>
        <v>0</v>
      </c>
      <c r="BB40" s="138">
        <f>SUMIFS(tbl_task10[S49],tbl_task10[[SubPLOs]:[SubPLOs]],"&gt;=7",tbl_task10[[SubPLOs]:[SubPLOs]],"&lt;8")</f>
        <v>0</v>
      </c>
      <c r="BC40" s="138">
        <f>SUMIFS(tbl_task10[S50],tbl_task10[[SubPLOs]:[SubPLOs]],"&gt;=7",tbl_task10[[SubPLOs]:[SubPLOs]],"&lt;8")</f>
        <v>0</v>
      </c>
      <c r="BD40" s="138">
        <f>SUMIFS(tbl_task10[S51],tbl_task10[[SubPLOs]:[SubPLOs]],"&gt;=7",tbl_task10[[SubPLOs]:[SubPLOs]],"&lt;8")</f>
        <v>0</v>
      </c>
      <c r="BE40" s="138">
        <f>SUMIFS(tbl_task10[S52],tbl_task10[[SubPLOs]:[SubPLOs]],"&gt;=7",tbl_task10[[SubPLOs]:[SubPLOs]],"&lt;8")</f>
        <v>0</v>
      </c>
      <c r="BF40" s="138">
        <f>SUMIFS(tbl_task10[S53],tbl_task10[[SubPLOs]:[SubPLOs]],"&gt;=7",tbl_task10[[SubPLOs]:[SubPLOs]],"&lt;8")</f>
        <v>0</v>
      </c>
      <c r="BG40" s="138">
        <f>SUMIFS(tbl_task10[S54],tbl_task10[[SubPLOs]:[SubPLOs]],"&gt;=7",tbl_task10[[SubPLOs]:[SubPLOs]],"&lt;8")</f>
        <v>0</v>
      </c>
      <c r="BH40" s="138">
        <f>SUMIFS(tbl_task10[S55],tbl_task10[[SubPLOs]:[SubPLOs]],"&gt;=7",tbl_task10[[SubPLOs]:[SubPLOs]],"&lt;8")</f>
        <v>0</v>
      </c>
      <c r="BI40" s="138">
        <f>SUMIFS(tbl_task10[S56],tbl_task10[[SubPLOs]:[SubPLOs]],"&gt;=7",tbl_task10[[SubPLOs]:[SubPLOs]],"&lt;8")</f>
        <v>0</v>
      </c>
      <c r="BJ40" s="138">
        <f>SUMIFS(tbl_task10[S57],tbl_task10[[SubPLOs]:[SubPLOs]],"&gt;=7",tbl_task10[[SubPLOs]:[SubPLOs]],"&lt;8")</f>
        <v>0</v>
      </c>
      <c r="BK40" s="138">
        <f>SUMIFS(tbl_task10[S58],tbl_task10[[SubPLOs]:[SubPLOs]],"&gt;=7",tbl_task10[[SubPLOs]:[SubPLOs]],"&lt;8")</f>
        <v>0</v>
      </c>
      <c r="BL40" s="138">
        <f>SUMIFS(tbl_task10[S59],tbl_task10[[SubPLOs]:[SubPLOs]],"&gt;=7",tbl_task10[[SubPLOs]:[SubPLOs]],"&lt;8")</f>
        <v>0</v>
      </c>
      <c r="BM40" s="138">
        <f>SUMIFS(tbl_task10[S60],tbl_task10[[SubPLOs]:[SubPLOs]],"&gt;=7",tbl_task10[[SubPLOs]:[SubPLOs]],"&lt;8")</f>
        <v>0</v>
      </c>
      <c r="BN40" s="138">
        <f>SUMIFS(tbl_task10[S61],tbl_task10[[SubPLOs]:[SubPLOs]],"&gt;=7",tbl_task10[[SubPLOs]:[SubPLOs]],"&lt;8")</f>
        <v>0</v>
      </c>
      <c r="BO40" s="138">
        <f>SUMIFS(tbl_task10[S62],tbl_task10[[SubPLOs]:[SubPLOs]],"&gt;=7",tbl_task10[[SubPLOs]:[SubPLOs]],"&lt;8")</f>
        <v>0</v>
      </c>
      <c r="BP40" s="138">
        <f>SUMIFS(tbl_task10[S63],tbl_task10[[SubPLOs]:[SubPLOs]],"&gt;=7",tbl_task10[[SubPLOs]:[SubPLOs]],"&lt;8")</f>
        <v>0</v>
      </c>
      <c r="BQ40" s="138">
        <f>SUMIFS(tbl_task10[S64],tbl_task10[[SubPLOs]:[SubPLOs]],"&gt;=7",tbl_task10[[SubPLOs]:[SubPLOs]],"&lt;8")</f>
        <v>0</v>
      </c>
      <c r="BR40" s="138">
        <f>SUMIFS(tbl_task10[S65],tbl_task10[[SubPLOs]:[SubPLOs]],"&gt;=7",tbl_task10[[SubPLOs]:[SubPLOs]],"&lt;8")</f>
        <v>0</v>
      </c>
      <c r="BS40" s="138">
        <f>SUMIFS(tbl_task10[S66],tbl_task10[[SubPLOs]:[SubPLOs]],"&gt;=7",tbl_task10[[SubPLOs]:[SubPLOs]],"&lt;8")</f>
        <v>0</v>
      </c>
      <c r="BT40" s="138">
        <f>SUMIFS(tbl_task10[S67],tbl_task10[[SubPLOs]:[SubPLOs]],"&gt;=7",tbl_task10[[SubPLOs]:[SubPLOs]],"&lt;8")</f>
        <v>0</v>
      </c>
      <c r="BU40" s="138">
        <f>SUMIFS(tbl_task10[S68],tbl_task10[[SubPLOs]:[SubPLOs]],"&gt;=7",tbl_task10[[SubPLOs]:[SubPLOs]],"&lt;8")</f>
        <v>0</v>
      </c>
      <c r="BV40" s="138">
        <f>SUMIFS(tbl_task10[S69],tbl_task10[[SubPLOs]:[SubPLOs]],"&gt;=7",tbl_task10[[SubPLOs]:[SubPLOs]],"&lt;8")</f>
        <v>0</v>
      </c>
      <c r="BW40" s="138">
        <f>SUMIFS(tbl_task10[S70],tbl_task10[[SubPLOs]:[SubPLOs]],"&gt;=7",tbl_task10[[SubPLOs]:[SubPLOs]],"&lt;8")</f>
        <v>0</v>
      </c>
      <c r="BX40" s="138">
        <f>SUMIFS(tbl_task10[S71],tbl_task10[[SubPLOs]:[SubPLOs]],"&gt;=7",tbl_task10[[SubPLOs]:[SubPLOs]],"&lt;8")</f>
        <v>0</v>
      </c>
      <c r="BY40" s="138">
        <f>SUMIFS(tbl_task10[S72],tbl_task10[[SubPLOs]:[SubPLOs]],"&gt;=7",tbl_task10[[SubPLOs]:[SubPLOs]],"&lt;8")</f>
        <v>0</v>
      </c>
      <c r="BZ40" s="138">
        <f>SUMIFS(tbl_task10[S73],tbl_task10[[SubPLOs]:[SubPLOs]],"&gt;=7",tbl_task10[[SubPLOs]:[SubPLOs]],"&lt;8")</f>
        <v>0</v>
      </c>
      <c r="CA40" s="138">
        <f>SUMIFS(tbl_task10[S74],tbl_task10[[SubPLOs]:[SubPLOs]],"&gt;=7",tbl_task10[[SubPLOs]:[SubPLOs]],"&lt;8")</f>
        <v>0</v>
      </c>
      <c r="CB40" s="138">
        <f>SUMIFS(tbl_task10[S75],tbl_task10[[SubPLOs]:[SubPLOs]],"&gt;=7",tbl_task10[[SubPLOs]:[SubPLOs]],"&lt;8")</f>
        <v>0</v>
      </c>
      <c r="CC40" s="138">
        <f>SUMIFS(tbl_task10[S76],tbl_task10[[SubPLOs]:[SubPLOs]],"&gt;=7",tbl_task10[[SubPLOs]:[SubPLOs]],"&lt;8")</f>
        <v>0</v>
      </c>
      <c r="CD40" s="138">
        <f>SUMIFS(tbl_task10[S77],tbl_task10[[SubPLOs]:[SubPLOs]],"&gt;=7",tbl_task10[[SubPLOs]:[SubPLOs]],"&lt;8")</f>
        <v>0</v>
      </c>
      <c r="CE40" s="138">
        <f>SUMIFS(tbl_task10[S78],tbl_task10[[SubPLOs]:[SubPLOs]],"&gt;=7",tbl_task10[[SubPLOs]:[SubPLOs]],"&lt;8")</f>
        <v>0</v>
      </c>
      <c r="CF40" s="138">
        <f>SUMIFS(tbl_task10[S79],tbl_task10[[SubPLOs]:[SubPLOs]],"&gt;=7",tbl_task10[[SubPLOs]:[SubPLOs]],"&lt;8")</f>
        <v>0</v>
      </c>
      <c r="CG40" s="138">
        <f>SUMIFS(tbl_task10[S80],tbl_task10[[SubPLOs]:[SubPLOs]],"&gt;=7",tbl_task10[[SubPLOs]:[SubPLOs]],"&lt;8")</f>
        <v>0</v>
      </c>
      <c r="CH40" s="138">
        <f>SUMIFS(tbl_task10[S81],tbl_task10[[SubPLOs]:[SubPLOs]],"&gt;=7",tbl_task10[[SubPLOs]:[SubPLOs]],"&lt;8")</f>
        <v>0</v>
      </c>
      <c r="CI40" s="138">
        <f>SUMIFS(tbl_task10[S82],tbl_task10[[SubPLOs]:[SubPLOs]],"&gt;=7",tbl_task10[[SubPLOs]:[SubPLOs]],"&lt;8")</f>
        <v>0</v>
      </c>
      <c r="CJ40" s="138">
        <f>SUMIFS(tbl_task10[S83],tbl_task10[[SubPLOs]:[SubPLOs]],"&gt;=7",tbl_task10[[SubPLOs]:[SubPLOs]],"&lt;8")</f>
        <v>0</v>
      </c>
      <c r="CK40" s="138">
        <f>SUMIFS(tbl_task10[S84],tbl_task10[[SubPLOs]:[SubPLOs]],"&gt;=7",tbl_task10[[SubPLOs]:[SubPLOs]],"&lt;8")</f>
        <v>0</v>
      </c>
      <c r="CL40" s="138">
        <f>SUMIFS(tbl_task10[S85],tbl_task10[[SubPLOs]:[SubPLOs]],"&gt;=7",tbl_task10[[SubPLOs]:[SubPLOs]],"&lt;8")</f>
        <v>0</v>
      </c>
      <c r="CM40" s="138">
        <f>SUMIFS(tbl_task10[S86],tbl_task10[[SubPLOs]:[SubPLOs]],"&gt;=7",tbl_task10[[SubPLOs]:[SubPLOs]],"&lt;8")</f>
        <v>0</v>
      </c>
      <c r="CN40" s="138">
        <f>SUMIFS(tbl_task10[S87],tbl_task10[[SubPLOs]:[SubPLOs]],"&gt;=7",tbl_task10[[SubPLOs]:[SubPLOs]],"&lt;8")</f>
        <v>0</v>
      </c>
      <c r="CO40" s="138">
        <f>SUMIFS(tbl_task10[S88],tbl_task10[[SubPLOs]:[SubPLOs]],"&gt;=7",tbl_task10[[SubPLOs]:[SubPLOs]],"&lt;8")</f>
        <v>0</v>
      </c>
      <c r="CP40" s="138">
        <f>SUMIFS(tbl_task10[S89],tbl_task10[[SubPLOs]:[SubPLOs]],"&gt;=7",tbl_task10[[SubPLOs]:[SubPLOs]],"&lt;8")</f>
        <v>0</v>
      </c>
      <c r="CQ40" s="138">
        <f>SUMIFS(tbl_task10[S90],tbl_task10[[SubPLOs]:[SubPLOs]],"&gt;=7",tbl_task10[[SubPLOs]:[SubPLOs]],"&lt;8")</f>
        <v>0</v>
      </c>
      <c r="CR40" s="138">
        <f>SUMIFS(tbl_task10[S91],tbl_task10[[SubPLOs]:[SubPLOs]],"&gt;=7",tbl_task10[[SubPLOs]:[SubPLOs]],"&lt;8")</f>
        <v>0</v>
      </c>
      <c r="CS40" s="138">
        <f>SUMIFS(tbl_task10[S92],tbl_task10[[SubPLOs]:[SubPLOs]],"&gt;=7",tbl_task10[[SubPLOs]:[SubPLOs]],"&lt;8")</f>
        <v>0</v>
      </c>
      <c r="CT40" s="138">
        <f>SUMIFS(tbl_task10[S93],tbl_task10[[SubPLOs]:[SubPLOs]],"&gt;=7",tbl_task10[[SubPLOs]:[SubPLOs]],"&lt;8")</f>
        <v>0</v>
      </c>
      <c r="CU40" s="138">
        <f>SUMIFS(tbl_task10[S94],tbl_task10[[SubPLOs]:[SubPLOs]],"&gt;=7",tbl_task10[[SubPLOs]:[SubPLOs]],"&lt;8")</f>
        <v>0</v>
      </c>
      <c r="CV40" s="138">
        <f>SUMIFS(tbl_task10[S95],tbl_task10[[SubPLOs]:[SubPLOs]],"&gt;=7",tbl_task10[[SubPLOs]:[SubPLOs]],"&lt;8")</f>
        <v>0</v>
      </c>
      <c r="CW40" s="138">
        <f>SUMIFS(tbl_task10[S96],tbl_task10[[SubPLOs]:[SubPLOs]],"&gt;=7",tbl_task10[[SubPLOs]:[SubPLOs]],"&lt;8")</f>
        <v>0</v>
      </c>
      <c r="CX40" s="138">
        <f>SUMIFS(tbl_task10[S97],tbl_task10[[SubPLOs]:[SubPLOs]],"&gt;=7",tbl_task10[[SubPLOs]:[SubPLOs]],"&lt;8")</f>
        <v>0</v>
      </c>
      <c r="CY40" s="138">
        <f>SUMIFS(tbl_task10[S98],tbl_task10[[SubPLOs]:[SubPLOs]],"&gt;=7",tbl_task10[[SubPLOs]:[SubPLOs]],"&lt;8")</f>
        <v>0</v>
      </c>
      <c r="CZ40" s="138">
        <f>SUMIFS(tbl_task10[S99],tbl_task10[[SubPLOs]:[SubPLOs]],"&gt;=7",tbl_task10[[SubPLOs]:[SubPLOs]],"&lt;8")</f>
        <v>0</v>
      </c>
      <c r="DA40" s="138">
        <f>SUMIFS(tbl_task10[S100],tbl_task10[[SubPLOs]:[SubPLOs]],"&gt;=7",tbl_task10[[SubPLOs]:[SubPLOs]],"&lt;8")</f>
        <v>0</v>
      </c>
      <c r="DB40" s="138">
        <f>SUMIFS(tbl_task10[S101],tbl_task10[[SubPLOs]:[SubPLOs]],"&gt;=7",tbl_task10[[SubPLOs]:[SubPLOs]],"&lt;8")</f>
        <v>0</v>
      </c>
      <c r="DC40" s="138">
        <f>SUMIFS(tbl_task10[S102],tbl_task10[[SubPLOs]:[SubPLOs]],"&gt;=7",tbl_task10[[SubPLOs]:[SubPLOs]],"&lt;8")</f>
        <v>0</v>
      </c>
      <c r="DD40" s="138">
        <f>SUMIFS(tbl_task10[S103],tbl_task10[[SubPLOs]:[SubPLOs]],"&gt;=7",tbl_task10[[SubPLOs]:[SubPLOs]],"&lt;8")</f>
        <v>0</v>
      </c>
      <c r="DE40" s="138">
        <f>SUMIFS(tbl_task10[S104],tbl_task10[[SubPLOs]:[SubPLOs]],"&gt;=7",tbl_task10[[SubPLOs]:[SubPLOs]],"&lt;8")</f>
        <v>0</v>
      </c>
      <c r="DF40" s="138">
        <f>SUMIFS(tbl_task10[S105],tbl_task10[[SubPLOs]:[SubPLOs]],"&gt;=7",tbl_task10[[SubPLOs]:[SubPLOs]],"&lt;8")</f>
        <v>0</v>
      </c>
      <c r="DG40" s="138">
        <f>SUMIFS(tbl_task10[S106],tbl_task10[[SubPLOs]:[SubPLOs]],"&gt;=7",tbl_task10[[SubPLOs]:[SubPLOs]],"&lt;8")</f>
        <v>0</v>
      </c>
      <c r="DH40" s="138">
        <f>SUMIFS(tbl_task10[S106],tbl_task10[[SubPLOs]:[SubPLOs]],"&gt;=7",tbl_task10[[SubPLOs]:[SubPLOs]],"&lt;8")</f>
        <v>0</v>
      </c>
      <c r="DI40" s="138">
        <f>SUMIFS(tbl_task10[S108],tbl_task10[[SubPLOs]:[SubPLOs]],"&gt;=7",tbl_task10[[SubPLOs]:[SubPLOs]],"&lt;8")</f>
        <v>0</v>
      </c>
      <c r="DJ40" s="138">
        <f>SUMIFS(tbl_task10[S109],tbl_task10[[SubPLOs]:[SubPLOs]],"&gt;=7",tbl_task10[[SubPLOs]:[SubPLOs]],"&lt;8")</f>
        <v>0</v>
      </c>
      <c r="DK40" s="138">
        <f>SUMIFS(tbl_task10[S110],tbl_task10[[SubPLOs]:[SubPLOs]],"&gt;=7",tbl_task10[[SubPLOs]:[SubPLOs]],"&lt;8")</f>
        <v>0</v>
      </c>
      <c r="DL40" s="138">
        <f>SUMIFS(tbl_task10[S111],tbl_task10[[SubPLOs]:[SubPLOs]],"&gt;=7",tbl_task10[[SubPLOs]:[SubPLOs]],"&lt;8")</f>
        <v>0</v>
      </c>
      <c r="DM40" s="138">
        <f>SUMIFS(tbl_task10[S112],tbl_task10[[SubPLOs]:[SubPLOs]],"&gt;=7",tbl_task10[[SubPLOs]:[SubPLOs]],"&lt;8")</f>
        <v>0</v>
      </c>
      <c r="DN40" s="138">
        <f>SUMIFS(tbl_task10[S113],tbl_task10[[SubPLOs]:[SubPLOs]],"&gt;=7",tbl_task10[[SubPLOs]:[SubPLOs]],"&lt;8")</f>
        <v>0</v>
      </c>
      <c r="DO40" s="138">
        <f>SUMIFS(tbl_task10[S114],tbl_task10[[SubPLOs]:[SubPLOs]],"&gt;=7",tbl_task10[[SubPLOs]:[SubPLOs]],"&lt;8")</f>
        <v>0</v>
      </c>
      <c r="DP40" s="138">
        <f>SUMIFS(tbl_task10[S115],tbl_task10[[SubPLOs]:[SubPLOs]],"&gt;=7",tbl_task10[[SubPLOs]:[SubPLOs]],"&lt;8")</f>
        <v>0</v>
      </c>
      <c r="DQ40" s="138">
        <f>SUMIFS(tbl_task10[S116],tbl_task10[[SubPLOs]:[SubPLOs]],"&gt;=7",tbl_task10[[SubPLOs]:[SubPLOs]],"&lt;8")</f>
        <v>0</v>
      </c>
      <c r="DR40" s="138">
        <f>SUMIFS(tbl_task10[S117],tbl_task10[[SubPLOs]:[SubPLOs]],"&gt;=7",tbl_task10[[SubPLOs]:[SubPLOs]],"&lt;8")</f>
        <v>0</v>
      </c>
      <c r="DS40" s="138">
        <f>SUMIFS(tbl_task10[S118],tbl_task10[[SubPLOs]:[SubPLOs]],"&gt;=7",tbl_task10[[SubPLOs]:[SubPLOs]],"&lt;8")</f>
        <v>0</v>
      </c>
      <c r="DT40" s="138">
        <f>SUMIFS(tbl_task10[S119],tbl_task10[[SubPLOs]:[SubPLOs]],"&gt;=7",tbl_task10[[SubPLOs]:[SubPLOs]],"&lt;8")</f>
        <v>0</v>
      </c>
      <c r="DU40" s="138">
        <f>SUMIFS(tbl_task10[S120],tbl_task10[[SubPLOs]:[SubPLOs]],"&gt;=7",tbl_task10[[SubPLOs]:[SubPLOs]],"&lt;8")</f>
        <v>0</v>
      </c>
      <c r="DV40" s="138">
        <f>SUMIFS(tbl_task10[S121],tbl_task10[[SubPLOs]:[SubPLOs]],"&gt;=7",tbl_task10[[SubPLOs]:[SubPLOs]],"&lt;8")</f>
        <v>0</v>
      </c>
      <c r="DW40" s="138">
        <f>SUMIFS(tbl_task10[S122],tbl_task10[[SubPLOs]:[SubPLOs]],"&gt;=7",tbl_task10[[SubPLOs]:[SubPLOs]],"&lt;8")</f>
        <v>0</v>
      </c>
      <c r="DX40" s="138">
        <f>SUMIFS(tbl_task10[S123],tbl_task10[[SubPLOs]:[SubPLOs]],"&gt;=7",tbl_task10[[SubPLOs]:[SubPLOs]],"&lt;8")</f>
        <v>0</v>
      </c>
      <c r="DY40" s="138">
        <f>SUMIFS(tbl_task10[S124],tbl_task10[[SubPLOs]:[SubPLOs]],"&gt;=7",tbl_task10[[SubPLOs]:[SubPLOs]],"&lt;8")</f>
        <v>0</v>
      </c>
      <c r="DZ40" s="138">
        <f>SUMIFS(tbl_task10[S125],tbl_task10[[SubPLOs]:[SubPLOs]],"&gt;=7",tbl_task10[[SubPLOs]:[SubPLOs]],"&lt;8")</f>
        <v>0</v>
      </c>
      <c r="EA40" s="138">
        <f>SUMIFS(tbl_task10[S126],tbl_task10[[SubPLOs]:[SubPLOs]],"&gt;=7",tbl_task10[[SubPLOs]:[SubPLOs]],"&lt;8")</f>
        <v>0</v>
      </c>
      <c r="EB40" s="138">
        <f>SUMIFS(tbl_task10[S127],tbl_task10[[SubPLOs]:[SubPLOs]],"&gt;=7",tbl_task10[[SubPLOs]:[SubPLOs]],"&lt;8")</f>
        <v>0</v>
      </c>
      <c r="EC40" s="138">
        <f>SUMIFS(tbl_task10[S128],tbl_task10[[SubPLOs]:[SubPLOs]],"&gt;=7",tbl_task10[[SubPLOs]:[SubPLOs]],"&lt;8")</f>
        <v>0</v>
      </c>
      <c r="ED40" s="138">
        <f>SUMIFS(tbl_task10[S129],tbl_task10[[SubPLOs]:[SubPLOs]],"&gt;=7",tbl_task10[[SubPLOs]:[SubPLOs]],"&lt;8")</f>
        <v>0</v>
      </c>
      <c r="EE40" s="138">
        <f>SUMIFS(tbl_task10[S130],tbl_task10[[SubPLOs]:[SubPLOs]],"&gt;=7",tbl_task10[[SubPLOs]:[SubPLOs]],"&lt;8")</f>
        <v>0</v>
      </c>
      <c r="EF40" s="138">
        <f>SUMIFS(tbl_task10[S131],tbl_task10[[SubPLOs]:[SubPLOs]],"&gt;=7",tbl_task10[[SubPLOs]:[SubPLOs]],"&lt;8")</f>
        <v>0</v>
      </c>
      <c r="EG40" s="138">
        <f>SUMIFS(tbl_task10[S132],tbl_task10[[SubPLOs]:[SubPLOs]],"&gt;=7",tbl_task10[[SubPLOs]:[SubPLOs]],"&lt;8")</f>
        <v>0</v>
      </c>
      <c r="EH40" s="138">
        <f>SUMIFS(tbl_task10[S133],tbl_task10[[SubPLOs]:[SubPLOs]],"&gt;=7",tbl_task10[[SubPLOs]:[SubPLOs]],"&lt;8")</f>
        <v>0</v>
      </c>
      <c r="EI40" s="138">
        <f>SUMIFS(tbl_task10[S134],tbl_task10[[SubPLOs]:[SubPLOs]],"&gt;=7",tbl_task10[[SubPLOs]:[SubPLOs]],"&lt;8")</f>
        <v>0</v>
      </c>
      <c r="EJ40" s="138">
        <f>SUMIFS(tbl_task10[S135],tbl_task10[[SubPLOs]:[SubPLOs]],"&gt;=7",tbl_task10[[SubPLOs]:[SubPLOs]],"&lt;8")</f>
        <v>0</v>
      </c>
      <c r="EK40" s="138">
        <f>SUMIFS(tbl_task10[S136],tbl_task10[[SubPLOs]:[SubPLOs]],"&gt;=7",tbl_task10[[SubPLOs]:[SubPLOs]],"&lt;8")</f>
        <v>0</v>
      </c>
      <c r="EL40" s="138">
        <f>SUMIFS(tbl_task10[S137],tbl_task10[[SubPLOs]:[SubPLOs]],"&gt;=7",tbl_task10[[SubPLOs]:[SubPLOs]],"&lt;8")</f>
        <v>0</v>
      </c>
      <c r="EM40" s="138">
        <f>SUMIFS(tbl_task10[S138],tbl_task10[[SubPLOs]:[SubPLOs]],"&gt;=7",tbl_task10[[SubPLOs]:[SubPLOs]],"&lt;8")</f>
        <v>0</v>
      </c>
      <c r="EN40" s="138">
        <f>SUMIFS(tbl_task10[S139],tbl_task10[[SubPLOs]:[SubPLOs]],"&gt;=7",tbl_task10[[SubPLOs]:[SubPLOs]],"&lt;8")</f>
        <v>0</v>
      </c>
      <c r="EO40" s="138">
        <f>SUMIFS(tbl_task10[S140],tbl_task10[[SubPLOs]:[SubPLOs]],"&gt;=7",tbl_task10[[SubPLOs]:[SubPLOs]],"&lt;8")</f>
        <v>0</v>
      </c>
      <c r="EP40" s="138">
        <f>SUMIFS(tbl_task10[S141],tbl_task10[[SubPLOs]:[SubPLOs]],"&gt;=7",tbl_task10[[SubPLOs]:[SubPLOs]],"&lt;8")</f>
        <v>0</v>
      </c>
      <c r="EQ40" s="138">
        <f>SUMIFS(tbl_task10[S142],tbl_task10[[SubPLOs]:[SubPLOs]],"&gt;=7",tbl_task10[[SubPLOs]:[SubPLOs]],"&lt;8")</f>
        <v>0</v>
      </c>
      <c r="ER40" s="138">
        <f>SUMIFS(tbl_task10[S143],tbl_task10[[SubPLOs]:[SubPLOs]],"&gt;=7",tbl_task10[[SubPLOs]:[SubPLOs]],"&lt;8")</f>
        <v>0</v>
      </c>
      <c r="ES40" s="138">
        <f>SUMIFS(tbl_task10[S144],tbl_task10[[SubPLOs]:[SubPLOs]],"&gt;=7",tbl_task10[[SubPLOs]:[SubPLOs]],"&lt;8")</f>
        <v>0</v>
      </c>
      <c r="ET40" s="138">
        <f>SUMIFS(tbl_task10[S145],tbl_task10[[SubPLOs]:[SubPLOs]],"&gt;=7",tbl_task10[[SubPLOs]:[SubPLOs]],"&lt;8")</f>
        <v>0</v>
      </c>
      <c r="EU40" s="138">
        <f>SUMIFS(tbl_task10[S146],tbl_task10[[SubPLOs]:[SubPLOs]],"&gt;=7",tbl_task10[[SubPLOs]:[SubPLOs]],"&lt;8")</f>
        <v>0</v>
      </c>
      <c r="EV40" s="138">
        <f>SUMIFS(tbl_task10[S147],tbl_task10[[SubPLOs]:[SubPLOs]],"&gt;=7",tbl_task10[[SubPLOs]:[SubPLOs]],"&lt;8")</f>
        <v>0</v>
      </c>
      <c r="EW40" s="138">
        <f>SUMIFS(tbl_task10[S148],tbl_task10[[SubPLOs]:[SubPLOs]],"&gt;=7",tbl_task10[[SubPLOs]:[SubPLOs]],"&lt;8")</f>
        <v>0</v>
      </c>
      <c r="EX40" s="138">
        <f>SUMIFS(tbl_task10[S149],tbl_task10[[SubPLOs]:[SubPLOs]],"&gt;=7",tbl_task10[[SubPLOs]:[SubPLOs]],"&lt;8")</f>
        <v>0</v>
      </c>
      <c r="EY40" s="138">
        <f>SUMIFS(tbl_task10[S150],tbl_task10[[SubPLOs]:[SubPLOs]],"&gt;=7",tbl_task10[[SubPLOs]:[SubPLOs]],"&lt;8")</f>
        <v>0</v>
      </c>
      <c r="EZ40" s="138">
        <f>SUMIFS(tbl_task10[S151],tbl_task10[[SubPLOs]:[SubPLOs]],"&gt;=7",tbl_task10[[SubPLOs]:[SubPLOs]],"&lt;8")</f>
        <v>0</v>
      </c>
      <c r="FA40" s="138">
        <f>SUMIFS(tbl_task10[S152],tbl_task10[[SubPLOs]:[SubPLOs]],"&gt;=7",tbl_task10[[SubPLOs]:[SubPLOs]],"&lt;8")</f>
        <v>0</v>
      </c>
      <c r="FB40" s="138">
        <f>SUMIFS(tbl_task10[S153],tbl_task10[[SubPLOs]:[SubPLOs]],"&gt;=7",tbl_task10[[SubPLOs]:[SubPLOs]],"&lt;8")</f>
        <v>0</v>
      </c>
      <c r="FC40" s="138">
        <f>SUMIFS(tbl_task10[S154],tbl_task10[[SubPLOs]:[SubPLOs]],"&gt;=7",tbl_task10[[SubPLOs]:[SubPLOs]],"&lt;8")</f>
        <v>0</v>
      </c>
      <c r="FD40" s="138">
        <f>SUMIFS(tbl_task10[S155],tbl_task10[[SubPLOs]:[SubPLOs]],"&gt;=7",tbl_task10[[SubPLOs]:[SubPLOs]],"&lt;8")</f>
        <v>0</v>
      </c>
      <c r="FE40" s="138">
        <f>SUMIFS(tbl_task10[S156],tbl_task10[[SubPLOs]:[SubPLOs]],"&gt;=7",tbl_task10[[SubPLOs]:[SubPLOs]],"&lt;8")</f>
        <v>0</v>
      </c>
      <c r="FF40" s="138">
        <f>SUMIFS(tbl_task10[S157],tbl_task10[[SubPLOs]:[SubPLOs]],"&gt;=7",tbl_task10[[SubPLOs]:[SubPLOs]],"&lt;8")</f>
        <v>0</v>
      </c>
      <c r="FG40" s="138">
        <f>SUMIFS(tbl_task10[S158],tbl_task10[[SubPLOs]:[SubPLOs]],"&gt;=7",tbl_task10[[SubPLOs]:[SubPLOs]],"&lt;8")</f>
        <v>0</v>
      </c>
      <c r="FH40" s="138">
        <f>SUMIFS(tbl_task10[S159],tbl_task10[[SubPLOs]:[SubPLOs]],"&gt;=7",tbl_task10[[SubPLOs]:[SubPLOs]],"&lt;8")</f>
        <v>0</v>
      </c>
      <c r="FI40" s="138">
        <f>SUMIFS(tbl_task10[S160],tbl_task10[[SubPLOs]:[SubPLOs]],"&gt;=7",tbl_task10[[SubPLOs]:[SubPLOs]],"&lt;8")</f>
        <v>0</v>
      </c>
      <c r="FJ40" s="138">
        <f>SUMIFS(tbl_task10[S161],tbl_task10[[SubPLOs]:[SubPLOs]],"&gt;=7",tbl_task10[[SubPLOs]:[SubPLOs]],"&lt;8")</f>
        <v>0</v>
      </c>
      <c r="FK40" s="138">
        <f>SUMIFS(tbl_task10[S162],tbl_task10[[SubPLOs]:[SubPLOs]],"&gt;=7",tbl_task10[[SubPLOs]:[SubPLOs]],"&lt;8")</f>
        <v>0</v>
      </c>
      <c r="FL40" s="138">
        <f>SUMIFS(tbl_task10[S163],tbl_task10[[SubPLOs]:[SubPLOs]],"&gt;=7",tbl_task10[[SubPLOs]:[SubPLOs]],"&lt;8")</f>
        <v>0</v>
      </c>
      <c r="FM40" s="138">
        <f>SUMIFS(tbl_task10[S164],tbl_task10[[SubPLOs]:[SubPLOs]],"&gt;=7",tbl_task10[[SubPLOs]:[SubPLOs]],"&lt;8")</f>
        <v>0</v>
      </c>
      <c r="FN40" s="138">
        <f>SUMIFS(tbl_task10[S165],tbl_task10[[SubPLOs]:[SubPLOs]],"&gt;=7",tbl_task10[[SubPLOs]:[SubPLOs]],"&lt;8")</f>
        <v>0</v>
      </c>
    </row>
    <row r="41" spans="1:335" ht="63" x14ac:dyDescent="0.25">
      <c r="A41" s="135">
        <v>8</v>
      </c>
      <c r="B41" s="5" t="s">
        <v>441</v>
      </c>
      <c r="C41" s="136">
        <f>COUNTIFS(tbl_task10[SubPLOs],"&gt;=8",tbl_task10[SubPLOs],"&lt;9")</f>
        <v>0</v>
      </c>
      <c r="D41" s="136">
        <f>SUMIFS(tbl_task10[คะแนนเต็ม],tbl_task10[SubPLOs],"&gt;=8",tbl_task10[SubPLOs],"&lt;9")</f>
        <v>0</v>
      </c>
      <c r="E41" s="137">
        <f>SUMIFS(tbl_task10[%],tbl_task10[SubPLOs],"&gt;=8",tbl_task10[SubPLOs],"&lt;9")</f>
        <v>0</v>
      </c>
      <c r="F41" s="138">
        <f>SUMIFS(tbl_task10[S1],tbl_task10[[SubPLOs]:[SubPLOs]],"&gt;=8",tbl_task10[[SubPLOs]:[SubPLOs]],"&lt;9")</f>
        <v>0</v>
      </c>
      <c r="G41" s="138">
        <f>SUMIFS(tbl_task10[S2],tbl_task10[[SubPLOs]:[SubPLOs]],"&gt;=8",tbl_task10[[SubPLOs]:[SubPLOs]],"&lt;9")</f>
        <v>0</v>
      </c>
      <c r="H41" s="138">
        <f>SUMIFS(tbl_task10[S3],tbl_task10[[SubPLOs]:[SubPLOs]],"&gt;=8",tbl_task10[[SubPLOs]:[SubPLOs]],"&lt;9")</f>
        <v>0</v>
      </c>
      <c r="I41" s="138">
        <f>SUMIFS(tbl_task10[S4],tbl_task10[[SubPLOs]:[SubPLOs]],"&gt;=8",tbl_task10[[SubPLOs]:[SubPLOs]],"&lt;9")</f>
        <v>0</v>
      </c>
      <c r="J41" s="138">
        <f>SUMIFS(tbl_task10[S5],tbl_task10[[SubPLOs]:[SubPLOs]],"&gt;=8",tbl_task10[[SubPLOs]:[SubPLOs]],"&lt;9")</f>
        <v>0</v>
      </c>
      <c r="K41" s="138">
        <f>SUMIFS(tbl_task10[S6],tbl_task10[[SubPLOs]:[SubPLOs]],"&gt;=8",tbl_task10[[SubPLOs]:[SubPLOs]],"&lt;9")</f>
        <v>0</v>
      </c>
      <c r="L41" s="138">
        <f>SUMIFS(tbl_task10[S7],tbl_task10[[SubPLOs]:[SubPLOs]],"&gt;=8",tbl_task10[[SubPLOs]:[SubPLOs]],"&lt;9")</f>
        <v>0</v>
      </c>
      <c r="M41" s="138">
        <f>SUMIFS(tbl_task10[S8],tbl_task10[[SubPLOs]:[SubPLOs]],"&gt;=8",tbl_task10[[SubPLOs]:[SubPLOs]],"&lt;9")</f>
        <v>0</v>
      </c>
      <c r="N41" s="138">
        <f>SUMIFS(tbl_task10[S9],tbl_task10[[SubPLOs]:[SubPLOs]],"&gt;=8",tbl_task10[[SubPLOs]:[SubPLOs]],"&lt;9")</f>
        <v>0</v>
      </c>
      <c r="O41" s="138">
        <f>SUMIFS(tbl_task10[S10],tbl_task10[[SubPLOs]:[SubPLOs]],"&gt;=8",tbl_task10[[SubPLOs]:[SubPLOs]],"&lt;9")</f>
        <v>0</v>
      </c>
      <c r="P41" s="138">
        <f>SUMIFS(tbl_task10[S11],tbl_task10[[SubPLOs]:[SubPLOs]],"&gt;=8",tbl_task10[[SubPLOs]:[SubPLOs]],"&lt;9")</f>
        <v>0</v>
      </c>
      <c r="Q41" s="138">
        <f>SUMIFS(tbl_task10[S12],tbl_task10[[SubPLOs]:[SubPLOs]],"&gt;=8",tbl_task10[[SubPLOs]:[SubPLOs]],"&lt;9")</f>
        <v>0</v>
      </c>
      <c r="R41" s="138">
        <f>SUMIFS(tbl_task10[S13],tbl_task10[[SubPLOs]:[SubPLOs]],"&gt;=8",tbl_task10[[SubPLOs]:[SubPLOs]],"&lt;9")</f>
        <v>0</v>
      </c>
      <c r="S41" s="138">
        <f>SUMIFS(tbl_task10[S14],tbl_task10[[SubPLOs]:[SubPLOs]],"&gt;=8",tbl_task10[[SubPLOs]:[SubPLOs]],"&lt;9")</f>
        <v>0</v>
      </c>
      <c r="T41" s="138">
        <f>SUMIFS(tbl_task10[S15],tbl_task10[[SubPLOs]:[SubPLOs]],"&gt;=8",tbl_task10[[SubPLOs]:[SubPLOs]],"&lt;9")</f>
        <v>0</v>
      </c>
      <c r="U41" s="138">
        <f>SUMIFS(tbl_task10[S16],tbl_task10[[SubPLOs]:[SubPLOs]],"&gt;=8",tbl_task10[[SubPLOs]:[SubPLOs]],"&lt;9")</f>
        <v>0</v>
      </c>
      <c r="V41" s="138">
        <f>SUMIFS(tbl_task10[S17],tbl_task10[[SubPLOs]:[SubPLOs]],"&gt;=8",tbl_task10[[SubPLOs]:[SubPLOs]],"&lt;9")</f>
        <v>0</v>
      </c>
      <c r="W41" s="138">
        <f>SUMIFS(tbl_task10[S18],tbl_task10[[SubPLOs]:[SubPLOs]],"&gt;=8",tbl_task10[[SubPLOs]:[SubPLOs]],"&lt;9")</f>
        <v>0</v>
      </c>
      <c r="X41" s="138">
        <f>SUMIFS(tbl_task10[S19],tbl_task10[[SubPLOs]:[SubPLOs]],"&gt;=8",tbl_task10[[SubPLOs]:[SubPLOs]],"&lt;9")</f>
        <v>0</v>
      </c>
      <c r="Y41" s="138">
        <f>SUMIFS(tbl_task10[S20],tbl_task10[[SubPLOs]:[SubPLOs]],"&gt;=8",tbl_task10[[SubPLOs]:[SubPLOs]],"&lt;9")</f>
        <v>0</v>
      </c>
      <c r="Z41" s="138">
        <f>SUMIFS(tbl_task10[S21],tbl_task10[[SubPLOs]:[SubPLOs]],"&gt;=8",tbl_task10[[SubPLOs]:[SubPLOs]],"&lt;9")</f>
        <v>0</v>
      </c>
      <c r="AA41" s="138">
        <f>SUMIFS(tbl_task10[S22],tbl_task10[[SubPLOs]:[SubPLOs]],"&gt;=8",tbl_task10[[SubPLOs]:[SubPLOs]],"&lt;9")</f>
        <v>0</v>
      </c>
      <c r="AB41" s="138">
        <f>SUMIFS(tbl_task10[S23],tbl_task10[[SubPLOs]:[SubPLOs]],"&gt;=8",tbl_task10[[SubPLOs]:[SubPLOs]],"&lt;9")</f>
        <v>0</v>
      </c>
      <c r="AC41" s="138">
        <f>SUMIFS(tbl_task10[S24],tbl_task10[[SubPLOs]:[SubPLOs]],"&gt;=8",tbl_task10[[SubPLOs]:[SubPLOs]],"&lt;9")</f>
        <v>0</v>
      </c>
      <c r="AD41" s="138">
        <f>SUMIFS(tbl_task10[S25],tbl_task10[[SubPLOs]:[SubPLOs]],"&gt;=8",tbl_task10[[SubPLOs]:[SubPLOs]],"&lt;9")</f>
        <v>0</v>
      </c>
      <c r="AE41" s="138">
        <f>SUMIFS(tbl_task10[S26],tbl_task10[[SubPLOs]:[SubPLOs]],"&gt;=8",tbl_task10[[SubPLOs]:[SubPLOs]],"&lt;9")</f>
        <v>0</v>
      </c>
      <c r="AF41" s="138">
        <f>SUMIFS(tbl_task10[S27],tbl_task10[[SubPLOs]:[SubPLOs]],"&gt;=8",tbl_task10[[SubPLOs]:[SubPLOs]],"&lt;9")</f>
        <v>0</v>
      </c>
      <c r="AG41" s="138">
        <f>SUMIFS(tbl_task10[S28],tbl_task10[[SubPLOs]:[SubPLOs]],"&gt;=8",tbl_task10[[SubPLOs]:[SubPLOs]],"&lt;9")</f>
        <v>0</v>
      </c>
      <c r="AH41" s="138">
        <f>SUMIFS(tbl_task10[S29],tbl_task10[[SubPLOs]:[SubPLOs]],"&gt;=8",tbl_task10[[SubPLOs]:[SubPLOs]],"&lt;9")</f>
        <v>0</v>
      </c>
      <c r="AI41" s="138">
        <f>SUMIFS(tbl_task10[S30],tbl_task10[[SubPLOs]:[SubPLOs]],"&gt;=8",tbl_task10[[SubPLOs]:[SubPLOs]],"&lt;9")</f>
        <v>0</v>
      </c>
      <c r="AJ41" s="138">
        <f>SUMIFS(tbl_task10[S31],tbl_task10[[SubPLOs]:[SubPLOs]],"&gt;=8",tbl_task10[[SubPLOs]:[SubPLOs]],"&lt;9")</f>
        <v>0</v>
      </c>
      <c r="AK41" s="138">
        <f>SUMIFS(tbl_task10[S32],tbl_task10[[SubPLOs]:[SubPLOs]],"&gt;=8",tbl_task10[[SubPLOs]:[SubPLOs]],"&lt;9")</f>
        <v>0</v>
      </c>
      <c r="AL41" s="138">
        <f>SUMIFS(tbl_task10[S33],tbl_task10[[SubPLOs]:[SubPLOs]],"&gt;=8",tbl_task10[[SubPLOs]:[SubPLOs]],"&lt;9")</f>
        <v>0</v>
      </c>
      <c r="AM41" s="138">
        <f>SUMIFS(tbl_task10[S34],tbl_task10[[SubPLOs]:[SubPLOs]],"&gt;=8",tbl_task10[[SubPLOs]:[SubPLOs]],"&lt;9")</f>
        <v>0</v>
      </c>
      <c r="AN41" s="138">
        <f>SUMIFS(tbl_task10[S35],tbl_task10[[SubPLOs]:[SubPLOs]],"&gt;=8",tbl_task10[[SubPLOs]:[SubPLOs]],"&lt;9")</f>
        <v>0</v>
      </c>
      <c r="AO41" s="138">
        <f>SUMIFS(tbl_task10[S36],tbl_task10[[SubPLOs]:[SubPLOs]],"&gt;=8",tbl_task10[[SubPLOs]:[SubPLOs]],"&lt;9")</f>
        <v>0</v>
      </c>
      <c r="AP41" s="138">
        <f>SUMIFS(tbl_task10[S37],tbl_task10[[SubPLOs]:[SubPLOs]],"&gt;=8",tbl_task10[[SubPLOs]:[SubPLOs]],"&lt;9")</f>
        <v>0</v>
      </c>
      <c r="AQ41" s="138">
        <f>SUMIFS(tbl_task10[S38],tbl_task10[[SubPLOs]:[SubPLOs]],"&gt;=8",tbl_task10[[SubPLOs]:[SubPLOs]],"&lt;9")</f>
        <v>0</v>
      </c>
      <c r="AR41" s="138">
        <f>SUMIFS(tbl_task10[S39],tbl_task10[[SubPLOs]:[SubPLOs]],"&gt;=8",tbl_task10[[SubPLOs]:[SubPLOs]],"&lt;9")</f>
        <v>0</v>
      </c>
      <c r="AS41" s="138">
        <f>SUMIFS(tbl_task10[S40],tbl_task10[[SubPLOs]:[SubPLOs]],"&gt;=8",tbl_task10[[SubPLOs]:[SubPLOs]],"&lt;9")</f>
        <v>0</v>
      </c>
      <c r="AT41" s="138">
        <f>SUMIFS(tbl_task10[S41],tbl_task10[[SubPLOs]:[SubPLOs]],"&gt;=8",tbl_task10[[SubPLOs]:[SubPLOs]],"&lt;9")</f>
        <v>0</v>
      </c>
      <c r="AU41" s="138">
        <f>SUMIFS(tbl_task10[S42],tbl_task10[[SubPLOs]:[SubPLOs]],"&gt;=8",tbl_task10[[SubPLOs]:[SubPLOs]],"&lt;9")</f>
        <v>0</v>
      </c>
      <c r="AV41" s="138">
        <f>SUMIFS(tbl_task10[S43],tbl_task10[[SubPLOs]:[SubPLOs]],"&gt;=8",tbl_task10[[SubPLOs]:[SubPLOs]],"&lt;9")</f>
        <v>0</v>
      </c>
      <c r="AW41" s="138">
        <f>SUMIFS(tbl_task10[S44],tbl_task10[[SubPLOs]:[SubPLOs]],"&gt;=8",tbl_task10[[SubPLOs]:[SubPLOs]],"&lt;9")</f>
        <v>0</v>
      </c>
      <c r="AX41" s="138">
        <f>SUMIFS(tbl_task10[S45],tbl_task10[[SubPLOs]:[SubPLOs]],"&gt;=8",tbl_task10[[SubPLOs]:[SubPLOs]],"&lt;9")</f>
        <v>0</v>
      </c>
      <c r="AY41" s="138">
        <f>SUMIFS(tbl_task10[S46],tbl_task10[[SubPLOs]:[SubPLOs]],"&gt;=8",tbl_task10[[SubPLOs]:[SubPLOs]],"&lt;9")</f>
        <v>0</v>
      </c>
      <c r="AZ41" s="138">
        <f>SUMIFS(tbl_task10[S47],tbl_task10[[SubPLOs]:[SubPLOs]],"&gt;=8",tbl_task10[[SubPLOs]:[SubPLOs]],"&lt;9")</f>
        <v>0</v>
      </c>
      <c r="BA41" s="138">
        <f>SUMIFS(tbl_task10[S48],tbl_task10[[SubPLOs]:[SubPLOs]],"&gt;=8",tbl_task10[[SubPLOs]:[SubPLOs]],"&lt;9")</f>
        <v>0</v>
      </c>
      <c r="BB41" s="138">
        <f>SUMIFS(tbl_task10[S49],tbl_task10[[SubPLOs]:[SubPLOs]],"&gt;=8",tbl_task10[[SubPLOs]:[SubPLOs]],"&lt;9")</f>
        <v>0</v>
      </c>
      <c r="BC41" s="138">
        <f>SUMIFS(tbl_task10[S50],tbl_task10[[SubPLOs]:[SubPLOs]],"&gt;=8",tbl_task10[[SubPLOs]:[SubPLOs]],"&lt;9")</f>
        <v>0</v>
      </c>
      <c r="BD41" s="138">
        <f>SUMIFS(tbl_task10[S51],tbl_task10[[SubPLOs]:[SubPLOs]],"&gt;=8",tbl_task10[[SubPLOs]:[SubPLOs]],"&lt;9")</f>
        <v>0</v>
      </c>
      <c r="BE41" s="138">
        <f>SUMIFS(tbl_task10[S52],tbl_task10[[SubPLOs]:[SubPLOs]],"&gt;=8",tbl_task10[[SubPLOs]:[SubPLOs]],"&lt;9")</f>
        <v>0</v>
      </c>
      <c r="BF41" s="138">
        <f>SUMIFS(tbl_task10[S53],tbl_task10[[SubPLOs]:[SubPLOs]],"&gt;=8",tbl_task10[[SubPLOs]:[SubPLOs]],"&lt;9")</f>
        <v>0</v>
      </c>
      <c r="BG41" s="138">
        <f>SUMIFS(tbl_task10[S54],tbl_task10[[SubPLOs]:[SubPLOs]],"&gt;=8",tbl_task10[[SubPLOs]:[SubPLOs]],"&lt;9")</f>
        <v>0</v>
      </c>
      <c r="BH41" s="138">
        <f>SUMIFS(tbl_task10[S55],tbl_task10[[SubPLOs]:[SubPLOs]],"&gt;=8",tbl_task10[[SubPLOs]:[SubPLOs]],"&lt;9")</f>
        <v>0</v>
      </c>
      <c r="BI41" s="138">
        <f>SUMIFS(tbl_task10[S56],tbl_task10[[SubPLOs]:[SubPLOs]],"&gt;=8",tbl_task10[[SubPLOs]:[SubPLOs]],"&lt;9")</f>
        <v>0</v>
      </c>
      <c r="BJ41" s="138">
        <f>SUMIFS(tbl_task10[S57],tbl_task10[[SubPLOs]:[SubPLOs]],"&gt;=8",tbl_task10[[SubPLOs]:[SubPLOs]],"&lt;9")</f>
        <v>0</v>
      </c>
      <c r="BK41" s="138">
        <f>SUMIFS(tbl_task10[S58],tbl_task10[[SubPLOs]:[SubPLOs]],"&gt;=8",tbl_task10[[SubPLOs]:[SubPLOs]],"&lt;9")</f>
        <v>0</v>
      </c>
      <c r="BL41" s="138">
        <f>SUMIFS(tbl_task10[S59],tbl_task10[[SubPLOs]:[SubPLOs]],"&gt;=8",tbl_task10[[SubPLOs]:[SubPLOs]],"&lt;9")</f>
        <v>0</v>
      </c>
      <c r="BM41" s="138">
        <f>SUMIFS(tbl_task10[S60],tbl_task10[[SubPLOs]:[SubPLOs]],"&gt;=8",tbl_task10[[SubPLOs]:[SubPLOs]],"&lt;9")</f>
        <v>0</v>
      </c>
      <c r="BN41" s="138">
        <f>SUMIFS(tbl_task10[S61],tbl_task10[[SubPLOs]:[SubPLOs]],"&gt;=8",tbl_task10[[SubPLOs]:[SubPLOs]],"&lt;9")</f>
        <v>0</v>
      </c>
      <c r="BO41" s="138">
        <f>SUMIFS(tbl_task10[S62],tbl_task10[[SubPLOs]:[SubPLOs]],"&gt;=8",tbl_task10[[SubPLOs]:[SubPLOs]],"&lt;9")</f>
        <v>0</v>
      </c>
      <c r="BP41" s="138">
        <f>SUMIFS(tbl_task10[S63],tbl_task10[[SubPLOs]:[SubPLOs]],"&gt;=8",tbl_task10[[SubPLOs]:[SubPLOs]],"&lt;9")</f>
        <v>0</v>
      </c>
      <c r="BQ41" s="138">
        <f>SUMIFS(tbl_task10[S64],tbl_task10[[SubPLOs]:[SubPLOs]],"&gt;=8",tbl_task10[[SubPLOs]:[SubPLOs]],"&lt;9")</f>
        <v>0</v>
      </c>
      <c r="BR41" s="138">
        <f>SUMIFS(tbl_task10[S65],tbl_task10[[SubPLOs]:[SubPLOs]],"&gt;=8",tbl_task10[[SubPLOs]:[SubPLOs]],"&lt;9")</f>
        <v>0</v>
      </c>
      <c r="BS41" s="138">
        <f>SUMIFS(tbl_task10[S66],tbl_task10[[SubPLOs]:[SubPLOs]],"&gt;=8",tbl_task10[[SubPLOs]:[SubPLOs]],"&lt;9")</f>
        <v>0</v>
      </c>
      <c r="BT41" s="138">
        <f>SUMIFS(tbl_task10[S67],tbl_task10[[SubPLOs]:[SubPLOs]],"&gt;=8",tbl_task10[[SubPLOs]:[SubPLOs]],"&lt;9")</f>
        <v>0</v>
      </c>
      <c r="BU41" s="138">
        <f>SUMIFS(tbl_task10[S68],tbl_task10[[SubPLOs]:[SubPLOs]],"&gt;=8",tbl_task10[[SubPLOs]:[SubPLOs]],"&lt;9")</f>
        <v>0</v>
      </c>
      <c r="BV41" s="138">
        <f>SUMIFS(tbl_task10[S69],tbl_task10[[SubPLOs]:[SubPLOs]],"&gt;=8",tbl_task10[[SubPLOs]:[SubPLOs]],"&lt;9")</f>
        <v>0</v>
      </c>
      <c r="BW41" s="138">
        <f>SUMIFS(tbl_task10[S70],tbl_task10[[SubPLOs]:[SubPLOs]],"&gt;=8",tbl_task10[[SubPLOs]:[SubPLOs]],"&lt;9")</f>
        <v>0</v>
      </c>
      <c r="BX41" s="138">
        <f>SUMIFS(tbl_task10[S71],tbl_task10[[SubPLOs]:[SubPLOs]],"&gt;=8",tbl_task10[[SubPLOs]:[SubPLOs]],"&lt;9")</f>
        <v>0</v>
      </c>
      <c r="BY41" s="138">
        <f>SUMIFS(tbl_task10[S72],tbl_task10[[SubPLOs]:[SubPLOs]],"&gt;=8",tbl_task10[[SubPLOs]:[SubPLOs]],"&lt;9")</f>
        <v>0</v>
      </c>
      <c r="BZ41" s="138">
        <f>SUMIFS(tbl_task10[S73],tbl_task10[[SubPLOs]:[SubPLOs]],"&gt;=8",tbl_task10[[SubPLOs]:[SubPLOs]],"&lt;9")</f>
        <v>0</v>
      </c>
      <c r="CA41" s="138">
        <f>SUMIFS(tbl_task10[S74],tbl_task10[[SubPLOs]:[SubPLOs]],"&gt;=8",tbl_task10[[SubPLOs]:[SubPLOs]],"&lt;9")</f>
        <v>0</v>
      </c>
      <c r="CB41" s="138">
        <f>SUMIFS(tbl_task10[S75],tbl_task10[[SubPLOs]:[SubPLOs]],"&gt;=8",tbl_task10[[SubPLOs]:[SubPLOs]],"&lt;9")</f>
        <v>0</v>
      </c>
      <c r="CC41" s="138">
        <f>SUMIFS(tbl_task10[S76],tbl_task10[[SubPLOs]:[SubPLOs]],"&gt;=8",tbl_task10[[SubPLOs]:[SubPLOs]],"&lt;9")</f>
        <v>0</v>
      </c>
      <c r="CD41" s="138">
        <f>SUMIFS(tbl_task10[S77],tbl_task10[[SubPLOs]:[SubPLOs]],"&gt;=8",tbl_task10[[SubPLOs]:[SubPLOs]],"&lt;9")</f>
        <v>0</v>
      </c>
      <c r="CE41" s="138">
        <f>SUMIFS(tbl_task10[S78],tbl_task10[[SubPLOs]:[SubPLOs]],"&gt;=8",tbl_task10[[SubPLOs]:[SubPLOs]],"&lt;9")</f>
        <v>0</v>
      </c>
      <c r="CF41" s="138">
        <f>SUMIFS(tbl_task10[S79],tbl_task10[[SubPLOs]:[SubPLOs]],"&gt;=8",tbl_task10[[SubPLOs]:[SubPLOs]],"&lt;9")</f>
        <v>0</v>
      </c>
      <c r="CG41" s="138">
        <f>SUMIFS(tbl_task10[S80],tbl_task10[[SubPLOs]:[SubPLOs]],"&gt;=8",tbl_task10[[SubPLOs]:[SubPLOs]],"&lt;9")</f>
        <v>0</v>
      </c>
      <c r="CH41" s="138">
        <f>SUMIFS(tbl_task10[S81],tbl_task10[[SubPLOs]:[SubPLOs]],"&gt;=8",tbl_task10[[SubPLOs]:[SubPLOs]],"&lt;9")</f>
        <v>0</v>
      </c>
      <c r="CI41" s="138">
        <f>SUMIFS(tbl_task10[S82],tbl_task10[[SubPLOs]:[SubPLOs]],"&gt;=8",tbl_task10[[SubPLOs]:[SubPLOs]],"&lt;9")</f>
        <v>0</v>
      </c>
      <c r="CJ41" s="138">
        <f>SUMIFS(tbl_task10[S83],tbl_task10[[SubPLOs]:[SubPLOs]],"&gt;=8",tbl_task10[[SubPLOs]:[SubPLOs]],"&lt;9")</f>
        <v>0</v>
      </c>
      <c r="CK41" s="138">
        <f>SUMIFS(tbl_task10[S84],tbl_task10[[SubPLOs]:[SubPLOs]],"&gt;=8",tbl_task10[[SubPLOs]:[SubPLOs]],"&lt;9")</f>
        <v>0</v>
      </c>
      <c r="CL41" s="138">
        <f>SUMIFS(tbl_task10[S85],tbl_task10[[SubPLOs]:[SubPLOs]],"&gt;=8",tbl_task10[[SubPLOs]:[SubPLOs]],"&lt;9")</f>
        <v>0</v>
      </c>
      <c r="CM41" s="138">
        <f>SUMIFS(tbl_task10[S86],tbl_task10[[SubPLOs]:[SubPLOs]],"&gt;=8",tbl_task10[[SubPLOs]:[SubPLOs]],"&lt;9")</f>
        <v>0</v>
      </c>
      <c r="CN41" s="138">
        <f>SUMIFS(tbl_task10[S87],tbl_task10[[SubPLOs]:[SubPLOs]],"&gt;=8",tbl_task10[[SubPLOs]:[SubPLOs]],"&lt;9")</f>
        <v>0</v>
      </c>
      <c r="CO41" s="138">
        <f>SUMIFS(tbl_task10[S88],tbl_task10[[SubPLOs]:[SubPLOs]],"&gt;=8",tbl_task10[[SubPLOs]:[SubPLOs]],"&lt;9")</f>
        <v>0</v>
      </c>
      <c r="CP41" s="138">
        <f>SUMIFS(tbl_task10[S89],tbl_task10[[SubPLOs]:[SubPLOs]],"&gt;=8",tbl_task10[[SubPLOs]:[SubPLOs]],"&lt;9")</f>
        <v>0</v>
      </c>
      <c r="CQ41" s="138">
        <f>SUMIFS(tbl_task10[S90],tbl_task10[[SubPLOs]:[SubPLOs]],"&gt;=8",tbl_task10[[SubPLOs]:[SubPLOs]],"&lt;9")</f>
        <v>0</v>
      </c>
      <c r="CR41" s="138">
        <f>SUMIFS(tbl_task10[S91],tbl_task10[[SubPLOs]:[SubPLOs]],"&gt;=8",tbl_task10[[SubPLOs]:[SubPLOs]],"&lt;9")</f>
        <v>0</v>
      </c>
      <c r="CS41" s="138">
        <f>SUMIFS(tbl_task10[S92],tbl_task10[[SubPLOs]:[SubPLOs]],"&gt;=8",tbl_task10[[SubPLOs]:[SubPLOs]],"&lt;9")</f>
        <v>0</v>
      </c>
      <c r="CT41" s="138">
        <f>SUMIFS(tbl_task10[S93],tbl_task10[[SubPLOs]:[SubPLOs]],"&gt;=8",tbl_task10[[SubPLOs]:[SubPLOs]],"&lt;9")</f>
        <v>0</v>
      </c>
      <c r="CU41" s="138">
        <f>SUMIFS(tbl_task10[S94],tbl_task10[[SubPLOs]:[SubPLOs]],"&gt;=8",tbl_task10[[SubPLOs]:[SubPLOs]],"&lt;9")</f>
        <v>0</v>
      </c>
      <c r="CV41" s="138">
        <f>SUMIFS(tbl_task10[S95],tbl_task10[[SubPLOs]:[SubPLOs]],"&gt;=8",tbl_task10[[SubPLOs]:[SubPLOs]],"&lt;9")</f>
        <v>0</v>
      </c>
      <c r="CW41" s="138">
        <f>SUMIFS(tbl_task10[S96],tbl_task10[[SubPLOs]:[SubPLOs]],"&gt;=8",tbl_task10[[SubPLOs]:[SubPLOs]],"&lt;9")</f>
        <v>0</v>
      </c>
      <c r="CX41" s="138">
        <f>SUMIFS(tbl_task10[S97],tbl_task10[[SubPLOs]:[SubPLOs]],"&gt;=8",tbl_task10[[SubPLOs]:[SubPLOs]],"&lt;9")</f>
        <v>0</v>
      </c>
      <c r="CY41" s="138">
        <f>SUMIFS(tbl_task10[S98],tbl_task10[[SubPLOs]:[SubPLOs]],"&gt;=8",tbl_task10[[SubPLOs]:[SubPLOs]],"&lt;9")</f>
        <v>0</v>
      </c>
      <c r="CZ41" s="138">
        <f>SUMIFS(tbl_task10[S99],tbl_task10[[SubPLOs]:[SubPLOs]],"&gt;=8",tbl_task10[[SubPLOs]:[SubPLOs]],"&lt;9")</f>
        <v>0</v>
      </c>
      <c r="DA41" s="138">
        <f>SUMIFS(tbl_task10[S100],tbl_task10[[SubPLOs]:[SubPLOs]],"&gt;=8",tbl_task10[[SubPLOs]:[SubPLOs]],"&lt;9")</f>
        <v>0</v>
      </c>
      <c r="DB41" s="138">
        <f>SUMIFS(tbl_task10[S101],tbl_task10[[SubPLOs]:[SubPLOs]],"&gt;=8",tbl_task10[[SubPLOs]:[SubPLOs]],"&lt;9")</f>
        <v>0</v>
      </c>
      <c r="DC41" s="138">
        <f>SUMIFS(tbl_task10[S102],tbl_task10[[SubPLOs]:[SubPLOs]],"&gt;=8",tbl_task10[[SubPLOs]:[SubPLOs]],"&lt;9")</f>
        <v>0</v>
      </c>
      <c r="DD41" s="138">
        <f>SUMIFS(tbl_task10[S103],tbl_task10[[SubPLOs]:[SubPLOs]],"&gt;=8",tbl_task10[[SubPLOs]:[SubPLOs]],"&lt;9")</f>
        <v>0</v>
      </c>
      <c r="DE41" s="138">
        <f>SUMIFS(tbl_task10[S104],tbl_task10[[SubPLOs]:[SubPLOs]],"&gt;=8",tbl_task10[[SubPLOs]:[SubPLOs]],"&lt;9")</f>
        <v>0</v>
      </c>
      <c r="DF41" s="138">
        <f>SUMIFS(tbl_task10[S105],tbl_task10[[SubPLOs]:[SubPLOs]],"&gt;=8",tbl_task10[[SubPLOs]:[SubPLOs]],"&lt;9")</f>
        <v>0</v>
      </c>
      <c r="DG41" s="138">
        <f>SUMIFS(tbl_task10[S106],tbl_task10[[SubPLOs]:[SubPLOs]],"&gt;=8",tbl_task10[[SubPLOs]:[SubPLOs]],"&lt;9")</f>
        <v>0</v>
      </c>
      <c r="DH41" s="138">
        <f>SUMIFS(tbl_task10[S106],tbl_task10[[SubPLOs]:[SubPLOs]],"&gt;=8",tbl_task10[[SubPLOs]:[SubPLOs]],"&lt;9")</f>
        <v>0</v>
      </c>
      <c r="DI41" s="138">
        <f>SUMIFS(tbl_task10[S108],tbl_task10[[SubPLOs]:[SubPLOs]],"&gt;=8",tbl_task10[[SubPLOs]:[SubPLOs]],"&lt;9")</f>
        <v>0</v>
      </c>
      <c r="DJ41" s="138">
        <f>SUMIFS(tbl_task10[S109],tbl_task10[[SubPLOs]:[SubPLOs]],"&gt;=8",tbl_task10[[SubPLOs]:[SubPLOs]],"&lt;9")</f>
        <v>0</v>
      </c>
      <c r="DK41" s="138">
        <f>SUMIFS(tbl_task10[S110],tbl_task10[[SubPLOs]:[SubPLOs]],"&gt;=8",tbl_task10[[SubPLOs]:[SubPLOs]],"&lt;9")</f>
        <v>0</v>
      </c>
      <c r="DL41" s="138">
        <f>SUMIFS(tbl_task10[S111],tbl_task10[[SubPLOs]:[SubPLOs]],"&gt;=8",tbl_task10[[SubPLOs]:[SubPLOs]],"&lt;9")</f>
        <v>0</v>
      </c>
      <c r="DM41" s="138">
        <f>SUMIFS(tbl_task10[S112],tbl_task10[[SubPLOs]:[SubPLOs]],"&gt;=8",tbl_task10[[SubPLOs]:[SubPLOs]],"&lt;9")</f>
        <v>0</v>
      </c>
      <c r="DN41" s="138">
        <f>SUMIFS(tbl_task10[S113],tbl_task10[[SubPLOs]:[SubPLOs]],"&gt;=8",tbl_task10[[SubPLOs]:[SubPLOs]],"&lt;9")</f>
        <v>0</v>
      </c>
      <c r="DO41" s="138">
        <f>SUMIFS(tbl_task10[S114],tbl_task10[[SubPLOs]:[SubPLOs]],"&gt;=8",tbl_task10[[SubPLOs]:[SubPLOs]],"&lt;9")</f>
        <v>0</v>
      </c>
      <c r="DP41" s="138">
        <f>SUMIFS(tbl_task10[S115],tbl_task10[[SubPLOs]:[SubPLOs]],"&gt;=8",tbl_task10[[SubPLOs]:[SubPLOs]],"&lt;9")</f>
        <v>0</v>
      </c>
      <c r="DQ41" s="138">
        <f>SUMIFS(tbl_task10[S116],tbl_task10[[SubPLOs]:[SubPLOs]],"&gt;=8",tbl_task10[[SubPLOs]:[SubPLOs]],"&lt;9")</f>
        <v>0</v>
      </c>
      <c r="DR41" s="138">
        <f>SUMIFS(tbl_task10[S117],tbl_task10[[SubPLOs]:[SubPLOs]],"&gt;=8",tbl_task10[[SubPLOs]:[SubPLOs]],"&lt;9")</f>
        <v>0</v>
      </c>
      <c r="DS41" s="138">
        <f>SUMIFS(tbl_task10[S118],tbl_task10[[SubPLOs]:[SubPLOs]],"&gt;=8",tbl_task10[[SubPLOs]:[SubPLOs]],"&lt;9")</f>
        <v>0</v>
      </c>
      <c r="DT41" s="138">
        <f>SUMIFS(tbl_task10[S119],tbl_task10[[SubPLOs]:[SubPLOs]],"&gt;=8",tbl_task10[[SubPLOs]:[SubPLOs]],"&lt;9")</f>
        <v>0</v>
      </c>
      <c r="DU41" s="138">
        <f>SUMIFS(tbl_task10[S120],tbl_task10[[SubPLOs]:[SubPLOs]],"&gt;=8",tbl_task10[[SubPLOs]:[SubPLOs]],"&lt;9")</f>
        <v>0</v>
      </c>
      <c r="DV41" s="138">
        <f>SUMIFS(tbl_task10[S121],tbl_task10[[SubPLOs]:[SubPLOs]],"&gt;=8",tbl_task10[[SubPLOs]:[SubPLOs]],"&lt;9")</f>
        <v>0</v>
      </c>
      <c r="DW41" s="138">
        <f>SUMIFS(tbl_task10[S122],tbl_task10[[SubPLOs]:[SubPLOs]],"&gt;=8",tbl_task10[[SubPLOs]:[SubPLOs]],"&lt;9")</f>
        <v>0</v>
      </c>
      <c r="DX41" s="138">
        <f>SUMIFS(tbl_task10[S123],tbl_task10[[SubPLOs]:[SubPLOs]],"&gt;=8",tbl_task10[[SubPLOs]:[SubPLOs]],"&lt;9")</f>
        <v>0</v>
      </c>
      <c r="DY41" s="138">
        <f>SUMIFS(tbl_task10[S124],tbl_task10[[SubPLOs]:[SubPLOs]],"&gt;=8",tbl_task10[[SubPLOs]:[SubPLOs]],"&lt;9")</f>
        <v>0</v>
      </c>
      <c r="DZ41" s="138">
        <f>SUMIFS(tbl_task10[S125],tbl_task10[[SubPLOs]:[SubPLOs]],"&gt;=8",tbl_task10[[SubPLOs]:[SubPLOs]],"&lt;9")</f>
        <v>0</v>
      </c>
      <c r="EA41" s="138">
        <f>SUMIFS(tbl_task10[S126],tbl_task10[[SubPLOs]:[SubPLOs]],"&gt;=8",tbl_task10[[SubPLOs]:[SubPLOs]],"&lt;9")</f>
        <v>0</v>
      </c>
      <c r="EB41" s="138">
        <f>SUMIFS(tbl_task10[S127],tbl_task10[[SubPLOs]:[SubPLOs]],"&gt;=8",tbl_task10[[SubPLOs]:[SubPLOs]],"&lt;9")</f>
        <v>0</v>
      </c>
      <c r="EC41" s="138">
        <f>SUMIFS(tbl_task10[S128],tbl_task10[[SubPLOs]:[SubPLOs]],"&gt;=8",tbl_task10[[SubPLOs]:[SubPLOs]],"&lt;9")</f>
        <v>0</v>
      </c>
      <c r="ED41" s="138">
        <f>SUMIFS(tbl_task10[S129],tbl_task10[[SubPLOs]:[SubPLOs]],"&gt;=8",tbl_task10[[SubPLOs]:[SubPLOs]],"&lt;9")</f>
        <v>0</v>
      </c>
      <c r="EE41" s="138">
        <f>SUMIFS(tbl_task10[S130],tbl_task10[[SubPLOs]:[SubPLOs]],"&gt;=8",tbl_task10[[SubPLOs]:[SubPLOs]],"&lt;9")</f>
        <v>0</v>
      </c>
      <c r="EF41" s="138">
        <f>SUMIFS(tbl_task10[S131],tbl_task10[[SubPLOs]:[SubPLOs]],"&gt;=8",tbl_task10[[SubPLOs]:[SubPLOs]],"&lt;9")</f>
        <v>0</v>
      </c>
      <c r="EG41" s="138">
        <f>SUMIFS(tbl_task10[S132],tbl_task10[[SubPLOs]:[SubPLOs]],"&gt;=8",tbl_task10[[SubPLOs]:[SubPLOs]],"&lt;9")</f>
        <v>0</v>
      </c>
      <c r="EH41" s="138">
        <f>SUMIFS(tbl_task10[S133],tbl_task10[[SubPLOs]:[SubPLOs]],"&gt;=8",tbl_task10[[SubPLOs]:[SubPLOs]],"&lt;9")</f>
        <v>0</v>
      </c>
      <c r="EI41" s="138">
        <f>SUMIFS(tbl_task10[S134],tbl_task10[[SubPLOs]:[SubPLOs]],"&gt;=8",tbl_task10[[SubPLOs]:[SubPLOs]],"&lt;9")</f>
        <v>0</v>
      </c>
      <c r="EJ41" s="138">
        <f>SUMIFS(tbl_task10[S135],tbl_task10[[SubPLOs]:[SubPLOs]],"&gt;=8",tbl_task10[[SubPLOs]:[SubPLOs]],"&lt;9")</f>
        <v>0</v>
      </c>
      <c r="EK41" s="138">
        <f>SUMIFS(tbl_task10[S136],tbl_task10[[SubPLOs]:[SubPLOs]],"&gt;=8",tbl_task10[[SubPLOs]:[SubPLOs]],"&lt;9")</f>
        <v>0</v>
      </c>
      <c r="EL41" s="138">
        <f>SUMIFS(tbl_task10[S137],tbl_task10[[SubPLOs]:[SubPLOs]],"&gt;=8",tbl_task10[[SubPLOs]:[SubPLOs]],"&lt;9")</f>
        <v>0</v>
      </c>
      <c r="EM41" s="138">
        <f>SUMIFS(tbl_task10[S138],tbl_task10[[SubPLOs]:[SubPLOs]],"&gt;=8",tbl_task10[[SubPLOs]:[SubPLOs]],"&lt;9")</f>
        <v>0</v>
      </c>
      <c r="EN41" s="138">
        <f>SUMIFS(tbl_task10[S139],tbl_task10[[SubPLOs]:[SubPLOs]],"&gt;=8",tbl_task10[[SubPLOs]:[SubPLOs]],"&lt;9")</f>
        <v>0</v>
      </c>
      <c r="EO41" s="138">
        <f>SUMIFS(tbl_task10[S140],tbl_task10[[SubPLOs]:[SubPLOs]],"&gt;=8",tbl_task10[[SubPLOs]:[SubPLOs]],"&lt;9")</f>
        <v>0</v>
      </c>
      <c r="EP41" s="138">
        <f>SUMIFS(tbl_task10[S141],tbl_task10[[SubPLOs]:[SubPLOs]],"&gt;=8",tbl_task10[[SubPLOs]:[SubPLOs]],"&lt;9")</f>
        <v>0</v>
      </c>
      <c r="EQ41" s="138">
        <f>SUMIFS(tbl_task10[S142],tbl_task10[[SubPLOs]:[SubPLOs]],"&gt;=8",tbl_task10[[SubPLOs]:[SubPLOs]],"&lt;9")</f>
        <v>0</v>
      </c>
      <c r="ER41" s="138">
        <f>SUMIFS(tbl_task10[S143],tbl_task10[[SubPLOs]:[SubPLOs]],"&gt;=8",tbl_task10[[SubPLOs]:[SubPLOs]],"&lt;9")</f>
        <v>0</v>
      </c>
      <c r="ES41" s="138">
        <f>SUMIFS(tbl_task10[S144],tbl_task10[[SubPLOs]:[SubPLOs]],"&gt;=8",tbl_task10[[SubPLOs]:[SubPLOs]],"&lt;9")</f>
        <v>0</v>
      </c>
      <c r="ET41" s="138">
        <f>SUMIFS(tbl_task10[S145],tbl_task10[[SubPLOs]:[SubPLOs]],"&gt;=8",tbl_task10[[SubPLOs]:[SubPLOs]],"&lt;9")</f>
        <v>0</v>
      </c>
      <c r="EU41" s="138">
        <f>SUMIFS(tbl_task10[S146],tbl_task10[[SubPLOs]:[SubPLOs]],"&gt;=8",tbl_task10[[SubPLOs]:[SubPLOs]],"&lt;9")</f>
        <v>0</v>
      </c>
      <c r="EV41" s="138">
        <f>SUMIFS(tbl_task10[S147],tbl_task10[[SubPLOs]:[SubPLOs]],"&gt;=8",tbl_task10[[SubPLOs]:[SubPLOs]],"&lt;9")</f>
        <v>0</v>
      </c>
      <c r="EW41" s="138">
        <f>SUMIFS(tbl_task10[S148],tbl_task10[[SubPLOs]:[SubPLOs]],"&gt;=8",tbl_task10[[SubPLOs]:[SubPLOs]],"&lt;9")</f>
        <v>0</v>
      </c>
      <c r="EX41" s="138">
        <f>SUMIFS(tbl_task10[S149],tbl_task10[[SubPLOs]:[SubPLOs]],"&gt;=8",tbl_task10[[SubPLOs]:[SubPLOs]],"&lt;9")</f>
        <v>0</v>
      </c>
      <c r="EY41" s="138">
        <f>SUMIFS(tbl_task10[S150],tbl_task10[[SubPLOs]:[SubPLOs]],"&gt;=8",tbl_task10[[SubPLOs]:[SubPLOs]],"&lt;9")</f>
        <v>0</v>
      </c>
      <c r="EZ41" s="138">
        <f>SUMIFS(tbl_task10[S151],tbl_task10[[SubPLOs]:[SubPLOs]],"&gt;=8",tbl_task10[[SubPLOs]:[SubPLOs]],"&lt;9")</f>
        <v>0</v>
      </c>
      <c r="FA41" s="138">
        <f>SUMIFS(tbl_task10[S152],tbl_task10[[SubPLOs]:[SubPLOs]],"&gt;=8",tbl_task10[[SubPLOs]:[SubPLOs]],"&lt;9")</f>
        <v>0</v>
      </c>
      <c r="FB41" s="138">
        <f>SUMIFS(tbl_task10[S153],tbl_task10[[SubPLOs]:[SubPLOs]],"&gt;=8",tbl_task10[[SubPLOs]:[SubPLOs]],"&lt;9")</f>
        <v>0</v>
      </c>
      <c r="FC41" s="138">
        <f>SUMIFS(tbl_task10[S154],tbl_task10[[SubPLOs]:[SubPLOs]],"&gt;=8",tbl_task10[[SubPLOs]:[SubPLOs]],"&lt;9")</f>
        <v>0</v>
      </c>
      <c r="FD41" s="138">
        <f>SUMIFS(tbl_task10[S155],tbl_task10[[SubPLOs]:[SubPLOs]],"&gt;=8",tbl_task10[[SubPLOs]:[SubPLOs]],"&lt;9")</f>
        <v>0</v>
      </c>
      <c r="FE41" s="138">
        <f>SUMIFS(tbl_task10[S156],tbl_task10[[SubPLOs]:[SubPLOs]],"&gt;=8",tbl_task10[[SubPLOs]:[SubPLOs]],"&lt;9")</f>
        <v>0</v>
      </c>
      <c r="FF41" s="138">
        <f>SUMIFS(tbl_task10[S157],tbl_task10[[SubPLOs]:[SubPLOs]],"&gt;=8",tbl_task10[[SubPLOs]:[SubPLOs]],"&lt;9")</f>
        <v>0</v>
      </c>
      <c r="FG41" s="138">
        <f>SUMIFS(tbl_task10[S158],tbl_task10[[SubPLOs]:[SubPLOs]],"&gt;=8",tbl_task10[[SubPLOs]:[SubPLOs]],"&lt;9")</f>
        <v>0</v>
      </c>
      <c r="FH41" s="138">
        <f>SUMIFS(tbl_task10[S159],tbl_task10[[SubPLOs]:[SubPLOs]],"&gt;=8",tbl_task10[[SubPLOs]:[SubPLOs]],"&lt;9")</f>
        <v>0</v>
      </c>
      <c r="FI41" s="138">
        <f>SUMIFS(tbl_task10[S160],tbl_task10[[SubPLOs]:[SubPLOs]],"&gt;=8",tbl_task10[[SubPLOs]:[SubPLOs]],"&lt;9")</f>
        <v>0</v>
      </c>
      <c r="FJ41" s="138">
        <f>SUMIFS(tbl_task10[S161],tbl_task10[[SubPLOs]:[SubPLOs]],"&gt;=8",tbl_task10[[SubPLOs]:[SubPLOs]],"&lt;9")</f>
        <v>0</v>
      </c>
      <c r="FK41" s="138">
        <f>SUMIFS(tbl_task10[S162],tbl_task10[[SubPLOs]:[SubPLOs]],"&gt;=8",tbl_task10[[SubPLOs]:[SubPLOs]],"&lt;9")</f>
        <v>0</v>
      </c>
      <c r="FL41" s="138">
        <f>SUMIFS(tbl_task10[S163],tbl_task10[[SubPLOs]:[SubPLOs]],"&gt;=8",tbl_task10[[SubPLOs]:[SubPLOs]],"&lt;9")</f>
        <v>0</v>
      </c>
      <c r="FM41" s="138">
        <f>SUMIFS(tbl_task10[S164],tbl_task10[[SubPLOs]:[SubPLOs]],"&gt;=8",tbl_task10[[SubPLOs]:[SubPLOs]],"&lt;9")</f>
        <v>0</v>
      </c>
      <c r="FN41" s="138">
        <f>SUMIFS(tbl_task10[S165],tbl_task10[[SubPLOs]:[SubPLOs]],"&gt;=8",tbl_task10[[SubPLOs]:[SubPLOs]],"&lt;9")</f>
        <v>0</v>
      </c>
    </row>
    <row r="42" spans="1:335" ht="63" x14ac:dyDescent="0.25">
      <c r="A42" s="135">
        <v>9</v>
      </c>
      <c r="B42" s="5" t="s">
        <v>442</v>
      </c>
      <c r="C42" s="136">
        <f>COUNTIFS(tbl_task10[SubPLOs],"&gt;=9",tbl_task10[SubPLOs],"&lt;10")</f>
        <v>0</v>
      </c>
      <c r="D42" s="136">
        <f>SUMIFS(tbl_task10[คะแนนเต็ม],tbl_task10[SubPLOs],"&gt;=9",tbl_task10[SubPLOs],"&lt;10")</f>
        <v>0</v>
      </c>
      <c r="E42" s="137">
        <f>SUMIFS(tbl_task10[%],tbl_task10[SubPLOs],"&gt;=9",tbl_task10[SubPLOs],"&lt;10")</f>
        <v>0</v>
      </c>
      <c r="F42" s="138">
        <f>SUMIFS(tbl_task10[S1],tbl_task10[[SubPLOs]:[SubPLOs]],"&gt;=9",tbl_task10[[SubPLOs]:[SubPLOs]],"&lt;10")</f>
        <v>0</v>
      </c>
      <c r="G42" s="138">
        <f>SUMIFS(tbl_task10[S2],tbl_task10[[SubPLOs]:[SubPLOs]],"&gt;=9",tbl_task10[[SubPLOs]:[SubPLOs]],"&lt;10")</f>
        <v>0</v>
      </c>
      <c r="H42" s="138">
        <f>SUMIFS(tbl_task10[S3],tbl_task10[[SubPLOs]:[SubPLOs]],"&gt;=9",tbl_task10[[SubPLOs]:[SubPLOs]],"&lt;10")</f>
        <v>0</v>
      </c>
      <c r="I42" s="138">
        <f>SUMIFS(tbl_task10[S4],tbl_task10[[SubPLOs]:[SubPLOs]],"&gt;=9",tbl_task10[[SubPLOs]:[SubPLOs]],"&lt;10")</f>
        <v>0</v>
      </c>
      <c r="J42" s="138">
        <f>SUMIFS(tbl_task10[S5],tbl_task10[[SubPLOs]:[SubPLOs]],"&gt;=9",tbl_task10[[SubPLOs]:[SubPLOs]],"&lt;10")</f>
        <v>0</v>
      </c>
      <c r="K42" s="138">
        <f>SUMIFS(tbl_task10[S6],tbl_task10[[SubPLOs]:[SubPLOs]],"&gt;=9",tbl_task10[[SubPLOs]:[SubPLOs]],"&lt;10")</f>
        <v>0</v>
      </c>
      <c r="L42" s="138">
        <f>SUMIFS(tbl_task10[S7],tbl_task10[[SubPLOs]:[SubPLOs]],"&gt;=9",tbl_task10[[SubPLOs]:[SubPLOs]],"&lt;10")</f>
        <v>0</v>
      </c>
      <c r="M42" s="138">
        <f>SUMIFS(tbl_task10[S8],tbl_task10[[SubPLOs]:[SubPLOs]],"&gt;=9",tbl_task10[[SubPLOs]:[SubPLOs]],"&lt;10")</f>
        <v>0</v>
      </c>
      <c r="N42" s="138">
        <f>SUMIFS(tbl_task10[S9],tbl_task10[[SubPLOs]:[SubPLOs]],"&gt;=9",tbl_task10[[SubPLOs]:[SubPLOs]],"&lt;10")</f>
        <v>0</v>
      </c>
      <c r="O42" s="138">
        <f>SUMIFS(tbl_task10[S10],tbl_task10[[SubPLOs]:[SubPLOs]],"&gt;=9",tbl_task10[[SubPLOs]:[SubPLOs]],"&lt;10")</f>
        <v>0</v>
      </c>
      <c r="P42" s="138">
        <f>SUMIFS(tbl_task10[S11],tbl_task10[[SubPLOs]:[SubPLOs]],"&gt;=9",tbl_task10[[SubPLOs]:[SubPLOs]],"&lt;10")</f>
        <v>0</v>
      </c>
      <c r="Q42" s="138">
        <f>SUMIFS(tbl_task10[S12],tbl_task10[[SubPLOs]:[SubPLOs]],"&gt;=9",tbl_task10[[SubPLOs]:[SubPLOs]],"&lt;10")</f>
        <v>0</v>
      </c>
      <c r="R42" s="138">
        <f>SUMIFS(tbl_task10[S13],tbl_task10[[SubPLOs]:[SubPLOs]],"&gt;=9",tbl_task10[[SubPLOs]:[SubPLOs]],"&lt;10")</f>
        <v>0</v>
      </c>
      <c r="S42" s="138">
        <f>SUMIFS(tbl_task10[S14],tbl_task10[[SubPLOs]:[SubPLOs]],"&gt;=9",tbl_task10[[SubPLOs]:[SubPLOs]],"&lt;10")</f>
        <v>0</v>
      </c>
      <c r="T42" s="138">
        <f>SUMIFS(tbl_task10[S15],tbl_task10[[SubPLOs]:[SubPLOs]],"&gt;=9",tbl_task10[[SubPLOs]:[SubPLOs]],"&lt;10")</f>
        <v>0</v>
      </c>
      <c r="U42" s="138">
        <f>SUMIFS(tbl_task10[S16],tbl_task10[[SubPLOs]:[SubPLOs]],"&gt;=9",tbl_task10[[SubPLOs]:[SubPLOs]],"&lt;10")</f>
        <v>0</v>
      </c>
      <c r="V42" s="138">
        <f>SUMIFS(tbl_task10[S17],tbl_task10[[SubPLOs]:[SubPLOs]],"&gt;=9",tbl_task10[[SubPLOs]:[SubPLOs]],"&lt;10")</f>
        <v>0</v>
      </c>
      <c r="W42" s="138">
        <f>SUMIFS(tbl_task10[S18],tbl_task10[[SubPLOs]:[SubPLOs]],"&gt;=9",tbl_task10[[SubPLOs]:[SubPLOs]],"&lt;10")</f>
        <v>0</v>
      </c>
      <c r="X42" s="138">
        <f>SUMIFS(tbl_task10[S19],tbl_task10[[SubPLOs]:[SubPLOs]],"&gt;=9",tbl_task10[[SubPLOs]:[SubPLOs]],"&lt;10")</f>
        <v>0</v>
      </c>
      <c r="Y42" s="138">
        <f>SUMIFS(tbl_task10[S20],tbl_task10[[SubPLOs]:[SubPLOs]],"&gt;=9",tbl_task10[[SubPLOs]:[SubPLOs]],"&lt;10")</f>
        <v>0</v>
      </c>
      <c r="Z42" s="138">
        <f>SUMIFS(tbl_task10[S21],tbl_task10[[SubPLOs]:[SubPLOs]],"&gt;=9",tbl_task10[[SubPLOs]:[SubPLOs]],"&lt;10")</f>
        <v>0</v>
      </c>
      <c r="AA42" s="138">
        <f>SUMIFS(tbl_task10[S22],tbl_task10[[SubPLOs]:[SubPLOs]],"&gt;=9",tbl_task10[[SubPLOs]:[SubPLOs]],"&lt;10")</f>
        <v>0</v>
      </c>
      <c r="AB42" s="138">
        <f>SUMIFS(tbl_task10[S23],tbl_task10[[SubPLOs]:[SubPLOs]],"&gt;=9",tbl_task10[[SubPLOs]:[SubPLOs]],"&lt;10")</f>
        <v>0</v>
      </c>
      <c r="AC42" s="138">
        <f>SUMIFS(tbl_task10[S24],tbl_task10[[SubPLOs]:[SubPLOs]],"&gt;=9",tbl_task10[[SubPLOs]:[SubPLOs]],"&lt;10")</f>
        <v>0</v>
      </c>
      <c r="AD42" s="138">
        <f>SUMIFS(tbl_task10[S25],tbl_task10[[SubPLOs]:[SubPLOs]],"&gt;=9",tbl_task10[[SubPLOs]:[SubPLOs]],"&lt;10")</f>
        <v>0</v>
      </c>
      <c r="AE42" s="138">
        <f>SUMIFS(tbl_task10[S26],tbl_task10[[SubPLOs]:[SubPLOs]],"&gt;=9",tbl_task10[[SubPLOs]:[SubPLOs]],"&lt;10")</f>
        <v>0</v>
      </c>
      <c r="AF42" s="138">
        <f>SUMIFS(tbl_task10[S27],tbl_task10[[SubPLOs]:[SubPLOs]],"&gt;=9",tbl_task10[[SubPLOs]:[SubPLOs]],"&lt;10")</f>
        <v>0</v>
      </c>
      <c r="AG42" s="138">
        <f>SUMIFS(tbl_task10[S28],tbl_task10[[SubPLOs]:[SubPLOs]],"&gt;=9",tbl_task10[[SubPLOs]:[SubPLOs]],"&lt;10")</f>
        <v>0</v>
      </c>
      <c r="AH42" s="138">
        <f>SUMIFS(tbl_task10[S29],tbl_task10[[SubPLOs]:[SubPLOs]],"&gt;=9",tbl_task10[[SubPLOs]:[SubPLOs]],"&lt;10")</f>
        <v>0</v>
      </c>
      <c r="AI42" s="138">
        <f>SUMIFS(tbl_task10[S30],tbl_task10[[SubPLOs]:[SubPLOs]],"&gt;=9",tbl_task10[[SubPLOs]:[SubPLOs]],"&lt;10")</f>
        <v>0</v>
      </c>
      <c r="AJ42" s="138">
        <f>SUMIFS(tbl_task10[S31],tbl_task10[[SubPLOs]:[SubPLOs]],"&gt;=9",tbl_task10[[SubPLOs]:[SubPLOs]],"&lt;10")</f>
        <v>0</v>
      </c>
      <c r="AK42" s="138">
        <f>SUMIFS(tbl_task10[S32],tbl_task10[[SubPLOs]:[SubPLOs]],"&gt;=9",tbl_task10[[SubPLOs]:[SubPLOs]],"&lt;10")</f>
        <v>0</v>
      </c>
      <c r="AL42" s="138">
        <f>SUMIFS(tbl_task10[S33],tbl_task10[[SubPLOs]:[SubPLOs]],"&gt;=9",tbl_task10[[SubPLOs]:[SubPLOs]],"&lt;10")</f>
        <v>0</v>
      </c>
      <c r="AM42" s="138">
        <f>SUMIFS(tbl_task10[S34],tbl_task10[[SubPLOs]:[SubPLOs]],"&gt;=9",tbl_task10[[SubPLOs]:[SubPLOs]],"&lt;10")</f>
        <v>0</v>
      </c>
      <c r="AN42" s="138">
        <f>SUMIFS(tbl_task10[S35],tbl_task10[[SubPLOs]:[SubPLOs]],"&gt;=9",tbl_task10[[SubPLOs]:[SubPLOs]],"&lt;10")</f>
        <v>0</v>
      </c>
      <c r="AO42" s="138">
        <f>SUMIFS(tbl_task10[S36],tbl_task10[[SubPLOs]:[SubPLOs]],"&gt;=9",tbl_task10[[SubPLOs]:[SubPLOs]],"&lt;10")</f>
        <v>0</v>
      </c>
      <c r="AP42" s="138">
        <f>SUMIFS(tbl_task10[S37],tbl_task10[[SubPLOs]:[SubPLOs]],"&gt;=9",tbl_task10[[SubPLOs]:[SubPLOs]],"&lt;10")</f>
        <v>0</v>
      </c>
      <c r="AQ42" s="138">
        <f>SUMIFS(tbl_task10[S38],tbl_task10[[SubPLOs]:[SubPLOs]],"&gt;=9",tbl_task10[[SubPLOs]:[SubPLOs]],"&lt;10")</f>
        <v>0</v>
      </c>
      <c r="AR42" s="138">
        <f>SUMIFS(tbl_task10[S39],tbl_task10[[SubPLOs]:[SubPLOs]],"&gt;=9",tbl_task10[[SubPLOs]:[SubPLOs]],"&lt;10")</f>
        <v>0</v>
      </c>
      <c r="AS42" s="138">
        <f>SUMIFS(tbl_task10[S40],tbl_task10[[SubPLOs]:[SubPLOs]],"&gt;=9",tbl_task10[[SubPLOs]:[SubPLOs]],"&lt;10")</f>
        <v>0</v>
      </c>
      <c r="AT42" s="138">
        <f>SUMIFS(tbl_task10[S41],tbl_task10[[SubPLOs]:[SubPLOs]],"&gt;=9",tbl_task10[[SubPLOs]:[SubPLOs]],"&lt;10")</f>
        <v>0</v>
      </c>
      <c r="AU42" s="138">
        <f>SUMIFS(tbl_task10[S42],tbl_task10[[SubPLOs]:[SubPLOs]],"&gt;=9",tbl_task10[[SubPLOs]:[SubPLOs]],"&lt;10")</f>
        <v>0</v>
      </c>
      <c r="AV42" s="138">
        <f>SUMIFS(tbl_task10[S43],tbl_task10[[SubPLOs]:[SubPLOs]],"&gt;=9",tbl_task10[[SubPLOs]:[SubPLOs]],"&lt;10")</f>
        <v>0</v>
      </c>
      <c r="AW42" s="138">
        <f>SUMIFS(tbl_task10[S44],tbl_task10[[SubPLOs]:[SubPLOs]],"&gt;=9",tbl_task10[[SubPLOs]:[SubPLOs]],"&lt;10")</f>
        <v>0</v>
      </c>
      <c r="AX42" s="138">
        <f>SUMIFS(tbl_task10[S45],tbl_task10[[SubPLOs]:[SubPLOs]],"&gt;=9",tbl_task10[[SubPLOs]:[SubPLOs]],"&lt;10")</f>
        <v>0</v>
      </c>
      <c r="AY42" s="138">
        <f>SUMIFS(tbl_task10[S46],tbl_task10[[SubPLOs]:[SubPLOs]],"&gt;=9",tbl_task10[[SubPLOs]:[SubPLOs]],"&lt;10")</f>
        <v>0</v>
      </c>
      <c r="AZ42" s="138">
        <f>SUMIFS(tbl_task10[S47],tbl_task10[[SubPLOs]:[SubPLOs]],"&gt;=9",tbl_task10[[SubPLOs]:[SubPLOs]],"&lt;10")</f>
        <v>0</v>
      </c>
      <c r="BA42" s="138">
        <f>SUMIFS(tbl_task10[S48],tbl_task10[[SubPLOs]:[SubPLOs]],"&gt;=9",tbl_task10[[SubPLOs]:[SubPLOs]],"&lt;10")</f>
        <v>0</v>
      </c>
      <c r="BB42" s="138">
        <f>SUMIFS(tbl_task10[S49],tbl_task10[[SubPLOs]:[SubPLOs]],"&gt;=9",tbl_task10[[SubPLOs]:[SubPLOs]],"&lt;10")</f>
        <v>0</v>
      </c>
      <c r="BC42" s="138">
        <f>SUMIFS(tbl_task10[S50],tbl_task10[[SubPLOs]:[SubPLOs]],"&gt;=9",tbl_task10[[SubPLOs]:[SubPLOs]],"&lt;10")</f>
        <v>0</v>
      </c>
      <c r="BD42" s="138">
        <f>SUMIFS(tbl_task10[S51],tbl_task10[[SubPLOs]:[SubPLOs]],"&gt;=9",tbl_task10[[SubPLOs]:[SubPLOs]],"&lt;10")</f>
        <v>0</v>
      </c>
      <c r="BE42" s="138">
        <f>SUMIFS(tbl_task10[S52],tbl_task10[[SubPLOs]:[SubPLOs]],"&gt;=9",tbl_task10[[SubPLOs]:[SubPLOs]],"&lt;10")</f>
        <v>0</v>
      </c>
      <c r="BF42" s="138">
        <f>SUMIFS(tbl_task10[S53],tbl_task10[[SubPLOs]:[SubPLOs]],"&gt;=9",tbl_task10[[SubPLOs]:[SubPLOs]],"&lt;10")</f>
        <v>0</v>
      </c>
      <c r="BG42" s="138">
        <f>SUMIFS(tbl_task10[S54],tbl_task10[[SubPLOs]:[SubPLOs]],"&gt;=9",tbl_task10[[SubPLOs]:[SubPLOs]],"&lt;10")</f>
        <v>0</v>
      </c>
      <c r="BH42" s="138">
        <f>SUMIFS(tbl_task10[S55],tbl_task10[[SubPLOs]:[SubPLOs]],"&gt;=9",tbl_task10[[SubPLOs]:[SubPLOs]],"&lt;10")</f>
        <v>0</v>
      </c>
      <c r="BI42" s="138">
        <f>SUMIFS(tbl_task10[S56],tbl_task10[[SubPLOs]:[SubPLOs]],"&gt;=9",tbl_task10[[SubPLOs]:[SubPLOs]],"&lt;10")</f>
        <v>0</v>
      </c>
      <c r="BJ42" s="138">
        <f>SUMIFS(tbl_task10[S57],tbl_task10[[SubPLOs]:[SubPLOs]],"&gt;=9",tbl_task10[[SubPLOs]:[SubPLOs]],"&lt;10")</f>
        <v>0</v>
      </c>
      <c r="BK42" s="138">
        <f>SUMIFS(tbl_task10[S58],tbl_task10[[SubPLOs]:[SubPLOs]],"&gt;=9",tbl_task10[[SubPLOs]:[SubPLOs]],"&lt;10")</f>
        <v>0</v>
      </c>
      <c r="BL42" s="138">
        <f>SUMIFS(tbl_task10[S59],tbl_task10[[SubPLOs]:[SubPLOs]],"&gt;=9",tbl_task10[[SubPLOs]:[SubPLOs]],"&lt;10")</f>
        <v>0</v>
      </c>
      <c r="BM42" s="138">
        <f>SUMIFS(tbl_task10[S60],tbl_task10[[SubPLOs]:[SubPLOs]],"&gt;=9",tbl_task10[[SubPLOs]:[SubPLOs]],"&lt;10")</f>
        <v>0</v>
      </c>
      <c r="BN42" s="138">
        <f>SUMIFS(tbl_task10[S61],tbl_task10[[SubPLOs]:[SubPLOs]],"&gt;=9",tbl_task10[[SubPLOs]:[SubPLOs]],"&lt;10")</f>
        <v>0</v>
      </c>
      <c r="BO42" s="138">
        <f>SUMIFS(tbl_task10[S62],tbl_task10[[SubPLOs]:[SubPLOs]],"&gt;=9",tbl_task10[[SubPLOs]:[SubPLOs]],"&lt;10")</f>
        <v>0</v>
      </c>
      <c r="BP42" s="138">
        <f>SUMIFS(tbl_task10[S63],tbl_task10[[SubPLOs]:[SubPLOs]],"&gt;=9",tbl_task10[[SubPLOs]:[SubPLOs]],"&lt;10")</f>
        <v>0</v>
      </c>
      <c r="BQ42" s="138">
        <f>SUMIFS(tbl_task10[S64],tbl_task10[[SubPLOs]:[SubPLOs]],"&gt;=9",tbl_task10[[SubPLOs]:[SubPLOs]],"&lt;10")</f>
        <v>0</v>
      </c>
      <c r="BR42" s="138">
        <f>SUMIFS(tbl_task10[S65],tbl_task10[[SubPLOs]:[SubPLOs]],"&gt;=9",tbl_task10[[SubPLOs]:[SubPLOs]],"&lt;10")</f>
        <v>0</v>
      </c>
      <c r="BS42" s="138">
        <f>SUMIFS(tbl_task10[S66],tbl_task10[[SubPLOs]:[SubPLOs]],"&gt;=9",tbl_task10[[SubPLOs]:[SubPLOs]],"&lt;10")</f>
        <v>0</v>
      </c>
      <c r="BT42" s="138">
        <f>SUMIFS(tbl_task10[S67],tbl_task10[[SubPLOs]:[SubPLOs]],"&gt;=9",tbl_task10[[SubPLOs]:[SubPLOs]],"&lt;10")</f>
        <v>0</v>
      </c>
      <c r="BU42" s="138">
        <f>SUMIFS(tbl_task10[S68],tbl_task10[[SubPLOs]:[SubPLOs]],"&gt;=9",tbl_task10[[SubPLOs]:[SubPLOs]],"&lt;10")</f>
        <v>0</v>
      </c>
      <c r="BV42" s="138">
        <f>SUMIFS(tbl_task10[S69],tbl_task10[[SubPLOs]:[SubPLOs]],"&gt;=9",tbl_task10[[SubPLOs]:[SubPLOs]],"&lt;10")</f>
        <v>0</v>
      </c>
      <c r="BW42" s="138">
        <f>SUMIFS(tbl_task10[S70],tbl_task10[[SubPLOs]:[SubPLOs]],"&gt;=9",tbl_task10[[SubPLOs]:[SubPLOs]],"&lt;10")</f>
        <v>0</v>
      </c>
      <c r="BX42" s="138">
        <f>SUMIFS(tbl_task10[S71],tbl_task10[[SubPLOs]:[SubPLOs]],"&gt;=9",tbl_task10[[SubPLOs]:[SubPLOs]],"&lt;10")</f>
        <v>0</v>
      </c>
      <c r="BY42" s="138">
        <f>SUMIFS(tbl_task10[S72],tbl_task10[[SubPLOs]:[SubPLOs]],"&gt;=9",tbl_task10[[SubPLOs]:[SubPLOs]],"&lt;10")</f>
        <v>0</v>
      </c>
      <c r="BZ42" s="138">
        <f>SUMIFS(tbl_task10[S73],tbl_task10[[SubPLOs]:[SubPLOs]],"&gt;=9",tbl_task10[[SubPLOs]:[SubPLOs]],"&lt;10")</f>
        <v>0</v>
      </c>
      <c r="CA42" s="138">
        <f>SUMIFS(tbl_task10[S74],tbl_task10[[SubPLOs]:[SubPLOs]],"&gt;=9",tbl_task10[[SubPLOs]:[SubPLOs]],"&lt;10")</f>
        <v>0</v>
      </c>
      <c r="CB42" s="138">
        <f>SUMIFS(tbl_task10[S75],tbl_task10[[SubPLOs]:[SubPLOs]],"&gt;=9",tbl_task10[[SubPLOs]:[SubPLOs]],"&lt;10")</f>
        <v>0</v>
      </c>
      <c r="CC42" s="138">
        <f>SUMIFS(tbl_task10[S76],tbl_task10[[SubPLOs]:[SubPLOs]],"&gt;=9",tbl_task10[[SubPLOs]:[SubPLOs]],"&lt;10")</f>
        <v>0</v>
      </c>
      <c r="CD42" s="138">
        <f>SUMIFS(tbl_task10[S77],tbl_task10[[SubPLOs]:[SubPLOs]],"&gt;=9",tbl_task10[[SubPLOs]:[SubPLOs]],"&lt;10")</f>
        <v>0</v>
      </c>
      <c r="CE42" s="138">
        <f>SUMIFS(tbl_task10[S78],tbl_task10[[SubPLOs]:[SubPLOs]],"&gt;=9",tbl_task10[[SubPLOs]:[SubPLOs]],"&lt;10")</f>
        <v>0</v>
      </c>
      <c r="CF42" s="138">
        <f>SUMIFS(tbl_task10[S79],tbl_task10[[SubPLOs]:[SubPLOs]],"&gt;=9",tbl_task10[[SubPLOs]:[SubPLOs]],"&lt;10")</f>
        <v>0</v>
      </c>
      <c r="CG42" s="138">
        <f>SUMIFS(tbl_task10[S80],tbl_task10[[SubPLOs]:[SubPLOs]],"&gt;=9",tbl_task10[[SubPLOs]:[SubPLOs]],"&lt;10")</f>
        <v>0</v>
      </c>
      <c r="CH42" s="138">
        <f>SUMIFS(tbl_task10[S81],tbl_task10[[SubPLOs]:[SubPLOs]],"&gt;=9",tbl_task10[[SubPLOs]:[SubPLOs]],"&lt;10")</f>
        <v>0</v>
      </c>
      <c r="CI42" s="138">
        <f>SUMIFS(tbl_task10[S82],tbl_task10[[SubPLOs]:[SubPLOs]],"&gt;=9",tbl_task10[[SubPLOs]:[SubPLOs]],"&lt;10")</f>
        <v>0</v>
      </c>
      <c r="CJ42" s="138">
        <f>SUMIFS(tbl_task10[S83],tbl_task10[[SubPLOs]:[SubPLOs]],"&gt;=9",tbl_task10[[SubPLOs]:[SubPLOs]],"&lt;10")</f>
        <v>0</v>
      </c>
      <c r="CK42" s="138">
        <f>SUMIFS(tbl_task10[S84],tbl_task10[[SubPLOs]:[SubPLOs]],"&gt;=9",tbl_task10[[SubPLOs]:[SubPLOs]],"&lt;10")</f>
        <v>0</v>
      </c>
      <c r="CL42" s="138">
        <f>SUMIFS(tbl_task10[S85],tbl_task10[[SubPLOs]:[SubPLOs]],"&gt;=9",tbl_task10[[SubPLOs]:[SubPLOs]],"&lt;10")</f>
        <v>0</v>
      </c>
      <c r="CM42" s="138">
        <f>SUMIFS(tbl_task10[S86],tbl_task10[[SubPLOs]:[SubPLOs]],"&gt;=9",tbl_task10[[SubPLOs]:[SubPLOs]],"&lt;10")</f>
        <v>0</v>
      </c>
      <c r="CN42" s="138">
        <f>SUMIFS(tbl_task10[S87],tbl_task10[[SubPLOs]:[SubPLOs]],"&gt;=9",tbl_task10[[SubPLOs]:[SubPLOs]],"&lt;10")</f>
        <v>0</v>
      </c>
      <c r="CO42" s="138">
        <f>SUMIFS(tbl_task10[S88],tbl_task10[[SubPLOs]:[SubPLOs]],"&gt;=9",tbl_task10[[SubPLOs]:[SubPLOs]],"&lt;10")</f>
        <v>0</v>
      </c>
      <c r="CP42" s="138">
        <f>SUMIFS(tbl_task10[S89],tbl_task10[[SubPLOs]:[SubPLOs]],"&gt;=9",tbl_task10[[SubPLOs]:[SubPLOs]],"&lt;10")</f>
        <v>0</v>
      </c>
      <c r="CQ42" s="138">
        <f>SUMIFS(tbl_task10[S90],tbl_task10[[SubPLOs]:[SubPLOs]],"&gt;=9",tbl_task10[[SubPLOs]:[SubPLOs]],"&lt;10")</f>
        <v>0</v>
      </c>
      <c r="CR42" s="138">
        <f>SUMIFS(tbl_task10[S91],tbl_task10[[SubPLOs]:[SubPLOs]],"&gt;=9",tbl_task10[[SubPLOs]:[SubPLOs]],"&lt;10")</f>
        <v>0</v>
      </c>
      <c r="CS42" s="138">
        <f>SUMIFS(tbl_task10[S92],tbl_task10[[SubPLOs]:[SubPLOs]],"&gt;=9",tbl_task10[[SubPLOs]:[SubPLOs]],"&lt;10")</f>
        <v>0</v>
      </c>
      <c r="CT42" s="138">
        <f>SUMIFS(tbl_task10[S93],tbl_task10[[SubPLOs]:[SubPLOs]],"&gt;=9",tbl_task10[[SubPLOs]:[SubPLOs]],"&lt;10")</f>
        <v>0</v>
      </c>
      <c r="CU42" s="138">
        <f>SUMIFS(tbl_task10[S94],tbl_task10[[SubPLOs]:[SubPLOs]],"&gt;=9",tbl_task10[[SubPLOs]:[SubPLOs]],"&lt;10")</f>
        <v>0</v>
      </c>
      <c r="CV42" s="138">
        <f>SUMIFS(tbl_task10[S95],tbl_task10[[SubPLOs]:[SubPLOs]],"&gt;=9",tbl_task10[[SubPLOs]:[SubPLOs]],"&lt;10")</f>
        <v>0</v>
      </c>
      <c r="CW42" s="138">
        <f>SUMIFS(tbl_task10[S96],tbl_task10[[SubPLOs]:[SubPLOs]],"&gt;=9",tbl_task10[[SubPLOs]:[SubPLOs]],"&lt;10")</f>
        <v>0</v>
      </c>
      <c r="CX42" s="138">
        <f>SUMIFS(tbl_task10[S97],tbl_task10[[SubPLOs]:[SubPLOs]],"&gt;=9",tbl_task10[[SubPLOs]:[SubPLOs]],"&lt;10")</f>
        <v>0</v>
      </c>
      <c r="CY42" s="138">
        <f>SUMIFS(tbl_task10[S98],tbl_task10[[SubPLOs]:[SubPLOs]],"&gt;=9",tbl_task10[[SubPLOs]:[SubPLOs]],"&lt;10")</f>
        <v>0</v>
      </c>
      <c r="CZ42" s="138">
        <f>SUMIFS(tbl_task10[S99],tbl_task10[[SubPLOs]:[SubPLOs]],"&gt;=9",tbl_task10[[SubPLOs]:[SubPLOs]],"&lt;10")</f>
        <v>0</v>
      </c>
      <c r="DA42" s="138">
        <f>SUMIFS(tbl_task10[S100],tbl_task10[[SubPLOs]:[SubPLOs]],"&gt;=9",tbl_task10[[SubPLOs]:[SubPLOs]],"&lt;10")</f>
        <v>0</v>
      </c>
      <c r="DB42" s="138">
        <f>SUMIFS(tbl_task10[S101],tbl_task10[[SubPLOs]:[SubPLOs]],"&gt;=9",tbl_task10[[SubPLOs]:[SubPLOs]],"&lt;10")</f>
        <v>0</v>
      </c>
      <c r="DC42" s="138">
        <f>SUMIFS(tbl_task10[S102],tbl_task10[[SubPLOs]:[SubPLOs]],"&gt;=9",tbl_task10[[SubPLOs]:[SubPLOs]],"&lt;10")</f>
        <v>0</v>
      </c>
      <c r="DD42" s="138">
        <f>SUMIFS(tbl_task10[S103],tbl_task10[[SubPLOs]:[SubPLOs]],"&gt;=9",tbl_task10[[SubPLOs]:[SubPLOs]],"&lt;10")</f>
        <v>0</v>
      </c>
      <c r="DE42" s="138">
        <f>SUMIFS(tbl_task10[S104],tbl_task10[[SubPLOs]:[SubPLOs]],"&gt;=9",tbl_task10[[SubPLOs]:[SubPLOs]],"&lt;10")</f>
        <v>0</v>
      </c>
      <c r="DF42" s="138">
        <f>SUMIFS(tbl_task10[S105],tbl_task10[[SubPLOs]:[SubPLOs]],"&gt;=9",tbl_task10[[SubPLOs]:[SubPLOs]],"&lt;10")</f>
        <v>0</v>
      </c>
      <c r="DG42" s="138">
        <f>SUMIFS(tbl_task10[S106],tbl_task10[[SubPLOs]:[SubPLOs]],"&gt;=9",tbl_task10[[SubPLOs]:[SubPLOs]],"&lt;10")</f>
        <v>0</v>
      </c>
      <c r="DH42" s="138">
        <f>SUMIFS(tbl_task10[S106],tbl_task10[[SubPLOs]:[SubPLOs]],"&gt;=9",tbl_task10[[SubPLOs]:[SubPLOs]],"&lt;10")</f>
        <v>0</v>
      </c>
      <c r="DI42" s="138">
        <f>SUMIFS(tbl_task10[S108],tbl_task10[[SubPLOs]:[SubPLOs]],"&gt;=9",tbl_task10[[SubPLOs]:[SubPLOs]],"&lt;10")</f>
        <v>0</v>
      </c>
      <c r="DJ42" s="138">
        <f>SUMIFS(tbl_task10[S109],tbl_task10[[SubPLOs]:[SubPLOs]],"&gt;=9",tbl_task10[[SubPLOs]:[SubPLOs]],"&lt;10")</f>
        <v>0</v>
      </c>
      <c r="DK42" s="138">
        <f>SUMIFS(tbl_task10[S110],tbl_task10[[SubPLOs]:[SubPLOs]],"&gt;=9",tbl_task10[[SubPLOs]:[SubPLOs]],"&lt;10")</f>
        <v>0</v>
      </c>
      <c r="DL42" s="138">
        <f>SUMIFS(tbl_task10[S111],tbl_task10[[SubPLOs]:[SubPLOs]],"&gt;=9",tbl_task10[[SubPLOs]:[SubPLOs]],"&lt;10")</f>
        <v>0</v>
      </c>
      <c r="DM42" s="138">
        <f>SUMIFS(tbl_task10[S112],tbl_task10[[SubPLOs]:[SubPLOs]],"&gt;=9",tbl_task10[[SubPLOs]:[SubPLOs]],"&lt;10")</f>
        <v>0</v>
      </c>
      <c r="DN42" s="138">
        <f>SUMIFS(tbl_task10[S113],tbl_task10[[SubPLOs]:[SubPLOs]],"&gt;=9",tbl_task10[[SubPLOs]:[SubPLOs]],"&lt;10")</f>
        <v>0</v>
      </c>
      <c r="DO42" s="138">
        <f>SUMIFS(tbl_task10[S114],tbl_task10[[SubPLOs]:[SubPLOs]],"&gt;=9",tbl_task10[[SubPLOs]:[SubPLOs]],"&lt;10")</f>
        <v>0</v>
      </c>
      <c r="DP42" s="138">
        <f>SUMIFS(tbl_task10[S115],tbl_task10[[SubPLOs]:[SubPLOs]],"&gt;=9",tbl_task10[[SubPLOs]:[SubPLOs]],"&lt;10")</f>
        <v>0</v>
      </c>
      <c r="DQ42" s="138">
        <f>SUMIFS(tbl_task10[S116],tbl_task10[[SubPLOs]:[SubPLOs]],"&gt;=9",tbl_task10[[SubPLOs]:[SubPLOs]],"&lt;10")</f>
        <v>0</v>
      </c>
      <c r="DR42" s="138">
        <f>SUMIFS(tbl_task10[S117],tbl_task10[[SubPLOs]:[SubPLOs]],"&gt;=9",tbl_task10[[SubPLOs]:[SubPLOs]],"&lt;10")</f>
        <v>0</v>
      </c>
      <c r="DS42" s="138">
        <f>SUMIFS(tbl_task10[S118],tbl_task10[[SubPLOs]:[SubPLOs]],"&gt;=9",tbl_task10[[SubPLOs]:[SubPLOs]],"&lt;10")</f>
        <v>0</v>
      </c>
      <c r="DT42" s="138">
        <f>SUMIFS(tbl_task10[S119],tbl_task10[[SubPLOs]:[SubPLOs]],"&gt;=9",tbl_task10[[SubPLOs]:[SubPLOs]],"&lt;10")</f>
        <v>0</v>
      </c>
      <c r="DU42" s="138">
        <f>SUMIFS(tbl_task10[S120],tbl_task10[[SubPLOs]:[SubPLOs]],"&gt;=9",tbl_task10[[SubPLOs]:[SubPLOs]],"&lt;10")</f>
        <v>0</v>
      </c>
      <c r="DV42" s="138">
        <f>SUMIFS(tbl_task10[S121],tbl_task10[[SubPLOs]:[SubPLOs]],"&gt;=9",tbl_task10[[SubPLOs]:[SubPLOs]],"&lt;10")</f>
        <v>0</v>
      </c>
      <c r="DW42" s="138">
        <f>SUMIFS(tbl_task10[S122],tbl_task10[[SubPLOs]:[SubPLOs]],"&gt;=9",tbl_task10[[SubPLOs]:[SubPLOs]],"&lt;10")</f>
        <v>0</v>
      </c>
      <c r="DX42" s="138">
        <f>SUMIFS(tbl_task10[S123],tbl_task10[[SubPLOs]:[SubPLOs]],"&gt;=9",tbl_task10[[SubPLOs]:[SubPLOs]],"&lt;10")</f>
        <v>0</v>
      </c>
      <c r="DY42" s="138">
        <f>SUMIFS(tbl_task10[S124],tbl_task10[[SubPLOs]:[SubPLOs]],"&gt;=9",tbl_task10[[SubPLOs]:[SubPLOs]],"&lt;10")</f>
        <v>0</v>
      </c>
      <c r="DZ42" s="138">
        <f>SUMIFS(tbl_task10[S125],tbl_task10[[SubPLOs]:[SubPLOs]],"&gt;=9",tbl_task10[[SubPLOs]:[SubPLOs]],"&lt;10")</f>
        <v>0</v>
      </c>
      <c r="EA42" s="138">
        <f>SUMIFS(tbl_task10[S126],tbl_task10[[SubPLOs]:[SubPLOs]],"&gt;=9",tbl_task10[[SubPLOs]:[SubPLOs]],"&lt;10")</f>
        <v>0</v>
      </c>
      <c r="EB42" s="138">
        <f>SUMIFS(tbl_task10[S127],tbl_task10[[SubPLOs]:[SubPLOs]],"&gt;=9",tbl_task10[[SubPLOs]:[SubPLOs]],"&lt;10")</f>
        <v>0</v>
      </c>
      <c r="EC42" s="138">
        <f>SUMIFS(tbl_task10[S128],tbl_task10[[SubPLOs]:[SubPLOs]],"&gt;=9",tbl_task10[[SubPLOs]:[SubPLOs]],"&lt;10")</f>
        <v>0</v>
      </c>
      <c r="ED42" s="138">
        <f>SUMIFS(tbl_task10[S129],tbl_task10[[SubPLOs]:[SubPLOs]],"&gt;=9",tbl_task10[[SubPLOs]:[SubPLOs]],"&lt;10")</f>
        <v>0</v>
      </c>
      <c r="EE42" s="138">
        <f>SUMIFS(tbl_task10[S130],tbl_task10[[SubPLOs]:[SubPLOs]],"&gt;=9",tbl_task10[[SubPLOs]:[SubPLOs]],"&lt;10")</f>
        <v>0</v>
      </c>
      <c r="EF42" s="138">
        <f>SUMIFS(tbl_task10[S131],tbl_task10[[SubPLOs]:[SubPLOs]],"&gt;=9",tbl_task10[[SubPLOs]:[SubPLOs]],"&lt;10")</f>
        <v>0</v>
      </c>
      <c r="EG42" s="138">
        <f>SUMIFS(tbl_task10[S132],tbl_task10[[SubPLOs]:[SubPLOs]],"&gt;=9",tbl_task10[[SubPLOs]:[SubPLOs]],"&lt;10")</f>
        <v>0</v>
      </c>
      <c r="EH42" s="138">
        <f>SUMIFS(tbl_task10[S133],tbl_task10[[SubPLOs]:[SubPLOs]],"&gt;=9",tbl_task10[[SubPLOs]:[SubPLOs]],"&lt;10")</f>
        <v>0</v>
      </c>
      <c r="EI42" s="138">
        <f>SUMIFS(tbl_task10[S134],tbl_task10[[SubPLOs]:[SubPLOs]],"&gt;=9",tbl_task10[[SubPLOs]:[SubPLOs]],"&lt;10")</f>
        <v>0</v>
      </c>
      <c r="EJ42" s="138">
        <f>SUMIFS(tbl_task10[S135],tbl_task10[[SubPLOs]:[SubPLOs]],"&gt;=9",tbl_task10[[SubPLOs]:[SubPLOs]],"&lt;10")</f>
        <v>0</v>
      </c>
      <c r="EK42" s="138">
        <f>SUMIFS(tbl_task10[S136],tbl_task10[[SubPLOs]:[SubPLOs]],"&gt;=9",tbl_task10[[SubPLOs]:[SubPLOs]],"&lt;10")</f>
        <v>0</v>
      </c>
      <c r="EL42" s="138">
        <f>SUMIFS(tbl_task10[S137],tbl_task10[[SubPLOs]:[SubPLOs]],"&gt;=9",tbl_task10[[SubPLOs]:[SubPLOs]],"&lt;10")</f>
        <v>0</v>
      </c>
      <c r="EM42" s="138">
        <f>SUMIFS(tbl_task10[S138],tbl_task10[[SubPLOs]:[SubPLOs]],"&gt;=9",tbl_task10[[SubPLOs]:[SubPLOs]],"&lt;10")</f>
        <v>0</v>
      </c>
      <c r="EN42" s="138">
        <f>SUMIFS(tbl_task10[S139],tbl_task10[[SubPLOs]:[SubPLOs]],"&gt;=9",tbl_task10[[SubPLOs]:[SubPLOs]],"&lt;10")</f>
        <v>0</v>
      </c>
      <c r="EO42" s="138">
        <f>SUMIFS(tbl_task10[S140],tbl_task10[[SubPLOs]:[SubPLOs]],"&gt;=9",tbl_task10[[SubPLOs]:[SubPLOs]],"&lt;10")</f>
        <v>0</v>
      </c>
      <c r="EP42" s="138">
        <f>SUMIFS(tbl_task10[S141],tbl_task10[[SubPLOs]:[SubPLOs]],"&gt;=9",tbl_task10[[SubPLOs]:[SubPLOs]],"&lt;10")</f>
        <v>0</v>
      </c>
      <c r="EQ42" s="138">
        <f>SUMIFS(tbl_task10[S142],tbl_task10[[SubPLOs]:[SubPLOs]],"&gt;=9",tbl_task10[[SubPLOs]:[SubPLOs]],"&lt;10")</f>
        <v>0</v>
      </c>
      <c r="ER42" s="138">
        <f>SUMIFS(tbl_task10[S143],tbl_task10[[SubPLOs]:[SubPLOs]],"&gt;=9",tbl_task10[[SubPLOs]:[SubPLOs]],"&lt;10")</f>
        <v>0</v>
      </c>
      <c r="ES42" s="138">
        <f>SUMIFS(tbl_task10[S144],tbl_task10[[SubPLOs]:[SubPLOs]],"&gt;=9",tbl_task10[[SubPLOs]:[SubPLOs]],"&lt;10")</f>
        <v>0</v>
      </c>
      <c r="ET42" s="138">
        <f>SUMIFS(tbl_task10[S145],tbl_task10[[SubPLOs]:[SubPLOs]],"&gt;=9",tbl_task10[[SubPLOs]:[SubPLOs]],"&lt;10")</f>
        <v>0</v>
      </c>
      <c r="EU42" s="138">
        <f>SUMIFS(tbl_task10[S146],tbl_task10[[SubPLOs]:[SubPLOs]],"&gt;=9",tbl_task10[[SubPLOs]:[SubPLOs]],"&lt;10")</f>
        <v>0</v>
      </c>
      <c r="EV42" s="138">
        <f>SUMIFS(tbl_task10[S147],tbl_task10[[SubPLOs]:[SubPLOs]],"&gt;=9",tbl_task10[[SubPLOs]:[SubPLOs]],"&lt;10")</f>
        <v>0</v>
      </c>
      <c r="EW42" s="138">
        <f>SUMIFS(tbl_task10[S148],tbl_task10[[SubPLOs]:[SubPLOs]],"&gt;=9",tbl_task10[[SubPLOs]:[SubPLOs]],"&lt;10")</f>
        <v>0</v>
      </c>
      <c r="EX42" s="138">
        <f>SUMIFS(tbl_task10[S149],tbl_task10[[SubPLOs]:[SubPLOs]],"&gt;=9",tbl_task10[[SubPLOs]:[SubPLOs]],"&lt;10")</f>
        <v>0</v>
      </c>
      <c r="EY42" s="138">
        <f>SUMIFS(tbl_task10[S150],tbl_task10[[SubPLOs]:[SubPLOs]],"&gt;=9",tbl_task10[[SubPLOs]:[SubPLOs]],"&lt;10")</f>
        <v>0</v>
      </c>
      <c r="EZ42" s="138">
        <f>SUMIFS(tbl_task10[S151],tbl_task10[[SubPLOs]:[SubPLOs]],"&gt;=9",tbl_task10[[SubPLOs]:[SubPLOs]],"&lt;10")</f>
        <v>0</v>
      </c>
      <c r="FA42" s="138">
        <f>SUMIFS(tbl_task10[S152],tbl_task10[[SubPLOs]:[SubPLOs]],"&gt;=9",tbl_task10[[SubPLOs]:[SubPLOs]],"&lt;10")</f>
        <v>0</v>
      </c>
      <c r="FB42" s="138">
        <f>SUMIFS(tbl_task10[S153],tbl_task10[[SubPLOs]:[SubPLOs]],"&gt;=9",tbl_task10[[SubPLOs]:[SubPLOs]],"&lt;10")</f>
        <v>0</v>
      </c>
      <c r="FC42" s="138">
        <f>SUMIFS(tbl_task10[S154],tbl_task10[[SubPLOs]:[SubPLOs]],"&gt;=9",tbl_task10[[SubPLOs]:[SubPLOs]],"&lt;10")</f>
        <v>0</v>
      </c>
      <c r="FD42" s="138">
        <f>SUMIFS(tbl_task10[S155],tbl_task10[[SubPLOs]:[SubPLOs]],"&gt;=9",tbl_task10[[SubPLOs]:[SubPLOs]],"&lt;10")</f>
        <v>0</v>
      </c>
      <c r="FE42" s="138">
        <f>SUMIFS(tbl_task10[S156],tbl_task10[[SubPLOs]:[SubPLOs]],"&gt;=9",tbl_task10[[SubPLOs]:[SubPLOs]],"&lt;10")</f>
        <v>0</v>
      </c>
      <c r="FF42" s="138">
        <f>SUMIFS(tbl_task10[S157],tbl_task10[[SubPLOs]:[SubPLOs]],"&gt;=9",tbl_task10[[SubPLOs]:[SubPLOs]],"&lt;10")</f>
        <v>0</v>
      </c>
      <c r="FG42" s="138">
        <f>SUMIFS(tbl_task10[S158],tbl_task10[[SubPLOs]:[SubPLOs]],"&gt;=9",tbl_task10[[SubPLOs]:[SubPLOs]],"&lt;10")</f>
        <v>0</v>
      </c>
      <c r="FH42" s="138">
        <f>SUMIFS(tbl_task10[S159],tbl_task10[[SubPLOs]:[SubPLOs]],"&gt;=9",tbl_task10[[SubPLOs]:[SubPLOs]],"&lt;10")</f>
        <v>0</v>
      </c>
      <c r="FI42" s="138">
        <f>SUMIFS(tbl_task10[S160],tbl_task10[[SubPLOs]:[SubPLOs]],"&gt;=9",tbl_task10[[SubPLOs]:[SubPLOs]],"&lt;10")</f>
        <v>0</v>
      </c>
      <c r="FJ42" s="138">
        <f>SUMIFS(tbl_task10[S161],tbl_task10[[SubPLOs]:[SubPLOs]],"&gt;=9",tbl_task10[[SubPLOs]:[SubPLOs]],"&lt;10")</f>
        <v>0</v>
      </c>
      <c r="FK42" s="138">
        <f>SUMIFS(tbl_task10[S162],tbl_task10[[SubPLOs]:[SubPLOs]],"&gt;=9",tbl_task10[[SubPLOs]:[SubPLOs]],"&lt;10")</f>
        <v>0</v>
      </c>
      <c r="FL42" s="138">
        <f>SUMIFS(tbl_task10[S163],tbl_task10[[SubPLOs]:[SubPLOs]],"&gt;=9",tbl_task10[[SubPLOs]:[SubPLOs]],"&lt;10")</f>
        <v>0</v>
      </c>
      <c r="FM42" s="138">
        <f>SUMIFS(tbl_task10[S164],tbl_task10[[SubPLOs]:[SubPLOs]],"&gt;=9",tbl_task10[[SubPLOs]:[SubPLOs]],"&lt;10")</f>
        <v>0</v>
      </c>
      <c r="FN42" s="138">
        <f>SUMIFS(tbl_task10[S165],tbl_task10[[SubPLOs]:[SubPLOs]],"&gt;=9",tbl_task10[[SubPLOs]:[SubPLOs]],"&lt;10")</f>
        <v>0</v>
      </c>
    </row>
    <row r="43" spans="1:335" s="34" customFormat="1" ht="63" x14ac:dyDescent="0.25">
      <c r="A43" s="135">
        <v>10</v>
      </c>
      <c r="B43" s="5" t="s">
        <v>443</v>
      </c>
      <c r="C43" s="136">
        <f>COUNTIFS(tbl_task10[SubPLOs],"&gt;=10",tbl_task10[SubPLOs],"&lt;11")</f>
        <v>0</v>
      </c>
      <c r="D43" s="136">
        <f>SUMIFS(tbl_task10[คะแนนเต็ม],tbl_task10[SubPLOs],"&gt;=10",tbl_task10[SubPLOs],"&lt;11")</f>
        <v>0</v>
      </c>
      <c r="E43" s="137">
        <f>SUMIFS(tbl_task10[%],tbl_task10[SubPLOs],"&gt;=10",tbl_task10[SubPLOs],"&lt;11")</f>
        <v>0</v>
      </c>
      <c r="F43" s="138">
        <f>SUMIFS(tbl_task10[S1],tbl_task10[[SubPLOs]:[SubPLOs]],"&gt;=10",tbl_task10[[SubPLOs]:[SubPLOs]],"&lt;11")</f>
        <v>0</v>
      </c>
      <c r="G43" s="138">
        <f>SUMIFS(tbl_task10[S2],tbl_task10[[SubPLOs]:[SubPLOs]],"&gt;=10",tbl_task10[[SubPLOs]:[SubPLOs]],"&lt;11")</f>
        <v>0</v>
      </c>
      <c r="H43" s="138">
        <f>SUMIFS(tbl_task10[S3],tbl_task10[[SubPLOs]:[SubPLOs]],"&gt;=10",tbl_task10[[SubPLOs]:[SubPLOs]],"&lt;11")</f>
        <v>0</v>
      </c>
      <c r="I43" s="138">
        <f>SUMIFS(tbl_task10[S4],tbl_task10[[SubPLOs]:[SubPLOs]],"&gt;=10",tbl_task10[[SubPLOs]:[SubPLOs]],"&lt;11")</f>
        <v>0</v>
      </c>
      <c r="J43" s="138">
        <f>SUMIFS(tbl_task10[S5],tbl_task10[[SubPLOs]:[SubPLOs]],"&gt;=10",tbl_task10[[SubPLOs]:[SubPLOs]],"&lt;11")</f>
        <v>0</v>
      </c>
      <c r="K43" s="138">
        <f>SUMIFS(tbl_task10[S6],tbl_task10[[SubPLOs]:[SubPLOs]],"&gt;=10",tbl_task10[[SubPLOs]:[SubPLOs]],"&lt;11")</f>
        <v>0</v>
      </c>
      <c r="L43" s="138">
        <f>SUMIFS(tbl_task10[S7],tbl_task10[[SubPLOs]:[SubPLOs]],"&gt;=10",tbl_task10[[SubPLOs]:[SubPLOs]],"&lt;11")</f>
        <v>0</v>
      </c>
      <c r="M43" s="138">
        <f>SUMIFS(tbl_task10[S8],tbl_task10[[SubPLOs]:[SubPLOs]],"&gt;=10",tbl_task10[[SubPLOs]:[SubPLOs]],"&lt;11")</f>
        <v>0</v>
      </c>
      <c r="N43" s="138">
        <f>SUMIFS(tbl_task10[S9],tbl_task10[[SubPLOs]:[SubPLOs]],"&gt;=10",tbl_task10[[SubPLOs]:[SubPLOs]],"&lt;11")</f>
        <v>0</v>
      </c>
      <c r="O43" s="138">
        <f>SUMIFS(tbl_task10[S10],tbl_task10[[SubPLOs]:[SubPLOs]],"&gt;=10",tbl_task10[[SubPLOs]:[SubPLOs]],"&lt;11")</f>
        <v>0</v>
      </c>
      <c r="P43" s="138">
        <f>SUMIFS(tbl_task10[S11],tbl_task10[[SubPLOs]:[SubPLOs]],"&gt;=10",tbl_task10[[SubPLOs]:[SubPLOs]],"&lt;11")</f>
        <v>0</v>
      </c>
      <c r="Q43" s="138">
        <f>SUMIFS(tbl_task10[S12],tbl_task10[[SubPLOs]:[SubPLOs]],"&gt;=10",tbl_task10[[SubPLOs]:[SubPLOs]],"&lt;11")</f>
        <v>0</v>
      </c>
      <c r="R43" s="138">
        <f>SUMIFS(tbl_task10[S13],tbl_task10[[SubPLOs]:[SubPLOs]],"&gt;=10",tbl_task10[[SubPLOs]:[SubPLOs]],"&lt;11")</f>
        <v>0</v>
      </c>
      <c r="S43" s="138">
        <f>SUMIFS(tbl_task10[S14],tbl_task10[[SubPLOs]:[SubPLOs]],"&gt;=10",tbl_task10[[SubPLOs]:[SubPLOs]],"&lt;11")</f>
        <v>0</v>
      </c>
      <c r="T43" s="138">
        <f>SUMIFS(tbl_task10[S15],tbl_task10[[SubPLOs]:[SubPLOs]],"&gt;=10",tbl_task10[[SubPLOs]:[SubPLOs]],"&lt;11")</f>
        <v>0</v>
      </c>
      <c r="U43" s="138">
        <f>SUMIFS(tbl_task10[S16],tbl_task10[[SubPLOs]:[SubPLOs]],"&gt;=10",tbl_task10[[SubPLOs]:[SubPLOs]],"&lt;11")</f>
        <v>0</v>
      </c>
      <c r="V43" s="138">
        <f>SUMIFS(tbl_task10[S17],tbl_task10[[SubPLOs]:[SubPLOs]],"&gt;=10",tbl_task10[[SubPLOs]:[SubPLOs]],"&lt;11")</f>
        <v>0</v>
      </c>
      <c r="W43" s="138">
        <f>SUMIFS(tbl_task10[S18],tbl_task10[[SubPLOs]:[SubPLOs]],"&gt;=10",tbl_task10[[SubPLOs]:[SubPLOs]],"&lt;11")</f>
        <v>0</v>
      </c>
      <c r="X43" s="138">
        <f>SUMIFS(tbl_task10[S19],tbl_task10[[SubPLOs]:[SubPLOs]],"&gt;=10",tbl_task10[[SubPLOs]:[SubPLOs]],"&lt;11")</f>
        <v>0</v>
      </c>
      <c r="Y43" s="138">
        <f>SUMIFS(tbl_task10[S20],tbl_task10[[SubPLOs]:[SubPLOs]],"&gt;=10",tbl_task10[[SubPLOs]:[SubPLOs]],"&lt;11")</f>
        <v>0</v>
      </c>
      <c r="Z43" s="138">
        <f>SUMIFS(tbl_task10[S21],tbl_task10[[SubPLOs]:[SubPLOs]],"&gt;=10",tbl_task10[[SubPLOs]:[SubPLOs]],"&lt;11")</f>
        <v>0</v>
      </c>
      <c r="AA43" s="138">
        <f>SUMIFS(tbl_task10[S22],tbl_task10[[SubPLOs]:[SubPLOs]],"&gt;=10",tbl_task10[[SubPLOs]:[SubPLOs]],"&lt;11")</f>
        <v>0</v>
      </c>
      <c r="AB43" s="138">
        <f>SUMIFS(tbl_task10[S23],tbl_task10[[SubPLOs]:[SubPLOs]],"&gt;=10",tbl_task10[[SubPLOs]:[SubPLOs]],"&lt;11")</f>
        <v>0</v>
      </c>
      <c r="AC43" s="138">
        <f>SUMIFS(tbl_task10[S24],tbl_task10[[SubPLOs]:[SubPLOs]],"&gt;=10",tbl_task10[[SubPLOs]:[SubPLOs]],"&lt;11")</f>
        <v>0</v>
      </c>
      <c r="AD43" s="138">
        <f>SUMIFS(tbl_task10[S25],tbl_task10[[SubPLOs]:[SubPLOs]],"&gt;=10",tbl_task10[[SubPLOs]:[SubPLOs]],"&lt;11")</f>
        <v>0</v>
      </c>
      <c r="AE43" s="138">
        <f>SUMIFS(tbl_task10[S26],tbl_task10[[SubPLOs]:[SubPLOs]],"&gt;=10",tbl_task10[[SubPLOs]:[SubPLOs]],"&lt;11")</f>
        <v>0</v>
      </c>
      <c r="AF43" s="138">
        <f>SUMIFS(tbl_task10[S27],tbl_task10[[SubPLOs]:[SubPLOs]],"&gt;=10",tbl_task10[[SubPLOs]:[SubPLOs]],"&lt;11")</f>
        <v>0</v>
      </c>
      <c r="AG43" s="138">
        <f>SUMIFS(tbl_task10[S28],tbl_task10[[SubPLOs]:[SubPLOs]],"&gt;=10",tbl_task10[[SubPLOs]:[SubPLOs]],"&lt;11")</f>
        <v>0</v>
      </c>
      <c r="AH43" s="138">
        <f>SUMIFS(tbl_task10[S29],tbl_task10[[SubPLOs]:[SubPLOs]],"&gt;=10",tbl_task10[[SubPLOs]:[SubPLOs]],"&lt;11")</f>
        <v>0</v>
      </c>
      <c r="AI43" s="138">
        <f>SUMIFS(tbl_task10[S30],tbl_task10[[SubPLOs]:[SubPLOs]],"&gt;=10",tbl_task10[[SubPLOs]:[SubPLOs]],"&lt;11")</f>
        <v>0</v>
      </c>
      <c r="AJ43" s="138">
        <f>SUMIFS(tbl_task10[S31],tbl_task10[[SubPLOs]:[SubPLOs]],"&gt;=10",tbl_task10[[SubPLOs]:[SubPLOs]],"&lt;11")</f>
        <v>0</v>
      </c>
      <c r="AK43" s="138">
        <f>SUMIFS(tbl_task10[S32],tbl_task10[[SubPLOs]:[SubPLOs]],"&gt;=10",tbl_task10[[SubPLOs]:[SubPLOs]],"&lt;11")</f>
        <v>0</v>
      </c>
      <c r="AL43" s="138">
        <f>SUMIFS(tbl_task10[S33],tbl_task10[[SubPLOs]:[SubPLOs]],"&gt;=10",tbl_task10[[SubPLOs]:[SubPLOs]],"&lt;11")</f>
        <v>0</v>
      </c>
      <c r="AM43" s="138">
        <f>SUMIFS(tbl_task10[S34],tbl_task10[[SubPLOs]:[SubPLOs]],"&gt;=10",tbl_task10[[SubPLOs]:[SubPLOs]],"&lt;11")</f>
        <v>0</v>
      </c>
      <c r="AN43" s="138">
        <f>SUMIFS(tbl_task10[S35],tbl_task10[[SubPLOs]:[SubPLOs]],"&gt;=10",tbl_task10[[SubPLOs]:[SubPLOs]],"&lt;11")</f>
        <v>0</v>
      </c>
      <c r="AO43" s="138">
        <f>SUMIFS(tbl_task10[S36],tbl_task10[[SubPLOs]:[SubPLOs]],"&gt;=10",tbl_task10[[SubPLOs]:[SubPLOs]],"&lt;11")</f>
        <v>0</v>
      </c>
      <c r="AP43" s="138">
        <f>SUMIFS(tbl_task10[S37],tbl_task10[[SubPLOs]:[SubPLOs]],"&gt;=10",tbl_task10[[SubPLOs]:[SubPLOs]],"&lt;11")</f>
        <v>0</v>
      </c>
      <c r="AQ43" s="138">
        <f>SUMIFS(tbl_task10[S38],tbl_task10[[SubPLOs]:[SubPLOs]],"&gt;=10",tbl_task10[[SubPLOs]:[SubPLOs]],"&lt;11")</f>
        <v>0</v>
      </c>
      <c r="AR43" s="138">
        <f>SUMIFS(tbl_task10[S39],tbl_task10[[SubPLOs]:[SubPLOs]],"&gt;=10",tbl_task10[[SubPLOs]:[SubPLOs]],"&lt;11")</f>
        <v>0</v>
      </c>
      <c r="AS43" s="138">
        <f>SUMIFS(tbl_task10[S40],tbl_task10[[SubPLOs]:[SubPLOs]],"&gt;=10",tbl_task10[[SubPLOs]:[SubPLOs]],"&lt;11")</f>
        <v>0</v>
      </c>
      <c r="AT43" s="138">
        <f>SUMIFS(tbl_task10[S41],tbl_task10[[SubPLOs]:[SubPLOs]],"&gt;=10",tbl_task10[[SubPLOs]:[SubPLOs]],"&lt;11")</f>
        <v>0</v>
      </c>
      <c r="AU43" s="138">
        <f>SUMIFS(tbl_task10[S42],tbl_task10[[SubPLOs]:[SubPLOs]],"&gt;=10",tbl_task10[[SubPLOs]:[SubPLOs]],"&lt;11")</f>
        <v>0</v>
      </c>
      <c r="AV43" s="138">
        <f>SUMIFS(tbl_task10[S43],tbl_task10[[SubPLOs]:[SubPLOs]],"&gt;=10",tbl_task10[[SubPLOs]:[SubPLOs]],"&lt;11")</f>
        <v>0</v>
      </c>
      <c r="AW43" s="138">
        <f>SUMIFS(tbl_task10[S44],tbl_task10[[SubPLOs]:[SubPLOs]],"&gt;=10",tbl_task10[[SubPLOs]:[SubPLOs]],"&lt;11")</f>
        <v>0</v>
      </c>
      <c r="AX43" s="138">
        <f>SUMIFS(tbl_task10[S45],tbl_task10[[SubPLOs]:[SubPLOs]],"&gt;=10",tbl_task10[[SubPLOs]:[SubPLOs]],"&lt;11")</f>
        <v>0</v>
      </c>
      <c r="AY43" s="138">
        <f>SUMIFS(tbl_task10[S46],tbl_task10[[SubPLOs]:[SubPLOs]],"&gt;=10",tbl_task10[[SubPLOs]:[SubPLOs]],"&lt;11")</f>
        <v>0</v>
      </c>
      <c r="AZ43" s="138">
        <f>SUMIFS(tbl_task10[S47],tbl_task10[[SubPLOs]:[SubPLOs]],"&gt;=10",tbl_task10[[SubPLOs]:[SubPLOs]],"&lt;11")</f>
        <v>0</v>
      </c>
      <c r="BA43" s="138">
        <f>SUMIFS(tbl_task10[S48],tbl_task10[[SubPLOs]:[SubPLOs]],"&gt;=10",tbl_task10[[SubPLOs]:[SubPLOs]],"&lt;11")</f>
        <v>0</v>
      </c>
      <c r="BB43" s="138">
        <f>SUMIFS(tbl_task10[S49],tbl_task10[[SubPLOs]:[SubPLOs]],"&gt;=10",tbl_task10[[SubPLOs]:[SubPLOs]],"&lt;11")</f>
        <v>0</v>
      </c>
      <c r="BC43" s="138">
        <f>SUMIFS(tbl_task10[S50],tbl_task10[[SubPLOs]:[SubPLOs]],"&gt;=10",tbl_task10[[SubPLOs]:[SubPLOs]],"&lt;11")</f>
        <v>0</v>
      </c>
      <c r="BD43" s="138">
        <f>SUMIFS(tbl_task10[S51],tbl_task10[[SubPLOs]:[SubPLOs]],"&gt;=10",tbl_task10[[SubPLOs]:[SubPLOs]],"&lt;11")</f>
        <v>0</v>
      </c>
      <c r="BE43" s="138">
        <f>SUMIFS(tbl_task10[S52],tbl_task10[[SubPLOs]:[SubPLOs]],"&gt;=10",tbl_task10[[SubPLOs]:[SubPLOs]],"&lt;11")</f>
        <v>0</v>
      </c>
      <c r="BF43" s="138">
        <f>SUMIFS(tbl_task10[S53],tbl_task10[[SubPLOs]:[SubPLOs]],"&gt;=10",tbl_task10[[SubPLOs]:[SubPLOs]],"&lt;11")</f>
        <v>0</v>
      </c>
      <c r="BG43" s="138">
        <f>SUMIFS(tbl_task10[S54],tbl_task10[[SubPLOs]:[SubPLOs]],"&gt;=10",tbl_task10[[SubPLOs]:[SubPLOs]],"&lt;11")</f>
        <v>0</v>
      </c>
      <c r="BH43" s="138">
        <f>SUMIFS(tbl_task10[S55],tbl_task10[[SubPLOs]:[SubPLOs]],"&gt;=10",tbl_task10[[SubPLOs]:[SubPLOs]],"&lt;11")</f>
        <v>0</v>
      </c>
      <c r="BI43" s="138">
        <f>SUMIFS(tbl_task10[S56],tbl_task10[[SubPLOs]:[SubPLOs]],"&gt;=10",tbl_task10[[SubPLOs]:[SubPLOs]],"&lt;11")</f>
        <v>0</v>
      </c>
      <c r="BJ43" s="138">
        <f>SUMIFS(tbl_task10[S57],tbl_task10[[SubPLOs]:[SubPLOs]],"&gt;=10",tbl_task10[[SubPLOs]:[SubPLOs]],"&lt;11")</f>
        <v>0</v>
      </c>
      <c r="BK43" s="138">
        <f>SUMIFS(tbl_task10[S58],tbl_task10[[SubPLOs]:[SubPLOs]],"&gt;=10",tbl_task10[[SubPLOs]:[SubPLOs]],"&lt;11")</f>
        <v>0</v>
      </c>
      <c r="BL43" s="138">
        <f>SUMIFS(tbl_task10[S59],tbl_task10[[SubPLOs]:[SubPLOs]],"&gt;=10",tbl_task10[[SubPLOs]:[SubPLOs]],"&lt;11")</f>
        <v>0</v>
      </c>
      <c r="BM43" s="138">
        <f>SUMIFS(tbl_task10[S60],tbl_task10[[SubPLOs]:[SubPLOs]],"&gt;=10",tbl_task10[[SubPLOs]:[SubPLOs]],"&lt;11")</f>
        <v>0</v>
      </c>
      <c r="BN43" s="138">
        <f>SUMIFS(tbl_task10[S61],tbl_task10[[SubPLOs]:[SubPLOs]],"&gt;=10",tbl_task10[[SubPLOs]:[SubPLOs]],"&lt;11")</f>
        <v>0</v>
      </c>
      <c r="BO43" s="138">
        <f>SUMIFS(tbl_task10[S62],tbl_task10[[SubPLOs]:[SubPLOs]],"&gt;=10",tbl_task10[[SubPLOs]:[SubPLOs]],"&lt;11")</f>
        <v>0</v>
      </c>
      <c r="BP43" s="138">
        <f>SUMIFS(tbl_task10[S63],tbl_task10[[SubPLOs]:[SubPLOs]],"&gt;=10",tbl_task10[[SubPLOs]:[SubPLOs]],"&lt;11")</f>
        <v>0</v>
      </c>
      <c r="BQ43" s="138">
        <f>SUMIFS(tbl_task10[S64],tbl_task10[[SubPLOs]:[SubPLOs]],"&gt;=10",tbl_task10[[SubPLOs]:[SubPLOs]],"&lt;11")</f>
        <v>0</v>
      </c>
      <c r="BR43" s="138">
        <f>SUMIFS(tbl_task10[S65],tbl_task10[[SubPLOs]:[SubPLOs]],"&gt;=10",tbl_task10[[SubPLOs]:[SubPLOs]],"&lt;11")</f>
        <v>0</v>
      </c>
      <c r="BS43" s="138">
        <f>SUMIFS(tbl_task10[S66],tbl_task10[[SubPLOs]:[SubPLOs]],"&gt;=10",tbl_task10[[SubPLOs]:[SubPLOs]],"&lt;11")</f>
        <v>0</v>
      </c>
      <c r="BT43" s="138">
        <f>SUMIFS(tbl_task10[S67],tbl_task10[[SubPLOs]:[SubPLOs]],"&gt;=10",tbl_task10[[SubPLOs]:[SubPLOs]],"&lt;11")</f>
        <v>0</v>
      </c>
      <c r="BU43" s="138">
        <f>SUMIFS(tbl_task10[S68],tbl_task10[[SubPLOs]:[SubPLOs]],"&gt;=10",tbl_task10[[SubPLOs]:[SubPLOs]],"&lt;11")</f>
        <v>0</v>
      </c>
      <c r="BV43" s="138">
        <f>SUMIFS(tbl_task10[S69],tbl_task10[[SubPLOs]:[SubPLOs]],"&gt;=10",tbl_task10[[SubPLOs]:[SubPLOs]],"&lt;11")</f>
        <v>0</v>
      </c>
      <c r="BW43" s="138">
        <f>SUMIFS(tbl_task10[S70],tbl_task10[[SubPLOs]:[SubPLOs]],"&gt;=10",tbl_task10[[SubPLOs]:[SubPLOs]],"&lt;11")</f>
        <v>0</v>
      </c>
      <c r="BX43" s="138">
        <f>SUMIFS(tbl_task10[S71],tbl_task10[[SubPLOs]:[SubPLOs]],"&gt;=10",tbl_task10[[SubPLOs]:[SubPLOs]],"&lt;11")</f>
        <v>0</v>
      </c>
      <c r="BY43" s="138">
        <f>SUMIFS(tbl_task10[S72],tbl_task10[[SubPLOs]:[SubPLOs]],"&gt;=10",tbl_task10[[SubPLOs]:[SubPLOs]],"&lt;11")</f>
        <v>0</v>
      </c>
      <c r="BZ43" s="138">
        <f>SUMIFS(tbl_task10[S73],tbl_task10[[SubPLOs]:[SubPLOs]],"&gt;=10",tbl_task10[[SubPLOs]:[SubPLOs]],"&lt;11")</f>
        <v>0</v>
      </c>
      <c r="CA43" s="138">
        <f>SUMIFS(tbl_task10[S74],tbl_task10[[SubPLOs]:[SubPLOs]],"&gt;=10",tbl_task10[[SubPLOs]:[SubPLOs]],"&lt;11")</f>
        <v>0</v>
      </c>
      <c r="CB43" s="138">
        <f>SUMIFS(tbl_task10[S75],tbl_task10[[SubPLOs]:[SubPLOs]],"&gt;=10",tbl_task10[[SubPLOs]:[SubPLOs]],"&lt;11")</f>
        <v>0</v>
      </c>
      <c r="CC43" s="138">
        <f>SUMIFS(tbl_task10[S76],tbl_task10[[SubPLOs]:[SubPLOs]],"&gt;=10",tbl_task10[[SubPLOs]:[SubPLOs]],"&lt;11")</f>
        <v>0</v>
      </c>
      <c r="CD43" s="138">
        <f>SUMIFS(tbl_task10[S77],tbl_task10[[SubPLOs]:[SubPLOs]],"&gt;=10",tbl_task10[[SubPLOs]:[SubPLOs]],"&lt;11")</f>
        <v>0</v>
      </c>
      <c r="CE43" s="138">
        <f>SUMIFS(tbl_task10[S78],tbl_task10[[SubPLOs]:[SubPLOs]],"&gt;=10",tbl_task10[[SubPLOs]:[SubPLOs]],"&lt;11")</f>
        <v>0</v>
      </c>
      <c r="CF43" s="138">
        <f>SUMIFS(tbl_task10[S79],tbl_task10[[SubPLOs]:[SubPLOs]],"&gt;=10",tbl_task10[[SubPLOs]:[SubPLOs]],"&lt;11")</f>
        <v>0</v>
      </c>
      <c r="CG43" s="138">
        <f>SUMIFS(tbl_task10[S80],tbl_task10[[SubPLOs]:[SubPLOs]],"&gt;=10",tbl_task10[[SubPLOs]:[SubPLOs]],"&lt;11")</f>
        <v>0</v>
      </c>
      <c r="CH43" s="138">
        <f>SUMIFS(tbl_task10[S81],tbl_task10[[SubPLOs]:[SubPLOs]],"&gt;=10",tbl_task10[[SubPLOs]:[SubPLOs]],"&lt;11")</f>
        <v>0</v>
      </c>
      <c r="CI43" s="138">
        <f>SUMIFS(tbl_task10[S82],tbl_task10[[SubPLOs]:[SubPLOs]],"&gt;=10",tbl_task10[[SubPLOs]:[SubPLOs]],"&lt;11")</f>
        <v>0</v>
      </c>
      <c r="CJ43" s="138">
        <f>SUMIFS(tbl_task10[S83],tbl_task10[[SubPLOs]:[SubPLOs]],"&gt;=10",tbl_task10[[SubPLOs]:[SubPLOs]],"&lt;11")</f>
        <v>0</v>
      </c>
      <c r="CK43" s="138">
        <f>SUMIFS(tbl_task10[S84],tbl_task10[[SubPLOs]:[SubPLOs]],"&gt;=10",tbl_task10[[SubPLOs]:[SubPLOs]],"&lt;11")</f>
        <v>0</v>
      </c>
      <c r="CL43" s="138">
        <f>SUMIFS(tbl_task10[S85],tbl_task10[[SubPLOs]:[SubPLOs]],"&gt;=10",tbl_task10[[SubPLOs]:[SubPLOs]],"&lt;11")</f>
        <v>0</v>
      </c>
      <c r="CM43" s="138">
        <f>SUMIFS(tbl_task10[S86],tbl_task10[[SubPLOs]:[SubPLOs]],"&gt;=10",tbl_task10[[SubPLOs]:[SubPLOs]],"&lt;11")</f>
        <v>0</v>
      </c>
      <c r="CN43" s="138">
        <f>SUMIFS(tbl_task10[S87],tbl_task10[[SubPLOs]:[SubPLOs]],"&gt;=10",tbl_task10[[SubPLOs]:[SubPLOs]],"&lt;11")</f>
        <v>0</v>
      </c>
      <c r="CO43" s="138">
        <f>SUMIFS(tbl_task10[S88],tbl_task10[[SubPLOs]:[SubPLOs]],"&gt;=10",tbl_task10[[SubPLOs]:[SubPLOs]],"&lt;11")</f>
        <v>0</v>
      </c>
      <c r="CP43" s="138">
        <f>SUMIFS(tbl_task10[S89],tbl_task10[[SubPLOs]:[SubPLOs]],"&gt;=10",tbl_task10[[SubPLOs]:[SubPLOs]],"&lt;11")</f>
        <v>0</v>
      </c>
      <c r="CQ43" s="138">
        <f>SUMIFS(tbl_task10[S90],tbl_task10[[SubPLOs]:[SubPLOs]],"&gt;=10",tbl_task10[[SubPLOs]:[SubPLOs]],"&lt;11")</f>
        <v>0</v>
      </c>
      <c r="CR43" s="138">
        <f>SUMIFS(tbl_task10[S91],tbl_task10[[SubPLOs]:[SubPLOs]],"&gt;=10",tbl_task10[[SubPLOs]:[SubPLOs]],"&lt;11")</f>
        <v>0</v>
      </c>
      <c r="CS43" s="138">
        <f>SUMIFS(tbl_task10[S92],tbl_task10[[SubPLOs]:[SubPLOs]],"&gt;=10",tbl_task10[[SubPLOs]:[SubPLOs]],"&lt;11")</f>
        <v>0</v>
      </c>
      <c r="CT43" s="138">
        <f>SUMIFS(tbl_task10[S93],tbl_task10[[SubPLOs]:[SubPLOs]],"&gt;=10",tbl_task10[[SubPLOs]:[SubPLOs]],"&lt;11")</f>
        <v>0</v>
      </c>
      <c r="CU43" s="138">
        <f>SUMIFS(tbl_task10[S94],tbl_task10[[SubPLOs]:[SubPLOs]],"&gt;=10",tbl_task10[[SubPLOs]:[SubPLOs]],"&lt;11")</f>
        <v>0</v>
      </c>
      <c r="CV43" s="138">
        <f>SUMIFS(tbl_task10[S95],tbl_task10[[SubPLOs]:[SubPLOs]],"&gt;=10",tbl_task10[[SubPLOs]:[SubPLOs]],"&lt;11")</f>
        <v>0</v>
      </c>
      <c r="CW43" s="138">
        <f>SUMIFS(tbl_task10[S96],tbl_task10[[SubPLOs]:[SubPLOs]],"&gt;=10",tbl_task10[[SubPLOs]:[SubPLOs]],"&lt;11")</f>
        <v>0</v>
      </c>
      <c r="CX43" s="138">
        <f>SUMIFS(tbl_task10[S97],tbl_task10[[SubPLOs]:[SubPLOs]],"&gt;=10",tbl_task10[[SubPLOs]:[SubPLOs]],"&lt;11")</f>
        <v>0</v>
      </c>
      <c r="CY43" s="138">
        <f>SUMIFS(tbl_task10[S98],tbl_task10[[SubPLOs]:[SubPLOs]],"&gt;=10",tbl_task10[[SubPLOs]:[SubPLOs]],"&lt;11")</f>
        <v>0</v>
      </c>
      <c r="CZ43" s="138">
        <f>SUMIFS(tbl_task10[S99],tbl_task10[[SubPLOs]:[SubPLOs]],"&gt;=10",tbl_task10[[SubPLOs]:[SubPLOs]],"&lt;11")</f>
        <v>0</v>
      </c>
      <c r="DA43" s="138">
        <f>SUMIFS(tbl_task10[S100],tbl_task10[[SubPLOs]:[SubPLOs]],"&gt;=10",tbl_task10[[SubPLOs]:[SubPLOs]],"&lt;11")</f>
        <v>0</v>
      </c>
      <c r="DB43" s="138">
        <f>SUMIFS(tbl_task10[S101],tbl_task10[[SubPLOs]:[SubPLOs]],"&gt;=10",tbl_task10[[SubPLOs]:[SubPLOs]],"&lt;11")</f>
        <v>0</v>
      </c>
      <c r="DC43" s="138">
        <f>SUMIFS(tbl_task10[S102],tbl_task10[[SubPLOs]:[SubPLOs]],"&gt;=10",tbl_task10[[SubPLOs]:[SubPLOs]],"&lt;11")</f>
        <v>0</v>
      </c>
      <c r="DD43" s="138">
        <f>SUMIFS(tbl_task10[S103],tbl_task10[[SubPLOs]:[SubPLOs]],"&gt;=10",tbl_task10[[SubPLOs]:[SubPLOs]],"&lt;11")</f>
        <v>0</v>
      </c>
      <c r="DE43" s="138">
        <f>SUMIFS(tbl_task10[S104],tbl_task10[[SubPLOs]:[SubPLOs]],"&gt;=10",tbl_task10[[SubPLOs]:[SubPLOs]],"&lt;11")</f>
        <v>0</v>
      </c>
      <c r="DF43" s="138">
        <f>SUMIFS(tbl_task10[S105],tbl_task10[[SubPLOs]:[SubPLOs]],"&gt;=10",tbl_task10[[SubPLOs]:[SubPLOs]],"&lt;11")</f>
        <v>0</v>
      </c>
      <c r="DG43" s="138">
        <f>SUMIFS(tbl_task10[S106],tbl_task10[[SubPLOs]:[SubPLOs]],"&gt;=10",tbl_task10[[SubPLOs]:[SubPLOs]],"&lt;11")</f>
        <v>0</v>
      </c>
      <c r="DH43" s="138">
        <f>SUMIFS(tbl_task10[S106],tbl_task10[[SubPLOs]:[SubPLOs]],"&gt;=10",tbl_task10[[SubPLOs]:[SubPLOs]],"&lt;11")</f>
        <v>0</v>
      </c>
      <c r="DI43" s="138">
        <f>SUMIFS(tbl_task10[S108],tbl_task10[[SubPLOs]:[SubPLOs]],"&gt;=10",tbl_task10[[SubPLOs]:[SubPLOs]],"&lt;11")</f>
        <v>0</v>
      </c>
      <c r="DJ43" s="138">
        <f>SUMIFS(tbl_task10[S109],tbl_task10[[SubPLOs]:[SubPLOs]],"&gt;=10",tbl_task10[[SubPLOs]:[SubPLOs]],"&lt;11")</f>
        <v>0</v>
      </c>
      <c r="DK43" s="138">
        <f>SUMIFS(tbl_task10[S110],tbl_task10[[SubPLOs]:[SubPLOs]],"&gt;=10",tbl_task10[[SubPLOs]:[SubPLOs]],"&lt;11")</f>
        <v>0</v>
      </c>
      <c r="DL43" s="138">
        <f>SUMIFS(tbl_task10[S111],tbl_task10[[SubPLOs]:[SubPLOs]],"&gt;=10",tbl_task10[[SubPLOs]:[SubPLOs]],"&lt;11")</f>
        <v>0</v>
      </c>
      <c r="DM43" s="138">
        <f>SUMIFS(tbl_task10[S112],tbl_task10[[SubPLOs]:[SubPLOs]],"&gt;=10",tbl_task10[[SubPLOs]:[SubPLOs]],"&lt;11")</f>
        <v>0</v>
      </c>
      <c r="DN43" s="138">
        <f>SUMIFS(tbl_task10[S113],tbl_task10[[SubPLOs]:[SubPLOs]],"&gt;=10",tbl_task10[[SubPLOs]:[SubPLOs]],"&lt;11")</f>
        <v>0</v>
      </c>
      <c r="DO43" s="138">
        <f>SUMIFS(tbl_task10[S114],tbl_task10[[SubPLOs]:[SubPLOs]],"&gt;=10",tbl_task10[[SubPLOs]:[SubPLOs]],"&lt;11")</f>
        <v>0</v>
      </c>
      <c r="DP43" s="138">
        <f>SUMIFS(tbl_task10[S115],tbl_task10[[SubPLOs]:[SubPLOs]],"&gt;=10",tbl_task10[[SubPLOs]:[SubPLOs]],"&lt;11")</f>
        <v>0</v>
      </c>
      <c r="DQ43" s="138">
        <f>SUMIFS(tbl_task10[S116],tbl_task10[[SubPLOs]:[SubPLOs]],"&gt;=10",tbl_task10[[SubPLOs]:[SubPLOs]],"&lt;11")</f>
        <v>0</v>
      </c>
      <c r="DR43" s="138">
        <f>SUMIFS(tbl_task10[S117],tbl_task10[[SubPLOs]:[SubPLOs]],"&gt;=10",tbl_task10[[SubPLOs]:[SubPLOs]],"&lt;11")</f>
        <v>0</v>
      </c>
      <c r="DS43" s="138">
        <f>SUMIFS(tbl_task10[S118],tbl_task10[[SubPLOs]:[SubPLOs]],"&gt;=10",tbl_task10[[SubPLOs]:[SubPLOs]],"&lt;11")</f>
        <v>0</v>
      </c>
      <c r="DT43" s="138">
        <f>SUMIFS(tbl_task10[S119],tbl_task10[[SubPLOs]:[SubPLOs]],"&gt;=10",tbl_task10[[SubPLOs]:[SubPLOs]],"&lt;11")</f>
        <v>0</v>
      </c>
      <c r="DU43" s="138">
        <f>SUMIFS(tbl_task10[S120],tbl_task10[[SubPLOs]:[SubPLOs]],"&gt;=10",tbl_task10[[SubPLOs]:[SubPLOs]],"&lt;11")</f>
        <v>0</v>
      </c>
      <c r="DV43" s="138">
        <f>SUMIFS(tbl_task10[S121],tbl_task10[[SubPLOs]:[SubPLOs]],"&gt;=10",tbl_task10[[SubPLOs]:[SubPLOs]],"&lt;11")</f>
        <v>0</v>
      </c>
      <c r="DW43" s="138">
        <f>SUMIFS(tbl_task10[S122],tbl_task10[[SubPLOs]:[SubPLOs]],"&gt;=10",tbl_task10[[SubPLOs]:[SubPLOs]],"&lt;11")</f>
        <v>0</v>
      </c>
      <c r="DX43" s="138">
        <f>SUMIFS(tbl_task10[S123],tbl_task10[[SubPLOs]:[SubPLOs]],"&gt;=10",tbl_task10[[SubPLOs]:[SubPLOs]],"&lt;11")</f>
        <v>0</v>
      </c>
      <c r="DY43" s="138">
        <f>SUMIFS(tbl_task10[S124],tbl_task10[[SubPLOs]:[SubPLOs]],"&gt;=10",tbl_task10[[SubPLOs]:[SubPLOs]],"&lt;11")</f>
        <v>0</v>
      </c>
      <c r="DZ43" s="138">
        <f>SUMIFS(tbl_task10[S125],tbl_task10[[SubPLOs]:[SubPLOs]],"&gt;=10",tbl_task10[[SubPLOs]:[SubPLOs]],"&lt;11")</f>
        <v>0</v>
      </c>
      <c r="EA43" s="138">
        <f>SUMIFS(tbl_task10[S126],tbl_task10[[SubPLOs]:[SubPLOs]],"&gt;=10",tbl_task10[[SubPLOs]:[SubPLOs]],"&lt;11")</f>
        <v>0</v>
      </c>
      <c r="EB43" s="138">
        <f>SUMIFS(tbl_task10[S127],tbl_task10[[SubPLOs]:[SubPLOs]],"&gt;=10",tbl_task10[[SubPLOs]:[SubPLOs]],"&lt;11")</f>
        <v>0</v>
      </c>
      <c r="EC43" s="138">
        <f>SUMIFS(tbl_task10[S128],tbl_task10[[SubPLOs]:[SubPLOs]],"&gt;=10",tbl_task10[[SubPLOs]:[SubPLOs]],"&lt;11")</f>
        <v>0</v>
      </c>
      <c r="ED43" s="138">
        <f>SUMIFS(tbl_task10[S129],tbl_task10[[SubPLOs]:[SubPLOs]],"&gt;=10",tbl_task10[[SubPLOs]:[SubPLOs]],"&lt;11")</f>
        <v>0</v>
      </c>
      <c r="EE43" s="138">
        <f>SUMIFS(tbl_task10[S130],tbl_task10[[SubPLOs]:[SubPLOs]],"&gt;=10",tbl_task10[[SubPLOs]:[SubPLOs]],"&lt;11")</f>
        <v>0</v>
      </c>
      <c r="EF43" s="138">
        <f>SUMIFS(tbl_task10[S131],tbl_task10[[SubPLOs]:[SubPLOs]],"&gt;=10",tbl_task10[[SubPLOs]:[SubPLOs]],"&lt;11")</f>
        <v>0</v>
      </c>
      <c r="EG43" s="138">
        <f>SUMIFS(tbl_task10[S132],tbl_task10[[SubPLOs]:[SubPLOs]],"&gt;=10",tbl_task10[[SubPLOs]:[SubPLOs]],"&lt;11")</f>
        <v>0</v>
      </c>
      <c r="EH43" s="138">
        <f>SUMIFS(tbl_task10[S133],tbl_task10[[SubPLOs]:[SubPLOs]],"&gt;=10",tbl_task10[[SubPLOs]:[SubPLOs]],"&lt;11")</f>
        <v>0</v>
      </c>
      <c r="EI43" s="138">
        <f>SUMIFS(tbl_task10[S134],tbl_task10[[SubPLOs]:[SubPLOs]],"&gt;=10",tbl_task10[[SubPLOs]:[SubPLOs]],"&lt;11")</f>
        <v>0</v>
      </c>
      <c r="EJ43" s="138">
        <f>SUMIFS(tbl_task10[S135],tbl_task10[[SubPLOs]:[SubPLOs]],"&gt;=10",tbl_task10[[SubPLOs]:[SubPLOs]],"&lt;11")</f>
        <v>0</v>
      </c>
      <c r="EK43" s="138">
        <f>SUMIFS(tbl_task10[S136],tbl_task10[[SubPLOs]:[SubPLOs]],"&gt;=10",tbl_task10[[SubPLOs]:[SubPLOs]],"&lt;11")</f>
        <v>0</v>
      </c>
      <c r="EL43" s="138">
        <f>SUMIFS(tbl_task10[S137],tbl_task10[[SubPLOs]:[SubPLOs]],"&gt;=10",tbl_task10[[SubPLOs]:[SubPLOs]],"&lt;11")</f>
        <v>0</v>
      </c>
      <c r="EM43" s="138">
        <f>SUMIFS(tbl_task10[S138],tbl_task10[[SubPLOs]:[SubPLOs]],"&gt;=10",tbl_task10[[SubPLOs]:[SubPLOs]],"&lt;11")</f>
        <v>0</v>
      </c>
      <c r="EN43" s="138">
        <f>SUMIFS(tbl_task10[S139],tbl_task10[[SubPLOs]:[SubPLOs]],"&gt;=10",tbl_task10[[SubPLOs]:[SubPLOs]],"&lt;11")</f>
        <v>0</v>
      </c>
      <c r="EO43" s="138">
        <f>SUMIFS(tbl_task10[S140],tbl_task10[[SubPLOs]:[SubPLOs]],"&gt;=10",tbl_task10[[SubPLOs]:[SubPLOs]],"&lt;11")</f>
        <v>0</v>
      </c>
      <c r="EP43" s="138">
        <f>SUMIFS(tbl_task10[S141],tbl_task10[[SubPLOs]:[SubPLOs]],"&gt;=10",tbl_task10[[SubPLOs]:[SubPLOs]],"&lt;11")</f>
        <v>0</v>
      </c>
      <c r="EQ43" s="138">
        <f>SUMIFS(tbl_task10[S142],tbl_task10[[SubPLOs]:[SubPLOs]],"&gt;=10",tbl_task10[[SubPLOs]:[SubPLOs]],"&lt;11")</f>
        <v>0</v>
      </c>
      <c r="ER43" s="138">
        <f>SUMIFS(tbl_task10[S143],tbl_task10[[SubPLOs]:[SubPLOs]],"&gt;=10",tbl_task10[[SubPLOs]:[SubPLOs]],"&lt;11")</f>
        <v>0</v>
      </c>
      <c r="ES43" s="138">
        <f>SUMIFS(tbl_task10[S144],tbl_task10[[SubPLOs]:[SubPLOs]],"&gt;=10",tbl_task10[[SubPLOs]:[SubPLOs]],"&lt;11")</f>
        <v>0</v>
      </c>
      <c r="ET43" s="138">
        <f>SUMIFS(tbl_task10[S145],tbl_task10[[SubPLOs]:[SubPLOs]],"&gt;=10",tbl_task10[[SubPLOs]:[SubPLOs]],"&lt;11")</f>
        <v>0</v>
      </c>
      <c r="EU43" s="138">
        <f>SUMIFS(tbl_task10[S146],tbl_task10[[SubPLOs]:[SubPLOs]],"&gt;=10",tbl_task10[[SubPLOs]:[SubPLOs]],"&lt;11")</f>
        <v>0</v>
      </c>
      <c r="EV43" s="138">
        <f>SUMIFS(tbl_task10[S147],tbl_task10[[SubPLOs]:[SubPLOs]],"&gt;=10",tbl_task10[[SubPLOs]:[SubPLOs]],"&lt;11")</f>
        <v>0</v>
      </c>
      <c r="EW43" s="138">
        <f>SUMIFS(tbl_task10[S148],tbl_task10[[SubPLOs]:[SubPLOs]],"&gt;=10",tbl_task10[[SubPLOs]:[SubPLOs]],"&lt;11")</f>
        <v>0</v>
      </c>
      <c r="EX43" s="138">
        <f>SUMIFS(tbl_task10[S149],tbl_task10[[SubPLOs]:[SubPLOs]],"&gt;=10",tbl_task10[[SubPLOs]:[SubPLOs]],"&lt;11")</f>
        <v>0</v>
      </c>
      <c r="EY43" s="138">
        <f>SUMIFS(tbl_task10[S150],tbl_task10[[SubPLOs]:[SubPLOs]],"&gt;=10",tbl_task10[[SubPLOs]:[SubPLOs]],"&lt;11")</f>
        <v>0</v>
      </c>
      <c r="EZ43" s="138">
        <f>SUMIFS(tbl_task10[S151],tbl_task10[[SubPLOs]:[SubPLOs]],"&gt;=10",tbl_task10[[SubPLOs]:[SubPLOs]],"&lt;11")</f>
        <v>0</v>
      </c>
      <c r="FA43" s="138">
        <f>SUMIFS(tbl_task10[S152],tbl_task10[[SubPLOs]:[SubPLOs]],"&gt;=10",tbl_task10[[SubPLOs]:[SubPLOs]],"&lt;11")</f>
        <v>0</v>
      </c>
      <c r="FB43" s="138">
        <f>SUMIFS(tbl_task10[S153],tbl_task10[[SubPLOs]:[SubPLOs]],"&gt;=10",tbl_task10[[SubPLOs]:[SubPLOs]],"&lt;11")</f>
        <v>0</v>
      </c>
      <c r="FC43" s="138">
        <f>SUMIFS(tbl_task10[S154],tbl_task10[[SubPLOs]:[SubPLOs]],"&gt;=10",tbl_task10[[SubPLOs]:[SubPLOs]],"&lt;11")</f>
        <v>0</v>
      </c>
      <c r="FD43" s="138">
        <f>SUMIFS(tbl_task10[S155],tbl_task10[[SubPLOs]:[SubPLOs]],"&gt;=10",tbl_task10[[SubPLOs]:[SubPLOs]],"&lt;11")</f>
        <v>0</v>
      </c>
      <c r="FE43" s="138">
        <f>SUMIFS(tbl_task10[S156],tbl_task10[[SubPLOs]:[SubPLOs]],"&gt;=10",tbl_task10[[SubPLOs]:[SubPLOs]],"&lt;11")</f>
        <v>0</v>
      </c>
      <c r="FF43" s="138">
        <f>SUMIFS(tbl_task10[S157],tbl_task10[[SubPLOs]:[SubPLOs]],"&gt;=10",tbl_task10[[SubPLOs]:[SubPLOs]],"&lt;11")</f>
        <v>0</v>
      </c>
      <c r="FG43" s="138">
        <f>SUMIFS(tbl_task10[S158],tbl_task10[[SubPLOs]:[SubPLOs]],"&gt;=10",tbl_task10[[SubPLOs]:[SubPLOs]],"&lt;11")</f>
        <v>0</v>
      </c>
      <c r="FH43" s="138">
        <f>SUMIFS(tbl_task10[S159],tbl_task10[[SubPLOs]:[SubPLOs]],"&gt;=10",tbl_task10[[SubPLOs]:[SubPLOs]],"&lt;11")</f>
        <v>0</v>
      </c>
      <c r="FI43" s="138">
        <f>SUMIFS(tbl_task10[S160],tbl_task10[[SubPLOs]:[SubPLOs]],"&gt;=10",tbl_task10[[SubPLOs]:[SubPLOs]],"&lt;11")</f>
        <v>0</v>
      </c>
      <c r="FJ43" s="138">
        <f>SUMIFS(tbl_task10[S161],tbl_task10[[SubPLOs]:[SubPLOs]],"&gt;=10",tbl_task10[[SubPLOs]:[SubPLOs]],"&lt;11")</f>
        <v>0</v>
      </c>
      <c r="FK43" s="138">
        <f>SUMIFS(tbl_task10[S162],tbl_task10[[SubPLOs]:[SubPLOs]],"&gt;=10",tbl_task10[[SubPLOs]:[SubPLOs]],"&lt;11")</f>
        <v>0</v>
      </c>
      <c r="FL43" s="138">
        <f>SUMIFS(tbl_task10[S163],tbl_task10[[SubPLOs]:[SubPLOs]],"&gt;=10",tbl_task10[[SubPLOs]:[SubPLOs]],"&lt;11")</f>
        <v>0</v>
      </c>
      <c r="FM43" s="138">
        <f>SUMIFS(tbl_task10[S164],tbl_task10[[SubPLOs]:[SubPLOs]],"&gt;=10",tbl_task10[[SubPLOs]:[SubPLOs]],"&lt;11")</f>
        <v>0</v>
      </c>
      <c r="FN43" s="138">
        <f>SUMIFS(tbl_task10[S165],tbl_task10[[SubPLOs]:[SubPLOs]],"&gt;=10",tbl_task10[[SubPLOs]:[SubPLOs]],"&lt;11")</f>
        <v>0</v>
      </c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</row>
    <row r="44" spans="1:335" x14ac:dyDescent="0.25">
      <c r="A44" s="125"/>
      <c r="B44" s="126" t="s">
        <v>11</v>
      </c>
      <c r="C44" s="127">
        <f>SUM(C34:C43)</f>
        <v>0</v>
      </c>
      <c r="D44" s="128">
        <f>SUM(D34:D43)</f>
        <v>0</v>
      </c>
      <c r="E44" s="128">
        <f>SUM(E34:E43)</f>
        <v>0</v>
      </c>
      <c r="F44" s="128">
        <f t="shared" ref="F44:BQ44" si="0">SUM(F34:F43)</f>
        <v>0</v>
      </c>
      <c r="G44" s="128">
        <f t="shared" si="0"/>
        <v>0</v>
      </c>
      <c r="H44" s="128">
        <f t="shared" si="0"/>
        <v>0</v>
      </c>
      <c r="I44" s="128">
        <f t="shared" si="0"/>
        <v>0</v>
      </c>
      <c r="J44" s="128">
        <f t="shared" si="0"/>
        <v>0</v>
      </c>
      <c r="K44" s="128">
        <f t="shared" si="0"/>
        <v>0</v>
      </c>
      <c r="L44" s="128">
        <f t="shared" si="0"/>
        <v>0</v>
      </c>
      <c r="M44" s="128">
        <f t="shared" si="0"/>
        <v>0</v>
      </c>
      <c r="N44" s="128">
        <f t="shared" si="0"/>
        <v>0</v>
      </c>
      <c r="O44" s="128">
        <f t="shared" si="0"/>
        <v>0</v>
      </c>
      <c r="P44" s="128">
        <f t="shared" si="0"/>
        <v>0</v>
      </c>
      <c r="Q44" s="128">
        <f t="shared" si="0"/>
        <v>0</v>
      </c>
      <c r="R44" s="128">
        <f t="shared" si="0"/>
        <v>0</v>
      </c>
      <c r="S44" s="128">
        <f t="shared" si="0"/>
        <v>0</v>
      </c>
      <c r="T44" s="128">
        <f t="shared" si="0"/>
        <v>0</v>
      </c>
      <c r="U44" s="128">
        <f t="shared" si="0"/>
        <v>0</v>
      </c>
      <c r="V44" s="128">
        <f t="shared" si="0"/>
        <v>0</v>
      </c>
      <c r="W44" s="128">
        <f t="shared" si="0"/>
        <v>0</v>
      </c>
      <c r="X44" s="128">
        <f t="shared" si="0"/>
        <v>0</v>
      </c>
      <c r="Y44" s="128">
        <f t="shared" si="0"/>
        <v>0</v>
      </c>
      <c r="Z44" s="128">
        <f t="shared" si="0"/>
        <v>0</v>
      </c>
      <c r="AA44" s="128">
        <f t="shared" si="0"/>
        <v>0</v>
      </c>
      <c r="AB44" s="128">
        <f t="shared" si="0"/>
        <v>0</v>
      </c>
      <c r="AC44" s="128">
        <f t="shared" si="0"/>
        <v>0</v>
      </c>
      <c r="AD44" s="128">
        <f t="shared" si="0"/>
        <v>0</v>
      </c>
      <c r="AE44" s="128">
        <f t="shared" si="0"/>
        <v>0</v>
      </c>
      <c r="AF44" s="128">
        <f t="shared" si="0"/>
        <v>0</v>
      </c>
      <c r="AG44" s="128">
        <f t="shared" si="0"/>
        <v>0</v>
      </c>
      <c r="AH44" s="128">
        <f t="shared" si="0"/>
        <v>0</v>
      </c>
      <c r="AI44" s="128">
        <f t="shared" si="0"/>
        <v>0</v>
      </c>
      <c r="AJ44" s="128">
        <f t="shared" si="0"/>
        <v>0</v>
      </c>
      <c r="AK44" s="128">
        <f t="shared" si="0"/>
        <v>0</v>
      </c>
      <c r="AL44" s="128">
        <f t="shared" si="0"/>
        <v>0</v>
      </c>
      <c r="AM44" s="128">
        <f t="shared" si="0"/>
        <v>0</v>
      </c>
      <c r="AN44" s="128">
        <f t="shared" si="0"/>
        <v>0</v>
      </c>
      <c r="AO44" s="128">
        <f t="shared" si="0"/>
        <v>0</v>
      </c>
      <c r="AP44" s="128">
        <f t="shared" si="0"/>
        <v>0</v>
      </c>
      <c r="AQ44" s="128">
        <f t="shared" si="0"/>
        <v>0</v>
      </c>
      <c r="AR44" s="128">
        <f t="shared" si="0"/>
        <v>0</v>
      </c>
      <c r="AS44" s="128">
        <f t="shared" si="0"/>
        <v>0</v>
      </c>
      <c r="AT44" s="128">
        <f t="shared" si="0"/>
        <v>0</v>
      </c>
      <c r="AU44" s="128">
        <f t="shared" si="0"/>
        <v>0</v>
      </c>
      <c r="AV44" s="128">
        <f t="shared" si="0"/>
        <v>0</v>
      </c>
      <c r="AW44" s="128">
        <f t="shared" si="0"/>
        <v>0</v>
      </c>
      <c r="AX44" s="128">
        <f t="shared" si="0"/>
        <v>0</v>
      </c>
      <c r="AY44" s="128">
        <f t="shared" si="0"/>
        <v>0</v>
      </c>
      <c r="AZ44" s="128">
        <f t="shared" si="0"/>
        <v>0</v>
      </c>
      <c r="BA44" s="128">
        <f t="shared" si="0"/>
        <v>0</v>
      </c>
      <c r="BB44" s="128">
        <f t="shared" si="0"/>
        <v>0</v>
      </c>
      <c r="BC44" s="128">
        <f t="shared" si="0"/>
        <v>0</v>
      </c>
      <c r="BD44" s="128">
        <f t="shared" si="0"/>
        <v>0</v>
      </c>
      <c r="BE44" s="128">
        <f t="shared" si="0"/>
        <v>0</v>
      </c>
      <c r="BF44" s="128">
        <f t="shared" si="0"/>
        <v>0</v>
      </c>
      <c r="BG44" s="128">
        <f t="shared" si="0"/>
        <v>0</v>
      </c>
      <c r="BH44" s="128">
        <f t="shared" si="0"/>
        <v>0</v>
      </c>
      <c r="BI44" s="128">
        <f t="shared" si="0"/>
        <v>0</v>
      </c>
      <c r="BJ44" s="128">
        <f t="shared" si="0"/>
        <v>0</v>
      </c>
      <c r="BK44" s="128">
        <f t="shared" si="0"/>
        <v>0</v>
      </c>
      <c r="BL44" s="128">
        <f t="shared" si="0"/>
        <v>0</v>
      </c>
      <c r="BM44" s="128">
        <f t="shared" si="0"/>
        <v>0</v>
      </c>
      <c r="BN44" s="128">
        <f t="shared" si="0"/>
        <v>0</v>
      </c>
      <c r="BO44" s="128">
        <f t="shared" si="0"/>
        <v>0</v>
      </c>
      <c r="BP44" s="128">
        <f t="shared" si="0"/>
        <v>0</v>
      </c>
      <c r="BQ44" s="128">
        <f t="shared" si="0"/>
        <v>0</v>
      </c>
      <c r="BR44" s="128">
        <f t="shared" ref="BR44:EC44" si="1">SUM(BR34:BR43)</f>
        <v>0</v>
      </c>
      <c r="BS44" s="128">
        <f t="shared" si="1"/>
        <v>0</v>
      </c>
      <c r="BT44" s="128">
        <f t="shared" si="1"/>
        <v>0</v>
      </c>
      <c r="BU44" s="128">
        <f t="shared" si="1"/>
        <v>0</v>
      </c>
      <c r="BV44" s="128">
        <f t="shared" si="1"/>
        <v>0</v>
      </c>
      <c r="BW44" s="128">
        <f t="shared" si="1"/>
        <v>0</v>
      </c>
      <c r="BX44" s="128">
        <f t="shared" si="1"/>
        <v>0</v>
      </c>
      <c r="BY44" s="128">
        <f t="shared" si="1"/>
        <v>0</v>
      </c>
      <c r="BZ44" s="128">
        <f t="shared" si="1"/>
        <v>0</v>
      </c>
      <c r="CA44" s="128">
        <f t="shared" si="1"/>
        <v>0</v>
      </c>
      <c r="CB44" s="128">
        <f t="shared" si="1"/>
        <v>0</v>
      </c>
      <c r="CC44" s="128">
        <f t="shared" si="1"/>
        <v>0</v>
      </c>
      <c r="CD44" s="128">
        <f t="shared" si="1"/>
        <v>0</v>
      </c>
      <c r="CE44" s="128">
        <f t="shared" si="1"/>
        <v>0</v>
      </c>
      <c r="CF44" s="128">
        <f t="shared" si="1"/>
        <v>0</v>
      </c>
      <c r="CG44" s="128">
        <f t="shared" si="1"/>
        <v>0</v>
      </c>
      <c r="CH44" s="128">
        <f t="shared" si="1"/>
        <v>0</v>
      </c>
      <c r="CI44" s="128">
        <f t="shared" si="1"/>
        <v>0</v>
      </c>
      <c r="CJ44" s="128">
        <f t="shared" si="1"/>
        <v>0</v>
      </c>
      <c r="CK44" s="128">
        <f t="shared" si="1"/>
        <v>0</v>
      </c>
      <c r="CL44" s="128">
        <f t="shared" si="1"/>
        <v>0</v>
      </c>
      <c r="CM44" s="128">
        <f t="shared" si="1"/>
        <v>0</v>
      </c>
      <c r="CN44" s="128">
        <f t="shared" si="1"/>
        <v>0</v>
      </c>
      <c r="CO44" s="128">
        <f t="shared" si="1"/>
        <v>0</v>
      </c>
      <c r="CP44" s="128">
        <f t="shared" si="1"/>
        <v>0</v>
      </c>
      <c r="CQ44" s="128">
        <f t="shared" si="1"/>
        <v>0</v>
      </c>
      <c r="CR44" s="128">
        <f t="shared" si="1"/>
        <v>0</v>
      </c>
      <c r="CS44" s="128">
        <f t="shared" si="1"/>
        <v>0</v>
      </c>
      <c r="CT44" s="128">
        <f t="shared" si="1"/>
        <v>0</v>
      </c>
      <c r="CU44" s="128">
        <f t="shared" si="1"/>
        <v>0</v>
      </c>
      <c r="CV44" s="128">
        <f t="shared" si="1"/>
        <v>0</v>
      </c>
      <c r="CW44" s="128">
        <f t="shared" si="1"/>
        <v>0</v>
      </c>
      <c r="CX44" s="128">
        <f t="shared" si="1"/>
        <v>0</v>
      </c>
      <c r="CY44" s="128">
        <f t="shared" si="1"/>
        <v>0</v>
      </c>
      <c r="CZ44" s="128">
        <f t="shared" si="1"/>
        <v>0</v>
      </c>
      <c r="DA44" s="128">
        <f t="shared" si="1"/>
        <v>0</v>
      </c>
      <c r="DB44" s="128">
        <f t="shared" si="1"/>
        <v>0</v>
      </c>
      <c r="DC44" s="128">
        <f t="shared" si="1"/>
        <v>0</v>
      </c>
      <c r="DD44" s="128">
        <f t="shared" si="1"/>
        <v>0</v>
      </c>
      <c r="DE44" s="128">
        <f t="shared" si="1"/>
        <v>0</v>
      </c>
      <c r="DF44" s="128">
        <f t="shared" si="1"/>
        <v>0</v>
      </c>
      <c r="DG44" s="128">
        <f t="shared" si="1"/>
        <v>0</v>
      </c>
      <c r="DH44" s="128">
        <f t="shared" si="1"/>
        <v>0</v>
      </c>
      <c r="DI44" s="128">
        <f t="shared" si="1"/>
        <v>0</v>
      </c>
      <c r="DJ44" s="128">
        <f t="shared" si="1"/>
        <v>0</v>
      </c>
      <c r="DK44" s="128">
        <f t="shared" si="1"/>
        <v>0</v>
      </c>
      <c r="DL44" s="128">
        <f t="shared" si="1"/>
        <v>0</v>
      </c>
      <c r="DM44" s="128">
        <f t="shared" si="1"/>
        <v>0</v>
      </c>
      <c r="DN44" s="128">
        <f t="shared" si="1"/>
        <v>0</v>
      </c>
      <c r="DO44" s="128">
        <f t="shared" si="1"/>
        <v>0</v>
      </c>
      <c r="DP44" s="128">
        <f t="shared" si="1"/>
        <v>0</v>
      </c>
      <c r="DQ44" s="128">
        <f t="shared" si="1"/>
        <v>0</v>
      </c>
      <c r="DR44" s="128">
        <f t="shared" si="1"/>
        <v>0</v>
      </c>
      <c r="DS44" s="128">
        <f t="shared" si="1"/>
        <v>0</v>
      </c>
      <c r="DT44" s="128">
        <f t="shared" si="1"/>
        <v>0</v>
      </c>
      <c r="DU44" s="128">
        <f t="shared" si="1"/>
        <v>0</v>
      </c>
      <c r="DV44" s="128">
        <f t="shared" si="1"/>
        <v>0</v>
      </c>
      <c r="DW44" s="128">
        <f t="shared" si="1"/>
        <v>0</v>
      </c>
      <c r="DX44" s="128">
        <f t="shared" si="1"/>
        <v>0</v>
      </c>
      <c r="DY44" s="128">
        <f t="shared" si="1"/>
        <v>0</v>
      </c>
      <c r="DZ44" s="128">
        <f t="shared" si="1"/>
        <v>0</v>
      </c>
      <c r="EA44" s="128">
        <f t="shared" si="1"/>
        <v>0</v>
      </c>
      <c r="EB44" s="128">
        <f t="shared" si="1"/>
        <v>0</v>
      </c>
      <c r="EC44" s="128">
        <f t="shared" si="1"/>
        <v>0</v>
      </c>
      <c r="ED44" s="128">
        <f t="shared" ref="ED44:FN44" si="2">SUM(ED34:ED43)</f>
        <v>0</v>
      </c>
      <c r="EE44" s="128">
        <f t="shared" si="2"/>
        <v>0</v>
      </c>
      <c r="EF44" s="128">
        <f t="shared" si="2"/>
        <v>0</v>
      </c>
      <c r="EG44" s="128">
        <f t="shared" si="2"/>
        <v>0</v>
      </c>
      <c r="EH44" s="128">
        <f t="shared" si="2"/>
        <v>0</v>
      </c>
      <c r="EI44" s="128">
        <f t="shared" si="2"/>
        <v>0</v>
      </c>
      <c r="EJ44" s="128">
        <f t="shared" si="2"/>
        <v>0</v>
      </c>
      <c r="EK44" s="128">
        <f t="shared" si="2"/>
        <v>0</v>
      </c>
      <c r="EL44" s="128">
        <f t="shared" si="2"/>
        <v>0</v>
      </c>
      <c r="EM44" s="128">
        <f t="shared" si="2"/>
        <v>0</v>
      </c>
      <c r="EN44" s="128">
        <f t="shared" si="2"/>
        <v>0</v>
      </c>
      <c r="EO44" s="128">
        <f t="shared" si="2"/>
        <v>0</v>
      </c>
      <c r="EP44" s="128">
        <f t="shared" si="2"/>
        <v>0</v>
      </c>
      <c r="EQ44" s="128">
        <f t="shared" si="2"/>
        <v>0</v>
      </c>
      <c r="ER44" s="128">
        <f t="shared" si="2"/>
        <v>0</v>
      </c>
      <c r="ES44" s="128">
        <f t="shared" si="2"/>
        <v>0</v>
      </c>
      <c r="ET44" s="128">
        <f t="shared" si="2"/>
        <v>0</v>
      </c>
      <c r="EU44" s="128">
        <f t="shared" si="2"/>
        <v>0</v>
      </c>
      <c r="EV44" s="128">
        <f t="shared" si="2"/>
        <v>0</v>
      </c>
      <c r="EW44" s="128">
        <f t="shared" si="2"/>
        <v>0</v>
      </c>
      <c r="EX44" s="128">
        <f t="shared" si="2"/>
        <v>0</v>
      </c>
      <c r="EY44" s="128">
        <f t="shared" si="2"/>
        <v>0</v>
      </c>
      <c r="EZ44" s="128">
        <f t="shared" si="2"/>
        <v>0</v>
      </c>
      <c r="FA44" s="128">
        <f t="shared" si="2"/>
        <v>0</v>
      </c>
      <c r="FB44" s="128">
        <f t="shared" si="2"/>
        <v>0</v>
      </c>
      <c r="FC44" s="128">
        <f t="shared" si="2"/>
        <v>0</v>
      </c>
      <c r="FD44" s="128">
        <f t="shared" si="2"/>
        <v>0</v>
      </c>
      <c r="FE44" s="128">
        <f t="shared" si="2"/>
        <v>0</v>
      </c>
      <c r="FF44" s="128">
        <f t="shared" si="2"/>
        <v>0</v>
      </c>
      <c r="FG44" s="128">
        <f t="shared" si="2"/>
        <v>0</v>
      </c>
      <c r="FH44" s="128">
        <f t="shared" si="2"/>
        <v>0</v>
      </c>
      <c r="FI44" s="128">
        <f t="shared" si="2"/>
        <v>0</v>
      </c>
      <c r="FJ44" s="128">
        <f t="shared" si="2"/>
        <v>0</v>
      </c>
      <c r="FK44" s="128">
        <f t="shared" si="2"/>
        <v>0</v>
      </c>
      <c r="FL44" s="128">
        <f t="shared" si="2"/>
        <v>0</v>
      </c>
      <c r="FM44" s="128">
        <f t="shared" si="2"/>
        <v>0</v>
      </c>
      <c r="FN44" s="128">
        <f t="shared" si="2"/>
        <v>0</v>
      </c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</row>
  </sheetData>
  <mergeCells count="1">
    <mergeCell ref="C1:P1"/>
  </mergeCells>
  <dataValidations count="2">
    <dataValidation type="decimal" operator="greaterThanOrEqual" allowBlank="1" showInputMessage="1" showErrorMessage="1" sqref="F4:FN28">
      <formula1>0</formula1>
    </dataValidation>
    <dataValidation type="whole" allowBlank="1" showInputMessage="1" showErrorMessage="1" sqref="F30:FN31">
      <formula1>1</formula1>
      <formula2>4</formula2>
    </dataValidation>
  </dataValidations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52" fitToHeight="0" orientation="landscape" r:id="rId1"/>
  <legacy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4"/>
  <sheetViews>
    <sheetView zoomScaleNormal="100" workbookViewId="0">
      <pane ySplit="1" topLeftCell="A2" activePane="bottomLeft" state="frozen"/>
      <selection pane="bottomLeft" activeCell="A10" sqref="A10:XFD10"/>
    </sheetView>
  </sheetViews>
  <sheetFormatPr defaultColWidth="23.5" defaultRowHeight="22.8" customHeight="1" x14ac:dyDescent="0.25"/>
  <cols>
    <col min="1" max="1" width="17.09765625" customWidth="1"/>
    <col min="2" max="2" width="33.59765625" style="149" customWidth="1"/>
    <col min="3" max="3" width="12.3984375" style="146" customWidth="1"/>
    <col min="4" max="4" width="14.19921875" style="147" customWidth="1"/>
    <col min="5" max="5" width="11.19921875" style="148" customWidth="1"/>
    <col min="6" max="6" width="12" style="147" customWidth="1"/>
    <col min="7" max="7" width="12" style="148" customWidth="1"/>
    <col min="8" max="8" width="12" style="147" customWidth="1"/>
    <col min="9" max="9" width="12" style="143" customWidth="1"/>
    <col min="10" max="12" width="12" style="147" customWidth="1"/>
    <col min="13" max="13" width="12" style="149" customWidth="1"/>
    <col min="14" max="14" width="12" style="147" customWidth="1"/>
    <col min="15" max="15" width="12" style="149" customWidth="1"/>
    <col min="16" max="16" width="12" style="147" customWidth="1"/>
    <col min="17" max="17" width="12" style="149" customWidth="1"/>
    <col min="18" max="21" width="12" style="147" customWidth="1"/>
    <col min="22" max="22" width="12" style="148" customWidth="1"/>
    <col min="23" max="35" width="12" style="143" customWidth="1"/>
    <col min="36" max="16384" width="23.5" style="143"/>
  </cols>
  <sheetData>
    <row r="1" spans="1:35" s="140" customFormat="1" ht="22.8" customHeight="1" x14ac:dyDescent="0.25">
      <c r="A1" s="142" t="s">
        <v>6</v>
      </c>
      <c r="B1" s="141" t="s">
        <v>8</v>
      </c>
      <c r="C1" s="142" t="s">
        <v>7</v>
      </c>
      <c r="D1" s="140" t="s">
        <v>9</v>
      </c>
      <c r="E1" s="142" t="s">
        <v>457</v>
      </c>
      <c r="F1" s="142" t="s">
        <v>558</v>
      </c>
      <c r="G1" s="142" t="s">
        <v>559</v>
      </c>
      <c r="H1" s="142" t="s">
        <v>561</v>
      </c>
      <c r="I1" s="142" t="s">
        <v>562</v>
      </c>
      <c r="J1" s="142" t="s">
        <v>563</v>
      </c>
      <c r="K1" s="142" t="s">
        <v>564</v>
      </c>
      <c r="L1" s="142" t="s">
        <v>565</v>
      </c>
      <c r="M1" s="142" t="s">
        <v>566</v>
      </c>
      <c r="N1" s="142" t="s">
        <v>567</v>
      </c>
      <c r="O1" s="142" t="s">
        <v>568</v>
      </c>
      <c r="P1" s="142" t="s">
        <v>569</v>
      </c>
      <c r="Q1" s="142" t="s">
        <v>570</v>
      </c>
      <c r="R1" s="142" t="s">
        <v>571</v>
      </c>
      <c r="S1" s="142" t="s">
        <v>572</v>
      </c>
      <c r="T1" s="142" t="s">
        <v>573</v>
      </c>
      <c r="U1" s="142" t="s">
        <v>574</v>
      </c>
      <c r="V1" s="142" t="s">
        <v>575</v>
      </c>
      <c r="W1" s="142" t="s">
        <v>576</v>
      </c>
      <c r="X1" s="142" t="s">
        <v>577</v>
      </c>
      <c r="Y1" s="142" t="s">
        <v>578</v>
      </c>
      <c r="Z1" s="142" t="s">
        <v>579</v>
      </c>
      <c r="AA1" s="142" t="s">
        <v>580</v>
      </c>
      <c r="AB1" s="142" t="s">
        <v>560</v>
      </c>
      <c r="AC1" s="142" t="s">
        <v>581</v>
      </c>
      <c r="AD1" s="142" t="s">
        <v>582</v>
      </c>
      <c r="AE1" s="142" t="s">
        <v>583</v>
      </c>
      <c r="AF1" s="142" t="s">
        <v>584</v>
      </c>
      <c r="AG1" s="142" t="s">
        <v>585</v>
      </c>
      <c r="AH1" s="142" t="s">
        <v>586</v>
      </c>
      <c r="AI1" s="142" t="s">
        <v>587</v>
      </c>
    </row>
    <row r="2" spans="1:35" ht="22.8" customHeight="1" x14ac:dyDescent="0.25">
      <c r="A2" s="145" t="s">
        <v>458</v>
      </c>
      <c r="B2" s="144" t="s">
        <v>459</v>
      </c>
      <c r="C2" s="147" t="s">
        <v>460</v>
      </c>
      <c r="D2" s="143" t="s">
        <v>454</v>
      </c>
      <c r="E2" s="147">
        <v>1</v>
      </c>
      <c r="F2" s="145">
        <v>1.3</v>
      </c>
      <c r="G2" s="147" t="s">
        <v>418</v>
      </c>
      <c r="H2" s="145">
        <v>7.1</v>
      </c>
      <c r="I2" s="147" t="s">
        <v>418</v>
      </c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</row>
    <row r="3" spans="1:35" ht="22.8" customHeight="1" x14ac:dyDescent="0.25">
      <c r="A3" s="147" t="s">
        <v>461</v>
      </c>
      <c r="B3" s="146" t="s">
        <v>462</v>
      </c>
      <c r="C3" s="147" t="s">
        <v>460</v>
      </c>
      <c r="D3" s="143" t="s">
        <v>454</v>
      </c>
      <c r="E3" s="147">
        <v>1</v>
      </c>
      <c r="F3" s="145">
        <v>1.3</v>
      </c>
      <c r="G3" s="147" t="s">
        <v>418</v>
      </c>
      <c r="H3" s="145">
        <v>7.1</v>
      </c>
      <c r="I3" s="147" t="s">
        <v>588</v>
      </c>
      <c r="M3" s="147"/>
      <c r="O3" s="147"/>
      <c r="Q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</row>
    <row r="4" spans="1:35" ht="22.8" customHeight="1" x14ac:dyDescent="0.25">
      <c r="A4" s="147" t="s">
        <v>463</v>
      </c>
      <c r="B4" s="146" t="s">
        <v>464</v>
      </c>
      <c r="C4" s="147" t="s">
        <v>460</v>
      </c>
      <c r="D4" s="143" t="s">
        <v>454</v>
      </c>
      <c r="E4" s="147">
        <v>1</v>
      </c>
      <c r="F4" s="147">
        <v>1.3</v>
      </c>
      <c r="G4" s="147" t="s">
        <v>434</v>
      </c>
      <c r="H4" s="147">
        <v>3.1</v>
      </c>
      <c r="I4" s="147" t="s">
        <v>434</v>
      </c>
      <c r="J4" s="147">
        <v>6.1</v>
      </c>
      <c r="K4" s="147" t="s">
        <v>434</v>
      </c>
      <c r="L4" s="147">
        <v>9.1999999999999993</v>
      </c>
      <c r="M4" s="147" t="s">
        <v>418</v>
      </c>
      <c r="O4" s="147"/>
      <c r="Q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</row>
    <row r="5" spans="1:35" ht="22.8" customHeight="1" x14ac:dyDescent="0.25">
      <c r="A5" s="147" t="s">
        <v>465</v>
      </c>
      <c r="B5" s="146" t="s">
        <v>466</v>
      </c>
      <c r="C5" s="147" t="s">
        <v>460</v>
      </c>
      <c r="D5" s="143" t="s">
        <v>454</v>
      </c>
      <c r="E5" s="147">
        <v>1</v>
      </c>
      <c r="F5" s="147">
        <v>1.3</v>
      </c>
      <c r="G5" s="147" t="s">
        <v>434</v>
      </c>
      <c r="H5" s="147">
        <v>3.1</v>
      </c>
      <c r="I5" s="147" t="s">
        <v>418</v>
      </c>
      <c r="J5" s="147">
        <v>6.2</v>
      </c>
      <c r="K5" s="147" t="s">
        <v>434</v>
      </c>
      <c r="L5" s="147">
        <v>9.1</v>
      </c>
      <c r="M5" s="147" t="s">
        <v>434</v>
      </c>
      <c r="O5" s="147"/>
      <c r="Q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</row>
    <row r="6" spans="1:35" ht="22.8" customHeight="1" x14ac:dyDescent="0.25">
      <c r="A6" s="147" t="s">
        <v>467</v>
      </c>
      <c r="B6" s="146" t="s">
        <v>468</v>
      </c>
      <c r="C6" s="147" t="s">
        <v>460</v>
      </c>
      <c r="D6" s="143" t="s">
        <v>454</v>
      </c>
      <c r="E6" s="147">
        <v>1</v>
      </c>
      <c r="F6" s="147">
        <v>1.3</v>
      </c>
      <c r="G6" s="147" t="s">
        <v>434</v>
      </c>
      <c r="H6" s="147">
        <v>4.3</v>
      </c>
      <c r="I6" s="147" t="s">
        <v>434</v>
      </c>
      <c r="J6" s="147">
        <v>8.1</v>
      </c>
      <c r="K6" s="147" t="s">
        <v>434</v>
      </c>
      <c r="L6" s="147">
        <v>10.1</v>
      </c>
      <c r="M6" s="147" t="s">
        <v>434</v>
      </c>
      <c r="O6" s="147"/>
      <c r="Q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</row>
    <row r="7" spans="1:35" ht="22.8" customHeight="1" x14ac:dyDescent="0.25">
      <c r="A7" s="147" t="s">
        <v>416</v>
      </c>
      <c r="B7" s="146" t="s">
        <v>417</v>
      </c>
      <c r="C7" s="147" t="s">
        <v>460</v>
      </c>
      <c r="D7" s="143" t="s">
        <v>454</v>
      </c>
      <c r="E7" s="147">
        <v>1</v>
      </c>
      <c r="F7" s="147">
        <v>1.3</v>
      </c>
      <c r="G7" s="147" t="s">
        <v>418</v>
      </c>
      <c r="H7" s="147">
        <v>8.1</v>
      </c>
      <c r="I7" s="147" t="s">
        <v>434</v>
      </c>
      <c r="M7" s="147"/>
      <c r="O7" s="147"/>
      <c r="Q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</row>
    <row r="8" spans="1:35" ht="22.8" customHeight="1" x14ac:dyDescent="0.25">
      <c r="A8" s="147" t="s">
        <v>469</v>
      </c>
      <c r="B8" s="146" t="s">
        <v>470</v>
      </c>
      <c r="C8" s="147" t="s">
        <v>471</v>
      </c>
      <c r="D8" s="143" t="s">
        <v>454</v>
      </c>
      <c r="E8" s="147">
        <v>1</v>
      </c>
      <c r="F8" s="147">
        <v>1.3</v>
      </c>
      <c r="G8" s="147" t="s">
        <v>418</v>
      </c>
      <c r="H8" s="147">
        <v>4.2</v>
      </c>
      <c r="I8" s="147" t="s">
        <v>418</v>
      </c>
      <c r="J8" s="147">
        <v>8.1</v>
      </c>
      <c r="K8" s="147" t="s">
        <v>418</v>
      </c>
      <c r="L8" s="147">
        <v>10.1</v>
      </c>
      <c r="M8" s="147" t="s">
        <v>418</v>
      </c>
      <c r="O8" s="147"/>
      <c r="Q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</row>
    <row r="9" spans="1:35" ht="22.8" customHeight="1" x14ac:dyDescent="0.25">
      <c r="A9" s="147" t="s">
        <v>472</v>
      </c>
      <c r="B9" s="146" t="s">
        <v>3</v>
      </c>
      <c r="C9" s="147" t="s">
        <v>473</v>
      </c>
      <c r="D9" s="143" t="s">
        <v>454</v>
      </c>
      <c r="E9" s="147">
        <v>1</v>
      </c>
      <c r="F9" s="147">
        <v>1.3</v>
      </c>
      <c r="G9" s="147" t="s">
        <v>434</v>
      </c>
      <c r="H9" s="147">
        <v>8.1</v>
      </c>
      <c r="I9" s="147" t="s">
        <v>418</v>
      </c>
      <c r="M9" s="147"/>
      <c r="O9" s="147"/>
      <c r="Q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</row>
    <row r="10" spans="1:35" ht="22.8" customHeight="1" x14ac:dyDescent="0.25">
      <c r="A10" s="147" t="s">
        <v>474</v>
      </c>
      <c r="B10" s="146" t="s">
        <v>475</v>
      </c>
      <c r="C10" s="147" t="s">
        <v>460</v>
      </c>
      <c r="D10" s="143" t="s">
        <v>454</v>
      </c>
      <c r="E10" s="147">
        <v>1</v>
      </c>
      <c r="F10" s="147">
        <v>1.3</v>
      </c>
      <c r="G10" s="147" t="s">
        <v>434</v>
      </c>
      <c r="H10" s="147">
        <v>3.1</v>
      </c>
      <c r="I10" s="147" t="s">
        <v>418</v>
      </c>
      <c r="J10" s="147">
        <v>8.1</v>
      </c>
      <c r="K10" s="147" t="s">
        <v>418</v>
      </c>
      <c r="M10" s="147"/>
      <c r="O10" s="147"/>
      <c r="Q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</row>
    <row r="11" spans="1:35" ht="22.8" customHeight="1" x14ac:dyDescent="0.25">
      <c r="A11" s="147" t="s">
        <v>476</v>
      </c>
      <c r="B11" s="146" t="s">
        <v>477</v>
      </c>
      <c r="C11" s="147" t="s">
        <v>471</v>
      </c>
      <c r="D11" s="143" t="s">
        <v>454</v>
      </c>
      <c r="E11" s="147">
        <v>1</v>
      </c>
      <c r="F11" s="147">
        <v>1.3</v>
      </c>
      <c r="G11" s="147" t="s">
        <v>434</v>
      </c>
      <c r="H11" s="147">
        <v>8.1</v>
      </c>
      <c r="I11" s="147" t="s">
        <v>418</v>
      </c>
      <c r="M11" s="147"/>
      <c r="O11" s="147"/>
      <c r="Q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</row>
    <row r="12" spans="1:35" ht="22.8" customHeight="1" x14ac:dyDescent="0.25">
      <c r="A12" s="147" t="s">
        <v>478</v>
      </c>
      <c r="B12" s="146" t="s">
        <v>479</v>
      </c>
      <c r="C12" s="147" t="s">
        <v>480</v>
      </c>
      <c r="D12" s="143" t="s">
        <v>454</v>
      </c>
      <c r="E12" s="147">
        <v>1</v>
      </c>
      <c r="F12" s="147">
        <v>1.3</v>
      </c>
      <c r="G12" s="147" t="s">
        <v>434</v>
      </c>
      <c r="H12" s="147">
        <v>4.0999999999999996</v>
      </c>
      <c r="I12" s="147" t="s">
        <v>434</v>
      </c>
      <c r="J12" s="147">
        <v>4.2</v>
      </c>
      <c r="K12" s="147" t="s">
        <v>418</v>
      </c>
      <c r="L12" s="147">
        <v>9.1999999999999993</v>
      </c>
      <c r="M12" s="147" t="s">
        <v>434</v>
      </c>
      <c r="O12" s="147"/>
      <c r="Q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</row>
    <row r="13" spans="1:35" ht="22.8" customHeight="1" x14ac:dyDescent="0.25">
      <c r="A13" s="147" t="s">
        <v>481</v>
      </c>
      <c r="B13" s="146" t="s">
        <v>5</v>
      </c>
      <c r="C13" s="147" t="s">
        <v>460</v>
      </c>
      <c r="D13" s="143" t="s">
        <v>454</v>
      </c>
      <c r="E13" s="147">
        <v>2</v>
      </c>
      <c r="F13" s="147">
        <v>1.3</v>
      </c>
      <c r="G13" s="147" t="s">
        <v>418</v>
      </c>
      <c r="H13" s="147">
        <v>7.3</v>
      </c>
      <c r="I13" s="147" t="s">
        <v>434</v>
      </c>
      <c r="J13" s="147">
        <v>8.1</v>
      </c>
      <c r="K13" s="147" t="s">
        <v>418</v>
      </c>
      <c r="L13" s="147">
        <v>9.1</v>
      </c>
      <c r="M13" s="147" t="s">
        <v>418</v>
      </c>
      <c r="O13" s="147"/>
      <c r="Q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</row>
    <row r="14" spans="1:35" ht="22.8" customHeight="1" x14ac:dyDescent="0.25">
      <c r="A14" s="147" t="s">
        <v>482</v>
      </c>
      <c r="B14" s="146" t="s">
        <v>483</v>
      </c>
      <c r="C14" s="147" t="s">
        <v>460</v>
      </c>
      <c r="D14" s="143" t="s">
        <v>454</v>
      </c>
      <c r="E14" s="147">
        <v>2</v>
      </c>
      <c r="F14" s="147">
        <v>1.3</v>
      </c>
      <c r="G14" s="147" t="s">
        <v>588</v>
      </c>
      <c r="H14" s="147">
        <v>7.3</v>
      </c>
      <c r="I14" s="147" t="s">
        <v>588</v>
      </c>
      <c r="J14" s="147">
        <v>8.1</v>
      </c>
      <c r="K14" s="147" t="s">
        <v>588</v>
      </c>
      <c r="L14" s="147">
        <v>9.1</v>
      </c>
      <c r="M14" s="147" t="s">
        <v>418</v>
      </c>
      <c r="O14" s="147"/>
      <c r="Q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</row>
    <row r="15" spans="1:35" ht="22.8" customHeight="1" x14ac:dyDescent="0.25">
      <c r="A15" s="147" t="s">
        <v>484</v>
      </c>
      <c r="B15" s="146" t="s">
        <v>485</v>
      </c>
      <c r="C15" s="147" t="s">
        <v>471</v>
      </c>
      <c r="D15" s="143" t="s">
        <v>454</v>
      </c>
      <c r="E15" s="147">
        <v>2</v>
      </c>
      <c r="F15" s="147">
        <v>1.3</v>
      </c>
      <c r="G15" s="147" t="s">
        <v>418</v>
      </c>
      <c r="H15" s="147">
        <v>8.1</v>
      </c>
      <c r="I15" s="147" t="s">
        <v>418</v>
      </c>
      <c r="M15" s="147"/>
      <c r="O15" s="147"/>
      <c r="Q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</row>
    <row r="16" spans="1:35" ht="22.8" customHeight="1" x14ac:dyDescent="0.25">
      <c r="A16" s="147" t="s">
        <v>486</v>
      </c>
      <c r="B16" s="146" t="s">
        <v>487</v>
      </c>
      <c r="C16" s="147" t="s">
        <v>473</v>
      </c>
      <c r="D16" s="143" t="s">
        <v>454</v>
      </c>
      <c r="E16" s="147">
        <v>2</v>
      </c>
      <c r="F16" s="147">
        <v>1.3</v>
      </c>
      <c r="G16" s="147" t="s">
        <v>434</v>
      </c>
      <c r="H16" s="147">
        <v>8.1</v>
      </c>
      <c r="I16" s="147" t="s">
        <v>418</v>
      </c>
      <c r="M16" s="147"/>
      <c r="O16" s="147"/>
      <c r="Q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</row>
    <row r="17" spans="1:35" ht="22.8" customHeight="1" x14ac:dyDescent="0.25">
      <c r="A17" s="147" t="s">
        <v>488</v>
      </c>
      <c r="B17" s="146" t="s">
        <v>489</v>
      </c>
      <c r="C17" s="147" t="s">
        <v>473</v>
      </c>
      <c r="D17" s="143" t="s">
        <v>454</v>
      </c>
      <c r="E17" s="147">
        <v>2</v>
      </c>
      <c r="F17" s="147">
        <v>1.1000000000000001</v>
      </c>
      <c r="G17" s="147" t="s">
        <v>434</v>
      </c>
      <c r="H17" s="147">
        <v>4.0999999999999996</v>
      </c>
      <c r="I17" s="147" t="s">
        <v>418</v>
      </c>
      <c r="J17" s="147">
        <v>4.2</v>
      </c>
      <c r="K17" s="147" t="s">
        <v>418</v>
      </c>
      <c r="L17" s="147">
        <v>6.1</v>
      </c>
      <c r="M17" s="147" t="s">
        <v>418</v>
      </c>
      <c r="N17" s="147">
        <v>6.2</v>
      </c>
      <c r="O17" s="147" t="s">
        <v>418</v>
      </c>
      <c r="P17" s="147">
        <v>10.199999999999999</v>
      </c>
      <c r="Q17" s="147" t="s">
        <v>418</v>
      </c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</row>
    <row r="18" spans="1:35" ht="22.8" customHeight="1" x14ac:dyDescent="0.25">
      <c r="A18" s="147" t="s">
        <v>490</v>
      </c>
      <c r="B18" s="146" t="s">
        <v>296</v>
      </c>
      <c r="C18" s="147" t="s">
        <v>480</v>
      </c>
      <c r="D18" s="143" t="s">
        <v>454</v>
      </c>
      <c r="E18" s="147">
        <v>2</v>
      </c>
      <c r="F18" s="147">
        <v>1.1000000000000001</v>
      </c>
      <c r="G18" s="147" t="s">
        <v>434</v>
      </c>
      <c r="H18" s="147">
        <v>3.1</v>
      </c>
      <c r="I18" s="147" t="s">
        <v>434</v>
      </c>
      <c r="J18" s="147">
        <v>4.0999999999999996</v>
      </c>
      <c r="K18" s="147" t="s">
        <v>418</v>
      </c>
      <c r="L18" s="147">
        <v>7.1</v>
      </c>
      <c r="M18" s="147" t="s">
        <v>418</v>
      </c>
      <c r="N18" s="147">
        <v>8.1</v>
      </c>
      <c r="O18" s="147" t="s">
        <v>418</v>
      </c>
      <c r="Q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</row>
    <row r="19" spans="1:35" ht="22.8" customHeight="1" x14ac:dyDescent="0.25">
      <c r="A19" s="147" t="s">
        <v>491</v>
      </c>
      <c r="B19" s="146" t="s">
        <v>492</v>
      </c>
      <c r="C19" s="147" t="s">
        <v>460</v>
      </c>
      <c r="D19" s="143" t="s">
        <v>454</v>
      </c>
      <c r="E19" s="147">
        <v>2</v>
      </c>
      <c r="F19" s="147">
        <v>1.1000000000000001</v>
      </c>
      <c r="G19" s="147" t="s">
        <v>434</v>
      </c>
      <c r="H19" s="147">
        <v>3.1</v>
      </c>
      <c r="I19" s="147" t="s">
        <v>418</v>
      </c>
      <c r="J19" s="147">
        <v>7.1</v>
      </c>
      <c r="K19" s="147" t="s">
        <v>418</v>
      </c>
      <c r="M19" s="147"/>
      <c r="O19" s="147"/>
      <c r="Q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</row>
    <row r="20" spans="1:35" ht="22.8" customHeight="1" x14ac:dyDescent="0.25">
      <c r="A20" s="147" t="s">
        <v>493</v>
      </c>
      <c r="B20" s="146" t="s">
        <v>494</v>
      </c>
      <c r="C20" s="147" t="s">
        <v>460</v>
      </c>
      <c r="D20" s="143" t="s">
        <v>454</v>
      </c>
      <c r="E20" s="147">
        <v>2</v>
      </c>
      <c r="F20" s="147">
        <v>1.1000000000000001</v>
      </c>
      <c r="G20" s="147" t="s">
        <v>418</v>
      </c>
      <c r="H20" s="147">
        <v>3.1</v>
      </c>
      <c r="I20" s="147" t="s">
        <v>418</v>
      </c>
      <c r="J20" s="147">
        <v>4.0999999999999996</v>
      </c>
      <c r="K20" s="147" t="s">
        <v>418</v>
      </c>
      <c r="L20" s="147">
        <v>4.2</v>
      </c>
      <c r="M20" s="147" t="s">
        <v>418</v>
      </c>
      <c r="N20" s="147">
        <v>8.1</v>
      </c>
      <c r="O20" s="147" t="s">
        <v>418</v>
      </c>
      <c r="Q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</row>
    <row r="21" spans="1:35" ht="22.8" customHeight="1" x14ac:dyDescent="0.25">
      <c r="A21" s="147" t="s">
        <v>495</v>
      </c>
      <c r="B21" s="146" t="s">
        <v>298</v>
      </c>
      <c r="C21" s="147" t="s">
        <v>480</v>
      </c>
      <c r="D21" s="143" t="s">
        <v>454</v>
      </c>
      <c r="E21" s="147">
        <v>2</v>
      </c>
      <c r="F21" s="147">
        <v>1.1000000000000001</v>
      </c>
      <c r="G21" s="147" t="s">
        <v>588</v>
      </c>
      <c r="H21" s="147">
        <v>4.0999999999999996</v>
      </c>
      <c r="I21" s="147" t="s">
        <v>418</v>
      </c>
      <c r="J21" s="147">
        <v>4.2</v>
      </c>
      <c r="K21" s="147" t="s">
        <v>418</v>
      </c>
      <c r="L21" s="147">
        <v>8.1</v>
      </c>
      <c r="M21" s="147" t="s">
        <v>418</v>
      </c>
      <c r="O21" s="147"/>
      <c r="Q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</row>
    <row r="22" spans="1:35" ht="22.8" customHeight="1" x14ac:dyDescent="0.25">
      <c r="A22" s="147" t="s">
        <v>496</v>
      </c>
      <c r="B22" s="146" t="s">
        <v>297</v>
      </c>
      <c r="C22" s="147" t="s">
        <v>460</v>
      </c>
      <c r="D22" s="143" t="s">
        <v>454</v>
      </c>
      <c r="E22" s="147">
        <v>2</v>
      </c>
      <c r="F22" s="147">
        <v>1.1000000000000001</v>
      </c>
      <c r="G22" s="147" t="s">
        <v>418</v>
      </c>
      <c r="H22" s="147">
        <v>3.1</v>
      </c>
      <c r="I22" s="147" t="s">
        <v>418</v>
      </c>
      <c r="J22" s="147">
        <v>4.0999999999999996</v>
      </c>
      <c r="K22" s="147" t="s">
        <v>418</v>
      </c>
      <c r="L22" s="147">
        <v>4.2</v>
      </c>
      <c r="M22" s="147" t="s">
        <v>418</v>
      </c>
      <c r="O22" s="147"/>
      <c r="Q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</row>
    <row r="23" spans="1:35" ht="22.8" customHeight="1" x14ac:dyDescent="0.25">
      <c r="A23" s="147" t="s">
        <v>497</v>
      </c>
      <c r="B23" s="146" t="s">
        <v>498</v>
      </c>
      <c r="C23" s="147" t="s">
        <v>499</v>
      </c>
      <c r="D23" s="143" t="s">
        <v>454</v>
      </c>
      <c r="E23" s="147">
        <v>2</v>
      </c>
      <c r="F23" s="147">
        <v>2.1</v>
      </c>
      <c r="G23" s="147" t="s">
        <v>589</v>
      </c>
      <c r="H23" s="147">
        <v>3.1</v>
      </c>
      <c r="I23" s="147" t="s">
        <v>589</v>
      </c>
      <c r="J23" s="147">
        <v>6.2</v>
      </c>
      <c r="K23" s="147" t="s">
        <v>589</v>
      </c>
      <c r="L23" s="147">
        <v>7.1</v>
      </c>
      <c r="M23" s="147" t="s">
        <v>589</v>
      </c>
      <c r="N23" s="147">
        <v>8.1</v>
      </c>
      <c r="O23" s="147" t="s">
        <v>589</v>
      </c>
      <c r="P23" s="147">
        <v>8.1999999999999993</v>
      </c>
      <c r="Q23" s="147" t="s">
        <v>589</v>
      </c>
      <c r="R23" s="147">
        <v>9.1</v>
      </c>
      <c r="S23" s="147" t="s">
        <v>589</v>
      </c>
      <c r="T23" s="147">
        <v>9.1999999999999993</v>
      </c>
      <c r="U23" s="147" t="s">
        <v>589</v>
      </c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</row>
    <row r="24" spans="1:35" ht="22.8" customHeight="1" x14ac:dyDescent="0.25">
      <c r="A24" s="147" t="s">
        <v>500</v>
      </c>
      <c r="B24" s="146" t="s">
        <v>501</v>
      </c>
      <c r="C24" s="147" t="s">
        <v>502</v>
      </c>
      <c r="D24" s="143" t="s">
        <v>454</v>
      </c>
      <c r="E24" s="147">
        <v>2</v>
      </c>
      <c r="F24" s="147">
        <v>2.1</v>
      </c>
      <c r="G24" s="147" t="s">
        <v>589</v>
      </c>
      <c r="H24" s="147">
        <v>3.1</v>
      </c>
      <c r="I24" s="147" t="s">
        <v>589</v>
      </c>
      <c r="J24" s="147">
        <v>4.0999999999999996</v>
      </c>
      <c r="K24" s="147" t="s">
        <v>589</v>
      </c>
      <c r="L24" s="147">
        <v>4.2</v>
      </c>
      <c r="M24" s="147" t="s">
        <v>589</v>
      </c>
      <c r="N24" s="147">
        <v>5.2</v>
      </c>
      <c r="O24" s="147" t="s">
        <v>589</v>
      </c>
      <c r="P24" s="147">
        <v>6.2</v>
      </c>
      <c r="Q24" s="147" t="s">
        <v>589</v>
      </c>
      <c r="R24" s="147">
        <v>8.1</v>
      </c>
      <c r="S24" s="147" t="s">
        <v>589</v>
      </c>
      <c r="T24" s="147">
        <v>8.1999999999999993</v>
      </c>
      <c r="U24" s="147" t="s">
        <v>589</v>
      </c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</row>
    <row r="25" spans="1:35" ht="22.8" customHeight="1" x14ac:dyDescent="0.25">
      <c r="A25" s="147" t="s">
        <v>503</v>
      </c>
      <c r="B25" s="146" t="s">
        <v>299</v>
      </c>
      <c r="C25" s="147" t="s">
        <v>504</v>
      </c>
      <c r="D25" s="143" t="s">
        <v>454</v>
      </c>
      <c r="E25" s="147">
        <v>2</v>
      </c>
      <c r="F25" s="147">
        <v>2.1</v>
      </c>
      <c r="G25" s="147" t="s">
        <v>589</v>
      </c>
      <c r="H25" s="147">
        <v>3.1</v>
      </c>
      <c r="I25" s="147" t="s">
        <v>589</v>
      </c>
      <c r="J25" s="147">
        <v>4.2</v>
      </c>
      <c r="K25" s="147" t="s">
        <v>589</v>
      </c>
      <c r="L25" s="147">
        <v>5.2</v>
      </c>
      <c r="M25" s="147" t="s">
        <v>589</v>
      </c>
      <c r="N25" s="147">
        <v>6.2</v>
      </c>
      <c r="O25" s="147" t="s">
        <v>589</v>
      </c>
      <c r="P25" s="147">
        <v>8.1</v>
      </c>
      <c r="Q25" s="147" t="s">
        <v>589</v>
      </c>
      <c r="R25" s="147">
        <v>8.1999999999999993</v>
      </c>
      <c r="S25" s="147" t="s">
        <v>589</v>
      </c>
      <c r="T25" s="147">
        <v>9.1999999999999993</v>
      </c>
      <c r="U25" s="147" t="s">
        <v>589</v>
      </c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</row>
    <row r="26" spans="1:35" ht="22.8" customHeight="1" x14ac:dyDescent="0.25">
      <c r="A26" s="147" t="s">
        <v>505</v>
      </c>
      <c r="B26" s="146" t="s">
        <v>506</v>
      </c>
      <c r="C26" s="147" t="s">
        <v>480</v>
      </c>
      <c r="D26" s="143" t="s">
        <v>454</v>
      </c>
      <c r="E26" s="147">
        <v>3</v>
      </c>
      <c r="F26" s="147">
        <v>1.1000000000000001</v>
      </c>
      <c r="G26" s="147" t="s">
        <v>418</v>
      </c>
      <c r="H26" s="147">
        <v>4.2</v>
      </c>
      <c r="I26" s="147" t="s">
        <v>418</v>
      </c>
      <c r="J26" s="147">
        <v>7.1</v>
      </c>
      <c r="K26" s="147" t="s">
        <v>418</v>
      </c>
      <c r="L26" s="147">
        <v>8.1</v>
      </c>
      <c r="M26" s="147" t="s">
        <v>418</v>
      </c>
      <c r="N26" s="147">
        <v>8.1999999999999993</v>
      </c>
      <c r="O26" s="147" t="s">
        <v>418</v>
      </c>
      <c r="Q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</row>
    <row r="27" spans="1:35" ht="22.8" customHeight="1" x14ac:dyDescent="0.25">
      <c r="A27" s="147" t="s">
        <v>507</v>
      </c>
      <c r="B27" s="146" t="s">
        <v>508</v>
      </c>
      <c r="C27" s="147" t="s">
        <v>480</v>
      </c>
      <c r="D27" s="143" t="s">
        <v>454</v>
      </c>
      <c r="E27" s="147">
        <v>3</v>
      </c>
      <c r="F27" s="147">
        <v>1.1000000000000001</v>
      </c>
      <c r="G27" s="147" t="s">
        <v>588</v>
      </c>
      <c r="H27" s="147">
        <v>4.0999999999999996</v>
      </c>
      <c r="I27" s="147" t="s">
        <v>418</v>
      </c>
      <c r="J27" s="147">
        <v>4.2</v>
      </c>
      <c r="K27" s="147" t="s">
        <v>588</v>
      </c>
      <c r="L27" s="147">
        <v>8.1</v>
      </c>
      <c r="M27" s="147" t="s">
        <v>418</v>
      </c>
      <c r="N27" s="147">
        <v>8.1999999999999993</v>
      </c>
      <c r="O27" s="147" t="s">
        <v>418</v>
      </c>
      <c r="Q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</row>
    <row r="28" spans="1:35" ht="22.8" customHeight="1" x14ac:dyDescent="0.25">
      <c r="A28" s="147" t="s">
        <v>509</v>
      </c>
      <c r="B28" s="146" t="s">
        <v>510</v>
      </c>
      <c r="C28" s="147" t="s">
        <v>511</v>
      </c>
      <c r="D28" s="143" t="s">
        <v>454</v>
      </c>
      <c r="E28" s="147">
        <v>3</v>
      </c>
      <c r="F28" s="147">
        <v>1.3</v>
      </c>
      <c r="G28" s="147" t="s">
        <v>588</v>
      </c>
      <c r="H28" s="147">
        <v>3.1</v>
      </c>
      <c r="I28" s="147" t="s">
        <v>588</v>
      </c>
      <c r="J28" s="147">
        <v>4.3</v>
      </c>
      <c r="K28" s="147" t="s">
        <v>588</v>
      </c>
      <c r="L28" s="147">
        <v>5.0999999999999996</v>
      </c>
      <c r="M28" s="147" t="s">
        <v>588</v>
      </c>
      <c r="N28" s="147">
        <v>5.2</v>
      </c>
      <c r="O28" s="147" t="s">
        <v>418</v>
      </c>
      <c r="P28" s="147">
        <v>5.3</v>
      </c>
      <c r="Q28" s="147" t="s">
        <v>588</v>
      </c>
      <c r="R28" s="147">
        <v>7.1</v>
      </c>
      <c r="S28" s="147" t="s">
        <v>418</v>
      </c>
      <c r="T28" s="147">
        <v>8.1</v>
      </c>
      <c r="U28" s="147" t="s">
        <v>588</v>
      </c>
      <c r="V28" s="147">
        <v>8.1999999999999993</v>
      </c>
      <c r="W28" s="147" t="s">
        <v>418</v>
      </c>
      <c r="X28" s="147">
        <v>10.199999999999999</v>
      </c>
      <c r="Y28" s="147" t="s">
        <v>434</v>
      </c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</row>
    <row r="29" spans="1:35" ht="22.8" customHeight="1" x14ac:dyDescent="0.25">
      <c r="A29" s="147" t="s">
        <v>512</v>
      </c>
      <c r="B29" s="146" t="s">
        <v>513</v>
      </c>
      <c r="C29" s="147" t="s">
        <v>460</v>
      </c>
      <c r="D29" s="143" t="s">
        <v>454</v>
      </c>
      <c r="E29" s="147">
        <v>3</v>
      </c>
      <c r="F29" s="147">
        <v>1.1000000000000001</v>
      </c>
      <c r="G29" s="147" t="s">
        <v>418</v>
      </c>
      <c r="H29" s="147">
        <v>1.2</v>
      </c>
      <c r="I29" s="147" t="s">
        <v>418</v>
      </c>
      <c r="J29" s="147">
        <v>4.0999999999999996</v>
      </c>
      <c r="K29" s="147" t="s">
        <v>418</v>
      </c>
      <c r="L29" s="147">
        <v>4.2</v>
      </c>
      <c r="M29" s="147" t="s">
        <v>418</v>
      </c>
      <c r="N29" s="147">
        <v>8.1999999999999993</v>
      </c>
      <c r="O29" s="147" t="s">
        <v>418</v>
      </c>
      <c r="Q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</row>
    <row r="30" spans="1:35" ht="22.8" customHeight="1" x14ac:dyDescent="0.25">
      <c r="A30" s="147" t="s">
        <v>514</v>
      </c>
      <c r="B30" s="146" t="s">
        <v>515</v>
      </c>
      <c r="C30" s="147" t="s">
        <v>460</v>
      </c>
      <c r="D30" s="143" t="s">
        <v>454</v>
      </c>
      <c r="E30" s="147">
        <v>3</v>
      </c>
      <c r="F30" s="147">
        <v>1.1000000000000001</v>
      </c>
      <c r="G30" s="147" t="s">
        <v>588</v>
      </c>
      <c r="H30" s="147">
        <v>4.2</v>
      </c>
      <c r="I30" s="147" t="s">
        <v>418</v>
      </c>
      <c r="J30" s="147">
        <v>7.1</v>
      </c>
      <c r="K30" s="147" t="s">
        <v>418</v>
      </c>
      <c r="L30" s="147">
        <v>7.3</v>
      </c>
      <c r="M30" s="147" t="s">
        <v>418</v>
      </c>
      <c r="N30" s="147">
        <v>8.1999999999999993</v>
      </c>
      <c r="O30" s="147" t="s">
        <v>418</v>
      </c>
      <c r="Q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</row>
    <row r="31" spans="1:35" ht="22.8" customHeight="1" x14ac:dyDescent="0.25">
      <c r="A31" s="147" t="s">
        <v>516</v>
      </c>
      <c r="B31" s="146" t="s">
        <v>517</v>
      </c>
      <c r="C31" s="147" t="s">
        <v>502</v>
      </c>
      <c r="D31" s="143" t="s">
        <v>454</v>
      </c>
      <c r="E31" s="147">
        <v>3</v>
      </c>
      <c r="F31" s="147">
        <v>2.1</v>
      </c>
      <c r="G31" s="147" t="s">
        <v>589</v>
      </c>
      <c r="H31" s="147">
        <v>3.1</v>
      </c>
      <c r="I31" s="147" t="s">
        <v>589</v>
      </c>
      <c r="J31" s="147">
        <v>4.0999999999999996</v>
      </c>
      <c r="K31" s="147" t="s">
        <v>589</v>
      </c>
      <c r="L31" s="147">
        <v>4.2</v>
      </c>
      <c r="M31" s="147" t="s">
        <v>589</v>
      </c>
      <c r="N31" s="147">
        <v>5.2</v>
      </c>
      <c r="O31" s="147" t="s">
        <v>589</v>
      </c>
      <c r="P31" s="147">
        <v>6.2</v>
      </c>
      <c r="Q31" s="147" t="s">
        <v>589</v>
      </c>
      <c r="R31" s="147">
        <v>8.1999999999999993</v>
      </c>
      <c r="S31" s="147" t="s">
        <v>589</v>
      </c>
      <c r="T31" s="147">
        <v>9.1</v>
      </c>
      <c r="U31" s="147" t="s">
        <v>589</v>
      </c>
      <c r="V31" s="147">
        <v>9.1999999999999993</v>
      </c>
      <c r="W31" s="147" t="s">
        <v>589</v>
      </c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</row>
    <row r="32" spans="1:35" ht="22.8" customHeight="1" x14ac:dyDescent="0.25">
      <c r="A32" s="147" t="s">
        <v>518</v>
      </c>
      <c r="B32" s="146" t="s">
        <v>300</v>
      </c>
      <c r="C32" s="147" t="s">
        <v>504</v>
      </c>
      <c r="D32" s="143" t="s">
        <v>454</v>
      </c>
      <c r="E32" s="147">
        <v>3</v>
      </c>
      <c r="F32" s="147">
        <v>2.1</v>
      </c>
      <c r="G32" s="147" t="s">
        <v>588</v>
      </c>
      <c r="H32" s="147">
        <v>3.1</v>
      </c>
      <c r="I32" s="147" t="s">
        <v>589</v>
      </c>
      <c r="J32" s="147">
        <v>4.0999999999999996</v>
      </c>
      <c r="K32" s="147" t="s">
        <v>589</v>
      </c>
      <c r="L32" s="147">
        <v>4.2</v>
      </c>
      <c r="M32" s="147" t="s">
        <v>589</v>
      </c>
      <c r="N32" s="147">
        <v>5.2</v>
      </c>
      <c r="O32" s="147" t="s">
        <v>588</v>
      </c>
      <c r="P32" s="147">
        <v>6.1</v>
      </c>
      <c r="Q32" s="147" t="s">
        <v>589</v>
      </c>
      <c r="R32" s="147">
        <v>6.2</v>
      </c>
      <c r="S32" s="147" t="s">
        <v>589</v>
      </c>
      <c r="T32" s="147">
        <v>8.1999999999999993</v>
      </c>
      <c r="U32" s="147" t="s">
        <v>589</v>
      </c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</row>
    <row r="33" spans="1:35" ht="22.8" customHeight="1" x14ac:dyDescent="0.25">
      <c r="A33" s="147" t="s">
        <v>519</v>
      </c>
      <c r="B33" s="146" t="s">
        <v>520</v>
      </c>
      <c r="C33" s="147" t="s">
        <v>502</v>
      </c>
      <c r="D33" s="143" t="s">
        <v>454</v>
      </c>
      <c r="E33" s="147">
        <v>3</v>
      </c>
      <c r="F33" s="147">
        <v>2.1</v>
      </c>
      <c r="G33" s="147" t="s">
        <v>589</v>
      </c>
      <c r="H33" s="147">
        <v>3.1</v>
      </c>
      <c r="I33" s="147" t="s">
        <v>588</v>
      </c>
      <c r="J33" s="147">
        <v>4.0999999999999996</v>
      </c>
      <c r="K33" s="147" t="s">
        <v>589</v>
      </c>
      <c r="L33" s="147">
        <v>4.2</v>
      </c>
      <c r="M33" s="147" t="s">
        <v>589</v>
      </c>
      <c r="N33" s="147">
        <v>5.2</v>
      </c>
      <c r="O33" s="147" t="s">
        <v>589</v>
      </c>
      <c r="P33" s="147">
        <v>6.1</v>
      </c>
      <c r="Q33" s="147" t="s">
        <v>589</v>
      </c>
      <c r="R33" s="147">
        <v>6.2</v>
      </c>
      <c r="S33" s="147" t="s">
        <v>589</v>
      </c>
      <c r="T33" s="147">
        <v>8.1999999999999993</v>
      </c>
      <c r="U33" s="147" t="s">
        <v>589</v>
      </c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</row>
    <row r="34" spans="1:35" ht="22.8" customHeight="1" x14ac:dyDescent="0.25">
      <c r="A34" s="147" t="s">
        <v>521</v>
      </c>
      <c r="B34" s="146" t="s">
        <v>522</v>
      </c>
      <c r="C34" s="147" t="s">
        <v>504</v>
      </c>
      <c r="D34" s="143" t="s">
        <v>454</v>
      </c>
      <c r="E34" s="147">
        <v>3</v>
      </c>
      <c r="F34" s="147">
        <v>2.1</v>
      </c>
      <c r="G34" s="147" t="s">
        <v>588</v>
      </c>
      <c r="H34" s="147">
        <v>3.1</v>
      </c>
      <c r="I34" s="147" t="s">
        <v>588</v>
      </c>
      <c r="J34" s="147">
        <v>4.0999999999999996</v>
      </c>
      <c r="K34" s="147" t="s">
        <v>589</v>
      </c>
      <c r="L34" s="147">
        <v>4.2</v>
      </c>
      <c r="M34" s="147" t="s">
        <v>588</v>
      </c>
      <c r="N34" s="147">
        <v>4.3</v>
      </c>
      <c r="O34" s="147" t="s">
        <v>589</v>
      </c>
      <c r="P34" s="147">
        <v>5.2</v>
      </c>
      <c r="Q34" s="147" t="s">
        <v>588</v>
      </c>
      <c r="R34" s="147">
        <v>6.2</v>
      </c>
      <c r="S34" s="147" t="s">
        <v>589</v>
      </c>
      <c r="T34" s="147">
        <v>7.1</v>
      </c>
      <c r="U34" s="147" t="s">
        <v>588</v>
      </c>
      <c r="V34" s="147">
        <v>8.1999999999999993</v>
      </c>
      <c r="W34" s="147" t="s">
        <v>588</v>
      </c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</row>
    <row r="35" spans="1:35" ht="22.8" customHeight="1" x14ac:dyDescent="0.25">
      <c r="A35" s="147">
        <v>124300329</v>
      </c>
      <c r="B35" s="146" t="s">
        <v>523</v>
      </c>
      <c r="C35" s="147" t="s">
        <v>502</v>
      </c>
      <c r="D35" s="143" t="s">
        <v>454</v>
      </c>
      <c r="E35" s="147">
        <v>3</v>
      </c>
      <c r="F35" s="147">
        <v>2.2000000000000002</v>
      </c>
      <c r="G35" s="147" t="s">
        <v>589</v>
      </c>
      <c r="H35" s="147">
        <v>3.1</v>
      </c>
      <c r="I35" s="147" t="s">
        <v>589</v>
      </c>
      <c r="J35" s="147">
        <v>4.0999999999999996</v>
      </c>
      <c r="K35" s="147" t="s">
        <v>589</v>
      </c>
      <c r="L35" s="147">
        <v>4.2</v>
      </c>
      <c r="M35" s="147" t="s">
        <v>418</v>
      </c>
      <c r="N35" s="147">
        <v>6.1</v>
      </c>
      <c r="O35" s="147" t="s">
        <v>589</v>
      </c>
      <c r="P35" s="147">
        <v>6.2</v>
      </c>
      <c r="Q35" s="147" t="s">
        <v>589</v>
      </c>
      <c r="R35" s="147">
        <v>8.1999999999999993</v>
      </c>
      <c r="S35" s="147" t="s">
        <v>589</v>
      </c>
      <c r="T35" s="147">
        <v>9.1</v>
      </c>
      <c r="U35" s="147" t="s">
        <v>589</v>
      </c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</row>
    <row r="36" spans="1:35" ht="22.8" customHeight="1" x14ac:dyDescent="0.25">
      <c r="A36" s="147" t="s">
        <v>524</v>
      </c>
      <c r="B36" s="146" t="s">
        <v>525</v>
      </c>
      <c r="C36" s="147" t="s">
        <v>502</v>
      </c>
      <c r="D36" s="143" t="s">
        <v>454</v>
      </c>
      <c r="E36" s="147">
        <v>3</v>
      </c>
      <c r="F36" s="147">
        <v>2.1</v>
      </c>
      <c r="G36" s="147" t="s">
        <v>588</v>
      </c>
      <c r="H36" s="147">
        <v>3.1</v>
      </c>
      <c r="I36" s="147" t="s">
        <v>589</v>
      </c>
      <c r="J36" s="147">
        <v>4.0999999999999996</v>
      </c>
      <c r="K36" s="147" t="s">
        <v>589</v>
      </c>
      <c r="L36" s="147">
        <v>4.2</v>
      </c>
      <c r="M36" s="147" t="s">
        <v>589</v>
      </c>
      <c r="N36" s="147">
        <v>5.2</v>
      </c>
      <c r="O36" s="147" t="s">
        <v>589</v>
      </c>
      <c r="P36" s="147">
        <v>6.1</v>
      </c>
      <c r="Q36" s="147" t="s">
        <v>589</v>
      </c>
      <c r="R36" s="147">
        <v>6.2</v>
      </c>
      <c r="S36" s="147" t="s">
        <v>589</v>
      </c>
      <c r="T36" s="147">
        <v>7.1</v>
      </c>
      <c r="U36" s="147" t="s">
        <v>588</v>
      </c>
      <c r="V36" s="147">
        <v>8.1999999999999993</v>
      </c>
      <c r="W36" s="147" t="s">
        <v>588</v>
      </c>
      <c r="X36" s="147">
        <v>9.1</v>
      </c>
      <c r="Y36" s="147" t="s">
        <v>588</v>
      </c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</row>
    <row r="37" spans="1:35" ht="22.8" customHeight="1" x14ac:dyDescent="0.25">
      <c r="A37" s="147" t="s">
        <v>526</v>
      </c>
      <c r="B37" s="146" t="s">
        <v>527</v>
      </c>
      <c r="C37" s="147" t="s">
        <v>460</v>
      </c>
      <c r="D37" s="143" t="s">
        <v>454</v>
      </c>
      <c r="E37" s="147">
        <v>4</v>
      </c>
      <c r="F37" s="147">
        <v>1.3</v>
      </c>
      <c r="G37" s="147" t="s">
        <v>588</v>
      </c>
      <c r="H37" s="147">
        <v>7.3</v>
      </c>
      <c r="I37" s="147" t="s">
        <v>588</v>
      </c>
      <c r="J37" s="147">
        <v>8.1</v>
      </c>
      <c r="K37" s="147" t="s">
        <v>588</v>
      </c>
      <c r="L37" s="147">
        <v>9.1</v>
      </c>
      <c r="M37" s="147" t="s">
        <v>418</v>
      </c>
      <c r="O37" s="147"/>
      <c r="Q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</row>
    <row r="38" spans="1:35" ht="22.8" customHeight="1" x14ac:dyDescent="0.25">
      <c r="A38" s="147" t="s">
        <v>528</v>
      </c>
      <c r="B38" s="146" t="s">
        <v>529</v>
      </c>
      <c r="C38" s="147" t="s">
        <v>471</v>
      </c>
      <c r="D38" s="143" t="s">
        <v>454</v>
      </c>
      <c r="E38" s="147">
        <v>4</v>
      </c>
      <c r="F38" s="147">
        <v>1.1000000000000001</v>
      </c>
      <c r="G38" s="147" t="s">
        <v>588</v>
      </c>
      <c r="H38" s="147">
        <v>1.2</v>
      </c>
      <c r="I38" s="147" t="s">
        <v>588</v>
      </c>
      <c r="J38" s="147">
        <v>4.2</v>
      </c>
      <c r="K38" s="147" t="s">
        <v>418</v>
      </c>
      <c r="L38" s="147">
        <v>8.1999999999999993</v>
      </c>
      <c r="M38" s="147" t="s">
        <v>418</v>
      </c>
      <c r="O38" s="147"/>
      <c r="Q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</row>
    <row r="39" spans="1:35" ht="22.8" customHeight="1" x14ac:dyDescent="0.25">
      <c r="A39" s="147" t="s">
        <v>530</v>
      </c>
      <c r="B39" s="146" t="s">
        <v>531</v>
      </c>
      <c r="C39" s="147" t="s">
        <v>480</v>
      </c>
      <c r="D39" s="143" t="s">
        <v>454</v>
      </c>
      <c r="E39" s="147">
        <v>4</v>
      </c>
      <c r="F39" s="147">
        <v>1.1000000000000001</v>
      </c>
      <c r="G39" s="147" t="s">
        <v>588</v>
      </c>
      <c r="H39" s="147">
        <v>3.1</v>
      </c>
      <c r="I39" s="147" t="s">
        <v>418</v>
      </c>
      <c r="J39" s="147">
        <v>4.2</v>
      </c>
      <c r="K39" s="147" t="s">
        <v>418</v>
      </c>
      <c r="L39" s="147">
        <v>7.1</v>
      </c>
      <c r="M39" s="147" t="s">
        <v>418</v>
      </c>
      <c r="N39" s="147">
        <v>10.199999999999999</v>
      </c>
      <c r="O39" s="147" t="s">
        <v>418</v>
      </c>
      <c r="Q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</row>
    <row r="40" spans="1:35" ht="22.8" customHeight="1" x14ac:dyDescent="0.25">
      <c r="A40" s="147" t="s">
        <v>532</v>
      </c>
      <c r="B40" s="146" t="s">
        <v>533</v>
      </c>
      <c r="C40" s="147" t="s">
        <v>480</v>
      </c>
      <c r="D40" s="143" t="s">
        <v>454</v>
      </c>
      <c r="E40" s="147">
        <v>4</v>
      </c>
      <c r="F40" s="147">
        <v>1.1000000000000001</v>
      </c>
      <c r="G40" s="147" t="s">
        <v>588</v>
      </c>
      <c r="H40" s="147">
        <v>3.1</v>
      </c>
      <c r="I40" s="147" t="s">
        <v>418</v>
      </c>
      <c r="J40" s="147">
        <v>4.2</v>
      </c>
      <c r="K40" s="147" t="s">
        <v>418</v>
      </c>
      <c r="L40" s="147">
        <v>7.1</v>
      </c>
      <c r="M40" s="147" t="s">
        <v>418</v>
      </c>
      <c r="N40" s="147">
        <v>8.1999999999999993</v>
      </c>
      <c r="O40" s="147" t="s">
        <v>418</v>
      </c>
      <c r="Q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</row>
    <row r="41" spans="1:35" ht="22.8" customHeight="1" x14ac:dyDescent="0.25">
      <c r="A41" s="147" t="s">
        <v>530</v>
      </c>
      <c r="B41" s="146" t="s">
        <v>534</v>
      </c>
      <c r="C41" s="147" t="s">
        <v>480</v>
      </c>
      <c r="D41" s="143" t="s">
        <v>454</v>
      </c>
      <c r="E41" s="147">
        <v>4</v>
      </c>
      <c r="F41" s="147">
        <v>1.1000000000000001</v>
      </c>
      <c r="G41" s="147" t="s">
        <v>588</v>
      </c>
      <c r="H41" s="147">
        <v>3.1</v>
      </c>
      <c r="I41" s="147" t="s">
        <v>418</v>
      </c>
      <c r="J41" s="147">
        <v>4.0999999999999996</v>
      </c>
      <c r="K41" s="147" t="s">
        <v>418</v>
      </c>
      <c r="L41" s="147">
        <v>8.1</v>
      </c>
      <c r="M41" s="147" t="s">
        <v>418</v>
      </c>
      <c r="N41" s="147">
        <v>8.1999999999999993</v>
      </c>
      <c r="O41" s="147" t="s">
        <v>418</v>
      </c>
      <c r="P41" s="147">
        <v>10.1</v>
      </c>
      <c r="Q41" s="147" t="s">
        <v>588</v>
      </c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</row>
    <row r="42" spans="1:35" ht="22.8" customHeight="1" x14ac:dyDescent="0.25">
      <c r="A42" s="147" t="s">
        <v>535</v>
      </c>
      <c r="B42" s="146" t="s">
        <v>536</v>
      </c>
      <c r="C42" s="147" t="s">
        <v>502</v>
      </c>
      <c r="D42" s="143" t="s">
        <v>454</v>
      </c>
      <c r="E42" s="147">
        <v>4</v>
      </c>
      <c r="F42" s="147">
        <v>2.2000000000000002</v>
      </c>
      <c r="G42" s="147" t="s">
        <v>588</v>
      </c>
      <c r="H42" s="147">
        <v>3.1</v>
      </c>
      <c r="I42" s="147" t="s">
        <v>588</v>
      </c>
      <c r="J42" s="147">
        <v>4.2</v>
      </c>
      <c r="K42" s="147" t="s">
        <v>589</v>
      </c>
      <c r="L42" s="147">
        <v>5.2</v>
      </c>
      <c r="M42" s="147" t="s">
        <v>588</v>
      </c>
      <c r="N42" s="147">
        <v>8.1999999999999993</v>
      </c>
      <c r="O42" s="147" t="s">
        <v>589</v>
      </c>
      <c r="Q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</row>
    <row r="43" spans="1:35" ht="22.8" customHeight="1" x14ac:dyDescent="0.25">
      <c r="A43" s="147" t="s">
        <v>537</v>
      </c>
      <c r="B43" s="146" t="s">
        <v>538</v>
      </c>
      <c r="C43" s="147" t="s">
        <v>502</v>
      </c>
      <c r="D43" s="143" t="s">
        <v>454</v>
      </c>
      <c r="E43" s="147">
        <v>4</v>
      </c>
      <c r="F43" s="147">
        <v>2.1</v>
      </c>
      <c r="G43" s="147" t="s">
        <v>588</v>
      </c>
      <c r="H43" s="147">
        <v>3.1</v>
      </c>
      <c r="I43" s="147" t="s">
        <v>588</v>
      </c>
      <c r="J43" s="147">
        <v>4.2</v>
      </c>
      <c r="K43" s="147" t="s">
        <v>588</v>
      </c>
      <c r="L43" s="147">
        <v>5.2</v>
      </c>
      <c r="M43" s="147" t="s">
        <v>588</v>
      </c>
      <c r="N43" s="147">
        <v>6.1</v>
      </c>
      <c r="O43" s="147" t="s">
        <v>588</v>
      </c>
      <c r="P43" s="147">
        <v>6.2</v>
      </c>
      <c r="Q43" s="147" t="s">
        <v>588</v>
      </c>
      <c r="R43" s="147">
        <v>6.3</v>
      </c>
      <c r="S43" s="147" t="s">
        <v>588</v>
      </c>
      <c r="T43" s="147">
        <v>7.1</v>
      </c>
      <c r="U43" s="147" t="s">
        <v>588</v>
      </c>
      <c r="V43" s="147">
        <v>8.1999999999999993</v>
      </c>
      <c r="W43" s="147" t="s">
        <v>588</v>
      </c>
      <c r="X43" s="147">
        <v>9.1</v>
      </c>
      <c r="Y43" s="147" t="s">
        <v>588</v>
      </c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</row>
    <row r="44" spans="1:35" ht="22.8" customHeight="1" x14ac:dyDescent="0.25">
      <c r="A44" s="147" t="s">
        <v>539</v>
      </c>
      <c r="B44" s="146" t="s">
        <v>540</v>
      </c>
      <c r="C44" s="147" t="s">
        <v>502</v>
      </c>
      <c r="D44" s="143" t="s">
        <v>454</v>
      </c>
      <c r="E44" s="147">
        <v>4</v>
      </c>
      <c r="F44" s="147">
        <v>2.1</v>
      </c>
      <c r="G44" s="147" t="s">
        <v>588</v>
      </c>
      <c r="H44" s="147">
        <v>3.1</v>
      </c>
      <c r="I44" s="147" t="s">
        <v>588</v>
      </c>
      <c r="J44" s="147">
        <v>4.2</v>
      </c>
      <c r="K44" s="147" t="s">
        <v>588</v>
      </c>
      <c r="L44" s="147">
        <v>6.2</v>
      </c>
      <c r="M44" s="147" t="s">
        <v>588</v>
      </c>
      <c r="N44" s="147">
        <v>7.1</v>
      </c>
      <c r="O44" s="147" t="s">
        <v>588</v>
      </c>
      <c r="P44" s="147">
        <v>8.1999999999999993</v>
      </c>
      <c r="Q44" s="147" t="s">
        <v>588</v>
      </c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</row>
    <row r="45" spans="1:35" ht="22.8" customHeight="1" x14ac:dyDescent="0.25">
      <c r="A45" s="147" t="s">
        <v>541</v>
      </c>
      <c r="B45" s="146" t="s">
        <v>542</v>
      </c>
      <c r="C45" s="147" t="s">
        <v>504</v>
      </c>
      <c r="D45" s="143" t="s">
        <v>454</v>
      </c>
      <c r="E45" s="147">
        <v>4</v>
      </c>
      <c r="F45" s="147">
        <v>2.1</v>
      </c>
      <c r="G45" s="147" t="s">
        <v>588</v>
      </c>
      <c r="H45" s="147">
        <v>3.1</v>
      </c>
      <c r="I45" s="147" t="s">
        <v>588</v>
      </c>
      <c r="J45" s="147">
        <v>4.0999999999999996</v>
      </c>
      <c r="K45" s="147" t="s">
        <v>588</v>
      </c>
      <c r="L45" s="147">
        <v>4.3</v>
      </c>
      <c r="M45" s="147" t="s">
        <v>588</v>
      </c>
      <c r="N45" s="147">
        <v>6.1</v>
      </c>
      <c r="O45" s="147" t="s">
        <v>588</v>
      </c>
      <c r="P45" s="147">
        <v>6.2</v>
      </c>
      <c r="Q45" s="147" t="s">
        <v>588</v>
      </c>
      <c r="R45" s="147">
        <v>7.1</v>
      </c>
      <c r="S45" s="147" t="s">
        <v>588</v>
      </c>
      <c r="T45" s="147">
        <v>8.1</v>
      </c>
      <c r="U45" s="147" t="s">
        <v>588</v>
      </c>
      <c r="V45" s="147">
        <v>9.1999999999999993</v>
      </c>
      <c r="W45" s="147" t="s">
        <v>588</v>
      </c>
      <c r="X45" s="147">
        <v>10.199999999999999</v>
      </c>
      <c r="Y45" s="147" t="s">
        <v>588</v>
      </c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</row>
    <row r="46" spans="1:35" ht="22.8" customHeight="1" x14ac:dyDescent="0.25">
      <c r="A46" s="147" t="s">
        <v>543</v>
      </c>
      <c r="B46" s="146" t="s">
        <v>301</v>
      </c>
      <c r="C46" s="147" t="s">
        <v>473</v>
      </c>
      <c r="D46" s="143" t="s">
        <v>454</v>
      </c>
      <c r="E46" s="147">
        <v>1.3</v>
      </c>
      <c r="F46" s="147" t="s">
        <v>418</v>
      </c>
      <c r="G46" s="147">
        <v>9.1</v>
      </c>
      <c r="H46" s="147" t="s">
        <v>418</v>
      </c>
      <c r="I46" s="147"/>
      <c r="M46" s="147"/>
      <c r="O46" s="147"/>
      <c r="Q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</row>
    <row r="47" spans="1:35" ht="22.8" customHeight="1" x14ac:dyDescent="0.25">
      <c r="A47" s="147" t="s">
        <v>544</v>
      </c>
      <c r="B47" s="146" t="s">
        <v>303</v>
      </c>
      <c r="C47" s="147" t="s">
        <v>473</v>
      </c>
      <c r="D47" s="143" t="s">
        <v>454</v>
      </c>
      <c r="E47" s="147">
        <v>1.3</v>
      </c>
      <c r="F47" s="147" t="s">
        <v>418</v>
      </c>
      <c r="G47" s="147">
        <v>4.0999999999999996</v>
      </c>
      <c r="H47" s="147" t="s">
        <v>418</v>
      </c>
      <c r="I47" s="147">
        <v>9.1</v>
      </c>
      <c r="J47" s="147" t="s">
        <v>418</v>
      </c>
      <c r="K47" s="147">
        <v>10.1</v>
      </c>
      <c r="L47" s="147" t="s">
        <v>418</v>
      </c>
      <c r="M47" s="147"/>
      <c r="O47" s="147"/>
      <c r="Q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</row>
    <row r="48" spans="1:35" ht="22.8" customHeight="1" x14ac:dyDescent="0.25">
      <c r="A48" s="147" t="s">
        <v>545</v>
      </c>
      <c r="B48" s="146" t="s">
        <v>302</v>
      </c>
      <c r="C48" s="147" t="s">
        <v>473</v>
      </c>
      <c r="D48" s="143" t="s">
        <v>454</v>
      </c>
      <c r="E48" s="147">
        <v>1.3</v>
      </c>
      <c r="F48" s="147" t="s">
        <v>418</v>
      </c>
      <c r="G48" s="147">
        <v>3.1</v>
      </c>
      <c r="H48" s="147" t="s">
        <v>418</v>
      </c>
      <c r="I48" s="147">
        <v>4.0999999999999996</v>
      </c>
      <c r="J48" s="147" t="s">
        <v>418</v>
      </c>
      <c r="M48" s="147"/>
      <c r="O48" s="147"/>
      <c r="Q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</row>
    <row r="49" spans="1:35" ht="22.8" customHeight="1" x14ac:dyDescent="0.25">
      <c r="A49" s="147" t="s">
        <v>546</v>
      </c>
      <c r="B49" s="146" t="s">
        <v>304</v>
      </c>
      <c r="C49" s="147" t="s">
        <v>547</v>
      </c>
      <c r="D49" s="143" t="s">
        <v>454</v>
      </c>
      <c r="E49" s="147">
        <v>4.0999999999999996</v>
      </c>
      <c r="F49" s="147" t="s">
        <v>418</v>
      </c>
      <c r="G49" s="147">
        <v>8.1</v>
      </c>
      <c r="H49" s="147" t="s">
        <v>418</v>
      </c>
      <c r="I49" s="147">
        <v>9.1</v>
      </c>
      <c r="J49" s="147" t="s">
        <v>418</v>
      </c>
      <c r="M49" s="147"/>
      <c r="O49" s="147"/>
      <c r="Q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</row>
    <row r="50" spans="1:35" ht="22.8" customHeight="1" x14ac:dyDescent="0.25">
      <c r="A50" s="147" t="s">
        <v>548</v>
      </c>
      <c r="B50" s="146" t="s">
        <v>549</v>
      </c>
      <c r="C50" s="147" t="s">
        <v>480</v>
      </c>
      <c r="D50" s="143" t="s">
        <v>454</v>
      </c>
      <c r="E50" s="147">
        <v>1.3</v>
      </c>
      <c r="F50" s="147" t="s">
        <v>434</v>
      </c>
      <c r="G50" s="147">
        <v>3.1</v>
      </c>
      <c r="H50" s="147" t="s">
        <v>418</v>
      </c>
      <c r="I50" s="147">
        <v>9.1</v>
      </c>
      <c r="J50" s="147" t="s">
        <v>418</v>
      </c>
      <c r="M50" s="147"/>
      <c r="O50" s="147"/>
      <c r="Q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</row>
    <row r="51" spans="1:35" ht="22.8" customHeight="1" x14ac:dyDescent="0.25">
      <c r="A51" s="147" t="s">
        <v>550</v>
      </c>
      <c r="B51" s="146" t="s">
        <v>551</v>
      </c>
      <c r="C51" s="147" t="s">
        <v>480</v>
      </c>
      <c r="D51" s="143" t="s">
        <v>454</v>
      </c>
      <c r="E51" s="147">
        <v>1.3</v>
      </c>
      <c r="F51" s="147" t="s">
        <v>434</v>
      </c>
      <c r="G51" s="147">
        <v>9.1</v>
      </c>
      <c r="H51" s="147" t="s">
        <v>418</v>
      </c>
      <c r="I51" s="147"/>
      <c r="M51" s="147"/>
      <c r="O51" s="147"/>
      <c r="Q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</row>
    <row r="52" spans="1:35" ht="22.8" customHeight="1" x14ac:dyDescent="0.25">
      <c r="A52" s="147" t="s">
        <v>552</v>
      </c>
      <c r="B52" s="146" t="s">
        <v>553</v>
      </c>
      <c r="C52" s="147" t="s">
        <v>473</v>
      </c>
      <c r="D52" s="143" t="s">
        <v>454</v>
      </c>
      <c r="E52" s="147">
        <v>1.3</v>
      </c>
      <c r="F52" s="147" t="s">
        <v>418</v>
      </c>
      <c r="G52" s="147">
        <v>3.1</v>
      </c>
      <c r="H52" s="147" t="s">
        <v>418</v>
      </c>
      <c r="I52" s="147">
        <v>9.1999999999999993</v>
      </c>
      <c r="J52" s="147" t="s">
        <v>588</v>
      </c>
      <c r="M52" s="147"/>
      <c r="O52" s="147"/>
      <c r="Q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</row>
    <row r="53" spans="1:35" ht="22.8" customHeight="1" x14ac:dyDescent="0.25">
      <c r="A53" s="147" t="s">
        <v>554</v>
      </c>
      <c r="B53" s="146" t="s">
        <v>555</v>
      </c>
      <c r="C53" s="147" t="s">
        <v>480</v>
      </c>
      <c r="D53" s="143" t="s">
        <v>454</v>
      </c>
      <c r="E53" s="147">
        <v>1.3</v>
      </c>
      <c r="F53" s="147" t="s">
        <v>418</v>
      </c>
      <c r="G53" s="147">
        <v>3.1</v>
      </c>
      <c r="H53" s="147" t="s">
        <v>418</v>
      </c>
      <c r="I53" s="147">
        <v>4.0999999999999996</v>
      </c>
      <c r="J53" s="147" t="s">
        <v>418</v>
      </c>
      <c r="K53" s="147">
        <v>6.2</v>
      </c>
      <c r="L53" s="147" t="s">
        <v>418</v>
      </c>
      <c r="M53" s="147"/>
      <c r="O53" s="147"/>
      <c r="Q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</row>
    <row r="54" spans="1:35" ht="22.8" customHeight="1" x14ac:dyDescent="0.25">
      <c r="A54" s="147" t="s">
        <v>556</v>
      </c>
      <c r="B54" s="146" t="s">
        <v>557</v>
      </c>
      <c r="C54" s="147" t="s">
        <v>473</v>
      </c>
      <c r="D54" s="143" t="s">
        <v>454</v>
      </c>
      <c r="E54" s="147">
        <v>1.3</v>
      </c>
      <c r="F54" s="147" t="s">
        <v>418</v>
      </c>
      <c r="G54" s="147">
        <v>9.1</v>
      </c>
      <c r="H54" s="147" t="s">
        <v>418</v>
      </c>
      <c r="I54" s="147"/>
      <c r="M54" s="147"/>
      <c r="O54" s="147"/>
      <c r="Q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</row>
  </sheetData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25" fitToHeight="0" orientation="landscape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35"/>
  <sheetViews>
    <sheetView tabSelected="1" topLeftCell="A19" zoomScaleNormal="100" workbookViewId="0">
      <selection activeCell="B32" sqref="B32"/>
    </sheetView>
  </sheetViews>
  <sheetFormatPr defaultColWidth="9.09765625" defaultRowHeight="21" x14ac:dyDescent="0.25"/>
  <cols>
    <col min="1" max="1" width="11.19921875" style="1" customWidth="1"/>
    <col min="2" max="2" width="157.5" style="3" customWidth="1"/>
    <col min="3" max="3" width="9.09765625" style="3"/>
    <col min="4" max="4" width="4.19921875" style="3" customWidth="1"/>
    <col min="5" max="5" width="49.3984375" style="3" customWidth="1"/>
    <col min="6" max="16384" width="9.09765625" style="3"/>
  </cols>
  <sheetData>
    <row r="1" spans="1:2" s="32" customFormat="1" x14ac:dyDescent="0.25">
      <c r="A1" s="154" t="s">
        <v>455</v>
      </c>
      <c r="B1" s="56" t="s">
        <v>456</v>
      </c>
    </row>
    <row r="2" spans="1:2" s="56" customFormat="1" x14ac:dyDescent="0.25">
      <c r="A2" s="153">
        <v>1</v>
      </c>
      <c r="B2" s="34" t="s">
        <v>621</v>
      </c>
    </row>
    <row r="3" spans="1:2" x14ac:dyDescent="0.25">
      <c r="A3" s="151">
        <v>1.1000000000000001</v>
      </c>
      <c r="B3" s="2" t="s">
        <v>593</v>
      </c>
    </row>
    <row r="4" spans="1:2" x14ac:dyDescent="0.25">
      <c r="A4" s="151">
        <v>1.2</v>
      </c>
      <c r="B4" s="3" t="s">
        <v>594</v>
      </c>
    </row>
    <row r="5" spans="1:2" x14ac:dyDescent="0.25">
      <c r="A5" s="151">
        <v>1.3</v>
      </c>
      <c r="B5" s="3" t="s">
        <v>595</v>
      </c>
    </row>
    <row r="6" spans="1:2" s="34" customFormat="1" x14ac:dyDescent="0.25">
      <c r="A6" s="153">
        <v>2</v>
      </c>
      <c r="B6" s="34" t="s">
        <v>620</v>
      </c>
    </row>
    <row r="7" spans="1:2" x14ac:dyDescent="0.25">
      <c r="A7" s="151">
        <v>2.1</v>
      </c>
      <c r="B7" s="3" t="s">
        <v>597</v>
      </c>
    </row>
    <row r="8" spans="1:2" x14ac:dyDescent="0.25">
      <c r="A8" s="151">
        <v>2.2000000000000002</v>
      </c>
      <c r="B8" s="3" t="s">
        <v>596</v>
      </c>
    </row>
    <row r="9" spans="1:2" s="34" customFormat="1" x14ac:dyDescent="0.25">
      <c r="A9" s="153">
        <v>3</v>
      </c>
      <c r="B9" s="34" t="s">
        <v>622</v>
      </c>
    </row>
    <row r="10" spans="1:2" x14ac:dyDescent="0.25">
      <c r="A10" s="151">
        <v>3.1</v>
      </c>
      <c r="B10" s="3" t="s">
        <v>619</v>
      </c>
    </row>
    <row r="11" spans="1:2" s="34" customFormat="1" x14ac:dyDescent="0.25">
      <c r="A11" s="153">
        <v>4</v>
      </c>
      <c r="B11" s="34" t="s">
        <v>623</v>
      </c>
    </row>
    <row r="12" spans="1:2" x14ac:dyDescent="0.25">
      <c r="A12" s="151">
        <v>4.0999999999999996</v>
      </c>
      <c r="B12" s="3" t="s">
        <v>598</v>
      </c>
    </row>
    <row r="13" spans="1:2" x14ac:dyDescent="0.25">
      <c r="A13" s="151">
        <v>4.2</v>
      </c>
      <c r="B13" s="3" t="s">
        <v>599</v>
      </c>
    </row>
    <row r="14" spans="1:2" x14ac:dyDescent="0.25">
      <c r="A14" s="151">
        <v>4.3</v>
      </c>
      <c r="B14" s="3" t="s">
        <v>600</v>
      </c>
    </row>
    <row r="15" spans="1:2" s="34" customFormat="1" x14ac:dyDescent="0.25">
      <c r="A15" s="153">
        <v>5</v>
      </c>
      <c r="B15" s="34" t="s">
        <v>624</v>
      </c>
    </row>
    <row r="16" spans="1:2" x14ac:dyDescent="0.25">
      <c r="A16" s="151">
        <v>5.0999999999999996</v>
      </c>
      <c r="B16" s="3" t="s">
        <v>601</v>
      </c>
    </row>
    <row r="17" spans="1:2" x14ac:dyDescent="0.25">
      <c r="A17" s="151">
        <v>5.2</v>
      </c>
      <c r="B17" s="3" t="s">
        <v>602</v>
      </c>
    </row>
    <row r="18" spans="1:2" x14ac:dyDescent="0.25">
      <c r="A18" s="151">
        <v>5.3</v>
      </c>
      <c r="B18" s="3" t="s">
        <v>603</v>
      </c>
    </row>
    <row r="19" spans="1:2" s="34" customFormat="1" x14ac:dyDescent="0.25">
      <c r="A19" s="153">
        <v>6</v>
      </c>
      <c r="B19" s="34" t="s">
        <v>590</v>
      </c>
    </row>
    <row r="20" spans="1:2" x14ac:dyDescent="0.25">
      <c r="A20" s="151">
        <v>6.1</v>
      </c>
      <c r="B20" s="3" t="s">
        <v>604</v>
      </c>
    </row>
    <row r="21" spans="1:2" x14ac:dyDescent="0.25">
      <c r="A21" s="152">
        <v>6.2</v>
      </c>
      <c r="B21" s="150" t="s">
        <v>605</v>
      </c>
    </row>
    <row r="22" spans="1:2" x14ac:dyDescent="0.25">
      <c r="A22" s="151">
        <v>6.3</v>
      </c>
      <c r="B22" s="3" t="s">
        <v>606</v>
      </c>
    </row>
    <row r="23" spans="1:2" s="34" customFormat="1" x14ac:dyDescent="0.25">
      <c r="A23" s="153">
        <v>7</v>
      </c>
      <c r="B23" s="34" t="s">
        <v>591</v>
      </c>
    </row>
    <row r="24" spans="1:2" x14ac:dyDescent="0.25">
      <c r="A24" s="151">
        <v>7.1</v>
      </c>
      <c r="B24" s="3" t="s">
        <v>607</v>
      </c>
    </row>
    <row r="25" spans="1:2" x14ac:dyDescent="0.25">
      <c r="A25" s="152">
        <v>7.2</v>
      </c>
      <c r="B25" s="150" t="s">
        <v>608</v>
      </c>
    </row>
    <row r="26" spans="1:2" x14ac:dyDescent="0.25">
      <c r="A26" s="151">
        <v>7.3</v>
      </c>
      <c r="B26" s="3" t="s">
        <v>609</v>
      </c>
    </row>
    <row r="27" spans="1:2" s="34" customFormat="1" x14ac:dyDescent="0.25">
      <c r="A27" s="153">
        <v>8</v>
      </c>
      <c r="B27" s="34" t="s">
        <v>625</v>
      </c>
    </row>
    <row r="28" spans="1:2" x14ac:dyDescent="0.25">
      <c r="A28" s="151">
        <v>8.1</v>
      </c>
      <c r="B28" s="3" t="s">
        <v>610</v>
      </c>
    </row>
    <row r="29" spans="1:2" x14ac:dyDescent="0.25">
      <c r="A29" s="152">
        <v>8.1999999999999993</v>
      </c>
      <c r="B29" s="150" t="s">
        <v>611</v>
      </c>
    </row>
    <row r="30" spans="1:2" s="34" customFormat="1" x14ac:dyDescent="0.25">
      <c r="A30" s="153">
        <v>9</v>
      </c>
      <c r="B30" s="34" t="s">
        <v>626</v>
      </c>
    </row>
    <row r="31" spans="1:2" x14ac:dyDescent="0.25">
      <c r="A31" s="152">
        <v>9.1</v>
      </c>
      <c r="B31" s="150" t="s">
        <v>612</v>
      </c>
    </row>
    <row r="32" spans="1:2" x14ac:dyDescent="0.25">
      <c r="A32" s="152">
        <v>9.1999999999999993</v>
      </c>
      <c r="B32" s="150" t="s">
        <v>613</v>
      </c>
    </row>
    <row r="33" spans="1:2" s="34" customFormat="1" x14ac:dyDescent="0.25">
      <c r="A33" s="153">
        <v>10</v>
      </c>
      <c r="B33" s="34" t="s">
        <v>592</v>
      </c>
    </row>
    <row r="34" spans="1:2" x14ac:dyDescent="0.25">
      <c r="A34" s="152">
        <v>10.1</v>
      </c>
      <c r="B34" s="150" t="s">
        <v>614</v>
      </c>
    </row>
    <row r="35" spans="1:2" x14ac:dyDescent="0.25">
      <c r="A35" s="152">
        <v>10.199999999999999</v>
      </c>
      <c r="B35" s="150" t="s">
        <v>615</v>
      </c>
    </row>
  </sheetData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77" fitToHeight="0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N190"/>
  <sheetViews>
    <sheetView zoomScale="60" zoomScaleNormal="60" workbookViewId="0">
      <pane xSplit="1" ySplit="11" topLeftCell="F12" activePane="bottomRight" state="frozen"/>
      <selection pane="topRight" activeCell="B1" sqref="B1"/>
      <selection pane="bottomLeft" activeCell="A12" sqref="A12"/>
      <selection pane="bottomRight" activeCell="Q14" sqref="Q14"/>
    </sheetView>
  </sheetViews>
  <sheetFormatPr defaultColWidth="9.09765625" defaultRowHeight="21" x14ac:dyDescent="0.25"/>
  <cols>
    <col min="1" max="1" width="5.69921875" style="3" customWidth="1"/>
    <col min="2" max="2" width="18.8984375" style="1" customWidth="1"/>
    <col min="3" max="3" width="35.5" style="2" customWidth="1"/>
    <col min="4" max="13" width="21.296875" style="3" customWidth="1"/>
    <col min="14" max="15" width="11.3984375" style="3" customWidth="1"/>
    <col min="16" max="16" width="10" style="3" customWidth="1"/>
    <col min="17" max="17" width="11" style="3" customWidth="1"/>
    <col min="18" max="28" width="10" style="3" customWidth="1"/>
    <col min="29" max="119" width="6.8984375" style="3" customWidth="1"/>
    <col min="120" max="206" width="6.09765625" style="3" customWidth="1"/>
    <col min="207" max="207" width="6.19921875" style="3" customWidth="1"/>
    <col min="208" max="218" width="6.09765625" style="3" customWidth="1"/>
    <col min="219" max="226" width="7" style="3" customWidth="1"/>
    <col min="227" max="227" width="7.09765625" style="3" customWidth="1"/>
    <col min="228" max="234" width="7" style="3" customWidth="1"/>
    <col min="235" max="16384" width="9.09765625" style="3"/>
  </cols>
  <sheetData>
    <row r="1" spans="1:28" ht="26.25" customHeight="1" x14ac:dyDescent="0.25">
      <c r="A1" s="163" t="s">
        <v>415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54"/>
      <c r="W1" s="54"/>
      <c r="X1" s="54"/>
      <c r="Y1" s="54"/>
      <c r="Z1" s="54"/>
      <c r="AA1" s="54"/>
      <c r="AB1" s="54"/>
    </row>
    <row r="2" spans="1:28" ht="14.25" customHeight="1" x14ac:dyDescent="0.25">
      <c r="A2" s="164"/>
      <c r="B2" s="164"/>
      <c r="C2" s="164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</row>
    <row r="3" spans="1:28" s="46" customFormat="1" ht="24.6" x14ac:dyDescent="0.25">
      <c r="A3" s="61" t="s">
        <v>305</v>
      </c>
      <c r="B3" s="62"/>
      <c r="C3" s="63"/>
      <c r="D3" s="64" t="s">
        <v>419</v>
      </c>
      <c r="E3" s="64" t="s">
        <v>420</v>
      </c>
      <c r="F3" s="64" t="s">
        <v>421</v>
      </c>
      <c r="G3" s="64" t="s">
        <v>422</v>
      </c>
      <c r="H3" s="64" t="s">
        <v>423</v>
      </c>
      <c r="I3" s="64" t="s">
        <v>424</v>
      </c>
      <c r="J3" s="64" t="s">
        <v>425</v>
      </c>
      <c r="K3" s="64" t="s">
        <v>426</v>
      </c>
      <c r="L3" s="64" t="s">
        <v>427</v>
      </c>
      <c r="M3" s="64" t="s">
        <v>428</v>
      </c>
      <c r="N3" s="64" t="s">
        <v>429</v>
      </c>
      <c r="O3" s="64" t="s">
        <v>430</v>
      </c>
      <c r="P3" s="64" t="s">
        <v>431</v>
      </c>
      <c r="Q3" s="64" t="s">
        <v>432</v>
      </c>
      <c r="R3" s="64" t="s">
        <v>433</v>
      </c>
    </row>
    <row r="4" spans="1:28" s="46" customFormat="1" ht="39.75" customHeight="1" x14ac:dyDescent="0.25">
      <c r="A4" s="171"/>
      <c r="B4" s="172"/>
      <c r="C4" s="65" t="str">
        <f>IF(ISBLANK(A4),"",VLOOKUP(A4,tbl_subjPLOs[],2,0))</f>
        <v/>
      </c>
      <c r="D4" s="66" t="str">
        <f t="array" ref="D4:R4">IF(ISBLANK(A4),"",IF(ISBLANK(VLOOKUP(A4,tbl_subjPLOs[],{6,8,10,12,14,16,18,20,22,24,26,28,30,32,34},0)),"",VLOOKUP(A4,tbl_subjPLOs[],{6,8,10,12,14,16,18,20,22,24,26,28,30,32,34},0)))</f>
        <v/>
      </c>
      <c r="E4" s="66" t="str">
        <v/>
      </c>
      <c r="F4" s="66" t="str">
        <v/>
      </c>
      <c r="G4" s="66" t="str">
        <v/>
      </c>
      <c r="H4" s="66" t="str">
        <v/>
      </c>
      <c r="I4" s="66" t="str">
        <v/>
      </c>
      <c r="J4" s="66" t="str">
        <v/>
      </c>
      <c r="K4" s="66" t="str">
        <v/>
      </c>
      <c r="L4" s="66" t="str">
        <v/>
      </c>
      <c r="M4" s="66" t="str">
        <v/>
      </c>
      <c r="N4" s="66" t="str">
        <v/>
      </c>
      <c r="O4" s="66" t="str">
        <v/>
      </c>
      <c r="P4" s="66" t="str">
        <v/>
      </c>
      <c r="Q4" s="66" t="str">
        <v/>
      </c>
      <c r="R4" s="66" t="str">
        <v/>
      </c>
    </row>
    <row r="5" spans="1:28" s="46" customFormat="1" ht="31.8" customHeight="1" x14ac:dyDescent="0.25">
      <c r="B5" s="165" t="s">
        <v>616</v>
      </c>
      <c r="C5" s="166"/>
      <c r="D5" s="66" t="str">
        <f t="array" ref="D5:R5">IF(ISBLANK(A4),"",IF(ISBLANK(VLOOKUP(A4,tbl_subjPLOs[],{7,9,11,13,15,17,19,21,23,25,27,29,31,33,35},0)),"",VLOOKUP(A4,tbl_subjPLOs[],{7,9,11,13,15,17,19,21,23,25,27,29,31,33,35},0)))</f>
        <v/>
      </c>
      <c r="E5" s="66" t="str">
        <v/>
      </c>
      <c r="F5" s="66" t="str">
        <v/>
      </c>
      <c r="G5" s="66" t="str">
        <v/>
      </c>
      <c r="H5" s="66" t="str">
        <v/>
      </c>
      <c r="I5" s="66" t="str">
        <v/>
      </c>
      <c r="J5" s="66" t="str">
        <v/>
      </c>
      <c r="K5" s="66" t="str">
        <v/>
      </c>
      <c r="L5" s="66" t="str">
        <v/>
      </c>
      <c r="M5" s="66" t="str">
        <v/>
      </c>
      <c r="N5" s="66" t="str">
        <v/>
      </c>
      <c r="O5" s="66" t="str">
        <v/>
      </c>
      <c r="P5" s="66" t="str">
        <v/>
      </c>
      <c r="Q5" s="66" t="str">
        <v/>
      </c>
      <c r="R5" s="66" t="str">
        <v/>
      </c>
    </row>
    <row r="6" spans="1:28" s="46" customFormat="1" ht="8.25" customHeight="1" x14ac:dyDescent="0.25">
      <c r="B6" s="62"/>
      <c r="C6" s="63"/>
    </row>
    <row r="7" spans="1:28" s="46" customFormat="1" ht="24.6" x14ac:dyDescent="0.25">
      <c r="A7" s="61" t="s">
        <v>294</v>
      </c>
      <c r="B7" s="62"/>
      <c r="C7" s="63"/>
      <c r="D7" s="61"/>
    </row>
    <row r="8" spans="1:28" s="110" customFormat="1" ht="24.6" x14ac:dyDescent="0.25">
      <c r="A8" s="115"/>
      <c r="B8" s="116"/>
      <c r="C8" s="117"/>
      <c r="D8" s="118" t="s">
        <v>264</v>
      </c>
      <c r="E8" s="118" t="s">
        <v>265</v>
      </c>
      <c r="F8" s="118" t="s">
        <v>266</v>
      </c>
      <c r="G8" s="118" t="s">
        <v>267</v>
      </c>
      <c r="H8" s="118" t="s">
        <v>268</v>
      </c>
      <c r="I8" s="118" t="s">
        <v>269</v>
      </c>
      <c r="J8" s="118" t="s">
        <v>270</v>
      </c>
      <c r="K8" s="118" t="s">
        <v>271</v>
      </c>
      <c r="L8" s="118" t="s">
        <v>272</v>
      </c>
      <c r="M8" s="118" t="s">
        <v>273</v>
      </c>
    </row>
    <row r="9" spans="1:28" s="46" customFormat="1" ht="54" customHeight="1" x14ac:dyDescent="0.25">
      <c r="A9" s="167" t="s">
        <v>254</v>
      </c>
      <c r="B9" s="167" t="s">
        <v>255</v>
      </c>
      <c r="C9" s="132" t="s">
        <v>251</v>
      </c>
      <c r="D9" s="99" t="str">
        <f>IF(ISBLANK(Task1!C1),"",Task1!C1)</f>
        <v/>
      </c>
      <c r="E9" s="99" t="str">
        <f>IF(ISBLANK(Task2!C1),"",Task2!C1)</f>
        <v/>
      </c>
      <c r="F9" s="99" t="str">
        <f>IF(ISBLANK(Task3!C1),"",Task3!C1)</f>
        <v/>
      </c>
      <c r="G9" s="99" t="str">
        <f>IF(ISBLANK(Task4!C1),"",Task4!C1)</f>
        <v/>
      </c>
      <c r="H9" s="99" t="str">
        <f>IF(ISBLANK(Task5!C1),"",Task5!C1)</f>
        <v/>
      </c>
      <c r="I9" s="99" t="str">
        <f>IF(ISBLANK(Task6!C1),"",Task6!C1)</f>
        <v/>
      </c>
      <c r="J9" s="99" t="str">
        <f>IF(ISBLANK(Task7!C1),"",Task7!C1)</f>
        <v/>
      </c>
      <c r="K9" s="99" t="str">
        <f>IF(ISBLANK(Task8!C1),"",Task8!C1)</f>
        <v/>
      </c>
      <c r="L9" s="99" t="str">
        <f>IF(ISBLANK(Task9!C1),"",Task9!C1)</f>
        <v/>
      </c>
      <c r="M9" s="99" t="str">
        <f>IF(ISBLANK(Task10!C1),"",Task10!C1)</f>
        <v/>
      </c>
      <c r="N9" s="133" t="s">
        <v>11</v>
      </c>
      <c r="O9" s="169" t="s">
        <v>253</v>
      </c>
    </row>
    <row r="10" spans="1:28" s="46" customFormat="1" ht="23.25" customHeight="1" x14ac:dyDescent="0.25">
      <c r="A10" s="168"/>
      <c r="B10" s="168"/>
      <c r="C10" s="67" t="s">
        <v>252</v>
      </c>
      <c r="D10" s="91">
        <f>IF(ISBLANK(Task1!E29),"",Task1!E29)</f>
        <v>0</v>
      </c>
      <c r="E10" s="91">
        <f>IF(ISBLANK(Task2!E29),"",Task2!E29)</f>
        <v>0</v>
      </c>
      <c r="F10" s="91">
        <f>IF(ISBLANK(Task3!E29),"",Task3!E29)</f>
        <v>0</v>
      </c>
      <c r="G10" s="91">
        <f>IF(ISBLANK(Task4!E29),"",Task4!E29)</f>
        <v>0</v>
      </c>
      <c r="H10" s="91">
        <f>IF(ISBLANK(Task5!E29),"",Task5!E29)</f>
        <v>0</v>
      </c>
      <c r="I10" s="91">
        <f>IF(ISBLANK(Task6!E29),"",Task6!E29)</f>
        <v>0</v>
      </c>
      <c r="J10" s="91">
        <f>IF(ISBLANK(Task7!E29),"",Task7!E29)</f>
        <v>0</v>
      </c>
      <c r="K10" s="91">
        <f>IF(ISBLANK(Task8!E29),"",Task8!E29)</f>
        <v>0</v>
      </c>
      <c r="L10" s="91">
        <f>IF(ISBLANK(Task9!E29),"",Task9!E29)</f>
        <v>0</v>
      </c>
      <c r="M10" s="91">
        <f>IF(ISBLANK(Task10!E29),"",Task10!E29)</f>
        <v>0</v>
      </c>
      <c r="N10" s="92">
        <f>SUM(D10:M10)</f>
        <v>0</v>
      </c>
      <c r="O10" s="170"/>
      <c r="Q10" s="61" t="s">
        <v>295</v>
      </c>
    </row>
    <row r="11" spans="1:28" s="46" customFormat="1" ht="24.6" hidden="1" x14ac:dyDescent="0.25">
      <c r="A11" s="68" t="s">
        <v>137</v>
      </c>
      <c r="B11" s="69" t="s">
        <v>276</v>
      </c>
      <c r="C11" s="70" t="s">
        <v>277</v>
      </c>
      <c r="D11" s="71" t="s">
        <v>264</v>
      </c>
      <c r="E11" s="71" t="s">
        <v>265</v>
      </c>
      <c r="F11" s="71" t="s">
        <v>266</v>
      </c>
      <c r="G11" s="71" t="s">
        <v>267</v>
      </c>
      <c r="H11" s="71" t="s">
        <v>268</v>
      </c>
      <c r="I11" s="71" t="s">
        <v>269</v>
      </c>
      <c r="J11" s="71" t="s">
        <v>270</v>
      </c>
      <c r="K11" s="71" t="s">
        <v>271</v>
      </c>
      <c r="L11" s="71" t="s">
        <v>272</v>
      </c>
      <c r="M11" s="71" t="s">
        <v>273</v>
      </c>
      <c r="N11" s="72" t="s">
        <v>274</v>
      </c>
      <c r="O11" s="73" t="s">
        <v>275</v>
      </c>
    </row>
    <row r="12" spans="1:28" s="46" customFormat="1" ht="24.6" x14ac:dyDescent="0.25">
      <c r="A12" s="74">
        <v>1</v>
      </c>
      <c r="B12" s="134"/>
      <c r="C12" s="75"/>
      <c r="D12" s="76">
        <f t="shared" ref="D12:D43" si="0">HLOOKUP("S"&amp;A12,Score_task1,12,0)</f>
        <v>0</v>
      </c>
      <c r="E12" s="76">
        <f t="shared" ref="E12:E43" si="1">HLOOKUP("S"&amp;A12,Score_task2,12,0)</f>
        <v>0</v>
      </c>
      <c r="F12" s="76">
        <f t="shared" ref="F12:F43" si="2">HLOOKUP("S"&amp;A12,Score_task3,12,0)</f>
        <v>0</v>
      </c>
      <c r="G12" s="76">
        <f t="shared" ref="G12:G43" si="3">HLOOKUP("S"&amp;A12,Score_task4,12,0)</f>
        <v>0</v>
      </c>
      <c r="H12" s="76">
        <f t="shared" ref="H12:H43" si="4">HLOOKUP("S"&amp;A12,Score_task5,12,0)</f>
        <v>0</v>
      </c>
      <c r="I12" s="76">
        <f t="shared" ref="I12:I43" si="5">HLOOKUP("S"&amp;A12,Score_task6,12,0)</f>
        <v>0</v>
      </c>
      <c r="J12" s="76">
        <f t="shared" ref="J12:J43" si="6">HLOOKUP("S"&amp;A12,Score_task7,12,0)</f>
        <v>0</v>
      </c>
      <c r="K12" s="76">
        <f t="shared" ref="K12:K43" si="7">HLOOKUP("S"&amp;A12,Score_task8,12,0)</f>
        <v>0</v>
      </c>
      <c r="L12" s="76">
        <f t="shared" ref="L12:L43" si="8">HLOOKUP("S"&amp;A12,Score_task9,12,0)</f>
        <v>0</v>
      </c>
      <c r="M12" s="76">
        <f t="shared" ref="M12:M43" si="9">HLOOKUP("S"&amp;A12,Score_task10,12,0)</f>
        <v>0</v>
      </c>
      <c r="N12" s="77">
        <f t="shared" ref="N12:N43" si="10">SUM(D12:M12)</f>
        <v>0</v>
      </c>
      <c r="O12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Q12" s="93" t="s">
        <v>292</v>
      </c>
      <c r="R12" s="94"/>
      <c r="S12" s="77">
        <f>MAX(tbl_grade[Total])</f>
        <v>0</v>
      </c>
    </row>
    <row r="13" spans="1:28" s="46" customFormat="1" ht="24.6" x14ac:dyDescent="0.25">
      <c r="A13" s="74">
        <v>2</v>
      </c>
      <c r="B13" s="134"/>
      <c r="C13" s="75"/>
      <c r="D13" s="76">
        <f t="shared" si="0"/>
        <v>0</v>
      </c>
      <c r="E13" s="76">
        <f t="shared" si="1"/>
        <v>0</v>
      </c>
      <c r="F13" s="76">
        <f t="shared" si="2"/>
        <v>0</v>
      </c>
      <c r="G13" s="76">
        <f t="shared" si="3"/>
        <v>0</v>
      </c>
      <c r="H13" s="76">
        <f t="shared" si="4"/>
        <v>0</v>
      </c>
      <c r="I13" s="76">
        <f t="shared" si="5"/>
        <v>0</v>
      </c>
      <c r="J13" s="76">
        <f t="shared" si="6"/>
        <v>0</v>
      </c>
      <c r="K13" s="76">
        <f t="shared" si="7"/>
        <v>0</v>
      </c>
      <c r="L13" s="76">
        <f t="shared" si="8"/>
        <v>0</v>
      </c>
      <c r="M13" s="76">
        <f t="shared" si="9"/>
        <v>0</v>
      </c>
      <c r="N13" s="77">
        <f t="shared" si="10"/>
        <v>0</v>
      </c>
      <c r="O13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Q13" s="97" t="s">
        <v>618</v>
      </c>
      <c r="R13" s="98"/>
      <c r="S13" s="77">
        <f t="array" ref="S13">MIN(IF(tbl_grade[Total]&gt;0,tbl_grade[Total]))</f>
        <v>0</v>
      </c>
    </row>
    <row r="14" spans="1:28" s="46" customFormat="1" ht="24.6" x14ac:dyDescent="0.25">
      <c r="A14" s="74">
        <v>3</v>
      </c>
      <c r="B14" s="134"/>
      <c r="C14" s="75"/>
      <c r="D14" s="76">
        <f t="shared" si="0"/>
        <v>0</v>
      </c>
      <c r="E14" s="76">
        <f t="shared" si="1"/>
        <v>0</v>
      </c>
      <c r="F14" s="76">
        <f t="shared" si="2"/>
        <v>0</v>
      </c>
      <c r="G14" s="76">
        <f t="shared" si="3"/>
        <v>0</v>
      </c>
      <c r="H14" s="76">
        <f t="shared" si="4"/>
        <v>0</v>
      </c>
      <c r="I14" s="76">
        <f t="shared" si="5"/>
        <v>0</v>
      </c>
      <c r="J14" s="76">
        <f t="shared" si="6"/>
        <v>0</v>
      </c>
      <c r="K14" s="76">
        <f t="shared" si="7"/>
        <v>0</v>
      </c>
      <c r="L14" s="76">
        <f t="shared" si="8"/>
        <v>0</v>
      </c>
      <c r="M14" s="76">
        <f t="shared" si="9"/>
        <v>0</v>
      </c>
      <c r="N14" s="77">
        <f t="shared" si="10"/>
        <v>0</v>
      </c>
      <c r="O14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Q14" s="95" t="s">
        <v>293</v>
      </c>
      <c r="R14" s="96"/>
      <c r="S14" s="77" t="str">
        <f>IFERROR(AVERAGEIF(tbl_grade[Total],"&lt;&gt;0"),"")</f>
        <v/>
      </c>
      <c r="T14" s="85"/>
    </row>
    <row r="15" spans="1:28" s="46" customFormat="1" ht="24.6" x14ac:dyDescent="0.25">
      <c r="A15" s="74">
        <v>4</v>
      </c>
      <c r="B15" s="134"/>
      <c r="C15" s="75"/>
      <c r="D15" s="76">
        <f t="shared" si="0"/>
        <v>0</v>
      </c>
      <c r="E15" s="76">
        <f t="shared" si="1"/>
        <v>0</v>
      </c>
      <c r="F15" s="76">
        <f t="shared" si="2"/>
        <v>0</v>
      </c>
      <c r="G15" s="76">
        <f t="shared" si="3"/>
        <v>0</v>
      </c>
      <c r="H15" s="76">
        <f t="shared" si="4"/>
        <v>0</v>
      </c>
      <c r="I15" s="76">
        <f t="shared" si="5"/>
        <v>0</v>
      </c>
      <c r="J15" s="76">
        <f t="shared" si="6"/>
        <v>0</v>
      </c>
      <c r="K15" s="76">
        <f t="shared" si="7"/>
        <v>0</v>
      </c>
      <c r="L15" s="76">
        <f t="shared" si="8"/>
        <v>0</v>
      </c>
      <c r="M15" s="76">
        <f t="shared" si="9"/>
        <v>0</v>
      </c>
      <c r="N15" s="77">
        <f t="shared" si="10"/>
        <v>0</v>
      </c>
      <c r="O15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6" spans="1:28" s="46" customFormat="1" ht="24.6" x14ac:dyDescent="0.25">
      <c r="A16" s="74">
        <v>5</v>
      </c>
      <c r="B16" s="134"/>
      <c r="C16" s="75"/>
      <c r="D16" s="76">
        <f t="shared" si="0"/>
        <v>0</v>
      </c>
      <c r="E16" s="76">
        <f t="shared" si="1"/>
        <v>0</v>
      </c>
      <c r="F16" s="76">
        <f t="shared" si="2"/>
        <v>0</v>
      </c>
      <c r="G16" s="76">
        <f t="shared" si="3"/>
        <v>0</v>
      </c>
      <c r="H16" s="76">
        <f t="shared" si="4"/>
        <v>0</v>
      </c>
      <c r="I16" s="76">
        <f t="shared" si="5"/>
        <v>0</v>
      </c>
      <c r="J16" s="76">
        <f t="shared" si="6"/>
        <v>0</v>
      </c>
      <c r="K16" s="76">
        <f t="shared" si="7"/>
        <v>0</v>
      </c>
      <c r="L16" s="76">
        <f t="shared" si="8"/>
        <v>0</v>
      </c>
      <c r="M16" s="76">
        <f t="shared" si="9"/>
        <v>0</v>
      </c>
      <c r="N16" s="77">
        <f t="shared" si="10"/>
        <v>0</v>
      </c>
      <c r="O16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Q16" s="57" t="s">
        <v>256</v>
      </c>
      <c r="R16" s="48">
        <v>80</v>
      </c>
      <c r="S16" s="51" t="s">
        <v>278</v>
      </c>
      <c r="T16" s="87">
        <f>COUNTIF(tbl_grade[Grade],Q16)</f>
        <v>0</v>
      </c>
      <c r="U16" s="89" t="str">
        <f>IF(($T$24=0),"",(T16/$T$24)*100)</f>
        <v/>
      </c>
    </row>
    <row r="17" spans="1:21" s="46" customFormat="1" ht="24.6" x14ac:dyDescent="0.25">
      <c r="A17" s="74">
        <v>6</v>
      </c>
      <c r="B17" s="134"/>
      <c r="C17" s="75"/>
      <c r="D17" s="76">
        <f t="shared" si="0"/>
        <v>0</v>
      </c>
      <c r="E17" s="76">
        <f t="shared" si="1"/>
        <v>0</v>
      </c>
      <c r="F17" s="76">
        <f t="shared" si="2"/>
        <v>0</v>
      </c>
      <c r="G17" s="76">
        <f t="shared" si="3"/>
        <v>0</v>
      </c>
      <c r="H17" s="76">
        <f t="shared" si="4"/>
        <v>0</v>
      </c>
      <c r="I17" s="76">
        <f t="shared" si="5"/>
        <v>0</v>
      </c>
      <c r="J17" s="76">
        <f t="shared" si="6"/>
        <v>0</v>
      </c>
      <c r="K17" s="76">
        <f t="shared" si="7"/>
        <v>0</v>
      </c>
      <c r="L17" s="76">
        <f t="shared" si="8"/>
        <v>0</v>
      </c>
      <c r="M17" s="76">
        <f t="shared" si="9"/>
        <v>0</v>
      </c>
      <c r="N17" s="77">
        <f t="shared" si="10"/>
        <v>0</v>
      </c>
      <c r="O17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Q17" s="58" t="s">
        <v>257</v>
      </c>
      <c r="R17" s="49">
        <v>75</v>
      </c>
      <c r="S17" s="52" t="s">
        <v>280</v>
      </c>
      <c r="T17" s="87">
        <f>COUNTIF(tbl_grade[Grade],Q17)</f>
        <v>0</v>
      </c>
      <c r="U17" s="89" t="str">
        <f t="shared" ref="U17:U23" si="11">IF(($T$24=0),"",(T17/$T$24)*100)</f>
        <v/>
      </c>
    </row>
    <row r="18" spans="1:21" s="46" customFormat="1" ht="24.6" x14ac:dyDescent="0.25">
      <c r="A18" s="74">
        <v>7</v>
      </c>
      <c r="B18" s="134"/>
      <c r="C18" s="75"/>
      <c r="D18" s="76">
        <f t="shared" si="0"/>
        <v>0</v>
      </c>
      <c r="E18" s="76">
        <f t="shared" si="1"/>
        <v>0</v>
      </c>
      <c r="F18" s="76">
        <f t="shared" si="2"/>
        <v>0</v>
      </c>
      <c r="G18" s="76">
        <f t="shared" si="3"/>
        <v>0</v>
      </c>
      <c r="H18" s="76">
        <f t="shared" si="4"/>
        <v>0</v>
      </c>
      <c r="I18" s="76">
        <f t="shared" si="5"/>
        <v>0</v>
      </c>
      <c r="J18" s="76">
        <f t="shared" si="6"/>
        <v>0</v>
      </c>
      <c r="K18" s="76">
        <f t="shared" si="7"/>
        <v>0</v>
      </c>
      <c r="L18" s="76">
        <f t="shared" si="8"/>
        <v>0</v>
      </c>
      <c r="M18" s="76">
        <f t="shared" si="9"/>
        <v>0</v>
      </c>
      <c r="N18" s="77">
        <f t="shared" si="10"/>
        <v>0</v>
      </c>
      <c r="O18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Q18" s="58" t="s">
        <v>258</v>
      </c>
      <c r="R18" s="49">
        <v>70</v>
      </c>
      <c r="S18" s="52" t="s">
        <v>281</v>
      </c>
      <c r="T18" s="87">
        <f>COUNTIF(tbl_grade[Grade],Q18)</f>
        <v>0</v>
      </c>
      <c r="U18" s="89" t="str">
        <f t="shared" si="11"/>
        <v/>
      </c>
    </row>
    <row r="19" spans="1:21" s="46" customFormat="1" ht="24.6" x14ac:dyDescent="0.25">
      <c r="A19" s="74">
        <v>8</v>
      </c>
      <c r="B19" s="134"/>
      <c r="C19" s="75"/>
      <c r="D19" s="76">
        <f t="shared" si="0"/>
        <v>0</v>
      </c>
      <c r="E19" s="76">
        <f t="shared" si="1"/>
        <v>0</v>
      </c>
      <c r="F19" s="76">
        <f t="shared" si="2"/>
        <v>0</v>
      </c>
      <c r="G19" s="76">
        <f t="shared" si="3"/>
        <v>0</v>
      </c>
      <c r="H19" s="76">
        <f t="shared" si="4"/>
        <v>0</v>
      </c>
      <c r="I19" s="76">
        <f t="shared" si="5"/>
        <v>0</v>
      </c>
      <c r="J19" s="76">
        <f t="shared" si="6"/>
        <v>0</v>
      </c>
      <c r="K19" s="76">
        <f t="shared" si="7"/>
        <v>0</v>
      </c>
      <c r="L19" s="76">
        <f t="shared" si="8"/>
        <v>0</v>
      </c>
      <c r="M19" s="76">
        <f t="shared" si="9"/>
        <v>0</v>
      </c>
      <c r="N19" s="77">
        <f t="shared" si="10"/>
        <v>0</v>
      </c>
      <c r="O19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Q19" s="58" t="s">
        <v>259</v>
      </c>
      <c r="R19" s="49">
        <v>65</v>
      </c>
      <c r="S19" s="52" t="s">
        <v>282</v>
      </c>
      <c r="T19" s="87">
        <f>COUNTIF(tbl_grade[Grade],Q19)</f>
        <v>0</v>
      </c>
      <c r="U19" s="89" t="str">
        <f t="shared" si="11"/>
        <v/>
      </c>
    </row>
    <row r="20" spans="1:21" s="46" customFormat="1" ht="24.6" x14ac:dyDescent="0.25">
      <c r="A20" s="74">
        <v>9</v>
      </c>
      <c r="B20" s="134"/>
      <c r="C20" s="75"/>
      <c r="D20" s="76">
        <f t="shared" si="0"/>
        <v>0</v>
      </c>
      <c r="E20" s="76">
        <f t="shared" si="1"/>
        <v>0</v>
      </c>
      <c r="F20" s="76">
        <f t="shared" si="2"/>
        <v>0</v>
      </c>
      <c r="G20" s="76">
        <f t="shared" si="3"/>
        <v>0</v>
      </c>
      <c r="H20" s="76">
        <f t="shared" si="4"/>
        <v>0</v>
      </c>
      <c r="I20" s="76">
        <f t="shared" si="5"/>
        <v>0</v>
      </c>
      <c r="J20" s="76">
        <f t="shared" si="6"/>
        <v>0</v>
      </c>
      <c r="K20" s="76">
        <f t="shared" si="7"/>
        <v>0</v>
      </c>
      <c r="L20" s="76">
        <f t="shared" si="8"/>
        <v>0</v>
      </c>
      <c r="M20" s="76">
        <f t="shared" si="9"/>
        <v>0</v>
      </c>
      <c r="N20" s="77">
        <f t="shared" si="10"/>
        <v>0</v>
      </c>
      <c r="O20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Q20" s="58" t="s">
        <v>260</v>
      </c>
      <c r="R20" s="49">
        <v>60</v>
      </c>
      <c r="S20" s="52" t="s">
        <v>285</v>
      </c>
      <c r="T20" s="87">
        <f>COUNTIF(tbl_grade[Grade],Q20)</f>
        <v>0</v>
      </c>
      <c r="U20" s="89" t="str">
        <f t="shared" si="11"/>
        <v/>
      </c>
    </row>
    <row r="21" spans="1:21" s="46" customFormat="1" ht="24.6" x14ac:dyDescent="0.25">
      <c r="A21" s="74">
        <v>10</v>
      </c>
      <c r="B21" s="134"/>
      <c r="C21" s="75"/>
      <c r="D21" s="76">
        <f t="shared" si="0"/>
        <v>0</v>
      </c>
      <c r="E21" s="76">
        <f t="shared" si="1"/>
        <v>0</v>
      </c>
      <c r="F21" s="76">
        <f t="shared" si="2"/>
        <v>0</v>
      </c>
      <c r="G21" s="76">
        <f t="shared" si="3"/>
        <v>0</v>
      </c>
      <c r="H21" s="76">
        <f t="shared" si="4"/>
        <v>0</v>
      </c>
      <c r="I21" s="76">
        <f t="shared" si="5"/>
        <v>0</v>
      </c>
      <c r="J21" s="76">
        <f t="shared" si="6"/>
        <v>0</v>
      </c>
      <c r="K21" s="76">
        <f t="shared" si="7"/>
        <v>0</v>
      </c>
      <c r="L21" s="76">
        <f t="shared" si="8"/>
        <v>0</v>
      </c>
      <c r="M21" s="76">
        <f t="shared" si="9"/>
        <v>0</v>
      </c>
      <c r="N21" s="77">
        <f t="shared" si="10"/>
        <v>0</v>
      </c>
      <c r="O21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Q21" s="58" t="s">
        <v>261</v>
      </c>
      <c r="R21" s="49">
        <v>55</v>
      </c>
      <c r="S21" s="52" t="s">
        <v>283</v>
      </c>
      <c r="T21" s="87">
        <f>COUNTIF(tbl_grade[Grade],Q21)</f>
        <v>0</v>
      </c>
      <c r="U21" s="89" t="str">
        <f t="shared" si="11"/>
        <v/>
      </c>
    </row>
    <row r="22" spans="1:21" s="46" customFormat="1" ht="24.6" x14ac:dyDescent="0.25">
      <c r="A22" s="74">
        <v>11</v>
      </c>
      <c r="B22" s="79"/>
      <c r="C22" s="75"/>
      <c r="D22" s="76">
        <f t="shared" si="0"/>
        <v>0</v>
      </c>
      <c r="E22" s="76">
        <f t="shared" si="1"/>
        <v>0</v>
      </c>
      <c r="F22" s="76">
        <f t="shared" si="2"/>
        <v>0</v>
      </c>
      <c r="G22" s="76">
        <f t="shared" si="3"/>
        <v>0</v>
      </c>
      <c r="H22" s="76">
        <f t="shared" si="4"/>
        <v>0</v>
      </c>
      <c r="I22" s="76">
        <f t="shared" si="5"/>
        <v>0</v>
      </c>
      <c r="J22" s="76">
        <f t="shared" si="6"/>
        <v>0</v>
      </c>
      <c r="K22" s="76">
        <f t="shared" si="7"/>
        <v>0</v>
      </c>
      <c r="L22" s="76">
        <f t="shared" si="8"/>
        <v>0</v>
      </c>
      <c r="M22" s="76">
        <f t="shared" si="9"/>
        <v>0</v>
      </c>
      <c r="N22" s="77">
        <f t="shared" si="10"/>
        <v>0</v>
      </c>
      <c r="O22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Q22" s="58" t="s">
        <v>262</v>
      </c>
      <c r="R22" s="49">
        <v>50</v>
      </c>
      <c r="S22" s="52" t="s">
        <v>284</v>
      </c>
      <c r="T22" s="87">
        <f>COUNTIF(tbl_grade[Grade],Q22)</f>
        <v>0</v>
      </c>
      <c r="U22" s="89" t="str">
        <f t="shared" si="11"/>
        <v/>
      </c>
    </row>
    <row r="23" spans="1:21" s="46" customFormat="1" ht="24.6" x14ac:dyDescent="0.25">
      <c r="A23" s="74">
        <v>12</v>
      </c>
      <c r="B23" s="79"/>
      <c r="C23" s="75"/>
      <c r="D23" s="76">
        <f t="shared" si="0"/>
        <v>0</v>
      </c>
      <c r="E23" s="76">
        <f t="shared" si="1"/>
        <v>0</v>
      </c>
      <c r="F23" s="76">
        <f t="shared" si="2"/>
        <v>0</v>
      </c>
      <c r="G23" s="76">
        <f t="shared" si="3"/>
        <v>0</v>
      </c>
      <c r="H23" s="76">
        <f t="shared" si="4"/>
        <v>0</v>
      </c>
      <c r="I23" s="76">
        <f t="shared" si="5"/>
        <v>0</v>
      </c>
      <c r="J23" s="76">
        <f t="shared" si="6"/>
        <v>0</v>
      </c>
      <c r="K23" s="76">
        <f t="shared" si="7"/>
        <v>0</v>
      </c>
      <c r="L23" s="76">
        <f t="shared" si="8"/>
        <v>0</v>
      </c>
      <c r="M23" s="76">
        <f t="shared" si="9"/>
        <v>0</v>
      </c>
      <c r="N23" s="77">
        <f t="shared" si="10"/>
        <v>0</v>
      </c>
      <c r="O23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Q23" s="59" t="s">
        <v>263</v>
      </c>
      <c r="R23" s="50">
        <v>0</v>
      </c>
      <c r="S23" s="53" t="s">
        <v>279</v>
      </c>
      <c r="T23" s="87">
        <f>COUNTIF(tbl_grade[Grade],Q23)</f>
        <v>0</v>
      </c>
      <c r="U23" s="89" t="str">
        <f t="shared" si="11"/>
        <v/>
      </c>
    </row>
    <row r="24" spans="1:21" s="46" customFormat="1" ht="25.2" thickBot="1" x14ac:dyDescent="0.3">
      <c r="A24" s="74">
        <v>13</v>
      </c>
      <c r="B24" s="79"/>
      <c r="C24" s="75"/>
      <c r="D24" s="76">
        <f t="shared" si="0"/>
        <v>0</v>
      </c>
      <c r="E24" s="76">
        <f t="shared" si="1"/>
        <v>0</v>
      </c>
      <c r="F24" s="76">
        <f t="shared" si="2"/>
        <v>0</v>
      </c>
      <c r="G24" s="76">
        <f t="shared" si="3"/>
        <v>0</v>
      </c>
      <c r="H24" s="76">
        <f t="shared" si="4"/>
        <v>0</v>
      </c>
      <c r="I24" s="76">
        <f t="shared" si="5"/>
        <v>0</v>
      </c>
      <c r="J24" s="76">
        <f t="shared" si="6"/>
        <v>0</v>
      </c>
      <c r="K24" s="76">
        <f t="shared" si="7"/>
        <v>0</v>
      </c>
      <c r="L24" s="76">
        <f t="shared" si="8"/>
        <v>0</v>
      </c>
      <c r="M24" s="76">
        <f t="shared" si="9"/>
        <v>0</v>
      </c>
      <c r="N24" s="77">
        <f t="shared" si="10"/>
        <v>0</v>
      </c>
      <c r="O24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  <c r="T24" s="88">
        <f>SUM(T16:T23)</f>
        <v>0</v>
      </c>
      <c r="U24" s="90">
        <f>SUM(U16:U23)</f>
        <v>0</v>
      </c>
    </row>
    <row r="25" spans="1:21" s="46" customFormat="1" ht="24.6" x14ac:dyDescent="0.25">
      <c r="A25" s="74">
        <v>14</v>
      </c>
      <c r="B25" s="79"/>
      <c r="C25" s="75"/>
      <c r="D25" s="76">
        <f t="shared" si="0"/>
        <v>0</v>
      </c>
      <c r="E25" s="76">
        <f t="shared" si="1"/>
        <v>0</v>
      </c>
      <c r="F25" s="76">
        <f t="shared" si="2"/>
        <v>0</v>
      </c>
      <c r="G25" s="76">
        <f t="shared" si="3"/>
        <v>0</v>
      </c>
      <c r="H25" s="76">
        <f t="shared" si="4"/>
        <v>0</v>
      </c>
      <c r="I25" s="76">
        <f t="shared" si="5"/>
        <v>0</v>
      </c>
      <c r="J25" s="76">
        <f t="shared" si="6"/>
        <v>0</v>
      </c>
      <c r="K25" s="76">
        <f t="shared" si="7"/>
        <v>0</v>
      </c>
      <c r="L25" s="76">
        <f t="shared" si="8"/>
        <v>0</v>
      </c>
      <c r="M25" s="76">
        <f t="shared" si="9"/>
        <v>0</v>
      </c>
      <c r="N25" s="77">
        <f t="shared" si="10"/>
        <v>0</v>
      </c>
      <c r="O25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26" spans="1:21" s="46" customFormat="1" ht="24.6" x14ac:dyDescent="0.25">
      <c r="A26" s="74">
        <v>15</v>
      </c>
      <c r="B26" s="79"/>
      <c r="C26" s="75"/>
      <c r="D26" s="76">
        <f t="shared" si="0"/>
        <v>0</v>
      </c>
      <c r="E26" s="76">
        <f t="shared" si="1"/>
        <v>0</v>
      </c>
      <c r="F26" s="76">
        <f t="shared" si="2"/>
        <v>0</v>
      </c>
      <c r="G26" s="76">
        <f t="shared" si="3"/>
        <v>0</v>
      </c>
      <c r="H26" s="76">
        <f t="shared" si="4"/>
        <v>0</v>
      </c>
      <c r="I26" s="76">
        <f t="shared" si="5"/>
        <v>0</v>
      </c>
      <c r="J26" s="76">
        <f t="shared" si="6"/>
        <v>0</v>
      </c>
      <c r="K26" s="76">
        <f t="shared" si="7"/>
        <v>0</v>
      </c>
      <c r="L26" s="76">
        <f t="shared" si="8"/>
        <v>0</v>
      </c>
      <c r="M26" s="76">
        <f t="shared" si="9"/>
        <v>0</v>
      </c>
      <c r="N26" s="77">
        <f t="shared" si="10"/>
        <v>0</v>
      </c>
      <c r="O26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27" spans="1:21" s="46" customFormat="1" ht="24.6" x14ac:dyDescent="0.25">
      <c r="A27" s="74">
        <v>16</v>
      </c>
      <c r="B27" s="79"/>
      <c r="C27" s="75"/>
      <c r="D27" s="76">
        <f t="shared" si="0"/>
        <v>0</v>
      </c>
      <c r="E27" s="76">
        <f t="shared" si="1"/>
        <v>0</v>
      </c>
      <c r="F27" s="76">
        <f t="shared" si="2"/>
        <v>0</v>
      </c>
      <c r="G27" s="76">
        <f t="shared" si="3"/>
        <v>0</v>
      </c>
      <c r="H27" s="76">
        <f t="shared" si="4"/>
        <v>0</v>
      </c>
      <c r="I27" s="76">
        <f t="shared" si="5"/>
        <v>0</v>
      </c>
      <c r="J27" s="76">
        <f t="shared" si="6"/>
        <v>0</v>
      </c>
      <c r="K27" s="76">
        <f t="shared" si="7"/>
        <v>0</v>
      </c>
      <c r="L27" s="76">
        <f t="shared" si="8"/>
        <v>0</v>
      </c>
      <c r="M27" s="76">
        <f t="shared" si="9"/>
        <v>0</v>
      </c>
      <c r="N27" s="77">
        <f t="shared" si="10"/>
        <v>0</v>
      </c>
      <c r="O27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28" spans="1:21" s="46" customFormat="1" ht="24.6" x14ac:dyDescent="0.25">
      <c r="A28" s="74">
        <v>17</v>
      </c>
      <c r="B28" s="79"/>
      <c r="C28" s="75"/>
      <c r="D28" s="76">
        <f t="shared" si="0"/>
        <v>0</v>
      </c>
      <c r="E28" s="76">
        <f t="shared" si="1"/>
        <v>0</v>
      </c>
      <c r="F28" s="76">
        <f t="shared" si="2"/>
        <v>0</v>
      </c>
      <c r="G28" s="76">
        <f t="shared" si="3"/>
        <v>0</v>
      </c>
      <c r="H28" s="76">
        <f t="shared" si="4"/>
        <v>0</v>
      </c>
      <c r="I28" s="76">
        <f t="shared" si="5"/>
        <v>0</v>
      </c>
      <c r="J28" s="76">
        <f t="shared" si="6"/>
        <v>0</v>
      </c>
      <c r="K28" s="76">
        <f t="shared" si="7"/>
        <v>0</v>
      </c>
      <c r="L28" s="76">
        <f t="shared" si="8"/>
        <v>0</v>
      </c>
      <c r="M28" s="76">
        <f t="shared" si="9"/>
        <v>0</v>
      </c>
      <c r="N28" s="77">
        <f t="shared" si="10"/>
        <v>0</v>
      </c>
      <c r="O28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29" spans="1:21" s="46" customFormat="1" ht="24.6" x14ac:dyDescent="0.25">
      <c r="A29" s="74">
        <v>18</v>
      </c>
      <c r="B29" s="79"/>
      <c r="C29" s="75"/>
      <c r="D29" s="76">
        <f t="shared" si="0"/>
        <v>0</v>
      </c>
      <c r="E29" s="76">
        <f t="shared" si="1"/>
        <v>0</v>
      </c>
      <c r="F29" s="76">
        <f t="shared" si="2"/>
        <v>0</v>
      </c>
      <c r="G29" s="76">
        <f t="shared" si="3"/>
        <v>0</v>
      </c>
      <c r="H29" s="76">
        <f t="shared" si="4"/>
        <v>0</v>
      </c>
      <c r="I29" s="76">
        <f t="shared" si="5"/>
        <v>0</v>
      </c>
      <c r="J29" s="76">
        <f t="shared" si="6"/>
        <v>0</v>
      </c>
      <c r="K29" s="76">
        <f t="shared" si="7"/>
        <v>0</v>
      </c>
      <c r="L29" s="76">
        <f t="shared" si="8"/>
        <v>0</v>
      </c>
      <c r="M29" s="76">
        <f t="shared" si="9"/>
        <v>0</v>
      </c>
      <c r="N29" s="77">
        <f t="shared" si="10"/>
        <v>0</v>
      </c>
      <c r="O29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30" spans="1:21" s="46" customFormat="1" ht="24.6" x14ac:dyDescent="0.25">
      <c r="A30" s="74">
        <v>19</v>
      </c>
      <c r="B30" s="79"/>
      <c r="C30" s="75"/>
      <c r="D30" s="76">
        <f t="shared" si="0"/>
        <v>0</v>
      </c>
      <c r="E30" s="76">
        <f t="shared" si="1"/>
        <v>0</v>
      </c>
      <c r="F30" s="76">
        <f t="shared" si="2"/>
        <v>0</v>
      </c>
      <c r="G30" s="76">
        <f t="shared" si="3"/>
        <v>0</v>
      </c>
      <c r="H30" s="76">
        <f t="shared" si="4"/>
        <v>0</v>
      </c>
      <c r="I30" s="76">
        <f t="shared" si="5"/>
        <v>0</v>
      </c>
      <c r="J30" s="76">
        <f t="shared" si="6"/>
        <v>0</v>
      </c>
      <c r="K30" s="76">
        <f t="shared" si="7"/>
        <v>0</v>
      </c>
      <c r="L30" s="76">
        <f t="shared" si="8"/>
        <v>0</v>
      </c>
      <c r="M30" s="76">
        <f t="shared" si="9"/>
        <v>0</v>
      </c>
      <c r="N30" s="77">
        <f t="shared" si="10"/>
        <v>0</v>
      </c>
      <c r="O30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31" spans="1:21" s="46" customFormat="1" ht="24.6" x14ac:dyDescent="0.25">
      <c r="A31" s="74">
        <v>20</v>
      </c>
      <c r="B31" s="79"/>
      <c r="C31" s="75"/>
      <c r="D31" s="76">
        <f t="shared" si="0"/>
        <v>0</v>
      </c>
      <c r="E31" s="76">
        <f t="shared" si="1"/>
        <v>0</v>
      </c>
      <c r="F31" s="76">
        <f t="shared" si="2"/>
        <v>0</v>
      </c>
      <c r="G31" s="76">
        <f t="shared" si="3"/>
        <v>0</v>
      </c>
      <c r="H31" s="76">
        <f t="shared" si="4"/>
        <v>0</v>
      </c>
      <c r="I31" s="76">
        <f t="shared" si="5"/>
        <v>0</v>
      </c>
      <c r="J31" s="76">
        <f t="shared" si="6"/>
        <v>0</v>
      </c>
      <c r="K31" s="76">
        <f t="shared" si="7"/>
        <v>0</v>
      </c>
      <c r="L31" s="76">
        <f t="shared" si="8"/>
        <v>0</v>
      </c>
      <c r="M31" s="76">
        <f t="shared" si="9"/>
        <v>0</v>
      </c>
      <c r="N31" s="77">
        <f t="shared" si="10"/>
        <v>0</v>
      </c>
      <c r="O31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32" spans="1:21" s="46" customFormat="1" ht="24.6" x14ac:dyDescent="0.25">
      <c r="A32" s="74">
        <v>21</v>
      </c>
      <c r="B32" s="79"/>
      <c r="C32" s="75"/>
      <c r="D32" s="76">
        <f t="shared" si="0"/>
        <v>0</v>
      </c>
      <c r="E32" s="76">
        <f t="shared" si="1"/>
        <v>0</v>
      </c>
      <c r="F32" s="76">
        <f t="shared" si="2"/>
        <v>0</v>
      </c>
      <c r="G32" s="76">
        <f t="shared" si="3"/>
        <v>0</v>
      </c>
      <c r="H32" s="76">
        <f t="shared" si="4"/>
        <v>0</v>
      </c>
      <c r="I32" s="76">
        <f t="shared" si="5"/>
        <v>0</v>
      </c>
      <c r="J32" s="76">
        <f t="shared" si="6"/>
        <v>0</v>
      </c>
      <c r="K32" s="76">
        <f t="shared" si="7"/>
        <v>0</v>
      </c>
      <c r="L32" s="76">
        <f t="shared" si="8"/>
        <v>0</v>
      </c>
      <c r="M32" s="76">
        <f t="shared" si="9"/>
        <v>0</v>
      </c>
      <c r="N32" s="77">
        <f t="shared" si="10"/>
        <v>0</v>
      </c>
      <c r="O32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33" spans="1:15" s="46" customFormat="1" ht="24.6" x14ac:dyDescent="0.25">
      <c r="A33" s="74">
        <v>22</v>
      </c>
      <c r="B33" s="79"/>
      <c r="C33" s="75"/>
      <c r="D33" s="76">
        <f t="shared" si="0"/>
        <v>0</v>
      </c>
      <c r="E33" s="76">
        <f t="shared" si="1"/>
        <v>0</v>
      </c>
      <c r="F33" s="76">
        <f t="shared" si="2"/>
        <v>0</v>
      </c>
      <c r="G33" s="76">
        <f t="shared" si="3"/>
        <v>0</v>
      </c>
      <c r="H33" s="76">
        <f t="shared" si="4"/>
        <v>0</v>
      </c>
      <c r="I33" s="76">
        <f t="shared" si="5"/>
        <v>0</v>
      </c>
      <c r="J33" s="76">
        <f t="shared" si="6"/>
        <v>0</v>
      </c>
      <c r="K33" s="76">
        <f t="shared" si="7"/>
        <v>0</v>
      </c>
      <c r="L33" s="76">
        <f t="shared" si="8"/>
        <v>0</v>
      </c>
      <c r="M33" s="76">
        <f t="shared" si="9"/>
        <v>0</v>
      </c>
      <c r="N33" s="77">
        <f t="shared" si="10"/>
        <v>0</v>
      </c>
      <c r="O33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34" spans="1:15" s="46" customFormat="1" ht="24.6" x14ac:dyDescent="0.25">
      <c r="A34" s="74">
        <v>23</v>
      </c>
      <c r="B34" s="79"/>
      <c r="C34" s="75"/>
      <c r="D34" s="76">
        <f t="shared" si="0"/>
        <v>0</v>
      </c>
      <c r="E34" s="76">
        <f t="shared" si="1"/>
        <v>0</v>
      </c>
      <c r="F34" s="76">
        <f t="shared" si="2"/>
        <v>0</v>
      </c>
      <c r="G34" s="76">
        <f t="shared" si="3"/>
        <v>0</v>
      </c>
      <c r="H34" s="76">
        <f t="shared" si="4"/>
        <v>0</v>
      </c>
      <c r="I34" s="76">
        <f t="shared" si="5"/>
        <v>0</v>
      </c>
      <c r="J34" s="76">
        <f t="shared" si="6"/>
        <v>0</v>
      </c>
      <c r="K34" s="76">
        <f t="shared" si="7"/>
        <v>0</v>
      </c>
      <c r="L34" s="76">
        <f t="shared" si="8"/>
        <v>0</v>
      </c>
      <c r="M34" s="76">
        <f t="shared" si="9"/>
        <v>0</v>
      </c>
      <c r="N34" s="77">
        <f t="shared" si="10"/>
        <v>0</v>
      </c>
      <c r="O34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35" spans="1:15" s="46" customFormat="1" ht="24.6" x14ac:dyDescent="0.25">
      <c r="A35" s="74">
        <v>24</v>
      </c>
      <c r="B35" s="79"/>
      <c r="C35" s="75"/>
      <c r="D35" s="76">
        <f t="shared" si="0"/>
        <v>0</v>
      </c>
      <c r="E35" s="76">
        <f t="shared" si="1"/>
        <v>0</v>
      </c>
      <c r="F35" s="76">
        <f t="shared" si="2"/>
        <v>0</v>
      </c>
      <c r="G35" s="76">
        <f t="shared" si="3"/>
        <v>0</v>
      </c>
      <c r="H35" s="76">
        <f t="shared" si="4"/>
        <v>0</v>
      </c>
      <c r="I35" s="76">
        <f t="shared" si="5"/>
        <v>0</v>
      </c>
      <c r="J35" s="76">
        <f t="shared" si="6"/>
        <v>0</v>
      </c>
      <c r="K35" s="76">
        <f t="shared" si="7"/>
        <v>0</v>
      </c>
      <c r="L35" s="76">
        <f t="shared" si="8"/>
        <v>0</v>
      </c>
      <c r="M35" s="76">
        <f t="shared" si="9"/>
        <v>0</v>
      </c>
      <c r="N35" s="77">
        <f t="shared" si="10"/>
        <v>0</v>
      </c>
      <c r="O35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36" spans="1:15" s="46" customFormat="1" ht="24.6" x14ac:dyDescent="0.25">
      <c r="A36" s="74">
        <v>25</v>
      </c>
      <c r="B36" s="79"/>
      <c r="C36" s="75"/>
      <c r="D36" s="76">
        <f t="shared" si="0"/>
        <v>0</v>
      </c>
      <c r="E36" s="76">
        <f t="shared" si="1"/>
        <v>0</v>
      </c>
      <c r="F36" s="76">
        <f t="shared" si="2"/>
        <v>0</v>
      </c>
      <c r="G36" s="76">
        <f t="shared" si="3"/>
        <v>0</v>
      </c>
      <c r="H36" s="76">
        <f t="shared" si="4"/>
        <v>0</v>
      </c>
      <c r="I36" s="76">
        <f t="shared" si="5"/>
        <v>0</v>
      </c>
      <c r="J36" s="76">
        <f t="shared" si="6"/>
        <v>0</v>
      </c>
      <c r="K36" s="76">
        <f t="shared" si="7"/>
        <v>0</v>
      </c>
      <c r="L36" s="76">
        <f t="shared" si="8"/>
        <v>0</v>
      </c>
      <c r="M36" s="76">
        <f t="shared" si="9"/>
        <v>0</v>
      </c>
      <c r="N36" s="77">
        <f t="shared" si="10"/>
        <v>0</v>
      </c>
      <c r="O36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37" spans="1:15" s="46" customFormat="1" ht="24.6" x14ac:dyDescent="0.25">
      <c r="A37" s="74">
        <v>26</v>
      </c>
      <c r="B37" s="79"/>
      <c r="C37" s="75"/>
      <c r="D37" s="76">
        <f t="shared" si="0"/>
        <v>0</v>
      </c>
      <c r="E37" s="76">
        <f t="shared" si="1"/>
        <v>0</v>
      </c>
      <c r="F37" s="76">
        <f t="shared" si="2"/>
        <v>0</v>
      </c>
      <c r="G37" s="76">
        <f t="shared" si="3"/>
        <v>0</v>
      </c>
      <c r="H37" s="76">
        <f t="shared" si="4"/>
        <v>0</v>
      </c>
      <c r="I37" s="76">
        <f t="shared" si="5"/>
        <v>0</v>
      </c>
      <c r="J37" s="76">
        <f t="shared" si="6"/>
        <v>0</v>
      </c>
      <c r="K37" s="76">
        <f t="shared" si="7"/>
        <v>0</v>
      </c>
      <c r="L37" s="76">
        <f t="shared" si="8"/>
        <v>0</v>
      </c>
      <c r="M37" s="76">
        <f t="shared" si="9"/>
        <v>0</v>
      </c>
      <c r="N37" s="77">
        <f t="shared" si="10"/>
        <v>0</v>
      </c>
      <c r="O37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38" spans="1:15" s="46" customFormat="1" ht="24.6" x14ac:dyDescent="0.25">
      <c r="A38" s="74">
        <v>27</v>
      </c>
      <c r="B38" s="79"/>
      <c r="C38" s="75"/>
      <c r="D38" s="76">
        <f t="shared" si="0"/>
        <v>0</v>
      </c>
      <c r="E38" s="76">
        <f t="shared" si="1"/>
        <v>0</v>
      </c>
      <c r="F38" s="76">
        <f t="shared" si="2"/>
        <v>0</v>
      </c>
      <c r="G38" s="76">
        <f t="shared" si="3"/>
        <v>0</v>
      </c>
      <c r="H38" s="76">
        <f t="shared" si="4"/>
        <v>0</v>
      </c>
      <c r="I38" s="76">
        <f t="shared" si="5"/>
        <v>0</v>
      </c>
      <c r="J38" s="76">
        <f t="shared" si="6"/>
        <v>0</v>
      </c>
      <c r="K38" s="76">
        <f t="shared" si="7"/>
        <v>0</v>
      </c>
      <c r="L38" s="76">
        <f t="shared" si="8"/>
        <v>0</v>
      </c>
      <c r="M38" s="76">
        <f t="shared" si="9"/>
        <v>0</v>
      </c>
      <c r="N38" s="77">
        <f t="shared" si="10"/>
        <v>0</v>
      </c>
      <c r="O38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39" spans="1:15" s="46" customFormat="1" ht="24.6" x14ac:dyDescent="0.25">
      <c r="A39" s="74">
        <v>28</v>
      </c>
      <c r="B39" s="79"/>
      <c r="C39" s="75"/>
      <c r="D39" s="76">
        <f t="shared" si="0"/>
        <v>0</v>
      </c>
      <c r="E39" s="76">
        <f t="shared" si="1"/>
        <v>0</v>
      </c>
      <c r="F39" s="76">
        <f t="shared" si="2"/>
        <v>0</v>
      </c>
      <c r="G39" s="76">
        <f t="shared" si="3"/>
        <v>0</v>
      </c>
      <c r="H39" s="76">
        <f t="shared" si="4"/>
        <v>0</v>
      </c>
      <c r="I39" s="76">
        <f t="shared" si="5"/>
        <v>0</v>
      </c>
      <c r="J39" s="76">
        <f t="shared" si="6"/>
        <v>0</v>
      </c>
      <c r="K39" s="76">
        <f t="shared" si="7"/>
        <v>0</v>
      </c>
      <c r="L39" s="76">
        <f t="shared" si="8"/>
        <v>0</v>
      </c>
      <c r="M39" s="76">
        <f t="shared" si="9"/>
        <v>0</v>
      </c>
      <c r="N39" s="77">
        <f t="shared" si="10"/>
        <v>0</v>
      </c>
      <c r="O39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40" spans="1:15" s="46" customFormat="1" ht="24.6" x14ac:dyDescent="0.25">
      <c r="A40" s="74">
        <v>29</v>
      </c>
      <c r="B40" s="79"/>
      <c r="C40" s="75"/>
      <c r="D40" s="76">
        <f t="shared" si="0"/>
        <v>0</v>
      </c>
      <c r="E40" s="76">
        <f t="shared" si="1"/>
        <v>0</v>
      </c>
      <c r="F40" s="76">
        <f t="shared" si="2"/>
        <v>0</v>
      </c>
      <c r="G40" s="76">
        <f t="shared" si="3"/>
        <v>0</v>
      </c>
      <c r="H40" s="76">
        <f t="shared" si="4"/>
        <v>0</v>
      </c>
      <c r="I40" s="76">
        <f t="shared" si="5"/>
        <v>0</v>
      </c>
      <c r="J40" s="76">
        <f t="shared" si="6"/>
        <v>0</v>
      </c>
      <c r="K40" s="76">
        <f t="shared" si="7"/>
        <v>0</v>
      </c>
      <c r="L40" s="76">
        <f t="shared" si="8"/>
        <v>0</v>
      </c>
      <c r="M40" s="76">
        <f t="shared" si="9"/>
        <v>0</v>
      </c>
      <c r="N40" s="77">
        <f t="shared" si="10"/>
        <v>0</v>
      </c>
      <c r="O40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41" spans="1:15" s="46" customFormat="1" ht="24.6" x14ac:dyDescent="0.25">
      <c r="A41" s="74">
        <v>30</v>
      </c>
      <c r="B41" s="79"/>
      <c r="C41" s="75"/>
      <c r="D41" s="76">
        <f t="shared" si="0"/>
        <v>0</v>
      </c>
      <c r="E41" s="76">
        <f t="shared" si="1"/>
        <v>0</v>
      </c>
      <c r="F41" s="76">
        <f t="shared" si="2"/>
        <v>0</v>
      </c>
      <c r="G41" s="76">
        <f t="shared" si="3"/>
        <v>0</v>
      </c>
      <c r="H41" s="76">
        <f t="shared" si="4"/>
        <v>0</v>
      </c>
      <c r="I41" s="76">
        <f t="shared" si="5"/>
        <v>0</v>
      </c>
      <c r="J41" s="76">
        <f t="shared" si="6"/>
        <v>0</v>
      </c>
      <c r="K41" s="76">
        <f t="shared" si="7"/>
        <v>0</v>
      </c>
      <c r="L41" s="76">
        <f t="shared" si="8"/>
        <v>0</v>
      </c>
      <c r="M41" s="76">
        <f t="shared" si="9"/>
        <v>0</v>
      </c>
      <c r="N41" s="77">
        <f t="shared" si="10"/>
        <v>0</v>
      </c>
      <c r="O41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42" spans="1:15" s="46" customFormat="1" ht="24.6" x14ac:dyDescent="0.25">
      <c r="A42" s="74">
        <v>31</v>
      </c>
      <c r="B42" s="79"/>
      <c r="C42" s="75"/>
      <c r="D42" s="76">
        <f t="shared" si="0"/>
        <v>0</v>
      </c>
      <c r="E42" s="76">
        <f t="shared" si="1"/>
        <v>0</v>
      </c>
      <c r="F42" s="76">
        <f t="shared" si="2"/>
        <v>0</v>
      </c>
      <c r="G42" s="76">
        <f t="shared" si="3"/>
        <v>0</v>
      </c>
      <c r="H42" s="76">
        <f t="shared" si="4"/>
        <v>0</v>
      </c>
      <c r="I42" s="76">
        <f t="shared" si="5"/>
        <v>0</v>
      </c>
      <c r="J42" s="76">
        <f t="shared" si="6"/>
        <v>0</v>
      </c>
      <c r="K42" s="76">
        <f t="shared" si="7"/>
        <v>0</v>
      </c>
      <c r="L42" s="76">
        <f t="shared" si="8"/>
        <v>0</v>
      </c>
      <c r="M42" s="76">
        <f t="shared" si="9"/>
        <v>0</v>
      </c>
      <c r="N42" s="77">
        <f t="shared" si="10"/>
        <v>0</v>
      </c>
      <c r="O42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43" spans="1:15" s="46" customFormat="1" ht="24.6" x14ac:dyDescent="0.25">
      <c r="A43" s="74">
        <v>32</v>
      </c>
      <c r="B43" s="79"/>
      <c r="C43" s="75"/>
      <c r="D43" s="76">
        <f t="shared" si="0"/>
        <v>0</v>
      </c>
      <c r="E43" s="76">
        <f t="shared" si="1"/>
        <v>0</v>
      </c>
      <c r="F43" s="76">
        <f t="shared" si="2"/>
        <v>0</v>
      </c>
      <c r="G43" s="76">
        <f t="shared" si="3"/>
        <v>0</v>
      </c>
      <c r="H43" s="76">
        <f t="shared" si="4"/>
        <v>0</v>
      </c>
      <c r="I43" s="76">
        <f t="shared" si="5"/>
        <v>0</v>
      </c>
      <c r="J43" s="76">
        <f t="shared" si="6"/>
        <v>0</v>
      </c>
      <c r="K43" s="76">
        <f t="shared" si="7"/>
        <v>0</v>
      </c>
      <c r="L43" s="76">
        <f t="shared" si="8"/>
        <v>0</v>
      </c>
      <c r="M43" s="76">
        <f t="shared" si="9"/>
        <v>0</v>
      </c>
      <c r="N43" s="77">
        <f t="shared" si="10"/>
        <v>0</v>
      </c>
      <c r="O43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44" spans="1:15" s="46" customFormat="1" ht="24.6" x14ac:dyDescent="0.25">
      <c r="A44" s="74">
        <v>33</v>
      </c>
      <c r="B44" s="79"/>
      <c r="C44" s="75"/>
      <c r="D44" s="76">
        <f t="shared" ref="D44:D75" si="12">HLOOKUP("S"&amp;A44,Score_task1,12,0)</f>
        <v>0</v>
      </c>
      <c r="E44" s="76">
        <f t="shared" ref="E44:E75" si="13">HLOOKUP("S"&amp;A44,Score_task2,12,0)</f>
        <v>0</v>
      </c>
      <c r="F44" s="76">
        <f t="shared" ref="F44:F75" si="14">HLOOKUP("S"&amp;A44,Score_task3,12,0)</f>
        <v>0</v>
      </c>
      <c r="G44" s="76">
        <f t="shared" ref="G44:G75" si="15">HLOOKUP("S"&amp;A44,Score_task4,12,0)</f>
        <v>0</v>
      </c>
      <c r="H44" s="76">
        <f t="shared" ref="H44:H75" si="16">HLOOKUP("S"&amp;A44,Score_task5,12,0)</f>
        <v>0</v>
      </c>
      <c r="I44" s="76">
        <f t="shared" ref="I44:I75" si="17">HLOOKUP("S"&amp;A44,Score_task6,12,0)</f>
        <v>0</v>
      </c>
      <c r="J44" s="76">
        <f t="shared" ref="J44:J75" si="18">HLOOKUP("S"&amp;A44,Score_task7,12,0)</f>
        <v>0</v>
      </c>
      <c r="K44" s="76">
        <f t="shared" ref="K44:K75" si="19">HLOOKUP("S"&amp;A44,Score_task8,12,0)</f>
        <v>0</v>
      </c>
      <c r="L44" s="76">
        <f t="shared" ref="L44:L75" si="20">HLOOKUP("S"&amp;A44,Score_task9,12,0)</f>
        <v>0</v>
      </c>
      <c r="M44" s="76">
        <f t="shared" ref="M44:M75" si="21">HLOOKUP("S"&amp;A44,Score_task10,12,0)</f>
        <v>0</v>
      </c>
      <c r="N44" s="77">
        <f t="shared" ref="N44:N75" si="22">SUM(D44:M44)</f>
        <v>0</v>
      </c>
      <c r="O44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45" spans="1:15" s="46" customFormat="1" ht="24.6" x14ac:dyDescent="0.25">
      <c r="A45" s="74">
        <v>34</v>
      </c>
      <c r="B45" s="79"/>
      <c r="C45" s="75"/>
      <c r="D45" s="76">
        <f t="shared" si="12"/>
        <v>0</v>
      </c>
      <c r="E45" s="76">
        <f t="shared" si="13"/>
        <v>0</v>
      </c>
      <c r="F45" s="76">
        <f t="shared" si="14"/>
        <v>0</v>
      </c>
      <c r="G45" s="76">
        <f t="shared" si="15"/>
        <v>0</v>
      </c>
      <c r="H45" s="76">
        <f t="shared" si="16"/>
        <v>0</v>
      </c>
      <c r="I45" s="76">
        <f t="shared" si="17"/>
        <v>0</v>
      </c>
      <c r="J45" s="76">
        <f t="shared" si="18"/>
        <v>0</v>
      </c>
      <c r="K45" s="76">
        <f t="shared" si="19"/>
        <v>0</v>
      </c>
      <c r="L45" s="76">
        <f t="shared" si="20"/>
        <v>0</v>
      </c>
      <c r="M45" s="76">
        <f t="shared" si="21"/>
        <v>0</v>
      </c>
      <c r="N45" s="77">
        <f t="shared" si="22"/>
        <v>0</v>
      </c>
      <c r="O45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46" spans="1:15" s="46" customFormat="1" ht="24.6" x14ac:dyDescent="0.25">
      <c r="A46" s="74">
        <v>35</v>
      </c>
      <c r="B46" s="79"/>
      <c r="C46" s="75"/>
      <c r="D46" s="76">
        <f t="shared" si="12"/>
        <v>0</v>
      </c>
      <c r="E46" s="76">
        <f t="shared" si="13"/>
        <v>0</v>
      </c>
      <c r="F46" s="76">
        <f t="shared" si="14"/>
        <v>0</v>
      </c>
      <c r="G46" s="76">
        <f t="shared" si="15"/>
        <v>0</v>
      </c>
      <c r="H46" s="76">
        <f t="shared" si="16"/>
        <v>0</v>
      </c>
      <c r="I46" s="76">
        <f t="shared" si="17"/>
        <v>0</v>
      </c>
      <c r="J46" s="76">
        <f t="shared" si="18"/>
        <v>0</v>
      </c>
      <c r="K46" s="76">
        <f t="shared" si="19"/>
        <v>0</v>
      </c>
      <c r="L46" s="76">
        <f t="shared" si="20"/>
        <v>0</v>
      </c>
      <c r="M46" s="76">
        <f t="shared" si="21"/>
        <v>0</v>
      </c>
      <c r="N46" s="77">
        <f t="shared" si="22"/>
        <v>0</v>
      </c>
      <c r="O46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47" spans="1:15" s="46" customFormat="1" ht="24.6" x14ac:dyDescent="0.25">
      <c r="A47" s="74">
        <v>36</v>
      </c>
      <c r="B47" s="79"/>
      <c r="C47" s="75"/>
      <c r="D47" s="76">
        <f t="shared" si="12"/>
        <v>0</v>
      </c>
      <c r="E47" s="76">
        <f t="shared" si="13"/>
        <v>0</v>
      </c>
      <c r="F47" s="76">
        <f t="shared" si="14"/>
        <v>0</v>
      </c>
      <c r="G47" s="76">
        <f t="shared" si="15"/>
        <v>0</v>
      </c>
      <c r="H47" s="76">
        <f t="shared" si="16"/>
        <v>0</v>
      </c>
      <c r="I47" s="76">
        <f t="shared" si="17"/>
        <v>0</v>
      </c>
      <c r="J47" s="76">
        <f t="shared" si="18"/>
        <v>0</v>
      </c>
      <c r="K47" s="76">
        <f t="shared" si="19"/>
        <v>0</v>
      </c>
      <c r="L47" s="76">
        <f t="shared" si="20"/>
        <v>0</v>
      </c>
      <c r="M47" s="76">
        <f t="shared" si="21"/>
        <v>0</v>
      </c>
      <c r="N47" s="77">
        <f t="shared" si="22"/>
        <v>0</v>
      </c>
      <c r="O47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48" spans="1:15" s="46" customFormat="1" ht="24.6" x14ac:dyDescent="0.25">
      <c r="A48" s="74">
        <v>37</v>
      </c>
      <c r="B48" s="79"/>
      <c r="C48" s="75"/>
      <c r="D48" s="76">
        <f t="shared" si="12"/>
        <v>0</v>
      </c>
      <c r="E48" s="76">
        <f t="shared" si="13"/>
        <v>0</v>
      </c>
      <c r="F48" s="76">
        <f t="shared" si="14"/>
        <v>0</v>
      </c>
      <c r="G48" s="76">
        <f t="shared" si="15"/>
        <v>0</v>
      </c>
      <c r="H48" s="76">
        <f t="shared" si="16"/>
        <v>0</v>
      </c>
      <c r="I48" s="76">
        <f t="shared" si="17"/>
        <v>0</v>
      </c>
      <c r="J48" s="76">
        <f t="shared" si="18"/>
        <v>0</v>
      </c>
      <c r="K48" s="76">
        <f t="shared" si="19"/>
        <v>0</v>
      </c>
      <c r="L48" s="76">
        <f t="shared" si="20"/>
        <v>0</v>
      </c>
      <c r="M48" s="76">
        <f t="shared" si="21"/>
        <v>0</v>
      </c>
      <c r="N48" s="77">
        <f t="shared" si="22"/>
        <v>0</v>
      </c>
      <c r="O48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49" spans="1:15" s="46" customFormat="1" ht="24.6" x14ac:dyDescent="0.25">
      <c r="A49" s="74">
        <v>38</v>
      </c>
      <c r="B49" s="79"/>
      <c r="C49" s="75"/>
      <c r="D49" s="76">
        <f t="shared" si="12"/>
        <v>0</v>
      </c>
      <c r="E49" s="76">
        <f t="shared" si="13"/>
        <v>0</v>
      </c>
      <c r="F49" s="76">
        <f t="shared" si="14"/>
        <v>0</v>
      </c>
      <c r="G49" s="76">
        <f t="shared" si="15"/>
        <v>0</v>
      </c>
      <c r="H49" s="76">
        <f t="shared" si="16"/>
        <v>0</v>
      </c>
      <c r="I49" s="76">
        <f t="shared" si="17"/>
        <v>0</v>
      </c>
      <c r="J49" s="76">
        <f t="shared" si="18"/>
        <v>0</v>
      </c>
      <c r="K49" s="76">
        <f t="shared" si="19"/>
        <v>0</v>
      </c>
      <c r="L49" s="76">
        <f t="shared" si="20"/>
        <v>0</v>
      </c>
      <c r="M49" s="76">
        <f t="shared" si="21"/>
        <v>0</v>
      </c>
      <c r="N49" s="77">
        <f t="shared" si="22"/>
        <v>0</v>
      </c>
      <c r="O49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50" spans="1:15" s="46" customFormat="1" ht="24.6" x14ac:dyDescent="0.25">
      <c r="A50" s="74">
        <v>39</v>
      </c>
      <c r="B50" s="79"/>
      <c r="C50" s="75"/>
      <c r="D50" s="76">
        <f t="shared" si="12"/>
        <v>0</v>
      </c>
      <c r="E50" s="76">
        <f t="shared" si="13"/>
        <v>0</v>
      </c>
      <c r="F50" s="76">
        <f t="shared" si="14"/>
        <v>0</v>
      </c>
      <c r="G50" s="76">
        <f t="shared" si="15"/>
        <v>0</v>
      </c>
      <c r="H50" s="76">
        <f t="shared" si="16"/>
        <v>0</v>
      </c>
      <c r="I50" s="76">
        <f t="shared" si="17"/>
        <v>0</v>
      </c>
      <c r="J50" s="76">
        <f t="shared" si="18"/>
        <v>0</v>
      </c>
      <c r="K50" s="76">
        <f t="shared" si="19"/>
        <v>0</v>
      </c>
      <c r="L50" s="76">
        <f t="shared" si="20"/>
        <v>0</v>
      </c>
      <c r="M50" s="76">
        <f t="shared" si="21"/>
        <v>0</v>
      </c>
      <c r="N50" s="77">
        <f t="shared" si="22"/>
        <v>0</v>
      </c>
      <c r="O50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51" spans="1:15" s="46" customFormat="1" ht="24.6" x14ac:dyDescent="0.25">
      <c r="A51" s="74">
        <v>40</v>
      </c>
      <c r="B51" s="79"/>
      <c r="C51" s="75"/>
      <c r="D51" s="76">
        <f t="shared" si="12"/>
        <v>0</v>
      </c>
      <c r="E51" s="76">
        <f t="shared" si="13"/>
        <v>0</v>
      </c>
      <c r="F51" s="76">
        <f t="shared" si="14"/>
        <v>0</v>
      </c>
      <c r="G51" s="76">
        <f t="shared" si="15"/>
        <v>0</v>
      </c>
      <c r="H51" s="76">
        <f t="shared" si="16"/>
        <v>0</v>
      </c>
      <c r="I51" s="76">
        <f t="shared" si="17"/>
        <v>0</v>
      </c>
      <c r="J51" s="76">
        <f t="shared" si="18"/>
        <v>0</v>
      </c>
      <c r="K51" s="76">
        <f t="shared" si="19"/>
        <v>0</v>
      </c>
      <c r="L51" s="76">
        <f t="shared" si="20"/>
        <v>0</v>
      </c>
      <c r="M51" s="76">
        <f t="shared" si="21"/>
        <v>0</v>
      </c>
      <c r="N51" s="77">
        <f t="shared" si="22"/>
        <v>0</v>
      </c>
      <c r="O51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52" spans="1:15" s="46" customFormat="1" ht="24.6" x14ac:dyDescent="0.25">
      <c r="A52" s="74">
        <v>41</v>
      </c>
      <c r="B52" s="79"/>
      <c r="C52" s="75"/>
      <c r="D52" s="76">
        <f t="shared" si="12"/>
        <v>0</v>
      </c>
      <c r="E52" s="76">
        <f t="shared" si="13"/>
        <v>0</v>
      </c>
      <c r="F52" s="76">
        <f t="shared" si="14"/>
        <v>0</v>
      </c>
      <c r="G52" s="76">
        <f t="shared" si="15"/>
        <v>0</v>
      </c>
      <c r="H52" s="76">
        <f t="shared" si="16"/>
        <v>0</v>
      </c>
      <c r="I52" s="76">
        <f t="shared" si="17"/>
        <v>0</v>
      </c>
      <c r="J52" s="76">
        <f t="shared" si="18"/>
        <v>0</v>
      </c>
      <c r="K52" s="76">
        <f t="shared" si="19"/>
        <v>0</v>
      </c>
      <c r="L52" s="76">
        <f t="shared" si="20"/>
        <v>0</v>
      </c>
      <c r="M52" s="76">
        <f t="shared" si="21"/>
        <v>0</v>
      </c>
      <c r="N52" s="77">
        <f t="shared" si="22"/>
        <v>0</v>
      </c>
      <c r="O52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53" spans="1:15" s="46" customFormat="1" ht="24.6" x14ac:dyDescent="0.25">
      <c r="A53" s="74">
        <v>42</v>
      </c>
      <c r="B53" s="79"/>
      <c r="C53" s="75"/>
      <c r="D53" s="76">
        <f t="shared" si="12"/>
        <v>0</v>
      </c>
      <c r="E53" s="76">
        <f t="shared" si="13"/>
        <v>0</v>
      </c>
      <c r="F53" s="76">
        <f t="shared" si="14"/>
        <v>0</v>
      </c>
      <c r="G53" s="76">
        <f t="shared" si="15"/>
        <v>0</v>
      </c>
      <c r="H53" s="76">
        <f t="shared" si="16"/>
        <v>0</v>
      </c>
      <c r="I53" s="76">
        <f t="shared" si="17"/>
        <v>0</v>
      </c>
      <c r="J53" s="76">
        <f t="shared" si="18"/>
        <v>0</v>
      </c>
      <c r="K53" s="76">
        <f t="shared" si="19"/>
        <v>0</v>
      </c>
      <c r="L53" s="76">
        <f t="shared" si="20"/>
        <v>0</v>
      </c>
      <c r="M53" s="76">
        <f t="shared" si="21"/>
        <v>0</v>
      </c>
      <c r="N53" s="77">
        <f t="shared" si="22"/>
        <v>0</v>
      </c>
      <c r="O53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54" spans="1:15" s="46" customFormat="1" ht="24.6" x14ac:dyDescent="0.25">
      <c r="A54" s="74">
        <v>43</v>
      </c>
      <c r="B54" s="79"/>
      <c r="C54" s="75"/>
      <c r="D54" s="76">
        <f t="shared" si="12"/>
        <v>0</v>
      </c>
      <c r="E54" s="76">
        <f t="shared" si="13"/>
        <v>0</v>
      </c>
      <c r="F54" s="76">
        <f t="shared" si="14"/>
        <v>0</v>
      </c>
      <c r="G54" s="76">
        <f t="shared" si="15"/>
        <v>0</v>
      </c>
      <c r="H54" s="76">
        <f t="shared" si="16"/>
        <v>0</v>
      </c>
      <c r="I54" s="76">
        <f t="shared" si="17"/>
        <v>0</v>
      </c>
      <c r="J54" s="76">
        <f t="shared" si="18"/>
        <v>0</v>
      </c>
      <c r="K54" s="76">
        <f t="shared" si="19"/>
        <v>0</v>
      </c>
      <c r="L54" s="76">
        <f t="shared" si="20"/>
        <v>0</v>
      </c>
      <c r="M54" s="76">
        <f t="shared" si="21"/>
        <v>0</v>
      </c>
      <c r="N54" s="77">
        <f t="shared" si="22"/>
        <v>0</v>
      </c>
      <c r="O54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55" spans="1:15" s="46" customFormat="1" ht="24.6" x14ac:dyDescent="0.25">
      <c r="A55" s="74">
        <v>44</v>
      </c>
      <c r="B55" s="79"/>
      <c r="C55" s="75"/>
      <c r="D55" s="76">
        <f t="shared" si="12"/>
        <v>0</v>
      </c>
      <c r="E55" s="76">
        <f t="shared" si="13"/>
        <v>0</v>
      </c>
      <c r="F55" s="76">
        <f t="shared" si="14"/>
        <v>0</v>
      </c>
      <c r="G55" s="76">
        <f t="shared" si="15"/>
        <v>0</v>
      </c>
      <c r="H55" s="76">
        <f t="shared" si="16"/>
        <v>0</v>
      </c>
      <c r="I55" s="76">
        <f t="shared" si="17"/>
        <v>0</v>
      </c>
      <c r="J55" s="76">
        <f t="shared" si="18"/>
        <v>0</v>
      </c>
      <c r="K55" s="76">
        <f t="shared" si="19"/>
        <v>0</v>
      </c>
      <c r="L55" s="76">
        <f t="shared" si="20"/>
        <v>0</v>
      </c>
      <c r="M55" s="76">
        <f t="shared" si="21"/>
        <v>0</v>
      </c>
      <c r="N55" s="77">
        <f t="shared" si="22"/>
        <v>0</v>
      </c>
      <c r="O55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56" spans="1:15" s="46" customFormat="1" ht="24.6" x14ac:dyDescent="0.25">
      <c r="A56" s="74">
        <v>45</v>
      </c>
      <c r="B56" s="79"/>
      <c r="C56" s="75"/>
      <c r="D56" s="76">
        <f t="shared" si="12"/>
        <v>0</v>
      </c>
      <c r="E56" s="76">
        <f t="shared" si="13"/>
        <v>0</v>
      </c>
      <c r="F56" s="76">
        <f t="shared" si="14"/>
        <v>0</v>
      </c>
      <c r="G56" s="76">
        <f t="shared" si="15"/>
        <v>0</v>
      </c>
      <c r="H56" s="76">
        <f t="shared" si="16"/>
        <v>0</v>
      </c>
      <c r="I56" s="76">
        <f t="shared" si="17"/>
        <v>0</v>
      </c>
      <c r="J56" s="76">
        <f t="shared" si="18"/>
        <v>0</v>
      </c>
      <c r="K56" s="76">
        <f t="shared" si="19"/>
        <v>0</v>
      </c>
      <c r="L56" s="76">
        <f t="shared" si="20"/>
        <v>0</v>
      </c>
      <c r="M56" s="76">
        <f t="shared" si="21"/>
        <v>0</v>
      </c>
      <c r="N56" s="77">
        <f t="shared" si="22"/>
        <v>0</v>
      </c>
      <c r="O56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57" spans="1:15" s="46" customFormat="1" ht="24.6" x14ac:dyDescent="0.25">
      <c r="A57" s="74">
        <v>46</v>
      </c>
      <c r="B57" s="79"/>
      <c r="C57" s="75"/>
      <c r="D57" s="76">
        <f t="shared" si="12"/>
        <v>0</v>
      </c>
      <c r="E57" s="76">
        <f t="shared" si="13"/>
        <v>0</v>
      </c>
      <c r="F57" s="76">
        <f t="shared" si="14"/>
        <v>0</v>
      </c>
      <c r="G57" s="76">
        <f t="shared" si="15"/>
        <v>0</v>
      </c>
      <c r="H57" s="76">
        <f t="shared" si="16"/>
        <v>0</v>
      </c>
      <c r="I57" s="76">
        <f t="shared" si="17"/>
        <v>0</v>
      </c>
      <c r="J57" s="76">
        <f t="shared" si="18"/>
        <v>0</v>
      </c>
      <c r="K57" s="76">
        <f t="shared" si="19"/>
        <v>0</v>
      </c>
      <c r="L57" s="76">
        <f t="shared" si="20"/>
        <v>0</v>
      </c>
      <c r="M57" s="76">
        <f t="shared" si="21"/>
        <v>0</v>
      </c>
      <c r="N57" s="77">
        <f t="shared" si="22"/>
        <v>0</v>
      </c>
      <c r="O57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58" spans="1:15" s="46" customFormat="1" ht="24.6" x14ac:dyDescent="0.25">
      <c r="A58" s="74">
        <v>47</v>
      </c>
      <c r="B58" s="79"/>
      <c r="C58" s="75"/>
      <c r="D58" s="76">
        <f t="shared" si="12"/>
        <v>0</v>
      </c>
      <c r="E58" s="76">
        <f t="shared" si="13"/>
        <v>0</v>
      </c>
      <c r="F58" s="76">
        <f t="shared" si="14"/>
        <v>0</v>
      </c>
      <c r="G58" s="76">
        <f t="shared" si="15"/>
        <v>0</v>
      </c>
      <c r="H58" s="76">
        <f t="shared" si="16"/>
        <v>0</v>
      </c>
      <c r="I58" s="76">
        <f t="shared" si="17"/>
        <v>0</v>
      </c>
      <c r="J58" s="76">
        <f t="shared" si="18"/>
        <v>0</v>
      </c>
      <c r="K58" s="76">
        <f t="shared" si="19"/>
        <v>0</v>
      </c>
      <c r="L58" s="76">
        <f t="shared" si="20"/>
        <v>0</v>
      </c>
      <c r="M58" s="76">
        <f t="shared" si="21"/>
        <v>0</v>
      </c>
      <c r="N58" s="77">
        <f t="shared" si="22"/>
        <v>0</v>
      </c>
      <c r="O58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59" spans="1:15" s="46" customFormat="1" ht="24.6" x14ac:dyDescent="0.25">
      <c r="A59" s="74">
        <v>48</v>
      </c>
      <c r="B59" s="79"/>
      <c r="C59" s="75"/>
      <c r="D59" s="76">
        <f t="shared" si="12"/>
        <v>0</v>
      </c>
      <c r="E59" s="76">
        <f t="shared" si="13"/>
        <v>0</v>
      </c>
      <c r="F59" s="76">
        <f t="shared" si="14"/>
        <v>0</v>
      </c>
      <c r="G59" s="76">
        <f t="shared" si="15"/>
        <v>0</v>
      </c>
      <c r="H59" s="76">
        <f t="shared" si="16"/>
        <v>0</v>
      </c>
      <c r="I59" s="76">
        <f t="shared" si="17"/>
        <v>0</v>
      </c>
      <c r="J59" s="76">
        <f t="shared" si="18"/>
        <v>0</v>
      </c>
      <c r="K59" s="76">
        <f t="shared" si="19"/>
        <v>0</v>
      </c>
      <c r="L59" s="76">
        <f t="shared" si="20"/>
        <v>0</v>
      </c>
      <c r="M59" s="76">
        <f t="shared" si="21"/>
        <v>0</v>
      </c>
      <c r="N59" s="77">
        <f t="shared" si="22"/>
        <v>0</v>
      </c>
      <c r="O59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60" spans="1:15" s="46" customFormat="1" ht="24.6" x14ac:dyDescent="0.25">
      <c r="A60" s="74">
        <v>49</v>
      </c>
      <c r="B60" s="79"/>
      <c r="C60" s="75"/>
      <c r="D60" s="76">
        <f t="shared" si="12"/>
        <v>0</v>
      </c>
      <c r="E60" s="76">
        <f t="shared" si="13"/>
        <v>0</v>
      </c>
      <c r="F60" s="76">
        <f t="shared" si="14"/>
        <v>0</v>
      </c>
      <c r="G60" s="76">
        <f t="shared" si="15"/>
        <v>0</v>
      </c>
      <c r="H60" s="76">
        <f t="shared" si="16"/>
        <v>0</v>
      </c>
      <c r="I60" s="76">
        <f t="shared" si="17"/>
        <v>0</v>
      </c>
      <c r="J60" s="76">
        <f t="shared" si="18"/>
        <v>0</v>
      </c>
      <c r="K60" s="76">
        <f t="shared" si="19"/>
        <v>0</v>
      </c>
      <c r="L60" s="76">
        <f t="shared" si="20"/>
        <v>0</v>
      </c>
      <c r="M60" s="76">
        <f t="shared" si="21"/>
        <v>0</v>
      </c>
      <c r="N60" s="77">
        <f t="shared" si="22"/>
        <v>0</v>
      </c>
      <c r="O60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61" spans="1:15" s="46" customFormat="1" ht="24.6" x14ac:dyDescent="0.25">
      <c r="A61" s="74">
        <v>50</v>
      </c>
      <c r="B61" s="79"/>
      <c r="C61" s="75"/>
      <c r="D61" s="76">
        <f t="shared" si="12"/>
        <v>0</v>
      </c>
      <c r="E61" s="76">
        <f t="shared" si="13"/>
        <v>0</v>
      </c>
      <c r="F61" s="76">
        <f t="shared" si="14"/>
        <v>0</v>
      </c>
      <c r="G61" s="76">
        <f t="shared" si="15"/>
        <v>0</v>
      </c>
      <c r="H61" s="76">
        <f t="shared" si="16"/>
        <v>0</v>
      </c>
      <c r="I61" s="76">
        <f t="shared" si="17"/>
        <v>0</v>
      </c>
      <c r="J61" s="76">
        <f t="shared" si="18"/>
        <v>0</v>
      </c>
      <c r="K61" s="76">
        <f t="shared" si="19"/>
        <v>0</v>
      </c>
      <c r="L61" s="76">
        <f t="shared" si="20"/>
        <v>0</v>
      </c>
      <c r="M61" s="76">
        <f t="shared" si="21"/>
        <v>0</v>
      </c>
      <c r="N61" s="77">
        <f t="shared" si="22"/>
        <v>0</v>
      </c>
      <c r="O61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62" spans="1:15" s="46" customFormat="1" ht="24.6" x14ac:dyDescent="0.25">
      <c r="A62" s="74">
        <v>51</v>
      </c>
      <c r="B62" s="79"/>
      <c r="C62" s="75"/>
      <c r="D62" s="76">
        <f t="shared" si="12"/>
        <v>0</v>
      </c>
      <c r="E62" s="76">
        <f t="shared" si="13"/>
        <v>0</v>
      </c>
      <c r="F62" s="76">
        <f t="shared" si="14"/>
        <v>0</v>
      </c>
      <c r="G62" s="76">
        <f t="shared" si="15"/>
        <v>0</v>
      </c>
      <c r="H62" s="76">
        <f t="shared" si="16"/>
        <v>0</v>
      </c>
      <c r="I62" s="76">
        <f t="shared" si="17"/>
        <v>0</v>
      </c>
      <c r="J62" s="76">
        <f t="shared" si="18"/>
        <v>0</v>
      </c>
      <c r="K62" s="76">
        <f t="shared" si="19"/>
        <v>0</v>
      </c>
      <c r="L62" s="76">
        <f t="shared" si="20"/>
        <v>0</v>
      </c>
      <c r="M62" s="76">
        <f t="shared" si="21"/>
        <v>0</v>
      </c>
      <c r="N62" s="77">
        <f t="shared" si="22"/>
        <v>0</v>
      </c>
      <c r="O62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63" spans="1:15" s="46" customFormat="1" ht="24.6" x14ac:dyDescent="0.25">
      <c r="A63" s="74">
        <v>52</v>
      </c>
      <c r="B63" s="79"/>
      <c r="C63" s="75"/>
      <c r="D63" s="76">
        <f t="shared" si="12"/>
        <v>0</v>
      </c>
      <c r="E63" s="76">
        <f t="shared" si="13"/>
        <v>0</v>
      </c>
      <c r="F63" s="76">
        <f t="shared" si="14"/>
        <v>0</v>
      </c>
      <c r="G63" s="76">
        <f t="shared" si="15"/>
        <v>0</v>
      </c>
      <c r="H63" s="76">
        <f t="shared" si="16"/>
        <v>0</v>
      </c>
      <c r="I63" s="76">
        <f t="shared" si="17"/>
        <v>0</v>
      </c>
      <c r="J63" s="76">
        <f t="shared" si="18"/>
        <v>0</v>
      </c>
      <c r="K63" s="76">
        <f t="shared" si="19"/>
        <v>0</v>
      </c>
      <c r="L63" s="76">
        <f t="shared" si="20"/>
        <v>0</v>
      </c>
      <c r="M63" s="76">
        <f t="shared" si="21"/>
        <v>0</v>
      </c>
      <c r="N63" s="77">
        <f t="shared" si="22"/>
        <v>0</v>
      </c>
      <c r="O63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64" spans="1:15" s="46" customFormat="1" ht="24.6" x14ac:dyDescent="0.25">
      <c r="A64" s="74">
        <v>53</v>
      </c>
      <c r="B64" s="79"/>
      <c r="C64" s="75"/>
      <c r="D64" s="76">
        <f t="shared" si="12"/>
        <v>0</v>
      </c>
      <c r="E64" s="76">
        <f t="shared" si="13"/>
        <v>0</v>
      </c>
      <c r="F64" s="76">
        <f t="shared" si="14"/>
        <v>0</v>
      </c>
      <c r="G64" s="76">
        <f t="shared" si="15"/>
        <v>0</v>
      </c>
      <c r="H64" s="76">
        <f t="shared" si="16"/>
        <v>0</v>
      </c>
      <c r="I64" s="76">
        <f t="shared" si="17"/>
        <v>0</v>
      </c>
      <c r="J64" s="76">
        <f t="shared" si="18"/>
        <v>0</v>
      </c>
      <c r="K64" s="76">
        <f t="shared" si="19"/>
        <v>0</v>
      </c>
      <c r="L64" s="76">
        <f t="shared" si="20"/>
        <v>0</v>
      </c>
      <c r="M64" s="76">
        <f t="shared" si="21"/>
        <v>0</v>
      </c>
      <c r="N64" s="77">
        <f t="shared" si="22"/>
        <v>0</v>
      </c>
      <c r="O64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65" spans="1:15" s="46" customFormat="1" ht="24.6" x14ac:dyDescent="0.25">
      <c r="A65" s="74">
        <v>54</v>
      </c>
      <c r="B65" s="79"/>
      <c r="C65" s="75"/>
      <c r="D65" s="76">
        <f t="shared" si="12"/>
        <v>0</v>
      </c>
      <c r="E65" s="76">
        <f t="shared" si="13"/>
        <v>0</v>
      </c>
      <c r="F65" s="76">
        <f t="shared" si="14"/>
        <v>0</v>
      </c>
      <c r="G65" s="76">
        <f t="shared" si="15"/>
        <v>0</v>
      </c>
      <c r="H65" s="76">
        <f t="shared" si="16"/>
        <v>0</v>
      </c>
      <c r="I65" s="76">
        <f t="shared" si="17"/>
        <v>0</v>
      </c>
      <c r="J65" s="76">
        <f t="shared" si="18"/>
        <v>0</v>
      </c>
      <c r="K65" s="76">
        <f t="shared" si="19"/>
        <v>0</v>
      </c>
      <c r="L65" s="76">
        <f t="shared" si="20"/>
        <v>0</v>
      </c>
      <c r="M65" s="76">
        <f t="shared" si="21"/>
        <v>0</v>
      </c>
      <c r="N65" s="77">
        <f t="shared" si="22"/>
        <v>0</v>
      </c>
      <c r="O65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66" spans="1:15" s="46" customFormat="1" ht="24.6" x14ac:dyDescent="0.25">
      <c r="A66" s="74">
        <v>55</v>
      </c>
      <c r="B66" s="79"/>
      <c r="C66" s="75"/>
      <c r="D66" s="76">
        <f t="shared" si="12"/>
        <v>0</v>
      </c>
      <c r="E66" s="76">
        <f t="shared" si="13"/>
        <v>0</v>
      </c>
      <c r="F66" s="76">
        <f t="shared" si="14"/>
        <v>0</v>
      </c>
      <c r="G66" s="76">
        <f t="shared" si="15"/>
        <v>0</v>
      </c>
      <c r="H66" s="76">
        <f t="shared" si="16"/>
        <v>0</v>
      </c>
      <c r="I66" s="76">
        <f t="shared" si="17"/>
        <v>0</v>
      </c>
      <c r="J66" s="76">
        <f t="shared" si="18"/>
        <v>0</v>
      </c>
      <c r="K66" s="76">
        <f t="shared" si="19"/>
        <v>0</v>
      </c>
      <c r="L66" s="76">
        <f t="shared" si="20"/>
        <v>0</v>
      </c>
      <c r="M66" s="76">
        <f t="shared" si="21"/>
        <v>0</v>
      </c>
      <c r="N66" s="77">
        <f t="shared" si="22"/>
        <v>0</v>
      </c>
      <c r="O66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67" spans="1:15" s="46" customFormat="1" ht="24.6" x14ac:dyDescent="0.25">
      <c r="A67" s="74">
        <v>56</v>
      </c>
      <c r="B67" s="79"/>
      <c r="C67" s="75"/>
      <c r="D67" s="76">
        <f t="shared" si="12"/>
        <v>0</v>
      </c>
      <c r="E67" s="76">
        <f t="shared" si="13"/>
        <v>0</v>
      </c>
      <c r="F67" s="76">
        <f t="shared" si="14"/>
        <v>0</v>
      </c>
      <c r="G67" s="76">
        <f t="shared" si="15"/>
        <v>0</v>
      </c>
      <c r="H67" s="76">
        <f t="shared" si="16"/>
        <v>0</v>
      </c>
      <c r="I67" s="76">
        <f t="shared" si="17"/>
        <v>0</v>
      </c>
      <c r="J67" s="76">
        <f t="shared" si="18"/>
        <v>0</v>
      </c>
      <c r="K67" s="76">
        <f t="shared" si="19"/>
        <v>0</v>
      </c>
      <c r="L67" s="76">
        <f t="shared" si="20"/>
        <v>0</v>
      </c>
      <c r="M67" s="76">
        <f t="shared" si="21"/>
        <v>0</v>
      </c>
      <c r="N67" s="77">
        <f t="shared" si="22"/>
        <v>0</v>
      </c>
      <c r="O67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68" spans="1:15" s="46" customFormat="1" ht="24.6" x14ac:dyDescent="0.25">
      <c r="A68" s="74">
        <v>57</v>
      </c>
      <c r="B68" s="79"/>
      <c r="C68" s="75"/>
      <c r="D68" s="76">
        <f t="shared" si="12"/>
        <v>0</v>
      </c>
      <c r="E68" s="76">
        <f t="shared" si="13"/>
        <v>0</v>
      </c>
      <c r="F68" s="76">
        <f t="shared" si="14"/>
        <v>0</v>
      </c>
      <c r="G68" s="76">
        <f t="shared" si="15"/>
        <v>0</v>
      </c>
      <c r="H68" s="76">
        <f t="shared" si="16"/>
        <v>0</v>
      </c>
      <c r="I68" s="76">
        <f t="shared" si="17"/>
        <v>0</v>
      </c>
      <c r="J68" s="76">
        <f t="shared" si="18"/>
        <v>0</v>
      </c>
      <c r="K68" s="76">
        <f t="shared" si="19"/>
        <v>0</v>
      </c>
      <c r="L68" s="76">
        <f t="shared" si="20"/>
        <v>0</v>
      </c>
      <c r="M68" s="76">
        <f t="shared" si="21"/>
        <v>0</v>
      </c>
      <c r="N68" s="77">
        <f t="shared" si="22"/>
        <v>0</v>
      </c>
      <c r="O68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69" spans="1:15" s="46" customFormat="1" ht="24.6" x14ac:dyDescent="0.25">
      <c r="A69" s="74">
        <v>58</v>
      </c>
      <c r="B69" s="79"/>
      <c r="C69" s="75"/>
      <c r="D69" s="76">
        <f t="shared" si="12"/>
        <v>0</v>
      </c>
      <c r="E69" s="76">
        <f t="shared" si="13"/>
        <v>0</v>
      </c>
      <c r="F69" s="76">
        <f t="shared" si="14"/>
        <v>0</v>
      </c>
      <c r="G69" s="76">
        <f t="shared" si="15"/>
        <v>0</v>
      </c>
      <c r="H69" s="76">
        <f t="shared" si="16"/>
        <v>0</v>
      </c>
      <c r="I69" s="76">
        <f t="shared" si="17"/>
        <v>0</v>
      </c>
      <c r="J69" s="76">
        <f t="shared" si="18"/>
        <v>0</v>
      </c>
      <c r="K69" s="76">
        <f t="shared" si="19"/>
        <v>0</v>
      </c>
      <c r="L69" s="76">
        <f t="shared" si="20"/>
        <v>0</v>
      </c>
      <c r="M69" s="76">
        <f t="shared" si="21"/>
        <v>0</v>
      </c>
      <c r="N69" s="77">
        <f t="shared" si="22"/>
        <v>0</v>
      </c>
      <c r="O69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70" spans="1:15" s="46" customFormat="1" ht="24.6" x14ac:dyDescent="0.25">
      <c r="A70" s="74">
        <v>59</v>
      </c>
      <c r="B70" s="79"/>
      <c r="C70" s="75"/>
      <c r="D70" s="76">
        <f t="shared" si="12"/>
        <v>0</v>
      </c>
      <c r="E70" s="76">
        <f t="shared" si="13"/>
        <v>0</v>
      </c>
      <c r="F70" s="76">
        <f t="shared" si="14"/>
        <v>0</v>
      </c>
      <c r="G70" s="76">
        <f t="shared" si="15"/>
        <v>0</v>
      </c>
      <c r="H70" s="76">
        <f t="shared" si="16"/>
        <v>0</v>
      </c>
      <c r="I70" s="76">
        <f t="shared" si="17"/>
        <v>0</v>
      </c>
      <c r="J70" s="76">
        <f t="shared" si="18"/>
        <v>0</v>
      </c>
      <c r="K70" s="76">
        <f t="shared" si="19"/>
        <v>0</v>
      </c>
      <c r="L70" s="76">
        <f t="shared" si="20"/>
        <v>0</v>
      </c>
      <c r="M70" s="76">
        <f t="shared" si="21"/>
        <v>0</v>
      </c>
      <c r="N70" s="77">
        <f t="shared" si="22"/>
        <v>0</v>
      </c>
      <c r="O70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71" spans="1:15" s="46" customFormat="1" ht="24.6" x14ac:dyDescent="0.25">
      <c r="A71" s="74">
        <v>60</v>
      </c>
      <c r="B71" s="79"/>
      <c r="C71" s="75"/>
      <c r="D71" s="76">
        <f t="shared" si="12"/>
        <v>0</v>
      </c>
      <c r="E71" s="76">
        <f t="shared" si="13"/>
        <v>0</v>
      </c>
      <c r="F71" s="76">
        <f t="shared" si="14"/>
        <v>0</v>
      </c>
      <c r="G71" s="76">
        <f t="shared" si="15"/>
        <v>0</v>
      </c>
      <c r="H71" s="76">
        <f t="shared" si="16"/>
        <v>0</v>
      </c>
      <c r="I71" s="76">
        <f t="shared" si="17"/>
        <v>0</v>
      </c>
      <c r="J71" s="76">
        <f t="shared" si="18"/>
        <v>0</v>
      </c>
      <c r="K71" s="76">
        <f t="shared" si="19"/>
        <v>0</v>
      </c>
      <c r="L71" s="76">
        <f t="shared" si="20"/>
        <v>0</v>
      </c>
      <c r="M71" s="76">
        <f t="shared" si="21"/>
        <v>0</v>
      </c>
      <c r="N71" s="77">
        <f t="shared" si="22"/>
        <v>0</v>
      </c>
      <c r="O71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72" spans="1:15" s="46" customFormat="1" ht="24.6" x14ac:dyDescent="0.25">
      <c r="A72" s="74">
        <v>61</v>
      </c>
      <c r="B72" s="79"/>
      <c r="C72" s="75"/>
      <c r="D72" s="76">
        <f t="shared" si="12"/>
        <v>0</v>
      </c>
      <c r="E72" s="76">
        <f t="shared" si="13"/>
        <v>0</v>
      </c>
      <c r="F72" s="76">
        <f t="shared" si="14"/>
        <v>0</v>
      </c>
      <c r="G72" s="76">
        <f t="shared" si="15"/>
        <v>0</v>
      </c>
      <c r="H72" s="76">
        <f t="shared" si="16"/>
        <v>0</v>
      </c>
      <c r="I72" s="76">
        <f t="shared" si="17"/>
        <v>0</v>
      </c>
      <c r="J72" s="76">
        <f t="shared" si="18"/>
        <v>0</v>
      </c>
      <c r="K72" s="76">
        <f t="shared" si="19"/>
        <v>0</v>
      </c>
      <c r="L72" s="76">
        <f t="shared" si="20"/>
        <v>0</v>
      </c>
      <c r="M72" s="76">
        <f t="shared" si="21"/>
        <v>0</v>
      </c>
      <c r="N72" s="77">
        <f t="shared" si="22"/>
        <v>0</v>
      </c>
      <c r="O72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73" spans="1:15" s="46" customFormat="1" ht="24.6" x14ac:dyDescent="0.25">
      <c r="A73" s="74">
        <v>62</v>
      </c>
      <c r="B73" s="79"/>
      <c r="C73" s="75"/>
      <c r="D73" s="76">
        <f t="shared" si="12"/>
        <v>0</v>
      </c>
      <c r="E73" s="76">
        <f t="shared" si="13"/>
        <v>0</v>
      </c>
      <c r="F73" s="76">
        <f t="shared" si="14"/>
        <v>0</v>
      </c>
      <c r="G73" s="76">
        <f t="shared" si="15"/>
        <v>0</v>
      </c>
      <c r="H73" s="76">
        <f t="shared" si="16"/>
        <v>0</v>
      </c>
      <c r="I73" s="76">
        <f t="shared" si="17"/>
        <v>0</v>
      </c>
      <c r="J73" s="76">
        <f t="shared" si="18"/>
        <v>0</v>
      </c>
      <c r="K73" s="76">
        <f t="shared" si="19"/>
        <v>0</v>
      </c>
      <c r="L73" s="76">
        <f t="shared" si="20"/>
        <v>0</v>
      </c>
      <c r="M73" s="76">
        <f t="shared" si="21"/>
        <v>0</v>
      </c>
      <c r="N73" s="77">
        <f t="shared" si="22"/>
        <v>0</v>
      </c>
      <c r="O73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74" spans="1:15" s="46" customFormat="1" ht="24.6" x14ac:dyDescent="0.25">
      <c r="A74" s="74">
        <v>63</v>
      </c>
      <c r="B74" s="79"/>
      <c r="C74" s="75"/>
      <c r="D74" s="76">
        <f t="shared" si="12"/>
        <v>0</v>
      </c>
      <c r="E74" s="76">
        <f t="shared" si="13"/>
        <v>0</v>
      </c>
      <c r="F74" s="76">
        <f t="shared" si="14"/>
        <v>0</v>
      </c>
      <c r="G74" s="76">
        <f t="shared" si="15"/>
        <v>0</v>
      </c>
      <c r="H74" s="76">
        <f t="shared" si="16"/>
        <v>0</v>
      </c>
      <c r="I74" s="76">
        <f t="shared" si="17"/>
        <v>0</v>
      </c>
      <c r="J74" s="76">
        <f t="shared" si="18"/>
        <v>0</v>
      </c>
      <c r="K74" s="76">
        <f t="shared" si="19"/>
        <v>0</v>
      </c>
      <c r="L74" s="76">
        <f t="shared" si="20"/>
        <v>0</v>
      </c>
      <c r="M74" s="76">
        <f t="shared" si="21"/>
        <v>0</v>
      </c>
      <c r="N74" s="77">
        <f t="shared" si="22"/>
        <v>0</v>
      </c>
      <c r="O74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75" spans="1:15" s="46" customFormat="1" ht="24.6" x14ac:dyDescent="0.25">
      <c r="A75" s="74">
        <v>64</v>
      </c>
      <c r="B75" s="79"/>
      <c r="C75" s="75"/>
      <c r="D75" s="76">
        <f t="shared" si="12"/>
        <v>0</v>
      </c>
      <c r="E75" s="76">
        <f t="shared" si="13"/>
        <v>0</v>
      </c>
      <c r="F75" s="76">
        <f t="shared" si="14"/>
        <v>0</v>
      </c>
      <c r="G75" s="76">
        <f t="shared" si="15"/>
        <v>0</v>
      </c>
      <c r="H75" s="76">
        <f t="shared" si="16"/>
        <v>0</v>
      </c>
      <c r="I75" s="76">
        <f t="shared" si="17"/>
        <v>0</v>
      </c>
      <c r="J75" s="76">
        <f t="shared" si="18"/>
        <v>0</v>
      </c>
      <c r="K75" s="76">
        <f t="shared" si="19"/>
        <v>0</v>
      </c>
      <c r="L75" s="76">
        <f t="shared" si="20"/>
        <v>0</v>
      </c>
      <c r="M75" s="76">
        <f t="shared" si="21"/>
        <v>0</v>
      </c>
      <c r="N75" s="77">
        <f t="shared" si="22"/>
        <v>0</v>
      </c>
      <c r="O75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76" spans="1:15" s="46" customFormat="1" ht="24.6" x14ac:dyDescent="0.25">
      <c r="A76" s="74">
        <v>65</v>
      </c>
      <c r="B76" s="79"/>
      <c r="C76" s="75"/>
      <c r="D76" s="76">
        <f t="shared" ref="D76:D107" si="23">HLOOKUP("S"&amp;A76,Score_task1,12,0)</f>
        <v>0</v>
      </c>
      <c r="E76" s="76">
        <f t="shared" ref="E76:E107" si="24">HLOOKUP("S"&amp;A76,Score_task2,12,0)</f>
        <v>0</v>
      </c>
      <c r="F76" s="76">
        <f t="shared" ref="F76:F107" si="25">HLOOKUP("S"&amp;A76,Score_task3,12,0)</f>
        <v>0</v>
      </c>
      <c r="G76" s="76">
        <f t="shared" ref="G76:G107" si="26">HLOOKUP("S"&amp;A76,Score_task4,12,0)</f>
        <v>0</v>
      </c>
      <c r="H76" s="76">
        <f t="shared" ref="H76:H107" si="27">HLOOKUP("S"&amp;A76,Score_task5,12,0)</f>
        <v>0</v>
      </c>
      <c r="I76" s="76">
        <f t="shared" ref="I76:I107" si="28">HLOOKUP("S"&amp;A76,Score_task6,12,0)</f>
        <v>0</v>
      </c>
      <c r="J76" s="76">
        <f t="shared" ref="J76:J107" si="29">HLOOKUP("S"&amp;A76,Score_task7,12,0)</f>
        <v>0</v>
      </c>
      <c r="K76" s="76">
        <f t="shared" ref="K76:K107" si="30">HLOOKUP("S"&amp;A76,Score_task8,12,0)</f>
        <v>0</v>
      </c>
      <c r="L76" s="76">
        <f t="shared" ref="L76:L107" si="31">HLOOKUP("S"&amp;A76,Score_task9,12,0)</f>
        <v>0</v>
      </c>
      <c r="M76" s="76">
        <f t="shared" ref="M76:M107" si="32">HLOOKUP("S"&amp;A76,Score_task10,12,0)</f>
        <v>0</v>
      </c>
      <c r="N76" s="77">
        <f t="shared" ref="N76:N107" si="33">SUM(D76:M76)</f>
        <v>0</v>
      </c>
      <c r="O76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77" spans="1:15" s="46" customFormat="1" ht="24.6" x14ac:dyDescent="0.25">
      <c r="A77" s="74">
        <v>66</v>
      </c>
      <c r="B77" s="79"/>
      <c r="C77" s="75"/>
      <c r="D77" s="76">
        <f t="shared" si="23"/>
        <v>0</v>
      </c>
      <c r="E77" s="76">
        <f t="shared" si="24"/>
        <v>0</v>
      </c>
      <c r="F77" s="76">
        <f t="shared" si="25"/>
        <v>0</v>
      </c>
      <c r="G77" s="76">
        <f t="shared" si="26"/>
        <v>0</v>
      </c>
      <c r="H77" s="76">
        <f t="shared" si="27"/>
        <v>0</v>
      </c>
      <c r="I77" s="76">
        <f t="shared" si="28"/>
        <v>0</v>
      </c>
      <c r="J77" s="76">
        <f t="shared" si="29"/>
        <v>0</v>
      </c>
      <c r="K77" s="76">
        <f t="shared" si="30"/>
        <v>0</v>
      </c>
      <c r="L77" s="76">
        <f t="shared" si="31"/>
        <v>0</v>
      </c>
      <c r="M77" s="76">
        <f t="shared" si="32"/>
        <v>0</v>
      </c>
      <c r="N77" s="77">
        <f t="shared" si="33"/>
        <v>0</v>
      </c>
      <c r="O77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78" spans="1:15" s="46" customFormat="1" ht="24.6" x14ac:dyDescent="0.25">
      <c r="A78" s="74">
        <v>67</v>
      </c>
      <c r="B78" s="79"/>
      <c r="C78" s="75"/>
      <c r="D78" s="76">
        <f t="shared" si="23"/>
        <v>0</v>
      </c>
      <c r="E78" s="76">
        <f t="shared" si="24"/>
        <v>0</v>
      </c>
      <c r="F78" s="76">
        <f t="shared" si="25"/>
        <v>0</v>
      </c>
      <c r="G78" s="76">
        <f t="shared" si="26"/>
        <v>0</v>
      </c>
      <c r="H78" s="76">
        <f t="shared" si="27"/>
        <v>0</v>
      </c>
      <c r="I78" s="76">
        <f t="shared" si="28"/>
        <v>0</v>
      </c>
      <c r="J78" s="76">
        <f t="shared" si="29"/>
        <v>0</v>
      </c>
      <c r="K78" s="76">
        <f t="shared" si="30"/>
        <v>0</v>
      </c>
      <c r="L78" s="76">
        <f t="shared" si="31"/>
        <v>0</v>
      </c>
      <c r="M78" s="76">
        <f t="shared" si="32"/>
        <v>0</v>
      </c>
      <c r="N78" s="77">
        <f t="shared" si="33"/>
        <v>0</v>
      </c>
      <c r="O78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79" spans="1:15" s="46" customFormat="1" ht="24.6" x14ac:dyDescent="0.25">
      <c r="A79" s="74">
        <v>68</v>
      </c>
      <c r="B79" s="79"/>
      <c r="C79" s="75"/>
      <c r="D79" s="76">
        <f t="shared" si="23"/>
        <v>0</v>
      </c>
      <c r="E79" s="76">
        <f t="shared" si="24"/>
        <v>0</v>
      </c>
      <c r="F79" s="76">
        <f t="shared" si="25"/>
        <v>0</v>
      </c>
      <c r="G79" s="76">
        <f t="shared" si="26"/>
        <v>0</v>
      </c>
      <c r="H79" s="76">
        <f t="shared" si="27"/>
        <v>0</v>
      </c>
      <c r="I79" s="76">
        <f t="shared" si="28"/>
        <v>0</v>
      </c>
      <c r="J79" s="76">
        <f t="shared" si="29"/>
        <v>0</v>
      </c>
      <c r="K79" s="76">
        <f t="shared" si="30"/>
        <v>0</v>
      </c>
      <c r="L79" s="76">
        <f t="shared" si="31"/>
        <v>0</v>
      </c>
      <c r="M79" s="76">
        <f t="shared" si="32"/>
        <v>0</v>
      </c>
      <c r="N79" s="77">
        <f t="shared" si="33"/>
        <v>0</v>
      </c>
      <c r="O79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80" spans="1:15" s="46" customFormat="1" ht="24.6" x14ac:dyDescent="0.25">
      <c r="A80" s="74">
        <v>69</v>
      </c>
      <c r="B80" s="79"/>
      <c r="C80" s="75"/>
      <c r="D80" s="76">
        <f t="shared" si="23"/>
        <v>0</v>
      </c>
      <c r="E80" s="76">
        <f t="shared" si="24"/>
        <v>0</v>
      </c>
      <c r="F80" s="76">
        <f t="shared" si="25"/>
        <v>0</v>
      </c>
      <c r="G80" s="76">
        <f t="shared" si="26"/>
        <v>0</v>
      </c>
      <c r="H80" s="76">
        <f t="shared" si="27"/>
        <v>0</v>
      </c>
      <c r="I80" s="76">
        <f t="shared" si="28"/>
        <v>0</v>
      </c>
      <c r="J80" s="76">
        <f t="shared" si="29"/>
        <v>0</v>
      </c>
      <c r="K80" s="76">
        <f t="shared" si="30"/>
        <v>0</v>
      </c>
      <c r="L80" s="76">
        <f t="shared" si="31"/>
        <v>0</v>
      </c>
      <c r="M80" s="76">
        <f t="shared" si="32"/>
        <v>0</v>
      </c>
      <c r="N80" s="77">
        <f t="shared" si="33"/>
        <v>0</v>
      </c>
      <c r="O80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81" spans="1:15" s="46" customFormat="1" ht="24.6" x14ac:dyDescent="0.25">
      <c r="A81" s="74">
        <v>70</v>
      </c>
      <c r="B81" s="79"/>
      <c r="C81" s="75"/>
      <c r="D81" s="76">
        <f t="shared" si="23"/>
        <v>0</v>
      </c>
      <c r="E81" s="76">
        <f t="shared" si="24"/>
        <v>0</v>
      </c>
      <c r="F81" s="76">
        <f t="shared" si="25"/>
        <v>0</v>
      </c>
      <c r="G81" s="76">
        <f t="shared" si="26"/>
        <v>0</v>
      </c>
      <c r="H81" s="76">
        <f t="shared" si="27"/>
        <v>0</v>
      </c>
      <c r="I81" s="76">
        <f t="shared" si="28"/>
        <v>0</v>
      </c>
      <c r="J81" s="76">
        <f t="shared" si="29"/>
        <v>0</v>
      </c>
      <c r="K81" s="76">
        <f t="shared" si="30"/>
        <v>0</v>
      </c>
      <c r="L81" s="76">
        <f t="shared" si="31"/>
        <v>0</v>
      </c>
      <c r="M81" s="76">
        <f t="shared" si="32"/>
        <v>0</v>
      </c>
      <c r="N81" s="77">
        <f t="shared" si="33"/>
        <v>0</v>
      </c>
      <c r="O81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82" spans="1:15" s="46" customFormat="1" ht="24.6" x14ac:dyDescent="0.25">
      <c r="A82" s="74">
        <v>71</v>
      </c>
      <c r="B82" s="79"/>
      <c r="C82" s="75"/>
      <c r="D82" s="76">
        <f t="shared" si="23"/>
        <v>0</v>
      </c>
      <c r="E82" s="76">
        <f t="shared" si="24"/>
        <v>0</v>
      </c>
      <c r="F82" s="76">
        <f t="shared" si="25"/>
        <v>0</v>
      </c>
      <c r="G82" s="76">
        <f t="shared" si="26"/>
        <v>0</v>
      </c>
      <c r="H82" s="76">
        <f t="shared" si="27"/>
        <v>0</v>
      </c>
      <c r="I82" s="76">
        <f t="shared" si="28"/>
        <v>0</v>
      </c>
      <c r="J82" s="76">
        <f t="shared" si="29"/>
        <v>0</v>
      </c>
      <c r="K82" s="76">
        <f t="shared" si="30"/>
        <v>0</v>
      </c>
      <c r="L82" s="76">
        <f t="shared" si="31"/>
        <v>0</v>
      </c>
      <c r="M82" s="76">
        <f t="shared" si="32"/>
        <v>0</v>
      </c>
      <c r="N82" s="77">
        <f t="shared" si="33"/>
        <v>0</v>
      </c>
      <c r="O82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83" spans="1:15" s="46" customFormat="1" ht="24.6" x14ac:dyDescent="0.25">
      <c r="A83" s="74">
        <v>72</v>
      </c>
      <c r="B83" s="79"/>
      <c r="C83" s="75"/>
      <c r="D83" s="76">
        <f t="shared" si="23"/>
        <v>0</v>
      </c>
      <c r="E83" s="76">
        <f t="shared" si="24"/>
        <v>0</v>
      </c>
      <c r="F83" s="76">
        <f t="shared" si="25"/>
        <v>0</v>
      </c>
      <c r="G83" s="76">
        <f t="shared" si="26"/>
        <v>0</v>
      </c>
      <c r="H83" s="76">
        <f t="shared" si="27"/>
        <v>0</v>
      </c>
      <c r="I83" s="76">
        <f t="shared" si="28"/>
        <v>0</v>
      </c>
      <c r="J83" s="76">
        <f t="shared" si="29"/>
        <v>0</v>
      </c>
      <c r="K83" s="76">
        <f t="shared" si="30"/>
        <v>0</v>
      </c>
      <c r="L83" s="76">
        <f t="shared" si="31"/>
        <v>0</v>
      </c>
      <c r="M83" s="76">
        <f t="shared" si="32"/>
        <v>0</v>
      </c>
      <c r="N83" s="77">
        <f t="shared" si="33"/>
        <v>0</v>
      </c>
      <c r="O83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84" spans="1:15" s="46" customFormat="1" ht="24.6" x14ac:dyDescent="0.25">
      <c r="A84" s="74">
        <v>73</v>
      </c>
      <c r="B84" s="79"/>
      <c r="C84" s="75"/>
      <c r="D84" s="76">
        <f t="shared" si="23"/>
        <v>0</v>
      </c>
      <c r="E84" s="76">
        <f t="shared" si="24"/>
        <v>0</v>
      </c>
      <c r="F84" s="76">
        <f t="shared" si="25"/>
        <v>0</v>
      </c>
      <c r="G84" s="76">
        <f t="shared" si="26"/>
        <v>0</v>
      </c>
      <c r="H84" s="76">
        <f t="shared" si="27"/>
        <v>0</v>
      </c>
      <c r="I84" s="76">
        <f t="shared" si="28"/>
        <v>0</v>
      </c>
      <c r="J84" s="76">
        <f t="shared" si="29"/>
        <v>0</v>
      </c>
      <c r="K84" s="76">
        <f t="shared" si="30"/>
        <v>0</v>
      </c>
      <c r="L84" s="76">
        <f t="shared" si="31"/>
        <v>0</v>
      </c>
      <c r="M84" s="76">
        <f t="shared" si="32"/>
        <v>0</v>
      </c>
      <c r="N84" s="77">
        <f t="shared" si="33"/>
        <v>0</v>
      </c>
      <c r="O84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85" spans="1:15" s="46" customFormat="1" ht="24.6" x14ac:dyDescent="0.25">
      <c r="A85" s="74">
        <v>74</v>
      </c>
      <c r="B85" s="79"/>
      <c r="C85" s="75"/>
      <c r="D85" s="76">
        <f t="shared" si="23"/>
        <v>0</v>
      </c>
      <c r="E85" s="76">
        <f t="shared" si="24"/>
        <v>0</v>
      </c>
      <c r="F85" s="76">
        <f t="shared" si="25"/>
        <v>0</v>
      </c>
      <c r="G85" s="76">
        <f t="shared" si="26"/>
        <v>0</v>
      </c>
      <c r="H85" s="76">
        <f t="shared" si="27"/>
        <v>0</v>
      </c>
      <c r="I85" s="76">
        <f t="shared" si="28"/>
        <v>0</v>
      </c>
      <c r="J85" s="76">
        <f t="shared" si="29"/>
        <v>0</v>
      </c>
      <c r="K85" s="76">
        <f t="shared" si="30"/>
        <v>0</v>
      </c>
      <c r="L85" s="76">
        <f t="shared" si="31"/>
        <v>0</v>
      </c>
      <c r="M85" s="76">
        <f t="shared" si="32"/>
        <v>0</v>
      </c>
      <c r="N85" s="77">
        <f t="shared" si="33"/>
        <v>0</v>
      </c>
      <c r="O85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86" spans="1:15" s="46" customFormat="1" ht="24.6" x14ac:dyDescent="0.25">
      <c r="A86" s="74">
        <v>75</v>
      </c>
      <c r="B86" s="79"/>
      <c r="C86" s="75"/>
      <c r="D86" s="76">
        <f t="shared" si="23"/>
        <v>0</v>
      </c>
      <c r="E86" s="76">
        <f t="shared" si="24"/>
        <v>0</v>
      </c>
      <c r="F86" s="76">
        <f t="shared" si="25"/>
        <v>0</v>
      </c>
      <c r="G86" s="76">
        <f t="shared" si="26"/>
        <v>0</v>
      </c>
      <c r="H86" s="76">
        <f t="shared" si="27"/>
        <v>0</v>
      </c>
      <c r="I86" s="76">
        <f t="shared" si="28"/>
        <v>0</v>
      </c>
      <c r="J86" s="76">
        <f t="shared" si="29"/>
        <v>0</v>
      </c>
      <c r="K86" s="76">
        <f t="shared" si="30"/>
        <v>0</v>
      </c>
      <c r="L86" s="76">
        <f t="shared" si="31"/>
        <v>0</v>
      </c>
      <c r="M86" s="76">
        <f t="shared" si="32"/>
        <v>0</v>
      </c>
      <c r="N86" s="77">
        <f t="shared" si="33"/>
        <v>0</v>
      </c>
      <c r="O86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87" spans="1:15" s="46" customFormat="1" ht="24.6" x14ac:dyDescent="0.25">
      <c r="A87" s="74">
        <v>76</v>
      </c>
      <c r="B87" s="79"/>
      <c r="C87" s="75"/>
      <c r="D87" s="76">
        <f t="shared" si="23"/>
        <v>0</v>
      </c>
      <c r="E87" s="76">
        <f t="shared" si="24"/>
        <v>0</v>
      </c>
      <c r="F87" s="76">
        <f t="shared" si="25"/>
        <v>0</v>
      </c>
      <c r="G87" s="76">
        <f t="shared" si="26"/>
        <v>0</v>
      </c>
      <c r="H87" s="76">
        <f t="shared" si="27"/>
        <v>0</v>
      </c>
      <c r="I87" s="76">
        <f t="shared" si="28"/>
        <v>0</v>
      </c>
      <c r="J87" s="76">
        <f t="shared" si="29"/>
        <v>0</v>
      </c>
      <c r="K87" s="76">
        <f t="shared" si="30"/>
        <v>0</v>
      </c>
      <c r="L87" s="76">
        <f t="shared" si="31"/>
        <v>0</v>
      </c>
      <c r="M87" s="76">
        <f t="shared" si="32"/>
        <v>0</v>
      </c>
      <c r="N87" s="77">
        <f t="shared" si="33"/>
        <v>0</v>
      </c>
      <c r="O87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88" spans="1:15" s="46" customFormat="1" ht="24.6" x14ac:dyDescent="0.25">
      <c r="A88" s="74">
        <v>77</v>
      </c>
      <c r="B88" s="79"/>
      <c r="C88" s="75"/>
      <c r="D88" s="76">
        <f t="shared" si="23"/>
        <v>0</v>
      </c>
      <c r="E88" s="76">
        <f t="shared" si="24"/>
        <v>0</v>
      </c>
      <c r="F88" s="76">
        <f t="shared" si="25"/>
        <v>0</v>
      </c>
      <c r="G88" s="76">
        <f t="shared" si="26"/>
        <v>0</v>
      </c>
      <c r="H88" s="76">
        <f t="shared" si="27"/>
        <v>0</v>
      </c>
      <c r="I88" s="76">
        <f t="shared" si="28"/>
        <v>0</v>
      </c>
      <c r="J88" s="76">
        <f t="shared" si="29"/>
        <v>0</v>
      </c>
      <c r="K88" s="76">
        <f t="shared" si="30"/>
        <v>0</v>
      </c>
      <c r="L88" s="76">
        <f t="shared" si="31"/>
        <v>0</v>
      </c>
      <c r="M88" s="76">
        <f t="shared" si="32"/>
        <v>0</v>
      </c>
      <c r="N88" s="77">
        <f t="shared" si="33"/>
        <v>0</v>
      </c>
      <c r="O88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89" spans="1:15" s="46" customFormat="1" ht="24.6" x14ac:dyDescent="0.25">
      <c r="A89" s="74">
        <v>78</v>
      </c>
      <c r="B89" s="79"/>
      <c r="C89" s="75"/>
      <c r="D89" s="76">
        <f t="shared" si="23"/>
        <v>0</v>
      </c>
      <c r="E89" s="76">
        <f t="shared" si="24"/>
        <v>0</v>
      </c>
      <c r="F89" s="76">
        <f t="shared" si="25"/>
        <v>0</v>
      </c>
      <c r="G89" s="76">
        <f t="shared" si="26"/>
        <v>0</v>
      </c>
      <c r="H89" s="76">
        <f t="shared" si="27"/>
        <v>0</v>
      </c>
      <c r="I89" s="76">
        <f t="shared" si="28"/>
        <v>0</v>
      </c>
      <c r="J89" s="76">
        <f t="shared" si="29"/>
        <v>0</v>
      </c>
      <c r="K89" s="76">
        <f t="shared" si="30"/>
        <v>0</v>
      </c>
      <c r="L89" s="76">
        <f t="shared" si="31"/>
        <v>0</v>
      </c>
      <c r="M89" s="76">
        <f t="shared" si="32"/>
        <v>0</v>
      </c>
      <c r="N89" s="77">
        <f t="shared" si="33"/>
        <v>0</v>
      </c>
      <c r="O89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90" spans="1:15" s="46" customFormat="1" ht="24.6" x14ac:dyDescent="0.25">
      <c r="A90" s="74">
        <v>79</v>
      </c>
      <c r="B90" s="79"/>
      <c r="C90" s="75"/>
      <c r="D90" s="76">
        <f t="shared" si="23"/>
        <v>0</v>
      </c>
      <c r="E90" s="76">
        <f t="shared" si="24"/>
        <v>0</v>
      </c>
      <c r="F90" s="76">
        <f t="shared" si="25"/>
        <v>0</v>
      </c>
      <c r="G90" s="76">
        <f t="shared" si="26"/>
        <v>0</v>
      </c>
      <c r="H90" s="76">
        <f t="shared" si="27"/>
        <v>0</v>
      </c>
      <c r="I90" s="76">
        <f t="shared" si="28"/>
        <v>0</v>
      </c>
      <c r="J90" s="76">
        <f t="shared" si="29"/>
        <v>0</v>
      </c>
      <c r="K90" s="76">
        <f t="shared" si="30"/>
        <v>0</v>
      </c>
      <c r="L90" s="76">
        <f t="shared" si="31"/>
        <v>0</v>
      </c>
      <c r="M90" s="76">
        <f t="shared" si="32"/>
        <v>0</v>
      </c>
      <c r="N90" s="77">
        <f t="shared" si="33"/>
        <v>0</v>
      </c>
      <c r="O90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91" spans="1:15" s="46" customFormat="1" ht="24.6" x14ac:dyDescent="0.25">
      <c r="A91" s="74">
        <v>80</v>
      </c>
      <c r="B91" s="79"/>
      <c r="C91" s="75"/>
      <c r="D91" s="76">
        <f t="shared" si="23"/>
        <v>0</v>
      </c>
      <c r="E91" s="76">
        <f t="shared" si="24"/>
        <v>0</v>
      </c>
      <c r="F91" s="76">
        <f t="shared" si="25"/>
        <v>0</v>
      </c>
      <c r="G91" s="76">
        <f t="shared" si="26"/>
        <v>0</v>
      </c>
      <c r="H91" s="76">
        <f t="shared" si="27"/>
        <v>0</v>
      </c>
      <c r="I91" s="76">
        <f t="shared" si="28"/>
        <v>0</v>
      </c>
      <c r="J91" s="76">
        <f t="shared" si="29"/>
        <v>0</v>
      </c>
      <c r="K91" s="76">
        <f t="shared" si="30"/>
        <v>0</v>
      </c>
      <c r="L91" s="76">
        <f t="shared" si="31"/>
        <v>0</v>
      </c>
      <c r="M91" s="76">
        <f t="shared" si="32"/>
        <v>0</v>
      </c>
      <c r="N91" s="77">
        <f t="shared" si="33"/>
        <v>0</v>
      </c>
      <c r="O91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92" spans="1:15" s="46" customFormat="1" ht="24.6" x14ac:dyDescent="0.25">
      <c r="A92" s="74">
        <v>81</v>
      </c>
      <c r="B92" s="79"/>
      <c r="C92" s="75"/>
      <c r="D92" s="76">
        <f t="shared" si="23"/>
        <v>0</v>
      </c>
      <c r="E92" s="76">
        <f t="shared" si="24"/>
        <v>0</v>
      </c>
      <c r="F92" s="76">
        <f t="shared" si="25"/>
        <v>0</v>
      </c>
      <c r="G92" s="76">
        <f t="shared" si="26"/>
        <v>0</v>
      </c>
      <c r="H92" s="76">
        <f t="shared" si="27"/>
        <v>0</v>
      </c>
      <c r="I92" s="76">
        <f t="shared" si="28"/>
        <v>0</v>
      </c>
      <c r="J92" s="76">
        <f t="shared" si="29"/>
        <v>0</v>
      </c>
      <c r="K92" s="76">
        <f t="shared" si="30"/>
        <v>0</v>
      </c>
      <c r="L92" s="76">
        <f t="shared" si="31"/>
        <v>0</v>
      </c>
      <c r="M92" s="76">
        <f t="shared" si="32"/>
        <v>0</v>
      </c>
      <c r="N92" s="77">
        <f t="shared" si="33"/>
        <v>0</v>
      </c>
      <c r="O92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93" spans="1:15" s="46" customFormat="1" ht="24.6" x14ac:dyDescent="0.25">
      <c r="A93" s="74">
        <v>82</v>
      </c>
      <c r="B93" s="79"/>
      <c r="C93" s="75"/>
      <c r="D93" s="76">
        <f t="shared" si="23"/>
        <v>0</v>
      </c>
      <c r="E93" s="76">
        <f t="shared" si="24"/>
        <v>0</v>
      </c>
      <c r="F93" s="76">
        <f t="shared" si="25"/>
        <v>0</v>
      </c>
      <c r="G93" s="76">
        <f t="shared" si="26"/>
        <v>0</v>
      </c>
      <c r="H93" s="76">
        <f t="shared" si="27"/>
        <v>0</v>
      </c>
      <c r="I93" s="76">
        <f t="shared" si="28"/>
        <v>0</v>
      </c>
      <c r="J93" s="76">
        <f t="shared" si="29"/>
        <v>0</v>
      </c>
      <c r="K93" s="76">
        <f t="shared" si="30"/>
        <v>0</v>
      </c>
      <c r="L93" s="76">
        <f t="shared" si="31"/>
        <v>0</v>
      </c>
      <c r="M93" s="76">
        <f t="shared" si="32"/>
        <v>0</v>
      </c>
      <c r="N93" s="77">
        <f t="shared" si="33"/>
        <v>0</v>
      </c>
      <c r="O93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94" spans="1:15" s="46" customFormat="1" ht="24.6" x14ac:dyDescent="0.25">
      <c r="A94" s="74">
        <v>83</v>
      </c>
      <c r="B94" s="79"/>
      <c r="C94" s="75"/>
      <c r="D94" s="76">
        <f t="shared" si="23"/>
        <v>0</v>
      </c>
      <c r="E94" s="76">
        <f t="shared" si="24"/>
        <v>0</v>
      </c>
      <c r="F94" s="76">
        <f t="shared" si="25"/>
        <v>0</v>
      </c>
      <c r="G94" s="76">
        <f t="shared" si="26"/>
        <v>0</v>
      </c>
      <c r="H94" s="76">
        <f t="shared" si="27"/>
        <v>0</v>
      </c>
      <c r="I94" s="76">
        <f t="shared" si="28"/>
        <v>0</v>
      </c>
      <c r="J94" s="76">
        <f t="shared" si="29"/>
        <v>0</v>
      </c>
      <c r="K94" s="76">
        <f t="shared" si="30"/>
        <v>0</v>
      </c>
      <c r="L94" s="76">
        <f t="shared" si="31"/>
        <v>0</v>
      </c>
      <c r="M94" s="76">
        <f t="shared" si="32"/>
        <v>0</v>
      </c>
      <c r="N94" s="77">
        <f t="shared" si="33"/>
        <v>0</v>
      </c>
      <c r="O94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95" spans="1:15" s="46" customFormat="1" ht="24.6" x14ac:dyDescent="0.25">
      <c r="A95" s="74">
        <v>84</v>
      </c>
      <c r="B95" s="79"/>
      <c r="C95" s="75"/>
      <c r="D95" s="76">
        <f t="shared" si="23"/>
        <v>0</v>
      </c>
      <c r="E95" s="76">
        <f t="shared" si="24"/>
        <v>0</v>
      </c>
      <c r="F95" s="76">
        <f t="shared" si="25"/>
        <v>0</v>
      </c>
      <c r="G95" s="76">
        <f t="shared" si="26"/>
        <v>0</v>
      </c>
      <c r="H95" s="76">
        <f t="shared" si="27"/>
        <v>0</v>
      </c>
      <c r="I95" s="76">
        <f t="shared" si="28"/>
        <v>0</v>
      </c>
      <c r="J95" s="76">
        <f t="shared" si="29"/>
        <v>0</v>
      </c>
      <c r="K95" s="76">
        <f t="shared" si="30"/>
        <v>0</v>
      </c>
      <c r="L95" s="76">
        <f t="shared" si="31"/>
        <v>0</v>
      </c>
      <c r="M95" s="76">
        <f t="shared" si="32"/>
        <v>0</v>
      </c>
      <c r="N95" s="77">
        <f t="shared" si="33"/>
        <v>0</v>
      </c>
      <c r="O95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96" spans="1:15" s="46" customFormat="1" ht="24.6" x14ac:dyDescent="0.25">
      <c r="A96" s="74">
        <v>85</v>
      </c>
      <c r="B96" s="79"/>
      <c r="C96" s="75"/>
      <c r="D96" s="76">
        <f t="shared" si="23"/>
        <v>0</v>
      </c>
      <c r="E96" s="76">
        <f t="shared" si="24"/>
        <v>0</v>
      </c>
      <c r="F96" s="76">
        <f t="shared" si="25"/>
        <v>0</v>
      </c>
      <c r="G96" s="76">
        <f t="shared" si="26"/>
        <v>0</v>
      </c>
      <c r="H96" s="76">
        <f t="shared" si="27"/>
        <v>0</v>
      </c>
      <c r="I96" s="76">
        <f t="shared" si="28"/>
        <v>0</v>
      </c>
      <c r="J96" s="76">
        <f t="shared" si="29"/>
        <v>0</v>
      </c>
      <c r="K96" s="76">
        <f t="shared" si="30"/>
        <v>0</v>
      </c>
      <c r="L96" s="76">
        <f t="shared" si="31"/>
        <v>0</v>
      </c>
      <c r="M96" s="76">
        <f t="shared" si="32"/>
        <v>0</v>
      </c>
      <c r="N96" s="77">
        <f t="shared" si="33"/>
        <v>0</v>
      </c>
      <c r="O96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97" spans="1:15" s="46" customFormat="1" ht="24.6" x14ac:dyDescent="0.25">
      <c r="A97" s="74">
        <v>86</v>
      </c>
      <c r="B97" s="79"/>
      <c r="C97" s="75"/>
      <c r="D97" s="76">
        <f t="shared" si="23"/>
        <v>0</v>
      </c>
      <c r="E97" s="76">
        <f t="shared" si="24"/>
        <v>0</v>
      </c>
      <c r="F97" s="76">
        <f t="shared" si="25"/>
        <v>0</v>
      </c>
      <c r="G97" s="76">
        <f t="shared" si="26"/>
        <v>0</v>
      </c>
      <c r="H97" s="76">
        <f t="shared" si="27"/>
        <v>0</v>
      </c>
      <c r="I97" s="76">
        <f t="shared" si="28"/>
        <v>0</v>
      </c>
      <c r="J97" s="76">
        <f t="shared" si="29"/>
        <v>0</v>
      </c>
      <c r="K97" s="76">
        <f t="shared" si="30"/>
        <v>0</v>
      </c>
      <c r="L97" s="76">
        <f t="shared" si="31"/>
        <v>0</v>
      </c>
      <c r="M97" s="76">
        <f t="shared" si="32"/>
        <v>0</v>
      </c>
      <c r="N97" s="77">
        <f t="shared" si="33"/>
        <v>0</v>
      </c>
      <c r="O97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98" spans="1:15" s="46" customFormat="1" ht="24.6" x14ac:dyDescent="0.25">
      <c r="A98" s="74">
        <v>87</v>
      </c>
      <c r="B98" s="79"/>
      <c r="C98" s="75"/>
      <c r="D98" s="76">
        <f t="shared" si="23"/>
        <v>0</v>
      </c>
      <c r="E98" s="76">
        <f t="shared" si="24"/>
        <v>0</v>
      </c>
      <c r="F98" s="76">
        <f t="shared" si="25"/>
        <v>0</v>
      </c>
      <c r="G98" s="76">
        <f t="shared" si="26"/>
        <v>0</v>
      </c>
      <c r="H98" s="76">
        <f t="shared" si="27"/>
        <v>0</v>
      </c>
      <c r="I98" s="76">
        <f t="shared" si="28"/>
        <v>0</v>
      </c>
      <c r="J98" s="76">
        <f t="shared" si="29"/>
        <v>0</v>
      </c>
      <c r="K98" s="76">
        <f t="shared" si="30"/>
        <v>0</v>
      </c>
      <c r="L98" s="76">
        <f t="shared" si="31"/>
        <v>0</v>
      </c>
      <c r="M98" s="76">
        <f t="shared" si="32"/>
        <v>0</v>
      </c>
      <c r="N98" s="77">
        <f t="shared" si="33"/>
        <v>0</v>
      </c>
      <c r="O98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99" spans="1:15" s="46" customFormat="1" ht="24.6" x14ac:dyDescent="0.25">
      <c r="A99" s="74">
        <v>88</v>
      </c>
      <c r="B99" s="79"/>
      <c r="C99" s="75"/>
      <c r="D99" s="76">
        <f t="shared" si="23"/>
        <v>0</v>
      </c>
      <c r="E99" s="76">
        <f t="shared" si="24"/>
        <v>0</v>
      </c>
      <c r="F99" s="76">
        <f t="shared" si="25"/>
        <v>0</v>
      </c>
      <c r="G99" s="76">
        <f t="shared" si="26"/>
        <v>0</v>
      </c>
      <c r="H99" s="76">
        <f t="shared" si="27"/>
        <v>0</v>
      </c>
      <c r="I99" s="76">
        <f t="shared" si="28"/>
        <v>0</v>
      </c>
      <c r="J99" s="76">
        <f t="shared" si="29"/>
        <v>0</v>
      </c>
      <c r="K99" s="76">
        <f t="shared" si="30"/>
        <v>0</v>
      </c>
      <c r="L99" s="76">
        <f t="shared" si="31"/>
        <v>0</v>
      </c>
      <c r="M99" s="76">
        <f t="shared" si="32"/>
        <v>0</v>
      </c>
      <c r="N99" s="77">
        <f t="shared" si="33"/>
        <v>0</v>
      </c>
      <c r="O99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00" spans="1:15" s="46" customFormat="1" ht="24.6" x14ac:dyDescent="0.25">
      <c r="A100" s="74">
        <v>89</v>
      </c>
      <c r="B100" s="79"/>
      <c r="C100" s="75"/>
      <c r="D100" s="76">
        <f t="shared" si="23"/>
        <v>0</v>
      </c>
      <c r="E100" s="76">
        <f t="shared" si="24"/>
        <v>0</v>
      </c>
      <c r="F100" s="76">
        <f t="shared" si="25"/>
        <v>0</v>
      </c>
      <c r="G100" s="76">
        <f t="shared" si="26"/>
        <v>0</v>
      </c>
      <c r="H100" s="76">
        <f t="shared" si="27"/>
        <v>0</v>
      </c>
      <c r="I100" s="76">
        <f t="shared" si="28"/>
        <v>0</v>
      </c>
      <c r="J100" s="76">
        <f t="shared" si="29"/>
        <v>0</v>
      </c>
      <c r="K100" s="76">
        <f t="shared" si="30"/>
        <v>0</v>
      </c>
      <c r="L100" s="76">
        <f t="shared" si="31"/>
        <v>0</v>
      </c>
      <c r="M100" s="76">
        <f t="shared" si="32"/>
        <v>0</v>
      </c>
      <c r="N100" s="77">
        <f t="shared" si="33"/>
        <v>0</v>
      </c>
      <c r="O100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01" spans="1:15" s="46" customFormat="1" ht="24.6" x14ac:dyDescent="0.25">
      <c r="A101" s="74">
        <v>90</v>
      </c>
      <c r="B101" s="79"/>
      <c r="C101" s="75"/>
      <c r="D101" s="76">
        <f t="shared" si="23"/>
        <v>0</v>
      </c>
      <c r="E101" s="76">
        <f t="shared" si="24"/>
        <v>0</v>
      </c>
      <c r="F101" s="76">
        <f t="shared" si="25"/>
        <v>0</v>
      </c>
      <c r="G101" s="76">
        <f t="shared" si="26"/>
        <v>0</v>
      </c>
      <c r="H101" s="76">
        <f t="shared" si="27"/>
        <v>0</v>
      </c>
      <c r="I101" s="76">
        <f t="shared" si="28"/>
        <v>0</v>
      </c>
      <c r="J101" s="76">
        <f t="shared" si="29"/>
        <v>0</v>
      </c>
      <c r="K101" s="76">
        <f t="shared" si="30"/>
        <v>0</v>
      </c>
      <c r="L101" s="76">
        <f t="shared" si="31"/>
        <v>0</v>
      </c>
      <c r="M101" s="76">
        <f t="shared" si="32"/>
        <v>0</v>
      </c>
      <c r="N101" s="77">
        <f t="shared" si="33"/>
        <v>0</v>
      </c>
      <c r="O101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02" spans="1:15" s="46" customFormat="1" ht="24.6" x14ac:dyDescent="0.25">
      <c r="A102" s="74">
        <v>91</v>
      </c>
      <c r="B102" s="79"/>
      <c r="C102" s="75"/>
      <c r="D102" s="76">
        <f t="shared" si="23"/>
        <v>0</v>
      </c>
      <c r="E102" s="76">
        <f t="shared" si="24"/>
        <v>0</v>
      </c>
      <c r="F102" s="76">
        <f t="shared" si="25"/>
        <v>0</v>
      </c>
      <c r="G102" s="76">
        <f t="shared" si="26"/>
        <v>0</v>
      </c>
      <c r="H102" s="76">
        <f t="shared" si="27"/>
        <v>0</v>
      </c>
      <c r="I102" s="76">
        <f t="shared" si="28"/>
        <v>0</v>
      </c>
      <c r="J102" s="76">
        <f t="shared" si="29"/>
        <v>0</v>
      </c>
      <c r="K102" s="76">
        <f t="shared" si="30"/>
        <v>0</v>
      </c>
      <c r="L102" s="76">
        <f t="shared" si="31"/>
        <v>0</v>
      </c>
      <c r="M102" s="76">
        <f t="shared" si="32"/>
        <v>0</v>
      </c>
      <c r="N102" s="77">
        <f t="shared" si="33"/>
        <v>0</v>
      </c>
      <c r="O102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03" spans="1:15" s="46" customFormat="1" ht="24.6" x14ac:dyDescent="0.25">
      <c r="A103" s="74">
        <v>92</v>
      </c>
      <c r="B103" s="79"/>
      <c r="C103" s="75"/>
      <c r="D103" s="76">
        <f t="shared" si="23"/>
        <v>0</v>
      </c>
      <c r="E103" s="76">
        <f t="shared" si="24"/>
        <v>0</v>
      </c>
      <c r="F103" s="76">
        <f t="shared" si="25"/>
        <v>0</v>
      </c>
      <c r="G103" s="76">
        <f t="shared" si="26"/>
        <v>0</v>
      </c>
      <c r="H103" s="76">
        <f t="shared" si="27"/>
        <v>0</v>
      </c>
      <c r="I103" s="76">
        <f t="shared" si="28"/>
        <v>0</v>
      </c>
      <c r="J103" s="76">
        <f t="shared" si="29"/>
        <v>0</v>
      </c>
      <c r="K103" s="76">
        <f t="shared" si="30"/>
        <v>0</v>
      </c>
      <c r="L103" s="76">
        <f t="shared" si="31"/>
        <v>0</v>
      </c>
      <c r="M103" s="76">
        <f t="shared" si="32"/>
        <v>0</v>
      </c>
      <c r="N103" s="77">
        <f t="shared" si="33"/>
        <v>0</v>
      </c>
      <c r="O103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04" spans="1:15" s="46" customFormat="1" ht="24.6" x14ac:dyDescent="0.25">
      <c r="A104" s="74">
        <v>93</v>
      </c>
      <c r="B104" s="79"/>
      <c r="C104" s="75"/>
      <c r="D104" s="76">
        <f t="shared" si="23"/>
        <v>0</v>
      </c>
      <c r="E104" s="76">
        <f t="shared" si="24"/>
        <v>0</v>
      </c>
      <c r="F104" s="76">
        <f t="shared" si="25"/>
        <v>0</v>
      </c>
      <c r="G104" s="76">
        <f t="shared" si="26"/>
        <v>0</v>
      </c>
      <c r="H104" s="76">
        <f t="shared" si="27"/>
        <v>0</v>
      </c>
      <c r="I104" s="76">
        <f t="shared" si="28"/>
        <v>0</v>
      </c>
      <c r="J104" s="76">
        <f t="shared" si="29"/>
        <v>0</v>
      </c>
      <c r="K104" s="76">
        <f t="shared" si="30"/>
        <v>0</v>
      </c>
      <c r="L104" s="76">
        <f t="shared" si="31"/>
        <v>0</v>
      </c>
      <c r="M104" s="76">
        <f t="shared" si="32"/>
        <v>0</v>
      </c>
      <c r="N104" s="77">
        <f t="shared" si="33"/>
        <v>0</v>
      </c>
      <c r="O104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05" spans="1:15" s="46" customFormat="1" ht="24.6" x14ac:dyDescent="0.25">
      <c r="A105" s="74">
        <v>94</v>
      </c>
      <c r="B105" s="79"/>
      <c r="C105" s="75"/>
      <c r="D105" s="76">
        <f t="shared" si="23"/>
        <v>0</v>
      </c>
      <c r="E105" s="76">
        <f t="shared" si="24"/>
        <v>0</v>
      </c>
      <c r="F105" s="76">
        <f t="shared" si="25"/>
        <v>0</v>
      </c>
      <c r="G105" s="76">
        <f t="shared" si="26"/>
        <v>0</v>
      </c>
      <c r="H105" s="76">
        <f t="shared" si="27"/>
        <v>0</v>
      </c>
      <c r="I105" s="76">
        <f t="shared" si="28"/>
        <v>0</v>
      </c>
      <c r="J105" s="76">
        <f t="shared" si="29"/>
        <v>0</v>
      </c>
      <c r="K105" s="76">
        <f t="shared" si="30"/>
        <v>0</v>
      </c>
      <c r="L105" s="76">
        <f t="shared" si="31"/>
        <v>0</v>
      </c>
      <c r="M105" s="76">
        <f t="shared" si="32"/>
        <v>0</v>
      </c>
      <c r="N105" s="77">
        <f t="shared" si="33"/>
        <v>0</v>
      </c>
      <c r="O105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06" spans="1:15" s="46" customFormat="1" ht="24.6" x14ac:dyDescent="0.25">
      <c r="A106" s="74">
        <v>95</v>
      </c>
      <c r="B106" s="79"/>
      <c r="C106" s="75"/>
      <c r="D106" s="76">
        <f t="shared" si="23"/>
        <v>0</v>
      </c>
      <c r="E106" s="76">
        <f t="shared" si="24"/>
        <v>0</v>
      </c>
      <c r="F106" s="76">
        <f t="shared" si="25"/>
        <v>0</v>
      </c>
      <c r="G106" s="76">
        <f t="shared" si="26"/>
        <v>0</v>
      </c>
      <c r="H106" s="76">
        <f t="shared" si="27"/>
        <v>0</v>
      </c>
      <c r="I106" s="76">
        <f t="shared" si="28"/>
        <v>0</v>
      </c>
      <c r="J106" s="76">
        <f t="shared" si="29"/>
        <v>0</v>
      </c>
      <c r="K106" s="76">
        <f t="shared" si="30"/>
        <v>0</v>
      </c>
      <c r="L106" s="76">
        <f t="shared" si="31"/>
        <v>0</v>
      </c>
      <c r="M106" s="76">
        <f t="shared" si="32"/>
        <v>0</v>
      </c>
      <c r="N106" s="77">
        <f t="shared" si="33"/>
        <v>0</v>
      </c>
      <c r="O106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07" spans="1:15" s="46" customFormat="1" ht="24.6" x14ac:dyDescent="0.25">
      <c r="A107" s="74">
        <v>96</v>
      </c>
      <c r="B107" s="79"/>
      <c r="C107" s="75"/>
      <c r="D107" s="76">
        <f t="shared" si="23"/>
        <v>0</v>
      </c>
      <c r="E107" s="76">
        <f t="shared" si="24"/>
        <v>0</v>
      </c>
      <c r="F107" s="76">
        <f t="shared" si="25"/>
        <v>0</v>
      </c>
      <c r="G107" s="76">
        <f t="shared" si="26"/>
        <v>0</v>
      </c>
      <c r="H107" s="76">
        <f t="shared" si="27"/>
        <v>0</v>
      </c>
      <c r="I107" s="76">
        <f t="shared" si="28"/>
        <v>0</v>
      </c>
      <c r="J107" s="76">
        <f t="shared" si="29"/>
        <v>0</v>
      </c>
      <c r="K107" s="76">
        <f t="shared" si="30"/>
        <v>0</v>
      </c>
      <c r="L107" s="76">
        <f t="shared" si="31"/>
        <v>0</v>
      </c>
      <c r="M107" s="76">
        <f t="shared" si="32"/>
        <v>0</v>
      </c>
      <c r="N107" s="77">
        <f t="shared" si="33"/>
        <v>0</v>
      </c>
      <c r="O107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08" spans="1:15" s="46" customFormat="1" ht="24.6" x14ac:dyDescent="0.25">
      <c r="A108" s="74">
        <v>97</v>
      </c>
      <c r="B108" s="79"/>
      <c r="C108" s="75"/>
      <c r="D108" s="76">
        <f t="shared" ref="D108:D139" si="34">HLOOKUP("S"&amp;A108,Score_task1,12,0)</f>
        <v>0</v>
      </c>
      <c r="E108" s="76">
        <f t="shared" ref="E108:E139" si="35">HLOOKUP("S"&amp;A108,Score_task2,12,0)</f>
        <v>0</v>
      </c>
      <c r="F108" s="76">
        <f t="shared" ref="F108:F139" si="36">HLOOKUP("S"&amp;A108,Score_task3,12,0)</f>
        <v>0</v>
      </c>
      <c r="G108" s="76">
        <f t="shared" ref="G108:G139" si="37">HLOOKUP("S"&amp;A108,Score_task4,12,0)</f>
        <v>0</v>
      </c>
      <c r="H108" s="76">
        <f t="shared" ref="H108:H139" si="38">HLOOKUP("S"&amp;A108,Score_task5,12,0)</f>
        <v>0</v>
      </c>
      <c r="I108" s="76">
        <f t="shared" ref="I108:I139" si="39">HLOOKUP("S"&amp;A108,Score_task6,12,0)</f>
        <v>0</v>
      </c>
      <c r="J108" s="76">
        <f t="shared" ref="J108:J139" si="40">HLOOKUP("S"&amp;A108,Score_task7,12,0)</f>
        <v>0</v>
      </c>
      <c r="K108" s="76">
        <f t="shared" ref="K108:K139" si="41">HLOOKUP("S"&amp;A108,Score_task8,12,0)</f>
        <v>0</v>
      </c>
      <c r="L108" s="76">
        <f t="shared" ref="L108:L139" si="42">HLOOKUP("S"&amp;A108,Score_task9,12,0)</f>
        <v>0</v>
      </c>
      <c r="M108" s="76">
        <f t="shared" ref="M108:M139" si="43">HLOOKUP("S"&amp;A108,Score_task10,12,0)</f>
        <v>0</v>
      </c>
      <c r="N108" s="77">
        <f t="shared" ref="N108:N139" si="44">SUM(D108:M108)</f>
        <v>0</v>
      </c>
      <c r="O108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09" spans="1:15" s="46" customFormat="1" ht="24.6" x14ac:dyDescent="0.25">
      <c r="A109" s="74">
        <v>98</v>
      </c>
      <c r="B109" s="79"/>
      <c r="C109" s="75"/>
      <c r="D109" s="76">
        <f t="shared" si="34"/>
        <v>0</v>
      </c>
      <c r="E109" s="76">
        <f t="shared" si="35"/>
        <v>0</v>
      </c>
      <c r="F109" s="76">
        <f t="shared" si="36"/>
        <v>0</v>
      </c>
      <c r="G109" s="76">
        <f t="shared" si="37"/>
        <v>0</v>
      </c>
      <c r="H109" s="76">
        <f t="shared" si="38"/>
        <v>0</v>
      </c>
      <c r="I109" s="76">
        <f t="shared" si="39"/>
        <v>0</v>
      </c>
      <c r="J109" s="76">
        <f t="shared" si="40"/>
        <v>0</v>
      </c>
      <c r="K109" s="76">
        <f t="shared" si="41"/>
        <v>0</v>
      </c>
      <c r="L109" s="76">
        <f t="shared" si="42"/>
        <v>0</v>
      </c>
      <c r="M109" s="76">
        <f t="shared" si="43"/>
        <v>0</v>
      </c>
      <c r="N109" s="77">
        <f t="shared" si="44"/>
        <v>0</v>
      </c>
      <c r="O109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10" spans="1:15" s="46" customFormat="1" ht="24.6" x14ac:dyDescent="0.25">
      <c r="A110" s="74">
        <v>99</v>
      </c>
      <c r="B110" s="79"/>
      <c r="C110" s="75"/>
      <c r="D110" s="76">
        <f t="shared" si="34"/>
        <v>0</v>
      </c>
      <c r="E110" s="76">
        <f t="shared" si="35"/>
        <v>0</v>
      </c>
      <c r="F110" s="76">
        <f t="shared" si="36"/>
        <v>0</v>
      </c>
      <c r="G110" s="76">
        <f t="shared" si="37"/>
        <v>0</v>
      </c>
      <c r="H110" s="76">
        <f t="shared" si="38"/>
        <v>0</v>
      </c>
      <c r="I110" s="76">
        <f t="shared" si="39"/>
        <v>0</v>
      </c>
      <c r="J110" s="76">
        <f t="shared" si="40"/>
        <v>0</v>
      </c>
      <c r="K110" s="76">
        <f t="shared" si="41"/>
        <v>0</v>
      </c>
      <c r="L110" s="76">
        <f t="shared" si="42"/>
        <v>0</v>
      </c>
      <c r="M110" s="76">
        <f t="shared" si="43"/>
        <v>0</v>
      </c>
      <c r="N110" s="77">
        <f t="shared" si="44"/>
        <v>0</v>
      </c>
      <c r="O110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11" spans="1:15" s="46" customFormat="1" ht="24.6" x14ac:dyDescent="0.25">
      <c r="A111" s="74">
        <v>100</v>
      </c>
      <c r="B111" s="79"/>
      <c r="C111" s="75"/>
      <c r="D111" s="76">
        <f t="shared" si="34"/>
        <v>0</v>
      </c>
      <c r="E111" s="76">
        <f t="shared" si="35"/>
        <v>0</v>
      </c>
      <c r="F111" s="76">
        <f t="shared" si="36"/>
        <v>0</v>
      </c>
      <c r="G111" s="76">
        <f t="shared" si="37"/>
        <v>0</v>
      </c>
      <c r="H111" s="76">
        <f t="shared" si="38"/>
        <v>0</v>
      </c>
      <c r="I111" s="76">
        <f t="shared" si="39"/>
        <v>0</v>
      </c>
      <c r="J111" s="76">
        <f t="shared" si="40"/>
        <v>0</v>
      </c>
      <c r="K111" s="76">
        <f t="shared" si="41"/>
        <v>0</v>
      </c>
      <c r="L111" s="76">
        <f t="shared" si="42"/>
        <v>0</v>
      </c>
      <c r="M111" s="76">
        <f t="shared" si="43"/>
        <v>0</v>
      </c>
      <c r="N111" s="77">
        <f t="shared" si="44"/>
        <v>0</v>
      </c>
      <c r="O111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12" spans="1:15" s="46" customFormat="1" ht="24.6" x14ac:dyDescent="0.25">
      <c r="A112" s="74">
        <v>101</v>
      </c>
      <c r="B112" s="79"/>
      <c r="C112" s="75"/>
      <c r="D112" s="76">
        <f t="shared" si="34"/>
        <v>0</v>
      </c>
      <c r="E112" s="76">
        <f t="shared" si="35"/>
        <v>0</v>
      </c>
      <c r="F112" s="76">
        <f t="shared" si="36"/>
        <v>0</v>
      </c>
      <c r="G112" s="76">
        <f t="shared" si="37"/>
        <v>0</v>
      </c>
      <c r="H112" s="76">
        <f t="shared" si="38"/>
        <v>0</v>
      </c>
      <c r="I112" s="76">
        <f t="shared" si="39"/>
        <v>0</v>
      </c>
      <c r="J112" s="76">
        <f t="shared" si="40"/>
        <v>0</v>
      </c>
      <c r="K112" s="76">
        <f t="shared" si="41"/>
        <v>0</v>
      </c>
      <c r="L112" s="76">
        <f t="shared" si="42"/>
        <v>0</v>
      </c>
      <c r="M112" s="76">
        <f t="shared" si="43"/>
        <v>0</v>
      </c>
      <c r="N112" s="77">
        <f t="shared" si="44"/>
        <v>0</v>
      </c>
      <c r="O112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13" spans="1:15" s="46" customFormat="1" ht="24.6" x14ac:dyDescent="0.25">
      <c r="A113" s="74">
        <v>102</v>
      </c>
      <c r="B113" s="79"/>
      <c r="C113" s="75"/>
      <c r="D113" s="76">
        <f t="shared" si="34"/>
        <v>0</v>
      </c>
      <c r="E113" s="76">
        <f t="shared" si="35"/>
        <v>0</v>
      </c>
      <c r="F113" s="76">
        <f t="shared" si="36"/>
        <v>0</v>
      </c>
      <c r="G113" s="76">
        <f t="shared" si="37"/>
        <v>0</v>
      </c>
      <c r="H113" s="76">
        <f t="shared" si="38"/>
        <v>0</v>
      </c>
      <c r="I113" s="76">
        <f t="shared" si="39"/>
        <v>0</v>
      </c>
      <c r="J113" s="76">
        <f t="shared" si="40"/>
        <v>0</v>
      </c>
      <c r="K113" s="76">
        <f t="shared" si="41"/>
        <v>0</v>
      </c>
      <c r="L113" s="76">
        <f t="shared" si="42"/>
        <v>0</v>
      </c>
      <c r="M113" s="76">
        <f t="shared" si="43"/>
        <v>0</v>
      </c>
      <c r="N113" s="77">
        <f t="shared" si="44"/>
        <v>0</v>
      </c>
      <c r="O113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14" spans="1:15" s="46" customFormat="1" ht="24.6" x14ac:dyDescent="0.25">
      <c r="A114" s="74">
        <v>103</v>
      </c>
      <c r="B114" s="79"/>
      <c r="C114" s="75"/>
      <c r="D114" s="76">
        <f t="shared" si="34"/>
        <v>0</v>
      </c>
      <c r="E114" s="76">
        <f t="shared" si="35"/>
        <v>0</v>
      </c>
      <c r="F114" s="76">
        <f t="shared" si="36"/>
        <v>0</v>
      </c>
      <c r="G114" s="76">
        <f t="shared" si="37"/>
        <v>0</v>
      </c>
      <c r="H114" s="76">
        <f t="shared" si="38"/>
        <v>0</v>
      </c>
      <c r="I114" s="76">
        <f t="shared" si="39"/>
        <v>0</v>
      </c>
      <c r="J114" s="76">
        <f t="shared" si="40"/>
        <v>0</v>
      </c>
      <c r="K114" s="76">
        <f t="shared" si="41"/>
        <v>0</v>
      </c>
      <c r="L114" s="76">
        <f t="shared" si="42"/>
        <v>0</v>
      </c>
      <c r="M114" s="76">
        <f t="shared" si="43"/>
        <v>0</v>
      </c>
      <c r="N114" s="77">
        <f t="shared" si="44"/>
        <v>0</v>
      </c>
      <c r="O114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15" spans="1:15" s="46" customFormat="1" ht="24.6" x14ac:dyDescent="0.25">
      <c r="A115" s="74">
        <v>104</v>
      </c>
      <c r="B115" s="79"/>
      <c r="C115" s="75"/>
      <c r="D115" s="76">
        <f t="shared" si="34"/>
        <v>0</v>
      </c>
      <c r="E115" s="76">
        <f t="shared" si="35"/>
        <v>0</v>
      </c>
      <c r="F115" s="76">
        <f t="shared" si="36"/>
        <v>0</v>
      </c>
      <c r="G115" s="76">
        <f t="shared" si="37"/>
        <v>0</v>
      </c>
      <c r="H115" s="76">
        <f t="shared" si="38"/>
        <v>0</v>
      </c>
      <c r="I115" s="76">
        <f t="shared" si="39"/>
        <v>0</v>
      </c>
      <c r="J115" s="76">
        <f t="shared" si="40"/>
        <v>0</v>
      </c>
      <c r="K115" s="76">
        <f t="shared" si="41"/>
        <v>0</v>
      </c>
      <c r="L115" s="76">
        <f t="shared" si="42"/>
        <v>0</v>
      </c>
      <c r="M115" s="76">
        <f t="shared" si="43"/>
        <v>0</v>
      </c>
      <c r="N115" s="77">
        <f t="shared" si="44"/>
        <v>0</v>
      </c>
      <c r="O115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16" spans="1:15" s="46" customFormat="1" ht="24.6" x14ac:dyDescent="0.25">
      <c r="A116" s="74">
        <v>105</v>
      </c>
      <c r="B116" s="79"/>
      <c r="C116" s="75"/>
      <c r="D116" s="76">
        <f t="shared" si="34"/>
        <v>0</v>
      </c>
      <c r="E116" s="76">
        <f t="shared" si="35"/>
        <v>0</v>
      </c>
      <c r="F116" s="76">
        <f t="shared" si="36"/>
        <v>0</v>
      </c>
      <c r="G116" s="76">
        <f t="shared" si="37"/>
        <v>0</v>
      </c>
      <c r="H116" s="76">
        <f t="shared" si="38"/>
        <v>0</v>
      </c>
      <c r="I116" s="76">
        <f t="shared" si="39"/>
        <v>0</v>
      </c>
      <c r="J116" s="76">
        <f t="shared" si="40"/>
        <v>0</v>
      </c>
      <c r="K116" s="76">
        <f t="shared" si="41"/>
        <v>0</v>
      </c>
      <c r="L116" s="76">
        <f t="shared" si="42"/>
        <v>0</v>
      </c>
      <c r="M116" s="76">
        <f t="shared" si="43"/>
        <v>0</v>
      </c>
      <c r="N116" s="77">
        <f t="shared" si="44"/>
        <v>0</v>
      </c>
      <c r="O116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17" spans="1:15" s="46" customFormat="1" ht="24.6" x14ac:dyDescent="0.25">
      <c r="A117" s="74">
        <v>106</v>
      </c>
      <c r="B117" s="79"/>
      <c r="C117" s="75"/>
      <c r="D117" s="76">
        <f t="shared" si="34"/>
        <v>0</v>
      </c>
      <c r="E117" s="76">
        <f t="shared" si="35"/>
        <v>0</v>
      </c>
      <c r="F117" s="76">
        <f t="shared" si="36"/>
        <v>0</v>
      </c>
      <c r="G117" s="76">
        <f t="shared" si="37"/>
        <v>0</v>
      </c>
      <c r="H117" s="76">
        <f t="shared" si="38"/>
        <v>0</v>
      </c>
      <c r="I117" s="76">
        <f t="shared" si="39"/>
        <v>0</v>
      </c>
      <c r="J117" s="76">
        <f t="shared" si="40"/>
        <v>0</v>
      </c>
      <c r="K117" s="76">
        <f t="shared" si="41"/>
        <v>0</v>
      </c>
      <c r="L117" s="76">
        <f t="shared" si="42"/>
        <v>0</v>
      </c>
      <c r="M117" s="76">
        <f t="shared" si="43"/>
        <v>0</v>
      </c>
      <c r="N117" s="77">
        <f t="shared" si="44"/>
        <v>0</v>
      </c>
      <c r="O117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18" spans="1:15" s="46" customFormat="1" ht="24.6" x14ac:dyDescent="0.25">
      <c r="A118" s="74">
        <v>107</v>
      </c>
      <c r="B118" s="79"/>
      <c r="C118" s="75"/>
      <c r="D118" s="76">
        <f t="shared" si="34"/>
        <v>0</v>
      </c>
      <c r="E118" s="76">
        <f t="shared" si="35"/>
        <v>0</v>
      </c>
      <c r="F118" s="76">
        <f t="shared" si="36"/>
        <v>0</v>
      </c>
      <c r="G118" s="76">
        <f t="shared" si="37"/>
        <v>0</v>
      </c>
      <c r="H118" s="76">
        <f t="shared" si="38"/>
        <v>0</v>
      </c>
      <c r="I118" s="76">
        <f t="shared" si="39"/>
        <v>0</v>
      </c>
      <c r="J118" s="76">
        <f t="shared" si="40"/>
        <v>0</v>
      </c>
      <c r="K118" s="76">
        <f t="shared" si="41"/>
        <v>0</v>
      </c>
      <c r="L118" s="76">
        <f t="shared" si="42"/>
        <v>0</v>
      </c>
      <c r="M118" s="76">
        <f t="shared" si="43"/>
        <v>0</v>
      </c>
      <c r="N118" s="77">
        <f t="shared" si="44"/>
        <v>0</v>
      </c>
      <c r="O118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19" spans="1:15" s="46" customFormat="1" ht="24.6" x14ac:dyDescent="0.25">
      <c r="A119" s="74">
        <v>108</v>
      </c>
      <c r="B119" s="79"/>
      <c r="C119" s="75"/>
      <c r="D119" s="76">
        <f t="shared" si="34"/>
        <v>0</v>
      </c>
      <c r="E119" s="76">
        <f t="shared" si="35"/>
        <v>0</v>
      </c>
      <c r="F119" s="76">
        <f t="shared" si="36"/>
        <v>0</v>
      </c>
      <c r="G119" s="76">
        <f t="shared" si="37"/>
        <v>0</v>
      </c>
      <c r="H119" s="76">
        <f t="shared" si="38"/>
        <v>0</v>
      </c>
      <c r="I119" s="76">
        <f t="shared" si="39"/>
        <v>0</v>
      </c>
      <c r="J119" s="76">
        <f t="shared" si="40"/>
        <v>0</v>
      </c>
      <c r="K119" s="76">
        <f t="shared" si="41"/>
        <v>0</v>
      </c>
      <c r="L119" s="76">
        <f t="shared" si="42"/>
        <v>0</v>
      </c>
      <c r="M119" s="76">
        <f t="shared" si="43"/>
        <v>0</v>
      </c>
      <c r="N119" s="77">
        <f t="shared" si="44"/>
        <v>0</v>
      </c>
      <c r="O119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20" spans="1:15" s="46" customFormat="1" ht="24.6" x14ac:dyDescent="0.25">
      <c r="A120" s="74">
        <v>109</v>
      </c>
      <c r="B120" s="79"/>
      <c r="C120" s="75"/>
      <c r="D120" s="76">
        <f t="shared" si="34"/>
        <v>0</v>
      </c>
      <c r="E120" s="76">
        <f t="shared" si="35"/>
        <v>0</v>
      </c>
      <c r="F120" s="76">
        <f t="shared" si="36"/>
        <v>0</v>
      </c>
      <c r="G120" s="76">
        <f t="shared" si="37"/>
        <v>0</v>
      </c>
      <c r="H120" s="76">
        <f t="shared" si="38"/>
        <v>0</v>
      </c>
      <c r="I120" s="76">
        <f t="shared" si="39"/>
        <v>0</v>
      </c>
      <c r="J120" s="76">
        <f t="shared" si="40"/>
        <v>0</v>
      </c>
      <c r="K120" s="76">
        <f t="shared" si="41"/>
        <v>0</v>
      </c>
      <c r="L120" s="76">
        <f t="shared" si="42"/>
        <v>0</v>
      </c>
      <c r="M120" s="76">
        <f t="shared" si="43"/>
        <v>0</v>
      </c>
      <c r="N120" s="77">
        <f t="shared" si="44"/>
        <v>0</v>
      </c>
      <c r="O120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21" spans="1:15" s="46" customFormat="1" ht="24.6" x14ac:dyDescent="0.25">
      <c r="A121" s="74">
        <v>110</v>
      </c>
      <c r="B121" s="79"/>
      <c r="C121" s="75"/>
      <c r="D121" s="76">
        <f t="shared" si="34"/>
        <v>0</v>
      </c>
      <c r="E121" s="76">
        <f t="shared" si="35"/>
        <v>0</v>
      </c>
      <c r="F121" s="76">
        <f t="shared" si="36"/>
        <v>0</v>
      </c>
      <c r="G121" s="76">
        <f t="shared" si="37"/>
        <v>0</v>
      </c>
      <c r="H121" s="76">
        <f t="shared" si="38"/>
        <v>0</v>
      </c>
      <c r="I121" s="76">
        <f t="shared" si="39"/>
        <v>0</v>
      </c>
      <c r="J121" s="76">
        <f t="shared" si="40"/>
        <v>0</v>
      </c>
      <c r="K121" s="76">
        <f t="shared" si="41"/>
        <v>0</v>
      </c>
      <c r="L121" s="76">
        <f t="shared" si="42"/>
        <v>0</v>
      </c>
      <c r="M121" s="76">
        <f t="shared" si="43"/>
        <v>0</v>
      </c>
      <c r="N121" s="77">
        <f t="shared" si="44"/>
        <v>0</v>
      </c>
      <c r="O121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22" spans="1:15" s="46" customFormat="1" ht="24.6" x14ac:dyDescent="0.25">
      <c r="A122" s="74">
        <v>111</v>
      </c>
      <c r="B122" s="79"/>
      <c r="C122" s="75"/>
      <c r="D122" s="76">
        <f t="shared" si="34"/>
        <v>0</v>
      </c>
      <c r="E122" s="76">
        <f t="shared" si="35"/>
        <v>0</v>
      </c>
      <c r="F122" s="76">
        <f t="shared" si="36"/>
        <v>0</v>
      </c>
      <c r="G122" s="76">
        <f t="shared" si="37"/>
        <v>0</v>
      </c>
      <c r="H122" s="76">
        <f t="shared" si="38"/>
        <v>0</v>
      </c>
      <c r="I122" s="76">
        <f t="shared" si="39"/>
        <v>0</v>
      </c>
      <c r="J122" s="76">
        <f t="shared" si="40"/>
        <v>0</v>
      </c>
      <c r="K122" s="76">
        <f t="shared" si="41"/>
        <v>0</v>
      </c>
      <c r="L122" s="76">
        <f t="shared" si="42"/>
        <v>0</v>
      </c>
      <c r="M122" s="76">
        <f t="shared" si="43"/>
        <v>0</v>
      </c>
      <c r="N122" s="77">
        <f t="shared" si="44"/>
        <v>0</v>
      </c>
      <c r="O122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23" spans="1:15" s="46" customFormat="1" ht="24.6" x14ac:dyDescent="0.25">
      <c r="A123" s="74">
        <v>112</v>
      </c>
      <c r="B123" s="79"/>
      <c r="C123" s="75"/>
      <c r="D123" s="76">
        <f t="shared" si="34"/>
        <v>0</v>
      </c>
      <c r="E123" s="76">
        <f t="shared" si="35"/>
        <v>0</v>
      </c>
      <c r="F123" s="76">
        <f t="shared" si="36"/>
        <v>0</v>
      </c>
      <c r="G123" s="76">
        <f t="shared" si="37"/>
        <v>0</v>
      </c>
      <c r="H123" s="76">
        <f t="shared" si="38"/>
        <v>0</v>
      </c>
      <c r="I123" s="76">
        <f t="shared" si="39"/>
        <v>0</v>
      </c>
      <c r="J123" s="76">
        <f t="shared" si="40"/>
        <v>0</v>
      </c>
      <c r="K123" s="76">
        <f t="shared" si="41"/>
        <v>0</v>
      </c>
      <c r="L123" s="76">
        <f t="shared" si="42"/>
        <v>0</v>
      </c>
      <c r="M123" s="76">
        <f t="shared" si="43"/>
        <v>0</v>
      </c>
      <c r="N123" s="77">
        <f t="shared" si="44"/>
        <v>0</v>
      </c>
      <c r="O123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24" spans="1:15" s="46" customFormat="1" ht="24.6" x14ac:dyDescent="0.25">
      <c r="A124" s="74">
        <v>113</v>
      </c>
      <c r="B124" s="79"/>
      <c r="C124" s="75"/>
      <c r="D124" s="76">
        <f t="shared" si="34"/>
        <v>0</v>
      </c>
      <c r="E124" s="76">
        <f t="shared" si="35"/>
        <v>0</v>
      </c>
      <c r="F124" s="76">
        <f t="shared" si="36"/>
        <v>0</v>
      </c>
      <c r="G124" s="76">
        <f t="shared" si="37"/>
        <v>0</v>
      </c>
      <c r="H124" s="76">
        <f t="shared" si="38"/>
        <v>0</v>
      </c>
      <c r="I124" s="76">
        <f t="shared" si="39"/>
        <v>0</v>
      </c>
      <c r="J124" s="76">
        <f t="shared" si="40"/>
        <v>0</v>
      </c>
      <c r="K124" s="76">
        <f t="shared" si="41"/>
        <v>0</v>
      </c>
      <c r="L124" s="76">
        <f t="shared" si="42"/>
        <v>0</v>
      </c>
      <c r="M124" s="76">
        <f t="shared" si="43"/>
        <v>0</v>
      </c>
      <c r="N124" s="77">
        <f t="shared" si="44"/>
        <v>0</v>
      </c>
      <c r="O124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25" spans="1:15" s="46" customFormat="1" ht="24.6" x14ac:dyDescent="0.25">
      <c r="A125" s="74">
        <v>114</v>
      </c>
      <c r="B125" s="79"/>
      <c r="C125" s="75"/>
      <c r="D125" s="76">
        <f t="shared" si="34"/>
        <v>0</v>
      </c>
      <c r="E125" s="76">
        <f t="shared" si="35"/>
        <v>0</v>
      </c>
      <c r="F125" s="76">
        <f t="shared" si="36"/>
        <v>0</v>
      </c>
      <c r="G125" s="76">
        <f t="shared" si="37"/>
        <v>0</v>
      </c>
      <c r="H125" s="76">
        <f t="shared" si="38"/>
        <v>0</v>
      </c>
      <c r="I125" s="76">
        <f t="shared" si="39"/>
        <v>0</v>
      </c>
      <c r="J125" s="76">
        <f t="shared" si="40"/>
        <v>0</v>
      </c>
      <c r="K125" s="76">
        <f t="shared" si="41"/>
        <v>0</v>
      </c>
      <c r="L125" s="76">
        <f t="shared" si="42"/>
        <v>0</v>
      </c>
      <c r="M125" s="76">
        <f t="shared" si="43"/>
        <v>0</v>
      </c>
      <c r="N125" s="77">
        <f t="shared" si="44"/>
        <v>0</v>
      </c>
      <c r="O125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26" spans="1:15" s="46" customFormat="1" ht="24.6" x14ac:dyDescent="0.25">
      <c r="A126" s="80">
        <v>115</v>
      </c>
      <c r="B126" s="81"/>
      <c r="C126" s="82"/>
      <c r="D126" s="83">
        <f t="shared" si="34"/>
        <v>0</v>
      </c>
      <c r="E126" s="83">
        <f t="shared" si="35"/>
        <v>0</v>
      </c>
      <c r="F126" s="83">
        <f t="shared" si="36"/>
        <v>0</v>
      </c>
      <c r="G126" s="76">
        <f t="shared" si="37"/>
        <v>0</v>
      </c>
      <c r="H126" s="83">
        <f t="shared" si="38"/>
        <v>0</v>
      </c>
      <c r="I126" s="83">
        <f t="shared" si="39"/>
        <v>0</v>
      </c>
      <c r="J126" s="83">
        <f t="shared" si="40"/>
        <v>0</v>
      </c>
      <c r="K126" s="83">
        <f t="shared" si="41"/>
        <v>0</v>
      </c>
      <c r="L126" s="83">
        <f t="shared" si="42"/>
        <v>0</v>
      </c>
      <c r="M126" s="83">
        <f t="shared" si="43"/>
        <v>0</v>
      </c>
      <c r="N126" s="84">
        <f t="shared" si="44"/>
        <v>0</v>
      </c>
      <c r="O126" s="78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27" spans="1:15" ht="24.6" x14ac:dyDescent="0.25">
      <c r="A127" s="74">
        <v>116</v>
      </c>
      <c r="B127" s="79"/>
      <c r="C127" s="75"/>
      <c r="D127" s="76">
        <f t="shared" si="34"/>
        <v>0</v>
      </c>
      <c r="E127" s="76">
        <f t="shared" si="35"/>
        <v>0</v>
      </c>
      <c r="F127" s="76">
        <f t="shared" si="36"/>
        <v>0</v>
      </c>
      <c r="G127" s="76">
        <f t="shared" si="37"/>
        <v>0</v>
      </c>
      <c r="H127" s="76">
        <f t="shared" si="38"/>
        <v>0</v>
      </c>
      <c r="I127" s="76">
        <f t="shared" si="39"/>
        <v>0</v>
      </c>
      <c r="J127" s="76">
        <f t="shared" si="40"/>
        <v>0</v>
      </c>
      <c r="K127" s="76">
        <f t="shared" si="41"/>
        <v>0</v>
      </c>
      <c r="L127" s="76">
        <f t="shared" si="42"/>
        <v>0</v>
      </c>
      <c r="M127" s="130">
        <f t="shared" si="43"/>
        <v>0</v>
      </c>
      <c r="N127" s="77">
        <f t="shared" si="44"/>
        <v>0</v>
      </c>
      <c r="O127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28" spans="1:15" ht="24.6" x14ac:dyDescent="0.25">
      <c r="A128" s="80">
        <v>117</v>
      </c>
      <c r="B128" s="79"/>
      <c r="C128" s="75"/>
      <c r="D128" s="76">
        <f t="shared" si="34"/>
        <v>0</v>
      </c>
      <c r="E128" s="76">
        <f t="shared" si="35"/>
        <v>0</v>
      </c>
      <c r="F128" s="76">
        <f t="shared" si="36"/>
        <v>0</v>
      </c>
      <c r="G128" s="76">
        <f t="shared" si="37"/>
        <v>0</v>
      </c>
      <c r="H128" s="76">
        <f t="shared" si="38"/>
        <v>0</v>
      </c>
      <c r="I128" s="76">
        <f t="shared" si="39"/>
        <v>0</v>
      </c>
      <c r="J128" s="76">
        <f t="shared" si="40"/>
        <v>0</v>
      </c>
      <c r="K128" s="76">
        <f t="shared" si="41"/>
        <v>0</v>
      </c>
      <c r="L128" s="76">
        <f t="shared" si="42"/>
        <v>0</v>
      </c>
      <c r="M128" s="130">
        <f t="shared" si="43"/>
        <v>0</v>
      </c>
      <c r="N128" s="77">
        <f t="shared" si="44"/>
        <v>0</v>
      </c>
      <c r="O128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29" spans="1:15" ht="24.6" x14ac:dyDescent="0.25">
      <c r="A129" s="74">
        <v>118</v>
      </c>
      <c r="B129" s="79"/>
      <c r="C129" s="75"/>
      <c r="D129" s="76">
        <f t="shared" si="34"/>
        <v>0</v>
      </c>
      <c r="E129" s="76">
        <f t="shared" si="35"/>
        <v>0</v>
      </c>
      <c r="F129" s="76">
        <f t="shared" si="36"/>
        <v>0</v>
      </c>
      <c r="G129" s="76">
        <f t="shared" si="37"/>
        <v>0</v>
      </c>
      <c r="H129" s="76">
        <f t="shared" si="38"/>
        <v>0</v>
      </c>
      <c r="I129" s="76">
        <f t="shared" si="39"/>
        <v>0</v>
      </c>
      <c r="J129" s="76">
        <f t="shared" si="40"/>
        <v>0</v>
      </c>
      <c r="K129" s="76">
        <f t="shared" si="41"/>
        <v>0</v>
      </c>
      <c r="L129" s="76">
        <f t="shared" si="42"/>
        <v>0</v>
      </c>
      <c r="M129" s="130">
        <f t="shared" si="43"/>
        <v>0</v>
      </c>
      <c r="N129" s="77">
        <f t="shared" si="44"/>
        <v>0</v>
      </c>
      <c r="O129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30" spans="1:15" ht="24.6" x14ac:dyDescent="0.25">
      <c r="A130" s="80">
        <v>119</v>
      </c>
      <c r="B130" s="79"/>
      <c r="C130" s="75"/>
      <c r="D130" s="76">
        <f t="shared" si="34"/>
        <v>0</v>
      </c>
      <c r="E130" s="76">
        <f t="shared" si="35"/>
        <v>0</v>
      </c>
      <c r="F130" s="76">
        <f t="shared" si="36"/>
        <v>0</v>
      </c>
      <c r="G130" s="76">
        <f t="shared" si="37"/>
        <v>0</v>
      </c>
      <c r="H130" s="76">
        <f t="shared" si="38"/>
        <v>0</v>
      </c>
      <c r="I130" s="76">
        <f t="shared" si="39"/>
        <v>0</v>
      </c>
      <c r="J130" s="76">
        <f t="shared" si="40"/>
        <v>0</v>
      </c>
      <c r="K130" s="76">
        <f t="shared" si="41"/>
        <v>0</v>
      </c>
      <c r="L130" s="76">
        <f t="shared" si="42"/>
        <v>0</v>
      </c>
      <c r="M130" s="130">
        <f t="shared" si="43"/>
        <v>0</v>
      </c>
      <c r="N130" s="77">
        <f t="shared" si="44"/>
        <v>0</v>
      </c>
      <c r="O130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31" spans="1:15" ht="24.6" x14ac:dyDescent="0.25">
      <c r="A131" s="74">
        <v>120</v>
      </c>
      <c r="B131" s="79"/>
      <c r="C131" s="75"/>
      <c r="D131" s="76">
        <f t="shared" si="34"/>
        <v>0</v>
      </c>
      <c r="E131" s="76">
        <f t="shared" si="35"/>
        <v>0</v>
      </c>
      <c r="F131" s="76">
        <f t="shared" si="36"/>
        <v>0</v>
      </c>
      <c r="G131" s="76">
        <f t="shared" si="37"/>
        <v>0</v>
      </c>
      <c r="H131" s="76">
        <f t="shared" si="38"/>
        <v>0</v>
      </c>
      <c r="I131" s="76">
        <f t="shared" si="39"/>
        <v>0</v>
      </c>
      <c r="J131" s="76">
        <f t="shared" si="40"/>
        <v>0</v>
      </c>
      <c r="K131" s="76">
        <f t="shared" si="41"/>
        <v>0</v>
      </c>
      <c r="L131" s="76">
        <f t="shared" si="42"/>
        <v>0</v>
      </c>
      <c r="M131" s="130">
        <f t="shared" si="43"/>
        <v>0</v>
      </c>
      <c r="N131" s="77">
        <f t="shared" si="44"/>
        <v>0</v>
      </c>
      <c r="O131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32" spans="1:15" ht="24.6" x14ac:dyDescent="0.25">
      <c r="A132" s="80">
        <v>121</v>
      </c>
      <c r="B132" s="79"/>
      <c r="C132" s="75"/>
      <c r="D132" s="76">
        <f t="shared" si="34"/>
        <v>0</v>
      </c>
      <c r="E132" s="76">
        <f t="shared" si="35"/>
        <v>0</v>
      </c>
      <c r="F132" s="76">
        <f t="shared" si="36"/>
        <v>0</v>
      </c>
      <c r="G132" s="76">
        <f t="shared" si="37"/>
        <v>0</v>
      </c>
      <c r="H132" s="76">
        <f t="shared" si="38"/>
        <v>0</v>
      </c>
      <c r="I132" s="76">
        <f t="shared" si="39"/>
        <v>0</v>
      </c>
      <c r="J132" s="76">
        <f t="shared" si="40"/>
        <v>0</v>
      </c>
      <c r="K132" s="76">
        <f t="shared" si="41"/>
        <v>0</v>
      </c>
      <c r="L132" s="76">
        <f t="shared" si="42"/>
        <v>0</v>
      </c>
      <c r="M132" s="130">
        <f t="shared" si="43"/>
        <v>0</v>
      </c>
      <c r="N132" s="77">
        <f t="shared" si="44"/>
        <v>0</v>
      </c>
      <c r="O132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33" spans="1:15" ht="24.6" x14ac:dyDescent="0.25">
      <c r="A133" s="74">
        <v>122</v>
      </c>
      <c r="B133" s="79"/>
      <c r="C133" s="75"/>
      <c r="D133" s="76">
        <f t="shared" si="34"/>
        <v>0</v>
      </c>
      <c r="E133" s="76">
        <f t="shared" si="35"/>
        <v>0</v>
      </c>
      <c r="F133" s="76">
        <f t="shared" si="36"/>
        <v>0</v>
      </c>
      <c r="G133" s="76">
        <f t="shared" si="37"/>
        <v>0</v>
      </c>
      <c r="H133" s="76">
        <f t="shared" si="38"/>
        <v>0</v>
      </c>
      <c r="I133" s="76">
        <f t="shared" si="39"/>
        <v>0</v>
      </c>
      <c r="J133" s="76">
        <f t="shared" si="40"/>
        <v>0</v>
      </c>
      <c r="K133" s="76">
        <f t="shared" si="41"/>
        <v>0</v>
      </c>
      <c r="L133" s="76">
        <f t="shared" si="42"/>
        <v>0</v>
      </c>
      <c r="M133" s="130">
        <f t="shared" si="43"/>
        <v>0</v>
      </c>
      <c r="N133" s="77">
        <f t="shared" si="44"/>
        <v>0</v>
      </c>
      <c r="O133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34" spans="1:15" ht="24.6" x14ac:dyDescent="0.25">
      <c r="A134" s="80">
        <v>123</v>
      </c>
      <c r="B134" s="79"/>
      <c r="C134" s="75"/>
      <c r="D134" s="76">
        <f t="shared" si="34"/>
        <v>0</v>
      </c>
      <c r="E134" s="76">
        <f t="shared" si="35"/>
        <v>0</v>
      </c>
      <c r="F134" s="76">
        <f t="shared" si="36"/>
        <v>0</v>
      </c>
      <c r="G134" s="76">
        <f t="shared" si="37"/>
        <v>0</v>
      </c>
      <c r="H134" s="76">
        <f t="shared" si="38"/>
        <v>0</v>
      </c>
      <c r="I134" s="76">
        <f t="shared" si="39"/>
        <v>0</v>
      </c>
      <c r="J134" s="76">
        <f t="shared" si="40"/>
        <v>0</v>
      </c>
      <c r="K134" s="76">
        <f t="shared" si="41"/>
        <v>0</v>
      </c>
      <c r="L134" s="76">
        <f t="shared" si="42"/>
        <v>0</v>
      </c>
      <c r="M134" s="130">
        <f t="shared" si="43"/>
        <v>0</v>
      </c>
      <c r="N134" s="77">
        <f t="shared" si="44"/>
        <v>0</v>
      </c>
      <c r="O134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35" spans="1:15" ht="24.6" x14ac:dyDescent="0.25">
      <c r="A135" s="74">
        <v>124</v>
      </c>
      <c r="B135" s="79"/>
      <c r="C135" s="75"/>
      <c r="D135" s="76">
        <f t="shared" si="34"/>
        <v>0</v>
      </c>
      <c r="E135" s="76">
        <f t="shared" si="35"/>
        <v>0</v>
      </c>
      <c r="F135" s="76">
        <f t="shared" si="36"/>
        <v>0</v>
      </c>
      <c r="G135" s="76">
        <f t="shared" si="37"/>
        <v>0</v>
      </c>
      <c r="H135" s="76">
        <f t="shared" si="38"/>
        <v>0</v>
      </c>
      <c r="I135" s="76">
        <f t="shared" si="39"/>
        <v>0</v>
      </c>
      <c r="J135" s="76">
        <f t="shared" si="40"/>
        <v>0</v>
      </c>
      <c r="K135" s="76">
        <f t="shared" si="41"/>
        <v>0</v>
      </c>
      <c r="L135" s="76">
        <f t="shared" si="42"/>
        <v>0</v>
      </c>
      <c r="M135" s="130">
        <f t="shared" si="43"/>
        <v>0</v>
      </c>
      <c r="N135" s="77">
        <f t="shared" si="44"/>
        <v>0</v>
      </c>
      <c r="O135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36" spans="1:15" ht="24.6" x14ac:dyDescent="0.25">
      <c r="A136" s="80">
        <v>125</v>
      </c>
      <c r="B136" s="79"/>
      <c r="C136" s="75"/>
      <c r="D136" s="76">
        <f t="shared" si="34"/>
        <v>0</v>
      </c>
      <c r="E136" s="76">
        <f t="shared" si="35"/>
        <v>0</v>
      </c>
      <c r="F136" s="76">
        <f t="shared" si="36"/>
        <v>0</v>
      </c>
      <c r="G136" s="76">
        <f t="shared" si="37"/>
        <v>0</v>
      </c>
      <c r="H136" s="76">
        <f t="shared" si="38"/>
        <v>0</v>
      </c>
      <c r="I136" s="76">
        <f t="shared" si="39"/>
        <v>0</v>
      </c>
      <c r="J136" s="76">
        <f t="shared" si="40"/>
        <v>0</v>
      </c>
      <c r="K136" s="76">
        <f t="shared" si="41"/>
        <v>0</v>
      </c>
      <c r="L136" s="76">
        <f t="shared" si="42"/>
        <v>0</v>
      </c>
      <c r="M136" s="130">
        <f t="shared" si="43"/>
        <v>0</v>
      </c>
      <c r="N136" s="77">
        <f t="shared" si="44"/>
        <v>0</v>
      </c>
      <c r="O136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37" spans="1:15" ht="24.6" x14ac:dyDescent="0.25">
      <c r="A137" s="74">
        <v>126</v>
      </c>
      <c r="B137" s="79"/>
      <c r="C137" s="75"/>
      <c r="D137" s="76">
        <f t="shared" si="34"/>
        <v>0</v>
      </c>
      <c r="E137" s="76">
        <f t="shared" si="35"/>
        <v>0</v>
      </c>
      <c r="F137" s="76">
        <f t="shared" si="36"/>
        <v>0</v>
      </c>
      <c r="G137" s="76">
        <f t="shared" si="37"/>
        <v>0</v>
      </c>
      <c r="H137" s="76">
        <f t="shared" si="38"/>
        <v>0</v>
      </c>
      <c r="I137" s="76">
        <f t="shared" si="39"/>
        <v>0</v>
      </c>
      <c r="J137" s="76">
        <f t="shared" si="40"/>
        <v>0</v>
      </c>
      <c r="K137" s="76">
        <f t="shared" si="41"/>
        <v>0</v>
      </c>
      <c r="L137" s="76">
        <f t="shared" si="42"/>
        <v>0</v>
      </c>
      <c r="M137" s="130">
        <f t="shared" si="43"/>
        <v>0</v>
      </c>
      <c r="N137" s="77">
        <f t="shared" si="44"/>
        <v>0</v>
      </c>
      <c r="O137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38" spans="1:15" ht="24.6" x14ac:dyDescent="0.25">
      <c r="A138" s="80">
        <v>127</v>
      </c>
      <c r="B138" s="79"/>
      <c r="C138" s="75"/>
      <c r="D138" s="76">
        <f t="shared" si="34"/>
        <v>0</v>
      </c>
      <c r="E138" s="76">
        <f t="shared" si="35"/>
        <v>0</v>
      </c>
      <c r="F138" s="76">
        <f t="shared" si="36"/>
        <v>0</v>
      </c>
      <c r="G138" s="76">
        <f t="shared" si="37"/>
        <v>0</v>
      </c>
      <c r="H138" s="76">
        <f t="shared" si="38"/>
        <v>0</v>
      </c>
      <c r="I138" s="76">
        <f t="shared" si="39"/>
        <v>0</v>
      </c>
      <c r="J138" s="76">
        <f t="shared" si="40"/>
        <v>0</v>
      </c>
      <c r="K138" s="76">
        <f t="shared" si="41"/>
        <v>0</v>
      </c>
      <c r="L138" s="76">
        <f t="shared" si="42"/>
        <v>0</v>
      </c>
      <c r="M138" s="130">
        <f t="shared" si="43"/>
        <v>0</v>
      </c>
      <c r="N138" s="77">
        <f t="shared" si="44"/>
        <v>0</v>
      </c>
      <c r="O138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39" spans="1:15" ht="24.6" x14ac:dyDescent="0.25">
      <c r="A139" s="74">
        <v>128</v>
      </c>
      <c r="B139" s="79"/>
      <c r="C139" s="75"/>
      <c r="D139" s="76">
        <f t="shared" si="34"/>
        <v>0</v>
      </c>
      <c r="E139" s="76">
        <f t="shared" si="35"/>
        <v>0</v>
      </c>
      <c r="F139" s="76">
        <f t="shared" si="36"/>
        <v>0</v>
      </c>
      <c r="G139" s="76">
        <f t="shared" si="37"/>
        <v>0</v>
      </c>
      <c r="H139" s="76">
        <f t="shared" si="38"/>
        <v>0</v>
      </c>
      <c r="I139" s="76">
        <f t="shared" si="39"/>
        <v>0</v>
      </c>
      <c r="J139" s="76">
        <f t="shared" si="40"/>
        <v>0</v>
      </c>
      <c r="K139" s="76">
        <f t="shared" si="41"/>
        <v>0</v>
      </c>
      <c r="L139" s="76">
        <f t="shared" si="42"/>
        <v>0</v>
      </c>
      <c r="M139" s="130">
        <f t="shared" si="43"/>
        <v>0</v>
      </c>
      <c r="N139" s="77">
        <f t="shared" si="44"/>
        <v>0</v>
      </c>
      <c r="O139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40" spans="1:15" ht="24.6" x14ac:dyDescent="0.25">
      <c r="A140" s="80">
        <v>129</v>
      </c>
      <c r="B140" s="79"/>
      <c r="C140" s="75"/>
      <c r="D140" s="76">
        <f t="shared" ref="D140:D176" si="45">HLOOKUP("S"&amp;A140,Score_task1,12,0)</f>
        <v>0</v>
      </c>
      <c r="E140" s="76">
        <f t="shared" ref="E140:E176" si="46">HLOOKUP("S"&amp;A140,Score_task2,12,0)</f>
        <v>0</v>
      </c>
      <c r="F140" s="76">
        <f t="shared" ref="F140:F176" si="47">HLOOKUP("S"&amp;A140,Score_task3,12,0)</f>
        <v>0</v>
      </c>
      <c r="G140" s="76">
        <f t="shared" ref="G140:G176" si="48">HLOOKUP("S"&amp;A140,Score_task4,12,0)</f>
        <v>0</v>
      </c>
      <c r="H140" s="76">
        <f t="shared" ref="H140:H176" si="49">HLOOKUP("S"&amp;A140,Score_task5,12,0)</f>
        <v>0</v>
      </c>
      <c r="I140" s="76">
        <f t="shared" ref="I140:I176" si="50">HLOOKUP("S"&amp;A140,Score_task6,12,0)</f>
        <v>0</v>
      </c>
      <c r="J140" s="76">
        <f t="shared" ref="J140:J176" si="51">HLOOKUP("S"&amp;A140,Score_task7,12,0)</f>
        <v>0</v>
      </c>
      <c r="K140" s="76">
        <f t="shared" ref="K140:K176" si="52">HLOOKUP("S"&amp;A140,Score_task8,12,0)</f>
        <v>0</v>
      </c>
      <c r="L140" s="76">
        <f t="shared" ref="L140:L176" si="53">HLOOKUP("S"&amp;A140,Score_task9,12,0)</f>
        <v>0</v>
      </c>
      <c r="M140" s="130">
        <f t="shared" ref="M140:M176" si="54">HLOOKUP("S"&amp;A140,Score_task10,12,0)</f>
        <v>0</v>
      </c>
      <c r="N140" s="77">
        <f t="shared" ref="N140:N171" si="55">SUM(D140:M140)</f>
        <v>0</v>
      </c>
      <c r="O140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41" spans="1:15" ht="24.6" x14ac:dyDescent="0.25">
      <c r="A141" s="74">
        <v>130</v>
      </c>
      <c r="B141" s="79"/>
      <c r="C141" s="75"/>
      <c r="D141" s="76">
        <f t="shared" si="45"/>
        <v>0</v>
      </c>
      <c r="E141" s="76">
        <f t="shared" si="46"/>
        <v>0</v>
      </c>
      <c r="F141" s="76">
        <f t="shared" si="47"/>
        <v>0</v>
      </c>
      <c r="G141" s="76">
        <f t="shared" si="48"/>
        <v>0</v>
      </c>
      <c r="H141" s="76">
        <f t="shared" si="49"/>
        <v>0</v>
      </c>
      <c r="I141" s="76">
        <f t="shared" si="50"/>
        <v>0</v>
      </c>
      <c r="J141" s="76">
        <f t="shared" si="51"/>
        <v>0</v>
      </c>
      <c r="K141" s="76">
        <f t="shared" si="52"/>
        <v>0</v>
      </c>
      <c r="L141" s="76">
        <f t="shared" si="53"/>
        <v>0</v>
      </c>
      <c r="M141" s="130">
        <f t="shared" si="54"/>
        <v>0</v>
      </c>
      <c r="N141" s="77">
        <f t="shared" si="55"/>
        <v>0</v>
      </c>
      <c r="O141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42" spans="1:15" ht="24.6" x14ac:dyDescent="0.25">
      <c r="A142" s="80">
        <v>131</v>
      </c>
      <c r="B142" s="79"/>
      <c r="C142" s="75"/>
      <c r="D142" s="76">
        <f t="shared" si="45"/>
        <v>0</v>
      </c>
      <c r="E142" s="76">
        <f t="shared" si="46"/>
        <v>0</v>
      </c>
      <c r="F142" s="76">
        <f t="shared" si="47"/>
        <v>0</v>
      </c>
      <c r="G142" s="76">
        <f t="shared" si="48"/>
        <v>0</v>
      </c>
      <c r="H142" s="76">
        <f t="shared" si="49"/>
        <v>0</v>
      </c>
      <c r="I142" s="76">
        <f t="shared" si="50"/>
        <v>0</v>
      </c>
      <c r="J142" s="76">
        <f t="shared" si="51"/>
        <v>0</v>
      </c>
      <c r="K142" s="76">
        <f t="shared" si="52"/>
        <v>0</v>
      </c>
      <c r="L142" s="76">
        <f t="shared" si="53"/>
        <v>0</v>
      </c>
      <c r="M142" s="130">
        <f t="shared" si="54"/>
        <v>0</v>
      </c>
      <c r="N142" s="77">
        <f t="shared" si="55"/>
        <v>0</v>
      </c>
      <c r="O142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43" spans="1:15" ht="24.6" x14ac:dyDescent="0.25">
      <c r="A143" s="74">
        <v>132</v>
      </c>
      <c r="B143" s="79"/>
      <c r="C143" s="75"/>
      <c r="D143" s="76">
        <f t="shared" si="45"/>
        <v>0</v>
      </c>
      <c r="E143" s="76">
        <f t="shared" si="46"/>
        <v>0</v>
      </c>
      <c r="F143" s="76">
        <f t="shared" si="47"/>
        <v>0</v>
      </c>
      <c r="G143" s="76">
        <f t="shared" si="48"/>
        <v>0</v>
      </c>
      <c r="H143" s="76">
        <f t="shared" si="49"/>
        <v>0</v>
      </c>
      <c r="I143" s="76">
        <f t="shared" si="50"/>
        <v>0</v>
      </c>
      <c r="J143" s="76">
        <f t="shared" si="51"/>
        <v>0</v>
      </c>
      <c r="K143" s="76">
        <f t="shared" si="52"/>
        <v>0</v>
      </c>
      <c r="L143" s="76">
        <f t="shared" si="53"/>
        <v>0</v>
      </c>
      <c r="M143" s="130">
        <f t="shared" si="54"/>
        <v>0</v>
      </c>
      <c r="N143" s="77">
        <f t="shared" si="55"/>
        <v>0</v>
      </c>
      <c r="O143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44" spans="1:15" ht="24.6" x14ac:dyDescent="0.25">
      <c r="A144" s="80">
        <v>133</v>
      </c>
      <c r="B144" s="79"/>
      <c r="C144" s="75"/>
      <c r="D144" s="76">
        <f t="shared" si="45"/>
        <v>0</v>
      </c>
      <c r="E144" s="76">
        <f t="shared" si="46"/>
        <v>0</v>
      </c>
      <c r="F144" s="76">
        <f t="shared" si="47"/>
        <v>0</v>
      </c>
      <c r="G144" s="76">
        <f t="shared" si="48"/>
        <v>0</v>
      </c>
      <c r="H144" s="76">
        <f t="shared" si="49"/>
        <v>0</v>
      </c>
      <c r="I144" s="76">
        <f t="shared" si="50"/>
        <v>0</v>
      </c>
      <c r="J144" s="76">
        <f t="shared" si="51"/>
        <v>0</v>
      </c>
      <c r="K144" s="76">
        <f t="shared" si="52"/>
        <v>0</v>
      </c>
      <c r="L144" s="76">
        <f t="shared" si="53"/>
        <v>0</v>
      </c>
      <c r="M144" s="130">
        <f t="shared" si="54"/>
        <v>0</v>
      </c>
      <c r="N144" s="77">
        <f t="shared" si="55"/>
        <v>0</v>
      </c>
      <c r="O144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45" spans="1:15" ht="24.6" x14ac:dyDescent="0.25">
      <c r="A145" s="74">
        <v>134</v>
      </c>
      <c r="B145" s="79"/>
      <c r="C145" s="75"/>
      <c r="D145" s="76">
        <f t="shared" si="45"/>
        <v>0</v>
      </c>
      <c r="E145" s="76">
        <f t="shared" si="46"/>
        <v>0</v>
      </c>
      <c r="F145" s="76">
        <f t="shared" si="47"/>
        <v>0</v>
      </c>
      <c r="G145" s="76">
        <f t="shared" si="48"/>
        <v>0</v>
      </c>
      <c r="H145" s="76">
        <f t="shared" si="49"/>
        <v>0</v>
      </c>
      <c r="I145" s="76">
        <f t="shared" si="50"/>
        <v>0</v>
      </c>
      <c r="J145" s="76">
        <f t="shared" si="51"/>
        <v>0</v>
      </c>
      <c r="K145" s="76">
        <f t="shared" si="52"/>
        <v>0</v>
      </c>
      <c r="L145" s="76">
        <f t="shared" si="53"/>
        <v>0</v>
      </c>
      <c r="M145" s="130">
        <f t="shared" si="54"/>
        <v>0</v>
      </c>
      <c r="N145" s="77">
        <f t="shared" si="55"/>
        <v>0</v>
      </c>
      <c r="O145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46" spans="1:15" ht="24.6" x14ac:dyDescent="0.25">
      <c r="A146" s="80">
        <v>135</v>
      </c>
      <c r="B146" s="79"/>
      <c r="C146" s="75"/>
      <c r="D146" s="76">
        <f t="shared" si="45"/>
        <v>0</v>
      </c>
      <c r="E146" s="76">
        <f t="shared" si="46"/>
        <v>0</v>
      </c>
      <c r="F146" s="76">
        <f t="shared" si="47"/>
        <v>0</v>
      </c>
      <c r="G146" s="76">
        <f t="shared" si="48"/>
        <v>0</v>
      </c>
      <c r="H146" s="76">
        <f t="shared" si="49"/>
        <v>0</v>
      </c>
      <c r="I146" s="76">
        <f t="shared" si="50"/>
        <v>0</v>
      </c>
      <c r="J146" s="76">
        <f t="shared" si="51"/>
        <v>0</v>
      </c>
      <c r="K146" s="76">
        <f t="shared" si="52"/>
        <v>0</v>
      </c>
      <c r="L146" s="76">
        <f t="shared" si="53"/>
        <v>0</v>
      </c>
      <c r="M146" s="130">
        <f t="shared" si="54"/>
        <v>0</v>
      </c>
      <c r="N146" s="77">
        <f t="shared" si="55"/>
        <v>0</v>
      </c>
      <c r="O146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47" spans="1:15" ht="24.6" x14ac:dyDescent="0.25">
      <c r="A147" s="74">
        <v>136</v>
      </c>
      <c r="B147" s="79"/>
      <c r="C147" s="75"/>
      <c r="D147" s="76">
        <f t="shared" si="45"/>
        <v>0</v>
      </c>
      <c r="E147" s="76">
        <f t="shared" si="46"/>
        <v>0</v>
      </c>
      <c r="F147" s="76">
        <f t="shared" si="47"/>
        <v>0</v>
      </c>
      <c r="G147" s="76">
        <f t="shared" si="48"/>
        <v>0</v>
      </c>
      <c r="H147" s="76">
        <f t="shared" si="49"/>
        <v>0</v>
      </c>
      <c r="I147" s="76">
        <f t="shared" si="50"/>
        <v>0</v>
      </c>
      <c r="J147" s="76">
        <f t="shared" si="51"/>
        <v>0</v>
      </c>
      <c r="K147" s="76">
        <f t="shared" si="52"/>
        <v>0</v>
      </c>
      <c r="L147" s="76">
        <f t="shared" si="53"/>
        <v>0</v>
      </c>
      <c r="M147" s="130">
        <f t="shared" si="54"/>
        <v>0</v>
      </c>
      <c r="N147" s="77">
        <f t="shared" si="55"/>
        <v>0</v>
      </c>
      <c r="O147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48" spans="1:15" ht="24.6" x14ac:dyDescent="0.25">
      <c r="A148" s="80">
        <v>137</v>
      </c>
      <c r="B148" s="79"/>
      <c r="C148" s="75"/>
      <c r="D148" s="76">
        <f t="shared" si="45"/>
        <v>0</v>
      </c>
      <c r="E148" s="76">
        <f t="shared" si="46"/>
        <v>0</v>
      </c>
      <c r="F148" s="76">
        <f t="shared" si="47"/>
        <v>0</v>
      </c>
      <c r="G148" s="76">
        <f t="shared" si="48"/>
        <v>0</v>
      </c>
      <c r="H148" s="76">
        <f t="shared" si="49"/>
        <v>0</v>
      </c>
      <c r="I148" s="76">
        <f t="shared" si="50"/>
        <v>0</v>
      </c>
      <c r="J148" s="76">
        <f t="shared" si="51"/>
        <v>0</v>
      </c>
      <c r="K148" s="76">
        <f t="shared" si="52"/>
        <v>0</v>
      </c>
      <c r="L148" s="76">
        <f t="shared" si="53"/>
        <v>0</v>
      </c>
      <c r="M148" s="130">
        <f t="shared" si="54"/>
        <v>0</v>
      </c>
      <c r="N148" s="77">
        <f t="shared" si="55"/>
        <v>0</v>
      </c>
      <c r="O148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49" spans="1:15" ht="24.6" x14ac:dyDescent="0.25">
      <c r="A149" s="74">
        <v>138</v>
      </c>
      <c r="B149" s="79"/>
      <c r="C149" s="75"/>
      <c r="D149" s="76">
        <f t="shared" si="45"/>
        <v>0</v>
      </c>
      <c r="E149" s="76">
        <f t="shared" si="46"/>
        <v>0</v>
      </c>
      <c r="F149" s="76">
        <f t="shared" si="47"/>
        <v>0</v>
      </c>
      <c r="G149" s="76">
        <f t="shared" si="48"/>
        <v>0</v>
      </c>
      <c r="H149" s="76">
        <f t="shared" si="49"/>
        <v>0</v>
      </c>
      <c r="I149" s="76">
        <f t="shared" si="50"/>
        <v>0</v>
      </c>
      <c r="J149" s="76">
        <f t="shared" si="51"/>
        <v>0</v>
      </c>
      <c r="K149" s="76">
        <f t="shared" si="52"/>
        <v>0</v>
      </c>
      <c r="L149" s="76">
        <f t="shared" si="53"/>
        <v>0</v>
      </c>
      <c r="M149" s="130">
        <f t="shared" si="54"/>
        <v>0</v>
      </c>
      <c r="N149" s="77">
        <f t="shared" si="55"/>
        <v>0</v>
      </c>
      <c r="O149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50" spans="1:15" ht="24.6" x14ac:dyDescent="0.25">
      <c r="A150" s="80">
        <v>139</v>
      </c>
      <c r="B150" s="79"/>
      <c r="C150" s="75"/>
      <c r="D150" s="76">
        <f t="shared" si="45"/>
        <v>0</v>
      </c>
      <c r="E150" s="76">
        <f t="shared" si="46"/>
        <v>0</v>
      </c>
      <c r="F150" s="76">
        <f t="shared" si="47"/>
        <v>0</v>
      </c>
      <c r="G150" s="76">
        <f t="shared" si="48"/>
        <v>0</v>
      </c>
      <c r="H150" s="76">
        <f t="shared" si="49"/>
        <v>0</v>
      </c>
      <c r="I150" s="76">
        <f t="shared" si="50"/>
        <v>0</v>
      </c>
      <c r="J150" s="76">
        <f t="shared" si="51"/>
        <v>0</v>
      </c>
      <c r="K150" s="76">
        <f t="shared" si="52"/>
        <v>0</v>
      </c>
      <c r="L150" s="76">
        <f t="shared" si="53"/>
        <v>0</v>
      </c>
      <c r="M150" s="130">
        <f t="shared" si="54"/>
        <v>0</v>
      </c>
      <c r="N150" s="77">
        <f t="shared" si="55"/>
        <v>0</v>
      </c>
      <c r="O150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51" spans="1:15" ht="24.6" x14ac:dyDescent="0.25">
      <c r="A151" s="74">
        <v>140</v>
      </c>
      <c r="B151" s="79"/>
      <c r="C151" s="75"/>
      <c r="D151" s="76">
        <f t="shared" si="45"/>
        <v>0</v>
      </c>
      <c r="E151" s="76">
        <f t="shared" si="46"/>
        <v>0</v>
      </c>
      <c r="F151" s="76">
        <f t="shared" si="47"/>
        <v>0</v>
      </c>
      <c r="G151" s="76">
        <f t="shared" si="48"/>
        <v>0</v>
      </c>
      <c r="H151" s="76">
        <f t="shared" si="49"/>
        <v>0</v>
      </c>
      <c r="I151" s="76">
        <f t="shared" si="50"/>
        <v>0</v>
      </c>
      <c r="J151" s="76">
        <f t="shared" si="51"/>
        <v>0</v>
      </c>
      <c r="K151" s="76">
        <f t="shared" si="52"/>
        <v>0</v>
      </c>
      <c r="L151" s="76">
        <f t="shared" si="53"/>
        <v>0</v>
      </c>
      <c r="M151" s="130">
        <f t="shared" si="54"/>
        <v>0</v>
      </c>
      <c r="N151" s="77">
        <f t="shared" si="55"/>
        <v>0</v>
      </c>
      <c r="O151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52" spans="1:15" ht="24.6" x14ac:dyDescent="0.25">
      <c r="A152" s="80">
        <v>141</v>
      </c>
      <c r="B152" s="79"/>
      <c r="C152" s="75"/>
      <c r="D152" s="76">
        <f t="shared" si="45"/>
        <v>0</v>
      </c>
      <c r="E152" s="76">
        <f t="shared" si="46"/>
        <v>0</v>
      </c>
      <c r="F152" s="76">
        <f t="shared" si="47"/>
        <v>0</v>
      </c>
      <c r="G152" s="76">
        <f t="shared" si="48"/>
        <v>0</v>
      </c>
      <c r="H152" s="76">
        <f t="shared" si="49"/>
        <v>0</v>
      </c>
      <c r="I152" s="76">
        <f t="shared" si="50"/>
        <v>0</v>
      </c>
      <c r="J152" s="76">
        <f t="shared" si="51"/>
        <v>0</v>
      </c>
      <c r="K152" s="76">
        <f t="shared" si="52"/>
        <v>0</v>
      </c>
      <c r="L152" s="76">
        <f t="shared" si="53"/>
        <v>0</v>
      </c>
      <c r="M152" s="130">
        <f t="shared" si="54"/>
        <v>0</v>
      </c>
      <c r="N152" s="77">
        <f t="shared" si="55"/>
        <v>0</v>
      </c>
      <c r="O152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53" spans="1:15" ht="24.6" x14ac:dyDescent="0.25">
      <c r="A153" s="74">
        <v>142</v>
      </c>
      <c r="B153" s="79"/>
      <c r="C153" s="75"/>
      <c r="D153" s="76">
        <f t="shared" si="45"/>
        <v>0</v>
      </c>
      <c r="E153" s="76">
        <f t="shared" si="46"/>
        <v>0</v>
      </c>
      <c r="F153" s="76">
        <f t="shared" si="47"/>
        <v>0</v>
      </c>
      <c r="G153" s="76">
        <f t="shared" si="48"/>
        <v>0</v>
      </c>
      <c r="H153" s="76">
        <f t="shared" si="49"/>
        <v>0</v>
      </c>
      <c r="I153" s="76">
        <f t="shared" si="50"/>
        <v>0</v>
      </c>
      <c r="J153" s="76">
        <f t="shared" si="51"/>
        <v>0</v>
      </c>
      <c r="K153" s="76">
        <f t="shared" si="52"/>
        <v>0</v>
      </c>
      <c r="L153" s="76">
        <f t="shared" si="53"/>
        <v>0</v>
      </c>
      <c r="M153" s="130">
        <f t="shared" si="54"/>
        <v>0</v>
      </c>
      <c r="N153" s="77">
        <f t="shared" si="55"/>
        <v>0</v>
      </c>
      <c r="O153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54" spans="1:15" ht="24.6" x14ac:dyDescent="0.25">
      <c r="A154" s="80">
        <v>143</v>
      </c>
      <c r="B154" s="79"/>
      <c r="C154" s="75"/>
      <c r="D154" s="76">
        <f t="shared" si="45"/>
        <v>0</v>
      </c>
      <c r="E154" s="76">
        <f t="shared" si="46"/>
        <v>0</v>
      </c>
      <c r="F154" s="76">
        <f t="shared" si="47"/>
        <v>0</v>
      </c>
      <c r="G154" s="76">
        <f t="shared" si="48"/>
        <v>0</v>
      </c>
      <c r="H154" s="76">
        <f t="shared" si="49"/>
        <v>0</v>
      </c>
      <c r="I154" s="76">
        <f t="shared" si="50"/>
        <v>0</v>
      </c>
      <c r="J154" s="76">
        <f t="shared" si="51"/>
        <v>0</v>
      </c>
      <c r="K154" s="76">
        <f t="shared" si="52"/>
        <v>0</v>
      </c>
      <c r="L154" s="76">
        <f t="shared" si="53"/>
        <v>0</v>
      </c>
      <c r="M154" s="130">
        <f t="shared" si="54"/>
        <v>0</v>
      </c>
      <c r="N154" s="77">
        <f t="shared" si="55"/>
        <v>0</v>
      </c>
      <c r="O154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55" spans="1:15" ht="24.6" x14ac:dyDescent="0.25">
      <c r="A155" s="74">
        <v>144</v>
      </c>
      <c r="B155" s="79"/>
      <c r="C155" s="75"/>
      <c r="D155" s="76">
        <f t="shared" si="45"/>
        <v>0</v>
      </c>
      <c r="E155" s="76">
        <f t="shared" si="46"/>
        <v>0</v>
      </c>
      <c r="F155" s="76">
        <f t="shared" si="47"/>
        <v>0</v>
      </c>
      <c r="G155" s="76">
        <f t="shared" si="48"/>
        <v>0</v>
      </c>
      <c r="H155" s="76">
        <f t="shared" si="49"/>
        <v>0</v>
      </c>
      <c r="I155" s="76">
        <f t="shared" si="50"/>
        <v>0</v>
      </c>
      <c r="J155" s="76">
        <f t="shared" si="51"/>
        <v>0</v>
      </c>
      <c r="K155" s="76">
        <f t="shared" si="52"/>
        <v>0</v>
      </c>
      <c r="L155" s="76">
        <f t="shared" si="53"/>
        <v>0</v>
      </c>
      <c r="M155" s="130">
        <f t="shared" si="54"/>
        <v>0</v>
      </c>
      <c r="N155" s="77">
        <f t="shared" si="55"/>
        <v>0</v>
      </c>
      <c r="O155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56" spans="1:15" ht="24.6" x14ac:dyDescent="0.25">
      <c r="A156" s="80">
        <v>145</v>
      </c>
      <c r="B156" s="79"/>
      <c r="C156" s="75"/>
      <c r="D156" s="76">
        <f t="shared" si="45"/>
        <v>0</v>
      </c>
      <c r="E156" s="76">
        <f t="shared" si="46"/>
        <v>0</v>
      </c>
      <c r="F156" s="76">
        <f t="shared" si="47"/>
        <v>0</v>
      </c>
      <c r="G156" s="76">
        <f t="shared" si="48"/>
        <v>0</v>
      </c>
      <c r="H156" s="76">
        <f t="shared" si="49"/>
        <v>0</v>
      </c>
      <c r="I156" s="76">
        <f t="shared" si="50"/>
        <v>0</v>
      </c>
      <c r="J156" s="76">
        <f t="shared" si="51"/>
        <v>0</v>
      </c>
      <c r="K156" s="76">
        <f t="shared" si="52"/>
        <v>0</v>
      </c>
      <c r="L156" s="76">
        <f t="shared" si="53"/>
        <v>0</v>
      </c>
      <c r="M156" s="130">
        <f t="shared" si="54"/>
        <v>0</v>
      </c>
      <c r="N156" s="77">
        <f t="shared" si="55"/>
        <v>0</v>
      </c>
      <c r="O156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57" spans="1:15" ht="24.6" x14ac:dyDescent="0.25">
      <c r="A157" s="74">
        <v>146</v>
      </c>
      <c r="B157" s="79"/>
      <c r="C157" s="75"/>
      <c r="D157" s="76">
        <f t="shared" si="45"/>
        <v>0</v>
      </c>
      <c r="E157" s="76">
        <f t="shared" si="46"/>
        <v>0</v>
      </c>
      <c r="F157" s="76">
        <f t="shared" si="47"/>
        <v>0</v>
      </c>
      <c r="G157" s="76">
        <f t="shared" si="48"/>
        <v>0</v>
      </c>
      <c r="H157" s="76">
        <f t="shared" si="49"/>
        <v>0</v>
      </c>
      <c r="I157" s="76">
        <f t="shared" si="50"/>
        <v>0</v>
      </c>
      <c r="J157" s="76">
        <f t="shared" si="51"/>
        <v>0</v>
      </c>
      <c r="K157" s="76">
        <f t="shared" si="52"/>
        <v>0</v>
      </c>
      <c r="L157" s="76">
        <f t="shared" si="53"/>
        <v>0</v>
      </c>
      <c r="M157" s="130">
        <f t="shared" si="54"/>
        <v>0</v>
      </c>
      <c r="N157" s="77">
        <f t="shared" si="55"/>
        <v>0</v>
      </c>
      <c r="O157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58" spans="1:15" ht="24.6" x14ac:dyDescent="0.25">
      <c r="A158" s="80">
        <v>147</v>
      </c>
      <c r="B158" s="79"/>
      <c r="C158" s="75"/>
      <c r="D158" s="76">
        <f t="shared" si="45"/>
        <v>0</v>
      </c>
      <c r="E158" s="76">
        <f t="shared" si="46"/>
        <v>0</v>
      </c>
      <c r="F158" s="76">
        <f t="shared" si="47"/>
        <v>0</v>
      </c>
      <c r="G158" s="76">
        <f t="shared" si="48"/>
        <v>0</v>
      </c>
      <c r="H158" s="76">
        <f t="shared" si="49"/>
        <v>0</v>
      </c>
      <c r="I158" s="76">
        <f t="shared" si="50"/>
        <v>0</v>
      </c>
      <c r="J158" s="76">
        <f t="shared" si="51"/>
        <v>0</v>
      </c>
      <c r="K158" s="76">
        <f t="shared" si="52"/>
        <v>0</v>
      </c>
      <c r="L158" s="76">
        <f t="shared" si="53"/>
        <v>0</v>
      </c>
      <c r="M158" s="130">
        <f t="shared" si="54"/>
        <v>0</v>
      </c>
      <c r="N158" s="77">
        <f t="shared" si="55"/>
        <v>0</v>
      </c>
      <c r="O158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59" spans="1:15" ht="24.6" x14ac:dyDescent="0.25">
      <c r="A159" s="74">
        <v>148</v>
      </c>
      <c r="B159" s="79"/>
      <c r="C159" s="75"/>
      <c r="D159" s="76">
        <f t="shared" si="45"/>
        <v>0</v>
      </c>
      <c r="E159" s="76">
        <f t="shared" si="46"/>
        <v>0</v>
      </c>
      <c r="F159" s="76">
        <f t="shared" si="47"/>
        <v>0</v>
      </c>
      <c r="G159" s="76">
        <f t="shared" si="48"/>
        <v>0</v>
      </c>
      <c r="H159" s="76">
        <f t="shared" si="49"/>
        <v>0</v>
      </c>
      <c r="I159" s="76">
        <f t="shared" si="50"/>
        <v>0</v>
      </c>
      <c r="J159" s="76">
        <f t="shared" si="51"/>
        <v>0</v>
      </c>
      <c r="K159" s="76">
        <f t="shared" si="52"/>
        <v>0</v>
      </c>
      <c r="L159" s="76">
        <f t="shared" si="53"/>
        <v>0</v>
      </c>
      <c r="M159" s="130">
        <f t="shared" si="54"/>
        <v>0</v>
      </c>
      <c r="N159" s="77">
        <f t="shared" si="55"/>
        <v>0</v>
      </c>
      <c r="O159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60" spans="1:15" ht="24.6" x14ac:dyDescent="0.25">
      <c r="A160" s="80">
        <v>149</v>
      </c>
      <c r="B160" s="79"/>
      <c r="C160" s="75"/>
      <c r="D160" s="76">
        <f t="shared" si="45"/>
        <v>0</v>
      </c>
      <c r="E160" s="76">
        <f t="shared" si="46"/>
        <v>0</v>
      </c>
      <c r="F160" s="76">
        <f t="shared" si="47"/>
        <v>0</v>
      </c>
      <c r="G160" s="76">
        <f t="shared" si="48"/>
        <v>0</v>
      </c>
      <c r="H160" s="76">
        <f t="shared" si="49"/>
        <v>0</v>
      </c>
      <c r="I160" s="76">
        <f t="shared" si="50"/>
        <v>0</v>
      </c>
      <c r="J160" s="76">
        <f t="shared" si="51"/>
        <v>0</v>
      </c>
      <c r="K160" s="76">
        <f t="shared" si="52"/>
        <v>0</v>
      </c>
      <c r="L160" s="76">
        <f t="shared" si="53"/>
        <v>0</v>
      </c>
      <c r="M160" s="130">
        <f t="shared" si="54"/>
        <v>0</v>
      </c>
      <c r="N160" s="77">
        <f t="shared" si="55"/>
        <v>0</v>
      </c>
      <c r="O160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61" spans="1:15" ht="24.6" x14ac:dyDescent="0.25">
      <c r="A161" s="74">
        <v>150</v>
      </c>
      <c r="B161" s="79"/>
      <c r="C161" s="75"/>
      <c r="D161" s="76">
        <f t="shared" si="45"/>
        <v>0</v>
      </c>
      <c r="E161" s="76">
        <f t="shared" si="46"/>
        <v>0</v>
      </c>
      <c r="F161" s="76">
        <f t="shared" si="47"/>
        <v>0</v>
      </c>
      <c r="G161" s="76">
        <f t="shared" si="48"/>
        <v>0</v>
      </c>
      <c r="H161" s="76">
        <f t="shared" si="49"/>
        <v>0</v>
      </c>
      <c r="I161" s="76">
        <f t="shared" si="50"/>
        <v>0</v>
      </c>
      <c r="J161" s="76">
        <f t="shared" si="51"/>
        <v>0</v>
      </c>
      <c r="K161" s="76">
        <f t="shared" si="52"/>
        <v>0</v>
      </c>
      <c r="L161" s="76">
        <f t="shared" si="53"/>
        <v>0</v>
      </c>
      <c r="M161" s="130">
        <f t="shared" si="54"/>
        <v>0</v>
      </c>
      <c r="N161" s="77">
        <f t="shared" si="55"/>
        <v>0</v>
      </c>
      <c r="O161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62" spans="1:15" ht="24.6" x14ac:dyDescent="0.25">
      <c r="A162" s="80">
        <v>151</v>
      </c>
      <c r="B162" s="79"/>
      <c r="C162" s="75"/>
      <c r="D162" s="76">
        <f t="shared" si="45"/>
        <v>0</v>
      </c>
      <c r="E162" s="76">
        <f t="shared" si="46"/>
        <v>0</v>
      </c>
      <c r="F162" s="76">
        <f t="shared" si="47"/>
        <v>0</v>
      </c>
      <c r="G162" s="76">
        <f t="shared" si="48"/>
        <v>0</v>
      </c>
      <c r="H162" s="76">
        <f t="shared" si="49"/>
        <v>0</v>
      </c>
      <c r="I162" s="76">
        <f t="shared" si="50"/>
        <v>0</v>
      </c>
      <c r="J162" s="76">
        <f t="shared" si="51"/>
        <v>0</v>
      </c>
      <c r="K162" s="76">
        <f t="shared" si="52"/>
        <v>0</v>
      </c>
      <c r="L162" s="76">
        <f t="shared" si="53"/>
        <v>0</v>
      </c>
      <c r="M162" s="130">
        <f t="shared" si="54"/>
        <v>0</v>
      </c>
      <c r="N162" s="77">
        <f t="shared" si="55"/>
        <v>0</v>
      </c>
      <c r="O162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63" spans="1:15" ht="24.6" x14ac:dyDescent="0.25">
      <c r="A163" s="74">
        <v>152</v>
      </c>
      <c r="B163" s="79"/>
      <c r="C163" s="75"/>
      <c r="D163" s="76">
        <f t="shared" si="45"/>
        <v>0</v>
      </c>
      <c r="E163" s="76">
        <f t="shared" si="46"/>
        <v>0</v>
      </c>
      <c r="F163" s="76">
        <f t="shared" si="47"/>
        <v>0</v>
      </c>
      <c r="G163" s="76">
        <f t="shared" si="48"/>
        <v>0</v>
      </c>
      <c r="H163" s="76">
        <f t="shared" si="49"/>
        <v>0</v>
      </c>
      <c r="I163" s="76">
        <f t="shared" si="50"/>
        <v>0</v>
      </c>
      <c r="J163" s="76">
        <f t="shared" si="51"/>
        <v>0</v>
      </c>
      <c r="K163" s="76">
        <f t="shared" si="52"/>
        <v>0</v>
      </c>
      <c r="L163" s="76">
        <f t="shared" si="53"/>
        <v>0</v>
      </c>
      <c r="M163" s="130">
        <f t="shared" si="54"/>
        <v>0</v>
      </c>
      <c r="N163" s="77">
        <f t="shared" si="55"/>
        <v>0</v>
      </c>
      <c r="O163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64" spans="1:15" ht="24.6" x14ac:dyDescent="0.25">
      <c r="A164" s="80">
        <v>153</v>
      </c>
      <c r="B164" s="79"/>
      <c r="C164" s="75"/>
      <c r="D164" s="76">
        <f t="shared" si="45"/>
        <v>0</v>
      </c>
      <c r="E164" s="76">
        <f t="shared" si="46"/>
        <v>0</v>
      </c>
      <c r="F164" s="76">
        <f t="shared" si="47"/>
        <v>0</v>
      </c>
      <c r="G164" s="76">
        <f t="shared" si="48"/>
        <v>0</v>
      </c>
      <c r="H164" s="76">
        <f t="shared" si="49"/>
        <v>0</v>
      </c>
      <c r="I164" s="76">
        <f t="shared" si="50"/>
        <v>0</v>
      </c>
      <c r="J164" s="76">
        <f t="shared" si="51"/>
        <v>0</v>
      </c>
      <c r="K164" s="76">
        <f t="shared" si="52"/>
        <v>0</v>
      </c>
      <c r="L164" s="76">
        <f t="shared" si="53"/>
        <v>0</v>
      </c>
      <c r="M164" s="130">
        <f t="shared" si="54"/>
        <v>0</v>
      </c>
      <c r="N164" s="77">
        <f t="shared" si="55"/>
        <v>0</v>
      </c>
      <c r="O164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65" spans="1:15" ht="24.6" x14ac:dyDescent="0.25">
      <c r="A165" s="74">
        <v>154</v>
      </c>
      <c r="B165" s="79"/>
      <c r="C165" s="75"/>
      <c r="D165" s="76">
        <f t="shared" si="45"/>
        <v>0</v>
      </c>
      <c r="E165" s="76">
        <f t="shared" si="46"/>
        <v>0</v>
      </c>
      <c r="F165" s="76">
        <f t="shared" si="47"/>
        <v>0</v>
      </c>
      <c r="G165" s="76">
        <f t="shared" si="48"/>
        <v>0</v>
      </c>
      <c r="H165" s="76">
        <f t="shared" si="49"/>
        <v>0</v>
      </c>
      <c r="I165" s="76">
        <f t="shared" si="50"/>
        <v>0</v>
      </c>
      <c r="J165" s="76">
        <f t="shared" si="51"/>
        <v>0</v>
      </c>
      <c r="K165" s="76">
        <f t="shared" si="52"/>
        <v>0</v>
      </c>
      <c r="L165" s="76">
        <f t="shared" si="53"/>
        <v>0</v>
      </c>
      <c r="M165" s="130">
        <f t="shared" si="54"/>
        <v>0</v>
      </c>
      <c r="N165" s="77">
        <f t="shared" si="55"/>
        <v>0</v>
      </c>
      <c r="O165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66" spans="1:15" ht="24.6" x14ac:dyDescent="0.25">
      <c r="A166" s="80">
        <v>155</v>
      </c>
      <c r="B166" s="79"/>
      <c r="C166" s="75"/>
      <c r="D166" s="76">
        <f t="shared" si="45"/>
        <v>0</v>
      </c>
      <c r="E166" s="76">
        <f t="shared" si="46"/>
        <v>0</v>
      </c>
      <c r="F166" s="76">
        <f t="shared" si="47"/>
        <v>0</v>
      </c>
      <c r="G166" s="76">
        <f t="shared" si="48"/>
        <v>0</v>
      </c>
      <c r="H166" s="76">
        <f t="shared" si="49"/>
        <v>0</v>
      </c>
      <c r="I166" s="76">
        <f t="shared" si="50"/>
        <v>0</v>
      </c>
      <c r="J166" s="76">
        <f t="shared" si="51"/>
        <v>0</v>
      </c>
      <c r="K166" s="76">
        <f t="shared" si="52"/>
        <v>0</v>
      </c>
      <c r="L166" s="76">
        <f t="shared" si="53"/>
        <v>0</v>
      </c>
      <c r="M166" s="130">
        <f t="shared" si="54"/>
        <v>0</v>
      </c>
      <c r="N166" s="77">
        <f t="shared" si="55"/>
        <v>0</v>
      </c>
      <c r="O166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67" spans="1:15" ht="24.6" x14ac:dyDescent="0.25">
      <c r="A167" s="74">
        <v>156</v>
      </c>
      <c r="B167" s="79"/>
      <c r="C167" s="75"/>
      <c r="D167" s="76">
        <f t="shared" si="45"/>
        <v>0</v>
      </c>
      <c r="E167" s="76">
        <f t="shared" si="46"/>
        <v>0</v>
      </c>
      <c r="F167" s="76">
        <f t="shared" si="47"/>
        <v>0</v>
      </c>
      <c r="G167" s="76">
        <f t="shared" si="48"/>
        <v>0</v>
      </c>
      <c r="H167" s="76">
        <f t="shared" si="49"/>
        <v>0</v>
      </c>
      <c r="I167" s="76">
        <f t="shared" si="50"/>
        <v>0</v>
      </c>
      <c r="J167" s="76">
        <f t="shared" si="51"/>
        <v>0</v>
      </c>
      <c r="K167" s="76">
        <f t="shared" si="52"/>
        <v>0</v>
      </c>
      <c r="L167" s="76">
        <f t="shared" si="53"/>
        <v>0</v>
      </c>
      <c r="M167" s="130">
        <f t="shared" si="54"/>
        <v>0</v>
      </c>
      <c r="N167" s="77">
        <f t="shared" si="55"/>
        <v>0</v>
      </c>
      <c r="O167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68" spans="1:15" ht="24.6" x14ac:dyDescent="0.25">
      <c r="A168" s="80">
        <v>157</v>
      </c>
      <c r="B168" s="79"/>
      <c r="C168" s="75"/>
      <c r="D168" s="76">
        <f t="shared" si="45"/>
        <v>0</v>
      </c>
      <c r="E168" s="76">
        <f t="shared" si="46"/>
        <v>0</v>
      </c>
      <c r="F168" s="76">
        <f t="shared" si="47"/>
        <v>0</v>
      </c>
      <c r="G168" s="76">
        <f t="shared" si="48"/>
        <v>0</v>
      </c>
      <c r="H168" s="76">
        <f t="shared" si="49"/>
        <v>0</v>
      </c>
      <c r="I168" s="76">
        <f t="shared" si="50"/>
        <v>0</v>
      </c>
      <c r="J168" s="76">
        <f t="shared" si="51"/>
        <v>0</v>
      </c>
      <c r="K168" s="76">
        <f t="shared" si="52"/>
        <v>0</v>
      </c>
      <c r="L168" s="76">
        <f t="shared" si="53"/>
        <v>0</v>
      </c>
      <c r="M168" s="130">
        <f t="shared" si="54"/>
        <v>0</v>
      </c>
      <c r="N168" s="77">
        <f t="shared" si="55"/>
        <v>0</v>
      </c>
      <c r="O168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69" spans="1:15" ht="24.6" x14ac:dyDescent="0.25">
      <c r="A169" s="74">
        <v>158</v>
      </c>
      <c r="B169" s="79"/>
      <c r="C169" s="75"/>
      <c r="D169" s="76">
        <f t="shared" si="45"/>
        <v>0</v>
      </c>
      <c r="E169" s="76">
        <f t="shared" si="46"/>
        <v>0</v>
      </c>
      <c r="F169" s="76">
        <f t="shared" si="47"/>
        <v>0</v>
      </c>
      <c r="G169" s="76">
        <f t="shared" si="48"/>
        <v>0</v>
      </c>
      <c r="H169" s="76">
        <f t="shared" si="49"/>
        <v>0</v>
      </c>
      <c r="I169" s="76">
        <f t="shared" si="50"/>
        <v>0</v>
      </c>
      <c r="J169" s="76">
        <f t="shared" si="51"/>
        <v>0</v>
      </c>
      <c r="K169" s="76">
        <f t="shared" si="52"/>
        <v>0</v>
      </c>
      <c r="L169" s="76">
        <f t="shared" si="53"/>
        <v>0</v>
      </c>
      <c r="M169" s="130">
        <f t="shared" si="54"/>
        <v>0</v>
      </c>
      <c r="N169" s="77">
        <f t="shared" si="55"/>
        <v>0</v>
      </c>
      <c r="O169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70" spans="1:15" ht="24.6" x14ac:dyDescent="0.25">
      <c r="A170" s="80">
        <v>159</v>
      </c>
      <c r="B170" s="79"/>
      <c r="C170" s="75"/>
      <c r="D170" s="76">
        <f t="shared" si="45"/>
        <v>0</v>
      </c>
      <c r="E170" s="76">
        <f t="shared" si="46"/>
        <v>0</v>
      </c>
      <c r="F170" s="76">
        <f t="shared" si="47"/>
        <v>0</v>
      </c>
      <c r="G170" s="76">
        <f t="shared" si="48"/>
        <v>0</v>
      </c>
      <c r="H170" s="76">
        <f t="shared" si="49"/>
        <v>0</v>
      </c>
      <c r="I170" s="76">
        <f t="shared" si="50"/>
        <v>0</v>
      </c>
      <c r="J170" s="76">
        <f t="shared" si="51"/>
        <v>0</v>
      </c>
      <c r="K170" s="76">
        <f t="shared" si="52"/>
        <v>0</v>
      </c>
      <c r="L170" s="76">
        <f t="shared" si="53"/>
        <v>0</v>
      </c>
      <c r="M170" s="130">
        <f t="shared" si="54"/>
        <v>0</v>
      </c>
      <c r="N170" s="77">
        <f t="shared" si="55"/>
        <v>0</v>
      </c>
      <c r="O170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71" spans="1:15" ht="24.6" x14ac:dyDescent="0.25">
      <c r="A171" s="74">
        <v>160</v>
      </c>
      <c r="B171" s="79"/>
      <c r="C171" s="75"/>
      <c r="D171" s="76">
        <f t="shared" si="45"/>
        <v>0</v>
      </c>
      <c r="E171" s="76">
        <f t="shared" si="46"/>
        <v>0</v>
      </c>
      <c r="F171" s="76">
        <f t="shared" si="47"/>
        <v>0</v>
      </c>
      <c r="G171" s="76">
        <f t="shared" si="48"/>
        <v>0</v>
      </c>
      <c r="H171" s="76">
        <f t="shared" si="49"/>
        <v>0</v>
      </c>
      <c r="I171" s="76">
        <f t="shared" si="50"/>
        <v>0</v>
      </c>
      <c r="J171" s="76">
        <f t="shared" si="51"/>
        <v>0</v>
      </c>
      <c r="K171" s="76">
        <f t="shared" si="52"/>
        <v>0</v>
      </c>
      <c r="L171" s="76">
        <f t="shared" si="53"/>
        <v>0</v>
      </c>
      <c r="M171" s="130">
        <f t="shared" si="54"/>
        <v>0</v>
      </c>
      <c r="N171" s="77">
        <f t="shared" si="55"/>
        <v>0</v>
      </c>
      <c r="O171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72" spans="1:15" ht="24.6" x14ac:dyDescent="0.25">
      <c r="A172" s="80">
        <v>161</v>
      </c>
      <c r="B172" s="79"/>
      <c r="C172" s="75"/>
      <c r="D172" s="76">
        <f t="shared" si="45"/>
        <v>0</v>
      </c>
      <c r="E172" s="76">
        <f t="shared" si="46"/>
        <v>0</v>
      </c>
      <c r="F172" s="76">
        <f t="shared" si="47"/>
        <v>0</v>
      </c>
      <c r="G172" s="76">
        <f t="shared" si="48"/>
        <v>0</v>
      </c>
      <c r="H172" s="76">
        <f t="shared" si="49"/>
        <v>0</v>
      </c>
      <c r="I172" s="76">
        <f t="shared" si="50"/>
        <v>0</v>
      </c>
      <c r="J172" s="76">
        <f t="shared" si="51"/>
        <v>0</v>
      </c>
      <c r="K172" s="76">
        <f t="shared" si="52"/>
        <v>0</v>
      </c>
      <c r="L172" s="76">
        <f t="shared" si="53"/>
        <v>0</v>
      </c>
      <c r="M172" s="130">
        <f t="shared" si="54"/>
        <v>0</v>
      </c>
      <c r="N172" s="77">
        <f t="shared" ref="N172:N176" si="56">SUM(D172:M172)</f>
        <v>0</v>
      </c>
      <c r="O172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73" spans="1:15" ht="24.6" x14ac:dyDescent="0.25">
      <c r="A173" s="74">
        <v>162</v>
      </c>
      <c r="B173" s="79"/>
      <c r="C173" s="75"/>
      <c r="D173" s="76">
        <f t="shared" si="45"/>
        <v>0</v>
      </c>
      <c r="E173" s="76">
        <f t="shared" si="46"/>
        <v>0</v>
      </c>
      <c r="F173" s="76">
        <f t="shared" si="47"/>
        <v>0</v>
      </c>
      <c r="G173" s="76">
        <f t="shared" si="48"/>
        <v>0</v>
      </c>
      <c r="H173" s="76">
        <f t="shared" si="49"/>
        <v>0</v>
      </c>
      <c r="I173" s="76">
        <f t="shared" si="50"/>
        <v>0</v>
      </c>
      <c r="J173" s="76">
        <f t="shared" si="51"/>
        <v>0</v>
      </c>
      <c r="K173" s="76">
        <f t="shared" si="52"/>
        <v>0</v>
      </c>
      <c r="L173" s="76">
        <f t="shared" si="53"/>
        <v>0</v>
      </c>
      <c r="M173" s="130">
        <f t="shared" si="54"/>
        <v>0</v>
      </c>
      <c r="N173" s="77">
        <f t="shared" si="56"/>
        <v>0</v>
      </c>
      <c r="O173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74" spans="1:15" ht="24.6" x14ac:dyDescent="0.25">
      <c r="A174" s="80">
        <v>163</v>
      </c>
      <c r="B174" s="79"/>
      <c r="C174" s="75"/>
      <c r="D174" s="76">
        <f t="shared" si="45"/>
        <v>0</v>
      </c>
      <c r="E174" s="76">
        <f t="shared" si="46"/>
        <v>0</v>
      </c>
      <c r="F174" s="76">
        <f t="shared" si="47"/>
        <v>0</v>
      </c>
      <c r="G174" s="76">
        <f t="shared" si="48"/>
        <v>0</v>
      </c>
      <c r="H174" s="76">
        <f t="shared" si="49"/>
        <v>0</v>
      </c>
      <c r="I174" s="76">
        <f t="shared" si="50"/>
        <v>0</v>
      </c>
      <c r="J174" s="76">
        <f t="shared" si="51"/>
        <v>0</v>
      </c>
      <c r="K174" s="76">
        <f t="shared" si="52"/>
        <v>0</v>
      </c>
      <c r="L174" s="76">
        <f t="shared" si="53"/>
        <v>0</v>
      </c>
      <c r="M174" s="130">
        <f t="shared" si="54"/>
        <v>0</v>
      </c>
      <c r="N174" s="77">
        <f t="shared" si="56"/>
        <v>0</v>
      </c>
      <c r="O174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75" spans="1:15" ht="24.6" x14ac:dyDescent="0.25">
      <c r="A175" s="74">
        <v>164</v>
      </c>
      <c r="B175" s="79"/>
      <c r="C175" s="75"/>
      <c r="D175" s="76">
        <f t="shared" si="45"/>
        <v>0</v>
      </c>
      <c r="E175" s="76">
        <f t="shared" si="46"/>
        <v>0</v>
      </c>
      <c r="F175" s="76">
        <f t="shared" si="47"/>
        <v>0</v>
      </c>
      <c r="G175" s="76">
        <f t="shared" si="48"/>
        <v>0</v>
      </c>
      <c r="H175" s="76">
        <f t="shared" si="49"/>
        <v>0</v>
      </c>
      <c r="I175" s="76">
        <f t="shared" si="50"/>
        <v>0</v>
      </c>
      <c r="J175" s="76">
        <f t="shared" si="51"/>
        <v>0</v>
      </c>
      <c r="K175" s="76">
        <f t="shared" si="52"/>
        <v>0</v>
      </c>
      <c r="L175" s="76">
        <f t="shared" si="53"/>
        <v>0</v>
      </c>
      <c r="M175" s="130">
        <f t="shared" si="54"/>
        <v>0</v>
      </c>
      <c r="N175" s="77">
        <f t="shared" si="56"/>
        <v>0</v>
      </c>
      <c r="O175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76" spans="1:15" ht="24.6" x14ac:dyDescent="0.25">
      <c r="A176" s="80">
        <v>165</v>
      </c>
      <c r="B176" s="79"/>
      <c r="C176" s="75"/>
      <c r="D176" s="76">
        <f t="shared" si="45"/>
        <v>0</v>
      </c>
      <c r="E176" s="76">
        <f t="shared" si="46"/>
        <v>0</v>
      </c>
      <c r="F176" s="76">
        <f t="shared" si="47"/>
        <v>0</v>
      </c>
      <c r="G176" s="76">
        <f t="shared" si="48"/>
        <v>0</v>
      </c>
      <c r="H176" s="76">
        <f t="shared" si="49"/>
        <v>0</v>
      </c>
      <c r="I176" s="76">
        <f t="shared" si="50"/>
        <v>0</v>
      </c>
      <c r="J176" s="76">
        <f t="shared" si="51"/>
        <v>0</v>
      </c>
      <c r="K176" s="76">
        <f t="shared" si="52"/>
        <v>0</v>
      </c>
      <c r="L176" s="76">
        <f t="shared" si="53"/>
        <v>0</v>
      </c>
      <c r="M176" s="130">
        <f t="shared" si="54"/>
        <v>0</v>
      </c>
      <c r="N176" s="77">
        <f t="shared" si="56"/>
        <v>0</v>
      </c>
      <c r="O176" s="131" t="str">
        <f>IF((tbl_grade[[#This Row],[Total]]&lt;=0),"",IF(tbl_grade[[#This Row],[Total]]&gt;=80,"A",IF(tbl_grade[[#This Row],[Total]]&gt;=75,"B+",IF(tbl_grade[[#This Row],[Total]]&gt;=70,"B",IF(tbl_grade[[#This Row],[Total]]&gt;=65,"C+",IF(tbl_grade[[#This Row],[Total]]&gt;=60,"C",IF(tbl_grade[[#This Row],[Total]]&gt;=55,"D+",IF(tbl_grade[[#This Row],[Total]]&gt;=50,"D","F"))))))))</f>
        <v/>
      </c>
    </row>
    <row r="178" spans="1:170" x14ac:dyDescent="0.25">
      <c r="A178" s="6" t="s">
        <v>411</v>
      </c>
      <c r="D178" s="101"/>
    </row>
    <row r="179" spans="1:170" ht="42" x14ac:dyDescent="0.25">
      <c r="A179" s="7" t="s">
        <v>10</v>
      </c>
      <c r="B179" s="21" t="s">
        <v>286</v>
      </c>
      <c r="C179" s="21" t="s">
        <v>451</v>
      </c>
      <c r="D179" s="21" t="s">
        <v>409</v>
      </c>
      <c r="E179" s="43" t="s">
        <v>249</v>
      </c>
      <c r="F179" s="122" t="s">
        <v>22</v>
      </c>
      <c r="G179" s="122" t="s">
        <v>23</v>
      </c>
      <c r="H179" s="122" t="s">
        <v>24</v>
      </c>
      <c r="I179" s="122" t="s">
        <v>25</v>
      </c>
      <c r="J179" s="122" t="s">
        <v>26</v>
      </c>
      <c r="K179" s="122" t="s">
        <v>27</v>
      </c>
      <c r="L179" s="122" t="s">
        <v>28</v>
      </c>
      <c r="M179" s="122" t="s">
        <v>29</v>
      </c>
      <c r="N179" s="122" t="s">
        <v>30</v>
      </c>
      <c r="O179" s="122" t="s">
        <v>31</v>
      </c>
      <c r="P179" s="122" t="s">
        <v>32</v>
      </c>
      <c r="Q179" s="122" t="s">
        <v>33</v>
      </c>
      <c r="R179" s="122" t="s">
        <v>34</v>
      </c>
      <c r="S179" s="122" t="s">
        <v>35</v>
      </c>
      <c r="T179" s="122" t="s">
        <v>36</v>
      </c>
      <c r="U179" s="122" t="s">
        <v>37</v>
      </c>
      <c r="V179" s="122" t="s">
        <v>38</v>
      </c>
      <c r="W179" s="122" t="s">
        <v>39</v>
      </c>
      <c r="X179" s="122" t="s">
        <v>40</v>
      </c>
      <c r="Y179" s="122" t="s">
        <v>41</v>
      </c>
      <c r="Z179" s="122" t="s">
        <v>42</v>
      </c>
      <c r="AA179" s="122" t="s">
        <v>43</v>
      </c>
      <c r="AB179" s="122" t="s">
        <v>44</v>
      </c>
      <c r="AC179" s="122" t="s">
        <v>45</v>
      </c>
      <c r="AD179" s="122" t="s">
        <v>46</v>
      </c>
      <c r="AE179" s="122" t="s">
        <v>47</v>
      </c>
      <c r="AF179" s="122" t="s">
        <v>48</v>
      </c>
      <c r="AG179" s="122" t="s">
        <v>49</v>
      </c>
      <c r="AH179" s="122" t="s">
        <v>50</v>
      </c>
      <c r="AI179" s="122" t="s">
        <v>51</v>
      </c>
      <c r="AJ179" s="122" t="s">
        <v>52</v>
      </c>
      <c r="AK179" s="122" t="s">
        <v>53</v>
      </c>
      <c r="AL179" s="122" t="s">
        <v>54</v>
      </c>
      <c r="AM179" s="122" t="s">
        <v>55</v>
      </c>
      <c r="AN179" s="122" t="s">
        <v>56</v>
      </c>
      <c r="AO179" s="122" t="s">
        <v>57</v>
      </c>
      <c r="AP179" s="122" t="s">
        <v>58</v>
      </c>
      <c r="AQ179" s="122" t="s">
        <v>59</v>
      </c>
      <c r="AR179" s="122" t="s">
        <v>60</v>
      </c>
      <c r="AS179" s="122" t="s">
        <v>61</v>
      </c>
      <c r="AT179" s="122" t="s">
        <v>62</v>
      </c>
      <c r="AU179" s="122" t="s">
        <v>63</v>
      </c>
      <c r="AV179" s="122" t="s">
        <v>64</v>
      </c>
      <c r="AW179" s="122" t="s">
        <v>65</v>
      </c>
      <c r="AX179" s="122" t="s">
        <v>66</v>
      </c>
      <c r="AY179" s="122" t="s">
        <v>67</v>
      </c>
      <c r="AZ179" s="122" t="s">
        <v>68</v>
      </c>
      <c r="BA179" s="122" t="s">
        <v>69</v>
      </c>
      <c r="BB179" s="122" t="s">
        <v>70</v>
      </c>
      <c r="BC179" s="122" t="s">
        <v>71</v>
      </c>
      <c r="BD179" s="122" t="s">
        <v>72</v>
      </c>
      <c r="BE179" s="122" t="s">
        <v>73</v>
      </c>
      <c r="BF179" s="122" t="s">
        <v>74</v>
      </c>
      <c r="BG179" s="122" t="s">
        <v>75</v>
      </c>
      <c r="BH179" s="122" t="s">
        <v>76</v>
      </c>
      <c r="BI179" s="122" t="s">
        <v>77</v>
      </c>
      <c r="BJ179" s="122" t="s">
        <v>78</v>
      </c>
      <c r="BK179" s="122" t="s">
        <v>79</v>
      </c>
      <c r="BL179" s="122" t="s">
        <v>80</v>
      </c>
      <c r="BM179" s="122" t="s">
        <v>81</v>
      </c>
      <c r="BN179" s="122" t="s">
        <v>82</v>
      </c>
      <c r="BO179" s="122" t="s">
        <v>83</v>
      </c>
      <c r="BP179" s="122" t="s">
        <v>84</v>
      </c>
      <c r="BQ179" s="122" t="s">
        <v>85</v>
      </c>
      <c r="BR179" s="122" t="s">
        <v>86</v>
      </c>
      <c r="BS179" s="122" t="s">
        <v>87</v>
      </c>
      <c r="BT179" s="122" t="s">
        <v>88</v>
      </c>
      <c r="BU179" s="122" t="s">
        <v>89</v>
      </c>
      <c r="BV179" s="122" t="s">
        <v>90</v>
      </c>
      <c r="BW179" s="122" t="s">
        <v>91</v>
      </c>
      <c r="BX179" s="122" t="s">
        <v>92</v>
      </c>
      <c r="BY179" s="122" t="s">
        <v>93</v>
      </c>
      <c r="BZ179" s="122" t="s">
        <v>94</v>
      </c>
      <c r="CA179" s="122" t="s">
        <v>95</v>
      </c>
      <c r="CB179" s="122" t="s">
        <v>96</v>
      </c>
      <c r="CC179" s="122" t="s">
        <v>97</v>
      </c>
      <c r="CD179" s="122" t="s">
        <v>98</v>
      </c>
      <c r="CE179" s="122" t="s">
        <v>99</v>
      </c>
      <c r="CF179" s="122" t="s">
        <v>100</v>
      </c>
      <c r="CG179" s="122" t="s">
        <v>101</v>
      </c>
      <c r="CH179" s="122" t="s">
        <v>102</v>
      </c>
      <c r="CI179" s="122" t="s">
        <v>103</v>
      </c>
      <c r="CJ179" s="122" t="s">
        <v>104</v>
      </c>
      <c r="CK179" s="122" t="s">
        <v>105</v>
      </c>
      <c r="CL179" s="122" t="s">
        <v>106</v>
      </c>
      <c r="CM179" s="122" t="s">
        <v>107</v>
      </c>
      <c r="CN179" s="122" t="s">
        <v>108</v>
      </c>
      <c r="CO179" s="122" t="s">
        <v>109</v>
      </c>
      <c r="CP179" s="122" t="s">
        <v>110</v>
      </c>
      <c r="CQ179" s="122" t="s">
        <v>111</v>
      </c>
      <c r="CR179" s="122" t="s">
        <v>112</v>
      </c>
      <c r="CS179" s="122" t="s">
        <v>113</v>
      </c>
      <c r="CT179" s="122" t="s">
        <v>114</v>
      </c>
      <c r="CU179" s="122" t="s">
        <v>115</v>
      </c>
      <c r="CV179" s="122" t="s">
        <v>116</v>
      </c>
      <c r="CW179" s="122" t="s">
        <v>117</v>
      </c>
      <c r="CX179" s="122" t="s">
        <v>118</v>
      </c>
      <c r="CY179" s="122" t="s">
        <v>119</v>
      </c>
      <c r="CZ179" s="122" t="s">
        <v>120</v>
      </c>
      <c r="DA179" s="122" t="s">
        <v>121</v>
      </c>
      <c r="DB179" s="122" t="s">
        <v>122</v>
      </c>
      <c r="DC179" s="122" t="s">
        <v>123</v>
      </c>
      <c r="DD179" s="122" t="s">
        <v>124</v>
      </c>
      <c r="DE179" s="122" t="s">
        <v>125</v>
      </c>
      <c r="DF179" s="122" t="s">
        <v>126</v>
      </c>
      <c r="DG179" s="122" t="s">
        <v>127</v>
      </c>
      <c r="DH179" s="122" t="s">
        <v>128</v>
      </c>
      <c r="DI179" s="122" t="s">
        <v>129</v>
      </c>
      <c r="DJ179" s="122" t="s">
        <v>130</v>
      </c>
      <c r="DK179" s="122" t="s">
        <v>131</v>
      </c>
      <c r="DL179" s="122" t="s">
        <v>132</v>
      </c>
      <c r="DM179" s="122" t="s">
        <v>133</v>
      </c>
      <c r="DN179" s="122" t="s">
        <v>134</v>
      </c>
      <c r="DO179" s="122" t="s">
        <v>135</v>
      </c>
      <c r="DP179" s="122" t="s">
        <v>136</v>
      </c>
      <c r="DQ179" s="122" t="s">
        <v>359</v>
      </c>
      <c r="DR179" s="122" t="s">
        <v>360</v>
      </c>
      <c r="DS179" s="122" t="s">
        <v>361</v>
      </c>
      <c r="DT179" s="122" t="s">
        <v>362</v>
      </c>
      <c r="DU179" s="122" t="s">
        <v>363</v>
      </c>
      <c r="DV179" s="122" t="s">
        <v>364</v>
      </c>
      <c r="DW179" s="122" t="s">
        <v>365</v>
      </c>
      <c r="DX179" s="122" t="s">
        <v>366</v>
      </c>
      <c r="DY179" s="122" t="s">
        <v>367</v>
      </c>
      <c r="DZ179" s="122" t="s">
        <v>368</v>
      </c>
      <c r="EA179" s="122" t="s">
        <v>369</v>
      </c>
      <c r="EB179" s="122" t="s">
        <v>370</v>
      </c>
      <c r="EC179" s="122" t="s">
        <v>371</v>
      </c>
      <c r="ED179" s="122" t="s">
        <v>372</v>
      </c>
      <c r="EE179" s="122" t="s">
        <v>373</v>
      </c>
      <c r="EF179" s="122" t="s">
        <v>374</v>
      </c>
      <c r="EG179" s="122" t="s">
        <v>375</v>
      </c>
      <c r="EH179" s="122" t="s">
        <v>376</v>
      </c>
      <c r="EI179" s="122" t="s">
        <v>377</v>
      </c>
      <c r="EJ179" s="122" t="s">
        <v>378</v>
      </c>
      <c r="EK179" s="122" t="s">
        <v>379</v>
      </c>
      <c r="EL179" s="122" t="s">
        <v>380</v>
      </c>
      <c r="EM179" s="122" t="s">
        <v>381</v>
      </c>
      <c r="EN179" s="122" t="s">
        <v>382</v>
      </c>
      <c r="EO179" s="122" t="s">
        <v>383</v>
      </c>
      <c r="EP179" s="122" t="s">
        <v>384</v>
      </c>
      <c r="EQ179" s="122" t="s">
        <v>385</v>
      </c>
      <c r="ER179" s="122" t="s">
        <v>386</v>
      </c>
      <c r="ES179" s="122" t="s">
        <v>387</v>
      </c>
      <c r="ET179" s="122" t="s">
        <v>388</v>
      </c>
      <c r="EU179" s="122" t="s">
        <v>389</v>
      </c>
      <c r="EV179" s="122" t="s">
        <v>390</v>
      </c>
      <c r="EW179" s="122" t="s">
        <v>391</v>
      </c>
      <c r="EX179" s="122" t="s">
        <v>392</v>
      </c>
      <c r="EY179" s="122" t="s">
        <v>393</v>
      </c>
      <c r="EZ179" s="122" t="s">
        <v>394</v>
      </c>
      <c r="FA179" s="122" t="s">
        <v>395</v>
      </c>
      <c r="FB179" s="122" t="s">
        <v>396</v>
      </c>
      <c r="FC179" s="122" t="s">
        <v>397</v>
      </c>
      <c r="FD179" s="122" t="s">
        <v>398</v>
      </c>
      <c r="FE179" s="122" t="s">
        <v>399</v>
      </c>
      <c r="FF179" s="122" t="s">
        <v>400</v>
      </c>
      <c r="FG179" s="122" t="s">
        <v>401</v>
      </c>
      <c r="FH179" s="122" t="s">
        <v>402</v>
      </c>
      <c r="FI179" s="122" t="s">
        <v>403</v>
      </c>
      <c r="FJ179" s="122" t="s">
        <v>404</v>
      </c>
      <c r="FK179" s="122" t="s">
        <v>405</v>
      </c>
      <c r="FL179" s="122" t="s">
        <v>406</v>
      </c>
      <c r="FM179" s="122" t="s">
        <v>407</v>
      </c>
      <c r="FN179" s="122" t="s">
        <v>408</v>
      </c>
    </row>
    <row r="180" spans="1:170" ht="127.2" customHeight="1" x14ac:dyDescent="0.25">
      <c r="A180" s="135">
        <v>1</v>
      </c>
      <c r="B180" s="5" t="s">
        <v>617</v>
      </c>
      <c r="C180" s="86">
        <f>COUNTIFS(tbl_task1[SubPLOs],"&gt;=1",tbl_task1[SubPLOs],"&lt;2")+COUNTIFS(tbl_task2[SubPLOs],"&gt;=1",tbl_task2[SubPLOs],"&lt;2")+COUNTIFS(tbl_task3[SubPLOs],"&gt;=1",tbl_task3[SubPLOs],"&lt;2")+COUNTIFS(tbl_task4[SubPLOs],"&gt;=1",tbl_task4[SubPLOs],"&lt;2")+COUNTIFS(tbl_task5[SubPLOs],"&gt;=1",tbl_task5[SubPLOs],"&lt;2")+COUNTIFS(tbl_task6[SubPLOs],"&gt;=1",tbl_task6[SubPLOs],"&lt;2")+COUNTIFS(tbl_task7[SubPLOs],"&gt;=1",tbl_task7[SubPLOs],"&lt;2")+COUNTIFS(tbl_task8[SubPLOs],"&gt;=1",tbl_task8[SubPLOs],"&lt;2")+COUNTIFS(tbl_task9[SubPLOs],"&gt;=1",tbl_task9[SubPLOs],"&lt;2")+COUNTIFS(tbl_task10[SubPLOs],"&gt;=1",tbl_task10[SubPLOs],"&lt;2")</f>
        <v>0</v>
      </c>
      <c r="D180" s="86">
        <f>SUMIFS(tbl_task1[คะแนนเต็ม],tbl_task1[SubPLOs],"&gt;=1",tbl_task1[SubPLOs],"&lt;2")+SUMIFS(tbl_task2[คะแนนเต็ม],tbl_task2[SubPLOs],"&gt;=1",tbl_task2[SubPLOs],"&lt;2")+SUMIFS(tbl_task3[คะแนนเต็ม],tbl_task3[SubPLOs],"&gt;=1",tbl_task3[SubPLOs],"&lt;2")+SUMIFS(tbl_task4[คะแนนเต็ม],tbl_task4[SubPLOs],"&gt;=1",tbl_task4[SubPLOs],"&lt;2")+SUMIFS(tbl_task5[คะแนนเต็ม],tbl_task5[SubPLOs],"&gt;=1",tbl_task5[SubPLOs],"&lt;2")+SUMIFS(tbl_task6[คะแนนเต็ม],tbl_task6[SubPLOs],"&gt;=1",tbl_task6[SubPLOs],"&lt;2")+SUMIFS(tbl_task7[คะแนนเต็ม],tbl_task7[SubPLOs],"&gt;=1",tbl_task7[SubPLOs],"&lt;2")+SUMIFS(tbl_task8[คะแนนเต็ม],tbl_task8[SubPLOs],"&gt;=1",tbl_task8[SubPLOs],"&lt;2")+SUMIFS(tbl_task9[คะแนนเต็ม],tbl_task9[SubPLOs],"&gt;=1",tbl_task9[SubPLOs],"&lt;2")+SUMIFS(tbl_task10[คะแนนเต็ม],tbl_task10[SubPLOs],"&gt;=1",tbl_task10[SubPLOs],"&lt;2")</f>
        <v>0</v>
      </c>
      <c r="E180" s="47">
        <f>SUMIFS(tbl_task1[%],tbl_task1[SubPLOs],"&gt;=1",tbl_task1[SubPLOs],"&lt;2")+SUMIFS(tbl_task2[%],tbl_task2[SubPLOs],"&gt;=1",tbl_task2[SubPLOs],"&lt;2")+SUMIFS(tbl_task3[%],tbl_task3[SubPLOs],"&gt;=1",tbl_task3[SubPLOs],"&lt;2")+SUMIFS(tbl_task4[%],tbl_task4[SubPLOs],"&gt;=1",tbl_task4[SubPLOs],"&lt;2")+SUMIFS(tbl_task5[%],tbl_task5[SubPLOs],"&gt;=1",tbl_task5[SubPLOs],"&lt;2")+SUMIFS(tbl_task6[%],tbl_task6[SubPLOs],"&gt;=1",tbl_task6[SubPLOs],"&lt;2")+SUMIFS(tbl_task7[%],tbl_task7[SubPLOs],"&gt;=1",tbl_task7[SubPLOs],"&lt;2")+SUMIFS(tbl_task8[%],tbl_task8[SubPLOs],"&gt;=1",tbl_task8[SubPLOs],"&lt;2")+SUMIFS(tbl_task9[%],tbl_task9[SubPLOs],"&gt;=1",tbl_task9[SubPLOs],"&lt;2")+SUMIFS(tbl_task10[%],tbl_task10[SubPLOs],"&gt;=1",tbl_task10[SubPLOs],"&lt;2")</f>
        <v>0</v>
      </c>
      <c r="F180" s="41">
        <f>SUMIFS(tbl_task1[S1],tbl_task1[[SubPLOs]:[SubPLOs]],"&gt;=1",tbl_task1[[SubPLOs]:[SubPLOs]],"&lt;2")+SUMIFS(tbl_task2[S1],tbl_task2[[SubPLOs]:[SubPLOs]],"&gt;=1",tbl_task2[[SubPLOs]:[SubPLOs]],"&lt;2")+SUMIFS(tbl_task3[S1],tbl_task3[[SubPLOs]:[SubPLOs]],"&gt;=1",tbl_task3[[SubPLOs]:[SubPLOs]],"&lt;2")+SUMIFS(tbl_task4[S1],tbl_task4[[SubPLOs]:[SubPLOs]],"&gt;=1",tbl_task4[[SubPLOs]:[SubPLOs]],"&lt;2")+SUMIFS(tbl_task5[S1],tbl_task5[[SubPLOs]:[SubPLOs]],"&gt;=1",tbl_task5[[SubPLOs]:[SubPLOs]],"&lt;2")+SUMIFS(tbl_task6[S1],tbl_task6[[SubPLOs]:[SubPLOs]],"&gt;=1",tbl_task6[[SubPLOs]:[SubPLOs]],"&lt;2")+SUMIFS(tbl_task7[S1],tbl_task7[[SubPLOs]:[SubPLOs]],"&gt;=1",tbl_task7[[SubPLOs]:[SubPLOs]],"&lt;2")+SUMIFS(tbl_task8[S1],tbl_task8[[SubPLOs]:[SubPLOs]],"&gt;=1",tbl_task8[[SubPLOs]:[SubPLOs]],"&lt;2")+SUMIFS(tbl_task9[S1],tbl_task9[[SubPLOs]:[SubPLOs]],"&gt;=1",tbl_task9[[SubPLOs]:[SubPLOs]],"&lt;2")+SUMIFS(tbl_task10[S1],tbl_task10[[SubPLOs]:[SubPLOs]],"&gt;=1",tbl_task10[[SubPLOs]:[SubPLOs]],"&lt;2")</f>
        <v>0</v>
      </c>
      <c r="G180" s="41">
        <f>SUMIFS(tbl_task1[S2],tbl_task1[[SubPLOs]:[SubPLOs]],"&gt;=1",tbl_task1[[SubPLOs]:[SubPLOs]],"&lt;2")+SUMIFS(tbl_task2[S2],tbl_task2[[SubPLOs]:[SubPLOs]],"&gt;=1",tbl_task2[[SubPLOs]:[SubPLOs]],"&lt;2")+SUMIFS(tbl_task3[S2],tbl_task3[[SubPLOs]:[SubPLOs]],"&gt;=1",tbl_task3[[SubPLOs]:[SubPLOs]],"&lt;2")+SUMIFS(tbl_task4[S2],tbl_task4[[SubPLOs]:[SubPLOs]],"&gt;=1",tbl_task4[[SubPLOs]:[SubPLOs]],"&lt;2")+SUMIFS(tbl_task5[S2],tbl_task5[[SubPLOs]:[SubPLOs]],"&gt;=1",tbl_task5[[SubPLOs]:[SubPLOs]],"&lt;2")+SUMIFS(tbl_task6[S2],tbl_task6[[SubPLOs]:[SubPLOs]],"&gt;=1",tbl_task6[[SubPLOs]:[SubPLOs]],"&lt;2")+SUMIFS(tbl_task7[S2],tbl_task7[[SubPLOs]:[SubPLOs]],"&gt;=1",tbl_task7[[SubPLOs]:[SubPLOs]],"&lt;2")+SUMIFS(tbl_task8[S2],tbl_task8[[SubPLOs]:[SubPLOs]],"&gt;=1",tbl_task8[[SubPLOs]:[SubPLOs]],"&lt;2")+SUMIFS(tbl_task9[S2],tbl_task9[[SubPLOs]:[SubPLOs]],"&gt;=1",tbl_task9[[SubPLOs]:[SubPLOs]],"&lt;2")+SUMIFS(tbl_task10[S2],tbl_task10[[SubPLOs]:[SubPLOs]],"&gt;=1",tbl_task10[[SubPLOs]:[SubPLOs]],"&lt;2")</f>
        <v>0</v>
      </c>
      <c r="H180" s="41">
        <f>SUMIFS(tbl_task1[S3],tbl_task1[[SubPLOs]:[SubPLOs]],"&gt;=1",tbl_task1[[SubPLOs]:[SubPLOs]],"&lt;2")+SUMIFS(tbl_task2[S3],tbl_task2[[SubPLOs]:[SubPLOs]],"&gt;=1",tbl_task2[[SubPLOs]:[SubPLOs]],"&lt;2")+SUMIFS(tbl_task3[S3],tbl_task3[[SubPLOs]:[SubPLOs]],"&gt;=1",tbl_task3[[SubPLOs]:[SubPLOs]],"&lt;2")+SUMIFS(tbl_task4[S3],tbl_task4[[SubPLOs]:[SubPLOs]],"&gt;=1",tbl_task4[[SubPLOs]:[SubPLOs]],"&lt;2")+SUMIFS(tbl_task5[S3],tbl_task5[[SubPLOs]:[SubPLOs]],"&gt;=1",tbl_task5[[SubPLOs]:[SubPLOs]],"&lt;2")+SUMIFS(tbl_task6[S3],tbl_task6[[SubPLOs]:[SubPLOs]],"&gt;=1",tbl_task6[[SubPLOs]:[SubPLOs]],"&lt;2")+SUMIFS(tbl_task7[S3],tbl_task7[[SubPLOs]:[SubPLOs]],"&gt;=1",tbl_task7[[SubPLOs]:[SubPLOs]],"&lt;2")+SUMIFS(tbl_task8[S3],tbl_task8[[SubPLOs]:[SubPLOs]],"&gt;=1",tbl_task8[[SubPLOs]:[SubPLOs]],"&lt;2")+SUMIFS(tbl_task9[S3],tbl_task9[[SubPLOs]:[SubPLOs]],"&gt;=1",tbl_task9[[SubPLOs]:[SubPLOs]],"&lt;2")+SUMIFS(tbl_task10[S3],tbl_task10[[SubPLOs]:[SubPLOs]],"&gt;=1",tbl_task10[[SubPLOs]:[SubPLOs]],"&lt;2")</f>
        <v>0</v>
      </c>
      <c r="I180" s="41">
        <f>SUMIFS(tbl_task1[S4],tbl_task1[[SubPLOs]:[SubPLOs]],"&gt;=1",tbl_task1[[SubPLOs]:[SubPLOs]],"&lt;2")+SUMIFS(tbl_task2[S4],tbl_task2[[SubPLOs]:[SubPLOs]],"&gt;=1",tbl_task2[[SubPLOs]:[SubPLOs]],"&lt;2")+SUMIFS(tbl_task3[S4],tbl_task3[[SubPLOs]:[SubPLOs]],"&gt;=1",tbl_task3[[SubPLOs]:[SubPLOs]],"&lt;2")+SUMIFS(tbl_task4[S4],tbl_task4[[SubPLOs]:[SubPLOs]],"&gt;=1",tbl_task4[[SubPLOs]:[SubPLOs]],"&lt;2")+SUMIFS(tbl_task5[S4],tbl_task5[[SubPLOs]:[SubPLOs]],"&gt;=1",tbl_task5[[SubPLOs]:[SubPLOs]],"&lt;2")+SUMIFS(tbl_task6[S4],tbl_task6[[SubPLOs]:[SubPLOs]],"&gt;=1",tbl_task6[[SubPLOs]:[SubPLOs]],"&lt;2")+SUMIFS(tbl_task7[S4],tbl_task7[[SubPLOs]:[SubPLOs]],"&gt;=1",tbl_task7[[SubPLOs]:[SubPLOs]],"&lt;2")+SUMIFS(tbl_task8[S4],tbl_task8[[SubPLOs]:[SubPLOs]],"&gt;=1",tbl_task8[[SubPLOs]:[SubPLOs]],"&lt;2")+SUMIFS(tbl_task9[S4],tbl_task9[[SubPLOs]:[SubPLOs]],"&gt;=1",tbl_task9[[SubPLOs]:[SubPLOs]],"&lt;2")+SUMIFS(tbl_task10[S4],tbl_task10[[SubPLOs]:[SubPLOs]],"&gt;=1",tbl_task10[[SubPLOs]:[SubPLOs]],"&lt;2")</f>
        <v>0</v>
      </c>
      <c r="J180" s="41">
        <f>SUMIFS(tbl_task1[S5],tbl_task1[[SubPLOs]:[SubPLOs]],"&gt;=1",tbl_task1[[SubPLOs]:[SubPLOs]],"&lt;2")+SUMIFS(tbl_task2[S5],tbl_task2[[SubPLOs]:[SubPLOs]],"&gt;=1",tbl_task2[[SubPLOs]:[SubPLOs]],"&lt;2")+SUMIFS(tbl_task3[S5],tbl_task3[[SubPLOs]:[SubPLOs]],"&gt;=1",tbl_task3[[SubPLOs]:[SubPLOs]],"&lt;2")+SUMIFS(tbl_task4[S5],tbl_task4[[SubPLOs]:[SubPLOs]],"&gt;=1",tbl_task4[[SubPLOs]:[SubPLOs]],"&lt;2")+SUMIFS(tbl_task5[S5],tbl_task5[[SubPLOs]:[SubPLOs]],"&gt;=1",tbl_task5[[SubPLOs]:[SubPLOs]],"&lt;2")+SUMIFS(tbl_task6[S5],tbl_task6[[SubPLOs]:[SubPLOs]],"&gt;=1",tbl_task6[[SubPLOs]:[SubPLOs]],"&lt;2")+SUMIFS(tbl_task7[S5],tbl_task7[[SubPLOs]:[SubPLOs]],"&gt;=1",tbl_task7[[SubPLOs]:[SubPLOs]],"&lt;2")+SUMIFS(tbl_task8[S5],tbl_task8[[SubPLOs]:[SubPLOs]],"&gt;=1",tbl_task8[[SubPLOs]:[SubPLOs]],"&lt;2")+SUMIFS(tbl_task9[S5],tbl_task9[[SubPLOs]:[SubPLOs]],"&gt;=1",tbl_task9[[SubPLOs]:[SubPLOs]],"&lt;2")+SUMIFS(tbl_task10[S5],tbl_task10[[SubPLOs]:[SubPLOs]],"&gt;=1",tbl_task10[[SubPLOs]:[SubPLOs]],"&lt;2")</f>
        <v>0</v>
      </c>
      <c r="K180" s="41">
        <f>SUMIFS(tbl_task1[S6],tbl_task1[[SubPLOs]:[SubPLOs]],"&gt;=1",tbl_task1[[SubPLOs]:[SubPLOs]],"&lt;2")+SUMIFS(tbl_task2[S6],tbl_task2[[SubPLOs]:[SubPLOs]],"&gt;=1",tbl_task2[[SubPLOs]:[SubPLOs]],"&lt;2")+SUMIFS(tbl_task3[S6],tbl_task3[[SubPLOs]:[SubPLOs]],"&gt;=1",tbl_task3[[SubPLOs]:[SubPLOs]],"&lt;2")+SUMIFS(tbl_task4[S6],tbl_task4[[SubPLOs]:[SubPLOs]],"&gt;=1",tbl_task4[[SubPLOs]:[SubPLOs]],"&lt;2")+SUMIFS(tbl_task5[S6],tbl_task5[[SubPLOs]:[SubPLOs]],"&gt;=1",tbl_task5[[SubPLOs]:[SubPLOs]],"&lt;2")+SUMIFS(tbl_task6[S6],tbl_task6[[SubPLOs]:[SubPLOs]],"&gt;=1",tbl_task6[[SubPLOs]:[SubPLOs]],"&lt;2")+SUMIFS(tbl_task7[S6],tbl_task7[[SubPLOs]:[SubPLOs]],"&gt;=1",tbl_task7[[SubPLOs]:[SubPLOs]],"&lt;2")+SUMIFS(tbl_task8[S6],tbl_task8[[SubPLOs]:[SubPLOs]],"&gt;=1",tbl_task8[[SubPLOs]:[SubPLOs]],"&lt;2")+SUMIFS(tbl_task9[S6],tbl_task9[[SubPLOs]:[SubPLOs]],"&gt;=1",tbl_task9[[SubPLOs]:[SubPLOs]],"&lt;2")+SUMIFS(tbl_task10[S6],tbl_task10[[SubPLOs]:[SubPLOs]],"&gt;=1",tbl_task10[[SubPLOs]:[SubPLOs]],"&lt;2")</f>
        <v>0</v>
      </c>
      <c r="L180" s="41">
        <f>SUMIFS(tbl_task1[S7],tbl_task1[[SubPLOs]:[SubPLOs]],"&gt;=1",tbl_task1[[SubPLOs]:[SubPLOs]],"&lt;2")+SUMIFS(tbl_task2[S7],tbl_task2[[SubPLOs]:[SubPLOs]],"&gt;=1",tbl_task2[[SubPLOs]:[SubPLOs]],"&lt;2")+SUMIFS(tbl_task3[S7],tbl_task3[[SubPLOs]:[SubPLOs]],"&gt;=1",tbl_task3[[SubPLOs]:[SubPLOs]],"&lt;2")+SUMIFS(tbl_task4[S7],tbl_task4[[SubPLOs]:[SubPLOs]],"&gt;=1",tbl_task4[[SubPLOs]:[SubPLOs]],"&lt;2")+SUMIFS(tbl_task5[S7],tbl_task5[[SubPLOs]:[SubPLOs]],"&gt;=1",tbl_task5[[SubPLOs]:[SubPLOs]],"&lt;2")+SUMIFS(tbl_task6[S7],tbl_task6[[SubPLOs]:[SubPLOs]],"&gt;=1",tbl_task6[[SubPLOs]:[SubPLOs]],"&lt;2")+SUMIFS(tbl_task7[S7],tbl_task7[[SubPLOs]:[SubPLOs]],"&gt;=1",tbl_task7[[SubPLOs]:[SubPLOs]],"&lt;2")+SUMIFS(tbl_task8[S7],tbl_task8[[SubPLOs]:[SubPLOs]],"&gt;=1",tbl_task8[[SubPLOs]:[SubPLOs]],"&lt;2")+SUMIFS(tbl_task9[S7],tbl_task9[[SubPLOs]:[SubPLOs]],"&gt;=1",tbl_task9[[SubPLOs]:[SubPLOs]],"&lt;2")+SUMIFS(tbl_task10[S7],tbl_task10[[SubPLOs]:[SubPLOs]],"&gt;=1",tbl_task10[[SubPLOs]:[SubPLOs]],"&lt;2")</f>
        <v>0</v>
      </c>
      <c r="M180" s="41">
        <f>SUMIFS(tbl_task1[S8],tbl_task1[[SubPLOs]:[SubPLOs]],"&gt;=1",tbl_task1[[SubPLOs]:[SubPLOs]],"&lt;2")+SUMIFS(tbl_task2[S8],tbl_task2[[SubPLOs]:[SubPLOs]],"&gt;=1",tbl_task2[[SubPLOs]:[SubPLOs]],"&lt;2")+SUMIFS(tbl_task3[S8],tbl_task3[[SubPLOs]:[SubPLOs]],"&gt;=1",tbl_task3[[SubPLOs]:[SubPLOs]],"&lt;2")+SUMIFS(tbl_task4[S8],tbl_task4[[SubPLOs]:[SubPLOs]],"&gt;=1",tbl_task4[[SubPLOs]:[SubPLOs]],"&lt;2")+SUMIFS(tbl_task5[S8],tbl_task5[[SubPLOs]:[SubPLOs]],"&gt;=1",tbl_task5[[SubPLOs]:[SubPLOs]],"&lt;2")+SUMIFS(tbl_task6[S8],tbl_task6[[SubPLOs]:[SubPLOs]],"&gt;=1",tbl_task6[[SubPLOs]:[SubPLOs]],"&lt;2")+SUMIFS(tbl_task7[S8],tbl_task7[[SubPLOs]:[SubPLOs]],"&gt;=1",tbl_task7[[SubPLOs]:[SubPLOs]],"&lt;2")+SUMIFS(tbl_task8[S8],tbl_task8[[SubPLOs]:[SubPLOs]],"&gt;=1",tbl_task8[[SubPLOs]:[SubPLOs]],"&lt;2")+SUMIFS(tbl_task9[S8],tbl_task9[[SubPLOs]:[SubPLOs]],"&gt;=1",tbl_task9[[SubPLOs]:[SubPLOs]],"&lt;2")+SUMIFS(tbl_task10[S8],tbl_task10[[SubPLOs]:[SubPLOs]],"&gt;=1",tbl_task10[[SubPLOs]:[SubPLOs]],"&lt;2")</f>
        <v>0</v>
      </c>
      <c r="N180" s="41">
        <f>SUMIFS(tbl_task1[S9],tbl_task1[[SubPLOs]:[SubPLOs]],"&gt;=1",tbl_task1[[SubPLOs]:[SubPLOs]],"&lt;2")+SUMIFS(tbl_task2[S9],tbl_task2[[SubPLOs]:[SubPLOs]],"&gt;=1",tbl_task2[[SubPLOs]:[SubPLOs]],"&lt;2")+SUMIFS(tbl_task3[S9],tbl_task3[[SubPLOs]:[SubPLOs]],"&gt;=1",tbl_task3[[SubPLOs]:[SubPLOs]],"&lt;2")+SUMIFS(tbl_task4[S9],tbl_task4[[SubPLOs]:[SubPLOs]],"&gt;=1",tbl_task4[[SubPLOs]:[SubPLOs]],"&lt;2")+SUMIFS(tbl_task5[S9],tbl_task5[[SubPLOs]:[SubPLOs]],"&gt;=1",tbl_task5[[SubPLOs]:[SubPLOs]],"&lt;2")+SUMIFS(tbl_task6[S9],tbl_task6[[SubPLOs]:[SubPLOs]],"&gt;=1",tbl_task6[[SubPLOs]:[SubPLOs]],"&lt;2")+SUMIFS(tbl_task7[S9],tbl_task7[[SubPLOs]:[SubPLOs]],"&gt;=1",tbl_task7[[SubPLOs]:[SubPLOs]],"&lt;2")+SUMIFS(tbl_task8[S9],tbl_task8[[SubPLOs]:[SubPLOs]],"&gt;=1",tbl_task8[[SubPLOs]:[SubPLOs]],"&lt;2")+SUMIFS(tbl_task9[S9],tbl_task9[[SubPLOs]:[SubPLOs]],"&gt;=1",tbl_task9[[SubPLOs]:[SubPLOs]],"&lt;2")+SUMIFS(tbl_task10[S9],tbl_task10[[SubPLOs]:[SubPLOs]],"&gt;=1",tbl_task10[[SubPLOs]:[SubPLOs]],"&lt;2")</f>
        <v>0</v>
      </c>
      <c r="O180" s="41">
        <f>SUMIFS(tbl_task1[S10],tbl_task1[[SubPLOs]:[SubPLOs]],"&gt;=1",tbl_task1[[SubPLOs]:[SubPLOs]],"&lt;2")+SUMIFS(tbl_task2[S10],tbl_task2[[SubPLOs]:[SubPLOs]],"&gt;=1",tbl_task2[[SubPLOs]:[SubPLOs]],"&lt;2")+SUMIFS(tbl_task3[S10],tbl_task3[[SubPLOs]:[SubPLOs]],"&gt;=1",tbl_task3[[SubPLOs]:[SubPLOs]],"&lt;2")+SUMIFS(tbl_task4[S10],tbl_task4[[SubPLOs]:[SubPLOs]],"&gt;=1",tbl_task4[[SubPLOs]:[SubPLOs]],"&lt;2")+SUMIFS(tbl_task5[S10],tbl_task5[[SubPLOs]:[SubPLOs]],"&gt;=1",tbl_task5[[SubPLOs]:[SubPLOs]],"&lt;2")+SUMIFS(tbl_task6[S10],tbl_task6[[SubPLOs]:[SubPLOs]],"&gt;=1",tbl_task6[[SubPLOs]:[SubPLOs]],"&lt;2")+SUMIFS(tbl_task7[S10],tbl_task7[[SubPLOs]:[SubPLOs]],"&gt;=1",tbl_task7[[SubPLOs]:[SubPLOs]],"&lt;2")+SUMIFS(tbl_task8[S10],tbl_task8[[SubPLOs]:[SubPLOs]],"&gt;=1",tbl_task8[[SubPLOs]:[SubPLOs]],"&lt;2")+SUMIFS(tbl_task9[S10],tbl_task9[[SubPLOs]:[SubPLOs]],"&gt;=1",tbl_task9[[SubPLOs]:[SubPLOs]],"&lt;2")+SUMIFS(tbl_task10[S10],tbl_task10[[SubPLOs]:[SubPLOs]],"&gt;=1",tbl_task10[[SubPLOs]:[SubPLOs]],"&lt;2")</f>
        <v>0</v>
      </c>
      <c r="P180" s="41">
        <f>SUMIFS(tbl_task1[S11],tbl_task1[[SubPLOs]:[SubPLOs]],"&gt;=1",tbl_task1[[SubPLOs]:[SubPLOs]],"&lt;2")+SUMIFS(tbl_task2[S11],tbl_task2[[SubPLOs]:[SubPLOs]],"&gt;=1",tbl_task2[[SubPLOs]:[SubPLOs]],"&lt;2")+SUMIFS(tbl_task3[S11],tbl_task3[[SubPLOs]:[SubPLOs]],"&gt;=1",tbl_task3[[SubPLOs]:[SubPLOs]],"&lt;2")+SUMIFS(tbl_task4[S11],tbl_task4[[SubPLOs]:[SubPLOs]],"&gt;=1",tbl_task4[[SubPLOs]:[SubPLOs]],"&lt;2")+SUMIFS(tbl_task5[S11],tbl_task5[[SubPLOs]:[SubPLOs]],"&gt;=1",tbl_task5[[SubPLOs]:[SubPLOs]],"&lt;2")+SUMIFS(tbl_task6[S11],tbl_task6[[SubPLOs]:[SubPLOs]],"&gt;=1",tbl_task6[[SubPLOs]:[SubPLOs]],"&lt;2")+SUMIFS(tbl_task7[S11],tbl_task7[[SubPLOs]:[SubPLOs]],"&gt;=1",tbl_task7[[SubPLOs]:[SubPLOs]],"&lt;2")+SUMIFS(tbl_task8[S11],tbl_task8[[SubPLOs]:[SubPLOs]],"&gt;=1",tbl_task8[[SubPLOs]:[SubPLOs]],"&lt;2")+SUMIFS(tbl_task9[S11],tbl_task9[[SubPLOs]:[SubPLOs]],"&gt;=1",tbl_task9[[SubPLOs]:[SubPLOs]],"&lt;2")+SUMIFS(tbl_task10[S11],tbl_task10[[SubPLOs]:[SubPLOs]],"&gt;=1",tbl_task10[[SubPLOs]:[SubPLOs]],"&lt;2")</f>
        <v>0</v>
      </c>
      <c r="Q180" s="41">
        <f>SUMIFS(tbl_task1[S12],tbl_task1[[SubPLOs]:[SubPLOs]],"&gt;=1",tbl_task1[[SubPLOs]:[SubPLOs]],"&lt;2")+SUMIFS(tbl_task2[S12],tbl_task2[[SubPLOs]:[SubPLOs]],"&gt;=1",tbl_task2[[SubPLOs]:[SubPLOs]],"&lt;2")+SUMIFS(tbl_task3[S12],tbl_task3[[SubPLOs]:[SubPLOs]],"&gt;=1",tbl_task3[[SubPLOs]:[SubPLOs]],"&lt;2")+SUMIFS(tbl_task4[S12],tbl_task4[[SubPLOs]:[SubPLOs]],"&gt;=1",tbl_task4[[SubPLOs]:[SubPLOs]],"&lt;2")+SUMIFS(tbl_task5[S12],tbl_task5[[SubPLOs]:[SubPLOs]],"&gt;=1",tbl_task5[[SubPLOs]:[SubPLOs]],"&lt;2")+SUMIFS(tbl_task6[S12],tbl_task6[[SubPLOs]:[SubPLOs]],"&gt;=1",tbl_task6[[SubPLOs]:[SubPLOs]],"&lt;2")+SUMIFS(tbl_task7[S12],tbl_task7[[SubPLOs]:[SubPLOs]],"&gt;=1",tbl_task7[[SubPLOs]:[SubPLOs]],"&lt;2")+SUMIFS(tbl_task8[S12],tbl_task8[[SubPLOs]:[SubPLOs]],"&gt;=1",tbl_task8[[SubPLOs]:[SubPLOs]],"&lt;2")+SUMIFS(tbl_task9[S12],tbl_task9[[SubPLOs]:[SubPLOs]],"&gt;=1",tbl_task9[[SubPLOs]:[SubPLOs]],"&lt;2")+SUMIFS(tbl_task10[S12],tbl_task10[[SubPLOs]:[SubPLOs]],"&gt;=1",tbl_task10[[SubPLOs]:[SubPLOs]],"&lt;2")</f>
        <v>0</v>
      </c>
      <c r="R180" s="41">
        <f>SUMIFS(tbl_task1[S13],tbl_task1[[SubPLOs]:[SubPLOs]],"&gt;=1",tbl_task1[[SubPLOs]:[SubPLOs]],"&lt;2")+SUMIFS(tbl_task2[S13],tbl_task2[[SubPLOs]:[SubPLOs]],"&gt;=1",tbl_task2[[SubPLOs]:[SubPLOs]],"&lt;2")+SUMIFS(tbl_task3[S13],tbl_task3[[SubPLOs]:[SubPLOs]],"&gt;=1",tbl_task3[[SubPLOs]:[SubPLOs]],"&lt;2")+SUMIFS(tbl_task4[S13],tbl_task4[[SubPLOs]:[SubPLOs]],"&gt;=1",tbl_task4[[SubPLOs]:[SubPLOs]],"&lt;2")+SUMIFS(tbl_task5[S13],tbl_task5[[SubPLOs]:[SubPLOs]],"&gt;=1",tbl_task5[[SubPLOs]:[SubPLOs]],"&lt;2")+SUMIFS(tbl_task6[S13],tbl_task6[[SubPLOs]:[SubPLOs]],"&gt;=1",tbl_task6[[SubPLOs]:[SubPLOs]],"&lt;2")+SUMIFS(tbl_task7[S13],tbl_task7[[SubPLOs]:[SubPLOs]],"&gt;=1",tbl_task7[[SubPLOs]:[SubPLOs]],"&lt;2")+SUMIFS(tbl_task8[S13],tbl_task8[[SubPLOs]:[SubPLOs]],"&gt;=1",tbl_task8[[SubPLOs]:[SubPLOs]],"&lt;2")+SUMIFS(tbl_task9[S13],tbl_task9[[SubPLOs]:[SubPLOs]],"&gt;=1",tbl_task9[[SubPLOs]:[SubPLOs]],"&lt;2")+SUMIFS(tbl_task10[S13],tbl_task10[[SubPLOs]:[SubPLOs]],"&gt;=1",tbl_task10[[SubPLOs]:[SubPLOs]],"&lt;2")</f>
        <v>0</v>
      </c>
      <c r="S180" s="41">
        <f>SUMIFS(tbl_task1[S14],tbl_task1[[SubPLOs]:[SubPLOs]],"&gt;=1",tbl_task1[[SubPLOs]:[SubPLOs]],"&lt;2")+SUMIFS(tbl_task2[S14],tbl_task2[[SubPLOs]:[SubPLOs]],"&gt;=1",tbl_task2[[SubPLOs]:[SubPLOs]],"&lt;2")+SUMIFS(tbl_task3[S14],tbl_task3[[SubPLOs]:[SubPLOs]],"&gt;=1",tbl_task3[[SubPLOs]:[SubPLOs]],"&lt;2")+SUMIFS(tbl_task4[S14],tbl_task4[[SubPLOs]:[SubPLOs]],"&gt;=1",tbl_task4[[SubPLOs]:[SubPLOs]],"&lt;2")+SUMIFS(tbl_task5[S14],tbl_task5[[SubPLOs]:[SubPLOs]],"&gt;=1",tbl_task5[[SubPLOs]:[SubPLOs]],"&lt;2")+SUMIFS(tbl_task6[S14],tbl_task6[[SubPLOs]:[SubPLOs]],"&gt;=1",tbl_task6[[SubPLOs]:[SubPLOs]],"&lt;2")+SUMIFS(tbl_task7[S14],tbl_task7[[SubPLOs]:[SubPLOs]],"&gt;=1",tbl_task7[[SubPLOs]:[SubPLOs]],"&lt;2")+SUMIFS(tbl_task8[S14],tbl_task8[[SubPLOs]:[SubPLOs]],"&gt;=1",tbl_task8[[SubPLOs]:[SubPLOs]],"&lt;2")+SUMIFS(tbl_task9[S14],tbl_task9[[SubPLOs]:[SubPLOs]],"&gt;=1",tbl_task9[[SubPLOs]:[SubPLOs]],"&lt;2")+SUMIFS(tbl_task10[S14],tbl_task10[[SubPLOs]:[SubPLOs]],"&gt;=1",tbl_task10[[SubPLOs]:[SubPLOs]],"&lt;2")</f>
        <v>0</v>
      </c>
      <c r="T180" s="41">
        <f>SUMIFS(tbl_task1[S15],tbl_task1[[SubPLOs]:[SubPLOs]],"&gt;=1",tbl_task1[[SubPLOs]:[SubPLOs]],"&lt;2")+SUMIFS(tbl_task2[S15],tbl_task2[[SubPLOs]:[SubPLOs]],"&gt;=1",tbl_task2[[SubPLOs]:[SubPLOs]],"&lt;2")+SUMIFS(tbl_task3[S15],tbl_task3[[SubPLOs]:[SubPLOs]],"&gt;=1",tbl_task3[[SubPLOs]:[SubPLOs]],"&lt;2")+SUMIFS(tbl_task4[S15],tbl_task4[[SubPLOs]:[SubPLOs]],"&gt;=1",tbl_task4[[SubPLOs]:[SubPLOs]],"&lt;2")+SUMIFS(tbl_task5[S15],tbl_task5[[SubPLOs]:[SubPLOs]],"&gt;=1",tbl_task5[[SubPLOs]:[SubPLOs]],"&lt;2")+SUMIFS(tbl_task6[S15],tbl_task6[[SubPLOs]:[SubPLOs]],"&gt;=1",tbl_task6[[SubPLOs]:[SubPLOs]],"&lt;2")+SUMIFS(tbl_task7[S15],tbl_task7[[SubPLOs]:[SubPLOs]],"&gt;=1",tbl_task7[[SubPLOs]:[SubPLOs]],"&lt;2")+SUMIFS(tbl_task8[S15],tbl_task8[[SubPLOs]:[SubPLOs]],"&gt;=1",tbl_task8[[SubPLOs]:[SubPLOs]],"&lt;2")+SUMIFS(tbl_task9[S15],tbl_task9[[SubPLOs]:[SubPLOs]],"&gt;=1",tbl_task9[[SubPLOs]:[SubPLOs]],"&lt;2")+SUMIFS(tbl_task10[S15],tbl_task10[[SubPLOs]:[SubPLOs]],"&gt;=1",tbl_task10[[SubPLOs]:[SubPLOs]],"&lt;2")</f>
        <v>0</v>
      </c>
      <c r="U180" s="41">
        <f>SUMIFS(tbl_task1[S16],tbl_task1[[SubPLOs]:[SubPLOs]],"&gt;=1",tbl_task1[[SubPLOs]:[SubPLOs]],"&lt;2")+SUMIFS(tbl_task2[S16],tbl_task2[[SubPLOs]:[SubPLOs]],"&gt;=1",tbl_task2[[SubPLOs]:[SubPLOs]],"&lt;2")+SUMIFS(tbl_task3[S16],tbl_task3[[SubPLOs]:[SubPLOs]],"&gt;=1",tbl_task3[[SubPLOs]:[SubPLOs]],"&lt;2")+SUMIFS(tbl_task4[S16],tbl_task4[[SubPLOs]:[SubPLOs]],"&gt;=1",tbl_task4[[SubPLOs]:[SubPLOs]],"&lt;2")+SUMIFS(tbl_task5[S16],tbl_task5[[SubPLOs]:[SubPLOs]],"&gt;=1",tbl_task5[[SubPLOs]:[SubPLOs]],"&lt;2")+SUMIFS(tbl_task6[S16],tbl_task6[[SubPLOs]:[SubPLOs]],"&gt;=1",tbl_task6[[SubPLOs]:[SubPLOs]],"&lt;2")+SUMIFS(tbl_task7[S16],tbl_task7[[SubPLOs]:[SubPLOs]],"&gt;=1",tbl_task7[[SubPLOs]:[SubPLOs]],"&lt;2")+SUMIFS(tbl_task8[S16],tbl_task8[[SubPLOs]:[SubPLOs]],"&gt;=1",tbl_task8[[SubPLOs]:[SubPLOs]],"&lt;2")+SUMIFS(tbl_task9[S16],tbl_task9[[SubPLOs]:[SubPLOs]],"&gt;=1",tbl_task9[[SubPLOs]:[SubPLOs]],"&lt;2")+SUMIFS(tbl_task10[S16],tbl_task10[[SubPLOs]:[SubPLOs]],"&gt;=1",tbl_task10[[SubPLOs]:[SubPLOs]],"&lt;2")</f>
        <v>0</v>
      </c>
      <c r="V180" s="41">
        <f>SUMIFS(tbl_task1[S17],tbl_task1[[SubPLOs]:[SubPLOs]],"&gt;=1",tbl_task1[[SubPLOs]:[SubPLOs]],"&lt;2")+SUMIFS(tbl_task2[S17],tbl_task2[[SubPLOs]:[SubPLOs]],"&gt;=1",tbl_task2[[SubPLOs]:[SubPLOs]],"&lt;2")+SUMIFS(tbl_task3[S17],tbl_task3[[SubPLOs]:[SubPLOs]],"&gt;=1",tbl_task3[[SubPLOs]:[SubPLOs]],"&lt;2")+SUMIFS(tbl_task4[S17],tbl_task4[[SubPLOs]:[SubPLOs]],"&gt;=1",tbl_task4[[SubPLOs]:[SubPLOs]],"&lt;2")+SUMIFS(tbl_task5[S17],tbl_task5[[SubPLOs]:[SubPLOs]],"&gt;=1",tbl_task5[[SubPLOs]:[SubPLOs]],"&lt;2")+SUMIFS(tbl_task6[S17],tbl_task6[[SubPLOs]:[SubPLOs]],"&gt;=1",tbl_task6[[SubPLOs]:[SubPLOs]],"&lt;2")+SUMIFS(tbl_task7[S17],tbl_task7[[SubPLOs]:[SubPLOs]],"&gt;=1",tbl_task7[[SubPLOs]:[SubPLOs]],"&lt;2")+SUMIFS(tbl_task8[S17],tbl_task8[[SubPLOs]:[SubPLOs]],"&gt;=1",tbl_task8[[SubPLOs]:[SubPLOs]],"&lt;2")+SUMIFS(tbl_task9[S17],tbl_task9[[SubPLOs]:[SubPLOs]],"&gt;=1",tbl_task9[[SubPLOs]:[SubPLOs]],"&lt;2")+SUMIFS(tbl_task10[S17],tbl_task10[[SubPLOs]:[SubPLOs]],"&gt;=1",tbl_task10[[SubPLOs]:[SubPLOs]],"&lt;2")</f>
        <v>0</v>
      </c>
      <c r="W180" s="41">
        <f>SUMIFS(tbl_task1[S18],tbl_task1[[SubPLOs]:[SubPLOs]],"&gt;=1",tbl_task1[[SubPLOs]:[SubPLOs]],"&lt;2")+SUMIFS(tbl_task2[S18],tbl_task2[[SubPLOs]:[SubPLOs]],"&gt;=1",tbl_task2[[SubPLOs]:[SubPLOs]],"&lt;2")+SUMIFS(tbl_task3[S18],tbl_task3[[SubPLOs]:[SubPLOs]],"&gt;=1",tbl_task3[[SubPLOs]:[SubPLOs]],"&lt;2")+SUMIFS(tbl_task4[S18],tbl_task4[[SubPLOs]:[SubPLOs]],"&gt;=1",tbl_task4[[SubPLOs]:[SubPLOs]],"&lt;2")+SUMIFS(tbl_task5[S18],tbl_task5[[SubPLOs]:[SubPLOs]],"&gt;=1",tbl_task5[[SubPLOs]:[SubPLOs]],"&lt;2")+SUMIFS(tbl_task6[S18],tbl_task6[[SubPLOs]:[SubPLOs]],"&gt;=1",tbl_task6[[SubPLOs]:[SubPLOs]],"&lt;2")+SUMIFS(tbl_task7[S18],tbl_task7[[SubPLOs]:[SubPLOs]],"&gt;=1",tbl_task7[[SubPLOs]:[SubPLOs]],"&lt;2")+SUMIFS(tbl_task8[S18],tbl_task8[[SubPLOs]:[SubPLOs]],"&gt;=1",tbl_task8[[SubPLOs]:[SubPLOs]],"&lt;2")+SUMIFS(tbl_task9[S18],tbl_task9[[SubPLOs]:[SubPLOs]],"&gt;=1",tbl_task9[[SubPLOs]:[SubPLOs]],"&lt;2")+SUMIFS(tbl_task10[S18],tbl_task10[[SubPLOs]:[SubPLOs]],"&gt;=1",tbl_task10[[SubPLOs]:[SubPLOs]],"&lt;2")</f>
        <v>0</v>
      </c>
      <c r="X180" s="41">
        <f>SUMIFS(tbl_task1[S19],tbl_task1[[SubPLOs]:[SubPLOs]],"&gt;=1",tbl_task1[[SubPLOs]:[SubPLOs]],"&lt;2")+SUMIFS(tbl_task2[S19],tbl_task2[[SubPLOs]:[SubPLOs]],"&gt;=1",tbl_task2[[SubPLOs]:[SubPLOs]],"&lt;2")+SUMIFS(tbl_task3[S19],tbl_task3[[SubPLOs]:[SubPLOs]],"&gt;=1",tbl_task3[[SubPLOs]:[SubPLOs]],"&lt;2")+SUMIFS(tbl_task4[S19],tbl_task4[[SubPLOs]:[SubPLOs]],"&gt;=1",tbl_task4[[SubPLOs]:[SubPLOs]],"&lt;2")+SUMIFS(tbl_task5[S19],tbl_task5[[SubPLOs]:[SubPLOs]],"&gt;=1",tbl_task5[[SubPLOs]:[SubPLOs]],"&lt;2")+SUMIFS(tbl_task6[S19],tbl_task6[[SubPLOs]:[SubPLOs]],"&gt;=1",tbl_task6[[SubPLOs]:[SubPLOs]],"&lt;2")+SUMIFS(tbl_task7[S19],tbl_task7[[SubPLOs]:[SubPLOs]],"&gt;=1",tbl_task7[[SubPLOs]:[SubPLOs]],"&lt;2")+SUMIFS(tbl_task8[S19],tbl_task8[[SubPLOs]:[SubPLOs]],"&gt;=1",tbl_task8[[SubPLOs]:[SubPLOs]],"&lt;2")+SUMIFS(tbl_task9[S19],tbl_task9[[SubPLOs]:[SubPLOs]],"&gt;=1",tbl_task9[[SubPLOs]:[SubPLOs]],"&lt;2")+SUMIFS(tbl_task10[S19],tbl_task10[[SubPLOs]:[SubPLOs]],"&gt;=1",tbl_task10[[SubPLOs]:[SubPLOs]],"&lt;2")</f>
        <v>0</v>
      </c>
      <c r="Y180" s="41">
        <f>SUMIFS(tbl_task1[S20],tbl_task1[[SubPLOs]:[SubPLOs]],"&gt;=1",tbl_task1[[SubPLOs]:[SubPLOs]],"&lt;2")+SUMIFS(tbl_task2[S20],tbl_task2[[SubPLOs]:[SubPLOs]],"&gt;=1",tbl_task2[[SubPLOs]:[SubPLOs]],"&lt;2")+SUMIFS(tbl_task3[S20],tbl_task3[[SubPLOs]:[SubPLOs]],"&gt;=1",tbl_task3[[SubPLOs]:[SubPLOs]],"&lt;2")+SUMIFS(tbl_task4[S20],tbl_task4[[SubPLOs]:[SubPLOs]],"&gt;=1",tbl_task4[[SubPLOs]:[SubPLOs]],"&lt;2")+SUMIFS(tbl_task5[S20],tbl_task5[[SubPLOs]:[SubPLOs]],"&gt;=1",tbl_task5[[SubPLOs]:[SubPLOs]],"&lt;2")+SUMIFS(tbl_task6[S20],tbl_task6[[SubPLOs]:[SubPLOs]],"&gt;=1",tbl_task6[[SubPLOs]:[SubPLOs]],"&lt;2")+SUMIFS(tbl_task7[S20],tbl_task7[[SubPLOs]:[SubPLOs]],"&gt;=1",tbl_task7[[SubPLOs]:[SubPLOs]],"&lt;2")+SUMIFS(tbl_task8[S20],tbl_task8[[SubPLOs]:[SubPLOs]],"&gt;=1",tbl_task8[[SubPLOs]:[SubPLOs]],"&lt;2")+SUMIFS(tbl_task9[S20],tbl_task9[[SubPLOs]:[SubPLOs]],"&gt;=1",tbl_task9[[SubPLOs]:[SubPLOs]],"&lt;2")+SUMIFS(tbl_task10[S20],tbl_task10[[SubPLOs]:[SubPLOs]],"&gt;=1",tbl_task10[[SubPLOs]:[SubPLOs]],"&lt;2")</f>
        <v>0</v>
      </c>
      <c r="Z180" s="41">
        <f>SUMIFS(tbl_task1[S21],tbl_task1[[SubPLOs]:[SubPLOs]],"&gt;=1",tbl_task1[[SubPLOs]:[SubPLOs]],"&lt;2")+SUMIFS(tbl_task2[S21],tbl_task2[[SubPLOs]:[SubPLOs]],"&gt;=1",tbl_task2[[SubPLOs]:[SubPLOs]],"&lt;2")+SUMIFS(tbl_task3[S21],tbl_task3[[SubPLOs]:[SubPLOs]],"&gt;=1",tbl_task3[[SubPLOs]:[SubPLOs]],"&lt;2")+SUMIFS(tbl_task4[S21],tbl_task4[[SubPLOs]:[SubPLOs]],"&gt;=1",tbl_task4[[SubPLOs]:[SubPLOs]],"&lt;2")+SUMIFS(tbl_task5[S21],tbl_task5[[SubPLOs]:[SubPLOs]],"&gt;=1",tbl_task5[[SubPLOs]:[SubPLOs]],"&lt;2")+SUMIFS(tbl_task6[S21],tbl_task6[[SubPLOs]:[SubPLOs]],"&gt;=1",tbl_task6[[SubPLOs]:[SubPLOs]],"&lt;2")+SUMIFS(tbl_task7[S21],tbl_task7[[SubPLOs]:[SubPLOs]],"&gt;=1",tbl_task7[[SubPLOs]:[SubPLOs]],"&lt;2")+SUMIFS(tbl_task8[S21],tbl_task8[[SubPLOs]:[SubPLOs]],"&gt;=1",tbl_task8[[SubPLOs]:[SubPLOs]],"&lt;2")+SUMIFS(tbl_task9[S21],tbl_task9[[SubPLOs]:[SubPLOs]],"&gt;=1",tbl_task9[[SubPLOs]:[SubPLOs]],"&lt;2")+SUMIFS(tbl_task10[S21],tbl_task10[[SubPLOs]:[SubPLOs]],"&gt;=1",tbl_task10[[SubPLOs]:[SubPLOs]],"&lt;2")</f>
        <v>0</v>
      </c>
      <c r="AA180" s="41">
        <f>SUMIFS(tbl_task1[S22],tbl_task1[[SubPLOs]:[SubPLOs]],"&gt;=1",tbl_task1[[SubPLOs]:[SubPLOs]],"&lt;2")+SUMIFS(tbl_task2[S22],tbl_task2[[SubPLOs]:[SubPLOs]],"&gt;=1",tbl_task2[[SubPLOs]:[SubPLOs]],"&lt;2")+SUMIFS(tbl_task3[S22],tbl_task3[[SubPLOs]:[SubPLOs]],"&gt;=1",tbl_task3[[SubPLOs]:[SubPLOs]],"&lt;2")+SUMIFS(tbl_task4[S22],tbl_task4[[SubPLOs]:[SubPLOs]],"&gt;=1",tbl_task4[[SubPLOs]:[SubPLOs]],"&lt;2")+SUMIFS(tbl_task5[S22],tbl_task5[[SubPLOs]:[SubPLOs]],"&gt;=1",tbl_task5[[SubPLOs]:[SubPLOs]],"&lt;2")+SUMIFS(tbl_task6[S22],tbl_task6[[SubPLOs]:[SubPLOs]],"&gt;=1",tbl_task6[[SubPLOs]:[SubPLOs]],"&lt;2")+SUMIFS(tbl_task7[S22],tbl_task7[[SubPLOs]:[SubPLOs]],"&gt;=1",tbl_task7[[SubPLOs]:[SubPLOs]],"&lt;2")+SUMIFS(tbl_task8[S22],tbl_task8[[SubPLOs]:[SubPLOs]],"&gt;=1",tbl_task8[[SubPLOs]:[SubPLOs]],"&lt;2")+SUMIFS(tbl_task9[S22],tbl_task9[[SubPLOs]:[SubPLOs]],"&gt;=1",tbl_task9[[SubPLOs]:[SubPLOs]],"&lt;2")+SUMIFS(tbl_task10[S22],tbl_task10[[SubPLOs]:[SubPLOs]],"&gt;=1",tbl_task10[[SubPLOs]:[SubPLOs]],"&lt;2")</f>
        <v>0</v>
      </c>
      <c r="AB180" s="41">
        <f>SUMIFS(tbl_task1[S23],tbl_task1[[SubPLOs]:[SubPLOs]],"&gt;=1",tbl_task1[[SubPLOs]:[SubPLOs]],"&lt;2")+SUMIFS(tbl_task2[S23],tbl_task2[[SubPLOs]:[SubPLOs]],"&gt;=1",tbl_task2[[SubPLOs]:[SubPLOs]],"&lt;2")+SUMIFS(tbl_task3[S23],tbl_task3[[SubPLOs]:[SubPLOs]],"&gt;=1",tbl_task3[[SubPLOs]:[SubPLOs]],"&lt;2")+SUMIFS(tbl_task4[S23],tbl_task4[[SubPLOs]:[SubPLOs]],"&gt;=1",tbl_task4[[SubPLOs]:[SubPLOs]],"&lt;2")+SUMIFS(tbl_task5[S23],tbl_task5[[SubPLOs]:[SubPLOs]],"&gt;=1",tbl_task5[[SubPLOs]:[SubPLOs]],"&lt;2")+SUMIFS(tbl_task6[S23],tbl_task6[[SubPLOs]:[SubPLOs]],"&gt;=1",tbl_task6[[SubPLOs]:[SubPLOs]],"&lt;2")+SUMIFS(tbl_task7[S23],tbl_task7[[SubPLOs]:[SubPLOs]],"&gt;=1",tbl_task7[[SubPLOs]:[SubPLOs]],"&lt;2")+SUMIFS(tbl_task8[S23],tbl_task8[[SubPLOs]:[SubPLOs]],"&gt;=1",tbl_task8[[SubPLOs]:[SubPLOs]],"&lt;2")+SUMIFS(tbl_task9[S23],tbl_task9[[SubPLOs]:[SubPLOs]],"&gt;=1",tbl_task9[[SubPLOs]:[SubPLOs]],"&lt;2")+SUMIFS(tbl_task10[S23],tbl_task10[[SubPLOs]:[SubPLOs]],"&gt;=1",tbl_task10[[SubPLOs]:[SubPLOs]],"&lt;2")</f>
        <v>0</v>
      </c>
      <c r="AC180" s="41">
        <f>SUMIFS(tbl_task1[S24],tbl_task1[[SubPLOs]:[SubPLOs]],"&gt;=1",tbl_task1[[SubPLOs]:[SubPLOs]],"&lt;2")+SUMIFS(tbl_task2[S24],tbl_task2[[SubPLOs]:[SubPLOs]],"&gt;=1",tbl_task2[[SubPLOs]:[SubPLOs]],"&lt;2")+SUMIFS(tbl_task3[S24],tbl_task3[[SubPLOs]:[SubPLOs]],"&gt;=1",tbl_task3[[SubPLOs]:[SubPLOs]],"&lt;2")+SUMIFS(tbl_task4[S24],tbl_task4[[SubPLOs]:[SubPLOs]],"&gt;=1",tbl_task4[[SubPLOs]:[SubPLOs]],"&lt;2")+SUMIFS(tbl_task5[S24],tbl_task5[[SubPLOs]:[SubPLOs]],"&gt;=1",tbl_task5[[SubPLOs]:[SubPLOs]],"&lt;2")+SUMIFS(tbl_task6[S24],tbl_task6[[SubPLOs]:[SubPLOs]],"&gt;=1",tbl_task6[[SubPLOs]:[SubPLOs]],"&lt;2")+SUMIFS(tbl_task7[S24],tbl_task7[[SubPLOs]:[SubPLOs]],"&gt;=1",tbl_task7[[SubPLOs]:[SubPLOs]],"&lt;2")+SUMIFS(tbl_task8[S24],tbl_task8[[SubPLOs]:[SubPLOs]],"&gt;=1",tbl_task8[[SubPLOs]:[SubPLOs]],"&lt;2")+SUMIFS(tbl_task9[S24],tbl_task9[[SubPLOs]:[SubPLOs]],"&gt;=1",tbl_task9[[SubPLOs]:[SubPLOs]],"&lt;2")+SUMIFS(tbl_task10[S24],tbl_task10[[SubPLOs]:[SubPLOs]],"&gt;=1",tbl_task10[[SubPLOs]:[SubPLOs]],"&lt;2")</f>
        <v>0</v>
      </c>
      <c r="AD180" s="41">
        <f>SUMIFS(tbl_task1[S25],tbl_task1[[SubPLOs]:[SubPLOs]],"&gt;=1",tbl_task1[[SubPLOs]:[SubPLOs]],"&lt;2")+SUMIFS(tbl_task2[S25],tbl_task2[[SubPLOs]:[SubPLOs]],"&gt;=1",tbl_task2[[SubPLOs]:[SubPLOs]],"&lt;2")+SUMIFS(tbl_task3[S25],tbl_task3[[SubPLOs]:[SubPLOs]],"&gt;=1",tbl_task3[[SubPLOs]:[SubPLOs]],"&lt;2")+SUMIFS(tbl_task4[S25],tbl_task4[[SubPLOs]:[SubPLOs]],"&gt;=1",tbl_task4[[SubPLOs]:[SubPLOs]],"&lt;2")+SUMIFS(tbl_task5[S25],tbl_task5[[SubPLOs]:[SubPLOs]],"&gt;=1",tbl_task5[[SubPLOs]:[SubPLOs]],"&lt;2")+SUMIFS(tbl_task6[S25],tbl_task6[[SubPLOs]:[SubPLOs]],"&gt;=1",tbl_task6[[SubPLOs]:[SubPLOs]],"&lt;2")+SUMIFS(tbl_task7[S25],tbl_task7[[SubPLOs]:[SubPLOs]],"&gt;=1",tbl_task7[[SubPLOs]:[SubPLOs]],"&lt;2")+SUMIFS(tbl_task8[S25],tbl_task8[[SubPLOs]:[SubPLOs]],"&gt;=1",tbl_task8[[SubPLOs]:[SubPLOs]],"&lt;2")+SUMIFS(tbl_task9[S25],tbl_task9[[SubPLOs]:[SubPLOs]],"&gt;=1",tbl_task9[[SubPLOs]:[SubPLOs]],"&lt;2")+SUMIFS(tbl_task10[S25],tbl_task10[[SubPLOs]:[SubPLOs]],"&gt;=1",tbl_task10[[SubPLOs]:[SubPLOs]],"&lt;2")</f>
        <v>0</v>
      </c>
      <c r="AE180" s="41">
        <f>SUMIFS(tbl_task1[S26],tbl_task1[[SubPLOs]:[SubPLOs]],"&gt;=1",tbl_task1[[SubPLOs]:[SubPLOs]],"&lt;2")+SUMIFS(tbl_task2[S26],tbl_task2[[SubPLOs]:[SubPLOs]],"&gt;=1",tbl_task2[[SubPLOs]:[SubPLOs]],"&lt;2")+SUMIFS(tbl_task3[S26],tbl_task3[[SubPLOs]:[SubPLOs]],"&gt;=1",tbl_task3[[SubPLOs]:[SubPLOs]],"&lt;2")+SUMIFS(tbl_task4[S26],tbl_task4[[SubPLOs]:[SubPLOs]],"&gt;=1",tbl_task4[[SubPLOs]:[SubPLOs]],"&lt;2")+SUMIFS(tbl_task5[S26],tbl_task5[[SubPLOs]:[SubPLOs]],"&gt;=1",tbl_task5[[SubPLOs]:[SubPLOs]],"&lt;2")+SUMIFS(tbl_task6[S26],tbl_task6[[SubPLOs]:[SubPLOs]],"&gt;=1",tbl_task6[[SubPLOs]:[SubPLOs]],"&lt;2")+SUMIFS(tbl_task7[S26],tbl_task7[[SubPLOs]:[SubPLOs]],"&gt;=1",tbl_task7[[SubPLOs]:[SubPLOs]],"&lt;2")+SUMIFS(tbl_task8[S26],tbl_task8[[SubPLOs]:[SubPLOs]],"&gt;=1",tbl_task8[[SubPLOs]:[SubPLOs]],"&lt;2")+SUMIFS(tbl_task9[S26],tbl_task9[[SubPLOs]:[SubPLOs]],"&gt;=1",tbl_task9[[SubPLOs]:[SubPLOs]],"&lt;2")+SUMIFS(tbl_task10[S26],tbl_task10[[SubPLOs]:[SubPLOs]],"&gt;=1",tbl_task10[[SubPLOs]:[SubPLOs]],"&lt;2")</f>
        <v>0</v>
      </c>
      <c r="AF180" s="41">
        <f>SUMIFS(tbl_task1[S27],tbl_task1[[SubPLOs]:[SubPLOs]],"&gt;=1",tbl_task1[[SubPLOs]:[SubPLOs]],"&lt;2")+SUMIFS(tbl_task2[S27],tbl_task2[[SubPLOs]:[SubPLOs]],"&gt;=1",tbl_task2[[SubPLOs]:[SubPLOs]],"&lt;2")+SUMIFS(tbl_task3[S27],tbl_task3[[SubPLOs]:[SubPLOs]],"&gt;=1",tbl_task3[[SubPLOs]:[SubPLOs]],"&lt;2")+SUMIFS(tbl_task4[S27],tbl_task4[[SubPLOs]:[SubPLOs]],"&gt;=1",tbl_task4[[SubPLOs]:[SubPLOs]],"&lt;2")+SUMIFS(tbl_task5[S27],tbl_task5[[SubPLOs]:[SubPLOs]],"&gt;=1",tbl_task5[[SubPLOs]:[SubPLOs]],"&lt;2")+SUMIFS(tbl_task6[S27],tbl_task6[[SubPLOs]:[SubPLOs]],"&gt;=1",tbl_task6[[SubPLOs]:[SubPLOs]],"&lt;2")+SUMIFS(tbl_task7[S27],tbl_task7[[SubPLOs]:[SubPLOs]],"&gt;=1",tbl_task7[[SubPLOs]:[SubPLOs]],"&lt;2")+SUMIFS(tbl_task8[S27],tbl_task8[[SubPLOs]:[SubPLOs]],"&gt;=1",tbl_task8[[SubPLOs]:[SubPLOs]],"&lt;2")+SUMIFS(tbl_task9[S27],tbl_task9[[SubPLOs]:[SubPLOs]],"&gt;=1",tbl_task9[[SubPLOs]:[SubPLOs]],"&lt;2")+SUMIFS(tbl_task10[S27],tbl_task10[[SubPLOs]:[SubPLOs]],"&gt;=1",tbl_task10[[SubPLOs]:[SubPLOs]],"&lt;2")</f>
        <v>0</v>
      </c>
      <c r="AG180" s="41">
        <f>SUMIFS(tbl_task1[S28],tbl_task1[[SubPLOs]:[SubPLOs]],"&gt;=1",tbl_task1[[SubPLOs]:[SubPLOs]],"&lt;2")+SUMIFS(tbl_task2[S28],tbl_task2[[SubPLOs]:[SubPLOs]],"&gt;=1",tbl_task2[[SubPLOs]:[SubPLOs]],"&lt;2")+SUMIFS(tbl_task3[S28],tbl_task3[[SubPLOs]:[SubPLOs]],"&gt;=1",tbl_task3[[SubPLOs]:[SubPLOs]],"&lt;2")+SUMIFS(tbl_task4[S28],tbl_task4[[SubPLOs]:[SubPLOs]],"&gt;=1",tbl_task4[[SubPLOs]:[SubPLOs]],"&lt;2")+SUMIFS(tbl_task5[S28],tbl_task5[[SubPLOs]:[SubPLOs]],"&gt;=1",tbl_task5[[SubPLOs]:[SubPLOs]],"&lt;2")+SUMIFS(tbl_task6[S28],tbl_task6[[SubPLOs]:[SubPLOs]],"&gt;=1",tbl_task6[[SubPLOs]:[SubPLOs]],"&lt;2")+SUMIFS(tbl_task7[S28],tbl_task7[[SubPLOs]:[SubPLOs]],"&gt;=1",tbl_task7[[SubPLOs]:[SubPLOs]],"&lt;2")+SUMIFS(tbl_task8[S28],tbl_task8[[SubPLOs]:[SubPLOs]],"&gt;=1",tbl_task8[[SubPLOs]:[SubPLOs]],"&lt;2")+SUMIFS(tbl_task9[S28],tbl_task9[[SubPLOs]:[SubPLOs]],"&gt;=1",tbl_task9[[SubPLOs]:[SubPLOs]],"&lt;2")+SUMIFS(tbl_task10[S28],tbl_task10[[SubPLOs]:[SubPLOs]],"&gt;=1",tbl_task10[[SubPLOs]:[SubPLOs]],"&lt;2")</f>
        <v>0</v>
      </c>
      <c r="AH180" s="41">
        <f>SUMIFS(tbl_task1[S29],tbl_task1[[SubPLOs]:[SubPLOs]],"&gt;=1",tbl_task1[[SubPLOs]:[SubPLOs]],"&lt;2")+SUMIFS(tbl_task2[S29],tbl_task2[[SubPLOs]:[SubPLOs]],"&gt;=1",tbl_task2[[SubPLOs]:[SubPLOs]],"&lt;2")+SUMIFS(tbl_task3[S29],tbl_task3[[SubPLOs]:[SubPLOs]],"&gt;=1",tbl_task3[[SubPLOs]:[SubPLOs]],"&lt;2")+SUMIFS(tbl_task4[S29],tbl_task4[[SubPLOs]:[SubPLOs]],"&gt;=1",tbl_task4[[SubPLOs]:[SubPLOs]],"&lt;2")+SUMIFS(tbl_task5[S29],tbl_task5[[SubPLOs]:[SubPLOs]],"&gt;=1",tbl_task5[[SubPLOs]:[SubPLOs]],"&lt;2")+SUMIFS(tbl_task6[S29],tbl_task6[[SubPLOs]:[SubPLOs]],"&gt;=1",tbl_task6[[SubPLOs]:[SubPLOs]],"&lt;2")+SUMIFS(tbl_task7[S29],tbl_task7[[SubPLOs]:[SubPLOs]],"&gt;=1",tbl_task7[[SubPLOs]:[SubPLOs]],"&lt;2")+SUMIFS(tbl_task8[S29],tbl_task8[[SubPLOs]:[SubPLOs]],"&gt;=1",tbl_task8[[SubPLOs]:[SubPLOs]],"&lt;2")+SUMIFS(tbl_task9[S29],tbl_task9[[SubPLOs]:[SubPLOs]],"&gt;=1",tbl_task9[[SubPLOs]:[SubPLOs]],"&lt;2")+SUMIFS(tbl_task10[S29],tbl_task10[[SubPLOs]:[SubPLOs]],"&gt;=1",tbl_task10[[SubPLOs]:[SubPLOs]],"&lt;2")</f>
        <v>0</v>
      </c>
      <c r="AI180" s="41">
        <f>SUMIFS(tbl_task1[S30],tbl_task1[[SubPLOs]:[SubPLOs]],"&gt;=1",tbl_task1[[SubPLOs]:[SubPLOs]],"&lt;2")+SUMIFS(tbl_task2[S30],tbl_task2[[SubPLOs]:[SubPLOs]],"&gt;=1",tbl_task2[[SubPLOs]:[SubPLOs]],"&lt;2")+SUMIFS(tbl_task3[S30],tbl_task3[[SubPLOs]:[SubPLOs]],"&gt;=1",tbl_task3[[SubPLOs]:[SubPLOs]],"&lt;2")+SUMIFS(tbl_task4[S30],tbl_task4[[SubPLOs]:[SubPLOs]],"&gt;=1",tbl_task4[[SubPLOs]:[SubPLOs]],"&lt;2")+SUMIFS(tbl_task5[S30],tbl_task5[[SubPLOs]:[SubPLOs]],"&gt;=1",tbl_task5[[SubPLOs]:[SubPLOs]],"&lt;2")+SUMIFS(tbl_task6[S30],tbl_task6[[SubPLOs]:[SubPLOs]],"&gt;=1",tbl_task6[[SubPLOs]:[SubPLOs]],"&lt;2")+SUMIFS(tbl_task7[S30],tbl_task7[[SubPLOs]:[SubPLOs]],"&gt;=1",tbl_task7[[SubPLOs]:[SubPLOs]],"&lt;2")+SUMIFS(tbl_task8[S30],tbl_task8[[SubPLOs]:[SubPLOs]],"&gt;=1",tbl_task8[[SubPLOs]:[SubPLOs]],"&lt;2")+SUMIFS(tbl_task9[S30],tbl_task9[[SubPLOs]:[SubPLOs]],"&gt;=1",tbl_task9[[SubPLOs]:[SubPLOs]],"&lt;2")+SUMIFS(tbl_task10[S30],tbl_task10[[SubPLOs]:[SubPLOs]],"&gt;=1",tbl_task10[[SubPLOs]:[SubPLOs]],"&lt;2")</f>
        <v>0</v>
      </c>
      <c r="AJ180" s="41">
        <f>SUMIFS(tbl_task1[S31],tbl_task1[[SubPLOs]:[SubPLOs]],"&gt;=1",tbl_task1[[SubPLOs]:[SubPLOs]],"&lt;2")+SUMIFS(tbl_task2[S31],tbl_task2[[SubPLOs]:[SubPLOs]],"&gt;=1",tbl_task2[[SubPLOs]:[SubPLOs]],"&lt;2")+SUMIFS(tbl_task3[S31],tbl_task3[[SubPLOs]:[SubPLOs]],"&gt;=1",tbl_task3[[SubPLOs]:[SubPLOs]],"&lt;2")+SUMIFS(tbl_task4[S31],tbl_task4[[SubPLOs]:[SubPLOs]],"&gt;=1",tbl_task4[[SubPLOs]:[SubPLOs]],"&lt;2")+SUMIFS(tbl_task5[S31],tbl_task5[[SubPLOs]:[SubPLOs]],"&gt;=1",tbl_task5[[SubPLOs]:[SubPLOs]],"&lt;2")+SUMIFS(tbl_task6[S31],tbl_task6[[SubPLOs]:[SubPLOs]],"&gt;=1",tbl_task6[[SubPLOs]:[SubPLOs]],"&lt;2")+SUMIFS(tbl_task7[S31],tbl_task7[[SubPLOs]:[SubPLOs]],"&gt;=1",tbl_task7[[SubPLOs]:[SubPLOs]],"&lt;2")+SUMIFS(tbl_task8[S31],tbl_task8[[SubPLOs]:[SubPLOs]],"&gt;=1",tbl_task8[[SubPLOs]:[SubPLOs]],"&lt;2")+SUMIFS(tbl_task9[S31],tbl_task9[[SubPLOs]:[SubPLOs]],"&gt;=1",tbl_task9[[SubPLOs]:[SubPLOs]],"&lt;2")+SUMIFS(tbl_task10[S31],tbl_task10[[SubPLOs]:[SubPLOs]],"&gt;=1",tbl_task10[[SubPLOs]:[SubPLOs]],"&lt;2")</f>
        <v>0</v>
      </c>
      <c r="AK180" s="41">
        <f>SUMIFS(tbl_task1[S32],tbl_task1[[SubPLOs]:[SubPLOs]],"&gt;=1",tbl_task1[[SubPLOs]:[SubPLOs]],"&lt;2")+SUMIFS(tbl_task2[S32],tbl_task2[[SubPLOs]:[SubPLOs]],"&gt;=1",tbl_task2[[SubPLOs]:[SubPLOs]],"&lt;2")+SUMIFS(tbl_task3[S32],tbl_task3[[SubPLOs]:[SubPLOs]],"&gt;=1",tbl_task3[[SubPLOs]:[SubPLOs]],"&lt;2")+SUMIFS(tbl_task4[S32],tbl_task4[[SubPLOs]:[SubPLOs]],"&gt;=1",tbl_task4[[SubPLOs]:[SubPLOs]],"&lt;2")+SUMIFS(tbl_task5[S32],tbl_task5[[SubPLOs]:[SubPLOs]],"&gt;=1",tbl_task5[[SubPLOs]:[SubPLOs]],"&lt;2")+SUMIFS(tbl_task6[S32],tbl_task6[[SubPLOs]:[SubPLOs]],"&gt;=1",tbl_task6[[SubPLOs]:[SubPLOs]],"&lt;2")+SUMIFS(tbl_task7[S32],tbl_task7[[SubPLOs]:[SubPLOs]],"&gt;=1",tbl_task7[[SubPLOs]:[SubPLOs]],"&lt;2")+SUMIFS(tbl_task8[S32],tbl_task8[[SubPLOs]:[SubPLOs]],"&gt;=1",tbl_task8[[SubPLOs]:[SubPLOs]],"&lt;2")+SUMIFS(tbl_task9[S32],tbl_task9[[SubPLOs]:[SubPLOs]],"&gt;=1",tbl_task9[[SubPLOs]:[SubPLOs]],"&lt;2")+SUMIFS(tbl_task10[S32],tbl_task10[[SubPLOs]:[SubPLOs]],"&gt;=1",tbl_task10[[SubPLOs]:[SubPLOs]],"&lt;2")</f>
        <v>0</v>
      </c>
      <c r="AL180" s="41">
        <f>SUMIFS(tbl_task1[S33],tbl_task1[[SubPLOs]:[SubPLOs]],"&gt;=1",tbl_task1[[SubPLOs]:[SubPLOs]],"&lt;2")+SUMIFS(tbl_task2[S33],tbl_task2[[SubPLOs]:[SubPLOs]],"&gt;=1",tbl_task2[[SubPLOs]:[SubPLOs]],"&lt;2")+SUMIFS(tbl_task3[S33],tbl_task3[[SubPLOs]:[SubPLOs]],"&gt;=1",tbl_task3[[SubPLOs]:[SubPLOs]],"&lt;2")+SUMIFS(tbl_task4[S33],tbl_task4[[SubPLOs]:[SubPLOs]],"&gt;=1",tbl_task4[[SubPLOs]:[SubPLOs]],"&lt;2")+SUMIFS(tbl_task5[S33],tbl_task5[[SubPLOs]:[SubPLOs]],"&gt;=1",tbl_task5[[SubPLOs]:[SubPLOs]],"&lt;2")+SUMIFS(tbl_task6[S33],tbl_task6[[SubPLOs]:[SubPLOs]],"&gt;=1",tbl_task6[[SubPLOs]:[SubPLOs]],"&lt;2")+SUMIFS(tbl_task7[S33],tbl_task7[[SubPLOs]:[SubPLOs]],"&gt;=1",tbl_task7[[SubPLOs]:[SubPLOs]],"&lt;2")+SUMIFS(tbl_task8[S33],tbl_task8[[SubPLOs]:[SubPLOs]],"&gt;=1",tbl_task8[[SubPLOs]:[SubPLOs]],"&lt;2")+SUMIFS(tbl_task9[S33],tbl_task9[[SubPLOs]:[SubPLOs]],"&gt;=1",tbl_task9[[SubPLOs]:[SubPLOs]],"&lt;2")+SUMIFS(tbl_task10[S33],tbl_task10[[SubPLOs]:[SubPLOs]],"&gt;=1",tbl_task10[[SubPLOs]:[SubPLOs]],"&lt;2")</f>
        <v>0</v>
      </c>
      <c r="AM180" s="41">
        <f>SUMIFS(tbl_task1[S34],tbl_task1[[SubPLOs]:[SubPLOs]],"&gt;=1",tbl_task1[[SubPLOs]:[SubPLOs]],"&lt;2")+SUMIFS(tbl_task2[S34],tbl_task2[[SubPLOs]:[SubPLOs]],"&gt;=1",tbl_task2[[SubPLOs]:[SubPLOs]],"&lt;2")+SUMIFS(tbl_task3[S34],tbl_task3[[SubPLOs]:[SubPLOs]],"&gt;=1",tbl_task3[[SubPLOs]:[SubPLOs]],"&lt;2")+SUMIFS(tbl_task4[S34],tbl_task4[[SubPLOs]:[SubPLOs]],"&gt;=1",tbl_task4[[SubPLOs]:[SubPLOs]],"&lt;2")+SUMIFS(tbl_task5[S34],tbl_task5[[SubPLOs]:[SubPLOs]],"&gt;=1",tbl_task5[[SubPLOs]:[SubPLOs]],"&lt;2")+SUMIFS(tbl_task6[S34],tbl_task6[[SubPLOs]:[SubPLOs]],"&gt;=1",tbl_task6[[SubPLOs]:[SubPLOs]],"&lt;2")+SUMIFS(tbl_task7[S34],tbl_task7[[SubPLOs]:[SubPLOs]],"&gt;=1",tbl_task7[[SubPLOs]:[SubPLOs]],"&lt;2")+SUMIFS(tbl_task8[S34],tbl_task8[[SubPLOs]:[SubPLOs]],"&gt;=1",tbl_task8[[SubPLOs]:[SubPLOs]],"&lt;2")+SUMIFS(tbl_task9[S34],tbl_task9[[SubPLOs]:[SubPLOs]],"&gt;=1",tbl_task9[[SubPLOs]:[SubPLOs]],"&lt;2")+SUMIFS(tbl_task10[S34],tbl_task10[[SubPLOs]:[SubPLOs]],"&gt;=1",tbl_task10[[SubPLOs]:[SubPLOs]],"&lt;2")</f>
        <v>0</v>
      </c>
      <c r="AN180" s="41">
        <f>SUMIFS(tbl_task1[S35],tbl_task1[[SubPLOs]:[SubPLOs]],"&gt;=1",tbl_task1[[SubPLOs]:[SubPLOs]],"&lt;2")+SUMIFS(tbl_task2[S35],tbl_task2[[SubPLOs]:[SubPLOs]],"&gt;=1",tbl_task2[[SubPLOs]:[SubPLOs]],"&lt;2")+SUMIFS(tbl_task3[S35],tbl_task3[[SubPLOs]:[SubPLOs]],"&gt;=1",tbl_task3[[SubPLOs]:[SubPLOs]],"&lt;2")+SUMIFS(tbl_task4[S35],tbl_task4[[SubPLOs]:[SubPLOs]],"&gt;=1",tbl_task4[[SubPLOs]:[SubPLOs]],"&lt;2")+SUMIFS(tbl_task5[S35],tbl_task5[[SubPLOs]:[SubPLOs]],"&gt;=1",tbl_task5[[SubPLOs]:[SubPLOs]],"&lt;2")+SUMIFS(tbl_task6[S35],tbl_task6[[SubPLOs]:[SubPLOs]],"&gt;=1",tbl_task6[[SubPLOs]:[SubPLOs]],"&lt;2")+SUMIFS(tbl_task7[S35],tbl_task7[[SubPLOs]:[SubPLOs]],"&gt;=1",tbl_task7[[SubPLOs]:[SubPLOs]],"&lt;2")+SUMIFS(tbl_task8[S35],tbl_task8[[SubPLOs]:[SubPLOs]],"&gt;=1",tbl_task8[[SubPLOs]:[SubPLOs]],"&lt;2")+SUMIFS(tbl_task9[S35],tbl_task9[[SubPLOs]:[SubPLOs]],"&gt;=1",tbl_task9[[SubPLOs]:[SubPLOs]],"&lt;2")+SUMIFS(tbl_task10[S35],tbl_task10[[SubPLOs]:[SubPLOs]],"&gt;=1",tbl_task10[[SubPLOs]:[SubPLOs]],"&lt;2")</f>
        <v>0</v>
      </c>
      <c r="AO180" s="41">
        <f>SUMIFS(tbl_task1[S36],tbl_task1[[SubPLOs]:[SubPLOs]],"&gt;=1",tbl_task1[[SubPLOs]:[SubPLOs]],"&lt;2")+SUMIFS(tbl_task2[S36],tbl_task2[[SubPLOs]:[SubPLOs]],"&gt;=1",tbl_task2[[SubPLOs]:[SubPLOs]],"&lt;2")+SUMIFS(tbl_task3[S36],tbl_task3[[SubPLOs]:[SubPLOs]],"&gt;=1",tbl_task3[[SubPLOs]:[SubPLOs]],"&lt;2")+SUMIFS(tbl_task4[S36],tbl_task4[[SubPLOs]:[SubPLOs]],"&gt;=1",tbl_task4[[SubPLOs]:[SubPLOs]],"&lt;2")+SUMIFS(tbl_task5[S36],tbl_task5[[SubPLOs]:[SubPLOs]],"&gt;=1",tbl_task5[[SubPLOs]:[SubPLOs]],"&lt;2")+SUMIFS(tbl_task6[S36],tbl_task6[[SubPLOs]:[SubPLOs]],"&gt;=1",tbl_task6[[SubPLOs]:[SubPLOs]],"&lt;2")+SUMIFS(tbl_task7[S36],tbl_task7[[SubPLOs]:[SubPLOs]],"&gt;=1",tbl_task7[[SubPLOs]:[SubPLOs]],"&lt;2")+SUMIFS(tbl_task8[S36],tbl_task8[[SubPLOs]:[SubPLOs]],"&gt;=1",tbl_task8[[SubPLOs]:[SubPLOs]],"&lt;2")+SUMIFS(tbl_task9[S36],tbl_task9[[SubPLOs]:[SubPLOs]],"&gt;=1",tbl_task9[[SubPLOs]:[SubPLOs]],"&lt;2")+SUMIFS(tbl_task10[S36],tbl_task10[[SubPLOs]:[SubPLOs]],"&gt;=1",tbl_task10[[SubPLOs]:[SubPLOs]],"&lt;2")</f>
        <v>0</v>
      </c>
      <c r="AP180" s="41">
        <f>SUMIFS(tbl_task1[S37],tbl_task1[[SubPLOs]:[SubPLOs]],"&gt;=1",tbl_task1[[SubPLOs]:[SubPLOs]],"&lt;2")+SUMIFS(tbl_task2[S37],tbl_task2[[SubPLOs]:[SubPLOs]],"&gt;=1",tbl_task2[[SubPLOs]:[SubPLOs]],"&lt;2")+SUMIFS(tbl_task3[S37],tbl_task3[[SubPLOs]:[SubPLOs]],"&gt;=1",tbl_task3[[SubPLOs]:[SubPLOs]],"&lt;2")+SUMIFS(tbl_task4[S37],tbl_task4[[SubPLOs]:[SubPLOs]],"&gt;=1",tbl_task4[[SubPLOs]:[SubPLOs]],"&lt;2")+SUMIFS(tbl_task5[S37],tbl_task5[[SubPLOs]:[SubPLOs]],"&gt;=1",tbl_task5[[SubPLOs]:[SubPLOs]],"&lt;2")+SUMIFS(tbl_task6[S37],tbl_task6[[SubPLOs]:[SubPLOs]],"&gt;=1",tbl_task6[[SubPLOs]:[SubPLOs]],"&lt;2")+SUMIFS(tbl_task7[S37],tbl_task7[[SubPLOs]:[SubPLOs]],"&gt;=1",tbl_task7[[SubPLOs]:[SubPLOs]],"&lt;2")+SUMIFS(tbl_task8[S37],tbl_task8[[SubPLOs]:[SubPLOs]],"&gt;=1",tbl_task8[[SubPLOs]:[SubPLOs]],"&lt;2")+SUMIFS(tbl_task9[S37],tbl_task9[[SubPLOs]:[SubPLOs]],"&gt;=1",tbl_task9[[SubPLOs]:[SubPLOs]],"&lt;2")+SUMIFS(tbl_task10[S37],tbl_task10[[SubPLOs]:[SubPLOs]],"&gt;=1",tbl_task10[[SubPLOs]:[SubPLOs]],"&lt;2")</f>
        <v>0</v>
      </c>
      <c r="AQ180" s="41">
        <f>SUMIFS(tbl_task1[S38],tbl_task1[[SubPLOs]:[SubPLOs]],"&gt;=1",tbl_task1[[SubPLOs]:[SubPLOs]],"&lt;2")+SUMIFS(tbl_task2[S38],tbl_task2[[SubPLOs]:[SubPLOs]],"&gt;=1",tbl_task2[[SubPLOs]:[SubPLOs]],"&lt;2")+SUMIFS(tbl_task3[S38],tbl_task3[[SubPLOs]:[SubPLOs]],"&gt;=1",tbl_task3[[SubPLOs]:[SubPLOs]],"&lt;2")+SUMIFS(tbl_task4[S38],tbl_task4[[SubPLOs]:[SubPLOs]],"&gt;=1",tbl_task4[[SubPLOs]:[SubPLOs]],"&lt;2")+SUMIFS(tbl_task5[S38],tbl_task5[[SubPLOs]:[SubPLOs]],"&gt;=1",tbl_task5[[SubPLOs]:[SubPLOs]],"&lt;2")+SUMIFS(tbl_task6[S38],tbl_task6[[SubPLOs]:[SubPLOs]],"&gt;=1",tbl_task6[[SubPLOs]:[SubPLOs]],"&lt;2")+SUMIFS(tbl_task7[S38],tbl_task7[[SubPLOs]:[SubPLOs]],"&gt;=1",tbl_task7[[SubPLOs]:[SubPLOs]],"&lt;2")+SUMIFS(tbl_task8[S38],tbl_task8[[SubPLOs]:[SubPLOs]],"&gt;=1",tbl_task8[[SubPLOs]:[SubPLOs]],"&lt;2")+SUMIFS(tbl_task9[S38],tbl_task9[[SubPLOs]:[SubPLOs]],"&gt;=1",tbl_task9[[SubPLOs]:[SubPLOs]],"&lt;2")+SUMIFS(tbl_task10[S38],tbl_task10[[SubPLOs]:[SubPLOs]],"&gt;=1",tbl_task10[[SubPLOs]:[SubPLOs]],"&lt;2")</f>
        <v>0</v>
      </c>
      <c r="AR180" s="41">
        <f>SUMIFS(tbl_task1[S39],tbl_task1[[SubPLOs]:[SubPLOs]],"&gt;=1",tbl_task1[[SubPLOs]:[SubPLOs]],"&lt;2")+SUMIFS(tbl_task2[S39],tbl_task2[[SubPLOs]:[SubPLOs]],"&gt;=1",tbl_task2[[SubPLOs]:[SubPLOs]],"&lt;2")+SUMIFS(tbl_task3[S39],tbl_task3[[SubPLOs]:[SubPLOs]],"&gt;=1",tbl_task3[[SubPLOs]:[SubPLOs]],"&lt;2")+SUMIFS(tbl_task4[S39],tbl_task4[[SubPLOs]:[SubPLOs]],"&gt;=1",tbl_task4[[SubPLOs]:[SubPLOs]],"&lt;2")+SUMIFS(tbl_task5[S39],tbl_task5[[SubPLOs]:[SubPLOs]],"&gt;=1",tbl_task5[[SubPLOs]:[SubPLOs]],"&lt;2")+SUMIFS(tbl_task6[S39],tbl_task6[[SubPLOs]:[SubPLOs]],"&gt;=1",tbl_task6[[SubPLOs]:[SubPLOs]],"&lt;2")+SUMIFS(tbl_task7[S39],tbl_task7[[SubPLOs]:[SubPLOs]],"&gt;=1",tbl_task7[[SubPLOs]:[SubPLOs]],"&lt;2")+SUMIFS(tbl_task8[S39],tbl_task8[[SubPLOs]:[SubPLOs]],"&gt;=1",tbl_task8[[SubPLOs]:[SubPLOs]],"&lt;2")+SUMIFS(tbl_task9[S39],tbl_task9[[SubPLOs]:[SubPLOs]],"&gt;=1",tbl_task9[[SubPLOs]:[SubPLOs]],"&lt;2")+SUMIFS(tbl_task10[S39],tbl_task10[[SubPLOs]:[SubPLOs]],"&gt;=1",tbl_task10[[SubPLOs]:[SubPLOs]],"&lt;2")</f>
        <v>0</v>
      </c>
      <c r="AS180" s="41">
        <f>SUMIFS(tbl_task1[S40],tbl_task1[[SubPLOs]:[SubPLOs]],"&gt;=1",tbl_task1[[SubPLOs]:[SubPLOs]],"&lt;2")+SUMIFS(tbl_task2[S40],tbl_task2[[SubPLOs]:[SubPLOs]],"&gt;=1",tbl_task2[[SubPLOs]:[SubPLOs]],"&lt;2")+SUMIFS(tbl_task3[S40],tbl_task3[[SubPLOs]:[SubPLOs]],"&gt;=1",tbl_task3[[SubPLOs]:[SubPLOs]],"&lt;2")+SUMIFS(tbl_task4[S40],tbl_task4[[SubPLOs]:[SubPLOs]],"&gt;=1",tbl_task4[[SubPLOs]:[SubPLOs]],"&lt;2")+SUMIFS(tbl_task5[S40],tbl_task5[[SubPLOs]:[SubPLOs]],"&gt;=1",tbl_task5[[SubPLOs]:[SubPLOs]],"&lt;2")+SUMIFS(tbl_task6[S40],tbl_task6[[SubPLOs]:[SubPLOs]],"&gt;=1",tbl_task6[[SubPLOs]:[SubPLOs]],"&lt;2")+SUMIFS(tbl_task7[S40],tbl_task7[[SubPLOs]:[SubPLOs]],"&gt;=1",tbl_task7[[SubPLOs]:[SubPLOs]],"&lt;2")+SUMIFS(tbl_task8[S40],tbl_task8[[SubPLOs]:[SubPLOs]],"&gt;=1",tbl_task8[[SubPLOs]:[SubPLOs]],"&lt;2")+SUMIFS(tbl_task9[S40],tbl_task9[[SubPLOs]:[SubPLOs]],"&gt;=1",tbl_task9[[SubPLOs]:[SubPLOs]],"&lt;2")+SUMIFS(tbl_task10[S40],tbl_task10[[SubPLOs]:[SubPLOs]],"&gt;=1",tbl_task10[[SubPLOs]:[SubPLOs]],"&lt;2")</f>
        <v>0</v>
      </c>
      <c r="AT180" s="41">
        <f>SUMIFS(tbl_task1[S41],tbl_task1[[SubPLOs]:[SubPLOs]],"&gt;=1",tbl_task1[[SubPLOs]:[SubPLOs]],"&lt;2")+SUMIFS(tbl_task2[S41],tbl_task2[[SubPLOs]:[SubPLOs]],"&gt;=1",tbl_task2[[SubPLOs]:[SubPLOs]],"&lt;2")+SUMIFS(tbl_task3[S41],tbl_task3[[SubPLOs]:[SubPLOs]],"&gt;=1",tbl_task3[[SubPLOs]:[SubPLOs]],"&lt;2")+SUMIFS(tbl_task4[S41],tbl_task4[[SubPLOs]:[SubPLOs]],"&gt;=1",tbl_task4[[SubPLOs]:[SubPLOs]],"&lt;2")+SUMIFS(tbl_task5[S41],tbl_task5[[SubPLOs]:[SubPLOs]],"&gt;=1",tbl_task5[[SubPLOs]:[SubPLOs]],"&lt;2")+SUMIFS(tbl_task6[S41],tbl_task6[[SubPLOs]:[SubPLOs]],"&gt;=1",tbl_task6[[SubPLOs]:[SubPLOs]],"&lt;2")+SUMIFS(tbl_task7[S41],tbl_task7[[SubPLOs]:[SubPLOs]],"&gt;=1",tbl_task7[[SubPLOs]:[SubPLOs]],"&lt;2")+SUMIFS(tbl_task8[S41],tbl_task8[[SubPLOs]:[SubPLOs]],"&gt;=1",tbl_task8[[SubPLOs]:[SubPLOs]],"&lt;2")+SUMIFS(tbl_task9[S41],tbl_task9[[SubPLOs]:[SubPLOs]],"&gt;=1",tbl_task9[[SubPLOs]:[SubPLOs]],"&lt;2")+SUMIFS(tbl_task10[S41],tbl_task10[[SubPLOs]:[SubPLOs]],"&gt;=1",tbl_task10[[SubPLOs]:[SubPLOs]],"&lt;2")</f>
        <v>0</v>
      </c>
      <c r="AU180" s="41">
        <f>SUMIFS(tbl_task1[S42],tbl_task1[[SubPLOs]:[SubPLOs]],"&gt;=1",tbl_task1[[SubPLOs]:[SubPLOs]],"&lt;2")+SUMIFS(tbl_task2[S42],tbl_task2[[SubPLOs]:[SubPLOs]],"&gt;=1",tbl_task2[[SubPLOs]:[SubPLOs]],"&lt;2")+SUMIFS(tbl_task3[S42],tbl_task3[[SubPLOs]:[SubPLOs]],"&gt;=1",tbl_task3[[SubPLOs]:[SubPLOs]],"&lt;2")+SUMIFS(tbl_task4[S42],tbl_task4[[SubPLOs]:[SubPLOs]],"&gt;=1",tbl_task4[[SubPLOs]:[SubPLOs]],"&lt;2")+SUMIFS(tbl_task5[S42],tbl_task5[[SubPLOs]:[SubPLOs]],"&gt;=1",tbl_task5[[SubPLOs]:[SubPLOs]],"&lt;2")+SUMIFS(tbl_task6[S42],tbl_task6[[SubPLOs]:[SubPLOs]],"&gt;=1",tbl_task6[[SubPLOs]:[SubPLOs]],"&lt;2")+SUMIFS(tbl_task7[S42],tbl_task7[[SubPLOs]:[SubPLOs]],"&gt;=1",tbl_task7[[SubPLOs]:[SubPLOs]],"&lt;2")+SUMIFS(tbl_task8[S42],tbl_task8[[SubPLOs]:[SubPLOs]],"&gt;=1",tbl_task8[[SubPLOs]:[SubPLOs]],"&lt;2")+SUMIFS(tbl_task9[S42],tbl_task9[[SubPLOs]:[SubPLOs]],"&gt;=1",tbl_task9[[SubPLOs]:[SubPLOs]],"&lt;2")+SUMIFS(tbl_task10[S42],tbl_task10[[SubPLOs]:[SubPLOs]],"&gt;=1",tbl_task10[[SubPLOs]:[SubPLOs]],"&lt;2")</f>
        <v>0</v>
      </c>
      <c r="AV180" s="41">
        <f>SUMIFS(tbl_task1[S43],tbl_task1[[SubPLOs]:[SubPLOs]],"&gt;=1",tbl_task1[[SubPLOs]:[SubPLOs]],"&lt;2")+SUMIFS(tbl_task2[S43],tbl_task2[[SubPLOs]:[SubPLOs]],"&gt;=1",tbl_task2[[SubPLOs]:[SubPLOs]],"&lt;2")+SUMIFS(tbl_task3[S43],tbl_task3[[SubPLOs]:[SubPLOs]],"&gt;=1",tbl_task3[[SubPLOs]:[SubPLOs]],"&lt;2")+SUMIFS(tbl_task4[S43],tbl_task4[[SubPLOs]:[SubPLOs]],"&gt;=1",tbl_task4[[SubPLOs]:[SubPLOs]],"&lt;2")+SUMIFS(tbl_task5[S43],tbl_task5[[SubPLOs]:[SubPLOs]],"&gt;=1",tbl_task5[[SubPLOs]:[SubPLOs]],"&lt;2")+SUMIFS(tbl_task6[S43],tbl_task6[[SubPLOs]:[SubPLOs]],"&gt;=1",tbl_task6[[SubPLOs]:[SubPLOs]],"&lt;2")+SUMIFS(tbl_task7[S43],tbl_task7[[SubPLOs]:[SubPLOs]],"&gt;=1",tbl_task7[[SubPLOs]:[SubPLOs]],"&lt;2")+SUMIFS(tbl_task8[S43],tbl_task8[[SubPLOs]:[SubPLOs]],"&gt;=1",tbl_task8[[SubPLOs]:[SubPLOs]],"&lt;2")+SUMIFS(tbl_task9[S43],tbl_task9[[SubPLOs]:[SubPLOs]],"&gt;=1",tbl_task9[[SubPLOs]:[SubPLOs]],"&lt;2")+SUMIFS(tbl_task10[S43],tbl_task10[[SubPLOs]:[SubPLOs]],"&gt;=1",tbl_task10[[SubPLOs]:[SubPLOs]],"&lt;2")</f>
        <v>0</v>
      </c>
      <c r="AW180" s="41">
        <f>SUMIFS(tbl_task1[S44],tbl_task1[[SubPLOs]:[SubPLOs]],"&gt;=1",tbl_task1[[SubPLOs]:[SubPLOs]],"&lt;2")+SUMIFS(tbl_task2[S44],tbl_task2[[SubPLOs]:[SubPLOs]],"&gt;=1",tbl_task2[[SubPLOs]:[SubPLOs]],"&lt;2")+SUMIFS(tbl_task3[S44],tbl_task3[[SubPLOs]:[SubPLOs]],"&gt;=1",tbl_task3[[SubPLOs]:[SubPLOs]],"&lt;2")+SUMIFS(tbl_task4[S44],tbl_task4[[SubPLOs]:[SubPLOs]],"&gt;=1",tbl_task4[[SubPLOs]:[SubPLOs]],"&lt;2")+SUMIFS(tbl_task5[S44],tbl_task5[[SubPLOs]:[SubPLOs]],"&gt;=1",tbl_task5[[SubPLOs]:[SubPLOs]],"&lt;2")+SUMIFS(tbl_task6[S44],tbl_task6[[SubPLOs]:[SubPLOs]],"&gt;=1",tbl_task6[[SubPLOs]:[SubPLOs]],"&lt;2")+SUMIFS(tbl_task7[S44],tbl_task7[[SubPLOs]:[SubPLOs]],"&gt;=1",tbl_task7[[SubPLOs]:[SubPLOs]],"&lt;2")+SUMIFS(tbl_task8[S44],tbl_task8[[SubPLOs]:[SubPLOs]],"&gt;=1",tbl_task8[[SubPLOs]:[SubPLOs]],"&lt;2")+SUMIFS(tbl_task9[S44],tbl_task9[[SubPLOs]:[SubPLOs]],"&gt;=1",tbl_task9[[SubPLOs]:[SubPLOs]],"&lt;2")+SUMIFS(tbl_task10[S44],tbl_task10[[SubPLOs]:[SubPLOs]],"&gt;=1",tbl_task10[[SubPLOs]:[SubPLOs]],"&lt;2")</f>
        <v>0</v>
      </c>
      <c r="AX180" s="41">
        <f>SUMIFS(tbl_task1[S45],tbl_task1[[SubPLOs]:[SubPLOs]],"&gt;=1",tbl_task1[[SubPLOs]:[SubPLOs]],"&lt;2")+SUMIFS(tbl_task2[S45],tbl_task2[[SubPLOs]:[SubPLOs]],"&gt;=1",tbl_task2[[SubPLOs]:[SubPLOs]],"&lt;2")+SUMIFS(tbl_task3[S45],tbl_task3[[SubPLOs]:[SubPLOs]],"&gt;=1",tbl_task3[[SubPLOs]:[SubPLOs]],"&lt;2")+SUMIFS(tbl_task4[S45],tbl_task4[[SubPLOs]:[SubPLOs]],"&gt;=1",tbl_task4[[SubPLOs]:[SubPLOs]],"&lt;2")+SUMIFS(tbl_task5[S45],tbl_task5[[SubPLOs]:[SubPLOs]],"&gt;=1",tbl_task5[[SubPLOs]:[SubPLOs]],"&lt;2")+SUMIFS(tbl_task6[S45],tbl_task6[[SubPLOs]:[SubPLOs]],"&gt;=1",tbl_task6[[SubPLOs]:[SubPLOs]],"&lt;2")+SUMIFS(tbl_task7[S45],tbl_task7[[SubPLOs]:[SubPLOs]],"&gt;=1",tbl_task7[[SubPLOs]:[SubPLOs]],"&lt;2")+SUMIFS(tbl_task8[S45],tbl_task8[[SubPLOs]:[SubPLOs]],"&gt;=1",tbl_task8[[SubPLOs]:[SubPLOs]],"&lt;2")+SUMIFS(tbl_task9[S45],tbl_task9[[SubPLOs]:[SubPLOs]],"&gt;=1",tbl_task9[[SubPLOs]:[SubPLOs]],"&lt;2")+SUMIFS(tbl_task10[S45],tbl_task10[[SubPLOs]:[SubPLOs]],"&gt;=1",tbl_task10[[SubPLOs]:[SubPLOs]],"&lt;2")</f>
        <v>0</v>
      </c>
      <c r="AY180" s="41">
        <f>SUMIFS(tbl_task1[S46],tbl_task1[[SubPLOs]:[SubPLOs]],"&gt;=1",tbl_task1[[SubPLOs]:[SubPLOs]],"&lt;2")+SUMIFS(tbl_task2[S46],tbl_task2[[SubPLOs]:[SubPLOs]],"&gt;=1",tbl_task2[[SubPLOs]:[SubPLOs]],"&lt;2")+SUMIFS(tbl_task3[S46],tbl_task3[[SubPLOs]:[SubPLOs]],"&gt;=1",tbl_task3[[SubPLOs]:[SubPLOs]],"&lt;2")+SUMIFS(tbl_task4[S46],tbl_task4[[SubPLOs]:[SubPLOs]],"&gt;=1",tbl_task4[[SubPLOs]:[SubPLOs]],"&lt;2")+SUMIFS(tbl_task5[S46],tbl_task5[[SubPLOs]:[SubPLOs]],"&gt;=1",tbl_task5[[SubPLOs]:[SubPLOs]],"&lt;2")+SUMIFS(tbl_task6[S46],tbl_task6[[SubPLOs]:[SubPLOs]],"&gt;=1",tbl_task6[[SubPLOs]:[SubPLOs]],"&lt;2")+SUMIFS(tbl_task7[S46],tbl_task7[[SubPLOs]:[SubPLOs]],"&gt;=1",tbl_task7[[SubPLOs]:[SubPLOs]],"&lt;2")+SUMIFS(tbl_task8[S46],tbl_task8[[SubPLOs]:[SubPLOs]],"&gt;=1",tbl_task8[[SubPLOs]:[SubPLOs]],"&lt;2")+SUMIFS(tbl_task9[S46],tbl_task9[[SubPLOs]:[SubPLOs]],"&gt;=1",tbl_task9[[SubPLOs]:[SubPLOs]],"&lt;2")+SUMIFS(tbl_task10[S46],tbl_task10[[SubPLOs]:[SubPLOs]],"&gt;=1",tbl_task10[[SubPLOs]:[SubPLOs]],"&lt;2")</f>
        <v>0</v>
      </c>
      <c r="AZ180" s="41">
        <f>SUMIFS(tbl_task1[S47],tbl_task1[[SubPLOs]:[SubPLOs]],"&gt;=1",tbl_task1[[SubPLOs]:[SubPLOs]],"&lt;2")+SUMIFS(tbl_task2[S47],tbl_task2[[SubPLOs]:[SubPLOs]],"&gt;=1",tbl_task2[[SubPLOs]:[SubPLOs]],"&lt;2")+SUMIFS(tbl_task3[S47],tbl_task3[[SubPLOs]:[SubPLOs]],"&gt;=1",tbl_task3[[SubPLOs]:[SubPLOs]],"&lt;2")+SUMIFS(tbl_task4[S47],tbl_task4[[SubPLOs]:[SubPLOs]],"&gt;=1",tbl_task4[[SubPLOs]:[SubPLOs]],"&lt;2")+SUMIFS(tbl_task5[S47],tbl_task5[[SubPLOs]:[SubPLOs]],"&gt;=1",tbl_task5[[SubPLOs]:[SubPLOs]],"&lt;2")+SUMIFS(tbl_task6[S47],tbl_task6[[SubPLOs]:[SubPLOs]],"&gt;=1",tbl_task6[[SubPLOs]:[SubPLOs]],"&lt;2")+SUMIFS(tbl_task7[S47],tbl_task7[[SubPLOs]:[SubPLOs]],"&gt;=1",tbl_task7[[SubPLOs]:[SubPLOs]],"&lt;2")+SUMIFS(tbl_task8[S47],tbl_task8[[SubPLOs]:[SubPLOs]],"&gt;=1",tbl_task8[[SubPLOs]:[SubPLOs]],"&lt;2")+SUMIFS(tbl_task9[S47],tbl_task9[[SubPLOs]:[SubPLOs]],"&gt;=1",tbl_task9[[SubPLOs]:[SubPLOs]],"&lt;2")+SUMIFS(tbl_task10[S47],tbl_task10[[SubPLOs]:[SubPLOs]],"&gt;=1",tbl_task10[[SubPLOs]:[SubPLOs]],"&lt;2")</f>
        <v>0</v>
      </c>
      <c r="BA180" s="41">
        <f>SUMIFS(tbl_task1[S48],tbl_task1[[SubPLOs]:[SubPLOs]],"&gt;=1",tbl_task1[[SubPLOs]:[SubPLOs]],"&lt;2")+SUMIFS(tbl_task2[S48],tbl_task2[[SubPLOs]:[SubPLOs]],"&gt;=1",tbl_task2[[SubPLOs]:[SubPLOs]],"&lt;2")+SUMIFS(tbl_task3[S48],tbl_task3[[SubPLOs]:[SubPLOs]],"&gt;=1",tbl_task3[[SubPLOs]:[SubPLOs]],"&lt;2")+SUMIFS(tbl_task4[S48],tbl_task4[[SubPLOs]:[SubPLOs]],"&gt;=1",tbl_task4[[SubPLOs]:[SubPLOs]],"&lt;2")+SUMIFS(tbl_task5[S48],tbl_task5[[SubPLOs]:[SubPLOs]],"&gt;=1",tbl_task5[[SubPLOs]:[SubPLOs]],"&lt;2")+SUMIFS(tbl_task6[S48],tbl_task6[[SubPLOs]:[SubPLOs]],"&gt;=1",tbl_task6[[SubPLOs]:[SubPLOs]],"&lt;2")+SUMIFS(tbl_task7[S48],tbl_task7[[SubPLOs]:[SubPLOs]],"&gt;=1",tbl_task7[[SubPLOs]:[SubPLOs]],"&lt;2")+SUMIFS(tbl_task8[S48],tbl_task8[[SubPLOs]:[SubPLOs]],"&gt;=1",tbl_task8[[SubPLOs]:[SubPLOs]],"&lt;2")+SUMIFS(tbl_task9[S48],tbl_task9[[SubPLOs]:[SubPLOs]],"&gt;=1",tbl_task9[[SubPLOs]:[SubPLOs]],"&lt;2")+SUMIFS(tbl_task10[S48],tbl_task10[[SubPLOs]:[SubPLOs]],"&gt;=1",tbl_task10[[SubPLOs]:[SubPLOs]],"&lt;2")</f>
        <v>0</v>
      </c>
      <c r="BB180" s="41">
        <f>SUMIFS(tbl_task1[S49],tbl_task1[[SubPLOs]:[SubPLOs]],"&gt;=1",tbl_task1[[SubPLOs]:[SubPLOs]],"&lt;2")+SUMIFS(tbl_task2[S49],tbl_task2[[SubPLOs]:[SubPLOs]],"&gt;=1",tbl_task2[[SubPLOs]:[SubPLOs]],"&lt;2")+SUMIFS(tbl_task3[S49],tbl_task3[[SubPLOs]:[SubPLOs]],"&gt;=1",tbl_task3[[SubPLOs]:[SubPLOs]],"&lt;2")+SUMIFS(tbl_task4[S49],tbl_task4[[SubPLOs]:[SubPLOs]],"&gt;=1",tbl_task4[[SubPLOs]:[SubPLOs]],"&lt;2")+SUMIFS(tbl_task5[S49],tbl_task5[[SubPLOs]:[SubPLOs]],"&gt;=1",tbl_task5[[SubPLOs]:[SubPLOs]],"&lt;2")+SUMIFS(tbl_task6[S49],tbl_task6[[SubPLOs]:[SubPLOs]],"&gt;=1",tbl_task6[[SubPLOs]:[SubPLOs]],"&lt;2")+SUMIFS(tbl_task7[S49],tbl_task7[[SubPLOs]:[SubPLOs]],"&gt;=1",tbl_task7[[SubPLOs]:[SubPLOs]],"&lt;2")+SUMIFS(tbl_task8[S49],tbl_task8[[SubPLOs]:[SubPLOs]],"&gt;=1",tbl_task8[[SubPLOs]:[SubPLOs]],"&lt;2")+SUMIFS(tbl_task9[S49],tbl_task9[[SubPLOs]:[SubPLOs]],"&gt;=1",tbl_task9[[SubPLOs]:[SubPLOs]],"&lt;2")+SUMIFS(tbl_task10[S49],tbl_task10[[SubPLOs]:[SubPLOs]],"&gt;=1",tbl_task10[[SubPLOs]:[SubPLOs]],"&lt;2")</f>
        <v>0</v>
      </c>
      <c r="BC180" s="41">
        <f>SUMIFS(tbl_task1[S50],tbl_task1[[SubPLOs]:[SubPLOs]],"&gt;=1",tbl_task1[[SubPLOs]:[SubPLOs]],"&lt;2")+SUMIFS(tbl_task2[S50],tbl_task2[[SubPLOs]:[SubPLOs]],"&gt;=1",tbl_task2[[SubPLOs]:[SubPLOs]],"&lt;2")+SUMIFS(tbl_task3[S50],tbl_task3[[SubPLOs]:[SubPLOs]],"&gt;=1",tbl_task3[[SubPLOs]:[SubPLOs]],"&lt;2")+SUMIFS(tbl_task4[S50],tbl_task4[[SubPLOs]:[SubPLOs]],"&gt;=1",tbl_task4[[SubPLOs]:[SubPLOs]],"&lt;2")+SUMIFS(tbl_task5[S50],tbl_task5[[SubPLOs]:[SubPLOs]],"&gt;=1",tbl_task5[[SubPLOs]:[SubPLOs]],"&lt;2")+SUMIFS(tbl_task6[S50],tbl_task6[[SubPLOs]:[SubPLOs]],"&gt;=1",tbl_task6[[SubPLOs]:[SubPLOs]],"&lt;2")+SUMIFS(tbl_task7[S50],tbl_task7[[SubPLOs]:[SubPLOs]],"&gt;=1",tbl_task7[[SubPLOs]:[SubPLOs]],"&lt;2")+SUMIFS(tbl_task8[S50],tbl_task8[[SubPLOs]:[SubPLOs]],"&gt;=1",tbl_task8[[SubPLOs]:[SubPLOs]],"&lt;2")+SUMIFS(tbl_task9[S50],tbl_task9[[SubPLOs]:[SubPLOs]],"&gt;=1",tbl_task9[[SubPLOs]:[SubPLOs]],"&lt;2")+SUMIFS(tbl_task10[S50],tbl_task10[[SubPLOs]:[SubPLOs]],"&gt;=1",tbl_task10[[SubPLOs]:[SubPLOs]],"&lt;2")</f>
        <v>0</v>
      </c>
      <c r="BD180" s="41">
        <f>SUMIFS(tbl_task1[S51],tbl_task1[[SubPLOs]:[SubPLOs]],"&gt;=1",tbl_task1[[SubPLOs]:[SubPLOs]],"&lt;2")+SUMIFS(tbl_task2[S51],tbl_task2[[SubPLOs]:[SubPLOs]],"&gt;=1",tbl_task2[[SubPLOs]:[SubPLOs]],"&lt;2")+SUMIFS(tbl_task3[S51],tbl_task3[[SubPLOs]:[SubPLOs]],"&gt;=1",tbl_task3[[SubPLOs]:[SubPLOs]],"&lt;2")+SUMIFS(tbl_task4[S51],tbl_task4[[SubPLOs]:[SubPLOs]],"&gt;=1",tbl_task4[[SubPLOs]:[SubPLOs]],"&lt;2")+SUMIFS(tbl_task5[S51],tbl_task5[[SubPLOs]:[SubPLOs]],"&gt;=1",tbl_task5[[SubPLOs]:[SubPLOs]],"&lt;2")+SUMIFS(tbl_task6[S51],tbl_task6[[SubPLOs]:[SubPLOs]],"&gt;=1",tbl_task6[[SubPLOs]:[SubPLOs]],"&lt;2")+SUMIFS(tbl_task7[S51],tbl_task7[[SubPLOs]:[SubPLOs]],"&gt;=1",tbl_task7[[SubPLOs]:[SubPLOs]],"&lt;2")+SUMIFS(tbl_task8[S51],tbl_task8[[SubPLOs]:[SubPLOs]],"&gt;=1",tbl_task8[[SubPLOs]:[SubPLOs]],"&lt;2")+SUMIFS(tbl_task9[S51],tbl_task9[[SubPLOs]:[SubPLOs]],"&gt;=1",tbl_task9[[SubPLOs]:[SubPLOs]],"&lt;2")+SUMIFS(tbl_task10[S51],tbl_task10[[SubPLOs]:[SubPLOs]],"&gt;=1",tbl_task10[[SubPLOs]:[SubPLOs]],"&lt;2")</f>
        <v>0</v>
      </c>
      <c r="BE180" s="41">
        <f>SUMIFS(tbl_task1[S52],tbl_task1[[SubPLOs]:[SubPLOs]],"&gt;=1",tbl_task1[[SubPLOs]:[SubPLOs]],"&lt;2")+SUMIFS(tbl_task2[S52],tbl_task2[[SubPLOs]:[SubPLOs]],"&gt;=1",tbl_task2[[SubPLOs]:[SubPLOs]],"&lt;2")+SUMIFS(tbl_task3[S52],tbl_task3[[SubPLOs]:[SubPLOs]],"&gt;=1",tbl_task3[[SubPLOs]:[SubPLOs]],"&lt;2")+SUMIFS(tbl_task4[S52],tbl_task4[[SubPLOs]:[SubPLOs]],"&gt;=1",tbl_task4[[SubPLOs]:[SubPLOs]],"&lt;2")+SUMIFS(tbl_task5[S52],tbl_task5[[SubPLOs]:[SubPLOs]],"&gt;=1",tbl_task5[[SubPLOs]:[SubPLOs]],"&lt;2")+SUMIFS(tbl_task6[S52],tbl_task6[[SubPLOs]:[SubPLOs]],"&gt;=1",tbl_task6[[SubPLOs]:[SubPLOs]],"&lt;2")+SUMIFS(tbl_task7[S52],tbl_task7[[SubPLOs]:[SubPLOs]],"&gt;=1",tbl_task7[[SubPLOs]:[SubPLOs]],"&lt;2")+SUMIFS(tbl_task8[S52],tbl_task8[[SubPLOs]:[SubPLOs]],"&gt;=1",tbl_task8[[SubPLOs]:[SubPLOs]],"&lt;2")+SUMIFS(tbl_task9[S52],tbl_task9[[SubPLOs]:[SubPLOs]],"&gt;=1",tbl_task9[[SubPLOs]:[SubPLOs]],"&lt;2")+SUMIFS(tbl_task10[S52],tbl_task10[[SubPLOs]:[SubPLOs]],"&gt;=1",tbl_task10[[SubPLOs]:[SubPLOs]],"&lt;2")</f>
        <v>0</v>
      </c>
      <c r="BF180" s="41">
        <f>SUMIFS(tbl_task1[S53],tbl_task1[[SubPLOs]:[SubPLOs]],"&gt;=1",tbl_task1[[SubPLOs]:[SubPLOs]],"&lt;2")+SUMIFS(tbl_task2[S53],tbl_task2[[SubPLOs]:[SubPLOs]],"&gt;=1",tbl_task2[[SubPLOs]:[SubPLOs]],"&lt;2")+SUMIFS(tbl_task3[S53],tbl_task3[[SubPLOs]:[SubPLOs]],"&gt;=1",tbl_task3[[SubPLOs]:[SubPLOs]],"&lt;2")+SUMIFS(tbl_task4[S53],tbl_task4[[SubPLOs]:[SubPLOs]],"&gt;=1",tbl_task4[[SubPLOs]:[SubPLOs]],"&lt;2")+SUMIFS(tbl_task5[S53],tbl_task5[[SubPLOs]:[SubPLOs]],"&gt;=1",tbl_task5[[SubPLOs]:[SubPLOs]],"&lt;2")+SUMIFS(tbl_task6[S53],tbl_task6[[SubPLOs]:[SubPLOs]],"&gt;=1",tbl_task6[[SubPLOs]:[SubPLOs]],"&lt;2")+SUMIFS(tbl_task7[S53],tbl_task7[[SubPLOs]:[SubPLOs]],"&gt;=1",tbl_task7[[SubPLOs]:[SubPLOs]],"&lt;2")+SUMIFS(tbl_task8[S53],tbl_task8[[SubPLOs]:[SubPLOs]],"&gt;=1",tbl_task8[[SubPLOs]:[SubPLOs]],"&lt;2")+SUMIFS(tbl_task9[S53],tbl_task9[[SubPLOs]:[SubPLOs]],"&gt;=1",tbl_task9[[SubPLOs]:[SubPLOs]],"&lt;2")+SUMIFS(tbl_task10[S53],tbl_task10[[SubPLOs]:[SubPLOs]],"&gt;=1",tbl_task10[[SubPLOs]:[SubPLOs]],"&lt;2")</f>
        <v>0</v>
      </c>
      <c r="BG180" s="41">
        <f>SUMIFS(tbl_task1[S54],tbl_task1[[SubPLOs]:[SubPLOs]],"&gt;=1",tbl_task1[[SubPLOs]:[SubPLOs]],"&lt;2")+SUMIFS(tbl_task2[S54],tbl_task2[[SubPLOs]:[SubPLOs]],"&gt;=1",tbl_task2[[SubPLOs]:[SubPLOs]],"&lt;2")+SUMIFS(tbl_task3[S54],tbl_task3[[SubPLOs]:[SubPLOs]],"&gt;=1",tbl_task3[[SubPLOs]:[SubPLOs]],"&lt;2")+SUMIFS(tbl_task4[S54],tbl_task4[[SubPLOs]:[SubPLOs]],"&gt;=1",tbl_task4[[SubPLOs]:[SubPLOs]],"&lt;2")+SUMIFS(tbl_task5[S54],tbl_task5[[SubPLOs]:[SubPLOs]],"&gt;=1",tbl_task5[[SubPLOs]:[SubPLOs]],"&lt;2")+SUMIFS(tbl_task6[S54],tbl_task6[[SubPLOs]:[SubPLOs]],"&gt;=1",tbl_task6[[SubPLOs]:[SubPLOs]],"&lt;2")+SUMIFS(tbl_task7[S54],tbl_task7[[SubPLOs]:[SubPLOs]],"&gt;=1",tbl_task7[[SubPLOs]:[SubPLOs]],"&lt;2")+SUMIFS(tbl_task8[S54],tbl_task8[[SubPLOs]:[SubPLOs]],"&gt;=1",tbl_task8[[SubPLOs]:[SubPLOs]],"&lt;2")+SUMIFS(tbl_task9[S54],tbl_task9[[SubPLOs]:[SubPLOs]],"&gt;=1",tbl_task9[[SubPLOs]:[SubPLOs]],"&lt;2")+SUMIFS(tbl_task10[S54],tbl_task10[[SubPLOs]:[SubPLOs]],"&gt;=1",tbl_task10[[SubPLOs]:[SubPLOs]],"&lt;2")</f>
        <v>0</v>
      </c>
      <c r="BH180" s="41">
        <f>SUMIFS(tbl_task1[S55],tbl_task1[[SubPLOs]:[SubPLOs]],"&gt;=1",tbl_task1[[SubPLOs]:[SubPLOs]],"&lt;2")+SUMIFS(tbl_task2[S55],tbl_task2[[SubPLOs]:[SubPLOs]],"&gt;=1",tbl_task2[[SubPLOs]:[SubPLOs]],"&lt;2")+SUMIFS(tbl_task3[S55],tbl_task3[[SubPLOs]:[SubPLOs]],"&gt;=1",tbl_task3[[SubPLOs]:[SubPLOs]],"&lt;2")+SUMIFS(tbl_task4[S55],tbl_task4[[SubPLOs]:[SubPLOs]],"&gt;=1",tbl_task4[[SubPLOs]:[SubPLOs]],"&lt;2")+SUMIFS(tbl_task5[S55],tbl_task5[[SubPLOs]:[SubPLOs]],"&gt;=1",tbl_task5[[SubPLOs]:[SubPLOs]],"&lt;2")+SUMIFS(tbl_task6[S55],tbl_task6[[SubPLOs]:[SubPLOs]],"&gt;=1",tbl_task6[[SubPLOs]:[SubPLOs]],"&lt;2")+SUMIFS(tbl_task7[S55],tbl_task7[[SubPLOs]:[SubPLOs]],"&gt;=1",tbl_task7[[SubPLOs]:[SubPLOs]],"&lt;2")+SUMIFS(tbl_task8[S55],tbl_task8[[SubPLOs]:[SubPLOs]],"&gt;=1",tbl_task8[[SubPLOs]:[SubPLOs]],"&lt;2")+SUMIFS(tbl_task9[S55],tbl_task9[[SubPLOs]:[SubPLOs]],"&gt;=1",tbl_task9[[SubPLOs]:[SubPLOs]],"&lt;2")+SUMIFS(tbl_task10[S55],tbl_task10[[SubPLOs]:[SubPLOs]],"&gt;=1",tbl_task10[[SubPLOs]:[SubPLOs]],"&lt;2")</f>
        <v>0</v>
      </c>
      <c r="BI180" s="41">
        <f>SUMIFS(tbl_task1[S56],tbl_task1[[SubPLOs]:[SubPLOs]],"&gt;=1",tbl_task1[[SubPLOs]:[SubPLOs]],"&lt;2")+SUMIFS(tbl_task2[S56],tbl_task2[[SubPLOs]:[SubPLOs]],"&gt;=1",tbl_task2[[SubPLOs]:[SubPLOs]],"&lt;2")+SUMIFS(tbl_task3[S56],tbl_task3[[SubPLOs]:[SubPLOs]],"&gt;=1",tbl_task3[[SubPLOs]:[SubPLOs]],"&lt;2")+SUMIFS(tbl_task4[S56],tbl_task4[[SubPLOs]:[SubPLOs]],"&gt;=1",tbl_task4[[SubPLOs]:[SubPLOs]],"&lt;2")+SUMIFS(tbl_task5[S56],tbl_task5[[SubPLOs]:[SubPLOs]],"&gt;=1",tbl_task5[[SubPLOs]:[SubPLOs]],"&lt;2")+SUMIFS(tbl_task6[S56],tbl_task6[[SubPLOs]:[SubPLOs]],"&gt;=1",tbl_task6[[SubPLOs]:[SubPLOs]],"&lt;2")+SUMIFS(tbl_task7[S56],tbl_task7[[SubPLOs]:[SubPLOs]],"&gt;=1",tbl_task7[[SubPLOs]:[SubPLOs]],"&lt;2")+SUMIFS(tbl_task8[S56],tbl_task8[[SubPLOs]:[SubPLOs]],"&gt;=1",tbl_task8[[SubPLOs]:[SubPLOs]],"&lt;2")+SUMIFS(tbl_task9[S56],tbl_task9[[SubPLOs]:[SubPLOs]],"&gt;=1",tbl_task9[[SubPLOs]:[SubPLOs]],"&lt;2")+SUMIFS(tbl_task10[S56],tbl_task10[[SubPLOs]:[SubPLOs]],"&gt;=1",tbl_task10[[SubPLOs]:[SubPLOs]],"&lt;2")</f>
        <v>0</v>
      </c>
      <c r="BJ180" s="41">
        <f>SUMIFS(tbl_task1[S57],tbl_task1[[SubPLOs]:[SubPLOs]],"&gt;=1",tbl_task1[[SubPLOs]:[SubPLOs]],"&lt;2")+SUMIFS(tbl_task2[S57],tbl_task2[[SubPLOs]:[SubPLOs]],"&gt;=1",tbl_task2[[SubPLOs]:[SubPLOs]],"&lt;2")+SUMIFS(tbl_task3[S57],tbl_task3[[SubPLOs]:[SubPLOs]],"&gt;=1",tbl_task3[[SubPLOs]:[SubPLOs]],"&lt;2")+SUMIFS(tbl_task4[S57],tbl_task4[[SubPLOs]:[SubPLOs]],"&gt;=1",tbl_task4[[SubPLOs]:[SubPLOs]],"&lt;2")+SUMIFS(tbl_task5[S57],tbl_task5[[SubPLOs]:[SubPLOs]],"&gt;=1",tbl_task5[[SubPLOs]:[SubPLOs]],"&lt;2")+SUMIFS(tbl_task6[S57],tbl_task6[[SubPLOs]:[SubPLOs]],"&gt;=1",tbl_task6[[SubPLOs]:[SubPLOs]],"&lt;2")+SUMIFS(tbl_task7[S57],tbl_task7[[SubPLOs]:[SubPLOs]],"&gt;=1",tbl_task7[[SubPLOs]:[SubPLOs]],"&lt;2")+SUMIFS(tbl_task8[S57],tbl_task8[[SubPLOs]:[SubPLOs]],"&gt;=1",tbl_task8[[SubPLOs]:[SubPLOs]],"&lt;2")+SUMIFS(tbl_task9[S57],tbl_task9[[SubPLOs]:[SubPLOs]],"&gt;=1",tbl_task9[[SubPLOs]:[SubPLOs]],"&lt;2")+SUMIFS(tbl_task10[S57],tbl_task10[[SubPLOs]:[SubPLOs]],"&gt;=1",tbl_task10[[SubPLOs]:[SubPLOs]],"&lt;2")</f>
        <v>0</v>
      </c>
      <c r="BK180" s="41">
        <f>SUMIFS(tbl_task1[S58],tbl_task1[[SubPLOs]:[SubPLOs]],"&gt;=1",tbl_task1[[SubPLOs]:[SubPLOs]],"&lt;2")+SUMIFS(tbl_task2[S58],tbl_task2[[SubPLOs]:[SubPLOs]],"&gt;=1",tbl_task2[[SubPLOs]:[SubPLOs]],"&lt;2")+SUMIFS(tbl_task3[S58],tbl_task3[[SubPLOs]:[SubPLOs]],"&gt;=1",tbl_task3[[SubPLOs]:[SubPLOs]],"&lt;2")+SUMIFS(tbl_task4[S58],tbl_task4[[SubPLOs]:[SubPLOs]],"&gt;=1",tbl_task4[[SubPLOs]:[SubPLOs]],"&lt;2")+SUMIFS(tbl_task5[S58],tbl_task5[[SubPLOs]:[SubPLOs]],"&gt;=1",tbl_task5[[SubPLOs]:[SubPLOs]],"&lt;2")+SUMIFS(tbl_task6[S58],tbl_task6[[SubPLOs]:[SubPLOs]],"&gt;=1",tbl_task6[[SubPLOs]:[SubPLOs]],"&lt;2")+SUMIFS(tbl_task7[S58],tbl_task7[[SubPLOs]:[SubPLOs]],"&gt;=1",tbl_task7[[SubPLOs]:[SubPLOs]],"&lt;2")+SUMIFS(tbl_task8[S58],tbl_task8[[SubPLOs]:[SubPLOs]],"&gt;=1",tbl_task8[[SubPLOs]:[SubPLOs]],"&lt;2")+SUMIFS(tbl_task9[S58],tbl_task9[[SubPLOs]:[SubPLOs]],"&gt;=1",tbl_task9[[SubPLOs]:[SubPLOs]],"&lt;2")+SUMIFS(tbl_task10[S58],tbl_task10[[SubPLOs]:[SubPLOs]],"&gt;=1",tbl_task10[[SubPLOs]:[SubPLOs]],"&lt;2")</f>
        <v>0</v>
      </c>
      <c r="BL180" s="41">
        <f>SUMIFS(tbl_task1[S59],tbl_task1[[SubPLOs]:[SubPLOs]],"&gt;=1",tbl_task1[[SubPLOs]:[SubPLOs]],"&lt;2")+SUMIFS(tbl_task2[S59],tbl_task2[[SubPLOs]:[SubPLOs]],"&gt;=1",tbl_task2[[SubPLOs]:[SubPLOs]],"&lt;2")+SUMIFS(tbl_task3[S59],tbl_task3[[SubPLOs]:[SubPLOs]],"&gt;=1",tbl_task3[[SubPLOs]:[SubPLOs]],"&lt;2")+SUMIFS(tbl_task4[S59],tbl_task4[[SubPLOs]:[SubPLOs]],"&gt;=1",tbl_task4[[SubPLOs]:[SubPLOs]],"&lt;2")+SUMIFS(tbl_task5[S59],tbl_task5[[SubPLOs]:[SubPLOs]],"&gt;=1",tbl_task5[[SubPLOs]:[SubPLOs]],"&lt;2")+SUMIFS(tbl_task6[S59],tbl_task6[[SubPLOs]:[SubPLOs]],"&gt;=1",tbl_task6[[SubPLOs]:[SubPLOs]],"&lt;2")+SUMIFS(tbl_task7[S59],tbl_task7[[SubPLOs]:[SubPLOs]],"&gt;=1",tbl_task7[[SubPLOs]:[SubPLOs]],"&lt;2")+SUMIFS(tbl_task8[S59],tbl_task8[[SubPLOs]:[SubPLOs]],"&gt;=1",tbl_task8[[SubPLOs]:[SubPLOs]],"&lt;2")+SUMIFS(tbl_task9[S59],tbl_task9[[SubPLOs]:[SubPLOs]],"&gt;=1",tbl_task9[[SubPLOs]:[SubPLOs]],"&lt;2")+SUMIFS(tbl_task10[S59],tbl_task10[[SubPLOs]:[SubPLOs]],"&gt;=1",tbl_task10[[SubPLOs]:[SubPLOs]],"&lt;2")</f>
        <v>0</v>
      </c>
      <c r="BM180" s="41">
        <f>SUMIFS(tbl_task1[S60],tbl_task1[[SubPLOs]:[SubPLOs]],"&gt;=1",tbl_task1[[SubPLOs]:[SubPLOs]],"&lt;2")+SUMIFS(tbl_task2[S60],tbl_task2[[SubPLOs]:[SubPLOs]],"&gt;=1",tbl_task2[[SubPLOs]:[SubPLOs]],"&lt;2")+SUMIFS(tbl_task3[S60],tbl_task3[[SubPLOs]:[SubPLOs]],"&gt;=1",tbl_task3[[SubPLOs]:[SubPLOs]],"&lt;2")+SUMIFS(tbl_task4[S60],tbl_task4[[SubPLOs]:[SubPLOs]],"&gt;=1",tbl_task4[[SubPLOs]:[SubPLOs]],"&lt;2")+SUMIFS(tbl_task5[S60],tbl_task5[[SubPLOs]:[SubPLOs]],"&gt;=1",tbl_task5[[SubPLOs]:[SubPLOs]],"&lt;2")+SUMIFS(tbl_task6[S60],tbl_task6[[SubPLOs]:[SubPLOs]],"&gt;=1",tbl_task6[[SubPLOs]:[SubPLOs]],"&lt;2")+SUMIFS(tbl_task7[S60],tbl_task7[[SubPLOs]:[SubPLOs]],"&gt;=1",tbl_task7[[SubPLOs]:[SubPLOs]],"&lt;2")+SUMIFS(tbl_task8[S60],tbl_task8[[SubPLOs]:[SubPLOs]],"&gt;=1",tbl_task8[[SubPLOs]:[SubPLOs]],"&lt;2")+SUMIFS(tbl_task9[S60],tbl_task9[[SubPLOs]:[SubPLOs]],"&gt;=1",tbl_task9[[SubPLOs]:[SubPLOs]],"&lt;2")+SUMIFS(tbl_task10[S60],tbl_task10[[SubPLOs]:[SubPLOs]],"&gt;=1",tbl_task10[[SubPLOs]:[SubPLOs]],"&lt;2")</f>
        <v>0</v>
      </c>
      <c r="BN180" s="41">
        <f>SUMIFS(tbl_task1[S61],tbl_task1[[SubPLOs]:[SubPLOs]],"&gt;=1",tbl_task1[[SubPLOs]:[SubPLOs]],"&lt;2")+SUMIFS(tbl_task2[S61],tbl_task2[[SubPLOs]:[SubPLOs]],"&gt;=1",tbl_task2[[SubPLOs]:[SubPLOs]],"&lt;2")+SUMIFS(tbl_task3[S61],tbl_task3[[SubPLOs]:[SubPLOs]],"&gt;=1",tbl_task3[[SubPLOs]:[SubPLOs]],"&lt;2")+SUMIFS(tbl_task4[S61],tbl_task4[[SubPLOs]:[SubPLOs]],"&gt;=1",tbl_task4[[SubPLOs]:[SubPLOs]],"&lt;2")+SUMIFS(tbl_task5[S61],tbl_task5[[SubPLOs]:[SubPLOs]],"&gt;=1",tbl_task5[[SubPLOs]:[SubPLOs]],"&lt;2")+SUMIFS(tbl_task6[S61],tbl_task6[[SubPLOs]:[SubPLOs]],"&gt;=1",tbl_task6[[SubPLOs]:[SubPLOs]],"&lt;2")+SUMIFS(tbl_task7[S61],tbl_task7[[SubPLOs]:[SubPLOs]],"&gt;=1",tbl_task7[[SubPLOs]:[SubPLOs]],"&lt;2")+SUMIFS(tbl_task8[S61],tbl_task8[[SubPLOs]:[SubPLOs]],"&gt;=1",tbl_task8[[SubPLOs]:[SubPLOs]],"&lt;2")+SUMIFS(tbl_task9[S61],tbl_task9[[SubPLOs]:[SubPLOs]],"&gt;=1",tbl_task9[[SubPLOs]:[SubPLOs]],"&lt;2")+SUMIFS(tbl_task10[S61],tbl_task10[[SubPLOs]:[SubPLOs]],"&gt;=1",tbl_task10[[SubPLOs]:[SubPLOs]],"&lt;2")</f>
        <v>0</v>
      </c>
      <c r="BO180" s="41">
        <f>SUMIFS(tbl_task1[S62],tbl_task1[[SubPLOs]:[SubPLOs]],"&gt;=1",tbl_task1[[SubPLOs]:[SubPLOs]],"&lt;2")+SUMIFS(tbl_task2[S62],tbl_task2[[SubPLOs]:[SubPLOs]],"&gt;=1",tbl_task2[[SubPLOs]:[SubPLOs]],"&lt;2")+SUMIFS(tbl_task3[S62],tbl_task3[[SubPLOs]:[SubPLOs]],"&gt;=1",tbl_task3[[SubPLOs]:[SubPLOs]],"&lt;2")+SUMIFS(tbl_task4[S62],tbl_task4[[SubPLOs]:[SubPLOs]],"&gt;=1",tbl_task4[[SubPLOs]:[SubPLOs]],"&lt;2")+SUMIFS(tbl_task5[S62],tbl_task5[[SubPLOs]:[SubPLOs]],"&gt;=1",tbl_task5[[SubPLOs]:[SubPLOs]],"&lt;2")+SUMIFS(tbl_task6[S62],tbl_task6[[SubPLOs]:[SubPLOs]],"&gt;=1",tbl_task6[[SubPLOs]:[SubPLOs]],"&lt;2")+SUMIFS(tbl_task7[S62],tbl_task7[[SubPLOs]:[SubPLOs]],"&gt;=1",tbl_task7[[SubPLOs]:[SubPLOs]],"&lt;2")+SUMIFS(tbl_task8[S62],tbl_task8[[SubPLOs]:[SubPLOs]],"&gt;=1",tbl_task8[[SubPLOs]:[SubPLOs]],"&lt;2")+SUMIFS(tbl_task9[S62],tbl_task9[[SubPLOs]:[SubPLOs]],"&gt;=1",tbl_task9[[SubPLOs]:[SubPLOs]],"&lt;2")+SUMIFS(tbl_task10[S62],tbl_task10[[SubPLOs]:[SubPLOs]],"&gt;=1",tbl_task10[[SubPLOs]:[SubPLOs]],"&lt;2")</f>
        <v>0</v>
      </c>
      <c r="BP180" s="41">
        <f>SUMIFS(tbl_task1[S63],tbl_task1[[SubPLOs]:[SubPLOs]],"&gt;=1",tbl_task1[[SubPLOs]:[SubPLOs]],"&lt;2")+SUMIFS(tbl_task2[S63],tbl_task2[[SubPLOs]:[SubPLOs]],"&gt;=1",tbl_task2[[SubPLOs]:[SubPLOs]],"&lt;2")+SUMIFS(tbl_task3[S63],tbl_task3[[SubPLOs]:[SubPLOs]],"&gt;=1",tbl_task3[[SubPLOs]:[SubPLOs]],"&lt;2")+SUMIFS(tbl_task4[S63],tbl_task4[[SubPLOs]:[SubPLOs]],"&gt;=1",tbl_task4[[SubPLOs]:[SubPLOs]],"&lt;2")+SUMIFS(tbl_task5[S63],tbl_task5[[SubPLOs]:[SubPLOs]],"&gt;=1",tbl_task5[[SubPLOs]:[SubPLOs]],"&lt;2")+SUMIFS(tbl_task6[S63],tbl_task6[[SubPLOs]:[SubPLOs]],"&gt;=1",tbl_task6[[SubPLOs]:[SubPLOs]],"&lt;2")+SUMIFS(tbl_task7[S63],tbl_task7[[SubPLOs]:[SubPLOs]],"&gt;=1",tbl_task7[[SubPLOs]:[SubPLOs]],"&lt;2")+SUMIFS(tbl_task8[S63],tbl_task8[[SubPLOs]:[SubPLOs]],"&gt;=1",tbl_task8[[SubPLOs]:[SubPLOs]],"&lt;2")+SUMIFS(tbl_task9[S63],tbl_task9[[SubPLOs]:[SubPLOs]],"&gt;=1",tbl_task9[[SubPLOs]:[SubPLOs]],"&lt;2")+SUMIFS(tbl_task10[S63],tbl_task10[[SubPLOs]:[SubPLOs]],"&gt;=1",tbl_task10[[SubPLOs]:[SubPLOs]],"&lt;2")</f>
        <v>0</v>
      </c>
      <c r="BQ180" s="41">
        <f>SUMIFS(tbl_task1[S64],tbl_task1[[SubPLOs]:[SubPLOs]],"&gt;=1",tbl_task1[[SubPLOs]:[SubPLOs]],"&lt;2")+SUMIFS(tbl_task2[S64],tbl_task2[[SubPLOs]:[SubPLOs]],"&gt;=1",tbl_task2[[SubPLOs]:[SubPLOs]],"&lt;2")+SUMIFS(tbl_task3[S64],tbl_task3[[SubPLOs]:[SubPLOs]],"&gt;=1",tbl_task3[[SubPLOs]:[SubPLOs]],"&lt;2")+SUMIFS(tbl_task4[S64],tbl_task4[[SubPLOs]:[SubPLOs]],"&gt;=1",tbl_task4[[SubPLOs]:[SubPLOs]],"&lt;2")+SUMIFS(tbl_task5[S64],tbl_task5[[SubPLOs]:[SubPLOs]],"&gt;=1",tbl_task5[[SubPLOs]:[SubPLOs]],"&lt;2")+SUMIFS(tbl_task6[S64],tbl_task6[[SubPLOs]:[SubPLOs]],"&gt;=1",tbl_task6[[SubPLOs]:[SubPLOs]],"&lt;2")+SUMIFS(tbl_task7[S64],tbl_task7[[SubPLOs]:[SubPLOs]],"&gt;=1",tbl_task7[[SubPLOs]:[SubPLOs]],"&lt;2")+SUMIFS(tbl_task8[S64],tbl_task8[[SubPLOs]:[SubPLOs]],"&gt;=1",tbl_task8[[SubPLOs]:[SubPLOs]],"&lt;2")+SUMIFS(tbl_task9[S64],tbl_task9[[SubPLOs]:[SubPLOs]],"&gt;=1",tbl_task9[[SubPLOs]:[SubPLOs]],"&lt;2")+SUMIFS(tbl_task10[S64],tbl_task10[[SubPLOs]:[SubPLOs]],"&gt;=1",tbl_task10[[SubPLOs]:[SubPLOs]],"&lt;2")</f>
        <v>0</v>
      </c>
      <c r="BR180" s="41">
        <f>SUMIFS(tbl_task1[S65],tbl_task1[[SubPLOs]:[SubPLOs]],"&gt;=1",tbl_task1[[SubPLOs]:[SubPLOs]],"&lt;2")+SUMIFS(tbl_task2[S65],tbl_task2[[SubPLOs]:[SubPLOs]],"&gt;=1",tbl_task2[[SubPLOs]:[SubPLOs]],"&lt;2")+SUMIFS(tbl_task3[S65],tbl_task3[[SubPLOs]:[SubPLOs]],"&gt;=1",tbl_task3[[SubPLOs]:[SubPLOs]],"&lt;2")+SUMIFS(tbl_task4[S65],tbl_task4[[SubPLOs]:[SubPLOs]],"&gt;=1",tbl_task4[[SubPLOs]:[SubPLOs]],"&lt;2")+SUMIFS(tbl_task5[S65],tbl_task5[[SubPLOs]:[SubPLOs]],"&gt;=1",tbl_task5[[SubPLOs]:[SubPLOs]],"&lt;2")+SUMIFS(tbl_task6[S65],tbl_task6[[SubPLOs]:[SubPLOs]],"&gt;=1",tbl_task6[[SubPLOs]:[SubPLOs]],"&lt;2")+SUMIFS(tbl_task7[S65],tbl_task7[[SubPLOs]:[SubPLOs]],"&gt;=1",tbl_task7[[SubPLOs]:[SubPLOs]],"&lt;2")+SUMIFS(tbl_task8[S65],tbl_task8[[SubPLOs]:[SubPLOs]],"&gt;=1",tbl_task8[[SubPLOs]:[SubPLOs]],"&lt;2")+SUMIFS(tbl_task9[S65],tbl_task9[[SubPLOs]:[SubPLOs]],"&gt;=1",tbl_task9[[SubPLOs]:[SubPLOs]],"&lt;2")+SUMIFS(tbl_task10[S65],tbl_task10[[SubPLOs]:[SubPLOs]],"&gt;=1",tbl_task10[[SubPLOs]:[SubPLOs]],"&lt;2")</f>
        <v>0</v>
      </c>
      <c r="BS180" s="41">
        <f>SUMIFS(tbl_task1[S66],tbl_task1[[SubPLOs]:[SubPLOs]],"&gt;=1",tbl_task1[[SubPLOs]:[SubPLOs]],"&lt;2")+SUMIFS(tbl_task2[S66],tbl_task2[[SubPLOs]:[SubPLOs]],"&gt;=1",tbl_task2[[SubPLOs]:[SubPLOs]],"&lt;2")+SUMIFS(tbl_task3[S66],tbl_task3[[SubPLOs]:[SubPLOs]],"&gt;=1",tbl_task3[[SubPLOs]:[SubPLOs]],"&lt;2")+SUMIFS(tbl_task4[S66],tbl_task4[[SubPLOs]:[SubPLOs]],"&gt;=1",tbl_task4[[SubPLOs]:[SubPLOs]],"&lt;2")+SUMIFS(tbl_task5[S66],tbl_task5[[SubPLOs]:[SubPLOs]],"&gt;=1",tbl_task5[[SubPLOs]:[SubPLOs]],"&lt;2")+SUMIFS(tbl_task6[S66],tbl_task6[[SubPLOs]:[SubPLOs]],"&gt;=1",tbl_task6[[SubPLOs]:[SubPLOs]],"&lt;2")+SUMIFS(tbl_task7[S66],tbl_task7[[SubPLOs]:[SubPLOs]],"&gt;=1",tbl_task7[[SubPLOs]:[SubPLOs]],"&lt;2")+SUMIFS(tbl_task8[S66],tbl_task8[[SubPLOs]:[SubPLOs]],"&gt;=1",tbl_task8[[SubPLOs]:[SubPLOs]],"&lt;2")+SUMIFS(tbl_task9[S66],tbl_task9[[SubPLOs]:[SubPLOs]],"&gt;=1",tbl_task9[[SubPLOs]:[SubPLOs]],"&lt;2")+SUMIFS(tbl_task10[S66],tbl_task10[[SubPLOs]:[SubPLOs]],"&gt;=1",tbl_task10[[SubPLOs]:[SubPLOs]],"&lt;2")</f>
        <v>0</v>
      </c>
      <c r="BT180" s="41">
        <f>SUMIFS(tbl_task1[S67],tbl_task1[[SubPLOs]:[SubPLOs]],"&gt;=1",tbl_task1[[SubPLOs]:[SubPLOs]],"&lt;2")+SUMIFS(tbl_task2[S67],tbl_task2[[SubPLOs]:[SubPLOs]],"&gt;=1",tbl_task2[[SubPLOs]:[SubPLOs]],"&lt;2")+SUMIFS(tbl_task3[S67],tbl_task3[[SubPLOs]:[SubPLOs]],"&gt;=1",tbl_task3[[SubPLOs]:[SubPLOs]],"&lt;2")+SUMIFS(tbl_task4[S67],tbl_task4[[SubPLOs]:[SubPLOs]],"&gt;=1",tbl_task4[[SubPLOs]:[SubPLOs]],"&lt;2")+SUMIFS(tbl_task5[S67],tbl_task5[[SubPLOs]:[SubPLOs]],"&gt;=1",tbl_task5[[SubPLOs]:[SubPLOs]],"&lt;2")+SUMIFS(tbl_task6[S67],tbl_task6[[SubPLOs]:[SubPLOs]],"&gt;=1",tbl_task6[[SubPLOs]:[SubPLOs]],"&lt;2")+SUMIFS(tbl_task7[S67],tbl_task7[[SubPLOs]:[SubPLOs]],"&gt;=1",tbl_task7[[SubPLOs]:[SubPLOs]],"&lt;2")+SUMIFS(tbl_task8[S67],tbl_task8[[SubPLOs]:[SubPLOs]],"&gt;=1",tbl_task8[[SubPLOs]:[SubPLOs]],"&lt;2")+SUMIFS(tbl_task9[S67],tbl_task9[[SubPLOs]:[SubPLOs]],"&gt;=1",tbl_task9[[SubPLOs]:[SubPLOs]],"&lt;2")+SUMIFS(tbl_task10[S67],tbl_task10[[SubPLOs]:[SubPLOs]],"&gt;=1",tbl_task10[[SubPLOs]:[SubPLOs]],"&lt;2")</f>
        <v>0</v>
      </c>
      <c r="BU180" s="41">
        <f>SUMIFS(tbl_task1[S68],tbl_task1[[SubPLOs]:[SubPLOs]],"&gt;=1",tbl_task1[[SubPLOs]:[SubPLOs]],"&lt;2")+SUMIFS(tbl_task2[S68],tbl_task2[[SubPLOs]:[SubPLOs]],"&gt;=1",tbl_task2[[SubPLOs]:[SubPLOs]],"&lt;2")+SUMIFS(tbl_task3[S68],tbl_task3[[SubPLOs]:[SubPLOs]],"&gt;=1",tbl_task3[[SubPLOs]:[SubPLOs]],"&lt;2")+SUMIFS(tbl_task4[S68],tbl_task4[[SubPLOs]:[SubPLOs]],"&gt;=1",tbl_task4[[SubPLOs]:[SubPLOs]],"&lt;2")+SUMIFS(tbl_task5[S68],tbl_task5[[SubPLOs]:[SubPLOs]],"&gt;=1",tbl_task5[[SubPLOs]:[SubPLOs]],"&lt;2")+SUMIFS(tbl_task6[S68],tbl_task6[[SubPLOs]:[SubPLOs]],"&gt;=1",tbl_task6[[SubPLOs]:[SubPLOs]],"&lt;2")+SUMIFS(tbl_task7[S68],tbl_task7[[SubPLOs]:[SubPLOs]],"&gt;=1",tbl_task7[[SubPLOs]:[SubPLOs]],"&lt;2")+SUMIFS(tbl_task8[S68],tbl_task8[[SubPLOs]:[SubPLOs]],"&gt;=1",tbl_task8[[SubPLOs]:[SubPLOs]],"&lt;2")+SUMIFS(tbl_task9[S68],tbl_task9[[SubPLOs]:[SubPLOs]],"&gt;=1",tbl_task9[[SubPLOs]:[SubPLOs]],"&lt;2")+SUMIFS(tbl_task10[S68],tbl_task10[[SubPLOs]:[SubPLOs]],"&gt;=1",tbl_task10[[SubPLOs]:[SubPLOs]],"&lt;2")</f>
        <v>0</v>
      </c>
      <c r="BV180" s="41">
        <f>SUMIFS(tbl_task1[S69],tbl_task1[[SubPLOs]:[SubPLOs]],"&gt;=1",tbl_task1[[SubPLOs]:[SubPLOs]],"&lt;2")+SUMIFS(tbl_task2[S69],tbl_task2[[SubPLOs]:[SubPLOs]],"&gt;=1",tbl_task2[[SubPLOs]:[SubPLOs]],"&lt;2")+SUMIFS(tbl_task3[S69],tbl_task3[[SubPLOs]:[SubPLOs]],"&gt;=1",tbl_task3[[SubPLOs]:[SubPLOs]],"&lt;2")+SUMIFS(tbl_task4[S69],tbl_task4[[SubPLOs]:[SubPLOs]],"&gt;=1",tbl_task4[[SubPLOs]:[SubPLOs]],"&lt;2")+SUMIFS(tbl_task5[S69],tbl_task5[[SubPLOs]:[SubPLOs]],"&gt;=1",tbl_task5[[SubPLOs]:[SubPLOs]],"&lt;2")+SUMIFS(tbl_task6[S69],tbl_task6[[SubPLOs]:[SubPLOs]],"&gt;=1",tbl_task6[[SubPLOs]:[SubPLOs]],"&lt;2")+SUMIFS(tbl_task7[S69],tbl_task7[[SubPLOs]:[SubPLOs]],"&gt;=1",tbl_task7[[SubPLOs]:[SubPLOs]],"&lt;2")+SUMIFS(tbl_task8[S69],tbl_task8[[SubPLOs]:[SubPLOs]],"&gt;=1",tbl_task8[[SubPLOs]:[SubPLOs]],"&lt;2")+SUMIFS(tbl_task9[S69],tbl_task9[[SubPLOs]:[SubPLOs]],"&gt;=1",tbl_task9[[SubPLOs]:[SubPLOs]],"&lt;2")+SUMIFS(tbl_task10[S69],tbl_task10[[SubPLOs]:[SubPLOs]],"&gt;=1",tbl_task10[[SubPLOs]:[SubPLOs]],"&lt;2")</f>
        <v>0</v>
      </c>
      <c r="BW180" s="41">
        <f>SUMIFS(tbl_task1[S70],tbl_task1[[SubPLOs]:[SubPLOs]],"&gt;=1",tbl_task1[[SubPLOs]:[SubPLOs]],"&lt;2")+SUMIFS(tbl_task2[S70],tbl_task2[[SubPLOs]:[SubPLOs]],"&gt;=1",tbl_task2[[SubPLOs]:[SubPLOs]],"&lt;2")+SUMIFS(tbl_task3[S70],tbl_task3[[SubPLOs]:[SubPLOs]],"&gt;=1",tbl_task3[[SubPLOs]:[SubPLOs]],"&lt;2")+SUMIFS(tbl_task4[S70],tbl_task4[[SubPLOs]:[SubPLOs]],"&gt;=1",tbl_task4[[SubPLOs]:[SubPLOs]],"&lt;2")+SUMIFS(tbl_task5[S70],tbl_task5[[SubPLOs]:[SubPLOs]],"&gt;=1",tbl_task5[[SubPLOs]:[SubPLOs]],"&lt;2")+SUMIFS(tbl_task6[S70],tbl_task6[[SubPLOs]:[SubPLOs]],"&gt;=1",tbl_task6[[SubPLOs]:[SubPLOs]],"&lt;2")+SUMIFS(tbl_task7[S70],tbl_task7[[SubPLOs]:[SubPLOs]],"&gt;=1",tbl_task7[[SubPLOs]:[SubPLOs]],"&lt;2")+SUMIFS(tbl_task8[S70],tbl_task8[[SubPLOs]:[SubPLOs]],"&gt;=1",tbl_task8[[SubPLOs]:[SubPLOs]],"&lt;2")+SUMIFS(tbl_task9[S70],tbl_task9[[SubPLOs]:[SubPLOs]],"&gt;=1",tbl_task9[[SubPLOs]:[SubPLOs]],"&lt;2")+SUMIFS(tbl_task10[S70],tbl_task10[[SubPLOs]:[SubPLOs]],"&gt;=1",tbl_task10[[SubPLOs]:[SubPLOs]],"&lt;2")</f>
        <v>0</v>
      </c>
      <c r="BX180" s="41">
        <f>SUMIFS(tbl_task1[S71],tbl_task1[[SubPLOs]:[SubPLOs]],"&gt;=1",tbl_task1[[SubPLOs]:[SubPLOs]],"&lt;2")+SUMIFS(tbl_task2[S71],tbl_task2[[SubPLOs]:[SubPLOs]],"&gt;=1",tbl_task2[[SubPLOs]:[SubPLOs]],"&lt;2")+SUMIFS(tbl_task3[S71],tbl_task3[[SubPLOs]:[SubPLOs]],"&gt;=1",tbl_task3[[SubPLOs]:[SubPLOs]],"&lt;2")+SUMIFS(tbl_task4[S71],tbl_task4[[SubPLOs]:[SubPLOs]],"&gt;=1",tbl_task4[[SubPLOs]:[SubPLOs]],"&lt;2")+SUMIFS(tbl_task5[S71],tbl_task5[[SubPLOs]:[SubPLOs]],"&gt;=1",tbl_task5[[SubPLOs]:[SubPLOs]],"&lt;2")+SUMIFS(tbl_task6[S71],tbl_task6[[SubPLOs]:[SubPLOs]],"&gt;=1",tbl_task6[[SubPLOs]:[SubPLOs]],"&lt;2")+SUMIFS(tbl_task7[S71],tbl_task7[[SubPLOs]:[SubPLOs]],"&gt;=1",tbl_task7[[SubPLOs]:[SubPLOs]],"&lt;2")+SUMIFS(tbl_task8[S71],tbl_task8[[SubPLOs]:[SubPLOs]],"&gt;=1",tbl_task8[[SubPLOs]:[SubPLOs]],"&lt;2")+SUMIFS(tbl_task9[S71],tbl_task9[[SubPLOs]:[SubPLOs]],"&gt;=1",tbl_task9[[SubPLOs]:[SubPLOs]],"&lt;2")+SUMIFS(tbl_task10[S71],tbl_task10[[SubPLOs]:[SubPLOs]],"&gt;=1",tbl_task10[[SubPLOs]:[SubPLOs]],"&lt;2")</f>
        <v>0</v>
      </c>
      <c r="BY180" s="41">
        <f>SUMIFS(tbl_task1[S72],tbl_task1[[SubPLOs]:[SubPLOs]],"&gt;=1",tbl_task1[[SubPLOs]:[SubPLOs]],"&lt;2")+SUMIFS(tbl_task2[S72],tbl_task2[[SubPLOs]:[SubPLOs]],"&gt;=1",tbl_task2[[SubPLOs]:[SubPLOs]],"&lt;2")+SUMIFS(tbl_task3[S72],tbl_task3[[SubPLOs]:[SubPLOs]],"&gt;=1",tbl_task3[[SubPLOs]:[SubPLOs]],"&lt;2")+SUMIFS(tbl_task4[S72],tbl_task4[[SubPLOs]:[SubPLOs]],"&gt;=1",tbl_task4[[SubPLOs]:[SubPLOs]],"&lt;2")+SUMIFS(tbl_task5[S72],tbl_task5[[SubPLOs]:[SubPLOs]],"&gt;=1",tbl_task5[[SubPLOs]:[SubPLOs]],"&lt;2")+SUMIFS(tbl_task6[S72],tbl_task6[[SubPLOs]:[SubPLOs]],"&gt;=1",tbl_task6[[SubPLOs]:[SubPLOs]],"&lt;2")+SUMIFS(tbl_task7[S72],tbl_task7[[SubPLOs]:[SubPLOs]],"&gt;=1",tbl_task7[[SubPLOs]:[SubPLOs]],"&lt;2")+SUMIFS(tbl_task8[S72],tbl_task8[[SubPLOs]:[SubPLOs]],"&gt;=1",tbl_task8[[SubPLOs]:[SubPLOs]],"&lt;2")+SUMIFS(tbl_task9[S72],tbl_task9[[SubPLOs]:[SubPLOs]],"&gt;=1",tbl_task9[[SubPLOs]:[SubPLOs]],"&lt;2")+SUMIFS(tbl_task10[S72],tbl_task10[[SubPLOs]:[SubPLOs]],"&gt;=1",tbl_task10[[SubPLOs]:[SubPLOs]],"&lt;2")</f>
        <v>0</v>
      </c>
      <c r="BZ180" s="41">
        <f>SUMIFS(tbl_task1[S73],tbl_task1[[SubPLOs]:[SubPLOs]],"&gt;=1",tbl_task1[[SubPLOs]:[SubPLOs]],"&lt;2")+SUMIFS(tbl_task2[S73],tbl_task2[[SubPLOs]:[SubPLOs]],"&gt;=1",tbl_task2[[SubPLOs]:[SubPLOs]],"&lt;2")+SUMIFS(tbl_task3[S73],tbl_task3[[SubPLOs]:[SubPLOs]],"&gt;=1",tbl_task3[[SubPLOs]:[SubPLOs]],"&lt;2")+SUMIFS(tbl_task4[S73],tbl_task4[[SubPLOs]:[SubPLOs]],"&gt;=1",tbl_task4[[SubPLOs]:[SubPLOs]],"&lt;2")+SUMIFS(tbl_task5[S73],tbl_task5[[SubPLOs]:[SubPLOs]],"&gt;=1",tbl_task5[[SubPLOs]:[SubPLOs]],"&lt;2")+SUMIFS(tbl_task6[S73],tbl_task6[[SubPLOs]:[SubPLOs]],"&gt;=1",tbl_task6[[SubPLOs]:[SubPLOs]],"&lt;2")+SUMIFS(tbl_task7[S73],tbl_task7[[SubPLOs]:[SubPLOs]],"&gt;=1",tbl_task7[[SubPLOs]:[SubPLOs]],"&lt;2")+SUMIFS(tbl_task8[S73],tbl_task8[[SubPLOs]:[SubPLOs]],"&gt;=1",tbl_task8[[SubPLOs]:[SubPLOs]],"&lt;2")+SUMIFS(tbl_task9[S73],tbl_task9[[SubPLOs]:[SubPLOs]],"&gt;=1",tbl_task9[[SubPLOs]:[SubPLOs]],"&lt;2")+SUMIFS(tbl_task10[S73],tbl_task10[[SubPLOs]:[SubPLOs]],"&gt;=1",tbl_task10[[SubPLOs]:[SubPLOs]],"&lt;2")</f>
        <v>0</v>
      </c>
      <c r="CA180" s="41">
        <f>SUMIFS(tbl_task1[S74],tbl_task1[[SubPLOs]:[SubPLOs]],"&gt;=1",tbl_task1[[SubPLOs]:[SubPLOs]],"&lt;2")+SUMIFS(tbl_task2[S74],tbl_task2[[SubPLOs]:[SubPLOs]],"&gt;=1",tbl_task2[[SubPLOs]:[SubPLOs]],"&lt;2")+SUMIFS(tbl_task3[S74],tbl_task3[[SubPLOs]:[SubPLOs]],"&gt;=1",tbl_task3[[SubPLOs]:[SubPLOs]],"&lt;2")+SUMIFS(tbl_task4[S74],tbl_task4[[SubPLOs]:[SubPLOs]],"&gt;=1",tbl_task4[[SubPLOs]:[SubPLOs]],"&lt;2")+SUMIFS(tbl_task5[S74],tbl_task5[[SubPLOs]:[SubPLOs]],"&gt;=1",tbl_task5[[SubPLOs]:[SubPLOs]],"&lt;2")+SUMIFS(tbl_task6[S74],tbl_task6[[SubPLOs]:[SubPLOs]],"&gt;=1",tbl_task6[[SubPLOs]:[SubPLOs]],"&lt;2")+SUMIFS(tbl_task7[S74],tbl_task7[[SubPLOs]:[SubPLOs]],"&gt;=1",tbl_task7[[SubPLOs]:[SubPLOs]],"&lt;2")+SUMIFS(tbl_task8[S74],tbl_task8[[SubPLOs]:[SubPLOs]],"&gt;=1",tbl_task8[[SubPLOs]:[SubPLOs]],"&lt;2")+SUMIFS(tbl_task9[S74],tbl_task9[[SubPLOs]:[SubPLOs]],"&gt;=1",tbl_task9[[SubPLOs]:[SubPLOs]],"&lt;2")+SUMIFS(tbl_task10[S74],tbl_task10[[SubPLOs]:[SubPLOs]],"&gt;=1",tbl_task10[[SubPLOs]:[SubPLOs]],"&lt;2")</f>
        <v>0</v>
      </c>
      <c r="CB180" s="41">
        <f>SUMIFS(tbl_task1[S75],tbl_task1[[SubPLOs]:[SubPLOs]],"&gt;=1",tbl_task1[[SubPLOs]:[SubPLOs]],"&lt;2")+SUMIFS(tbl_task2[S75],tbl_task2[[SubPLOs]:[SubPLOs]],"&gt;=1",tbl_task2[[SubPLOs]:[SubPLOs]],"&lt;2")+SUMIFS(tbl_task3[S75],tbl_task3[[SubPLOs]:[SubPLOs]],"&gt;=1",tbl_task3[[SubPLOs]:[SubPLOs]],"&lt;2")+SUMIFS(tbl_task4[S75],tbl_task4[[SubPLOs]:[SubPLOs]],"&gt;=1",tbl_task4[[SubPLOs]:[SubPLOs]],"&lt;2")+SUMIFS(tbl_task5[S75],tbl_task5[[SubPLOs]:[SubPLOs]],"&gt;=1",tbl_task5[[SubPLOs]:[SubPLOs]],"&lt;2")+SUMIFS(tbl_task6[S75],tbl_task6[[SubPLOs]:[SubPLOs]],"&gt;=1",tbl_task6[[SubPLOs]:[SubPLOs]],"&lt;2")+SUMIFS(tbl_task7[S75],tbl_task7[[SubPLOs]:[SubPLOs]],"&gt;=1",tbl_task7[[SubPLOs]:[SubPLOs]],"&lt;2")+SUMIFS(tbl_task8[S75],tbl_task8[[SubPLOs]:[SubPLOs]],"&gt;=1",tbl_task8[[SubPLOs]:[SubPLOs]],"&lt;2")+SUMIFS(tbl_task9[S75],tbl_task9[[SubPLOs]:[SubPLOs]],"&gt;=1",tbl_task9[[SubPLOs]:[SubPLOs]],"&lt;2")+SUMIFS(tbl_task10[S75],tbl_task10[[SubPLOs]:[SubPLOs]],"&gt;=1",tbl_task10[[SubPLOs]:[SubPLOs]],"&lt;2")</f>
        <v>0</v>
      </c>
      <c r="CC180" s="41">
        <f>SUMIFS(tbl_task1[S76],tbl_task1[[SubPLOs]:[SubPLOs]],"&gt;=1",tbl_task1[[SubPLOs]:[SubPLOs]],"&lt;2")+SUMIFS(tbl_task2[S76],tbl_task2[[SubPLOs]:[SubPLOs]],"&gt;=1",tbl_task2[[SubPLOs]:[SubPLOs]],"&lt;2")+SUMIFS(tbl_task3[S76],tbl_task3[[SubPLOs]:[SubPLOs]],"&gt;=1",tbl_task3[[SubPLOs]:[SubPLOs]],"&lt;2")+SUMIFS(tbl_task4[S76],tbl_task4[[SubPLOs]:[SubPLOs]],"&gt;=1",tbl_task4[[SubPLOs]:[SubPLOs]],"&lt;2")+SUMIFS(tbl_task5[S76],tbl_task5[[SubPLOs]:[SubPLOs]],"&gt;=1",tbl_task5[[SubPLOs]:[SubPLOs]],"&lt;2")+SUMIFS(tbl_task6[S76],tbl_task6[[SubPLOs]:[SubPLOs]],"&gt;=1",tbl_task6[[SubPLOs]:[SubPLOs]],"&lt;2")+SUMIFS(tbl_task7[S76],tbl_task7[[SubPLOs]:[SubPLOs]],"&gt;=1",tbl_task7[[SubPLOs]:[SubPLOs]],"&lt;2")+SUMIFS(tbl_task8[S76],tbl_task8[[SubPLOs]:[SubPLOs]],"&gt;=1",tbl_task8[[SubPLOs]:[SubPLOs]],"&lt;2")+SUMIFS(tbl_task9[S76],tbl_task9[[SubPLOs]:[SubPLOs]],"&gt;=1",tbl_task9[[SubPLOs]:[SubPLOs]],"&lt;2")+SUMIFS(tbl_task10[S76],tbl_task10[[SubPLOs]:[SubPLOs]],"&gt;=1",tbl_task10[[SubPLOs]:[SubPLOs]],"&lt;2")</f>
        <v>0</v>
      </c>
      <c r="CD180" s="41">
        <f>SUMIFS(tbl_task1[S77],tbl_task1[[SubPLOs]:[SubPLOs]],"&gt;=1",tbl_task1[[SubPLOs]:[SubPLOs]],"&lt;2")+SUMIFS(tbl_task2[S77],tbl_task2[[SubPLOs]:[SubPLOs]],"&gt;=1",tbl_task2[[SubPLOs]:[SubPLOs]],"&lt;2")+SUMIFS(tbl_task3[S77],tbl_task3[[SubPLOs]:[SubPLOs]],"&gt;=1",tbl_task3[[SubPLOs]:[SubPLOs]],"&lt;2")+SUMIFS(tbl_task4[S77],tbl_task4[[SubPLOs]:[SubPLOs]],"&gt;=1",tbl_task4[[SubPLOs]:[SubPLOs]],"&lt;2")+SUMIFS(tbl_task5[S77],tbl_task5[[SubPLOs]:[SubPLOs]],"&gt;=1",tbl_task5[[SubPLOs]:[SubPLOs]],"&lt;2")+SUMIFS(tbl_task6[S77],tbl_task6[[SubPLOs]:[SubPLOs]],"&gt;=1",tbl_task6[[SubPLOs]:[SubPLOs]],"&lt;2")+SUMIFS(tbl_task7[S77],tbl_task7[[SubPLOs]:[SubPLOs]],"&gt;=1",tbl_task7[[SubPLOs]:[SubPLOs]],"&lt;2")+SUMIFS(tbl_task8[S77],tbl_task8[[SubPLOs]:[SubPLOs]],"&gt;=1",tbl_task8[[SubPLOs]:[SubPLOs]],"&lt;2")+SUMIFS(tbl_task9[S77],tbl_task9[[SubPLOs]:[SubPLOs]],"&gt;=1",tbl_task9[[SubPLOs]:[SubPLOs]],"&lt;2")+SUMIFS(tbl_task10[S77],tbl_task10[[SubPLOs]:[SubPLOs]],"&gt;=1",tbl_task10[[SubPLOs]:[SubPLOs]],"&lt;2")</f>
        <v>0</v>
      </c>
      <c r="CE180" s="41">
        <f>SUMIFS(tbl_task1[S78],tbl_task1[[SubPLOs]:[SubPLOs]],"&gt;=1",tbl_task1[[SubPLOs]:[SubPLOs]],"&lt;2")+SUMIFS(tbl_task2[S78],tbl_task2[[SubPLOs]:[SubPLOs]],"&gt;=1",tbl_task2[[SubPLOs]:[SubPLOs]],"&lt;2")+SUMIFS(tbl_task3[S78],tbl_task3[[SubPLOs]:[SubPLOs]],"&gt;=1",tbl_task3[[SubPLOs]:[SubPLOs]],"&lt;2")+SUMIFS(tbl_task4[S78],tbl_task4[[SubPLOs]:[SubPLOs]],"&gt;=1",tbl_task4[[SubPLOs]:[SubPLOs]],"&lt;2")+SUMIFS(tbl_task5[S78],tbl_task5[[SubPLOs]:[SubPLOs]],"&gt;=1",tbl_task5[[SubPLOs]:[SubPLOs]],"&lt;2")+SUMIFS(tbl_task6[S78],tbl_task6[[SubPLOs]:[SubPLOs]],"&gt;=1",tbl_task6[[SubPLOs]:[SubPLOs]],"&lt;2")+SUMIFS(tbl_task7[S78],tbl_task7[[SubPLOs]:[SubPLOs]],"&gt;=1",tbl_task7[[SubPLOs]:[SubPLOs]],"&lt;2")+SUMIFS(tbl_task8[S78],tbl_task8[[SubPLOs]:[SubPLOs]],"&gt;=1",tbl_task8[[SubPLOs]:[SubPLOs]],"&lt;2")+SUMIFS(tbl_task9[S78],tbl_task9[[SubPLOs]:[SubPLOs]],"&gt;=1",tbl_task9[[SubPLOs]:[SubPLOs]],"&lt;2")+SUMIFS(tbl_task10[S78],tbl_task10[[SubPLOs]:[SubPLOs]],"&gt;=1",tbl_task10[[SubPLOs]:[SubPLOs]],"&lt;2")</f>
        <v>0</v>
      </c>
      <c r="CF180" s="41">
        <f>SUMIFS(tbl_task1[S79],tbl_task1[[SubPLOs]:[SubPLOs]],"&gt;=1",tbl_task1[[SubPLOs]:[SubPLOs]],"&lt;2")+SUMIFS(tbl_task2[S79],tbl_task2[[SubPLOs]:[SubPLOs]],"&gt;=1",tbl_task2[[SubPLOs]:[SubPLOs]],"&lt;2")+SUMIFS(tbl_task3[S79],tbl_task3[[SubPLOs]:[SubPLOs]],"&gt;=1",tbl_task3[[SubPLOs]:[SubPLOs]],"&lt;2")+SUMIFS(tbl_task4[S79],tbl_task4[[SubPLOs]:[SubPLOs]],"&gt;=1",tbl_task4[[SubPLOs]:[SubPLOs]],"&lt;2")+SUMIFS(tbl_task5[S79],tbl_task5[[SubPLOs]:[SubPLOs]],"&gt;=1",tbl_task5[[SubPLOs]:[SubPLOs]],"&lt;2")+SUMIFS(tbl_task6[S79],tbl_task6[[SubPLOs]:[SubPLOs]],"&gt;=1",tbl_task6[[SubPLOs]:[SubPLOs]],"&lt;2")+SUMIFS(tbl_task7[S79],tbl_task7[[SubPLOs]:[SubPLOs]],"&gt;=1",tbl_task7[[SubPLOs]:[SubPLOs]],"&lt;2")+SUMIFS(tbl_task8[S79],tbl_task8[[SubPLOs]:[SubPLOs]],"&gt;=1",tbl_task8[[SubPLOs]:[SubPLOs]],"&lt;2")+SUMIFS(tbl_task9[S79],tbl_task9[[SubPLOs]:[SubPLOs]],"&gt;=1",tbl_task9[[SubPLOs]:[SubPLOs]],"&lt;2")+SUMIFS(tbl_task10[S79],tbl_task10[[SubPLOs]:[SubPLOs]],"&gt;=1",tbl_task10[[SubPLOs]:[SubPLOs]],"&lt;2")</f>
        <v>0</v>
      </c>
      <c r="CG180" s="41">
        <f>SUMIFS(tbl_task1[S80],tbl_task1[[SubPLOs]:[SubPLOs]],"&gt;=1",tbl_task1[[SubPLOs]:[SubPLOs]],"&lt;2")+SUMIFS(tbl_task2[S80],tbl_task2[[SubPLOs]:[SubPLOs]],"&gt;=1",tbl_task2[[SubPLOs]:[SubPLOs]],"&lt;2")+SUMIFS(tbl_task3[S80],tbl_task3[[SubPLOs]:[SubPLOs]],"&gt;=1",tbl_task3[[SubPLOs]:[SubPLOs]],"&lt;2")+SUMIFS(tbl_task4[S80],tbl_task4[[SubPLOs]:[SubPLOs]],"&gt;=1",tbl_task4[[SubPLOs]:[SubPLOs]],"&lt;2")+SUMIFS(tbl_task5[S80],tbl_task5[[SubPLOs]:[SubPLOs]],"&gt;=1",tbl_task5[[SubPLOs]:[SubPLOs]],"&lt;2")+SUMIFS(tbl_task6[S80],tbl_task6[[SubPLOs]:[SubPLOs]],"&gt;=1",tbl_task6[[SubPLOs]:[SubPLOs]],"&lt;2")+SUMIFS(tbl_task7[S80],tbl_task7[[SubPLOs]:[SubPLOs]],"&gt;=1",tbl_task7[[SubPLOs]:[SubPLOs]],"&lt;2")+SUMIFS(tbl_task8[S80],tbl_task8[[SubPLOs]:[SubPLOs]],"&gt;=1",tbl_task8[[SubPLOs]:[SubPLOs]],"&lt;2")+SUMIFS(tbl_task9[S80],tbl_task9[[SubPLOs]:[SubPLOs]],"&gt;=1",tbl_task9[[SubPLOs]:[SubPLOs]],"&lt;2")+SUMIFS(tbl_task10[S80],tbl_task10[[SubPLOs]:[SubPLOs]],"&gt;=1",tbl_task10[[SubPLOs]:[SubPLOs]],"&lt;2")</f>
        <v>0</v>
      </c>
      <c r="CH180" s="41">
        <f>SUMIFS(tbl_task1[S81],tbl_task1[[SubPLOs]:[SubPLOs]],"&gt;=1",tbl_task1[[SubPLOs]:[SubPLOs]],"&lt;2")+SUMIFS(tbl_task2[S81],tbl_task2[[SubPLOs]:[SubPLOs]],"&gt;=1",tbl_task2[[SubPLOs]:[SubPLOs]],"&lt;2")+SUMIFS(tbl_task3[S81],tbl_task3[[SubPLOs]:[SubPLOs]],"&gt;=1",tbl_task3[[SubPLOs]:[SubPLOs]],"&lt;2")+SUMIFS(tbl_task4[S81],tbl_task4[[SubPLOs]:[SubPLOs]],"&gt;=1",tbl_task4[[SubPLOs]:[SubPLOs]],"&lt;2")+SUMIFS(tbl_task5[S81],tbl_task5[[SubPLOs]:[SubPLOs]],"&gt;=1",tbl_task5[[SubPLOs]:[SubPLOs]],"&lt;2")+SUMIFS(tbl_task6[S81],tbl_task6[[SubPLOs]:[SubPLOs]],"&gt;=1",tbl_task6[[SubPLOs]:[SubPLOs]],"&lt;2")+SUMIFS(tbl_task7[S81],tbl_task7[[SubPLOs]:[SubPLOs]],"&gt;=1",tbl_task7[[SubPLOs]:[SubPLOs]],"&lt;2")+SUMIFS(tbl_task8[S81],tbl_task8[[SubPLOs]:[SubPLOs]],"&gt;=1",tbl_task8[[SubPLOs]:[SubPLOs]],"&lt;2")+SUMIFS(tbl_task9[S81],tbl_task9[[SubPLOs]:[SubPLOs]],"&gt;=1",tbl_task9[[SubPLOs]:[SubPLOs]],"&lt;2")+SUMIFS(tbl_task10[S81],tbl_task10[[SubPLOs]:[SubPLOs]],"&gt;=1",tbl_task10[[SubPLOs]:[SubPLOs]],"&lt;2")</f>
        <v>0</v>
      </c>
      <c r="CI180" s="41">
        <f>SUMIFS(tbl_task1[S82],tbl_task1[[SubPLOs]:[SubPLOs]],"&gt;=1",tbl_task1[[SubPLOs]:[SubPLOs]],"&lt;2")+SUMIFS(tbl_task2[S82],tbl_task2[[SubPLOs]:[SubPLOs]],"&gt;=1",tbl_task2[[SubPLOs]:[SubPLOs]],"&lt;2")+SUMIFS(tbl_task3[S82],tbl_task3[[SubPLOs]:[SubPLOs]],"&gt;=1",tbl_task3[[SubPLOs]:[SubPLOs]],"&lt;2")+SUMIFS(tbl_task4[S82],tbl_task4[[SubPLOs]:[SubPLOs]],"&gt;=1",tbl_task4[[SubPLOs]:[SubPLOs]],"&lt;2")+SUMIFS(tbl_task5[S82],tbl_task5[[SubPLOs]:[SubPLOs]],"&gt;=1",tbl_task5[[SubPLOs]:[SubPLOs]],"&lt;2")+SUMIFS(tbl_task6[S82],tbl_task6[[SubPLOs]:[SubPLOs]],"&gt;=1",tbl_task6[[SubPLOs]:[SubPLOs]],"&lt;2")+SUMIFS(tbl_task7[S82],tbl_task7[[SubPLOs]:[SubPLOs]],"&gt;=1",tbl_task7[[SubPLOs]:[SubPLOs]],"&lt;2")+SUMIFS(tbl_task8[S82],tbl_task8[[SubPLOs]:[SubPLOs]],"&gt;=1",tbl_task8[[SubPLOs]:[SubPLOs]],"&lt;2")+SUMIFS(tbl_task9[S82],tbl_task9[[SubPLOs]:[SubPLOs]],"&gt;=1",tbl_task9[[SubPLOs]:[SubPLOs]],"&lt;2")+SUMIFS(tbl_task10[S82],tbl_task10[[SubPLOs]:[SubPLOs]],"&gt;=1",tbl_task10[[SubPLOs]:[SubPLOs]],"&lt;2")</f>
        <v>0</v>
      </c>
      <c r="CJ180" s="41">
        <f>SUMIFS(tbl_task1[S83],tbl_task1[[SubPLOs]:[SubPLOs]],"&gt;=1",tbl_task1[[SubPLOs]:[SubPLOs]],"&lt;2")+SUMIFS(tbl_task2[S83],tbl_task2[[SubPLOs]:[SubPLOs]],"&gt;=1",tbl_task2[[SubPLOs]:[SubPLOs]],"&lt;2")+SUMIFS(tbl_task3[S83],tbl_task3[[SubPLOs]:[SubPLOs]],"&gt;=1",tbl_task3[[SubPLOs]:[SubPLOs]],"&lt;2")+SUMIFS(tbl_task4[S83],tbl_task4[[SubPLOs]:[SubPLOs]],"&gt;=1",tbl_task4[[SubPLOs]:[SubPLOs]],"&lt;2")+SUMIFS(tbl_task5[S83],tbl_task5[[SubPLOs]:[SubPLOs]],"&gt;=1",tbl_task5[[SubPLOs]:[SubPLOs]],"&lt;2")+SUMIFS(tbl_task6[S83],tbl_task6[[SubPLOs]:[SubPLOs]],"&gt;=1",tbl_task6[[SubPLOs]:[SubPLOs]],"&lt;2")+SUMIFS(tbl_task7[S83],tbl_task7[[SubPLOs]:[SubPLOs]],"&gt;=1",tbl_task7[[SubPLOs]:[SubPLOs]],"&lt;2")+SUMIFS(tbl_task8[S83],tbl_task8[[SubPLOs]:[SubPLOs]],"&gt;=1",tbl_task8[[SubPLOs]:[SubPLOs]],"&lt;2")+SUMIFS(tbl_task9[S83],tbl_task9[[SubPLOs]:[SubPLOs]],"&gt;=1",tbl_task9[[SubPLOs]:[SubPLOs]],"&lt;2")+SUMIFS(tbl_task10[S83],tbl_task10[[SubPLOs]:[SubPLOs]],"&gt;=1",tbl_task10[[SubPLOs]:[SubPLOs]],"&lt;2")</f>
        <v>0</v>
      </c>
      <c r="CK180" s="41">
        <f>SUMIFS(tbl_task1[S84],tbl_task1[[SubPLOs]:[SubPLOs]],"&gt;=1",tbl_task1[[SubPLOs]:[SubPLOs]],"&lt;2")+SUMIFS(tbl_task2[S84],tbl_task2[[SubPLOs]:[SubPLOs]],"&gt;=1",tbl_task2[[SubPLOs]:[SubPLOs]],"&lt;2")+SUMIFS(tbl_task3[S84],tbl_task3[[SubPLOs]:[SubPLOs]],"&gt;=1",tbl_task3[[SubPLOs]:[SubPLOs]],"&lt;2")+SUMIFS(tbl_task4[S84],tbl_task4[[SubPLOs]:[SubPLOs]],"&gt;=1",tbl_task4[[SubPLOs]:[SubPLOs]],"&lt;2")+SUMIFS(tbl_task5[S84],tbl_task5[[SubPLOs]:[SubPLOs]],"&gt;=1",tbl_task5[[SubPLOs]:[SubPLOs]],"&lt;2")+SUMIFS(tbl_task6[S84],tbl_task6[[SubPLOs]:[SubPLOs]],"&gt;=1",tbl_task6[[SubPLOs]:[SubPLOs]],"&lt;2")+SUMIFS(tbl_task7[S84],tbl_task7[[SubPLOs]:[SubPLOs]],"&gt;=1",tbl_task7[[SubPLOs]:[SubPLOs]],"&lt;2")+SUMIFS(tbl_task8[S84],tbl_task8[[SubPLOs]:[SubPLOs]],"&gt;=1",tbl_task8[[SubPLOs]:[SubPLOs]],"&lt;2")+SUMIFS(tbl_task9[S84],tbl_task9[[SubPLOs]:[SubPLOs]],"&gt;=1",tbl_task9[[SubPLOs]:[SubPLOs]],"&lt;2")+SUMIFS(tbl_task10[S84],tbl_task10[[SubPLOs]:[SubPLOs]],"&gt;=1",tbl_task10[[SubPLOs]:[SubPLOs]],"&lt;2")</f>
        <v>0</v>
      </c>
      <c r="CL180" s="41">
        <f>SUMIFS(tbl_task1[S85],tbl_task1[[SubPLOs]:[SubPLOs]],"&gt;=1",tbl_task1[[SubPLOs]:[SubPLOs]],"&lt;2")+SUMIFS(tbl_task2[S85],tbl_task2[[SubPLOs]:[SubPLOs]],"&gt;=1",tbl_task2[[SubPLOs]:[SubPLOs]],"&lt;2")+SUMIFS(tbl_task3[S85],tbl_task3[[SubPLOs]:[SubPLOs]],"&gt;=1",tbl_task3[[SubPLOs]:[SubPLOs]],"&lt;2")+SUMIFS(tbl_task4[S85],tbl_task4[[SubPLOs]:[SubPLOs]],"&gt;=1",tbl_task4[[SubPLOs]:[SubPLOs]],"&lt;2")+SUMIFS(tbl_task5[S85],tbl_task5[[SubPLOs]:[SubPLOs]],"&gt;=1",tbl_task5[[SubPLOs]:[SubPLOs]],"&lt;2")+SUMIFS(tbl_task6[S85],tbl_task6[[SubPLOs]:[SubPLOs]],"&gt;=1",tbl_task6[[SubPLOs]:[SubPLOs]],"&lt;2")+SUMIFS(tbl_task7[S85],tbl_task7[[SubPLOs]:[SubPLOs]],"&gt;=1",tbl_task7[[SubPLOs]:[SubPLOs]],"&lt;2")+SUMIFS(tbl_task8[S85],tbl_task8[[SubPLOs]:[SubPLOs]],"&gt;=1",tbl_task8[[SubPLOs]:[SubPLOs]],"&lt;2")+SUMIFS(tbl_task9[S85],tbl_task9[[SubPLOs]:[SubPLOs]],"&gt;=1",tbl_task9[[SubPLOs]:[SubPLOs]],"&lt;2")+SUMIFS(tbl_task10[S85],tbl_task10[[SubPLOs]:[SubPLOs]],"&gt;=1",tbl_task10[[SubPLOs]:[SubPLOs]],"&lt;2")</f>
        <v>0</v>
      </c>
      <c r="CM180" s="41">
        <f>SUMIFS(tbl_task1[S86],tbl_task1[[SubPLOs]:[SubPLOs]],"&gt;=1",tbl_task1[[SubPLOs]:[SubPLOs]],"&lt;2")+SUMIFS(tbl_task2[S86],tbl_task2[[SubPLOs]:[SubPLOs]],"&gt;=1",tbl_task2[[SubPLOs]:[SubPLOs]],"&lt;2")+SUMIFS(tbl_task3[S86],tbl_task3[[SubPLOs]:[SubPLOs]],"&gt;=1",tbl_task3[[SubPLOs]:[SubPLOs]],"&lt;2")+SUMIFS(tbl_task4[S86],tbl_task4[[SubPLOs]:[SubPLOs]],"&gt;=1",tbl_task4[[SubPLOs]:[SubPLOs]],"&lt;2")+SUMIFS(tbl_task5[S86],tbl_task5[[SubPLOs]:[SubPLOs]],"&gt;=1",tbl_task5[[SubPLOs]:[SubPLOs]],"&lt;2")+SUMIFS(tbl_task6[S86],tbl_task6[[SubPLOs]:[SubPLOs]],"&gt;=1",tbl_task6[[SubPLOs]:[SubPLOs]],"&lt;2")+SUMIFS(tbl_task7[S86],tbl_task7[[SubPLOs]:[SubPLOs]],"&gt;=1",tbl_task7[[SubPLOs]:[SubPLOs]],"&lt;2")+SUMIFS(tbl_task8[S86],tbl_task8[[SubPLOs]:[SubPLOs]],"&gt;=1",tbl_task8[[SubPLOs]:[SubPLOs]],"&lt;2")+SUMIFS(tbl_task9[S86],tbl_task9[[SubPLOs]:[SubPLOs]],"&gt;=1",tbl_task9[[SubPLOs]:[SubPLOs]],"&lt;2")+SUMIFS(tbl_task10[S86],tbl_task10[[SubPLOs]:[SubPLOs]],"&gt;=1",tbl_task10[[SubPLOs]:[SubPLOs]],"&lt;2")</f>
        <v>0</v>
      </c>
      <c r="CN180" s="41">
        <f>SUMIFS(tbl_task1[S87],tbl_task1[[SubPLOs]:[SubPLOs]],"&gt;=1",tbl_task1[[SubPLOs]:[SubPLOs]],"&lt;2")+SUMIFS(tbl_task2[S87],tbl_task2[[SubPLOs]:[SubPLOs]],"&gt;=1",tbl_task2[[SubPLOs]:[SubPLOs]],"&lt;2")+SUMIFS(tbl_task3[S87],tbl_task3[[SubPLOs]:[SubPLOs]],"&gt;=1",tbl_task3[[SubPLOs]:[SubPLOs]],"&lt;2")+SUMIFS(tbl_task4[S87],tbl_task4[[SubPLOs]:[SubPLOs]],"&gt;=1",tbl_task4[[SubPLOs]:[SubPLOs]],"&lt;2")+SUMIFS(tbl_task5[S87],tbl_task5[[SubPLOs]:[SubPLOs]],"&gt;=1",tbl_task5[[SubPLOs]:[SubPLOs]],"&lt;2")+SUMIFS(tbl_task6[S87],tbl_task6[[SubPLOs]:[SubPLOs]],"&gt;=1",tbl_task6[[SubPLOs]:[SubPLOs]],"&lt;2")+SUMIFS(tbl_task7[S87],tbl_task7[[SubPLOs]:[SubPLOs]],"&gt;=1",tbl_task7[[SubPLOs]:[SubPLOs]],"&lt;2")+SUMIFS(tbl_task8[S87],tbl_task8[[SubPLOs]:[SubPLOs]],"&gt;=1",tbl_task8[[SubPLOs]:[SubPLOs]],"&lt;2")+SUMIFS(tbl_task9[S87],tbl_task9[[SubPLOs]:[SubPLOs]],"&gt;=1",tbl_task9[[SubPLOs]:[SubPLOs]],"&lt;2")+SUMIFS(tbl_task10[S87],tbl_task10[[SubPLOs]:[SubPLOs]],"&gt;=1",tbl_task10[[SubPLOs]:[SubPLOs]],"&lt;2")</f>
        <v>0</v>
      </c>
      <c r="CO180" s="41">
        <f>SUMIFS(tbl_task1[S88],tbl_task1[[SubPLOs]:[SubPLOs]],"&gt;=1",tbl_task1[[SubPLOs]:[SubPLOs]],"&lt;2")+SUMIFS(tbl_task2[S88],tbl_task2[[SubPLOs]:[SubPLOs]],"&gt;=1",tbl_task2[[SubPLOs]:[SubPLOs]],"&lt;2")+SUMIFS(tbl_task3[S88],tbl_task3[[SubPLOs]:[SubPLOs]],"&gt;=1",tbl_task3[[SubPLOs]:[SubPLOs]],"&lt;2")+SUMIFS(tbl_task4[S88],tbl_task4[[SubPLOs]:[SubPLOs]],"&gt;=1",tbl_task4[[SubPLOs]:[SubPLOs]],"&lt;2")+SUMIFS(tbl_task5[S88],tbl_task5[[SubPLOs]:[SubPLOs]],"&gt;=1",tbl_task5[[SubPLOs]:[SubPLOs]],"&lt;2")+SUMIFS(tbl_task6[S88],tbl_task6[[SubPLOs]:[SubPLOs]],"&gt;=1",tbl_task6[[SubPLOs]:[SubPLOs]],"&lt;2")+SUMIFS(tbl_task7[S88],tbl_task7[[SubPLOs]:[SubPLOs]],"&gt;=1",tbl_task7[[SubPLOs]:[SubPLOs]],"&lt;2")+SUMIFS(tbl_task8[S88],tbl_task8[[SubPLOs]:[SubPLOs]],"&gt;=1",tbl_task8[[SubPLOs]:[SubPLOs]],"&lt;2")+SUMIFS(tbl_task9[S88],tbl_task9[[SubPLOs]:[SubPLOs]],"&gt;=1",tbl_task9[[SubPLOs]:[SubPLOs]],"&lt;2")+SUMIFS(tbl_task10[S88],tbl_task10[[SubPLOs]:[SubPLOs]],"&gt;=1",tbl_task10[[SubPLOs]:[SubPLOs]],"&lt;2")</f>
        <v>0</v>
      </c>
      <c r="CP180" s="41">
        <f>SUMIFS(tbl_task1[S89],tbl_task1[[SubPLOs]:[SubPLOs]],"&gt;=1",tbl_task1[[SubPLOs]:[SubPLOs]],"&lt;2")+SUMIFS(tbl_task2[S89],tbl_task2[[SubPLOs]:[SubPLOs]],"&gt;=1",tbl_task2[[SubPLOs]:[SubPLOs]],"&lt;2")+SUMIFS(tbl_task3[S89],tbl_task3[[SubPLOs]:[SubPLOs]],"&gt;=1",tbl_task3[[SubPLOs]:[SubPLOs]],"&lt;2")+SUMIFS(tbl_task4[S89],tbl_task4[[SubPLOs]:[SubPLOs]],"&gt;=1",tbl_task4[[SubPLOs]:[SubPLOs]],"&lt;2")+SUMIFS(tbl_task5[S89],tbl_task5[[SubPLOs]:[SubPLOs]],"&gt;=1",tbl_task5[[SubPLOs]:[SubPLOs]],"&lt;2")+SUMIFS(tbl_task6[S89],tbl_task6[[SubPLOs]:[SubPLOs]],"&gt;=1",tbl_task6[[SubPLOs]:[SubPLOs]],"&lt;2")+SUMIFS(tbl_task7[S89],tbl_task7[[SubPLOs]:[SubPLOs]],"&gt;=1",tbl_task7[[SubPLOs]:[SubPLOs]],"&lt;2")+SUMIFS(tbl_task8[S89],tbl_task8[[SubPLOs]:[SubPLOs]],"&gt;=1",tbl_task8[[SubPLOs]:[SubPLOs]],"&lt;2")+SUMIFS(tbl_task9[S89],tbl_task9[[SubPLOs]:[SubPLOs]],"&gt;=1",tbl_task9[[SubPLOs]:[SubPLOs]],"&lt;2")+SUMIFS(tbl_task10[S89],tbl_task10[[SubPLOs]:[SubPLOs]],"&gt;=1",tbl_task10[[SubPLOs]:[SubPLOs]],"&lt;2")</f>
        <v>0</v>
      </c>
      <c r="CQ180" s="41">
        <f>SUMIFS(tbl_task1[S90],tbl_task1[[SubPLOs]:[SubPLOs]],"&gt;=1",tbl_task1[[SubPLOs]:[SubPLOs]],"&lt;2")+SUMIFS(tbl_task2[S90],tbl_task2[[SubPLOs]:[SubPLOs]],"&gt;=1",tbl_task2[[SubPLOs]:[SubPLOs]],"&lt;2")+SUMIFS(tbl_task3[S90],tbl_task3[[SubPLOs]:[SubPLOs]],"&gt;=1",tbl_task3[[SubPLOs]:[SubPLOs]],"&lt;2")+SUMIFS(tbl_task4[S90],tbl_task4[[SubPLOs]:[SubPLOs]],"&gt;=1",tbl_task4[[SubPLOs]:[SubPLOs]],"&lt;2")+SUMIFS(tbl_task5[S90],tbl_task5[[SubPLOs]:[SubPLOs]],"&gt;=1",tbl_task5[[SubPLOs]:[SubPLOs]],"&lt;2")+SUMIFS(tbl_task6[S90],tbl_task6[[SubPLOs]:[SubPLOs]],"&gt;=1",tbl_task6[[SubPLOs]:[SubPLOs]],"&lt;2")+SUMIFS(tbl_task7[S90],tbl_task7[[SubPLOs]:[SubPLOs]],"&gt;=1",tbl_task7[[SubPLOs]:[SubPLOs]],"&lt;2")+SUMIFS(tbl_task8[S90],tbl_task8[[SubPLOs]:[SubPLOs]],"&gt;=1",tbl_task8[[SubPLOs]:[SubPLOs]],"&lt;2")+SUMIFS(tbl_task9[S90],tbl_task9[[SubPLOs]:[SubPLOs]],"&gt;=1",tbl_task9[[SubPLOs]:[SubPLOs]],"&lt;2")+SUMIFS(tbl_task10[S90],tbl_task10[[SubPLOs]:[SubPLOs]],"&gt;=1",tbl_task10[[SubPLOs]:[SubPLOs]],"&lt;2")</f>
        <v>0</v>
      </c>
      <c r="CR180" s="41">
        <f>SUMIFS(tbl_task1[S91],tbl_task1[[SubPLOs]:[SubPLOs]],"&gt;=1",tbl_task1[[SubPLOs]:[SubPLOs]],"&lt;2")+SUMIFS(tbl_task2[S91],tbl_task2[[SubPLOs]:[SubPLOs]],"&gt;=1",tbl_task2[[SubPLOs]:[SubPLOs]],"&lt;2")+SUMIFS(tbl_task3[S91],tbl_task3[[SubPLOs]:[SubPLOs]],"&gt;=1",tbl_task3[[SubPLOs]:[SubPLOs]],"&lt;2")+SUMIFS(tbl_task4[S91],tbl_task4[[SubPLOs]:[SubPLOs]],"&gt;=1",tbl_task4[[SubPLOs]:[SubPLOs]],"&lt;2")+SUMIFS(tbl_task5[S91],tbl_task5[[SubPLOs]:[SubPLOs]],"&gt;=1",tbl_task5[[SubPLOs]:[SubPLOs]],"&lt;2")+SUMIFS(tbl_task6[S91],tbl_task6[[SubPLOs]:[SubPLOs]],"&gt;=1",tbl_task6[[SubPLOs]:[SubPLOs]],"&lt;2")+SUMIFS(tbl_task7[S91],tbl_task7[[SubPLOs]:[SubPLOs]],"&gt;=1",tbl_task7[[SubPLOs]:[SubPLOs]],"&lt;2")+SUMIFS(tbl_task8[S91],tbl_task8[[SubPLOs]:[SubPLOs]],"&gt;=1",tbl_task8[[SubPLOs]:[SubPLOs]],"&lt;2")+SUMIFS(tbl_task9[S91],tbl_task9[[SubPLOs]:[SubPLOs]],"&gt;=1",tbl_task9[[SubPLOs]:[SubPLOs]],"&lt;2")+SUMIFS(tbl_task10[S91],tbl_task10[[SubPLOs]:[SubPLOs]],"&gt;=1",tbl_task10[[SubPLOs]:[SubPLOs]],"&lt;2")</f>
        <v>0</v>
      </c>
      <c r="CS180" s="41">
        <f>SUMIFS(tbl_task1[S92],tbl_task1[[SubPLOs]:[SubPLOs]],"&gt;=1",tbl_task1[[SubPLOs]:[SubPLOs]],"&lt;2")+SUMIFS(tbl_task2[S92],tbl_task2[[SubPLOs]:[SubPLOs]],"&gt;=1",tbl_task2[[SubPLOs]:[SubPLOs]],"&lt;2")+SUMIFS(tbl_task3[S92],tbl_task3[[SubPLOs]:[SubPLOs]],"&gt;=1",tbl_task3[[SubPLOs]:[SubPLOs]],"&lt;2")+SUMIFS(tbl_task4[S92],tbl_task4[[SubPLOs]:[SubPLOs]],"&gt;=1",tbl_task4[[SubPLOs]:[SubPLOs]],"&lt;2")+SUMIFS(tbl_task5[S92],tbl_task5[[SubPLOs]:[SubPLOs]],"&gt;=1",tbl_task5[[SubPLOs]:[SubPLOs]],"&lt;2")+SUMIFS(tbl_task6[S92],tbl_task6[[SubPLOs]:[SubPLOs]],"&gt;=1",tbl_task6[[SubPLOs]:[SubPLOs]],"&lt;2")+SUMIFS(tbl_task7[S92],tbl_task7[[SubPLOs]:[SubPLOs]],"&gt;=1",tbl_task7[[SubPLOs]:[SubPLOs]],"&lt;2")+SUMIFS(tbl_task8[S92],tbl_task8[[SubPLOs]:[SubPLOs]],"&gt;=1",tbl_task8[[SubPLOs]:[SubPLOs]],"&lt;2")+SUMIFS(tbl_task9[S92],tbl_task9[[SubPLOs]:[SubPLOs]],"&gt;=1",tbl_task9[[SubPLOs]:[SubPLOs]],"&lt;2")+SUMIFS(tbl_task10[S92],tbl_task10[[SubPLOs]:[SubPLOs]],"&gt;=1",tbl_task10[[SubPLOs]:[SubPLOs]],"&lt;2")</f>
        <v>0</v>
      </c>
      <c r="CT180" s="41">
        <f>SUMIFS(tbl_task1[S93],tbl_task1[[SubPLOs]:[SubPLOs]],"&gt;=1",tbl_task1[[SubPLOs]:[SubPLOs]],"&lt;2")+SUMIFS(tbl_task2[S93],tbl_task2[[SubPLOs]:[SubPLOs]],"&gt;=1",tbl_task2[[SubPLOs]:[SubPLOs]],"&lt;2")+SUMIFS(tbl_task3[S93],tbl_task3[[SubPLOs]:[SubPLOs]],"&gt;=1",tbl_task3[[SubPLOs]:[SubPLOs]],"&lt;2")+SUMIFS(tbl_task4[S93],tbl_task4[[SubPLOs]:[SubPLOs]],"&gt;=1",tbl_task4[[SubPLOs]:[SubPLOs]],"&lt;2")+SUMIFS(tbl_task5[S93],tbl_task5[[SubPLOs]:[SubPLOs]],"&gt;=1",tbl_task5[[SubPLOs]:[SubPLOs]],"&lt;2")+SUMIFS(tbl_task6[S93],tbl_task6[[SubPLOs]:[SubPLOs]],"&gt;=1",tbl_task6[[SubPLOs]:[SubPLOs]],"&lt;2")+SUMIFS(tbl_task7[S93],tbl_task7[[SubPLOs]:[SubPLOs]],"&gt;=1",tbl_task7[[SubPLOs]:[SubPLOs]],"&lt;2")+SUMIFS(tbl_task8[S93],tbl_task8[[SubPLOs]:[SubPLOs]],"&gt;=1",tbl_task8[[SubPLOs]:[SubPLOs]],"&lt;2")+SUMIFS(tbl_task9[S93],tbl_task9[[SubPLOs]:[SubPLOs]],"&gt;=1",tbl_task9[[SubPLOs]:[SubPLOs]],"&lt;2")+SUMIFS(tbl_task10[S93],tbl_task10[[SubPLOs]:[SubPLOs]],"&gt;=1",tbl_task10[[SubPLOs]:[SubPLOs]],"&lt;2")</f>
        <v>0</v>
      </c>
      <c r="CU180" s="41">
        <f>SUMIFS(tbl_task1[S94],tbl_task1[[SubPLOs]:[SubPLOs]],"&gt;=1",tbl_task1[[SubPLOs]:[SubPLOs]],"&lt;2")+SUMIFS(tbl_task2[S94],tbl_task2[[SubPLOs]:[SubPLOs]],"&gt;=1",tbl_task2[[SubPLOs]:[SubPLOs]],"&lt;2")+SUMIFS(tbl_task3[S94],tbl_task3[[SubPLOs]:[SubPLOs]],"&gt;=1",tbl_task3[[SubPLOs]:[SubPLOs]],"&lt;2")+SUMIFS(tbl_task4[S94],tbl_task4[[SubPLOs]:[SubPLOs]],"&gt;=1",tbl_task4[[SubPLOs]:[SubPLOs]],"&lt;2")+SUMIFS(tbl_task5[S94],tbl_task5[[SubPLOs]:[SubPLOs]],"&gt;=1",tbl_task5[[SubPLOs]:[SubPLOs]],"&lt;2")+SUMIFS(tbl_task6[S94],tbl_task6[[SubPLOs]:[SubPLOs]],"&gt;=1",tbl_task6[[SubPLOs]:[SubPLOs]],"&lt;2")+SUMIFS(tbl_task7[S94],tbl_task7[[SubPLOs]:[SubPLOs]],"&gt;=1",tbl_task7[[SubPLOs]:[SubPLOs]],"&lt;2")+SUMIFS(tbl_task8[S94],tbl_task8[[SubPLOs]:[SubPLOs]],"&gt;=1",tbl_task8[[SubPLOs]:[SubPLOs]],"&lt;2")+SUMIFS(tbl_task9[S94],tbl_task9[[SubPLOs]:[SubPLOs]],"&gt;=1",tbl_task9[[SubPLOs]:[SubPLOs]],"&lt;2")+SUMIFS(tbl_task10[S94],tbl_task10[[SubPLOs]:[SubPLOs]],"&gt;=1",tbl_task10[[SubPLOs]:[SubPLOs]],"&lt;2")</f>
        <v>0</v>
      </c>
      <c r="CV180" s="41">
        <f>SUMIFS(tbl_task1[S95],tbl_task1[[SubPLOs]:[SubPLOs]],"&gt;=1",tbl_task1[[SubPLOs]:[SubPLOs]],"&lt;2")+SUMIFS(tbl_task2[S95],tbl_task2[[SubPLOs]:[SubPLOs]],"&gt;=1",tbl_task2[[SubPLOs]:[SubPLOs]],"&lt;2")+SUMIFS(tbl_task3[S95],tbl_task3[[SubPLOs]:[SubPLOs]],"&gt;=1",tbl_task3[[SubPLOs]:[SubPLOs]],"&lt;2")+SUMIFS(tbl_task4[S95],tbl_task4[[SubPLOs]:[SubPLOs]],"&gt;=1",tbl_task4[[SubPLOs]:[SubPLOs]],"&lt;2")+SUMIFS(tbl_task5[S95],tbl_task5[[SubPLOs]:[SubPLOs]],"&gt;=1",tbl_task5[[SubPLOs]:[SubPLOs]],"&lt;2")+SUMIFS(tbl_task6[S95],tbl_task6[[SubPLOs]:[SubPLOs]],"&gt;=1",tbl_task6[[SubPLOs]:[SubPLOs]],"&lt;2")+SUMIFS(tbl_task7[S95],tbl_task7[[SubPLOs]:[SubPLOs]],"&gt;=1",tbl_task7[[SubPLOs]:[SubPLOs]],"&lt;2")+SUMIFS(tbl_task8[S95],tbl_task8[[SubPLOs]:[SubPLOs]],"&gt;=1",tbl_task8[[SubPLOs]:[SubPLOs]],"&lt;2")+SUMIFS(tbl_task9[S95],tbl_task9[[SubPLOs]:[SubPLOs]],"&gt;=1",tbl_task9[[SubPLOs]:[SubPLOs]],"&lt;2")+SUMIFS(tbl_task10[S95],tbl_task10[[SubPLOs]:[SubPLOs]],"&gt;=1",tbl_task10[[SubPLOs]:[SubPLOs]],"&lt;2")</f>
        <v>0</v>
      </c>
      <c r="CW180" s="41">
        <f>SUMIFS(tbl_task1[S96],tbl_task1[[SubPLOs]:[SubPLOs]],"&gt;=1",tbl_task1[[SubPLOs]:[SubPLOs]],"&lt;2")+SUMIFS(tbl_task2[S96],tbl_task2[[SubPLOs]:[SubPLOs]],"&gt;=1",tbl_task2[[SubPLOs]:[SubPLOs]],"&lt;2")+SUMIFS(tbl_task3[S96],tbl_task3[[SubPLOs]:[SubPLOs]],"&gt;=1",tbl_task3[[SubPLOs]:[SubPLOs]],"&lt;2")+SUMIFS(tbl_task4[S96],tbl_task4[[SubPLOs]:[SubPLOs]],"&gt;=1",tbl_task4[[SubPLOs]:[SubPLOs]],"&lt;2")+SUMIFS(tbl_task5[S96],tbl_task5[[SubPLOs]:[SubPLOs]],"&gt;=1",tbl_task5[[SubPLOs]:[SubPLOs]],"&lt;2")+SUMIFS(tbl_task6[S96],tbl_task6[[SubPLOs]:[SubPLOs]],"&gt;=1",tbl_task6[[SubPLOs]:[SubPLOs]],"&lt;2")+SUMIFS(tbl_task7[S96],tbl_task7[[SubPLOs]:[SubPLOs]],"&gt;=1",tbl_task7[[SubPLOs]:[SubPLOs]],"&lt;2")+SUMIFS(tbl_task8[S96],tbl_task8[[SubPLOs]:[SubPLOs]],"&gt;=1",tbl_task8[[SubPLOs]:[SubPLOs]],"&lt;2")+SUMIFS(tbl_task9[S96],tbl_task9[[SubPLOs]:[SubPLOs]],"&gt;=1",tbl_task9[[SubPLOs]:[SubPLOs]],"&lt;2")+SUMIFS(tbl_task10[S96],tbl_task10[[SubPLOs]:[SubPLOs]],"&gt;=1",tbl_task10[[SubPLOs]:[SubPLOs]],"&lt;2")</f>
        <v>0</v>
      </c>
      <c r="CX180" s="41">
        <f>SUMIFS(tbl_task1[S97],tbl_task1[[SubPLOs]:[SubPLOs]],"&gt;=1",tbl_task1[[SubPLOs]:[SubPLOs]],"&lt;2")+SUMIFS(tbl_task2[S97],tbl_task2[[SubPLOs]:[SubPLOs]],"&gt;=1",tbl_task2[[SubPLOs]:[SubPLOs]],"&lt;2")+SUMIFS(tbl_task3[S97],tbl_task3[[SubPLOs]:[SubPLOs]],"&gt;=1",tbl_task3[[SubPLOs]:[SubPLOs]],"&lt;2")+SUMIFS(tbl_task4[S97],tbl_task4[[SubPLOs]:[SubPLOs]],"&gt;=1",tbl_task4[[SubPLOs]:[SubPLOs]],"&lt;2")+SUMIFS(tbl_task5[S97],tbl_task5[[SubPLOs]:[SubPLOs]],"&gt;=1",tbl_task5[[SubPLOs]:[SubPLOs]],"&lt;2")+SUMIFS(tbl_task6[S97],tbl_task6[[SubPLOs]:[SubPLOs]],"&gt;=1",tbl_task6[[SubPLOs]:[SubPLOs]],"&lt;2")+SUMIFS(tbl_task7[S97],tbl_task7[[SubPLOs]:[SubPLOs]],"&gt;=1",tbl_task7[[SubPLOs]:[SubPLOs]],"&lt;2")+SUMIFS(tbl_task8[S97],tbl_task8[[SubPLOs]:[SubPLOs]],"&gt;=1",tbl_task8[[SubPLOs]:[SubPLOs]],"&lt;2")+SUMIFS(tbl_task9[S97],tbl_task9[[SubPLOs]:[SubPLOs]],"&gt;=1",tbl_task9[[SubPLOs]:[SubPLOs]],"&lt;2")+SUMIFS(tbl_task10[S97],tbl_task10[[SubPLOs]:[SubPLOs]],"&gt;=1",tbl_task10[[SubPLOs]:[SubPLOs]],"&lt;2")</f>
        <v>0</v>
      </c>
      <c r="CY180" s="41">
        <f>SUMIFS(tbl_task1[S98],tbl_task1[[SubPLOs]:[SubPLOs]],"&gt;=1",tbl_task1[[SubPLOs]:[SubPLOs]],"&lt;2")+SUMIFS(tbl_task2[S98],tbl_task2[[SubPLOs]:[SubPLOs]],"&gt;=1",tbl_task2[[SubPLOs]:[SubPLOs]],"&lt;2")+SUMIFS(tbl_task3[S98],tbl_task3[[SubPLOs]:[SubPLOs]],"&gt;=1",tbl_task3[[SubPLOs]:[SubPLOs]],"&lt;2")+SUMIFS(tbl_task4[S98],tbl_task4[[SubPLOs]:[SubPLOs]],"&gt;=1",tbl_task4[[SubPLOs]:[SubPLOs]],"&lt;2")+SUMIFS(tbl_task5[S98],tbl_task5[[SubPLOs]:[SubPLOs]],"&gt;=1",tbl_task5[[SubPLOs]:[SubPLOs]],"&lt;2")+SUMIFS(tbl_task6[S98],tbl_task6[[SubPLOs]:[SubPLOs]],"&gt;=1",tbl_task6[[SubPLOs]:[SubPLOs]],"&lt;2")+SUMIFS(tbl_task7[S98],tbl_task7[[SubPLOs]:[SubPLOs]],"&gt;=1",tbl_task7[[SubPLOs]:[SubPLOs]],"&lt;2")+SUMIFS(tbl_task8[S98],tbl_task8[[SubPLOs]:[SubPLOs]],"&gt;=1",tbl_task8[[SubPLOs]:[SubPLOs]],"&lt;2")+SUMIFS(tbl_task9[S98],tbl_task9[[SubPLOs]:[SubPLOs]],"&gt;=1",tbl_task9[[SubPLOs]:[SubPLOs]],"&lt;2")+SUMIFS(tbl_task10[S98],tbl_task10[[SubPLOs]:[SubPLOs]],"&gt;=1",tbl_task10[[SubPLOs]:[SubPLOs]],"&lt;2")</f>
        <v>0</v>
      </c>
      <c r="CZ180" s="41">
        <f>SUMIFS(tbl_task1[S99],tbl_task1[[SubPLOs]:[SubPLOs]],"&gt;=1",tbl_task1[[SubPLOs]:[SubPLOs]],"&lt;2")+SUMIFS(tbl_task2[S99],tbl_task2[[SubPLOs]:[SubPLOs]],"&gt;=1",tbl_task2[[SubPLOs]:[SubPLOs]],"&lt;2")+SUMIFS(tbl_task3[S99],tbl_task3[[SubPLOs]:[SubPLOs]],"&gt;=1",tbl_task3[[SubPLOs]:[SubPLOs]],"&lt;2")+SUMIFS(tbl_task4[S99],tbl_task4[[SubPLOs]:[SubPLOs]],"&gt;=1",tbl_task4[[SubPLOs]:[SubPLOs]],"&lt;2")+SUMIFS(tbl_task5[S99],tbl_task5[[SubPLOs]:[SubPLOs]],"&gt;=1",tbl_task5[[SubPLOs]:[SubPLOs]],"&lt;2")+SUMIFS(tbl_task6[S99],tbl_task6[[SubPLOs]:[SubPLOs]],"&gt;=1",tbl_task6[[SubPLOs]:[SubPLOs]],"&lt;2")+SUMIFS(tbl_task7[S99],tbl_task7[[SubPLOs]:[SubPLOs]],"&gt;=1",tbl_task7[[SubPLOs]:[SubPLOs]],"&lt;2")+SUMIFS(tbl_task8[S99],tbl_task8[[SubPLOs]:[SubPLOs]],"&gt;=1",tbl_task8[[SubPLOs]:[SubPLOs]],"&lt;2")+SUMIFS(tbl_task9[S99],tbl_task9[[SubPLOs]:[SubPLOs]],"&gt;=1",tbl_task9[[SubPLOs]:[SubPLOs]],"&lt;2")+SUMIFS(tbl_task10[S99],tbl_task10[[SubPLOs]:[SubPLOs]],"&gt;=1",tbl_task10[[SubPLOs]:[SubPLOs]],"&lt;2")</f>
        <v>0</v>
      </c>
      <c r="DA180" s="41">
        <f>SUMIFS(tbl_task1[S100],tbl_task1[[SubPLOs]:[SubPLOs]],"&gt;=1",tbl_task1[[SubPLOs]:[SubPLOs]],"&lt;2")+SUMIFS(tbl_task2[S100],tbl_task2[[SubPLOs]:[SubPLOs]],"&gt;=1",tbl_task2[[SubPLOs]:[SubPLOs]],"&lt;2")+SUMIFS(tbl_task3[S100],tbl_task3[[SubPLOs]:[SubPLOs]],"&gt;=1",tbl_task3[[SubPLOs]:[SubPLOs]],"&lt;2")+SUMIFS(tbl_task4[S100],tbl_task4[[SubPLOs]:[SubPLOs]],"&gt;=1",tbl_task4[[SubPLOs]:[SubPLOs]],"&lt;2")+SUMIFS(tbl_task5[S100],tbl_task5[[SubPLOs]:[SubPLOs]],"&gt;=1",tbl_task5[[SubPLOs]:[SubPLOs]],"&lt;2")+SUMIFS(tbl_task6[S100],tbl_task6[[SubPLOs]:[SubPLOs]],"&gt;=1",tbl_task6[[SubPLOs]:[SubPLOs]],"&lt;2")+SUMIFS(tbl_task7[S100],tbl_task7[[SubPLOs]:[SubPLOs]],"&gt;=1",tbl_task7[[SubPLOs]:[SubPLOs]],"&lt;2")+SUMIFS(tbl_task8[S100],tbl_task8[[SubPLOs]:[SubPLOs]],"&gt;=1",tbl_task8[[SubPLOs]:[SubPLOs]],"&lt;2")+SUMIFS(tbl_task9[S100],tbl_task9[[SubPLOs]:[SubPLOs]],"&gt;=1",tbl_task9[[SubPLOs]:[SubPLOs]],"&lt;2")+SUMIFS(tbl_task10[S100],tbl_task10[[SubPLOs]:[SubPLOs]],"&gt;=1",tbl_task10[[SubPLOs]:[SubPLOs]],"&lt;2")</f>
        <v>0</v>
      </c>
      <c r="DB180" s="41">
        <f>SUMIFS(tbl_task1[S101],tbl_task1[[SubPLOs]:[SubPLOs]],"&gt;=1",tbl_task1[[SubPLOs]:[SubPLOs]],"&lt;2")+SUMIFS(tbl_task2[S101],tbl_task2[[SubPLOs]:[SubPLOs]],"&gt;=1",tbl_task2[[SubPLOs]:[SubPLOs]],"&lt;2")+SUMIFS(tbl_task3[S101],tbl_task3[[SubPLOs]:[SubPLOs]],"&gt;=1",tbl_task3[[SubPLOs]:[SubPLOs]],"&lt;2")+SUMIFS(tbl_task4[S101],tbl_task4[[SubPLOs]:[SubPLOs]],"&gt;=1",tbl_task4[[SubPLOs]:[SubPLOs]],"&lt;2")+SUMIFS(tbl_task5[S101],tbl_task5[[SubPLOs]:[SubPLOs]],"&gt;=1",tbl_task5[[SubPLOs]:[SubPLOs]],"&lt;2")+SUMIFS(tbl_task6[S101],tbl_task6[[SubPLOs]:[SubPLOs]],"&gt;=1",tbl_task6[[SubPLOs]:[SubPLOs]],"&lt;2")+SUMIFS(tbl_task7[S101],tbl_task7[[SubPLOs]:[SubPLOs]],"&gt;=1",tbl_task7[[SubPLOs]:[SubPLOs]],"&lt;2")+SUMIFS(tbl_task8[S101],tbl_task8[[SubPLOs]:[SubPLOs]],"&gt;=1",tbl_task8[[SubPLOs]:[SubPLOs]],"&lt;2")+SUMIFS(tbl_task9[S101],tbl_task9[[SubPLOs]:[SubPLOs]],"&gt;=1",tbl_task9[[SubPLOs]:[SubPLOs]],"&lt;2")+SUMIFS(tbl_task10[S101],tbl_task10[[SubPLOs]:[SubPLOs]],"&gt;=1",tbl_task10[[SubPLOs]:[SubPLOs]],"&lt;2")</f>
        <v>0</v>
      </c>
      <c r="DC180" s="41">
        <f>SUMIFS(tbl_task1[S102],tbl_task1[[SubPLOs]:[SubPLOs]],"&gt;=1",tbl_task1[[SubPLOs]:[SubPLOs]],"&lt;2")+SUMIFS(tbl_task2[S102],tbl_task2[[SubPLOs]:[SubPLOs]],"&gt;=1",tbl_task2[[SubPLOs]:[SubPLOs]],"&lt;2")+SUMIFS(tbl_task3[S102],tbl_task3[[SubPLOs]:[SubPLOs]],"&gt;=1",tbl_task3[[SubPLOs]:[SubPLOs]],"&lt;2")+SUMIFS(tbl_task4[S102],tbl_task4[[SubPLOs]:[SubPLOs]],"&gt;=1",tbl_task4[[SubPLOs]:[SubPLOs]],"&lt;2")+SUMIFS(tbl_task5[S102],tbl_task5[[SubPLOs]:[SubPLOs]],"&gt;=1",tbl_task5[[SubPLOs]:[SubPLOs]],"&lt;2")+SUMIFS(tbl_task6[S102],tbl_task6[[SubPLOs]:[SubPLOs]],"&gt;=1",tbl_task6[[SubPLOs]:[SubPLOs]],"&lt;2")+SUMIFS(tbl_task7[S102],tbl_task7[[SubPLOs]:[SubPLOs]],"&gt;=1",tbl_task7[[SubPLOs]:[SubPLOs]],"&lt;2")+SUMIFS(tbl_task8[S102],tbl_task8[[SubPLOs]:[SubPLOs]],"&gt;=1",tbl_task8[[SubPLOs]:[SubPLOs]],"&lt;2")+SUMIFS(tbl_task9[S102],tbl_task9[[SubPLOs]:[SubPLOs]],"&gt;=1",tbl_task9[[SubPLOs]:[SubPLOs]],"&lt;2")+SUMIFS(tbl_task10[S102],tbl_task10[[SubPLOs]:[SubPLOs]],"&gt;=1",tbl_task10[[SubPLOs]:[SubPLOs]],"&lt;2")</f>
        <v>0</v>
      </c>
      <c r="DD180" s="41">
        <f>SUMIFS(tbl_task1[S103],tbl_task1[[SubPLOs]:[SubPLOs]],"&gt;=1",tbl_task1[[SubPLOs]:[SubPLOs]],"&lt;2")+SUMIFS(tbl_task2[S103],tbl_task2[[SubPLOs]:[SubPLOs]],"&gt;=1",tbl_task2[[SubPLOs]:[SubPLOs]],"&lt;2")+SUMIFS(tbl_task3[S103],tbl_task3[[SubPLOs]:[SubPLOs]],"&gt;=1",tbl_task3[[SubPLOs]:[SubPLOs]],"&lt;2")+SUMIFS(tbl_task4[S103],tbl_task4[[SubPLOs]:[SubPLOs]],"&gt;=1",tbl_task4[[SubPLOs]:[SubPLOs]],"&lt;2")+SUMIFS(tbl_task5[S103],tbl_task5[[SubPLOs]:[SubPLOs]],"&gt;=1",tbl_task5[[SubPLOs]:[SubPLOs]],"&lt;2")+SUMIFS(tbl_task6[S103],tbl_task6[[SubPLOs]:[SubPLOs]],"&gt;=1",tbl_task6[[SubPLOs]:[SubPLOs]],"&lt;2")+SUMIFS(tbl_task7[S103],tbl_task7[[SubPLOs]:[SubPLOs]],"&gt;=1",tbl_task7[[SubPLOs]:[SubPLOs]],"&lt;2")+SUMIFS(tbl_task8[S103],tbl_task8[[SubPLOs]:[SubPLOs]],"&gt;=1",tbl_task8[[SubPLOs]:[SubPLOs]],"&lt;2")+SUMIFS(tbl_task9[S103],tbl_task9[[SubPLOs]:[SubPLOs]],"&gt;=1",tbl_task9[[SubPLOs]:[SubPLOs]],"&lt;2")+SUMIFS(tbl_task10[S103],tbl_task10[[SubPLOs]:[SubPLOs]],"&gt;=1",tbl_task10[[SubPLOs]:[SubPLOs]],"&lt;2")</f>
        <v>0</v>
      </c>
      <c r="DE180" s="41">
        <f>SUMIFS(tbl_task1[S104],tbl_task1[[SubPLOs]:[SubPLOs]],"&gt;=1",tbl_task1[[SubPLOs]:[SubPLOs]],"&lt;2")+SUMIFS(tbl_task2[S104],tbl_task2[[SubPLOs]:[SubPLOs]],"&gt;=1",tbl_task2[[SubPLOs]:[SubPLOs]],"&lt;2")+SUMIFS(tbl_task3[S104],tbl_task3[[SubPLOs]:[SubPLOs]],"&gt;=1",tbl_task3[[SubPLOs]:[SubPLOs]],"&lt;2")+SUMIFS(tbl_task4[S104],tbl_task4[[SubPLOs]:[SubPLOs]],"&gt;=1",tbl_task4[[SubPLOs]:[SubPLOs]],"&lt;2")+SUMIFS(tbl_task5[S104],tbl_task5[[SubPLOs]:[SubPLOs]],"&gt;=1",tbl_task5[[SubPLOs]:[SubPLOs]],"&lt;2")+SUMIFS(tbl_task6[S104],tbl_task6[[SubPLOs]:[SubPLOs]],"&gt;=1",tbl_task6[[SubPLOs]:[SubPLOs]],"&lt;2")+SUMIFS(tbl_task7[S104],tbl_task7[[SubPLOs]:[SubPLOs]],"&gt;=1",tbl_task7[[SubPLOs]:[SubPLOs]],"&lt;2")+SUMIFS(tbl_task8[S104],tbl_task8[[SubPLOs]:[SubPLOs]],"&gt;=1",tbl_task8[[SubPLOs]:[SubPLOs]],"&lt;2")+SUMIFS(tbl_task9[S104],tbl_task9[[SubPLOs]:[SubPLOs]],"&gt;=1",tbl_task9[[SubPLOs]:[SubPLOs]],"&lt;2")+SUMIFS(tbl_task10[S104],tbl_task10[[SubPLOs]:[SubPLOs]],"&gt;=1",tbl_task10[[SubPLOs]:[SubPLOs]],"&lt;2")</f>
        <v>0</v>
      </c>
      <c r="DF180" s="41">
        <f>SUMIFS(tbl_task1[S105],tbl_task1[[SubPLOs]:[SubPLOs]],"&gt;=1",tbl_task1[[SubPLOs]:[SubPLOs]],"&lt;2")+SUMIFS(tbl_task2[S105],tbl_task2[[SubPLOs]:[SubPLOs]],"&gt;=1",tbl_task2[[SubPLOs]:[SubPLOs]],"&lt;2")+SUMIFS(tbl_task3[S105],tbl_task3[[SubPLOs]:[SubPLOs]],"&gt;=1",tbl_task3[[SubPLOs]:[SubPLOs]],"&lt;2")+SUMIFS(tbl_task4[S105],tbl_task4[[SubPLOs]:[SubPLOs]],"&gt;=1",tbl_task4[[SubPLOs]:[SubPLOs]],"&lt;2")+SUMIFS(tbl_task5[S105],tbl_task5[[SubPLOs]:[SubPLOs]],"&gt;=1",tbl_task5[[SubPLOs]:[SubPLOs]],"&lt;2")+SUMIFS(tbl_task6[S105],tbl_task6[[SubPLOs]:[SubPLOs]],"&gt;=1",tbl_task6[[SubPLOs]:[SubPLOs]],"&lt;2")+SUMIFS(tbl_task7[S105],tbl_task7[[SubPLOs]:[SubPLOs]],"&gt;=1",tbl_task7[[SubPLOs]:[SubPLOs]],"&lt;2")+SUMIFS(tbl_task8[S105],tbl_task8[[SubPLOs]:[SubPLOs]],"&gt;=1",tbl_task8[[SubPLOs]:[SubPLOs]],"&lt;2")+SUMIFS(tbl_task9[S105],tbl_task9[[SubPLOs]:[SubPLOs]],"&gt;=1",tbl_task9[[SubPLOs]:[SubPLOs]],"&lt;2")+SUMIFS(tbl_task10[S105],tbl_task10[[SubPLOs]:[SubPLOs]],"&gt;=1",tbl_task10[[SubPLOs]:[SubPLOs]],"&lt;2")</f>
        <v>0</v>
      </c>
      <c r="DG180" s="41">
        <f>SUMIFS(tbl_task1[S106],tbl_task1[[SubPLOs]:[SubPLOs]],"&gt;=1",tbl_task1[[SubPLOs]:[SubPLOs]],"&lt;2")+SUMIFS(tbl_task2[S106],tbl_task2[[SubPLOs]:[SubPLOs]],"&gt;=1",tbl_task2[[SubPLOs]:[SubPLOs]],"&lt;2")+SUMIFS(tbl_task3[S106],tbl_task3[[SubPLOs]:[SubPLOs]],"&gt;=1",tbl_task3[[SubPLOs]:[SubPLOs]],"&lt;2")+SUMIFS(tbl_task4[S106],tbl_task4[[SubPLOs]:[SubPLOs]],"&gt;=1",tbl_task4[[SubPLOs]:[SubPLOs]],"&lt;2")+SUMIFS(tbl_task5[S106],tbl_task5[[SubPLOs]:[SubPLOs]],"&gt;=1",tbl_task5[[SubPLOs]:[SubPLOs]],"&lt;2")+SUMIFS(tbl_task6[S106],tbl_task6[[SubPLOs]:[SubPLOs]],"&gt;=1",tbl_task6[[SubPLOs]:[SubPLOs]],"&lt;2")+SUMIFS(tbl_task7[S106],tbl_task7[[SubPLOs]:[SubPLOs]],"&gt;=1",tbl_task7[[SubPLOs]:[SubPLOs]],"&lt;2")+SUMIFS(tbl_task8[S106],tbl_task8[[SubPLOs]:[SubPLOs]],"&gt;=1",tbl_task8[[SubPLOs]:[SubPLOs]],"&lt;2")+SUMIFS(tbl_task9[S106],tbl_task9[[SubPLOs]:[SubPLOs]],"&gt;=1",tbl_task9[[SubPLOs]:[SubPLOs]],"&lt;2")+SUMIFS(tbl_task10[S106],tbl_task10[[SubPLOs]:[SubPLOs]],"&gt;=1",tbl_task10[[SubPLOs]:[SubPLOs]],"&lt;2")</f>
        <v>0</v>
      </c>
      <c r="DH180" s="41">
        <f>SUMIFS(tbl_task1[S107],tbl_task1[[SubPLOs]:[SubPLOs]],"&gt;=1",tbl_task1[[SubPLOs]:[SubPLOs]],"&lt;2")+SUMIFS(tbl_task2[S107],tbl_task2[[SubPLOs]:[SubPLOs]],"&gt;=1",tbl_task2[[SubPLOs]:[SubPLOs]],"&lt;2")+SUMIFS(tbl_task3[S107],tbl_task3[[SubPLOs]:[SubPLOs]],"&gt;=1",tbl_task3[[SubPLOs]:[SubPLOs]],"&lt;2")+SUMIFS(tbl_task4[S107],tbl_task4[[SubPLOs]:[SubPLOs]],"&gt;=1",tbl_task4[[SubPLOs]:[SubPLOs]],"&lt;2")+SUMIFS(tbl_task5[S107],tbl_task5[[SubPLOs]:[SubPLOs]],"&gt;=1",tbl_task5[[SubPLOs]:[SubPLOs]],"&lt;2")+SUMIFS(tbl_task6[S107],tbl_task6[[SubPLOs]:[SubPLOs]],"&gt;=1",tbl_task6[[SubPLOs]:[SubPLOs]],"&lt;2")+SUMIFS(tbl_task7[S107],tbl_task7[[SubPLOs]:[SubPLOs]],"&gt;=1",tbl_task7[[SubPLOs]:[SubPLOs]],"&lt;2")+SUMIFS(tbl_task8[S107],tbl_task8[[SubPLOs]:[SubPLOs]],"&gt;=1",tbl_task8[[SubPLOs]:[SubPLOs]],"&lt;2")+SUMIFS(tbl_task9[S107],tbl_task9[[SubPLOs]:[SubPLOs]],"&gt;=1",tbl_task9[[SubPLOs]:[SubPLOs]],"&lt;2")+SUMIFS(tbl_task10[S107],tbl_task10[[SubPLOs]:[SubPLOs]],"&gt;=1",tbl_task10[[SubPLOs]:[SubPLOs]],"&lt;2")</f>
        <v>0</v>
      </c>
      <c r="DI180" s="41">
        <f>SUMIFS(tbl_task1[S108],tbl_task1[[SubPLOs]:[SubPLOs]],"&gt;=1",tbl_task1[[SubPLOs]:[SubPLOs]],"&lt;2")+SUMIFS(tbl_task2[S108],tbl_task2[[SubPLOs]:[SubPLOs]],"&gt;=1",tbl_task2[[SubPLOs]:[SubPLOs]],"&lt;2")+SUMIFS(tbl_task3[S108],tbl_task3[[SubPLOs]:[SubPLOs]],"&gt;=1",tbl_task3[[SubPLOs]:[SubPLOs]],"&lt;2")+SUMIFS(tbl_task4[S108],tbl_task4[[SubPLOs]:[SubPLOs]],"&gt;=1",tbl_task4[[SubPLOs]:[SubPLOs]],"&lt;2")+SUMIFS(tbl_task5[S108],tbl_task5[[SubPLOs]:[SubPLOs]],"&gt;=1",tbl_task5[[SubPLOs]:[SubPLOs]],"&lt;2")+SUMIFS(tbl_task6[S108],tbl_task6[[SubPLOs]:[SubPLOs]],"&gt;=1",tbl_task6[[SubPLOs]:[SubPLOs]],"&lt;2")+SUMIFS(tbl_task7[S108],tbl_task7[[SubPLOs]:[SubPLOs]],"&gt;=1",tbl_task7[[SubPLOs]:[SubPLOs]],"&lt;2")+SUMIFS(tbl_task8[S108],tbl_task8[[SubPLOs]:[SubPLOs]],"&gt;=1",tbl_task8[[SubPLOs]:[SubPLOs]],"&lt;2")+SUMIFS(tbl_task9[S108],tbl_task9[[SubPLOs]:[SubPLOs]],"&gt;=1",tbl_task9[[SubPLOs]:[SubPLOs]],"&lt;2")+SUMIFS(tbl_task10[S108],tbl_task10[[SubPLOs]:[SubPLOs]],"&gt;=1",tbl_task10[[SubPLOs]:[SubPLOs]],"&lt;2")</f>
        <v>0</v>
      </c>
      <c r="DJ180" s="41">
        <f>SUMIFS(tbl_task1[S109],tbl_task1[[SubPLOs]:[SubPLOs]],"&gt;=1",tbl_task1[[SubPLOs]:[SubPLOs]],"&lt;2")+SUMIFS(tbl_task2[S109],tbl_task2[[SubPLOs]:[SubPLOs]],"&gt;=1",tbl_task2[[SubPLOs]:[SubPLOs]],"&lt;2")+SUMIFS(tbl_task3[S109],tbl_task3[[SubPLOs]:[SubPLOs]],"&gt;=1",tbl_task3[[SubPLOs]:[SubPLOs]],"&lt;2")+SUMIFS(tbl_task4[S109],tbl_task4[[SubPLOs]:[SubPLOs]],"&gt;=1",tbl_task4[[SubPLOs]:[SubPLOs]],"&lt;2")+SUMIFS(tbl_task5[S109],tbl_task5[[SubPLOs]:[SubPLOs]],"&gt;=1",tbl_task5[[SubPLOs]:[SubPLOs]],"&lt;2")+SUMIFS(tbl_task6[S109],tbl_task6[[SubPLOs]:[SubPLOs]],"&gt;=1",tbl_task6[[SubPLOs]:[SubPLOs]],"&lt;2")+SUMIFS(tbl_task7[S109],tbl_task7[[SubPLOs]:[SubPLOs]],"&gt;=1",tbl_task7[[SubPLOs]:[SubPLOs]],"&lt;2")+SUMIFS(tbl_task8[S109],tbl_task8[[SubPLOs]:[SubPLOs]],"&gt;=1",tbl_task8[[SubPLOs]:[SubPLOs]],"&lt;2")+SUMIFS(tbl_task9[S109],tbl_task9[[SubPLOs]:[SubPLOs]],"&gt;=1",tbl_task9[[SubPLOs]:[SubPLOs]],"&lt;2")+SUMIFS(tbl_task10[S109],tbl_task10[[SubPLOs]:[SubPLOs]],"&gt;=1",tbl_task10[[SubPLOs]:[SubPLOs]],"&lt;2")</f>
        <v>0</v>
      </c>
      <c r="DK180" s="41">
        <f>SUMIFS(tbl_task1[S110],tbl_task1[[SubPLOs]:[SubPLOs]],"&gt;=1",tbl_task1[[SubPLOs]:[SubPLOs]],"&lt;2")+SUMIFS(tbl_task2[S110],tbl_task2[[SubPLOs]:[SubPLOs]],"&gt;=1",tbl_task2[[SubPLOs]:[SubPLOs]],"&lt;2")+SUMIFS(tbl_task3[S110],tbl_task3[[SubPLOs]:[SubPLOs]],"&gt;=1",tbl_task3[[SubPLOs]:[SubPLOs]],"&lt;2")+SUMIFS(tbl_task4[S110],tbl_task4[[SubPLOs]:[SubPLOs]],"&gt;=1",tbl_task4[[SubPLOs]:[SubPLOs]],"&lt;2")+SUMIFS(tbl_task5[S110],tbl_task5[[SubPLOs]:[SubPLOs]],"&gt;=1",tbl_task5[[SubPLOs]:[SubPLOs]],"&lt;2")+SUMIFS(tbl_task6[S110],tbl_task6[[SubPLOs]:[SubPLOs]],"&gt;=1",tbl_task6[[SubPLOs]:[SubPLOs]],"&lt;2")+SUMIFS(tbl_task7[S110],tbl_task7[[SubPLOs]:[SubPLOs]],"&gt;=1",tbl_task7[[SubPLOs]:[SubPLOs]],"&lt;2")+SUMIFS(tbl_task8[S110],tbl_task8[[SubPLOs]:[SubPLOs]],"&gt;=1",tbl_task8[[SubPLOs]:[SubPLOs]],"&lt;2")+SUMIFS(tbl_task9[S110],tbl_task9[[SubPLOs]:[SubPLOs]],"&gt;=1",tbl_task9[[SubPLOs]:[SubPLOs]],"&lt;2")+SUMIFS(tbl_task10[S110],tbl_task10[[SubPLOs]:[SubPLOs]],"&gt;=1",tbl_task10[[SubPLOs]:[SubPLOs]],"&lt;2")</f>
        <v>0</v>
      </c>
      <c r="DL180" s="41">
        <f>SUMIFS(tbl_task1[S111],tbl_task1[[SubPLOs]:[SubPLOs]],"&gt;=1",tbl_task1[[SubPLOs]:[SubPLOs]],"&lt;2")+SUMIFS(tbl_task2[S111],tbl_task2[[SubPLOs]:[SubPLOs]],"&gt;=1",tbl_task2[[SubPLOs]:[SubPLOs]],"&lt;2")+SUMIFS(tbl_task3[S111],tbl_task3[[SubPLOs]:[SubPLOs]],"&gt;=1",tbl_task3[[SubPLOs]:[SubPLOs]],"&lt;2")+SUMIFS(tbl_task4[S111],tbl_task4[[SubPLOs]:[SubPLOs]],"&gt;=1",tbl_task4[[SubPLOs]:[SubPLOs]],"&lt;2")+SUMIFS(tbl_task5[S111],tbl_task5[[SubPLOs]:[SubPLOs]],"&gt;=1",tbl_task5[[SubPLOs]:[SubPLOs]],"&lt;2")+SUMIFS(tbl_task6[S111],tbl_task6[[SubPLOs]:[SubPLOs]],"&gt;=1",tbl_task6[[SubPLOs]:[SubPLOs]],"&lt;2")+SUMIFS(tbl_task7[S111],tbl_task7[[SubPLOs]:[SubPLOs]],"&gt;=1",tbl_task7[[SubPLOs]:[SubPLOs]],"&lt;2")+SUMIFS(tbl_task8[S111],tbl_task8[[SubPLOs]:[SubPLOs]],"&gt;=1",tbl_task8[[SubPLOs]:[SubPLOs]],"&lt;2")+SUMIFS(tbl_task9[S111],tbl_task9[[SubPLOs]:[SubPLOs]],"&gt;=1",tbl_task9[[SubPLOs]:[SubPLOs]],"&lt;2")+SUMIFS(tbl_task10[S111],tbl_task10[[SubPLOs]:[SubPLOs]],"&gt;=1",tbl_task10[[SubPLOs]:[SubPLOs]],"&lt;2")</f>
        <v>0</v>
      </c>
      <c r="DM180" s="41">
        <f>SUMIFS(tbl_task1[S112],tbl_task1[[SubPLOs]:[SubPLOs]],"&gt;=1",tbl_task1[[SubPLOs]:[SubPLOs]],"&lt;2")+SUMIFS(tbl_task2[S112],tbl_task2[[SubPLOs]:[SubPLOs]],"&gt;=1",tbl_task2[[SubPLOs]:[SubPLOs]],"&lt;2")+SUMIFS(tbl_task3[S112],tbl_task3[[SubPLOs]:[SubPLOs]],"&gt;=1",tbl_task3[[SubPLOs]:[SubPLOs]],"&lt;2")+SUMIFS(tbl_task4[S112],tbl_task4[[SubPLOs]:[SubPLOs]],"&gt;=1",tbl_task4[[SubPLOs]:[SubPLOs]],"&lt;2")+SUMIFS(tbl_task5[S112],tbl_task5[[SubPLOs]:[SubPLOs]],"&gt;=1",tbl_task5[[SubPLOs]:[SubPLOs]],"&lt;2")+SUMIFS(tbl_task6[S112],tbl_task6[[SubPLOs]:[SubPLOs]],"&gt;=1",tbl_task6[[SubPLOs]:[SubPLOs]],"&lt;2")+SUMIFS(tbl_task7[S112],tbl_task7[[SubPLOs]:[SubPLOs]],"&gt;=1",tbl_task7[[SubPLOs]:[SubPLOs]],"&lt;2")+SUMIFS(tbl_task8[S112],tbl_task8[[SubPLOs]:[SubPLOs]],"&gt;=1",tbl_task8[[SubPLOs]:[SubPLOs]],"&lt;2")+SUMIFS(tbl_task9[S112],tbl_task9[[SubPLOs]:[SubPLOs]],"&gt;=1",tbl_task9[[SubPLOs]:[SubPLOs]],"&lt;2")+SUMIFS(tbl_task10[S112],tbl_task10[[SubPLOs]:[SubPLOs]],"&gt;=1",tbl_task10[[SubPLOs]:[SubPLOs]],"&lt;2")</f>
        <v>0</v>
      </c>
      <c r="DN180" s="41">
        <f>SUMIFS(tbl_task1[S113],tbl_task1[[SubPLOs]:[SubPLOs]],"&gt;=1",tbl_task1[[SubPLOs]:[SubPLOs]],"&lt;2")+SUMIFS(tbl_task2[S113],tbl_task2[[SubPLOs]:[SubPLOs]],"&gt;=1",tbl_task2[[SubPLOs]:[SubPLOs]],"&lt;2")+SUMIFS(tbl_task3[S113],tbl_task3[[SubPLOs]:[SubPLOs]],"&gt;=1",tbl_task3[[SubPLOs]:[SubPLOs]],"&lt;2")+SUMIFS(tbl_task4[S113],tbl_task4[[SubPLOs]:[SubPLOs]],"&gt;=1",tbl_task4[[SubPLOs]:[SubPLOs]],"&lt;2")+SUMIFS(tbl_task5[S113],tbl_task5[[SubPLOs]:[SubPLOs]],"&gt;=1",tbl_task5[[SubPLOs]:[SubPLOs]],"&lt;2")+SUMIFS(tbl_task6[S113],tbl_task6[[SubPLOs]:[SubPLOs]],"&gt;=1",tbl_task6[[SubPLOs]:[SubPLOs]],"&lt;2")+SUMIFS(tbl_task7[S113],tbl_task7[[SubPLOs]:[SubPLOs]],"&gt;=1",tbl_task7[[SubPLOs]:[SubPLOs]],"&lt;2")+SUMIFS(tbl_task8[S113],tbl_task8[[SubPLOs]:[SubPLOs]],"&gt;=1",tbl_task8[[SubPLOs]:[SubPLOs]],"&lt;2")+SUMIFS(tbl_task9[S113],tbl_task9[[SubPLOs]:[SubPLOs]],"&gt;=1",tbl_task9[[SubPLOs]:[SubPLOs]],"&lt;2")+SUMIFS(tbl_task10[S113],tbl_task10[[SubPLOs]:[SubPLOs]],"&gt;=1",tbl_task10[[SubPLOs]:[SubPLOs]],"&lt;2")</f>
        <v>0</v>
      </c>
      <c r="DO180" s="41">
        <f>SUMIFS(tbl_task1[S114],tbl_task1[[SubPLOs]:[SubPLOs]],"&gt;=1",tbl_task1[[SubPLOs]:[SubPLOs]],"&lt;2")+SUMIFS(tbl_task2[S114],tbl_task2[[SubPLOs]:[SubPLOs]],"&gt;=1",tbl_task2[[SubPLOs]:[SubPLOs]],"&lt;2")+SUMIFS(tbl_task3[S114],tbl_task3[[SubPLOs]:[SubPLOs]],"&gt;=1",tbl_task3[[SubPLOs]:[SubPLOs]],"&lt;2")+SUMIFS(tbl_task4[S114],tbl_task4[[SubPLOs]:[SubPLOs]],"&gt;=1",tbl_task4[[SubPLOs]:[SubPLOs]],"&lt;2")+SUMIFS(tbl_task5[S114],tbl_task5[[SubPLOs]:[SubPLOs]],"&gt;=1",tbl_task5[[SubPLOs]:[SubPLOs]],"&lt;2")+SUMIFS(tbl_task6[S114],tbl_task6[[SubPLOs]:[SubPLOs]],"&gt;=1",tbl_task6[[SubPLOs]:[SubPLOs]],"&lt;2")+SUMIFS(tbl_task7[S114],tbl_task7[[SubPLOs]:[SubPLOs]],"&gt;=1",tbl_task7[[SubPLOs]:[SubPLOs]],"&lt;2")+SUMIFS(tbl_task8[S114],tbl_task8[[SubPLOs]:[SubPLOs]],"&gt;=1",tbl_task8[[SubPLOs]:[SubPLOs]],"&lt;2")+SUMIFS(tbl_task9[S114],tbl_task9[[SubPLOs]:[SubPLOs]],"&gt;=1",tbl_task9[[SubPLOs]:[SubPLOs]],"&lt;2")+SUMIFS(tbl_task10[S114],tbl_task10[[SubPLOs]:[SubPLOs]],"&gt;=1",tbl_task10[[SubPLOs]:[SubPLOs]],"&lt;2")</f>
        <v>0</v>
      </c>
      <c r="DP180" s="41">
        <f>SUMIFS(tbl_task1[S115],tbl_task1[[SubPLOs]:[SubPLOs]],"&gt;=1",tbl_task1[[SubPLOs]:[SubPLOs]],"&lt;2")+SUMIFS(tbl_task2[S115],tbl_task2[[SubPLOs]:[SubPLOs]],"&gt;=1",tbl_task2[[SubPLOs]:[SubPLOs]],"&lt;2")+SUMIFS(tbl_task3[S115],tbl_task3[[SubPLOs]:[SubPLOs]],"&gt;=1",tbl_task3[[SubPLOs]:[SubPLOs]],"&lt;2")+SUMIFS(tbl_task4[S115],tbl_task4[[SubPLOs]:[SubPLOs]],"&gt;=1",tbl_task4[[SubPLOs]:[SubPLOs]],"&lt;2")+SUMIFS(tbl_task5[S115],tbl_task5[[SubPLOs]:[SubPLOs]],"&gt;=1",tbl_task5[[SubPLOs]:[SubPLOs]],"&lt;2")+SUMIFS(tbl_task6[S115],tbl_task6[[SubPLOs]:[SubPLOs]],"&gt;=1",tbl_task6[[SubPLOs]:[SubPLOs]],"&lt;2")+SUMIFS(tbl_task7[S115],tbl_task7[[SubPLOs]:[SubPLOs]],"&gt;=1",tbl_task7[[SubPLOs]:[SubPLOs]],"&lt;2")+SUMIFS(tbl_task8[S115],tbl_task8[[SubPLOs]:[SubPLOs]],"&gt;=1",tbl_task8[[SubPLOs]:[SubPLOs]],"&lt;2")+SUMIFS(tbl_task9[S115],tbl_task9[[SubPLOs]:[SubPLOs]],"&gt;=1",tbl_task9[[SubPLOs]:[SubPLOs]],"&lt;2")+SUMIFS(tbl_task10[S115],tbl_task10[[SubPLOs]:[SubPLOs]],"&gt;=1",tbl_task10[[SubPLOs]:[SubPLOs]],"&lt;2")</f>
        <v>0</v>
      </c>
      <c r="DQ180" s="41">
        <f>SUMIFS(tbl_task1[S116],tbl_task1[[SubPLOs]:[SubPLOs]],"&gt;=1",tbl_task1[[SubPLOs]:[SubPLOs]],"&lt;2")+SUMIFS(tbl_task2[S116],tbl_task2[[SubPLOs]:[SubPLOs]],"&gt;=1",tbl_task2[[SubPLOs]:[SubPLOs]],"&lt;2")+SUMIFS(tbl_task3[S116],tbl_task3[[SubPLOs]:[SubPLOs]],"&gt;=1",tbl_task3[[SubPLOs]:[SubPLOs]],"&lt;2")+SUMIFS(tbl_task4[S116],tbl_task4[[SubPLOs]:[SubPLOs]],"&gt;=1",tbl_task4[[SubPLOs]:[SubPLOs]],"&lt;2")+SUMIFS(tbl_task5[S116],tbl_task5[[SubPLOs]:[SubPLOs]],"&gt;=1",tbl_task5[[SubPLOs]:[SubPLOs]],"&lt;2")+SUMIFS(tbl_task6[S116],tbl_task6[[SubPLOs]:[SubPLOs]],"&gt;=1",tbl_task6[[SubPLOs]:[SubPLOs]],"&lt;2")+SUMIFS(tbl_task7[S116],tbl_task7[[SubPLOs]:[SubPLOs]],"&gt;=1",tbl_task7[[SubPLOs]:[SubPLOs]],"&lt;2")+SUMIFS(tbl_task8[S116],tbl_task8[[SubPLOs]:[SubPLOs]],"&gt;=1",tbl_task8[[SubPLOs]:[SubPLOs]],"&lt;2")+SUMIFS(tbl_task9[S116],tbl_task9[[SubPLOs]:[SubPLOs]],"&gt;=1",tbl_task9[[SubPLOs]:[SubPLOs]],"&lt;2")+SUMIFS(tbl_task10[S116],tbl_task10[[SubPLOs]:[SubPLOs]],"&gt;=1",tbl_task10[[SubPLOs]:[SubPLOs]],"&lt;2")</f>
        <v>0</v>
      </c>
      <c r="DR180" s="41">
        <f>SUMIFS(tbl_task1[S117],tbl_task1[[SubPLOs]:[SubPLOs]],"&gt;=1",tbl_task1[[SubPLOs]:[SubPLOs]],"&lt;2")+SUMIFS(tbl_task2[S117],tbl_task2[[SubPLOs]:[SubPLOs]],"&gt;=1",tbl_task2[[SubPLOs]:[SubPLOs]],"&lt;2")+SUMIFS(tbl_task3[S117],tbl_task3[[SubPLOs]:[SubPLOs]],"&gt;=1",tbl_task3[[SubPLOs]:[SubPLOs]],"&lt;2")+SUMIFS(tbl_task4[S117],tbl_task4[[SubPLOs]:[SubPLOs]],"&gt;=1",tbl_task4[[SubPLOs]:[SubPLOs]],"&lt;2")+SUMIFS(tbl_task5[S117],tbl_task5[[SubPLOs]:[SubPLOs]],"&gt;=1",tbl_task5[[SubPLOs]:[SubPLOs]],"&lt;2")+SUMIFS(tbl_task6[S117],tbl_task6[[SubPLOs]:[SubPLOs]],"&gt;=1",tbl_task6[[SubPLOs]:[SubPLOs]],"&lt;2")+SUMIFS(tbl_task7[S117],tbl_task7[[SubPLOs]:[SubPLOs]],"&gt;=1",tbl_task7[[SubPLOs]:[SubPLOs]],"&lt;2")+SUMIFS(tbl_task8[S117],tbl_task8[[SubPLOs]:[SubPLOs]],"&gt;=1",tbl_task8[[SubPLOs]:[SubPLOs]],"&lt;2")+SUMIFS(tbl_task9[S117],tbl_task9[[SubPLOs]:[SubPLOs]],"&gt;=1",tbl_task9[[SubPLOs]:[SubPLOs]],"&lt;2")+SUMIFS(tbl_task10[S117],tbl_task10[[SubPLOs]:[SubPLOs]],"&gt;=1",tbl_task10[[SubPLOs]:[SubPLOs]],"&lt;2")</f>
        <v>0</v>
      </c>
      <c r="DS180" s="41">
        <f>SUMIFS(tbl_task1[S118],tbl_task1[[SubPLOs]:[SubPLOs]],"&gt;=1",tbl_task1[[SubPLOs]:[SubPLOs]],"&lt;2")+SUMIFS(tbl_task2[S118],tbl_task2[[SubPLOs]:[SubPLOs]],"&gt;=1",tbl_task2[[SubPLOs]:[SubPLOs]],"&lt;2")+SUMIFS(tbl_task3[S118],tbl_task3[[SubPLOs]:[SubPLOs]],"&gt;=1",tbl_task3[[SubPLOs]:[SubPLOs]],"&lt;2")+SUMIFS(tbl_task4[S118],tbl_task4[[SubPLOs]:[SubPLOs]],"&gt;=1",tbl_task4[[SubPLOs]:[SubPLOs]],"&lt;2")+SUMIFS(tbl_task5[S118],tbl_task5[[SubPLOs]:[SubPLOs]],"&gt;=1",tbl_task5[[SubPLOs]:[SubPLOs]],"&lt;2")+SUMIFS(tbl_task6[S118],tbl_task6[[SubPLOs]:[SubPLOs]],"&gt;=1",tbl_task6[[SubPLOs]:[SubPLOs]],"&lt;2")+SUMIFS(tbl_task7[S118],tbl_task7[[SubPLOs]:[SubPLOs]],"&gt;=1",tbl_task7[[SubPLOs]:[SubPLOs]],"&lt;2")+SUMIFS(tbl_task8[S118],tbl_task8[[SubPLOs]:[SubPLOs]],"&gt;=1",tbl_task8[[SubPLOs]:[SubPLOs]],"&lt;2")+SUMIFS(tbl_task9[S118],tbl_task9[[SubPLOs]:[SubPLOs]],"&gt;=1",tbl_task9[[SubPLOs]:[SubPLOs]],"&lt;2")+SUMIFS(tbl_task10[S118],tbl_task10[[SubPLOs]:[SubPLOs]],"&gt;=1",tbl_task10[[SubPLOs]:[SubPLOs]],"&lt;2")</f>
        <v>0</v>
      </c>
      <c r="DT180" s="41">
        <f>SUMIFS(tbl_task1[S119],tbl_task1[[SubPLOs]:[SubPLOs]],"&gt;=1",tbl_task1[[SubPLOs]:[SubPLOs]],"&lt;2")+SUMIFS(tbl_task2[S119],tbl_task2[[SubPLOs]:[SubPLOs]],"&gt;=1",tbl_task2[[SubPLOs]:[SubPLOs]],"&lt;2")+SUMIFS(tbl_task3[S119],tbl_task3[[SubPLOs]:[SubPLOs]],"&gt;=1",tbl_task3[[SubPLOs]:[SubPLOs]],"&lt;2")+SUMIFS(tbl_task4[S119],tbl_task4[[SubPLOs]:[SubPLOs]],"&gt;=1",tbl_task4[[SubPLOs]:[SubPLOs]],"&lt;2")+SUMIFS(tbl_task5[S119],tbl_task5[[SubPLOs]:[SubPLOs]],"&gt;=1",tbl_task5[[SubPLOs]:[SubPLOs]],"&lt;2")+SUMIFS(tbl_task6[S119],tbl_task6[[SubPLOs]:[SubPLOs]],"&gt;=1",tbl_task6[[SubPLOs]:[SubPLOs]],"&lt;2")+SUMIFS(tbl_task7[S119],tbl_task7[[SubPLOs]:[SubPLOs]],"&gt;=1",tbl_task7[[SubPLOs]:[SubPLOs]],"&lt;2")+SUMIFS(tbl_task8[S119],tbl_task8[[SubPLOs]:[SubPLOs]],"&gt;=1",tbl_task8[[SubPLOs]:[SubPLOs]],"&lt;2")+SUMIFS(tbl_task9[S119],tbl_task9[[SubPLOs]:[SubPLOs]],"&gt;=1",tbl_task9[[SubPLOs]:[SubPLOs]],"&lt;2")+SUMIFS(tbl_task10[S119],tbl_task10[[SubPLOs]:[SubPLOs]],"&gt;=1",tbl_task10[[SubPLOs]:[SubPLOs]],"&lt;2")</f>
        <v>0</v>
      </c>
      <c r="DU180" s="41">
        <f>SUMIFS(tbl_task1[S120],tbl_task1[[SubPLOs]:[SubPLOs]],"&gt;=1",tbl_task1[[SubPLOs]:[SubPLOs]],"&lt;2")+SUMIFS(tbl_task2[S120],tbl_task2[[SubPLOs]:[SubPLOs]],"&gt;=1",tbl_task2[[SubPLOs]:[SubPLOs]],"&lt;2")+SUMIFS(tbl_task3[S120],tbl_task3[[SubPLOs]:[SubPLOs]],"&gt;=1",tbl_task3[[SubPLOs]:[SubPLOs]],"&lt;2")+SUMIFS(tbl_task4[S120],tbl_task4[[SubPLOs]:[SubPLOs]],"&gt;=1",tbl_task4[[SubPLOs]:[SubPLOs]],"&lt;2")+SUMIFS(tbl_task5[S120],tbl_task5[[SubPLOs]:[SubPLOs]],"&gt;=1",tbl_task5[[SubPLOs]:[SubPLOs]],"&lt;2")+SUMIFS(tbl_task6[S120],tbl_task6[[SubPLOs]:[SubPLOs]],"&gt;=1",tbl_task6[[SubPLOs]:[SubPLOs]],"&lt;2")+SUMIFS(tbl_task7[S120],tbl_task7[[SubPLOs]:[SubPLOs]],"&gt;=1",tbl_task7[[SubPLOs]:[SubPLOs]],"&lt;2")+SUMIFS(tbl_task8[S120],tbl_task8[[SubPLOs]:[SubPLOs]],"&gt;=1",tbl_task8[[SubPLOs]:[SubPLOs]],"&lt;2")+SUMIFS(tbl_task9[S120],tbl_task9[[SubPLOs]:[SubPLOs]],"&gt;=1",tbl_task9[[SubPLOs]:[SubPLOs]],"&lt;2")+SUMIFS(tbl_task10[S120],tbl_task10[[SubPLOs]:[SubPLOs]],"&gt;=1",tbl_task10[[SubPLOs]:[SubPLOs]],"&lt;2")</f>
        <v>0</v>
      </c>
      <c r="DV180" s="41">
        <f>SUMIFS(tbl_task1[S121],tbl_task1[[SubPLOs]:[SubPLOs]],"&gt;=1",tbl_task1[[SubPLOs]:[SubPLOs]],"&lt;2")+SUMIFS(tbl_task2[S121],tbl_task2[[SubPLOs]:[SubPLOs]],"&gt;=1",tbl_task2[[SubPLOs]:[SubPLOs]],"&lt;2")+SUMIFS(tbl_task3[S121],tbl_task3[[SubPLOs]:[SubPLOs]],"&gt;=1",tbl_task3[[SubPLOs]:[SubPLOs]],"&lt;2")+SUMIFS(tbl_task4[S121],tbl_task4[[SubPLOs]:[SubPLOs]],"&gt;=1",tbl_task4[[SubPLOs]:[SubPLOs]],"&lt;2")+SUMIFS(tbl_task5[S121],tbl_task5[[SubPLOs]:[SubPLOs]],"&gt;=1",tbl_task5[[SubPLOs]:[SubPLOs]],"&lt;2")+SUMIFS(tbl_task6[S121],tbl_task6[[SubPLOs]:[SubPLOs]],"&gt;=1",tbl_task6[[SubPLOs]:[SubPLOs]],"&lt;2")+SUMIFS(tbl_task7[S121],tbl_task7[[SubPLOs]:[SubPLOs]],"&gt;=1",tbl_task7[[SubPLOs]:[SubPLOs]],"&lt;2")+SUMIFS(tbl_task8[S121],tbl_task8[[SubPLOs]:[SubPLOs]],"&gt;=1",tbl_task8[[SubPLOs]:[SubPLOs]],"&lt;2")+SUMIFS(tbl_task9[S121],tbl_task9[[SubPLOs]:[SubPLOs]],"&gt;=1",tbl_task9[[SubPLOs]:[SubPLOs]],"&lt;2")+SUMIFS(tbl_task10[S121],tbl_task10[[SubPLOs]:[SubPLOs]],"&gt;=1",tbl_task10[[SubPLOs]:[SubPLOs]],"&lt;2")</f>
        <v>0</v>
      </c>
      <c r="DW180" s="41">
        <f>SUMIFS(tbl_task1[S122],tbl_task1[[SubPLOs]:[SubPLOs]],"&gt;=1",tbl_task1[[SubPLOs]:[SubPLOs]],"&lt;2")+SUMIFS(tbl_task2[S122],tbl_task2[[SubPLOs]:[SubPLOs]],"&gt;=1",tbl_task2[[SubPLOs]:[SubPLOs]],"&lt;2")+SUMIFS(tbl_task3[S122],tbl_task3[[SubPLOs]:[SubPLOs]],"&gt;=1",tbl_task3[[SubPLOs]:[SubPLOs]],"&lt;2")+SUMIFS(tbl_task4[S122],tbl_task4[[SubPLOs]:[SubPLOs]],"&gt;=1",tbl_task4[[SubPLOs]:[SubPLOs]],"&lt;2")+SUMIFS(tbl_task5[S122],tbl_task5[[SubPLOs]:[SubPLOs]],"&gt;=1",tbl_task5[[SubPLOs]:[SubPLOs]],"&lt;2")+SUMIFS(tbl_task6[S122],tbl_task6[[SubPLOs]:[SubPLOs]],"&gt;=1",tbl_task6[[SubPLOs]:[SubPLOs]],"&lt;2")+SUMIFS(tbl_task7[S122],tbl_task7[[SubPLOs]:[SubPLOs]],"&gt;=1",tbl_task7[[SubPLOs]:[SubPLOs]],"&lt;2")+SUMIFS(tbl_task8[S122],tbl_task8[[SubPLOs]:[SubPLOs]],"&gt;=1",tbl_task8[[SubPLOs]:[SubPLOs]],"&lt;2")+SUMIFS(tbl_task9[S122],tbl_task9[[SubPLOs]:[SubPLOs]],"&gt;=1",tbl_task9[[SubPLOs]:[SubPLOs]],"&lt;2")+SUMIFS(tbl_task10[S122],tbl_task10[[SubPLOs]:[SubPLOs]],"&gt;=1",tbl_task10[[SubPLOs]:[SubPLOs]],"&lt;2")</f>
        <v>0</v>
      </c>
      <c r="DX180" s="41">
        <f>SUMIFS(tbl_task1[S123],tbl_task1[[SubPLOs]:[SubPLOs]],"&gt;=1",tbl_task1[[SubPLOs]:[SubPLOs]],"&lt;2")+SUMIFS(tbl_task2[S123],tbl_task2[[SubPLOs]:[SubPLOs]],"&gt;=1",tbl_task2[[SubPLOs]:[SubPLOs]],"&lt;2")+SUMIFS(tbl_task3[S123],tbl_task3[[SubPLOs]:[SubPLOs]],"&gt;=1",tbl_task3[[SubPLOs]:[SubPLOs]],"&lt;2")+SUMIFS(tbl_task4[S123],tbl_task4[[SubPLOs]:[SubPLOs]],"&gt;=1",tbl_task4[[SubPLOs]:[SubPLOs]],"&lt;2")+SUMIFS(tbl_task5[S123],tbl_task5[[SubPLOs]:[SubPLOs]],"&gt;=1",tbl_task5[[SubPLOs]:[SubPLOs]],"&lt;2")+SUMIFS(tbl_task6[S123],tbl_task6[[SubPLOs]:[SubPLOs]],"&gt;=1",tbl_task6[[SubPLOs]:[SubPLOs]],"&lt;2")+SUMIFS(tbl_task7[S123],tbl_task7[[SubPLOs]:[SubPLOs]],"&gt;=1",tbl_task7[[SubPLOs]:[SubPLOs]],"&lt;2")+SUMIFS(tbl_task8[S123],tbl_task8[[SubPLOs]:[SubPLOs]],"&gt;=1",tbl_task8[[SubPLOs]:[SubPLOs]],"&lt;2")+SUMIFS(tbl_task9[S123],tbl_task9[[SubPLOs]:[SubPLOs]],"&gt;=1",tbl_task9[[SubPLOs]:[SubPLOs]],"&lt;2")+SUMIFS(tbl_task10[S123],tbl_task10[[SubPLOs]:[SubPLOs]],"&gt;=1",tbl_task10[[SubPLOs]:[SubPLOs]],"&lt;2")</f>
        <v>0</v>
      </c>
      <c r="DY180" s="41">
        <f>SUMIFS(tbl_task1[S124],tbl_task1[[SubPLOs]:[SubPLOs]],"&gt;=1",tbl_task1[[SubPLOs]:[SubPLOs]],"&lt;2")+SUMIFS(tbl_task2[S124],tbl_task2[[SubPLOs]:[SubPLOs]],"&gt;=1",tbl_task2[[SubPLOs]:[SubPLOs]],"&lt;2")+SUMIFS(tbl_task3[S124],tbl_task3[[SubPLOs]:[SubPLOs]],"&gt;=1",tbl_task3[[SubPLOs]:[SubPLOs]],"&lt;2")+SUMIFS(tbl_task4[S124],tbl_task4[[SubPLOs]:[SubPLOs]],"&gt;=1",tbl_task4[[SubPLOs]:[SubPLOs]],"&lt;2")+SUMIFS(tbl_task5[S124],tbl_task5[[SubPLOs]:[SubPLOs]],"&gt;=1",tbl_task5[[SubPLOs]:[SubPLOs]],"&lt;2")+SUMIFS(tbl_task6[S124],tbl_task6[[SubPLOs]:[SubPLOs]],"&gt;=1",tbl_task6[[SubPLOs]:[SubPLOs]],"&lt;2")+SUMIFS(tbl_task7[S124],tbl_task7[[SubPLOs]:[SubPLOs]],"&gt;=1",tbl_task7[[SubPLOs]:[SubPLOs]],"&lt;2")+SUMIFS(tbl_task8[S124],tbl_task8[[SubPLOs]:[SubPLOs]],"&gt;=1",tbl_task8[[SubPLOs]:[SubPLOs]],"&lt;2")+SUMIFS(tbl_task9[S124],tbl_task9[[SubPLOs]:[SubPLOs]],"&gt;=1",tbl_task9[[SubPLOs]:[SubPLOs]],"&lt;2")+SUMIFS(tbl_task10[S124],tbl_task10[[SubPLOs]:[SubPLOs]],"&gt;=1",tbl_task10[[SubPLOs]:[SubPLOs]],"&lt;2")</f>
        <v>0</v>
      </c>
      <c r="DZ180" s="41">
        <f>SUMIFS(tbl_task1[S125],tbl_task1[[SubPLOs]:[SubPLOs]],"&gt;=1",tbl_task1[[SubPLOs]:[SubPLOs]],"&lt;2")+SUMIFS(tbl_task2[S125],tbl_task2[[SubPLOs]:[SubPLOs]],"&gt;=1",tbl_task2[[SubPLOs]:[SubPLOs]],"&lt;2")+SUMIFS(tbl_task3[S125],tbl_task3[[SubPLOs]:[SubPLOs]],"&gt;=1",tbl_task3[[SubPLOs]:[SubPLOs]],"&lt;2")+SUMIFS(tbl_task4[S125],tbl_task4[[SubPLOs]:[SubPLOs]],"&gt;=1",tbl_task4[[SubPLOs]:[SubPLOs]],"&lt;2")+SUMIFS(tbl_task5[S125],tbl_task5[[SubPLOs]:[SubPLOs]],"&gt;=1",tbl_task5[[SubPLOs]:[SubPLOs]],"&lt;2")+SUMIFS(tbl_task6[S125],tbl_task6[[SubPLOs]:[SubPLOs]],"&gt;=1",tbl_task6[[SubPLOs]:[SubPLOs]],"&lt;2")+SUMIFS(tbl_task7[S125],tbl_task7[[SubPLOs]:[SubPLOs]],"&gt;=1",tbl_task7[[SubPLOs]:[SubPLOs]],"&lt;2")+SUMIFS(tbl_task8[S125],tbl_task8[[SubPLOs]:[SubPLOs]],"&gt;=1",tbl_task8[[SubPLOs]:[SubPLOs]],"&lt;2")+SUMIFS(tbl_task9[S125],tbl_task9[[SubPLOs]:[SubPLOs]],"&gt;=1",tbl_task9[[SubPLOs]:[SubPLOs]],"&lt;2")+SUMIFS(tbl_task10[S125],tbl_task10[[SubPLOs]:[SubPLOs]],"&gt;=1",tbl_task10[[SubPLOs]:[SubPLOs]],"&lt;2")</f>
        <v>0</v>
      </c>
      <c r="EA180" s="41">
        <f>SUMIFS(tbl_task1[S126],tbl_task1[[SubPLOs]:[SubPLOs]],"&gt;=1",tbl_task1[[SubPLOs]:[SubPLOs]],"&lt;2")+SUMIFS(tbl_task2[S126],tbl_task2[[SubPLOs]:[SubPLOs]],"&gt;=1",tbl_task2[[SubPLOs]:[SubPLOs]],"&lt;2")+SUMIFS(tbl_task3[S126],tbl_task3[[SubPLOs]:[SubPLOs]],"&gt;=1",tbl_task3[[SubPLOs]:[SubPLOs]],"&lt;2")+SUMIFS(tbl_task4[S126],tbl_task4[[SubPLOs]:[SubPLOs]],"&gt;=1",tbl_task4[[SubPLOs]:[SubPLOs]],"&lt;2")+SUMIFS(tbl_task5[S126],tbl_task5[[SubPLOs]:[SubPLOs]],"&gt;=1",tbl_task5[[SubPLOs]:[SubPLOs]],"&lt;2")+SUMIFS(tbl_task6[S126],tbl_task6[[SubPLOs]:[SubPLOs]],"&gt;=1",tbl_task6[[SubPLOs]:[SubPLOs]],"&lt;2")+SUMIFS(tbl_task7[S126],tbl_task7[[SubPLOs]:[SubPLOs]],"&gt;=1",tbl_task7[[SubPLOs]:[SubPLOs]],"&lt;2")+SUMIFS(tbl_task8[S126],tbl_task8[[SubPLOs]:[SubPLOs]],"&gt;=1",tbl_task8[[SubPLOs]:[SubPLOs]],"&lt;2")+SUMIFS(tbl_task9[S126],tbl_task9[[SubPLOs]:[SubPLOs]],"&gt;=1",tbl_task9[[SubPLOs]:[SubPLOs]],"&lt;2")+SUMIFS(tbl_task10[S126],tbl_task10[[SubPLOs]:[SubPLOs]],"&gt;=1",tbl_task10[[SubPLOs]:[SubPLOs]],"&lt;2")</f>
        <v>0</v>
      </c>
      <c r="EB180" s="41">
        <f>SUMIFS(tbl_task1[S127],tbl_task1[[SubPLOs]:[SubPLOs]],"&gt;=1",tbl_task1[[SubPLOs]:[SubPLOs]],"&lt;2")+SUMIFS(tbl_task2[S127],tbl_task2[[SubPLOs]:[SubPLOs]],"&gt;=1",tbl_task2[[SubPLOs]:[SubPLOs]],"&lt;2")+SUMIFS(tbl_task3[S127],tbl_task3[[SubPLOs]:[SubPLOs]],"&gt;=1",tbl_task3[[SubPLOs]:[SubPLOs]],"&lt;2")+SUMIFS(tbl_task4[S127],tbl_task4[[SubPLOs]:[SubPLOs]],"&gt;=1",tbl_task4[[SubPLOs]:[SubPLOs]],"&lt;2")+SUMIFS(tbl_task5[S127],tbl_task5[[SubPLOs]:[SubPLOs]],"&gt;=1",tbl_task5[[SubPLOs]:[SubPLOs]],"&lt;2")+SUMIFS(tbl_task6[S127],tbl_task6[[SubPLOs]:[SubPLOs]],"&gt;=1",tbl_task6[[SubPLOs]:[SubPLOs]],"&lt;2")+SUMIFS(tbl_task7[S127],tbl_task7[[SubPLOs]:[SubPLOs]],"&gt;=1",tbl_task7[[SubPLOs]:[SubPLOs]],"&lt;2")+SUMIFS(tbl_task8[S127],tbl_task8[[SubPLOs]:[SubPLOs]],"&gt;=1",tbl_task8[[SubPLOs]:[SubPLOs]],"&lt;2")+SUMIFS(tbl_task9[S127],tbl_task9[[SubPLOs]:[SubPLOs]],"&gt;=1",tbl_task9[[SubPLOs]:[SubPLOs]],"&lt;2")+SUMIFS(tbl_task10[S127],tbl_task10[[SubPLOs]:[SubPLOs]],"&gt;=1",tbl_task10[[SubPLOs]:[SubPLOs]],"&lt;2")</f>
        <v>0</v>
      </c>
      <c r="EC180" s="41">
        <f>SUMIFS(tbl_task1[S128],tbl_task1[[SubPLOs]:[SubPLOs]],"&gt;=1",tbl_task1[[SubPLOs]:[SubPLOs]],"&lt;2")+SUMIFS(tbl_task2[S128],tbl_task2[[SubPLOs]:[SubPLOs]],"&gt;=1",tbl_task2[[SubPLOs]:[SubPLOs]],"&lt;2")+SUMIFS(tbl_task3[S128],tbl_task3[[SubPLOs]:[SubPLOs]],"&gt;=1",tbl_task3[[SubPLOs]:[SubPLOs]],"&lt;2")+SUMIFS(tbl_task4[S128],tbl_task4[[SubPLOs]:[SubPLOs]],"&gt;=1",tbl_task4[[SubPLOs]:[SubPLOs]],"&lt;2")+SUMIFS(tbl_task5[S128],tbl_task5[[SubPLOs]:[SubPLOs]],"&gt;=1",tbl_task5[[SubPLOs]:[SubPLOs]],"&lt;2")+SUMIFS(tbl_task6[S128],tbl_task6[[SubPLOs]:[SubPLOs]],"&gt;=1",tbl_task6[[SubPLOs]:[SubPLOs]],"&lt;2")+SUMIFS(tbl_task7[S128],tbl_task7[[SubPLOs]:[SubPLOs]],"&gt;=1",tbl_task7[[SubPLOs]:[SubPLOs]],"&lt;2")+SUMIFS(tbl_task8[S128],tbl_task8[[SubPLOs]:[SubPLOs]],"&gt;=1",tbl_task8[[SubPLOs]:[SubPLOs]],"&lt;2")+SUMIFS(tbl_task9[S128],tbl_task9[[SubPLOs]:[SubPLOs]],"&gt;=1",tbl_task9[[SubPLOs]:[SubPLOs]],"&lt;2")+SUMIFS(tbl_task10[S128],tbl_task10[[SubPLOs]:[SubPLOs]],"&gt;=1",tbl_task10[[SubPLOs]:[SubPLOs]],"&lt;2")</f>
        <v>0</v>
      </c>
      <c r="ED180" s="41">
        <f>SUMIFS(tbl_task1[S129],tbl_task1[[SubPLOs]:[SubPLOs]],"&gt;=1",tbl_task1[[SubPLOs]:[SubPLOs]],"&lt;2")+SUMIFS(tbl_task2[S129],tbl_task2[[SubPLOs]:[SubPLOs]],"&gt;=1",tbl_task2[[SubPLOs]:[SubPLOs]],"&lt;2")+SUMIFS(tbl_task3[S129],tbl_task3[[SubPLOs]:[SubPLOs]],"&gt;=1",tbl_task3[[SubPLOs]:[SubPLOs]],"&lt;2")+SUMIFS(tbl_task4[S129],tbl_task4[[SubPLOs]:[SubPLOs]],"&gt;=1",tbl_task4[[SubPLOs]:[SubPLOs]],"&lt;2")+SUMIFS(tbl_task5[S129],tbl_task5[[SubPLOs]:[SubPLOs]],"&gt;=1",tbl_task5[[SubPLOs]:[SubPLOs]],"&lt;2")+SUMIFS(tbl_task6[S129],tbl_task6[[SubPLOs]:[SubPLOs]],"&gt;=1",tbl_task6[[SubPLOs]:[SubPLOs]],"&lt;2")+SUMIFS(tbl_task7[S129],tbl_task7[[SubPLOs]:[SubPLOs]],"&gt;=1",tbl_task7[[SubPLOs]:[SubPLOs]],"&lt;2")+SUMIFS(tbl_task8[S129],tbl_task8[[SubPLOs]:[SubPLOs]],"&gt;=1",tbl_task8[[SubPLOs]:[SubPLOs]],"&lt;2")+SUMIFS(tbl_task9[S129],tbl_task9[[SubPLOs]:[SubPLOs]],"&gt;=1",tbl_task9[[SubPLOs]:[SubPLOs]],"&lt;2")+SUMIFS(tbl_task10[S129],tbl_task10[[SubPLOs]:[SubPLOs]],"&gt;=1",tbl_task10[[SubPLOs]:[SubPLOs]],"&lt;2")</f>
        <v>0</v>
      </c>
      <c r="EE180" s="41">
        <f>SUMIFS(tbl_task1[S130],tbl_task1[[SubPLOs]:[SubPLOs]],"&gt;=1",tbl_task1[[SubPLOs]:[SubPLOs]],"&lt;2")+SUMIFS(tbl_task2[S130],tbl_task2[[SubPLOs]:[SubPLOs]],"&gt;=1",tbl_task2[[SubPLOs]:[SubPLOs]],"&lt;2")+SUMIFS(tbl_task3[S130],tbl_task3[[SubPLOs]:[SubPLOs]],"&gt;=1",tbl_task3[[SubPLOs]:[SubPLOs]],"&lt;2")+SUMIFS(tbl_task4[S130],tbl_task4[[SubPLOs]:[SubPLOs]],"&gt;=1",tbl_task4[[SubPLOs]:[SubPLOs]],"&lt;2")+SUMIFS(tbl_task5[S130],tbl_task5[[SubPLOs]:[SubPLOs]],"&gt;=1",tbl_task5[[SubPLOs]:[SubPLOs]],"&lt;2")+SUMIFS(tbl_task6[S130],tbl_task6[[SubPLOs]:[SubPLOs]],"&gt;=1",tbl_task6[[SubPLOs]:[SubPLOs]],"&lt;2")+SUMIFS(tbl_task7[S130],tbl_task7[[SubPLOs]:[SubPLOs]],"&gt;=1",tbl_task7[[SubPLOs]:[SubPLOs]],"&lt;2")+SUMIFS(tbl_task8[S130],tbl_task8[[SubPLOs]:[SubPLOs]],"&gt;=1",tbl_task8[[SubPLOs]:[SubPLOs]],"&lt;2")+SUMIFS(tbl_task9[S130],tbl_task9[[SubPLOs]:[SubPLOs]],"&gt;=1",tbl_task9[[SubPLOs]:[SubPLOs]],"&lt;2")+SUMIFS(tbl_task10[S130],tbl_task10[[SubPLOs]:[SubPLOs]],"&gt;=1",tbl_task10[[SubPLOs]:[SubPLOs]],"&lt;2")</f>
        <v>0</v>
      </c>
      <c r="EF180" s="41">
        <f>SUMIFS(tbl_task1[S131],tbl_task1[[SubPLOs]:[SubPLOs]],"&gt;=1",tbl_task1[[SubPLOs]:[SubPLOs]],"&lt;2")+SUMIFS(tbl_task2[S131],tbl_task2[[SubPLOs]:[SubPLOs]],"&gt;=1",tbl_task2[[SubPLOs]:[SubPLOs]],"&lt;2")+SUMIFS(tbl_task3[S131],tbl_task3[[SubPLOs]:[SubPLOs]],"&gt;=1",tbl_task3[[SubPLOs]:[SubPLOs]],"&lt;2")+SUMIFS(tbl_task4[S131],tbl_task4[[SubPLOs]:[SubPLOs]],"&gt;=1",tbl_task4[[SubPLOs]:[SubPLOs]],"&lt;2")+SUMIFS(tbl_task5[S131],tbl_task5[[SubPLOs]:[SubPLOs]],"&gt;=1",tbl_task5[[SubPLOs]:[SubPLOs]],"&lt;2")+SUMIFS(tbl_task6[S131],tbl_task6[[SubPLOs]:[SubPLOs]],"&gt;=1",tbl_task6[[SubPLOs]:[SubPLOs]],"&lt;2")+SUMIFS(tbl_task7[S131],tbl_task7[[SubPLOs]:[SubPLOs]],"&gt;=1",tbl_task7[[SubPLOs]:[SubPLOs]],"&lt;2")+SUMIFS(tbl_task8[S131],tbl_task8[[SubPLOs]:[SubPLOs]],"&gt;=1",tbl_task8[[SubPLOs]:[SubPLOs]],"&lt;2")+SUMIFS(tbl_task9[S131],tbl_task9[[SubPLOs]:[SubPLOs]],"&gt;=1",tbl_task9[[SubPLOs]:[SubPLOs]],"&lt;2")+SUMIFS(tbl_task10[S131],tbl_task10[[SubPLOs]:[SubPLOs]],"&gt;=1",tbl_task10[[SubPLOs]:[SubPLOs]],"&lt;2")</f>
        <v>0</v>
      </c>
      <c r="EG180" s="41">
        <f>SUMIFS(tbl_task1[S132],tbl_task1[[SubPLOs]:[SubPLOs]],"&gt;=1",tbl_task1[[SubPLOs]:[SubPLOs]],"&lt;2")+SUMIFS(tbl_task2[S132],tbl_task2[[SubPLOs]:[SubPLOs]],"&gt;=1",tbl_task2[[SubPLOs]:[SubPLOs]],"&lt;2")+SUMIFS(tbl_task3[S132],tbl_task3[[SubPLOs]:[SubPLOs]],"&gt;=1",tbl_task3[[SubPLOs]:[SubPLOs]],"&lt;2")+SUMIFS(tbl_task4[S132],tbl_task4[[SubPLOs]:[SubPLOs]],"&gt;=1",tbl_task4[[SubPLOs]:[SubPLOs]],"&lt;2")+SUMIFS(tbl_task5[S132],tbl_task5[[SubPLOs]:[SubPLOs]],"&gt;=1",tbl_task5[[SubPLOs]:[SubPLOs]],"&lt;2")+SUMIFS(tbl_task6[S132],tbl_task6[[SubPLOs]:[SubPLOs]],"&gt;=1",tbl_task6[[SubPLOs]:[SubPLOs]],"&lt;2")+SUMIFS(tbl_task7[S132],tbl_task7[[SubPLOs]:[SubPLOs]],"&gt;=1",tbl_task7[[SubPLOs]:[SubPLOs]],"&lt;2")+SUMIFS(tbl_task8[S132],tbl_task8[[SubPLOs]:[SubPLOs]],"&gt;=1",tbl_task8[[SubPLOs]:[SubPLOs]],"&lt;2")+SUMIFS(tbl_task9[S132],tbl_task9[[SubPLOs]:[SubPLOs]],"&gt;=1",tbl_task9[[SubPLOs]:[SubPLOs]],"&lt;2")+SUMIFS(tbl_task10[S132],tbl_task10[[SubPLOs]:[SubPLOs]],"&gt;=1",tbl_task10[[SubPLOs]:[SubPLOs]],"&lt;2")</f>
        <v>0</v>
      </c>
      <c r="EH180" s="41">
        <f>SUMIFS(tbl_task1[S133],tbl_task1[[SubPLOs]:[SubPLOs]],"&gt;=1",tbl_task1[[SubPLOs]:[SubPLOs]],"&lt;2")+SUMIFS(tbl_task2[S133],tbl_task2[[SubPLOs]:[SubPLOs]],"&gt;=1",tbl_task2[[SubPLOs]:[SubPLOs]],"&lt;2")+SUMIFS(tbl_task3[S133],tbl_task3[[SubPLOs]:[SubPLOs]],"&gt;=1",tbl_task3[[SubPLOs]:[SubPLOs]],"&lt;2")+SUMIFS(tbl_task4[S133],tbl_task4[[SubPLOs]:[SubPLOs]],"&gt;=1",tbl_task4[[SubPLOs]:[SubPLOs]],"&lt;2")+SUMIFS(tbl_task5[S133],tbl_task5[[SubPLOs]:[SubPLOs]],"&gt;=1",tbl_task5[[SubPLOs]:[SubPLOs]],"&lt;2")+SUMIFS(tbl_task6[S133],tbl_task6[[SubPLOs]:[SubPLOs]],"&gt;=1",tbl_task6[[SubPLOs]:[SubPLOs]],"&lt;2")+SUMIFS(tbl_task7[S133],tbl_task7[[SubPLOs]:[SubPLOs]],"&gt;=1",tbl_task7[[SubPLOs]:[SubPLOs]],"&lt;2")+SUMIFS(tbl_task8[S133],tbl_task8[[SubPLOs]:[SubPLOs]],"&gt;=1",tbl_task8[[SubPLOs]:[SubPLOs]],"&lt;2")+SUMIFS(tbl_task9[S133],tbl_task9[[SubPLOs]:[SubPLOs]],"&gt;=1",tbl_task9[[SubPLOs]:[SubPLOs]],"&lt;2")+SUMIFS(tbl_task10[S133],tbl_task10[[SubPLOs]:[SubPLOs]],"&gt;=1",tbl_task10[[SubPLOs]:[SubPLOs]],"&lt;2")</f>
        <v>0</v>
      </c>
      <c r="EI180" s="41">
        <f>SUMIFS(tbl_task1[S134],tbl_task1[[SubPLOs]:[SubPLOs]],"&gt;=1",tbl_task1[[SubPLOs]:[SubPLOs]],"&lt;2")+SUMIFS(tbl_task2[S134],tbl_task2[[SubPLOs]:[SubPLOs]],"&gt;=1",tbl_task2[[SubPLOs]:[SubPLOs]],"&lt;2")+SUMIFS(tbl_task3[S134],tbl_task3[[SubPLOs]:[SubPLOs]],"&gt;=1",tbl_task3[[SubPLOs]:[SubPLOs]],"&lt;2")+SUMIFS(tbl_task4[S134],tbl_task4[[SubPLOs]:[SubPLOs]],"&gt;=1",tbl_task4[[SubPLOs]:[SubPLOs]],"&lt;2")+SUMIFS(tbl_task5[S134],tbl_task5[[SubPLOs]:[SubPLOs]],"&gt;=1",tbl_task5[[SubPLOs]:[SubPLOs]],"&lt;2")+SUMIFS(tbl_task6[S134],tbl_task6[[SubPLOs]:[SubPLOs]],"&gt;=1",tbl_task6[[SubPLOs]:[SubPLOs]],"&lt;2")+SUMIFS(tbl_task7[S134],tbl_task7[[SubPLOs]:[SubPLOs]],"&gt;=1",tbl_task7[[SubPLOs]:[SubPLOs]],"&lt;2")+SUMIFS(tbl_task8[S134],tbl_task8[[SubPLOs]:[SubPLOs]],"&gt;=1",tbl_task8[[SubPLOs]:[SubPLOs]],"&lt;2")+SUMIFS(tbl_task9[S134],tbl_task9[[SubPLOs]:[SubPLOs]],"&gt;=1",tbl_task9[[SubPLOs]:[SubPLOs]],"&lt;2")+SUMIFS(tbl_task10[S134],tbl_task10[[SubPLOs]:[SubPLOs]],"&gt;=1",tbl_task10[[SubPLOs]:[SubPLOs]],"&lt;2")</f>
        <v>0</v>
      </c>
      <c r="EJ180" s="41">
        <f>SUMIFS(tbl_task1[S135],tbl_task1[[SubPLOs]:[SubPLOs]],"&gt;=1",tbl_task1[[SubPLOs]:[SubPLOs]],"&lt;2")+SUMIFS(tbl_task2[S135],tbl_task2[[SubPLOs]:[SubPLOs]],"&gt;=1",tbl_task2[[SubPLOs]:[SubPLOs]],"&lt;2")+SUMIFS(tbl_task3[S135],tbl_task3[[SubPLOs]:[SubPLOs]],"&gt;=1",tbl_task3[[SubPLOs]:[SubPLOs]],"&lt;2")+SUMIFS(tbl_task4[S135],tbl_task4[[SubPLOs]:[SubPLOs]],"&gt;=1",tbl_task4[[SubPLOs]:[SubPLOs]],"&lt;2")+SUMIFS(tbl_task5[S135],tbl_task5[[SubPLOs]:[SubPLOs]],"&gt;=1",tbl_task5[[SubPLOs]:[SubPLOs]],"&lt;2")+SUMIFS(tbl_task6[S135],tbl_task6[[SubPLOs]:[SubPLOs]],"&gt;=1",tbl_task6[[SubPLOs]:[SubPLOs]],"&lt;2")+SUMIFS(tbl_task7[S135],tbl_task7[[SubPLOs]:[SubPLOs]],"&gt;=1",tbl_task7[[SubPLOs]:[SubPLOs]],"&lt;2")+SUMIFS(tbl_task8[S135],tbl_task8[[SubPLOs]:[SubPLOs]],"&gt;=1",tbl_task8[[SubPLOs]:[SubPLOs]],"&lt;2")+SUMIFS(tbl_task9[S135],tbl_task9[[SubPLOs]:[SubPLOs]],"&gt;=1",tbl_task9[[SubPLOs]:[SubPLOs]],"&lt;2")+SUMIFS(tbl_task10[S135],tbl_task10[[SubPLOs]:[SubPLOs]],"&gt;=1",tbl_task10[[SubPLOs]:[SubPLOs]],"&lt;2")</f>
        <v>0</v>
      </c>
      <c r="EK180" s="41">
        <f>SUMIFS(tbl_task1[S136],tbl_task1[[SubPLOs]:[SubPLOs]],"&gt;=1",tbl_task1[[SubPLOs]:[SubPLOs]],"&lt;2")+SUMIFS(tbl_task2[S136],tbl_task2[[SubPLOs]:[SubPLOs]],"&gt;=1",tbl_task2[[SubPLOs]:[SubPLOs]],"&lt;2")+SUMIFS(tbl_task3[S136],tbl_task3[[SubPLOs]:[SubPLOs]],"&gt;=1",tbl_task3[[SubPLOs]:[SubPLOs]],"&lt;2")+SUMIFS(tbl_task4[S136],tbl_task4[[SubPLOs]:[SubPLOs]],"&gt;=1",tbl_task4[[SubPLOs]:[SubPLOs]],"&lt;2")+SUMIFS(tbl_task5[S136],tbl_task5[[SubPLOs]:[SubPLOs]],"&gt;=1",tbl_task5[[SubPLOs]:[SubPLOs]],"&lt;2")+SUMIFS(tbl_task6[S136],tbl_task6[[SubPLOs]:[SubPLOs]],"&gt;=1",tbl_task6[[SubPLOs]:[SubPLOs]],"&lt;2")+SUMIFS(tbl_task7[S136],tbl_task7[[SubPLOs]:[SubPLOs]],"&gt;=1",tbl_task7[[SubPLOs]:[SubPLOs]],"&lt;2")+SUMIFS(tbl_task8[S136],tbl_task8[[SubPLOs]:[SubPLOs]],"&gt;=1",tbl_task8[[SubPLOs]:[SubPLOs]],"&lt;2")+SUMIFS(tbl_task9[S136],tbl_task9[[SubPLOs]:[SubPLOs]],"&gt;=1",tbl_task9[[SubPLOs]:[SubPLOs]],"&lt;2")+SUMIFS(tbl_task10[S136],tbl_task10[[SubPLOs]:[SubPLOs]],"&gt;=1",tbl_task10[[SubPLOs]:[SubPLOs]],"&lt;2")</f>
        <v>0</v>
      </c>
      <c r="EL180" s="41">
        <f>SUMIFS(tbl_task1[S137],tbl_task1[[SubPLOs]:[SubPLOs]],"&gt;=1",tbl_task1[[SubPLOs]:[SubPLOs]],"&lt;2")+SUMIFS(tbl_task2[S137],tbl_task2[[SubPLOs]:[SubPLOs]],"&gt;=1",tbl_task2[[SubPLOs]:[SubPLOs]],"&lt;2")+SUMIFS(tbl_task3[S137],tbl_task3[[SubPLOs]:[SubPLOs]],"&gt;=1",tbl_task3[[SubPLOs]:[SubPLOs]],"&lt;2")+SUMIFS(tbl_task4[S137],tbl_task4[[SubPLOs]:[SubPLOs]],"&gt;=1",tbl_task4[[SubPLOs]:[SubPLOs]],"&lt;2")+SUMIFS(tbl_task5[S137],tbl_task5[[SubPLOs]:[SubPLOs]],"&gt;=1",tbl_task5[[SubPLOs]:[SubPLOs]],"&lt;2")+SUMIFS(tbl_task6[S137],tbl_task6[[SubPLOs]:[SubPLOs]],"&gt;=1",tbl_task6[[SubPLOs]:[SubPLOs]],"&lt;2")+SUMIFS(tbl_task7[S137],tbl_task7[[SubPLOs]:[SubPLOs]],"&gt;=1",tbl_task7[[SubPLOs]:[SubPLOs]],"&lt;2")+SUMIFS(tbl_task8[S137],tbl_task8[[SubPLOs]:[SubPLOs]],"&gt;=1",tbl_task8[[SubPLOs]:[SubPLOs]],"&lt;2")+SUMIFS(tbl_task9[S137],tbl_task9[[SubPLOs]:[SubPLOs]],"&gt;=1",tbl_task9[[SubPLOs]:[SubPLOs]],"&lt;2")+SUMIFS(tbl_task10[S137],tbl_task10[[SubPLOs]:[SubPLOs]],"&gt;=1",tbl_task10[[SubPLOs]:[SubPLOs]],"&lt;2")</f>
        <v>0</v>
      </c>
      <c r="EM180" s="41">
        <f>SUMIFS(tbl_task1[S138],tbl_task1[[SubPLOs]:[SubPLOs]],"&gt;=1",tbl_task1[[SubPLOs]:[SubPLOs]],"&lt;2")+SUMIFS(tbl_task2[S138],tbl_task2[[SubPLOs]:[SubPLOs]],"&gt;=1",tbl_task2[[SubPLOs]:[SubPLOs]],"&lt;2")+SUMIFS(tbl_task3[S138],tbl_task3[[SubPLOs]:[SubPLOs]],"&gt;=1",tbl_task3[[SubPLOs]:[SubPLOs]],"&lt;2")+SUMIFS(tbl_task4[S138],tbl_task4[[SubPLOs]:[SubPLOs]],"&gt;=1",tbl_task4[[SubPLOs]:[SubPLOs]],"&lt;2")+SUMIFS(tbl_task5[S138],tbl_task5[[SubPLOs]:[SubPLOs]],"&gt;=1",tbl_task5[[SubPLOs]:[SubPLOs]],"&lt;2")+SUMIFS(tbl_task6[S138],tbl_task6[[SubPLOs]:[SubPLOs]],"&gt;=1",tbl_task6[[SubPLOs]:[SubPLOs]],"&lt;2")+SUMIFS(tbl_task7[S138],tbl_task7[[SubPLOs]:[SubPLOs]],"&gt;=1",tbl_task7[[SubPLOs]:[SubPLOs]],"&lt;2")+SUMIFS(tbl_task8[S138],tbl_task8[[SubPLOs]:[SubPLOs]],"&gt;=1",tbl_task8[[SubPLOs]:[SubPLOs]],"&lt;2")+SUMIFS(tbl_task9[S138],tbl_task9[[SubPLOs]:[SubPLOs]],"&gt;=1",tbl_task9[[SubPLOs]:[SubPLOs]],"&lt;2")+SUMIFS(tbl_task10[S138],tbl_task10[[SubPLOs]:[SubPLOs]],"&gt;=1",tbl_task10[[SubPLOs]:[SubPLOs]],"&lt;2")</f>
        <v>0</v>
      </c>
      <c r="EN180" s="41">
        <f>SUMIFS(tbl_task1[S139],tbl_task1[[SubPLOs]:[SubPLOs]],"&gt;=1",tbl_task1[[SubPLOs]:[SubPLOs]],"&lt;2")+SUMIFS(tbl_task2[S139],tbl_task2[[SubPLOs]:[SubPLOs]],"&gt;=1",tbl_task2[[SubPLOs]:[SubPLOs]],"&lt;2")+SUMIFS(tbl_task3[S139],tbl_task3[[SubPLOs]:[SubPLOs]],"&gt;=1",tbl_task3[[SubPLOs]:[SubPLOs]],"&lt;2")+SUMIFS(tbl_task4[S139],tbl_task4[[SubPLOs]:[SubPLOs]],"&gt;=1",tbl_task4[[SubPLOs]:[SubPLOs]],"&lt;2")+SUMIFS(tbl_task5[S139],tbl_task5[[SubPLOs]:[SubPLOs]],"&gt;=1",tbl_task5[[SubPLOs]:[SubPLOs]],"&lt;2")+SUMIFS(tbl_task6[S139],tbl_task6[[SubPLOs]:[SubPLOs]],"&gt;=1",tbl_task6[[SubPLOs]:[SubPLOs]],"&lt;2")+SUMIFS(tbl_task7[S139],tbl_task7[[SubPLOs]:[SubPLOs]],"&gt;=1",tbl_task7[[SubPLOs]:[SubPLOs]],"&lt;2")+SUMIFS(tbl_task8[S139],tbl_task8[[SubPLOs]:[SubPLOs]],"&gt;=1",tbl_task8[[SubPLOs]:[SubPLOs]],"&lt;2")+SUMIFS(tbl_task9[S139],tbl_task9[[SubPLOs]:[SubPLOs]],"&gt;=1",tbl_task9[[SubPLOs]:[SubPLOs]],"&lt;2")+SUMIFS(tbl_task10[S139],tbl_task10[[SubPLOs]:[SubPLOs]],"&gt;=1",tbl_task10[[SubPLOs]:[SubPLOs]],"&lt;2")</f>
        <v>0</v>
      </c>
      <c r="EO180" s="41">
        <f>SUMIFS(tbl_task1[S140],tbl_task1[[SubPLOs]:[SubPLOs]],"&gt;=1",tbl_task1[[SubPLOs]:[SubPLOs]],"&lt;2")+SUMIFS(tbl_task2[S140],tbl_task2[[SubPLOs]:[SubPLOs]],"&gt;=1",tbl_task2[[SubPLOs]:[SubPLOs]],"&lt;2")+SUMIFS(tbl_task3[S140],tbl_task3[[SubPLOs]:[SubPLOs]],"&gt;=1",tbl_task3[[SubPLOs]:[SubPLOs]],"&lt;2")+SUMIFS(tbl_task4[S140],tbl_task4[[SubPLOs]:[SubPLOs]],"&gt;=1",tbl_task4[[SubPLOs]:[SubPLOs]],"&lt;2")+SUMIFS(tbl_task5[S140],tbl_task5[[SubPLOs]:[SubPLOs]],"&gt;=1",tbl_task5[[SubPLOs]:[SubPLOs]],"&lt;2")+SUMIFS(tbl_task6[S140],tbl_task6[[SubPLOs]:[SubPLOs]],"&gt;=1",tbl_task6[[SubPLOs]:[SubPLOs]],"&lt;2")+SUMIFS(tbl_task7[S140],tbl_task7[[SubPLOs]:[SubPLOs]],"&gt;=1",tbl_task7[[SubPLOs]:[SubPLOs]],"&lt;2")+SUMIFS(tbl_task8[S140],tbl_task8[[SubPLOs]:[SubPLOs]],"&gt;=1",tbl_task8[[SubPLOs]:[SubPLOs]],"&lt;2")+SUMIFS(tbl_task9[S140],tbl_task9[[SubPLOs]:[SubPLOs]],"&gt;=1",tbl_task9[[SubPLOs]:[SubPLOs]],"&lt;2")+SUMIFS(tbl_task10[S140],tbl_task10[[SubPLOs]:[SubPLOs]],"&gt;=1",tbl_task10[[SubPLOs]:[SubPLOs]],"&lt;2")</f>
        <v>0</v>
      </c>
      <c r="EP180" s="41">
        <f>SUMIFS(tbl_task1[S141],tbl_task1[[SubPLOs]:[SubPLOs]],"&gt;=1",tbl_task1[[SubPLOs]:[SubPLOs]],"&lt;2")+SUMIFS(tbl_task2[S141],tbl_task2[[SubPLOs]:[SubPLOs]],"&gt;=1",tbl_task2[[SubPLOs]:[SubPLOs]],"&lt;2")+SUMIFS(tbl_task3[S141],tbl_task3[[SubPLOs]:[SubPLOs]],"&gt;=1",tbl_task3[[SubPLOs]:[SubPLOs]],"&lt;2")+SUMIFS(tbl_task4[S141],tbl_task4[[SubPLOs]:[SubPLOs]],"&gt;=1",tbl_task4[[SubPLOs]:[SubPLOs]],"&lt;2")+SUMIFS(tbl_task5[S141],tbl_task5[[SubPLOs]:[SubPLOs]],"&gt;=1",tbl_task5[[SubPLOs]:[SubPLOs]],"&lt;2")+SUMIFS(tbl_task6[S141],tbl_task6[[SubPLOs]:[SubPLOs]],"&gt;=1",tbl_task6[[SubPLOs]:[SubPLOs]],"&lt;2")+SUMIFS(tbl_task7[S141],tbl_task7[[SubPLOs]:[SubPLOs]],"&gt;=1",tbl_task7[[SubPLOs]:[SubPLOs]],"&lt;2")+SUMIFS(tbl_task8[S141],tbl_task8[[SubPLOs]:[SubPLOs]],"&gt;=1",tbl_task8[[SubPLOs]:[SubPLOs]],"&lt;2")+SUMIFS(tbl_task9[S141],tbl_task9[[SubPLOs]:[SubPLOs]],"&gt;=1",tbl_task9[[SubPLOs]:[SubPLOs]],"&lt;2")+SUMIFS(tbl_task10[S141],tbl_task10[[SubPLOs]:[SubPLOs]],"&gt;=1",tbl_task10[[SubPLOs]:[SubPLOs]],"&lt;2")</f>
        <v>0</v>
      </c>
      <c r="EQ180" s="41">
        <f>SUMIFS(tbl_task1[S142],tbl_task1[[SubPLOs]:[SubPLOs]],"&gt;=1",tbl_task1[[SubPLOs]:[SubPLOs]],"&lt;2")+SUMIFS(tbl_task2[S142],tbl_task2[[SubPLOs]:[SubPLOs]],"&gt;=1",tbl_task2[[SubPLOs]:[SubPLOs]],"&lt;2")+SUMIFS(tbl_task3[S142],tbl_task3[[SubPLOs]:[SubPLOs]],"&gt;=1",tbl_task3[[SubPLOs]:[SubPLOs]],"&lt;2")+SUMIFS(tbl_task4[S142],tbl_task4[[SubPLOs]:[SubPLOs]],"&gt;=1",tbl_task4[[SubPLOs]:[SubPLOs]],"&lt;2")+SUMIFS(tbl_task5[S142],tbl_task5[[SubPLOs]:[SubPLOs]],"&gt;=1",tbl_task5[[SubPLOs]:[SubPLOs]],"&lt;2")+SUMIFS(tbl_task6[S142],tbl_task6[[SubPLOs]:[SubPLOs]],"&gt;=1",tbl_task6[[SubPLOs]:[SubPLOs]],"&lt;2")+SUMIFS(tbl_task7[S142],tbl_task7[[SubPLOs]:[SubPLOs]],"&gt;=1",tbl_task7[[SubPLOs]:[SubPLOs]],"&lt;2")+SUMIFS(tbl_task8[S142],tbl_task8[[SubPLOs]:[SubPLOs]],"&gt;=1",tbl_task8[[SubPLOs]:[SubPLOs]],"&lt;2")+SUMIFS(tbl_task9[S142],tbl_task9[[SubPLOs]:[SubPLOs]],"&gt;=1",tbl_task9[[SubPLOs]:[SubPLOs]],"&lt;2")+SUMIFS(tbl_task10[S142],tbl_task10[[SubPLOs]:[SubPLOs]],"&gt;=1",tbl_task10[[SubPLOs]:[SubPLOs]],"&lt;2")</f>
        <v>0</v>
      </c>
      <c r="ER180" s="41">
        <f>SUMIFS(tbl_task1[S143],tbl_task1[[SubPLOs]:[SubPLOs]],"&gt;=1",tbl_task1[[SubPLOs]:[SubPLOs]],"&lt;2")+SUMIFS(tbl_task2[S143],tbl_task2[[SubPLOs]:[SubPLOs]],"&gt;=1",tbl_task2[[SubPLOs]:[SubPLOs]],"&lt;2")+SUMIFS(tbl_task3[S143],tbl_task3[[SubPLOs]:[SubPLOs]],"&gt;=1",tbl_task3[[SubPLOs]:[SubPLOs]],"&lt;2")+SUMIFS(tbl_task4[S143],tbl_task4[[SubPLOs]:[SubPLOs]],"&gt;=1",tbl_task4[[SubPLOs]:[SubPLOs]],"&lt;2")+SUMIFS(tbl_task5[S143],tbl_task5[[SubPLOs]:[SubPLOs]],"&gt;=1",tbl_task5[[SubPLOs]:[SubPLOs]],"&lt;2")+SUMIFS(tbl_task6[S143],tbl_task6[[SubPLOs]:[SubPLOs]],"&gt;=1",tbl_task6[[SubPLOs]:[SubPLOs]],"&lt;2")+SUMIFS(tbl_task7[S143],tbl_task7[[SubPLOs]:[SubPLOs]],"&gt;=1",tbl_task7[[SubPLOs]:[SubPLOs]],"&lt;2")+SUMIFS(tbl_task8[S143],tbl_task8[[SubPLOs]:[SubPLOs]],"&gt;=1",tbl_task8[[SubPLOs]:[SubPLOs]],"&lt;2")+SUMIFS(tbl_task9[S143],tbl_task9[[SubPLOs]:[SubPLOs]],"&gt;=1",tbl_task9[[SubPLOs]:[SubPLOs]],"&lt;2")+SUMIFS(tbl_task10[S143],tbl_task10[[SubPLOs]:[SubPLOs]],"&gt;=1",tbl_task10[[SubPLOs]:[SubPLOs]],"&lt;2")</f>
        <v>0</v>
      </c>
      <c r="ES180" s="41">
        <f>SUMIFS(tbl_task1[S144],tbl_task1[[SubPLOs]:[SubPLOs]],"&gt;=1",tbl_task1[[SubPLOs]:[SubPLOs]],"&lt;2")+SUMIFS(tbl_task2[S144],tbl_task2[[SubPLOs]:[SubPLOs]],"&gt;=1",tbl_task2[[SubPLOs]:[SubPLOs]],"&lt;2")+SUMIFS(tbl_task3[S144],tbl_task3[[SubPLOs]:[SubPLOs]],"&gt;=1",tbl_task3[[SubPLOs]:[SubPLOs]],"&lt;2")+SUMIFS(tbl_task4[S144],tbl_task4[[SubPLOs]:[SubPLOs]],"&gt;=1",tbl_task4[[SubPLOs]:[SubPLOs]],"&lt;2")+SUMIFS(tbl_task5[S144],tbl_task5[[SubPLOs]:[SubPLOs]],"&gt;=1",tbl_task5[[SubPLOs]:[SubPLOs]],"&lt;2")+SUMIFS(tbl_task6[S144],tbl_task6[[SubPLOs]:[SubPLOs]],"&gt;=1",tbl_task6[[SubPLOs]:[SubPLOs]],"&lt;2")+SUMIFS(tbl_task7[S144],tbl_task7[[SubPLOs]:[SubPLOs]],"&gt;=1",tbl_task7[[SubPLOs]:[SubPLOs]],"&lt;2")+SUMIFS(tbl_task8[S144],tbl_task8[[SubPLOs]:[SubPLOs]],"&gt;=1",tbl_task8[[SubPLOs]:[SubPLOs]],"&lt;2")+SUMIFS(tbl_task9[S144],tbl_task9[[SubPLOs]:[SubPLOs]],"&gt;=1",tbl_task9[[SubPLOs]:[SubPLOs]],"&lt;2")+SUMIFS(tbl_task10[S144],tbl_task10[[SubPLOs]:[SubPLOs]],"&gt;=1",tbl_task10[[SubPLOs]:[SubPLOs]],"&lt;2")</f>
        <v>0</v>
      </c>
      <c r="ET180" s="41">
        <f>SUMIFS(tbl_task1[S145],tbl_task1[[SubPLOs]:[SubPLOs]],"&gt;=1",tbl_task1[[SubPLOs]:[SubPLOs]],"&lt;2")+SUMIFS(tbl_task2[S145],tbl_task2[[SubPLOs]:[SubPLOs]],"&gt;=1",tbl_task2[[SubPLOs]:[SubPLOs]],"&lt;2")+SUMIFS(tbl_task3[S145],tbl_task3[[SubPLOs]:[SubPLOs]],"&gt;=1",tbl_task3[[SubPLOs]:[SubPLOs]],"&lt;2")+SUMIFS(tbl_task4[S145],tbl_task4[[SubPLOs]:[SubPLOs]],"&gt;=1",tbl_task4[[SubPLOs]:[SubPLOs]],"&lt;2")+SUMIFS(tbl_task5[S145],tbl_task5[[SubPLOs]:[SubPLOs]],"&gt;=1",tbl_task5[[SubPLOs]:[SubPLOs]],"&lt;2")+SUMIFS(tbl_task6[S145],tbl_task6[[SubPLOs]:[SubPLOs]],"&gt;=1",tbl_task6[[SubPLOs]:[SubPLOs]],"&lt;2")+SUMIFS(tbl_task7[S145],tbl_task7[[SubPLOs]:[SubPLOs]],"&gt;=1",tbl_task7[[SubPLOs]:[SubPLOs]],"&lt;2")+SUMIFS(tbl_task8[S145],tbl_task8[[SubPLOs]:[SubPLOs]],"&gt;=1",tbl_task8[[SubPLOs]:[SubPLOs]],"&lt;2")+SUMIFS(tbl_task9[S145],tbl_task9[[SubPLOs]:[SubPLOs]],"&gt;=1",tbl_task9[[SubPLOs]:[SubPLOs]],"&lt;2")+SUMIFS(tbl_task10[S145],tbl_task10[[SubPLOs]:[SubPLOs]],"&gt;=1",tbl_task10[[SubPLOs]:[SubPLOs]],"&lt;2")</f>
        <v>0</v>
      </c>
      <c r="EU180" s="41">
        <f>SUMIFS(tbl_task1[S146],tbl_task1[[SubPLOs]:[SubPLOs]],"&gt;=1",tbl_task1[[SubPLOs]:[SubPLOs]],"&lt;2")+SUMIFS(tbl_task2[S146],tbl_task2[[SubPLOs]:[SubPLOs]],"&gt;=1",tbl_task2[[SubPLOs]:[SubPLOs]],"&lt;2")+SUMIFS(tbl_task3[S146],tbl_task3[[SubPLOs]:[SubPLOs]],"&gt;=1",tbl_task3[[SubPLOs]:[SubPLOs]],"&lt;2")+SUMIFS(tbl_task4[S146],tbl_task4[[SubPLOs]:[SubPLOs]],"&gt;=1",tbl_task4[[SubPLOs]:[SubPLOs]],"&lt;2")+SUMIFS(tbl_task5[S146],tbl_task5[[SubPLOs]:[SubPLOs]],"&gt;=1",tbl_task5[[SubPLOs]:[SubPLOs]],"&lt;2")+SUMIFS(tbl_task6[S146],tbl_task6[[SubPLOs]:[SubPLOs]],"&gt;=1",tbl_task6[[SubPLOs]:[SubPLOs]],"&lt;2")+SUMIFS(tbl_task7[S146],tbl_task7[[SubPLOs]:[SubPLOs]],"&gt;=1",tbl_task7[[SubPLOs]:[SubPLOs]],"&lt;2")+SUMIFS(tbl_task8[S146],tbl_task8[[SubPLOs]:[SubPLOs]],"&gt;=1",tbl_task8[[SubPLOs]:[SubPLOs]],"&lt;2")+SUMIFS(tbl_task9[S146],tbl_task9[[SubPLOs]:[SubPLOs]],"&gt;=1",tbl_task9[[SubPLOs]:[SubPLOs]],"&lt;2")+SUMIFS(tbl_task10[S146],tbl_task10[[SubPLOs]:[SubPLOs]],"&gt;=1",tbl_task10[[SubPLOs]:[SubPLOs]],"&lt;2")</f>
        <v>0</v>
      </c>
      <c r="EV180" s="41">
        <f>SUMIFS(tbl_task1[S147],tbl_task1[[SubPLOs]:[SubPLOs]],"&gt;=1",tbl_task1[[SubPLOs]:[SubPLOs]],"&lt;2")+SUMIFS(tbl_task2[S147],tbl_task2[[SubPLOs]:[SubPLOs]],"&gt;=1",tbl_task2[[SubPLOs]:[SubPLOs]],"&lt;2")+SUMIFS(tbl_task3[S147],tbl_task3[[SubPLOs]:[SubPLOs]],"&gt;=1",tbl_task3[[SubPLOs]:[SubPLOs]],"&lt;2")+SUMIFS(tbl_task4[S147],tbl_task4[[SubPLOs]:[SubPLOs]],"&gt;=1",tbl_task4[[SubPLOs]:[SubPLOs]],"&lt;2")+SUMIFS(tbl_task5[S147],tbl_task5[[SubPLOs]:[SubPLOs]],"&gt;=1",tbl_task5[[SubPLOs]:[SubPLOs]],"&lt;2")+SUMIFS(tbl_task6[S147],tbl_task6[[SubPLOs]:[SubPLOs]],"&gt;=1",tbl_task6[[SubPLOs]:[SubPLOs]],"&lt;2")+SUMIFS(tbl_task7[S147],tbl_task7[[SubPLOs]:[SubPLOs]],"&gt;=1",tbl_task7[[SubPLOs]:[SubPLOs]],"&lt;2")+SUMIFS(tbl_task8[S147],tbl_task8[[SubPLOs]:[SubPLOs]],"&gt;=1",tbl_task8[[SubPLOs]:[SubPLOs]],"&lt;2")+SUMIFS(tbl_task9[S147],tbl_task9[[SubPLOs]:[SubPLOs]],"&gt;=1",tbl_task9[[SubPLOs]:[SubPLOs]],"&lt;2")+SUMIFS(tbl_task10[S147],tbl_task10[[SubPLOs]:[SubPLOs]],"&gt;=1",tbl_task10[[SubPLOs]:[SubPLOs]],"&lt;2")</f>
        <v>0</v>
      </c>
      <c r="EW180" s="41">
        <f>SUMIFS(tbl_task1[S148],tbl_task1[[SubPLOs]:[SubPLOs]],"&gt;=1",tbl_task1[[SubPLOs]:[SubPLOs]],"&lt;2")+SUMIFS(tbl_task2[S148],tbl_task2[[SubPLOs]:[SubPLOs]],"&gt;=1",tbl_task2[[SubPLOs]:[SubPLOs]],"&lt;2")+SUMIFS(tbl_task3[S148],tbl_task3[[SubPLOs]:[SubPLOs]],"&gt;=1",tbl_task3[[SubPLOs]:[SubPLOs]],"&lt;2")+SUMIFS(tbl_task4[S148],tbl_task4[[SubPLOs]:[SubPLOs]],"&gt;=1",tbl_task4[[SubPLOs]:[SubPLOs]],"&lt;2")+SUMIFS(tbl_task5[S148],tbl_task5[[SubPLOs]:[SubPLOs]],"&gt;=1",tbl_task5[[SubPLOs]:[SubPLOs]],"&lt;2")+SUMIFS(tbl_task6[S148],tbl_task6[[SubPLOs]:[SubPLOs]],"&gt;=1",tbl_task6[[SubPLOs]:[SubPLOs]],"&lt;2")+SUMIFS(tbl_task7[S148],tbl_task7[[SubPLOs]:[SubPLOs]],"&gt;=1",tbl_task7[[SubPLOs]:[SubPLOs]],"&lt;2")+SUMIFS(tbl_task8[S148],tbl_task8[[SubPLOs]:[SubPLOs]],"&gt;=1",tbl_task8[[SubPLOs]:[SubPLOs]],"&lt;2")+SUMIFS(tbl_task9[S148],tbl_task9[[SubPLOs]:[SubPLOs]],"&gt;=1",tbl_task9[[SubPLOs]:[SubPLOs]],"&lt;2")+SUMIFS(tbl_task10[S148],tbl_task10[[SubPLOs]:[SubPLOs]],"&gt;=1",tbl_task10[[SubPLOs]:[SubPLOs]],"&lt;2")</f>
        <v>0</v>
      </c>
      <c r="EX180" s="41">
        <f>SUMIFS(tbl_task1[S149],tbl_task1[[SubPLOs]:[SubPLOs]],"&gt;=1",tbl_task1[[SubPLOs]:[SubPLOs]],"&lt;2")+SUMIFS(tbl_task2[S149],tbl_task2[[SubPLOs]:[SubPLOs]],"&gt;=1",tbl_task2[[SubPLOs]:[SubPLOs]],"&lt;2")+SUMIFS(tbl_task3[S149],tbl_task3[[SubPLOs]:[SubPLOs]],"&gt;=1",tbl_task3[[SubPLOs]:[SubPLOs]],"&lt;2")+SUMIFS(tbl_task4[S149],tbl_task4[[SubPLOs]:[SubPLOs]],"&gt;=1",tbl_task4[[SubPLOs]:[SubPLOs]],"&lt;2")+SUMIFS(tbl_task5[S149],tbl_task5[[SubPLOs]:[SubPLOs]],"&gt;=1",tbl_task5[[SubPLOs]:[SubPLOs]],"&lt;2")+SUMIFS(tbl_task6[S149],tbl_task6[[SubPLOs]:[SubPLOs]],"&gt;=1",tbl_task6[[SubPLOs]:[SubPLOs]],"&lt;2")+SUMIFS(tbl_task7[S149],tbl_task7[[SubPLOs]:[SubPLOs]],"&gt;=1",tbl_task7[[SubPLOs]:[SubPLOs]],"&lt;2")+SUMIFS(tbl_task8[S149],tbl_task8[[SubPLOs]:[SubPLOs]],"&gt;=1",tbl_task8[[SubPLOs]:[SubPLOs]],"&lt;2")+SUMIFS(tbl_task9[S149],tbl_task9[[SubPLOs]:[SubPLOs]],"&gt;=1",tbl_task9[[SubPLOs]:[SubPLOs]],"&lt;2")+SUMIFS(tbl_task10[S149],tbl_task10[[SubPLOs]:[SubPLOs]],"&gt;=1",tbl_task10[[SubPLOs]:[SubPLOs]],"&lt;2")</f>
        <v>0</v>
      </c>
      <c r="EY180" s="41">
        <f>SUMIFS(tbl_task1[S150],tbl_task1[[SubPLOs]:[SubPLOs]],"&gt;=1",tbl_task1[[SubPLOs]:[SubPLOs]],"&lt;2")+SUMIFS(tbl_task2[S150],tbl_task2[[SubPLOs]:[SubPLOs]],"&gt;=1",tbl_task2[[SubPLOs]:[SubPLOs]],"&lt;2")+SUMIFS(tbl_task3[S150],tbl_task3[[SubPLOs]:[SubPLOs]],"&gt;=1",tbl_task3[[SubPLOs]:[SubPLOs]],"&lt;2")+SUMIFS(tbl_task4[S150],tbl_task4[[SubPLOs]:[SubPLOs]],"&gt;=1",tbl_task4[[SubPLOs]:[SubPLOs]],"&lt;2")+SUMIFS(tbl_task5[S150],tbl_task5[[SubPLOs]:[SubPLOs]],"&gt;=1",tbl_task5[[SubPLOs]:[SubPLOs]],"&lt;2")+SUMIFS(tbl_task6[S150],tbl_task6[[SubPLOs]:[SubPLOs]],"&gt;=1",tbl_task6[[SubPLOs]:[SubPLOs]],"&lt;2")+SUMIFS(tbl_task7[S150],tbl_task7[[SubPLOs]:[SubPLOs]],"&gt;=1",tbl_task7[[SubPLOs]:[SubPLOs]],"&lt;2")+SUMIFS(tbl_task8[S150],tbl_task8[[SubPLOs]:[SubPLOs]],"&gt;=1",tbl_task8[[SubPLOs]:[SubPLOs]],"&lt;2")+SUMIFS(tbl_task9[S150],tbl_task9[[SubPLOs]:[SubPLOs]],"&gt;=1",tbl_task9[[SubPLOs]:[SubPLOs]],"&lt;2")+SUMIFS(tbl_task10[S150],tbl_task10[[SubPLOs]:[SubPLOs]],"&gt;=1",tbl_task10[[SubPLOs]:[SubPLOs]],"&lt;2")</f>
        <v>0</v>
      </c>
      <c r="EZ180" s="41">
        <f>SUMIFS(tbl_task1[S151],tbl_task1[[SubPLOs]:[SubPLOs]],"&gt;=1",tbl_task1[[SubPLOs]:[SubPLOs]],"&lt;2")+SUMIFS(tbl_task2[S151],tbl_task2[[SubPLOs]:[SubPLOs]],"&gt;=1",tbl_task2[[SubPLOs]:[SubPLOs]],"&lt;2")+SUMIFS(tbl_task3[S151],tbl_task3[[SubPLOs]:[SubPLOs]],"&gt;=1",tbl_task3[[SubPLOs]:[SubPLOs]],"&lt;2")+SUMIFS(tbl_task4[S151],tbl_task4[[SubPLOs]:[SubPLOs]],"&gt;=1",tbl_task4[[SubPLOs]:[SubPLOs]],"&lt;2")+SUMIFS(tbl_task5[S151],tbl_task5[[SubPLOs]:[SubPLOs]],"&gt;=1",tbl_task5[[SubPLOs]:[SubPLOs]],"&lt;2")+SUMIFS(tbl_task6[S151],tbl_task6[[SubPLOs]:[SubPLOs]],"&gt;=1",tbl_task6[[SubPLOs]:[SubPLOs]],"&lt;2")+SUMIFS(tbl_task7[S151],tbl_task7[[SubPLOs]:[SubPLOs]],"&gt;=1",tbl_task7[[SubPLOs]:[SubPLOs]],"&lt;2")+SUMIFS(tbl_task8[S151],tbl_task8[[SubPLOs]:[SubPLOs]],"&gt;=1",tbl_task8[[SubPLOs]:[SubPLOs]],"&lt;2")+SUMIFS(tbl_task9[S151],tbl_task9[[SubPLOs]:[SubPLOs]],"&gt;=1",tbl_task9[[SubPLOs]:[SubPLOs]],"&lt;2")+SUMIFS(tbl_task10[S151],tbl_task10[[SubPLOs]:[SubPLOs]],"&gt;=1",tbl_task10[[SubPLOs]:[SubPLOs]],"&lt;2")</f>
        <v>0</v>
      </c>
      <c r="FA180" s="41">
        <f>SUMIFS(tbl_task1[S152],tbl_task1[[SubPLOs]:[SubPLOs]],"&gt;=1",tbl_task1[[SubPLOs]:[SubPLOs]],"&lt;2")+SUMIFS(tbl_task2[S152],tbl_task2[[SubPLOs]:[SubPLOs]],"&gt;=1",tbl_task2[[SubPLOs]:[SubPLOs]],"&lt;2")+SUMIFS(tbl_task3[S152],tbl_task3[[SubPLOs]:[SubPLOs]],"&gt;=1",tbl_task3[[SubPLOs]:[SubPLOs]],"&lt;2")+SUMIFS(tbl_task4[S152],tbl_task4[[SubPLOs]:[SubPLOs]],"&gt;=1",tbl_task4[[SubPLOs]:[SubPLOs]],"&lt;2")+SUMIFS(tbl_task5[S152],tbl_task5[[SubPLOs]:[SubPLOs]],"&gt;=1",tbl_task5[[SubPLOs]:[SubPLOs]],"&lt;2")+SUMIFS(tbl_task6[S152],tbl_task6[[SubPLOs]:[SubPLOs]],"&gt;=1",tbl_task6[[SubPLOs]:[SubPLOs]],"&lt;2")+SUMIFS(tbl_task7[S152],tbl_task7[[SubPLOs]:[SubPLOs]],"&gt;=1",tbl_task7[[SubPLOs]:[SubPLOs]],"&lt;2")+SUMIFS(tbl_task8[S152],tbl_task8[[SubPLOs]:[SubPLOs]],"&gt;=1",tbl_task8[[SubPLOs]:[SubPLOs]],"&lt;2")+SUMIFS(tbl_task9[S152],tbl_task9[[SubPLOs]:[SubPLOs]],"&gt;=1",tbl_task9[[SubPLOs]:[SubPLOs]],"&lt;2")+SUMIFS(tbl_task10[S152],tbl_task10[[SubPLOs]:[SubPLOs]],"&gt;=1",tbl_task10[[SubPLOs]:[SubPLOs]],"&lt;2")</f>
        <v>0</v>
      </c>
      <c r="FB180" s="41">
        <f>SUMIFS(tbl_task1[S153],tbl_task1[[SubPLOs]:[SubPLOs]],"&gt;=1",tbl_task1[[SubPLOs]:[SubPLOs]],"&lt;2")+SUMIFS(tbl_task2[S153],tbl_task2[[SubPLOs]:[SubPLOs]],"&gt;=1",tbl_task2[[SubPLOs]:[SubPLOs]],"&lt;2")+SUMIFS(tbl_task3[S153],tbl_task3[[SubPLOs]:[SubPLOs]],"&gt;=1",tbl_task3[[SubPLOs]:[SubPLOs]],"&lt;2")+SUMIFS(tbl_task4[S153],tbl_task4[[SubPLOs]:[SubPLOs]],"&gt;=1",tbl_task4[[SubPLOs]:[SubPLOs]],"&lt;2")+SUMIFS(tbl_task5[S153],tbl_task5[[SubPLOs]:[SubPLOs]],"&gt;=1",tbl_task5[[SubPLOs]:[SubPLOs]],"&lt;2")+SUMIFS(tbl_task6[S153],tbl_task6[[SubPLOs]:[SubPLOs]],"&gt;=1",tbl_task6[[SubPLOs]:[SubPLOs]],"&lt;2")+SUMIFS(tbl_task7[S153],tbl_task7[[SubPLOs]:[SubPLOs]],"&gt;=1",tbl_task7[[SubPLOs]:[SubPLOs]],"&lt;2")+SUMIFS(tbl_task8[S153],tbl_task8[[SubPLOs]:[SubPLOs]],"&gt;=1",tbl_task8[[SubPLOs]:[SubPLOs]],"&lt;2")+SUMIFS(tbl_task9[S153],tbl_task9[[SubPLOs]:[SubPLOs]],"&gt;=1",tbl_task9[[SubPLOs]:[SubPLOs]],"&lt;2")+SUMIFS(tbl_task10[S153],tbl_task10[[SubPLOs]:[SubPLOs]],"&gt;=1",tbl_task10[[SubPLOs]:[SubPLOs]],"&lt;2")</f>
        <v>0</v>
      </c>
      <c r="FC180" s="41">
        <f>SUMIFS(tbl_task1[S154],tbl_task1[[SubPLOs]:[SubPLOs]],"&gt;=1",tbl_task1[[SubPLOs]:[SubPLOs]],"&lt;2")+SUMIFS(tbl_task2[S154],tbl_task2[[SubPLOs]:[SubPLOs]],"&gt;=1",tbl_task2[[SubPLOs]:[SubPLOs]],"&lt;2")+SUMIFS(tbl_task3[S154],tbl_task3[[SubPLOs]:[SubPLOs]],"&gt;=1",tbl_task3[[SubPLOs]:[SubPLOs]],"&lt;2")+SUMIFS(tbl_task4[S154],tbl_task4[[SubPLOs]:[SubPLOs]],"&gt;=1",tbl_task4[[SubPLOs]:[SubPLOs]],"&lt;2")+SUMIFS(tbl_task5[S154],tbl_task5[[SubPLOs]:[SubPLOs]],"&gt;=1",tbl_task5[[SubPLOs]:[SubPLOs]],"&lt;2")+SUMIFS(tbl_task6[S154],tbl_task6[[SubPLOs]:[SubPLOs]],"&gt;=1",tbl_task6[[SubPLOs]:[SubPLOs]],"&lt;2")+SUMIFS(tbl_task7[S154],tbl_task7[[SubPLOs]:[SubPLOs]],"&gt;=1",tbl_task7[[SubPLOs]:[SubPLOs]],"&lt;2")+SUMIFS(tbl_task8[S154],tbl_task8[[SubPLOs]:[SubPLOs]],"&gt;=1",tbl_task8[[SubPLOs]:[SubPLOs]],"&lt;2")+SUMIFS(tbl_task9[S154],tbl_task9[[SubPLOs]:[SubPLOs]],"&gt;=1",tbl_task9[[SubPLOs]:[SubPLOs]],"&lt;2")+SUMIFS(tbl_task10[S154],tbl_task10[[SubPLOs]:[SubPLOs]],"&gt;=1",tbl_task10[[SubPLOs]:[SubPLOs]],"&lt;2")</f>
        <v>0</v>
      </c>
      <c r="FD180" s="41">
        <f>SUMIFS(tbl_task1[S155],tbl_task1[[SubPLOs]:[SubPLOs]],"&gt;=1",tbl_task1[[SubPLOs]:[SubPLOs]],"&lt;2")+SUMIFS(tbl_task2[S155],tbl_task2[[SubPLOs]:[SubPLOs]],"&gt;=1",tbl_task2[[SubPLOs]:[SubPLOs]],"&lt;2")+SUMIFS(tbl_task3[S155],tbl_task3[[SubPLOs]:[SubPLOs]],"&gt;=1",tbl_task3[[SubPLOs]:[SubPLOs]],"&lt;2")+SUMIFS(tbl_task4[S155],tbl_task4[[SubPLOs]:[SubPLOs]],"&gt;=1",tbl_task4[[SubPLOs]:[SubPLOs]],"&lt;2")+SUMIFS(tbl_task5[S155],tbl_task5[[SubPLOs]:[SubPLOs]],"&gt;=1",tbl_task5[[SubPLOs]:[SubPLOs]],"&lt;2")+SUMIFS(tbl_task6[S155],tbl_task6[[SubPLOs]:[SubPLOs]],"&gt;=1",tbl_task6[[SubPLOs]:[SubPLOs]],"&lt;2")+SUMIFS(tbl_task7[S155],tbl_task7[[SubPLOs]:[SubPLOs]],"&gt;=1",tbl_task7[[SubPLOs]:[SubPLOs]],"&lt;2")+SUMIFS(tbl_task8[S155],tbl_task8[[SubPLOs]:[SubPLOs]],"&gt;=1",tbl_task8[[SubPLOs]:[SubPLOs]],"&lt;2")+SUMIFS(tbl_task9[S155],tbl_task9[[SubPLOs]:[SubPLOs]],"&gt;=1",tbl_task9[[SubPLOs]:[SubPLOs]],"&lt;2")+SUMIFS(tbl_task10[S155],tbl_task10[[SubPLOs]:[SubPLOs]],"&gt;=1",tbl_task10[[SubPLOs]:[SubPLOs]],"&lt;2")</f>
        <v>0</v>
      </c>
      <c r="FE180" s="41">
        <f>SUMIFS(tbl_task1[S156],tbl_task1[[SubPLOs]:[SubPLOs]],"&gt;=1",tbl_task1[[SubPLOs]:[SubPLOs]],"&lt;2")+SUMIFS(tbl_task2[S156],tbl_task2[[SubPLOs]:[SubPLOs]],"&gt;=1",tbl_task2[[SubPLOs]:[SubPLOs]],"&lt;2")+SUMIFS(tbl_task3[S156],tbl_task3[[SubPLOs]:[SubPLOs]],"&gt;=1",tbl_task3[[SubPLOs]:[SubPLOs]],"&lt;2")+SUMIFS(tbl_task4[S156],tbl_task4[[SubPLOs]:[SubPLOs]],"&gt;=1",tbl_task4[[SubPLOs]:[SubPLOs]],"&lt;2")+SUMIFS(tbl_task5[S156],tbl_task5[[SubPLOs]:[SubPLOs]],"&gt;=1",tbl_task5[[SubPLOs]:[SubPLOs]],"&lt;2")+SUMIFS(tbl_task6[S156],tbl_task6[[SubPLOs]:[SubPLOs]],"&gt;=1",tbl_task6[[SubPLOs]:[SubPLOs]],"&lt;2")+SUMIFS(tbl_task7[S156],tbl_task7[[SubPLOs]:[SubPLOs]],"&gt;=1",tbl_task7[[SubPLOs]:[SubPLOs]],"&lt;2")+SUMIFS(tbl_task8[S156],tbl_task8[[SubPLOs]:[SubPLOs]],"&gt;=1",tbl_task8[[SubPLOs]:[SubPLOs]],"&lt;2")+SUMIFS(tbl_task9[S156],tbl_task9[[SubPLOs]:[SubPLOs]],"&gt;=1",tbl_task9[[SubPLOs]:[SubPLOs]],"&lt;2")+SUMIFS(tbl_task10[S156],tbl_task10[[SubPLOs]:[SubPLOs]],"&gt;=1",tbl_task10[[SubPLOs]:[SubPLOs]],"&lt;2")</f>
        <v>0</v>
      </c>
      <c r="FF180" s="41">
        <f>SUMIFS(tbl_task1[S157],tbl_task1[[SubPLOs]:[SubPLOs]],"&gt;=1",tbl_task1[[SubPLOs]:[SubPLOs]],"&lt;2")+SUMIFS(tbl_task2[S157],tbl_task2[[SubPLOs]:[SubPLOs]],"&gt;=1",tbl_task2[[SubPLOs]:[SubPLOs]],"&lt;2")+SUMIFS(tbl_task3[S157],tbl_task3[[SubPLOs]:[SubPLOs]],"&gt;=1",tbl_task3[[SubPLOs]:[SubPLOs]],"&lt;2")+SUMIFS(tbl_task4[S157],tbl_task4[[SubPLOs]:[SubPLOs]],"&gt;=1",tbl_task4[[SubPLOs]:[SubPLOs]],"&lt;2")+SUMIFS(tbl_task5[S157],tbl_task5[[SubPLOs]:[SubPLOs]],"&gt;=1",tbl_task5[[SubPLOs]:[SubPLOs]],"&lt;2")+SUMIFS(tbl_task6[S157],tbl_task6[[SubPLOs]:[SubPLOs]],"&gt;=1",tbl_task6[[SubPLOs]:[SubPLOs]],"&lt;2")+SUMIFS(tbl_task7[S157],tbl_task7[[SubPLOs]:[SubPLOs]],"&gt;=1",tbl_task7[[SubPLOs]:[SubPLOs]],"&lt;2")+SUMIFS(tbl_task8[S157],tbl_task8[[SubPLOs]:[SubPLOs]],"&gt;=1",tbl_task8[[SubPLOs]:[SubPLOs]],"&lt;2")+SUMIFS(tbl_task9[S157],tbl_task9[[SubPLOs]:[SubPLOs]],"&gt;=1",tbl_task9[[SubPLOs]:[SubPLOs]],"&lt;2")+SUMIFS(tbl_task10[S157],tbl_task10[[SubPLOs]:[SubPLOs]],"&gt;=1",tbl_task10[[SubPLOs]:[SubPLOs]],"&lt;2")</f>
        <v>0</v>
      </c>
      <c r="FG180" s="41">
        <f>SUMIFS(tbl_task1[S158],tbl_task1[[SubPLOs]:[SubPLOs]],"&gt;=1",tbl_task1[[SubPLOs]:[SubPLOs]],"&lt;2")+SUMIFS(tbl_task2[S158],tbl_task2[[SubPLOs]:[SubPLOs]],"&gt;=1",tbl_task2[[SubPLOs]:[SubPLOs]],"&lt;2")+SUMIFS(tbl_task3[S158],tbl_task3[[SubPLOs]:[SubPLOs]],"&gt;=1",tbl_task3[[SubPLOs]:[SubPLOs]],"&lt;2")+SUMIFS(tbl_task4[S158],tbl_task4[[SubPLOs]:[SubPLOs]],"&gt;=1",tbl_task4[[SubPLOs]:[SubPLOs]],"&lt;2")+SUMIFS(tbl_task5[S158],tbl_task5[[SubPLOs]:[SubPLOs]],"&gt;=1",tbl_task5[[SubPLOs]:[SubPLOs]],"&lt;2")+SUMIFS(tbl_task6[S158],tbl_task6[[SubPLOs]:[SubPLOs]],"&gt;=1",tbl_task6[[SubPLOs]:[SubPLOs]],"&lt;2")+SUMIFS(tbl_task7[S158],tbl_task7[[SubPLOs]:[SubPLOs]],"&gt;=1",tbl_task7[[SubPLOs]:[SubPLOs]],"&lt;2")+SUMIFS(tbl_task8[S158],tbl_task8[[SubPLOs]:[SubPLOs]],"&gt;=1",tbl_task8[[SubPLOs]:[SubPLOs]],"&lt;2")+SUMIFS(tbl_task9[S158],tbl_task9[[SubPLOs]:[SubPLOs]],"&gt;=1",tbl_task9[[SubPLOs]:[SubPLOs]],"&lt;2")+SUMIFS(tbl_task10[S158],tbl_task10[[SubPLOs]:[SubPLOs]],"&gt;=1",tbl_task10[[SubPLOs]:[SubPLOs]],"&lt;2")</f>
        <v>0</v>
      </c>
      <c r="FH180" s="41">
        <f>SUMIFS(tbl_task1[S159],tbl_task1[[SubPLOs]:[SubPLOs]],"&gt;=1",tbl_task1[[SubPLOs]:[SubPLOs]],"&lt;2")+SUMIFS(tbl_task2[S159],tbl_task2[[SubPLOs]:[SubPLOs]],"&gt;=1",tbl_task2[[SubPLOs]:[SubPLOs]],"&lt;2")+SUMIFS(tbl_task3[S159],tbl_task3[[SubPLOs]:[SubPLOs]],"&gt;=1",tbl_task3[[SubPLOs]:[SubPLOs]],"&lt;2")+SUMIFS(tbl_task4[S159],tbl_task4[[SubPLOs]:[SubPLOs]],"&gt;=1",tbl_task4[[SubPLOs]:[SubPLOs]],"&lt;2")+SUMIFS(tbl_task5[S159],tbl_task5[[SubPLOs]:[SubPLOs]],"&gt;=1",tbl_task5[[SubPLOs]:[SubPLOs]],"&lt;2")+SUMIFS(tbl_task6[S159],tbl_task6[[SubPLOs]:[SubPLOs]],"&gt;=1",tbl_task6[[SubPLOs]:[SubPLOs]],"&lt;2")+SUMIFS(tbl_task7[S159],tbl_task7[[SubPLOs]:[SubPLOs]],"&gt;=1",tbl_task7[[SubPLOs]:[SubPLOs]],"&lt;2")+SUMIFS(tbl_task8[S159],tbl_task8[[SubPLOs]:[SubPLOs]],"&gt;=1",tbl_task8[[SubPLOs]:[SubPLOs]],"&lt;2")+SUMIFS(tbl_task9[S159],tbl_task9[[SubPLOs]:[SubPLOs]],"&gt;=1",tbl_task9[[SubPLOs]:[SubPLOs]],"&lt;2")+SUMIFS(tbl_task10[S159],tbl_task10[[SubPLOs]:[SubPLOs]],"&gt;=1",tbl_task10[[SubPLOs]:[SubPLOs]],"&lt;2")</f>
        <v>0</v>
      </c>
      <c r="FI180" s="41">
        <f>SUMIFS(tbl_task1[S160],tbl_task1[[SubPLOs]:[SubPLOs]],"&gt;=1",tbl_task1[[SubPLOs]:[SubPLOs]],"&lt;2")+SUMIFS(tbl_task2[S160],tbl_task2[[SubPLOs]:[SubPLOs]],"&gt;=1",tbl_task2[[SubPLOs]:[SubPLOs]],"&lt;2")+SUMIFS(tbl_task3[S160],tbl_task3[[SubPLOs]:[SubPLOs]],"&gt;=1",tbl_task3[[SubPLOs]:[SubPLOs]],"&lt;2")+SUMIFS(tbl_task4[S160],tbl_task4[[SubPLOs]:[SubPLOs]],"&gt;=1",tbl_task4[[SubPLOs]:[SubPLOs]],"&lt;2")+SUMIFS(tbl_task5[S160],tbl_task5[[SubPLOs]:[SubPLOs]],"&gt;=1",tbl_task5[[SubPLOs]:[SubPLOs]],"&lt;2")+SUMIFS(tbl_task6[S160],tbl_task6[[SubPLOs]:[SubPLOs]],"&gt;=1",tbl_task6[[SubPLOs]:[SubPLOs]],"&lt;2")+SUMIFS(tbl_task7[S160],tbl_task7[[SubPLOs]:[SubPLOs]],"&gt;=1",tbl_task7[[SubPLOs]:[SubPLOs]],"&lt;2")+SUMIFS(tbl_task8[S160],tbl_task8[[SubPLOs]:[SubPLOs]],"&gt;=1",tbl_task8[[SubPLOs]:[SubPLOs]],"&lt;2")+SUMIFS(tbl_task9[S160],tbl_task9[[SubPLOs]:[SubPLOs]],"&gt;=1",tbl_task9[[SubPLOs]:[SubPLOs]],"&lt;2")+SUMIFS(tbl_task10[S160],tbl_task10[[SubPLOs]:[SubPLOs]],"&gt;=1",tbl_task10[[SubPLOs]:[SubPLOs]],"&lt;2")</f>
        <v>0</v>
      </c>
      <c r="FJ180" s="41">
        <f>SUMIFS(tbl_task1[S161],tbl_task1[[SubPLOs]:[SubPLOs]],"&gt;=1",tbl_task1[[SubPLOs]:[SubPLOs]],"&lt;2")+SUMIFS(tbl_task2[S161],tbl_task2[[SubPLOs]:[SubPLOs]],"&gt;=1",tbl_task2[[SubPLOs]:[SubPLOs]],"&lt;2")+SUMIFS(tbl_task3[S161],tbl_task3[[SubPLOs]:[SubPLOs]],"&gt;=1",tbl_task3[[SubPLOs]:[SubPLOs]],"&lt;2")+SUMIFS(tbl_task4[S161],tbl_task4[[SubPLOs]:[SubPLOs]],"&gt;=1",tbl_task4[[SubPLOs]:[SubPLOs]],"&lt;2")+SUMIFS(tbl_task5[S161],tbl_task5[[SubPLOs]:[SubPLOs]],"&gt;=1",tbl_task5[[SubPLOs]:[SubPLOs]],"&lt;2")+SUMIFS(tbl_task6[S161],tbl_task6[[SubPLOs]:[SubPLOs]],"&gt;=1",tbl_task6[[SubPLOs]:[SubPLOs]],"&lt;2")+SUMIFS(tbl_task7[S161],tbl_task7[[SubPLOs]:[SubPLOs]],"&gt;=1",tbl_task7[[SubPLOs]:[SubPLOs]],"&lt;2")+SUMIFS(tbl_task8[S161],tbl_task8[[SubPLOs]:[SubPLOs]],"&gt;=1",tbl_task8[[SubPLOs]:[SubPLOs]],"&lt;2")+SUMIFS(tbl_task9[S161],tbl_task9[[SubPLOs]:[SubPLOs]],"&gt;=1",tbl_task9[[SubPLOs]:[SubPLOs]],"&lt;2")+SUMIFS(tbl_task10[S161],tbl_task10[[SubPLOs]:[SubPLOs]],"&gt;=1",tbl_task10[[SubPLOs]:[SubPLOs]],"&lt;2")</f>
        <v>0</v>
      </c>
      <c r="FK180" s="41">
        <f>SUMIFS(tbl_task1[S162],tbl_task1[[SubPLOs]:[SubPLOs]],"&gt;=1",tbl_task1[[SubPLOs]:[SubPLOs]],"&lt;2")+SUMIFS(tbl_task2[S162],tbl_task2[[SubPLOs]:[SubPLOs]],"&gt;=1",tbl_task2[[SubPLOs]:[SubPLOs]],"&lt;2")+SUMIFS(tbl_task3[S162],tbl_task3[[SubPLOs]:[SubPLOs]],"&gt;=1",tbl_task3[[SubPLOs]:[SubPLOs]],"&lt;2")+SUMIFS(tbl_task4[S162],tbl_task4[[SubPLOs]:[SubPLOs]],"&gt;=1",tbl_task4[[SubPLOs]:[SubPLOs]],"&lt;2")+SUMIFS(tbl_task5[S162],tbl_task5[[SubPLOs]:[SubPLOs]],"&gt;=1",tbl_task5[[SubPLOs]:[SubPLOs]],"&lt;2")+SUMIFS(tbl_task6[S162],tbl_task6[[SubPLOs]:[SubPLOs]],"&gt;=1",tbl_task6[[SubPLOs]:[SubPLOs]],"&lt;2")+SUMIFS(tbl_task7[S162],tbl_task7[[SubPLOs]:[SubPLOs]],"&gt;=1",tbl_task7[[SubPLOs]:[SubPLOs]],"&lt;2")+SUMIFS(tbl_task8[S162],tbl_task8[[SubPLOs]:[SubPLOs]],"&gt;=1",tbl_task8[[SubPLOs]:[SubPLOs]],"&lt;2")+SUMIFS(tbl_task9[S162],tbl_task9[[SubPLOs]:[SubPLOs]],"&gt;=1",tbl_task9[[SubPLOs]:[SubPLOs]],"&lt;2")+SUMIFS(tbl_task10[S162],tbl_task10[[SubPLOs]:[SubPLOs]],"&gt;=1",tbl_task10[[SubPLOs]:[SubPLOs]],"&lt;2")</f>
        <v>0</v>
      </c>
      <c r="FL180" s="41">
        <f>SUMIFS(tbl_task1[S163],tbl_task1[[SubPLOs]:[SubPLOs]],"&gt;=1",tbl_task1[[SubPLOs]:[SubPLOs]],"&lt;2")+SUMIFS(tbl_task2[S163],tbl_task2[[SubPLOs]:[SubPLOs]],"&gt;=1",tbl_task2[[SubPLOs]:[SubPLOs]],"&lt;2")+SUMIFS(tbl_task3[S163],tbl_task3[[SubPLOs]:[SubPLOs]],"&gt;=1",tbl_task3[[SubPLOs]:[SubPLOs]],"&lt;2")+SUMIFS(tbl_task4[S163],tbl_task4[[SubPLOs]:[SubPLOs]],"&gt;=1",tbl_task4[[SubPLOs]:[SubPLOs]],"&lt;2")+SUMIFS(tbl_task5[S163],tbl_task5[[SubPLOs]:[SubPLOs]],"&gt;=1",tbl_task5[[SubPLOs]:[SubPLOs]],"&lt;2")+SUMIFS(tbl_task6[S163],tbl_task6[[SubPLOs]:[SubPLOs]],"&gt;=1",tbl_task6[[SubPLOs]:[SubPLOs]],"&lt;2")+SUMIFS(tbl_task7[S163],tbl_task7[[SubPLOs]:[SubPLOs]],"&gt;=1",tbl_task7[[SubPLOs]:[SubPLOs]],"&lt;2")+SUMIFS(tbl_task8[S163],tbl_task8[[SubPLOs]:[SubPLOs]],"&gt;=1",tbl_task8[[SubPLOs]:[SubPLOs]],"&lt;2")+SUMIFS(tbl_task9[S163],tbl_task9[[SubPLOs]:[SubPLOs]],"&gt;=1",tbl_task9[[SubPLOs]:[SubPLOs]],"&lt;2")+SUMIFS(tbl_task10[S163],tbl_task10[[SubPLOs]:[SubPLOs]],"&gt;=1",tbl_task10[[SubPLOs]:[SubPLOs]],"&lt;2")</f>
        <v>0</v>
      </c>
      <c r="FM180" s="41">
        <f>SUMIFS(tbl_task1[S164],tbl_task1[[SubPLOs]:[SubPLOs]],"&gt;=1",tbl_task1[[SubPLOs]:[SubPLOs]],"&lt;2")+SUMIFS(tbl_task2[S164],tbl_task2[[SubPLOs]:[SubPLOs]],"&gt;=1",tbl_task2[[SubPLOs]:[SubPLOs]],"&lt;2")+SUMIFS(tbl_task3[S164],tbl_task3[[SubPLOs]:[SubPLOs]],"&gt;=1",tbl_task3[[SubPLOs]:[SubPLOs]],"&lt;2")+SUMIFS(tbl_task4[S164],tbl_task4[[SubPLOs]:[SubPLOs]],"&gt;=1",tbl_task4[[SubPLOs]:[SubPLOs]],"&lt;2")+SUMIFS(tbl_task5[S164],tbl_task5[[SubPLOs]:[SubPLOs]],"&gt;=1",tbl_task5[[SubPLOs]:[SubPLOs]],"&lt;2")+SUMIFS(tbl_task6[S164],tbl_task6[[SubPLOs]:[SubPLOs]],"&gt;=1",tbl_task6[[SubPLOs]:[SubPLOs]],"&lt;2")+SUMIFS(tbl_task7[S164],tbl_task7[[SubPLOs]:[SubPLOs]],"&gt;=1",tbl_task7[[SubPLOs]:[SubPLOs]],"&lt;2")+SUMIFS(tbl_task8[S164],tbl_task8[[SubPLOs]:[SubPLOs]],"&gt;=1",tbl_task8[[SubPLOs]:[SubPLOs]],"&lt;2")+SUMIFS(tbl_task9[S164],tbl_task9[[SubPLOs]:[SubPLOs]],"&gt;=1",tbl_task9[[SubPLOs]:[SubPLOs]],"&lt;2")+SUMIFS(tbl_task10[S164],tbl_task10[[SubPLOs]:[SubPLOs]],"&gt;=1",tbl_task10[[SubPLOs]:[SubPLOs]],"&lt;2")</f>
        <v>0</v>
      </c>
      <c r="FN180" s="41">
        <f>SUMIFS(tbl_task1[S165],tbl_task1[[SubPLOs]:[SubPLOs]],"&gt;=1",tbl_task1[[SubPLOs]:[SubPLOs]],"&lt;2")+SUMIFS(tbl_task2[S165],tbl_task2[[SubPLOs]:[SubPLOs]],"&gt;=1",tbl_task2[[SubPLOs]:[SubPLOs]],"&lt;2")+SUMIFS(tbl_task3[S165],tbl_task3[[SubPLOs]:[SubPLOs]],"&gt;=1",tbl_task3[[SubPLOs]:[SubPLOs]],"&lt;2")+SUMIFS(tbl_task4[S165],tbl_task4[[SubPLOs]:[SubPLOs]],"&gt;=1",tbl_task4[[SubPLOs]:[SubPLOs]],"&lt;2")+SUMIFS(tbl_task5[S165],tbl_task5[[SubPLOs]:[SubPLOs]],"&gt;=1",tbl_task5[[SubPLOs]:[SubPLOs]],"&lt;2")+SUMIFS(tbl_task6[S165],tbl_task6[[SubPLOs]:[SubPLOs]],"&gt;=1",tbl_task6[[SubPLOs]:[SubPLOs]],"&lt;2")+SUMIFS(tbl_task7[S165],tbl_task7[[SubPLOs]:[SubPLOs]],"&gt;=1",tbl_task7[[SubPLOs]:[SubPLOs]],"&lt;2")+SUMIFS(tbl_task8[S165],tbl_task8[[SubPLOs]:[SubPLOs]],"&gt;=1",tbl_task8[[SubPLOs]:[SubPLOs]],"&lt;2")+SUMIFS(tbl_task9[S165],tbl_task9[[SubPLOs]:[SubPLOs]],"&gt;=1",tbl_task9[[SubPLOs]:[SubPLOs]],"&lt;2")+SUMIFS(tbl_task10[S165],tbl_task10[[SubPLOs]:[SubPLOs]],"&gt;=1",tbl_task10[[SubPLOs]:[SubPLOs]],"&lt;2")</f>
        <v>0</v>
      </c>
    </row>
    <row r="181" spans="1:170" ht="231" customHeight="1" x14ac:dyDescent="0.25">
      <c r="A181" s="135">
        <v>2</v>
      </c>
      <c r="B181" s="5" t="s">
        <v>435</v>
      </c>
      <c r="C181" s="86">
        <f>COUNTIFS(tbl_task1[SubPLOs],"&gt;=2",tbl_task1[SubPLOs],"&lt;3")+COUNTIFS(tbl_task2[SubPLOs],"&gt;=2",tbl_task2[SubPLOs],"&lt;3")+COUNTIFS(tbl_task3[SubPLOs],"&gt;=2",tbl_task3[SubPLOs],"&lt;3")+COUNTIFS(tbl_task4[SubPLOs],"&gt;=2",tbl_task4[SubPLOs],"&lt;3")+COUNTIFS(tbl_task5[SubPLOs],"&gt;=2",tbl_task5[SubPLOs],"&lt;3")+COUNTIFS(tbl_task6[SubPLOs],"&gt;=2",tbl_task6[SubPLOs],"&lt;3")+COUNTIFS(tbl_task7[SubPLOs],"&gt;=2",tbl_task7[SubPLOs],"&lt;3")+COUNTIFS(tbl_task8[SubPLOs],"&gt;=2",tbl_task8[SubPLOs],"&lt;3")+COUNTIFS(tbl_task9[SubPLOs],"&gt;=2",tbl_task9[SubPLOs],"&lt;3")+COUNTIFS(tbl_task10[SubPLOs],"&gt;=2",tbl_task10[SubPLOs],"&lt;3")</f>
        <v>0</v>
      </c>
      <c r="D181" s="86">
        <f>SUMIFS(tbl_task1[คะแนนเต็ม],tbl_task1[SubPLOs],"&gt;=2",tbl_task1[SubPLOs],"&lt;3")+SUMIFS(tbl_task2[คะแนนเต็ม],tbl_task2[SubPLOs],"&gt;=2",tbl_task2[SubPLOs],"&lt;3")+SUMIFS(tbl_task3[คะแนนเต็ม],tbl_task3[SubPLOs],"&gt;=2",tbl_task3[SubPLOs],"&lt;3")+SUMIFS(tbl_task4[คะแนนเต็ม],tbl_task4[SubPLOs],"&gt;=2",tbl_task4[SubPLOs],"&lt;3")+SUMIFS(tbl_task5[คะแนนเต็ม],tbl_task5[SubPLOs],"&gt;=2",tbl_task5[SubPLOs],"&lt;3")+SUMIFS(tbl_task6[คะแนนเต็ม],tbl_task6[SubPLOs],"&gt;=2",tbl_task6[SubPLOs],"&lt;3")+SUMIFS(tbl_task7[คะแนนเต็ม],tbl_task7[SubPLOs],"&gt;=2",tbl_task7[SubPLOs],"&lt;3")+SUMIFS(tbl_task8[คะแนนเต็ม],tbl_task8[SubPLOs],"&gt;=2",tbl_task8[SubPLOs],"&lt;3")+SUMIFS(tbl_task9[คะแนนเต็ม],tbl_task9[SubPLOs],"&gt;=2",tbl_task9[SubPLOs],"&lt;3")+SUMIFS(tbl_task10[คะแนนเต็ม],tbl_task10[SubPLOs],"&gt;=2",tbl_task10[SubPLOs],"&lt;3")</f>
        <v>0</v>
      </c>
      <c r="E181" s="47">
        <f>SUMIFS(tbl_task1[%],tbl_task1[SubPLOs],"&gt;=2",tbl_task1[SubPLOs],"&lt;3")+SUMIFS(tbl_task2[%],tbl_task2[SubPLOs],"&gt;=2",tbl_task2[SubPLOs],"&lt;3")+SUMIFS(tbl_task3[%],tbl_task3[SubPLOs],"&gt;=2",tbl_task3[SubPLOs],"&lt;3")+SUMIFS(tbl_task4[%],tbl_task4[SubPLOs],"&gt;=2",tbl_task4[SubPLOs],"&lt;3")+SUMIFS(tbl_task5[%],tbl_task5[SubPLOs],"&gt;=2",tbl_task5[SubPLOs],"&lt;3")+SUMIFS(tbl_task6[%],tbl_task6[SubPLOs],"&gt;=2",tbl_task6[SubPLOs],"&lt;3")+SUMIFS(tbl_task7[%],tbl_task7[SubPLOs],"&gt;=2",tbl_task7[SubPLOs],"&lt;3")+SUMIFS(tbl_task8[%],tbl_task8[SubPLOs],"&gt;=2",tbl_task8[SubPLOs],"&lt;3")+SUMIFS(tbl_task9[%],tbl_task9[SubPLOs],"&gt;=2",tbl_task9[SubPLOs],"&lt;3")+SUMIFS(tbl_task10[%],tbl_task10[SubPLOs],"&gt;=2",tbl_task10[SubPLOs],"&lt;3")</f>
        <v>0</v>
      </c>
      <c r="F181" s="41">
        <f>SUMIFS(tbl_task1[S1],tbl_task1[[SubPLOs]:[SubPLOs]],"&gt;=2",tbl_task1[[SubPLOs]:[SubPLOs]],"&lt;3")+SUMIFS(tbl_task2[S1],tbl_task2[[SubPLOs]:[SubPLOs]],"&gt;=2",tbl_task2[[SubPLOs]:[SubPLOs]],"&lt;3")+SUMIFS(tbl_task3[S1],tbl_task3[[SubPLOs]:[SubPLOs]],"&gt;=2",tbl_task3[[SubPLOs]:[SubPLOs]],"&lt;3")+SUMIFS(tbl_task4[S1],tbl_task4[[SubPLOs]:[SubPLOs]],"&gt;=2",tbl_task4[[SubPLOs]:[SubPLOs]],"&lt;3")+SUMIFS(tbl_task5[S1],tbl_task5[[SubPLOs]:[SubPLOs]],"&gt;=2",tbl_task5[[SubPLOs]:[SubPLOs]],"&lt;3")+SUMIFS(tbl_task6[S1],tbl_task6[[SubPLOs]:[SubPLOs]],"&gt;=2",tbl_task6[[SubPLOs]:[SubPLOs]],"&lt;3")+SUMIFS(tbl_task7[S1],tbl_task7[[SubPLOs]:[SubPLOs]],"&gt;=2",tbl_task7[[SubPLOs]:[SubPLOs]],"&lt;3")+SUMIFS(tbl_task8[S1],tbl_task8[[SubPLOs]:[SubPLOs]],"&gt;=2",tbl_task8[[SubPLOs]:[SubPLOs]],"&lt;3")+SUMIFS(tbl_task9[S1],tbl_task9[[SubPLOs]:[SubPLOs]],"&gt;=2",tbl_task9[[SubPLOs]:[SubPLOs]],"&lt;3")+SUMIFS(tbl_task10[S1],tbl_task10[[SubPLOs]:[SubPLOs]],"&gt;=2",tbl_task10[[SubPLOs]:[SubPLOs]],"&lt;3")</f>
        <v>0</v>
      </c>
      <c r="G181" s="41">
        <f>SUMIFS(tbl_task1[S2],tbl_task1[[SubPLOs]:[SubPLOs]],"&gt;=2",tbl_task1[[SubPLOs]:[SubPLOs]],"&lt;3")+SUMIFS(tbl_task2[S2],tbl_task2[[SubPLOs]:[SubPLOs]],"&gt;=2",tbl_task2[[SubPLOs]:[SubPLOs]],"&lt;3")+SUMIFS(tbl_task3[S2],tbl_task3[[SubPLOs]:[SubPLOs]],"&gt;=2",tbl_task3[[SubPLOs]:[SubPLOs]],"&lt;3")+SUMIFS(tbl_task4[S2],tbl_task4[[SubPLOs]:[SubPLOs]],"&gt;=2",tbl_task4[[SubPLOs]:[SubPLOs]],"&lt;3")+SUMIFS(tbl_task5[S2],tbl_task5[[SubPLOs]:[SubPLOs]],"&gt;=2",tbl_task5[[SubPLOs]:[SubPLOs]],"&lt;3")+SUMIFS(tbl_task6[S2],tbl_task6[[SubPLOs]:[SubPLOs]],"&gt;=2",tbl_task6[[SubPLOs]:[SubPLOs]],"&lt;3")+SUMIFS(tbl_task7[S2],tbl_task7[[SubPLOs]:[SubPLOs]],"&gt;=2",tbl_task7[[SubPLOs]:[SubPLOs]],"&lt;3")+SUMIFS(tbl_task8[S2],tbl_task8[[SubPLOs]:[SubPLOs]],"&gt;=2",tbl_task8[[SubPLOs]:[SubPLOs]],"&lt;3")+SUMIFS(tbl_task9[S2],tbl_task9[[SubPLOs]:[SubPLOs]],"&gt;=2",tbl_task9[[SubPLOs]:[SubPLOs]],"&lt;3")+SUMIFS(tbl_task10[S2],tbl_task10[[SubPLOs]:[SubPLOs]],"&gt;=2",tbl_task10[[SubPLOs]:[SubPLOs]],"&lt;3")</f>
        <v>0</v>
      </c>
      <c r="H181" s="41">
        <f>SUMIFS(tbl_task1[S3],tbl_task1[[SubPLOs]:[SubPLOs]],"&gt;=2",tbl_task1[[SubPLOs]:[SubPLOs]],"&lt;3")+SUMIFS(tbl_task2[S3],tbl_task2[[SubPLOs]:[SubPLOs]],"&gt;=2",tbl_task2[[SubPLOs]:[SubPLOs]],"&lt;3")+SUMIFS(tbl_task3[S3],tbl_task3[[SubPLOs]:[SubPLOs]],"&gt;=2",tbl_task3[[SubPLOs]:[SubPLOs]],"&lt;3")+SUMIFS(tbl_task4[S3],tbl_task4[[SubPLOs]:[SubPLOs]],"&gt;=2",tbl_task4[[SubPLOs]:[SubPLOs]],"&lt;3")+SUMIFS(tbl_task5[S3],tbl_task5[[SubPLOs]:[SubPLOs]],"&gt;=2",tbl_task5[[SubPLOs]:[SubPLOs]],"&lt;3")+SUMIFS(tbl_task6[S3],tbl_task6[[SubPLOs]:[SubPLOs]],"&gt;=2",tbl_task6[[SubPLOs]:[SubPLOs]],"&lt;3")+SUMIFS(tbl_task7[S3],tbl_task7[[SubPLOs]:[SubPLOs]],"&gt;=2",tbl_task7[[SubPLOs]:[SubPLOs]],"&lt;3")+SUMIFS(tbl_task8[S3],tbl_task8[[SubPLOs]:[SubPLOs]],"&gt;=2",tbl_task8[[SubPLOs]:[SubPLOs]],"&lt;3")+SUMIFS(tbl_task9[S3],tbl_task9[[SubPLOs]:[SubPLOs]],"&gt;=2",tbl_task9[[SubPLOs]:[SubPLOs]],"&lt;3")+SUMIFS(tbl_task10[S3],tbl_task10[[SubPLOs]:[SubPLOs]],"&gt;=2",tbl_task10[[SubPLOs]:[SubPLOs]],"&lt;3")</f>
        <v>0</v>
      </c>
      <c r="I181" s="41">
        <f>SUMIFS(tbl_task1[S4],tbl_task1[[SubPLOs]:[SubPLOs]],"&gt;=2",tbl_task1[[SubPLOs]:[SubPLOs]],"&lt;3")+SUMIFS(tbl_task2[S4],tbl_task2[[SubPLOs]:[SubPLOs]],"&gt;=2",tbl_task2[[SubPLOs]:[SubPLOs]],"&lt;3")+SUMIFS(tbl_task3[S4],tbl_task3[[SubPLOs]:[SubPLOs]],"&gt;=2",tbl_task3[[SubPLOs]:[SubPLOs]],"&lt;3")+SUMIFS(tbl_task4[S4],tbl_task4[[SubPLOs]:[SubPLOs]],"&gt;=2",tbl_task4[[SubPLOs]:[SubPLOs]],"&lt;3")+SUMIFS(tbl_task5[S4],tbl_task5[[SubPLOs]:[SubPLOs]],"&gt;=2",tbl_task5[[SubPLOs]:[SubPLOs]],"&lt;3")+SUMIFS(tbl_task6[S4],tbl_task6[[SubPLOs]:[SubPLOs]],"&gt;=2",tbl_task6[[SubPLOs]:[SubPLOs]],"&lt;3")+SUMIFS(tbl_task7[S4],tbl_task7[[SubPLOs]:[SubPLOs]],"&gt;=2",tbl_task7[[SubPLOs]:[SubPLOs]],"&lt;3")+SUMIFS(tbl_task8[S4],tbl_task8[[SubPLOs]:[SubPLOs]],"&gt;=2",tbl_task8[[SubPLOs]:[SubPLOs]],"&lt;3")+SUMIFS(tbl_task9[S4],tbl_task9[[SubPLOs]:[SubPLOs]],"&gt;=2",tbl_task9[[SubPLOs]:[SubPLOs]],"&lt;3")+SUMIFS(tbl_task10[S4],tbl_task10[[SubPLOs]:[SubPLOs]],"&gt;=2",tbl_task10[[SubPLOs]:[SubPLOs]],"&lt;3")</f>
        <v>0</v>
      </c>
      <c r="J181" s="41">
        <f>SUMIFS(tbl_task1[S5],tbl_task1[[SubPLOs]:[SubPLOs]],"&gt;=2",tbl_task1[[SubPLOs]:[SubPLOs]],"&lt;3")+SUMIFS(tbl_task2[S5],tbl_task2[[SubPLOs]:[SubPLOs]],"&gt;=2",tbl_task2[[SubPLOs]:[SubPLOs]],"&lt;3")+SUMIFS(tbl_task3[S5],tbl_task3[[SubPLOs]:[SubPLOs]],"&gt;=2",tbl_task3[[SubPLOs]:[SubPLOs]],"&lt;3")+SUMIFS(tbl_task4[S5],tbl_task4[[SubPLOs]:[SubPLOs]],"&gt;=2",tbl_task4[[SubPLOs]:[SubPLOs]],"&lt;3")+SUMIFS(tbl_task5[S5],tbl_task5[[SubPLOs]:[SubPLOs]],"&gt;=2",tbl_task5[[SubPLOs]:[SubPLOs]],"&lt;3")+SUMIFS(tbl_task6[S5],tbl_task6[[SubPLOs]:[SubPLOs]],"&gt;=2",tbl_task6[[SubPLOs]:[SubPLOs]],"&lt;3")+SUMIFS(tbl_task7[S5],tbl_task7[[SubPLOs]:[SubPLOs]],"&gt;=2",tbl_task7[[SubPLOs]:[SubPLOs]],"&lt;3")+SUMIFS(tbl_task8[S5],tbl_task8[[SubPLOs]:[SubPLOs]],"&gt;=2",tbl_task8[[SubPLOs]:[SubPLOs]],"&lt;3")+SUMIFS(tbl_task9[S5],tbl_task9[[SubPLOs]:[SubPLOs]],"&gt;=2",tbl_task9[[SubPLOs]:[SubPLOs]],"&lt;3")+SUMIFS(tbl_task10[S5],tbl_task10[[SubPLOs]:[SubPLOs]],"&gt;=2",tbl_task10[[SubPLOs]:[SubPLOs]],"&lt;3")</f>
        <v>0</v>
      </c>
      <c r="K181" s="41">
        <f>SUMIFS(tbl_task1[S6],tbl_task1[[SubPLOs]:[SubPLOs]],"&gt;=2",tbl_task1[[SubPLOs]:[SubPLOs]],"&lt;3")+SUMIFS(tbl_task2[S6],tbl_task2[[SubPLOs]:[SubPLOs]],"&gt;=2",tbl_task2[[SubPLOs]:[SubPLOs]],"&lt;3")+SUMIFS(tbl_task3[S6],tbl_task3[[SubPLOs]:[SubPLOs]],"&gt;=2",tbl_task3[[SubPLOs]:[SubPLOs]],"&lt;3")+SUMIFS(tbl_task4[S6],tbl_task4[[SubPLOs]:[SubPLOs]],"&gt;=2",tbl_task4[[SubPLOs]:[SubPLOs]],"&lt;3")+SUMIFS(tbl_task5[S6],tbl_task5[[SubPLOs]:[SubPLOs]],"&gt;=2",tbl_task5[[SubPLOs]:[SubPLOs]],"&lt;3")+SUMIFS(tbl_task6[S6],tbl_task6[[SubPLOs]:[SubPLOs]],"&gt;=2",tbl_task6[[SubPLOs]:[SubPLOs]],"&lt;3")+SUMIFS(tbl_task7[S6],tbl_task7[[SubPLOs]:[SubPLOs]],"&gt;=2",tbl_task7[[SubPLOs]:[SubPLOs]],"&lt;3")+SUMIFS(tbl_task8[S6],tbl_task8[[SubPLOs]:[SubPLOs]],"&gt;=2",tbl_task8[[SubPLOs]:[SubPLOs]],"&lt;3")+SUMIFS(tbl_task9[S6],tbl_task9[[SubPLOs]:[SubPLOs]],"&gt;=2",tbl_task9[[SubPLOs]:[SubPLOs]],"&lt;3")+SUMIFS(tbl_task10[S6],tbl_task10[[SubPLOs]:[SubPLOs]],"&gt;=2",tbl_task10[[SubPLOs]:[SubPLOs]],"&lt;3")</f>
        <v>0</v>
      </c>
      <c r="L181" s="41">
        <f>SUMIFS(tbl_task1[S7],tbl_task1[[SubPLOs]:[SubPLOs]],"&gt;=2",tbl_task1[[SubPLOs]:[SubPLOs]],"&lt;3")+SUMIFS(tbl_task2[S7],tbl_task2[[SubPLOs]:[SubPLOs]],"&gt;=2",tbl_task2[[SubPLOs]:[SubPLOs]],"&lt;3")+SUMIFS(tbl_task3[S7],tbl_task3[[SubPLOs]:[SubPLOs]],"&gt;=2",tbl_task3[[SubPLOs]:[SubPLOs]],"&lt;3")+SUMIFS(tbl_task4[S7],tbl_task4[[SubPLOs]:[SubPLOs]],"&gt;=2",tbl_task4[[SubPLOs]:[SubPLOs]],"&lt;3")+SUMIFS(tbl_task5[S7],tbl_task5[[SubPLOs]:[SubPLOs]],"&gt;=2",tbl_task5[[SubPLOs]:[SubPLOs]],"&lt;3")+SUMIFS(tbl_task6[S7],tbl_task6[[SubPLOs]:[SubPLOs]],"&gt;=2",tbl_task6[[SubPLOs]:[SubPLOs]],"&lt;3")+SUMIFS(tbl_task7[S7],tbl_task7[[SubPLOs]:[SubPLOs]],"&gt;=2",tbl_task7[[SubPLOs]:[SubPLOs]],"&lt;3")+SUMIFS(tbl_task8[S7],tbl_task8[[SubPLOs]:[SubPLOs]],"&gt;=2",tbl_task8[[SubPLOs]:[SubPLOs]],"&lt;3")+SUMIFS(tbl_task9[S7],tbl_task9[[SubPLOs]:[SubPLOs]],"&gt;=2",tbl_task9[[SubPLOs]:[SubPLOs]],"&lt;3")+SUMIFS(tbl_task10[S7],tbl_task10[[SubPLOs]:[SubPLOs]],"&gt;=2",tbl_task10[[SubPLOs]:[SubPLOs]],"&lt;3")</f>
        <v>0</v>
      </c>
      <c r="M181" s="41">
        <f>SUMIFS(tbl_task1[S8],tbl_task1[[SubPLOs]:[SubPLOs]],"&gt;=2",tbl_task1[[SubPLOs]:[SubPLOs]],"&lt;3")+SUMIFS(tbl_task2[S8],tbl_task2[[SubPLOs]:[SubPLOs]],"&gt;=2",tbl_task2[[SubPLOs]:[SubPLOs]],"&lt;3")+SUMIFS(tbl_task3[S8],tbl_task3[[SubPLOs]:[SubPLOs]],"&gt;=2",tbl_task3[[SubPLOs]:[SubPLOs]],"&lt;3")+SUMIFS(tbl_task4[S8],tbl_task4[[SubPLOs]:[SubPLOs]],"&gt;=2",tbl_task4[[SubPLOs]:[SubPLOs]],"&lt;3")+SUMIFS(tbl_task5[S8],tbl_task5[[SubPLOs]:[SubPLOs]],"&gt;=2",tbl_task5[[SubPLOs]:[SubPLOs]],"&lt;3")+SUMIFS(tbl_task6[S8],tbl_task6[[SubPLOs]:[SubPLOs]],"&gt;=2",tbl_task6[[SubPLOs]:[SubPLOs]],"&lt;3")+SUMIFS(tbl_task7[S8],tbl_task7[[SubPLOs]:[SubPLOs]],"&gt;=2",tbl_task7[[SubPLOs]:[SubPLOs]],"&lt;3")+SUMIFS(tbl_task8[S8],tbl_task8[[SubPLOs]:[SubPLOs]],"&gt;=2",tbl_task8[[SubPLOs]:[SubPLOs]],"&lt;3")+SUMIFS(tbl_task9[S8],tbl_task9[[SubPLOs]:[SubPLOs]],"&gt;=2",tbl_task9[[SubPLOs]:[SubPLOs]],"&lt;3")+SUMIFS(tbl_task10[S8],tbl_task10[[SubPLOs]:[SubPLOs]],"&gt;=2",tbl_task10[[SubPLOs]:[SubPLOs]],"&lt;3")</f>
        <v>0</v>
      </c>
      <c r="N181" s="41">
        <f>SUMIFS(tbl_task1[S9],tbl_task1[[SubPLOs]:[SubPLOs]],"&gt;=2",tbl_task1[[SubPLOs]:[SubPLOs]],"&lt;3")+SUMIFS(tbl_task2[S9],tbl_task2[[SubPLOs]:[SubPLOs]],"&gt;=2",tbl_task2[[SubPLOs]:[SubPLOs]],"&lt;3")+SUMIFS(tbl_task3[S9],tbl_task3[[SubPLOs]:[SubPLOs]],"&gt;=2",tbl_task3[[SubPLOs]:[SubPLOs]],"&lt;3")+SUMIFS(tbl_task4[S9],tbl_task4[[SubPLOs]:[SubPLOs]],"&gt;=2",tbl_task4[[SubPLOs]:[SubPLOs]],"&lt;3")+SUMIFS(tbl_task5[S9],tbl_task5[[SubPLOs]:[SubPLOs]],"&gt;=2",tbl_task5[[SubPLOs]:[SubPLOs]],"&lt;3")+SUMIFS(tbl_task6[S9],tbl_task6[[SubPLOs]:[SubPLOs]],"&gt;=2",tbl_task6[[SubPLOs]:[SubPLOs]],"&lt;3")+SUMIFS(tbl_task7[S9],tbl_task7[[SubPLOs]:[SubPLOs]],"&gt;=2",tbl_task7[[SubPLOs]:[SubPLOs]],"&lt;3")+SUMIFS(tbl_task8[S9],tbl_task8[[SubPLOs]:[SubPLOs]],"&gt;=2",tbl_task8[[SubPLOs]:[SubPLOs]],"&lt;3")+SUMIFS(tbl_task9[S9],tbl_task9[[SubPLOs]:[SubPLOs]],"&gt;=2",tbl_task9[[SubPLOs]:[SubPLOs]],"&lt;3")+SUMIFS(tbl_task10[S9],tbl_task10[[SubPLOs]:[SubPLOs]],"&gt;=2",tbl_task10[[SubPLOs]:[SubPLOs]],"&lt;3")</f>
        <v>0</v>
      </c>
      <c r="O181" s="41">
        <f>SUMIFS(tbl_task1[S10],tbl_task1[[SubPLOs]:[SubPLOs]],"&gt;=2",tbl_task1[[SubPLOs]:[SubPLOs]],"&lt;3")+SUMIFS(tbl_task2[S10],tbl_task2[[SubPLOs]:[SubPLOs]],"&gt;=2",tbl_task2[[SubPLOs]:[SubPLOs]],"&lt;3")+SUMIFS(tbl_task3[S10],tbl_task3[[SubPLOs]:[SubPLOs]],"&gt;=2",tbl_task3[[SubPLOs]:[SubPLOs]],"&lt;3")+SUMIFS(tbl_task4[S10],tbl_task4[[SubPLOs]:[SubPLOs]],"&gt;=2",tbl_task4[[SubPLOs]:[SubPLOs]],"&lt;3")+SUMIFS(tbl_task5[S10],tbl_task5[[SubPLOs]:[SubPLOs]],"&gt;=2",tbl_task5[[SubPLOs]:[SubPLOs]],"&lt;3")+SUMIFS(tbl_task6[S10],tbl_task6[[SubPLOs]:[SubPLOs]],"&gt;=2",tbl_task6[[SubPLOs]:[SubPLOs]],"&lt;3")+SUMIFS(tbl_task7[S10],tbl_task7[[SubPLOs]:[SubPLOs]],"&gt;=2",tbl_task7[[SubPLOs]:[SubPLOs]],"&lt;3")+SUMIFS(tbl_task8[S10],tbl_task8[[SubPLOs]:[SubPLOs]],"&gt;=2",tbl_task8[[SubPLOs]:[SubPLOs]],"&lt;3")+SUMIFS(tbl_task9[S10],tbl_task9[[SubPLOs]:[SubPLOs]],"&gt;=2",tbl_task9[[SubPLOs]:[SubPLOs]],"&lt;3")+SUMIFS(tbl_task10[S10],tbl_task10[[SubPLOs]:[SubPLOs]],"&gt;=2",tbl_task10[[SubPLOs]:[SubPLOs]],"&lt;3")</f>
        <v>0</v>
      </c>
      <c r="P181" s="41">
        <f>SUMIFS(tbl_task1[S11],tbl_task1[[SubPLOs]:[SubPLOs]],"&gt;=2",tbl_task1[[SubPLOs]:[SubPLOs]],"&lt;3")+SUMIFS(tbl_task2[S11],tbl_task2[[SubPLOs]:[SubPLOs]],"&gt;=2",tbl_task2[[SubPLOs]:[SubPLOs]],"&lt;3")+SUMIFS(tbl_task3[S11],tbl_task3[[SubPLOs]:[SubPLOs]],"&gt;=2",tbl_task3[[SubPLOs]:[SubPLOs]],"&lt;3")+SUMIFS(tbl_task4[S11],tbl_task4[[SubPLOs]:[SubPLOs]],"&gt;=2",tbl_task4[[SubPLOs]:[SubPLOs]],"&lt;3")+SUMIFS(tbl_task5[S11],tbl_task5[[SubPLOs]:[SubPLOs]],"&gt;=2",tbl_task5[[SubPLOs]:[SubPLOs]],"&lt;3")+SUMIFS(tbl_task6[S11],tbl_task6[[SubPLOs]:[SubPLOs]],"&gt;=2",tbl_task6[[SubPLOs]:[SubPLOs]],"&lt;3")+SUMIFS(tbl_task7[S11],tbl_task7[[SubPLOs]:[SubPLOs]],"&gt;=2",tbl_task7[[SubPLOs]:[SubPLOs]],"&lt;3")+SUMIFS(tbl_task8[S11],tbl_task8[[SubPLOs]:[SubPLOs]],"&gt;=2",tbl_task8[[SubPLOs]:[SubPLOs]],"&lt;3")+SUMIFS(tbl_task9[S11],tbl_task9[[SubPLOs]:[SubPLOs]],"&gt;=2",tbl_task9[[SubPLOs]:[SubPLOs]],"&lt;3")+SUMIFS(tbl_task10[S11],tbl_task10[[SubPLOs]:[SubPLOs]],"&gt;=2",tbl_task10[[SubPLOs]:[SubPLOs]],"&lt;3")</f>
        <v>0</v>
      </c>
      <c r="Q181" s="41">
        <f>SUMIFS(tbl_task1[S12],tbl_task1[[SubPLOs]:[SubPLOs]],"&gt;=2",tbl_task1[[SubPLOs]:[SubPLOs]],"&lt;3")+SUMIFS(tbl_task2[S12],tbl_task2[[SubPLOs]:[SubPLOs]],"&gt;=2",tbl_task2[[SubPLOs]:[SubPLOs]],"&lt;3")+SUMIFS(tbl_task3[S12],tbl_task3[[SubPLOs]:[SubPLOs]],"&gt;=2",tbl_task3[[SubPLOs]:[SubPLOs]],"&lt;3")+SUMIFS(tbl_task4[S12],tbl_task4[[SubPLOs]:[SubPLOs]],"&gt;=2",tbl_task4[[SubPLOs]:[SubPLOs]],"&lt;3")+SUMIFS(tbl_task5[S12],tbl_task5[[SubPLOs]:[SubPLOs]],"&gt;=2",tbl_task5[[SubPLOs]:[SubPLOs]],"&lt;3")+SUMIFS(tbl_task6[S12],tbl_task6[[SubPLOs]:[SubPLOs]],"&gt;=2",tbl_task6[[SubPLOs]:[SubPLOs]],"&lt;3")+SUMIFS(tbl_task7[S12],tbl_task7[[SubPLOs]:[SubPLOs]],"&gt;=2",tbl_task7[[SubPLOs]:[SubPLOs]],"&lt;3")+SUMIFS(tbl_task8[S12],tbl_task8[[SubPLOs]:[SubPLOs]],"&gt;=2",tbl_task8[[SubPLOs]:[SubPLOs]],"&lt;3")+SUMIFS(tbl_task9[S12],tbl_task9[[SubPLOs]:[SubPLOs]],"&gt;=2",tbl_task9[[SubPLOs]:[SubPLOs]],"&lt;3")+SUMIFS(tbl_task10[S12],tbl_task10[[SubPLOs]:[SubPLOs]],"&gt;=2",tbl_task10[[SubPLOs]:[SubPLOs]],"&lt;3")</f>
        <v>0</v>
      </c>
      <c r="R181" s="41">
        <f>SUMIFS(tbl_task1[S13],tbl_task1[[SubPLOs]:[SubPLOs]],"&gt;=2",tbl_task1[[SubPLOs]:[SubPLOs]],"&lt;3")+SUMIFS(tbl_task2[S13],tbl_task2[[SubPLOs]:[SubPLOs]],"&gt;=2",tbl_task2[[SubPLOs]:[SubPLOs]],"&lt;3")+SUMIFS(tbl_task3[S13],tbl_task3[[SubPLOs]:[SubPLOs]],"&gt;=2",tbl_task3[[SubPLOs]:[SubPLOs]],"&lt;3")+SUMIFS(tbl_task4[S13],tbl_task4[[SubPLOs]:[SubPLOs]],"&gt;=2",tbl_task4[[SubPLOs]:[SubPLOs]],"&lt;3")+SUMIFS(tbl_task5[S13],tbl_task5[[SubPLOs]:[SubPLOs]],"&gt;=2",tbl_task5[[SubPLOs]:[SubPLOs]],"&lt;3")+SUMIFS(tbl_task6[S13],tbl_task6[[SubPLOs]:[SubPLOs]],"&gt;=2",tbl_task6[[SubPLOs]:[SubPLOs]],"&lt;3")+SUMIFS(tbl_task7[S13],tbl_task7[[SubPLOs]:[SubPLOs]],"&gt;=2",tbl_task7[[SubPLOs]:[SubPLOs]],"&lt;3")+SUMIFS(tbl_task8[S13],tbl_task8[[SubPLOs]:[SubPLOs]],"&gt;=2",tbl_task8[[SubPLOs]:[SubPLOs]],"&lt;3")+SUMIFS(tbl_task9[S13],tbl_task9[[SubPLOs]:[SubPLOs]],"&gt;=2",tbl_task9[[SubPLOs]:[SubPLOs]],"&lt;3")+SUMIFS(tbl_task10[S13],tbl_task10[[SubPLOs]:[SubPLOs]],"&gt;=2",tbl_task10[[SubPLOs]:[SubPLOs]],"&lt;3")</f>
        <v>0</v>
      </c>
      <c r="S181" s="41">
        <f>SUMIFS(tbl_task1[S14],tbl_task1[[SubPLOs]:[SubPLOs]],"&gt;=2",tbl_task1[[SubPLOs]:[SubPLOs]],"&lt;3")+SUMIFS(tbl_task2[S14],tbl_task2[[SubPLOs]:[SubPLOs]],"&gt;=2",tbl_task2[[SubPLOs]:[SubPLOs]],"&lt;3")+SUMIFS(tbl_task3[S14],tbl_task3[[SubPLOs]:[SubPLOs]],"&gt;=2",tbl_task3[[SubPLOs]:[SubPLOs]],"&lt;3")+SUMIFS(tbl_task4[S14],tbl_task4[[SubPLOs]:[SubPLOs]],"&gt;=2",tbl_task4[[SubPLOs]:[SubPLOs]],"&lt;3")+SUMIFS(tbl_task5[S14],tbl_task5[[SubPLOs]:[SubPLOs]],"&gt;=2",tbl_task5[[SubPLOs]:[SubPLOs]],"&lt;3")+SUMIFS(tbl_task6[S14],tbl_task6[[SubPLOs]:[SubPLOs]],"&gt;=2",tbl_task6[[SubPLOs]:[SubPLOs]],"&lt;3")+SUMIFS(tbl_task7[S14],tbl_task7[[SubPLOs]:[SubPLOs]],"&gt;=2",tbl_task7[[SubPLOs]:[SubPLOs]],"&lt;3")+SUMIFS(tbl_task8[S14],tbl_task8[[SubPLOs]:[SubPLOs]],"&gt;=2",tbl_task8[[SubPLOs]:[SubPLOs]],"&lt;3")+SUMIFS(tbl_task9[S14],tbl_task9[[SubPLOs]:[SubPLOs]],"&gt;=2",tbl_task9[[SubPLOs]:[SubPLOs]],"&lt;3")+SUMIFS(tbl_task10[S14],tbl_task10[[SubPLOs]:[SubPLOs]],"&gt;=2",tbl_task10[[SubPLOs]:[SubPLOs]],"&lt;3")</f>
        <v>0</v>
      </c>
      <c r="T181" s="41">
        <f>SUMIFS(tbl_task1[S15],tbl_task1[[SubPLOs]:[SubPLOs]],"&gt;=2",tbl_task1[[SubPLOs]:[SubPLOs]],"&lt;3")+SUMIFS(tbl_task2[S15],tbl_task2[[SubPLOs]:[SubPLOs]],"&gt;=2",tbl_task2[[SubPLOs]:[SubPLOs]],"&lt;3")+SUMIFS(tbl_task3[S15],tbl_task3[[SubPLOs]:[SubPLOs]],"&gt;=2",tbl_task3[[SubPLOs]:[SubPLOs]],"&lt;3")+SUMIFS(tbl_task4[S15],tbl_task4[[SubPLOs]:[SubPLOs]],"&gt;=2",tbl_task4[[SubPLOs]:[SubPLOs]],"&lt;3")+SUMIFS(tbl_task5[S15],tbl_task5[[SubPLOs]:[SubPLOs]],"&gt;=2",tbl_task5[[SubPLOs]:[SubPLOs]],"&lt;3")+SUMIFS(tbl_task6[S15],tbl_task6[[SubPLOs]:[SubPLOs]],"&gt;=2",tbl_task6[[SubPLOs]:[SubPLOs]],"&lt;3")+SUMIFS(tbl_task7[S15],tbl_task7[[SubPLOs]:[SubPLOs]],"&gt;=2",tbl_task7[[SubPLOs]:[SubPLOs]],"&lt;3")+SUMIFS(tbl_task8[S15],tbl_task8[[SubPLOs]:[SubPLOs]],"&gt;=2",tbl_task8[[SubPLOs]:[SubPLOs]],"&lt;3")+SUMIFS(tbl_task9[S15],tbl_task9[[SubPLOs]:[SubPLOs]],"&gt;=2",tbl_task9[[SubPLOs]:[SubPLOs]],"&lt;3")+SUMIFS(tbl_task10[S15],tbl_task10[[SubPLOs]:[SubPLOs]],"&gt;=2",tbl_task10[[SubPLOs]:[SubPLOs]],"&lt;3")</f>
        <v>0</v>
      </c>
      <c r="U181" s="41">
        <f>SUMIFS(tbl_task1[S16],tbl_task1[[SubPLOs]:[SubPLOs]],"&gt;=2",tbl_task1[[SubPLOs]:[SubPLOs]],"&lt;3")+SUMIFS(tbl_task2[S16],tbl_task2[[SubPLOs]:[SubPLOs]],"&gt;=2",tbl_task2[[SubPLOs]:[SubPLOs]],"&lt;3")+SUMIFS(tbl_task3[S16],tbl_task3[[SubPLOs]:[SubPLOs]],"&gt;=2",tbl_task3[[SubPLOs]:[SubPLOs]],"&lt;3")+SUMIFS(tbl_task4[S16],tbl_task4[[SubPLOs]:[SubPLOs]],"&gt;=2",tbl_task4[[SubPLOs]:[SubPLOs]],"&lt;3")+SUMIFS(tbl_task5[S16],tbl_task5[[SubPLOs]:[SubPLOs]],"&gt;=2",tbl_task5[[SubPLOs]:[SubPLOs]],"&lt;3")+SUMIFS(tbl_task6[S16],tbl_task6[[SubPLOs]:[SubPLOs]],"&gt;=2",tbl_task6[[SubPLOs]:[SubPLOs]],"&lt;3")+SUMIFS(tbl_task7[S16],tbl_task7[[SubPLOs]:[SubPLOs]],"&gt;=2",tbl_task7[[SubPLOs]:[SubPLOs]],"&lt;3")+SUMIFS(tbl_task8[S16],tbl_task8[[SubPLOs]:[SubPLOs]],"&gt;=2",tbl_task8[[SubPLOs]:[SubPLOs]],"&lt;3")+SUMIFS(tbl_task9[S16],tbl_task9[[SubPLOs]:[SubPLOs]],"&gt;=2",tbl_task9[[SubPLOs]:[SubPLOs]],"&lt;3")+SUMIFS(tbl_task10[S16],tbl_task10[[SubPLOs]:[SubPLOs]],"&gt;=2",tbl_task10[[SubPLOs]:[SubPLOs]],"&lt;3")</f>
        <v>0</v>
      </c>
      <c r="V181" s="41">
        <f>SUMIFS(tbl_task1[S17],tbl_task1[[SubPLOs]:[SubPLOs]],"&gt;=2",tbl_task1[[SubPLOs]:[SubPLOs]],"&lt;3")+SUMIFS(tbl_task2[S17],tbl_task2[[SubPLOs]:[SubPLOs]],"&gt;=2",tbl_task2[[SubPLOs]:[SubPLOs]],"&lt;3")+SUMIFS(tbl_task3[S17],tbl_task3[[SubPLOs]:[SubPLOs]],"&gt;=2",tbl_task3[[SubPLOs]:[SubPLOs]],"&lt;3")+SUMIFS(tbl_task4[S17],tbl_task4[[SubPLOs]:[SubPLOs]],"&gt;=2",tbl_task4[[SubPLOs]:[SubPLOs]],"&lt;3")+SUMIFS(tbl_task5[S17],tbl_task5[[SubPLOs]:[SubPLOs]],"&gt;=2",tbl_task5[[SubPLOs]:[SubPLOs]],"&lt;3")+SUMIFS(tbl_task6[S17],tbl_task6[[SubPLOs]:[SubPLOs]],"&gt;=2",tbl_task6[[SubPLOs]:[SubPLOs]],"&lt;3")+SUMIFS(tbl_task7[S17],tbl_task7[[SubPLOs]:[SubPLOs]],"&gt;=2",tbl_task7[[SubPLOs]:[SubPLOs]],"&lt;3")+SUMIFS(tbl_task8[S17],tbl_task8[[SubPLOs]:[SubPLOs]],"&gt;=2",tbl_task8[[SubPLOs]:[SubPLOs]],"&lt;3")+SUMIFS(tbl_task9[S17],tbl_task9[[SubPLOs]:[SubPLOs]],"&gt;=2",tbl_task9[[SubPLOs]:[SubPLOs]],"&lt;3")+SUMIFS(tbl_task10[S17],tbl_task10[[SubPLOs]:[SubPLOs]],"&gt;=2",tbl_task10[[SubPLOs]:[SubPLOs]],"&lt;3")</f>
        <v>0</v>
      </c>
      <c r="W181" s="41">
        <f>SUMIFS(tbl_task1[S18],tbl_task1[[SubPLOs]:[SubPLOs]],"&gt;=2",tbl_task1[[SubPLOs]:[SubPLOs]],"&lt;3")+SUMIFS(tbl_task2[S18],tbl_task2[[SubPLOs]:[SubPLOs]],"&gt;=2",tbl_task2[[SubPLOs]:[SubPLOs]],"&lt;3")+SUMIFS(tbl_task3[S18],tbl_task3[[SubPLOs]:[SubPLOs]],"&gt;=2",tbl_task3[[SubPLOs]:[SubPLOs]],"&lt;3")+SUMIFS(tbl_task4[S18],tbl_task4[[SubPLOs]:[SubPLOs]],"&gt;=2",tbl_task4[[SubPLOs]:[SubPLOs]],"&lt;3")+SUMIFS(tbl_task5[S18],tbl_task5[[SubPLOs]:[SubPLOs]],"&gt;=2",tbl_task5[[SubPLOs]:[SubPLOs]],"&lt;3")+SUMIFS(tbl_task6[S18],tbl_task6[[SubPLOs]:[SubPLOs]],"&gt;=2",tbl_task6[[SubPLOs]:[SubPLOs]],"&lt;3")+SUMIFS(tbl_task7[S18],tbl_task7[[SubPLOs]:[SubPLOs]],"&gt;=2",tbl_task7[[SubPLOs]:[SubPLOs]],"&lt;3")+SUMIFS(tbl_task8[S18],tbl_task8[[SubPLOs]:[SubPLOs]],"&gt;=2",tbl_task8[[SubPLOs]:[SubPLOs]],"&lt;3")+SUMIFS(tbl_task9[S18],tbl_task9[[SubPLOs]:[SubPLOs]],"&gt;=2",tbl_task9[[SubPLOs]:[SubPLOs]],"&lt;3")+SUMIFS(tbl_task10[S18],tbl_task10[[SubPLOs]:[SubPLOs]],"&gt;=2",tbl_task10[[SubPLOs]:[SubPLOs]],"&lt;3")</f>
        <v>0</v>
      </c>
      <c r="X181" s="41">
        <f>SUMIFS(tbl_task1[S19],tbl_task1[[SubPLOs]:[SubPLOs]],"&gt;=2",tbl_task1[[SubPLOs]:[SubPLOs]],"&lt;3")+SUMIFS(tbl_task2[S19],tbl_task2[[SubPLOs]:[SubPLOs]],"&gt;=2",tbl_task2[[SubPLOs]:[SubPLOs]],"&lt;3")+SUMIFS(tbl_task3[S19],tbl_task3[[SubPLOs]:[SubPLOs]],"&gt;=2",tbl_task3[[SubPLOs]:[SubPLOs]],"&lt;3")+SUMIFS(tbl_task4[S19],tbl_task4[[SubPLOs]:[SubPLOs]],"&gt;=2",tbl_task4[[SubPLOs]:[SubPLOs]],"&lt;3")+SUMIFS(tbl_task5[S19],tbl_task5[[SubPLOs]:[SubPLOs]],"&gt;=2",tbl_task5[[SubPLOs]:[SubPLOs]],"&lt;3")+SUMIFS(tbl_task6[S19],tbl_task6[[SubPLOs]:[SubPLOs]],"&gt;=2",tbl_task6[[SubPLOs]:[SubPLOs]],"&lt;3")+SUMIFS(tbl_task7[S19],tbl_task7[[SubPLOs]:[SubPLOs]],"&gt;=2",tbl_task7[[SubPLOs]:[SubPLOs]],"&lt;3")+SUMIFS(tbl_task8[S19],tbl_task8[[SubPLOs]:[SubPLOs]],"&gt;=2",tbl_task8[[SubPLOs]:[SubPLOs]],"&lt;3")+SUMIFS(tbl_task9[S19],tbl_task9[[SubPLOs]:[SubPLOs]],"&gt;=2",tbl_task9[[SubPLOs]:[SubPLOs]],"&lt;3")+SUMIFS(tbl_task10[S19],tbl_task10[[SubPLOs]:[SubPLOs]],"&gt;=2",tbl_task10[[SubPLOs]:[SubPLOs]],"&lt;3")</f>
        <v>0</v>
      </c>
      <c r="Y181" s="41">
        <f>SUMIFS(tbl_task1[S20],tbl_task1[[SubPLOs]:[SubPLOs]],"&gt;=2",tbl_task1[[SubPLOs]:[SubPLOs]],"&lt;3")+SUMIFS(tbl_task2[S20],tbl_task2[[SubPLOs]:[SubPLOs]],"&gt;=2",tbl_task2[[SubPLOs]:[SubPLOs]],"&lt;3")+SUMIFS(tbl_task3[S20],tbl_task3[[SubPLOs]:[SubPLOs]],"&gt;=2",tbl_task3[[SubPLOs]:[SubPLOs]],"&lt;3")+SUMIFS(tbl_task4[S20],tbl_task4[[SubPLOs]:[SubPLOs]],"&gt;=2",tbl_task4[[SubPLOs]:[SubPLOs]],"&lt;3")+SUMIFS(tbl_task5[S20],tbl_task5[[SubPLOs]:[SubPLOs]],"&gt;=2",tbl_task5[[SubPLOs]:[SubPLOs]],"&lt;3")+SUMIFS(tbl_task6[S20],tbl_task6[[SubPLOs]:[SubPLOs]],"&gt;=2",tbl_task6[[SubPLOs]:[SubPLOs]],"&lt;3")+SUMIFS(tbl_task7[S20],tbl_task7[[SubPLOs]:[SubPLOs]],"&gt;=2",tbl_task7[[SubPLOs]:[SubPLOs]],"&lt;3")+SUMIFS(tbl_task8[S20],tbl_task8[[SubPLOs]:[SubPLOs]],"&gt;=2",tbl_task8[[SubPLOs]:[SubPLOs]],"&lt;3")+SUMIFS(tbl_task9[S20],tbl_task9[[SubPLOs]:[SubPLOs]],"&gt;=2",tbl_task9[[SubPLOs]:[SubPLOs]],"&lt;3")+SUMIFS(tbl_task10[S20],tbl_task10[[SubPLOs]:[SubPLOs]],"&gt;=2",tbl_task10[[SubPLOs]:[SubPLOs]],"&lt;3")</f>
        <v>0</v>
      </c>
      <c r="Z181" s="41">
        <f>SUMIFS(tbl_task1[S21],tbl_task1[[SubPLOs]:[SubPLOs]],"&gt;=2",tbl_task1[[SubPLOs]:[SubPLOs]],"&lt;3")+SUMIFS(tbl_task2[S21],tbl_task2[[SubPLOs]:[SubPLOs]],"&gt;=2",tbl_task2[[SubPLOs]:[SubPLOs]],"&lt;3")+SUMIFS(tbl_task3[S21],tbl_task3[[SubPLOs]:[SubPLOs]],"&gt;=2",tbl_task3[[SubPLOs]:[SubPLOs]],"&lt;3")+SUMIFS(tbl_task4[S21],tbl_task4[[SubPLOs]:[SubPLOs]],"&gt;=2",tbl_task4[[SubPLOs]:[SubPLOs]],"&lt;3")+SUMIFS(tbl_task5[S21],tbl_task5[[SubPLOs]:[SubPLOs]],"&gt;=2",tbl_task5[[SubPLOs]:[SubPLOs]],"&lt;3")+SUMIFS(tbl_task6[S21],tbl_task6[[SubPLOs]:[SubPLOs]],"&gt;=2",tbl_task6[[SubPLOs]:[SubPLOs]],"&lt;3")+SUMIFS(tbl_task7[S21],tbl_task7[[SubPLOs]:[SubPLOs]],"&gt;=2",tbl_task7[[SubPLOs]:[SubPLOs]],"&lt;3")+SUMIFS(tbl_task8[S21],tbl_task8[[SubPLOs]:[SubPLOs]],"&gt;=2",tbl_task8[[SubPLOs]:[SubPLOs]],"&lt;3")+SUMIFS(tbl_task9[S21],tbl_task9[[SubPLOs]:[SubPLOs]],"&gt;=2",tbl_task9[[SubPLOs]:[SubPLOs]],"&lt;3")+SUMIFS(tbl_task10[S21],tbl_task10[[SubPLOs]:[SubPLOs]],"&gt;=2",tbl_task10[[SubPLOs]:[SubPLOs]],"&lt;3")</f>
        <v>0</v>
      </c>
      <c r="AA181" s="41">
        <f>SUMIFS(tbl_task1[S22],tbl_task1[[SubPLOs]:[SubPLOs]],"&gt;=2",tbl_task1[[SubPLOs]:[SubPLOs]],"&lt;3")+SUMIFS(tbl_task2[S22],tbl_task2[[SubPLOs]:[SubPLOs]],"&gt;=2",tbl_task2[[SubPLOs]:[SubPLOs]],"&lt;3")+SUMIFS(tbl_task3[S22],tbl_task3[[SubPLOs]:[SubPLOs]],"&gt;=2",tbl_task3[[SubPLOs]:[SubPLOs]],"&lt;3")+SUMIFS(tbl_task4[S22],tbl_task4[[SubPLOs]:[SubPLOs]],"&gt;=2",tbl_task4[[SubPLOs]:[SubPLOs]],"&lt;3")+SUMIFS(tbl_task5[S22],tbl_task5[[SubPLOs]:[SubPLOs]],"&gt;=2",tbl_task5[[SubPLOs]:[SubPLOs]],"&lt;3")+SUMIFS(tbl_task6[S22],tbl_task6[[SubPLOs]:[SubPLOs]],"&gt;=2",tbl_task6[[SubPLOs]:[SubPLOs]],"&lt;3")+SUMIFS(tbl_task7[S22],tbl_task7[[SubPLOs]:[SubPLOs]],"&gt;=2",tbl_task7[[SubPLOs]:[SubPLOs]],"&lt;3")+SUMIFS(tbl_task8[S22],tbl_task8[[SubPLOs]:[SubPLOs]],"&gt;=2",tbl_task8[[SubPLOs]:[SubPLOs]],"&lt;3")+SUMIFS(tbl_task9[S22],tbl_task9[[SubPLOs]:[SubPLOs]],"&gt;=2",tbl_task9[[SubPLOs]:[SubPLOs]],"&lt;3")+SUMIFS(tbl_task10[S22],tbl_task10[[SubPLOs]:[SubPLOs]],"&gt;=2",tbl_task10[[SubPLOs]:[SubPLOs]],"&lt;3")</f>
        <v>0</v>
      </c>
      <c r="AB181" s="41">
        <f>SUMIFS(tbl_task1[S23],tbl_task1[[SubPLOs]:[SubPLOs]],"&gt;=2",tbl_task1[[SubPLOs]:[SubPLOs]],"&lt;3")+SUMIFS(tbl_task2[S23],tbl_task2[[SubPLOs]:[SubPLOs]],"&gt;=2",tbl_task2[[SubPLOs]:[SubPLOs]],"&lt;3")+SUMIFS(tbl_task3[S23],tbl_task3[[SubPLOs]:[SubPLOs]],"&gt;=2",tbl_task3[[SubPLOs]:[SubPLOs]],"&lt;3")+SUMIFS(tbl_task4[S23],tbl_task4[[SubPLOs]:[SubPLOs]],"&gt;=2",tbl_task4[[SubPLOs]:[SubPLOs]],"&lt;3")+SUMIFS(tbl_task5[S23],tbl_task5[[SubPLOs]:[SubPLOs]],"&gt;=2",tbl_task5[[SubPLOs]:[SubPLOs]],"&lt;3")+SUMIFS(tbl_task6[S23],tbl_task6[[SubPLOs]:[SubPLOs]],"&gt;=2",tbl_task6[[SubPLOs]:[SubPLOs]],"&lt;3")+SUMIFS(tbl_task7[S23],tbl_task7[[SubPLOs]:[SubPLOs]],"&gt;=2",tbl_task7[[SubPLOs]:[SubPLOs]],"&lt;3")+SUMIFS(tbl_task8[S23],tbl_task8[[SubPLOs]:[SubPLOs]],"&gt;=2",tbl_task8[[SubPLOs]:[SubPLOs]],"&lt;3")+SUMIFS(tbl_task9[S23],tbl_task9[[SubPLOs]:[SubPLOs]],"&gt;=2",tbl_task9[[SubPLOs]:[SubPLOs]],"&lt;3")+SUMIFS(tbl_task10[S23],tbl_task10[[SubPLOs]:[SubPLOs]],"&gt;=2",tbl_task10[[SubPLOs]:[SubPLOs]],"&lt;3")</f>
        <v>0</v>
      </c>
      <c r="AC181" s="41">
        <f>SUMIFS(tbl_task1[S24],tbl_task1[[SubPLOs]:[SubPLOs]],"&gt;=2",tbl_task1[[SubPLOs]:[SubPLOs]],"&lt;3")+SUMIFS(tbl_task2[S24],tbl_task2[[SubPLOs]:[SubPLOs]],"&gt;=2",tbl_task2[[SubPLOs]:[SubPLOs]],"&lt;3")+SUMIFS(tbl_task3[S24],tbl_task3[[SubPLOs]:[SubPLOs]],"&gt;=2",tbl_task3[[SubPLOs]:[SubPLOs]],"&lt;3")+SUMIFS(tbl_task4[S24],tbl_task4[[SubPLOs]:[SubPLOs]],"&gt;=2",tbl_task4[[SubPLOs]:[SubPLOs]],"&lt;3")+SUMIFS(tbl_task5[S24],tbl_task5[[SubPLOs]:[SubPLOs]],"&gt;=2",tbl_task5[[SubPLOs]:[SubPLOs]],"&lt;3")+SUMIFS(tbl_task6[S24],tbl_task6[[SubPLOs]:[SubPLOs]],"&gt;=2",tbl_task6[[SubPLOs]:[SubPLOs]],"&lt;3")+SUMIFS(tbl_task7[S24],tbl_task7[[SubPLOs]:[SubPLOs]],"&gt;=2",tbl_task7[[SubPLOs]:[SubPLOs]],"&lt;3")+SUMIFS(tbl_task8[S24],tbl_task8[[SubPLOs]:[SubPLOs]],"&gt;=2",tbl_task8[[SubPLOs]:[SubPLOs]],"&lt;3")+SUMIFS(tbl_task9[S24],tbl_task9[[SubPLOs]:[SubPLOs]],"&gt;=2",tbl_task9[[SubPLOs]:[SubPLOs]],"&lt;3")+SUMIFS(tbl_task10[S24],tbl_task10[[SubPLOs]:[SubPLOs]],"&gt;=2",tbl_task10[[SubPLOs]:[SubPLOs]],"&lt;3")</f>
        <v>0</v>
      </c>
      <c r="AD181" s="41">
        <f>SUMIFS(tbl_task1[S25],tbl_task1[[SubPLOs]:[SubPLOs]],"&gt;=2",tbl_task1[[SubPLOs]:[SubPLOs]],"&lt;3")+SUMIFS(tbl_task2[S25],tbl_task2[[SubPLOs]:[SubPLOs]],"&gt;=2",tbl_task2[[SubPLOs]:[SubPLOs]],"&lt;3")+SUMIFS(tbl_task3[S25],tbl_task3[[SubPLOs]:[SubPLOs]],"&gt;=2",tbl_task3[[SubPLOs]:[SubPLOs]],"&lt;3")+SUMIFS(tbl_task4[S25],tbl_task4[[SubPLOs]:[SubPLOs]],"&gt;=2",tbl_task4[[SubPLOs]:[SubPLOs]],"&lt;3")+SUMIFS(tbl_task5[S25],tbl_task5[[SubPLOs]:[SubPLOs]],"&gt;=2",tbl_task5[[SubPLOs]:[SubPLOs]],"&lt;3")+SUMIFS(tbl_task6[S25],tbl_task6[[SubPLOs]:[SubPLOs]],"&gt;=2",tbl_task6[[SubPLOs]:[SubPLOs]],"&lt;3")+SUMIFS(tbl_task7[S25],tbl_task7[[SubPLOs]:[SubPLOs]],"&gt;=2",tbl_task7[[SubPLOs]:[SubPLOs]],"&lt;3")+SUMIFS(tbl_task8[S25],tbl_task8[[SubPLOs]:[SubPLOs]],"&gt;=2",tbl_task8[[SubPLOs]:[SubPLOs]],"&lt;3")+SUMIFS(tbl_task9[S25],tbl_task9[[SubPLOs]:[SubPLOs]],"&gt;=2",tbl_task9[[SubPLOs]:[SubPLOs]],"&lt;3")+SUMIFS(tbl_task10[S25],tbl_task10[[SubPLOs]:[SubPLOs]],"&gt;=2",tbl_task10[[SubPLOs]:[SubPLOs]],"&lt;3")</f>
        <v>0</v>
      </c>
      <c r="AE181" s="41">
        <f>SUMIFS(tbl_task1[S26],tbl_task1[[SubPLOs]:[SubPLOs]],"&gt;=2",tbl_task1[[SubPLOs]:[SubPLOs]],"&lt;3")+SUMIFS(tbl_task2[S26],tbl_task2[[SubPLOs]:[SubPLOs]],"&gt;=2",tbl_task2[[SubPLOs]:[SubPLOs]],"&lt;3")+SUMIFS(tbl_task3[S26],tbl_task3[[SubPLOs]:[SubPLOs]],"&gt;=2",tbl_task3[[SubPLOs]:[SubPLOs]],"&lt;3")+SUMIFS(tbl_task4[S26],tbl_task4[[SubPLOs]:[SubPLOs]],"&gt;=2",tbl_task4[[SubPLOs]:[SubPLOs]],"&lt;3")+SUMIFS(tbl_task5[S26],tbl_task5[[SubPLOs]:[SubPLOs]],"&gt;=2",tbl_task5[[SubPLOs]:[SubPLOs]],"&lt;3")+SUMIFS(tbl_task6[S26],tbl_task6[[SubPLOs]:[SubPLOs]],"&gt;=2",tbl_task6[[SubPLOs]:[SubPLOs]],"&lt;3")+SUMIFS(tbl_task7[S26],tbl_task7[[SubPLOs]:[SubPLOs]],"&gt;=2",tbl_task7[[SubPLOs]:[SubPLOs]],"&lt;3")+SUMIFS(tbl_task8[S26],tbl_task8[[SubPLOs]:[SubPLOs]],"&gt;=2",tbl_task8[[SubPLOs]:[SubPLOs]],"&lt;3")+SUMIFS(tbl_task9[S26],tbl_task9[[SubPLOs]:[SubPLOs]],"&gt;=2",tbl_task9[[SubPLOs]:[SubPLOs]],"&lt;3")+SUMIFS(tbl_task10[S26],tbl_task10[[SubPLOs]:[SubPLOs]],"&gt;=2",tbl_task10[[SubPLOs]:[SubPLOs]],"&lt;3")</f>
        <v>0</v>
      </c>
      <c r="AF181" s="41">
        <f>SUMIFS(tbl_task1[S27],tbl_task1[[SubPLOs]:[SubPLOs]],"&gt;=2",tbl_task1[[SubPLOs]:[SubPLOs]],"&lt;3")+SUMIFS(tbl_task2[S27],tbl_task2[[SubPLOs]:[SubPLOs]],"&gt;=2",tbl_task2[[SubPLOs]:[SubPLOs]],"&lt;3")+SUMIFS(tbl_task3[S27],tbl_task3[[SubPLOs]:[SubPLOs]],"&gt;=2",tbl_task3[[SubPLOs]:[SubPLOs]],"&lt;3")+SUMIFS(tbl_task4[S27],tbl_task4[[SubPLOs]:[SubPLOs]],"&gt;=2",tbl_task4[[SubPLOs]:[SubPLOs]],"&lt;3")+SUMIFS(tbl_task5[S27],tbl_task5[[SubPLOs]:[SubPLOs]],"&gt;=2",tbl_task5[[SubPLOs]:[SubPLOs]],"&lt;3")+SUMIFS(tbl_task6[S27],tbl_task6[[SubPLOs]:[SubPLOs]],"&gt;=2",tbl_task6[[SubPLOs]:[SubPLOs]],"&lt;3")+SUMIFS(tbl_task7[S27],tbl_task7[[SubPLOs]:[SubPLOs]],"&gt;=2",tbl_task7[[SubPLOs]:[SubPLOs]],"&lt;3")+SUMIFS(tbl_task8[S27],tbl_task8[[SubPLOs]:[SubPLOs]],"&gt;=2",tbl_task8[[SubPLOs]:[SubPLOs]],"&lt;3")+SUMIFS(tbl_task9[S27],tbl_task9[[SubPLOs]:[SubPLOs]],"&gt;=2",tbl_task9[[SubPLOs]:[SubPLOs]],"&lt;3")+SUMIFS(tbl_task10[S27],tbl_task10[[SubPLOs]:[SubPLOs]],"&gt;=2",tbl_task10[[SubPLOs]:[SubPLOs]],"&lt;3")</f>
        <v>0</v>
      </c>
      <c r="AG181" s="41">
        <f>SUMIFS(tbl_task1[S28],tbl_task1[[SubPLOs]:[SubPLOs]],"&gt;=2",tbl_task1[[SubPLOs]:[SubPLOs]],"&lt;3")+SUMIFS(tbl_task2[S28],tbl_task2[[SubPLOs]:[SubPLOs]],"&gt;=2",tbl_task2[[SubPLOs]:[SubPLOs]],"&lt;3")+SUMIFS(tbl_task3[S28],tbl_task3[[SubPLOs]:[SubPLOs]],"&gt;=2",tbl_task3[[SubPLOs]:[SubPLOs]],"&lt;3")+SUMIFS(tbl_task4[S28],tbl_task4[[SubPLOs]:[SubPLOs]],"&gt;=2",tbl_task4[[SubPLOs]:[SubPLOs]],"&lt;3")+SUMIFS(tbl_task5[S28],tbl_task5[[SubPLOs]:[SubPLOs]],"&gt;=2",tbl_task5[[SubPLOs]:[SubPLOs]],"&lt;3")+SUMIFS(tbl_task6[S28],tbl_task6[[SubPLOs]:[SubPLOs]],"&gt;=2",tbl_task6[[SubPLOs]:[SubPLOs]],"&lt;3")+SUMIFS(tbl_task7[S28],tbl_task7[[SubPLOs]:[SubPLOs]],"&gt;=2",tbl_task7[[SubPLOs]:[SubPLOs]],"&lt;3")+SUMIFS(tbl_task8[S28],tbl_task8[[SubPLOs]:[SubPLOs]],"&gt;=2",tbl_task8[[SubPLOs]:[SubPLOs]],"&lt;3")+SUMIFS(tbl_task9[S28],tbl_task9[[SubPLOs]:[SubPLOs]],"&gt;=2",tbl_task9[[SubPLOs]:[SubPLOs]],"&lt;3")+SUMIFS(tbl_task10[S28],tbl_task10[[SubPLOs]:[SubPLOs]],"&gt;=2",tbl_task10[[SubPLOs]:[SubPLOs]],"&lt;3")</f>
        <v>0</v>
      </c>
      <c r="AH181" s="41">
        <f>SUMIFS(tbl_task1[S29],tbl_task1[[SubPLOs]:[SubPLOs]],"&gt;=2",tbl_task1[[SubPLOs]:[SubPLOs]],"&lt;3")+SUMIFS(tbl_task2[S29],tbl_task2[[SubPLOs]:[SubPLOs]],"&gt;=2",tbl_task2[[SubPLOs]:[SubPLOs]],"&lt;3")+SUMIFS(tbl_task3[S29],tbl_task3[[SubPLOs]:[SubPLOs]],"&gt;=2",tbl_task3[[SubPLOs]:[SubPLOs]],"&lt;3")+SUMIFS(tbl_task4[S29],tbl_task4[[SubPLOs]:[SubPLOs]],"&gt;=2",tbl_task4[[SubPLOs]:[SubPLOs]],"&lt;3")+SUMIFS(tbl_task5[S29],tbl_task5[[SubPLOs]:[SubPLOs]],"&gt;=2",tbl_task5[[SubPLOs]:[SubPLOs]],"&lt;3")+SUMIFS(tbl_task6[S29],tbl_task6[[SubPLOs]:[SubPLOs]],"&gt;=2",tbl_task6[[SubPLOs]:[SubPLOs]],"&lt;3")+SUMIFS(tbl_task7[S29],tbl_task7[[SubPLOs]:[SubPLOs]],"&gt;=2",tbl_task7[[SubPLOs]:[SubPLOs]],"&lt;3")+SUMIFS(tbl_task8[S29],tbl_task8[[SubPLOs]:[SubPLOs]],"&gt;=2",tbl_task8[[SubPLOs]:[SubPLOs]],"&lt;3")+SUMIFS(tbl_task9[S29],tbl_task9[[SubPLOs]:[SubPLOs]],"&gt;=2",tbl_task9[[SubPLOs]:[SubPLOs]],"&lt;3")+SUMIFS(tbl_task10[S29],tbl_task10[[SubPLOs]:[SubPLOs]],"&gt;=2",tbl_task10[[SubPLOs]:[SubPLOs]],"&lt;3")</f>
        <v>0</v>
      </c>
      <c r="AI181" s="41">
        <f>SUMIFS(tbl_task1[S30],tbl_task1[[SubPLOs]:[SubPLOs]],"&gt;=2",tbl_task1[[SubPLOs]:[SubPLOs]],"&lt;3")+SUMIFS(tbl_task2[S30],tbl_task2[[SubPLOs]:[SubPLOs]],"&gt;=2",tbl_task2[[SubPLOs]:[SubPLOs]],"&lt;3")+SUMIFS(tbl_task3[S30],tbl_task3[[SubPLOs]:[SubPLOs]],"&gt;=2",tbl_task3[[SubPLOs]:[SubPLOs]],"&lt;3")+SUMIFS(tbl_task4[S30],tbl_task4[[SubPLOs]:[SubPLOs]],"&gt;=2",tbl_task4[[SubPLOs]:[SubPLOs]],"&lt;3")+SUMIFS(tbl_task5[S30],tbl_task5[[SubPLOs]:[SubPLOs]],"&gt;=2",tbl_task5[[SubPLOs]:[SubPLOs]],"&lt;3")+SUMIFS(tbl_task6[S30],tbl_task6[[SubPLOs]:[SubPLOs]],"&gt;=2",tbl_task6[[SubPLOs]:[SubPLOs]],"&lt;3")+SUMIFS(tbl_task7[S30],tbl_task7[[SubPLOs]:[SubPLOs]],"&gt;=2",tbl_task7[[SubPLOs]:[SubPLOs]],"&lt;3")+SUMIFS(tbl_task8[S30],tbl_task8[[SubPLOs]:[SubPLOs]],"&gt;=2",tbl_task8[[SubPLOs]:[SubPLOs]],"&lt;3")+SUMIFS(tbl_task9[S30],tbl_task9[[SubPLOs]:[SubPLOs]],"&gt;=2",tbl_task9[[SubPLOs]:[SubPLOs]],"&lt;3")+SUMIFS(tbl_task10[S30],tbl_task10[[SubPLOs]:[SubPLOs]],"&gt;=2",tbl_task10[[SubPLOs]:[SubPLOs]],"&lt;3")</f>
        <v>0</v>
      </c>
      <c r="AJ181" s="41">
        <f>SUMIFS(tbl_task1[S31],tbl_task1[[SubPLOs]:[SubPLOs]],"&gt;=2",tbl_task1[[SubPLOs]:[SubPLOs]],"&lt;3")+SUMIFS(tbl_task2[S31],tbl_task2[[SubPLOs]:[SubPLOs]],"&gt;=2",tbl_task2[[SubPLOs]:[SubPLOs]],"&lt;3")+SUMIFS(tbl_task3[S31],tbl_task3[[SubPLOs]:[SubPLOs]],"&gt;=2",tbl_task3[[SubPLOs]:[SubPLOs]],"&lt;3")+SUMIFS(tbl_task4[S31],tbl_task4[[SubPLOs]:[SubPLOs]],"&gt;=2",tbl_task4[[SubPLOs]:[SubPLOs]],"&lt;3")+SUMIFS(tbl_task5[S31],tbl_task5[[SubPLOs]:[SubPLOs]],"&gt;=2",tbl_task5[[SubPLOs]:[SubPLOs]],"&lt;3")+SUMIFS(tbl_task6[S31],tbl_task6[[SubPLOs]:[SubPLOs]],"&gt;=2",tbl_task6[[SubPLOs]:[SubPLOs]],"&lt;3")+SUMIFS(tbl_task7[S31],tbl_task7[[SubPLOs]:[SubPLOs]],"&gt;=2",tbl_task7[[SubPLOs]:[SubPLOs]],"&lt;3")+SUMIFS(tbl_task8[S31],tbl_task8[[SubPLOs]:[SubPLOs]],"&gt;=2",tbl_task8[[SubPLOs]:[SubPLOs]],"&lt;3")+SUMIFS(tbl_task9[S31],tbl_task9[[SubPLOs]:[SubPLOs]],"&gt;=2",tbl_task9[[SubPLOs]:[SubPLOs]],"&lt;3")+SUMIFS(tbl_task10[S31],tbl_task10[[SubPLOs]:[SubPLOs]],"&gt;=2",tbl_task10[[SubPLOs]:[SubPLOs]],"&lt;3")</f>
        <v>0</v>
      </c>
      <c r="AK181" s="41">
        <f>SUMIFS(tbl_task1[S32],tbl_task1[[SubPLOs]:[SubPLOs]],"&gt;=2",tbl_task1[[SubPLOs]:[SubPLOs]],"&lt;3")+SUMIFS(tbl_task2[S32],tbl_task2[[SubPLOs]:[SubPLOs]],"&gt;=2",tbl_task2[[SubPLOs]:[SubPLOs]],"&lt;3")+SUMIFS(tbl_task3[S32],tbl_task3[[SubPLOs]:[SubPLOs]],"&gt;=2",tbl_task3[[SubPLOs]:[SubPLOs]],"&lt;3")+SUMIFS(tbl_task4[S32],tbl_task4[[SubPLOs]:[SubPLOs]],"&gt;=2",tbl_task4[[SubPLOs]:[SubPLOs]],"&lt;3")+SUMIFS(tbl_task5[S32],tbl_task5[[SubPLOs]:[SubPLOs]],"&gt;=2",tbl_task5[[SubPLOs]:[SubPLOs]],"&lt;3")+SUMIFS(tbl_task6[S32],tbl_task6[[SubPLOs]:[SubPLOs]],"&gt;=2",tbl_task6[[SubPLOs]:[SubPLOs]],"&lt;3")+SUMIFS(tbl_task7[S32],tbl_task7[[SubPLOs]:[SubPLOs]],"&gt;=2",tbl_task7[[SubPLOs]:[SubPLOs]],"&lt;3")+SUMIFS(tbl_task8[S32],tbl_task8[[SubPLOs]:[SubPLOs]],"&gt;=2",tbl_task8[[SubPLOs]:[SubPLOs]],"&lt;3")+SUMIFS(tbl_task9[S32],tbl_task9[[SubPLOs]:[SubPLOs]],"&gt;=2",tbl_task9[[SubPLOs]:[SubPLOs]],"&lt;3")+SUMIFS(tbl_task10[S32],tbl_task10[[SubPLOs]:[SubPLOs]],"&gt;=2",tbl_task10[[SubPLOs]:[SubPLOs]],"&lt;3")</f>
        <v>0</v>
      </c>
      <c r="AL181" s="41">
        <f>SUMIFS(tbl_task1[S33],tbl_task1[[SubPLOs]:[SubPLOs]],"&gt;=2",tbl_task1[[SubPLOs]:[SubPLOs]],"&lt;3")+SUMIFS(tbl_task2[S33],tbl_task2[[SubPLOs]:[SubPLOs]],"&gt;=2",tbl_task2[[SubPLOs]:[SubPLOs]],"&lt;3")+SUMIFS(tbl_task3[S33],tbl_task3[[SubPLOs]:[SubPLOs]],"&gt;=2",tbl_task3[[SubPLOs]:[SubPLOs]],"&lt;3")+SUMIFS(tbl_task4[S33],tbl_task4[[SubPLOs]:[SubPLOs]],"&gt;=2",tbl_task4[[SubPLOs]:[SubPLOs]],"&lt;3")+SUMIFS(tbl_task5[S33],tbl_task5[[SubPLOs]:[SubPLOs]],"&gt;=2",tbl_task5[[SubPLOs]:[SubPLOs]],"&lt;3")+SUMIFS(tbl_task6[S33],tbl_task6[[SubPLOs]:[SubPLOs]],"&gt;=2",tbl_task6[[SubPLOs]:[SubPLOs]],"&lt;3")+SUMIFS(tbl_task7[S33],tbl_task7[[SubPLOs]:[SubPLOs]],"&gt;=2",tbl_task7[[SubPLOs]:[SubPLOs]],"&lt;3")+SUMIFS(tbl_task8[S33],tbl_task8[[SubPLOs]:[SubPLOs]],"&gt;=2",tbl_task8[[SubPLOs]:[SubPLOs]],"&lt;3")+SUMIFS(tbl_task9[S33],tbl_task9[[SubPLOs]:[SubPLOs]],"&gt;=2",tbl_task9[[SubPLOs]:[SubPLOs]],"&lt;3")+SUMIFS(tbl_task10[S33],tbl_task10[[SubPLOs]:[SubPLOs]],"&gt;=2",tbl_task10[[SubPLOs]:[SubPLOs]],"&lt;3")</f>
        <v>0</v>
      </c>
      <c r="AM181" s="41">
        <f>SUMIFS(tbl_task1[S34],tbl_task1[[SubPLOs]:[SubPLOs]],"&gt;=2",tbl_task1[[SubPLOs]:[SubPLOs]],"&lt;3")+SUMIFS(tbl_task2[S34],tbl_task2[[SubPLOs]:[SubPLOs]],"&gt;=2",tbl_task2[[SubPLOs]:[SubPLOs]],"&lt;3")+SUMIFS(tbl_task3[S34],tbl_task3[[SubPLOs]:[SubPLOs]],"&gt;=2",tbl_task3[[SubPLOs]:[SubPLOs]],"&lt;3")+SUMIFS(tbl_task4[S34],tbl_task4[[SubPLOs]:[SubPLOs]],"&gt;=2",tbl_task4[[SubPLOs]:[SubPLOs]],"&lt;3")+SUMIFS(tbl_task5[S34],tbl_task5[[SubPLOs]:[SubPLOs]],"&gt;=2",tbl_task5[[SubPLOs]:[SubPLOs]],"&lt;3")+SUMIFS(tbl_task6[S34],tbl_task6[[SubPLOs]:[SubPLOs]],"&gt;=2",tbl_task6[[SubPLOs]:[SubPLOs]],"&lt;3")+SUMIFS(tbl_task7[S34],tbl_task7[[SubPLOs]:[SubPLOs]],"&gt;=2",tbl_task7[[SubPLOs]:[SubPLOs]],"&lt;3")+SUMIFS(tbl_task8[S34],tbl_task8[[SubPLOs]:[SubPLOs]],"&gt;=2",tbl_task8[[SubPLOs]:[SubPLOs]],"&lt;3")+SUMIFS(tbl_task9[S34],tbl_task9[[SubPLOs]:[SubPLOs]],"&gt;=2",tbl_task9[[SubPLOs]:[SubPLOs]],"&lt;3")+SUMIFS(tbl_task10[S34],tbl_task10[[SubPLOs]:[SubPLOs]],"&gt;=2",tbl_task10[[SubPLOs]:[SubPLOs]],"&lt;3")</f>
        <v>0</v>
      </c>
      <c r="AN181" s="41">
        <f>SUMIFS(tbl_task1[S35],tbl_task1[[SubPLOs]:[SubPLOs]],"&gt;=2",tbl_task1[[SubPLOs]:[SubPLOs]],"&lt;3")+SUMIFS(tbl_task2[S35],tbl_task2[[SubPLOs]:[SubPLOs]],"&gt;=2",tbl_task2[[SubPLOs]:[SubPLOs]],"&lt;3")+SUMIFS(tbl_task3[S35],tbl_task3[[SubPLOs]:[SubPLOs]],"&gt;=2",tbl_task3[[SubPLOs]:[SubPLOs]],"&lt;3")+SUMIFS(tbl_task4[S35],tbl_task4[[SubPLOs]:[SubPLOs]],"&gt;=2",tbl_task4[[SubPLOs]:[SubPLOs]],"&lt;3")+SUMIFS(tbl_task5[S35],tbl_task5[[SubPLOs]:[SubPLOs]],"&gt;=2",tbl_task5[[SubPLOs]:[SubPLOs]],"&lt;3")+SUMIFS(tbl_task6[S35],tbl_task6[[SubPLOs]:[SubPLOs]],"&gt;=2",tbl_task6[[SubPLOs]:[SubPLOs]],"&lt;3")+SUMIFS(tbl_task7[S35],tbl_task7[[SubPLOs]:[SubPLOs]],"&gt;=2",tbl_task7[[SubPLOs]:[SubPLOs]],"&lt;3")+SUMIFS(tbl_task8[S35],tbl_task8[[SubPLOs]:[SubPLOs]],"&gt;=2",tbl_task8[[SubPLOs]:[SubPLOs]],"&lt;3")+SUMIFS(tbl_task9[S35],tbl_task9[[SubPLOs]:[SubPLOs]],"&gt;=2",tbl_task9[[SubPLOs]:[SubPLOs]],"&lt;3")+SUMIFS(tbl_task10[S35],tbl_task10[[SubPLOs]:[SubPLOs]],"&gt;=2",tbl_task10[[SubPLOs]:[SubPLOs]],"&lt;3")</f>
        <v>0</v>
      </c>
      <c r="AO181" s="41">
        <f>SUMIFS(tbl_task1[S36],tbl_task1[[SubPLOs]:[SubPLOs]],"&gt;=2",tbl_task1[[SubPLOs]:[SubPLOs]],"&lt;3")+SUMIFS(tbl_task2[S36],tbl_task2[[SubPLOs]:[SubPLOs]],"&gt;=2",tbl_task2[[SubPLOs]:[SubPLOs]],"&lt;3")+SUMIFS(tbl_task3[S36],tbl_task3[[SubPLOs]:[SubPLOs]],"&gt;=2",tbl_task3[[SubPLOs]:[SubPLOs]],"&lt;3")+SUMIFS(tbl_task4[S36],tbl_task4[[SubPLOs]:[SubPLOs]],"&gt;=2",tbl_task4[[SubPLOs]:[SubPLOs]],"&lt;3")+SUMIFS(tbl_task5[S36],tbl_task5[[SubPLOs]:[SubPLOs]],"&gt;=2",tbl_task5[[SubPLOs]:[SubPLOs]],"&lt;3")+SUMIFS(tbl_task6[S36],tbl_task6[[SubPLOs]:[SubPLOs]],"&gt;=2",tbl_task6[[SubPLOs]:[SubPLOs]],"&lt;3")+SUMIFS(tbl_task7[S36],tbl_task7[[SubPLOs]:[SubPLOs]],"&gt;=2",tbl_task7[[SubPLOs]:[SubPLOs]],"&lt;3")+SUMIFS(tbl_task8[S36],tbl_task8[[SubPLOs]:[SubPLOs]],"&gt;=2",tbl_task8[[SubPLOs]:[SubPLOs]],"&lt;3")+SUMIFS(tbl_task9[S36],tbl_task9[[SubPLOs]:[SubPLOs]],"&gt;=2",tbl_task9[[SubPLOs]:[SubPLOs]],"&lt;3")+SUMIFS(tbl_task10[S36],tbl_task10[[SubPLOs]:[SubPLOs]],"&gt;=2",tbl_task10[[SubPLOs]:[SubPLOs]],"&lt;3")</f>
        <v>0</v>
      </c>
      <c r="AP181" s="41">
        <f>SUMIFS(tbl_task1[S37],tbl_task1[[SubPLOs]:[SubPLOs]],"&gt;=2",tbl_task1[[SubPLOs]:[SubPLOs]],"&lt;3")+SUMIFS(tbl_task2[S37],tbl_task2[[SubPLOs]:[SubPLOs]],"&gt;=2",tbl_task2[[SubPLOs]:[SubPLOs]],"&lt;3")+SUMIFS(tbl_task3[S37],tbl_task3[[SubPLOs]:[SubPLOs]],"&gt;=2",tbl_task3[[SubPLOs]:[SubPLOs]],"&lt;3")+SUMIFS(tbl_task4[S37],tbl_task4[[SubPLOs]:[SubPLOs]],"&gt;=2",tbl_task4[[SubPLOs]:[SubPLOs]],"&lt;3")+SUMIFS(tbl_task5[S37],tbl_task5[[SubPLOs]:[SubPLOs]],"&gt;=2",tbl_task5[[SubPLOs]:[SubPLOs]],"&lt;3")+SUMIFS(tbl_task6[S37],tbl_task6[[SubPLOs]:[SubPLOs]],"&gt;=2",tbl_task6[[SubPLOs]:[SubPLOs]],"&lt;3")+SUMIFS(tbl_task7[S37],tbl_task7[[SubPLOs]:[SubPLOs]],"&gt;=2",tbl_task7[[SubPLOs]:[SubPLOs]],"&lt;3")+SUMIFS(tbl_task8[S37],tbl_task8[[SubPLOs]:[SubPLOs]],"&gt;=2",tbl_task8[[SubPLOs]:[SubPLOs]],"&lt;3")+SUMIFS(tbl_task9[S37],tbl_task9[[SubPLOs]:[SubPLOs]],"&gt;=2",tbl_task9[[SubPLOs]:[SubPLOs]],"&lt;3")+SUMIFS(tbl_task10[S37],tbl_task10[[SubPLOs]:[SubPLOs]],"&gt;=2",tbl_task10[[SubPLOs]:[SubPLOs]],"&lt;3")</f>
        <v>0</v>
      </c>
      <c r="AQ181" s="41">
        <f>SUMIFS(tbl_task1[S38],tbl_task1[[SubPLOs]:[SubPLOs]],"&gt;=2",tbl_task1[[SubPLOs]:[SubPLOs]],"&lt;3")+SUMIFS(tbl_task2[S38],tbl_task2[[SubPLOs]:[SubPLOs]],"&gt;=2",tbl_task2[[SubPLOs]:[SubPLOs]],"&lt;3")+SUMIFS(tbl_task3[S38],tbl_task3[[SubPLOs]:[SubPLOs]],"&gt;=2",tbl_task3[[SubPLOs]:[SubPLOs]],"&lt;3")+SUMIFS(tbl_task4[S38],tbl_task4[[SubPLOs]:[SubPLOs]],"&gt;=2",tbl_task4[[SubPLOs]:[SubPLOs]],"&lt;3")+SUMIFS(tbl_task5[S38],tbl_task5[[SubPLOs]:[SubPLOs]],"&gt;=2",tbl_task5[[SubPLOs]:[SubPLOs]],"&lt;3")+SUMIFS(tbl_task6[S38],tbl_task6[[SubPLOs]:[SubPLOs]],"&gt;=2",tbl_task6[[SubPLOs]:[SubPLOs]],"&lt;3")+SUMIFS(tbl_task7[S38],tbl_task7[[SubPLOs]:[SubPLOs]],"&gt;=2",tbl_task7[[SubPLOs]:[SubPLOs]],"&lt;3")+SUMIFS(tbl_task8[S38],tbl_task8[[SubPLOs]:[SubPLOs]],"&gt;=2",tbl_task8[[SubPLOs]:[SubPLOs]],"&lt;3")+SUMIFS(tbl_task9[S38],tbl_task9[[SubPLOs]:[SubPLOs]],"&gt;=2",tbl_task9[[SubPLOs]:[SubPLOs]],"&lt;3")+SUMIFS(tbl_task10[S38],tbl_task10[[SubPLOs]:[SubPLOs]],"&gt;=2",tbl_task10[[SubPLOs]:[SubPLOs]],"&lt;3")</f>
        <v>0</v>
      </c>
      <c r="AR181" s="41">
        <f>SUMIFS(tbl_task1[S39],tbl_task1[[SubPLOs]:[SubPLOs]],"&gt;=2",tbl_task1[[SubPLOs]:[SubPLOs]],"&lt;3")+SUMIFS(tbl_task2[S39],tbl_task2[[SubPLOs]:[SubPLOs]],"&gt;=2",tbl_task2[[SubPLOs]:[SubPLOs]],"&lt;3")+SUMIFS(tbl_task3[S39],tbl_task3[[SubPLOs]:[SubPLOs]],"&gt;=2",tbl_task3[[SubPLOs]:[SubPLOs]],"&lt;3")+SUMIFS(tbl_task4[S39],tbl_task4[[SubPLOs]:[SubPLOs]],"&gt;=2",tbl_task4[[SubPLOs]:[SubPLOs]],"&lt;3")+SUMIFS(tbl_task5[S39],tbl_task5[[SubPLOs]:[SubPLOs]],"&gt;=2",tbl_task5[[SubPLOs]:[SubPLOs]],"&lt;3")+SUMIFS(tbl_task6[S39],tbl_task6[[SubPLOs]:[SubPLOs]],"&gt;=2",tbl_task6[[SubPLOs]:[SubPLOs]],"&lt;3")+SUMIFS(tbl_task7[S39],tbl_task7[[SubPLOs]:[SubPLOs]],"&gt;=2",tbl_task7[[SubPLOs]:[SubPLOs]],"&lt;3")+SUMIFS(tbl_task8[S39],tbl_task8[[SubPLOs]:[SubPLOs]],"&gt;=2",tbl_task8[[SubPLOs]:[SubPLOs]],"&lt;3")+SUMIFS(tbl_task9[S39],tbl_task9[[SubPLOs]:[SubPLOs]],"&gt;=2",tbl_task9[[SubPLOs]:[SubPLOs]],"&lt;3")+SUMIFS(tbl_task10[S39],tbl_task10[[SubPLOs]:[SubPLOs]],"&gt;=2",tbl_task10[[SubPLOs]:[SubPLOs]],"&lt;3")</f>
        <v>0</v>
      </c>
      <c r="AS181" s="41">
        <f>SUMIFS(tbl_task1[S40],tbl_task1[[SubPLOs]:[SubPLOs]],"&gt;=2",tbl_task1[[SubPLOs]:[SubPLOs]],"&lt;3")+SUMIFS(tbl_task2[S40],tbl_task2[[SubPLOs]:[SubPLOs]],"&gt;=2",tbl_task2[[SubPLOs]:[SubPLOs]],"&lt;3")+SUMIFS(tbl_task3[S40],tbl_task3[[SubPLOs]:[SubPLOs]],"&gt;=2",tbl_task3[[SubPLOs]:[SubPLOs]],"&lt;3")+SUMIFS(tbl_task4[S40],tbl_task4[[SubPLOs]:[SubPLOs]],"&gt;=2",tbl_task4[[SubPLOs]:[SubPLOs]],"&lt;3")+SUMIFS(tbl_task5[S40],tbl_task5[[SubPLOs]:[SubPLOs]],"&gt;=2",tbl_task5[[SubPLOs]:[SubPLOs]],"&lt;3")+SUMIFS(tbl_task6[S40],tbl_task6[[SubPLOs]:[SubPLOs]],"&gt;=2",tbl_task6[[SubPLOs]:[SubPLOs]],"&lt;3")+SUMIFS(tbl_task7[S40],tbl_task7[[SubPLOs]:[SubPLOs]],"&gt;=2",tbl_task7[[SubPLOs]:[SubPLOs]],"&lt;3")+SUMIFS(tbl_task8[S40],tbl_task8[[SubPLOs]:[SubPLOs]],"&gt;=2",tbl_task8[[SubPLOs]:[SubPLOs]],"&lt;3")+SUMIFS(tbl_task9[S40],tbl_task9[[SubPLOs]:[SubPLOs]],"&gt;=2",tbl_task9[[SubPLOs]:[SubPLOs]],"&lt;3")+SUMIFS(tbl_task10[S40],tbl_task10[[SubPLOs]:[SubPLOs]],"&gt;=2",tbl_task10[[SubPLOs]:[SubPLOs]],"&lt;3")</f>
        <v>0</v>
      </c>
      <c r="AT181" s="41">
        <f>SUMIFS(tbl_task1[S41],tbl_task1[[SubPLOs]:[SubPLOs]],"&gt;=2",tbl_task1[[SubPLOs]:[SubPLOs]],"&lt;3")+SUMIFS(tbl_task2[S41],tbl_task2[[SubPLOs]:[SubPLOs]],"&gt;=2",tbl_task2[[SubPLOs]:[SubPLOs]],"&lt;3")+SUMIFS(tbl_task3[S41],tbl_task3[[SubPLOs]:[SubPLOs]],"&gt;=2",tbl_task3[[SubPLOs]:[SubPLOs]],"&lt;3")+SUMIFS(tbl_task4[S41],tbl_task4[[SubPLOs]:[SubPLOs]],"&gt;=2",tbl_task4[[SubPLOs]:[SubPLOs]],"&lt;3")+SUMIFS(tbl_task5[S41],tbl_task5[[SubPLOs]:[SubPLOs]],"&gt;=2",tbl_task5[[SubPLOs]:[SubPLOs]],"&lt;3")+SUMIFS(tbl_task6[S41],tbl_task6[[SubPLOs]:[SubPLOs]],"&gt;=2",tbl_task6[[SubPLOs]:[SubPLOs]],"&lt;3")+SUMIFS(tbl_task7[S41],tbl_task7[[SubPLOs]:[SubPLOs]],"&gt;=2",tbl_task7[[SubPLOs]:[SubPLOs]],"&lt;3")+SUMIFS(tbl_task8[S41],tbl_task8[[SubPLOs]:[SubPLOs]],"&gt;=2",tbl_task8[[SubPLOs]:[SubPLOs]],"&lt;3")+SUMIFS(tbl_task9[S41],tbl_task9[[SubPLOs]:[SubPLOs]],"&gt;=2",tbl_task9[[SubPLOs]:[SubPLOs]],"&lt;3")+SUMIFS(tbl_task10[S41],tbl_task10[[SubPLOs]:[SubPLOs]],"&gt;=2",tbl_task10[[SubPLOs]:[SubPLOs]],"&lt;3")</f>
        <v>0</v>
      </c>
      <c r="AU181" s="41">
        <f>SUMIFS(tbl_task1[S42],tbl_task1[[SubPLOs]:[SubPLOs]],"&gt;=2",tbl_task1[[SubPLOs]:[SubPLOs]],"&lt;3")+SUMIFS(tbl_task2[S42],tbl_task2[[SubPLOs]:[SubPLOs]],"&gt;=2",tbl_task2[[SubPLOs]:[SubPLOs]],"&lt;3")+SUMIFS(tbl_task3[S42],tbl_task3[[SubPLOs]:[SubPLOs]],"&gt;=2",tbl_task3[[SubPLOs]:[SubPLOs]],"&lt;3")+SUMIFS(tbl_task4[S42],tbl_task4[[SubPLOs]:[SubPLOs]],"&gt;=2",tbl_task4[[SubPLOs]:[SubPLOs]],"&lt;3")+SUMIFS(tbl_task5[S42],tbl_task5[[SubPLOs]:[SubPLOs]],"&gt;=2",tbl_task5[[SubPLOs]:[SubPLOs]],"&lt;3")+SUMIFS(tbl_task6[S42],tbl_task6[[SubPLOs]:[SubPLOs]],"&gt;=2",tbl_task6[[SubPLOs]:[SubPLOs]],"&lt;3")+SUMIFS(tbl_task7[S42],tbl_task7[[SubPLOs]:[SubPLOs]],"&gt;=2",tbl_task7[[SubPLOs]:[SubPLOs]],"&lt;3")+SUMIFS(tbl_task8[S42],tbl_task8[[SubPLOs]:[SubPLOs]],"&gt;=2",tbl_task8[[SubPLOs]:[SubPLOs]],"&lt;3")+SUMIFS(tbl_task9[S42],tbl_task9[[SubPLOs]:[SubPLOs]],"&gt;=2",tbl_task9[[SubPLOs]:[SubPLOs]],"&lt;3")+SUMIFS(tbl_task10[S42],tbl_task10[[SubPLOs]:[SubPLOs]],"&gt;=2",tbl_task10[[SubPLOs]:[SubPLOs]],"&lt;3")</f>
        <v>0</v>
      </c>
      <c r="AV181" s="41">
        <f>SUMIFS(tbl_task1[S43],tbl_task1[[SubPLOs]:[SubPLOs]],"&gt;=2",tbl_task1[[SubPLOs]:[SubPLOs]],"&lt;3")+SUMIFS(tbl_task2[S43],tbl_task2[[SubPLOs]:[SubPLOs]],"&gt;=2",tbl_task2[[SubPLOs]:[SubPLOs]],"&lt;3")+SUMIFS(tbl_task3[S43],tbl_task3[[SubPLOs]:[SubPLOs]],"&gt;=2",tbl_task3[[SubPLOs]:[SubPLOs]],"&lt;3")+SUMIFS(tbl_task4[S43],tbl_task4[[SubPLOs]:[SubPLOs]],"&gt;=2",tbl_task4[[SubPLOs]:[SubPLOs]],"&lt;3")+SUMIFS(tbl_task5[S43],tbl_task5[[SubPLOs]:[SubPLOs]],"&gt;=2",tbl_task5[[SubPLOs]:[SubPLOs]],"&lt;3")+SUMIFS(tbl_task6[S43],tbl_task6[[SubPLOs]:[SubPLOs]],"&gt;=2",tbl_task6[[SubPLOs]:[SubPLOs]],"&lt;3")+SUMIFS(tbl_task7[S43],tbl_task7[[SubPLOs]:[SubPLOs]],"&gt;=2",tbl_task7[[SubPLOs]:[SubPLOs]],"&lt;3")+SUMIFS(tbl_task8[S43],tbl_task8[[SubPLOs]:[SubPLOs]],"&gt;=2",tbl_task8[[SubPLOs]:[SubPLOs]],"&lt;3")+SUMIFS(tbl_task9[S43],tbl_task9[[SubPLOs]:[SubPLOs]],"&gt;=2",tbl_task9[[SubPLOs]:[SubPLOs]],"&lt;3")+SUMIFS(tbl_task10[S43],tbl_task10[[SubPLOs]:[SubPLOs]],"&gt;=2",tbl_task10[[SubPLOs]:[SubPLOs]],"&lt;3")</f>
        <v>0</v>
      </c>
      <c r="AW181" s="41">
        <f>SUMIFS(tbl_task1[S44],tbl_task1[[SubPLOs]:[SubPLOs]],"&gt;=2",tbl_task1[[SubPLOs]:[SubPLOs]],"&lt;3")+SUMIFS(tbl_task2[S44],tbl_task2[[SubPLOs]:[SubPLOs]],"&gt;=2",tbl_task2[[SubPLOs]:[SubPLOs]],"&lt;3")+SUMIFS(tbl_task3[S44],tbl_task3[[SubPLOs]:[SubPLOs]],"&gt;=2",tbl_task3[[SubPLOs]:[SubPLOs]],"&lt;3")+SUMIFS(tbl_task4[S44],tbl_task4[[SubPLOs]:[SubPLOs]],"&gt;=2",tbl_task4[[SubPLOs]:[SubPLOs]],"&lt;3")+SUMIFS(tbl_task5[S44],tbl_task5[[SubPLOs]:[SubPLOs]],"&gt;=2",tbl_task5[[SubPLOs]:[SubPLOs]],"&lt;3")+SUMIFS(tbl_task6[S44],tbl_task6[[SubPLOs]:[SubPLOs]],"&gt;=2",tbl_task6[[SubPLOs]:[SubPLOs]],"&lt;3")+SUMIFS(tbl_task7[S44],tbl_task7[[SubPLOs]:[SubPLOs]],"&gt;=2",tbl_task7[[SubPLOs]:[SubPLOs]],"&lt;3")+SUMIFS(tbl_task8[S44],tbl_task8[[SubPLOs]:[SubPLOs]],"&gt;=2",tbl_task8[[SubPLOs]:[SubPLOs]],"&lt;3")+SUMIFS(tbl_task9[S44],tbl_task9[[SubPLOs]:[SubPLOs]],"&gt;=2",tbl_task9[[SubPLOs]:[SubPLOs]],"&lt;3")+SUMIFS(tbl_task10[S44],tbl_task10[[SubPLOs]:[SubPLOs]],"&gt;=2",tbl_task10[[SubPLOs]:[SubPLOs]],"&lt;3")</f>
        <v>0</v>
      </c>
      <c r="AX181" s="41">
        <f>SUMIFS(tbl_task1[S45],tbl_task1[[SubPLOs]:[SubPLOs]],"&gt;=2",tbl_task1[[SubPLOs]:[SubPLOs]],"&lt;3")+SUMIFS(tbl_task2[S45],tbl_task2[[SubPLOs]:[SubPLOs]],"&gt;=2",tbl_task2[[SubPLOs]:[SubPLOs]],"&lt;3")+SUMIFS(tbl_task3[S45],tbl_task3[[SubPLOs]:[SubPLOs]],"&gt;=2",tbl_task3[[SubPLOs]:[SubPLOs]],"&lt;3")+SUMIFS(tbl_task4[S45],tbl_task4[[SubPLOs]:[SubPLOs]],"&gt;=2",tbl_task4[[SubPLOs]:[SubPLOs]],"&lt;3")+SUMIFS(tbl_task5[S45],tbl_task5[[SubPLOs]:[SubPLOs]],"&gt;=2",tbl_task5[[SubPLOs]:[SubPLOs]],"&lt;3")+SUMIFS(tbl_task6[S45],tbl_task6[[SubPLOs]:[SubPLOs]],"&gt;=2",tbl_task6[[SubPLOs]:[SubPLOs]],"&lt;3")+SUMIFS(tbl_task7[S45],tbl_task7[[SubPLOs]:[SubPLOs]],"&gt;=2",tbl_task7[[SubPLOs]:[SubPLOs]],"&lt;3")+SUMIFS(tbl_task8[S45],tbl_task8[[SubPLOs]:[SubPLOs]],"&gt;=2",tbl_task8[[SubPLOs]:[SubPLOs]],"&lt;3")+SUMIFS(tbl_task9[S45],tbl_task9[[SubPLOs]:[SubPLOs]],"&gt;=2",tbl_task9[[SubPLOs]:[SubPLOs]],"&lt;3")+SUMIFS(tbl_task10[S45],tbl_task10[[SubPLOs]:[SubPLOs]],"&gt;=2",tbl_task10[[SubPLOs]:[SubPLOs]],"&lt;3")</f>
        <v>0</v>
      </c>
      <c r="AY181" s="41">
        <f>SUMIFS(tbl_task1[S46],tbl_task1[[SubPLOs]:[SubPLOs]],"&gt;=2",tbl_task1[[SubPLOs]:[SubPLOs]],"&lt;3")+SUMIFS(tbl_task2[S46],tbl_task2[[SubPLOs]:[SubPLOs]],"&gt;=2",tbl_task2[[SubPLOs]:[SubPLOs]],"&lt;3")+SUMIFS(tbl_task3[S46],tbl_task3[[SubPLOs]:[SubPLOs]],"&gt;=2",tbl_task3[[SubPLOs]:[SubPLOs]],"&lt;3")+SUMIFS(tbl_task4[S46],tbl_task4[[SubPLOs]:[SubPLOs]],"&gt;=2",tbl_task4[[SubPLOs]:[SubPLOs]],"&lt;3")+SUMIFS(tbl_task5[S46],tbl_task5[[SubPLOs]:[SubPLOs]],"&gt;=2",tbl_task5[[SubPLOs]:[SubPLOs]],"&lt;3")+SUMIFS(tbl_task6[S46],tbl_task6[[SubPLOs]:[SubPLOs]],"&gt;=2",tbl_task6[[SubPLOs]:[SubPLOs]],"&lt;3")+SUMIFS(tbl_task7[S46],tbl_task7[[SubPLOs]:[SubPLOs]],"&gt;=2",tbl_task7[[SubPLOs]:[SubPLOs]],"&lt;3")+SUMIFS(tbl_task8[S46],tbl_task8[[SubPLOs]:[SubPLOs]],"&gt;=2",tbl_task8[[SubPLOs]:[SubPLOs]],"&lt;3")+SUMIFS(tbl_task9[S46],tbl_task9[[SubPLOs]:[SubPLOs]],"&gt;=2",tbl_task9[[SubPLOs]:[SubPLOs]],"&lt;3")+SUMIFS(tbl_task10[S46],tbl_task10[[SubPLOs]:[SubPLOs]],"&gt;=2",tbl_task10[[SubPLOs]:[SubPLOs]],"&lt;3")</f>
        <v>0</v>
      </c>
      <c r="AZ181" s="41">
        <f>SUMIFS(tbl_task1[S47],tbl_task1[[SubPLOs]:[SubPLOs]],"&gt;=2",tbl_task1[[SubPLOs]:[SubPLOs]],"&lt;3")+SUMIFS(tbl_task2[S47],tbl_task2[[SubPLOs]:[SubPLOs]],"&gt;=2",tbl_task2[[SubPLOs]:[SubPLOs]],"&lt;3")+SUMIFS(tbl_task3[S47],tbl_task3[[SubPLOs]:[SubPLOs]],"&gt;=2",tbl_task3[[SubPLOs]:[SubPLOs]],"&lt;3")+SUMIFS(tbl_task4[S47],tbl_task4[[SubPLOs]:[SubPLOs]],"&gt;=2",tbl_task4[[SubPLOs]:[SubPLOs]],"&lt;3")+SUMIFS(tbl_task5[S47],tbl_task5[[SubPLOs]:[SubPLOs]],"&gt;=2",tbl_task5[[SubPLOs]:[SubPLOs]],"&lt;3")+SUMIFS(tbl_task6[S47],tbl_task6[[SubPLOs]:[SubPLOs]],"&gt;=2",tbl_task6[[SubPLOs]:[SubPLOs]],"&lt;3")+SUMIFS(tbl_task7[S47],tbl_task7[[SubPLOs]:[SubPLOs]],"&gt;=2",tbl_task7[[SubPLOs]:[SubPLOs]],"&lt;3")+SUMIFS(tbl_task8[S47],tbl_task8[[SubPLOs]:[SubPLOs]],"&gt;=2",tbl_task8[[SubPLOs]:[SubPLOs]],"&lt;3")+SUMIFS(tbl_task9[S47],tbl_task9[[SubPLOs]:[SubPLOs]],"&gt;=2",tbl_task9[[SubPLOs]:[SubPLOs]],"&lt;3")+SUMIFS(tbl_task10[S47],tbl_task10[[SubPLOs]:[SubPLOs]],"&gt;=2",tbl_task10[[SubPLOs]:[SubPLOs]],"&lt;3")</f>
        <v>0</v>
      </c>
      <c r="BA181" s="41">
        <f>SUMIFS(tbl_task1[S48],tbl_task1[[SubPLOs]:[SubPLOs]],"&gt;=2",tbl_task1[[SubPLOs]:[SubPLOs]],"&lt;3")+SUMIFS(tbl_task2[S48],tbl_task2[[SubPLOs]:[SubPLOs]],"&gt;=2",tbl_task2[[SubPLOs]:[SubPLOs]],"&lt;3")+SUMIFS(tbl_task3[S48],tbl_task3[[SubPLOs]:[SubPLOs]],"&gt;=2",tbl_task3[[SubPLOs]:[SubPLOs]],"&lt;3")+SUMIFS(tbl_task4[S48],tbl_task4[[SubPLOs]:[SubPLOs]],"&gt;=2",tbl_task4[[SubPLOs]:[SubPLOs]],"&lt;3")+SUMIFS(tbl_task5[S48],tbl_task5[[SubPLOs]:[SubPLOs]],"&gt;=2",tbl_task5[[SubPLOs]:[SubPLOs]],"&lt;3")+SUMIFS(tbl_task6[S48],tbl_task6[[SubPLOs]:[SubPLOs]],"&gt;=2",tbl_task6[[SubPLOs]:[SubPLOs]],"&lt;3")+SUMIFS(tbl_task7[S48],tbl_task7[[SubPLOs]:[SubPLOs]],"&gt;=2",tbl_task7[[SubPLOs]:[SubPLOs]],"&lt;3")+SUMIFS(tbl_task8[S48],tbl_task8[[SubPLOs]:[SubPLOs]],"&gt;=2",tbl_task8[[SubPLOs]:[SubPLOs]],"&lt;3")+SUMIFS(tbl_task9[S48],tbl_task9[[SubPLOs]:[SubPLOs]],"&gt;=2",tbl_task9[[SubPLOs]:[SubPLOs]],"&lt;3")+SUMIFS(tbl_task10[S48],tbl_task10[[SubPLOs]:[SubPLOs]],"&gt;=2",tbl_task10[[SubPLOs]:[SubPLOs]],"&lt;3")</f>
        <v>0</v>
      </c>
      <c r="BB181" s="41">
        <f>SUMIFS(tbl_task1[S49],tbl_task1[[SubPLOs]:[SubPLOs]],"&gt;=2",tbl_task1[[SubPLOs]:[SubPLOs]],"&lt;3")+SUMIFS(tbl_task2[S49],tbl_task2[[SubPLOs]:[SubPLOs]],"&gt;=2",tbl_task2[[SubPLOs]:[SubPLOs]],"&lt;3")+SUMIFS(tbl_task3[S49],tbl_task3[[SubPLOs]:[SubPLOs]],"&gt;=2",tbl_task3[[SubPLOs]:[SubPLOs]],"&lt;3")+SUMIFS(tbl_task4[S49],tbl_task4[[SubPLOs]:[SubPLOs]],"&gt;=2",tbl_task4[[SubPLOs]:[SubPLOs]],"&lt;3")+SUMIFS(tbl_task5[S49],tbl_task5[[SubPLOs]:[SubPLOs]],"&gt;=2",tbl_task5[[SubPLOs]:[SubPLOs]],"&lt;3")+SUMIFS(tbl_task6[S49],tbl_task6[[SubPLOs]:[SubPLOs]],"&gt;=2",tbl_task6[[SubPLOs]:[SubPLOs]],"&lt;3")+SUMIFS(tbl_task7[S49],tbl_task7[[SubPLOs]:[SubPLOs]],"&gt;=2",tbl_task7[[SubPLOs]:[SubPLOs]],"&lt;3")+SUMIFS(tbl_task8[S49],tbl_task8[[SubPLOs]:[SubPLOs]],"&gt;=2",tbl_task8[[SubPLOs]:[SubPLOs]],"&lt;3")+SUMIFS(tbl_task9[S49],tbl_task9[[SubPLOs]:[SubPLOs]],"&gt;=2",tbl_task9[[SubPLOs]:[SubPLOs]],"&lt;3")+SUMIFS(tbl_task10[S49],tbl_task10[[SubPLOs]:[SubPLOs]],"&gt;=2",tbl_task10[[SubPLOs]:[SubPLOs]],"&lt;3")</f>
        <v>0</v>
      </c>
      <c r="BC181" s="41">
        <f>SUMIFS(tbl_task1[S50],tbl_task1[[SubPLOs]:[SubPLOs]],"&gt;=2",tbl_task1[[SubPLOs]:[SubPLOs]],"&lt;3")+SUMIFS(tbl_task2[S50],tbl_task2[[SubPLOs]:[SubPLOs]],"&gt;=2",tbl_task2[[SubPLOs]:[SubPLOs]],"&lt;3")+SUMIFS(tbl_task3[S50],tbl_task3[[SubPLOs]:[SubPLOs]],"&gt;=2",tbl_task3[[SubPLOs]:[SubPLOs]],"&lt;3")+SUMIFS(tbl_task4[S50],tbl_task4[[SubPLOs]:[SubPLOs]],"&gt;=2",tbl_task4[[SubPLOs]:[SubPLOs]],"&lt;3")+SUMIFS(tbl_task5[S50],tbl_task5[[SubPLOs]:[SubPLOs]],"&gt;=2",tbl_task5[[SubPLOs]:[SubPLOs]],"&lt;3")+SUMIFS(tbl_task6[S50],tbl_task6[[SubPLOs]:[SubPLOs]],"&gt;=2",tbl_task6[[SubPLOs]:[SubPLOs]],"&lt;3")+SUMIFS(tbl_task7[S50],tbl_task7[[SubPLOs]:[SubPLOs]],"&gt;=2",tbl_task7[[SubPLOs]:[SubPLOs]],"&lt;3")+SUMIFS(tbl_task8[S50],tbl_task8[[SubPLOs]:[SubPLOs]],"&gt;=2",tbl_task8[[SubPLOs]:[SubPLOs]],"&lt;3")+SUMIFS(tbl_task9[S50],tbl_task9[[SubPLOs]:[SubPLOs]],"&gt;=2",tbl_task9[[SubPLOs]:[SubPLOs]],"&lt;3")+SUMIFS(tbl_task10[S50],tbl_task10[[SubPLOs]:[SubPLOs]],"&gt;=2",tbl_task10[[SubPLOs]:[SubPLOs]],"&lt;3")</f>
        <v>0</v>
      </c>
      <c r="BD181" s="41">
        <f>SUMIFS(tbl_task1[S51],tbl_task1[[SubPLOs]:[SubPLOs]],"&gt;=2",tbl_task1[[SubPLOs]:[SubPLOs]],"&lt;3")+SUMIFS(tbl_task2[S51],tbl_task2[[SubPLOs]:[SubPLOs]],"&gt;=2",tbl_task2[[SubPLOs]:[SubPLOs]],"&lt;3")+SUMIFS(tbl_task3[S51],tbl_task3[[SubPLOs]:[SubPLOs]],"&gt;=2",tbl_task3[[SubPLOs]:[SubPLOs]],"&lt;3")+SUMIFS(tbl_task4[S51],tbl_task4[[SubPLOs]:[SubPLOs]],"&gt;=2",tbl_task4[[SubPLOs]:[SubPLOs]],"&lt;3")+SUMIFS(tbl_task5[S51],tbl_task5[[SubPLOs]:[SubPLOs]],"&gt;=2",tbl_task5[[SubPLOs]:[SubPLOs]],"&lt;3")+SUMIFS(tbl_task6[S51],tbl_task6[[SubPLOs]:[SubPLOs]],"&gt;=2",tbl_task6[[SubPLOs]:[SubPLOs]],"&lt;3")+SUMIFS(tbl_task7[S51],tbl_task7[[SubPLOs]:[SubPLOs]],"&gt;=2",tbl_task7[[SubPLOs]:[SubPLOs]],"&lt;3")+SUMIFS(tbl_task8[S51],tbl_task8[[SubPLOs]:[SubPLOs]],"&gt;=2",tbl_task8[[SubPLOs]:[SubPLOs]],"&lt;3")+SUMIFS(tbl_task9[S51],tbl_task9[[SubPLOs]:[SubPLOs]],"&gt;=2",tbl_task9[[SubPLOs]:[SubPLOs]],"&lt;3")+SUMIFS(tbl_task10[S51],tbl_task10[[SubPLOs]:[SubPLOs]],"&gt;=2",tbl_task10[[SubPLOs]:[SubPLOs]],"&lt;3")</f>
        <v>0</v>
      </c>
      <c r="BE181" s="41">
        <f>SUMIFS(tbl_task1[S52],tbl_task1[[SubPLOs]:[SubPLOs]],"&gt;=2",tbl_task1[[SubPLOs]:[SubPLOs]],"&lt;3")+SUMIFS(tbl_task2[S52],tbl_task2[[SubPLOs]:[SubPLOs]],"&gt;=2",tbl_task2[[SubPLOs]:[SubPLOs]],"&lt;3")+SUMIFS(tbl_task3[S52],tbl_task3[[SubPLOs]:[SubPLOs]],"&gt;=2",tbl_task3[[SubPLOs]:[SubPLOs]],"&lt;3")+SUMIFS(tbl_task4[S52],tbl_task4[[SubPLOs]:[SubPLOs]],"&gt;=2",tbl_task4[[SubPLOs]:[SubPLOs]],"&lt;3")+SUMIFS(tbl_task5[S52],tbl_task5[[SubPLOs]:[SubPLOs]],"&gt;=2",tbl_task5[[SubPLOs]:[SubPLOs]],"&lt;3")+SUMIFS(tbl_task6[S52],tbl_task6[[SubPLOs]:[SubPLOs]],"&gt;=2",tbl_task6[[SubPLOs]:[SubPLOs]],"&lt;3")+SUMIFS(tbl_task7[S52],tbl_task7[[SubPLOs]:[SubPLOs]],"&gt;=2",tbl_task7[[SubPLOs]:[SubPLOs]],"&lt;3")+SUMIFS(tbl_task8[S52],tbl_task8[[SubPLOs]:[SubPLOs]],"&gt;=2",tbl_task8[[SubPLOs]:[SubPLOs]],"&lt;3")+SUMIFS(tbl_task9[S52],tbl_task9[[SubPLOs]:[SubPLOs]],"&gt;=2",tbl_task9[[SubPLOs]:[SubPLOs]],"&lt;3")+SUMIFS(tbl_task10[S52],tbl_task10[[SubPLOs]:[SubPLOs]],"&gt;=2",tbl_task10[[SubPLOs]:[SubPLOs]],"&lt;3")</f>
        <v>0</v>
      </c>
      <c r="BF181" s="41">
        <f>SUMIFS(tbl_task1[S53],tbl_task1[[SubPLOs]:[SubPLOs]],"&gt;=2",tbl_task1[[SubPLOs]:[SubPLOs]],"&lt;3")+SUMIFS(tbl_task2[S53],tbl_task2[[SubPLOs]:[SubPLOs]],"&gt;=2",tbl_task2[[SubPLOs]:[SubPLOs]],"&lt;3")+SUMIFS(tbl_task3[S53],tbl_task3[[SubPLOs]:[SubPLOs]],"&gt;=2",tbl_task3[[SubPLOs]:[SubPLOs]],"&lt;3")+SUMIFS(tbl_task4[S53],tbl_task4[[SubPLOs]:[SubPLOs]],"&gt;=2",tbl_task4[[SubPLOs]:[SubPLOs]],"&lt;3")+SUMIFS(tbl_task5[S53],tbl_task5[[SubPLOs]:[SubPLOs]],"&gt;=2",tbl_task5[[SubPLOs]:[SubPLOs]],"&lt;3")+SUMIFS(tbl_task6[S53],tbl_task6[[SubPLOs]:[SubPLOs]],"&gt;=2",tbl_task6[[SubPLOs]:[SubPLOs]],"&lt;3")+SUMIFS(tbl_task7[S53],tbl_task7[[SubPLOs]:[SubPLOs]],"&gt;=2",tbl_task7[[SubPLOs]:[SubPLOs]],"&lt;3")+SUMIFS(tbl_task8[S53],tbl_task8[[SubPLOs]:[SubPLOs]],"&gt;=2",tbl_task8[[SubPLOs]:[SubPLOs]],"&lt;3")+SUMIFS(tbl_task9[S53],tbl_task9[[SubPLOs]:[SubPLOs]],"&gt;=2",tbl_task9[[SubPLOs]:[SubPLOs]],"&lt;3")+SUMIFS(tbl_task10[S53],tbl_task10[[SubPLOs]:[SubPLOs]],"&gt;=2",tbl_task10[[SubPLOs]:[SubPLOs]],"&lt;3")</f>
        <v>0</v>
      </c>
      <c r="BG181" s="41">
        <f>SUMIFS(tbl_task1[S54],tbl_task1[[SubPLOs]:[SubPLOs]],"&gt;=2",tbl_task1[[SubPLOs]:[SubPLOs]],"&lt;3")+SUMIFS(tbl_task2[S54],tbl_task2[[SubPLOs]:[SubPLOs]],"&gt;=2",tbl_task2[[SubPLOs]:[SubPLOs]],"&lt;3")+SUMIFS(tbl_task3[S54],tbl_task3[[SubPLOs]:[SubPLOs]],"&gt;=2",tbl_task3[[SubPLOs]:[SubPLOs]],"&lt;3")+SUMIFS(tbl_task4[S54],tbl_task4[[SubPLOs]:[SubPLOs]],"&gt;=2",tbl_task4[[SubPLOs]:[SubPLOs]],"&lt;3")+SUMIFS(tbl_task5[S54],tbl_task5[[SubPLOs]:[SubPLOs]],"&gt;=2",tbl_task5[[SubPLOs]:[SubPLOs]],"&lt;3")+SUMIFS(tbl_task6[S54],tbl_task6[[SubPLOs]:[SubPLOs]],"&gt;=2",tbl_task6[[SubPLOs]:[SubPLOs]],"&lt;3")+SUMIFS(tbl_task7[S54],tbl_task7[[SubPLOs]:[SubPLOs]],"&gt;=2",tbl_task7[[SubPLOs]:[SubPLOs]],"&lt;3")+SUMIFS(tbl_task8[S54],tbl_task8[[SubPLOs]:[SubPLOs]],"&gt;=2",tbl_task8[[SubPLOs]:[SubPLOs]],"&lt;3")+SUMIFS(tbl_task9[S54],tbl_task9[[SubPLOs]:[SubPLOs]],"&gt;=2",tbl_task9[[SubPLOs]:[SubPLOs]],"&lt;3")+SUMIFS(tbl_task10[S54],tbl_task10[[SubPLOs]:[SubPLOs]],"&gt;=2",tbl_task10[[SubPLOs]:[SubPLOs]],"&lt;3")</f>
        <v>0</v>
      </c>
      <c r="BH181" s="41">
        <f>SUMIFS(tbl_task1[S55],tbl_task1[[SubPLOs]:[SubPLOs]],"&gt;=2",tbl_task1[[SubPLOs]:[SubPLOs]],"&lt;3")+SUMIFS(tbl_task2[S55],tbl_task2[[SubPLOs]:[SubPLOs]],"&gt;=2",tbl_task2[[SubPLOs]:[SubPLOs]],"&lt;3")+SUMIFS(tbl_task3[S55],tbl_task3[[SubPLOs]:[SubPLOs]],"&gt;=2",tbl_task3[[SubPLOs]:[SubPLOs]],"&lt;3")+SUMIFS(tbl_task4[S55],tbl_task4[[SubPLOs]:[SubPLOs]],"&gt;=2",tbl_task4[[SubPLOs]:[SubPLOs]],"&lt;3")+SUMIFS(tbl_task5[S55],tbl_task5[[SubPLOs]:[SubPLOs]],"&gt;=2",tbl_task5[[SubPLOs]:[SubPLOs]],"&lt;3")+SUMIFS(tbl_task6[S55],tbl_task6[[SubPLOs]:[SubPLOs]],"&gt;=2",tbl_task6[[SubPLOs]:[SubPLOs]],"&lt;3")+SUMIFS(tbl_task7[S55],tbl_task7[[SubPLOs]:[SubPLOs]],"&gt;=2",tbl_task7[[SubPLOs]:[SubPLOs]],"&lt;3")+SUMIFS(tbl_task8[S55],tbl_task8[[SubPLOs]:[SubPLOs]],"&gt;=2",tbl_task8[[SubPLOs]:[SubPLOs]],"&lt;3")+SUMIFS(tbl_task9[S55],tbl_task9[[SubPLOs]:[SubPLOs]],"&gt;=2",tbl_task9[[SubPLOs]:[SubPLOs]],"&lt;3")+SUMIFS(tbl_task10[S55],tbl_task10[[SubPLOs]:[SubPLOs]],"&gt;=2",tbl_task10[[SubPLOs]:[SubPLOs]],"&lt;3")</f>
        <v>0</v>
      </c>
      <c r="BI181" s="41">
        <f>SUMIFS(tbl_task1[S56],tbl_task1[[SubPLOs]:[SubPLOs]],"&gt;=2",tbl_task1[[SubPLOs]:[SubPLOs]],"&lt;3")+SUMIFS(tbl_task2[S56],tbl_task2[[SubPLOs]:[SubPLOs]],"&gt;=2",tbl_task2[[SubPLOs]:[SubPLOs]],"&lt;3")+SUMIFS(tbl_task3[S56],tbl_task3[[SubPLOs]:[SubPLOs]],"&gt;=2",tbl_task3[[SubPLOs]:[SubPLOs]],"&lt;3")+SUMIFS(tbl_task4[S56],tbl_task4[[SubPLOs]:[SubPLOs]],"&gt;=2",tbl_task4[[SubPLOs]:[SubPLOs]],"&lt;3")+SUMIFS(tbl_task5[S56],tbl_task5[[SubPLOs]:[SubPLOs]],"&gt;=2",tbl_task5[[SubPLOs]:[SubPLOs]],"&lt;3")+SUMIFS(tbl_task6[S56],tbl_task6[[SubPLOs]:[SubPLOs]],"&gt;=2",tbl_task6[[SubPLOs]:[SubPLOs]],"&lt;3")+SUMIFS(tbl_task7[S56],tbl_task7[[SubPLOs]:[SubPLOs]],"&gt;=2",tbl_task7[[SubPLOs]:[SubPLOs]],"&lt;3")+SUMIFS(tbl_task8[S56],tbl_task8[[SubPLOs]:[SubPLOs]],"&gt;=2",tbl_task8[[SubPLOs]:[SubPLOs]],"&lt;3")+SUMIFS(tbl_task9[S56],tbl_task9[[SubPLOs]:[SubPLOs]],"&gt;=2",tbl_task9[[SubPLOs]:[SubPLOs]],"&lt;3")+SUMIFS(tbl_task10[S56],tbl_task10[[SubPLOs]:[SubPLOs]],"&gt;=2",tbl_task10[[SubPLOs]:[SubPLOs]],"&lt;3")</f>
        <v>0</v>
      </c>
      <c r="BJ181" s="41">
        <f>SUMIFS(tbl_task1[S57],tbl_task1[[SubPLOs]:[SubPLOs]],"&gt;=2",tbl_task1[[SubPLOs]:[SubPLOs]],"&lt;3")+SUMIFS(tbl_task2[S57],tbl_task2[[SubPLOs]:[SubPLOs]],"&gt;=2",tbl_task2[[SubPLOs]:[SubPLOs]],"&lt;3")+SUMIFS(tbl_task3[S57],tbl_task3[[SubPLOs]:[SubPLOs]],"&gt;=2",tbl_task3[[SubPLOs]:[SubPLOs]],"&lt;3")+SUMIFS(tbl_task4[S57],tbl_task4[[SubPLOs]:[SubPLOs]],"&gt;=2",tbl_task4[[SubPLOs]:[SubPLOs]],"&lt;3")+SUMIFS(tbl_task5[S57],tbl_task5[[SubPLOs]:[SubPLOs]],"&gt;=2",tbl_task5[[SubPLOs]:[SubPLOs]],"&lt;3")+SUMIFS(tbl_task6[S57],tbl_task6[[SubPLOs]:[SubPLOs]],"&gt;=2",tbl_task6[[SubPLOs]:[SubPLOs]],"&lt;3")+SUMIFS(tbl_task7[S57],tbl_task7[[SubPLOs]:[SubPLOs]],"&gt;=2",tbl_task7[[SubPLOs]:[SubPLOs]],"&lt;3")+SUMIFS(tbl_task8[S57],tbl_task8[[SubPLOs]:[SubPLOs]],"&gt;=2",tbl_task8[[SubPLOs]:[SubPLOs]],"&lt;3")+SUMIFS(tbl_task9[S57],tbl_task9[[SubPLOs]:[SubPLOs]],"&gt;=2",tbl_task9[[SubPLOs]:[SubPLOs]],"&lt;3")+SUMIFS(tbl_task10[S57],tbl_task10[[SubPLOs]:[SubPLOs]],"&gt;=2",tbl_task10[[SubPLOs]:[SubPLOs]],"&lt;3")</f>
        <v>0</v>
      </c>
      <c r="BK181" s="41">
        <f>SUMIFS(tbl_task1[S58],tbl_task1[[SubPLOs]:[SubPLOs]],"&gt;=2",tbl_task1[[SubPLOs]:[SubPLOs]],"&lt;3")+SUMIFS(tbl_task2[S58],tbl_task2[[SubPLOs]:[SubPLOs]],"&gt;=2",tbl_task2[[SubPLOs]:[SubPLOs]],"&lt;3")+SUMIFS(tbl_task3[S58],tbl_task3[[SubPLOs]:[SubPLOs]],"&gt;=2",tbl_task3[[SubPLOs]:[SubPLOs]],"&lt;3")+SUMIFS(tbl_task4[S58],tbl_task4[[SubPLOs]:[SubPLOs]],"&gt;=2",tbl_task4[[SubPLOs]:[SubPLOs]],"&lt;3")+SUMIFS(tbl_task5[S58],tbl_task5[[SubPLOs]:[SubPLOs]],"&gt;=2",tbl_task5[[SubPLOs]:[SubPLOs]],"&lt;3")+SUMIFS(tbl_task6[S58],tbl_task6[[SubPLOs]:[SubPLOs]],"&gt;=2",tbl_task6[[SubPLOs]:[SubPLOs]],"&lt;3")+SUMIFS(tbl_task7[S58],tbl_task7[[SubPLOs]:[SubPLOs]],"&gt;=2",tbl_task7[[SubPLOs]:[SubPLOs]],"&lt;3")+SUMIFS(tbl_task8[S58],tbl_task8[[SubPLOs]:[SubPLOs]],"&gt;=2",tbl_task8[[SubPLOs]:[SubPLOs]],"&lt;3")+SUMIFS(tbl_task9[S58],tbl_task9[[SubPLOs]:[SubPLOs]],"&gt;=2",tbl_task9[[SubPLOs]:[SubPLOs]],"&lt;3")+SUMIFS(tbl_task10[S58],tbl_task10[[SubPLOs]:[SubPLOs]],"&gt;=2",tbl_task10[[SubPLOs]:[SubPLOs]],"&lt;3")</f>
        <v>0</v>
      </c>
      <c r="BL181" s="41">
        <f>SUMIFS(tbl_task1[S59],tbl_task1[[SubPLOs]:[SubPLOs]],"&gt;=2",tbl_task1[[SubPLOs]:[SubPLOs]],"&lt;3")+SUMIFS(tbl_task2[S59],tbl_task2[[SubPLOs]:[SubPLOs]],"&gt;=2",tbl_task2[[SubPLOs]:[SubPLOs]],"&lt;3")+SUMIFS(tbl_task3[S59],tbl_task3[[SubPLOs]:[SubPLOs]],"&gt;=2",tbl_task3[[SubPLOs]:[SubPLOs]],"&lt;3")+SUMIFS(tbl_task4[S59],tbl_task4[[SubPLOs]:[SubPLOs]],"&gt;=2",tbl_task4[[SubPLOs]:[SubPLOs]],"&lt;3")+SUMIFS(tbl_task5[S59],tbl_task5[[SubPLOs]:[SubPLOs]],"&gt;=2",tbl_task5[[SubPLOs]:[SubPLOs]],"&lt;3")+SUMIFS(tbl_task6[S59],tbl_task6[[SubPLOs]:[SubPLOs]],"&gt;=2",tbl_task6[[SubPLOs]:[SubPLOs]],"&lt;3")+SUMIFS(tbl_task7[S59],tbl_task7[[SubPLOs]:[SubPLOs]],"&gt;=2",tbl_task7[[SubPLOs]:[SubPLOs]],"&lt;3")+SUMIFS(tbl_task8[S59],tbl_task8[[SubPLOs]:[SubPLOs]],"&gt;=2",tbl_task8[[SubPLOs]:[SubPLOs]],"&lt;3")+SUMIFS(tbl_task9[S59],tbl_task9[[SubPLOs]:[SubPLOs]],"&gt;=2",tbl_task9[[SubPLOs]:[SubPLOs]],"&lt;3")+SUMIFS(tbl_task10[S59],tbl_task10[[SubPLOs]:[SubPLOs]],"&gt;=2",tbl_task10[[SubPLOs]:[SubPLOs]],"&lt;3")</f>
        <v>0</v>
      </c>
      <c r="BM181" s="41">
        <f>SUMIFS(tbl_task1[S60],tbl_task1[[SubPLOs]:[SubPLOs]],"&gt;=2",tbl_task1[[SubPLOs]:[SubPLOs]],"&lt;3")+SUMIFS(tbl_task2[S60],tbl_task2[[SubPLOs]:[SubPLOs]],"&gt;=2",tbl_task2[[SubPLOs]:[SubPLOs]],"&lt;3")+SUMIFS(tbl_task3[S60],tbl_task3[[SubPLOs]:[SubPLOs]],"&gt;=2",tbl_task3[[SubPLOs]:[SubPLOs]],"&lt;3")+SUMIFS(tbl_task4[S60],tbl_task4[[SubPLOs]:[SubPLOs]],"&gt;=2",tbl_task4[[SubPLOs]:[SubPLOs]],"&lt;3")+SUMIFS(tbl_task5[S60],tbl_task5[[SubPLOs]:[SubPLOs]],"&gt;=2",tbl_task5[[SubPLOs]:[SubPLOs]],"&lt;3")+SUMIFS(tbl_task6[S60],tbl_task6[[SubPLOs]:[SubPLOs]],"&gt;=2",tbl_task6[[SubPLOs]:[SubPLOs]],"&lt;3")+SUMIFS(tbl_task7[S60],tbl_task7[[SubPLOs]:[SubPLOs]],"&gt;=2",tbl_task7[[SubPLOs]:[SubPLOs]],"&lt;3")+SUMIFS(tbl_task8[S60],tbl_task8[[SubPLOs]:[SubPLOs]],"&gt;=2",tbl_task8[[SubPLOs]:[SubPLOs]],"&lt;3")+SUMIFS(tbl_task9[S60],tbl_task9[[SubPLOs]:[SubPLOs]],"&gt;=2",tbl_task9[[SubPLOs]:[SubPLOs]],"&lt;3")+SUMIFS(tbl_task10[S60],tbl_task10[[SubPLOs]:[SubPLOs]],"&gt;=2",tbl_task10[[SubPLOs]:[SubPLOs]],"&lt;3")</f>
        <v>0</v>
      </c>
      <c r="BN181" s="41">
        <f>SUMIFS(tbl_task1[S61],tbl_task1[[SubPLOs]:[SubPLOs]],"&gt;=2",tbl_task1[[SubPLOs]:[SubPLOs]],"&lt;3")+SUMIFS(tbl_task2[S61],tbl_task2[[SubPLOs]:[SubPLOs]],"&gt;=2",tbl_task2[[SubPLOs]:[SubPLOs]],"&lt;3")+SUMIFS(tbl_task3[S61],tbl_task3[[SubPLOs]:[SubPLOs]],"&gt;=2",tbl_task3[[SubPLOs]:[SubPLOs]],"&lt;3")+SUMIFS(tbl_task4[S61],tbl_task4[[SubPLOs]:[SubPLOs]],"&gt;=2",tbl_task4[[SubPLOs]:[SubPLOs]],"&lt;3")+SUMIFS(tbl_task5[S61],tbl_task5[[SubPLOs]:[SubPLOs]],"&gt;=2",tbl_task5[[SubPLOs]:[SubPLOs]],"&lt;3")+SUMIFS(tbl_task6[S61],tbl_task6[[SubPLOs]:[SubPLOs]],"&gt;=2",tbl_task6[[SubPLOs]:[SubPLOs]],"&lt;3")+SUMIFS(tbl_task7[S61],tbl_task7[[SubPLOs]:[SubPLOs]],"&gt;=2",tbl_task7[[SubPLOs]:[SubPLOs]],"&lt;3")+SUMIFS(tbl_task8[S61],tbl_task8[[SubPLOs]:[SubPLOs]],"&gt;=2",tbl_task8[[SubPLOs]:[SubPLOs]],"&lt;3")+SUMIFS(tbl_task9[S61],tbl_task9[[SubPLOs]:[SubPLOs]],"&gt;=2",tbl_task9[[SubPLOs]:[SubPLOs]],"&lt;3")+SUMIFS(tbl_task10[S61],tbl_task10[[SubPLOs]:[SubPLOs]],"&gt;=2",tbl_task10[[SubPLOs]:[SubPLOs]],"&lt;3")</f>
        <v>0</v>
      </c>
      <c r="BO181" s="41">
        <f>SUMIFS(tbl_task1[S62],tbl_task1[[SubPLOs]:[SubPLOs]],"&gt;=2",tbl_task1[[SubPLOs]:[SubPLOs]],"&lt;3")+SUMIFS(tbl_task2[S62],tbl_task2[[SubPLOs]:[SubPLOs]],"&gt;=2",tbl_task2[[SubPLOs]:[SubPLOs]],"&lt;3")+SUMIFS(tbl_task3[S62],tbl_task3[[SubPLOs]:[SubPLOs]],"&gt;=2",tbl_task3[[SubPLOs]:[SubPLOs]],"&lt;3")+SUMIFS(tbl_task4[S62],tbl_task4[[SubPLOs]:[SubPLOs]],"&gt;=2",tbl_task4[[SubPLOs]:[SubPLOs]],"&lt;3")+SUMIFS(tbl_task5[S62],tbl_task5[[SubPLOs]:[SubPLOs]],"&gt;=2",tbl_task5[[SubPLOs]:[SubPLOs]],"&lt;3")+SUMIFS(tbl_task6[S62],tbl_task6[[SubPLOs]:[SubPLOs]],"&gt;=2",tbl_task6[[SubPLOs]:[SubPLOs]],"&lt;3")+SUMIFS(tbl_task7[S62],tbl_task7[[SubPLOs]:[SubPLOs]],"&gt;=2",tbl_task7[[SubPLOs]:[SubPLOs]],"&lt;3")+SUMIFS(tbl_task8[S62],tbl_task8[[SubPLOs]:[SubPLOs]],"&gt;=2",tbl_task8[[SubPLOs]:[SubPLOs]],"&lt;3")+SUMIFS(tbl_task9[S62],tbl_task9[[SubPLOs]:[SubPLOs]],"&gt;=2",tbl_task9[[SubPLOs]:[SubPLOs]],"&lt;3")+SUMIFS(tbl_task10[S62],tbl_task10[[SubPLOs]:[SubPLOs]],"&gt;=2",tbl_task10[[SubPLOs]:[SubPLOs]],"&lt;3")</f>
        <v>0</v>
      </c>
      <c r="BP181" s="41">
        <f>SUMIFS(tbl_task1[S63],tbl_task1[[SubPLOs]:[SubPLOs]],"&gt;=2",tbl_task1[[SubPLOs]:[SubPLOs]],"&lt;3")+SUMIFS(tbl_task2[S63],tbl_task2[[SubPLOs]:[SubPLOs]],"&gt;=2",tbl_task2[[SubPLOs]:[SubPLOs]],"&lt;3")+SUMIFS(tbl_task3[S63],tbl_task3[[SubPLOs]:[SubPLOs]],"&gt;=2",tbl_task3[[SubPLOs]:[SubPLOs]],"&lt;3")+SUMIFS(tbl_task4[S63],tbl_task4[[SubPLOs]:[SubPLOs]],"&gt;=2",tbl_task4[[SubPLOs]:[SubPLOs]],"&lt;3")+SUMIFS(tbl_task5[S63],tbl_task5[[SubPLOs]:[SubPLOs]],"&gt;=2",tbl_task5[[SubPLOs]:[SubPLOs]],"&lt;3")+SUMIFS(tbl_task6[S63],tbl_task6[[SubPLOs]:[SubPLOs]],"&gt;=2",tbl_task6[[SubPLOs]:[SubPLOs]],"&lt;3")+SUMIFS(tbl_task7[S63],tbl_task7[[SubPLOs]:[SubPLOs]],"&gt;=2",tbl_task7[[SubPLOs]:[SubPLOs]],"&lt;3")+SUMIFS(tbl_task8[S63],tbl_task8[[SubPLOs]:[SubPLOs]],"&gt;=2",tbl_task8[[SubPLOs]:[SubPLOs]],"&lt;3")+SUMIFS(tbl_task9[S63],tbl_task9[[SubPLOs]:[SubPLOs]],"&gt;=2",tbl_task9[[SubPLOs]:[SubPLOs]],"&lt;3")+SUMIFS(tbl_task10[S63],tbl_task10[[SubPLOs]:[SubPLOs]],"&gt;=2",tbl_task10[[SubPLOs]:[SubPLOs]],"&lt;3")</f>
        <v>0</v>
      </c>
      <c r="BQ181" s="41">
        <f>SUMIFS(tbl_task1[S64],tbl_task1[[SubPLOs]:[SubPLOs]],"&gt;=2",tbl_task1[[SubPLOs]:[SubPLOs]],"&lt;3")+SUMIFS(tbl_task2[S64],tbl_task2[[SubPLOs]:[SubPLOs]],"&gt;=2",tbl_task2[[SubPLOs]:[SubPLOs]],"&lt;3")+SUMIFS(tbl_task3[S64],tbl_task3[[SubPLOs]:[SubPLOs]],"&gt;=2",tbl_task3[[SubPLOs]:[SubPLOs]],"&lt;3")+SUMIFS(tbl_task4[S64],tbl_task4[[SubPLOs]:[SubPLOs]],"&gt;=2",tbl_task4[[SubPLOs]:[SubPLOs]],"&lt;3")+SUMIFS(tbl_task5[S64],tbl_task5[[SubPLOs]:[SubPLOs]],"&gt;=2",tbl_task5[[SubPLOs]:[SubPLOs]],"&lt;3")+SUMIFS(tbl_task6[S64],tbl_task6[[SubPLOs]:[SubPLOs]],"&gt;=2",tbl_task6[[SubPLOs]:[SubPLOs]],"&lt;3")+SUMIFS(tbl_task7[S64],tbl_task7[[SubPLOs]:[SubPLOs]],"&gt;=2",tbl_task7[[SubPLOs]:[SubPLOs]],"&lt;3")+SUMIFS(tbl_task8[S64],tbl_task8[[SubPLOs]:[SubPLOs]],"&gt;=2",tbl_task8[[SubPLOs]:[SubPLOs]],"&lt;3")+SUMIFS(tbl_task9[S64],tbl_task9[[SubPLOs]:[SubPLOs]],"&gt;=2",tbl_task9[[SubPLOs]:[SubPLOs]],"&lt;3")+SUMIFS(tbl_task10[S64],tbl_task10[[SubPLOs]:[SubPLOs]],"&gt;=2",tbl_task10[[SubPLOs]:[SubPLOs]],"&lt;3")</f>
        <v>0</v>
      </c>
      <c r="BR181" s="41">
        <f>SUMIFS(tbl_task1[S65],tbl_task1[[SubPLOs]:[SubPLOs]],"&gt;=2",tbl_task1[[SubPLOs]:[SubPLOs]],"&lt;3")+SUMIFS(tbl_task2[S65],tbl_task2[[SubPLOs]:[SubPLOs]],"&gt;=2",tbl_task2[[SubPLOs]:[SubPLOs]],"&lt;3")+SUMIFS(tbl_task3[S65],tbl_task3[[SubPLOs]:[SubPLOs]],"&gt;=2",tbl_task3[[SubPLOs]:[SubPLOs]],"&lt;3")+SUMIFS(tbl_task4[S65],tbl_task4[[SubPLOs]:[SubPLOs]],"&gt;=2",tbl_task4[[SubPLOs]:[SubPLOs]],"&lt;3")+SUMIFS(tbl_task5[S65],tbl_task5[[SubPLOs]:[SubPLOs]],"&gt;=2",tbl_task5[[SubPLOs]:[SubPLOs]],"&lt;3")+SUMIFS(tbl_task6[S65],tbl_task6[[SubPLOs]:[SubPLOs]],"&gt;=2",tbl_task6[[SubPLOs]:[SubPLOs]],"&lt;3")+SUMIFS(tbl_task7[S65],tbl_task7[[SubPLOs]:[SubPLOs]],"&gt;=2",tbl_task7[[SubPLOs]:[SubPLOs]],"&lt;3")+SUMIFS(tbl_task8[S65],tbl_task8[[SubPLOs]:[SubPLOs]],"&gt;=2",tbl_task8[[SubPLOs]:[SubPLOs]],"&lt;3")+SUMIFS(tbl_task9[S65],tbl_task9[[SubPLOs]:[SubPLOs]],"&gt;=2",tbl_task9[[SubPLOs]:[SubPLOs]],"&lt;3")+SUMIFS(tbl_task10[S65],tbl_task10[[SubPLOs]:[SubPLOs]],"&gt;=2",tbl_task10[[SubPLOs]:[SubPLOs]],"&lt;3")</f>
        <v>0</v>
      </c>
      <c r="BS181" s="41">
        <f>SUMIFS(tbl_task1[S66],tbl_task1[[SubPLOs]:[SubPLOs]],"&gt;=2",tbl_task1[[SubPLOs]:[SubPLOs]],"&lt;3")+SUMIFS(tbl_task2[S66],tbl_task2[[SubPLOs]:[SubPLOs]],"&gt;=2",tbl_task2[[SubPLOs]:[SubPLOs]],"&lt;3")+SUMIFS(tbl_task3[S66],tbl_task3[[SubPLOs]:[SubPLOs]],"&gt;=2",tbl_task3[[SubPLOs]:[SubPLOs]],"&lt;3")+SUMIFS(tbl_task4[S66],tbl_task4[[SubPLOs]:[SubPLOs]],"&gt;=2",tbl_task4[[SubPLOs]:[SubPLOs]],"&lt;3")+SUMIFS(tbl_task5[S66],tbl_task5[[SubPLOs]:[SubPLOs]],"&gt;=2",tbl_task5[[SubPLOs]:[SubPLOs]],"&lt;3")+SUMIFS(tbl_task6[S66],tbl_task6[[SubPLOs]:[SubPLOs]],"&gt;=2",tbl_task6[[SubPLOs]:[SubPLOs]],"&lt;3")+SUMIFS(tbl_task7[S66],tbl_task7[[SubPLOs]:[SubPLOs]],"&gt;=2",tbl_task7[[SubPLOs]:[SubPLOs]],"&lt;3")+SUMIFS(tbl_task8[S66],tbl_task8[[SubPLOs]:[SubPLOs]],"&gt;=2",tbl_task8[[SubPLOs]:[SubPLOs]],"&lt;3")+SUMIFS(tbl_task9[S66],tbl_task9[[SubPLOs]:[SubPLOs]],"&gt;=2",tbl_task9[[SubPLOs]:[SubPLOs]],"&lt;3")+SUMIFS(tbl_task10[S66],tbl_task10[[SubPLOs]:[SubPLOs]],"&gt;=2",tbl_task10[[SubPLOs]:[SubPLOs]],"&lt;3")</f>
        <v>0</v>
      </c>
      <c r="BT181" s="41">
        <f>SUMIFS(tbl_task1[S67],tbl_task1[[SubPLOs]:[SubPLOs]],"&gt;=2",tbl_task1[[SubPLOs]:[SubPLOs]],"&lt;3")+SUMIFS(tbl_task2[S67],tbl_task2[[SubPLOs]:[SubPLOs]],"&gt;=2",tbl_task2[[SubPLOs]:[SubPLOs]],"&lt;3")+SUMIFS(tbl_task3[S67],tbl_task3[[SubPLOs]:[SubPLOs]],"&gt;=2",tbl_task3[[SubPLOs]:[SubPLOs]],"&lt;3")+SUMIFS(tbl_task4[S67],tbl_task4[[SubPLOs]:[SubPLOs]],"&gt;=2",tbl_task4[[SubPLOs]:[SubPLOs]],"&lt;3")+SUMIFS(tbl_task5[S67],tbl_task5[[SubPLOs]:[SubPLOs]],"&gt;=2",tbl_task5[[SubPLOs]:[SubPLOs]],"&lt;3")+SUMIFS(tbl_task6[S67],tbl_task6[[SubPLOs]:[SubPLOs]],"&gt;=2",tbl_task6[[SubPLOs]:[SubPLOs]],"&lt;3")+SUMIFS(tbl_task7[S67],tbl_task7[[SubPLOs]:[SubPLOs]],"&gt;=2",tbl_task7[[SubPLOs]:[SubPLOs]],"&lt;3")+SUMIFS(tbl_task8[S67],tbl_task8[[SubPLOs]:[SubPLOs]],"&gt;=2",tbl_task8[[SubPLOs]:[SubPLOs]],"&lt;3")+SUMIFS(tbl_task9[S67],tbl_task9[[SubPLOs]:[SubPLOs]],"&gt;=2",tbl_task9[[SubPLOs]:[SubPLOs]],"&lt;3")+SUMIFS(tbl_task10[S67],tbl_task10[[SubPLOs]:[SubPLOs]],"&gt;=2",tbl_task10[[SubPLOs]:[SubPLOs]],"&lt;3")</f>
        <v>0</v>
      </c>
      <c r="BU181" s="41">
        <f>SUMIFS(tbl_task1[S68],tbl_task1[[SubPLOs]:[SubPLOs]],"&gt;=2",tbl_task1[[SubPLOs]:[SubPLOs]],"&lt;3")+SUMIFS(tbl_task2[S68],tbl_task2[[SubPLOs]:[SubPLOs]],"&gt;=2",tbl_task2[[SubPLOs]:[SubPLOs]],"&lt;3")+SUMIFS(tbl_task3[S68],tbl_task3[[SubPLOs]:[SubPLOs]],"&gt;=2",tbl_task3[[SubPLOs]:[SubPLOs]],"&lt;3")+SUMIFS(tbl_task4[S68],tbl_task4[[SubPLOs]:[SubPLOs]],"&gt;=2",tbl_task4[[SubPLOs]:[SubPLOs]],"&lt;3")+SUMIFS(tbl_task5[S68],tbl_task5[[SubPLOs]:[SubPLOs]],"&gt;=2",tbl_task5[[SubPLOs]:[SubPLOs]],"&lt;3")+SUMIFS(tbl_task6[S68],tbl_task6[[SubPLOs]:[SubPLOs]],"&gt;=2",tbl_task6[[SubPLOs]:[SubPLOs]],"&lt;3")+SUMIFS(tbl_task7[S68],tbl_task7[[SubPLOs]:[SubPLOs]],"&gt;=2",tbl_task7[[SubPLOs]:[SubPLOs]],"&lt;3")+SUMIFS(tbl_task8[S68],tbl_task8[[SubPLOs]:[SubPLOs]],"&gt;=2",tbl_task8[[SubPLOs]:[SubPLOs]],"&lt;3")+SUMIFS(tbl_task9[S68],tbl_task9[[SubPLOs]:[SubPLOs]],"&gt;=2",tbl_task9[[SubPLOs]:[SubPLOs]],"&lt;3")+SUMIFS(tbl_task10[S68],tbl_task10[[SubPLOs]:[SubPLOs]],"&gt;=2",tbl_task10[[SubPLOs]:[SubPLOs]],"&lt;3")</f>
        <v>0</v>
      </c>
      <c r="BV181" s="41">
        <f>SUMIFS(tbl_task1[S69],tbl_task1[[SubPLOs]:[SubPLOs]],"&gt;=2",tbl_task1[[SubPLOs]:[SubPLOs]],"&lt;3")+SUMIFS(tbl_task2[S69],tbl_task2[[SubPLOs]:[SubPLOs]],"&gt;=2",tbl_task2[[SubPLOs]:[SubPLOs]],"&lt;3")+SUMIFS(tbl_task3[S69],tbl_task3[[SubPLOs]:[SubPLOs]],"&gt;=2",tbl_task3[[SubPLOs]:[SubPLOs]],"&lt;3")+SUMIFS(tbl_task4[S69],tbl_task4[[SubPLOs]:[SubPLOs]],"&gt;=2",tbl_task4[[SubPLOs]:[SubPLOs]],"&lt;3")+SUMIFS(tbl_task5[S69],tbl_task5[[SubPLOs]:[SubPLOs]],"&gt;=2",tbl_task5[[SubPLOs]:[SubPLOs]],"&lt;3")+SUMIFS(tbl_task6[S69],tbl_task6[[SubPLOs]:[SubPLOs]],"&gt;=2",tbl_task6[[SubPLOs]:[SubPLOs]],"&lt;3")+SUMIFS(tbl_task7[S69],tbl_task7[[SubPLOs]:[SubPLOs]],"&gt;=2",tbl_task7[[SubPLOs]:[SubPLOs]],"&lt;3")+SUMIFS(tbl_task8[S69],tbl_task8[[SubPLOs]:[SubPLOs]],"&gt;=2",tbl_task8[[SubPLOs]:[SubPLOs]],"&lt;3")+SUMIFS(tbl_task9[S69],tbl_task9[[SubPLOs]:[SubPLOs]],"&gt;=2",tbl_task9[[SubPLOs]:[SubPLOs]],"&lt;3")+SUMIFS(tbl_task10[S69],tbl_task10[[SubPLOs]:[SubPLOs]],"&gt;=2",tbl_task10[[SubPLOs]:[SubPLOs]],"&lt;3")</f>
        <v>0</v>
      </c>
      <c r="BW181" s="41">
        <f>SUMIFS(tbl_task1[S70],tbl_task1[[SubPLOs]:[SubPLOs]],"&gt;=2",tbl_task1[[SubPLOs]:[SubPLOs]],"&lt;3")+SUMIFS(tbl_task2[S70],tbl_task2[[SubPLOs]:[SubPLOs]],"&gt;=2",tbl_task2[[SubPLOs]:[SubPLOs]],"&lt;3")+SUMIFS(tbl_task3[S70],tbl_task3[[SubPLOs]:[SubPLOs]],"&gt;=2",tbl_task3[[SubPLOs]:[SubPLOs]],"&lt;3")+SUMIFS(tbl_task4[S70],tbl_task4[[SubPLOs]:[SubPLOs]],"&gt;=2",tbl_task4[[SubPLOs]:[SubPLOs]],"&lt;3")+SUMIFS(tbl_task5[S70],tbl_task5[[SubPLOs]:[SubPLOs]],"&gt;=2",tbl_task5[[SubPLOs]:[SubPLOs]],"&lt;3")+SUMIFS(tbl_task6[S70],tbl_task6[[SubPLOs]:[SubPLOs]],"&gt;=2",tbl_task6[[SubPLOs]:[SubPLOs]],"&lt;3")+SUMIFS(tbl_task7[S70],tbl_task7[[SubPLOs]:[SubPLOs]],"&gt;=2",tbl_task7[[SubPLOs]:[SubPLOs]],"&lt;3")+SUMIFS(tbl_task8[S70],tbl_task8[[SubPLOs]:[SubPLOs]],"&gt;=2",tbl_task8[[SubPLOs]:[SubPLOs]],"&lt;3")+SUMIFS(tbl_task9[S70],tbl_task9[[SubPLOs]:[SubPLOs]],"&gt;=2",tbl_task9[[SubPLOs]:[SubPLOs]],"&lt;3")+SUMIFS(tbl_task10[S70],tbl_task10[[SubPLOs]:[SubPLOs]],"&gt;=2",tbl_task10[[SubPLOs]:[SubPLOs]],"&lt;3")</f>
        <v>0</v>
      </c>
      <c r="BX181" s="41">
        <f>SUMIFS(tbl_task1[S71],tbl_task1[[SubPLOs]:[SubPLOs]],"&gt;=2",tbl_task1[[SubPLOs]:[SubPLOs]],"&lt;3")+SUMIFS(tbl_task2[S71],tbl_task2[[SubPLOs]:[SubPLOs]],"&gt;=2",tbl_task2[[SubPLOs]:[SubPLOs]],"&lt;3")+SUMIFS(tbl_task3[S71],tbl_task3[[SubPLOs]:[SubPLOs]],"&gt;=2",tbl_task3[[SubPLOs]:[SubPLOs]],"&lt;3")+SUMIFS(tbl_task4[S71],tbl_task4[[SubPLOs]:[SubPLOs]],"&gt;=2",tbl_task4[[SubPLOs]:[SubPLOs]],"&lt;3")+SUMIFS(tbl_task5[S71],tbl_task5[[SubPLOs]:[SubPLOs]],"&gt;=2",tbl_task5[[SubPLOs]:[SubPLOs]],"&lt;3")+SUMIFS(tbl_task6[S71],tbl_task6[[SubPLOs]:[SubPLOs]],"&gt;=2",tbl_task6[[SubPLOs]:[SubPLOs]],"&lt;3")+SUMIFS(tbl_task7[S71],tbl_task7[[SubPLOs]:[SubPLOs]],"&gt;=2",tbl_task7[[SubPLOs]:[SubPLOs]],"&lt;3")+SUMIFS(tbl_task8[S71],tbl_task8[[SubPLOs]:[SubPLOs]],"&gt;=2",tbl_task8[[SubPLOs]:[SubPLOs]],"&lt;3")+SUMIFS(tbl_task9[S71],tbl_task9[[SubPLOs]:[SubPLOs]],"&gt;=2",tbl_task9[[SubPLOs]:[SubPLOs]],"&lt;3")+SUMIFS(tbl_task10[S71],tbl_task10[[SubPLOs]:[SubPLOs]],"&gt;=2",tbl_task10[[SubPLOs]:[SubPLOs]],"&lt;3")</f>
        <v>0</v>
      </c>
      <c r="BY181" s="41">
        <f>SUMIFS(tbl_task1[S72],tbl_task1[[SubPLOs]:[SubPLOs]],"&gt;=2",tbl_task1[[SubPLOs]:[SubPLOs]],"&lt;3")+SUMIFS(tbl_task2[S72],tbl_task2[[SubPLOs]:[SubPLOs]],"&gt;=2",tbl_task2[[SubPLOs]:[SubPLOs]],"&lt;3")+SUMIFS(tbl_task3[S72],tbl_task3[[SubPLOs]:[SubPLOs]],"&gt;=2",tbl_task3[[SubPLOs]:[SubPLOs]],"&lt;3")+SUMIFS(tbl_task4[S72],tbl_task4[[SubPLOs]:[SubPLOs]],"&gt;=2",tbl_task4[[SubPLOs]:[SubPLOs]],"&lt;3")+SUMIFS(tbl_task5[S72],tbl_task5[[SubPLOs]:[SubPLOs]],"&gt;=2",tbl_task5[[SubPLOs]:[SubPLOs]],"&lt;3")+SUMIFS(tbl_task6[S72],tbl_task6[[SubPLOs]:[SubPLOs]],"&gt;=2",tbl_task6[[SubPLOs]:[SubPLOs]],"&lt;3")+SUMIFS(tbl_task7[S72],tbl_task7[[SubPLOs]:[SubPLOs]],"&gt;=2",tbl_task7[[SubPLOs]:[SubPLOs]],"&lt;3")+SUMIFS(tbl_task8[S72],tbl_task8[[SubPLOs]:[SubPLOs]],"&gt;=2",tbl_task8[[SubPLOs]:[SubPLOs]],"&lt;3")+SUMIFS(tbl_task9[S72],tbl_task9[[SubPLOs]:[SubPLOs]],"&gt;=2",tbl_task9[[SubPLOs]:[SubPLOs]],"&lt;3")+SUMIFS(tbl_task10[S72],tbl_task10[[SubPLOs]:[SubPLOs]],"&gt;=2",tbl_task10[[SubPLOs]:[SubPLOs]],"&lt;3")</f>
        <v>0</v>
      </c>
      <c r="BZ181" s="41">
        <f>SUMIFS(tbl_task1[S73],tbl_task1[[SubPLOs]:[SubPLOs]],"&gt;=2",tbl_task1[[SubPLOs]:[SubPLOs]],"&lt;3")+SUMIFS(tbl_task2[S73],tbl_task2[[SubPLOs]:[SubPLOs]],"&gt;=2",tbl_task2[[SubPLOs]:[SubPLOs]],"&lt;3")+SUMIFS(tbl_task3[S73],tbl_task3[[SubPLOs]:[SubPLOs]],"&gt;=2",tbl_task3[[SubPLOs]:[SubPLOs]],"&lt;3")+SUMIFS(tbl_task4[S73],tbl_task4[[SubPLOs]:[SubPLOs]],"&gt;=2",tbl_task4[[SubPLOs]:[SubPLOs]],"&lt;3")+SUMIFS(tbl_task5[S73],tbl_task5[[SubPLOs]:[SubPLOs]],"&gt;=2",tbl_task5[[SubPLOs]:[SubPLOs]],"&lt;3")+SUMIFS(tbl_task6[S73],tbl_task6[[SubPLOs]:[SubPLOs]],"&gt;=2",tbl_task6[[SubPLOs]:[SubPLOs]],"&lt;3")+SUMIFS(tbl_task7[S73],tbl_task7[[SubPLOs]:[SubPLOs]],"&gt;=2",tbl_task7[[SubPLOs]:[SubPLOs]],"&lt;3")+SUMIFS(tbl_task8[S73],tbl_task8[[SubPLOs]:[SubPLOs]],"&gt;=2",tbl_task8[[SubPLOs]:[SubPLOs]],"&lt;3")+SUMIFS(tbl_task9[S73],tbl_task9[[SubPLOs]:[SubPLOs]],"&gt;=2",tbl_task9[[SubPLOs]:[SubPLOs]],"&lt;3")+SUMIFS(tbl_task10[S73],tbl_task10[[SubPLOs]:[SubPLOs]],"&gt;=2",tbl_task10[[SubPLOs]:[SubPLOs]],"&lt;3")</f>
        <v>0</v>
      </c>
      <c r="CA181" s="41">
        <f>SUMIFS(tbl_task1[S74],tbl_task1[[SubPLOs]:[SubPLOs]],"&gt;=2",tbl_task1[[SubPLOs]:[SubPLOs]],"&lt;3")+SUMIFS(tbl_task2[S74],tbl_task2[[SubPLOs]:[SubPLOs]],"&gt;=2",tbl_task2[[SubPLOs]:[SubPLOs]],"&lt;3")+SUMIFS(tbl_task3[S74],tbl_task3[[SubPLOs]:[SubPLOs]],"&gt;=2",tbl_task3[[SubPLOs]:[SubPLOs]],"&lt;3")+SUMIFS(tbl_task4[S74],tbl_task4[[SubPLOs]:[SubPLOs]],"&gt;=2",tbl_task4[[SubPLOs]:[SubPLOs]],"&lt;3")+SUMIFS(tbl_task5[S74],tbl_task5[[SubPLOs]:[SubPLOs]],"&gt;=2",tbl_task5[[SubPLOs]:[SubPLOs]],"&lt;3")+SUMIFS(tbl_task6[S74],tbl_task6[[SubPLOs]:[SubPLOs]],"&gt;=2",tbl_task6[[SubPLOs]:[SubPLOs]],"&lt;3")+SUMIFS(tbl_task7[S74],tbl_task7[[SubPLOs]:[SubPLOs]],"&gt;=2",tbl_task7[[SubPLOs]:[SubPLOs]],"&lt;3")+SUMIFS(tbl_task8[S74],tbl_task8[[SubPLOs]:[SubPLOs]],"&gt;=2",tbl_task8[[SubPLOs]:[SubPLOs]],"&lt;3")+SUMIFS(tbl_task9[S74],tbl_task9[[SubPLOs]:[SubPLOs]],"&gt;=2",tbl_task9[[SubPLOs]:[SubPLOs]],"&lt;3")+SUMIFS(tbl_task10[S74],tbl_task10[[SubPLOs]:[SubPLOs]],"&gt;=2",tbl_task10[[SubPLOs]:[SubPLOs]],"&lt;3")</f>
        <v>0</v>
      </c>
      <c r="CB181" s="41">
        <f>SUMIFS(tbl_task1[S75],tbl_task1[[SubPLOs]:[SubPLOs]],"&gt;=2",tbl_task1[[SubPLOs]:[SubPLOs]],"&lt;3")+SUMIFS(tbl_task2[S75],tbl_task2[[SubPLOs]:[SubPLOs]],"&gt;=2",tbl_task2[[SubPLOs]:[SubPLOs]],"&lt;3")+SUMIFS(tbl_task3[S75],tbl_task3[[SubPLOs]:[SubPLOs]],"&gt;=2",tbl_task3[[SubPLOs]:[SubPLOs]],"&lt;3")+SUMIFS(tbl_task4[S75],tbl_task4[[SubPLOs]:[SubPLOs]],"&gt;=2",tbl_task4[[SubPLOs]:[SubPLOs]],"&lt;3")+SUMIFS(tbl_task5[S75],tbl_task5[[SubPLOs]:[SubPLOs]],"&gt;=2",tbl_task5[[SubPLOs]:[SubPLOs]],"&lt;3")+SUMIFS(tbl_task6[S75],tbl_task6[[SubPLOs]:[SubPLOs]],"&gt;=2",tbl_task6[[SubPLOs]:[SubPLOs]],"&lt;3")+SUMIFS(tbl_task7[S75],tbl_task7[[SubPLOs]:[SubPLOs]],"&gt;=2",tbl_task7[[SubPLOs]:[SubPLOs]],"&lt;3")+SUMIFS(tbl_task8[S75],tbl_task8[[SubPLOs]:[SubPLOs]],"&gt;=2",tbl_task8[[SubPLOs]:[SubPLOs]],"&lt;3")+SUMIFS(tbl_task9[S75],tbl_task9[[SubPLOs]:[SubPLOs]],"&gt;=2",tbl_task9[[SubPLOs]:[SubPLOs]],"&lt;3")+SUMIFS(tbl_task10[S75],tbl_task10[[SubPLOs]:[SubPLOs]],"&gt;=2",tbl_task10[[SubPLOs]:[SubPLOs]],"&lt;3")</f>
        <v>0</v>
      </c>
      <c r="CC181" s="41">
        <f>SUMIFS(tbl_task1[S76],tbl_task1[[SubPLOs]:[SubPLOs]],"&gt;=2",tbl_task1[[SubPLOs]:[SubPLOs]],"&lt;3")+SUMIFS(tbl_task2[S76],tbl_task2[[SubPLOs]:[SubPLOs]],"&gt;=2",tbl_task2[[SubPLOs]:[SubPLOs]],"&lt;3")+SUMIFS(tbl_task3[S76],tbl_task3[[SubPLOs]:[SubPLOs]],"&gt;=2",tbl_task3[[SubPLOs]:[SubPLOs]],"&lt;3")+SUMIFS(tbl_task4[S76],tbl_task4[[SubPLOs]:[SubPLOs]],"&gt;=2",tbl_task4[[SubPLOs]:[SubPLOs]],"&lt;3")+SUMIFS(tbl_task5[S76],tbl_task5[[SubPLOs]:[SubPLOs]],"&gt;=2",tbl_task5[[SubPLOs]:[SubPLOs]],"&lt;3")+SUMIFS(tbl_task6[S76],tbl_task6[[SubPLOs]:[SubPLOs]],"&gt;=2",tbl_task6[[SubPLOs]:[SubPLOs]],"&lt;3")+SUMIFS(tbl_task7[S76],tbl_task7[[SubPLOs]:[SubPLOs]],"&gt;=2",tbl_task7[[SubPLOs]:[SubPLOs]],"&lt;3")+SUMIFS(tbl_task8[S76],tbl_task8[[SubPLOs]:[SubPLOs]],"&gt;=2",tbl_task8[[SubPLOs]:[SubPLOs]],"&lt;3")+SUMIFS(tbl_task9[S76],tbl_task9[[SubPLOs]:[SubPLOs]],"&gt;=2",tbl_task9[[SubPLOs]:[SubPLOs]],"&lt;3")+SUMIFS(tbl_task10[S76],tbl_task10[[SubPLOs]:[SubPLOs]],"&gt;=2",tbl_task10[[SubPLOs]:[SubPLOs]],"&lt;3")</f>
        <v>0</v>
      </c>
      <c r="CD181" s="41">
        <f>SUMIFS(tbl_task1[S77],tbl_task1[[SubPLOs]:[SubPLOs]],"&gt;=2",tbl_task1[[SubPLOs]:[SubPLOs]],"&lt;3")+SUMIFS(tbl_task2[S77],tbl_task2[[SubPLOs]:[SubPLOs]],"&gt;=2",tbl_task2[[SubPLOs]:[SubPLOs]],"&lt;3")+SUMIFS(tbl_task3[S77],tbl_task3[[SubPLOs]:[SubPLOs]],"&gt;=2",tbl_task3[[SubPLOs]:[SubPLOs]],"&lt;3")+SUMIFS(tbl_task4[S77],tbl_task4[[SubPLOs]:[SubPLOs]],"&gt;=2",tbl_task4[[SubPLOs]:[SubPLOs]],"&lt;3")+SUMIFS(tbl_task5[S77],tbl_task5[[SubPLOs]:[SubPLOs]],"&gt;=2",tbl_task5[[SubPLOs]:[SubPLOs]],"&lt;3")+SUMIFS(tbl_task6[S77],tbl_task6[[SubPLOs]:[SubPLOs]],"&gt;=2",tbl_task6[[SubPLOs]:[SubPLOs]],"&lt;3")+SUMIFS(tbl_task7[S77],tbl_task7[[SubPLOs]:[SubPLOs]],"&gt;=2",tbl_task7[[SubPLOs]:[SubPLOs]],"&lt;3")+SUMIFS(tbl_task8[S77],tbl_task8[[SubPLOs]:[SubPLOs]],"&gt;=2",tbl_task8[[SubPLOs]:[SubPLOs]],"&lt;3")+SUMIFS(tbl_task9[S77],tbl_task9[[SubPLOs]:[SubPLOs]],"&gt;=2",tbl_task9[[SubPLOs]:[SubPLOs]],"&lt;3")+SUMIFS(tbl_task10[S77],tbl_task10[[SubPLOs]:[SubPLOs]],"&gt;=2",tbl_task10[[SubPLOs]:[SubPLOs]],"&lt;3")</f>
        <v>0</v>
      </c>
      <c r="CE181" s="41">
        <f>SUMIFS(tbl_task1[S78],tbl_task1[[SubPLOs]:[SubPLOs]],"&gt;=2",tbl_task1[[SubPLOs]:[SubPLOs]],"&lt;3")+SUMIFS(tbl_task2[S78],tbl_task2[[SubPLOs]:[SubPLOs]],"&gt;=2",tbl_task2[[SubPLOs]:[SubPLOs]],"&lt;3")+SUMIFS(tbl_task3[S78],tbl_task3[[SubPLOs]:[SubPLOs]],"&gt;=2",tbl_task3[[SubPLOs]:[SubPLOs]],"&lt;3")+SUMIFS(tbl_task4[S78],tbl_task4[[SubPLOs]:[SubPLOs]],"&gt;=2",tbl_task4[[SubPLOs]:[SubPLOs]],"&lt;3")+SUMIFS(tbl_task5[S78],tbl_task5[[SubPLOs]:[SubPLOs]],"&gt;=2",tbl_task5[[SubPLOs]:[SubPLOs]],"&lt;3")+SUMIFS(tbl_task6[S78],tbl_task6[[SubPLOs]:[SubPLOs]],"&gt;=2",tbl_task6[[SubPLOs]:[SubPLOs]],"&lt;3")+SUMIFS(tbl_task7[S78],tbl_task7[[SubPLOs]:[SubPLOs]],"&gt;=2",tbl_task7[[SubPLOs]:[SubPLOs]],"&lt;3")+SUMIFS(tbl_task8[S78],tbl_task8[[SubPLOs]:[SubPLOs]],"&gt;=2",tbl_task8[[SubPLOs]:[SubPLOs]],"&lt;3")+SUMIFS(tbl_task9[S78],tbl_task9[[SubPLOs]:[SubPLOs]],"&gt;=2",tbl_task9[[SubPLOs]:[SubPLOs]],"&lt;3")+SUMIFS(tbl_task10[S78],tbl_task10[[SubPLOs]:[SubPLOs]],"&gt;=2",tbl_task10[[SubPLOs]:[SubPLOs]],"&lt;3")</f>
        <v>0</v>
      </c>
      <c r="CF181" s="41">
        <f>SUMIFS(tbl_task1[S79],tbl_task1[[SubPLOs]:[SubPLOs]],"&gt;=2",tbl_task1[[SubPLOs]:[SubPLOs]],"&lt;3")+SUMIFS(tbl_task2[S79],tbl_task2[[SubPLOs]:[SubPLOs]],"&gt;=2",tbl_task2[[SubPLOs]:[SubPLOs]],"&lt;3")+SUMIFS(tbl_task3[S79],tbl_task3[[SubPLOs]:[SubPLOs]],"&gt;=2",tbl_task3[[SubPLOs]:[SubPLOs]],"&lt;3")+SUMIFS(tbl_task4[S79],tbl_task4[[SubPLOs]:[SubPLOs]],"&gt;=2",tbl_task4[[SubPLOs]:[SubPLOs]],"&lt;3")+SUMIFS(tbl_task5[S79],tbl_task5[[SubPLOs]:[SubPLOs]],"&gt;=2",tbl_task5[[SubPLOs]:[SubPLOs]],"&lt;3")+SUMIFS(tbl_task6[S79],tbl_task6[[SubPLOs]:[SubPLOs]],"&gt;=2",tbl_task6[[SubPLOs]:[SubPLOs]],"&lt;3")+SUMIFS(tbl_task7[S79],tbl_task7[[SubPLOs]:[SubPLOs]],"&gt;=2",tbl_task7[[SubPLOs]:[SubPLOs]],"&lt;3")+SUMIFS(tbl_task8[S79],tbl_task8[[SubPLOs]:[SubPLOs]],"&gt;=2",tbl_task8[[SubPLOs]:[SubPLOs]],"&lt;3")+SUMIFS(tbl_task9[S79],tbl_task9[[SubPLOs]:[SubPLOs]],"&gt;=2",tbl_task9[[SubPLOs]:[SubPLOs]],"&lt;3")+SUMIFS(tbl_task10[S79],tbl_task10[[SubPLOs]:[SubPLOs]],"&gt;=2",tbl_task10[[SubPLOs]:[SubPLOs]],"&lt;3")</f>
        <v>0</v>
      </c>
      <c r="CG181" s="41">
        <f>SUMIFS(tbl_task1[S80],tbl_task1[[SubPLOs]:[SubPLOs]],"&gt;=2",tbl_task1[[SubPLOs]:[SubPLOs]],"&lt;3")+SUMIFS(tbl_task2[S80],tbl_task2[[SubPLOs]:[SubPLOs]],"&gt;=2",tbl_task2[[SubPLOs]:[SubPLOs]],"&lt;3")+SUMIFS(tbl_task3[S80],tbl_task3[[SubPLOs]:[SubPLOs]],"&gt;=2",tbl_task3[[SubPLOs]:[SubPLOs]],"&lt;3")+SUMIFS(tbl_task4[S80],tbl_task4[[SubPLOs]:[SubPLOs]],"&gt;=2",tbl_task4[[SubPLOs]:[SubPLOs]],"&lt;3")+SUMIFS(tbl_task5[S80],tbl_task5[[SubPLOs]:[SubPLOs]],"&gt;=2",tbl_task5[[SubPLOs]:[SubPLOs]],"&lt;3")+SUMIFS(tbl_task6[S80],tbl_task6[[SubPLOs]:[SubPLOs]],"&gt;=2",tbl_task6[[SubPLOs]:[SubPLOs]],"&lt;3")+SUMIFS(tbl_task7[S80],tbl_task7[[SubPLOs]:[SubPLOs]],"&gt;=2",tbl_task7[[SubPLOs]:[SubPLOs]],"&lt;3")+SUMIFS(tbl_task8[S80],tbl_task8[[SubPLOs]:[SubPLOs]],"&gt;=2",tbl_task8[[SubPLOs]:[SubPLOs]],"&lt;3")+SUMIFS(tbl_task9[S80],tbl_task9[[SubPLOs]:[SubPLOs]],"&gt;=2",tbl_task9[[SubPLOs]:[SubPLOs]],"&lt;3")+SUMIFS(tbl_task10[S80],tbl_task10[[SubPLOs]:[SubPLOs]],"&gt;=2",tbl_task10[[SubPLOs]:[SubPLOs]],"&lt;3")</f>
        <v>0</v>
      </c>
      <c r="CH181" s="41">
        <f>SUMIFS(tbl_task1[S81],tbl_task1[[SubPLOs]:[SubPLOs]],"&gt;=2",tbl_task1[[SubPLOs]:[SubPLOs]],"&lt;3")+SUMIFS(tbl_task2[S81],tbl_task2[[SubPLOs]:[SubPLOs]],"&gt;=2",tbl_task2[[SubPLOs]:[SubPLOs]],"&lt;3")+SUMIFS(tbl_task3[S81],tbl_task3[[SubPLOs]:[SubPLOs]],"&gt;=2",tbl_task3[[SubPLOs]:[SubPLOs]],"&lt;3")+SUMIFS(tbl_task4[S81],tbl_task4[[SubPLOs]:[SubPLOs]],"&gt;=2",tbl_task4[[SubPLOs]:[SubPLOs]],"&lt;3")+SUMIFS(tbl_task5[S81],tbl_task5[[SubPLOs]:[SubPLOs]],"&gt;=2",tbl_task5[[SubPLOs]:[SubPLOs]],"&lt;3")+SUMIFS(tbl_task6[S81],tbl_task6[[SubPLOs]:[SubPLOs]],"&gt;=2",tbl_task6[[SubPLOs]:[SubPLOs]],"&lt;3")+SUMIFS(tbl_task7[S81],tbl_task7[[SubPLOs]:[SubPLOs]],"&gt;=2",tbl_task7[[SubPLOs]:[SubPLOs]],"&lt;3")+SUMIFS(tbl_task8[S81],tbl_task8[[SubPLOs]:[SubPLOs]],"&gt;=2",tbl_task8[[SubPLOs]:[SubPLOs]],"&lt;3")+SUMIFS(tbl_task9[S81],tbl_task9[[SubPLOs]:[SubPLOs]],"&gt;=2",tbl_task9[[SubPLOs]:[SubPLOs]],"&lt;3")+SUMIFS(tbl_task10[S81],tbl_task10[[SubPLOs]:[SubPLOs]],"&gt;=2",tbl_task10[[SubPLOs]:[SubPLOs]],"&lt;3")</f>
        <v>0</v>
      </c>
      <c r="CI181" s="41">
        <f>SUMIFS(tbl_task1[S82],tbl_task1[[SubPLOs]:[SubPLOs]],"&gt;=2",tbl_task1[[SubPLOs]:[SubPLOs]],"&lt;3")+SUMIFS(tbl_task2[S82],tbl_task2[[SubPLOs]:[SubPLOs]],"&gt;=2",tbl_task2[[SubPLOs]:[SubPLOs]],"&lt;3")+SUMIFS(tbl_task3[S82],tbl_task3[[SubPLOs]:[SubPLOs]],"&gt;=2",tbl_task3[[SubPLOs]:[SubPLOs]],"&lt;3")+SUMIFS(tbl_task4[S82],tbl_task4[[SubPLOs]:[SubPLOs]],"&gt;=2",tbl_task4[[SubPLOs]:[SubPLOs]],"&lt;3")+SUMIFS(tbl_task5[S82],tbl_task5[[SubPLOs]:[SubPLOs]],"&gt;=2",tbl_task5[[SubPLOs]:[SubPLOs]],"&lt;3")+SUMIFS(tbl_task6[S82],tbl_task6[[SubPLOs]:[SubPLOs]],"&gt;=2",tbl_task6[[SubPLOs]:[SubPLOs]],"&lt;3")+SUMIFS(tbl_task7[S82],tbl_task7[[SubPLOs]:[SubPLOs]],"&gt;=2",tbl_task7[[SubPLOs]:[SubPLOs]],"&lt;3")+SUMIFS(tbl_task8[S82],tbl_task8[[SubPLOs]:[SubPLOs]],"&gt;=2",tbl_task8[[SubPLOs]:[SubPLOs]],"&lt;3")+SUMIFS(tbl_task9[S82],tbl_task9[[SubPLOs]:[SubPLOs]],"&gt;=2",tbl_task9[[SubPLOs]:[SubPLOs]],"&lt;3")+SUMIFS(tbl_task10[S82],tbl_task10[[SubPLOs]:[SubPLOs]],"&gt;=2",tbl_task10[[SubPLOs]:[SubPLOs]],"&lt;3")</f>
        <v>0</v>
      </c>
      <c r="CJ181" s="41">
        <f>SUMIFS(tbl_task1[S83],tbl_task1[[SubPLOs]:[SubPLOs]],"&gt;=2",tbl_task1[[SubPLOs]:[SubPLOs]],"&lt;3")+SUMIFS(tbl_task2[S83],tbl_task2[[SubPLOs]:[SubPLOs]],"&gt;=2",tbl_task2[[SubPLOs]:[SubPLOs]],"&lt;3")+SUMIFS(tbl_task3[S83],tbl_task3[[SubPLOs]:[SubPLOs]],"&gt;=2",tbl_task3[[SubPLOs]:[SubPLOs]],"&lt;3")+SUMIFS(tbl_task4[S83],tbl_task4[[SubPLOs]:[SubPLOs]],"&gt;=2",tbl_task4[[SubPLOs]:[SubPLOs]],"&lt;3")+SUMIFS(tbl_task5[S83],tbl_task5[[SubPLOs]:[SubPLOs]],"&gt;=2",tbl_task5[[SubPLOs]:[SubPLOs]],"&lt;3")+SUMIFS(tbl_task6[S83],tbl_task6[[SubPLOs]:[SubPLOs]],"&gt;=2",tbl_task6[[SubPLOs]:[SubPLOs]],"&lt;3")+SUMIFS(tbl_task7[S83],tbl_task7[[SubPLOs]:[SubPLOs]],"&gt;=2",tbl_task7[[SubPLOs]:[SubPLOs]],"&lt;3")+SUMIFS(tbl_task8[S83],tbl_task8[[SubPLOs]:[SubPLOs]],"&gt;=2",tbl_task8[[SubPLOs]:[SubPLOs]],"&lt;3")+SUMIFS(tbl_task9[S83],tbl_task9[[SubPLOs]:[SubPLOs]],"&gt;=2",tbl_task9[[SubPLOs]:[SubPLOs]],"&lt;3")+SUMIFS(tbl_task10[S83],tbl_task10[[SubPLOs]:[SubPLOs]],"&gt;=2",tbl_task10[[SubPLOs]:[SubPLOs]],"&lt;3")</f>
        <v>0</v>
      </c>
      <c r="CK181" s="41">
        <f>SUMIFS(tbl_task1[S84],tbl_task1[[SubPLOs]:[SubPLOs]],"&gt;=2",tbl_task1[[SubPLOs]:[SubPLOs]],"&lt;3")+SUMIFS(tbl_task2[S84],tbl_task2[[SubPLOs]:[SubPLOs]],"&gt;=2",tbl_task2[[SubPLOs]:[SubPLOs]],"&lt;3")+SUMIFS(tbl_task3[S84],tbl_task3[[SubPLOs]:[SubPLOs]],"&gt;=2",tbl_task3[[SubPLOs]:[SubPLOs]],"&lt;3")+SUMIFS(tbl_task4[S84],tbl_task4[[SubPLOs]:[SubPLOs]],"&gt;=2",tbl_task4[[SubPLOs]:[SubPLOs]],"&lt;3")+SUMIFS(tbl_task5[S84],tbl_task5[[SubPLOs]:[SubPLOs]],"&gt;=2",tbl_task5[[SubPLOs]:[SubPLOs]],"&lt;3")+SUMIFS(tbl_task6[S84],tbl_task6[[SubPLOs]:[SubPLOs]],"&gt;=2",tbl_task6[[SubPLOs]:[SubPLOs]],"&lt;3")+SUMIFS(tbl_task7[S84],tbl_task7[[SubPLOs]:[SubPLOs]],"&gt;=2",tbl_task7[[SubPLOs]:[SubPLOs]],"&lt;3")+SUMIFS(tbl_task8[S84],tbl_task8[[SubPLOs]:[SubPLOs]],"&gt;=2",tbl_task8[[SubPLOs]:[SubPLOs]],"&lt;3")+SUMIFS(tbl_task9[S84],tbl_task9[[SubPLOs]:[SubPLOs]],"&gt;=2",tbl_task9[[SubPLOs]:[SubPLOs]],"&lt;3")+SUMIFS(tbl_task10[S84],tbl_task10[[SubPLOs]:[SubPLOs]],"&gt;=2",tbl_task10[[SubPLOs]:[SubPLOs]],"&lt;3")</f>
        <v>0</v>
      </c>
      <c r="CL181" s="41">
        <f>SUMIFS(tbl_task1[S85],tbl_task1[[SubPLOs]:[SubPLOs]],"&gt;=2",tbl_task1[[SubPLOs]:[SubPLOs]],"&lt;3")+SUMIFS(tbl_task2[S85],tbl_task2[[SubPLOs]:[SubPLOs]],"&gt;=2",tbl_task2[[SubPLOs]:[SubPLOs]],"&lt;3")+SUMIFS(tbl_task3[S85],tbl_task3[[SubPLOs]:[SubPLOs]],"&gt;=2",tbl_task3[[SubPLOs]:[SubPLOs]],"&lt;3")+SUMIFS(tbl_task4[S85],tbl_task4[[SubPLOs]:[SubPLOs]],"&gt;=2",tbl_task4[[SubPLOs]:[SubPLOs]],"&lt;3")+SUMIFS(tbl_task5[S85],tbl_task5[[SubPLOs]:[SubPLOs]],"&gt;=2",tbl_task5[[SubPLOs]:[SubPLOs]],"&lt;3")+SUMIFS(tbl_task6[S85],tbl_task6[[SubPLOs]:[SubPLOs]],"&gt;=2",tbl_task6[[SubPLOs]:[SubPLOs]],"&lt;3")+SUMIFS(tbl_task7[S85],tbl_task7[[SubPLOs]:[SubPLOs]],"&gt;=2",tbl_task7[[SubPLOs]:[SubPLOs]],"&lt;3")+SUMIFS(tbl_task8[S85],tbl_task8[[SubPLOs]:[SubPLOs]],"&gt;=2",tbl_task8[[SubPLOs]:[SubPLOs]],"&lt;3")+SUMIFS(tbl_task9[S85],tbl_task9[[SubPLOs]:[SubPLOs]],"&gt;=2",tbl_task9[[SubPLOs]:[SubPLOs]],"&lt;3")+SUMIFS(tbl_task10[S85],tbl_task10[[SubPLOs]:[SubPLOs]],"&gt;=2",tbl_task10[[SubPLOs]:[SubPLOs]],"&lt;3")</f>
        <v>0</v>
      </c>
      <c r="CM181" s="41">
        <f>SUMIFS(tbl_task1[S86],tbl_task1[[SubPLOs]:[SubPLOs]],"&gt;=2",tbl_task1[[SubPLOs]:[SubPLOs]],"&lt;3")+SUMIFS(tbl_task2[S86],tbl_task2[[SubPLOs]:[SubPLOs]],"&gt;=2",tbl_task2[[SubPLOs]:[SubPLOs]],"&lt;3")+SUMIFS(tbl_task3[S86],tbl_task3[[SubPLOs]:[SubPLOs]],"&gt;=2",tbl_task3[[SubPLOs]:[SubPLOs]],"&lt;3")+SUMIFS(tbl_task4[S86],tbl_task4[[SubPLOs]:[SubPLOs]],"&gt;=2",tbl_task4[[SubPLOs]:[SubPLOs]],"&lt;3")+SUMIFS(tbl_task5[S86],tbl_task5[[SubPLOs]:[SubPLOs]],"&gt;=2",tbl_task5[[SubPLOs]:[SubPLOs]],"&lt;3")+SUMIFS(tbl_task6[S86],tbl_task6[[SubPLOs]:[SubPLOs]],"&gt;=2",tbl_task6[[SubPLOs]:[SubPLOs]],"&lt;3")+SUMIFS(tbl_task7[S86],tbl_task7[[SubPLOs]:[SubPLOs]],"&gt;=2",tbl_task7[[SubPLOs]:[SubPLOs]],"&lt;3")+SUMIFS(tbl_task8[S86],tbl_task8[[SubPLOs]:[SubPLOs]],"&gt;=2",tbl_task8[[SubPLOs]:[SubPLOs]],"&lt;3")+SUMIFS(tbl_task9[S86],tbl_task9[[SubPLOs]:[SubPLOs]],"&gt;=2",tbl_task9[[SubPLOs]:[SubPLOs]],"&lt;3")+SUMIFS(tbl_task10[S86],tbl_task10[[SubPLOs]:[SubPLOs]],"&gt;=2",tbl_task10[[SubPLOs]:[SubPLOs]],"&lt;3")</f>
        <v>0</v>
      </c>
      <c r="CN181" s="41">
        <f>SUMIFS(tbl_task1[S87],tbl_task1[[SubPLOs]:[SubPLOs]],"&gt;=2",tbl_task1[[SubPLOs]:[SubPLOs]],"&lt;3")+SUMIFS(tbl_task2[S87],tbl_task2[[SubPLOs]:[SubPLOs]],"&gt;=2",tbl_task2[[SubPLOs]:[SubPLOs]],"&lt;3")+SUMIFS(tbl_task3[S87],tbl_task3[[SubPLOs]:[SubPLOs]],"&gt;=2",tbl_task3[[SubPLOs]:[SubPLOs]],"&lt;3")+SUMIFS(tbl_task4[S87],tbl_task4[[SubPLOs]:[SubPLOs]],"&gt;=2",tbl_task4[[SubPLOs]:[SubPLOs]],"&lt;3")+SUMIFS(tbl_task5[S87],tbl_task5[[SubPLOs]:[SubPLOs]],"&gt;=2",tbl_task5[[SubPLOs]:[SubPLOs]],"&lt;3")+SUMIFS(tbl_task6[S87],tbl_task6[[SubPLOs]:[SubPLOs]],"&gt;=2",tbl_task6[[SubPLOs]:[SubPLOs]],"&lt;3")+SUMIFS(tbl_task7[S87],tbl_task7[[SubPLOs]:[SubPLOs]],"&gt;=2",tbl_task7[[SubPLOs]:[SubPLOs]],"&lt;3")+SUMIFS(tbl_task8[S87],tbl_task8[[SubPLOs]:[SubPLOs]],"&gt;=2",tbl_task8[[SubPLOs]:[SubPLOs]],"&lt;3")+SUMIFS(tbl_task9[S87],tbl_task9[[SubPLOs]:[SubPLOs]],"&gt;=2",tbl_task9[[SubPLOs]:[SubPLOs]],"&lt;3")+SUMIFS(tbl_task10[S87],tbl_task10[[SubPLOs]:[SubPLOs]],"&gt;=2",tbl_task10[[SubPLOs]:[SubPLOs]],"&lt;3")</f>
        <v>0</v>
      </c>
      <c r="CO181" s="41">
        <f>SUMIFS(tbl_task1[S88],tbl_task1[[SubPLOs]:[SubPLOs]],"&gt;=2",tbl_task1[[SubPLOs]:[SubPLOs]],"&lt;3")+SUMIFS(tbl_task2[S88],tbl_task2[[SubPLOs]:[SubPLOs]],"&gt;=2",tbl_task2[[SubPLOs]:[SubPLOs]],"&lt;3")+SUMIFS(tbl_task3[S88],tbl_task3[[SubPLOs]:[SubPLOs]],"&gt;=2",tbl_task3[[SubPLOs]:[SubPLOs]],"&lt;3")+SUMIFS(tbl_task4[S88],tbl_task4[[SubPLOs]:[SubPLOs]],"&gt;=2",tbl_task4[[SubPLOs]:[SubPLOs]],"&lt;3")+SUMIFS(tbl_task5[S88],tbl_task5[[SubPLOs]:[SubPLOs]],"&gt;=2",tbl_task5[[SubPLOs]:[SubPLOs]],"&lt;3")+SUMIFS(tbl_task6[S88],tbl_task6[[SubPLOs]:[SubPLOs]],"&gt;=2",tbl_task6[[SubPLOs]:[SubPLOs]],"&lt;3")+SUMIFS(tbl_task7[S88],tbl_task7[[SubPLOs]:[SubPLOs]],"&gt;=2",tbl_task7[[SubPLOs]:[SubPLOs]],"&lt;3")+SUMIFS(tbl_task8[S88],tbl_task8[[SubPLOs]:[SubPLOs]],"&gt;=2",tbl_task8[[SubPLOs]:[SubPLOs]],"&lt;3")+SUMIFS(tbl_task9[S88],tbl_task9[[SubPLOs]:[SubPLOs]],"&gt;=2",tbl_task9[[SubPLOs]:[SubPLOs]],"&lt;3")+SUMIFS(tbl_task10[S88],tbl_task10[[SubPLOs]:[SubPLOs]],"&gt;=2",tbl_task10[[SubPLOs]:[SubPLOs]],"&lt;3")</f>
        <v>0</v>
      </c>
      <c r="CP181" s="41">
        <f>SUMIFS(tbl_task1[S89],tbl_task1[[SubPLOs]:[SubPLOs]],"&gt;=2",tbl_task1[[SubPLOs]:[SubPLOs]],"&lt;3")+SUMIFS(tbl_task2[S89],tbl_task2[[SubPLOs]:[SubPLOs]],"&gt;=2",tbl_task2[[SubPLOs]:[SubPLOs]],"&lt;3")+SUMIFS(tbl_task3[S89],tbl_task3[[SubPLOs]:[SubPLOs]],"&gt;=2",tbl_task3[[SubPLOs]:[SubPLOs]],"&lt;3")+SUMIFS(tbl_task4[S89],tbl_task4[[SubPLOs]:[SubPLOs]],"&gt;=2",tbl_task4[[SubPLOs]:[SubPLOs]],"&lt;3")+SUMIFS(tbl_task5[S89],tbl_task5[[SubPLOs]:[SubPLOs]],"&gt;=2",tbl_task5[[SubPLOs]:[SubPLOs]],"&lt;3")+SUMIFS(tbl_task6[S89],tbl_task6[[SubPLOs]:[SubPLOs]],"&gt;=2",tbl_task6[[SubPLOs]:[SubPLOs]],"&lt;3")+SUMIFS(tbl_task7[S89],tbl_task7[[SubPLOs]:[SubPLOs]],"&gt;=2",tbl_task7[[SubPLOs]:[SubPLOs]],"&lt;3")+SUMIFS(tbl_task8[S89],tbl_task8[[SubPLOs]:[SubPLOs]],"&gt;=2",tbl_task8[[SubPLOs]:[SubPLOs]],"&lt;3")+SUMIFS(tbl_task9[S89],tbl_task9[[SubPLOs]:[SubPLOs]],"&gt;=2",tbl_task9[[SubPLOs]:[SubPLOs]],"&lt;3")+SUMIFS(tbl_task10[S89],tbl_task10[[SubPLOs]:[SubPLOs]],"&gt;=2",tbl_task10[[SubPLOs]:[SubPLOs]],"&lt;3")</f>
        <v>0</v>
      </c>
      <c r="CQ181" s="41">
        <f>SUMIFS(tbl_task1[S90],tbl_task1[[SubPLOs]:[SubPLOs]],"&gt;=2",tbl_task1[[SubPLOs]:[SubPLOs]],"&lt;3")+SUMIFS(tbl_task2[S90],tbl_task2[[SubPLOs]:[SubPLOs]],"&gt;=2",tbl_task2[[SubPLOs]:[SubPLOs]],"&lt;3")+SUMIFS(tbl_task3[S90],tbl_task3[[SubPLOs]:[SubPLOs]],"&gt;=2",tbl_task3[[SubPLOs]:[SubPLOs]],"&lt;3")+SUMIFS(tbl_task4[S90],tbl_task4[[SubPLOs]:[SubPLOs]],"&gt;=2",tbl_task4[[SubPLOs]:[SubPLOs]],"&lt;3")+SUMIFS(tbl_task5[S90],tbl_task5[[SubPLOs]:[SubPLOs]],"&gt;=2",tbl_task5[[SubPLOs]:[SubPLOs]],"&lt;3")+SUMIFS(tbl_task6[S90],tbl_task6[[SubPLOs]:[SubPLOs]],"&gt;=2",tbl_task6[[SubPLOs]:[SubPLOs]],"&lt;3")+SUMIFS(tbl_task7[S90],tbl_task7[[SubPLOs]:[SubPLOs]],"&gt;=2",tbl_task7[[SubPLOs]:[SubPLOs]],"&lt;3")+SUMIFS(tbl_task8[S90],tbl_task8[[SubPLOs]:[SubPLOs]],"&gt;=2",tbl_task8[[SubPLOs]:[SubPLOs]],"&lt;3")+SUMIFS(tbl_task9[S90],tbl_task9[[SubPLOs]:[SubPLOs]],"&gt;=2",tbl_task9[[SubPLOs]:[SubPLOs]],"&lt;3")+SUMIFS(tbl_task10[S90],tbl_task10[[SubPLOs]:[SubPLOs]],"&gt;=2",tbl_task10[[SubPLOs]:[SubPLOs]],"&lt;3")</f>
        <v>0</v>
      </c>
      <c r="CR181" s="41">
        <f>SUMIFS(tbl_task1[S91],tbl_task1[[SubPLOs]:[SubPLOs]],"&gt;=2",tbl_task1[[SubPLOs]:[SubPLOs]],"&lt;3")+SUMIFS(tbl_task2[S91],tbl_task2[[SubPLOs]:[SubPLOs]],"&gt;=2",tbl_task2[[SubPLOs]:[SubPLOs]],"&lt;3")+SUMIFS(tbl_task3[S91],tbl_task3[[SubPLOs]:[SubPLOs]],"&gt;=2",tbl_task3[[SubPLOs]:[SubPLOs]],"&lt;3")+SUMIFS(tbl_task4[S91],tbl_task4[[SubPLOs]:[SubPLOs]],"&gt;=2",tbl_task4[[SubPLOs]:[SubPLOs]],"&lt;3")+SUMIFS(tbl_task5[S91],tbl_task5[[SubPLOs]:[SubPLOs]],"&gt;=2",tbl_task5[[SubPLOs]:[SubPLOs]],"&lt;3")+SUMIFS(tbl_task6[S91],tbl_task6[[SubPLOs]:[SubPLOs]],"&gt;=2",tbl_task6[[SubPLOs]:[SubPLOs]],"&lt;3")+SUMIFS(tbl_task7[S91],tbl_task7[[SubPLOs]:[SubPLOs]],"&gt;=2",tbl_task7[[SubPLOs]:[SubPLOs]],"&lt;3")+SUMIFS(tbl_task8[S91],tbl_task8[[SubPLOs]:[SubPLOs]],"&gt;=2",tbl_task8[[SubPLOs]:[SubPLOs]],"&lt;3")+SUMIFS(tbl_task9[S91],tbl_task9[[SubPLOs]:[SubPLOs]],"&gt;=2",tbl_task9[[SubPLOs]:[SubPLOs]],"&lt;3")+SUMIFS(tbl_task10[S91],tbl_task10[[SubPLOs]:[SubPLOs]],"&gt;=2",tbl_task10[[SubPLOs]:[SubPLOs]],"&lt;3")</f>
        <v>0</v>
      </c>
      <c r="CS181" s="41">
        <f>SUMIFS(tbl_task1[S92],tbl_task1[[SubPLOs]:[SubPLOs]],"&gt;=2",tbl_task1[[SubPLOs]:[SubPLOs]],"&lt;3")+SUMIFS(tbl_task2[S92],tbl_task2[[SubPLOs]:[SubPLOs]],"&gt;=2",tbl_task2[[SubPLOs]:[SubPLOs]],"&lt;3")+SUMIFS(tbl_task3[S92],tbl_task3[[SubPLOs]:[SubPLOs]],"&gt;=2",tbl_task3[[SubPLOs]:[SubPLOs]],"&lt;3")+SUMIFS(tbl_task4[S92],tbl_task4[[SubPLOs]:[SubPLOs]],"&gt;=2",tbl_task4[[SubPLOs]:[SubPLOs]],"&lt;3")+SUMIFS(tbl_task5[S92],tbl_task5[[SubPLOs]:[SubPLOs]],"&gt;=2",tbl_task5[[SubPLOs]:[SubPLOs]],"&lt;3")+SUMIFS(tbl_task6[S92],tbl_task6[[SubPLOs]:[SubPLOs]],"&gt;=2",tbl_task6[[SubPLOs]:[SubPLOs]],"&lt;3")+SUMIFS(tbl_task7[S92],tbl_task7[[SubPLOs]:[SubPLOs]],"&gt;=2",tbl_task7[[SubPLOs]:[SubPLOs]],"&lt;3")+SUMIFS(tbl_task8[S92],tbl_task8[[SubPLOs]:[SubPLOs]],"&gt;=2",tbl_task8[[SubPLOs]:[SubPLOs]],"&lt;3")+SUMIFS(tbl_task9[S92],tbl_task9[[SubPLOs]:[SubPLOs]],"&gt;=2",tbl_task9[[SubPLOs]:[SubPLOs]],"&lt;3")+SUMIFS(tbl_task10[S92],tbl_task10[[SubPLOs]:[SubPLOs]],"&gt;=2",tbl_task10[[SubPLOs]:[SubPLOs]],"&lt;3")</f>
        <v>0</v>
      </c>
      <c r="CT181" s="41">
        <f>SUMIFS(tbl_task1[S93],tbl_task1[[SubPLOs]:[SubPLOs]],"&gt;=2",tbl_task1[[SubPLOs]:[SubPLOs]],"&lt;3")+SUMIFS(tbl_task2[S93],tbl_task2[[SubPLOs]:[SubPLOs]],"&gt;=2",tbl_task2[[SubPLOs]:[SubPLOs]],"&lt;3")+SUMIFS(tbl_task3[S93],tbl_task3[[SubPLOs]:[SubPLOs]],"&gt;=2",tbl_task3[[SubPLOs]:[SubPLOs]],"&lt;3")+SUMIFS(tbl_task4[S93],tbl_task4[[SubPLOs]:[SubPLOs]],"&gt;=2",tbl_task4[[SubPLOs]:[SubPLOs]],"&lt;3")+SUMIFS(tbl_task5[S93],tbl_task5[[SubPLOs]:[SubPLOs]],"&gt;=2",tbl_task5[[SubPLOs]:[SubPLOs]],"&lt;3")+SUMIFS(tbl_task6[S93],tbl_task6[[SubPLOs]:[SubPLOs]],"&gt;=2",tbl_task6[[SubPLOs]:[SubPLOs]],"&lt;3")+SUMIFS(tbl_task7[S93],tbl_task7[[SubPLOs]:[SubPLOs]],"&gt;=2",tbl_task7[[SubPLOs]:[SubPLOs]],"&lt;3")+SUMIFS(tbl_task8[S93],tbl_task8[[SubPLOs]:[SubPLOs]],"&gt;=2",tbl_task8[[SubPLOs]:[SubPLOs]],"&lt;3")+SUMIFS(tbl_task9[S93],tbl_task9[[SubPLOs]:[SubPLOs]],"&gt;=2",tbl_task9[[SubPLOs]:[SubPLOs]],"&lt;3")+SUMIFS(tbl_task10[S93],tbl_task10[[SubPLOs]:[SubPLOs]],"&gt;=2",tbl_task10[[SubPLOs]:[SubPLOs]],"&lt;3")</f>
        <v>0</v>
      </c>
      <c r="CU181" s="41">
        <f>SUMIFS(tbl_task1[S94],tbl_task1[[SubPLOs]:[SubPLOs]],"&gt;=2",tbl_task1[[SubPLOs]:[SubPLOs]],"&lt;3")+SUMIFS(tbl_task2[S94],tbl_task2[[SubPLOs]:[SubPLOs]],"&gt;=2",tbl_task2[[SubPLOs]:[SubPLOs]],"&lt;3")+SUMIFS(tbl_task3[S94],tbl_task3[[SubPLOs]:[SubPLOs]],"&gt;=2",tbl_task3[[SubPLOs]:[SubPLOs]],"&lt;3")+SUMIFS(tbl_task4[S94],tbl_task4[[SubPLOs]:[SubPLOs]],"&gt;=2",tbl_task4[[SubPLOs]:[SubPLOs]],"&lt;3")+SUMIFS(tbl_task5[S94],tbl_task5[[SubPLOs]:[SubPLOs]],"&gt;=2",tbl_task5[[SubPLOs]:[SubPLOs]],"&lt;3")+SUMIFS(tbl_task6[S94],tbl_task6[[SubPLOs]:[SubPLOs]],"&gt;=2",tbl_task6[[SubPLOs]:[SubPLOs]],"&lt;3")+SUMIFS(tbl_task7[S94],tbl_task7[[SubPLOs]:[SubPLOs]],"&gt;=2",tbl_task7[[SubPLOs]:[SubPLOs]],"&lt;3")+SUMIFS(tbl_task8[S94],tbl_task8[[SubPLOs]:[SubPLOs]],"&gt;=2",tbl_task8[[SubPLOs]:[SubPLOs]],"&lt;3")+SUMIFS(tbl_task9[S94],tbl_task9[[SubPLOs]:[SubPLOs]],"&gt;=2",tbl_task9[[SubPLOs]:[SubPLOs]],"&lt;3")+SUMIFS(tbl_task10[S94],tbl_task10[[SubPLOs]:[SubPLOs]],"&gt;=2",tbl_task10[[SubPLOs]:[SubPLOs]],"&lt;3")</f>
        <v>0</v>
      </c>
      <c r="CV181" s="41">
        <f>SUMIFS(tbl_task1[S95],tbl_task1[[SubPLOs]:[SubPLOs]],"&gt;=2",tbl_task1[[SubPLOs]:[SubPLOs]],"&lt;3")+SUMIFS(tbl_task2[S95],tbl_task2[[SubPLOs]:[SubPLOs]],"&gt;=2",tbl_task2[[SubPLOs]:[SubPLOs]],"&lt;3")+SUMIFS(tbl_task3[S95],tbl_task3[[SubPLOs]:[SubPLOs]],"&gt;=2",tbl_task3[[SubPLOs]:[SubPLOs]],"&lt;3")+SUMIFS(tbl_task4[S95],tbl_task4[[SubPLOs]:[SubPLOs]],"&gt;=2",tbl_task4[[SubPLOs]:[SubPLOs]],"&lt;3")+SUMIFS(tbl_task5[S95],tbl_task5[[SubPLOs]:[SubPLOs]],"&gt;=2",tbl_task5[[SubPLOs]:[SubPLOs]],"&lt;3")+SUMIFS(tbl_task6[S95],tbl_task6[[SubPLOs]:[SubPLOs]],"&gt;=2",tbl_task6[[SubPLOs]:[SubPLOs]],"&lt;3")+SUMIFS(tbl_task7[S95],tbl_task7[[SubPLOs]:[SubPLOs]],"&gt;=2",tbl_task7[[SubPLOs]:[SubPLOs]],"&lt;3")+SUMIFS(tbl_task8[S95],tbl_task8[[SubPLOs]:[SubPLOs]],"&gt;=2",tbl_task8[[SubPLOs]:[SubPLOs]],"&lt;3")+SUMIFS(tbl_task9[S95],tbl_task9[[SubPLOs]:[SubPLOs]],"&gt;=2",tbl_task9[[SubPLOs]:[SubPLOs]],"&lt;3")+SUMIFS(tbl_task10[S95],tbl_task10[[SubPLOs]:[SubPLOs]],"&gt;=2",tbl_task10[[SubPLOs]:[SubPLOs]],"&lt;3")</f>
        <v>0</v>
      </c>
      <c r="CW181" s="41">
        <f>SUMIFS(tbl_task1[S96],tbl_task1[[SubPLOs]:[SubPLOs]],"&gt;=2",tbl_task1[[SubPLOs]:[SubPLOs]],"&lt;3")+SUMIFS(tbl_task2[S96],tbl_task2[[SubPLOs]:[SubPLOs]],"&gt;=2",tbl_task2[[SubPLOs]:[SubPLOs]],"&lt;3")+SUMIFS(tbl_task3[S96],tbl_task3[[SubPLOs]:[SubPLOs]],"&gt;=2",tbl_task3[[SubPLOs]:[SubPLOs]],"&lt;3")+SUMIFS(tbl_task4[S96],tbl_task4[[SubPLOs]:[SubPLOs]],"&gt;=2",tbl_task4[[SubPLOs]:[SubPLOs]],"&lt;3")+SUMIFS(tbl_task5[S96],tbl_task5[[SubPLOs]:[SubPLOs]],"&gt;=2",tbl_task5[[SubPLOs]:[SubPLOs]],"&lt;3")+SUMIFS(tbl_task6[S96],tbl_task6[[SubPLOs]:[SubPLOs]],"&gt;=2",tbl_task6[[SubPLOs]:[SubPLOs]],"&lt;3")+SUMIFS(tbl_task7[S96],tbl_task7[[SubPLOs]:[SubPLOs]],"&gt;=2",tbl_task7[[SubPLOs]:[SubPLOs]],"&lt;3")+SUMIFS(tbl_task8[S96],tbl_task8[[SubPLOs]:[SubPLOs]],"&gt;=2",tbl_task8[[SubPLOs]:[SubPLOs]],"&lt;3")+SUMIFS(tbl_task9[S96],tbl_task9[[SubPLOs]:[SubPLOs]],"&gt;=2",tbl_task9[[SubPLOs]:[SubPLOs]],"&lt;3")+SUMIFS(tbl_task10[S96],tbl_task10[[SubPLOs]:[SubPLOs]],"&gt;=2",tbl_task10[[SubPLOs]:[SubPLOs]],"&lt;3")</f>
        <v>0</v>
      </c>
      <c r="CX181" s="41">
        <f>SUMIFS(tbl_task1[S97],tbl_task1[[SubPLOs]:[SubPLOs]],"&gt;=2",tbl_task1[[SubPLOs]:[SubPLOs]],"&lt;3")+SUMIFS(tbl_task2[S97],tbl_task2[[SubPLOs]:[SubPLOs]],"&gt;=2",tbl_task2[[SubPLOs]:[SubPLOs]],"&lt;3")+SUMIFS(tbl_task3[S97],tbl_task3[[SubPLOs]:[SubPLOs]],"&gt;=2",tbl_task3[[SubPLOs]:[SubPLOs]],"&lt;3")+SUMIFS(tbl_task4[S97],tbl_task4[[SubPLOs]:[SubPLOs]],"&gt;=2",tbl_task4[[SubPLOs]:[SubPLOs]],"&lt;3")+SUMIFS(tbl_task5[S97],tbl_task5[[SubPLOs]:[SubPLOs]],"&gt;=2",tbl_task5[[SubPLOs]:[SubPLOs]],"&lt;3")+SUMIFS(tbl_task6[S97],tbl_task6[[SubPLOs]:[SubPLOs]],"&gt;=2",tbl_task6[[SubPLOs]:[SubPLOs]],"&lt;3")+SUMIFS(tbl_task7[S97],tbl_task7[[SubPLOs]:[SubPLOs]],"&gt;=2",tbl_task7[[SubPLOs]:[SubPLOs]],"&lt;3")+SUMIFS(tbl_task8[S97],tbl_task8[[SubPLOs]:[SubPLOs]],"&gt;=2",tbl_task8[[SubPLOs]:[SubPLOs]],"&lt;3")+SUMIFS(tbl_task9[S97],tbl_task9[[SubPLOs]:[SubPLOs]],"&gt;=2",tbl_task9[[SubPLOs]:[SubPLOs]],"&lt;3")+SUMIFS(tbl_task10[S97],tbl_task10[[SubPLOs]:[SubPLOs]],"&gt;=2",tbl_task10[[SubPLOs]:[SubPLOs]],"&lt;3")</f>
        <v>0</v>
      </c>
      <c r="CY181" s="41">
        <f>SUMIFS(tbl_task1[S98],tbl_task1[[SubPLOs]:[SubPLOs]],"&gt;=2",tbl_task1[[SubPLOs]:[SubPLOs]],"&lt;3")+SUMIFS(tbl_task2[S98],tbl_task2[[SubPLOs]:[SubPLOs]],"&gt;=2",tbl_task2[[SubPLOs]:[SubPLOs]],"&lt;3")+SUMIFS(tbl_task3[S98],tbl_task3[[SubPLOs]:[SubPLOs]],"&gt;=2",tbl_task3[[SubPLOs]:[SubPLOs]],"&lt;3")+SUMIFS(tbl_task4[S98],tbl_task4[[SubPLOs]:[SubPLOs]],"&gt;=2",tbl_task4[[SubPLOs]:[SubPLOs]],"&lt;3")+SUMIFS(tbl_task5[S98],tbl_task5[[SubPLOs]:[SubPLOs]],"&gt;=2",tbl_task5[[SubPLOs]:[SubPLOs]],"&lt;3")+SUMIFS(tbl_task6[S98],tbl_task6[[SubPLOs]:[SubPLOs]],"&gt;=2",tbl_task6[[SubPLOs]:[SubPLOs]],"&lt;3")+SUMIFS(tbl_task7[S98],tbl_task7[[SubPLOs]:[SubPLOs]],"&gt;=2",tbl_task7[[SubPLOs]:[SubPLOs]],"&lt;3")+SUMIFS(tbl_task8[S98],tbl_task8[[SubPLOs]:[SubPLOs]],"&gt;=2",tbl_task8[[SubPLOs]:[SubPLOs]],"&lt;3")+SUMIFS(tbl_task9[S98],tbl_task9[[SubPLOs]:[SubPLOs]],"&gt;=2",tbl_task9[[SubPLOs]:[SubPLOs]],"&lt;3")+SUMIFS(tbl_task10[S98],tbl_task10[[SubPLOs]:[SubPLOs]],"&gt;=2",tbl_task10[[SubPLOs]:[SubPLOs]],"&lt;3")</f>
        <v>0</v>
      </c>
      <c r="CZ181" s="41">
        <f>SUMIFS(tbl_task1[S99],tbl_task1[[SubPLOs]:[SubPLOs]],"&gt;=2",tbl_task1[[SubPLOs]:[SubPLOs]],"&lt;3")+SUMIFS(tbl_task2[S99],tbl_task2[[SubPLOs]:[SubPLOs]],"&gt;=2",tbl_task2[[SubPLOs]:[SubPLOs]],"&lt;3")+SUMIFS(tbl_task3[S99],tbl_task3[[SubPLOs]:[SubPLOs]],"&gt;=2",tbl_task3[[SubPLOs]:[SubPLOs]],"&lt;3")+SUMIFS(tbl_task4[S99],tbl_task4[[SubPLOs]:[SubPLOs]],"&gt;=2",tbl_task4[[SubPLOs]:[SubPLOs]],"&lt;3")+SUMIFS(tbl_task5[S99],tbl_task5[[SubPLOs]:[SubPLOs]],"&gt;=2",tbl_task5[[SubPLOs]:[SubPLOs]],"&lt;3")+SUMIFS(tbl_task6[S99],tbl_task6[[SubPLOs]:[SubPLOs]],"&gt;=2",tbl_task6[[SubPLOs]:[SubPLOs]],"&lt;3")+SUMIFS(tbl_task7[S99],tbl_task7[[SubPLOs]:[SubPLOs]],"&gt;=2",tbl_task7[[SubPLOs]:[SubPLOs]],"&lt;3")+SUMIFS(tbl_task8[S99],tbl_task8[[SubPLOs]:[SubPLOs]],"&gt;=2",tbl_task8[[SubPLOs]:[SubPLOs]],"&lt;3")+SUMIFS(tbl_task9[S99],tbl_task9[[SubPLOs]:[SubPLOs]],"&gt;=2",tbl_task9[[SubPLOs]:[SubPLOs]],"&lt;3")+SUMIFS(tbl_task10[S99],tbl_task10[[SubPLOs]:[SubPLOs]],"&gt;=2",tbl_task10[[SubPLOs]:[SubPLOs]],"&lt;3")</f>
        <v>0</v>
      </c>
      <c r="DA181" s="41">
        <f>SUMIFS(tbl_task1[S100],tbl_task1[[SubPLOs]:[SubPLOs]],"&gt;=2",tbl_task1[[SubPLOs]:[SubPLOs]],"&lt;3")+SUMIFS(tbl_task2[S100],tbl_task2[[SubPLOs]:[SubPLOs]],"&gt;=2",tbl_task2[[SubPLOs]:[SubPLOs]],"&lt;3")+SUMIFS(tbl_task3[S100],tbl_task3[[SubPLOs]:[SubPLOs]],"&gt;=2",tbl_task3[[SubPLOs]:[SubPLOs]],"&lt;3")+SUMIFS(tbl_task4[S100],tbl_task4[[SubPLOs]:[SubPLOs]],"&gt;=2",tbl_task4[[SubPLOs]:[SubPLOs]],"&lt;3")+SUMIFS(tbl_task5[S100],tbl_task5[[SubPLOs]:[SubPLOs]],"&gt;=2",tbl_task5[[SubPLOs]:[SubPLOs]],"&lt;3")+SUMIFS(tbl_task6[S100],tbl_task6[[SubPLOs]:[SubPLOs]],"&gt;=2",tbl_task6[[SubPLOs]:[SubPLOs]],"&lt;3")+SUMIFS(tbl_task7[S100],tbl_task7[[SubPLOs]:[SubPLOs]],"&gt;=2",tbl_task7[[SubPLOs]:[SubPLOs]],"&lt;3")+SUMIFS(tbl_task8[S100],tbl_task8[[SubPLOs]:[SubPLOs]],"&gt;=2",tbl_task8[[SubPLOs]:[SubPLOs]],"&lt;3")+SUMIFS(tbl_task9[S100],tbl_task9[[SubPLOs]:[SubPLOs]],"&gt;=2",tbl_task9[[SubPLOs]:[SubPLOs]],"&lt;3")+SUMIFS(tbl_task10[S100],tbl_task10[[SubPLOs]:[SubPLOs]],"&gt;=2",tbl_task10[[SubPLOs]:[SubPLOs]],"&lt;3")</f>
        <v>0</v>
      </c>
      <c r="DB181" s="41">
        <f>SUMIFS(tbl_task1[S101],tbl_task1[[SubPLOs]:[SubPLOs]],"&gt;=2",tbl_task1[[SubPLOs]:[SubPLOs]],"&lt;3")+SUMIFS(tbl_task2[S101],tbl_task2[[SubPLOs]:[SubPLOs]],"&gt;=2",tbl_task2[[SubPLOs]:[SubPLOs]],"&lt;3")+SUMIFS(tbl_task3[S101],tbl_task3[[SubPLOs]:[SubPLOs]],"&gt;=2",tbl_task3[[SubPLOs]:[SubPLOs]],"&lt;3")+SUMIFS(tbl_task4[S101],tbl_task4[[SubPLOs]:[SubPLOs]],"&gt;=2",tbl_task4[[SubPLOs]:[SubPLOs]],"&lt;3")+SUMIFS(tbl_task5[S101],tbl_task5[[SubPLOs]:[SubPLOs]],"&gt;=2",tbl_task5[[SubPLOs]:[SubPLOs]],"&lt;3")+SUMIFS(tbl_task6[S101],tbl_task6[[SubPLOs]:[SubPLOs]],"&gt;=2",tbl_task6[[SubPLOs]:[SubPLOs]],"&lt;3")+SUMIFS(tbl_task7[S101],tbl_task7[[SubPLOs]:[SubPLOs]],"&gt;=2",tbl_task7[[SubPLOs]:[SubPLOs]],"&lt;3")+SUMIFS(tbl_task8[S101],tbl_task8[[SubPLOs]:[SubPLOs]],"&gt;=2",tbl_task8[[SubPLOs]:[SubPLOs]],"&lt;3")+SUMIFS(tbl_task9[S101],tbl_task9[[SubPLOs]:[SubPLOs]],"&gt;=2",tbl_task9[[SubPLOs]:[SubPLOs]],"&lt;3")+SUMIFS(tbl_task10[S101],tbl_task10[[SubPLOs]:[SubPLOs]],"&gt;=2",tbl_task10[[SubPLOs]:[SubPLOs]],"&lt;3")</f>
        <v>0</v>
      </c>
      <c r="DC181" s="41">
        <f>SUMIFS(tbl_task1[S102],tbl_task1[[SubPLOs]:[SubPLOs]],"&gt;=2",tbl_task1[[SubPLOs]:[SubPLOs]],"&lt;3")+SUMIFS(tbl_task2[S102],tbl_task2[[SubPLOs]:[SubPLOs]],"&gt;=2",tbl_task2[[SubPLOs]:[SubPLOs]],"&lt;3")+SUMIFS(tbl_task3[S102],tbl_task3[[SubPLOs]:[SubPLOs]],"&gt;=2",tbl_task3[[SubPLOs]:[SubPLOs]],"&lt;3")+SUMIFS(tbl_task4[S102],tbl_task4[[SubPLOs]:[SubPLOs]],"&gt;=2",tbl_task4[[SubPLOs]:[SubPLOs]],"&lt;3")+SUMIFS(tbl_task5[S102],tbl_task5[[SubPLOs]:[SubPLOs]],"&gt;=2",tbl_task5[[SubPLOs]:[SubPLOs]],"&lt;3")+SUMIFS(tbl_task6[S102],tbl_task6[[SubPLOs]:[SubPLOs]],"&gt;=2",tbl_task6[[SubPLOs]:[SubPLOs]],"&lt;3")+SUMIFS(tbl_task7[S102],tbl_task7[[SubPLOs]:[SubPLOs]],"&gt;=2",tbl_task7[[SubPLOs]:[SubPLOs]],"&lt;3")+SUMIFS(tbl_task8[S102],tbl_task8[[SubPLOs]:[SubPLOs]],"&gt;=2",tbl_task8[[SubPLOs]:[SubPLOs]],"&lt;3")+SUMIFS(tbl_task9[S102],tbl_task9[[SubPLOs]:[SubPLOs]],"&gt;=2",tbl_task9[[SubPLOs]:[SubPLOs]],"&lt;3")+SUMIFS(tbl_task10[S102],tbl_task10[[SubPLOs]:[SubPLOs]],"&gt;=2",tbl_task10[[SubPLOs]:[SubPLOs]],"&lt;3")</f>
        <v>0</v>
      </c>
      <c r="DD181" s="41">
        <f>SUMIFS(tbl_task1[S103],tbl_task1[[SubPLOs]:[SubPLOs]],"&gt;=2",tbl_task1[[SubPLOs]:[SubPLOs]],"&lt;3")+SUMIFS(tbl_task2[S103],tbl_task2[[SubPLOs]:[SubPLOs]],"&gt;=2",tbl_task2[[SubPLOs]:[SubPLOs]],"&lt;3")+SUMIFS(tbl_task3[S103],tbl_task3[[SubPLOs]:[SubPLOs]],"&gt;=2",tbl_task3[[SubPLOs]:[SubPLOs]],"&lt;3")+SUMIFS(tbl_task4[S103],tbl_task4[[SubPLOs]:[SubPLOs]],"&gt;=2",tbl_task4[[SubPLOs]:[SubPLOs]],"&lt;3")+SUMIFS(tbl_task5[S103],tbl_task5[[SubPLOs]:[SubPLOs]],"&gt;=2",tbl_task5[[SubPLOs]:[SubPLOs]],"&lt;3")+SUMIFS(tbl_task6[S103],tbl_task6[[SubPLOs]:[SubPLOs]],"&gt;=2",tbl_task6[[SubPLOs]:[SubPLOs]],"&lt;3")+SUMIFS(tbl_task7[S103],tbl_task7[[SubPLOs]:[SubPLOs]],"&gt;=2",tbl_task7[[SubPLOs]:[SubPLOs]],"&lt;3")+SUMIFS(tbl_task8[S103],tbl_task8[[SubPLOs]:[SubPLOs]],"&gt;=2",tbl_task8[[SubPLOs]:[SubPLOs]],"&lt;3")+SUMIFS(tbl_task9[S103],tbl_task9[[SubPLOs]:[SubPLOs]],"&gt;=2",tbl_task9[[SubPLOs]:[SubPLOs]],"&lt;3")+SUMIFS(tbl_task10[S103],tbl_task10[[SubPLOs]:[SubPLOs]],"&gt;=2",tbl_task10[[SubPLOs]:[SubPLOs]],"&lt;3")</f>
        <v>0</v>
      </c>
      <c r="DE181" s="41">
        <f>SUMIFS(tbl_task1[S104],tbl_task1[[SubPLOs]:[SubPLOs]],"&gt;=2",tbl_task1[[SubPLOs]:[SubPLOs]],"&lt;3")+SUMIFS(tbl_task2[S104],tbl_task2[[SubPLOs]:[SubPLOs]],"&gt;=2",tbl_task2[[SubPLOs]:[SubPLOs]],"&lt;3")+SUMIFS(tbl_task3[S104],tbl_task3[[SubPLOs]:[SubPLOs]],"&gt;=2",tbl_task3[[SubPLOs]:[SubPLOs]],"&lt;3")+SUMIFS(tbl_task4[S104],tbl_task4[[SubPLOs]:[SubPLOs]],"&gt;=2",tbl_task4[[SubPLOs]:[SubPLOs]],"&lt;3")+SUMIFS(tbl_task5[S104],tbl_task5[[SubPLOs]:[SubPLOs]],"&gt;=2",tbl_task5[[SubPLOs]:[SubPLOs]],"&lt;3")+SUMIFS(tbl_task6[S104],tbl_task6[[SubPLOs]:[SubPLOs]],"&gt;=2",tbl_task6[[SubPLOs]:[SubPLOs]],"&lt;3")+SUMIFS(tbl_task7[S104],tbl_task7[[SubPLOs]:[SubPLOs]],"&gt;=2",tbl_task7[[SubPLOs]:[SubPLOs]],"&lt;3")+SUMIFS(tbl_task8[S104],tbl_task8[[SubPLOs]:[SubPLOs]],"&gt;=2",tbl_task8[[SubPLOs]:[SubPLOs]],"&lt;3")+SUMIFS(tbl_task9[S104],tbl_task9[[SubPLOs]:[SubPLOs]],"&gt;=2",tbl_task9[[SubPLOs]:[SubPLOs]],"&lt;3")+SUMIFS(tbl_task10[S104],tbl_task10[[SubPLOs]:[SubPLOs]],"&gt;=2",tbl_task10[[SubPLOs]:[SubPLOs]],"&lt;3")</f>
        <v>0</v>
      </c>
      <c r="DF181" s="41">
        <f>SUMIFS(tbl_task1[S105],tbl_task1[[SubPLOs]:[SubPLOs]],"&gt;=2",tbl_task1[[SubPLOs]:[SubPLOs]],"&lt;3")+SUMIFS(tbl_task2[S105],tbl_task2[[SubPLOs]:[SubPLOs]],"&gt;=2",tbl_task2[[SubPLOs]:[SubPLOs]],"&lt;3")+SUMIFS(tbl_task3[S105],tbl_task3[[SubPLOs]:[SubPLOs]],"&gt;=2",tbl_task3[[SubPLOs]:[SubPLOs]],"&lt;3")+SUMIFS(tbl_task4[S105],tbl_task4[[SubPLOs]:[SubPLOs]],"&gt;=2",tbl_task4[[SubPLOs]:[SubPLOs]],"&lt;3")+SUMIFS(tbl_task5[S105],tbl_task5[[SubPLOs]:[SubPLOs]],"&gt;=2",tbl_task5[[SubPLOs]:[SubPLOs]],"&lt;3")+SUMIFS(tbl_task6[S105],tbl_task6[[SubPLOs]:[SubPLOs]],"&gt;=2",tbl_task6[[SubPLOs]:[SubPLOs]],"&lt;3")+SUMIFS(tbl_task7[S105],tbl_task7[[SubPLOs]:[SubPLOs]],"&gt;=2",tbl_task7[[SubPLOs]:[SubPLOs]],"&lt;3")+SUMIFS(tbl_task8[S105],tbl_task8[[SubPLOs]:[SubPLOs]],"&gt;=2",tbl_task8[[SubPLOs]:[SubPLOs]],"&lt;3")+SUMIFS(tbl_task9[S105],tbl_task9[[SubPLOs]:[SubPLOs]],"&gt;=2",tbl_task9[[SubPLOs]:[SubPLOs]],"&lt;3")+SUMIFS(tbl_task10[S105],tbl_task10[[SubPLOs]:[SubPLOs]],"&gt;=2",tbl_task10[[SubPLOs]:[SubPLOs]],"&lt;3")</f>
        <v>0</v>
      </c>
      <c r="DG181" s="41">
        <f>SUMIFS(tbl_task1[S106],tbl_task1[[SubPLOs]:[SubPLOs]],"&gt;=2",tbl_task1[[SubPLOs]:[SubPLOs]],"&lt;3")+SUMIFS(tbl_task2[S106],tbl_task2[[SubPLOs]:[SubPLOs]],"&gt;=2",tbl_task2[[SubPLOs]:[SubPLOs]],"&lt;3")+SUMIFS(tbl_task3[S106],tbl_task3[[SubPLOs]:[SubPLOs]],"&gt;=2",tbl_task3[[SubPLOs]:[SubPLOs]],"&lt;3")+SUMIFS(tbl_task4[S106],tbl_task4[[SubPLOs]:[SubPLOs]],"&gt;=2",tbl_task4[[SubPLOs]:[SubPLOs]],"&lt;3")+SUMIFS(tbl_task5[S106],tbl_task5[[SubPLOs]:[SubPLOs]],"&gt;=2",tbl_task5[[SubPLOs]:[SubPLOs]],"&lt;3")+SUMIFS(tbl_task6[S106],tbl_task6[[SubPLOs]:[SubPLOs]],"&gt;=2",tbl_task6[[SubPLOs]:[SubPLOs]],"&lt;3")+SUMIFS(tbl_task7[S106],tbl_task7[[SubPLOs]:[SubPLOs]],"&gt;=2",tbl_task7[[SubPLOs]:[SubPLOs]],"&lt;3")+SUMIFS(tbl_task8[S106],tbl_task8[[SubPLOs]:[SubPLOs]],"&gt;=2",tbl_task8[[SubPLOs]:[SubPLOs]],"&lt;3")+SUMIFS(tbl_task9[S106],tbl_task9[[SubPLOs]:[SubPLOs]],"&gt;=2",tbl_task9[[SubPLOs]:[SubPLOs]],"&lt;3")+SUMIFS(tbl_task10[S106],tbl_task10[[SubPLOs]:[SubPLOs]],"&gt;=2",tbl_task10[[SubPLOs]:[SubPLOs]],"&lt;3")</f>
        <v>0</v>
      </c>
      <c r="DH181" s="41">
        <f>SUMIFS(tbl_task1[S107],tbl_task1[[SubPLOs]:[SubPLOs]],"&gt;=2",tbl_task1[[SubPLOs]:[SubPLOs]],"&lt;3")+SUMIFS(tbl_task2[S107],tbl_task2[[SubPLOs]:[SubPLOs]],"&gt;=2",tbl_task2[[SubPLOs]:[SubPLOs]],"&lt;3")+SUMIFS(tbl_task3[S107],tbl_task3[[SubPLOs]:[SubPLOs]],"&gt;=2",tbl_task3[[SubPLOs]:[SubPLOs]],"&lt;3")+SUMIFS(tbl_task4[S107],tbl_task4[[SubPLOs]:[SubPLOs]],"&gt;=2",tbl_task4[[SubPLOs]:[SubPLOs]],"&lt;3")+SUMIFS(tbl_task5[S107],tbl_task5[[SubPLOs]:[SubPLOs]],"&gt;=2",tbl_task5[[SubPLOs]:[SubPLOs]],"&lt;3")+SUMIFS(tbl_task6[S107],tbl_task6[[SubPLOs]:[SubPLOs]],"&gt;=2",tbl_task6[[SubPLOs]:[SubPLOs]],"&lt;3")+SUMIFS(tbl_task7[S107],tbl_task7[[SubPLOs]:[SubPLOs]],"&gt;=2",tbl_task7[[SubPLOs]:[SubPLOs]],"&lt;3")+SUMIFS(tbl_task8[S107],tbl_task8[[SubPLOs]:[SubPLOs]],"&gt;=2",tbl_task8[[SubPLOs]:[SubPLOs]],"&lt;3")+SUMIFS(tbl_task9[S107],tbl_task9[[SubPLOs]:[SubPLOs]],"&gt;=2",tbl_task9[[SubPLOs]:[SubPLOs]],"&lt;3")+SUMIFS(tbl_task10[S107],tbl_task10[[SubPLOs]:[SubPLOs]],"&gt;=2",tbl_task10[[SubPLOs]:[SubPLOs]],"&lt;3")</f>
        <v>0</v>
      </c>
      <c r="DI181" s="41">
        <f>SUMIFS(tbl_task1[S108],tbl_task1[[SubPLOs]:[SubPLOs]],"&gt;=2",tbl_task1[[SubPLOs]:[SubPLOs]],"&lt;3")+SUMIFS(tbl_task2[S108],tbl_task2[[SubPLOs]:[SubPLOs]],"&gt;=2",tbl_task2[[SubPLOs]:[SubPLOs]],"&lt;3")+SUMIFS(tbl_task3[S108],tbl_task3[[SubPLOs]:[SubPLOs]],"&gt;=2",tbl_task3[[SubPLOs]:[SubPLOs]],"&lt;3")+SUMIFS(tbl_task4[S108],tbl_task4[[SubPLOs]:[SubPLOs]],"&gt;=2",tbl_task4[[SubPLOs]:[SubPLOs]],"&lt;3")+SUMIFS(tbl_task5[S108],tbl_task5[[SubPLOs]:[SubPLOs]],"&gt;=2",tbl_task5[[SubPLOs]:[SubPLOs]],"&lt;3")+SUMIFS(tbl_task6[S108],tbl_task6[[SubPLOs]:[SubPLOs]],"&gt;=2",tbl_task6[[SubPLOs]:[SubPLOs]],"&lt;3")+SUMIFS(tbl_task7[S108],tbl_task7[[SubPLOs]:[SubPLOs]],"&gt;=2",tbl_task7[[SubPLOs]:[SubPLOs]],"&lt;3")+SUMIFS(tbl_task8[S108],tbl_task8[[SubPLOs]:[SubPLOs]],"&gt;=2",tbl_task8[[SubPLOs]:[SubPLOs]],"&lt;3")+SUMIFS(tbl_task9[S108],tbl_task9[[SubPLOs]:[SubPLOs]],"&gt;=2",tbl_task9[[SubPLOs]:[SubPLOs]],"&lt;3")+SUMIFS(tbl_task10[S108],tbl_task10[[SubPLOs]:[SubPLOs]],"&gt;=2",tbl_task10[[SubPLOs]:[SubPLOs]],"&lt;3")</f>
        <v>0</v>
      </c>
      <c r="DJ181" s="41">
        <f>SUMIFS(tbl_task1[S109],tbl_task1[[SubPLOs]:[SubPLOs]],"&gt;=2",tbl_task1[[SubPLOs]:[SubPLOs]],"&lt;3")+SUMIFS(tbl_task2[S109],tbl_task2[[SubPLOs]:[SubPLOs]],"&gt;=2",tbl_task2[[SubPLOs]:[SubPLOs]],"&lt;3")+SUMIFS(tbl_task3[S109],tbl_task3[[SubPLOs]:[SubPLOs]],"&gt;=2",tbl_task3[[SubPLOs]:[SubPLOs]],"&lt;3")+SUMIFS(tbl_task4[S109],tbl_task4[[SubPLOs]:[SubPLOs]],"&gt;=2",tbl_task4[[SubPLOs]:[SubPLOs]],"&lt;3")+SUMIFS(tbl_task5[S109],tbl_task5[[SubPLOs]:[SubPLOs]],"&gt;=2",tbl_task5[[SubPLOs]:[SubPLOs]],"&lt;3")+SUMIFS(tbl_task6[S109],tbl_task6[[SubPLOs]:[SubPLOs]],"&gt;=2",tbl_task6[[SubPLOs]:[SubPLOs]],"&lt;3")+SUMIFS(tbl_task7[S109],tbl_task7[[SubPLOs]:[SubPLOs]],"&gt;=2",tbl_task7[[SubPLOs]:[SubPLOs]],"&lt;3")+SUMIFS(tbl_task8[S109],tbl_task8[[SubPLOs]:[SubPLOs]],"&gt;=2",tbl_task8[[SubPLOs]:[SubPLOs]],"&lt;3")+SUMIFS(tbl_task9[S109],tbl_task9[[SubPLOs]:[SubPLOs]],"&gt;=2",tbl_task9[[SubPLOs]:[SubPLOs]],"&lt;3")+SUMIFS(tbl_task10[S109],tbl_task10[[SubPLOs]:[SubPLOs]],"&gt;=2",tbl_task10[[SubPLOs]:[SubPLOs]],"&lt;3")</f>
        <v>0</v>
      </c>
      <c r="DK181" s="41">
        <f>SUMIFS(tbl_task1[S110],tbl_task1[[SubPLOs]:[SubPLOs]],"&gt;=2",tbl_task1[[SubPLOs]:[SubPLOs]],"&lt;3")+SUMIFS(tbl_task2[S110],tbl_task2[[SubPLOs]:[SubPLOs]],"&gt;=2",tbl_task2[[SubPLOs]:[SubPLOs]],"&lt;3")+SUMIFS(tbl_task3[S110],tbl_task3[[SubPLOs]:[SubPLOs]],"&gt;=2",tbl_task3[[SubPLOs]:[SubPLOs]],"&lt;3")+SUMIFS(tbl_task4[S110],tbl_task4[[SubPLOs]:[SubPLOs]],"&gt;=2",tbl_task4[[SubPLOs]:[SubPLOs]],"&lt;3")+SUMIFS(tbl_task5[S110],tbl_task5[[SubPLOs]:[SubPLOs]],"&gt;=2",tbl_task5[[SubPLOs]:[SubPLOs]],"&lt;3")+SUMIFS(tbl_task6[S110],tbl_task6[[SubPLOs]:[SubPLOs]],"&gt;=2",tbl_task6[[SubPLOs]:[SubPLOs]],"&lt;3")+SUMIFS(tbl_task7[S110],tbl_task7[[SubPLOs]:[SubPLOs]],"&gt;=2",tbl_task7[[SubPLOs]:[SubPLOs]],"&lt;3")+SUMIFS(tbl_task8[S110],tbl_task8[[SubPLOs]:[SubPLOs]],"&gt;=2",tbl_task8[[SubPLOs]:[SubPLOs]],"&lt;3")+SUMIFS(tbl_task9[S110],tbl_task9[[SubPLOs]:[SubPLOs]],"&gt;=2",tbl_task9[[SubPLOs]:[SubPLOs]],"&lt;3")+SUMIFS(tbl_task10[S110],tbl_task10[[SubPLOs]:[SubPLOs]],"&gt;=2",tbl_task10[[SubPLOs]:[SubPLOs]],"&lt;3")</f>
        <v>0</v>
      </c>
      <c r="DL181" s="41">
        <f>SUMIFS(tbl_task1[S111],tbl_task1[[SubPLOs]:[SubPLOs]],"&gt;=2",tbl_task1[[SubPLOs]:[SubPLOs]],"&lt;3")+SUMIFS(tbl_task2[S111],tbl_task2[[SubPLOs]:[SubPLOs]],"&gt;=2",tbl_task2[[SubPLOs]:[SubPLOs]],"&lt;3")+SUMIFS(tbl_task3[S111],tbl_task3[[SubPLOs]:[SubPLOs]],"&gt;=2",tbl_task3[[SubPLOs]:[SubPLOs]],"&lt;3")+SUMIFS(tbl_task4[S111],tbl_task4[[SubPLOs]:[SubPLOs]],"&gt;=2",tbl_task4[[SubPLOs]:[SubPLOs]],"&lt;3")+SUMIFS(tbl_task5[S111],tbl_task5[[SubPLOs]:[SubPLOs]],"&gt;=2",tbl_task5[[SubPLOs]:[SubPLOs]],"&lt;3")+SUMIFS(tbl_task6[S111],tbl_task6[[SubPLOs]:[SubPLOs]],"&gt;=2",tbl_task6[[SubPLOs]:[SubPLOs]],"&lt;3")+SUMIFS(tbl_task7[S111],tbl_task7[[SubPLOs]:[SubPLOs]],"&gt;=2",tbl_task7[[SubPLOs]:[SubPLOs]],"&lt;3")+SUMIFS(tbl_task8[S111],tbl_task8[[SubPLOs]:[SubPLOs]],"&gt;=2",tbl_task8[[SubPLOs]:[SubPLOs]],"&lt;3")+SUMIFS(tbl_task9[S111],tbl_task9[[SubPLOs]:[SubPLOs]],"&gt;=2",tbl_task9[[SubPLOs]:[SubPLOs]],"&lt;3")+SUMIFS(tbl_task10[S111],tbl_task10[[SubPLOs]:[SubPLOs]],"&gt;=2",tbl_task10[[SubPLOs]:[SubPLOs]],"&lt;3")</f>
        <v>0</v>
      </c>
      <c r="DM181" s="41">
        <f>SUMIFS(tbl_task1[S112],tbl_task1[[SubPLOs]:[SubPLOs]],"&gt;=2",tbl_task1[[SubPLOs]:[SubPLOs]],"&lt;3")+SUMIFS(tbl_task2[S112],tbl_task2[[SubPLOs]:[SubPLOs]],"&gt;=2",tbl_task2[[SubPLOs]:[SubPLOs]],"&lt;3")+SUMIFS(tbl_task3[S112],tbl_task3[[SubPLOs]:[SubPLOs]],"&gt;=2",tbl_task3[[SubPLOs]:[SubPLOs]],"&lt;3")+SUMIFS(tbl_task4[S112],tbl_task4[[SubPLOs]:[SubPLOs]],"&gt;=2",tbl_task4[[SubPLOs]:[SubPLOs]],"&lt;3")+SUMIFS(tbl_task5[S112],tbl_task5[[SubPLOs]:[SubPLOs]],"&gt;=2",tbl_task5[[SubPLOs]:[SubPLOs]],"&lt;3")+SUMIFS(tbl_task6[S112],tbl_task6[[SubPLOs]:[SubPLOs]],"&gt;=2",tbl_task6[[SubPLOs]:[SubPLOs]],"&lt;3")+SUMIFS(tbl_task7[S112],tbl_task7[[SubPLOs]:[SubPLOs]],"&gt;=2",tbl_task7[[SubPLOs]:[SubPLOs]],"&lt;3")+SUMIFS(tbl_task8[S112],tbl_task8[[SubPLOs]:[SubPLOs]],"&gt;=2",tbl_task8[[SubPLOs]:[SubPLOs]],"&lt;3")+SUMIFS(tbl_task9[S112],tbl_task9[[SubPLOs]:[SubPLOs]],"&gt;=2",tbl_task9[[SubPLOs]:[SubPLOs]],"&lt;3")+SUMIFS(tbl_task10[S112],tbl_task10[[SubPLOs]:[SubPLOs]],"&gt;=2",tbl_task10[[SubPLOs]:[SubPLOs]],"&lt;3")</f>
        <v>0</v>
      </c>
      <c r="DN181" s="41">
        <f>SUMIFS(tbl_task1[S113],tbl_task1[[SubPLOs]:[SubPLOs]],"&gt;=2",tbl_task1[[SubPLOs]:[SubPLOs]],"&lt;3")+SUMIFS(tbl_task2[S113],tbl_task2[[SubPLOs]:[SubPLOs]],"&gt;=2",tbl_task2[[SubPLOs]:[SubPLOs]],"&lt;3")+SUMIFS(tbl_task3[S113],tbl_task3[[SubPLOs]:[SubPLOs]],"&gt;=2",tbl_task3[[SubPLOs]:[SubPLOs]],"&lt;3")+SUMIFS(tbl_task4[S113],tbl_task4[[SubPLOs]:[SubPLOs]],"&gt;=2",tbl_task4[[SubPLOs]:[SubPLOs]],"&lt;3")+SUMIFS(tbl_task5[S113],tbl_task5[[SubPLOs]:[SubPLOs]],"&gt;=2",tbl_task5[[SubPLOs]:[SubPLOs]],"&lt;3")+SUMIFS(tbl_task6[S113],tbl_task6[[SubPLOs]:[SubPLOs]],"&gt;=2",tbl_task6[[SubPLOs]:[SubPLOs]],"&lt;3")+SUMIFS(tbl_task7[S113],tbl_task7[[SubPLOs]:[SubPLOs]],"&gt;=2",tbl_task7[[SubPLOs]:[SubPLOs]],"&lt;3")+SUMIFS(tbl_task8[S113],tbl_task8[[SubPLOs]:[SubPLOs]],"&gt;=2",tbl_task8[[SubPLOs]:[SubPLOs]],"&lt;3")+SUMIFS(tbl_task9[S113],tbl_task9[[SubPLOs]:[SubPLOs]],"&gt;=2",tbl_task9[[SubPLOs]:[SubPLOs]],"&lt;3")+SUMIFS(tbl_task10[S113],tbl_task10[[SubPLOs]:[SubPLOs]],"&gt;=2",tbl_task10[[SubPLOs]:[SubPLOs]],"&lt;3")</f>
        <v>0</v>
      </c>
      <c r="DO181" s="41">
        <f>SUMIFS(tbl_task1[S114],tbl_task1[[SubPLOs]:[SubPLOs]],"&gt;=2",tbl_task1[[SubPLOs]:[SubPLOs]],"&lt;3")+SUMIFS(tbl_task2[S114],tbl_task2[[SubPLOs]:[SubPLOs]],"&gt;=2",tbl_task2[[SubPLOs]:[SubPLOs]],"&lt;3")+SUMIFS(tbl_task3[S114],tbl_task3[[SubPLOs]:[SubPLOs]],"&gt;=2",tbl_task3[[SubPLOs]:[SubPLOs]],"&lt;3")+SUMIFS(tbl_task4[S114],tbl_task4[[SubPLOs]:[SubPLOs]],"&gt;=2",tbl_task4[[SubPLOs]:[SubPLOs]],"&lt;3")+SUMIFS(tbl_task5[S114],tbl_task5[[SubPLOs]:[SubPLOs]],"&gt;=2",tbl_task5[[SubPLOs]:[SubPLOs]],"&lt;3")+SUMIFS(tbl_task6[S114],tbl_task6[[SubPLOs]:[SubPLOs]],"&gt;=2",tbl_task6[[SubPLOs]:[SubPLOs]],"&lt;3")+SUMIFS(tbl_task7[S114],tbl_task7[[SubPLOs]:[SubPLOs]],"&gt;=2",tbl_task7[[SubPLOs]:[SubPLOs]],"&lt;3")+SUMIFS(tbl_task8[S114],tbl_task8[[SubPLOs]:[SubPLOs]],"&gt;=2",tbl_task8[[SubPLOs]:[SubPLOs]],"&lt;3")+SUMIFS(tbl_task9[S114],tbl_task9[[SubPLOs]:[SubPLOs]],"&gt;=2",tbl_task9[[SubPLOs]:[SubPLOs]],"&lt;3")+SUMIFS(tbl_task10[S114],tbl_task10[[SubPLOs]:[SubPLOs]],"&gt;=2",tbl_task10[[SubPLOs]:[SubPLOs]],"&lt;3")</f>
        <v>0</v>
      </c>
      <c r="DP181" s="41">
        <f>SUMIFS(tbl_task1[S115],tbl_task1[[SubPLOs]:[SubPLOs]],"&gt;=2",tbl_task1[[SubPLOs]:[SubPLOs]],"&lt;3")+SUMIFS(tbl_task2[S115],tbl_task2[[SubPLOs]:[SubPLOs]],"&gt;=2",tbl_task2[[SubPLOs]:[SubPLOs]],"&lt;3")+SUMIFS(tbl_task3[S115],tbl_task3[[SubPLOs]:[SubPLOs]],"&gt;=2",tbl_task3[[SubPLOs]:[SubPLOs]],"&lt;3")+SUMIFS(tbl_task4[S115],tbl_task4[[SubPLOs]:[SubPLOs]],"&gt;=2",tbl_task4[[SubPLOs]:[SubPLOs]],"&lt;3")+SUMIFS(tbl_task5[S115],tbl_task5[[SubPLOs]:[SubPLOs]],"&gt;=2",tbl_task5[[SubPLOs]:[SubPLOs]],"&lt;3")+SUMIFS(tbl_task6[S115],tbl_task6[[SubPLOs]:[SubPLOs]],"&gt;=2",tbl_task6[[SubPLOs]:[SubPLOs]],"&lt;3")+SUMIFS(tbl_task7[S115],tbl_task7[[SubPLOs]:[SubPLOs]],"&gt;=2",tbl_task7[[SubPLOs]:[SubPLOs]],"&lt;3")+SUMIFS(tbl_task8[S115],tbl_task8[[SubPLOs]:[SubPLOs]],"&gt;=2",tbl_task8[[SubPLOs]:[SubPLOs]],"&lt;3")+SUMIFS(tbl_task9[S115],tbl_task9[[SubPLOs]:[SubPLOs]],"&gt;=2",tbl_task9[[SubPLOs]:[SubPLOs]],"&lt;3")+SUMIFS(tbl_task10[S115],tbl_task10[[SubPLOs]:[SubPLOs]],"&gt;=2",tbl_task10[[SubPLOs]:[SubPLOs]],"&lt;3")</f>
        <v>0</v>
      </c>
      <c r="DQ181" s="41">
        <f>SUMIFS(tbl_task1[S116],tbl_task1[[SubPLOs]:[SubPLOs]],"&gt;=2",tbl_task1[[SubPLOs]:[SubPLOs]],"&lt;3")+SUMIFS(tbl_task2[S116],tbl_task2[[SubPLOs]:[SubPLOs]],"&gt;=2",tbl_task2[[SubPLOs]:[SubPLOs]],"&lt;3")+SUMIFS(tbl_task3[S116],tbl_task3[[SubPLOs]:[SubPLOs]],"&gt;=2",tbl_task3[[SubPLOs]:[SubPLOs]],"&lt;3")+SUMIFS(tbl_task4[S116],tbl_task4[[SubPLOs]:[SubPLOs]],"&gt;=2",tbl_task4[[SubPLOs]:[SubPLOs]],"&lt;3")+SUMIFS(tbl_task5[S116],tbl_task5[[SubPLOs]:[SubPLOs]],"&gt;=2",tbl_task5[[SubPLOs]:[SubPLOs]],"&lt;3")+SUMIFS(tbl_task6[S116],tbl_task6[[SubPLOs]:[SubPLOs]],"&gt;=2",tbl_task6[[SubPLOs]:[SubPLOs]],"&lt;3")+SUMIFS(tbl_task7[S116],tbl_task7[[SubPLOs]:[SubPLOs]],"&gt;=2",tbl_task7[[SubPLOs]:[SubPLOs]],"&lt;3")+SUMIFS(tbl_task8[S116],tbl_task8[[SubPLOs]:[SubPLOs]],"&gt;=2",tbl_task8[[SubPLOs]:[SubPLOs]],"&lt;3")+SUMIFS(tbl_task9[S116],tbl_task9[[SubPLOs]:[SubPLOs]],"&gt;=2",tbl_task9[[SubPLOs]:[SubPLOs]],"&lt;3")+SUMIFS(tbl_task10[S116],tbl_task10[[SubPLOs]:[SubPLOs]],"&gt;=2",tbl_task10[[SubPLOs]:[SubPLOs]],"&lt;3")</f>
        <v>0</v>
      </c>
      <c r="DR181" s="41">
        <f>SUMIFS(tbl_task1[S117],tbl_task1[[SubPLOs]:[SubPLOs]],"&gt;=2",tbl_task1[[SubPLOs]:[SubPLOs]],"&lt;3")+SUMIFS(tbl_task2[S117],tbl_task2[[SubPLOs]:[SubPLOs]],"&gt;=2",tbl_task2[[SubPLOs]:[SubPLOs]],"&lt;3")+SUMIFS(tbl_task3[S117],tbl_task3[[SubPLOs]:[SubPLOs]],"&gt;=2",tbl_task3[[SubPLOs]:[SubPLOs]],"&lt;3")+SUMIFS(tbl_task4[S117],tbl_task4[[SubPLOs]:[SubPLOs]],"&gt;=2",tbl_task4[[SubPLOs]:[SubPLOs]],"&lt;3")+SUMIFS(tbl_task5[S117],tbl_task5[[SubPLOs]:[SubPLOs]],"&gt;=2",tbl_task5[[SubPLOs]:[SubPLOs]],"&lt;3")+SUMIFS(tbl_task6[S117],tbl_task6[[SubPLOs]:[SubPLOs]],"&gt;=2",tbl_task6[[SubPLOs]:[SubPLOs]],"&lt;3")+SUMIFS(tbl_task7[S117],tbl_task7[[SubPLOs]:[SubPLOs]],"&gt;=2",tbl_task7[[SubPLOs]:[SubPLOs]],"&lt;3")+SUMIFS(tbl_task8[S117],tbl_task8[[SubPLOs]:[SubPLOs]],"&gt;=2",tbl_task8[[SubPLOs]:[SubPLOs]],"&lt;3")+SUMIFS(tbl_task9[S117],tbl_task9[[SubPLOs]:[SubPLOs]],"&gt;=2",tbl_task9[[SubPLOs]:[SubPLOs]],"&lt;3")+SUMIFS(tbl_task10[S117],tbl_task10[[SubPLOs]:[SubPLOs]],"&gt;=2",tbl_task10[[SubPLOs]:[SubPLOs]],"&lt;3")</f>
        <v>0</v>
      </c>
      <c r="DS181" s="41">
        <f>SUMIFS(tbl_task1[S118],tbl_task1[[SubPLOs]:[SubPLOs]],"&gt;=2",tbl_task1[[SubPLOs]:[SubPLOs]],"&lt;3")+SUMIFS(tbl_task2[S118],tbl_task2[[SubPLOs]:[SubPLOs]],"&gt;=2",tbl_task2[[SubPLOs]:[SubPLOs]],"&lt;3")+SUMIFS(tbl_task3[S118],tbl_task3[[SubPLOs]:[SubPLOs]],"&gt;=2",tbl_task3[[SubPLOs]:[SubPLOs]],"&lt;3")+SUMIFS(tbl_task4[S118],tbl_task4[[SubPLOs]:[SubPLOs]],"&gt;=2",tbl_task4[[SubPLOs]:[SubPLOs]],"&lt;3")+SUMIFS(tbl_task5[S118],tbl_task5[[SubPLOs]:[SubPLOs]],"&gt;=2",tbl_task5[[SubPLOs]:[SubPLOs]],"&lt;3")+SUMIFS(tbl_task6[S118],tbl_task6[[SubPLOs]:[SubPLOs]],"&gt;=2",tbl_task6[[SubPLOs]:[SubPLOs]],"&lt;3")+SUMIFS(tbl_task7[S118],tbl_task7[[SubPLOs]:[SubPLOs]],"&gt;=2",tbl_task7[[SubPLOs]:[SubPLOs]],"&lt;3")+SUMIFS(tbl_task8[S118],tbl_task8[[SubPLOs]:[SubPLOs]],"&gt;=2",tbl_task8[[SubPLOs]:[SubPLOs]],"&lt;3")+SUMIFS(tbl_task9[S118],tbl_task9[[SubPLOs]:[SubPLOs]],"&gt;=2",tbl_task9[[SubPLOs]:[SubPLOs]],"&lt;3")+SUMIFS(tbl_task10[S118],tbl_task10[[SubPLOs]:[SubPLOs]],"&gt;=2",tbl_task10[[SubPLOs]:[SubPLOs]],"&lt;3")</f>
        <v>0</v>
      </c>
      <c r="DT181" s="41">
        <f>SUMIFS(tbl_task1[S119],tbl_task1[[SubPLOs]:[SubPLOs]],"&gt;=2",tbl_task1[[SubPLOs]:[SubPLOs]],"&lt;3")+SUMIFS(tbl_task2[S119],tbl_task2[[SubPLOs]:[SubPLOs]],"&gt;=2",tbl_task2[[SubPLOs]:[SubPLOs]],"&lt;3")+SUMIFS(tbl_task3[S119],tbl_task3[[SubPLOs]:[SubPLOs]],"&gt;=2",tbl_task3[[SubPLOs]:[SubPLOs]],"&lt;3")+SUMIFS(tbl_task4[S119],tbl_task4[[SubPLOs]:[SubPLOs]],"&gt;=2",tbl_task4[[SubPLOs]:[SubPLOs]],"&lt;3")+SUMIFS(tbl_task5[S119],tbl_task5[[SubPLOs]:[SubPLOs]],"&gt;=2",tbl_task5[[SubPLOs]:[SubPLOs]],"&lt;3")+SUMIFS(tbl_task6[S119],tbl_task6[[SubPLOs]:[SubPLOs]],"&gt;=2",tbl_task6[[SubPLOs]:[SubPLOs]],"&lt;3")+SUMIFS(tbl_task7[S119],tbl_task7[[SubPLOs]:[SubPLOs]],"&gt;=2",tbl_task7[[SubPLOs]:[SubPLOs]],"&lt;3")+SUMIFS(tbl_task8[S119],tbl_task8[[SubPLOs]:[SubPLOs]],"&gt;=2",tbl_task8[[SubPLOs]:[SubPLOs]],"&lt;3")+SUMIFS(tbl_task9[S119],tbl_task9[[SubPLOs]:[SubPLOs]],"&gt;=2",tbl_task9[[SubPLOs]:[SubPLOs]],"&lt;3")+SUMIFS(tbl_task10[S119],tbl_task10[[SubPLOs]:[SubPLOs]],"&gt;=2",tbl_task10[[SubPLOs]:[SubPLOs]],"&lt;3")</f>
        <v>0</v>
      </c>
      <c r="DU181" s="41">
        <f>SUMIFS(tbl_task1[S120],tbl_task1[[SubPLOs]:[SubPLOs]],"&gt;=2",tbl_task1[[SubPLOs]:[SubPLOs]],"&lt;3")+SUMIFS(tbl_task2[S120],tbl_task2[[SubPLOs]:[SubPLOs]],"&gt;=2",tbl_task2[[SubPLOs]:[SubPLOs]],"&lt;3")+SUMIFS(tbl_task3[S120],tbl_task3[[SubPLOs]:[SubPLOs]],"&gt;=2",tbl_task3[[SubPLOs]:[SubPLOs]],"&lt;3")+SUMIFS(tbl_task4[S120],tbl_task4[[SubPLOs]:[SubPLOs]],"&gt;=2",tbl_task4[[SubPLOs]:[SubPLOs]],"&lt;3")+SUMIFS(tbl_task5[S120],tbl_task5[[SubPLOs]:[SubPLOs]],"&gt;=2",tbl_task5[[SubPLOs]:[SubPLOs]],"&lt;3")+SUMIFS(tbl_task6[S120],tbl_task6[[SubPLOs]:[SubPLOs]],"&gt;=2",tbl_task6[[SubPLOs]:[SubPLOs]],"&lt;3")+SUMIFS(tbl_task7[S120],tbl_task7[[SubPLOs]:[SubPLOs]],"&gt;=2",tbl_task7[[SubPLOs]:[SubPLOs]],"&lt;3")+SUMIFS(tbl_task8[S120],tbl_task8[[SubPLOs]:[SubPLOs]],"&gt;=2",tbl_task8[[SubPLOs]:[SubPLOs]],"&lt;3")+SUMIFS(tbl_task9[S120],tbl_task9[[SubPLOs]:[SubPLOs]],"&gt;=2",tbl_task9[[SubPLOs]:[SubPLOs]],"&lt;3")+SUMIFS(tbl_task10[S120],tbl_task10[[SubPLOs]:[SubPLOs]],"&gt;=2",tbl_task10[[SubPLOs]:[SubPLOs]],"&lt;3")</f>
        <v>0</v>
      </c>
      <c r="DV181" s="41">
        <f>SUMIFS(tbl_task1[S121],tbl_task1[[SubPLOs]:[SubPLOs]],"&gt;=2",tbl_task1[[SubPLOs]:[SubPLOs]],"&lt;3")+SUMIFS(tbl_task2[S121],tbl_task2[[SubPLOs]:[SubPLOs]],"&gt;=2",tbl_task2[[SubPLOs]:[SubPLOs]],"&lt;3")+SUMIFS(tbl_task3[S121],tbl_task3[[SubPLOs]:[SubPLOs]],"&gt;=2",tbl_task3[[SubPLOs]:[SubPLOs]],"&lt;3")+SUMIFS(tbl_task4[S121],tbl_task4[[SubPLOs]:[SubPLOs]],"&gt;=2",tbl_task4[[SubPLOs]:[SubPLOs]],"&lt;3")+SUMIFS(tbl_task5[S121],tbl_task5[[SubPLOs]:[SubPLOs]],"&gt;=2",tbl_task5[[SubPLOs]:[SubPLOs]],"&lt;3")+SUMIFS(tbl_task6[S121],tbl_task6[[SubPLOs]:[SubPLOs]],"&gt;=2",tbl_task6[[SubPLOs]:[SubPLOs]],"&lt;3")+SUMIFS(tbl_task7[S121],tbl_task7[[SubPLOs]:[SubPLOs]],"&gt;=2",tbl_task7[[SubPLOs]:[SubPLOs]],"&lt;3")+SUMIFS(tbl_task8[S121],tbl_task8[[SubPLOs]:[SubPLOs]],"&gt;=2",tbl_task8[[SubPLOs]:[SubPLOs]],"&lt;3")+SUMIFS(tbl_task9[S121],tbl_task9[[SubPLOs]:[SubPLOs]],"&gt;=2",tbl_task9[[SubPLOs]:[SubPLOs]],"&lt;3")+SUMIFS(tbl_task10[S121],tbl_task10[[SubPLOs]:[SubPLOs]],"&gt;=2",tbl_task10[[SubPLOs]:[SubPLOs]],"&lt;3")</f>
        <v>0</v>
      </c>
      <c r="DW181" s="41">
        <f>SUMIFS(tbl_task1[S122],tbl_task1[[SubPLOs]:[SubPLOs]],"&gt;=2",tbl_task1[[SubPLOs]:[SubPLOs]],"&lt;3")+SUMIFS(tbl_task2[S122],tbl_task2[[SubPLOs]:[SubPLOs]],"&gt;=2",tbl_task2[[SubPLOs]:[SubPLOs]],"&lt;3")+SUMIFS(tbl_task3[S122],tbl_task3[[SubPLOs]:[SubPLOs]],"&gt;=2",tbl_task3[[SubPLOs]:[SubPLOs]],"&lt;3")+SUMIFS(tbl_task4[S122],tbl_task4[[SubPLOs]:[SubPLOs]],"&gt;=2",tbl_task4[[SubPLOs]:[SubPLOs]],"&lt;3")+SUMIFS(tbl_task5[S122],tbl_task5[[SubPLOs]:[SubPLOs]],"&gt;=2",tbl_task5[[SubPLOs]:[SubPLOs]],"&lt;3")+SUMIFS(tbl_task6[S122],tbl_task6[[SubPLOs]:[SubPLOs]],"&gt;=2",tbl_task6[[SubPLOs]:[SubPLOs]],"&lt;3")+SUMIFS(tbl_task7[S122],tbl_task7[[SubPLOs]:[SubPLOs]],"&gt;=2",tbl_task7[[SubPLOs]:[SubPLOs]],"&lt;3")+SUMIFS(tbl_task8[S122],tbl_task8[[SubPLOs]:[SubPLOs]],"&gt;=2",tbl_task8[[SubPLOs]:[SubPLOs]],"&lt;3")+SUMIFS(tbl_task9[S122],tbl_task9[[SubPLOs]:[SubPLOs]],"&gt;=2",tbl_task9[[SubPLOs]:[SubPLOs]],"&lt;3")+SUMIFS(tbl_task10[S122],tbl_task10[[SubPLOs]:[SubPLOs]],"&gt;=2",tbl_task10[[SubPLOs]:[SubPLOs]],"&lt;3")</f>
        <v>0</v>
      </c>
      <c r="DX181" s="41">
        <f>SUMIFS(tbl_task1[S123],tbl_task1[[SubPLOs]:[SubPLOs]],"&gt;=2",tbl_task1[[SubPLOs]:[SubPLOs]],"&lt;3")+SUMIFS(tbl_task2[S123],tbl_task2[[SubPLOs]:[SubPLOs]],"&gt;=2",tbl_task2[[SubPLOs]:[SubPLOs]],"&lt;3")+SUMIFS(tbl_task3[S123],tbl_task3[[SubPLOs]:[SubPLOs]],"&gt;=2",tbl_task3[[SubPLOs]:[SubPLOs]],"&lt;3")+SUMIFS(tbl_task4[S123],tbl_task4[[SubPLOs]:[SubPLOs]],"&gt;=2",tbl_task4[[SubPLOs]:[SubPLOs]],"&lt;3")+SUMIFS(tbl_task5[S123],tbl_task5[[SubPLOs]:[SubPLOs]],"&gt;=2",tbl_task5[[SubPLOs]:[SubPLOs]],"&lt;3")+SUMIFS(tbl_task6[S123],tbl_task6[[SubPLOs]:[SubPLOs]],"&gt;=2",tbl_task6[[SubPLOs]:[SubPLOs]],"&lt;3")+SUMIFS(tbl_task7[S123],tbl_task7[[SubPLOs]:[SubPLOs]],"&gt;=2",tbl_task7[[SubPLOs]:[SubPLOs]],"&lt;3")+SUMIFS(tbl_task8[S123],tbl_task8[[SubPLOs]:[SubPLOs]],"&gt;=2",tbl_task8[[SubPLOs]:[SubPLOs]],"&lt;3")+SUMIFS(tbl_task9[S123],tbl_task9[[SubPLOs]:[SubPLOs]],"&gt;=2",tbl_task9[[SubPLOs]:[SubPLOs]],"&lt;3")+SUMIFS(tbl_task10[S123],tbl_task10[[SubPLOs]:[SubPLOs]],"&gt;=2",tbl_task10[[SubPLOs]:[SubPLOs]],"&lt;3")</f>
        <v>0</v>
      </c>
      <c r="DY181" s="41">
        <f>SUMIFS(tbl_task1[S124],tbl_task1[[SubPLOs]:[SubPLOs]],"&gt;=2",tbl_task1[[SubPLOs]:[SubPLOs]],"&lt;3")+SUMIFS(tbl_task2[S124],tbl_task2[[SubPLOs]:[SubPLOs]],"&gt;=2",tbl_task2[[SubPLOs]:[SubPLOs]],"&lt;3")+SUMIFS(tbl_task3[S124],tbl_task3[[SubPLOs]:[SubPLOs]],"&gt;=2",tbl_task3[[SubPLOs]:[SubPLOs]],"&lt;3")+SUMIFS(tbl_task4[S124],tbl_task4[[SubPLOs]:[SubPLOs]],"&gt;=2",tbl_task4[[SubPLOs]:[SubPLOs]],"&lt;3")+SUMIFS(tbl_task5[S124],tbl_task5[[SubPLOs]:[SubPLOs]],"&gt;=2",tbl_task5[[SubPLOs]:[SubPLOs]],"&lt;3")+SUMIFS(tbl_task6[S124],tbl_task6[[SubPLOs]:[SubPLOs]],"&gt;=2",tbl_task6[[SubPLOs]:[SubPLOs]],"&lt;3")+SUMIFS(tbl_task7[S124],tbl_task7[[SubPLOs]:[SubPLOs]],"&gt;=2",tbl_task7[[SubPLOs]:[SubPLOs]],"&lt;3")+SUMIFS(tbl_task8[S124],tbl_task8[[SubPLOs]:[SubPLOs]],"&gt;=2",tbl_task8[[SubPLOs]:[SubPLOs]],"&lt;3")+SUMIFS(tbl_task9[S124],tbl_task9[[SubPLOs]:[SubPLOs]],"&gt;=2",tbl_task9[[SubPLOs]:[SubPLOs]],"&lt;3")+SUMIFS(tbl_task10[S124],tbl_task10[[SubPLOs]:[SubPLOs]],"&gt;=2",tbl_task10[[SubPLOs]:[SubPLOs]],"&lt;3")</f>
        <v>0</v>
      </c>
      <c r="DZ181" s="41">
        <f>SUMIFS(tbl_task1[S125],tbl_task1[[SubPLOs]:[SubPLOs]],"&gt;=2",tbl_task1[[SubPLOs]:[SubPLOs]],"&lt;3")+SUMIFS(tbl_task2[S125],tbl_task2[[SubPLOs]:[SubPLOs]],"&gt;=2",tbl_task2[[SubPLOs]:[SubPLOs]],"&lt;3")+SUMIFS(tbl_task3[S125],tbl_task3[[SubPLOs]:[SubPLOs]],"&gt;=2",tbl_task3[[SubPLOs]:[SubPLOs]],"&lt;3")+SUMIFS(tbl_task4[S125],tbl_task4[[SubPLOs]:[SubPLOs]],"&gt;=2",tbl_task4[[SubPLOs]:[SubPLOs]],"&lt;3")+SUMIFS(tbl_task5[S125],tbl_task5[[SubPLOs]:[SubPLOs]],"&gt;=2",tbl_task5[[SubPLOs]:[SubPLOs]],"&lt;3")+SUMIFS(tbl_task6[S125],tbl_task6[[SubPLOs]:[SubPLOs]],"&gt;=2",tbl_task6[[SubPLOs]:[SubPLOs]],"&lt;3")+SUMIFS(tbl_task7[S125],tbl_task7[[SubPLOs]:[SubPLOs]],"&gt;=2",tbl_task7[[SubPLOs]:[SubPLOs]],"&lt;3")+SUMIFS(tbl_task8[S125],tbl_task8[[SubPLOs]:[SubPLOs]],"&gt;=2",tbl_task8[[SubPLOs]:[SubPLOs]],"&lt;3")+SUMIFS(tbl_task9[S125],tbl_task9[[SubPLOs]:[SubPLOs]],"&gt;=2",tbl_task9[[SubPLOs]:[SubPLOs]],"&lt;3")+SUMIFS(tbl_task10[S125],tbl_task10[[SubPLOs]:[SubPLOs]],"&gt;=2",tbl_task10[[SubPLOs]:[SubPLOs]],"&lt;3")</f>
        <v>0</v>
      </c>
      <c r="EA181" s="41">
        <f>SUMIFS(tbl_task1[S126],tbl_task1[[SubPLOs]:[SubPLOs]],"&gt;=2",tbl_task1[[SubPLOs]:[SubPLOs]],"&lt;3")+SUMIFS(tbl_task2[S126],tbl_task2[[SubPLOs]:[SubPLOs]],"&gt;=2",tbl_task2[[SubPLOs]:[SubPLOs]],"&lt;3")+SUMIFS(tbl_task3[S126],tbl_task3[[SubPLOs]:[SubPLOs]],"&gt;=2",tbl_task3[[SubPLOs]:[SubPLOs]],"&lt;3")+SUMIFS(tbl_task4[S126],tbl_task4[[SubPLOs]:[SubPLOs]],"&gt;=2",tbl_task4[[SubPLOs]:[SubPLOs]],"&lt;3")+SUMIFS(tbl_task5[S126],tbl_task5[[SubPLOs]:[SubPLOs]],"&gt;=2",tbl_task5[[SubPLOs]:[SubPLOs]],"&lt;3")+SUMIFS(tbl_task6[S126],tbl_task6[[SubPLOs]:[SubPLOs]],"&gt;=2",tbl_task6[[SubPLOs]:[SubPLOs]],"&lt;3")+SUMIFS(tbl_task7[S126],tbl_task7[[SubPLOs]:[SubPLOs]],"&gt;=2",tbl_task7[[SubPLOs]:[SubPLOs]],"&lt;3")+SUMIFS(tbl_task8[S126],tbl_task8[[SubPLOs]:[SubPLOs]],"&gt;=2",tbl_task8[[SubPLOs]:[SubPLOs]],"&lt;3")+SUMIFS(tbl_task9[S126],tbl_task9[[SubPLOs]:[SubPLOs]],"&gt;=2",tbl_task9[[SubPLOs]:[SubPLOs]],"&lt;3")+SUMIFS(tbl_task10[S126],tbl_task10[[SubPLOs]:[SubPLOs]],"&gt;=2",tbl_task10[[SubPLOs]:[SubPLOs]],"&lt;3")</f>
        <v>0</v>
      </c>
      <c r="EB181" s="41">
        <f>SUMIFS(tbl_task1[S127],tbl_task1[[SubPLOs]:[SubPLOs]],"&gt;=2",tbl_task1[[SubPLOs]:[SubPLOs]],"&lt;3")+SUMIFS(tbl_task2[S127],tbl_task2[[SubPLOs]:[SubPLOs]],"&gt;=2",tbl_task2[[SubPLOs]:[SubPLOs]],"&lt;3")+SUMIFS(tbl_task3[S127],tbl_task3[[SubPLOs]:[SubPLOs]],"&gt;=2",tbl_task3[[SubPLOs]:[SubPLOs]],"&lt;3")+SUMIFS(tbl_task4[S127],tbl_task4[[SubPLOs]:[SubPLOs]],"&gt;=2",tbl_task4[[SubPLOs]:[SubPLOs]],"&lt;3")+SUMIFS(tbl_task5[S127],tbl_task5[[SubPLOs]:[SubPLOs]],"&gt;=2",tbl_task5[[SubPLOs]:[SubPLOs]],"&lt;3")+SUMIFS(tbl_task6[S127],tbl_task6[[SubPLOs]:[SubPLOs]],"&gt;=2",tbl_task6[[SubPLOs]:[SubPLOs]],"&lt;3")+SUMIFS(tbl_task7[S127],tbl_task7[[SubPLOs]:[SubPLOs]],"&gt;=2",tbl_task7[[SubPLOs]:[SubPLOs]],"&lt;3")+SUMIFS(tbl_task8[S127],tbl_task8[[SubPLOs]:[SubPLOs]],"&gt;=2",tbl_task8[[SubPLOs]:[SubPLOs]],"&lt;3")+SUMIFS(tbl_task9[S127],tbl_task9[[SubPLOs]:[SubPLOs]],"&gt;=2",tbl_task9[[SubPLOs]:[SubPLOs]],"&lt;3")+SUMIFS(tbl_task10[S127],tbl_task10[[SubPLOs]:[SubPLOs]],"&gt;=2",tbl_task10[[SubPLOs]:[SubPLOs]],"&lt;3")</f>
        <v>0</v>
      </c>
      <c r="EC181" s="41">
        <f>SUMIFS(tbl_task1[S128],tbl_task1[[SubPLOs]:[SubPLOs]],"&gt;=2",tbl_task1[[SubPLOs]:[SubPLOs]],"&lt;3")+SUMIFS(tbl_task2[S128],tbl_task2[[SubPLOs]:[SubPLOs]],"&gt;=2",tbl_task2[[SubPLOs]:[SubPLOs]],"&lt;3")+SUMIFS(tbl_task3[S128],tbl_task3[[SubPLOs]:[SubPLOs]],"&gt;=2",tbl_task3[[SubPLOs]:[SubPLOs]],"&lt;3")+SUMIFS(tbl_task4[S128],tbl_task4[[SubPLOs]:[SubPLOs]],"&gt;=2",tbl_task4[[SubPLOs]:[SubPLOs]],"&lt;3")+SUMIFS(tbl_task5[S128],tbl_task5[[SubPLOs]:[SubPLOs]],"&gt;=2",tbl_task5[[SubPLOs]:[SubPLOs]],"&lt;3")+SUMIFS(tbl_task6[S128],tbl_task6[[SubPLOs]:[SubPLOs]],"&gt;=2",tbl_task6[[SubPLOs]:[SubPLOs]],"&lt;3")+SUMIFS(tbl_task7[S128],tbl_task7[[SubPLOs]:[SubPLOs]],"&gt;=2",tbl_task7[[SubPLOs]:[SubPLOs]],"&lt;3")+SUMIFS(tbl_task8[S128],tbl_task8[[SubPLOs]:[SubPLOs]],"&gt;=2",tbl_task8[[SubPLOs]:[SubPLOs]],"&lt;3")+SUMIFS(tbl_task9[S128],tbl_task9[[SubPLOs]:[SubPLOs]],"&gt;=2",tbl_task9[[SubPLOs]:[SubPLOs]],"&lt;3")+SUMIFS(tbl_task10[S128],tbl_task10[[SubPLOs]:[SubPLOs]],"&gt;=2",tbl_task10[[SubPLOs]:[SubPLOs]],"&lt;3")</f>
        <v>0</v>
      </c>
      <c r="ED181" s="41">
        <f>SUMIFS(tbl_task1[S129],tbl_task1[[SubPLOs]:[SubPLOs]],"&gt;=2",tbl_task1[[SubPLOs]:[SubPLOs]],"&lt;3")+SUMIFS(tbl_task2[S129],tbl_task2[[SubPLOs]:[SubPLOs]],"&gt;=2",tbl_task2[[SubPLOs]:[SubPLOs]],"&lt;3")+SUMIFS(tbl_task3[S129],tbl_task3[[SubPLOs]:[SubPLOs]],"&gt;=2",tbl_task3[[SubPLOs]:[SubPLOs]],"&lt;3")+SUMIFS(tbl_task4[S129],tbl_task4[[SubPLOs]:[SubPLOs]],"&gt;=2",tbl_task4[[SubPLOs]:[SubPLOs]],"&lt;3")+SUMIFS(tbl_task5[S129],tbl_task5[[SubPLOs]:[SubPLOs]],"&gt;=2",tbl_task5[[SubPLOs]:[SubPLOs]],"&lt;3")+SUMIFS(tbl_task6[S129],tbl_task6[[SubPLOs]:[SubPLOs]],"&gt;=2",tbl_task6[[SubPLOs]:[SubPLOs]],"&lt;3")+SUMIFS(tbl_task7[S129],tbl_task7[[SubPLOs]:[SubPLOs]],"&gt;=2",tbl_task7[[SubPLOs]:[SubPLOs]],"&lt;3")+SUMIFS(tbl_task8[S129],tbl_task8[[SubPLOs]:[SubPLOs]],"&gt;=2",tbl_task8[[SubPLOs]:[SubPLOs]],"&lt;3")+SUMIFS(tbl_task9[S129],tbl_task9[[SubPLOs]:[SubPLOs]],"&gt;=2",tbl_task9[[SubPLOs]:[SubPLOs]],"&lt;3")+SUMIFS(tbl_task10[S129],tbl_task10[[SubPLOs]:[SubPLOs]],"&gt;=2",tbl_task10[[SubPLOs]:[SubPLOs]],"&lt;3")</f>
        <v>0</v>
      </c>
      <c r="EE181" s="41">
        <f>SUMIFS(tbl_task1[S130],tbl_task1[[SubPLOs]:[SubPLOs]],"&gt;=2",tbl_task1[[SubPLOs]:[SubPLOs]],"&lt;3")+SUMIFS(tbl_task2[S130],tbl_task2[[SubPLOs]:[SubPLOs]],"&gt;=2",tbl_task2[[SubPLOs]:[SubPLOs]],"&lt;3")+SUMIFS(tbl_task3[S130],tbl_task3[[SubPLOs]:[SubPLOs]],"&gt;=2",tbl_task3[[SubPLOs]:[SubPLOs]],"&lt;3")+SUMIFS(tbl_task4[S130],tbl_task4[[SubPLOs]:[SubPLOs]],"&gt;=2",tbl_task4[[SubPLOs]:[SubPLOs]],"&lt;3")+SUMIFS(tbl_task5[S130],tbl_task5[[SubPLOs]:[SubPLOs]],"&gt;=2",tbl_task5[[SubPLOs]:[SubPLOs]],"&lt;3")+SUMIFS(tbl_task6[S130],tbl_task6[[SubPLOs]:[SubPLOs]],"&gt;=2",tbl_task6[[SubPLOs]:[SubPLOs]],"&lt;3")+SUMIFS(tbl_task7[S130],tbl_task7[[SubPLOs]:[SubPLOs]],"&gt;=2",tbl_task7[[SubPLOs]:[SubPLOs]],"&lt;3")+SUMIFS(tbl_task8[S130],tbl_task8[[SubPLOs]:[SubPLOs]],"&gt;=2",tbl_task8[[SubPLOs]:[SubPLOs]],"&lt;3")+SUMIFS(tbl_task9[S130],tbl_task9[[SubPLOs]:[SubPLOs]],"&gt;=2",tbl_task9[[SubPLOs]:[SubPLOs]],"&lt;3")+SUMIFS(tbl_task10[S130],tbl_task10[[SubPLOs]:[SubPLOs]],"&gt;=2",tbl_task10[[SubPLOs]:[SubPLOs]],"&lt;3")</f>
        <v>0</v>
      </c>
      <c r="EF181" s="41">
        <f>SUMIFS(tbl_task1[S131],tbl_task1[[SubPLOs]:[SubPLOs]],"&gt;=2",tbl_task1[[SubPLOs]:[SubPLOs]],"&lt;3")+SUMIFS(tbl_task2[S131],tbl_task2[[SubPLOs]:[SubPLOs]],"&gt;=2",tbl_task2[[SubPLOs]:[SubPLOs]],"&lt;3")+SUMIFS(tbl_task3[S131],tbl_task3[[SubPLOs]:[SubPLOs]],"&gt;=2",tbl_task3[[SubPLOs]:[SubPLOs]],"&lt;3")+SUMIFS(tbl_task4[S131],tbl_task4[[SubPLOs]:[SubPLOs]],"&gt;=2",tbl_task4[[SubPLOs]:[SubPLOs]],"&lt;3")+SUMIFS(tbl_task5[S131],tbl_task5[[SubPLOs]:[SubPLOs]],"&gt;=2",tbl_task5[[SubPLOs]:[SubPLOs]],"&lt;3")+SUMIFS(tbl_task6[S131],tbl_task6[[SubPLOs]:[SubPLOs]],"&gt;=2",tbl_task6[[SubPLOs]:[SubPLOs]],"&lt;3")+SUMIFS(tbl_task7[S131],tbl_task7[[SubPLOs]:[SubPLOs]],"&gt;=2",tbl_task7[[SubPLOs]:[SubPLOs]],"&lt;3")+SUMIFS(tbl_task8[S131],tbl_task8[[SubPLOs]:[SubPLOs]],"&gt;=2",tbl_task8[[SubPLOs]:[SubPLOs]],"&lt;3")+SUMIFS(tbl_task9[S131],tbl_task9[[SubPLOs]:[SubPLOs]],"&gt;=2",tbl_task9[[SubPLOs]:[SubPLOs]],"&lt;3")+SUMIFS(tbl_task10[S131],tbl_task10[[SubPLOs]:[SubPLOs]],"&gt;=2",tbl_task10[[SubPLOs]:[SubPLOs]],"&lt;3")</f>
        <v>0</v>
      </c>
      <c r="EG181" s="41">
        <f>SUMIFS(tbl_task1[S132],tbl_task1[[SubPLOs]:[SubPLOs]],"&gt;=2",tbl_task1[[SubPLOs]:[SubPLOs]],"&lt;3")+SUMIFS(tbl_task2[S132],tbl_task2[[SubPLOs]:[SubPLOs]],"&gt;=2",tbl_task2[[SubPLOs]:[SubPLOs]],"&lt;3")+SUMIFS(tbl_task3[S132],tbl_task3[[SubPLOs]:[SubPLOs]],"&gt;=2",tbl_task3[[SubPLOs]:[SubPLOs]],"&lt;3")+SUMIFS(tbl_task4[S132],tbl_task4[[SubPLOs]:[SubPLOs]],"&gt;=2",tbl_task4[[SubPLOs]:[SubPLOs]],"&lt;3")+SUMIFS(tbl_task5[S132],tbl_task5[[SubPLOs]:[SubPLOs]],"&gt;=2",tbl_task5[[SubPLOs]:[SubPLOs]],"&lt;3")+SUMIFS(tbl_task6[S132],tbl_task6[[SubPLOs]:[SubPLOs]],"&gt;=2",tbl_task6[[SubPLOs]:[SubPLOs]],"&lt;3")+SUMIFS(tbl_task7[S132],tbl_task7[[SubPLOs]:[SubPLOs]],"&gt;=2",tbl_task7[[SubPLOs]:[SubPLOs]],"&lt;3")+SUMIFS(tbl_task8[S132],tbl_task8[[SubPLOs]:[SubPLOs]],"&gt;=2",tbl_task8[[SubPLOs]:[SubPLOs]],"&lt;3")+SUMIFS(tbl_task9[S132],tbl_task9[[SubPLOs]:[SubPLOs]],"&gt;=2",tbl_task9[[SubPLOs]:[SubPLOs]],"&lt;3")+SUMIFS(tbl_task10[S132],tbl_task10[[SubPLOs]:[SubPLOs]],"&gt;=2",tbl_task10[[SubPLOs]:[SubPLOs]],"&lt;3")</f>
        <v>0</v>
      </c>
      <c r="EH181" s="41">
        <f>SUMIFS(tbl_task1[S133],tbl_task1[[SubPLOs]:[SubPLOs]],"&gt;=2",tbl_task1[[SubPLOs]:[SubPLOs]],"&lt;3")+SUMIFS(tbl_task2[S133],tbl_task2[[SubPLOs]:[SubPLOs]],"&gt;=2",tbl_task2[[SubPLOs]:[SubPLOs]],"&lt;3")+SUMIFS(tbl_task3[S133],tbl_task3[[SubPLOs]:[SubPLOs]],"&gt;=2",tbl_task3[[SubPLOs]:[SubPLOs]],"&lt;3")+SUMIFS(tbl_task4[S133],tbl_task4[[SubPLOs]:[SubPLOs]],"&gt;=2",tbl_task4[[SubPLOs]:[SubPLOs]],"&lt;3")+SUMIFS(tbl_task5[S133],tbl_task5[[SubPLOs]:[SubPLOs]],"&gt;=2",tbl_task5[[SubPLOs]:[SubPLOs]],"&lt;3")+SUMIFS(tbl_task6[S133],tbl_task6[[SubPLOs]:[SubPLOs]],"&gt;=2",tbl_task6[[SubPLOs]:[SubPLOs]],"&lt;3")+SUMIFS(tbl_task7[S133],tbl_task7[[SubPLOs]:[SubPLOs]],"&gt;=2",tbl_task7[[SubPLOs]:[SubPLOs]],"&lt;3")+SUMIFS(tbl_task8[S133],tbl_task8[[SubPLOs]:[SubPLOs]],"&gt;=2",tbl_task8[[SubPLOs]:[SubPLOs]],"&lt;3")+SUMIFS(tbl_task9[S133],tbl_task9[[SubPLOs]:[SubPLOs]],"&gt;=2",tbl_task9[[SubPLOs]:[SubPLOs]],"&lt;3")+SUMIFS(tbl_task10[S133],tbl_task10[[SubPLOs]:[SubPLOs]],"&gt;=2",tbl_task10[[SubPLOs]:[SubPLOs]],"&lt;3")</f>
        <v>0</v>
      </c>
      <c r="EI181" s="41">
        <f>SUMIFS(tbl_task1[S134],tbl_task1[[SubPLOs]:[SubPLOs]],"&gt;=2",tbl_task1[[SubPLOs]:[SubPLOs]],"&lt;3")+SUMIFS(tbl_task2[S134],tbl_task2[[SubPLOs]:[SubPLOs]],"&gt;=2",tbl_task2[[SubPLOs]:[SubPLOs]],"&lt;3")+SUMIFS(tbl_task3[S134],tbl_task3[[SubPLOs]:[SubPLOs]],"&gt;=2",tbl_task3[[SubPLOs]:[SubPLOs]],"&lt;3")+SUMIFS(tbl_task4[S134],tbl_task4[[SubPLOs]:[SubPLOs]],"&gt;=2",tbl_task4[[SubPLOs]:[SubPLOs]],"&lt;3")+SUMIFS(tbl_task5[S134],tbl_task5[[SubPLOs]:[SubPLOs]],"&gt;=2",tbl_task5[[SubPLOs]:[SubPLOs]],"&lt;3")+SUMIFS(tbl_task6[S134],tbl_task6[[SubPLOs]:[SubPLOs]],"&gt;=2",tbl_task6[[SubPLOs]:[SubPLOs]],"&lt;3")+SUMIFS(tbl_task7[S134],tbl_task7[[SubPLOs]:[SubPLOs]],"&gt;=2",tbl_task7[[SubPLOs]:[SubPLOs]],"&lt;3")+SUMIFS(tbl_task8[S134],tbl_task8[[SubPLOs]:[SubPLOs]],"&gt;=2",tbl_task8[[SubPLOs]:[SubPLOs]],"&lt;3")+SUMIFS(tbl_task9[S134],tbl_task9[[SubPLOs]:[SubPLOs]],"&gt;=2",tbl_task9[[SubPLOs]:[SubPLOs]],"&lt;3")+SUMIFS(tbl_task10[S134],tbl_task10[[SubPLOs]:[SubPLOs]],"&gt;=2",tbl_task10[[SubPLOs]:[SubPLOs]],"&lt;3")</f>
        <v>0</v>
      </c>
      <c r="EJ181" s="41">
        <f>SUMIFS(tbl_task1[S135],tbl_task1[[SubPLOs]:[SubPLOs]],"&gt;=2",tbl_task1[[SubPLOs]:[SubPLOs]],"&lt;3")+SUMIFS(tbl_task2[S135],tbl_task2[[SubPLOs]:[SubPLOs]],"&gt;=2",tbl_task2[[SubPLOs]:[SubPLOs]],"&lt;3")+SUMIFS(tbl_task3[S135],tbl_task3[[SubPLOs]:[SubPLOs]],"&gt;=2",tbl_task3[[SubPLOs]:[SubPLOs]],"&lt;3")+SUMIFS(tbl_task4[S135],tbl_task4[[SubPLOs]:[SubPLOs]],"&gt;=2",tbl_task4[[SubPLOs]:[SubPLOs]],"&lt;3")+SUMIFS(tbl_task5[S135],tbl_task5[[SubPLOs]:[SubPLOs]],"&gt;=2",tbl_task5[[SubPLOs]:[SubPLOs]],"&lt;3")+SUMIFS(tbl_task6[S135],tbl_task6[[SubPLOs]:[SubPLOs]],"&gt;=2",tbl_task6[[SubPLOs]:[SubPLOs]],"&lt;3")+SUMIFS(tbl_task7[S135],tbl_task7[[SubPLOs]:[SubPLOs]],"&gt;=2",tbl_task7[[SubPLOs]:[SubPLOs]],"&lt;3")+SUMIFS(tbl_task8[S135],tbl_task8[[SubPLOs]:[SubPLOs]],"&gt;=2",tbl_task8[[SubPLOs]:[SubPLOs]],"&lt;3")+SUMIFS(tbl_task9[S135],tbl_task9[[SubPLOs]:[SubPLOs]],"&gt;=2",tbl_task9[[SubPLOs]:[SubPLOs]],"&lt;3")+SUMIFS(tbl_task10[S135],tbl_task10[[SubPLOs]:[SubPLOs]],"&gt;=2",tbl_task10[[SubPLOs]:[SubPLOs]],"&lt;3")</f>
        <v>0</v>
      </c>
      <c r="EK181" s="41">
        <f>SUMIFS(tbl_task1[S136],tbl_task1[[SubPLOs]:[SubPLOs]],"&gt;=2",tbl_task1[[SubPLOs]:[SubPLOs]],"&lt;3")+SUMIFS(tbl_task2[S136],tbl_task2[[SubPLOs]:[SubPLOs]],"&gt;=2",tbl_task2[[SubPLOs]:[SubPLOs]],"&lt;3")+SUMIFS(tbl_task3[S136],tbl_task3[[SubPLOs]:[SubPLOs]],"&gt;=2",tbl_task3[[SubPLOs]:[SubPLOs]],"&lt;3")+SUMIFS(tbl_task4[S136],tbl_task4[[SubPLOs]:[SubPLOs]],"&gt;=2",tbl_task4[[SubPLOs]:[SubPLOs]],"&lt;3")+SUMIFS(tbl_task5[S136],tbl_task5[[SubPLOs]:[SubPLOs]],"&gt;=2",tbl_task5[[SubPLOs]:[SubPLOs]],"&lt;3")+SUMIFS(tbl_task6[S136],tbl_task6[[SubPLOs]:[SubPLOs]],"&gt;=2",tbl_task6[[SubPLOs]:[SubPLOs]],"&lt;3")+SUMIFS(tbl_task7[S136],tbl_task7[[SubPLOs]:[SubPLOs]],"&gt;=2",tbl_task7[[SubPLOs]:[SubPLOs]],"&lt;3")+SUMIFS(tbl_task8[S136],tbl_task8[[SubPLOs]:[SubPLOs]],"&gt;=2",tbl_task8[[SubPLOs]:[SubPLOs]],"&lt;3")+SUMIFS(tbl_task9[S136],tbl_task9[[SubPLOs]:[SubPLOs]],"&gt;=2",tbl_task9[[SubPLOs]:[SubPLOs]],"&lt;3")+SUMIFS(tbl_task10[S136],tbl_task10[[SubPLOs]:[SubPLOs]],"&gt;=2",tbl_task10[[SubPLOs]:[SubPLOs]],"&lt;3")</f>
        <v>0</v>
      </c>
      <c r="EL181" s="41">
        <f>SUMIFS(tbl_task1[S137],tbl_task1[[SubPLOs]:[SubPLOs]],"&gt;=2",tbl_task1[[SubPLOs]:[SubPLOs]],"&lt;3")+SUMIFS(tbl_task2[S137],tbl_task2[[SubPLOs]:[SubPLOs]],"&gt;=2",tbl_task2[[SubPLOs]:[SubPLOs]],"&lt;3")+SUMIFS(tbl_task3[S137],tbl_task3[[SubPLOs]:[SubPLOs]],"&gt;=2",tbl_task3[[SubPLOs]:[SubPLOs]],"&lt;3")+SUMIFS(tbl_task4[S137],tbl_task4[[SubPLOs]:[SubPLOs]],"&gt;=2",tbl_task4[[SubPLOs]:[SubPLOs]],"&lt;3")+SUMIFS(tbl_task5[S137],tbl_task5[[SubPLOs]:[SubPLOs]],"&gt;=2",tbl_task5[[SubPLOs]:[SubPLOs]],"&lt;3")+SUMIFS(tbl_task6[S137],tbl_task6[[SubPLOs]:[SubPLOs]],"&gt;=2",tbl_task6[[SubPLOs]:[SubPLOs]],"&lt;3")+SUMIFS(tbl_task7[S137],tbl_task7[[SubPLOs]:[SubPLOs]],"&gt;=2",tbl_task7[[SubPLOs]:[SubPLOs]],"&lt;3")+SUMIFS(tbl_task8[S137],tbl_task8[[SubPLOs]:[SubPLOs]],"&gt;=2",tbl_task8[[SubPLOs]:[SubPLOs]],"&lt;3")+SUMIFS(tbl_task9[S137],tbl_task9[[SubPLOs]:[SubPLOs]],"&gt;=2",tbl_task9[[SubPLOs]:[SubPLOs]],"&lt;3")+SUMIFS(tbl_task10[S137],tbl_task10[[SubPLOs]:[SubPLOs]],"&gt;=2",tbl_task10[[SubPLOs]:[SubPLOs]],"&lt;3")</f>
        <v>0</v>
      </c>
      <c r="EM181" s="41">
        <f>SUMIFS(tbl_task1[S138],tbl_task1[[SubPLOs]:[SubPLOs]],"&gt;=2",tbl_task1[[SubPLOs]:[SubPLOs]],"&lt;3")+SUMIFS(tbl_task2[S138],tbl_task2[[SubPLOs]:[SubPLOs]],"&gt;=2",tbl_task2[[SubPLOs]:[SubPLOs]],"&lt;3")+SUMIFS(tbl_task3[S138],tbl_task3[[SubPLOs]:[SubPLOs]],"&gt;=2",tbl_task3[[SubPLOs]:[SubPLOs]],"&lt;3")+SUMIFS(tbl_task4[S138],tbl_task4[[SubPLOs]:[SubPLOs]],"&gt;=2",tbl_task4[[SubPLOs]:[SubPLOs]],"&lt;3")+SUMIFS(tbl_task5[S138],tbl_task5[[SubPLOs]:[SubPLOs]],"&gt;=2",tbl_task5[[SubPLOs]:[SubPLOs]],"&lt;3")+SUMIFS(tbl_task6[S138],tbl_task6[[SubPLOs]:[SubPLOs]],"&gt;=2",tbl_task6[[SubPLOs]:[SubPLOs]],"&lt;3")+SUMIFS(tbl_task7[S138],tbl_task7[[SubPLOs]:[SubPLOs]],"&gt;=2",tbl_task7[[SubPLOs]:[SubPLOs]],"&lt;3")+SUMIFS(tbl_task8[S138],tbl_task8[[SubPLOs]:[SubPLOs]],"&gt;=2",tbl_task8[[SubPLOs]:[SubPLOs]],"&lt;3")+SUMIFS(tbl_task9[S138],tbl_task9[[SubPLOs]:[SubPLOs]],"&gt;=2",tbl_task9[[SubPLOs]:[SubPLOs]],"&lt;3")+SUMIFS(tbl_task10[S138],tbl_task10[[SubPLOs]:[SubPLOs]],"&gt;=2",tbl_task10[[SubPLOs]:[SubPLOs]],"&lt;3")</f>
        <v>0</v>
      </c>
      <c r="EN181" s="41">
        <f>SUMIFS(tbl_task1[S139],tbl_task1[[SubPLOs]:[SubPLOs]],"&gt;=2",tbl_task1[[SubPLOs]:[SubPLOs]],"&lt;3")+SUMIFS(tbl_task2[S139],tbl_task2[[SubPLOs]:[SubPLOs]],"&gt;=2",tbl_task2[[SubPLOs]:[SubPLOs]],"&lt;3")+SUMIFS(tbl_task3[S139],tbl_task3[[SubPLOs]:[SubPLOs]],"&gt;=2",tbl_task3[[SubPLOs]:[SubPLOs]],"&lt;3")+SUMIFS(tbl_task4[S139],tbl_task4[[SubPLOs]:[SubPLOs]],"&gt;=2",tbl_task4[[SubPLOs]:[SubPLOs]],"&lt;3")+SUMIFS(tbl_task5[S139],tbl_task5[[SubPLOs]:[SubPLOs]],"&gt;=2",tbl_task5[[SubPLOs]:[SubPLOs]],"&lt;3")+SUMIFS(tbl_task6[S139],tbl_task6[[SubPLOs]:[SubPLOs]],"&gt;=2",tbl_task6[[SubPLOs]:[SubPLOs]],"&lt;3")+SUMIFS(tbl_task7[S139],tbl_task7[[SubPLOs]:[SubPLOs]],"&gt;=2",tbl_task7[[SubPLOs]:[SubPLOs]],"&lt;3")+SUMIFS(tbl_task8[S139],tbl_task8[[SubPLOs]:[SubPLOs]],"&gt;=2",tbl_task8[[SubPLOs]:[SubPLOs]],"&lt;3")+SUMIFS(tbl_task9[S139],tbl_task9[[SubPLOs]:[SubPLOs]],"&gt;=2",tbl_task9[[SubPLOs]:[SubPLOs]],"&lt;3")+SUMIFS(tbl_task10[S139],tbl_task10[[SubPLOs]:[SubPLOs]],"&gt;=2",tbl_task10[[SubPLOs]:[SubPLOs]],"&lt;3")</f>
        <v>0</v>
      </c>
      <c r="EO181" s="41">
        <f>SUMIFS(tbl_task1[S140],tbl_task1[[SubPLOs]:[SubPLOs]],"&gt;=2",tbl_task1[[SubPLOs]:[SubPLOs]],"&lt;3")+SUMIFS(tbl_task2[S140],tbl_task2[[SubPLOs]:[SubPLOs]],"&gt;=2",tbl_task2[[SubPLOs]:[SubPLOs]],"&lt;3")+SUMIFS(tbl_task3[S140],tbl_task3[[SubPLOs]:[SubPLOs]],"&gt;=2",tbl_task3[[SubPLOs]:[SubPLOs]],"&lt;3")+SUMIFS(tbl_task4[S140],tbl_task4[[SubPLOs]:[SubPLOs]],"&gt;=2",tbl_task4[[SubPLOs]:[SubPLOs]],"&lt;3")+SUMIFS(tbl_task5[S140],tbl_task5[[SubPLOs]:[SubPLOs]],"&gt;=2",tbl_task5[[SubPLOs]:[SubPLOs]],"&lt;3")+SUMIFS(tbl_task6[S140],tbl_task6[[SubPLOs]:[SubPLOs]],"&gt;=2",tbl_task6[[SubPLOs]:[SubPLOs]],"&lt;3")+SUMIFS(tbl_task7[S140],tbl_task7[[SubPLOs]:[SubPLOs]],"&gt;=2",tbl_task7[[SubPLOs]:[SubPLOs]],"&lt;3")+SUMIFS(tbl_task8[S140],tbl_task8[[SubPLOs]:[SubPLOs]],"&gt;=2",tbl_task8[[SubPLOs]:[SubPLOs]],"&lt;3")+SUMIFS(tbl_task9[S140],tbl_task9[[SubPLOs]:[SubPLOs]],"&gt;=2",tbl_task9[[SubPLOs]:[SubPLOs]],"&lt;3")+SUMIFS(tbl_task10[S140],tbl_task10[[SubPLOs]:[SubPLOs]],"&gt;=2",tbl_task10[[SubPLOs]:[SubPLOs]],"&lt;3")</f>
        <v>0</v>
      </c>
      <c r="EP181" s="41">
        <f>SUMIFS(tbl_task1[S141],tbl_task1[[SubPLOs]:[SubPLOs]],"&gt;=2",tbl_task1[[SubPLOs]:[SubPLOs]],"&lt;3")+SUMIFS(tbl_task2[S141],tbl_task2[[SubPLOs]:[SubPLOs]],"&gt;=2",tbl_task2[[SubPLOs]:[SubPLOs]],"&lt;3")+SUMIFS(tbl_task3[S141],tbl_task3[[SubPLOs]:[SubPLOs]],"&gt;=2",tbl_task3[[SubPLOs]:[SubPLOs]],"&lt;3")+SUMIFS(tbl_task4[S141],tbl_task4[[SubPLOs]:[SubPLOs]],"&gt;=2",tbl_task4[[SubPLOs]:[SubPLOs]],"&lt;3")+SUMIFS(tbl_task5[S141],tbl_task5[[SubPLOs]:[SubPLOs]],"&gt;=2",tbl_task5[[SubPLOs]:[SubPLOs]],"&lt;3")+SUMIFS(tbl_task6[S141],tbl_task6[[SubPLOs]:[SubPLOs]],"&gt;=2",tbl_task6[[SubPLOs]:[SubPLOs]],"&lt;3")+SUMIFS(tbl_task7[S141],tbl_task7[[SubPLOs]:[SubPLOs]],"&gt;=2",tbl_task7[[SubPLOs]:[SubPLOs]],"&lt;3")+SUMIFS(tbl_task8[S141],tbl_task8[[SubPLOs]:[SubPLOs]],"&gt;=2",tbl_task8[[SubPLOs]:[SubPLOs]],"&lt;3")+SUMIFS(tbl_task9[S141],tbl_task9[[SubPLOs]:[SubPLOs]],"&gt;=2",tbl_task9[[SubPLOs]:[SubPLOs]],"&lt;3")+SUMIFS(tbl_task10[S141],tbl_task10[[SubPLOs]:[SubPLOs]],"&gt;=2",tbl_task10[[SubPLOs]:[SubPLOs]],"&lt;3")</f>
        <v>0</v>
      </c>
      <c r="EQ181" s="41">
        <f>SUMIFS(tbl_task1[S142],tbl_task1[[SubPLOs]:[SubPLOs]],"&gt;=2",tbl_task1[[SubPLOs]:[SubPLOs]],"&lt;3")+SUMIFS(tbl_task2[S142],tbl_task2[[SubPLOs]:[SubPLOs]],"&gt;=2",tbl_task2[[SubPLOs]:[SubPLOs]],"&lt;3")+SUMIFS(tbl_task3[S142],tbl_task3[[SubPLOs]:[SubPLOs]],"&gt;=2",tbl_task3[[SubPLOs]:[SubPLOs]],"&lt;3")+SUMIFS(tbl_task4[S142],tbl_task4[[SubPLOs]:[SubPLOs]],"&gt;=2",tbl_task4[[SubPLOs]:[SubPLOs]],"&lt;3")+SUMIFS(tbl_task5[S142],tbl_task5[[SubPLOs]:[SubPLOs]],"&gt;=2",tbl_task5[[SubPLOs]:[SubPLOs]],"&lt;3")+SUMIFS(tbl_task6[S142],tbl_task6[[SubPLOs]:[SubPLOs]],"&gt;=2",tbl_task6[[SubPLOs]:[SubPLOs]],"&lt;3")+SUMIFS(tbl_task7[S142],tbl_task7[[SubPLOs]:[SubPLOs]],"&gt;=2",tbl_task7[[SubPLOs]:[SubPLOs]],"&lt;3")+SUMIFS(tbl_task8[S142],tbl_task8[[SubPLOs]:[SubPLOs]],"&gt;=2",tbl_task8[[SubPLOs]:[SubPLOs]],"&lt;3")+SUMIFS(tbl_task9[S142],tbl_task9[[SubPLOs]:[SubPLOs]],"&gt;=2",tbl_task9[[SubPLOs]:[SubPLOs]],"&lt;3")+SUMIFS(tbl_task10[S142],tbl_task10[[SubPLOs]:[SubPLOs]],"&gt;=2",tbl_task10[[SubPLOs]:[SubPLOs]],"&lt;3")</f>
        <v>0</v>
      </c>
      <c r="ER181" s="41">
        <f>SUMIFS(tbl_task1[S143],tbl_task1[[SubPLOs]:[SubPLOs]],"&gt;=2",tbl_task1[[SubPLOs]:[SubPLOs]],"&lt;3")+SUMIFS(tbl_task2[S143],tbl_task2[[SubPLOs]:[SubPLOs]],"&gt;=2",tbl_task2[[SubPLOs]:[SubPLOs]],"&lt;3")+SUMIFS(tbl_task3[S143],tbl_task3[[SubPLOs]:[SubPLOs]],"&gt;=2",tbl_task3[[SubPLOs]:[SubPLOs]],"&lt;3")+SUMIFS(tbl_task4[S143],tbl_task4[[SubPLOs]:[SubPLOs]],"&gt;=2",tbl_task4[[SubPLOs]:[SubPLOs]],"&lt;3")+SUMIFS(tbl_task5[S143],tbl_task5[[SubPLOs]:[SubPLOs]],"&gt;=2",tbl_task5[[SubPLOs]:[SubPLOs]],"&lt;3")+SUMIFS(tbl_task6[S143],tbl_task6[[SubPLOs]:[SubPLOs]],"&gt;=2",tbl_task6[[SubPLOs]:[SubPLOs]],"&lt;3")+SUMIFS(tbl_task7[S143],tbl_task7[[SubPLOs]:[SubPLOs]],"&gt;=2",tbl_task7[[SubPLOs]:[SubPLOs]],"&lt;3")+SUMIFS(tbl_task8[S143],tbl_task8[[SubPLOs]:[SubPLOs]],"&gt;=2",tbl_task8[[SubPLOs]:[SubPLOs]],"&lt;3")+SUMIFS(tbl_task9[S143],tbl_task9[[SubPLOs]:[SubPLOs]],"&gt;=2",tbl_task9[[SubPLOs]:[SubPLOs]],"&lt;3")+SUMIFS(tbl_task10[S143],tbl_task10[[SubPLOs]:[SubPLOs]],"&gt;=2",tbl_task10[[SubPLOs]:[SubPLOs]],"&lt;3")</f>
        <v>0</v>
      </c>
      <c r="ES181" s="41">
        <f>SUMIFS(tbl_task1[S144],tbl_task1[[SubPLOs]:[SubPLOs]],"&gt;=2",tbl_task1[[SubPLOs]:[SubPLOs]],"&lt;3")+SUMIFS(tbl_task2[S144],tbl_task2[[SubPLOs]:[SubPLOs]],"&gt;=2",tbl_task2[[SubPLOs]:[SubPLOs]],"&lt;3")+SUMIFS(tbl_task3[S144],tbl_task3[[SubPLOs]:[SubPLOs]],"&gt;=2",tbl_task3[[SubPLOs]:[SubPLOs]],"&lt;3")+SUMIFS(tbl_task4[S144],tbl_task4[[SubPLOs]:[SubPLOs]],"&gt;=2",tbl_task4[[SubPLOs]:[SubPLOs]],"&lt;3")+SUMIFS(tbl_task5[S144],tbl_task5[[SubPLOs]:[SubPLOs]],"&gt;=2",tbl_task5[[SubPLOs]:[SubPLOs]],"&lt;3")+SUMIFS(tbl_task6[S144],tbl_task6[[SubPLOs]:[SubPLOs]],"&gt;=2",tbl_task6[[SubPLOs]:[SubPLOs]],"&lt;3")+SUMIFS(tbl_task7[S144],tbl_task7[[SubPLOs]:[SubPLOs]],"&gt;=2",tbl_task7[[SubPLOs]:[SubPLOs]],"&lt;3")+SUMIFS(tbl_task8[S144],tbl_task8[[SubPLOs]:[SubPLOs]],"&gt;=2",tbl_task8[[SubPLOs]:[SubPLOs]],"&lt;3")+SUMIFS(tbl_task9[S144],tbl_task9[[SubPLOs]:[SubPLOs]],"&gt;=2",tbl_task9[[SubPLOs]:[SubPLOs]],"&lt;3")+SUMIFS(tbl_task10[S144],tbl_task10[[SubPLOs]:[SubPLOs]],"&gt;=2",tbl_task10[[SubPLOs]:[SubPLOs]],"&lt;3")</f>
        <v>0</v>
      </c>
      <c r="ET181" s="41">
        <f>SUMIFS(tbl_task1[S145],tbl_task1[[SubPLOs]:[SubPLOs]],"&gt;=2",tbl_task1[[SubPLOs]:[SubPLOs]],"&lt;3")+SUMIFS(tbl_task2[S145],tbl_task2[[SubPLOs]:[SubPLOs]],"&gt;=2",tbl_task2[[SubPLOs]:[SubPLOs]],"&lt;3")+SUMIFS(tbl_task3[S145],tbl_task3[[SubPLOs]:[SubPLOs]],"&gt;=2",tbl_task3[[SubPLOs]:[SubPLOs]],"&lt;3")+SUMIFS(tbl_task4[S145],tbl_task4[[SubPLOs]:[SubPLOs]],"&gt;=2",tbl_task4[[SubPLOs]:[SubPLOs]],"&lt;3")+SUMIFS(tbl_task5[S145],tbl_task5[[SubPLOs]:[SubPLOs]],"&gt;=2",tbl_task5[[SubPLOs]:[SubPLOs]],"&lt;3")+SUMIFS(tbl_task6[S145],tbl_task6[[SubPLOs]:[SubPLOs]],"&gt;=2",tbl_task6[[SubPLOs]:[SubPLOs]],"&lt;3")+SUMIFS(tbl_task7[S145],tbl_task7[[SubPLOs]:[SubPLOs]],"&gt;=2",tbl_task7[[SubPLOs]:[SubPLOs]],"&lt;3")+SUMIFS(tbl_task8[S145],tbl_task8[[SubPLOs]:[SubPLOs]],"&gt;=2",tbl_task8[[SubPLOs]:[SubPLOs]],"&lt;3")+SUMIFS(tbl_task9[S145],tbl_task9[[SubPLOs]:[SubPLOs]],"&gt;=2",tbl_task9[[SubPLOs]:[SubPLOs]],"&lt;3")+SUMIFS(tbl_task10[S145],tbl_task10[[SubPLOs]:[SubPLOs]],"&gt;=2",tbl_task10[[SubPLOs]:[SubPLOs]],"&lt;3")</f>
        <v>0</v>
      </c>
      <c r="EU181" s="41">
        <f>SUMIFS(tbl_task1[S146],tbl_task1[[SubPLOs]:[SubPLOs]],"&gt;=2",tbl_task1[[SubPLOs]:[SubPLOs]],"&lt;3")+SUMIFS(tbl_task2[S146],tbl_task2[[SubPLOs]:[SubPLOs]],"&gt;=2",tbl_task2[[SubPLOs]:[SubPLOs]],"&lt;3")+SUMIFS(tbl_task3[S146],tbl_task3[[SubPLOs]:[SubPLOs]],"&gt;=2",tbl_task3[[SubPLOs]:[SubPLOs]],"&lt;3")+SUMIFS(tbl_task4[S146],tbl_task4[[SubPLOs]:[SubPLOs]],"&gt;=2",tbl_task4[[SubPLOs]:[SubPLOs]],"&lt;3")+SUMIFS(tbl_task5[S146],tbl_task5[[SubPLOs]:[SubPLOs]],"&gt;=2",tbl_task5[[SubPLOs]:[SubPLOs]],"&lt;3")+SUMIFS(tbl_task6[S146],tbl_task6[[SubPLOs]:[SubPLOs]],"&gt;=2",tbl_task6[[SubPLOs]:[SubPLOs]],"&lt;3")+SUMIFS(tbl_task7[S146],tbl_task7[[SubPLOs]:[SubPLOs]],"&gt;=2",tbl_task7[[SubPLOs]:[SubPLOs]],"&lt;3")+SUMIFS(tbl_task8[S146],tbl_task8[[SubPLOs]:[SubPLOs]],"&gt;=2",tbl_task8[[SubPLOs]:[SubPLOs]],"&lt;3")+SUMIFS(tbl_task9[S146],tbl_task9[[SubPLOs]:[SubPLOs]],"&gt;=2",tbl_task9[[SubPLOs]:[SubPLOs]],"&lt;3")+SUMIFS(tbl_task10[S146],tbl_task10[[SubPLOs]:[SubPLOs]],"&gt;=2",tbl_task10[[SubPLOs]:[SubPLOs]],"&lt;3")</f>
        <v>0</v>
      </c>
      <c r="EV181" s="41">
        <f>SUMIFS(tbl_task1[S147],tbl_task1[[SubPLOs]:[SubPLOs]],"&gt;=2",tbl_task1[[SubPLOs]:[SubPLOs]],"&lt;3")+SUMIFS(tbl_task2[S147],tbl_task2[[SubPLOs]:[SubPLOs]],"&gt;=2",tbl_task2[[SubPLOs]:[SubPLOs]],"&lt;3")+SUMIFS(tbl_task3[S147],tbl_task3[[SubPLOs]:[SubPLOs]],"&gt;=2",tbl_task3[[SubPLOs]:[SubPLOs]],"&lt;3")+SUMIFS(tbl_task4[S147],tbl_task4[[SubPLOs]:[SubPLOs]],"&gt;=2",tbl_task4[[SubPLOs]:[SubPLOs]],"&lt;3")+SUMIFS(tbl_task5[S147],tbl_task5[[SubPLOs]:[SubPLOs]],"&gt;=2",tbl_task5[[SubPLOs]:[SubPLOs]],"&lt;3")+SUMIFS(tbl_task6[S147],tbl_task6[[SubPLOs]:[SubPLOs]],"&gt;=2",tbl_task6[[SubPLOs]:[SubPLOs]],"&lt;3")+SUMIFS(tbl_task7[S147],tbl_task7[[SubPLOs]:[SubPLOs]],"&gt;=2",tbl_task7[[SubPLOs]:[SubPLOs]],"&lt;3")+SUMIFS(tbl_task8[S147],tbl_task8[[SubPLOs]:[SubPLOs]],"&gt;=2",tbl_task8[[SubPLOs]:[SubPLOs]],"&lt;3")+SUMIFS(tbl_task9[S147],tbl_task9[[SubPLOs]:[SubPLOs]],"&gt;=2",tbl_task9[[SubPLOs]:[SubPLOs]],"&lt;3")+SUMIFS(tbl_task10[S147],tbl_task10[[SubPLOs]:[SubPLOs]],"&gt;=2",tbl_task10[[SubPLOs]:[SubPLOs]],"&lt;3")</f>
        <v>0</v>
      </c>
      <c r="EW181" s="41">
        <f>SUMIFS(tbl_task1[S148],tbl_task1[[SubPLOs]:[SubPLOs]],"&gt;=2",tbl_task1[[SubPLOs]:[SubPLOs]],"&lt;3")+SUMIFS(tbl_task2[S148],tbl_task2[[SubPLOs]:[SubPLOs]],"&gt;=2",tbl_task2[[SubPLOs]:[SubPLOs]],"&lt;3")+SUMIFS(tbl_task3[S148],tbl_task3[[SubPLOs]:[SubPLOs]],"&gt;=2",tbl_task3[[SubPLOs]:[SubPLOs]],"&lt;3")+SUMIFS(tbl_task4[S148],tbl_task4[[SubPLOs]:[SubPLOs]],"&gt;=2",tbl_task4[[SubPLOs]:[SubPLOs]],"&lt;3")+SUMIFS(tbl_task5[S148],tbl_task5[[SubPLOs]:[SubPLOs]],"&gt;=2",tbl_task5[[SubPLOs]:[SubPLOs]],"&lt;3")+SUMIFS(tbl_task6[S148],tbl_task6[[SubPLOs]:[SubPLOs]],"&gt;=2",tbl_task6[[SubPLOs]:[SubPLOs]],"&lt;3")+SUMIFS(tbl_task7[S148],tbl_task7[[SubPLOs]:[SubPLOs]],"&gt;=2",tbl_task7[[SubPLOs]:[SubPLOs]],"&lt;3")+SUMIFS(tbl_task8[S148],tbl_task8[[SubPLOs]:[SubPLOs]],"&gt;=2",tbl_task8[[SubPLOs]:[SubPLOs]],"&lt;3")+SUMIFS(tbl_task9[S148],tbl_task9[[SubPLOs]:[SubPLOs]],"&gt;=2",tbl_task9[[SubPLOs]:[SubPLOs]],"&lt;3")+SUMIFS(tbl_task10[S148],tbl_task10[[SubPLOs]:[SubPLOs]],"&gt;=2",tbl_task10[[SubPLOs]:[SubPLOs]],"&lt;3")</f>
        <v>0</v>
      </c>
      <c r="EX181" s="41">
        <f>SUMIFS(tbl_task1[S149],tbl_task1[[SubPLOs]:[SubPLOs]],"&gt;=2",tbl_task1[[SubPLOs]:[SubPLOs]],"&lt;3")+SUMIFS(tbl_task2[S149],tbl_task2[[SubPLOs]:[SubPLOs]],"&gt;=2",tbl_task2[[SubPLOs]:[SubPLOs]],"&lt;3")+SUMIFS(tbl_task3[S149],tbl_task3[[SubPLOs]:[SubPLOs]],"&gt;=2",tbl_task3[[SubPLOs]:[SubPLOs]],"&lt;3")+SUMIFS(tbl_task4[S149],tbl_task4[[SubPLOs]:[SubPLOs]],"&gt;=2",tbl_task4[[SubPLOs]:[SubPLOs]],"&lt;3")+SUMIFS(tbl_task5[S149],tbl_task5[[SubPLOs]:[SubPLOs]],"&gt;=2",tbl_task5[[SubPLOs]:[SubPLOs]],"&lt;3")+SUMIFS(tbl_task6[S149],tbl_task6[[SubPLOs]:[SubPLOs]],"&gt;=2",tbl_task6[[SubPLOs]:[SubPLOs]],"&lt;3")+SUMIFS(tbl_task7[S149],tbl_task7[[SubPLOs]:[SubPLOs]],"&gt;=2",tbl_task7[[SubPLOs]:[SubPLOs]],"&lt;3")+SUMIFS(tbl_task8[S149],tbl_task8[[SubPLOs]:[SubPLOs]],"&gt;=2",tbl_task8[[SubPLOs]:[SubPLOs]],"&lt;3")+SUMIFS(tbl_task9[S149],tbl_task9[[SubPLOs]:[SubPLOs]],"&gt;=2",tbl_task9[[SubPLOs]:[SubPLOs]],"&lt;3")+SUMIFS(tbl_task10[S149],tbl_task10[[SubPLOs]:[SubPLOs]],"&gt;=2",tbl_task10[[SubPLOs]:[SubPLOs]],"&lt;3")</f>
        <v>0</v>
      </c>
      <c r="EY181" s="41">
        <f>SUMIFS(tbl_task1[S150],tbl_task1[[SubPLOs]:[SubPLOs]],"&gt;=2",tbl_task1[[SubPLOs]:[SubPLOs]],"&lt;3")+SUMIFS(tbl_task2[S150],tbl_task2[[SubPLOs]:[SubPLOs]],"&gt;=2",tbl_task2[[SubPLOs]:[SubPLOs]],"&lt;3")+SUMIFS(tbl_task3[S150],tbl_task3[[SubPLOs]:[SubPLOs]],"&gt;=2",tbl_task3[[SubPLOs]:[SubPLOs]],"&lt;3")+SUMIFS(tbl_task4[S150],tbl_task4[[SubPLOs]:[SubPLOs]],"&gt;=2",tbl_task4[[SubPLOs]:[SubPLOs]],"&lt;3")+SUMIFS(tbl_task5[S150],tbl_task5[[SubPLOs]:[SubPLOs]],"&gt;=2",tbl_task5[[SubPLOs]:[SubPLOs]],"&lt;3")+SUMIFS(tbl_task6[S150],tbl_task6[[SubPLOs]:[SubPLOs]],"&gt;=2",tbl_task6[[SubPLOs]:[SubPLOs]],"&lt;3")+SUMIFS(tbl_task7[S150],tbl_task7[[SubPLOs]:[SubPLOs]],"&gt;=2",tbl_task7[[SubPLOs]:[SubPLOs]],"&lt;3")+SUMIFS(tbl_task8[S150],tbl_task8[[SubPLOs]:[SubPLOs]],"&gt;=2",tbl_task8[[SubPLOs]:[SubPLOs]],"&lt;3")+SUMIFS(tbl_task9[S150],tbl_task9[[SubPLOs]:[SubPLOs]],"&gt;=2",tbl_task9[[SubPLOs]:[SubPLOs]],"&lt;3")+SUMIFS(tbl_task10[S150],tbl_task10[[SubPLOs]:[SubPLOs]],"&gt;=2",tbl_task10[[SubPLOs]:[SubPLOs]],"&lt;3")</f>
        <v>0</v>
      </c>
      <c r="EZ181" s="41">
        <f>SUMIFS(tbl_task1[S151],tbl_task1[[SubPLOs]:[SubPLOs]],"&gt;=2",tbl_task1[[SubPLOs]:[SubPLOs]],"&lt;3")+SUMIFS(tbl_task2[S151],tbl_task2[[SubPLOs]:[SubPLOs]],"&gt;=2",tbl_task2[[SubPLOs]:[SubPLOs]],"&lt;3")+SUMIFS(tbl_task3[S151],tbl_task3[[SubPLOs]:[SubPLOs]],"&gt;=2",tbl_task3[[SubPLOs]:[SubPLOs]],"&lt;3")+SUMIFS(tbl_task4[S151],tbl_task4[[SubPLOs]:[SubPLOs]],"&gt;=2",tbl_task4[[SubPLOs]:[SubPLOs]],"&lt;3")+SUMIFS(tbl_task5[S151],tbl_task5[[SubPLOs]:[SubPLOs]],"&gt;=2",tbl_task5[[SubPLOs]:[SubPLOs]],"&lt;3")+SUMIFS(tbl_task6[S151],tbl_task6[[SubPLOs]:[SubPLOs]],"&gt;=2",tbl_task6[[SubPLOs]:[SubPLOs]],"&lt;3")+SUMIFS(tbl_task7[S151],tbl_task7[[SubPLOs]:[SubPLOs]],"&gt;=2",tbl_task7[[SubPLOs]:[SubPLOs]],"&lt;3")+SUMIFS(tbl_task8[S151],tbl_task8[[SubPLOs]:[SubPLOs]],"&gt;=2",tbl_task8[[SubPLOs]:[SubPLOs]],"&lt;3")+SUMIFS(tbl_task9[S151],tbl_task9[[SubPLOs]:[SubPLOs]],"&gt;=2",tbl_task9[[SubPLOs]:[SubPLOs]],"&lt;3")+SUMIFS(tbl_task10[S151],tbl_task10[[SubPLOs]:[SubPLOs]],"&gt;=2",tbl_task10[[SubPLOs]:[SubPLOs]],"&lt;3")</f>
        <v>0</v>
      </c>
      <c r="FA181" s="41">
        <f>SUMIFS(tbl_task1[S152],tbl_task1[[SubPLOs]:[SubPLOs]],"&gt;=2",tbl_task1[[SubPLOs]:[SubPLOs]],"&lt;3")+SUMIFS(tbl_task2[S152],tbl_task2[[SubPLOs]:[SubPLOs]],"&gt;=2",tbl_task2[[SubPLOs]:[SubPLOs]],"&lt;3")+SUMIFS(tbl_task3[S152],tbl_task3[[SubPLOs]:[SubPLOs]],"&gt;=2",tbl_task3[[SubPLOs]:[SubPLOs]],"&lt;3")+SUMIFS(tbl_task4[S152],tbl_task4[[SubPLOs]:[SubPLOs]],"&gt;=2",tbl_task4[[SubPLOs]:[SubPLOs]],"&lt;3")+SUMIFS(tbl_task5[S152],tbl_task5[[SubPLOs]:[SubPLOs]],"&gt;=2",tbl_task5[[SubPLOs]:[SubPLOs]],"&lt;3")+SUMIFS(tbl_task6[S152],tbl_task6[[SubPLOs]:[SubPLOs]],"&gt;=2",tbl_task6[[SubPLOs]:[SubPLOs]],"&lt;3")+SUMIFS(tbl_task7[S152],tbl_task7[[SubPLOs]:[SubPLOs]],"&gt;=2",tbl_task7[[SubPLOs]:[SubPLOs]],"&lt;3")+SUMIFS(tbl_task8[S152],tbl_task8[[SubPLOs]:[SubPLOs]],"&gt;=2",tbl_task8[[SubPLOs]:[SubPLOs]],"&lt;3")+SUMIFS(tbl_task9[S152],tbl_task9[[SubPLOs]:[SubPLOs]],"&gt;=2",tbl_task9[[SubPLOs]:[SubPLOs]],"&lt;3")+SUMIFS(tbl_task10[S152],tbl_task10[[SubPLOs]:[SubPLOs]],"&gt;=2",tbl_task10[[SubPLOs]:[SubPLOs]],"&lt;3")</f>
        <v>0</v>
      </c>
      <c r="FB181" s="41">
        <f>SUMIFS(tbl_task1[S153],tbl_task1[[SubPLOs]:[SubPLOs]],"&gt;=2",tbl_task1[[SubPLOs]:[SubPLOs]],"&lt;3")+SUMIFS(tbl_task2[S153],tbl_task2[[SubPLOs]:[SubPLOs]],"&gt;=2",tbl_task2[[SubPLOs]:[SubPLOs]],"&lt;3")+SUMIFS(tbl_task3[S153],tbl_task3[[SubPLOs]:[SubPLOs]],"&gt;=2",tbl_task3[[SubPLOs]:[SubPLOs]],"&lt;3")+SUMIFS(tbl_task4[S153],tbl_task4[[SubPLOs]:[SubPLOs]],"&gt;=2",tbl_task4[[SubPLOs]:[SubPLOs]],"&lt;3")+SUMIFS(tbl_task5[S153],tbl_task5[[SubPLOs]:[SubPLOs]],"&gt;=2",tbl_task5[[SubPLOs]:[SubPLOs]],"&lt;3")+SUMIFS(tbl_task6[S153],tbl_task6[[SubPLOs]:[SubPLOs]],"&gt;=2",tbl_task6[[SubPLOs]:[SubPLOs]],"&lt;3")+SUMIFS(tbl_task7[S153],tbl_task7[[SubPLOs]:[SubPLOs]],"&gt;=2",tbl_task7[[SubPLOs]:[SubPLOs]],"&lt;3")+SUMIFS(tbl_task8[S153],tbl_task8[[SubPLOs]:[SubPLOs]],"&gt;=2",tbl_task8[[SubPLOs]:[SubPLOs]],"&lt;3")+SUMIFS(tbl_task9[S153],tbl_task9[[SubPLOs]:[SubPLOs]],"&gt;=2",tbl_task9[[SubPLOs]:[SubPLOs]],"&lt;3")+SUMIFS(tbl_task10[S153],tbl_task10[[SubPLOs]:[SubPLOs]],"&gt;=2",tbl_task10[[SubPLOs]:[SubPLOs]],"&lt;3")</f>
        <v>0</v>
      </c>
      <c r="FC181" s="41">
        <f>SUMIFS(tbl_task1[S154],tbl_task1[[SubPLOs]:[SubPLOs]],"&gt;=2",tbl_task1[[SubPLOs]:[SubPLOs]],"&lt;3")+SUMIFS(tbl_task2[S154],tbl_task2[[SubPLOs]:[SubPLOs]],"&gt;=2",tbl_task2[[SubPLOs]:[SubPLOs]],"&lt;3")+SUMIFS(tbl_task3[S154],tbl_task3[[SubPLOs]:[SubPLOs]],"&gt;=2",tbl_task3[[SubPLOs]:[SubPLOs]],"&lt;3")+SUMIFS(tbl_task4[S154],tbl_task4[[SubPLOs]:[SubPLOs]],"&gt;=2",tbl_task4[[SubPLOs]:[SubPLOs]],"&lt;3")+SUMIFS(tbl_task5[S154],tbl_task5[[SubPLOs]:[SubPLOs]],"&gt;=2",tbl_task5[[SubPLOs]:[SubPLOs]],"&lt;3")+SUMIFS(tbl_task6[S154],tbl_task6[[SubPLOs]:[SubPLOs]],"&gt;=2",tbl_task6[[SubPLOs]:[SubPLOs]],"&lt;3")+SUMIFS(tbl_task7[S154],tbl_task7[[SubPLOs]:[SubPLOs]],"&gt;=2",tbl_task7[[SubPLOs]:[SubPLOs]],"&lt;3")+SUMIFS(tbl_task8[S154],tbl_task8[[SubPLOs]:[SubPLOs]],"&gt;=2",tbl_task8[[SubPLOs]:[SubPLOs]],"&lt;3")+SUMIFS(tbl_task9[S154],tbl_task9[[SubPLOs]:[SubPLOs]],"&gt;=2",tbl_task9[[SubPLOs]:[SubPLOs]],"&lt;3")+SUMIFS(tbl_task10[S154],tbl_task10[[SubPLOs]:[SubPLOs]],"&gt;=2",tbl_task10[[SubPLOs]:[SubPLOs]],"&lt;3")</f>
        <v>0</v>
      </c>
      <c r="FD181" s="41">
        <f>SUMIFS(tbl_task1[S155],tbl_task1[[SubPLOs]:[SubPLOs]],"&gt;=2",tbl_task1[[SubPLOs]:[SubPLOs]],"&lt;3")+SUMIFS(tbl_task2[S155],tbl_task2[[SubPLOs]:[SubPLOs]],"&gt;=2",tbl_task2[[SubPLOs]:[SubPLOs]],"&lt;3")+SUMIFS(tbl_task3[S155],tbl_task3[[SubPLOs]:[SubPLOs]],"&gt;=2",tbl_task3[[SubPLOs]:[SubPLOs]],"&lt;3")+SUMIFS(tbl_task4[S155],tbl_task4[[SubPLOs]:[SubPLOs]],"&gt;=2",tbl_task4[[SubPLOs]:[SubPLOs]],"&lt;3")+SUMIFS(tbl_task5[S155],tbl_task5[[SubPLOs]:[SubPLOs]],"&gt;=2",tbl_task5[[SubPLOs]:[SubPLOs]],"&lt;3")+SUMIFS(tbl_task6[S155],tbl_task6[[SubPLOs]:[SubPLOs]],"&gt;=2",tbl_task6[[SubPLOs]:[SubPLOs]],"&lt;3")+SUMIFS(tbl_task7[S155],tbl_task7[[SubPLOs]:[SubPLOs]],"&gt;=2",tbl_task7[[SubPLOs]:[SubPLOs]],"&lt;3")+SUMIFS(tbl_task8[S155],tbl_task8[[SubPLOs]:[SubPLOs]],"&gt;=2",tbl_task8[[SubPLOs]:[SubPLOs]],"&lt;3")+SUMIFS(tbl_task9[S155],tbl_task9[[SubPLOs]:[SubPLOs]],"&gt;=2",tbl_task9[[SubPLOs]:[SubPLOs]],"&lt;3")+SUMIFS(tbl_task10[S155],tbl_task10[[SubPLOs]:[SubPLOs]],"&gt;=2",tbl_task10[[SubPLOs]:[SubPLOs]],"&lt;3")</f>
        <v>0</v>
      </c>
      <c r="FE181" s="41">
        <f>SUMIFS(tbl_task1[S156],tbl_task1[[SubPLOs]:[SubPLOs]],"&gt;=2",tbl_task1[[SubPLOs]:[SubPLOs]],"&lt;3")+SUMIFS(tbl_task2[S156],tbl_task2[[SubPLOs]:[SubPLOs]],"&gt;=2",tbl_task2[[SubPLOs]:[SubPLOs]],"&lt;3")+SUMIFS(tbl_task3[S156],tbl_task3[[SubPLOs]:[SubPLOs]],"&gt;=2",tbl_task3[[SubPLOs]:[SubPLOs]],"&lt;3")+SUMIFS(tbl_task4[S156],tbl_task4[[SubPLOs]:[SubPLOs]],"&gt;=2",tbl_task4[[SubPLOs]:[SubPLOs]],"&lt;3")+SUMIFS(tbl_task5[S156],tbl_task5[[SubPLOs]:[SubPLOs]],"&gt;=2",tbl_task5[[SubPLOs]:[SubPLOs]],"&lt;3")+SUMIFS(tbl_task6[S156],tbl_task6[[SubPLOs]:[SubPLOs]],"&gt;=2",tbl_task6[[SubPLOs]:[SubPLOs]],"&lt;3")+SUMIFS(tbl_task7[S156],tbl_task7[[SubPLOs]:[SubPLOs]],"&gt;=2",tbl_task7[[SubPLOs]:[SubPLOs]],"&lt;3")+SUMIFS(tbl_task8[S156],tbl_task8[[SubPLOs]:[SubPLOs]],"&gt;=2",tbl_task8[[SubPLOs]:[SubPLOs]],"&lt;3")+SUMIFS(tbl_task9[S156],tbl_task9[[SubPLOs]:[SubPLOs]],"&gt;=2",tbl_task9[[SubPLOs]:[SubPLOs]],"&lt;3")+SUMIFS(tbl_task10[S156],tbl_task10[[SubPLOs]:[SubPLOs]],"&gt;=2",tbl_task10[[SubPLOs]:[SubPLOs]],"&lt;3")</f>
        <v>0</v>
      </c>
      <c r="FF181" s="41">
        <f>SUMIFS(tbl_task1[S157],tbl_task1[[SubPLOs]:[SubPLOs]],"&gt;=2",tbl_task1[[SubPLOs]:[SubPLOs]],"&lt;3")+SUMIFS(tbl_task2[S157],tbl_task2[[SubPLOs]:[SubPLOs]],"&gt;=2",tbl_task2[[SubPLOs]:[SubPLOs]],"&lt;3")+SUMIFS(tbl_task3[S157],tbl_task3[[SubPLOs]:[SubPLOs]],"&gt;=2",tbl_task3[[SubPLOs]:[SubPLOs]],"&lt;3")+SUMIFS(tbl_task4[S157],tbl_task4[[SubPLOs]:[SubPLOs]],"&gt;=2",tbl_task4[[SubPLOs]:[SubPLOs]],"&lt;3")+SUMIFS(tbl_task5[S157],tbl_task5[[SubPLOs]:[SubPLOs]],"&gt;=2",tbl_task5[[SubPLOs]:[SubPLOs]],"&lt;3")+SUMIFS(tbl_task6[S157],tbl_task6[[SubPLOs]:[SubPLOs]],"&gt;=2",tbl_task6[[SubPLOs]:[SubPLOs]],"&lt;3")+SUMIFS(tbl_task7[S157],tbl_task7[[SubPLOs]:[SubPLOs]],"&gt;=2",tbl_task7[[SubPLOs]:[SubPLOs]],"&lt;3")+SUMIFS(tbl_task8[S157],tbl_task8[[SubPLOs]:[SubPLOs]],"&gt;=2",tbl_task8[[SubPLOs]:[SubPLOs]],"&lt;3")+SUMIFS(tbl_task9[S157],tbl_task9[[SubPLOs]:[SubPLOs]],"&gt;=2",tbl_task9[[SubPLOs]:[SubPLOs]],"&lt;3")+SUMIFS(tbl_task10[S157],tbl_task10[[SubPLOs]:[SubPLOs]],"&gt;=2",tbl_task10[[SubPLOs]:[SubPLOs]],"&lt;3")</f>
        <v>0</v>
      </c>
      <c r="FG181" s="41">
        <f>SUMIFS(tbl_task1[S158],tbl_task1[[SubPLOs]:[SubPLOs]],"&gt;=2",tbl_task1[[SubPLOs]:[SubPLOs]],"&lt;3")+SUMIFS(tbl_task2[S158],tbl_task2[[SubPLOs]:[SubPLOs]],"&gt;=2",tbl_task2[[SubPLOs]:[SubPLOs]],"&lt;3")+SUMIFS(tbl_task3[S158],tbl_task3[[SubPLOs]:[SubPLOs]],"&gt;=2",tbl_task3[[SubPLOs]:[SubPLOs]],"&lt;3")+SUMIFS(tbl_task4[S158],tbl_task4[[SubPLOs]:[SubPLOs]],"&gt;=2",tbl_task4[[SubPLOs]:[SubPLOs]],"&lt;3")+SUMIFS(tbl_task5[S158],tbl_task5[[SubPLOs]:[SubPLOs]],"&gt;=2",tbl_task5[[SubPLOs]:[SubPLOs]],"&lt;3")+SUMIFS(tbl_task6[S158],tbl_task6[[SubPLOs]:[SubPLOs]],"&gt;=2",tbl_task6[[SubPLOs]:[SubPLOs]],"&lt;3")+SUMIFS(tbl_task7[S158],tbl_task7[[SubPLOs]:[SubPLOs]],"&gt;=2",tbl_task7[[SubPLOs]:[SubPLOs]],"&lt;3")+SUMIFS(tbl_task8[S158],tbl_task8[[SubPLOs]:[SubPLOs]],"&gt;=2",tbl_task8[[SubPLOs]:[SubPLOs]],"&lt;3")+SUMIFS(tbl_task9[S158],tbl_task9[[SubPLOs]:[SubPLOs]],"&gt;=2",tbl_task9[[SubPLOs]:[SubPLOs]],"&lt;3")+SUMIFS(tbl_task10[S158],tbl_task10[[SubPLOs]:[SubPLOs]],"&gt;=2",tbl_task10[[SubPLOs]:[SubPLOs]],"&lt;3")</f>
        <v>0</v>
      </c>
      <c r="FH181" s="41">
        <f>SUMIFS(tbl_task1[S159],tbl_task1[[SubPLOs]:[SubPLOs]],"&gt;=2",tbl_task1[[SubPLOs]:[SubPLOs]],"&lt;3")+SUMIFS(tbl_task2[S159],tbl_task2[[SubPLOs]:[SubPLOs]],"&gt;=2",tbl_task2[[SubPLOs]:[SubPLOs]],"&lt;3")+SUMIFS(tbl_task3[S159],tbl_task3[[SubPLOs]:[SubPLOs]],"&gt;=2",tbl_task3[[SubPLOs]:[SubPLOs]],"&lt;3")+SUMIFS(tbl_task4[S159],tbl_task4[[SubPLOs]:[SubPLOs]],"&gt;=2",tbl_task4[[SubPLOs]:[SubPLOs]],"&lt;3")+SUMIFS(tbl_task5[S159],tbl_task5[[SubPLOs]:[SubPLOs]],"&gt;=2",tbl_task5[[SubPLOs]:[SubPLOs]],"&lt;3")+SUMIFS(tbl_task6[S159],tbl_task6[[SubPLOs]:[SubPLOs]],"&gt;=2",tbl_task6[[SubPLOs]:[SubPLOs]],"&lt;3")+SUMIFS(tbl_task7[S159],tbl_task7[[SubPLOs]:[SubPLOs]],"&gt;=2",tbl_task7[[SubPLOs]:[SubPLOs]],"&lt;3")+SUMIFS(tbl_task8[S159],tbl_task8[[SubPLOs]:[SubPLOs]],"&gt;=2",tbl_task8[[SubPLOs]:[SubPLOs]],"&lt;3")+SUMIFS(tbl_task9[S159],tbl_task9[[SubPLOs]:[SubPLOs]],"&gt;=2",tbl_task9[[SubPLOs]:[SubPLOs]],"&lt;3")+SUMIFS(tbl_task10[S159],tbl_task10[[SubPLOs]:[SubPLOs]],"&gt;=2",tbl_task10[[SubPLOs]:[SubPLOs]],"&lt;3")</f>
        <v>0</v>
      </c>
      <c r="FI181" s="41">
        <f>SUMIFS(tbl_task1[S160],tbl_task1[[SubPLOs]:[SubPLOs]],"&gt;=2",tbl_task1[[SubPLOs]:[SubPLOs]],"&lt;3")+SUMIFS(tbl_task2[S160],tbl_task2[[SubPLOs]:[SubPLOs]],"&gt;=2",tbl_task2[[SubPLOs]:[SubPLOs]],"&lt;3")+SUMIFS(tbl_task3[S160],tbl_task3[[SubPLOs]:[SubPLOs]],"&gt;=2",tbl_task3[[SubPLOs]:[SubPLOs]],"&lt;3")+SUMIFS(tbl_task4[S160],tbl_task4[[SubPLOs]:[SubPLOs]],"&gt;=2",tbl_task4[[SubPLOs]:[SubPLOs]],"&lt;3")+SUMIFS(tbl_task5[S160],tbl_task5[[SubPLOs]:[SubPLOs]],"&gt;=2",tbl_task5[[SubPLOs]:[SubPLOs]],"&lt;3")+SUMIFS(tbl_task6[S160],tbl_task6[[SubPLOs]:[SubPLOs]],"&gt;=2",tbl_task6[[SubPLOs]:[SubPLOs]],"&lt;3")+SUMIFS(tbl_task7[S160],tbl_task7[[SubPLOs]:[SubPLOs]],"&gt;=2",tbl_task7[[SubPLOs]:[SubPLOs]],"&lt;3")+SUMIFS(tbl_task8[S160],tbl_task8[[SubPLOs]:[SubPLOs]],"&gt;=2",tbl_task8[[SubPLOs]:[SubPLOs]],"&lt;3")+SUMIFS(tbl_task9[S160],tbl_task9[[SubPLOs]:[SubPLOs]],"&gt;=2",tbl_task9[[SubPLOs]:[SubPLOs]],"&lt;3")+SUMIFS(tbl_task10[S160],tbl_task10[[SubPLOs]:[SubPLOs]],"&gt;=2",tbl_task10[[SubPLOs]:[SubPLOs]],"&lt;3")</f>
        <v>0</v>
      </c>
      <c r="FJ181" s="41">
        <f>SUMIFS(tbl_task1[S161],tbl_task1[[SubPLOs]:[SubPLOs]],"&gt;=2",tbl_task1[[SubPLOs]:[SubPLOs]],"&lt;3")+SUMIFS(tbl_task2[S161],tbl_task2[[SubPLOs]:[SubPLOs]],"&gt;=2",tbl_task2[[SubPLOs]:[SubPLOs]],"&lt;3")+SUMIFS(tbl_task3[S161],tbl_task3[[SubPLOs]:[SubPLOs]],"&gt;=2",tbl_task3[[SubPLOs]:[SubPLOs]],"&lt;3")+SUMIFS(tbl_task4[S161],tbl_task4[[SubPLOs]:[SubPLOs]],"&gt;=2",tbl_task4[[SubPLOs]:[SubPLOs]],"&lt;3")+SUMIFS(tbl_task5[S161],tbl_task5[[SubPLOs]:[SubPLOs]],"&gt;=2",tbl_task5[[SubPLOs]:[SubPLOs]],"&lt;3")+SUMIFS(tbl_task6[S161],tbl_task6[[SubPLOs]:[SubPLOs]],"&gt;=2",tbl_task6[[SubPLOs]:[SubPLOs]],"&lt;3")+SUMIFS(tbl_task7[S161],tbl_task7[[SubPLOs]:[SubPLOs]],"&gt;=2",tbl_task7[[SubPLOs]:[SubPLOs]],"&lt;3")+SUMIFS(tbl_task8[S161],tbl_task8[[SubPLOs]:[SubPLOs]],"&gt;=2",tbl_task8[[SubPLOs]:[SubPLOs]],"&lt;3")+SUMIFS(tbl_task9[S161],tbl_task9[[SubPLOs]:[SubPLOs]],"&gt;=2",tbl_task9[[SubPLOs]:[SubPLOs]],"&lt;3")+SUMIFS(tbl_task10[S161],tbl_task10[[SubPLOs]:[SubPLOs]],"&gt;=2",tbl_task10[[SubPLOs]:[SubPLOs]],"&lt;3")</f>
        <v>0</v>
      </c>
      <c r="FK181" s="41">
        <f>SUMIFS(tbl_task1[S162],tbl_task1[[SubPLOs]:[SubPLOs]],"&gt;=2",tbl_task1[[SubPLOs]:[SubPLOs]],"&lt;3")+SUMIFS(tbl_task2[S162],tbl_task2[[SubPLOs]:[SubPLOs]],"&gt;=2",tbl_task2[[SubPLOs]:[SubPLOs]],"&lt;3")+SUMIFS(tbl_task3[S162],tbl_task3[[SubPLOs]:[SubPLOs]],"&gt;=2",tbl_task3[[SubPLOs]:[SubPLOs]],"&lt;3")+SUMIFS(tbl_task4[S162],tbl_task4[[SubPLOs]:[SubPLOs]],"&gt;=2",tbl_task4[[SubPLOs]:[SubPLOs]],"&lt;3")+SUMIFS(tbl_task5[S162],tbl_task5[[SubPLOs]:[SubPLOs]],"&gt;=2",tbl_task5[[SubPLOs]:[SubPLOs]],"&lt;3")+SUMIFS(tbl_task6[S162],tbl_task6[[SubPLOs]:[SubPLOs]],"&gt;=2",tbl_task6[[SubPLOs]:[SubPLOs]],"&lt;3")+SUMIFS(tbl_task7[S162],tbl_task7[[SubPLOs]:[SubPLOs]],"&gt;=2",tbl_task7[[SubPLOs]:[SubPLOs]],"&lt;3")+SUMIFS(tbl_task8[S162],tbl_task8[[SubPLOs]:[SubPLOs]],"&gt;=2",tbl_task8[[SubPLOs]:[SubPLOs]],"&lt;3")+SUMIFS(tbl_task9[S162],tbl_task9[[SubPLOs]:[SubPLOs]],"&gt;=2",tbl_task9[[SubPLOs]:[SubPLOs]],"&lt;3")+SUMIFS(tbl_task10[S162],tbl_task10[[SubPLOs]:[SubPLOs]],"&gt;=2",tbl_task10[[SubPLOs]:[SubPLOs]],"&lt;3")</f>
        <v>0</v>
      </c>
      <c r="FL181" s="41">
        <f>SUMIFS(tbl_task1[S163],tbl_task1[[SubPLOs]:[SubPLOs]],"&gt;=2",tbl_task1[[SubPLOs]:[SubPLOs]],"&lt;3")+SUMIFS(tbl_task2[S163],tbl_task2[[SubPLOs]:[SubPLOs]],"&gt;=2",tbl_task2[[SubPLOs]:[SubPLOs]],"&lt;3")+SUMIFS(tbl_task3[S163],tbl_task3[[SubPLOs]:[SubPLOs]],"&gt;=2",tbl_task3[[SubPLOs]:[SubPLOs]],"&lt;3")+SUMIFS(tbl_task4[S163],tbl_task4[[SubPLOs]:[SubPLOs]],"&gt;=2",tbl_task4[[SubPLOs]:[SubPLOs]],"&lt;3")+SUMIFS(tbl_task5[S163],tbl_task5[[SubPLOs]:[SubPLOs]],"&gt;=2",tbl_task5[[SubPLOs]:[SubPLOs]],"&lt;3")+SUMIFS(tbl_task6[S163],tbl_task6[[SubPLOs]:[SubPLOs]],"&gt;=2",tbl_task6[[SubPLOs]:[SubPLOs]],"&lt;3")+SUMIFS(tbl_task7[S163],tbl_task7[[SubPLOs]:[SubPLOs]],"&gt;=2",tbl_task7[[SubPLOs]:[SubPLOs]],"&lt;3")+SUMIFS(tbl_task8[S163],tbl_task8[[SubPLOs]:[SubPLOs]],"&gt;=2",tbl_task8[[SubPLOs]:[SubPLOs]],"&lt;3")+SUMIFS(tbl_task9[S163],tbl_task9[[SubPLOs]:[SubPLOs]],"&gt;=2",tbl_task9[[SubPLOs]:[SubPLOs]],"&lt;3")+SUMIFS(tbl_task10[S163],tbl_task10[[SubPLOs]:[SubPLOs]],"&gt;=2",tbl_task10[[SubPLOs]:[SubPLOs]],"&lt;3")</f>
        <v>0</v>
      </c>
      <c r="FM181" s="41">
        <f>SUMIFS(tbl_task1[S164],tbl_task1[[SubPLOs]:[SubPLOs]],"&gt;=2",tbl_task1[[SubPLOs]:[SubPLOs]],"&lt;3")+SUMIFS(tbl_task2[S164],tbl_task2[[SubPLOs]:[SubPLOs]],"&gt;=2",tbl_task2[[SubPLOs]:[SubPLOs]],"&lt;3")+SUMIFS(tbl_task3[S164],tbl_task3[[SubPLOs]:[SubPLOs]],"&gt;=2",tbl_task3[[SubPLOs]:[SubPLOs]],"&lt;3")+SUMIFS(tbl_task4[S164],tbl_task4[[SubPLOs]:[SubPLOs]],"&gt;=2",tbl_task4[[SubPLOs]:[SubPLOs]],"&lt;3")+SUMIFS(tbl_task5[S164],tbl_task5[[SubPLOs]:[SubPLOs]],"&gt;=2",tbl_task5[[SubPLOs]:[SubPLOs]],"&lt;3")+SUMIFS(tbl_task6[S164],tbl_task6[[SubPLOs]:[SubPLOs]],"&gt;=2",tbl_task6[[SubPLOs]:[SubPLOs]],"&lt;3")+SUMIFS(tbl_task7[S164],tbl_task7[[SubPLOs]:[SubPLOs]],"&gt;=2",tbl_task7[[SubPLOs]:[SubPLOs]],"&lt;3")+SUMIFS(tbl_task8[S164],tbl_task8[[SubPLOs]:[SubPLOs]],"&gt;=2",tbl_task8[[SubPLOs]:[SubPLOs]],"&lt;3")+SUMIFS(tbl_task9[S164],tbl_task9[[SubPLOs]:[SubPLOs]],"&gt;=2",tbl_task9[[SubPLOs]:[SubPLOs]],"&lt;3")+SUMIFS(tbl_task10[S164],tbl_task10[[SubPLOs]:[SubPLOs]],"&gt;=2",tbl_task10[[SubPLOs]:[SubPLOs]],"&lt;3")</f>
        <v>0</v>
      </c>
      <c r="FN181" s="41">
        <f>SUMIFS(tbl_task1[S165],tbl_task1[[SubPLOs]:[SubPLOs]],"&gt;=2",tbl_task1[[SubPLOs]:[SubPLOs]],"&lt;3")+SUMIFS(tbl_task2[S165],tbl_task2[[SubPLOs]:[SubPLOs]],"&gt;=2",tbl_task2[[SubPLOs]:[SubPLOs]],"&lt;3")+SUMIFS(tbl_task3[S165],tbl_task3[[SubPLOs]:[SubPLOs]],"&gt;=2",tbl_task3[[SubPLOs]:[SubPLOs]],"&lt;3")+SUMIFS(tbl_task4[S165],tbl_task4[[SubPLOs]:[SubPLOs]],"&gt;=2",tbl_task4[[SubPLOs]:[SubPLOs]],"&lt;3")+SUMIFS(tbl_task5[S165],tbl_task5[[SubPLOs]:[SubPLOs]],"&gt;=2",tbl_task5[[SubPLOs]:[SubPLOs]],"&lt;3")+SUMIFS(tbl_task6[S165],tbl_task6[[SubPLOs]:[SubPLOs]],"&gt;=2",tbl_task6[[SubPLOs]:[SubPLOs]],"&lt;3")+SUMIFS(tbl_task7[S165],tbl_task7[[SubPLOs]:[SubPLOs]],"&gt;=2",tbl_task7[[SubPLOs]:[SubPLOs]],"&lt;3")+SUMIFS(tbl_task8[S165],tbl_task8[[SubPLOs]:[SubPLOs]],"&gt;=2",tbl_task8[[SubPLOs]:[SubPLOs]],"&lt;3")+SUMIFS(tbl_task9[S165],tbl_task9[[SubPLOs]:[SubPLOs]],"&gt;=2",tbl_task9[[SubPLOs]:[SubPLOs]],"&lt;3")+SUMIFS(tbl_task10[S165],tbl_task10[[SubPLOs]:[SubPLOs]],"&gt;=2",tbl_task10[[SubPLOs]:[SubPLOs]],"&lt;3")</f>
        <v>0</v>
      </c>
    </row>
    <row r="182" spans="1:170" ht="106.8" customHeight="1" x14ac:dyDescent="0.25">
      <c r="A182" s="135">
        <v>3</v>
      </c>
      <c r="B182" s="5" t="s">
        <v>436</v>
      </c>
      <c r="C182" s="86">
        <f>COUNTIFS(tbl_task1[SubPLOs],"&gt;=3",tbl_task1[SubPLOs],"&lt;4")+COUNTIFS(tbl_task2[SubPLOs],"&gt;=3",tbl_task2[SubPLOs],"&lt;4")+COUNTIFS(tbl_task3[SubPLOs],"&gt;=3",tbl_task3[SubPLOs],"&lt;4")+COUNTIFS(tbl_task4[SubPLOs],"&gt;=3",tbl_task4[SubPLOs],"&lt;4")+COUNTIFS(tbl_task5[SubPLOs],"&gt;=3",tbl_task5[SubPLOs],"&lt;4")+COUNTIFS(tbl_task6[SubPLOs],"&gt;=3",tbl_task6[SubPLOs],"&lt;4")+COUNTIFS(tbl_task7[SubPLOs],"&gt;=3",tbl_task7[SubPLOs],"&lt;4")+COUNTIFS(tbl_task8[SubPLOs],"&gt;=3",tbl_task8[SubPLOs],"&lt;4")+COUNTIFS(tbl_task9[SubPLOs],"&gt;=3",tbl_task9[SubPLOs],"&lt;4")+COUNTIFS(tbl_task10[SubPLOs],"&gt;=3",tbl_task10[SubPLOs],"&lt;4")</f>
        <v>0</v>
      </c>
      <c r="D182" s="86">
        <f>SUMIFS(tbl_task1[คะแนนเต็ม],tbl_task1[SubPLOs],"&gt;=3",tbl_task1[SubPLOs],"&lt;4")+SUMIFS(tbl_task2[คะแนนเต็ม],tbl_task2[SubPLOs],"&gt;=3",tbl_task2[SubPLOs],"&lt;4")+SUMIFS(tbl_task3[คะแนนเต็ม],tbl_task3[SubPLOs],"&gt;=3",tbl_task3[SubPLOs],"&lt;4")+SUMIFS(tbl_task4[คะแนนเต็ม],tbl_task4[SubPLOs],"&gt;=3",tbl_task4[SubPLOs],"&lt;4")+SUMIFS(tbl_task5[คะแนนเต็ม],tbl_task5[SubPLOs],"&gt;=3",tbl_task5[SubPLOs],"&lt;4")+SUMIFS(tbl_task6[คะแนนเต็ม],tbl_task6[SubPLOs],"&gt;=3",tbl_task6[SubPLOs],"&lt;4")+SUMIFS(tbl_task7[คะแนนเต็ม],tbl_task7[SubPLOs],"&gt;=3",tbl_task7[SubPLOs],"&lt;4")+SUMIFS(tbl_task8[คะแนนเต็ม],tbl_task8[SubPLOs],"&gt;=3",tbl_task8[SubPLOs],"&lt;4")+SUMIFS(tbl_task9[คะแนนเต็ม],tbl_task9[SubPLOs],"&gt;=3",tbl_task9[SubPLOs],"&lt;4")+SUMIFS(tbl_task10[คะแนนเต็ม],tbl_task10[SubPLOs],"&gt;=3",tbl_task10[SubPLOs],"&lt;4")</f>
        <v>0</v>
      </c>
      <c r="E182" s="47">
        <f>SUMIFS(tbl_task1[%],tbl_task1[SubPLOs],"&gt;=3",tbl_task1[SubPLOs],"&lt;4")+SUMIFS(tbl_task2[%],tbl_task2[SubPLOs],"&gt;=3",tbl_task2[SubPLOs],"&lt;4")+SUMIFS(tbl_task3[%],tbl_task3[SubPLOs],"&gt;=3",tbl_task3[SubPLOs],"&lt;4")+SUMIFS(tbl_task4[%],tbl_task4[SubPLOs],"&gt;=3",tbl_task4[SubPLOs],"&lt;4")+SUMIFS(tbl_task5[%],tbl_task5[SubPLOs],"&gt;=3",tbl_task5[SubPLOs],"&lt;4")+SUMIFS(tbl_task6[%],tbl_task6[SubPLOs],"&gt;=3",tbl_task6[SubPLOs],"&lt;4")+SUMIFS(tbl_task7[%],tbl_task7[SubPLOs],"&gt;=3",tbl_task7[SubPLOs],"&lt;4")+SUMIFS(tbl_task8[%],tbl_task8[SubPLOs],"&gt;=3",tbl_task8[SubPLOs],"&lt;4")+SUMIFS(tbl_task9[%],tbl_task9[SubPLOs],"&gt;=3",tbl_task9[SubPLOs],"&lt;4")+SUMIFS(tbl_task10[%],tbl_task10[SubPLOs],"&gt;=3",tbl_task10[SubPLOs],"&lt;4")</f>
        <v>0</v>
      </c>
      <c r="F182" s="41">
        <f>SUMIFS(tbl_task1[S1],tbl_task1[[SubPLOs]:[SubPLOs]],"&gt;=3",tbl_task1[[SubPLOs]:[SubPLOs]],"&lt;4")+SUMIFS(tbl_task2[S1],tbl_task2[[SubPLOs]:[SubPLOs]],"&gt;=3",tbl_task2[[SubPLOs]:[SubPLOs]],"&lt;4")+SUMIFS(tbl_task3[S1],tbl_task3[[SubPLOs]:[SubPLOs]],"&gt;=3",tbl_task3[[SubPLOs]:[SubPLOs]],"&lt;4")+SUMIFS(tbl_task4[S1],tbl_task4[[SubPLOs]:[SubPLOs]],"&gt;=3",tbl_task4[[SubPLOs]:[SubPLOs]],"&lt;4")+SUMIFS(tbl_task5[S1],tbl_task5[[SubPLOs]:[SubPLOs]],"&gt;=3",tbl_task5[[SubPLOs]:[SubPLOs]],"&lt;4")+SUMIFS(tbl_task6[S1],tbl_task6[[SubPLOs]:[SubPLOs]],"&gt;=3",tbl_task6[[SubPLOs]:[SubPLOs]],"&lt;4")+SUMIFS(tbl_task7[S1],tbl_task7[[SubPLOs]:[SubPLOs]],"&gt;=3",tbl_task7[[SubPLOs]:[SubPLOs]],"&lt;4")+SUMIFS(tbl_task8[S1],tbl_task8[[SubPLOs]:[SubPLOs]],"&gt;=3",tbl_task8[[SubPLOs]:[SubPLOs]],"&lt;4")+SUMIFS(tbl_task9[S1],tbl_task9[[SubPLOs]:[SubPLOs]],"&gt;=3",tbl_task9[[SubPLOs]:[SubPLOs]],"&lt;4")+SUMIFS(tbl_task10[S1],tbl_task10[[SubPLOs]:[SubPLOs]],"&gt;=3",tbl_task10[[SubPLOs]:[SubPLOs]],"&lt;4")</f>
        <v>0</v>
      </c>
      <c r="G182" s="41">
        <f>SUMIFS(tbl_task1[S2],tbl_task1[[SubPLOs]:[SubPLOs]],"&gt;=3",tbl_task1[[SubPLOs]:[SubPLOs]],"&lt;4")+SUMIFS(tbl_task2[S2],tbl_task2[[SubPLOs]:[SubPLOs]],"&gt;=3",tbl_task2[[SubPLOs]:[SubPLOs]],"&lt;4")+SUMIFS(tbl_task3[S2],tbl_task3[[SubPLOs]:[SubPLOs]],"&gt;=3",tbl_task3[[SubPLOs]:[SubPLOs]],"&lt;4")+SUMIFS(tbl_task4[S2],tbl_task4[[SubPLOs]:[SubPLOs]],"&gt;=3",tbl_task4[[SubPLOs]:[SubPLOs]],"&lt;4")+SUMIFS(tbl_task5[S2],tbl_task5[[SubPLOs]:[SubPLOs]],"&gt;=3",tbl_task5[[SubPLOs]:[SubPLOs]],"&lt;4")+SUMIFS(tbl_task6[S2],tbl_task6[[SubPLOs]:[SubPLOs]],"&gt;=3",tbl_task6[[SubPLOs]:[SubPLOs]],"&lt;4")+SUMIFS(tbl_task7[S2],tbl_task7[[SubPLOs]:[SubPLOs]],"&gt;=3",tbl_task7[[SubPLOs]:[SubPLOs]],"&lt;4")+SUMIFS(tbl_task8[S2],tbl_task8[[SubPLOs]:[SubPLOs]],"&gt;=3",tbl_task8[[SubPLOs]:[SubPLOs]],"&lt;4")+SUMIFS(tbl_task9[S2],tbl_task9[[SubPLOs]:[SubPLOs]],"&gt;=3",tbl_task9[[SubPLOs]:[SubPLOs]],"&lt;4")+SUMIFS(tbl_task10[S2],tbl_task10[[SubPLOs]:[SubPLOs]],"&gt;=3",tbl_task10[[SubPLOs]:[SubPLOs]],"&lt;4")</f>
        <v>0</v>
      </c>
      <c r="H182" s="41">
        <f>SUMIFS(tbl_task1[S3],tbl_task1[[SubPLOs]:[SubPLOs]],"&gt;=3",tbl_task1[[SubPLOs]:[SubPLOs]],"&lt;4")+SUMIFS(tbl_task2[S3],tbl_task2[[SubPLOs]:[SubPLOs]],"&gt;=3",tbl_task2[[SubPLOs]:[SubPLOs]],"&lt;4")+SUMIFS(tbl_task3[S3],tbl_task3[[SubPLOs]:[SubPLOs]],"&gt;=3",tbl_task3[[SubPLOs]:[SubPLOs]],"&lt;4")+SUMIFS(tbl_task4[S3],tbl_task4[[SubPLOs]:[SubPLOs]],"&gt;=3",tbl_task4[[SubPLOs]:[SubPLOs]],"&lt;4")+SUMIFS(tbl_task5[S3],tbl_task5[[SubPLOs]:[SubPLOs]],"&gt;=3",tbl_task5[[SubPLOs]:[SubPLOs]],"&lt;4")+SUMIFS(tbl_task6[S3],tbl_task6[[SubPLOs]:[SubPLOs]],"&gt;=3",tbl_task6[[SubPLOs]:[SubPLOs]],"&lt;4")+SUMIFS(tbl_task7[S3],tbl_task7[[SubPLOs]:[SubPLOs]],"&gt;=3",tbl_task7[[SubPLOs]:[SubPLOs]],"&lt;4")+SUMIFS(tbl_task8[S3],tbl_task8[[SubPLOs]:[SubPLOs]],"&gt;=3",tbl_task8[[SubPLOs]:[SubPLOs]],"&lt;4")+SUMIFS(tbl_task9[S3],tbl_task9[[SubPLOs]:[SubPLOs]],"&gt;=3",tbl_task9[[SubPLOs]:[SubPLOs]],"&lt;4")+SUMIFS(tbl_task10[S3],tbl_task10[[SubPLOs]:[SubPLOs]],"&gt;=3",tbl_task10[[SubPLOs]:[SubPLOs]],"&lt;4")</f>
        <v>0</v>
      </c>
      <c r="I182" s="41">
        <f>SUMIFS(tbl_task1[S4],tbl_task1[[SubPLOs]:[SubPLOs]],"&gt;=3",tbl_task1[[SubPLOs]:[SubPLOs]],"&lt;4")+SUMIFS(tbl_task2[S4],tbl_task2[[SubPLOs]:[SubPLOs]],"&gt;=3",tbl_task2[[SubPLOs]:[SubPLOs]],"&lt;4")+SUMIFS(tbl_task3[S4],tbl_task3[[SubPLOs]:[SubPLOs]],"&gt;=3",tbl_task3[[SubPLOs]:[SubPLOs]],"&lt;4")+SUMIFS(tbl_task4[S4],tbl_task4[[SubPLOs]:[SubPLOs]],"&gt;=3",tbl_task4[[SubPLOs]:[SubPLOs]],"&lt;4")+SUMIFS(tbl_task5[S4],tbl_task5[[SubPLOs]:[SubPLOs]],"&gt;=3",tbl_task5[[SubPLOs]:[SubPLOs]],"&lt;4")+SUMIFS(tbl_task6[S4],tbl_task6[[SubPLOs]:[SubPLOs]],"&gt;=3",tbl_task6[[SubPLOs]:[SubPLOs]],"&lt;4")+SUMIFS(tbl_task7[S4],tbl_task7[[SubPLOs]:[SubPLOs]],"&gt;=3",tbl_task7[[SubPLOs]:[SubPLOs]],"&lt;4")+SUMIFS(tbl_task8[S4],tbl_task8[[SubPLOs]:[SubPLOs]],"&gt;=3",tbl_task8[[SubPLOs]:[SubPLOs]],"&lt;4")+SUMIFS(tbl_task9[S4],tbl_task9[[SubPLOs]:[SubPLOs]],"&gt;=3",tbl_task9[[SubPLOs]:[SubPLOs]],"&lt;4")+SUMIFS(tbl_task10[S4],tbl_task10[[SubPLOs]:[SubPLOs]],"&gt;=3",tbl_task10[[SubPLOs]:[SubPLOs]],"&lt;4")</f>
        <v>0</v>
      </c>
      <c r="J182" s="41">
        <f>SUMIFS(tbl_task1[S5],tbl_task1[[SubPLOs]:[SubPLOs]],"&gt;=3",tbl_task1[[SubPLOs]:[SubPLOs]],"&lt;4")+SUMIFS(tbl_task2[S5],tbl_task2[[SubPLOs]:[SubPLOs]],"&gt;=3",tbl_task2[[SubPLOs]:[SubPLOs]],"&lt;4")+SUMIFS(tbl_task3[S5],tbl_task3[[SubPLOs]:[SubPLOs]],"&gt;=3",tbl_task3[[SubPLOs]:[SubPLOs]],"&lt;4")+SUMIFS(tbl_task4[S5],tbl_task4[[SubPLOs]:[SubPLOs]],"&gt;=3",tbl_task4[[SubPLOs]:[SubPLOs]],"&lt;4")+SUMIFS(tbl_task5[S5],tbl_task5[[SubPLOs]:[SubPLOs]],"&gt;=3",tbl_task5[[SubPLOs]:[SubPLOs]],"&lt;4")+SUMIFS(tbl_task6[S5],tbl_task6[[SubPLOs]:[SubPLOs]],"&gt;=3",tbl_task6[[SubPLOs]:[SubPLOs]],"&lt;4")+SUMIFS(tbl_task7[S5],tbl_task7[[SubPLOs]:[SubPLOs]],"&gt;=3",tbl_task7[[SubPLOs]:[SubPLOs]],"&lt;4")+SUMIFS(tbl_task8[S5],tbl_task8[[SubPLOs]:[SubPLOs]],"&gt;=3",tbl_task8[[SubPLOs]:[SubPLOs]],"&lt;4")+SUMIFS(tbl_task9[S5],tbl_task9[[SubPLOs]:[SubPLOs]],"&gt;=3",tbl_task9[[SubPLOs]:[SubPLOs]],"&lt;4")+SUMIFS(tbl_task10[S5],tbl_task10[[SubPLOs]:[SubPLOs]],"&gt;=3",tbl_task10[[SubPLOs]:[SubPLOs]],"&lt;4")</f>
        <v>0</v>
      </c>
      <c r="K182" s="41">
        <f>SUMIFS(tbl_task1[S6],tbl_task1[[SubPLOs]:[SubPLOs]],"&gt;=3",tbl_task1[[SubPLOs]:[SubPLOs]],"&lt;4")+SUMIFS(tbl_task2[S6],tbl_task2[[SubPLOs]:[SubPLOs]],"&gt;=3",tbl_task2[[SubPLOs]:[SubPLOs]],"&lt;4")+SUMIFS(tbl_task3[S6],tbl_task3[[SubPLOs]:[SubPLOs]],"&gt;=3",tbl_task3[[SubPLOs]:[SubPLOs]],"&lt;4")+SUMIFS(tbl_task4[S6],tbl_task4[[SubPLOs]:[SubPLOs]],"&gt;=3",tbl_task4[[SubPLOs]:[SubPLOs]],"&lt;4")+SUMIFS(tbl_task5[S6],tbl_task5[[SubPLOs]:[SubPLOs]],"&gt;=3",tbl_task5[[SubPLOs]:[SubPLOs]],"&lt;4")+SUMIFS(tbl_task6[S6],tbl_task6[[SubPLOs]:[SubPLOs]],"&gt;=3",tbl_task6[[SubPLOs]:[SubPLOs]],"&lt;4")+SUMIFS(tbl_task7[S6],tbl_task7[[SubPLOs]:[SubPLOs]],"&gt;=3",tbl_task7[[SubPLOs]:[SubPLOs]],"&lt;4")+SUMIFS(tbl_task8[S6],tbl_task8[[SubPLOs]:[SubPLOs]],"&gt;=3",tbl_task8[[SubPLOs]:[SubPLOs]],"&lt;4")+SUMIFS(tbl_task9[S6],tbl_task9[[SubPLOs]:[SubPLOs]],"&gt;=3",tbl_task9[[SubPLOs]:[SubPLOs]],"&lt;4")+SUMIFS(tbl_task10[S6],tbl_task10[[SubPLOs]:[SubPLOs]],"&gt;=3",tbl_task10[[SubPLOs]:[SubPLOs]],"&lt;4")</f>
        <v>0</v>
      </c>
      <c r="L182" s="41">
        <f>SUMIFS(tbl_task1[S7],tbl_task1[[SubPLOs]:[SubPLOs]],"&gt;=3",tbl_task1[[SubPLOs]:[SubPLOs]],"&lt;4")+SUMIFS(tbl_task2[S7],tbl_task2[[SubPLOs]:[SubPLOs]],"&gt;=3",tbl_task2[[SubPLOs]:[SubPLOs]],"&lt;4")+SUMIFS(tbl_task3[S7],tbl_task3[[SubPLOs]:[SubPLOs]],"&gt;=3",tbl_task3[[SubPLOs]:[SubPLOs]],"&lt;4")+SUMIFS(tbl_task4[S7],tbl_task4[[SubPLOs]:[SubPLOs]],"&gt;=3",tbl_task4[[SubPLOs]:[SubPLOs]],"&lt;4")+SUMIFS(tbl_task5[S7],tbl_task5[[SubPLOs]:[SubPLOs]],"&gt;=3",tbl_task5[[SubPLOs]:[SubPLOs]],"&lt;4")+SUMIFS(tbl_task6[S7],tbl_task6[[SubPLOs]:[SubPLOs]],"&gt;=3",tbl_task6[[SubPLOs]:[SubPLOs]],"&lt;4")+SUMIFS(tbl_task7[S7],tbl_task7[[SubPLOs]:[SubPLOs]],"&gt;=3",tbl_task7[[SubPLOs]:[SubPLOs]],"&lt;4")+SUMIFS(tbl_task8[S7],tbl_task8[[SubPLOs]:[SubPLOs]],"&gt;=3",tbl_task8[[SubPLOs]:[SubPLOs]],"&lt;4")+SUMIFS(tbl_task9[S7],tbl_task9[[SubPLOs]:[SubPLOs]],"&gt;=3",tbl_task9[[SubPLOs]:[SubPLOs]],"&lt;4")+SUMIFS(tbl_task10[S7],tbl_task10[[SubPLOs]:[SubPLOs]],"&gt;=3",tbl_task10[[SubPLOs]:[SubPLOs]],"&lt;4")</f>
        <v>0</v>
      </c>
      <c r="M182" s="41">
        <f>SUMIFS(tbl_task1[S8],tbl_task1[[SubPLOs]:[SubPLOs]],"&gt;=3",tbl_task1[[SubPLOs]:[SubPLOs]],"&lt;4")+SUMIFS(tbl_task2[S8],tbl_task2[[SubPLOs]:[SubPLOs]],"&gt;=3",tbl_task2[[SubPLOs]:[SubPLOs]],"&lt;4")+SUMIFS(tbl_task3[S8],tbl_task3[[SubPLOs]:[SubPLOs]],"&gt;=3",tbl_task3[[SubPLOs]:[SubPLOs]],"&lt;4")+SUMIFS(tbl_task4[S8],tbl_task4[[SubPLOs]:[SubPLOs]],"&gt;=3",tbl_task4[[SubPLOs]:[SubPLOs]],"&lt;4")+SUMIFS(tbl_task5[S8],tbl_task5[[SubPLOs]:[SubPLOs]],"&gt;=3",tbl_task5[[SubPLOs]:[SubPLOs]],"&lt;4")+SUMIFS(tbl_task6[S8],tbl_task6[[SubPLOs]:[SubPLOs]],"&gt;=3",tbl_task6[[SubPLOs]:[SubPLOs]],"&lt;4")+SUMIFS(tbl_task7[S8],tbl_task7[[SubPLOs]:[SubPLOs]],"&gt;=3",tbl_task7[[SubPLOs]:[SubPLOs]],"&lt;4")+SUMIFS(tbl_task8[S8],tbl_task8[[SubPLOs]:[SubPLOs]],"&gt;=3",tbl_task8[[SubPLOs]:[SubPLOs]],"&lt;4")+SUMIFS(tbl_task9[S8],tbl_task9[[SubPLOs]:[SubPLOs]],"&gt;=3",tbl_task9[[SubPLOs]:[SubPLOs]],"&lt;4")+SUMIFS(tbl_task10[S8],tbl_task10[[SubPLOs]:[SubPLOs]],"&gt;=3",tbl_task10[[SubPLOs]:[SubPLOs]],"&lt;4")</f>
        <v>0</v>
      </c>
      <c r="N182" s="41">
        <f>SUMIFS(tbl_task1[S9],tbl_task1[[SubPLOs]:[SubPLOs]],"&gt;=3",tbl_task1[[SubPLOs]:[SubPLOs]],"&lt;4")+SUMIFS(tbl_task2[S9],tbl_task2[[SubPLOs]:[SubPLOs]],"&gt;=3",tbl_task2[[SubPLOs]:[SubPLOs]],"&lt;4")+SUMIFS(tbl_task3[S9],tbl_task3[[SubPLOs]:[SubPLOs]],"&gt;=3",tbl_task3[[SubPLOs]:[SubPLOs]],"&lt;4")+SUMIFS(tbl_task4[S9],tbl_task4[[SubPLOs]:[SubPLOs]],"&gt;=3",tbl_task4[[SubPLOs]:[SubPLOs]],"&lt;4")+SUMIFS(tbl_task5[S9],tbl_task5[[SubPLOs]:[SubPLOs]],"&gt;=3",tbl_task5[[SubPLOs]:[SubPLOs]],"&lt;4")+SUMIFS(tbl_task6[S9],tbl_task6[[SubPLOs]:[SubPLOs]],"&gt;=3",tbl_task6[[SubPLOs]:[SubPLOs]],"&lt;4")+SUMIFS(tbl_task7[S9],tbl_task7[[SubPLOs]:[SubPLOs]],"&gt;=3",tbl_task7[[SubPLOs]:[SubPLOs]],"&lt;4")+SUMIFS(tbl_task8[S9],tbl_task8[[SubPLOs]:[SubPLOs]],"&gt;=3",tbl_task8[[SubPLOs]:[SubPLOs]],"&lt;4")+SUMIFS(tbl_task9[S9],tbl_task9[[SubPLOs]:[SubPLOs]],"&gt;=3",tbl_task9[[SubPLOs]:[SubPLOs]],"&lt;4")+SUMIFS(tbl_task10[S9],tbl_task10[[SubPLOs]:[SubPLOs]],"&gt;=3",tbl_task10[[SubPLOs]:[SubPLOs]],"&lt;4")</f>
        <v>0</v>
      </c>
      <c r="O182" s="41">
        <f>SUMIFS(tbl_task1[S10],tbl_task1[[SubPLOs]:[SubPLOs]],"&gt;=3",tbl_task1[[SubPLOs]:[SubPLOs]],"&lt;4")+SUMIFS(tbl_task2[S10],tbl_task2[[SubPLOs]:[SubPLOs]],"&gt;=3",tbl_task2[[SubPLOs]:[SubPLOs]],"&lt;4")+SUMIFS(tbl_task3[S10],tbl_task3[[SubPLOs]:[SubPLOs]],"&gt;=3",tbl_task3[[SubPLOs]:[SubPLOs]],"&lt;4")+SUMIFS(tbl_task4[S10],tbl_task4[[SubPLOs]:[SubPLOs]],"&gt;=3",tbl_task4[[SubPLOs]:[SubPLOs]],"&lt;4")+SUMIFS(tbl_task5[S10],tbl_task5[[SubPLOs]:[SubPLOs]],"&gt;=3",tbl_task5[[SubPLOs]:[SubPLOs]],"&lt;4")+SUMIFS(tbl_task6[S10],tbl_task6[[SubPLOs]:[SubPLOs]],"&gt;=3",tbl_task6[[SubPLOs]:[SubPLOs]],"&lt;4")+SUMIFS(tbl_task7[S10],tbl_task7[[SubPLOs]:[SubPLOs]],"&gt;=3",tbl_task7[[SubPLOs]:[SubPLOs]],"&lt;4")+SUMIFS(tbl_task8[S10],tbl_task8[[SubPLOs]:[SubPLOs]],"&gt;=3",tbl_task8[[SubPLOs]:[SubPLOs]],"&lt;4")+SUMIFS(tbl_task9[S10],tbl_task9[[SubPLOs]:[SubPLOs]],"&gt;=3",tbl_task9[[SubPLOs]:[SubPLOs]],"&lt;4")+SUMIFS(tbl_task10[S10],tbl_task10[[SubPLOs]:[SubPLOs]],"&gt;=3",tbl_task10[[SubPLOs]:[SubPLOs]],"&lt;4")</f>
        <v>0</v>
      </c>
      <c r="P182" s="41">
        <f>SUMIFS(tbl_task1[S11],tbl_task1[[SubPLOs]:[SubPLOs]],"&gt;=3",tbl_task1[[SubPLOs]:[SubPLOs]],"&lt;4")+SUMIFS(tbl_task2[S11],tbl_task2[[SubPLOs]:[SubPLOs]],"&gt;=3",tbl_task2[[SubPLOs]:[SubPLOs]],"&lt;4")+SUMIFS(tbl_task3[S11],tbl_task3[[SubPLOs]:[SubPLOs]],"&gt;=3",tbl_task3[[SubPLOs]:[SubPLOs]],"&lt;4")+SUMIFS(tbl_task4[S11],tbl_task4[[SubPLOs]:[SubPLOs]],"&gt;=3",tbl_task4[[SubPLOs]:[SubPLOs]],"&lt;4")+SUMIFS(tbl_task5[S11],tbl_task5[[SubPLOs]:[SubPLOs]],"&gt;=3",tbl_task5[[SubPLOs]:[SubPLOs]],"&lt;4")+SUMIFS(tbl_task6[S11],tbl_task6[[SubPLOs]:[SubPLOs]],"&gt;=3",tbl_task6[[SubPLOs]:[SubPLOs]],"&lt;4")+SUMIFS(tbl_task7[S11],tbl_task7[[SubPLOs]:[SubPLOs]],"&gt;=3",tbl_task7[[SubPLOs]:[SubPLOs]],"&lt;4")+SUMIFS(tbl_task8[S11],tbl_task8[[SubPLOs]:[SubPLOs]],"&gt;=3",tbl_task8[[SubPLOs]:[SubPLOs]],"&lt;4")+SUMIFS(tbl_task9[S11],tbl_task9[[SubPLOs]:[SubPLOs]],"&gt;=3",tbl_task9[[SubPLOs]:[SubPLOs]],"&lt;4")+SUMIFS(tbl_task10[S11],tbl_task10[[SubPLOs]:[SubPLOs]],"&gt;=3",tbl_task10[[SubPLOs]:[SubPLOs]],"&lt;4")</f>
        <v>0</v>
      </c>
      <c r="Q182" s="41">
        <f>SUMIFS(tbl_task1[S12],tbl_task1[[SubPLOs]:[SubPLOs]],"&gt;=3",tbl_task1[[SubPLOs]:[SubPLOs]],"&lt;4")+SUMIFS(tbl_task2[S12],tbl_task2[[SubPLOs]:[SubPLOs]],"&gt;=3",tbl_task2[[SubPLOs]:[SubPLOs]],"&lt;4")+SUMIFS(tbl_task3[S12],tbl_task3[[SubPLOs]:[SubPLOs]],"&gt;=3",tbl_task3[[SubPLOs]:[SubPLOs]],"&lt;4")+SUMIFS(tbl_task4[S12],tbl_task4[[SubPLOs]:[SubPLOs]],"&gt;=3",tbl_task4[[SubPLOs]:[SubPLOs]],"&lt;4")+SUMIFS(tbl_task5[S12],tbl_task5[[SubPLOs]:[SubPLOs]],"&gt;=3",tbl_task5[[SubPLOs]:[SubPLOs]],"&lt;4")+SUMIFS(tbl_task6[S12],tbl_task6[[SubPLOs]:[SubPLOs]],"&gt;=3",tbl_task6[[SubPLOs]:[SubPLOs]],"&lt;4")+SUMIFS(tbl_task7[S12],tbl_task7[[SubPLOs]:[SubPLOs]],"&gt;=3",tbl_task7[[SubPLOs]:[SubPLOs]],"&lt;4")+SUMIFS(tbl_task8[S12],tbl_task8[[SubPLOs]:[SubPLOs]],"&gt;=3",tbl_task8[[SubPLOs]:[SubPLOs]],"&lt;4")+SUMIFS(tbl_task9[S12],tbl_task9[[SubPLOs]:[SubPLOs]],"&gt;=3",tbl_task9[[SubPLOs]:[SubPLOs]],"&lt;4")+SUMIFS(tbl_task10[S12],tbl_task10[[SubPLOs]:[SubPLOs]],"&gt;=3",tbl_task10[[SubPLOs]:[SubPLOs]],"&lt;4")</f>
        <v>0</v>
      </c>
      <c r="R182" s="41">
        <f>SUMIFS(tbl_task1[S13],tbl_task1[[SubPLOs]:[SubPLOs]],"&gt;=3",tbl_task1[[SubPLOs]:[SubPLOs]],"&lt;4")+SUMIFS(tbl_task2[S13],tbl_task2[[SubPLOs]:[SubPLOs]],"&gt;=3",tbl_task2[[SubPLOs]:[SubPLOs]],"&lt;4")+SUMIFS(tbl_task3[S13],tbl_task3[[SubPLOs]:[SubPLOs]],"&gt;=3",tbl_task3[[SubPLOs]:[SubPLOs]],"&lt;4")+SUMIFS(tbl_task4[S13],tbl_task4[[SubPLOs]:[SubPLOs]],"&gt;=3",tbl_task4[[SubPLOs]:[SubPLOs]],"&lt;4")+SUMIFS(tbl_task5[S13],tbl_task5[[SubPLOs]:[SubPLOs]],"&gt;=3",tbl_task5[[SubPLOs]:[SubPLOs]],"&lt;4")+SUMIFS(tbl_task6[S13],tbl_task6[[SubPLOs]:[SubPLOs]],"&gt;=3",tbl_task6[[SubPLOs]:[SubPLOs]],"&lt;4")+SUMIFS(tbl_task7[S13],tbl_task7[[SubPLOs]:[SubPLOs]],"&gt;=3",tbl_task7[[SubPLOs]:[SubPLOs]],"&lt;4")+SUMIFS(tbl_task8[S13],tbl_task8[[SubPLOs]:[SubPLOs]],"&gt;=3",tbl_task8[[SubPLOs]:[SubPLOs]],"&lt;4")+SUMIFS(tbl_task9[S13],tbl_task9[[SubPLOs]:[SubPLOs]],"&gt;=3",tbl_task9[[SubPLOs]:[SubPLOs]],"&lt;4")+SUMIFS(tbl_task10[S13],tbl_task10[[SubPLOs]:[SubPLOs]],"&gt;=3",tbl_task10[[SubPLOs]:[SubPLOs]],"&lt;4")</f>
        <v>0</v>
      </c>
      <c r="S182" s="41">
        <f>SUMIFS(tbl_task1[S14],tbl_task1[[SubPLOs]:[SubPLOs]],"&gt;=3",tbl_task1[[SubPLOs]:[SubPLOs]],"&lt;4")+SUMIFS(tbl_task2[S14],tbl_task2[[SubPLOs]:[SubPLOs]],"&gt;=3",tbl_task2[[SubPLOs]:[SubPLOs]],"&lt;4")+SUMIFS(tbl_task3[S14],tbl_task3[[SubPLOs]:[SubPLOs]],"&gt;=3",tbl_task3[[SubPLOs]:[SubPLOs]],"&lt;4")+SUMIFS(tbl_task4[S14],tbl_task4[[SubPLOs]:[SubPLOs]],"&gt;=3",tbl_task4[[SubPLOs]:[SubPLOs]],"&lt;4")+SUMIFS(tbl_task5[S14],tbl_task5[[SubPLOs]:[SubPLOs]],"&gt;=3",tbl_task5[[SubPLOs]:[SubPLOs]],"&lt;4")+SUMIFS(tbl_task6[S14],tbl_task6[[SubPLOs]:[SubPLOs]],"&gt;=3",tbl_task6[[SubPLOs]:[SubPLOs]],"&lt;4")+SUMIFS(tbl_task7[S14],tbl_task7[[SubPLOs]:[SubPLOs]],"&gt;=3",tbl_task7[[SubPLOs]:[SubPLOs]],"&lt;4")+SUMIFS(tbl_task8[S14],tbl_task8[[SubPLOs]:[SubPLOs]],"&gt;=3",tbl_task8[[SubPLOs]:[SubPLOs]],"&lt;4")+SUMIFS(tbl_task9[S14],tbl_task9[[SubPLOs]:[SubPLOs]],"&gt;=3",tbl_task9[[SubPLOs]:[SubPLOs]],"&lt;4")+SUMIFS(tbl_task10[S14],tbl_task10[[SubPLOs]:[SubPLOs]],"&gt;=3",tbl_task10[[SubPLOs]:[SubPLOs]],"&lt;4")</f>
        <v>0</v>
      </c>
      <c r="T182" s="41">
        <f>SUMIFS(tbl_task1[S15],tbl_task1[[SubPLOs]:[SubPLOs]],"&gt;=3",tbl_task1[[SubPLOs]:[SubPLOs]],"&lt;4")+SUMIFS(tbl_task2[S15],tbl_task2[[SubPLOs]:[SubPLOs]],"&gt;=3",tbl_task2[[SubPLOs]:[SubPLOs]],"&lt;4")+SUMIFS(tbl_task3[S15],tbl_task3[[SubPLOs]:[SubPLOs]],"&gt;=3",tbl_task3[[SubPLOs]:[SubPLOs]],"&lt;4")+SUMIFS(tbl_task4[S15],tbl_task4[[SubPLOs]:[SubPLOs]],"&gt;=3",tbl_task4[[SubPLOs]:[SubPLOs]],"&lt;4")+SUMIFS(tbl_task5[S15],tbl_task5[[SubPLOs]:[SubPLOs]],"&gt;=3",tbl_task5[[SubPLOs]:[SubPLOs]],"&lt;4")+SUMIFS(tbl_task6[S15],tbl_task6[[SubPLOs]:[SubPLOs]],"&gt;=3",tbl_task6[[SubPLOs]:[SubPLOs]],"&lt;4")+SUMIFS(tbl_task7[S15],tbl_task7[[SubPLOs]:[SubPLOs]],"&gt;=3",tbl_task7[[SubPLOs]:[SubPLOs]],"&lt;4")+SUMIFS(tbl_task8[S15],tbl_task8[[SubPLOs]:[SubPLOs]],"&gt;=3",tbl_task8[[SubPLOs]:[SubPLOs]],"&lt;4")+SUMIFS(tbl_task9[S15],tbl_task9[[SubPLOs]:[SubPLOs]],"&gt;=3",tbl_task9[[SubPLOs]:[SubPLOs]],"&lt;4")+SUMIFS(tbl_task10[S15],tbl_task10[[SubPLOs]:[SubPLOs]],"&gt;=3",tbl_task10[[SubPLOs]:[SubPLOs]],"&lt;4")</f>
        <v>0</v>
      </c>
      <c r="U182" s="41">
        <f>SUMIFS(tbl_task1[S16],tbl_task1[[SubPLOs]:[SubPLOs]],"&gt;=3",tbl_task1[[SubPLOs]:[SubPLOs]],"&lt;4")+SUMIFS(tbl_task2[S16],tbl_task2[[SubPLOs]:[SubPLOs]],"&gt;=3",tbl_task2[[SubPLOs]:[SubPLOs]],"&lt;4")+SUMIFS(tbl_task3[S16],tbl_task3[[SubPLOs]:[SubPLOs]],"&gt;=3",tbl_task3[[SubPLOs]:[SubPLOs]],"&lt;4")+SUMIFS(tbl_task4[S16],tbl_task4[[SubPLOs]:[SubPLOs]],"&gt;=3",tbl_task4[[SubPLOs]:[SubPLOs]],"&lt;4")+SUMIFS(tbl_task5[S16],tbl_task5[[SubPLOs]:[SubPLOs]],"&gt;=3",tbl_task5[[SubPLOs]:[SubPLOs]],"&lt;4")+SUMIFS(tbl_task6[S16],tbl_task6[[SubPLOs]:[SubPLOs]],"&gt;=3",tbl_task6[[SubPLOs]:[SubPLOs]],"&lt;4")+SUMIFS(tbl_task7[S16],tbl_task7[[SubPLOs]:[SubPLOs]],"&gt;=3",tbl_task7[[SubPLOs]:[SubPLOs]],"&lt;4")+SUMIFS(tbl_task8[S16],tbl_task8[[SubPLOs]:[SubPLOs]],"&gt;=3",tbl_task8[[SubPLOs]:[SubPLOs]],"&lt;4")+SUMIFS(tbl_task9[S16],tbl_task9[[SubPLOs]:[SubPLOs]],"&gt;=3",tbl_task9[[SubPLOs]:[SubPLOs]],"&lt;4")+SUMIFS(tbl_task10[S16],tbl_task10[[SubPLOs]:[SubPLOs]],"&gt;=3",tbl_task10[[SubPLOs]:[SubPLOs]],"&lt;4")</f>
        <v>0</v>
      </c>
      <c r="V182" s="41">
        <f>SUMIFS(tbl_task1[S17],tbl_task1[[SubPLOs]:[SubPLOs]],"&gt;=3",tbl_task1[[SubPLOs]:[SubPLOs]],"&lt;4")+SUMIFS(tbl_task2[S17],tbl_task2[[SubPLOs]:[SubPLOs]],"&gt;=3",tbl_task2[[SubPLOs]:[SubPLOs]],"&lt;4")+SUMIFS(tbl_task3[S17],tbl_task3[[SubPLOs]:[SubPLOs]],"&gt;=3",tbl_task3[[SubPLOs]:[SubPLOs]],"&lt;4")+SUMIFS(tbl_task4[S17],tbl_task4[[SubPLOs]:[SubPLOs]],"&gt;=3",tbl_task4[[SubPLOs]:[SubPLOs]],"&lt;4")+SUMIFS(tbl_task5[S17],tbl_task5[[SubPLOs]:[SubPLOs]],"&gt;=3",tbl_task5[[SubPLOs]:[SubPLOs]],"&lt;4")+SUMIFS(tbl_task6[S17],tbl_task6[[SubPLOs]:[SubPLOs]],"&gt;=3",tbl_task6[[SubPLOs]:[SubPLOs]],"&lt;4")+SUMIFS(tbl_task7[S17],tbl_task7[[SubPLOs]:[SubPLOs]],"&gt;=3",tbl_task7[[SubPLOs]:[SubPLOs]],"&lt;4")+SUMIFS(tbl_task8[S17],tbl_task8[[SubPLOs]:[SubPLOs]],"&gt;=3",tbl_task8[[SubPLOs]:[SubPLOs]],"&lt;4")+SUMIFS(tbl_task9[S17],tbl_task9[[SubPLOs]:[SubPLOs]],"&gt;=3",tbl_task9[[SubPLOs]:[SubPLOs]],"&lt;4")+SUMIFS(tbl_task10[S17],tbl_task10[[SubPLOs]:[SubPLOs]],"&gt;=3",tbl_task10[[SubPLOs]:[SubPLOs]],"&lt;4")</f>
        <v>0</v>
      </c>
      <c r="W182" s="41">
        <f>SUMIFS(tbl_task1[S18],tbl_task1[[SubPLOs]:[SubPLOs]],"&gt;=3",tbl_task1[[SubPLOs]:[SubPLOs]],"&lt;4")+SUMIFS(tbl_task2[S18],tbl_task2[[SubPLOs]:[SubPLOs]],"&gt;=3",tbl_task2[[SubPLOs]:[SubPLOs]],"&lt;4")+SUMIFS(tbl_task3[S18],tbl_task3[[SubPLOs]:[SubPLOs]],"&gt;=3",tbl_task3[[SubPLOs]:[SubPLOs]],"&lt;4")+SUMIFS(tbl_task4[S18],tbl_task4[[SubPLOs]:[SubPLOs]],"&gt;=3",tbl_task4[[SubPLOs]:[SubPLOs]],"&lt;4")+SUMIFS(tbl_task5[S18],tbl_task5[[SubPLOs]:[SubPLOs]],"&gt;=3",tbl_task5[[SubPLOs]:[SubPLOs]],"&lt;4")+SUMIFS(tbl_task6[S18],tbl_task6[[SubPLOs]:[SubPLOs]],"&gt;=3",tbl_task6[[SubPLOs]:[SubPLOs]],"&lt;4")+SUMIFS(tbl_task7[S18],tbl_task7[[SubPLOs]:[SubPLOs]],"&gt;=3",tbl_task7[[SubPLOs]:[SubPLOs]],"&lt;4")+SUMIFS(tbl_task8[S18],tbl_task8[[SubPLOs]:[SubPLOs]],"&gt;=3",tbl_task8[[SubPLOs]:[SubPLOs]],"&lt;4")+SUMIFS(tbl_task9[S18],tbl_task9[[SubPLOs]:[SubPLOs]],"&gt;=3",tbl_task9[[SubPLOs]:[SubPLOs]],"&lt;4")+SUMIFS(tbl_task10[S18],tbl_task10[[SubPLOs]:[SubPLOs]],"&gt;=3",tbl_task10[[SubPLOs]:[SubPLOs]],"&lt;4")</f>
        <v>0</v>
      </c>
      <c r="X182" s="41">
        <f>SUMIFS(tbl_task1[S19],tbl_task1[[SubPLOs]:[SubPLOs]],"&gt;=3",tbl_task1[[SubPLOs]:[SubPLOs]],"&lt;4")+SUMIFS(tbl_task2[S19],tbl_task2[[SubPLOs]:[SubPLOs]],"&gt;=3",tbl_task2[[SubPLOs]:[SubPLOs]],"&lt;4")+SUMIFS(tbl_task3[S19],tbl_task3[[SubPLOs]:[SubPLOs]],"&gt;=3",tbl_task3[[SubPLOs]:[SubPLOs]],"&lt;4")+SUMIFS(tbl_task4[S19],tbl_task4[[SubPLOs]:[SubPLOs]],"&gt;=3",tbl_task4[[SubPLOs]:[SubPLOs]],"&lt;4")+SUMIFS(tbl_task5[S19],tbl_task5[[SubPLOs]:[SubPLOs]],"&gt;=3",tbl_task5[[SubPLOs]:[SubPLOs]],"&lt;4")+SUMIFS(tbl_task6[S19],tbl_task6[[SubPLOs]:[SubPLOs]],"&gt;=3",tbl_task6[[SubPLOs]:[SubPLOs]],"&lt;4")+SUMIFS(tbl_task7[S19],tbl_task7[[SubPLOs]:[SubPLOs]],"&gt;=3",tbl_task7[[SubPLOs]:[SubPLOs]],"&lt;4")+SUMIFS(tbl_task8[S19],tbl_task8[[SubPLOs]:[SubPLOs]],"&gt;=3",tbl_task8[[SubPLOs]:[SubPLOs]],"&lt;4")+SUMIFS(tbl_task9[S19],tbl_task9[[SubPLOs]:[SubPLOs]],"&gt;=3",tbl_task9[[SubPLOs]:[SubPLOs]],"&lt;4")+SUMIFS(tbl_task10[S19],tbl_task10[[SubPLOs]:[SubPLOs]],"&gt;=3",tbl_task10[[SubPLOs]:[SubPLOs]],"&lt;4")</f>
        <v>0</v>
      </c>
      <c r="Y182" s="41">
        <f>SUMIFS(tbl_task1[S20],tbl_task1[[SubPLOs]:[SubPLOs]],"&gt;=3",tbl_task1[[SubPLOs]:[SubPLOs]],"&lt;4")+SUMIFS(tbl_task2[S20],tbl_task2[[SubPLOs]:[SubPLOs]],"&gt;=3",tbl_task2[[SubPLOs]:[SubPLOs]],"&lt;4")+SUMIFS(tbl_task3[S20],tbl_task3[[SubPLOs]:[SubPLOs]],"&gt;=3",tbl_task3[[SubPLOs]:[SubPLOs]],"&lt;4")+SUMIFS(tbl_task4[S20],tbl_task4[[SubPLOs]:[SubPLOs]],"&gt;=3",tbl_task4[[SubPLOs]:[SubPLOs]],"&lt;4")+SUMIFS(tbl_task5[S20],tbl_task5[[SubPLOs]:[SubPLOs]],"&gt;=3",tbl_task5[[SubPLOs]:[SubPLOs]],"&lt;4")+SUMIFS(tbl_task6[S20],tbl_task6[[SubPLOs]:[SubPLOs]],"&gt;=3",tbl_task6[[SubPLOs]:[SubPLOs]],"&lt;4")+SUMIFS(tbl_task7[S20],tbl_task7[[SubPLOs]:[SubPLOs]],"&gt;=3",tbl_task7[[SubPLOs]:[SubPLOs]],"&lt;4")+SUMIFS(tbl_task8[S20],tbl_task8[[SubPLOs]:[SubPLOs]],"&gt;=3",tbl_task8[[SubPLOs]:[SubPLOs]],"&lt;4")+SUMIFS(tbl_task9[S20],tbl_task9[[SubPLOs]:[SubPLOs]],"&gt;=3",tbl_task9[[SubPLOs]:[SubPLOs]],"&lt;4")+SUMIFS(tbl_task10[S20],tbl_task10[[SubPLOs]:[SubPLOs]],"&gt;=3",tbl_task10[[SubPLOs]:[SubPLOs]],"&lt;4")</f>
        <v>0</v>
      </c>
      <c r="Z182" s="41">
        <f>SUMIFS(tbl_task1[S21],tbl_task1[[SubPLOs]:[SubPLOs]],"&gt;=3",tbl_task1[[SubPLOs]:[SubPLOs]],"&lt;4")+SUMIFS(tbl_task2[S21],tbl_task2[[SubPLOs]:[SubPLOs]],"&gt;=3",tbl_task2[[SubPLOs]:[SubPLOs]],"&lt;4")+SUMIFS(tbl_task3[S21],tbl_task3[[SubPLOs]:[SubPLOs]],"&gt;=3",tbl_task3[[SubPLOs]:[SubPLOs]],"&lt;4")+SUMIFS(tbl_task4[S21],tbl_task4[[SubPLOs]:[SubPLOs]],"&gt;=3",tbl_task4[[SubPLOs]:[SubPLOs]],"&lt;4")+SUMIFS(tbl_task5[S21],tbl_task5[[SubPLOs]:[SubPLOs]],"&gt;=3",tbl_task5[[SubPLOs]:[SubPLOs]],"&lt;4")+SUMIFS(tbl_task6[S21],tbl_task6[[SubPLOs]:[SubPLOs]],"&gt;=3",tbl_task6[[SubPLOs]:[SubPLOs]],"&lt;4")+SUMIFS(tbl_task7[S21],tbl_task7[[SubPLOs]:[SubPLOs]],"&gt;=3",tbl_task7[[SubPLOs]:[SubPLOs]],"&lt;4")+SUMIFS(tbl_task8[S21],tbl_task8[[SubPLOs]:[SubPLOs]],"&gt;=3",tbl_task8[[SubPLOs]:[SubPLOs]],"&lt;4")+SUMIFS(tbl_task9[S21],tbl_task9[[SubPLOs]:[SubPLOs]],"&gt;=3",tbl_task9[[SubPLOs]:[SubPLOs]],"&lt;4")+SUMIFS(tbl_task10[S21],tbl_task10[[SubPLOs]:[SubPLOs]],"&gt;=3",tbl_task10[[SubPLOs]:[SubPLOs]],"&lt;4")</f>
        <v>0</v>
      </c>
      <c r="AA182" s="41">
        <f>SUMIFS(tbl_task1[S22],tbl_task1[[SubPLOs]:[SubPLOs]],"&gt;=3",tbl_task1[[SubPLOs]:[SubPLOs]],"&lt;4")+SUMIFS(tbl_task2[S22],tbl_task2[[SubPLOs]:[SubPLOs]],"&gt;=3",tbl_task2[[SubPLOs]:[SubPLOs]],"&lt;4")+SUMIFS(tbl_task3[S22],tbl_task3[[SubPLOs]:[SubPLOs]],"&gt;=3",tbl_task3[[SubPLOs]:[SubPLOs]],"&lt;4")+SUMIFS(tbl_task4[S22],tbl_task4[[SubPLOs]:[SubPLOs]],"&gt;=3",tbl_task4[[SubPLOs]:[SubPLOs]],"&lt;4")+SUMIFS(tbl_task5[S22],tbl_task5[[SubPLOs]:[SubPLOs]],"&gt;=3",tbl_task5[[SubPLOs]:[SubPLOs]],"&lt;4")+SUMIFS(tbl_task6[S22],tbl_task6[[SubPLOs]:[SubPLOs]],"&gt;=3",tbl_task6[[SubPLOs]:[SubPLOs]],"&lt;4")+SUMIFS(tbl_task7[S22],tbl_task7[[SubPLOs]:[SubPLOs]],"&gt;=3",tbl_task7[[SubPLOs]:[SubPLOs]],"&lt;4")+SUMIFS(tbl_task8[S22],tbl_task8[[SubPLOs]:[SubPLOs]],"&gt;=3",tbl_task8[[SubPLOs]:[SubPLOs]],"&lt;4")+SUMIFS(tbl_task9[S22],tbl_task9[[SubPLOs]:[SubPLOs]],"&gt;=3",tbl_task9[[SubPLOs]:[SubPLOs]],"&lt;4")+SUMIFS(tbl_task10[S22],tbl_task10[[SubPLOs]:[SubPLOs]],"&gt;=3",tbl_task10[[SubPLOs]:[SubPLOs]],"&lt;4")</f>
        <v>0</v>
      </c>
      <c r="AB182" s="41">
        <f>SUMIFS(tbl_task1[S23],tbl_task1[[SubPLOs]:[SubPLOs]],"&gt;=3",tbl_task1[[SubPLOs]:[SubPLOs]],"&lt;4")+SUMIFS(tbl_task2[S23],tbl_task2[[SubPLOs]:[SubPLOs]],"&gt;=3",tbl_task2[[SubPLOs]:[SubPLOs]],"&lt;4")+SUMIFS(tbl_task3[S23],tbl_task3[[SubPLOs]:[SubPLOs]],"&gt;=3",tbl_task3[[SubPLOs]:[SubPLOs]],"&lt;4")+SUMIFS(tbl_task4[S23],tbl_task4[[SubPLOs]:[SubPLOs]],"&gt;=3",tbl_task4[[SubPLOs]:[SubPLOs]],"&lt;4")+SUMIFS(tbl_task5[S23],tbl_task5[[SubPLOs]:[SubPLOs]],"&gt;=3",tbl_task5[[SubPLOs]:[SubPLOs]],"&lt;4")+SUMIFS(tbl_task6[S23],tbl_task6[[SubPLOs]:[SubPLOs]],"&gt;=3",tbl_task6[[SubPLOs]:[SubPLOs]],"&lt;4")+SUMIFS(tbl_task7[S23],tbl_task7[[SubPLOs]:[SubPLOs]],"&gt;=3",tbl_task7[[SubPLOs]:[SubPLOs]],"&lt;4")+SUMIFS(tbl_task8[S23],tbl_task8[[SubPLOs]:[SubPLOs]],"&gt;=3",tbl_task8[[SubPLOs]:[SubPLOs]],"&lt;4")+SUMIFS(tbl_task9[S23],tbl_task9[[SubPLOs]:[SubPLOs]],"&gt;=3",tbl_task9[[SubPLOs]:[SubPLOs]],"&lt;4")+SUMIFS(tbl_task10[S23],tbl_task10[[SubPLOs]:[SubPLOs]],"&gt;=3",tbl_task10[[SubPLOs]:[SubPLOs]],"&lt;4")</f>
        <v>0</v>
      </c>
      <c r="AC182" s="41">
        <f>SUMIFS(tbl_task1[S24],tbl_task1[[SubPLOs]:[SubPLOs]],"&gt;=3",tbl_task1[[SubPLOs]:[SubPLOs]],"&lt;4")+SUMIFS(tbl_task2[S24],tbl_task2[[SubPLOs]:[SubPLOs]],"&gt;=3",tbl_task2[[SubPLOs]:[SubPLOs]],"&lt;4")+SUMIFS(tbl_task3[S24],tbl_task3[[SubPLOs]:[SubPLOs]],"&gt;=3",tbl_task3[[SubPLOs]:[SubPLOs]],"&lt;4")+SUMIFS(tbl_task4[S24],tbl_task4[[SubPLOs]:[SubPLOs]],"&gt;=3",tbl_task4[[SubPLOs]:[SubPLOs]],"&lt;4")+SUMIFS(tbl_task5[S24],tbl_task5[[SubPLOs]:[SubPLOs]],"&gt;=3",tbl_task5[[SubPLOs]:[SubPLOs]],"&lt;4")+SUMIFS(tbl_task6[S24],tbl_task6[[SubPLOs]:[SubPLOs]],"&gt;=3",tbl_task6[[SubPLOs]:[SubPLOs]],"&lt;4")+SUMIFS(tbl_task7[S24],tbl_task7[[SubPLOs]:[SubPLOs]],"&gt;=3",tbl_task7[[SubPLOs]:[SubPLOs]],"&lt;4")+SUMIFS(tbl_task8[S24],tbl_task8[[SubPLOs]:[SubPLOs]],"&gt;=3",tbl_task8[[SubPLOs]:[SubPLOs]],"&lt;4")+SUMIFS(tbl_task9[S24],tbl_task9[[SubPLOs]:[SubPLOs]],"&gt;=3",tbl_task9[[SubPLOs]:[SubPLOs]],"&lt;4")+SUMIFS(tbl_task10[S24],tbl_task10[[SubPLOs]:[SubPLOs]],"&gt;=3",tbl_task10[[SubPLOs]:[SubPLOs]],"&lt;4")</f>
        <v>0</v>
      </c>
      <c r="AD182" s="41">
        <f>SUMIFS(tbl_task1[S25],tbl_task1[[SubPLOs]:[SubPLOs]],"&gt;=3",tbl_task1[[SubPLOs]:[SubPLOs]],"&lt;4")+SUMIFS(tbl_task2[S25],tbl_task2[[SubPLOs]:[SubPLOs]],"&gt;=3",tbl_task2[[SubPLOs]:[SubPLOs]],"&lt;4")+SUMIFS(tbl_task3[S25],tbl_task3[[SubPLOs]:[SubPLOs]],"&gt;=3",tbl_task3[[SubPLOs]:[SubPLOs]],"&lt;4")+SUMIFS(tbl_task4[S25],tbl_task4[[SubPLOs]:[SubPLOs]],"&gt;=3",tbl_task4[[SubPLOs]:[SubPLOs]],"&lt;4")+SUMIFS(tbl_task5[S25],tbl_task5[[SubPLOs]:[SubPLOs]],"&gt;=3",tbl_task5[[SubPLOs]:[SubPLOs]],"&lt;4")+SUMIFS(tbl_task6[S25],tbl_task6[[SubPLOs]:[SubPLOs]],"&gt;=3",tbl_task6[[SubPLOs]:[SubPLOs]],"&lt;4")+SUMIFS(tbl_task7[S25],tbl_task7[[SubPLOs]:[SubPLOs]],"&gt;=3",tbl_task7[[SubPLOs]:[SubPLOs]],"&lt;4")+SUMIFS(tbl_task8[S25],tbl_task8[[SubPLOs]:[SubPLOs]],"&gt;=3",tbl_task8[[SubPLOs]:[SubPLOs]],"&lt;4")+SUMIFS(tbl_task9[S25],tbl_task9[[SubPLOs]:[SubPLOs]],"&gt;=3",tbl_task9[[SubPLOs]:[SubPLOs]],"&lt;4")+SUMIFS(tbl_task10[S25],tbl_task10[[SubPLOs]:[SubPLOs]],"&gt;=3",tbl_task10[[SubPLOs]:[SubPLOs]],"&lt;4")</f>
        <v>0</v>
      </c>
      <c r="AE182" s="41">
        <f>SUMIFS(tbl_task1[S26],tbl_task1[[SubPLOs]:[SubPLOs]],"&gt;=3",tbl_task1[[SubPLOs]:[SubPLOs]],"&lt;4")+SUMIFS(tbl_task2[S26],tbl_task2[[SubPLOs]:[SubPLOs]],"&gt;=3",tbl_task2[[SubPLOs]:[SubPLOs]],"&lt;4")+SUMIFS(tbl_task3[S26],tbl_task3[[SubPLOs]:[SubPLOs]],"&gt;=3",tbl_task3[[SubPLOs]:[SubPLOs]],"&lt;4")+SUMIFS(tbl_task4[S26],tbl_task4[[SubPLOs]:[SubPLOs]],"&gt;=3",tbl_task4[[SubPLOs]:[SubPLOs]],"&lt;4")+SUMIFS(tbl_task5[S26],tbl_task5[[SubPLOs]:[SubPLOs]],"&gt;=3",tbl_task5[[SubPLOs]:[SubPLOs]],"&lt;4")+SUMIFS(tbl_task6[S26],tbl_task6[[SubPLOs]:[SubPLOs]],"&gt;=3",tbl_task6[[SubPLOs]:[SubPLOs]],"&lt;4")+SUMIFS(tbl_task7[S26],tbl_task7[[SubPLOs]:[SubPLOs]],"&gt;=3",tbl_task7[[SubPLOs]:[SubPLOs]],"&lt;4")+SUMIFS(tbl_task8[S26],tbl_task8[[SubPLOs]:[SubPLOs]],"&gt;=3",tbl_task8[[SubPLOs]:[SubPLOs]],"&lt;4")+SUMIFS(tbl_task9[S26],tbl_task9[[SubPLOs]:[SubPLOs]],"&gt;=3",tbl_task9[[SubPLOs]:[SubPLOs]],"&lt;4")+SUMIFS(tbl_task10[S26],tbl_task10[[SubPLOs]:[SubPLOs]],"&gt;=3",tbl_task10[[SubPLOs]:[SubPLOs]],"&lt;4")</f>
        <v>0</v>
      </c>
      <c r="AF182" s="41">
        <f>SUMIFS(tbl_task1[S27],tbl_task1[[SubPLOs]:[SubPLOs]],"&gt;=3",tbl_task1[[SubPLOs]:[SubPLOs]],"&lt;4")+SUMIFS(tbl_task2[S27],tbl_task2[[SubPLOs]:[SubPLOs]],"&gt;=3",tbl_task2[[SubPLOs]:[SubPLOs]],"&lt;4")+SUMIFS(tbl_task3[S27],tbl_task3[[SubPLOs]:[SubPLOs]],"&gt;=3",tbl_task3[[SubPLOs]:[SubPLOs]],"&lt;4")+SUMIFS(tbl_task4[S27],tbl_task4[[SubPLOs]:[SubPLOs]],"&gt;=3",tbl_task4[[SubPLOs]:[SubPLOs]],"&lt;4")+SUMIFS(tbl_task5[S27],tbl_task5[[SubPLOs]:[SubPLOs]],"&gt;=3",tbl_task5[[SubPLOs]:[SubPLOs]],"&lt;4")+SUMIFS(tbl_task6[S27],tbl_task6[[SubPLOs]:[SubPLOs]],"&gt;=3",tbl_task6[[SubPLOs]:[SubPLOs]],"&lt;4")+SUMIFS(tbl_task7[S27],tbl_task7[[SubPLOs]:[SubPLOs]],"&gt;=3",tbl_task7[[SubPLOs]:[SubPLOs]],"&lt;4")+SUMIFS(tbl_task8[S27],tbl_task8[[SubPLOs]:[SubPLOs]],"&gt;=3",tbl_task8[[SubPLOs]:[SubPLOs]],"&lt;4")+SUMIFS(tbl_task9[S27],tbl_task9[[SubPLOs]:[SubPLOs]],"&gt;=3",tbl_task9[[SubPLOs]:[SubPLOs]],"&lt;4")+SUMIFS(tbl_task10[S27],tbl_task10[[SubPLOs]:[SubPLOs]],"&gt;=3",tbl_task10[[SubPLOs]:[SubPLOs]],"&lt;4")</f>
        <v>0</v>
      </c>
      <c r="AG182" s="41">
        <f>SUMIFS(tbl_task1[S28],tbl_task1[[SubPLOs]:[SubPLOs]],"&gt;=3",tbl_task1[[SubPLOs]:[SubPLOs]],"&lt;4")+SUMIFS(tbl_task2[S28],tbl_task2[[SubPLOs]:[SubPLOs]],"&gt;=3",tbl_task2[[SubPLOs]:[SubPLOs]],"&lt;4")+SUMIFS(tbl_task3[S28],tbl_task3[[SubPLOs]:[SubPLOs]],"&gt;=3",tbl_task3[[SubPLOs]:[SubPLOs]],"&lt;4")+SUMIFS(tbl_task4[S28],tbl_task4[[SubPLOs]:[SubPLOs]],"&gt;=3",tbl_task4[[SubPLOs]:[SubPLOs]],"&lt;4")+SUMIFS(tbl_task5[S28],tbl_task5[[SubPLOs]:[SubPLOs]],"&gt;=3",tbl_task5[[SubPLOs]:[SubPLOs]],"&lt;4")+SUMIFS(tbl_task6[S28],tbl_task6[[SubPLOs]:[SubPLOs]],"&gt;=3",tbl_task6[[SubPLOs]:[SubPLOs]],"&lt;4")+SUMIFS(tbl_task7[S28],tbl_task7[[SubPLOs]:[SubPLOs]],"&gt;=3",tbl_task7[[SubPLOs]:[SubPLOs]],"&lt;4")+SUMIFS(tbl_task8[S28],tbl_task8[[SubPLOs]:[SubPLOs]],"&gt;=3",tbl_task8[[SubPLOs]:[SubPLOs]],"&lt;4")+SUMIFS(tbl_task9[S28],tbl_task9[[SubPLOs]:[SubPLOs]],"&gt;=3",tbl_task9[[SubPLOs]:[SubPLOs]],"&lt;4")+SUMIFS(tbl_task10[S28],tbl_task10[[SubPLOs]:[SubPLOs]],"&gt;=3",tbl_task10[[SubPLOs]:[SubPLOs]],"&lt;4")</f>
        <v>0</v>
      </c>
      <c r="AH182" s="41">
        <f>SUMIFS(tbl_task1[S29],tbl_task1[[SubPLOs]:[SubPLOs]],"&gt;=3",tbl_task1[[SubPLOs]:[SubPLOs]],"&lt;4")+SUMIFS(tbl_task2[S29],tbl_task2[[SubPLOs]:[SubPLOs]],"&gt;=3",tbl_task2[[SubPLOs]:[SubPLOs]],"&lt;4")+SUMIFS(tbl_task3[S29],tbl_task3[[SubPLOs]:[SubPLOs]],"&gt;=3",tbl_task3[[SubPLOs]:[SubPLOs]],"&lt;4")+SUMIFS(tbl_task4[S29],tbl_task4[[SubPLOs]:[SubPLOs]],"&gt;=3",tbl_task4[[SubPLOs]:[SubPLOs]],"&lt;4")+SUMIFS(tbl_task5[S29],tbl_task5[[SubPLOs]:[SubPLOs]],"&gt;=3",tbl_task5[[SubPLOs]:[SubPLOs]],"&lt;4")+SUMIFS(tbl_task6[S29],tbl_task6[[SubPLOs]:[SubPLOs]],"&gt;=3",tbl_task6[[SubPLOs]:[SubPLOs]],"&lt;4")+SUMIFS(tbl_task7[S29],tbl_task7[[SubPLOs]:[SubPLOs]],"&gt;=3",tbl_task7[[SubPLOs]:[SubPLOs]],"&lt;4")+SUMIFS(tbl_task8[S29],tbl_task8[[SubPLOs]:[SubPLOs]],"&gt;=3",tbl_task8[[SubPLOs]:[SubPLOs]],"&lt;4")+SUMIFS(tbl_task9[S29],tbl_task9[[SubPLOs]:[SubPLOs]],"&gt;=3",tbl_task9[[SubPLOs]:[SubPLOs]],"&lt;4")+SUMIFS(tbl_task10[S29],tbl_task10[[SubPLOs]:[SubPLOs]],"&gt;=3",tbl_task10[[SubPLOs]:[SubPLOs]],"&lt;4")</f>
        <v>0</v>
      </c>
      <c r="AI182" s="41">
        <f>SUMIFS(tbl_task1[S30],tbl_task1[[SubPLOs]:[SubPLOs]],"&gt;=3",tbl_task1[[SubPLOs]:[SubPLOs]],"&lt;4")+SUMIFS(tbl_task2[S30],tbl_task2[[SubPLOs]:[SubPLOs]],"&gt;=3",tbl_task2[[SubPLOs]:[SubPLOs]],"&lt;4")+SUMIFS(tbl_task3[S30],tbl_task3[[SubPLOs]:[SubPLOs]],"&gt;=3",tbl_task3[[SubPLOs]:[SubPLOs]],"&lt;4")+SUMIFS(tbl_task4[S30],tbl_task4[[SubPLOs]:[SubPLOs]],"&gt;=3",tbl_task4[[SubPLOs]:[SubPLOs]],"&lt;4")+SUMIFS(tbl_task5[S30],tbl_task5[[SubPLOs]:[SubPLOs]],"&gt;=3",tbl_task5[[SubPLOs]:[SubPLOs]],"&lt;4")+SUMIFS(tbl_task6[S30],tbl_task6[[SubPLOs]:[SubPLOs]],"&gt;=3",tbl_task6[[SubPLOs]:[SubPLOs]],"&lt;4")+SUMIFS(tbl_task7[S30],tbl_task7[[SubPLOs]:[SubPLOs]],"&gt;=3",tbl_task7[[SubPLOs]:[SubPLOs]],"&lt;4")+SUMIFS(tbl_task8[S30],tbl_task8[[SubPLOs]:[SubPLOs]],"&gt;=3",tbl_task8[[SubPLOs]:[SubPLOs]],"&lt;4")+SUMIFS(tbl_task9[S30],tbl_task9[[SubPLOs]:[SubPLOs]],"&gt;=3",tbl_task9[[SubPLOs]:[SubPLOs]],"&lt;4")+SUMIFS(tbl_task10[S30],tbl_task10[[SubPLOs]:[SubPLOs]],"&gt;=3",tbl_task10[[SubPLOs]:[SubPLOs]],"&lt;4")</f>
        <v>0</v>
      </c>
      <c r="AJ182" s="41">
        <f>SUMIFS(tbl_task1[S31],tbl_task1[[SubPLOs]:[SubPLOs]],"&gt;=3",tbl_task1[[SubPLOs]:[SubPLOs]],"&lt;4")+SUMIFS(tbl_task2[S31],tbl_task2[[SubPLOs]:[SubPLOs]],"&gt;=3",tbl_task2[[SubPLOs]:[SubPLOs]],"&lt;4")+SUMIFS(tbl_task3[S31],tbl_task3[[SubPLOs]:[SubPLOs]],"&gt;=3",tbl_task3[[SubPLOs]:[SubPLOs]],"&lt;4")+SUMIFS(tbl_task4[S31],tbl_task4[[SubPLOs]:[SubPLOs]],"&gt;=3",tbl_task4[[SubPLOs]:[SubPLOs]],"&lt;4")+SUMIFS(tbl_task5[S31],tbl_task5[[SubPLOs]:[SubPLOs]],"&gt;=3",tbl_task5[[SubPLOs]:[SubPLOs]],"&lt;4")+SUMIFS(tbl_task6[S31],tbl_task6[[SubPLOs]:[SubPLOs]],"&gt;=3",tbl_task6[[SubPLOs]:[SubPLOs]],"&lt;4")+SUMIFS(tbl_task7[S31],tbl_task7[[SubPLOs]:[SubPLOs]],"&gt;=3",tbl_task7[[SubPLOs]:[SubPLOs]],"&lt;4")+SUMIFS(tbl_task8[S31],tbl_task8[[SubPLOs]:[SubPLOs]],"&gt;=3",tbl_task8[[SubPLOs]:[SubPLOs]],"&lt;4")+SUMIFS(tbl_task9[S31],tbl_task9[[SubPLOs]:[SubPLOs]],"&gt;=3",tbl_task9[[SubPLOs]:[SubPLOs]],"&lt;4")+SUMIFS(tbl_task10[S31],tbl_task10[[SubPLOs]:[SubPLOs]],"&gt;=3",tbl_task10[[SubPLOs]:[SubPLOs]],"&lt;4")</f>
        <v>0</v>
      </c>
      <c r="AK182" s="41">
        <f>SUMIFS(tbl_task1[S32],tbl_task1[[SubPLOs]:[SubPLOs]],"&gt;=3",tbl_task1[[SubPLOs]:[SubPLOs]],"&lt;4")+SUMIFS(tbl_task2[S32],tbl_task2[[SubPLOs]:[SubPLOs]],"&gt;=3",tbl_task2[[SubPLOs]:[SubPLOs]],"&lt;4")+SUMIFS(tbl_task3[S32],tbl_task3[[SubPLOs]:[SubPLOs]],"&gt;=3",tbl_task3[[SubPLOs]:[SubPLOs]],"&lt;4")+SUMIFS(tbl_task4[S32],tbl_task4[[SubPLOs]:[SubPLOs]],"&gt;=3",tbl_task4[[SubPLOs]:[SubPLOs]],"&lt;4")+SUMIFS(tbl_task5[S32],tbl_task5[[SubPLOs]:[SubPLOs]],"&gt;=3",tbl_task5[[SubPLOs]:[SubPLOs]],"&lt;4")+SUMIFS(tbl_task6[S32],tbl_task6[[SubPLOs]:[SubPLOs]],"&gt;=3",tbl_task6[[SubPLOs]:[SubPLOs]],"&lt;4")+SUMIFS(tbl_task7[S32],tbl_task7[[SubPLOs]:[SubPLOs]],"&gt;=3",tbl_task7[[SubPLOs]:[SubPLOs]],"&lt;4")+SUMIFS(tbl_task8[S32],tbl_task8[[SubPLOs]:[SubPLOs]],"&gt;=3",tbl_task8[[SubPLOs]:[SubPLOs]],"&lt;4")+SUMIFS(tbl_task9[S32],tbl_task9[[SubPLOs]:[SubPLOs]],"&gt;=3",tbl_task9[[SubPLOs]:[SubPLOs]],"&lt;4")+SUMIFS(tbl_task10[S32],tbl_task10[[SubPLOs]:[SubPLOs]],"&gt;=3",tbl_task10[[SubPLOs]:[SubPLOs]],"&lt;4")</f>
        <v>0</v>
      </c>
      <c r="AL182" s="41">
        <f>SUMIFS(tbl_task1[S33],tbl_task1[[SubPLOs]:[SubPLOs]],"&gt;=3",tbl_task1[[SubPLOs]:[SubPLOs]],"&lt;4")+SUMIFS(tbl_task2[S33],tbl_task2[[SubPLOs]:[SubPLOs]],"&gt;=3",tbl_task2[[SubPLOs]:[SubPLOs]],"&lt;4")+SUMIFS(tbl_task3[S33],tbl_task3[[SubPLOs]:[SubPLOs]],"&gt;=3",tbl_task3[[SubPLOs]:[SubPLOs]],"&lt;4")+SUMIFS(tbl_task4[S33],tbl_task4[[SubPLOs]:[SubPLOs]],"&gt;=3",tbl_task4[[SubPLOs]:[SubPLOs]],"&lt;4")+SUMIFS(tbl_task5[S33],tbl_task5[[SubPLOs]:[SubPLOs]],"&gt;=3",tbl_task5[[SubPLOs]:[SubPLOs]],"&lt;4")+SUMIFS(tbl_task6[S33],tbl_task6[[SubPLOs]:[SubPLOs]],"&gt;=3",tbl_task6[[SubPLOs]:[SubPLOs]],"&lt;4")+SUMIFS(tbl_task7[S33],tbl_task7[[SubPLOs]:[SubPLOs]],"&gt;=3",tbl_task7[[SubPLOs]:[SubPLOs]],"&lt;4")+SUMIFS(tbl_task8[S33],tbl_task8[[SubPLOs]:[SubPLOs]],"&gt;=3",tbl_task8[[SubPLOs]:[SubPLOs]],"&lt;4")+SUMIFS(tbl_task9[S33],tbl_task9[[SubPLOs]:[SubPLOs]],"&gt;=3",tbl_task9[[SubPLOs]:[SubPLOs]],"&lt;4")+SUMIFS(tbl_task10[S33],tbl_task10[[SubPLOs]:[SubPLOs]],"&gt;=3",tbl_task10[[SubPLOs]:[SubPLOs]],"&lt;4")</f>
        <v>0</v>
      </c>
      <c r="AM182" s="41">
        <f>SUMIFS(tbl_task1[S34],tbl_task1[[SubPLOs]:[SubPLOs]],"&gt;=3",tbl_task1[[SubPLOs]:[SubPLOs]],"&lt;4")+SUMIFS(tbl_task2[S34],tbl_task2[[SubPLOs]:[SubPLOs]],"&gt;=3",tbl_task2[[SubPLOs]:[SubPLOs]],"&lt;4")+SUMIFS(tbl_task3[S34],tbl_task3[[SubPLOs]:[SubPLOs]],"&gt;=3",tbl_task3[[SubPLOs]:[SubPLOs]],"&lt;4")+SUMIFS(tbl_task4[S34],tbl_task4[[SubPLOs]:[SubPLOs]],"&gt;=3",tbl_task4[[SubPLOs]:[SubPLOs]],"&lt;4")+SUMIFS(tbl_task5[S34],tbl_task5[[SubPLOs]:[SubPLOs]],"&gt;=3",tbl_task5[[SubPLOs]:[SubPLOs]],"&lt;4")+SUMIFS(tbl_task6[S34],tbl_task6[[SubPLOs]:[SubPLOs]],"&gt;=3",tbl_task6[[SubPLOs]:[SubPLOs]],"&lt;4")+SUMIFS(tbl_task7[S34],tbl_task7[[SubPLOs]:[SubPLOs]],"&gt;=3",tbl_task7[[SubPLOs]:[SubPLOs]],"&lt;4")+SUMIFS(tbl_task8[S34],tbl_task8[[SubPLOs]:[SubPLOs]],"&gt;=3",tbl_task8[[SubPLOs]:[SubPLOs]],"&lt;4")+SUMIFS(tbl_task9[S34],tbl_task9[[SubPLOs]:[SubPLOs]],"&gt;=3",tbl_task9[[SubPLOs]:[SubPLOs]],"&lt;4")+SUMIFS(tbl_task10[S34],tbl_task10[[SubPLOs]:[SubPLOs]],"&gt;=3",tbl_task10[[SubPLOs]:[SubPLOs]],"&lt;4")</f>
        <v>0</v>
      </c>
      <c r="AN182" s="41">
        <f>SUMIFS(tbl_task1[S35],tbl_task1[[SubPLOs]:[SubPLOs]],"&gt;=3",tbl_task1[[SubPLOs]:[SubPLOs]],"&lt;4")+SUMIFS(tbl_task2[S35],tbl_task2[[SubPLOs]:[SubPLOs]],"&gt;=3",tbl_task2[[SubPLOs]:[SubPLOs]],"&lt;4")+SUMIFS(tbl_task3[S35],tbl_task3[[SubPLOs]:[SubPLOs]],"&gt;=3",tbl_task3[[SubPLOs]:[SubPLOs]],"&lt;4")+SUMIFS(tbl_task4[S35],tbl_task4[[SubPLOs]:[SubPLOs]],"&gt;=3",tbl_task4[[SubPLOs]:[SubPLOs]],"&lt;4")+SUMIFS(tbl_task5[S35],tbl_task5[[SubPLOs]:[SubPLOs]],"&gt;=3",tbl_task5[[SubPLOs]:[SubPLOs]],"&lt;4")+SUMIFS(tbl_task6[S35],tbl_task6[[SubPLOs]:[SubPLOs]],"&gt;=3",tbl_task6[[SubPLOs]:[SubPLOs]],"&lt;4")+SUMIFS(tbl_task7[S35],tbl_task7[[SubPLOs]:[SubPLOs]],"&gt;=3",tbl_task7[[SubPLOs]:[SubPLOs]],"&lt;4")+SUMIFS(tbl_task8[S35],tbl_task8[[SubPLOs]:[SubPLOs]],"&gt;=3",tbl_task8[[SubPLOs]:[SubPLOs]],"&lt;4")+SUMIFS(tbl_task9[S35],tbl_task9[[SubPLOs]:[SubPLOs]],"&gt;=3",tbl_task9[[SubPLOs]:[SubPLOs]],"&lt;4")+SUMIFS(tbl_task10[S35],tbl_task10[[SubPLOs]:[SubPLOs]],"&gt;=3",tbl_task10[[SubPLOs]:[SubPLOs]],"&lt;4")</f>
        <v>0</v>
      </c>
      <c r="AO182" s="41">
        <f>SUMIFS(tbl_task1[S36],tbl_task1[[SubPLOs]:[SubPLOs]],"&gt;=3",tbl_task1[[SubPLOs]:[SubPLOs]],"&lt;4")+SUMIFS(tbl_task2[S36],tbl_task2[[SubPLOs]:[SubPLOs]],"&gt;=3",tbl_task2[[SubPLOs]:[SubPLOs]],"&lt;4")+SUMIFS(tbl_task3[S36],tbl_task3[[SubPLOs]:[SubPLOs]],"&gt;=3",tbl_task3[[SubPLOs]:[SubPLOs]],"&lt;4")+SUMIFS(tbl_task4[S36],tbl_task4[[SubPLOs]:[SubPLOs]],"&gt;=3",tbl_task4[[SubPLOs]:[SubPLOs]],"&lt;4")+SUMIFS(tbl_task5[S36],tbl_task5[[SubPLOs]:[SubPLOs]],"&gt;=3",tbl_task5[[SubPLOs]:[SubPLOs]],"&lt;4")+SUMIFS(tbl_task6[S36],tbl_task6[[SubPLOs]:[SubPLOs]],"&gt;=3",tbl_task6[[SubPLOs]:[SubPLOs]],"&lt;4")+SUMIFS(tbl_task7[S36],tbl_task7[[SubPLOs]:[SubPLOs]],"&gt;=3",tbl_task7[[SubPLOs]:[SubPLOs]],"&lt;4")+SUMIFS(tbl_task8[S36],tbl_task8[[SubPLOs]:[SubPLOs]],"&gt;=3",tbl_task8[[SubPLOs]:[SubPLOs]],"&lt;4")+SUMIFS(tbl_task9[S36],tbl_task9[[SubPLOs]:[SubPLOs]],"&gt;=3",tbl_task9[[SubPLOs]:[SubPLOs]],"&lt;4")+SUMIFS(tbl_task10[S36],tbl_task10[[SubPLOs]:[SubPLOs]],"&gt;=3",tbl_task10[[SubPLOs]:[SubPLOs]],"&lt;4")</f>
        <v>0</v>
      </c>
      <c r="AP182" s="41">
        <f>SUMIFS(tbl_task1[S37],tbl_task1[[SubPLOs]:[SubPLOs]],"&gt;=3",tbl_task1[[SubPLOs]:[SubPLOs]],"&lt;4")+SUMIFS(tbl_task2[S37],tbl_task2[[SubPLOs]:[SubPLOs]],"&gt;=3",tbl_task2[[SubPLOs]:[SubPLOs]],"&lt;4")+SUMIFS(tbl_task3[S37],tbl_task3[[SubPLOs]:[SubPLOs]],"&gt;=3",tbl_task3[[SubPLOs]:[SubPLOs]],"&lt;4")+SUMIFS(tbl_task4[S37],tbl_task4[[SubPLOs]:[SubPLOs]],"&gt;=3",tbl_task4[[SubPLOs]:[SubPLOs]],"&lt;4")+SUMIFS(tbl_task5[S37],tbl_task5[[SubPLOs]:[SubPLOs]],"&gt;=3",tbl_task5[[SubPLOs]:[SubPLOs]],"&lt;4")+SUMIFS(tbl_task6[S37],tbl_task6[[SubPLOs]:[SubPLOs]],"&gt;=3",tbl_task6[[SubPLOs]:[SubPLOs]],"&lt;4")+SUMIFS(tbl_task7[S37],tbl_task7[[SubPLOs]:[SubPLOs]],"&gt;=3",tbl_task7[[SubPLOs]:[SubPLOs]],"&lt;4")+SUMIFS(tbl_task8[S37],tbl_task8[[SubPLOs]:[SubPLOs]],"&gt;=3",tbl_task8[[SubPLOs]:[SubPLOs]],"&lt;4")+SUMIFS(tbl_task9[S37],tbl_task9[[SubPLOs]:[SubPLOs]],"&gt;=3",tbl_task9[[SubPLOs]:[SubPLOs]],"&lt;4")+SUMIFS(tbl_task10[S37],tbl_task10[[SubPLOs]:[SubPLOs]],"&gt;=3",tbl_task10[[SubPLOs]:[SubPLOs]],"&lt;4")</f>
        <v>0</v>
      </c>
      <c r="AQ182" s="41">
        <f>SUMIFS(tbl_task1[S38],tbl_task1[[SubPLOs]:[SubPLOs]],"&gt;=3",tbl_task1[[SubPLOs]:[SubPLOs]],"&lt;4")+SUMIFS(tbl_task2[S38],tbl_task2[[SubPLOs]:[SubPLOs]],"&gt;=3",tbl_task2[[SubPLOs]:[SubPLOs]],"&lt;4")+SUMIFS(tbl_task3[S38],tbl_task3[[SubPLOs]:[SubPLOs]],"&gt;=3",tbl_task3[[SubPLOs]:[SubPLOs]],"&lt;4")+SUMIFS(tbl_task4[S38],tbl_task4[[SubPLOs]:[SubPLOs]],"&gt;=3",tbl_task4[[SubPLOs]:[SubPLOs]],"&lt;4")+SUMIFS(tbl_task5[S38],tbl_task5[[SubPLOs]:[SubPLOs]],"&gt;=3",tbl_task5[[SubPLOs]:[SubPLOs]],"&lt;4")+SUMIFS(tbl_task6[S38],tbl_task6[[SubPLOs]:[SubPLOs]],"&gt;=3",tbl_task6[[SubPLOs]:[SubPLOs]],"&lt;4")+SUMIFS(tbl_task7[S38],tbl_task7[[SubPLOs]:[SubPLOs]],"&gt;=3",tbl_task7[[SubPLOs]:[SubPLOs]],"&lt;4")+SUMIFS(tbl_task8[S38],tbl_task8[[SubPLOs]:[SubPLOs]],"&gt;=3",tbl_task8[[SubPLOs]:[SubPLOs]],"&lt;4")+SUMIFS(tbl_task9[S38],tbl_task9[[SubPLOs]:[SubPLOs]],"&gt;=3",tbl_task9[[SubPLOs]:[SubPLOs]],"&lt;4")+SUMIFS(tbl_task10[S38],tbl_task10[[SubPLOs]:[SubPLOs]],"&gt;=3",tbl_task10[[SubPLOs]:[SubPLOs]],"&lt;4")</f>
        <v>0</v>
      </c>
      <c r="AR182" s="41">
        <f>SUMIFS(tbl_task1[S39],tbl_task1[[SubPLOs]:[SubPLOs]],"&gt;=3",tbl_task1[[SubPLOs]:[SubPLOs]],"&lt;4")+SUMIFS(tbl_task2[S39],tbl_task2[[SubPLOs]:[SubPLOs]],"&gt;=3",tbl_task2[[SubPLOs]:[SubPLOs]],"&lt;4")+SUMIFS(tbl_task3[S39],tbl_task3[[SubPLOs]:[SubPLOs]],"&gt;=3",tbl_task3[[SubPLOs]:[SubPLOs]],"&lt;4")+SUMIFS(tbl_task4[S39],tbl_task4[[SubPLOs]:[SubPLOs]],"&gt;=3",tbl_task4[[SubPLOs]:[SubPLOs]],"&lt;4")+SUMIFS(tbl_task5[S39],tbl_task5[[SubPLOs]:[SubPLOs]],"&gt;=3",tbl_task5[[SubPLOs]:[SubPLOs]],"&lt;4")+SUMIFS(tbl_task6[S39],tbl_task6[[SubPLOs]:[SubPLOs]],"&gt;=3",tbl_task6[[SubPLOs]:[SubPLOs]],"&lt;4")+SUMIFS(tbl_task7[S39],tbl_task7[[SubPLOs]:[SubPLOs]],"&gt;=3",tbl_task7[[SubPLOs]:[SubPLOs]],"&lt;4")+SUMIFS(tbl_task8[S39],tbl_task8[[SubPLOs]:[SubPLOs]],"&gt;=3",tbl_task8[[SubPLOs]:[SubPLOs]],"&lt;4")+SUMIFS(tbl_task9[S39],tbl_task9[[SubPLOs]:[SubPLOs]],"&gt;=3",tbl_task9[[SubPLOs]:[SubPLOs]],"&lt;4")+SUMIFS(tbl_task10[S39],tbl_task10[[SubPLOs]:[SubPLOs]],"&gt;=3",tbl_task10[[SubPLOs]:[SubPLOs]],"&lt;4")</f>
        <v>0</v>
      </c>
      <c r="AS182" s="41">
        <f>SUMIFS(tbl_task1[S40],tbl_task1[[SubPLOs]:[SubPLOs]],"&gt;=3",tbl_task1[[SubPLOs]:[SubPLOs]],"&lt;4")+SUMIFS(tbl_task2[S40],tbl_task2[[SubPLOs]:[SubPLOs]],"&gt;=3",tbl_task2[[SubPLOs]:[SubPLOs]],"&lt;4")+SUMIFS(tbl_task3[S40],tbl_task3[[SubPLOs]:[SubPLOs]],"&gt;=3",tbl_task3[[SubPLOs]:[SubPLOs]],"&lt;4")+SUMIFS(tbl_task4[S40],tbl_task4[[SubPLOs]:[SubPLOs]],"&gt;=3",tbl_task4[[SubPLOs]:[SubPLOs]],"&lt;4")+SUMIFS(tbl_task5[S40],tbl_task5[[SubPLOs]:[SubPLOs]],"&gt;=3",tbl_task5[[SubPLOs]:[SubPLOs]],"&lt;4")+SUMIFS(tbl_task6[S40],tbl_task6[[SubPLOs]:[SubPLOs]],"&gt;=3",tbl_task6[[SubPLOs]:[SubPLOs]],"&lt;4")+SUMIFS(tbl_task7[S40],tbl_task7[[SubPLOs]:[SubPLOs]],"&gt;=3",tbl_task7[[SubPLOs]:[SubPLOs]],"&lt;4")+SUMIFS(tbl_task8[S40],tbl_task8[[SubPLOs]:[SubPLOs]],"&gt;=3",tbl_task8[[SubPLOs]:[SubPLOs]],"&lt;4")+SUMIFS(tbl_task9[S40],tbl_task9[[SubPLOs]:[SubPLOs]],"&gt;=3",tbl_task9[[SubPLOs]:[SubPLOs]],"&lt;4")+SUMIFS(tbl_task10[S40],tbl_task10[[SubPLOs]:[SubPLOs]],"&gt;=3",tbl_task10[[SubPLOs]:[SubPLOs]],"&lt;4")</f>
        <v>0</v>
      </c>
      <c r="AT182" s="41">
        <f>SUMIFS(tbl_task1[S41],tbl_task1[[SubPLOs]:[SubPLOs]],"&gt;=3",tbl_task1[[SubPLOs]:[SubPLOs]],"&lt;4")+SUMIFS(tbl_task2[S41],tbl_task2[[SubPLOs]:[SubPLOs]],"&gt;=3",tbl_task2[[SubPLOs]:[SubPLOs]],"&lt;4")+SUMIFS(tbl_task3[S41],tbl_task3[[SubPLOs]:[SubPLOs]],"&gt;=3",tbl_task3[[SubPLOs]:[SubPLOs]],"&lt;4")+SUMIFS(tbl_task4[S41],tbl_task4[[SubPLOs]:[SubPLOs]],"&gt;=3",tbl_task4[[SubPLOs]:[SubPLOs]],"&lt;4")+SUMIFS(tbl_task5[S41],tbl_task5[[SubPLOs]:[SubPLOs]],"&gt;=3",tbl_task5[[SubPLOs]:[SubPLOs]],"&lt;4")+SUMIFS(tbl_task6[S41],tbl_task6[[SubPLOs]:[SubPLOs]],"&gt;=3",tbl_task6[[SubPLOs]:[SubPLOs]],"&lt;4")+SUMIFS(tbl_task7[S41],tbl_task7[[SubPLOs]:[SubPLOs]],"&gt;=3",tbl_task7[[SubPLOs]:[SubPLOs]],"&lt;4")+SUMIFS(tbl_task8[S41],tbl_task8[[SubPLOs]:[SubPLOs]],"&gt;=3",tbl_task8[[SubPLOs]:[SubPLOs]],"&lt;4")+SUMIFS(tbl_task9[S41],tbl_task9[[SubPLOs]:[SubPLOs]],"&gt;=3",tbl_task9[[SubPLOs]:[SubPLOs]],"&lt;4")+SUMIFS(tbl_task10[S41],tbl_task10[[SubPLOs]:[SubPLOs]],"&gt;=3",tbl_task10[[SubPLOs]:[SubPLOs]],"&lt;4")</f>
        <v>0</v>
      </c>
      <c r="AU182" s="41">
        <f>SUMIFS(tbl_task1[S42],tbl_task1[[SubPLOs]:[SubPLOs]],"&gt;=3",tbl_task1[[SubPLOs]:[SubPLOs]],"&lt;4")+SUMIFS(tbl_task2[S42],tbl_task2[[SubPLOs]:[SubPLOs]],"&gt;=3",tbl_task2[[SubPLOs]:[SubPLOs]],"&lt;4")+SUMIFS(tbl_task3[S42],tbl_task3[[SubPLOs]:[SubPLOs]],"&gt;=3",tbl_task3[[SubPLOs]:[SubPLOs]],"&lt;4")+SUMIFS(tbl_task4[S42],tbl_task4[[SubPLOs]:[SubPLOs]],"&gt;=3",tbl_task4[[SubPLOs]:[SubPLOs]],"&lt;4")+SUMIFS(tbl_task5[S42],tbl_task5[[SubPLOs]:[SubPLOs]],"&gt;=3",tbl_task5[[SubPLOs]:[SubPLOs]],"&lt;4")+SUMIFS(tbl_task6[S42],tbl_task6[[SubPLOs]:[SubPLOs]],"&gt;=3",tbl_task6[[SubPLOs]:[SubPLOs]],"&lt;4")+SUMIFS(tbl_task7[S42],tbl_task7[[SubPLOs]:[SubPLOs]],"&gt;=3",tbl_task7[[SubPLOs]:[SubPLOs]],"&lt;4")+SUMIFS(tbl_task8[S42],tbl_task8[[SubPLOs]:[SubPLOs]],"&gt;=3",tbl_task8[[SubPLOs]:[SubPLOs]],"&lt;4")+SUMIFS(tbl_task9[S42],tbl_task9[[SubPLOs]:[SubPLOs]],"&gt;=3",tbl_task9[[SubPLOs]:[SubPLOs]],"&lt;4")+SUMIFS(tbl_task10[S42],tbl_task10[[SubPLOs]:[SubPLOs]],"&gt;=3",tbl_task10[[SubPLOs]:[SubPLOs]],"&lt;4")</f>
        <v>0</v>
      </c>
      <c r="AV182" s="41">
        <f>SUMIFS(tbl_task1[S43],tbl_task1[[SubPLOs]:[SubPLOs]],"&gt;=3",tbl_task1[[SubPLOs]:[SubPLOs]],"&lt;4")+SUMIFS(tbl_task2[S43],tbl_task2[[SubPLOs]:[SubPLOs]],"&gt;=3",tbl_task2[[SubPLOs]:[SubPLOs]],"&lt;4")+SUMIFS(tbl_task3[S43],tbl_task3[[SubPLOs]:[SubPLOs]],"&gt;=3",tbl_task3[[SubPLOs]:[SubPLOs]],"&lt;4")+SUMIFS(tbl_task4[S43],tbl_task4[[SubPLOs]:[SubPLOs]],"&gt;=3",tbl_task4[[SubPLOs]:[SubPLOs]],"&lt;4")+SUMIFS(tbl_task5[S43],tbl_task5[[SubPLOs]:[SubPLOs]],"&gt;=3",tbl_task5[[SubPLOs]:[SubPLOs]],"&lt;4")+SUMIFS(tbl_task6[S43],tbl_task6[[SubPLOs]:[SubPLOs]],"&gt;=3",tbl_task6[[SubPLOs]:[SubPLOs]],"&lt;4")+SUMIFS(tbl_task7[S43],tbl_task7[[SubPLOs]:[SubPLOs]],"&gt;=3",tbl_task7[[SubPLOs]:[SubPLOs]],"&lt;4")+SUMIFS(tbl_task8[S43],tbl_task8[[SubPLOs]:[SubPLOs]],"&gt;=3",tbl_task8[[SubPLOs]:[SubPLOs]],"&lt;4")+SUMIFS(tbl_task9[S43],tbl_task9[[SubPLOs]:[SubPLOs]],"&gt;=3",tbl_task9[[SubPLOs]:[SubPLOs]],"&lt;4")+SUMIFS(tbl_task10[S43],tbl_task10[[SubPLOs]:[SubPLOs]],"&gt;=3",tbl_task10[[SubPLOs]:[SubPLOs]],"&lt;4")</f>
        <v>0</v>
      </c>
      <c r="AW182" s="41">
        <f>SUMIFS(tbl_task1[S44],tbl_task1[[SubPLOs]:[SubPLOs]],"&gt;=3",tbl_task1[[SubPLOs]:[SubPLOs]],"&lt;4")+SUMIFS(tbl_task2[S44],tbl_task2[[SubPLOs]:[SubPLOs]],"&gt;=3",tbl_task2[[SubPLOs]:[SubPLOs]],"&lt;4")+SUMIFS(tbl_task3[S44],tbl_task3[[SubPLOs]:[SubPLOs]],"&gt;=3",tbl_task3[[SubPLOs]:[SubPLOs]],"&lt;4")+SUMIFS(tbl_task4[S44],tbl_task4[[SubPLOs]:[SubPLOs]],"&gt;=3",tbl_task4[[SubPLOs]:[SubPLOs]],"&lt;4")+SUMIFS(tbl_task5[S44],tbl_task5[[SubPLOs]:[SubPLOs]],"&gt;=3",tbl_task5[[SubPLOs]:[SubPLOs]],"&lt;4")+SUMIFS(tbl_task6[S44],tbl_task6[[SubPLOs]:[SubPLOs]],"&gt;=3",tbl_task6[[SubPLOs]:[SubPLOs]],"&lt;4")+SUMIFS(tbl_task7[S44],tbl_task7[[SubPLOs]:[SubPLOs]],"&gt;=3",tbl_task7[[SubPLOs]:[SubPLOs]],"&lt;4")+SUMIFS(tbl_task8[S44],tbl_task8[[SubPLOs]:[SubPLOs]],"&gt;=3",tbl_task8[[SubPLOs]:[SubPLOs]],"&lt;4")+SUMIFS(tbl_task9[S44],tbl_task9[[SubPLOs]:[SubPLOs]],"&gt;=3",tbl_task9[[SubPLOs]:[SubPLOs]],"&lt;4")+SUMIFS(tbl_task10[S44],tbl_task10[[SubPLOs]:[SubPLOs]],"&gt;=3",tbl_task10[[SubPLOs]:[SubPLOs]],"&lt;4")</f>
        <v>0</v>
      </c>
      <c r="AX182" s="41">
        <f>SUMIFS(tbl_task1[S45],tbl_task1[[SubPLOs]:[SubPLOs]],"&gt;=3",tbl_task1[[SubPLOs]:[SubPLOs]],"&lt;4")+SUMIFS(tbl_task2[S45],tbl_task2[[SubPLOs]:[SubPLOs]],"&gt;=3",tbl_task2[[SubPLOs]:[SubPLOs]],"&lt;4")+SUMIFS(tbl_task3[S45],tbl_task3[[SubPLOs]:[SubPLOs]],"&gt;=3",tbl_task3[[SubPLOs]:[SubPLOs]],"&lt;4")+SUMIFS(tbl_task4[S45],tbl_task4[[SubPLOs]:[SubPLOs]],"&gt;=3",tbl_task4[[SubPLOs]:[SubPLOs]],"&lt;4")+SUMIFS(tbl_task5[S45],tbl_task5[[SubPLOs]:[SubPLOs]],"&gt;=3",tbl_task5[[SubPLOs]:[SubPLOs]],"&lt;4")+SUMIFS(tbl_task6[S45],tbl_task6[[SubPLOs]:[SubPLOs]],"&gt;=3",tbl_task6[[SubPLOs]:[SubPLOs]],"&lt;4")+SUMIFS(tbl_task7[S45],tbl_task7[[SubPLOs]:[SubPLOs]],"&gt;=3",tbl_task7[[SubPLOs]:[SubPLOs]],"&lt;4")+SUMIFS(tbl_task8[S45],tbl_task8[[SubPLOs]:[SubPLOs]],"&gt;=3",tbl_task8[[SubPLOs]:[SubPLOs]],"&lt;4")+SUMIFS(tbl_task9[S45],tbl_task9[[SubPLOs]:[SubPLOs]],"&gt;=3",tbl_task9[[SubPLOs]:[SubPLOs]],"&lt;4")+SUMIFS(tbl_task10[S45],tbl_task10[[SubPLOs]:[SubPLOs]],"&gt;=3",tbl_task10[[SubPLOs]:[SubPLOs]],"&lt;4")</f>
        <v>0</v>
      </c>
      <c r="AY182" s="41">
        <f>SUMIFS(tbl_task1[S46],tbl_task1[[SubPLOs]:[SubPLOs]],"&gt;=3",tbl_task1[[SubPLOs]:[SubPLOs]],"&lt;4")+SUMIFS(tbl_task2[S46],tbl_task2[[SubPLOs]:[SubPLOs]],"&gt;=3",tbl_task2[[SubPLOs]:[SubPLOs]],"&lt;4")+SUMIFS(tbl_task3[S46],tbl_task3[[SubPLOs]:[SubPLOs]],"&gt;=3",tbl_task3[[SubPLOs]:[SubPLOs]],"&lt;4")+SUMIFS(tbl_task4[S46],tbl_task4[[SubPLOs]:[SubPLOs]],"&gt;=3",tbl_task4[[SubPLOs]:[SubPLOs]],"&lt;4")+SUMIFS(tbl_task5[S46],tbl_task5[[SubPLOs]:[SubPLOs]],"&gt;=3",tbl_task5[[SubPLOs]:[SubPLOs]],"&lt;4")+SUMIFS(tbl_task6[S46],tbl_task6[[SubPLOs]:[SubPLOs]],"&gt;=3",tbl_task6[[SubPLOs]:[SubPLOs]],"&lt;4")+SUMIFS(tbl_task7[S46],tbl_task7[[SubPLOs]:[SubPLOs]],"&gt;=3",tbl_task7[[SubPLOs]:[SubPLOs]],"&lt;4")+SUMIFS(tbl_task8[S46],tbl_task8[[SubPLOs]:[SubPLOs]],"&gt;=3",tbl_task8[[SubPLOs]:[SubPLOs]],"&lt;4")+SUMIFS(tbl_task9[S46],tbl_task9[[SubPLOs]:[SubPLOs]],"&gt;=3",tbl_task9[[SubPLOs]:[SubPLOs]],"&lt;4")+SUMIFS(tbl_task10[S46],tbl_task10[[SubPLOs]:[SubPLOs]],"&gt;=3",tbl_task10[[SubPLOs]:[SubPLOs]],"&lt;4")</f>
        <v>0</v>
      </c>
      <c r="AZ182" s="41">
        <f>SUMIFS(tbl_task1[S47],tbl_task1[[SubPLOs]:[SubPLOs]],"&gt;=3",tbl_task1[[SubPLOs]:[SubPLOs]],"&lt;4")+SUMIFS(tbl_task2[S47],tbl_task2[[SubPLOs]:[SubPLOs]],"&gt;=3",tbl_task2[[SubPLOs]:[SubPLOs]],"&lt;4")+SUMIFS(tbl_task3[S47],tbl_task3[[SubPLOs]:[SubPLOs]],"&gt;=3",tbl_task3[[SubPLOs]:[SubPLOs]],"&lt;4")+SUMIFS(tbl_task4[S47],tbl_task4[[SubPLOs]:[SubPLOs]],"&gt;=3",tbl_task4[[SubPLOs]:[SubPLOs]],"&lt;4")+SUMIFS(tbl_task5[S47],tbl_task5[[SubPLOs]:[SubPLOs]],"&gt;=3",tbl_task5[[SubPLOs]:[SubPLOs]],"&lt;4")+SUMIFS(tbl_task6[S47],tbl_task6[[SubPLOs]:[SubPLOs]],"&gt;=3",tbl_task6[[SubPLOs]:[SubPLOs]],"&lt;4")+SUMIFS(tbl_task7[S47],tbl_task7[[SubPLOs]:[SubPLOs]],"&gt;=3",tbl_task7[[SubPLOs]:[SubPLOs]],"&lt;4")+SUMIFS(tbl_task8[S47],tbl_task8[[SubPLOs]:[SubPLOs]],"&gt;=3",tbl_task8[[SubPLOs]:[SubPLOs]],"&lt;4")+SUMIFS(tbl_task9[S47],tbl_task9[[SubPLOs]:[SubPLOs]],"&gt;=3",tbl_task9[[SubPLOs]:[SubPLOs]],"&lt;4")+SUMIFS(tbl_task10[S47],tbl_task10[[SubPLOs]:[SubPLOs]],"&gt;=3",tbl_task10[[SubPLOs]:[SubPLOs]],"&lt;4")</f>
        <v>0</v>
      </c>
      <c r="BA182" s="41">
        <f>SUMIFS(tbl_task1[S48],tbl_task1[[SubPLOs]:[SubPLOs]],"&gt;=3",tbl_task1[[SubPLOs]:[SubPLOs]],"&lt;4")+SUMIFS(tbl_task2[S48],tbl_task2[[SubPLOs]:[SubPLOs]],"&gt;=3",tbl_task2[[SubPLOs]:[SubPLOs]],"&lt;4")+SUMIFS(tbl_task3[S48],tbl_task3[[SubPLOs]:[SubPLOs]],"&gt;=3",tbl_task3[[SubPLOs]:[SubPLOs]],"&lt;4")+SUMIFS(tbl_task4[S48],tbl_task4[[SubPLOs]:[SubPLOs]],"&gt;=3",tbl_task4[[SubPLOs]:[SubPLOs]],"&lt;4")+SUMIFS(tbl_task5[S48],tbl_task5[[SubPLOs]:[SubPLOs]],"&gt;=3",tbl_task5[[SubPLOs]:[SubPLOs]],"&lt;4")+SUMIFS(tbl_task6[S48],tbl_task6[[SubPLOs]:[SubPLOs]],"&gt;=3",tbl_task6[[SubPLOs]:[SubPLOs]],"&lt;4")+SUMIFS(tbl_task7[S48],tbl_task7[[SubPLOs]:[SubPLOs]],"&gt;=3",tbl_task7[[SubPLOs]:[SubPLOs]],"&lt;4")+SUMIFS(tbl_task8[S48],tbl_task8[[SubPLOs]:[SubPLOs]],"&gt;=3",tbl_task8[[SubPLOs]:[SubPLOs]],"&lt;4")+SUMIFS(tbl_task9[S48],tbl_task9[[SubPLOs]:[SubPLOs]],"&gt;=3",tbl_task9[[SubPLOs]:[SubPLOs]],"&lt;4")+SUMIFS(tbl_task10[S48],tbl_task10[[SubPLOs]:[SubPLOs]],"&gt;=3",tbl_task10[[SubPLOs]:[SubPLOs]],"&lt;4")</f>
        <v>0</v>
      </c>
      <c r="BB182" s="41">
        <f>SUMIFS(tbl_task1[S49],tbl_task1[[SubPLOs]:[SubPLOs]],"&gt;=3",tbl_task1[[SubPLOs]:[SubPLOs]],"&lt;4")+SUMIFS(tbl_task2[S49],tbl_task2[[SubPLOs]:[SubPLOs]],"&gt;=3",tbl_task2[[SubPLOs]:[SubPLOs]],"&lt;4")+SUMIFS(tbl_task3[S49],tbl_task3[[SubPLOs]:[SubPLOs]],"&gt;=3",tbl_task3[[SubPLOs]:[SubPLOs]],"&lt;4")+SUMIFS(tbl_task4[S49],tbl_task4[[SubPLOs]:[SubPLOs]],"&gt;=3",tbl_task4[[SubPLOs]:[SubPLOs]],"&lt;4")+SUMIFS(tbl_task5[S49],tbl_task5[[SubPLOs]:[SubPLOs]],"&gt;=3",tbl_task5[[SubPLOs]:[SubPLOs]],"&lt;4")+SUMIFS(tbl_task6[S49],tbl_task6[[SubPLOs]:[SubPLOs]],"&gt;=3",tbl_task6[[SubPLOs]:[SubPLOs]],"&lt;4")+SUMIFS(tbl_task7[S49],tbl_task7[[SubPLOs]:[SubPLOs]],"&gt;=3",tbl_task7[[SubPLOs]:[SubPLOs]],"&lt;4")+SUMIFS(tbl_task8[S49],tbl_task8[[SubPLOs]:[SubPLOs]],"&gt;=3",tbl_task8[[SubPLOs]:[SubPLOs]],"&lt;4")+SUMIFS(tbl_task9[S49],tbl_task9[[SubPLOs]:[SubPLOs]],"&gt;=3",tbl_task9[[SubPLOs]:[SubPLOs]],"&lt;4")+SUMIFS(tbl_task10[S49],tbl_task10[[SubPLOs]:[SubPLOs]],"&gt;=3",tbl_task10[[SubPLOs]:[SubPLOs]],"&lt;4")</f>
        <v>0</v>
      </c>
      <c r="BC182" s="41">
        <f>SUMIFS(tbl_task1[S50],tbl_task1[[SubPLOs]:[SubPLOs]],"&gt;=3",tbl_task1[[SubPLOs]:[SubPLOs]],"&lt;4")+SUMIFS(tbl_task2[S50],tbl_task2[[SubPLOs]:[SubPLOs]],"&gt;=3",tbl_task2[[SubPLOs]:[SubPLOs]],"&lt;4")+SUMIFS(tbl_task3[S50],tbl_task3[[SubPLOs]:[SubPLOs]],"&gt;=3",tbl_task3[[SubPLOs]:[SubPLOs]],"&lt;4")+SUMIFS(tbl_task4[S50],tbl_task4[[SubPLOs]:[SubPLOs]],"&gt;=3",tbl_task4[[SubPLOs]:[SubPLOs]],"&lt;4")+SUMIFS(tbl_task5[S50],tbl_task5[[SubPLOs]:[SubPLOs]],"&gt;=3",tbl_task5[[SubPLOs]:[SubPLOs]],"&lt;4")+SUMIFS(tbl_task6[S50],tbl_task6[[SubPLOs]:[SubPLOs]],"&gt;=3",tbl_task6[[SubPLOs]:[SubPLOs]],"&lt;4")+SUMIFS(tbl_task7[S50],tbl_task7[[SubPLOs]:[SubPLOs]],"&gt;=3",tbl_task7[[SubPLOs]:[SubPLOs]],"&lt;4")+SUMIFS(tbl_task8[S50],tbl_task8[[SubPLOs]:[SubPLOs]],"&gt;=3",tbl_task8[[SubPLOs]:[SubPLOs]],"&lt;4")+SUMIFS(tbl_task9[S50],tbl_task9[[SubPLOs]:[SubPLOs]],"&gt;=3",tbl_task9[[SubPLOs]:[SubPLOs]],"&lt;4")+SUMIFS(tbl_task10[S50],tbl_task10[[SubPLOs]:[SubPLOs]],"&gt;=3",tbl_task10[[SubPLOs]:[SubPLOs]],"&lt;4")</f>
        <v>0</v>
      </c>
      <c r="BD182" s="41">
        <f>SUMIFS(tbl_task1[S51],tbl_task1[[SubPLOs]:[SubPLOs]],"&gt;=3",tbl_task1[[SubPLOs]:[SubPLOs]],"&lt;4")+SUMIFS(tbl_task2[S51],tbl_task2[[SubPLOs]:[SubPLOs]],"&gt;=3",tbl_task2[[SubPLOs]:[SubPLOs]],"&lt;4")+SUMIFS(tbl_task3[S51],tbl_task3[[SubPLOs]:[SubPLOs]],"&gt;=3",tbl_task3[[SubPLOs]:[SubPLOs]],"&lt;4")+SUMIFS(tbl_task4[S51],tbl_task4[[SubPLOs]:[SubPLOs]],"&gt;=3",tbl_task4[[SubPLOs]:[SubPLOs]],"&lt;4")+SUMIFS(tbl_task5[S51],tbl_task5[[SubPLOs]:[SubPLOs]],"&gt;=3",tbl_task5[[SubPLOs]:[SubPLOs]],"&lt;4")+SUMIFS(tbl_task6[S51],tbl_task6[[SubPLOs]:[SubPLOs]],"&gt;=3",tbl_task6[[SubPLOs]:[SubPLOs]],"&lt;4")+SUMIFS(tbl_task7[S51],tbl_task7[[SubPLOs]:[SubPLOs]],"&gt;=3",tbl_task7[[SubPLOs]:[SubPLOs]],"&lt;4")+SUMIFS(tbl_task8[S51],tbl_task8[[SubPLOs]:[SubPLOs]],"&gt;=3",tbl_task8[[SubPLOs]:[SubPLOs]],"&lt;4")+SUMIFS(tbl_task9[S51],tbl_task9[[SubPLOs]:[SubPLOs]],"&gt;=3",tbl_task9[[SubPLOs]:[SubPLOs]],"&lt;4")+SUMIFS(tbl_task10[S51],tbl_task10[[SubPLOs]:[SubPLOs]],"&gt;=3",tbl_task10[[SubPLOs]:[SubPLOs]],"&lt;4")</f>
        <v>0</v>
      </c>
      <c r="BE182" s="41">
        <f>SUMIFS(tbl_task1[S52],tbl_task1[[SubPLOs]:[SubPLOs]],"&gt;=3",tbl_task1[[SubPLOs]:[SubPLOs]],"&lt;4")+SUMIFS(tbl_task2[S52],tbl_task2[[SubPLOs]:[SubPLOs]],"&gt;=3",tbl_task2[[SubPLOs]:[SubPLOs]],"&lt;4")+SUMIFS(tbl_task3[S52],tbl_task3[[SubPLOs]:[SubPLOs]],"&gt;=3",tbl_task3[[SubPLOs]:[SubPLOs]],"&lt;4")+SUMIFS(tbl_task4[S52],tbl_task4[[SubPLOs]:[SubPLOs]],"&gt;=3",tbl_task4[[SubPLOs]:[SubPLOs]],"&lt;4")+SUMIFS(tbl_task5[S52],tbl_task5[[SubPLOs]:[SubPLOs]],"&gt;=3",tbl_task5[[SubPLOs]:[SubPLOs]],"&lt;4")+SUMIFS(tbl_task6[S52],tbl_task6[[SubPLOs]:[SubPLOs]],"&gt;=3",tbl_task6[[SubPLOs]:[SubPLOs]],"&lt;4")+SUMIFS(tbl_task7[S52],tbl_task7[[SubPLOs]:[SubPLOs]],"&gt;=3",tbl_task7[[SubPLOs]:[SubPLOs]],"&lt;4")+SUMIFS(tbl_task8[S52],tbl_task8[[SubPLOs]:[SubPLOs]],"&gt;=3",tbl_task8[[SubPLOs]:[SubPLOs]],"&lt;4")+SUMIFS(tbl_task9[S52],tbl_task9[[SubPLOs]:[SubPLOs]],"&gt;=3",tbl_task9[[SubPLOs]:[SubPLOs]],"&lt;4")+SUMIFS(tbl_task10[S52],tbl_task10[[SubPLOs]:[SubPLOs]],"&gt;=3",tbl_task10[[SubPLOs]:[SubPLOs]],"&lt;4")</f>
        <v>0</v>
      </c>
      <c r="BF182" s="41">
        <f>SUMIFS(tbl_task1[S53],tbl_task1[[SubPLOs]:[SubPLOs]],"&gt;=3",tbl_task1[[SubPLOs]:[SubPLOs]],"&lt;4")+SUMIFS(tbl_task2[S53],tbl_task2[[SubPLOs]:[SubPLOs]],"&gt;=3",tbl_task2[[SubPLOs]:[SubPLOs]],"&lt;4")+SUMIFS(tbl_task3[S53],tbl_task3[[SubPLOs]:[SubPLOs]],"&gt;=3",tbl_task3[[SubPLOs]:[SubPLOs]],"&lt;4")+SUMIFS(tbl_task4[S53],tbl_task4[[SubPLOs]:[SubPLOs]],"&gt;=3",tbl_task4[[SubPLOs]:[SubPLOs]],"&lt;4")+SUMIFS(tbl_task5[S53],tbl_task5[[SubPLOs]:[SubPLOs]],"&gt;=3",tbl_task5[[SubPLOs]:[SubPLOs]],"&lt;4")+SUMIFS(tbl_task6[S53],tbl_task6[[SubPLOs]:[SubPLOs]],"&gt;=3",tbl_task6[[SubPLOs]:[SubPLOs]],"&lt;4")+SUMIFS(tbl_task7[S53],tbl_task7[[SubPLOs]:[SubPLOs]],"&gt;=3",tbl_task7[[SubPLOs]:[SubPLOs]],"&lt;4")+SUMIFS(tbl_task8[S53],tbl_task8[[SubPLOs]:[SubPLOs]],"&gt;=3",tbl_task8[[SubPLOs]:[SubPLOs]],"&lt;4")+SUMIFS(tbl_task9[S53],tbl_task9[[SubPLOs]:[SubPLOs]],"&gt;=3",tbl_task9[[SubPLOs]:[SubPLOs]],"&lt;4")+SUMIFS(tbl_task10[S53],tbl_task10[[SubPLOs]:[SubPLOs]],"&gt;=3",tbl_task10[[SubPLOs]:[SubPLOs]],"&lt;4")</f>
        <v>0</v>
      </c>
      <c r="BG182" s="41">
        <f>SUMIFS(tbl_task1[S54],tbl_task1[[SubPLOs]:[SubPLOs]],"&gt;=3",tbl_task1[[SubPLOs]:[SubPLOs]],"&lt;4")+SUMIFS(tbl_task2[S54],tbl_task2[[SubPLOs]:[SubPLOs]],"&gt;=3",tbl_task2[[SubPLOs]:[SubPLOs]],"&lt;4")+SUMIFS(tbl_task3[S54],tbl_task3[[SubPLOs]:[SubPLOs]],"&gt;=3",tbl_task3[[SubPLOs]:[SubPLOs]],"&lt;4")+SUMIFS(tbl_task4[S54],tbl_task4[[SubPLOs]:[SubPLOs]],"&gt;=3",tbl_task4[[SubPLOs]:[SubPLOs]],"&lt;4")+SUMIFS(tbl_task5[S54],tbl_task5[[SubPLOs]:[SubPLOs]],"&gt;=3",tbl_task5[[SubPLOs]:[SubPLOs]],"&lt;4")+SUMIFS(tbl_task6[S54],tbl_task6[[SubPLOs]:[SubPLOs]],"&gt;=3",tbl_task6[[SubPLOs]:[SubPLOs]],"&lt;4")+SUMIFS(tbl_task7[S54],tbl_task7[[SubPLOs]:[SubPLOs]],"&gt;=3",tbl_task7[[SubPLOs]:[SubPLOs]],"&lt;4")+SUMIFS(tbl_task8[S54],tbl_task8[[SubPLOs]:[SubPLOs]],"&gt;=3",tbl_task8[[SubPLOs]:[SubPLOs]],"&lt;4")+SUMIFS(tbl_task9[S54],tbl_task9[[SubPLOs]:[SubPLOs]],"&gt;=3",tbl_task9[[SubPLOs]:[SubPLOs]],"&lt;4")+SUMIFS(tbl_task10[S54],tbl_task10[[SubPLOs]:[SubPLOs]],"&gt;=3",tbl_task10[[SubPLOs]:[SubPLOs]],"&lt;4")</f>
        <v>0</v>
      </c>
      <c r="BH182" s="41">
        <f>SUMIFS(tbl_task1[S55],tbl_task1[[SubPLOs]:[SubPLOs]],"&gt;=3",tbl_task1[[SubPLOs]:[SubPLOs]],"&lt;4")+SUMIFS(tbl_task2[S55],tbl_task2[[SubPLOs]:[SubPLOs]],"&gt;=3",tbl_task2[[SubPLOs]:[SubPLOs]],"&lt;4")+SUMIFS(tbl_task3[S55],tbl_task3[[SubPLOs]:[SubPLOs]],"&gt;=3",tbl_task3[[SubPLOs]:[SubPLOs]],"&lt;4")+SUMIFS(tbl_task4[S55],tbl_task4[[SubPLOs]:[SubPLOs]],"&gt;=3",tbl_task4[[SubPLOs]:[SubPLOs]],"&lt;4")+SUMIFS(tbl_task5[S55],tbl_task5[[SubPLOs]:[SubPLOs]],"&gt;=3",tbl_task5[[SubPLOs]:[SubPLOs]],"&lt;4")+SUMIFS(tbl_task6[S55],tbl_task6[[SubPLOs]:[SubPLOs]],"&gt;=3",tbl_task6[[SubPLOs]:[SubPLOs]],"&lt;4")+SUMIFS(tbl_task7[S55],tbl_task7[[SubPLOs]:[SubPLOs]],"&gt;=3",tbl_task7[[SubPLOs]:[SubPLOs]],"&lt;4")+SUMIFS(tbl_task8[S55],tbl_task8[[SubPLOs]:[SubPLOs]],"&gt;=3",tbl_task8[[SubPLOs]:[SubPLOs]],"&lt;4")+SUMIFS(tbl_task9[S55],tbl_task9[[SubPLOs]:[SubPLOs]],"&gt;=3",tbl_task9[[SubPLOs]:[SubPLOs]],"&lt;4")+SUMIFS(tbl_task10[S55],tbl_task10[[SubPLOs]:[SubPLOs]],"&gt;=3",tbl_task10[[SubPLOs]:[SubPLOs]],"&lt;4")</f>
        <v>0</v>
      </c>
      <c r="BI182" s="41">
        <f>SUMIFS(tbl_task1[S56],tbl_task1[[SubPLOs]:[SubPLOs]],"&gt;=3",tbl_task1[[SubPLOs]:[SubPLOs]],"&lt;4")+SUMIFS(tbl_task2[S56],tbl_task2[[SubPLOs]:[SubPLOs]],"&gt;=3",tbl_task2[[SubPLOs]:[SubPLOs]],"&lt;4")+SUMIFS(tbl_task3[S56],tbl_task3[[SubPLOs]:[SubPLOs]],"&gt;=3",tbl_task3[[SubPLOs]:[SubPLOs]],"&lt;4")+SUMIFS(tbl_task4[S56],tbl_task4[[SubPLOs]:[SubPLOs]],"&gt;=3",tbl_task4[[SubPLOs]:[SubPLOs]],"&lt;4")+SUMIFS(tbl_task5[S56],tbl_task5[[SubPLOs]:[SubPLOs]],"&gt;=3",tbl_task5[[SubPLOs]:[SubPLOs]],"&lt;4")+SUMIFS(tbl_task6[S56],tbl_task6[[SubPLOs]:[SubPLOs]],"&gt;=3",tbl_task6[[SubPLOs]:[SubPLOs]],"&lt;4")+SUMIFS(tbl_task7[S56],tbl_task7[[SubPLOs]:[SubPLOs]],"&gt;=3",tbl_task7[[SubPLOs]:[SubPLOs]],"&lt;4")+SUMIFS(tbl_task8[S56],tbl_task8[[SubPLOs]:[SubPLOs]],"&gt;=3",tbl_task8[[SubPLOs]:[SubPLOs]],"&lt;4")+SUMIFS(tbl_task9[S56],tbl_task9[[SubPLOs]:[SubPLOs]],"&gt;=3",tbl_task9[[SubPLOs]:[SubPLOs]],"&lt;4")+SUMIFS(tbl_task10[S56],tbl_task10[[SubPLOs]:[SubPLOs]],"&gt;=3",tbl_task10[[SubPLOs]:[SubPLOs]],"&lt;4")</f>
        <v>0</v>
      </c>
      <c r="BJ182" s="41">
        <f>SUMIFS(tbl_task1[S57],tbl_task1[[SubPLOs]:[SubPLOs]],"&gt;=3",tbl_task1[[SubPLOs]:[SubPLOs]],"&lt;4")+SUMIFS(tbl_task2[S57],tbl_task2[[SubPLOs]:[SubPLOs]],"&gt;=3",tbl_task2[[SubPLOs]:[SubPLOs]],"&lt;4")+SUMIFS(tbl_task3[S57],tbl_task3[[SubPLOs]:[SubPLOs]],"&gt;=3",tbl_task3[[SubPLOs]:[SubPLOs]],"&lt;4")+SUMIFS(tbl_task4[S57],tbl_task4[[SubPLOs]:[SubPLOs]],"&gt;=3",tbl_task4[[SubPLOs]:[SubPLOs]],"&lt;4")+SUMIFS(tbl_task5[S57],tbl_task5[[SubPLOs]:[SubPLOs]],"&gt;=3",tbl_task5[[SubPLOs]:[SubPLOs]],"&lt;4")+SUMIFS(tbl_task6[S57],tbl_task6[[SubPLOs]:[SubPLOs]],"&gt;=3",tbl_task6[[SubPLOs]:[SubPLOs]],"&lt;4")+SUMIFS(tbl_task7[S57],tbl_task7[[SubPLOs]:[SubPLOs]],"&gt;=3",tbl_task7[[SubPLOs]:[SubPLOs]],"&lt;4")+SUMIFS(tbl_task8[S57],tbl_task8[[SubPLOs]:[SubPLOs]],"&gt;=3",tbl_task8[[SubPLOs]:[SubPLOs]],"&lt;4")+SUMIFS(tbl_task9[S57],tbl_task9[[SubPLOs]:[SubPLOs]],"&gt;=3",tbl_task9[[SubPLOs]:[SubPLOs]],"&lt;4")+SUMIFS(tbl_task10[S57],tbl_task10[[SubPLOs]:[SubPLOs]],"&gt;=3",tbl_task10[[SubPLOs]:[SubPLOs]],"&lt;4")</f>
        <v>0</v>
      </c>
      <c r="BK182" s="41">
        <f>SUMIFS(tbl_task1[S58],tbl_task1[[SubPLOs]:[SubPLOs]],"&gt;=3",tbl_task1[[SubPLOs]:[SubPLOs]],"&lt;4")+SUMIFS(tbl_task2[S58],tbl_task2[[SubPLOs]:[SubPLOs]],"&gt;=3",tbl_task2[[SubPLOs]:[SubPLOs]],"&lt;4")+SUMIFS(tbl_task3[S58],tbl_task3[[SubPLOs]:[SubPLOs]],"&gt;=3",tbl_task3[[SubPLOs]:[SubPLOs]],"&lt;4")+SUMIFS(tbl_task4[S58],tbl_task4[[SubPLOs]:[SubPLOs]],"&gt;=3",tbl_task4[[SubPLOs]:[SubPLOs]],"&lt;4")+SUMIFS(tbl_task5[S58],tbl_task5[[SubPLOs]:[SubPLOs]],"&gt;=3",tbl_task5[[SubPLOs]:[SubPLOs]],"&lt;4")+SUMIFS(tbl_task6[S58],tbl_task6[[SubPLOs]:[SubPLOs]],"&gt;=3",tbl_task6[[SubPLOs]:[SubPLOs]],"&lt;4")+SUMIFS(tbl_task7[S58],tbl_task7[[SubPLOs]:[SubPLOs]],"&gt;=3",tbl_task7[[SubPLOs]:[SubPLOs]],"&lt;4")+SUMIFS(tbl_task8[S58],tbl_task8[[SubPLOs]:[SubPLOs]],"&gt;=3",tbl_task8[[SubPLOs]:[SubPLOs]],"&lt;4")+SUMIFS(tbl_task9[S58],tbl_task9[[SubPLOs]:[SubPLOs]],"&gt;=3",tbl_task9[[SubPLOs]:[SubPLOs]],"&lt;4")+SUMIFS(tbl_task10[S58],tbl_task10[[SubPLOs]:[SubPLOs]],"&gt;=3",tbl_task10[[SubPLOs]:[SubPLOs]],"&lt;4")</f>
        <v>0</v>
      </c>
      <c r="BL182" s="41">
        <f>SUMIFS(tbl_task1[S59],tbl_task1[[SubPLOs]:[SubPLOs]],"&gt;=3",tbl_task1[[SubPLOs]:[SubPLOs]],"&lt;4")+SUMIFS(tbl_task2[S59],tbl_task2[[SubPLOs]:[SubPLOs]],"&gt;=3",tbl_task2[[SubPLOs]:[SubPLOs]],"&lt;4")+SUMIFS(tbl_task3[S59],tbl_task3[[SubPLOs]:[SubPLOs]],"&gt;=3",tbl_task3[[SubPLOs]:[SubPLOs]],"&lt;4")+SUMIFS(tbl_task4[S59],tbl_task4[[SubPLOs]:[SubPLOs]],"&gt;=3",tbl_task4[[SubPLOs]:[SubPLOs]],"&lt;4")+SUMIFS(tbl_task5[S59],tbl_task5[[SubPLOs]:[SubPLOs]],"&gt;=3",tbl_task5[[SubPLOs]:[SubPLOs]],"&lt;4")+SUMIFS(tbl_task6[S59],tbl_task6[[SubPLOs]:[SubPLOs]],"&gt;=3",tbl_task6[[SubPLOs]:[SubPLOs]],"&lt;4")+SUMIFS(tbl_task7[S59],tbl_task7[[SubPLOs]:[SubPLOs]],"&gt;=3",tbl_task7[[SubPLOs]:[SubPLOs]],"&lt;4")+SUMIFS(tbl_task8[S59],tbl_task8[[SubPLOs]:[SubPLOs]],"&gt;=3",tbl_task8[[SubPLOs]:[SubPLOs]],"&lt;4")+SUMIFS(tbl_task9[S59],tbl_task9[[SubPLOs]:[SubPLOs]],"&gt;=3",tbl_task9[[SubPLOs]:[SubPLOs]],"&lt;4")+SUMIFS(tbl_task10[S59],tbl_task10[[SubPLOs]:[SubPLOs]],"&gt;=3",tbl_task10[[SubPLOs]:[SubPLOs]],"&lt;4")</f>
        <v>0</v>
      </c>
      <c r="BM182" s="41">
        <f>SUMIFS(tbl_task1[S60],tbl_task1[[SubPLOs]:[SubPLOs]],"&gt;=3",tbl_task1[[SubPLOs]:[SubPLOs]],"&lt;4")+SUMIFS(tbl_task2[S60],tbl_task2[[SubPLOs]:[SubPLOs]],"&gt;=3",tbl_task2[[SubPLOs]:[SubPLOs]],"&lt;4")+SUMIFS(tbl_task3[S60],tbl_task3[[SubPLOs]:[SubPLOs]],"&gt;=3",tbl_task3[[SubPLOs]:[SubPLOs]],"&lt;4")+SUMIFS(tbl_task4[S60],tbl_task4[[SubPLOs]:[SubPLOs]],"&gt;=3",tbl_task4[[SubPLOs]:[SubPLOs]],"&lt;4")+SUMIFS(tbl_task5[S60],tbl_task5[[SubPLOs]:[SubPLOs]],"&gt;=3",tbl_task5[[SubPLOs]:[SubPLOs]],"&lt;4")+SUMIFS(tbl_task6[S60],tbl_task6[[SubPLOs]:[SubPLOs]],"&gt;=3",tbl_task6[[SubPLOs]:[SubPLOs]],"&lt;4")+SUMIFS(tbl_task7[S60],tbl_task7[[SubPLOs]:[SubPLOs]],"&gt;=3",tbl_task7[[SubPLOs]:[SubPLOs]],"&lt;4")+SUMIFS(tbl_task8[S60],tbl_task8[[SubPLOs]:[SubPLOs]],"&gt;=3",tbl_task8[[SubPLOs]:[SubPLOs]],"&lt;4")+SUMIFS(tbl_task9[S60],tbl_task9[[SubPLOs]:[SubPLOs]],"&gt;=3",tbl_task9[[SubPLOs]:[SubPLOs]],"&lt;4")+SUMIFS(tbl_task10[S60],tbl_task10[[SubPLOs]:[SubPLOs]],"&gt;=3",tbl_task10[[SubPLOs]:[SubPLOs]],"&lt;4")</f>
        <v>0</v>
      </c>
      <c r="BN182" s="41">
        <f>SUMIFS(tbl_task1[S61],tbl_task1[[SubPLOs]:[SubPLOs]],"&gt;=3",tbl_task1[[SubPLOs]:[SubPLOs]],"&lt;4")+SUMIFS(tbl_task2[S61],tbl_task2[[SubPLOs]:[SubPLOs]],"&gt;=3",tbl_task2[[SubPLOs]:[SubPLOs]],"&lt;4")+SUMIFS(tbl_task3[S61],tbl_task3[[SubPLOs]:[SubPLOs]],"&gt;=3",tbl_task3[[SubPLOs]:[SubPLOs]],"&lt;4")+SUMIFS(tbl_task4[S61],tbl_task4[[SubPLOs]:[SubPLOs]],"&gt;=3",tbl_task4[[SubPLOs]:[SubPLOs]],"&lt;4")+SUMIFS(tbl_task5[S61],tbl_task5[[SubPLOs]:[SubPLOs]],"&gt;=3",tbl_task5[[SubPLOs]:[SubPLOs]],"&lt;4")+SUMIFS(tbl_task6[S61],tbl_task6[[SubPLOs]:[SubPLOs]],"&gt;=3",tbl_task6[[SubPLOs]:[SubPLOs]],"&lt;4")+SUMIFS(tbl_task7[S61],tbl_task7[[SubPLOs]:[SubPLOs]],"&gt;=3",tbl_task7[[SubPLOs]:[SubPLOs]],"&lt;4")+SUMIFS(tbl_task8[S61],tbl_task8[[SubPLOs]:[SubPLOs]],"&gt;=3",tbl_task8[[SubPLOs]:[SubPLOs]],"&lt;4")+SUMIFS(tbl_task9[S61],tbl_task9[[SubPLOs]:[SubPLOs]],"&gt;=3",tbl_task9[[SubPLOs]:[SubPLOs]],"&lt;4")+SUMIFS(tbl_task10[S61],tbl_task10[[SubPLOs]:[SubPLOs]],"&gt;=3",tbl_task10[[SubPLOs]:[SubPLOs]],"&lt;4")</f>
        <v>0</v>
      </c>
      <c r="BO182" s="41">
        <f>SUMIFS(tbl_task1[S62],tbl_task1[[SubPLOs]:[SubPLOs]],"&gt;=3",tbl_task1[[SubPLOs]:[SubPLOs]],"&lt;4")+SUMIFS(tbl_task2[S62],tbl_task2[[SubPLOs]:[SubPLOs]],"&gt;=3",tbl_task2[[SubPLOs]:[SubPLOs]],"&lt;4")+SUMIFS(tbl_task3[S62],tbl_task3[[SubPLOs]:[SubPLOs]],"&gt;=3",tbl_task3[[SubPLOs]:[SubPLOs]],"&lt;4")+SUMIFS(tbl_task4[S62],tbl_task4[[SubPLOs]:[SubPLOs]],"&gt;=3",tbl_task4[[SubPLOs]:[SubPLOs]],"&lt;4")+SUMIFS(tbl_task5[S62],tbl_task5[[SubPLOs]:[SubPLOs]],"&gt;=3",tbl_task5[[SubPLOs]:[SubPLOs]],"&lt;4")+SUMIFS(tbl_task6[S62],tbl_task6[[SubPLOs]:[SubPLOs]],"&gt;=3",tbl_task6[[SubPLOs]:[SubPLOs]],"&lt;4")+SUMIFS(tbl_task7[S62],tbl_task7[[SubPLOs]:[SubPLOs]],"&gt;=3",tbl_task7[[SubPLOs]:[SubPLOs]],"&lt;4")+SUMIFS(tbl_task8[S62],tbl_task8[[SubPLOs]:[SubPLOs]],"&gt;=3",tbl_task8[[SubPLOs]:[SubPLOs]],"&lt;4")+SUMIFS(tbl_task9[S62],tbl_task9[[SubPLOs]:[SubPLOs]],"&gt;=3",tbl_task9[[SubPLOs]:[SubPLOs]],"&lt;4")+SUMIFS(tbl_task10[S62],tbl_task10[[SubPLOs]:[SubPLOs]],"&gt;=3",tbl_task10[[SubPLOs]:[SubPLOs]],"&lt;4")</f>
        <v>0</v>
      </c>
      <c r="BP182" s="41">
        <f>SUMIFS(tbl_task1[S63],tbl_task1[[SubPLOs]:[SubPLOs]],"&gt;=3",tbl_task1[[SubPLOs]:[SubPLOs]],"&lt;4")+SUMIFS(tbl_task2[S63],tbl_task2[[SubPLOs]:[SubPLOs]],"&gt;=3",tbl_task2[[SubPLOs]:[SubPLOs]],"&lt;4")+SUMIFS(tbl_task3[S63],tbl_task3[[SubPLOs]:[SubPLOs]],"&gt;=3",tbl_task3[[SubPLOs]:[SubPLOs]],"&lt;4")+SUMIFS(tbl_task4[S63],tbl_task4[[SubPLOs]:[SubPLOs]],"&gt;=3",tbl_task4[[SubPLOs]:[SubPLOs]],"&lt;4")+SUMIFS(tbl_task5[S63],tbl_task5[[SubPLOs]:[SubPLOs]],"&gt;=3",tbl_task5[[SubPLOs]:[SubPLOs]],"&lt;4")+SUMIFS(tbl_task6[S63],tbl_task6[[SubPLOs]:[SubPLOs]],"&gt;=3",tbl_task6[[SubPLOs]:[SubPLOs]],"&lt;4")+SUMIFS(tbl_task7[S63],tbl_task7[[SubPLOs]:[SubPLOs]],"&gt;=3",tbl_task7[[SubPLOs]:[SubPLOs]],"&lt;4")+SUMIFS(tbl_task8[S63],tbl_task8[[SubPLOs]:[SubPLOs]],"&gt;=3",tbl_task8[[SubPLOs]:[SubPLOs]],"&lt;4")+SUMIFS(tbl_task9[S63],tbl_task9[[SubPLOs]:[SubPLOs]],"&gt;=3",tbl_task9[[SubPLOs]:[SubPLOs]],"&lt;4")+SUMIFS(tbl_task10[S63],tbl_task10[[SubPLOs]:[SubPLOs]],"&gt;=3",tbl_task10[[SubPLOs]:[SubPLOs]],"&lt;4")</f>
        <v>0</v>
      </c>
      <c r="BQ182" s="41">
        <f>SUMIFS(tbl_task1[S64],tbl_task1[[SubPLOs]:[SubPLOs]],"&gt;=3",tbl_task1[[SubPLOs]:[SubPLOs]],"&lt;4")+SUMIFS(tbl_task2[S64],tbl_task2[[SubPLOs]:[SubPLOs]],"&gt;=3",tbl_task2[[SubPLOs]:[SubPLOs]],"&lt;4")+SUMIFS(tbl_task3[S64],tbl_task3[[SubPLOs]:[SubPLOs]],"&gt;=3",tbl_task3[[SubPLOs]:[SubPLOs]],"&lt;4")+SUMIFS(tbl_task4[S64],tbl_task4[[SubPLOs]:[SubPLOs]],"&gt;=3",tbl_task4[[SubPLOs]:[SubPLOs]],"&lt;4")+SUMIFS(tbl_task5[S64],tbl_task5[[SubPLOs]:[SubPLOs]],"&gt;=3",tbl_task5[[SubPLOs]:[SubPLOs]],"&lt;4")+SUMIFS(tbl_task6[S64],tbl_task6[[SubPLOs]:[SubPLOs]],"&gt;=3",tbl_task6[[SubPLOs]:[SubPLOs]],"&lt;4")+SUMIFS(tbl_task7[S64],tbl_task7[[SubPLOs]:[SubPLOs]],"&gt;=3",tbl_task7[[SubPLOs]:[SubPLOs]],"&lt;4")+SUMIFS(tbl_task8[S64],tbl_task8[[SubPLOs]:[SubPLOs]],"&gt;=3",tbl_task8[[SubPLOs]:[SubPLOs]],"&lt;4")+SUMIFS(tbl_task9[S64],tbl_task9[[SubPLOs]:[SubPLOs]],"&gt;=3",tbl_task9[[SubPLOs]:[SubPLOs]],"&lt;4")+SUMIFS(tbl_task10[S64],tbl_task10[[SubPLOs]:[SubPLOs]],"&gt;=3",tbl_task10[[SubPLOs]:[SubPLOs]],"&lt;4")</f>
        <v>0</v>
      </c>
      <c r="BR182" s="41">
        <f>SUMIFS(tbl_task1[S65],tbl_task1[[SubPLOs]:[SubPLOs]],"&gt;=3",tbl_task1[[SubPLOs]:[SubPLOs]],"&lt;4")+SUMIFS(tbl_task2[S65],tbl_task2[[SubPLOs]:[SubPLOs]],"&gt;=3",tbl_task2[[SubPLOs]:[SubPLOs]],"&lt;4")+SUMIFS(tbl_task3[S65],tbl_task3[[SubPLOs]:[SubPLOs]],"&gt;=3",tbl_task3[[SubPLOs]:[SubPLOs]],"&lt;4")+SUMIFS(tbl_task4[S65],tbl_task4[[SubPLOs]:[SubPLOs]],"&gt;=3",tbl_task4[[SubPLOs]:[SubPLOs]],"&lt;4")+SUMIFS(tbl_task5[S65],tbl_task5[[SubPLOs]:[SubPLOs]],"&gt;=3",tbl_task5[[SubPLOs]:[SubPLOs]],"&lt;4")+SUMIFS(tbl_task6[S65],tbl_task6[[SubPLOs]:[SubPLOs]],"&gt;=3",tbl_task6[[SubPLOs]:[SubPLOs]],"&lt;4")+SUMIFS(tbl_task7[S65],tbl_task7[[SubPLOs]:[SubPLOs]],"&gt;=3",tbl_task7[[SubPLOs]:[SubPLOs]],"&lt;4")+SUMIFS(tbl_task8[S65],tbl_task8[[SubPLOs]:[SubPLOs]],"&gt;=3",tbl_task8[[SubPLOs]:[SubPLOs]],"&lt;4")+SUMIFS(tbl_task9[S65],tbl_task9[[SubPLOs]:[SubPLOs]],"&gt;=3",tbl_task9[[SubPLOs]:[SubPLOs]],"&lt;4")+SUMIFS(tbl_task10[S65],tbl_task10[[SubPLOs]:[SubPLOs]],"&gt;=3",tbl_task10[[SubPLOs]:[SubPLOs]],"&lt;4")</f>
        <v>0</v>
      </c>
      <c r="BS182" s="41">
        <f>SUMIFS(tbl_task1[S66],tbl_task1[[SubPLOs]:[SubPLOs]],"&gt;=3",tbl_task1[[SubPLOs]:[SubPLOs]],"&lt;4")+SUMIFS(tbl_task2[S66],tbl_task2[[SubPLOs]:[SubPLOs]],"&gt;=3",tbl_task2[[SubPLOs]:[SubPLOs]],"&lt;4")+SUMIFS(tbl_task3[S66],tbl_task3[[SubPLOs]:[SubPLOs]],"&gt;=3",tbl_task3[[SubPLOs]:[SubPLOs]],"&lt;4")+SUMIFS(tbl_task4[S66],tbl_task4[[SubPLOs]:[SubPLOs]],"&gt;=3",tbl_task4[[SubPLOs]:[SubPLOs]],"&lt;4")+SUMIFS(tbl_task5[S66],tbl_task5[[SubPLOs]:[SubPLOs]],"&gt;=3",tbl_task5[[SubPLOs]:[SubPLOs]],"&lt;4")+SUMIFS(tbl_task6[S66],tbl_task6[[SubPLOs]:[SubPLOs]],"&gt;=3",tbl_task6[[SubPLOs]:[SubPLOs]],"&lt;4")+SUMIFS(tbl_task7[S66],tbl_task7[[SubPLOs]:[SubPLOs]],"&gt;=3",tbl_task7[[SubPLOs]:[SubPLOs]],"&lt;4")+SUMIFS(tbl_task8[S66],tbl_task8[[SubPLOs]:[SubPLOs]],"&gt;=3",tbl_task8[[SubPLOs]:[SubPLOs]],"&lt;4")+SUMIFS(tbl_task9[S66],tbl_task9[[SubPLOs]:[SubPLOs]],"&gt;=3",tbl_task9[[SubPLOs]:[SubPLOs]],"&lt;4")+SUMIFS(tbl_task10[S66],tbl_task10[[SubPLOs]:[SubPLOs]],"&gt;=3",tbl_task10[[SubPLOs]:[SubPLOs]],"&lt;4")</f>
        <v>0</v>
      </c>
      <c r="BT182" s="41">
        <f>SUMIFS(tbl_task1[S67],tbl_task1[[SubPLOs]:[SubPLOs]],"&gt;=3",tbl_task1[[SubPLOs]:[SubPLOs]],"&lt;4")+SUMIFS(tbl_task2[S67],tbl_task2[[SubPLOs]:[SubPLOs]],"&gt;=3",tbl_task2[[SubPLOs]:[SubPLOs]],"&lt;4")+SUMIFS(tbl_task3[S67],tbl_task3[[SubPLOs]:[SubPLOs]],"&gt;=3",tbl_task3[[SubPLOs]:[SubPLOs]],"&lt;4")+SUMIFS(tbl_task4[S67],tbl_task4[[SubPLOs]:[SubPLOs]],"&gt;=3",tbl_task4[[SubPLOs]:[SubPLOs]],"&lt;4")+SUMIFS(tbl_task5[S67],tbl_task5[[SubPLOs]:[SubPLOs]],"&gt;=3",tbl_task5[[SubPLOs]:[SubPLOs]],"&lt;4")+SUMIFS(tbl_task6[S67],tbl_task6[[SubPLOs]:[SubPLOs]],"&gt;=3",tbl_task6[[SubPLOs]:[SubPLOs]],"&lt;4")+SUMIFS(tbl_task7[S67],tbl_task7[[SubPLOs]:[SubPLOs]],"&gt;=3",tbl_task7[[SubPLOs]:[SubPLOs]],"&lt;4")+SUMIFS(tbl_task8[S67],tbl_task8[[SubPLOs]:[SubPLOs]],"&gt;=3",tbl_task8[[SubPLOs]:[SubPLOs]],"&lt;4")+SUMIFS(tbl_task9[S67],tbl_task9[[SubPLOs]:[SubPLOs]],"&gt;=3",tbl_task9[[SubPLOs]:[SubPLOs]],"&lt;4")+SUMIFS(tbl_task10[S67],tbl_task10[[SubPLOs]:[SubPLOs]],"&gt;=3",tbl_task10[[SubPLOs]:[SubPLOs]],"&lt;4")</f>
        <v>0</v>
      </c>
      <c r="BU182" s="41">
        <f>SUMIFS(tbl_task1[S68],tbl_task1[[SubPLOs]:[SubPLOs]],"&gt;=3",tbl_task1[[SubPLOs]:[SubPLOs]],"&lt;4")+SUMIFS(tbl_task2[S68],tbl_task2[[SubPLOs]:[SubPLOs]],"&gt;=3",tbl_task2[[SubPLOs]:[SubPLOs]],"&lt;4")+SUMIFS(tbl_task3[S68],tbl_task3[[SubPLOs]:[SubPLOs]],"&gt;=3",tbl_task3[[SubPLOs]:[SubPLOs]],"&lt;4")+SUMIFS(tbl_task4[S68],tbl_task4[[SubPLOs]:[SubPLOs]],"&gt;=3",tbl_task4[[SubPLOs]:[SubPLOs]],"&lt;4")+SUMIFS(tbl_task5[S68],tbl_task5[[SubPLOs]:[SubPLOs]],"&gt;=3",tbl_task5[[SubPLOs]:[SubPLOs]],"&lt;4")+SUMIFS(tbl_task6[S68],tbl_task6[[SubPLOs]:[SubPLOs]],"&gt;=3",tbl_task6[[SubPLOs]:[SubPLOs]],"&lt;4")+SUMIFS(tbl_task7[S68],tbl_task7[[SubPLOs]:[SubPLOs]],"&gt;=3",tbl_task7[[SubPLOs]:[SubPLOs]],"&lt;4")+SUMIFS(tbl_task8[S68],tbl_task8[[SubPLOs]:[SubPLOs]],"&gt;=3",tbl_task8[[SubPLOs]:[SubPLOs]],"&lt;4")+SUMIFS(tbl_task9[S68],tbl_task9[[SubPLOs]:[SubPLOs]],"&gt;=3",tbl_task9[[SubPLOs]:[SubPLOs]],"&lt;4")+SUMIFS(tbl_task10[S68],tbl_task10[[SubPLOs]:[SubPLOs]],"&gt;=3",tbl_task10[[SubPLOs]:[SubPLOs]],"&lt;4")</f>
        <v>0</v>
      </c>
      <c r="BV182" s="41">
        <f>SUMIFS(tbl_task1[S69],tbl_task1[[SubPLOs]:[SubPLOs]],"&gt;=3",tbl_task1[[SubPLOs]:[SubPLOs]],"&lt;4")+SUMIFS(tbl_task2[S69],tbl_task2[[SubPLOs]:[SubPLOs]],"&gt;=3",tbl_task2[[SubPLOs]:[SubPLOs]],"&lt;4")+SUMIFS(tbl_task3[S69],tbl_task3[[SubPLOs]:[SubPLOs]],"&gt;=3",tbl_task3[[SubPLOs]:[SubPLOs]],"&lt;4")+SUMIFS(tbl_task4[S69],tbl_task4[[SubPLOs]:[SubPLOs]],"&gt;=3",tbl_task4[[SubPLOs]:[SubPLOs]],"&lt;4")+SUMIFS(tbl_task5[S69],tbl_task5[[SubPLOs]:[SubPLOs]],"&gt;=3",tbl_task5[[SubPLOs]:[SubPLOs]],"&lt;4")+SUMIFS(tbl_task6[S69],tbl_task6[[SubPLOs]:[SubPLOs]],"&gt;=3",tbl_task6[[SubPLOs]:[SubPLOs]],"&lt;4")+SUMIFS(tbl_task7[S69],tbl_task7[[SubPLOs]:[SubPLOs]],"&gt;=3",tbl_task7[[SubPLOs]:[SubPLOs]],"&lt;4")+SUMIFS(tbl_task8[S69],tbl_task8[[SubPLOs]:[SubPLOs]],"&gt;=3",tbl_task8[[SubPLOs]:[SubPLOs]],"&lt;4")+SUMIFS(tbl_task9[S69],tbl_task9[[SubPLOs]:[SubPLOs]],"&gt;=3",tbl_task9[[SubPLOs]:[SubPLOs]],"&lt;4")+SUMIFS(tbl_task10[S69],tbl_task10[[SubPLOs]:[SubPLOs]],"&gt;=3",tbl_task10[[SubPLOs]:[SubPLOs]],"&lt;4")</f>
        <v>0</v>
      </c>
      <c r="BW182" s="41">
        <f>SUMIFS(tbl_task1[S70],tbl_task1[[SubPLOs]:[SubPLOs]],"&gt;=3",tbl_task1[[SubPLOs]:[SubPLOs]],"&lt;4")+SUMIFS(tbl_task2[S70],tbl_task2[[SubPLOs]:[SubPLOs]],"&gt;=3",tbl_task2[[SubPLOs]:[SubPLOs]],"&lt;4")+SUMIFS(tbl_task3[S70],tbl_task3[[SubPLOs]:[SubPLOs]],"&gt;=3",tbl_task3[[SubPLOs]:[SubPLOs]],"&lt;4")+SUMIFS(tbl_task4[S70],tbl_task4[[SubPLOs]:[SubPLOs]],"&gt;=3",tbl_task4[[SubPLOs]:[SubPLOs]],"&lt;4")+SUMIFS(tbl_task5[S70],tbl_task5[[SubPLOs]:[SubPLOs]],"&gt;=3",tbl_task5[[SubPLOs]:[SubPLOs]],"&lt;4")+SUMIFS(tbl_task6[S70],tbl_task6[[SubPLOs]:[SubPLOs]],"&gt;=3",tbl_task6[[SubPLOs]:[SubPLOs]],"&lt;4")+SUMIFS(tbl_task7[S70],tbl_task7[[SubPLOs]:[SubPLOs]],"&gt;=3",tbl_task7[[SubPLOs]:[SubPLOs]],"&lt;4")+SUMIFS(tbl_task8[S70],tbl_task8[[SubPLOs]:[SubPLOs]],"&gt;=3",tbl_task8[[SubPLOs]:[SubPLOs]],"&lt;4")+SUMIFS(tbl_task9[S70],tbl_task9[[SubPLOs]:[SubPLOs]],"&gt;=3",tbl_task9[[SubPLOs]:[SubPLOs]],"&lt;4")+SUMIFS(tbl_task10[S70],tbl_task10[[SubPLOs]:[SubPLOs]],"&gt;=3",tbl_task10[[SubPLOs]:[SubPLOs]],"&lt;4")</f>
        <v>0</v>
      </c>
      <c r="BX182" s="41">
        <f>SUMIFS(tbl_task1[S71],tbl_task1[[SubPLOs]:[SubPLOs]],"&gt;=3",tbl_task1[[SubPLOs]:[SubPLOs]],"&lt;4")+SUMIFS(tbl_task2[S71],tbl_task2[[SubPLOs]:[SubPLOs]],"&gt;=3",tbl_task2[[SubPLOs]:[SubPLOs]],"&lt;4")+SUMIFS(tbl_task3[S71],tbl_task3[[SubPLOs]:[SubPLOs]],"&gt;=3",tbl_task3[[SubPLOs]:[SubPLOs]],"&lt;4")+SUMIFS(tbl_task4[S71],tbl_task4[[SubPLOs]:[SubPLOs]],"&gt;=3",tbl_task4[[SubPLOs]:[SubPLOs]],"&lt;4")+SUMIFS(tbl_task5[S71],tbl_task5[[SubPLOs]:[SubPLOs]],"&gt;=3",tbl_task5[[SubPLOs]:[SubPLOs]],"&lt;4")+SUMIFS(tbl_task6[S71],tbl_task6[[SubPLOs]:[SubPLOs]],"&gt;=3",tbl_task6[[SubPLOs]:[SubPLOs]],"&lt;4")+SUMIFS(tbl_task7[S71],tbl_task7[[SubPLOs]:[SubPLOs]],"&gt;=3",tbl_task7[[SubPLOs]:[SubPLOs]],"&lt;4")+SUMIFS(tbl_task8[S71],tbl_task8[[SubPLOs]:[SubPLOs]],"&gt;=3",tbl_task8[[SubPLOs]:[SubPLOs]],"&lt;4")+SUMIFS(tbl_task9[S71],tbl_task9[[SubPLOs]:[SubPLOs]],"&gt;=3",tbl_task9[[SubPLOs]:[SubPLOs]],"&lt;4")+SUMIFS(tbl_task10[S71],tbl_task10[[SubPLOs]:[SubPLOs]],"&gt;=3",tbl_task10[[SubPLOs]:[SubPLOs]],"&lt;4")</f>
        <v>0</v>
      </c>
      <c r="BY182" s="41">
        <f>SUMIFS(tbl_task1[S72],tbl_task1[[SubPLOs]:[SubPLOs]],"&gt;=3",tbl_task1[[SubPLOs]:[SubPLOs]],"&lt;4")+SUMIFS(tbl_task2[S72],tbl_task2[[SubPLOs]:[SubPLOs]],"&gt;=3",tbl_task2[[SubPLOs]:[SubPLOs]],"&lt;4")+SUMIFS(tbl_task3[S72],tbl_task3[[SubPLOs]:[SubPLOs]],"&gt;=3",tbl_task3[[SubPLOs]:[SubPLOs]],"&lt;4")+SUMIFS(tbl_task4[S72],tbl_task4[[SubPLOs]:[SubPLOs]],"&gt;=3",tbl_task4[[SubPLOs]:[SubPLOs]],"&lt;4")+SUMIFS(tbl_task5[S72],tbl_task5[[SubPLOs]:[SubPLOs]],"&gt;=3",tbl_task5[[SubPLOs]:[SubPLOs]],"&lt;4")+SUMIFS(tbl_task6[S72],tbl_task6[[SubPLOs]:[SubPLOs]],"&gt;=3",tbl_task6[[SubPLOs]:[SubPLOs]],"&lt;4")+SUMIFS(tbl_task7[S72],tbl_task7[[SubPLOs]:[SubPLOs]],"&gt;=3",tbl_task7[[SubPLOs]:[SubPLOs]],"&lt;4")+SUMIFS(tbl_task8[S72],tbl_task8[[SubPLOs]:[SubPLOs]],"&gt;=3",tbl_task8[[SubPLOs]:[SubPLOs]],"&lt;4")+SUMIFS(tbl_task9[S72],tbl_task9[[SubPLOs]:[SubPLOs]],"&gt;=3",tbl_task9[[SubPLOs]:[SubPLOs]],"&lt;4")+SUMIFS(tbl_task10[S72],tbl_task10[[SubPLOs]:[SubPLOs]],"&gt;=3",tbl_task10[[SubPLOs]:[SubPLOs]],"&lt;4")</f>
        <v>0</v>
      </c>
      <c r="BZ182" s="41">
        <f>SUMIFS(tbl_task1[S73],tbl_task1[[SubPLOs]:[SubPLOs]],"&gt;=3",tbl_task1[[SubPLOs]:[SubPLOs]],"&lt;4")+SUMIFS(tbl_task2[S73],tbl_task2[[SubPLOs]:[SubPLOs]],"&gt;=3",tbl_task2[[SubPLOs]:[SubPLOs]],"&lt;4")+SUMIFS(tbl_task3[S73],tbl_task3[[SubPLOs]:[SubPLOs]],"&gt;=3",tbl_task3[[SubPLOs]:[SubPLOs]],"&lt;4")+SUMIFS(tbl_task4[S73],tbl_task4[[SubPLOs]:[SubPLOs]],"&gt;=3",tbl_task4[[SubPLOs]:[SubPLOs]],"&lt;4")+SUMIFS(tbl_task5[S73],tbl_task5[[SubPLOs]:[SubPLOs]],"&gt;=3",tbl_task5[[SubPLOs]:[SubPLOs]],"&lt;4")+SUMIFS(tbl_task6[S73],tbl_task6[[SubPLOs]:[SubPLOs]],"&gt;=3",tbl_task6[[SubPLOs]:[SubPLOs]],"&lt;4")+SUMIFS(tbl_task7[S73],tbl_task7[[SubPLOs]:[SubPLOs]],"&gt;=3",tbl_task7[[SubPLOs]:[SubPLOs]],"&lt;4")+SUMIFS(tbl_task8[S73],tbl_task8[[SubPLOs]:[SubPLOs]],"&gt;=3",tbl_task8[[SubPLOs]:[SubPLOs]],"&lt;4")+SUMIFS(tbl_task9[S73],tbl_task9[[SubPLOs]:[SubPLOs]],"&gt;=3",tbl_task9[[SubPLOs]:[SubPLOs]],"&lt;4")+SUMIFS(tbl_task10[S73],tbl_task10[[SubPLOs]:[SubPLOs]],"&gt;=3",tbl_task10[[SubPLOs]:[SubPLOs]],"&lt;4")</f>
        <v>0</v>
      </c>
      <c r="CA182" s="41">
        <f>SUMIFS(tbl_task1[S74],tbl_task1[[SubPLOs]:[SubPLOs]],"&gt;=3",tbl_task1[[SubPLOs]:[SubPLOs]],"&lt;4")+SUMIFS(tbl_task2[S74],tbl_task2[[SubPLOs]:[SubPLOs]],"&gt;=3",tbl_task2[[SubPLOs]:[SubPLOs]],"&lt;4")+SUMIFS(tbl_task3[S74],tbl_task3[[SubPLOs]:[SubPLOs]],"&gt;=3",tbl_task3[[SubPLOs]:[SubPLOs]],"&lt;4")+SUMIFS(tbl_task4[S74],tbl_task4[[SubPLOs]:[SubPLOs]],"&gt;=3",tbl_task4[[SubPLOs]:[SubPLOs]],"&lt;4")+SUMIFS(tbl_task5[S74],tbl_task5[[SubPLOs]:[SubPLOs]],"&gt;=3",tbl_task5[[SubPLOs]:[SubPLOs]],"&lt;4")+SUMIFS(tbl_task6[S74],tbl_task6[[SubPLOs]:[SubPLOs]],"&gt;=3",tbl_task6[[SubPLOs]:[SubPLOs]],"&lt;4")+SUMIFS(tbl_task7[S74],tbl_task7[[SubPLOs]:[SubPLOs]],"&gt;=3",tbl_task7[[SubPLOs]:[SubPLOs]],"&lt;4")+SUMIFS(tbl_task8[S74],tbl_task8[[SubPLOs]:[SubPLOs]],"&gt;=3",tbl_task8[[SubPLOs]:[SubPLOs]],"&lt;4")+SUMIFS(tbl_task9[S74],tbl_task9[[SubPLOs]:[SubPLOs]],"&gt;=3",tbl_task9[[SubPLOs]:[SubPLOs]],"&lt;4")+SUMIFS(tbl_task10[S74],tbl_task10[[SubPLOs]:[SubPLOs]],"&gt;=3",tbl_task10[[SubPLOs]:[SubPLOs]],"&lt;4")</f>
        <v>0</v>
      </c>
      <c r="CB182" s="41">
        <f>SUMIFS(tbl_task1[S75],tbl_task1[[SubPLOs]:[SubPLOs]],"&gt;=3",tbl_task1[[SubPLOs]:[SubPLOs]],"&lt;4")+SUMIFS(tbl_task2[S75],tbl_task2[[SubPLOs]:[SubPLOs]],"&gt;=3",tbl_task2[[SubPLOs]:[SubPLOs]],"&lt;4")+SUMIFS(tbl_task3[S75],tbl_task3[[SubPLOs]:[SubPLOs]],"&gt;=3",tbl_task3[[SubPLOs]:[SubPLOs]],"&lt;4")+SUMIFS(tbl_task4[S75],tbl_task4[[SubPLOs]:[SubPLOs]],"&gt;=3",tbl_task4[[SubPLOs]:[SubPLOs]],"&lt;4")+SUMIFS(tbl_task5[S75],tbl_task5[[SubPLOs]:[SubPLOs]],"&gt;=3",tbl_task5[[SubPLOs]:[SubPLOs]],"&lt;4")+SUMIFS(tbl_task6[S75],tbl_task6[[SubPLOs]:[SubPLOs]],"&gt;=3",tbl_task6[[SubPLOs]:[SubPLOs]],"&lt;4")+SUMIFS(tbl_task7[S75],tbl_task7[[SubPLOs]:[SubPLOs]],"&gt;=3",tbl_task7[[SubPLOs]:[SubPLOs]],"&lt;4")+SUMIFS(tbl_task8[S75],tbl_task8[[SubPLOs]:[SubPLOs]],"&gt;=3",tbl_task8[[SubPLOs]:[SubPLOs]],"&lt;4")+SUMIFS(tbl_task9[S75],tbl_task9[[SubPLOs]:[SubPLOs]],"&gt;=3",tbl_task9[[SubPLOs]:[SubPLOs]],"&lt;4")+SUMIFS(tbl_task10[S75],tbl_task10[[SubPLOs]:[SubPLOs]],"&gt;=3",tbl_task10[[SubPLOs]:[SubPLOs]],"&lt;4")</f>
        <v>0</v>
      </c>
      <c r="CC182" s="41">
        <f>SUMIFS(tbl_task1[S76],tbl_task1[[SubPLOs]:[SubPLOs]],"&gt;=3",tbl_task1[[SubPLOs]:[SubPLOs]],"&lt;4")+SUMIFS(tbl_task2[S76],tbl_task2[[SubPLOs]:[SubPLOs]],"&gt;=3",tbl_task2[[SubPLOs]:[SubPLOs]],"&lt;4")+SUMIFS(tbl_task3[S76],tbl_task3[[SubPLOs]:[SubPLOs]],"&gt;=3",tbl_task3[[SubPLOs]:[SubPLOs]],"&lt;4")+SUMIFS(tbl_task4[S76],tbl_task4[[SubPLOs]:[SubPLOs]],"&gt;=3",tbl_task4[[SubPLOs]:[SubPLOs]],"&lt;4")+SUMIFS(tbl_task5[S76],tbl_task5[[SubPLOs]:[SubPLOs]],"&gt;=3",tbl_task5[[SubPLOs]:[SubPLOs]],"&lt;4")+SUMIFS(tbl_task6[S76],tbl_task6[[SubPLOs]:[SubPLOs]],"&gt;=3",tbl_task6[[SubPLOs]:[SubPLOs]],"&lt;4")+SUMIFS(tbl_task7[S76],tbl_task7[[SubPLOs]:[SubPLOs]],"&gt;=3",tbl_task7[[SubPLOs]:[SubPLOs]],"&lt;4")+SUMIFS(tbl_task8[S76],tbl_task8[[SubPLOs]:[SubPLOs]],"&gt;=3",tbl_task8[[SubPLOs]:[SubPLOs]],"&lt;4")+SUMIFS(tbl_task9[S76],tbl_task9[[SubPLOs]:[SubPLOs]],"&gt;=3",tbl_task9[[SubPLOs]:[SubPLOs]],"&lt;4")+SUMIFS(tbl_task10[S76],tbl_task10[[SubPLOs]:[SubPLOs]],"&gt;=3",tbl_task10[[SubPLOs]:[SubPLOs]],"&lt;4")</f>
        <v>0</v>
      </c>
      <c r="CD182" s="41">
        <f>SUMIFS(tbl_task1[S77],tbl_task1[[SubPLOs]:[SubPLOs]],"&gt;=3",tbl_task1[[SubPLOs]:[SubPLOs]],"&lt;4")+SUMIFS(tbl_task2[S77],tbl_task2[[SubPLOs]:[SubPLOs]],"&gt;=3",tbl_task2[[SubPLOs]:[SubPLOs]],"&lt;4")+SUMIFS(tbl_task3[S77],tbl_task3[[SubPLOs]:[SubPLOs]],"&gt;=3",tbl_task3[[SubPLOs]:[SubPLOs]],"&lt;4")+SUMIFS(tbl_task4[S77],tbl_task4[[SubPLOs]:[SubPLOs]],"&gt;=3",tbl_task4[[SubPLOs]:[SubPLOs]],"&lt;4")+SUMIFS(tbl_task5[S77],tbl_task5[[SubPLOs]:[SubPLOs]],"&gt;=3",tbl_task5[[SubPLOs]:[SubPLOs]],"&lt;4")+SUMIFS(tbl_task6[S77],tbl_task6[[SubPLOs]:[SubPLOs]],"&gt;=3",tbl_task6[[SubPLOs]:[SubPLOs]],"&lt;4")+SUMIFS(tbl_task7[S77],tbl_task7[[SubPLOs]:[SubPLOs]],"&gt;=3",tbl_task7[[SubPLOs]:[SubPLOs]],"&lt;4")+SUMIFS(tbl_task8[S77],tbl_task8[[SubPLOs]:[SubPLOs]],"&gt;=3",tbl_task8[[SubPLOs]:[SubPLOs]],"&lt;4")+SUMIFS(tbl_task9[S77],tbl_task9[[SubPLOs]:[SubPLOs]],"&gt;=3",tbl_task9[[SubPLOs]:[SubPLOs]],"&lt;4")+SUMIFS(tbl_task10[S77],tbl_task10[[SubPLOs]:[SubPLOs]],"&gt;=3",tbl_task10[[SubPLOs]:[SubPLOs]],"&lt;4")</f>
        <v>0</v>
      </c>
      <c r="CE182" s="41">
        <f>SUMIFS(tbl_task1[S78],tbl_task1[[SubPLOs]:[SubPLOs]],"&gt;=3",tbl_task1[[SubPLOs]:[SubPLOs]],"&lt;4")+SUMIFS(tbl_task2[S78],tbl_task2[[SubPLOs]:[SubPLOs]],"&gt;=3",tbl_task2[[SubPLOs]:[SubPLOs]],"&lt;4")+SUMIFS(tbl_task3[S78],tbl_task3[[SubPLOs]:[SubPLOs]],"&gt;=3",tbl_task3[[SubPLOs]:[SubPLOs]],"&lt;4")+SUMIFS(tbl_task4[S78],tbl_task4[[SubPLOs]:[SubPLOs]],"&gt;=3",tbl_task4[[SubPLOs]:[SubPLOs]],"&lt;4")+SUMIFS(tbl_task5[S78],tbl_task5[[SubPLOs]:[SubPLOs]],"&gt;=3",tbl_task5[[SubPLOs]:[SubPLOs]],"&lt;4")+SUMIFS(tbl_task6[S78],tbl_task6[[SubPLOs]:[SubPLOs]],"&gt;=3",tbl_task6[[SubPLOs]:[SubPLOs]],"&lt;4")+SUMIFS(tbl_task7[S78],tbl_task7[[SubPLOs]:[SubPLOs]],"&gt;=3",tbl_task7[[SubPLOs]:[SubPLOs]],"&lt;4")+SUMIFS(tbl_task8[S78],tbl_task8[[SubPLOs]:[SubPLOs]],"&gt;=3",tbl_task8[[SubPLOs]:[SubPLOs]],"&lt;4")+SUMIFS(tbl_task9[S78],tbl_task9[[SubPLOs]:[SubPLOs]],"&gt;=3",tbl_task9[[SubPLOs]:[SubPLOs]],"&lt;4")+SUMIFS(tbl_task10[S78],tbl_task10[[SubPLOs]:[SubPLOs]],"&gt;=3",tbl_task10[[SubPLOs]:[SubPLOs]],"&lt;4")</f>
        <v>0</v>
      </c>
      <c r="CF182" s="41">
        <f>SUMIFS(tbl_task1[S79],tbl_task1[[SubPLOs]:[SubPLOs]],"&gt;=3",tbl_task1[[SubPLOs]:[SubPLOs]],"&lt;4")+SUMIFS(tbl_task2[S79],tbl_task2[[SubPLOs]:[SubPLOs]],"&gt;=3",tbl_task2[[SubPLOs]:[SubPLOs]],"&lt;4")+SUMIFS(tbl_task3[S79],tbl_task3[[SubPLOs]:[SubPLOs]],"&gt;=3",tbl_task3[[SubPLOs]:[SubPLOs]],"&lt;4")+SUMIFS(tbl_task4[S79],tbl_task4[[SubPLOs]:[SubPLOs]],"&gt;=3",tbl_task4[[SubPLOs]:[SubPLOs]],"&lt;4")+SUMIFS(tbl_task5[S79],tbl_task5[[SubPLOs]:[SubPLOs]],"&gt;=3",tbl_task5[[SubPLOs]:[SubPLOs]],"&lt;4")+SUMIFS(tbl_task6[S79],tbl_task6[[SubPLOs]:[SubPLOs]],"&gt;=3",tbl_task6[[SubPLOs]:[SubPLOs]],"&lt;4")+SUMIFS(tbl_task7[S79],tbl_task7[[SubPLOs]:[SubPLOs]],"&gt;=3",tbl_task7[[SubPLOs]:[SubPLOs]],"&lt;4")+SUMIFS(tbl_task8[S79],tbl_task8[[SubPLOs]:[SubPLOs]],"&gt;=3",tbl_task8[[SubPLOs]:[SubPLOs]],"&lt;4")+SUMIFS(tbl_task9[S79],tbl_task9[[SubPLOs]:[SubPLOs]],"&gt;=3",tbl_task9[[SubPLOs]:[SubPLOs]],"&lt;4")+SUMIFS(tbl_task10[S79],tbl_task10[[SubPLOs]:[SubPLOs]],"&gt;=3",tbl_task10[[SubPLOs]:[SubPLOs]],"&lt;4")</f>
        <v>0</v>
      </c>
      <c r="CG182" s="41">
        <f>SUMIFS(tbl_task1[S80],tbl_task1[[SubPLOs]:[SubPLOs]],"&gt;=3",tbl_task1[[SubPLOs]:[SubPLOs]],"&lt;4")+SUMIFS(tbl_task2[S80],tbl_task2[[SubPLOs]:[SubPLOs]],"&gt;=3",tbl_task2[[SubPLOs]:[SubPLOs]],"&lt;4")+SUMIFS(tbl_task3[S80],tbl_task3[[SubPLOs]:[SubPLOs]],"&gt;=3",tbl_task3[[SubPLOs]:[SubPLOs]],"&lt;4")+SUMIFS(tbl_task4[S80],tbl_task4[[SubPLOs]:[SubPLOs]],"&gt;=3",tbl_task4[[SubPLOs]:[SubPLOs]],"&lt;4")+SUMIFS(tbl_task5[S80],tbl_task5[[SubPLOs]:[SubPLOs]],"&gt;=3",tbl_task5[[SubPLOs]:[SubPLOs]],"&lt;4")+SUMIFS(tbl_task6[S80],tbl_task6[[SubPLOs]:[SubPLOs]],"&gt;=3",tbl_task6[[SubPLOs]:[SubPLOs]],"&lt;4")+SUMIFS(tbl_task7[S80],tbl_task7[[SubPLOs]:[SubPLOs]],"&gt;=3",tbl_task7[[SubPLOs]:[SubPLOs]],"&lt;4")+SUMIFS(tbl_task8[S80],tbl_task8[[SubPLOs]:[SubPLOs]],"&gt;=3",tbl_task8[[SubPLOs]:[SubPLOs]],"&lt;4")+SUMIFS(tbl_task9[S80],tbl_task9[[SubPLOs]:[SubPLOs]],"&gt;=3",tbl_task9[[SubPLOs]:[SubPLOs]],"&lt;4")+SUMIFS(tbl_task10[S80],tbl_task10[[SubPLOs]:[SubPLOs]],"&gt;=3",tbl_task10[[SubPLOs]:[SubPLOs]],"&lt;4")</f>
        <v>0</v>
      </c>
      <c r="CH182" s="41">
        <f>SUMIFS(tbl_task1[S81],tbl_task1[[SubPLOs]:[SubPLOs]],"&gt;=3",tbl_task1[[SubPLOs]:[SubPLOs]],"&lt;4")+SUMIFS(tbl_task2[S81],tbl_task2[[SubPLOs]:[SubPLOs]],"&gt;=3",tbl_task2[[SubPLOs]:[SubPLOs]],"&lt;4")+SUMIFS(tbl_task3[S81],tbl_task3[[SubPLOs]:[SubPLOs]],"&gt;=3",tbl_task3[[SubPLOs]:[SubPLOs]],"&lt;4")+SUMIFS(tbl_task4[S81],tbl_task4[[SubPLOs]:[SubPLOs]],"&gt;=3",tbl_task4[[SubPLOs]:[SubPLOs]],"&lt;4")+SUMIFS(tbl_task5[S81],tbl_task5[[SubPLOs]:[SubPLOs]],"&gt;=3",tbl_task5[[SubPLOs]:[SubPLOs]],"&lt;4")+SUMIFS(tbl_task6[S81],tbl_task6[[SubPLOs]:[SubPLOs]],"&gt;=3",tbl_task6[[SubPLOs]:[SubPLOs]],"&lt;4")+SUMIFS(tbl_task7[S81],tbl_task7[[SubPLOs]:[SubPLOs]],"&gt;=3",tbl_task7[[SubPLOs]:[SubPLOs]],"&lt;4")+SUMIFS(tbl_task8[S81],tbl_task8[[SubPLOs]:[SubPLOs]],"&gt;=3",tbl_task8[[SubPLOs]:[SubPLOs]],"&lt;4")+SUMIFS(tbl_task9[S81],tbl_task9[[SubPLOs]:[SubPLOs]],"&gt;=3",tbl_task9[[SubPLOs]:[SubPLOs]],"&lt;4")+SUMIFS(tbl_task10[S81],tbl_task10[[SubPLOs]:[SubPLOs]],"&gt;=3",tbl_task10[[SubPLOs]:[SubPLOs]],"&lt;4")</f>
        <v>0</v>
      </c>
      <c r="CI182" s="41">
        <f>SUMIFS(tbl_task1[S82],tbl_task1[[SubPLOs]:[SubPLOs]],"&gt;=3",tbl_task1[[SubPLOs]:[SubPLOs]],"&lt;4")+SUMIFS(tbl_task2[S82],tbl_task2[[SubPLOs]:[SubPLOs]],"&gt;=3",tbl_task2[[SubPLOs]:[SubPLOs]],"&lt;4")+SUMIFS(tbl_task3[S82],tbl_task3[[SubPLOs]:[SubPLOs]],"&gt;=3",tbl_task3[[SubPLOs]:[SubPLOs]],"&lt;4")+SUMIFS(tbl_task4[S82],tbl_task4[[SubPLOs]:[SubPLOs]],"&gt;=3",tbl_task4[[SubPLOs]:[SubPLOs]],"&lt;4")+SUMIFS(tbl_task5[S82],tbl_task5[[SubPLOs]:[SubPLOs]],"&gt;=3",tbl_task5[[SubPLOs]:[SubPLOs]],"&lt;4")+SUMIFS(tbl_task6[S82],tbl_task6[[SubPLOs]:[SubPLOs]],"&gt;=3",tbl_task6[[SubPLOs]:[SubPLOs]],"&lt;4")+SUMIFS(tbl_task7[S82],tbl_task7[[SubPLOs]:[SubPLOs]],"&gt;=3",tbl_task7[[SubPLOs]:[SubPLOs]],"&lt;4")+SUMIFS(tbl_task8[S82],tbl_task8[[SubPLOs]:[SubPLOs]],"&gt;=3",tbl_task8[[SubPLOs]:[SubPLOs]],"&lt;4")+SUMIFS(tbl_task9[S82],tbl_task9[[SubPLOs]:[SubPLOs]],"&gt;=3",tbl_task9[[SubPLOs]:[SubPLOs]],"&lt;4")+SUMIFS(tbl_task10[S82],tbl_task10[[SubPLOs]:[SubPLOs]],"&gt;=3",tbl_task10[[SubPLOs]:[SubPLOs]],"&lt;4")</f>
        <v>0</v>
      </c>
      <c r="CJ182" s="41">
        <f>SUMIFS(tbl_task1[S83],tbl_task1[[SubPLOs]:[SubPLOs]],"&gt;=3",tbl_task1[[SubPLOs]:[SubPLOs]],"&lt;4")+SUMIFS(tbl_task2[S83],tbl_task2[[SubPLOs]:[SubPLOs]],"&gt;=3",tbl_task2[[SubPLOs]:[SubPLOs]],"&lt;4")+SUMIFS(tbl_task3[S83],tbl_task3[[SubPLOs]:[SubPLOs]],"&gt;=3",tbl_task3[[SubPLOs]:[SubPLOs]],"&lt;4")+SUMIFS(tbl_task4[S83],tbl_task4[[SubPLOs]:[SubPLOs]],"&gt;=3",tbl_task4[[SubPLOs]:[SubPLOs]],"&lt;4")+SUMIFS(tbl_task5[S83],tbl_task5[[SubPLOs]:[SubPLOs]],"&gt;=3",tbl_task5[[SubPLOs]:[SubPLOs]],"&lt;4")+SUMIFS(tbl_task6[S83],tbl_task6[[SubPLOs]:[SubPLOs]],"&gt;=3",tbl_task6[[SubPLOs]:[SubPLOs]],"&lt;4")+SUMIFS(tbl_task7[S83],tbl_task7[[SubPLOs]:[SubPLOs]],"&gt;=3",tbl_task7[[SubPLOs]:[SubPLOs]],"&lt;4")+SUMIFS(tbl_task8[S83],tbl_task8[[SubPLOs]:[SubPLOs]],"&gt;=3",tbl_task8[[SubPLOs]:[SubPLOs]],"&lt;4")+SUMIFS(tbl_task9[S83],tbl_task9[[SubPLOs]:[SubPLOs]],"&gt;=3",tbl_task9[[SubPLOs]:[SubPLOs]],"&lt;4")+SUMIFS(tbl_task10[S83],tbl_task10[[SubPLOs]:[SubPLOs]],"&gt;=3",tbl_task10[[SubPLOs]:[SubPLOs]],"&lt;4")</f>
        <v>0</v>
      </c>
      <c r="CK182" s="41">
        <f>SUMIFS(tbl_task1[S84],tbl_task1[[SubPLOs]:[SubPLOs]],"&gt;=3",tbl_task1[[SubPLOs]:[SubPLOs]],"&lt;4")+SUMIFS(tbl_task2[S84],tbl_task2[[SubPLOs]:[SubPLOs]],"&gt;=3",tbl_task2[[SubPLOs]:[SubPLOs]],"&lt;4")+SUMIFS(tbl_task3[S84],tbl_task3[[SubPLOs]:[SubPLOs]],"&gt;=3",tbl_task3[[SubPLOs]:[SubPLOs]],"&lt;4")+SUMIFS(tbl_task4[S84],tbl_task4[[SubPLOs]:[SubPLOs]],"&gt;=3",tbl_task4[[SubPLOs]:[SubPLOs]],"&lt;4")+SUMIFS(tbl_task5[S84],tbl_task5[[SubPLOs]:[SubPLOs]],"&gt;=3",tbl_task5[[SubPLOs]:[SubPLOs]],"&lt;4")+SUMIFS(tbl_task6[S84],tbl_task6[[SubPLOs]:[SubPLOs]],"&gt;=3",tbl_task6[[SubPLOs]:[SubPLOs]],"&lt;4")+SUMIFS(tbl_task7[S84],tbl_task7[[SubPLOs]:[SubPLOs]],"&gt;=3",tbl_task7[[SubPLOs]:[SubPLOs]],"&lt;4")+SUMIFS(tbl_task8[S84],tbl_task8[[SubPLOs]:[SubPLOs]],"&gt;=3",tbl_task8[[SubPLOs]:[SubPLOs]],"&lt;4")+SUMIFS(tbl_task9[S84],tbl_task9[[SubPLOs]:[SubPLOs]],"&gt;=3",tbl_task9[[SubPLOs]:[SubPLOs]],"&lt;4")+SUMIFS(tbl_task10[S84],tbl_task10[[SubPLOs]:[SubPLOs]],"&gt;=3",tbl_task10[[SubPLOs]:[SubPLOs]],"&lt;4")</f>
        <v>0</v>
      </c>
      <c r="CL182" s="41">
        <f>SUMIFS(tbl_task1[S85],tbl_task1[[SubPLOs]:[SubPLOs]],"&gt;=3",tbl_task1[[SubPLOs]:[SubPLOs]],"&lt;4")+SUMIFS(tbl_task2[S85],tbl_task2[[SubPLOs]:[SubPLOs]],"&gt;=3",tbl_task2[[SubPLOs]:[SubPLOs]],"&lt;4")+SUMIFS(tbl_task3[S85],tbl_task3[[SubPLOs]:[SubPLOs]],"&gt;=3",tbl_task3[[SubPLOs]:[SubPLOs]],"&lt;4")+SUMIFS(tbl_task4[S85],tbl_task4[[SubPLOs]:[SubPLOs]],"&gt;=3",tbl_task4[[SubPLOs]:[SubPLOs]],"&lt;4")+SUMIFS(tbl_task5[S85],tbl_task5[[SubPLOs]:[SubPLOs]],"&gt;=3",tbl_task5[[SubPLOs]:[SubPLOs]],"&lt;4")+SUMIFS(tbl_task6[S85],tbl_task6[[SubPLOs]:[SubPLOs]],"&gt;=3",tbl_task6[[SubPLOs]:[SubPLOs]],"&lt;4")+SUMIFS(tbl_task7[S85],tbl_task7[[SubPLOs]:[SubPLOs]],"&gt;=3",tbl_task7[[SubPLOs]:[SubPLOs]],"&lt;4")+SUMIFS(tbl_task8[S85],tbl_task8[[SubPLOs]:[SubPLOs]],"&gt;=3",tbl_task8[[SubPLOs]:[SubPLOs]],"&lt;4")+SUMIFS(tbl_task9[S85],tbl_task9[[SubPLOs]:[SubPLOs]],"&gt;=3",tbl_task9[[SubPLOs]:[SubPLOs]],"&lt;4")+SUMIFS(tbl_task10[S85],tbl_task10[[SubPLOs]:[SubPLOs]],"&gt;=3",tbl_task10[[SubPLOs]:[SubPLOs]],"&lt;4")</f>
        <v>0</v>
      </c>
      <c r="CM182" s="41">
        <f>SUMIFS(tbl_task1[S86],tbl_task1[[SubPLOs]:[SubPLOs]],"&gt;=3",tbl_task1[[SubPLOs]:[SubPLOs]],"&lt;4")+SUMIFS(tbl_task2[S86],tbl_task2[[SubPLOs]:[SubPLOs]],"&gt;=3",tbl_task2[[SubPLOs]:[SubPLOs]],"&lt;4")+SUMIFS(tbl_task3[S86],tbl_task3[[SubPLOs]:[SubPLOs]],"&gt;=3",tbl_task3[[SubPLOs]:[SubPLOs]],"&lt;4")+SUMIFS(tbl_task4[S86],tbl_task4[[SubPLOs]:[SubPLOs]],"&gt;=3",tbl_task4[[SubPLOs]:[SubPLOs]],"&lt;4")+SUMIFS(tbl_task5[S86],tbl_task5[[SubPLOs]:[SubPLOs]],"&gt;=3",tbl_task5[[SubPLOs]:[SubPLOs]],"&lt;4")+SUMIFS(tbl_task6[S86],tbl_task6[[SubPLOs]:[SubPLOs]],"&gt;=3",tbl_task6[[SubPLOs]:[SubPLOs]],"&lt;4")+SUMIFS(tbl_task7[S86],tbl_task7[[SubPLOs]:[SubPLOs]],"&gt;=3",tbl_task7[[SubPLOs]:[SubPLOs]],"&lt;4")+SUMIFS(tbl_task8[S86],tbl_task8[[SubPLOs]:[SubPLOs]],"&gt;=3",tbl_task8[[SubPLOs]:[SubPLOs]],"&lt;4")+SUMIFS(tbl_task9[S86],tbl_task9[[SubPLOs]:[SubPLOs]],"&gt;=3",tbl_task9[[SubPLOs]:[SubPLOs]],"&lt;4")+SUMIFS(tbl_task10[S86],tbl_task10[[SubPLOs]:[SubPLOs]],"&gt;=3",tbl_task10[[SubPLOs]:[SubPLOs]],"&lt;4")</f>
        <v>0</v>
      </c>
      <c r="CN182" s="41">
        <f>SUMIFS(tbl_task1[S87],tbl_task1[[SubPLOs]:[SubPLOs]],"&gt;=3",tbl_task1[[SubPLOs]:[SubPLOs]],"&lt;4")+SUMIFS(tbl_task2[S87],tbl_task2[[SubPLOs]:[SubPLOs]],"&gt;=3",tbl_task2[[SubPLOs]:[SubPLOs]],"&lt;4")+SUMIFS(tbl_task3[S87],tbl_task3[[SubPLOs]:[SubPLOs]],"&gt;=3",tbl_task3[[SubPLOs]:[SubPLOs]],"&lt;4")+SUMIFS(tbl_task4[S87],tbl_task4[[SubPLOs]:[SubPLOs]],"&gt;=3",tbl_task4[[SubPLOs]:[SubPLOs]],"&lt;4")+SUMIFS(tbl_task5[S87],tbl_task5[[SubPLOs]:[SubPLOs]],"&gt;=3",tbl_task5[[SubPLOs]:[SubPLOs]],"&lt;4")+SUMIFS(tbl_task6[S87],tbl_task6[[SubPLOs]:[SubPLOs]],"&gt;=3",tbl_task6[[SubPLOs]:[SubPLOs]],"&lt;4")+SUMIFS(tbl_task7[S87],tbl_task7[[SubPLOs]:[SubPLOs]],"&gt;=3",tbl_task7[[SubPLOs]:[SubPLOs]],"&lt;4")+SUMIFS(tbl_task8[S87],tbl_task8[[SubPLOs]:[SubPLOs]],"&gt;=3",tbl_task8[[SubPLOs]:[SubPLOs]],"&lt;4")+SUMIFS(tbl_task9[S87],tbl_task9[[SubPLOs]:[SubPLOs]],"&gt;=3",tbl_task9[[SubPLOs]:[SubPLOs]],"&lt;4")+SUMIFS(tbl_task10[S87],tbl_task10[[SubPLOs]:[SubPLOs]],"&gt;=3",tbl_task10[[SubPLOs]:[SubPLOs]],"&lt;4")</f>
        <v>0</v>
      </c>
      <c r="CO182" s="41">
        <f>SUMIFS(tbl_task1[S88],tbl_task1[[SubPLOs]:[SubPLOs]],"&gt;=3",tbl_task1[[SubPLOs]:[SubPLOs]],"&lt;4")+SUMIFS(tbl_task2[S88],tbl_task2[[SubPLOs]:[SubPLOs]],"&gt;=3",tbl_task2[[SubPLOs]:[SubPLOs]],"&lt;4")+SUMIFS(tbl_task3[S88],tbl_task3[[SubPLOs]:[SubPLOs]],"&gt;=3",tbl_task3[[SubPLOs]:[SubPLOs]],"&lt;4")+SUMIFS(tbl_task4[S88],tbl_task4[[SubPLOs]:[SubPLOs]],"&gt;=3",tbl_task4[[SubPLOs]:[SubPLOs]],"&lt;4")+SUMIFS(tbl_task5[S88],tbl_task5[[SubPLOs]:[SubPLOs]],"&gt;=3",tbl_task5[[SubPLOs]:[SubPLOs]],"&lt;4")+SUMIFS(tbl_task6[S88],tbl_task6[[SubPLOs]:[SubPLOs]],"&gt;=3",tbl_task6[[SubPLOs]:[SubPLOs]],"&lt;4")+SUMIFS(tbl_task7[S88],tbl_task7[[SubPLOs]:[SubPLOs]],"&gt;=3",tbl_task7[[SubPLOs]:[SubPLOs]],"&lt;4")+SUMIFS(tbl_task8[S88],tbl_task8[[SubPLOs]:[SubPLOs]],"&gt;=3",tbl_task8[[SubPLOs]:[SubPLOs]],"&lt;4")+SUMIFS(tbl_task9[S88],tbl_task9[[SubPLOs]:[SubPLOs]],"&gt;=3",tbl_task9[[SubPLOs]:[SubPLOs]],"&lt;4")+SUMIFS(tbl_task10[S88],tbl_task10[[SubPLOs]:[SubPLOs]],"&gt;=3",tbl_task10[[SubPLOs]:[SubPLOs]],"&lt;4")</f>
        <v>0</v>
      </c>
      <c r="CP182" s="41">
        <f>SUMIFS(tbl_task1[S89],tbl_task1[[SubPLOs]:[SubPLOs]],"&gt;=3",tbl_task1[[SubPLOs]:[SubPLOs]],"&lt;4")+SUMIFS(tbl_task2[S89],tbl_task2[[SubPLOs]:[SubPLOs]],"&gt;=3",tbl_task2[[SubPLOs]:[SubPLOs]],"&lt;4")+SUMIFS(tbl_task3[S89],tbl_task3[[SubPLOs]:[SubPLOs]],"&gt;=3",tbl_task3[[SubPLOs]:[SubPLOs]],"&lt;4")+SUMIFS(tbl_task4[S89],tbl_task4[[SubPLOs]:[SubPLOs]],"&gt;=3",tbl_task4[[SubPLOs]:[SubPLOs]],"&lt;4")+SUMIFS(tbl_task5[S89],tbl_task5[[SubPLOs]:[SubPLOs]],"&gt;=3",tbl_task5[[SubPLOs]:[SubPLOs]],"&lt;4")+SUMIFS(tbl_task6[S89],tbl_task6[[SubPLOs]:[SubPLOs]],"&gt;=3",tbl_task6[[SubPLOs]:[SubPLOs]],"&lt;4")+SUMIFS(tbl_task7[S89],tbl_task7[[SubPLOs]:[SubPLOs]],"&gt;=3",tbl_task7[[SubPLOs]:[SubPLOs]],"&lt;4")+SUMIFS(tbl_task8[S89],tbl_task8[[SubPLOs]:[SubPLOs]],"&gt;=3",tbl_task8[[SubPLOs]:[SubPLOs]],"&lt;4")+SUMIFS(tbl_task9[S89],tbl_task9[[SubPLOs]:[SubPLOs]],"&gt;=3",tbl_task9[[SubPLOs]:[SubPLOs]],"&lt;4")+SUMIFS(tbl_task10[S89],tbl_task10[[SubPLOs]:[SubPLOs]],"&gt;=3",tbl_task10[[SubPLOs]:[SubPLOs]],"&lt;4")</f>
        <v>0</v>
      </c>
      <c r="CQ182" s="41">
        <f>SUMIFS(tbl_task1[S90],tbl_task1[[SubPLOs]:[SubPLOs]],"&gt;=3",tbl_task1[[SubPLOs]:[SubPLOs]],"&lt;4")+SUMIFS(tbl_task2[S90],tbl_task2[[SubPLOs]:[SubPLOs]],"&gt;=3",tbl_task2[[SubPLOs]:[SubPLOs]],"&lt;4")+SUMIFS(tbl_task3[S90],tbl_task3[[SubPLOs]:[SubPLOs]],"&gt;=3",tbl_task3[[SubPLOs]:[SubPLOs]],"&lt;4")+SUMIFS(tbl_task4[S90],tbl_task4[[SubPLOs]:[SubPLOs]],"&gt;=3",tbl_task4[[SubPLOs]:[SubPLOs]],"&lt;4")+SUMIFS(tbl_task5[S90],tbl_task5[[SubPLOs]:[SubPLOs]],"&gt;=3",tbl_task5[[SubPLOs]:[SubPLOs]],"&lt;4")+SUMIFS(tbl_task6[S90],tbl_task6[[SubPLOs]:[SubPLOs]],"&gt;=3",tbl_task6[[SubPLOs]:[SubPLOs]],"&lt;4")+SUMIFS(tbl_task7[S90],tbl_task7[[SubPLOs]:[SubPLOs]],"&gt;=3",tbl_task7[[SubPLOs]:[SubPLOs]],"&lt;4")+SUMIFS(tbl_task8[S90],tbl_task8[[SubPLOs]:[SubPLOs]],"&gt;=3",tbl_task8[[SubPLOs]:[SubPLOs]],"&lt;4")+SUMIFS(tbl_task9[S90],tbl_task9[[SubPLOs]:[SubPLOs]],"&gt;=3",tbl_task9[[SubPLOs]:[SubPLOs]],"&lt;4")+SUMIFS(tbl_task10[S90],tbl_task10[[SubPLOs]:[SubPLOs]],"&gt;=3",tbl_task10[[SubPLOs]:[SubPLOs]],"&lt;4")</f>
        <v>0</v>
      </c>
      <c r="CR182" s="41">
        <f>SUMIFS(tbl_task1[S91],tbl_task1[[SubPLOs]:[SubPLOs]],"&gt;=3",tbl_task1[[SubPLOs]:[SubPLOs]],"&lt;4")+SUMIFS(tbl_task2[S91],tbl_task2[[SubPLOs]:[SubPLOs]],"&gt;=3",tbl_task2[[SubPLOs]:[SubPLOs]],"&lt;4")+SUMIFS(tbl_task3[S91],tbl_task3[[SubPLOs]:[SubPLOs]],"&gt;=3",tbl_task3[[SubPLOs]:[SubPLOs]],"&lt;4")+SUMIFS(tbl_task4[S91],tbl_task4[[SubPLOs]:[SubPLOs]],"&gt;=3",tbl_task4[[SubPLOs]:[SubPLOs]],"&lt;4")+SUMIFS(tbl_task5[S91],tbl_task5[[SubPLOs]:[SubPLOs]],"&gt;=3",tbl_task5[[SubPLOs]:[SubPLOs]],"&lt;4")+SUMIFS(tbl_task6[S91],tbl_task6[[SubPLOs]:[SubPLOs]],"&gt;=3",tbl_task6[[SubPLOs]:[SubPLOs]],"&lt;4")+SUMIFS(tbl_task7[S91],tbl_task7[[SubPLOs]:[SubPLOs]],"&gt;=3",tbl_task7[[SubPLOs]:[SubPLOs]],"&lt;4")+SUMIFS(tbl_task8[S91],tbl_task8[[SubPLOs]:[SubPLOs]],"&gt;=3",tbl_task8[[SubPLOs]:[SubPLOs]],"&lt;4")+SUMIFS(tbl_task9[S91],tbl_task9[[SubPLOs]:[SubPLOs]],"&gt;=3",tbl_task9[[SubPLOs]:[SubPLOs]],"&lt;4")+SUMIFS(tbl_task10[S91],tbl_task10[[SubPLOs]:[SubPLOs]],"&gt;=3",tbl_task10[[SubPLOs]:[SubPLOs]],"&lt;4")</f>
        <v>0</v>
      </c>
      <c r="CS182" s="41">
        <f>SUMIFS(tbl_task1[S92],tbl_task1[[SubPLOs]:[SubPLOs]],"&gt;=3",tbl_task1[[SubPLOs]:[SubPLOs]],"&lt;4")+SUMIFS(tbl_task2[S92],tbl_task2[[SubPLOs]:[SubPLOs]],"&gt;=3",tbl_task2[[SubPLOs]:[SubPLOs]],"&lt;4")+SUMIFS(tbl_task3[S92],tbl_task3[[SubPLOs]:[SubPLOs]],"&gt;=3",tbl_task3[[SubPLOs]:[SubPLOs]],"&lt;4")+SUMIFS(tbl_task4[S92],tbl_task4[[SubPLOs]:[SubPLOs]],"&gt;=3",tbl_task4[[SubPLOs]:[SubPLOs]],"&lt;4")+SUMIFS(tbl_task5[S92],tbl_task5[[SubPLOs]:[SubPLOs]],"&gt;=3",tbl_task5[[SubPLOs]:[SubPLOs]],"&lt;4")+SUMIFS(tbl_task6[S92],tbl_task6[[SubPLOs]:[SubPLOs]],"&gt;=3",tbl_task6[[SubPLOs]:[SubPLOs]],"&lt;4")+SUMIFS(tbl_task7[S92],tbl_task7[[SubPLOs]:[SubPLOs]],"&gt;=3",tbl_task7[[SubPLOs]:[SubPLOs]],"&lt;4")+SUMIFS(tbl_task8[S92],tbl_task8[[SubPLOs]:[SubPLOs]],"&gt;=3",tbl_task8[[SubPLOs]:[SubPLOs]],"&lt;4")+SUMIFS(tbl_task9[S92],tbl_task9[[SubPLOs]:[SubPLOs]],"&gt;=3",tbl_task9[[SubPLOs]:[SubPLOs]],"&lt;4")+SUMIFS(tbl_task10[S92],tbl_task10[[SubPLOs]:[SubPLOs]],"&gt;=3",tbl_task10[[SubPLOs]:[SubPLOs]],"&lt;4")</f>
        <v>0</v>
      </c>
      <c r="CT182" s="41">
        <f>SUMIFS(tbl_task1[S93],tbl_task1[[SubPLOs]:[SubPLOs]],"&gt;=3",tbl_task1[[SubPLOs]:[SubPLOs]],"&lt;4")+SUMIFS(tbl_task2[S93],tbl_task2[[SubPLOs]:[SubPLOs]],"&gt;=3",tbl_task2[[SubPLOs]:[SubPLOs]],"&lt;4")+SUMIFS(tbl_task3[S93],tbl_task3[[SubPLOs]:[SubPLOs]],"&gt;=3",tbl_task3[[SubPLOs]:[SubPLOs]],"&lt;4")+SUMIFS(tbl_task4[S93],tbl_task4[[SubPLOs]:[SubPLOs]],"&gt;=3",tbl_task4[[SubPLOs]:[SubPLOs]],"&lt;4")+SUMIFS(tbl_task5[S93],tbl_task5[[SubPLOs]:[SubPLOs]],"&gt;=3",tbl_task5[[SubPLOs]:[SubPLOs]],"&lt;4")+SUMIFS(tbl_task6[S93],tbl_task6[[SubPLOs]:[SubPLOs]],"&gt;=3",tbl_task6[[SubPLOs]:[SubPLOs]],"&lt;4")+SUMIFS(tbl_task7[S93],tbl_task7[[SubPLOs]:[SubPLOs]],"&gt;=3",tbl_task7[[SubPLOs]:[SubPLOs]],"&lt;4")+SUMIFS(tbl_task8[S93],tbl_task8[[SubPLOs]:[SubPLOs]],"&gt;=3",tbl_task8[[SubPLOs]:[SubPLOs]],"&lt;4")+SUMIFS(tbl_task9[S93],tbl_task9[[SubPLOs]:[SubPLOs]],"&gt;=3",tbl_task9[[SubPLOs]:[SubPLOs]],"&lt;4")+SUMIFS(tbl_task10[S93],tbl_task10[[SubPLOs]:[SubPLOs]],"&gt;=3",tbl_task10[[SubPLOs]:[SubPLOs]],"&lt;4")</f>
        <v>0</v>
      </c>
      <c r="CU182" s="41">
        <f>SUMIFS(tbl_task1[S94],tbl_task1[[SubPLOs]:[SubPLOs]],"&gt;=3",tbl_task1[[SubPLOs]:[SubPLOs]],"&lt;4")+SUMIFS(tbl_task2[S94],tbl_task2[[SubPLOs]:[SubPLOs]],"&gt;=3",tbl_task2[[SubPLOs]:[SubPLOs]],"&lt;4")+SUMIFS(tbl_task3[S94],tbl_task3[[SubPLOs]:[SubPLOs]],"&gt;=3",tbl_task3[[SubPLOs]:[SubPLOs]],"&lt;4")+SUMIFS(tbl_task4[S94],tbl_task4[[SubPLOs]:[SubPLOs]],"&gt;=3",tbl_task4[[SubPLOs]:[SubPLOs]],"&lt;4")+SUMIFS(tbl_task5[S94],tbl_task5[[SubPLOs]:[SubPLOs]],"&gt;=3",tbl_task5[[SubPLOs]:[SubPLOs]],"&lt;4")+SUMIFS(tbl_task6[S94],tbl_task6[[SubPLOs]:[SubPLOs]],"&gt;=3",tbl_task6[[SubPLOs]:[SubPLOs]],"&lt;4")+SUMIFS(tbl_task7[S94],tbl_task7[[SubPLOs]:[SubPLOs]],"&gt;=3",tbl_task7[[SubPLOs]:[SubPLOs]],"&lt;4")+SUMIFS(tbl_task8[S94],tbl_task8[[SubPLOs]:[SubPLOs]],"&gt;=3",tbl_task8[[SubPLOs]:[SubPLOs]],"&lt;4")+SUMIFS(tbl_task9[S94],tbl_task9[[SubPLOs]:[SubPLOs]],"&gt;=3",tbl_task9[[SubPLOs]:[SubPLOs]],"&lt;4")+SUMIFS(tbl_task10[S94],tbl_task10[[SubPLOs]:[SubPLOs]],"&gt;=3",tbl_task10[[SubPLOs]:[SubPLOs]],"&lt;4")</f>
        <v>0</v>
      </c>
      <c r="CV182" s="41">
        <f>SUMIFS(tbl_task1[S95],tbl_task1[[SubPLOs]:[SubPLOs]],"&gt;=3",tbl_task1[[SubPLOs]:[SubPLOs]],"&lt;4")+SUMIFS(tbl_task2[S95],tbl_task2[[SubPLOs]:[SubPLOs]],"&gt;=3",tbl_task2[[SubPLOs]:[SubPLOs]],"&lt;4")+SUMIFS(tbl_task3[S95],tbl_task3[[SubPLOs]:[SubPLOs]],"&gt;=3",tbl_task3[[SubPLOs]:[SubPLOs]],"&lt;4")+SUMIFS(tbl_task4[S95],tbl_task4[[SubPLOs]:[SubPLOs]],"&gt;=3",tbl_task4[[SubPLOs]:[SubPLOs]],"&lt;4")+SUMIFS(tbl_task5[S95],tbl_task5[[SubPLOs]:[SubPLOs]],"&gt;=3",tbl_task5[[SubPLOs]:[SubPLOs]],"&lt;4")+SUMIFS(tbl_task6[S95],tbl_task6[[SubPLOs]:[SubPLOs]],"&gt;=3",tbl_task6[[SubPLOs]:[SubPLOs]],"&lt;4")+SUMIFS(tbl_task7[S95],tbl_task7[[SubPLOs]:[SubPLOs]],"&gt;=3",tbl_task7[[SubPLOs]:[SubPLOs]],"&lt;4")+SUMIFS(tbl_task8[S95],tbl_task8[[SubPLOs]:[SubPLOs]],"&gt;=3",tbl_task8[[SubPLOs]:[SubPLOs]],"&lt;4")+SUMIFS(tbl_task9[S95],tbl_task9[[SubPLOs]:[SubPLOs]],"&gt;=3",tbl_task9[[SubPLOs]:[SubPLOs]],"&lt;4")+SUMIFS(tbl_task10[S95],tbl_task10[[SubPLOs]:[SubPLOs]],"&gt;=3",tbl_task10[[SubPLOs]:[SubPLOs]],"&lt;4")</f>
        <v>0</v>
      </c>
      <c r="CW182" s="41">
        <f>SUMIFS(tbl_task1[S96],tbl_task1[[SubPLOs]:[SubPLOs]],"&gt;=3",tbl_task1[[SubPLOs]:[SubPLOs]],"&lt;4")+SUMIFS(tbl_task2[S96],tbl_task2[[SubPLOs]:[SubPLOs]],"&gt;=3",tbl_task2[[SubPLOs]:[SubPLOs]],"&lt;4")+SUMIFS(tbl_task3[S96],tbl_task3[[SubPLOs]:[SubPLOs]],"&gt;=3",tbl_task3[[SubPLOs]:[SubPLOs]],"&lt;4")+SUMIFS(tbl_task4[S96],tbl_task4[[SubPLOs]:[SubPLOs]],"&gt;=3",tbl_task4[[SubPLOs]:[SubPLOs]],"&lt;4")+SUMIFS(tbl_task5[S96],tbl_task5[[SubPLOs]:[SubPLOs]],"&gt;=3",tbl_task5[[SubPLOs]:[SubPLOs]],"&lt;4")+SUMIFS(tbl_task6[S96],tbl_task6[[SubPLOs]:[SubPLOs]],"&gt;=3",tbl_task6[[SubPLOs]:[SubPLOs]],"&lt;4")+SUMIFS(tbl_task7[S96],tbl_task7[[SubPLOs]:[SubPLOs]],"&gt;=3",tbl_task7[[SubPLOs]:[SubPLOs]],"&lt;4")+SUMIFS(tbl_task8[S96],tbl_task8[[SubPLOs]:[SubPLOs]],"&gt;=3",tbl_task8[[SubPLOs]:[SubPLOs]],"&lt;4")+SUMIFS(tbl_task9[S96],tbl_task9[[SubPLOs]:[SubPLOs]],"&gt;=3",tbl_task9[[SubPLOs]:[SubPLOs]],"&lt;4")+SUMIFS(tbl_task10[S96],tbl_task10[[SubPLOs]:[SubPLOs]],"&gt;=3",tbl_task10[[SubPLOs]:[SubPLOs]],"&lt;4")</f>
        <v>0</v>
      </c>
      <c r="CX182" s="41">
        <f>SUMIFS(tbl_task1[S97],tbl_task1[[SubPLOs]:[SubPLOs]],"&gt;=3",tbl_task1[[SubPLOs]:[SubPLOs]],"&lt;4")+SUMIFS(tbl_task2[S97],tbl_task2[[SubPLOs]:[SubPLOs]],"&gt;=3",tbl_task2[[SubPLOs]:[SubPLOs]],"&lt;4")+SUMIFS(tbl_task3[S97],tbl_task3[[SubPLOs]:[SubPLOs]],"&gt;=3",tbl_task3[[SubPLOs]:[SubPLOs]],"&lt;4")+SUMIFS(tbl_task4[S97],tbl_task4[[SubPLOs]:[SubPLOs]],"&gt;=3",tbl_task4[[SubPLOs]:[SubPLOs]],"&lt;4")+SUMIFS(tbl_task5[S97],tbl_task5[[SubPLOs]:[SubPLOs]],"&gt;=3",tbl_task5[[SubPLOs]:[SubPLOs]],"&lt;4")+SUMIFS(tbl_task6[S97],tbl_task6[[SubPLOs]:[SubPLOs]],"&gt;=3",tbl_task6[[SubPLOs]:[SubPLOs]],"&lt;4")+SUMIFS(tbl_task7[S97],tbl_task7[[SubPLOs]:[SubPLOs]],"&gt;=3",tbl_task7[[SubPLOs]:[SubPLOs]],"&lt;4")+SUMIFS(tbl_task8[S97],tbl_task8[[SubPLOs]:[SubPLOs]],"&gt;=3",tbl_task8[[SubPLOs]:[SubPLOs]],"&lt;4")+SUMIFS(tbl_task9[S97],tbl_task9[[SubPLOs]:[SubPLOs]],"&gt;=3",tbl_task9[[SubPLOs]:[SubPLOs]],"&lt;4")+SUMIFS(tbl_task10[S97],tbl_task10[[SubPLOs]:[SubPLOs]],"&gt;=3",tbl_task10[[SubPLOs]:[SubPLOs]],"&lt;4")</f>
        <v>0</v>
      </c>
      <c r="CY182" s="41">
        <f>SUMIFS(tbl_task1[S98],tbl_task1[[SubPLOs]:[SubPLOs]],"&gt;=3",tbl_task1[[SubPLOs]:[SubPLOs]],"&lt;4")+SUMIFS(tbl_task2[S98],tbl_task2[[SubPLOs]:[SubPLOs]],"&gt;=3",tbl_task2[[SubPLOs]:[SubPLOs]],"&lt;4")+SUMIFS(tbl_task3[S98],tbl_task3[[SubPLOs]:[SubPLOs]],"&gt;=3",tbl_task3[[SubPLOs]:[SubPLOs]],"&lt;4")+SUMIFS(tbl_task4[S98],tbl_task4[[SubPLOs]:[SubPLOs]],"&gt;=3",tbl_task4[[SubPLOs]:[SubPLOs]],"&lt;4")+SUMIFS(tbl_task5[S98],tbl_task5[[SubPLOs]:[SubPLOs]],"&gt;=3",tbl_task5[[SubPLOs]:[SubPLOs]],"&lt;4")+SUMIFS(tbl_task6[S98],tbl_task6[[SubPLOs]:[SubPLOs]],"&gt;=3",tbl_task6[[SubPLOs]:[SubPLOs]],"&lt;4")+SUMIFS(tbl_task7[S98],tbl_task7[[SubPLOs]:[SubPLOs]],"&gt;=3",tbl_task7[[SubPLOs]:[SubPLOs]],"&lt;4")+SUMIFS(tbl_task8[S98],tbl_task8[[SubPLOs]:[SubPLOs]],"&gt;=3",tbl_task8[[SubPLOs]:[SubPLOs]],"&lt;4")+SUMIFS(tbl_task9[S98],tbl_task9[[SubPLOs]:[SubPLOs]],"&gt;=3",tbl_task9[[SubPLOs]:[SubPLOs]],"&lt;4")+SUMIFS(tbl_task10[S98],tbl_task10[[SubPLOs]:[SubPLOs]],"&gt;=3",tbl_task10[[SubPLOs]:[SubPLOs]],"&lt;4")</f>
        <v>0</v>
      </c>
      <c r="CZ182" s="41">
        <f>SUMIFS(tbl_task1[S99],tbl_task1[[SubPLOs]:[SubPLOs]],"&gt;=3",tbl_task1[[SubPLOs]:[SubPLOs]],"&lt;4")+SUMIFS(tbl_task2[S99],tbl_task2[[SubPLOs]:[SubPLOs]],"&gt;=3",tbl_task2[[SubPLOs]:[SubPLOs]],"&lt;4")+SUMIFS(tbl_task3[S99],tbl_task3[[SubPLOs]:[SubPLOs]],"&gt;=3",tbl_task3[[SubPLOs]:[SubPLOs]],"&lt;4")+SUMIFS(tbl_task4[S99],tbl_task4[[SubPLOs]:[SubPLOs]],"&gt;=3",tbl_task4[[SubPLOs]:[SubPLOs]],"&lt;4")+SUMIFS(tbl_task5[S99],tbl_task5[[SubPLOs]:[SubPLOs]],"&gt;=3",tbl_task5[[SubPLOs]:[SubPLOs]],"&lt;4")+SUMIFS(tbl_task6[S99],tbl_task6[[SubPLOs]:[SubPLOs]],"&gt;=3",tbl_task6[[SubPLOs]:[SubPLOs]],"&lt;4")+SUMIFS(tbl_task7[S99],tbl_task7[[SubPLOs]:[SubPLOs]],"&gt;=3",tbl_task7[[SubPLOs]:[SubPLOs]],"&lt;4")+SUMIFS(tbl_task8[S99],tbl_task8[[SubPLOs]:[SubPLOs]],"&gt;=3",tbl_task8[[SubPLOs]:[SubPLOs]],"&lt;4")+SUMIFS(tbl_task9[S99],tbl_task9[[SubPLOs]:[SubPLOs]],"&gt;=3",tbl_task9[[SubPLOs]:[SubPLOs]],"&lt;4")+SUMIFS(tbl_task10[S99],tbl_task10[[SubPLOs]:[SubPLOs]],"&gt;=3",tbl_task10[[SubPLOs]:[SubPLOs]],"&lt;4")</f>
        <v>0</v>
      </c>
      <c r="DA182" s="41">
        <f>SUMIFS(tbl_task1[S100],tbl_task1[[SubPLOs]:[SubPLOs]],"&gt;=3",tbl_task1[[SubPLOs]:[SubPLOs]],"&lt;4")+SUMIFS(tbl_task2[S100],tbl_task2[[SubPLOs]:[SubPLOs]],"&gt;=3",tbl_task2[[SubPLOs]:[SubPLOs]],"&lt;4")+SUMIFS(tbl_task3[S100],tbl_task3[[SubPLOs]:[SubPLOs]],"&gt;=3",tbl_task3[[SubPLOs]:[SubPLOs]],"&lt;4")+SUMIFS(tbl_task4[S100],tbl_task4[[SubPLOs]:[SubPLOs]],"&gt;=3",tbl_task4[[SubPLOs]:[SubPLOs]],"&lt;4")+SUMIFS(tbl_task5[S100],tbl_task5[[SubPLOs]:[SubPLOs]],"&gt;=3",tbl_task5[[SubPLOs]:[SubPLOs]],"&lt;4")+SUMIFS(tbl_task6[S100],tbl_task6[[SubPLOs]:[SubPLOs]],"&gt;=3",tbl_task6[[SubPLOs]:[SubPLOs]],"&lt;4")+SUMIFS(tbl_task7[S100],tbl_task7[[SubPLOs]:[SubPLOs]],"&gt;=3",tbl_task7[[SubPLOs]:[SubPLOs]],"&lt;4")+SUMIFS(tbl_task8[S100],tbl_task8[[SubPLOs]:[SubPLOs]],"&gt;=3",tbl_task8[[SubPLOs]:[SubPLOs]],"&lt;4")+SUMIFS(tbl_task9[S100],tbl_task9[[SubPLOs]:[SubPLOs]],"&gt;=3",tbl_task9[[SubPLOs]:[SubPLOs]],"&lt;4")+SUMIFS(tbl_task10[S100],tbl_task10[[SubPLOs]:[SubPLOs]],"&gt;=3",tbl_task10[[SubPLOs]:[SubPLOs]],"&lt;4")</f>
        <v>0</v>
      </c>
      <c r="DB182" s="41">
        <f>SUMIFS(tbl_task1[S101],tbl_task1[[SubPLOs]:[SubPLOs]],"&gt;=3",tbl_task1[[SubPLOs]:[SubPLOs]],"&lt;4")+SUMIFS(tbl_task2[S101],tbl_task2[[SubPLOs]:[SubPLOs]],"&gt;=3",tbl_task2[[SubPLOs]:[SubPLOs]],"&lt;4")+SUMIFS(tbl_task3[S101],tbl_task3[[SubPLOs]:[SubPLOs]],"&gt;=3",tbl_task3[[SubPLOs]:[SubPLOs]],"&lt;4")+SUMIFS(tbl_task4[S101],tbl_task4[[SubPLOs]:[SubPLOs]],"&gt;=3",tbl_task4[[SubPLOs]:[SubPLOs]],"&lt;4")+SUMIFS(tbl_task5[S101],tbl_task5[[SubPLOs]:[SubPLOs]],"&gt;=3",tbl_task5[[SubPLOs]:[SubPLOs]],"&lt;4")+SUMIFS(tbl_task6[S101],tbl_task6[[SubPLOs]:[SubPLOs]],"&gt;=3",tbl_task6[[SubPLOs]:[SubPLOs]],"&lt;4")+SUMIFS(tbl_task7[S101],tbl_task7[[SubPLOs]:[SubPLOs]],"&gt;=3",tbl_task7[[SubPLOs]:[SubPLOs]],"&lt;4")+SUMIFS(tbl_task8[S101],tbl_task8[[SubPLOs]:[SubPLOs]],"&gt;=3",tbl_task8[[SubPLOs]:[SubPLOs]],"&lt;4")+SUMIFS(tbl_task9[S101],tbl_task9[[SubPLOs]:[SubPLOs]],"&gt;=3",tbl_task9[[SubPLOs]:[SubPLOs]],"&lt;4")+SUMIFS(tbl_task10[S101],tbl_task10[[SubPLOs]:[SubPLOs]],"&gt;=3",tbl_task10[[SubPLOs]:[SubPLOs]],"&lt;4")</f>
        <v>0</v>
      </c>
      <c r="DC182" s="41">
        <f>SUMIFS(tbl_task1[S102],tbl_task1[[SubPLOs]:[SubPLOs]],"&gt;=3",tbl_task1[[SubPLOs]:[SubPLOs]],"&lt;4")+SUMIFS(tbl_task2[S102],tbl_task2[[SubPLOs]:[SubPLOs]],"&gt;=3",tbl_task2[[SubPLOs]:[SubPLOs]],"&lt;4")+SUMIFS(tbl_task3[S102],tbl_task3[[SubPLOs]:[SubPLOs]],"&gt;=3",tbl_task3[[SubPLOs]:[SubPLOs]],"&lt;4")+SUMIFS(tbl_task4[S102],tbl_task4[[SubPLOs]:[SubPLOs]],"&gt;=3",tbl_task4[[SubPLOs]:[SubPLOs]],"&lt;4")+SUMIFS(tbl_task5[S102],tbl_task5[[SubPLOs]:[SubPLOs]],"&gt;=3",tbl_task5[[SubPLOs]:[SubPLOs]],"&lt;4")+SUMIFS(tbl_task6[S102],tbl_task6[[SubPLOs]:[SubPLOs]],"&gt;=3",tbl_task6[[SubPLOs]:[SubPLOs]],"&lt;4")+SUMIFS(tbl_task7[S102],tbl_task7[[SubPLOs]:[SubPLOs]],"&gt;=3",tbl_task7[[SubPLOs]:[SubPLOs]],"&lt;4")+SUMIFS(tbl_task8[S102],tbl_task8[[SubPLOs]:[SubPLOs]],"&gt;=3",tbl_task8[[SubPLOs]:[SubPLOs]],"&lt;4")+SUMIFS(tbl_task9[S102],tbl_task9[[SubPLOs]:[SubPLOs]],"&gt;=3",tbl_task9[[SubPLOs]:[SubPLOs]],"&lt;4")+SUMIFS(tbl_task10[S102],tbl_task10[[SubPLOs]:[SubPLOs]],"&gt;=3",tbl_task10[[SubPLOs]:[SubPLOs]],"&lt;4")</f>
        <v>0</v>
      </c>
      <c r="DD182" s="41">
        <f>SUMIFS(tbl_task1[S103],tbl_task1[[SubPLOs]:[SubPLOs]],"&gt;=3",tbl_task1[[SubPLOs]:[SubPLOs]],"&lt;4")+SUMIFS(tbl_task2[S103],tbl_task2[[SubPLOs]:[SubPLOs]],"&gt;=3",tbl_task2[[SubPLOs]:[SubPLOs]],"&lt;4")+SUMIFS(tbl_task3[S103],tbl_task3[[SubPLOs]:[SubPLOs]],"&gt;=3",tbl_task3[[SubPLOs]:[SubPLOs]],"&lt;4")+SUMIFS(tbl_task4[S103],tbl_task4[[SubPLOs]:[SubPLOs]],"&gt;=3",tbl_task4[[SubPLOs]:[SubPLOs]],"&lt;4")+SUMIFS(tbl_task5[S103],tbl_task5[[SubPLOs]:[SubPLOs]],"&gt;=3",tbl_task5[[SubPLOs]:[SubPLOs]],"&lt;4")+SUMIFS(tbl_task6[S103],tbl_task6[[SubPLOs]:[SubPLOs]],"&gt;=3",tbl_task6[[SubPLOs]:[SubPLOs]],"&lt;4")+SUMIFS(tbl_task7[S103],tbl_task7[[SubPLOs]:[SubPLOs]],"&gt;=3",tbl_task7[[SubPLOs]:[SubPLOs]],"&lt;4")+SUMIFS(tbl_task8[S103],tbl_task8[[SubPLOs]:[SubPLOs]],"&gt;=3",tbl_task8[[SubPLOs]:[SubPLOs]],"&lt;4")+SUMIFS(tbl_task9[S103],tbl_task9[[SubPLOs]:[SubPLOs]],"&gt;=3",tbl_task9[[SubPLOs]:[SubPLOs]],"&lt;4")+SUMIFS(tbl_task10[S103],tbl_task10[[SubPLOs]:[SubPLOs]],"&gt;=3",tbl_task10[[SubPLOs]:[SubPLOs]],"&lt;4")</f>
        <v>0</v>
      </c>
      <c r="DE182" s="41">
        <f>SUMIFS(tbl_task1[S104],tbl_task1[[SubPLOs]:[SubPLOs]],"&gt;=3",tbl_task1[[SubPLOs]:[SubPLOs]],"&lt;4")+SUMIFS(tbl_task2[S104],tbl_task2[[SubPLOs]:[SubPLOs]],"&gt;=3",tbl_task2[[SubPLOs]:[SubPLOs]],"&lt;4")+SUMIFS(tbl_task3[S104],tbl_task3[[SubPLOs]:[SubPLOs]],"&gt;=3",tbl_task3[[SubPLOs]:[SubPLOs]],"&lt;4")+SUMIFS(tbl_task4[S104],tbl_task4[[SubPLOs]:[SubPLOs]],"&gt;=3",tbl_task4[[SubPLOs]:[SubPLOs]],"&lt;4")+SUMIFS(tbl_task5[S104],tbl_task5[[SubPLOs]:[SubPLOs]],"&gt;=3",tbl_task5[[SubPLOs]:[SubPLOs]],"&lt;4")+SUMIFS(tbl_task6[S104],tbl_task6[[SubPLOs]:[SubPLOs]],"&gt;=3",tbl_task6[[SubPLOs]:[SubPLOs]],"&lt;4")+SUMIFS(tbl_task7[S104],tbl_task7[[SubPLOs]:[SubPLOs]],"&gt;=3",tbl_task7[[SubPLOs]:[SubPLOs]],"&lt;4")+SUMIFS(tbl_task8[S104],tbl_task8[[SubPLOs]:[SubPLOs]],"&gt;=3",tbl_task8[[SubPLOs]:[SubPLOs]],"&lt;4")+SUMIFS(tbl_task9[S104],tbl_task9[[SubPLOs]:[SubPLOs]],"&gt;=3",tbl_task9[[SubPLOs]:[SubPLOs]],"&lt;4")+SUMIFS(tbl_task10[S104],tbl_task10[[SubPLOs]:[SubPLOs]],"&gt;=3",tbl_task10[[SubPLOs]:[SubPLOs]],"&lt;4")</f>
        <v>0</v>
      </c>
      <c r="DF182" s="41">
        <f>SUMIFS(tbl_task1[S105],tbl_task1[[SubPLOs]:[SubPLOs]],"&gt;=3",tbl_task1[[SubPLOs]:[SubPLOs]],"&lt;4")+SUMIFS(tbl_task2[S105],tbl_task2[[SubPLOs]:[SubPLOs]],"&gt;=3",tbl_task2[[SubPLOs]:[SubPLOs]],"&lt;4")+SUMIFS(tbl_task3[S105],tbl_task3[[SubPLOs]:[SubPLOs]],"&gt;=3",tbl_task3[[SubPLOs]:[SubPLOs]],"&lt;4")+SUMIFS(tbl_task4[S105],tbl_task4[[SubPLOs]:[SubPLOs]],"&gt;=3",tbl_task4[[SubPLOs]:[SubPLOs]],"&lt;4")+SUMIFS(tbl_task5[S105],tbl_task5[[SubPLOs]:[SubPLOs]],"&gt;=3",tbl_task5[[SubPLOs]:[SubPLOs]],"&lt;4")+SUMIFS(tbl_task6[S105],tbl_task6[[SubPLOs]:[SubPLOs]],"&gt;=3",tbl_task6[[SubPLOs]:[SubPLOs]],"&lt;4")+SUMIFS(tbl_task7[S105],tbl_task7[[SubPLOs]:[SubPLOs]],"&gt;=3",tbl_task7[[SubPLOs]:[SubPLOs]],"&lt;4")+SUMIFS(tbl_task8[S105],tbl_task8[[SubPLOs]:[SubPLOs]],"&gt;=3",tbl_task8[[SubPLOs]:[SubPLOs]],"&lt;4")+SUMIFS(tbl_task9[S105],tbl_task9[[SubPLOs]:[SubPLOs]],"&gt;=3",tbl_task9[[SubPLOs]:[SubPLOs]],"&lt;4")+SUMIFS(tbl_task10[S105],tbl_task10[[SubPLOs]:[SubPLOs]],"&gt;=3",tbl_task10[[SubPLOs]:[SubPLOs]],"&lt;4")</f>
        <v>0</v>
      </c>
      <c r="DG182" s="41">
        <f>SUMIFS(tbl_task1[S106],tbl_task1[[SubPLOs]:[SubPLOs]],"&gt;=3",tbl_task1[[SubPLOs]:[SubPLOs]],"&lt;4")+SUMIFS(tbl_task2[S106],tbl_task2[[SubPLOs]:[SubPLOs]],"&gt;=3",tbl_task2[[SubPLOs]:[SubPLOs]],"&lt;4")+SUMIFS(tbl_task3[S106],tbl_task3[[SubPLOs]:[SubPLOs]],"&gt;=3",tbl_task3[[SubPLOs]:[SubPLOs]],"&lt;4")+SUMIFS(tbl_task4[S106],tbl_task4[[SubPLOs]:[SubPLOs]],"&gt;=3",tbl_task4[[SubPLOs]:[SubPLOs]],"&lt;4")+SUMIFS(tbl_task5[S106],tbl_task5[[SubPLOs]:[SubPLOs]],"&gt;=3",tbl_task5[[SubPLOs]:[SubPLOs]],"&lt;4")+SUMIFS(tbl_task6[S106],tbl_task6[[SubPLOs]:[SubPLOs]],"&gt;=3",tbl_task6[[SubPLOs]:[SubPLOs]],"&lt;4")+SUMIFS(tbl_task7[S106],tbl_task7[[SubPLOs]:[SubPLOs]],"&gt;=3",tbl_task7[[SubPLOs]:[SubPLOs]],"&lt;4")+SUMIFS(tbl_task8[S106],tbl_task8[[SubPLOs]:[SubPLOs]],"&gt;=3",tbl_task8[[SubPLOs]:[SubPLOs]],"&lt;4")+SUMIFS(tbl_task9[S106],tbl_task9[[SubPLOs]:[SubPLOs]],"&gt;=3",tbl_task9[[SubPLOs]:[SubPLOs]],"&lt;4")+SUMIFS(tbl_task10[S106],tbl_task10[[SubPLOs]:[SubPLOs]],"&gt;=3",tbl_task10[[SubPLOs]:[SubPLOs]],"&lt;4")</f>
        <v>0</v>
      </c>
      <c r="DH182" s="41">
        <f>SUMIFS(tbl_task1[S107],tbl_task1[[SubPLOs]:[SubPLOs]],"&gt;=3",tbl_task1[[SubPLOs]:[SubPLOs]],"&lt;4")+SUMIFS(tbl_task2[S107],tbl_task2[[SubPLOs]:[SubPLOs]],"&gt;=3",tbl_task2[[SubPLOs]:[SubPLOs]],"&lt;4")+SUMIFS(tbl_task3[S107],tbl_task3[[SubPLOs]:[SubPLOs]],"&gt;=3",tbl_task3[[SubPLOs]:[SubPLOs]],"&lt;4")+SUMIFS(tbl_task4[S107],tbl_task4[[SubPLOs]:[SubPLOs]],"&gt;=3",tbl_task4[[SubPLOs]:[SubPLOs]],"&lt;4")+SUMIFS(tbl_task5[S107],tbl_task5[[SubPLOs]:[SubPLOs]],"&gt;=3",tbl_task5[[SubPLOs]:[SubPLOs]],"&lt;4")+SUMIFS(tbl_task6[S107],tbl_task6[[SubPLOs]:[SubPLOs]],"&gt;=3",tbl_task6[[SubPLOs]:[SubPLOs]],"&lt;4")+SUMIFS(tbl_task7[S107],tbl_task7[[SubPLOs]:[SubPLOs]],"&gt;=3",tbl_task7[[SubPLOs]:[SubPLOs]],"&lt;4")+SUMIFS(tbl_task8[S107],tbl_task8[[SubPLOs]:[SubPLOs]],"&gt;=3",tbl_task8[[SubPLOs]:[SubPLOs]],"&lt;4")+SUMIFS(tbl_task9[S107],tbl_task9[[SubPLOs]:[SubPLOs]],"&gt;=3",tbl_task9[[SubPLOs]:[SubPLOs]],"&lt;4")+SUMIFS(tbl_task10[S107],tbl_task10[[SubPLOs]:[SubPLOs]],"&gt;=3",tbl_task10[[SubPLOs]:[SubPLOs]],"&lt;4")</f>
        <v>0</v>
      </c>
      <c r="DI182" s="41">
        <f>SUMIFS(tbl_task1[S108],tbl_task1[[SubPLOs]:[SubPLOs]],"&gt;=3",tbl_task1[[SubPLOs]:[SubPLOs]],"&lt;4")+SUMIFS(tbl_task2[S108],tbl_task2[[SubPLOs]:[SubPLOs]],"&gt;=3",tbl_task2[[SubPLOs]:[SubPLOs]],"&lt;4")+SUMIFS(tbl_task3[S108],tbl_task3[[SubPLOs]:[SubPLOs]],"&gt;=3",tbl_task3[[SubPLOs]:[SubPLOs]],"&lt;4")+SUMIFS(tbl_task4[S108],tbl_task4[[SubPLOs]:[SubPLOs]],"&gt;=3",tbl_task4[[SubPLOs]:[SubPLOs]],"&lt;4")+SUMIFS(tbl_task5[S108],tbl_task5[[SubPLOs]:[SubPLOs]],"&gt;=3",tbl_task5[[SubPLOs]:[SubPLOs]],"&lt;4")+SUMIFS(tbl_task6[S108],tbl_task6[[SubPLOs]:[SubPLOs]],"&gt;=3",tbl_task6[[SubPLOs]:[SubPLOs]],"&lt;4")+SUMIFS(tbl_task7[S108],tbl_task7[[SubPLOs]:[SubPLOs]],"&gt;=3",tbl_task7[[SubPLOs]:[SubPLOs]],"&lt;4")+SUMIFS(tbl_task8[S108],tbl_task8[[SubPLOs]:[SubPLOs]],"&gt;=3",tbl_task8[[SubPLOs]:[SubPLOs]],"&lt;4")+SUMIFS(tbl_task9[S108],tbl_task9[[SubPLOs]:[SubPLOs]],"&gt;=3",tbl_task9[[SubPLOs]:[SubPLOs]],"&lt;4")+SUMIFS(tbl_task10[S108],tbl_task10[[SubPLOs]:[SubPLOs]],"&gt;=3",tbl_task10[[SubPLOs]:[SubPLOs]],"&lt;4")</f>
        <v>0</v>
      </c>
      <c r="DJ182" s="41">
        <f>SUMIFS(tbl_task1[S109],tbl_task1[[SubPLOs]:[SubPLOs]],"&gt;=3",tbl_task1[[SubPLOs]:[SubPLOs]],"&lt;4")+SUMIFS(tbl_task2[S109],tbl_task2[[SubPLOs]:[SubPLOs]],"&gt;=3",tbl_task2[[SubPLOs]:[SubPLOs]],"&lt;4")+SUMIFS(tbl_task3[S109],tbl_task3[[SubPLOs]:[SubPLOs]],"&gt;=3",tbl_task3[[SubPLOs]:[SubPLOs]],"&lt;4")+SUMIFS(tbl_task4[S109],tbl_task4[[SubPLOs]:[SubPLOs]],"&gt;=3",tbl_task4[[SubPLOs]:[SubPLOs]],"&lt;4")+SUMIFS(tbl_task5[S109],tbl_task5[[SubPLOs]:[SubPLOs]],"&gt;=3",tbl_task5[[SubPLOs]:[SubPLOs]],"&lt;4")+SUMIFS(tbl_task6[S109],tbl_task6[[SubPLOs]:[SubPLOs]],"&gt;=3",tbl_task6[[SubPLOs]:[SubPLOs]],"&lt;4")+SUMIFS(tbl_task7[S109],tbl_task7[[SubPLOs]:[SubPLOs]],"&gt;=3",tbl_task7[[SubPLOs]:[SubPLOs]],"&lt;4")+SUMIFS(tbl_task8[S109],tbl_task8[[SubPLOs]:[SubPLOs]],"&gt;=3",tbl_task8[[SubPLOs]:[SubPLOs]],"&lt;4")+SUMIFS(tbl_task9[S109],tbl_task9[[SubPLOs]:[SubPLOs]],"&gt;=3",tbl_task9[[SubPLOs]:[SubPLOs]],"&lt;4")+SUMIFS(tbl_task10[S109],tbl_task10[[SubPLOs]:[SubPLOs]],"&gt;=3",tbl_task10[[SubPLOs]:[SubPLOs]],"&lt;4")</f>
        <v>0</v>
      </c>
      <c r="DK182" s="41">
        <f>SUMIFS(tbl_task1[S110],tbl_task1[[SubPLOs]:[SubPLOs]],"&gt;=3",tbl_task1[[SubPLOs]:[SubPLOs]],"&lt;4")+SUMIFS(tbl_task2[S110],tbl_task2[[SubPLOs]:[SubPLOs]],"&gt;=3",tbl_task2[[SubPLOs]:[SubPLOs]],"&lt;4")+SUMIFS(tbl_task3[S110],tbl_task3[[SubPLOs]:[SubPLOs]],"&gt;=3",tbl_task3[[SubPLOs]:[SubPLOs]],"&lt;4")+SUMIFS(tbl_task4[S110],tbl_task4[[SubPLOs]:[SubPLOs]],"&gt;=3",tbl_task4[[SubPLOs]:[SubPLOs]],"&lt;4")+SUMIFS(tbl_task5[S110],tbl_task5[[SubPLOs]:[SubPLOs]],"&gt;=3",tbl_task5[[SubPLOs]:[SubPLOs]],"&lt;4")+SUMIFS(tbl_task6[S110],tbl_task6[[SubPLOs]:[SubPLOs]],"&gt;=3",tbl_task6[[SubPLOs]:[SubPLOs]],"&lt;4")+SUMIFS(tbl_task7[S110],tbl_task7[[SubPLOs]:[SubPLOs]],"&gt;=3",tbl_task7[[SubPLOs]:[SubPLOs]],"&lt;4")+SUMIFS(tbl_task8[S110],tbl_task8[[SubPLOs]:[SubPLOs]],"&gt;=3",tbl_task8[[SubPLOs]:[SubPLOs]],"&lt;4")+SUMIFS(tbl_task9[S110],tbl_task9[[SubPLOs]:[SubPLOs]],"&gt;=3",tbl_task9[[SubPLOs]:[SubPLOs]],"&lt;4")+SUMIFS(tbl_task10[S110],tbl_task10[[SubPLOs]:[SubPLOs]],"&gt;=3",tbl_task10[[SubPLOs]:[SubPLOs]],"&lt;4")</f>
        <v>0</v>
      </c>
      <c r="DL182" s="41">
        <f>SUMIFS(tbl_task1[S111],tbl_task1[[SubPLOs]:[SubPLOs]],"&gt;=3",tbl_task1[[SubPLOs]:[SubPLOs]],"&lt;4")+SUMIFS(tbl_task2[S111],tbl_task2[[SubPLOs]:[SubPLOs]],"&gt;=3",tbl_task2[[SubPLOs]:[SubPLOs]],"&lt;4")+SUMIFS(tbl_task3[S111],tbl_task3[[SubPLOs]:[SubPLOs]],"&gt;=3",tbl_task3[[SubPLOs]:[SubPLOs]],"&lt;4")+SUMIFS(tbl_task4[S111],tbl_task4[[SubPLOs]:[SubPLOs]],"&gt;=3",tbl_task4[[SubPLOs]:[SubPLOs]],"&lt;4")+SUMIFS(tbl_task5[S111],tbl_task5[[SubPLOs]:[SubPLOs]],"&gt;=3",tbl_task5[[SubPLOs]:[SubPLOs]],"&lt;4")+SUMIFS(tbl_task6[S111],tbl_task6[[SubPLOs]:[SubPLOs]],"&gt;=3",tbl_task6[[SubPLOs]:[SubPLOs]],"&lt;4")+SUMIFS(tbl_task7[S111],tbl_task7[[SubPLOs]:[SubPLOs]],"&gt;=3",tbl_task7[[SubPLOs]:[SubPLOs]],"&lt;4")+SUMIFS(tbl_task8[S111],tbl_task8[[SubPLOs]:[SubPLOs]],"&gt;=3",tbl_task8[[SubPLOs]:[SubPLOs]],"&lt;4")+SUMIFS(tbl_task9[S111],tbl_task9[[SubPLOs]:[SubPLOs]],"&gt;=3",tbl_task9[[SubPLOs]:[SubPLOs]],"&lt;4")+SUMIFS(tbl_task10[S111],tbl_task10[[SubPLOs]:[SubPLOs]],"&gt;=3",tbl_task10[[SubPLOs]:[SubPLOs]],"&lt;4")</f>
        <v>0</v>
      </c>
      <c r="DM182" s="41">
        <f>SUMIFS(tbl_task1[S112],tbl_task1[[SubPLOs]:[SubPLOs]],"&gt;=3",tbl_task1[[SubPLOs]:[SubPLOs]],"&lt;4")+SUMIFS(tbl_task2[S112],tbl_task2[[SubPLOs]:[SubPLOs]],"&gt;=3",tbl_task2[[SubPLOs]:[SubPLOs]],"&lt;4")+SUMIFS(tbl_task3[S112],tbl_task3[[SubPLOs]:[SubPLOs]],"&gt;=3",tbl_task3[[SubPLOs]:[SubPLOs]],"&lt;4")+SUMIFS(tbl_task4[S112],tbl_task4[[SubPLOs]:[SubPLOs]],"&gt;=3",tbl_task4[[SubPLOs]:[SubPLOs]],"&lt;4")+SUMIFS(tbl_task5[S112],tbl_task5[[SubPLOs]:[SubPLOs]],"&gt;=3",tbl_task5[[SubPLOs]:[SubPLOs]],"&lt;4")+SUMIFS(tbl_task6[S112],tbl_task6[[SubPLOs]:[SubPLOs]],"&gt;=3",tbl_task6[[SubPLOs]:[SubPLOs]],"&lt;4")+SUMIFS(tbl_task7[S112],tbl_task7[[SubPLOs]:[SubPLOs]],"&gt;=3",tbl_task7[[SubPLOs]:[SubPLOs]],"&lt;4")+SUMIFS(tbl_task8[S112],tbl_task8[[SubPLOs]:[SubPLOs]],"&gt;=3",tbl_task8[[SubPLOs]:[SubPLOs]],"&lt;4")+SUMIFS(tbl_task9[S112],tbl_task9[[SubPLOs]:[SubPLOs]],"&gt;=3",tbl_task9[[SubPLOs]:[SubPLOs]],"&lt;4")+SUMIFS(tbl_task10[S112],tbl_task10[[SubPLOs]:[SubPLOs]],"&gt;=3",tbl_task10[[SubPLOs]:[SubPLOs]],"&lt;4")</f>
        <v>0</v>
      </c>
      <c r="DN182" s="41">
        <f>SUMIFS(tbl_task1[S113],tbl_task1[[SubPLOs]:[SubPLOs]],"&gt;=3",tbl_task1[[SubPLOs]:[SubPLOs]],"&lt;4")+SUMIFS(tbl_task2[S113],tbl_task2[[SubPLOs]:[SubPLOs]],"&gt;=3",tbl_task2[[SubPLOs]:[SubPLOs]],"&lt;4")+SUMIFS(tbl_task3[S113],tbl_task3[[SubPLOs]:[SubPLOs]],"&gt;=3",tbl_task3[[SubPLOs]:[SubPLOs]],"&lt;4")+SUMIFS(tbl_task4[S113],tbl_task4[[SubPLOs]:[SubPLOs]],"&gt;=3",tbl_task4[[SubPLOs]:[SubPLOs]],"&lt;4")+SUMIFS(tbl_task5[S113],tbl_task5[[SubPLOs]:[SubPLOs]],"&gt;=3",tbl_task5[[SubPLOs]:[SubPLOs]],"&lt;4")+SUMIFS(tbl_task6[S113],tbl_task6[[SubPLOs]:[SubPLOs]],"&gt;=3",tbl_task6[[SubPLOs]:[SubPLOs]],"&lt;4")+SUMIFS(tbl_task7[S113],tbl_task7[[SubPLOs]:[SubPLOs]],"&gt;=3",tbl_task7[[SubPLOs]:[SubPLOs]],"&lt;4")+SUMIFS(tbl_task8[S113],tbl_task8[[SubPLOs]:[SubPLOs]],"&gt;=3",tbl_task8[[SubPLOs]:[SubPLOs]],"&lt;4")+SUMIFS(tbl_task9[S113],tbl_task9[[SubPLOs]:[SubPLOs]],"&gt;=3",tbl_task9[[SubPLOs]:[SubPLOs]],"&lt;4")+SUMIFS(tbl_task10[S113],tbl_task10[[SubPLOs]:[SubPLOs]],"&gt;=3",tbl_task10[[SubPLOs]:[SubPLOs]],"&lt;4")</f>
        <v>0</v>
      </c>
      <c r="DO182" s="41">
        <f>SUMIFS(tbl_task1[S114],tbl_task1[[SubPLOs]:[SubPLOs]],"&gt;=3",tbl_task1[[SubPLOs]:[SubPLOs]],"&lt;4")+SUMIFS(tbl_task2[S114],tbl_task2[[SubPLOs]:[SubPLOs]],"&gt;=3",tbl_task2[[SubPLOs]:[SubPLOs]],"&lt;4")+SUMIFS(tbl_task3[S114],tbl_task3[[SubPLOs]:[SubPLOs]],"&gt;=3",tbl_task3[[SubPLOs]:[SubPLOs]],"&lt;4")+SUMIFS(tbl_task4[S114],tbl_task4[[SubPLOs]:[SubPLOs]],"&gt;=3",tbl_task4[[SubPLOs]:[SubPLOs]],"&lt;4")+SUMIFS(tbl_task5[S114],tbl_task5[[SubPLOs]:[SubPLOs]],"&gt;=3",tbl_task5[[SubPLOs]:[SubPLOs]],"&lt;4")+SUMIFS(tbl_task6[S114],tbl_task6[[SubPLOs]:[SubPLOs]],"&gt;=3",tbl_task6[[SubPLOs]:[SubPLOs]],"&lt;4")+SUMIFS(tbl_task7[S114],tbl_task7[[SubPLOs]:[SubPLOs]],"&gt;=3",tbl_task7[[SubPLOs]:[SubPLOs]],"&lt;4")+SUMIFS(tbl_task8[S114],tbl_task8[[SubPLOs]:[SubPLOs]],"&gt;=3",tbl_task8[[SubPLOs]:[SubPLOs]],"&lt;4")+SUMIFS(tbl_task9[S114],tbl_task9[[SubPLOs]:[SubPLOs]],"&gt;=3",tbl_task9[[SubPLOs]:[SubPLOs]],"&lt;4")+SUMIFS(tbl_task10[S114],tbl_task10[[SubPLOs]:[SubPLOs]],"&gt;=3",tbl_task10[[SubPLOs]:[SubPLOs]],"&lt;4")</f>
        <v>0</v>
      </c>
      <c r="DP182" s="41">
        <f>SUMIFS(tbl_task1[S115],tbl_task1[[SubPLOs]:[SubPLOs]],"&gt;=3",tbl_task1[[SubPLOs]:[SubPLOs]],"&lt;4")+SUMIFS(tbl_task2[S115],tbl_task2[[SubPLOs]:[SubPLOs]],"&gt;=3",tbl_task2[[SubPLOs]:[SubPLOs]],"&lt;4")+SUMIFS(tbl_task3[S115],tbl_task3[[SubPLOs]:[SubPLOs]],"&gt;=3",tbl_task3[[SubPLOs]:[SubPLOs]],"&lt;4")+SUMIFS(tbl_task4[S115],tbl_task4[[SubPLOs]:[SubPLOs]],"&gt;=3",tbl_task4[[SubPLOs]:[SubPLOs]],"&lt;4")+SUMIFS(tbl_task5[S115],tbl_task5[[SubPLOs]:[SubPLOs]],"&gt;=3",tbl_task5[[SubPLOs]:[SubPLOs]],"&lt;4")+SUMIFS(tbl_task6[S115],tbl_task6[[SubPLOs]:[SubPLOs]],"&gt;=3",tbl_task6[[SubPLOs]:[SubPLOs]],"&lt;4")+SUMIFS(tbl_task7[S115],tbl_task7[[SubPLOs]:[SubPLOs]],"&gt;=3",tbl_task7[[SubPLOs]:[SubPLOs]],"&lt;4")+SUMIFS(tbl_task8[S115],tbl_task8[[SubPLOs]:[SubPLOs]],"&gt;=3",tbl_task8[[SubPLOs]:[SubPLOs]],"&lt;4")+SUMIFS(tbl_task9[S115],tbl_task9[[SubPLOs]:[SubPLOs]],"&gt;=3",tbl_task9[[SubPLOs]:[SubPLOs]],"&lt;4")+SUMIFS(tbl_task10[S115],tbl_task10[[SubPLOs]:[SubPLOs]],"&gt;=3",tbl_task10[[SubPLOs]:[SubPLOs]],"&lt;4")</f>
        <v>0</v>
      </c>
      <c r="DQ182" s="41">
        <f>SUMIFS(tbl_task1[S116],tbl_task1[[SubPLOs]:[SubPLOs]],"&gt;=3",tbl_task1[[SubPLOs]:[SubPLOs]],"&lt;4")+SUMIFS(tbl_task2[S116],tbl_task2[[SubPLOs]:[SubPLOs]],"&gt;=3",tbl_task2[[SubPLOs]:[SubPLOs]],"&lt;4")+SUMIFS(tbl_task3[S116],tbl_task3[[SubPLOs]:[SubPLOs]],"&gt;=3",tbl_task3[[SubPLOs]:[SubPLOs]],"&lt;4")+SUMIFS(tbl_task4[S116],tbl_task4[[SubPLOs]:[SubPLOs]],"&gt;=3",tbl_task4[[SubPLOs]:[SubPLOs]],"&lt;4")+SUMIFS(tbl_task5[S116],tbl_task5[[SubPLOs]:[SubPLOs]],"&gt;=3",tbl_task5[[SubPLOs]:[SubPLOs]],"&lt;4")+SUMIFS(tbl_task6[S116],tbl_task6[[SubPLOs]:[SubPLOs]],"&gt;=3",tbl_task6[[SubPLOs]:[SubPLOs]],"&lt;4")+SUMIFS(tbl_task7[S116],tbl_task7[[SubPLOs]:[SubPLOs]],"&gt;=3",tbl_task7[[SubPLOs]:[SubPLOs]],"&lt;4")+SUMIFS(tbl_task8[S116],tbl_task8[[SubPLOs]:[SubPLOs]],"&gt;=3",tbl_task8[[SubPLOs]:[SubPLOs]],"&lt;4")+SUMIFS(tbl_task9[S116],tbl_task9[[SubPLOs]:[SubPLOs]],"&gt;=3",tbl_task9[[SubPLOs]:[SubPLOs]],"&lt;4")+SUMIFS(tbl_task10[S116],tbl_task10[[SubPLOs]:[SubPLOs]],"&gt;=3",tbl_task10[[SubPLOs]:[SubPLOs]],"&lt;4")</f>
        <v>0</v>
      </c>
      <c r="DR182" s="41">
        <f>SUMIFS(tbl_task1[S117],tbl_task1[[SubPLOs]:[SubPLOs]],"&gt;=3",tbl_task1[[SubPLOs]:[SubPLOs]],"&lt;4")+SUMIFS(tbl_task2[S117],tbl_task2[[SubPLOs]:[SubPLOs]],"&gt;=3",tbl_task2[[SubPLOs]:[SubPLOs]],"&lt;4")+SUMIFS(tbl_task3[S117],tbl_task3[[SubPLOs]:[SubPLOs]],"&gt;=3",tbl_task3[[SubPLOs]:[SubPLOs]],"&lt;4")+SUMIFS(tbl_task4[S117],tbl_task4[[SubPLOs]:[SubPLOs]],"&gt;=3",tbl_task4[[SubPLOs]:[SubPLOs]],"&lt;4")+SUMIFS(tbl_task5[S117],tbl_task5[[SubPLOs]:[SubPLOs]],"&gt;=3",tbl_task5[[SubPLOs]:[SubPLOs]],"&lt;4")+SUMIFS(tbl_task6[S117],tbl_task6[[SubPLOs]:[SubPLOs]],"&gt;=3",tbl_task6[[SubPLOs]:[SubPLOs]],"&lt;4")+SUMIFS(tbl_task7[S117],tbl_task7[[SubPLOs]:[SubPLOs]],"&gt;=3",tbl_task7[[SubPLOs]:[SubPLOs]],"&lt;4")+SUMIFS(tbl_task8[S117],tbl_task8[[SubPLOs]:[SubPLOs]],"&gt;=3",tbl_task8[[SubPLOs]:[SubPLOs]],"&lt;4")+SUMIFS(tbl_task9[S117],tbl_task9[[SubPLOs]:[SubPLOs]],"&gt;=3",tbl_task9[[SubPLOs]:[SubPLOs]],"&lt;4")+SUMIFS(tbl_task10[S117],tbl_task10[[SubPLOs]:[SubPLOs]],"&gt;=3",tbl_task10[[SubPLOs]:[SubPLOs]],"&lt;4")</f>
        <v>0</v>
      </c>
      <c r="DS182" s="41">
        <f>SUMIFS(tbl_task1[S118],tbl_task1[[SubPLOs]:[SubPLOs]],"&gt;=3",tbl_task1[[SubPLOs]:[SubPLOs]],"&lt;4")+SUMIFS(tbl_task2[S118],tbl_task2[[SubPLOs]:[SubPLOs]],"&gt;=3",tbl_task2[[SubPLOs]:[SubPLOs]],"&lt;4")+SUMIFS(tbl_task3[S118],tbl_task3[[SubPLOs]:[SubPLOs]],"&gt;=3",tbl_task3[[SubPLOs]:[SubPLOs]],"&lt;4")+SUMIFS(tbl_task4[S118],tbl_task4[[SubPLOs]:[SubPLOs]],"&gt;=3",tbl_task4[[SubPLOs]:[SubPLOs]],"&lt;4")+SUMIFS(tbl_task5[S118],tbl_task5[[SubPLOs]:[SubPLOs]],"&gt;=3",tbl_task5[[SubPLOs]:[SubPLOs]],"&lt;4")+SUMIFS(tbl_task6[S118],tbl_task6[[SubPLOs]:[SubPLOs]],"&gt;=3",tbl_task6[[SubPLOs]:[SubPLOs]],"&lt;4")+SUMIFS(tbl_task7[S118],tbl_task7[[SubPLOs]:[SubPLOs]],"&gt;=3",tbl_task7[[SubPLOs]:[SubPLOs]],"&lt;4")+SUMIFS(tbl_task8[S118],tbl_task8[[SubPLOs]:[SubPLOs]],"&gt;=3",tbl_task8[[SubPLOs]:[SubPLOs]],"&lt;4")+SUMIFS(tbl_task9[S118],tbl_task9[[SubPLOs]:[SubPLOs]],"&gt;=3",tbl_task9[[SubPLOs]:[SubPLOs]],"&lt;4")+SUMIFS(tbl_task10[S118],tbl_task10[[SubPLOs]:[SubPLOs]],"&gt;=3",tbl_task10[[SubPLOs]:[SubPLOs]],"&lt;4")</f>
        <v>0</v>
      </c>
      <c r="DT182" s="41">
        <f>SUMIFS(tbl_task1[S119],tbl_task1[[SubPLOs]:[SubPLOs]],"&gt;=3",tbl_task1[[SubPLOs]:[SubPLOs]],"&lt;4")+SUMIFS(tbl_task2[S119],tbl_task2[[SubPLOs]:[SubPLOs]],"&gt;=3",tbl_task2[[SubPLOs]:[SubPLOs]],"&lt;4")+SUMIFS(tbl_task3[S119],tbl_task3[[SubPLOs]:[SubPLOs]],"&gt;=3",tbl_task3[[SubPLOs]:[SubPLOs]],"&lt;4")+SUMIFS(tbl_task4[S119],tbl_task4[[SubPLOs]:[SubPLOs]],"&gt;=3",tbl_task4[[SubPLOs]:[SubPLOs]],"&lt;4")+SUMIFS(tbl_task5[S119],tbl_task5[[SubPLOs]:[SubPLOs]],"&gt;=3",tbl_task5[[SubPLOs]:[SubPLOs]],"&lt;4")+SUMIFS(tbl_task6[S119],tbl_task6[[SubPLOs]:[SubPLOs]],"&gt;=3",tbl_task6[[SubPLOs]:[SubPLOs]],"&lt;4")+SUMIFS(tbl_task7[S119],tbl_task7[[SubPLOs]:[SubPLOs]],"&gt;=3",tbl_task7[[SubPLOs]:[SubPLOs]],"&lt;4")+SUMIFS(tbl_task8[S119],tbl_task8[[SubPLOs]:[SubPLOs]],"&gt;=3",tbl_task8[[SubPLOs]:[SubPLOs]],"&lt;4")+SUMIFS(tbl_task9[S119],tbl_task9[[SubPLOs]:[SubPLOs]],"&gt;=3",tbl_task9[[SubPLOs]:[SubPLOs]],"&lt;4")+SUMIFS(tbl_task10[S119],tbl_task10[[SubPLOs]:[SubPLOs]],"&gt;=3",tbl_task10[[SubPLOs]:[SubPLOs]],"&lt;4")</f>
        <v>0</v>
      </c>
      <c r="DU182" s="41">
        <f>SUMIFS(tbl_task1[S120],tbl_task1[[SubPLOs]:[SubPLOs]],"&gt;=3",tbl_task1[[SubPLOs]:[SubPLOs]],"&lt;4")+SUMIFS(tbl_task2[S120],tbl_task2[[SubPLOs]:[SubPLOs]],"&gt;=3",tbl_task2[[SubPLOs]:[SubPLOs]],"&lt;4")+SUMIFS(tbl_task3[S120],tbl_task3[[SubPLOs]:[SubPLOs]],"&gt;=3",tbl_task3[[SubPLOs]:[SubPLOs]],"&lt;4")+SUMIFS(tbl_task4[S120],tbl_task4[[SubPLOs]:[SubPLOs]],"&gt;=3",tbl_task4[[SubPLOs]:[SubPLOs]],"&lt;4")+SUMIFS(tbl_task5[S120],tbl_task5[[SubPLOs]:[SubPLOs]],"&gt;=3",tbl_task5[[SubPLOs]:[SubPLOs]],"&lt;4")+SUMIFS(tbl_task6[S120],tbl_task6[[SubPLOs]:[SubPLOs]],"&gt;=3",tbl_task6[[SubPLOs]:[SubPLOs]],"&lt;4")+SUMIFS(tbl_task7[S120],tbl_task7[[SubPLOs]:[SubPLOs]],"&gt;=3",tbl_task7[[SubPLOs]:[SubPLOs]],"&lt;4")+SUMIFS(tbl_task8[S120],tbl_task8[[SubPLOs]:[SubPLOs]],"&gt;=3",tbl_task8[[SubPLOs]:[SubPLOs]],"&lt;4")+SUMIFS(tbl_task9[S120],tbl_task9[[SubPLOs]:[SubPLOs]],"&gt;=3",tbl_task9[[SubPLOs]:[SubPLOs]],"&lt;4")+SUMIFS(tbl_task10[S120],tbl_task10[[SubPLOs]:[SubPLOs]],"&gt;=3",tbl_task10[[SubPLOs]:[SubPLOs]],"&lt;4")</f>
        <v>0</v>
      </c>
      <c r="DV182" s="41">
        <f>SUMIFS(tbl_task1[S121],tbl_task1[[SubPLOs]:[SubPLOs]],"&gt;=3",tbl_task1[[SubPLOs]:[SubPLOs]],"&lt;4")+SUMIFS(tbl_task2[S121],tbl_task2[[SubPLOs]:[SubPLOs]],"&gt;=3",tbl_task2[[SubPLOs]:[SubPLOs]],"&lt;4")+SUMIFS(tbl_task3[S121],tbl_task3[[SubPLOs]:[SubPLOs]],"&gt;=3",tbl_task3[[SubPLOs]:[SubPLOs]],"&lt;4")+SUMIFS(tbl_task4[S121],tbl_task4[[SubPLOs]:[SubPLOs]],"&gt;=3",tbl_task4[[SubPLOs]:[SubPLOs]],"&lt;4")+SUMIFS(tbl_task5[S121],tbl_task5[[SubPLOs]:[SubPLOs]],"&gt;=3",tbl_task5[[SubPLOs]:[SubPLOs]],"&lt;4")+SUMIFS(tbl_task6[S121],tbl_task6[[SubPLOs]:[SubPLOs]],"&gt;=3",tbl_task6[[SubPLOs]:[SubPLOs]],"&lt;4")+SUMIFS(tbl_task7[S121],tbl_task7[[SubPLOs]:[SubPLOs]],"&gt;=3",tbl_task7[[SubPLOs]:[SubPLOs]],"&lt;4")+SUMIFS(tbl_task8[S121],tbl_task8[[SubPLOs]:[SubPLOs]],"&gt;=3",tbl_task8[[SubPLOs]:[SubPLOs]],"&lt;4")+SUMIFS(tbl_task9[S121],tbl_task9[[SubPLOs]:[SubPLOs]],"&gt;=3",tbl_task9[[SubPLOs]:[SubPLOs]],"&lt;4")+SUMIFS(tbl_task10[S121],tbl_task10[[SubPLOs]:[SubPLOs]],"&gt;=3",tbl_task10[[SubPLOs]:[SubPLOs]],"&lt;4")</f>
        <v>0</v>
      </c>
      <c r="DW182" s="41">
        <f>SUMIFS(tbl_task1[S122],tbl_task1[[SubPLOs]:[SubPLOs]],"&gt;=3",tbl_task1[[SubPLOs]:[SubPLOs]],"&lt;4")+SUMIFS(tbl_task2[S122],tbl_task2[[SubPLOs]:[SubPLOs]],"&gt;=3",tbl_task2[[SubPLOs]:[SubPLOs]],"&lt;4")+SUMIFS(tbl_task3[S122],tbl_task3[[SubPLOs]:[SubPLOs]],"&gt;=3",tbl_task3[[SubPLOs]:[SubPLOs]],"&lt;4")+SUMIFS(tbl_task4[S122],tbl_task4[[SubPLOs]:[SubPLOs]],"&gt;=3",tbl_task4[[SubPLOs]:[SubPLOs]],"&lt;4")+SUMIFS(tbl_task5[S122],tbl_task5[[SubPLOs]:[SubPLOs]],"&gt;=3",tbl_task5[[SubPLOs]:[SubPLOs]],"&lt;4")+SUMIFS(tbl_task6[S122],tbl_task6[[SubPLOs]:[SubPLOs]],"&gt;=3",tbl_task6[[SubPLOs]:[SubPLOs]],"&lt;4")+SUMIFS(tbl_task7[S122],tbl_task7[[SubPLOs]:[SubPLOs]],"&gt;=3",tbl_task7[[SubPLOs]:[SubPLOs]],"&lt;4")+SUMIFS(tbl_task8[S122],tbl_task8[[SubPLOs]:[SubPLOs]],"&gt;=3",tbl_task8[[SubPLOs]:[SubPLOs]],"&lt;4")+SUMIFS(tbl_task9[S122],tbl_task9[[SubPLOs]:[SubPLOs]],"&gt;=3",tbl_task9[[SubPLOs]:[SubPLOs]],"&lt;4")+SUMIFS(tbl_task10[S122],tbl_task10[[SubPLOs]:[SubPLOs]],"&gt;=3",tbl_task10[[SubPLOs]:[SubPLOs]],"&lt;4")</f>
        <v>0</v>
      </c>
      <c r="DX182" s="41">
        <f>SUMIFS(tbl_task1[S123],tbl_task1[[SubPLOs]:[SubPLOs]],"&gt;=3",tbl_task1[[SubPLOs]:[SubPLOs]],"&lt;4")+SUMIFS(tbl_task2[S123],tbl_task2[[SubPLOs]:[SubPLOs]],"&gt;=3",tbl_task2[[SubPLOs]:[SubPLOs]],"&lt;4")+SUMIFS(tbl_task3[S123],tbl_task3[[SubPLOs]:[SubPLOs]],"&gt;=3",tbl_task3[[SubPLOs]:[SubPLOs]],"&lt;4")+SUMIFS(tbl_task4[S123],tbl_task4[[SubPLOs]:[SubPLOs]],"&gt;=3",tbl_task4[[SubPLOs]:[SubPLOs]],"&lt;4")+SUMIFS(tbl_task5[S123],tbl_task5[[SubPLOs]:[SubPLOs]],"&gt;=3",tbl_task5[[SubPLOs]:[SubPLOs]],"&lt;4")+SUMIFS(tbl_task6[S123],tbl_task6[[SubPLOs]:[SubPLOs]],"&gt;=3",tbl_task6[[SubPLOs]:[SubPLOs]],"&lt;4")+SUMIFS(tbl_task7[S123],tbl_task7[[SubPLOs]:[SubPLOs]],"&gt;=3",tbl_task7[[SubPLOs]:[SubPLOs]],"&lt;4")+SUMIFS(tbl_task8[S123],tbl_task8[[SubPLOs]:[SubPLOs]],"&gt;=3",tbl_task8[[SubPLOs]:[SubPLOs]],"&lt;4")+SUMIFS(tbl_task9[S123],tbl_task9[[SubPLOs]:[SubPLOs]],"&gt;=3",tbl_task9[[SubPLOs]:[SubPLOs]],"&lt;4")+SUMIFS(tbl_task10[S123],tbl_task10[[SubPLOs]:[SubPLOs]],"&gt;=3",tbl_task10[[SubPLOs]:[SubPLOs]],"&lt;4")</f>
        <v>0</v>
      </c>
      <c r="DY182" s="41">
        <f>SUMIFS(tbl_task1[S124],tbl_task1[[SubPLOs]:[SubPLOs]],"&gt;=3",tbl_task1[[SubPLOs]:[SubPLOs]],"&lt;4")+SUMIFS(tbl_task2[S124],tbl_task2[[SubPLOs]:[SubPLOs]],"&gt;=3",tbl_task2[[SubPLOs]:[SubPLOs]],"&lt;4")+SUMIFS(tbl_task3[S124],tbl_task3[[SubPLOs]:[SubPLOs]],"&gt;=3",tbl_task3[[SubPLOs]:[SubPLOs]],"&lt;4")+SUMIFS(tbl_task4[S124],tbl_task4[[SubPLOs]:[SubPLOs]],"&gt;=3",tbl_task4[[SubPLOs]:[SubPLOs]],"&lt;4")+SUMIFS(tbl_task5[S124],tbl_task5[[SubPLOs]:[SubPLOs]],"&gt;=3",tbl_task5[[SubPLOs]:[SubPLOs]],"&lt;4")+SUMIFS(tbl_task6[S124],tbl_task6[[SubPLOs]:[SubPLOs]],"&gt;=3",tbl_task6[[SubPLOs]:[SubPLOs]],"&lt;4")+SUMIFS(tbl_task7[S124],tbl_task7[[SubPLOs]:[SubPLOs]],"&gt;=3",tbl_task7[[SubPLOs]:[SubPLOs]],"&lt;4")+SUMIFS(tbl_task8[S124],tbl_task8[[SubPLOs]:[SubPLOs]],"&gt;=3",tbl_task8[[SubPLOs]:[SubPLOs]],"&lt;4")+SUMIFS(tbl_task9[S124],tbl_task9[[SubPLOs]:[SubPLOs]],"&gt;=3",tbl_task9[[SubPLOs]:[SubPLOs]],"&lt;4")+SUMIFS(tbl_task10[S124],tbl_task10[[SubPLOs]:[SubPLOs]],"&gt;=3",tbl_task10[[SubPLOs]:[SubPLOs]],"&lt;4")</f>
        <v>0</v>
      </c>
      <c r="DZ182" s="41">
        <f>SUMIFS(tbl_task1[S125],tbl_task1[[SubPLOs]:[SubPLOs]],"&gt;=3",tbl_task1[[SubPLOs]:[SubPLOs]],"&lt;4")+SUMIFS(tbl_task2[S125],tbl_task2[[SubPLOs]:[SubPLOs]],"&gt;=3",tbl_task2[[SubPLOs]:[SubPLOs]],"&lt;4")+SUMIFS(tbl_task3[S125],tbl_task3[[SubPLOs]:[SubPLOs]],"&gt;=3",tbl_task3[[SubPLOs]:[SubPLOs]],"&lt;4")+SUMIFS(tbl_task4[S125],tbl_task4[[SubPLOs]:[SubPLOs]],"&gt;=3",tbl_task4[[SubPLOs]:[SubPLOs]],"&lt;4")+SUMIFS(tbl_task5[S125],tbl_task5[[SubPLOs]:[SubPLOs]],"&gt;=3",tbl_task5[[SubPLOs]:[SubPLOs]],"&lt;4")+SUMIFS(tbl_task6[S125],tbl_task6[[SubPLOs]:[SubPLOs]],"&gt;=3",tbl_task6[[SubPLOs]:[SubPLOs]],"&lt;4")+SUMIFS(tbl_task7[S125],tbl_task7[[SubPLOs]:[SubPLOs]],"&gt;=3",tbl_task7[[SubPLOs]:[SubPLOs]],"&lt;4")+SUMIFS(tbl_task8[S125],tbl_task8[[SubPLOs]:[SubPLOs]],"&gt;=3",tbl_task8[[SubPLOs]:[SubPLOs]],"&lt;4")+SUMIFS(tbl_task9[S125],tbl_task9[[SubPLOs]:[SubPLOs]],"&gt;=3",tbl_task9[[SubPLOs]:[SubPLOs]],"&lt;4")+SUMIFS(tbl_task10[S125],tbl_task10[[SubPLOs]:[SubPLOs]],"&gt;=3",tbl_task10[[SubPLOs]:[SubPLOs]],"&lt;4")</f>
        <v>0</v>
      </c>
      <c r="EA182" s="41">
        <f>SUMIFS(tbl_task1[S126],tbl_task1[[SubPLOs]:[SubPLOs]],"&gt;=3",tbl_task1[[SubPLOs]:[SubPLOs]],"&lt;4")+SUMIFS(tbl_task2[S126],tbl_task2[[SubPLOs]:[SubPLOs]],"&gt;=3",tbl_task2[[SubPLOs]:[SubPLOs]],"&lt;4")+SUMIFS(tbl_task3[S126],tbl_task3[[SubPLOs]:[SubPLOs]],"&gt;=3",tbl_task3[[SubPLOs]:[SubPLOs]],"&lt;4")+SUMIFS(tbl_task4[S126],tbl_task4[[SubPLOs]:[SubPLOs]],"&gt;=3",tbl_task4[[SubPLOs]:[SubPLOs]],"&lt;4")+SUMIFS(tbl_task5[S126],tbl_task5[[SubPLOs]:[SubPLOs]],"&gt;=3",tbl_task5[[SubPLOs]:[SubPLOs]],"&lt;4")+SUMIFS(tbl_task6[S126],tbl_task6[[SubPLOs]:[SubPLOs]],"&gt;=3",tbl_task6[[SubPLOs]:[SubPLOs]],"&lt;4")+SUMIFS(tbl_task7[S126],tbl_task7[[SubPLOs]:[SubPLOs]],"&gt;=3",tbl_task7[[SubPLOs]:[SubPLOs]],"&lt;4")+SUMIFS(tbl_task8[S126],tbl_task8[[SubPLOs]:[SubPLOs]],"&gt;=3",tbl_task8[[SubPLOs]:[SubPLOs]],"&lt;4")+SUMIFS(tbl_task9[S126],tbl_task9[[SubPLOs]:[SubPLOs]],"&gt;=3",tbl_task9[[SubPLOs]:[SubPLOs]],"&lt;4")+SUMIFS(tbl_task10[S126],tbl_task10[[SubPLOs]:[SubPLOs]],"&gt;=3",tbl_task10[[SubPLOs]:[SubPLOs]],"&lt;4")</f>
        <v>0</v>
      </c>
      <c r="EB182" s="41">
        <f>SUMIFS(tbl_task1[S127],tbl_task1[[SubPLOs]:[SubPLOs]],"&gt;=3",tbl_task1[[SubPLOs]:[SubPLOs]],"&lt;4")+SUMIFS(tbl_task2[S127],tbl_task2[[SubPLOs]:[SubPLOs]],"&gt;=3",tbl_task2[[SubPLOs]:[SubPLOs]],"&lt;4")+SUMIFS(tbl_task3[S127],tbl_task3[[SubPLOs]:[SubPLOs]],"&gt;=3",tbl_task3[[SubPLOs]:[SubPLOs]],"&lt;4")+SUMIFS(tbl_task4[S127],tbl_task4[[SubPLOs]:[SubPLOs]],"&gt;=3",tbl_task4[[SubPLOs]:[SubPLOs]],"&lt;4")+SUMIFS(tbl_task5[S127],tbl_task5[[SubPLOs]:[SubPLOs]],"&gt;=3",tbl_task5[[SubPLOs]:[SubPLOs]],"&lt;4")+SUMIFS(tbl_task6[S127],tbl_task6[[SubPLOs]:[SubPLOs]],"&gt;=3",tbl_task6[[SubPLOs]:[SubPLOs]],"&lt;4")+SUMIFS(tbl_task7[S127],tbl_task7[[SubPLOs]:[SubPLOs]],"&gt;=3",tbl_task7[[SubPLOs]:[SubPLOs]],"&lt;4")+SUMIFS(tbl_task8[S127],tbl_task8[[SubPLOs]:[SubPLOs]],"&gt;=3",tbl_task8[[SubPLOs]:[SubPLOs]],"&lt;4")+SUMIFS(tbl_task9[S127],tbl_task9[[SubPLOs]:[SubPLOs]],"&gt;=3",tbl_task9[[SubPLOs]:[SubPLOs]],"&lt;4")+SUMIFS(tbl_task10[S127],tbl_task10[[SubPLOs]:[SubPLOs]],"&gt;=3",tbl_task10[[SubPLOs]:[SubPLOs]],"&lt;4")</f>
        <v>0</v>
      </c>
      <c r="EC182" s="41">
        <f>SUMIFS(tbl_task1[S128],tbl_task1[[SubPLOs]:[SubPLOs]],"&gt;=3",tbl_task1[[SubPLOs]:[SubPLOs]],"&lt;4")+SUMIFS(tbl_task2[S128],tbl_task2[[SubPLOs]:[SubPLOs]],"&gt;=3",tbl_task2[[SubPLOs]:[SubPLOs]],"&lt;4")+SUMIFS(tbl_task3[S128],tbl_task3[[SubPLOs]:[SubPLOs]],"&gt;=3",tbl_task3[[SubPLOs]:[SubPLOs]],"&lt;4")+SUMIFS(tbl_task4[S128],tbl_task4[[SubPLOs]:[SubPLOs]],"&gt;=3",tbl_task4[[SubPLOs]:[SubPLOs]],"&lt;4")+SUMIFS(tbl_task5[S128],tbl_task5[[SubPLOs]:[SubPLOs]],"&gt;=3",tbl_task5[[SubPLOs]:[SubPLOs]],"&lt;4")+SUMIFS(tbl_task6[S128],tbl_task6[[SubPLOs]:[SubPLOs]],"&gt;=3",tbl_task6[[SubPLOs]:[SubPLOs]],"&lt;4")+SUMIFS(tbl_task7[S128],tbl_task7[[SubPLOs]:[SubPLOs]],"&gt;=3",tbl_task7[[SubPLOs]:[SubPLOs]],"&lt;4")+SUMIFS(tbl_task8[S128],tbl_task8[[SubPLOs]:[SubPLOs]],"&gt;=3",tbl_task8[[SubPLOs]:[SubPLOs]],"&lt;4")+SUMIFS(tbl_task9[S128],tbl_task9[[SubPLOs]:[SubPLOs]],"&gt;=3",tbl_task9[[SubPLOs]:[SubPLOs]],"&lt;4")+SUMIFS(tbl_task10[S128],tbl_task10[[SubPLOs]:[SubPLOs]],"&gt;=3",tbl_task10[[SubPLOs]:[SubPLOs]],"&lt;4")</f>
        <v>0</v>
      </c>
      <c r="ED182" s="41">
        <f>SUMIFS(tbl_task1[S129],tbl_task1[[SubPLOs]:[SubPLOs]],"&gt;=3",tbl_task1[[SubPLOs]:[SubPLOs]],"&lt;4")+SUMIFS(tbl_task2[S129],tbl_task2[[SubPLOs]:[SubPLOs]],"&gt;=3",tbl_task2[[SubPLOs]:[SubPLOs]],"&lt;4")+SUMIFS(tbl_task3[S129],tbl_task3[[SubPLOs]:[SubPLOs]],"&gt;=3",tbl_task3[[SubPLOs]:[SubPLOs]],"&lt;4")+SUMIFS(tbl_task4[S129],tbl_task4[[SubPLOs]:[SubPLOs]],"&gt;=3",tbl_task4[[SubPLOs]:[SubPLOs]],"&lt;4")+SUMIFS(tbl_task5[S129],tbl_task5[[SubPLOs]:[SubPLOs]],"&gt;=3",tbl_task5[[SubPLOs]:[SubPLOs]],"&lt;4")+SUMIFS(tbl_task6[S129],tbl_task6[[SubPLOs]:[SubPLOs]],"&gt;=3",tbl_task6[[SubPLOs]:[SubPLOs]],"&lt;4")+SUMIFS(tbl_task7[S129],tbl_task7[[SubPLOs]:[SubPLOs]],"&gt;=3",tbl_task7[[SubPLOs]:[SubPLOs]],"&lt;4")+SUMIFS(tbl_task8[S129],tbl_task8[[SubPLOs]:[SubPLOs]],"&gt;=3",tbl_task8[[SubPLOs]:[SubPLOs]],"&lt;4")+SUMIFS(tbl_task9[S129],tbl_task9[[SubPLOs]:[SubPLOs]],"&gt;=3",tbl_task9[[SubPLOs]:[SubPLOs]],"&lt;4")+SUMIFS(tbl_task10[S129],tbl_task10[[SubPLOs]:[SubPLOs]],"&gt;=3",tbl_task10[[SubPLOs]:[SubPLOs]],"&lt;4")</f>
        <v>0</v>
      </c>
      <c r="EE182" s="41">
        <f>SUMIFS(tbl_task1[S130],tbl_task1[[SubPLOs]:[SubPLOs]],"&gt;=3",tbl_task1[[SubPLOs]:[SubPLOs]],"&lt;4")+SUMIFS(tbl_task2[S130],tbl_task2[[SubPLOs]:[SubPLOs]],"&gt;=3",tbl_task2[[SubPLOs]:[SubPLOs]],"&lt;4")+SUMIFS(tbl_task3[S130],tbl_task3[[SubPLOs]:[SubPLOs]],"&gt;=3",tbl_task3[[SubPLOs]:[SubPLOs]],"&lt;4")+SUMIFS(tbl_task4[S130],tbl_task4[[SubPLOs]:[SubPLOs]],"&gt;=3",tbl_task4[[SubPLOs]:[SubPLOs]],"&lt;4")+SUMIFS(tbl_task5[S130],tbl_task5[[SubPLOs]:[SubPLOs]],"&gt;=3",tbl_task5[[SubPLOs]:[SubPLOs]],"&lt;4")+SUMIFS(tbl_task6[S130],tbl_task6[[SubPLOs]:[SubPLOs]],"&gt;=3",tbl_task6[[SubPLOs]:[SubPLOs]],"&lt;4")+SUMIFS(tbl_task7[S130],tbl_task7[[SubPLOs]:[SubPLOs]],"&gt;=3",tbl_task7[[SubPLOs]:[SubPLOs]],"&lt;4")+SUMIFS(tbl_task8[S130],tbl_task8[[SubPLOs]:[SubPLOs]],"&gt;=3",tbl_task8[[SubPLOs]:[SubPLOs]],"&lt;4")+SUMIFS(tbl_task9[S130],tbl_task9[[SubPLOs]:[SubPLOs]],"&gt;=3",tbl_task9[[SubPLOs]:[SubPLOs]],"&lt;4")+SUMIFS(tbl_task10[S130],tbl_task10[[SubPLOs]:[SubPLOs]],"&gt;=3",tbl_task10[[SubPLOs]:[SubPLOs]],"&lt;4")</f>
        <v>0</v>
      </c>
      <c r="EF182" s="41">
        <f>SUMIFS(tbl_task1[S131],tbl_task1[[SubPLOs]:[SubPLOs]],"&gt;=3",tbl_task1[[SubPLOs]:[SubPLOs]],"&lt;4")+SUMIFS(tbl_task2[S131],tbl_task2[[SubPLOs]:[SubPLOs]],"&gt;=3",tbl_task2[[SubPLOs]:[SubPLOs]],"&lt;4")+SUMIFS(tbl_task3[S131],tbl_task3[[SubPLOs]:[SubPLOs]],"&gt;=3",tbl_task3[[SubPLOs]:[SubPLOs]],"&lt;4")+SUMIFS(tbl_task4[S131],tbl_task4[[SubPLOs]:[SubPLOs]],"&gt;=3",tbl_task4[[SubPLOs]:[SubPLOs]],"&lt;4")+SUMIFS(tbl_task5[S131],tbl_task5[[SubPLOs]:[SubPLOs]],"&gt;=3",tbl_task5[[SubPLOs]:[SubPLOs]],"&lt;4")+SUMIFS(tbl_task6[S131],tbl_task6[[SubPLOs]:[SubPLOs]],"&gt;=3",tbl_task6[[SubPLOs]:[SubPLOs]],"&lt;4")+SUMIFS(tbl_task7[S131],tbl_task7[[SubPLOs]:[SubPLOs]],"&gt;=3",tbl_task7[[SubPLOs]:[SubPLOs]],"&lt;4")+SUMIFS(tbl_task8[S131],tbl_task8[[SubPLOs]:[SubPLOs]],"&gt;=3",tbl_task8[[SubPLOs]:[SubPLOs]],"&lt;4")+SUMIFS(tbl_task9[S131],tbl_task9[[SubPLOs]:[SubPLOs]],"&gt;=3",tbl_task9[[SubPLOs]:[SubPLOs]],"&lt;4")+SUMIFS(tbl_task10[S131],tbl_task10[[SubPLOs]:[SubPLOs]],"&gt;=3",tbl_task10[[SubPLOs]:[SubPLOs]],"&lt;4")</f>
        <v>0</v>
      </c>
      <c r="EG182" s="41">
        <f>SUMIFS(tbl_task1[S132],tbl_task1[[SubPLOs]:[SubPLOs]],"&gt;=3",tbl_task1[[SubPLOs]:[SubPLOs]],"&lt;4")+SUMIFS(tbl_task2[S132],tbl_task2[[SubPLOs]:[SubPLOs]],"&gt;=3",tbl_task2[[SubPLOs]:[SubPLOs]],"&lt;4")+SUMIFS(tbl_task3[S132],tbl_task3[[SubPLOs]:[SubPLOs]],"&gt;=3",tbl_task3[[SubPLOs]:[SubPLOs]],"&lt;4")+SUMIFS(tbl_task4[S132],tbl_task4[[SubPLOs]:[SubPLOs]],"&gt;=3",tbl_task4[[SubPLOs]:[SubPLOs]],"&lt;4")+SUMIFS(tbl_task5[S132],tbl_task5[[SubPLOs]:[SubPLOs]],"&gt;=3",tbl_task5[[SubPLOs]:[SubPLOs]],"&lt;4")+SUMIFS(tbl_task6[S132],tbl_task6[[SubPLOs]:[SubPLOs]],"&gt;=3",tbl_task6[[SubPLOs]:[SubPLOs]],"&lt;4")+SUMIFS(tbl_task7[S132],tbl_task7[[SubPLOs]:[SubPLOs]],"&gt;=3",tbl_task7[[SubPLOs]:[SubPLOs]],"&lt;4")+SUMIFS(tbl_task8[S132],tbl_task8[[SubPLOs]:[SubPLOs]],"&gt;=3",tbl_task8[[SubPLOs]:[SubPLOs]],"&lt;4")+SUMIFS(tbl_task9[S132],tbl_task9[[SubPLOs]:[SubPLOs]],"&gt;=3",tbl_task9[[SubPLOs]:[SubPLOs]],"&lt;4")+SUMIFS(tbl_task10[S132],tbl_task10[[SubPLOs]:[SubPLOs]],"&gt;=3",tbl_task10[[SubPLOs]:[SubPLOs]],"&lt;4")</f>
        <v>0</v>
      </c>
      <c r="EH182" s="41">
        <f>SUMIFS(tbl_task1[S133],tbl_task1[[SubPLOs]:[SubPLOs]],"&gt;=3",tbl_task1[[SubPLOs]:[SubPLOs]],"&lt;4")+SUMIFS(tbl_task2[S133],tbl_task2[[SubPLOs]:[SubPLOs]],"&gt;=3",tbl_task2[[SubPLOs]:[SubPLOs]],"&lt;4")+SUMIFS(tbl_task3[S133],tbl_task3[[SubPLOs]:[SubPLOs]],"&gt;=3",tbl_task3[[SubPLOs]:[SubPLOs]],"&lt;4")+SUMIFS(tbl_task4[S133],tbl_task4[[SubPLOs]:[SubPLOs]],"&gt;=3",tbl_task4[[SubPLOs]:[SubPLOs]],"&lt;4")+SUMIFS(tbl_task5[S133],tbl_task5[[SubPLOs]:[SubPLOs]],"&gt;=3",tbl_task5[[SubPLOs]:[SubPLOs]],"&lt;4")+SUMIFS(tbl_task6[S133],tbl_task6[[SubPLOs]:[SubPLOs]],"&gt;=3",tbl_task6[[SubPLOs]:[SubPLOs]],"&lt;4")+SUMIFS(tbl_task7[S133],tbl_task7[[SubPLOs]:[SubPLOs]],"&gt;=3",tbl_task7[[SubPLOs]:[SubPLOs]],"&lt;4")+SUMIFS(tbl_task8[S133],tbl_task8[[SubPLOs]:[SubPLOs]],"&gt;=3",tbl_task8[[SubPLOs]:[SubPLOs]],"&lt;4")+SUMIFS(tbl_task9[S133],tbl_task9[[SubPLOs]:[SubPLOs]],"&gt;=3",tbl_task9[[SubPLOs]:[SubPLOs]],"&lt;4")+SUMIFS(tbl_task10[S133],tbl_task10[[SubPLOs]:[SubPLOs]],"&gt;=3",tbl_task10[[SubPLOs]:[SubPLOs]],"&lt;4")</f>
        <v>0</v>
      </c>
      <c r="EI182" s="41">
        <f>SUMIFS(tbl_task1[S134],tbl_task1[[SubPLOs]:[SubPLOs]],"&gt;=3",tbl_task1[[SubPLOs]:[SubPLOs]],"&lt;4")+SUMIFS(tbl_task2[S134],tbl_task2[[SubPLOs]:[SubPLOs]],"&gt;=3",tbl_task2[[SubPLOs]:[SubPLOs]],"&lt;4")+SUMIFS(tbl_task3[S134],tbl_task3[[SubPLOs]:[SubPLOs]],"&gt;=3",tbl_task3[[SubPLOs]:[SubPLOs]],"&lt;4")+SUMIFS(tbl_task4[S134],tbl_task4[[SubPLOs]:[SubPLOs]],"&gt;=3",tbl_task4[[SubPLOs]:[SubPLOs]],"&lt;4")+SUMIFS(tbl_task5[S134],tbl_task5[[SubPLOs]:[SubPLOs]],"&gt;=3",tbl_task5[[SubPLOs]:[SubPLOs]],"&lt;4")+SUMIFS(tbl_task6[S134],tbl_task6[[SubPLOs]:[SubPLOs]],"&gt;=3",tbl_task6[[SubPLOs]:[SubPLOs]],"&lt;4")+SUMIFS(tbl_task7[S134],tbl_task7[[SubPLOs]:[SubPLOs]],"&gt;=3",tbl_task7[[SubPLOs]:[SubPLOs]],"&lt;4")+SUMIFS(tbl_task8[S134],tbl_task8[[SubPLOs]:[SubPLOs]],"&gt;=3",tbl_task8[[SubPLOs]:[SubPLOs]],"&lt;4")+SUMIFS(tbl_task9[S134],tbl_task9[[SubPLOs]:[SubPLOs]],"&gt;=3",tbl_task9[[SubPLOs]:[SubPLOs]],"&lt;4")+SUMIFS(tbl_task10[S134],tbl_task10[[SubPLOs]:[SubPLOs]],"&gt;=3",tbl_task10[[SubPLOs]:[SubPLOs]],"&lt;4")</f>
        <v>0</v>
      </c>
      <c r="EJ182" s="41">
        <f>SUMIFS(tbl_task1[S135],tbl_task1[[SubPLOs]:[SubPLOs]],"&gt;=3",tbl_task1[[SubPLOs]:[SubPLOs]],"&lt;4")+SUMIFS(tbl_task2[S135],tbl_task2[[SubPLOs]:[SubPLOs]],"&gt;=3",tbl_task2[[SubPLOs]:[SubPLOs]],"&lt;4")+SUMIFS(tbl_task3[S135],tbl_task3[[SubPLOs]:[SubPLOs]],"&gt;=3",tbl_task3[[SubPLOs]:[SubPLOs]],"&lt;4")+SUMIFS(tbl_task4[S135],tbl_task4[[SubPLOs]:[SubPLOs]],"&gt;=3",tbl_task4[[SubPLOs]:[SubPLOs]],"&lt;4")+SUMIFS(tbl_task5[S135],tbl_task5[[SubPLOs]:[SubPLOs]],"&gt;=3",tbl_task5[[SubPLOs]:[SubPLOs]],"&lt;4")+SUMIFS(tbl_task6[S135],tbl_task6[[SubPLOs]:[SubPLOs]],"&gt;=3",tbl_task6[[SubPLOs]:[SubPLOs]],"&lt;4")+SUMIFS(tbl_task7[S135],tbl_task7[[SubPLOs]:[SubPLOs]],"&gt;=3",tbl_task7[[SubPLOs]:[SubPLOs]],"&lt;4")+SUMIFS(tbl_task8[S135],tbl_task8[[SubPLOs]:[SubPLOs]],"&gt;=3",tbl_task8[[SubPLOs]:[SubPLOs]],"&lt;4")+SUMIFS(tbl_task9[S135],tbl_task9[[SubPLOs]:[SubPLOs]],"&gt;=3",tbl_task9[[SubPLOs]:[SubPLOs]],"&lt;4")+SUMIFS(tbl_task10[S135],tbl_task10[[SubPLOs]:[SubPLOs]],"&gt;=3",tbl_task10[[SubPLOs]:[SubPLOs]],"&lt;4")</f>
        <v>0</v>
      </c>
      <c r="EK182" s="41">
        <f>SUMIFS(tbl_task1[S136],tbl_task1[[SubPLOs]:[SubPLOs]],"&gt;=3",tbl_task1[[SubPLOs]:[SubPLOs]],"&lt;4")+SUMIFS(tbl_task2[S136],tbl_task2[[SubPLOs]:[SubPLOs]],"&gt;=3",tbl_task2[[SubPLOs]:[SubPLOs]],"&lt;4")+SUMIFS(tbl_task3[S136],tbl_task3[[SubPLOs]:[SubPLOs]],"&gt;=3",tbl_task3[[SubPLOs]:[SubPLOs]],"&lt;4")+SUMIFS(tbl_task4[S136],tbl_task4[[SubPLOs]:[SubPLOs]],"&gt;=3",tbl_task4[[SubPLOs]:[SubPLOs]],"&lt;4")+SUMIFS(tbl_task5[S136],tbl_task5[[SubPLOs]:[SubPLOs]],"&gt;=3",tbl_task5[[SubPLOs]:[SubPLOs]],"&lt;4")+SUMIFS(tbl_task6[S136],tbl_task6[[SubPLOs]:[SubPLOs]],"&gt;=3",tbl_task6[[SubPLOs]:[SubPLOs]],"&lt;4")+SUMIFS(tbl_task7[S136],tbl_task7[[SubPLOs]:[SubPLOs]],"&gt;=3",tbl_task7[[SubPLOs]:[SubPLOs]],"&lt;4")+SUMIFS(tbl_task8[S136],tbl_task8[[SubPLOs]:[SubPLOs]],"&gt;=3",tbl_task8[[SubPLOs]:[SubPLOs]],"&lt;4")+SUMIFS(tbl_task9[S136],tbl_task9[[SubPLOs]:[SubPLOs]],"&gt;=3",tbl_task9[[SubPLOs]:[SubPLOs]],"&lt;4")+SUMIFS(tbl_task10[S136],tbl_task10[[SubPLOs]:[SubPLOs]],"&gt;=3",tbl_task10[[SubPLOs]:[SubPLOs]],"&lt;4")</f>
        <v>0</v>
      </c>
      <c r="EL182" s="41">
        <f>SUMIFS(tbl_task1[S137],tbl_task1[[SubPLOs]:[SubPLOs]],"&gt;=3",tbl_task1[[SubPLOs]:[SubPLOs]],"&lt;4")+SUMIFS(tbl_task2[S137],tbl_task2[[SubPLOs]:[SubPLOs]],"&gt;=3",tbl_task2[[SubPLOs]:[SubPLOs]],"&lt;4")+SUMIFS(tbl_task3[S137],tbl_task3[[SubPLOs]:[SubPLOs]],"&gt;=3",tbl_task3[[SubPLOs]:[SubPLOs]],"&lt;4")+SUMIFS(tbl_task4[S137],tbl_task4[[SubPLOs]:[SubPLOs]],"&gt;=3",tbl_task4[[SubPLOs]:[SubPLOs]],"&lt;4")+SUMIFS(tbl_task5[S137],tbl_task5[[SubPLOs]:[SubPLOs]],"&gt;=3",tbl_task5[[SubPLOs]:[SubPLOs]],"&lt;4")+SUMIFS(tbl_task6[S137],tbl_task6[[SubPLOs]:[SubPLOs]],"&gt;=3",tbl_task6[[SubPLOs]:[SubPLOs]],"&lt;4")+SUMIFS(tbl_task7[S137],tbl_task7[[SubPLOs]:[SubPLOs]],"&gt;=3",tbl_task7[[SubPLOs]:[SubPLOs]],"&lt;4")+SUMIFS(tbl_task8[S137],tbl_task8[[SubPLOs]:[SubPLOs]],"&gt;=3",tbl_task8[[SubPLOs]:[SubPLOs]],"&lt;4")+SUMIFS(tbl_task9[S137],tbl_task9[[SubPLOs]:[SubPLOs]],"&gt;=3",tbl_task9[[SubPLOs]:[SubPLOs]],"&lt;4")+SUMIFS(tbl_task10[S137],tbl_task10[[SubPLOs]:[SubPLOs]],"&gt;=3",tbl_task10[[SubPLOs]:[SubPLOs]],"&lt;4")</f>
        <v>0</v>
      </c>
      <c r="EM182" s="41">
        <f>SUMIFS(tbl_task1[S138],tbl_task1[[SubPLOs]:[SubPLOs]],"&gt;=3",tbl_task1[[SubPLOs]:[SubPLOs]],"&lt;4")+SUMIFS(tbl_task2[S138],tbl_task2[[SubPLOs]:[SubPLOs]],"&gt;=3",tbl_task2[[SubPLOs]:[SubPLOs]],"&lt;4")+SUMIFS(tbl_task3[S138],tbl_task3[[SubPLOs]:[SubPLOs]],"&gt;=3",tbl_task3[[SubPLOs]:[SubPLOs]],"&lt;4")+SUMIFS(tbl_task4[S138],tbl_task4[[SubPLOs]:[SubPLOs]],"&gt;=3",tbl_task4[[SubPLOs]:[SubPLOs]],"&lt;4")+SUMIFS(tbl_task5[S138],tbl_task5[[SubPLOs]:[SubPLOs]],"&gt;=3",tbl_task5[[SubPLOs]:[SubPLOs]],"&lt;4")+SUMIFS(tbl_task6[S138],tbl_task6[[SubPLOs]:[SubPLOs]],"&gt;=3",tbl_task6[[SubPLOs]:[SubPLOs]],"&lt;4")+SUMIFS(tbl_task7[S138],tbl_task7[[SubPLOs]:[SubPLOs]],"&gt;=3",tbl_task7[[SubPLOs]:[SubPLOs]],"&lt;4")+SUMIFS(tbl_task8[S138],tbl_task8[[SubPLOs]:[SubPLOs]],"&gt;=3",tbl_task8[[SubPLOs]:[SubPLOs]],"&lt;4")+SUMIFS(tbl_task9[S138],tbl_task9[[SubPLOs]:[SubPLOs]],"&gt;=3",tbl_task9[[SubPLOs]:[SubPLOs]],"&lt;4")+SUMIFS(tbl_task10[S138],tbl_task10[[SubPLOs]:[SubPLOs]],"&gt;=3",tbl_task10[[SubPLOs]:[SubPLOs]],"&lt;4")</f>
        <v>0</v>
      </c>
      <c r="EN182" s="41">
        <f>SUMIFS(tbl_task1[S139],tbl_task1[[SubPLOs]:[SubPLOs]],"&gt;=3",tbl_task1[[SubPLOs]:[SubPLOs]],"&lt;4")+SUMIFS(tbl_task2[S139],tbl_task2[[SubPLOs]:[SubPLOs]],"&gt;=3",tbl_task2[[SubPLOs]:[SubPLOs]],"&lt;4")+SUMIFS(tbl_task3[S139],tbl_task3[[SubPLOs]:[SubPLOs]],"&gt;=3",tbl_task3[[SubPLOs]:[SubPLOs]],"&lt;4")+SUMIFS(tbl_task4[S139],tbl_task4[[SubPLOs]:[SubPLOs]],"&gt;=3",tbl_task4[[SubPLOs]:[SubPLOs]],"&lt;4")+SUMIFS(tbl_task5[S139],tbl_task5[[SubPLOs]:[SubPLOs]],"&gt;=3",tbl_task5[[SubPLOs]:[SubPLOs]],"&lt;4")+SUMIFS(tbl_task6[S139],tbl_task6[[SubPLOs]:[SubPLOs]],"&gt;=3",tbl_task6[[SubPLOs]:[SubPLOs]],"&lt;4")+SUMIFS(tbl_task7[S139],tbl_task7[[SubPLOs]:[SubPLOs]],"&gt;=3",tbl_task7[[SubPLOs]:[SubPLOs]],"&lt;4")+SUMIFS(tbl_task8[S139],tbl_task8[[SubPLOs]:[SubPLOs]],"&gt;=3",tbl_task8[[SubPLOs]:[SubPLOs]],"&lt;4")+SUMIFS(tbl_task9[S139],tbl_task9[[SubPLOs]:[SubPLOs]],"&gt;=3",tbl_task9[[SubPLOs]:[SubPLOs]],"&lt;4")+SUMIFS(tbl_task10[S139],tbl_task10[[SubPLOs]:[SubPLOs]],"&gt;=3",tbl_task10[[SubPLOs]:[SubPLOs]],"&lt;4")</f>
        <v>0</v>
      </c>
      <c r="EO182" s="41">
        <f>SUMIFS(tbl_task1[S140],tbl_task1[[SubPLOs]:[SubPLOs]],"&gt;=3",tbl_task1[[SubPLOs]:[SubPLOs]],"&lt;4")+SUMIFS(tbl_task2[S140],tbl_task2[[SubPLOs]:[SubPLOs]],"&gt;=3",tbl_task2[[SubPLOs]:[SubPLOs]],"&lt;4")+SUMIFS(tbl_task3[S140],tbl_task3[[SubPLOs]:[SubPLOs]],"&gt;=3",tbl_task3[[SubPLOs]:[SubPLOs]],"&lt;4")+SUMIFS(tbl_task4[S140],tbl_task4[[SubPLOs]:[SubPLOs]],"&gt;=3",tbl_task4[[SubPLOs]:[SubPLOs]],"&lt;4")+SUMIFS(tbl_task5[S140],tbl_task5[[SubPLOs]:[SubPLOs]],"&gt;=3",tbl_task5[[SubPLOs]:[SubPLOs]],"&lt;4")+SUMIFS(tbl_task6[S140],tbl_task6[[SubPLOs]:[SubPLOs]],"&gt;=3",tbl_task6[[SubPLOs]:[SubPLOs]],"&lt;4")+SUMIFS(tbl_task7[S140],tbl_task7[[SubPLOs]:[SubPLOs]],"&gt;=3",tbl_task7[[SubPLOs]:[SubPLOs]],"&lt;4")+SUMIFS(tbl_task8[S140],tbl_task8[[SubPLOs]:[SubPLOs]],"&gt;=3",tbl_task8[[SubPLOs]:[SubPLOs]],"&lt;4")+SUMIFS(tbl_task9[S140],tbl_task9[[SubPLOs]:[SubPLOs]],"&gt;=3",tbl_task9[[SubPLOs]:[SubPLOs]],"&lt;4")+SUMIFS(tbl_task10[S140],tbl_task10[[SubPLOs]:[SubPLOs]],"&gt;=3",tbl_task10[[SubPLOs]:[SubPLOs]],"&lt;4")</f>
        <v>0</v>
      </c>
      <c r="EP182" s="41">
        <f>SUMIFS(tbl_task1[S141],tbl_task1[[SubPLOs]:[SubPLOs]],"&gt;=3",tbl_task1[[SubPLOs]:[SubPLOs]],"&lt;4")+SUMIFS(tbl_task2[S141],tbl_task2[[SubPLOs]:[SubPLOs]],"&gt;=3",tbl_task2[[SubPLOs]:[SubPLOs]],"&lt;4")+SUMIFS(tbl_task3[S141],tbl_task3[[SubPLOs]:[SubPLOs]],"&gt;=3",tbl_task3[[SubPLOs]:[SubPLOs]],"&lt;4")+SUMIFS(tbl_task4[S141],tbl_task4[[SubPLOs]:[SubPLOs]],"&gt;=3",tbl_task4[[SubPLOs]:[SubPLOs]],"&lt;4")+SUMIFS(tbl_task5[S141],tbl_task5[[SubPLOs]:[SubPLOs]],"&gt;=3",tbl_task5[[SubPLOs]:[SubPLOs]],"&lt;4")+SUMIFS(tbl_task6[S141],tbl_task6[[SubPLOs]:[SubPLOs]],"&gt;=3",tbl_task6[[SubPLOs]:[SubPLOs]],"&lt;4")+SUMIFS(tbl_task7[S141],tbl_task7[[SubPLOs]:[SubPLOs]],"&gt;=3",tbl_task7[[SubPLOs]:[SubPLOs]],"&lt;4")+SUMIFS(tbl_task8[S141],tbl_task8[[SubPLOs]:[SubPLOs]],"&gt;=3",tbl_task8[[SubPLOs]:[SubPLOs]],"&lt;4")+SUMIFS(tbl_task9[S141],tbl_task9[[SubPLOs]:[SubPLOs]],"&gt;=3",tbl_task9[[SubPLOs]:[SubPLOs]],"&lt;4")+SUMIFS(tbl_task10[S141],tbl_task10[[SubPLOs]:[SubPLOs]],"&gt;=3",tbl_task10[[SubPLOs]:[SubPLOs]],"&lt;4")</f>
        <v>0</v>
      </c>
      <c r="EQ182" s="41">
        <f>SUMIFS(tbl_task1[S142],tbl_task1[[SubPLOs]:[SubPLOs]],"&gt;=3",tbl_task1[[SubPLOs]:[SubPLOs]],"&lt;4")+SUMIFS(tbl_task2[S142],tbl_task2[[SubPLOs]:[SubPLOs]],"&gt;=3",tbl_task2[[SubPLOs]:[SubPLOs]],"&lt;4")+SUMIFS(tbl_task3[S142],tbl_task3[[SubPLOs]:[SubPLOs]],"&gt;=3",tbl_task3[[SubPLOs]:[SubPLOs]],"&lt;4")+SUMIFS(tbl_task4[S142],tbl_task4[[SubPLOs]:[SubPLOs]],"&gt;=3",tbl_task4[[SubPLOs]:[SubPLOs]],"&lt;4")+SUMIFS(tbl_task5[S142],tbl_task5[[SubPLOs]:[SubPLOs]],"&gt;=3",tbl_task5[[SubPLOs]:[SubPLOs]],"&lt;4")+SUMIFS(tbl_task6[S142],tbl_task6[[SubPLOs]:[SubPLOs]],"&gt;=3",tbl_task6[[SubPLOs]:[SubPLOs]],"&lt;4")+SUMIFS(tbl_task7[S142],tbl_task7[[SubPLOs]:[SubPLOs]],"&gt;=3",tbl_task7[[SubPLOs]:[SubPLOs]],"&lt;4")+SUMIFS(tbl_task8[S142],tbl_task8[[SubPLOs]:[SubPLOs]],"&gt;=3",tbl_task8[[SubPLOs]:[SubPLOs]],"&lt;4")+SUMIFS(tbl_task9[S142],tbl_task9[[SubPLOs]:[SubPLOs]],"&gt;=3",tbl_task9[[SubPLOs]:[SubPLOs]],"&lt;4")+SUMIFS(tbl_task10[S142],tbl_task10[[SubPLOs]:[SubPLOs]],"&gt;=3",tbl_task10[[SubPLOs]:[SubPLOs]],"&lt;4")</f>
        <v>0</v>
      </c>
      <c r="ER182" s="41">
        <f>SUMIFS(tbl_task1[S143],tbl_task1[[SubPLOs]:[SubPLOs]],"&gt;=3",tbl_task1[[SubPLOs]:[SubPLOs]],"&lt;4")+SUMIFS(tbl_task2[S143],tbl_task2[[SubPLOs]:[SubPLOs]],"&gt;=3",tbl_task2[[SubPLOs]:[SubPLOs]],"&lt;4")+SUMIFS(tbl_task3[S143],tbl_task3[[SubPLOs]:[SubPLOs]],"&gt;=3",tbl_task3[[SubPLOs]:[SubPLOs]],"&lt;4")+SUMIFS(tbl_task4[S143],tbl_task4[[SubPLOs]:[SubPLOs]],"&gt;=3",tbl_task4[[SubPLOs]:[SubPLOs]],"&lt;4")+SUMIFS(tbl_task5[S143],tbl_task5[[SubPLOs]:[SubPLOs]],"&gt;=3",tbl_task5[[SubPLOs]:[SubPLOs]],"&lt;4")+SUMIFS(tbl_task6[S143],tbl_task6[[SubPLOs]:[SubPLOs]],"&gt;=3",tbl_task6[[SubPLOs]:[SubPLOs]],"&lt;4")+SUMIFS(tbl_task7[S143],tbl_task7[[SubPLOs]:[SubPLOs]],"&gt;=3",tbl_task7[[SubPLOs]:[SubPLOs]],"&lt;4")+SUMIFS(tbl_task8[S143],tbl_task8[[SubPLOs]:[SubPLOs]],"&gt;=3",tbl_task8[[SubPLOs]:[SubPLOs]],"&lt;4")+SUMIFS(tbl_task9[S143],tbl_task9[[SubPLOs]:[SubPLOs]],"&gt;=3",tbl_task9[[SubPLOs]:[SubPLOs]],"&lt;4")+SUMIFS(tbl_task10[S143],tbl_task10[[SubPLOs]:[SubPLOs]],"&gt;=3",tbl_task10[[SubPLOs]:[SubPLOs]],"&lt;4")</f>
        <v>0</v>
      </c>
      <c r="ES182" s="41">
        <f>SUMIFS(tbl_task1[S144],tbl_task1[[SubPLOs]:[SubPLOs]],"&gt;=3",tbl_task1[[SubPLOs]:[SubPLOs]],"&lt;4")+SUMIFS(tbl_task2[S144],tbl_task2[[SubPLOs]:[SubPLOs]],"&gt;=3",tbl_task2[[SubPLOs]:[SubPLOs]],"&lt;4")+SUMIFS(tbl_task3[S144],tbl_task3[[SubPLOs]:[SubPLOs]],"&gt;=3",tbl_task3[[SubPLOs]:[SubPLOs]],"&lt;4")+SUMIFS(tbl_task4[S144],tbl_task4[[SubPLOs]:[SubPLOs]],"&gt;=3",tbl_task4[[SubPLOs]:[SubPLOs]],"&lt;4")+SUMIFS(tbl_task5[S144],tbl_task5[[SubPLOs]:[SubPLOs]],"&gt;=3",tbl_task5[[SubPLOs]:[SubPLOs]],"&lt;4")+SUMIFS(tbl_task6[S144],tbl_task6[[SubPLOs]:[SubPLOs]],"&gt;=3",tbl_task6[[SubPLOs]:[SubPLOs]],"&lt;4")+SUMIFS(tbl_task7[S144],tbl_task7[[SubPLOs]:[SubPLOs]],"&gt;=3",tbl_task7[[SubPLOs]:[SubPLOs]],"&lt;4")+SUMIFS(tbl_task8[S144],tbl_task8[[SubPLOs]:[SubPLOs]],"&gt;=3",tbl_task8[[SubPLOs]:[SubPLOs]],"&lt;4")+SUMIFS(tbl_task9[S144],tbl_task9[[SubPLOs]:[SubPLOs]],"&gt;=3",tbl_task9[[SubPLOs]:[SubPLOs]],"&lt;4")+SUMIFS(tbl_task10[S144],tbl_task10[[SubPLOs]:[SubPLOs]],"&gt;=3",tbl_task10[[SubPLOs]:[SubPLOs]],"&lt;4")</f>
        <v>0</v>
      </c>
      <c r="ET182" s="41">
        <f>SUMIFS(tbl_task1[S145],tbl_task1[[SubPLOs]:[SubPLOs]],"&gt;=3",tbl_task1[[SubPLOs]:[SubPLOs]],"&lt;4")+SUMIFS(tbl_task2[S145],tbl_task2[[SubPLOs]:[SubPLOs]],"&gt;=3",tbl_task2[[SubPLOs]:[SubPLOs]],"&lt;4")+SUMIFS(tbl_task3[S145],tbl_task3[[SubPLOs]:[SubPLOs]],"&gt;=3",tbl_task3[[SubPLOs]:[SubPLOs]],"&lt;4")+SUMIFS(tbl_task4[S145],tbl_task4[[SubPLOs]:[SubPLOs]],"&gt;=3",tbl_task4[[SubPLOs]:[SubPLOs]],"&lt;4")+SUMIFS(tbl_task5[S145],tbl_task5[[SubPLOs]:[SubPLOs]],"&gt;=3",tbl_task5[[SubPLOs]:[SubPLOs]],"&lt;4")+SUMIFS(tbl_task6[S145],tbl_task6[[SubPLOs]:[SubPLOs]],"&gt;=3",tbl_task6[[SubPLOs]:[SubPLOs]],"&lt;4")+SUMIFS(tbl_task7[S145],tbl_task7[[SubPLOs]:[SubPLOs]],"&gt;=3",tbl_task7[[SubPLOs]:[SubPLOs]],"&lt;4")+SUMIFS(tbl_task8[S145],tbl_task8[[SubPLOs]:[SubPLOs]],"&gt;=3",tbl_task8[[SubPLOs]:[SubPLOs]],"&lt;4")+SUMIFS(tbl_task9[S145],tbl_task9[[SubPLOs]:[SubPLOs]],"&gt;=3",tbl_task9[[SubPLOs]:[SubPLOs]],"&lt;4")+SUMIFS(tbl_task10[S145],tbl_task10[[SubPLOs]:[SubPLOs]],"&gt;=3",tbl_task10[[SubPLOs]:[SubPLOs]],"&lt;4")</f>
        <v>0</v>
      </c>
      <c r="EU182" s="41">
        <f>SUMIFS(tbl_task1[S146],tbl_task1[[SubPLOs]:[SubPLOs]],"&gt;=3",tbl_task1[[SubPLOs]:[SubPLOs]],"&lt;4")+SUMIFS(tbl_task2[S146],tbl_task2[[SubPLOs]:[SubPLOs]],"&gt;=3",tbl_task2[[SubPLOs]:[SubPLOs]],"&lt;4")+SUMIFS(tbl_task3[S146],tbl_task3[[SubPLOs]:[SubPLOs]],"&gt;=3",tbl_task3[[SubPLOs]:[SubPLOs]],"&lt;4")+SUMIFS(tbl_task4[S146],tbl_task4[[SubPLOs]:[SubPLOs]],"&gt;=3",tbl_task4[[SubPLOs]:[SubPLOs]],"&lt;4")+SUMIFS(tbl_task5[S146],tbl_task5[[SubPLOs]:[SubPLOs]],"&gt;=3",tbl_task5[[SubPLOs]:[SubPLOs]],"&lt;4")+SUMIFS(tbl_task6[S146],tbl_task6[[SubPLOs]:[SubPLOs]],"&gt;=3",tbl_task6[[SubPLOs]:[SubPLOs]],"&lt;4")+SUMIFS(tbl_task7[S146],tbl_task7[[SubPLOs]:[SubPLOs]],"&gt;=3",tbl_task7[[SubPLOs]:[SubPLOs]],"&lt;4")+SUMIFS(tbl_task8[S146],tbl_task8[[SubPLOs]:[SubPLOs]],"&gt;=3",tbl_task8[[SubPLOs]:[SubPLOs]],"&lt;4")+SUMIFS(tbl_task9[S146],tbl_task9[[SubPLOs]:[SubPLOs]],"&gt;=3",tbl_task9[[SubPLOs]:[SubPLOs]],"&lt;4")+SUMIFS(tbl_task10[S146],tbl_task10[[SubPLOs]:[SubPLOs]],"&gt;=3",tbl_task10[[SubPLOs]:[SubPLOs]],"&lt;4")</f>
        <v>0</v>
      </c>
      <c r="EV182" s="41">
        <f>SUMIFS(tbl_task1[S147],tbl_task1[[SubPLOs]:[SubPLOs]],"&gt;=3",tbl_task1[[SubPLOs]:[SubPLOs]],"&lt;4")+SUMIFS(tbl_task2[S147],tbl_task2[[SubPLOs]:[SubPLOs]],"&gt;=3",tbl_task2[[SubPLOs]:[SubPLOs]],"&lt;4")+SUMIFS(tbl_task3[S147],tbl_task3[[SubPLOs]:[SubPLOs]],"&gt;=3",tbl_task3[[SubPLOs]:[SubPLOs]],"&lt;4")+SUMIFS(tbl_task4[S147],tbl_task4[[SubPLOs]:[SubPLOs]],"&gt;=3",tbl_task4[[SubPLOs]:[SubPLOs]],"&lt;4")+SUMIFS(tbl_task5[S147],tbl_task5[[SubPLOs]:[SubPLOs]],"&gt;=3",tbl_task5[[SubPLOs]:[SubPLOs]],"&lt;4")+SUMIFS(tbl_task6[S147],tbl_task6[[SubPLOs]:[SubPLOs]],"&gt;=3",tbl_task6[[SubPLOs]:[SubPLOs]],"&lt;4")+SUMIFS(tbl_task7[S147],tbl_task7[[SubPLOs]:[SubPLOs]],"&gt;=3",tbl_task7[[SubPLOs]:[SubPLOs]],"&lt;4")+SUMIFS(tbl_task8[S147],tbl_task8[[SubPLOs]:[SubPLOs]],"&gt;=3",tbl_task8[[SubPLOs]:[SubPLOs]],"&lt;4")+SUMIFS(tbl_task9[S147],tbl_task9[[SubPLOs]:[SubPLOs]],"&gt;=3",tbl_task9[[SubPLOs]:[SubPLOs]],"&lt;4")+SUMIFS(tbl_task10[S147],tbl_task10[[SubPLOs]:[SubPLOs]],"&gt;=3",tbl_task10[[SubPLOs]:[SubPLOs]],"&lt;4")</f>
        <v>0</v>
      </c>
      <c r="EW182" s="41">
        <f>SUMIFS(tbl_task1[S148],tbl_task1[[SubPLOs]:[SubPLOs]],"&gt;=3",tbl_task1[[SubPLOs]:[SubPLOs]],"&lt;4")+SUMIFS(tbl_task2[S148],tbl_task2[[SubPLOs]:[SubPLOs]],"&gt;=3",tbl_task2[[SubPLOs]:[SubPLOs]],"&lt;4")+SUMIFS(tbl_task3[S148],tbl_task3[[SubPLOs]:[SubPLOs]],"&gt;=3",tbl_task3[[SubPLOs]:[SubPLOs]],"&lt;4")+SUMIFS(tbl_task4[S148],tbl_task4[[SubPLOs]:[SubPLOs]],"&gt;=3",tbl_task4[[SubPLOs]:[SubPLOs]],"&lt;4")+SUMIFS(tbl_task5[S148],tbl_task5[[SubPLOs]:[SubPLOs]],"&gt;=3",tbl_task5[[SubPLOs]:[SubPLOs]],"&lt;4")+SUMIFS(tbl_task6[S148],tbl_task6[[SubPLOs]:[SubPLOs]],"&gt;=3",tbl_task6[[SubPLOs]:[SubPLOs]],"&lt;4")+SUMIFS(tbl_task7[S148],tbl_task7[[SubPLOs]:[SubPLOs]],"&gt;=3",tbl_task7[[SubPLOs]:[SubPLOs]],"&lt;4")+SUMIFS(tbl_task8[S148],tbl_task8[[SubPLOs]:[SubPLOs]],"&gt;=3",tbl_task8[[SubPLOs]:[SubPLOs]],"&lt;4")+SUMIFS(tbl_task9[S148],tbl_task9[[SubPLOs]:[SubPLOs]],"&gt;=3",tbl_task9[[SubPLOs]:[SubPLOs]],"&lt;4")+SUMIFS(tbl_task10[S148],tbl_task10[[SubPLOs]:[SubPLOs]],"&gt;=3",tbl_task10[[SubPLOs]:[SubPLOs]],"&lt;4")</f>
        <v>0</v>
      </c>
      <c r="EX182" s="41">
        <f>SUMIFS(tbl_task1[S149],tbl_task1[[SubPLOs]:[SubPLOs]],"&gt;=3",tbl_task1[[SubPLOs]:[SubPLOs]],"&lt;4")+SUMIFS(tbl_task2[S149],tbl_task2[[SubPLOs]:[SubPLOs]],"&gt;=3",tbl_task2[[SubPLOs]:[SubPLOs]],"&lt;4")+SUMIFS(tbl_task3[S149],tbl_task3[[SubPLOs]:[SubPLOs]],"&gt;=3",tbl_task3[[SubPLOs]:[SubPLOs]],"&lt;4")+SUMIFS(tbl_task4[S149],tbl_task4[[SubPLOs]:[SubPLOs]],"&gt;=3",tbl_task4[[SubPLOs]:[SubPLOs]],"&lt;4")+SUMIFS(tbl_task5[S149],tbl_task5[[SubPLOs]:[SubPLOs]],"&gt;=3",tbl_task5[[SubPLOs]:[SubPLOs]],"&lt;4")+SUMIFS(tbl_task6[S149],tbl_task6[[SubPLOs]:[SubPLOs]],"&gt;=3",tbl_task6[[SubPLOs]:[SubPLOs]],"&lt;4")+SUMIFS(tbl_task7[S149],tbl_task7[[SubPLOs]:[SubPLOs]],"&gt;=3",tbl_task7[[SubPLOs]:[SubPLOs]],"&lt;4")+SUMIFS(tbl_task8[S149],tbl_task8[[SubPLOs]:[SubPLOs]],"&gt;=3",tbl_task8[[SubPLOs]:[SubPLOs]],"&lt;4")+SUMIFS(tbl_task9[S149],tbl_task9[[SubPLOs]:[SubPLOs]],"&gt;=3",tbl_task9[[SubPLOs]:[SubPLOs]],"&lt;4")+SUMIFS(tbl_task10[S149],tbl_task10[[SubPLOs]:[SubPLOs]],"&gt;=3",tbl_task10[[SubPLOs]:[SubPLOs]],"&lt;4")</f>
        <v>0</v>
      </c>
      <c r="EY182" s="41">
        <f>SUMIFS(tbl_task1[S150],tbl_task1[[SubPLOs]:[SubPLOs]],"&gt;=3",tbl_task1[[SubPLOs]:[SubPLOs]],"&lt;4")+SUMIFS(tbl_task2[S150],tbl_task2[[SubPLOs]:[SubPLOs]],"&gt;=3",tbl_task2[[SubPLOs]:[SubPLOs]],"&lt;4")+SUMIFS(tbl_task3[S150],tbl_task3[[SubPLOs]:[SubPLOs]],"&gt;=3",tbl_task3[[SubPLOs]:[SubPLOs]],"&lt;4")+SUMIFS(tbl_task4[S150],tbl_task4[[SubPLOs]:[SubPLOs]],"&gt;=3",tbl_task4[[SubPLOs]:[SubPLOs]],"&lt;4")+SUMIFS(tbl_task5[S150],tbl_task5[[SubPLOs]:[SubPLOs]],"&gt;=3",tbl_task5[[SubPLOs]:[SubPLOs]],"&lt;4")+SUMIFS(tbl_task6[S150],tbl_task6[[SubPLOs]:[SubPLOs]],"&gt;=3",tbl_task6[[SubPLOs]:[SubPLOs]],"&lt;4")+SUMIFS(tbl_task7[S150],tbl_task7[[SubPLOs]:[SubPLOs]],"&gt;=3",tbl_task7[[SubPLOs]:[SubPLOs]],"&lt;4")+SUMIFS(tbl_task8[S150],tbl_task8[[SubPLOs]:[SubPLOs]],"&gt;=3",tbl_task8[[SubPLOs]:[SubPLOs]],"&lt;4")+SUMIFS(tbl_task9[S150],tbl_task9[[SubPLOs]:[SubPLOs]],"&gt;=3",tbl_task9[[SubPLOs]:[SubPLOs]],"&lt;4")+SUMIFS(tbl_task10[S150],tbl_task10[[SubPLOs]:[SubPLOs]],"&gt;=3",tbl_task10[[SubPLOs]:[SubPLOs]],"&lt;4")</f>
        <v>0</v>
      </c>
      <c r="EZ182" s="41">
        <f>SUMIFS(tbl_task1[S151],tbl_task1[[SubPLOs]:[SubPLOs]],"&gt;=3",tbl_task1[[SubPLOs]:[SubPLOs]],"&lt;4")+SUMIFS(tbl_task2[S151],tbl_task2[[SubPLOs]:[SubPLOs]],"&gt;=3",tbl_task2[[SubPLOs]:[SubPLOs]],"&lt;4")+SUMIFS(tbl_task3[S151],tbl_task3[[SubPLOs]:[SubPLOs]],"&gt;=3",tbl_task3[[SubPLOs]:[SubPLOs]],"&lt;4")+SUMIFS(tbl_task4[S151],tbl_task4[[SubPLOs]:[SubPLOs]],"&gt;=3",tbl_task4[[SubPLOs]:[SubPLOs]],"&lt;4")+SUMIFS(tbl_task5[S151],tbl_task5[[SubPLOs]:[SubPLOs]],"&gt;=3",tbl_task5[[SubPLOs]:[SubPLOs]],"&lt;4")+SUMIFS(tbl_task6[S151],tbl_task6[[SubPLOs]:[SubPLOs]],"&gt;=3",tbl_task6[[SubPLOs]:[SubPLOs]],"&lt;4")+SUMIFS(tbl_task7[S151],tbl_task7[[SubPLOs]:[SubPLOs]],"&gt;=3",tbl_task7[[SubPLOs]:[SubPLOs]],"&lt;4")+SUMIFS(tbl_task8[S151],tbl_task8[[SubPLOs]:[SubPLOs]],"&gt;=3",tbl_task8[[SubPLOs]:[SubPLOs]],"&lt;4")+SUMIFS(tbl_task9[S151],tbl_task9[[SubPLOs]:[SubPLOs]],"&gt;=3",tbl_task9[[SubPLOs]:[SubPLOs]],"&lt;4")+SUMIFS(tbl_task10[S151],tbl_task10[[SubPLOs]:[SubPLOs]],"&gt;=3",tbl_task10[[SubPLOs]:[SubPLOs]],"&lt;4")</f>
        <v>0</v>
      </c>
      <c r="FA182" s="41">
        <f>SUMIFS(tbl_task1[S152],tbl_task1[[SubPLOs]:[SubPLOs]],"&gt;=3",tbl_task1[[SubPLOs]:[SubPLOs]],"&lt;4")+SUMIFS(tbl_task2[S152],tbl_task2[[SubPLOs]:[SubPLOs]],"&gt;=3",tbl_task2[[SubPLOs]:[SubPLOs]],"&lt;4")+SUMIFS(tbl_task3[S152],tbl_task3[[SubPLOs]:[SubPLOs]],"&gt;=3",tbl_task3[[SubPLOs]:[SubPLOs]],"&lt;4")+SUMIFS(tbl_task4[S152],tbl_task4[[SubPLOs]:[SubPLOs]],"&gt;=3",tbl_task4[[SubPLOs]:[SubPLOs]],"&lt;4")+SUMIFS(tbl_task5[S152],tbl_task5[[SubPLOs]:[SubPLOs]],"&gt;=3",tbl_task5[[SubPLOs]:[SubPLOs]],"&lt;4")+SUMIFS(tbl_task6[S152],tbl_task6[[SubPLOs]:[SubPLOs]],"&gt;=3",tbl_task6[[SubPLOs]:[SubPLOs]],"&lt;4")+SUMIFS(tbl_task7[S152],tbl_task7[[SubPLOs]:[SubPLOs]],"&gt;=3",tbl_task7[[SubPLOs]:[SubPLOs]],"&lt;4")+SUMIFS(tbl_task8[S152],tbl_task8[[SubPLOs]:[SubPLOs]],"&gt;=3",tbl_task8[[SubPLOs]:[SubPLOs]],"&lt;4")+SUMIFS(tbl_task9[S152],tbl_task9[[SubPLOs]:[SubPLOs]],"&gt;=3",tbl_task9[[SubPLOs]:[SubPLOs]],"&lt;4")+SUMIFS(tbl_task10[S152],tbl_task10[[SubPLOs]:[SubPLOs]],"&gt;=3",tbl_task10[[SubPLOs]:[SubPLOs]],"&lt;4")</f>
        <v>0</v>
      </c>
      <c r="FB182" s="41">
        <f>SUMIFS(tbl_task1[S153],tbl_task1[[SubPLOs]:[SubPLOs]],"&gt;=3",tbl_task1[[SubPLOs]:[SubPLOs]],"&lt;4")+SUMIFS(tbl_task2[S153],tbl_task2[[SubPLOs]:[SubPLOs]],"&gt;=3",tbl_task2[[SubPLOs]:[SubPLOs]],"&lt;4")+SUMIFS(tbl_task3[S153],tbl_task3[[SubPLOs]:[SubPLOs]],"&gt;=3",tbl_task3[[SubPLOs]:[SubPLOs]],"&lt;4")+SUMIFS(tbl_task4[S153],tbl_task4[[SubPLOs]:[SubPLOs]],"&gt;=3",tbl_task4[[SubPLOs]:[SubPLOs]],"&lt;4")+SUMIFS(tbl_task5[S153],tbl_task5[[SubPLOs]:[SubPLOs]],"&gt;=3",tbl_task5[[SubPLOs]:[SubPLOs]],"&lt;4")+SUMIFS(tbl_task6[S153],tbl_task6[[SubPLOs]:[SubPLOs]],"&gt;=3",tbl_task6[[SubPLOs]:[SubPLOs]],"&lt;4")+SUMIFS(tbl_task7[S153],tbl_task7[[SubPLOs]:[SubPLOs]],"&gt;=3",tbl_task7[[SubPLOs]:[SubPLOs]],"&lt;4")+SUMIFS(tbl_task8[S153],tbl_task8[[SubPLOs]:[SubPLOs]],"&gt;=3",tbl_task8[[SubPLOs]:[SubPLOs]],"&lt;4")+SUMIFS(tbl_task9[S153],tbl_task9[[SubPLOs]:[SubPLOs]],"&gt;=3",tbl_task9[[SubPLOs]:[SubPLOs]],"&lt;4")+SUMIFS(tbl_task10[S153],tbl_task10[[SubPLOs]:[SubPLOs]],"&gt;=3",tbl_task10[[SubPLOs]:[SubPLOs]],"&lt;4")</f>
        <v>0</v>
      </c>
      <c r="FC182" s="41">
        <f>SUMIFS(tbl_task1[S154],tbl_task1[[SubPLOs]:[SubPLOs]],"&gt;=3",tbl_task1[[SubPLOs]:[SubPLOs]],"&lt;4")+SUMIFS(tbl_task2[S154],tbl_task2[[SubPLOs]:[SubPLOs]],"&gt;=3",tbl_task2[[SubPLOs]:[SubPLOs]],"&lt;4")+SUMIFS(tbl_task3[S154],tbl_task3[[SubPLOs]:[SubPLOs]],"&gt;=3",tbl_task3[[SubPLOs]:[SubPLOs]],"&lt;4")+SUMIFS(tbl_task4[S154],tbl_task4[[SubPLOs]:[SubPLOs]],"&gt;=3",tbl_task4[[SubPLOs]:[SubPLOs]],"&lt;4")+SUMIFS(tbl_task5[S154],tbl_task5[[SubPLOs]:[SubPLOs]],"&gt;=3",tbl_task5[[SubPLOs]:[SubPLOs]],"&lt;4")+SUMIFS(tbl_task6[S154],tbl_task6[[SubPLOs]:[SubPLOs]],"&gt;=3",tbl_task6[[SubPLOs]:[SubPLOs]],"&lt;4")+SUMIFS(tbl_task7[S154],tbl_task7[[SubPLOs]:[SubPLOs]],"&gt;=3",tbl_task7[[SubPLOs]:[SubPLOs]],"&lt;4")+SUMIFS(tbl_task8[S154],tbl_task8[[SubPLOs]:[SubPLOs]],"&gt;=3",tbl_task8[[SubPLOs]:[SubPLOs]],"&lt;4")+SUMIFS(tbl_task9[S154],tbl_task9[[SubPLOs]:[SubPLOs]],"&gt;=3",tbl_task9[[SubPLOs]:[SubPLOs]],"&lt;4")+SUMIFS(tbl_task10[S154],tbl_task10[[SubPLOs]:[SubPLOs]],"&gt;=3",tbl_task10[[SubPLOs]:[SubPLOs]],"&lt;4")</f>
        <v>0</v>
      </c>
      <c r="FD182" s="41">
        <f>SUMIFS(tbl_task1[S155],tbl_task1[[SubPLOs]:[SubPLOs]],"&gt;=3",tbl_task1[[SubPLOs]:[SubPLOs]],"&lt;4")+SUMIFS(tbl_task2[S155],tbl_task2[[SubPLOs]:[SubPLOs]],"&gt;=3",tbl_task2[[SubPLOs]:[SubPLOs]],"&lt;4")+SUMIFS(tbl_task3[S155],tbl_task3[[SubPLOs]:[SubPLOs]],"&gt;=3",tbl_task3[[SubPLOs]:[SubPLOs]],"&lt;4")+SUMIFS(tbl_task4[S155],tbl_task4[[SubPLOs]:[SubPLOs]],"&gt;=3",tbl_task4[[SubPLOs]:[SubPLOs]],"&lt;4")+SUMIFS(tbl_task5[S155],tbl_task5[[SubPLOs]:[SubPLOs]],"&gt;=3",tbl_task5[[SubPLOs]:[SubPLOs]],"&lt;4")+SUMIFS(tbl_task6[S155],tbl_task6[[SubPLOs]:[SubPLOs]],"&gt;=3",tbl_task6[[SubPLOs]:[SubPLOs]],"&lt;4")+SUMIFS(tbl_task7[S155],tbl_task7[[SubPLOs]:[SubPLOs]],"&gt;=3",tbl_task7[[SubPLOs]:[SubPLOs]],"&lt;4")+SUMIFS(tbl_task8[S155],tbl_task8[[SubPLOs]:[SubPLOs]],"&gt;=3",tbl_task8[[SubPLOs]:[SubPLOs]],"&lt;4")+SUMIFS(tbl_task9[S155],tbl_task9[[SubPLOs]:[SubPLOs]],"&gt;=3",tbl_task9[[SubPLOs]:[SubPLOs]],"&lt;4")+SUMIFS(tbl_task10[S155],tbl_task10[[SubPLOs]:[SubPLOs]],"&gt;=3",tbl_task10[[SubPLOs]:[SubPLOs]],"&lt;4")</f>
        <v>0</v>
      </c>
      <c r="FE182" s="41">
        <f>SUMIFS(tbl_task1[S156],tbl_task1[[SubPLOs]:[SubPLOs]],"&gt;=3",tbl_task1[[SubPLOs]:[SubPLOs]],"&lt;4")+SUMIFS(tbl_task2[S156],tbl_task2[[SubPLOs]:[SubPLOs]],"&gt;=3",tbl_task2[[SubPLOs]:[SubPLOs]],"&lt;4")+SUMIFS(tbl_task3[S156],tbl_task3[[SubPLOs]:[SubPLOs]],"&gt;=3",tbl_task3[[SubPLOs]:[SubPLOs]],"&lt;4")+SUMIFS(tbl_task4[S156],tbl_task4[[SubPLOs]:[SubPLOs]],"&gt;=3",tbl_task4[[SubPLOs]:[SubPLOs]],"&lt;4")+SUMIFS(tbl_task5[S156],tbl_task5[[SubPLOs]:[SubPLOs]],"&gt;=3",tbl_task5[[SubPLOs]:[SubPLOs]],"&lt;4")+SUMIFS(tbl_task6[S156],tbl_task6[[SubPLOs]:[SubPLOs]],"&gt;=3",tbl_task6[[SubPLOs]:[SubPLOs]],"&lt;4")+SUMIFS(tbl_task7[S156],tbl_task7[[SubPLOs]:[SubPLOs]],"&gt;=3",tbl_task7[[SubPLOs]:[SubPLOs]],"&lt;4")+SUMIFS(tbl_task8[S156],tbl_task8[[SubPLOs]:[SubPLOs]],"&gt;=3",tbl_task8[[SubPLOs]:[SubPLOs]],"&lt;4")+SUMIFS(tbl_task9[S156],tbl_task9[[SubPLOs]:[SubPLOs]],"&gt;=3",tbl_task9[[SubPLOs]:[SubPLOs]],"&lt;4")+SUMIFS(tbl_task10[S156],tbl_task10[[SubPLOs]:[SubPLOs]],"&gt;=3",tbl_task10[[SubPLOs]:[SubPLOs]],"&lt;4")</f>
        <v>0</v>
      </c>
      <c r="FF182" s="41">
        <f>SUMIFS(tbl_task1[S157],tbl_task1[[SubPLOs]:[SubPLOs]],"&gt;=3",tbl_task1[[SubPLOs]:[SubPLOs]],"&lt;4")+SUMIFS(tbl_task2[S157],tbl_task2[[SubPLOs]:[SubPLOs]],"&gt;=3",tbl_task2[[SubPLOs]:[SubPLOs]],"&lt;4")+SUMIFS(tbl_task3[S157],tbl_task3[[SubPLOs]:[SubPLOs]],"&gt;=3",tbl_task3[[SubPLOs]:[SubPLOs]],"&lt;4")+SUMIFS(tbl_task4[S157],tbl_task4[[SubPLOs]:[SubPLOs]],"&gt;=3",tbl_task4[[SubPLOs]:[SubPLOs]],"&lt;4")+SUMIFS(tbl_task5[S157],tbl_task5[[SubPLOs]:[SubPLOs]],"&gt;=3",tbl_task5[[SubPLOs]:[SubPLOs]],"&lt;4")+SUMIFS(tbl_task6[S157],tbl_task6[[SubPLOs]:[SubPLOs]],"&gt;=3",tbl_task6[[SubPLOs]:[SubPLOs]],"&lt;4")+SUMIFS(tbl_task7[S157],tbl_task7[[SubPLOs]:[SubPLOs]],"&gt;=3",tbl_task7[[SubPLOs]:[SubPLOs]],"&lt;4")+SUMIFS(tbl_task8[S157],tbl_task8[[SubPLOs]:[SubPLOs]],"&gt;=3",tbl_task8[[SubPLOs]:[SubPLOs]],"&lt;4")+SUMIFS(tbl_task9[S157],tbl_task9[[SubPLOs]:[SubPLOs]],"&gt;=3",tbl_task9[[SubPLOs]:[SubPLOs]],"&lt;4")+SUMIFS(tbl_task10[S157],tbl_task10[[SubPLOs]:[SubPLOs]],"&gt;=3",tbl_task10[[SubPLOs]:[SubPLOs]],"&lt;4")</f>
        <v>0</v>
      </c>
      <c r="FG182" s="41">
        <f>SUMIFS(tbl_task1[S158],tbl_task1[[SubPLOs]:[SubPLOs]],"&gt;=3",tbl_task1[[SubPLOs]:[SubPLOs]],"&lt;4")+SUMIFS(tbl_task2[S158],tbl_task2[[SubPLOs]:[SubPLOs]],"&gt;=3",tbl_task2[[SubPLOs]:[SubPLOs]],"&lt;4")+SUMIFS(tbl_task3[S158],tbl_task3[[SubPLOs]:[SubPLOs]],"&gt;=3",tbl_task3[[SubPLOs]:[SubPLOs]],"&lt;4")+SUMIFS(tbl_task4[S158],tbl_task4[[SubPLOs]:[SubPLOs]],"&gt;=3",tbl_task4[[SubPLOs]:[SubPLOs]],"&lt;4")+SUMIFS(tbl_task5[S158],tbl_task5[[SubPLOs]:[SubPLOs]],"&gt;=3",tbl_task5[[SubPLOs]:[SubPLOs]],"&lt;4")+SUMIFS(tbl_task6[S158],tbl_task6[[SubPLOs]:[SubPLOs]],"&gt;=3",tbl_task6[[SubPLOs]:[SubPLOs]],"&lt;4")+SUMIFS(tbl_task7[S158],tbl_task7[[SubPLOs]:[SubPLOs]],"&gt;=3",tbl_task7[[SubPLOs]:[SubPLOs]],"&lt;4")+SUMIFS(tbl_task8[S158],tbl_task8[[SubPLOs]:[SubPLOs]],"&gt;=3",tbl_task8[[SubPLOs]:[SubPLOs]],"&lt;4")+SUMIFS(tbl_task9[S158],tbl_task9[[SubPLOs]:[SubPLOs]],"&gt;=3",tbl_task9[[SubPLOs]:[SubPLOs]],"&lt;4")+SUMIFS(tbl_task10[S158],tbl_task10[[SubPLOs]:[SubPLOs]],"&gt;=3",tbl_task10[[SubPLOs]:[SubPLOs]],"&lt;4")</f>
        <v>0</v>
      </c>
      <c r="FH182" s="41">
        <f>SUMIFS(tbl_task1[S159],tbl_task1[[SubPLOs]:[SubPLOs]],"&gt;=3",tbl_task1[[SubPLOs]:[SubPLOs]],"&lt;4")+SUMIFS(tbl_task2[S159],tbl_task2[[SubPLOs]:[SubPLOs]],"&gt;=3",tbl_task2[[SubPLOs]:[SubPLOs]],"&lt;4")+SUMIFS(tbl_task3[S159],tbl_task3[[SubPLOs]:[SubPLOs]],"&gt;=3",tbl_task3[[SubPLOs]:[SubPLOs]],"&lt;4")+SUMIFS(tbl_task4[S159],tbl_task4[[SubPLOs]:[SubPLOs]],"&gt;=3",tbl_task4[[SubPLOs]:[SubPLOs]],"&lt;4")+SUMIFS(tbl_task5[S159],tbl_task5[[SubPLOs]:[SubPLOs]],"&gt;=3",tbl_task5[[SubPLOs]:[SubPLOs]],"&lt;4")+SUMIFS(tbl_task6[S159],tbl_task6[[SubPLOs]:[SubPLOs]],"&gt;=3",tbl_task6[[SubPLOs]:[SubPLOs]],"&lt;4")+SUMIFS(tbl_task7[S159],tbl_task7[[SubPLOs]:[SubPLOs]],"&gt;=3",tbl_task7[[SubPLOs]:[SubPLOs]],"&lt;4")+SUMIFS(tbl_task8[S159],tbl_task8[[SubPLOs]:[SubPLOs]],"&gt;=3",tbl_task8[[SubPLOs]:[SubPLOs]],"&lt;4")+SUMIFS(tbl_task9[S159],tbl_task9[[SubPLOs]:[SubPLOs]],"&gt;=3",tbl_task9[[SubPLOs]:[SubPLOs]],"&lt;4")+SUMIFS(tbl_task10[S159],tbl_task10[[SubPLOs]:[SubPLOs]],"&gt;=3",tbl_task10[[SubPLOs]:[SubPLOs]],"&lt;4")</f>
        <v>0</v>
      </c>
      <c r="FI182" s="41">
        <f>SUMIFS(tbl_task1[S160],tbl_task1[[SubPLOs]:[SubPLOs]],"&gt;=3",tbl_task1[[SubPLOs]:[SubPLOs]],"&lt;4")+SUMIFS(tbl_task2[S160],tbl_task2[[SubPLOs]:[SubPLOs]],"&gt;=3",tbl_task2[[SubPLOs]:[SubPLOs]],"&lt;4")+SUMIFS(tbl_task3[S160],tbl_task3[[SubPLOs]:[SubPLOs]],"&gt;=3",tbl_task3[[SubPLOs]:[SubPLOs]],"&lt;4")+SUMIFS(tbl_task4[S160],tbl_task4[[SubPLOs]:[SubPLOs]],"&gt;=3",tbl_task4[[SubPLOs]:[SubPLOs]],"&lt;4")+SUMIFS(tbl_task5[S160],tbl_task5[[SubPLOs]:[SubPLOs]],"&gt;=3",tbl_task5[[SubPLOs]:[SubPLOs]],"&lt;4")+SUMIFS(tbl_task6[S160],tbl_task6[[SubPLOs]:[SubPLOs]],"&gt;=3",tbl_task6[[SubPLOs]:[SubPLOs]],"&lt;4")+SUMIFS(tbl_task7[S160],tbl_task7[[SubPLOs]:[SubPLOs]],"&gt;=3",tbl_task7[[SubPLOs]:[SubPLOs]],"&lt;4")+SUMIFS(tbl_task8[S160],tbl_task8[[SubPLOs]:[SubPLOs]],"&gt;=3",tbl_task8[[SubPLOs]:[SubPLOs]],"&lt;4")+SUMIFS(tbl_task9[S160],tbl_task9[[SubPLOs]:[SubPLOs]],"&gt;=3",tbl_task9[[SubPLOs]:[SubPLOs]],"&lt;4")+SUMIFS(tbl_task10[S160],tbl_task10[[SubPLOs]:[SubPLOs]],"&gt;=3",tbl_task10[[SubPLOs]:[SubPLOs]],"&lt;4")</f>
        <v>0</v>
      </c>
      <c r="FJ182" s="41">
        <f>SUMIFS(tbl_task1[S161],tbl_task1[[SubPLOs]:[SubPLOs]],"&gt;=3",tbl_task1[[SubPLOs]:[SubPLOs]],"&lt;4")+SUMIFS(tbl_task2[S161],tbl_task2[[SubPLOs]:[SubPLOs]],"&gt;=3",tbl_task2[[SubPLOs]:[SubPLOs]],"&lt;4")+SUMIFS(tbl_task3[S161],tbl_task3[[SubPLOs]:[SubPLOs]],"&gt;=3",tbl_task3[[SubPLOs]:[SubPLOs]],"&lt;4")+SUMIFS(tbl_task4[S161],tbl_task4[[SubPLOs]:[SubPLOs]],"&gt;=3",tbl_task4[[SubPLOs]:[SubPLOs]],"&lt;4")+SUMIFS(tbl_task5[S161],tbl_task5[[SubPLOs]:[SubPLOs]],"&gt;=3",tbl_task5[[SubPLOs]:[SubPLOs]],"&lt;4")+SUMIFS(tbl_task6[S161],tbl_task6[[SubPLOs]:[SubPLOs]],"&gt;=3",tbl_task6[[SubPLOs]:[SubPLOs]],"&lt;4")+SUMIFS(tbl_task7[S161],tbl_task7[[SubPLOs]:[SubPLOs]],"&gt;=3",tbl_task7[[SubPLOs]:[SubPLOs]],"&lt;4")+SUMIFS(tbl_task8[S161],tbl_task8[[SubPLOs]:[SubPLOs]],"&gt;=3",tbl_task8[[SubPLOs]:[SubPLOs]],"&lt;4")+SUMIFS(tbl_task9[S161],tbl_task9[[SubPLOs]:[SubPLOs]],"&gt;=3",tbl_task9[[SubPLOs]:[SubPLOs]],"&lt;4")+SUMIFS(tbl_task10[S161],tbl_task10[[SubPLOs]:[SubPLOs]],"&gt;=3",tbl_task10[[SubPLOs]:[SubPLOs]],"&lt;4")</f>
        <v>0</v>
      </c>
      <c r="FK182" s="41">
        <f>SUMIFS(tbl_task1[S162],tbl_task1[[SubPLOs]:[SubPLOs]],"&gt;=3",tbl_task1[[SubPLOs]:[SubPLOs]],"&lt;4")+SUMIFS(tbl_task2[S162],tbl_task2[[SubPLOs]:[SubPLOs]],"&gt;=3",tbl_task2[[SubPLOs]:[SubPLOs]],"&lt;4")+SUMIFS(tbl_task3[S162],tbl_task3[[SubPLOs]:[SubPLOs]],"&gt;=3",tbl_task3[[SubPLOs]:[SubPLOs]],"&lt;4")+SUMIFS(tbl_task4[S162],tbl_task4[[SubPLOs]:[SubPLOs]],"&gt;=3",tbl_task4[[SubPLOs]:[SubPLOs]],"&lt;4")+SUMIFS(tbl_task5[S162],tbl_task5[[SubPLOs]:[SubPLOs]],"&gt;=3",tbl_task5[[SubPLOs]:[SubPLOs]],"&lt;4")+SUMIFS(tbl_task6[S162],tbl_task6[[SubPLOs]:[SubPLOs]],"&gt;=3",tbl_task6[[SubPLOs]:[SubPLOs]],"&lt;4")+SUMIFS(tbl_task7[S162],tbl_task7[[SubPLOs]:[SubPLOs]],"&gt;=3",tbl_task7[[SubPLOs]:[SubPLOs]],"&lt;4")+SUMIFS(tbl_task8[S162],tbl_task8[[SubPLOs]:[SubPLOs]],"&gt;=3",tbl_task8[[SubPLOs]:[SubPLOs]],"&lt;4")+SUMIFS(tbl_task9[S162],tbl_task9[[SubPLOs]:[SubPLOs]],"&gt;=3",tbl_task9[[SubPLOs]:[SubPLOs]],"&lt;4")+SUMIFS(tbl_task10[S162],tbl_task10[[SubPLOs]:[SubPLOs]],"&gt;=3",tbl_task10[[SubPLOs]:[SubPLOs]],"&lt;4")</f>
        <v>0</v>
      </c>
      <c r="FL182" s="41">
        <f>SUMIFS(tbl_task1[S163],tbl_task1[[SubPLOs]:[SubPLOs]],"&gt;=3",tbl_task1[[SubPLOs]:[SubPLOs]],"&lt;4")+SUMIFS(tbl_task2[S163],tbl_task2[[SubPLOs]:[SubPLOs]],"&gt;=3",tbl_task2[[SubPLOs]:[SubPLOs]],"&lt;4")+SUMIFS(tbl_task3[S163],tbl_task3[[SubPLOs]:[SubPLOs]],"&gt;=3",tbl_task3[[SubPLOs]:[SubPLOs]],"&lt;4")+SUMIFS(tbl_task4[S163],tbl_task4[[SubPLOs]:[SubPLOs]],"&gt;=3",tbl_task4[[SubPLOs]:[SubPLOs]],"&lt;4")+SUMIFS(tbl_task5[S163],tbl_task5[[SubPLOs]:[SubPLOs]],"&gt;=3",tbl_task5[[SubPLOs]:[SubPLOs]],"&lt;4")+SUMIFS(tbl_task6[S163],tbl_task6[[SubPLOs]:[SubPLOs]],"&gt;=3",tbl_task6[[SubPLOs]:[SubPLOs]],"&lt;4")+SUMIFS(tbl_task7[S163],tbl_task7[[SubPLOs]:[SubPLOs]],"&gt;=3",tbl_task7[[SubPLOs]:[SubPLOs]],"&lt;4")+SUMIFS(tbl_task8[S163],tbl_task8[[SubPLOs]:[SubPLOs]],"&gt;=3",tbl_task8[[SubPLOs]:[SubPLOs]],"&lt;4")+SUMIFS(tbl_task9[S163],tbl_task9[[SubPLOs]:[SubPLOs]],"&gt;=3",tbl_task9[[SubPLOs]:[SubPLOs]],"&lt;4")+SUMIFS(tbl_task10[S163],tbl_task10[[SubPLOs]:[SubPLOs]],"&gt;=3",tbl_task10[[SubPLOs]:[SubPLOs]],"&lt;4")</f>
        <v>0</v>
      </c>
      <c r="FM182" s="41">
        <f>SUMIFS(tbl_task1[S164],tbl_task1[[SubPLOs]:[SubPLOs]],"&gt;=3",tbl_task1[[SubPLOs]:[SubPLOs]],"&lt;4")+SUMIFS(tbl_task2[S164],tbl_task2[[SubPLOs]:[SubPLOs]],"&gt;=3",tbl_task2[[SubPLOs]:[SubPLOs]],"&lt;4")+SUMIFS(tbl_task3[S164],tbl_task3[[SubPLOs]:[SubPLOs]],"&gt;=3",tbl_task3[[SubPLOs]:[SubPLOs]],"&lt;4")+SUMIFS(tbl_task4[S164],tbl_task4[[SubPLOs]:[SubPLOs]],"&gt;=3",tbl_task4[[SubPLOs]:[SubPLOs]],"&lt;4")+SUMIFS(tbl_task5[S164],tbl_task5[[SubPLOs]:[SubPLOs]],"&gt;=3",tbl_task5[[SubPLOs]:[SubPLOs]],"&lt;4")+SUMIFS(tbl_task6[S164],tbl_task6[[SubPLOs]:[SubPLOs]],"&gt;=3",tbl_task6[[SubPLOs]:[SubPLOs]],"&lt;4")+SUMIFS(tbl_task7[S164],tbl_task7[[SubPLOs]:[SubPLOs]],"&gt;=3",tbl_task7[[SubPLOs]:[SubPLOs]],"&lt;4")+SUMIFS(tbl_task8[S164],tbl_task8[[SubPLOs]:[SubPLOs]],"&gt;=3",tbl_task8[[SubPLOs]:[SubPLOs]],"&lt;4")+SUMIFS(tbl_task9[S164],tbl_task9[[SubPLOs]:[SubPLOs]],"&gt;=3",tbl_task9[[SubPLOs]:[SubPLOs]],"&lt;4")+SUMIFS(tbl_task10[S164],tbl_task10[[SubPLOs]:[SubPLOs]],"&gt;=3",tbl_task10[[SubPLOs]:[SubPLOs]],"&lt;4")</f>
        <v>0</v>
      </c>
      <c r="FN182" s="41">
        <f>SUMIFS(tbl_task1[S165],tbl_task1[[SubPLOs]:[SubPLOs]],"&gt;=3",tbl_task1[[SubPLOs]:[SubPLOs]],"&lt;4")+SUMIFS(tbl_task2[S165],tbl_task2[[SubPLOs]:[SubPLOs]],"&gt;=3",tbl_task2[[SubPLOs]:[SubPLOs]],"&lt;4")+SUMIFS(tbl_task3[S165],tbl_task3[[SubPLOs]:[SubPLOs]],"&gt;=3",tbl_task3[[SubPLOs]:[SubPLOs]],"&lt;4")+SUMIFS(tbl_task4[S165],tbl_task4[[SubPLOs]:[SubPLOs]],"&gt;=3",tbl_task4[[SubPLOs]:[SubPLOs]],"&lt;4")+SUMIFS(tbl_task5[S165],tbl_task5[[SubPLOs]:[SubPLOs]],"&gt;=3",tbl_task5[[SubPLOs]:[SubPLOs]],"&lt;4")+SUMIFS(tbl_task6[S165],tbl_task6[[SubPLOs]:[SubPLOs]],"&gt;=3",tbl_task6[[SubPLOs]:[SubPLOs]],"&lt;4")+SUMIFS(tbl_task7[S165],tbl_task7[[SubPLOs]:[SubPLOs]],"&gt;=3",tbl_task7[[SubPLOs]:[SubPLOs]],"&lt;4")+SUMIFS(tbl_task8[S165],tbl_task8[[SubPLOs]:[SubPLOs]],"&gt;=3",tbl_task8[[SubPLOs]:[SubPLOs]],"&lt;4")+SUMIFS(tbl_task9[S165],tbl_task9[[SubPLOs]:[SubPLOs]],"&gt;=3",tbl_task9[[SubPLOs]:[SubPLOs]],"&lt;4")+SUMIFS(tbl_task10[S165],tbl_task10[[SubPLOs]:[SubPLOs]],"&gt;=3",tbl_task10[[SubPLOs]:[SubPLOs]],"&lt;4")</f>
        <v>0</v>
      </c>
    </row>
    <row r="183" spans="1:170" ht="85.2" customHeight="1" x14ac:dyDescent="0.25">
      <c r="A183" s="135">
        <v>4</v>
      </c>
      <c r="B183" s="5" t="s">
        <v>437</v>
      </c>
      <c r="C183" s="86">
        <f>COUNTIFS(tbl_task1[SubPLOs],"&gt;=4",tbl_task1[SubPLOs],"&lt;5")+COUNTIFS(tbl_task2[SubPLOs],"&gt;=4",tbl_task2[SubPLOs],"&lt;5")+COUNTIFS(tbl_task3[SubPLOs],"&gt;=4",tbl_task3[SubPLOs],"&lt;5")+COUNTIFS(tbl_task4[SubPLOs],"&gt;=4",tbl_task4[SubPLOs],"&lt;5")+COUNTIFS(tbl_task5[SubPLOs],"&gt;=4",tbl_task5[SubPLOs],"&lt;5")+COUNTIFS(tbl_task6[SubPLOs],"&gt;=4",tbl_task6[SubPLOs],"&lt;5")+COUNTIFS(tbl_task7[SubPLOs],"&gt;=4",tbl_task7[SubPLOs],"&lt;5")+COUNTIFS(tbl_task8[SubPLOs],"&gt;=4",tbl_task8[SubPLOs],"&lt;5")+COUNTIFS(tbl_task9[SubPLOs],"&gt;=4",tbl_task9[SubPLOs],"&lt;5")+COUNTIFS(tbl_task10[SubPLOs],"&gt;=4",tbl_task10[SubPLOs],"&lt;5")</f>
        <v>0</v>
      </c>
      <c r="D183" s="86">
        <f>SUMIFS(tbl_task1[คะแนนเต็ม],tbl_task1[SubPLOs],"&gt;=4",tbl_task1[SubPLOs],"&lt;5")+SUMIFS(tbl_task2[คะแนนเต็ม],tbl_task2[SubPLOs],"&gt;=4",tbl_task2[SubPLOs],"&lt;5")+SUMIFS(tbl_task3[คะแนนเต็ม],tbl_task3[SubPLOs],"&gt;=4",tbl_task3[SubPLOs],"&lt;5")+SUMIFS(tbl_task4[คะแนนเต็ม],tbl_task4[SubPLOs],"&gt;=4",tbl_task4[SubPLOs],"&lt;5")+SUMIFS(tbl_task5[คะแนนเต็ม],tbl_task5[SubPLOs],"&gt;=4",tbl_task5[SubPLOs],"&lt;5")+SUMIFS(tbl_task6[คะแนนเต็ม],tbl_task6[SubPLOs],"&gt;=4",tbl_task6[SubPLOs],"&lt;5")+SUMIFS(tbl_task7[คะแนนเต็ม],tbl_task7[SubPLOs],"&gt;=4",tbl_task7[SubPLOs],"&lt;5")+SUMIFS(tbl_task8[คะแนนเต็ม],tbl_task8[SubPLOs],"&gt;=4",tbl_task8[SubPLOs],"&lt;5")+SUMIFS(tbl_task9[คะแนนเต็ม],tbl_task9[SubPLOs],"&gt;=4",tbl_task9[SubPLOs],"&lt;5")+SUMIFS(tbl_task10[คะแนนเต็ม],tbl_task10[SubPLOs],"&gt;=4",tbl_task10[SubPLOs],"&lt;5")</f>
        <v>0</v>
      </c>
      <c r="E183" s="47">
        <f>SUMIFS(tbl_task1[%],tbl_task1[SubPLOs],"&gt;=4",tbl_task1[SubPLOs],"&lt;5")+SUMIFS(tbl_task2[%],tbl_task2[SubPLOs],"&gt;=4",tbl_task2[SubPLOs],"&lt;5")+SUMIFS(tbl_task3[%],tbl_task3[SubPLOs],"&gt;=4",tbl_task3[SubPLOs],"&lt;5")+SUMIFS(tbl_task4[%],tbl_task4[SubPLOs],"&gt;=4",tbl_task4[SubPLOs],"&lt;5")+SUMIFS(tbl_task5[%],tbl_task5[SubPLOs],"&gt;=4",tbl_task5[SubPLOs],"&lt;5")+SUMIFS(tbl_task6[%],tbl_task6[SubPLOs],"&gt;=4",tbl_task6[SubPLOs],"&lt;5")+SUMIFS(tbl_task7[%],tbl_task7[SubPLOs],"&gt;=4",tbl_task7[SubPLOs],"&lt;5")+SUMIFS(tbl_task8[%],tbl_task8[SubPLOs],"&gt;=4",tbl_task8[SubPLOs],"&lt;5")+SUMIFS(tbl_task9[%],tbl_task9[SubPLOs],"&gt;=4",tbl_task9[SubPLOs],"&lt;5")+SUMIFS(tbl_task10[%],tbl_task10[SubPLOs],"&gt;=4",tbl_task10[SubPLOs],"&lt;5")</f>
        <v>0</v>
      </c>
      <c r="F183" s="41">
        <f>SUMIFS(tbl_task1[S1],tbl_task1[[SubPLOs]:[SubPLOs]],"&gt;=4",tbl_task1[[SubPLOs]:[SubPLOs]],"&lt;5")+SUMIFS(tbl_task2[S1],tbl_task2[[SubPLOs]:[SubPLOs]],"&gt;=4",tbl_task2[[SubPLOs]:[SubPLOs]],"&lt;5")+SUMIFS(tbl_task3[S1],tbl_task3[[SubPLOs]:[SubPLOs]],"&gt;=4",tbl_task3[[SubPLOs]:[SubPLOs]],"&lt;5")+SUMIFS(tbl_task4[S1],tbl_task4[[SubPLOs]:[SubPLOs]],"&gt;=4",tbl_task4[[SubPLOs]:[SubPLOs]],"&lt;5")+SUMIFS(tbl_task5[S1],tbl_task5[[SubPLOs]:[SubPLOs]],"&gt;=4",tbl_task5[[SubPLOs]:[SubPLOs]],"&lt;5")+SUMIFS(tbl_task6[S1],tbl_task6[[SubPLOs]:[SubPLOs]],"&gt;=4",tbl_task6[[SubPLOs]:[SubPLOs]],"&lt;5")+SUMIFS(tbl_task7[S1],tbl_task7[[SubPLOs]:[SubPLOs]],"&gt;=4",tbl_task7[[SubPLOs]:[SubPLOs]],"&lt;5")+SUMIFS(tbl_task8[S1],tbl_task8[[SubPLOs]:[SubPLOs]],"&gt;=4",tbl_task8[[SubPLOs]:[SubPLOs]],"&lt;5")+SUMIFS(tbl_task9[S1],tbl_task9[[SubPLOs]:[SubPLOs]],"&gt;=4",tbl_task9[[SubPLOs]:[SubPLOs]],"&lt;5")+SUMIFS(tbl_task10[S1],tbl_task10[[SubPLOs]:[SubPLOs]],"&gt;=4",tbl_task10[[SubPLOs]:[SubPLOs]],"&lt;5")</f>
        <v>0</v>
      </c>
      <c r="G183" s="41">
        <f>SUMIFS(tbl_task1[S2],tbl_task1[[SubPLOs]:[SubPLOs]],"&gt;=4",tbl_task1[[SubPLOs]:[SubPLOs]],"&lt;5")+SUMIFS(tbl_task2[S2],tbl_task2[[SubPLOs]:[SubPLOs]],"&gt;=4",tbl_task2[[SubPLOs]:[SubPLOs]],"&lt;5")+SUMIFS(tbl_task3[S2],tbl_task3[[SubPLOs]:[SubPLOs]],"&gt;=4",tbl_task3[[SubPLOs]:[SubPLOs]],"&lt;5")+SUMIFS(tbl_task4[S2],tbl_task4[[SubPLOs]:[SubPLOs]],"&gt;=4",tbl_task4[[SubPLOs]:[SubPLOs]],"&lt;5")+SUMIFS(tbl_task5[S2],tbl_task5[[SubPLOs]:[SubPLOs]],"&gt;=4",tbl_task5[[SubPLOs]:[SubPLOs]],"&lt;5")+SUMIFS(tbl_task6[S2],tbl_task6[[SubPLOs]:[SubPLOs]],"&gt;=4",tbl_task6[[SubPLOs]:[SubPLOs]],"&lt;5")+SUMIFS(tbl_task7[S2],tbl_task7[[SubPLOs]:[SubPLOs]],"&gt;=4",tbl_task7[[SubPLOs]:[SubPLOs]],"&lt;5")+SUMIFS(tbl_task8[S2],tbl_task8[[SubPLOs]:[SubPLOs]],"&gt;=4",tbl_task8[[SubPLOs]:[SubPLOs]],"&lt;5")+SUMIFS(tbl_task9[S2],tbl_task9[[SubPLOs]:[SubPLOs]],"&gt;=4",tbl_task9[[SubPLOs]:[SubPLOs]],"&lt;5")+SUMIFS(tbl_task10[S2],tbl_task10[[SubPLOs]:[SubPLOs]],"&gt;=4",tbl_task10[[SubPLOs]:[SubPLOs]],"&lt;5")</f>
        <v>0</v>
      </c>
      <c r="H183" s="41">
        <f>SUMIFS(tbl_task1[S3],tbl_task1[[SubPLOs]:[SubPLOs]],"&gt;=4",tbl_task1[[SubPLOs]:[SubPLOs]],"&lt;5")+SUMIFS(tbl_task2[S3],tbl_task2[[SubPLOs]:[SubPLOs]],"&gt;=4",tbl_task2[[SubPLOs]:[SubPLOs]],"&lt;5")+SUMIFS(tbl_task3[S3],tbl_task3[[SubPLOs]:[SubPLOs]],"&gt;=4",tbl_task3[[SubPLOs]:[SubPLOs]],"&lt;5")+SUMIFS(tbl_task4[S3],tbl_task4[[SubPLOs]:[SubPLOs]],"&gt;=4",tbl_task4[[SubPLOs]:[SubPLOs]],"&lt;5")+SUMIFS(tbl_task5[S3],tbl_task5[[SubPLOs]:[SubPLOs]],"&gt;=4",tbl_task5[[SubPLOs]:[SubPLOs]],"&lt;5")+SUMIFS(tbl_task6[S3],tbl_task6[[SubPLOs]:[SubPLOs]],"&gt;=4",tbl_task6[[SubPLOs]:[SubPLOs]],"&lt;5")+SUMIFS(tbl_task7[S3],tbl_task7[[SubPLOs]:[SubPLOs]],"&gt;=4",tbl_task7[[SubPLOs]:[SubPLOs]],"&lt;5")+SUMIFS(tbl_task8[S3],tbl_task8[[SubPLOs]:[SubPLOs]],"&gt;=4",tbl_task8[[SubPLOs]:[SubPLOs]],"&lt;5")+SUMIFS(tbl_task9[S3],tbl_task9[[SubPLOs]:[SubPLOs]],"&gt;=4",tbl_task9[[SubPLOs]:[SubPLOs]],"&lt;5")+SUMIFS(tbl_task10[S3],tbl_task10[[SubPLOs]:[SubPLOs]],"&gt;=4",tbl_task10[[SubPLOs]:[SubPLOs]],"&lt;5")</f>
        <v>0</v>
      </c>
      <c r="I183" s="41">
        <f>SUMIFS(tbl_task1[S4],tbl_task1[[SubPLOs]:[SubPLOs]],"&gt;=4",tbl_task1[[SubPLOs]:[SubPLOs]],"&lt;5")+SUMIFS(tbl_task2[S4],tbl_task2[[SubPLOs]:[SubPLOs]],"&gt;=4",tbl_task2[[SubPLOs]:[SubPLOs]],"&lt;5")+SUMIFS(tbl_task3[S4],tbl_task3[[SubPLOs]:[SubPLOs]],"&gt;=4",tbl_task3[[SubPLOs]:[SubPLOs]],"&lt;5")+SUMIFS(tbl_task4[S4],tbl_task4[[SubPLOs]:[SubPLOs]],"&gt;=4",tbl_task4[[SubPLOs]:[SubPLOs]],"&lt;5")+SUMIFS(tbl_task5[S4],tbl_task5[[SubPLOs]:[SubPLOs]],"&gt;=4",tbl_task5[[SubPLOs]:[SubPLOs]],"&lt;5")+SUMIFS(tbl_task6[S4],tbl_task6[[SubPLOs]:[SubPLOs]],"&gt;=4",tbl_task6[[SubPLOs]:[SubPLOs]],"&lt;5")+SUMIFS(tbl_task7[S4],tbl_task7[[SubPLOs]:[SubPLOs]],"&gt;=4",tbl_task7[[SubPLOs]:[SubPLOs]],"&lt;5")+SUMIFS(tbl_task8[S4],tbl_task8[[SubPLOs]:[SubPLOs]],"&gt;=4",tbl_task8[[SubPLOs]:[SubPLOs]],"&lt;5")+SUMIFS(tbl_task9[S4],tbl_task9[[SubPLOs]:[SubPLOs]],"&gt;=4",tbl_task9[[SubPLOs]:[SubPLOs]],"&lt;5")+SUMIFS(tbl_task10[S4],tbl_task10[[SubPLOs]:[SubPLOs]],"&gt;=4",tbl_task10[[SubPLOs]:[SubPLOs]],"&lt;5")</f>
        <v>0</v>
      </c>
      <c r="J183" s="41">
        <f>SUMIFS(tbl_task1[S5],tbl_task1[[SubPLOs]:[SubPLOs]],"&gt;=4",tbl_task1[[SubPLOs]:[SubPLOs]],"&lt;5")+SUMIFS(tbl_task2[S5],tbl_task2[[SubPLOs]:[SubPLOs]],"&gt;=4",tbl_task2[[SubPLOs]:[SubPLOs]],"&lt;5")+SUMIFS(tbl_task3[S5],tbl_task3[[SubPLOs]:[SubPLOs]],"&gt;=4",tbl_task3[[SubPLOs]:[SubPLOs]],"&lt;5")+SUMIFS(tbl_task4[S5],tbl_task4[[SubPLOs]:[SubPLOs]],"&gt;=4",tbl_task4[[SubPLOs]:[SubPLOs]],"&lt;5")+SUMIFS(tbl_task5[S5],tbl_task5[[SubPLOs]:[SubPLOs]],"&gt;=4",tbl_task5[[SubPLOs]:[SubPLOs]],"&lt;5")+SUMIFS(tbl_task6[S5],tbl_task6[[SubPLOs]:[SubPLOs]],"&gt;=4",tbl_task6[[SubPLOs]:[SubPLOs]],"&lt;5")+SUMIFS(tbl_task7[S5],tbl_task7[[SubPLOs]:[SubPLOs]],"&gt;=4",tbl_task7[[SubPLOs]:[SubPLOs]],"&lt;5")+SUMIFS(tbl_task8[S5],tbl_task8[[SubPLOs]:[SubPLOs]],"&gt;=4",tbl_task8[[SubPLOs]:[SubPLOs]],"&lt;5")+SUMIFS(tbl_task9[S5],tbl_task9[[SubPLOs]:[SubPLOs]],"&gt;=4",tbl_task9[[SubPLOs]:[SubPLOs]],"&lt;5")+SUMIFS(tbl_task10[S5],tbl_task10[[SubPLOs]:[SubPLOs]],"&gt;=4",tbl_task10[[SubPLOs]:[SubPLOs]],"&lt;5")</f>
        <v>0</v>
      </c>
      <c r="K183" s="41">
        <f>SUMIFS(tbl_task1[S6],tbl_task1[[SubPLOs]:[SubPLOs]],"&gt;=4",tbl_task1[[SubPLOs]:[SubPLOs]],"&lt;5")+SUMIFS(tbl_task2[S6],tbl_task2[[SubPLOs]:[SubPLOs]],"&gt;=4",tbl_task2[[SubPLOs]:[SubPLOs]],"&lt;5")+SUMIFS(tbl_task3[S6],tbl_task3[[SubPLOs]:[SubPLOs]],"&gt;=4",tbl_task3[[SubPLOs]:[SubPLOs]],"&lt;5")+SUMIFS(tbl_task4[S6],tbl_task4[[SubPLOs]:[SubPLOs]],"&gt;=4",tbl_task4[[SubPLOs]:[SubPLOs]],"&lt;5")+SUMIFS(tbl_task5[S6],tbl_task5[[SubPLOs]:[SubPLOs]],"&gt;=4",tbl_task5[[SubPLOs]:[SubPLOs]],"&lt;5")+SUMIFS(tbl_task6[S6],tbl_task6[[SubPLOs]:[SubPLOs]],"&gt;=4",tbl_task6[[SubPLOs]:[SubPLOs]],"&lt;5")+SUMIFS(tbl_task7[S6],tbl_task7[[SubPLOs]:[SubPLOs]],"&gt;=4",tbl_task7[[SubPLOs]:[SubPLOs]],"&lt;5")+SUMIFS(tbl_task8[S6],tbl_task8[[SubPLOs]:[SubPLOs]],"&gt;=4",tbl_task8[[SubPLOs]:[SubPLOs]],"&lt;5")+SUMIFS(tbl_task9[S6],tbl_task9[[SubPLOs]:[SubPLOs]],"&gt;=4",tbl_task9[[SubPLOs]:[SubPLOs]],"&lt;5")+SUMIFS(tbl_task10[S6],tbl_task10[[SubPLOs]:[SubPLOs]],"&gt;=4",tbl_task10[[SubPLOs]:[SubPLOs]],"&lt;5")</f>
        <v>0</v>
      </c>
      <c r="L183" s="41">
        <f>SUMIFS(tbl_task1[S7],tbl_task1[[SubPLOs]:[SubPLOs]],"&gt;=4",tbl_task1[[SubPLOs]:[SubPLOs]],"&lt;5")+SUMIFS(tbl_task2[S7],tbl_task2[[SubPLOs]:[SubPLOs]],"&gt;=4",tbl_task2[[SubPLOs]:[SubPLOs]],"&lt;5")+SUMIFS(tbl_task3[S7],tbl_task3[[SubPLOs]:[SubPLOs]],"&gt;=4",tbl_task3[[SubPLOs]:[SubPLOs]],"&lt;5")+SUMIFS(tbl_task4[S7],tbl_task4[[SubPLOs]:[SubPLOs]],"&gt;=4",tbl_task4[[SubPLOs]:[SubPLOs]],"&lt;5")+SUMIFS(tbl_task5[S7],tbl_task5[[SubPLOs]:[SubPLOs]],"&gt;=4",tbl_task5[[SubPLOs]:[SubPLOs]],"&lt;5")+SUMIFS(tbl_task6[S7],tbl_task6[[SubPLOs]:[SubPLOs]],"&gt;=4",tbl_task6[[SubPLOs]:[SubPLOs]],"&lt;5")+SUMIFS(tbl_task7[S7],tbl_task7[[SubPLOs]:[SubPLOs]],"&gt;=4",tbl_task7[[SubPLOs]:[SubPLOs]],"&lt;5")+SUMIFS(tbl_task8[S7],tbl_task8[[SubPLOs]:[SubPLOs]],"&gt;=4",tbl_task8[[SubPLOs]:[SubPLOs]],"&lt;5")+SUMIFS(tbl_task9[S7],tbl_task9[[SubPLOs]:[SubPLOs]],"&gt;=4",tbl_task9[[SubPLOs]:[SubPLOs]],"&lt;5")+SUMIFS(tbl_task10[S7],tbl_task10[[SubPLOs]:[SubPLOs]],"&gt;=4",tbl_task10[[SubPLOs]:[SubPLOs]],"&lt;5")</f>
        <v>0</v>
      </c>
      <c r="M183" s="41">
        <f>SUMIFS(tbl_task1[S8],tbl_task1[[SubPLOs]:[SubPLOs]],"&gt;=4",tbl_task1[[SubPLOs]:[SubPLOs]],"&lt;5")+SUMIFS(tbl_task2[S8],tbl_task2[[SubPLOs]:[SubPLOs]],"&gt;=4",tbl_task2[[SubPLOs]:[SubPLOs]],"&lt;5")+SUMIFS(tbl_task3[S8],tbl_task3[[SubPLOs]:[SubPLOs]],"&gt;=4",tbl_task3[[SubPLOs]:[SubPLOs]],"&lt;5")+SUMIFS(tbl_task4[S8],tbl_task4[[SubPLOs]:[SubPLOs]],"&gt;=4",tbl_task4[[SubPLOs]:[SubPLOs]],"&lt;5")+SUMIFS(tbl_task5[S8],tbl_task5[[SubPLOs]:[SubPLOs]],"&gt;=4",tbl_task5[[SubPLOs]:[SubPLOs]],"&lt;5")+SUMIFS(tbl_task6[S8],tbl_task6[[SubPLOs]:[SubPLOs]],"&gt;=4",tbl_task6[[SubPLOs]:[SubPLOs]],"&lt;5")+SUMIFS(tbl_task7[S8],tbl_task7[[SubPLOs]:[SubPLOs]],"&gt;=4",tbl_task7[[SubPLOs]:[SubPLOs]],"&lt;5")+SUMIFS(tbl_task8[S8],tbl_task8[[SubPLOs]:[SubPLOs]],"&gt;=4",tbl_task8[[SubPLOs]:[SubPLOs]],"&lt;5")+SUMIFS(tbl_task9[S8],tbl_task9[[SubPLOs]:[SubPLOs]],"&gt;=4",tbl_task9[[SubPLOs]:[SubPLOs]],"&lt;5")+SUMIFS(tbl_task10[S8],tbl_task10[[SubPLOs]:[SubPLOs]],"&gt;=4",tbl_task10[[SubPLOs]:[SubPLOs]],"&lt;5")</f>
        <v>0</v>
      </c>
      <c r="N183" s="41">
        <f>SUMIFS(tbl_task1[S9],tbl_task1[[SubPLOs]:[SubPLOs]],"&gt;=4",tbl_task1[[SubPLOs]:[SubPLOs]],"&lt;5")+SUMIFS(tbl_task2[S9],tbl_task2[[SubPLOs]:[SubPLOs]],"&gt;=4",tbl_task2[[SubPLOs]:[SubPLOs]],"&lt;5")+SUMIFS(tbl_task3[S9],tbl_task3[[SubPLOs]:[SubPLOs]],"&gt;=4",tbl_task3[[SubPLOs]:[SubPLOs]],"&lt;5")+SUMIFS(tbl_task4[S9],tbl_task4[[SubPLOs]:[SubPLOs]],"&gt;=4",tbl_task4[[SubPLOs]:[SubPLOs]],"&lt;5")+SUMIFS(tbl_task5[S9],tbl_task5[[SubPLOs]:[SubPLOs]],"&gt;=4",tbl_task5[[SubPLOs]:[SubPLOs]],"&lt;5")+SUMIFS(tbl_task6[S9],tbl_task6[[SubPLOs]:[SubPLOs]],"&gt;=4",tbl_task6[[SubPLOs]:[SubPLOs]],"&lt;5")+SUMIFS(tbl_task7[S9],tbl_task7[[SubPLOs]:[SubPLOs]],"&gt;=4",tbl_task7[[SubPLOs]:[SubPLOs]],"&lt;5")+SUMIFS(tbl_task8[S9],tbl_task8[[SubPLOs]:[SubPLOs]],"&gt;=4",tbl_task8[[SubPLOs]:[SubPLOs]],"&lt;5")+SUMIFS(tbl_task9[S9],tbl_task9[[SubPLOs]:[SubPLOs]],"&gt;=4",tbl_task9[[SubPLOs]:[SubPLOs]],"&lt;5")+SUMIFS(tbl_task10[S9],tbl_task10[[SubPLOs]:[SubPLOs]],"&gt;=4",tbl_task10[[SubPLOs]:[SubPLOs]],"&lt;5")</f>
        <v>0</v>
      </c>
      <c r="O183" s="41">
        <f>SUMIFS(tbl_task1[S10],tbl_task1[[SubPLOs]:[SubPLOs]],"&gt;=4",tbl_task1[[SubPLOs]:[SubPLOs]],"&lt;5")+SUMIFS(tbl_task2[S10],tbl_task2[[SubPLOs]:[SubPLOs]],"&gt;=4",tbl_task2[[SubPLOs]:[SubPLOs]],"&lt;5")+SUMIFS(tbl_task3[S10],tbl_task3[[SubPLOs]:[SubPLOs]],"&gt;=4",tbl_task3[[SubPLOs]:[SubPLOs]],"&lt;5")+SUMIFS(tbl_task4[S10],tbl_task4[[SubPLOs]:[SubPLOs]],"&gt;=4",tbl_task4[[SubPLOs]:[SubPLOs]],"&lt;5")+SUMIFS(tbl_task5[S10],tbl_task5[[SubPLOs]:[SubPLOs]],"&gt;=4",tbl_task5[[SubPLOs]:[SubPLOs]],"&lt;5")+SUMIFS(tbl_task6[S10],tbl_task6[[SubPLOs]:[SubPLOs]],"&gt;=4",tbl_task6[[SubPLOs]:[SubPLOs]],"&lt;5")+SUMIFS(tbl_task7[S10],tbl_task7[[SubPLOs]:[SubPLOs]],"&gt;=4",tbl_task7[[SubPLOs]:[SubPLOs]],"&lt;5")+SUMIFS(tbl_task8[S10],tbl_task8[[SubPLOs]:[SubPLOs]],"&gt;=4",tbl_task8[[SubPLOs]:[SubPLOs]],"&lt;5")+SUMIFS(tbl_task9[S10],tbl_task9[[SubPLOs]:[SubPLOs]],"&gt;=4",tbl_task9[[SubPLOs]:[SubPLOs]],"&lt;5")+SUMIFS(tbl_task10[S10],tbl_task10[[SubPLOs]:[SubPLOs]],"&gt;=4",tbl_task10[[SubPLOs]:[SubPLOs]],"&lt;5")</f>
        <v>0</v>
      </c>
      <c r="P183" s="41">
        <f>SUMIFS(tbl_task1[S11],tbl_task1[[SubPLOs]:[SubPLOs]],"&gt;=4",tbl_task1[[SubPLOs]:[SubPLOs]],"&lt;5")+SUMIFS(tbl_task2[S11],tbl_task2[[SubPLOs]:[SubPLOs]],"&gt;=4",tbl_task2[[SubPLOs]:[SubPLOs]],"&lt;5")+SUMIFS(tbl_task3[S11],tbl_task3[[SubPLOs]:[SubPLOs]],"&gt;=4",tbl_task3[[SubPLOs]:[SubPLOs]],"&lt;5")+SUMIFS(tbl_task4[S11],tbl_task4[[SubPLOs]:[SubPLOs]],"&gt;=4",tbl_task4[[SubPLOs]:[SubPLOs]],"&lt;5")+SUMIFS(tbl_task5[S11],tbl_task5[[SubPLOs]:[SubPLOs]],"&gt;=4",tbl_task5[[SubPLOs]:[SubPLOs]],"&lt;5")+SUMIFS(tbl_task6[S11],tbl_task6[[SubPLOs]:[SubPLOs]],"&gt;=4",tbl_task6[[SubPLOs]:[SubPLOs]],"&lt;5")+SUMIFS(tbl_task7[S11],tbl_task7[[SubPLOs]:[SubPLOs]],"&gt;=4",tbl_task7[[SubPLOs]:[SubPLOs]],"&lt;5")+SUMIFS(tbl_task8[S11],tbl_task8[[SubPLOs]:[SubPLOs]],"&gt;=4",tbl_task8[[SubPLOs]:[SubPLOs]],"&lt;5")+SUMIFS(tbl_task9[S11],tbl_task9[[SubPLOs]:[SubPLOs]],"&gt;=4",tbl_task9[[SubPLOs]:[SubPLOs]],"&lt;5")+SUMIFS(tbl_task10[S11],tbl_task10[[SubPLOs]:[SubPLOs]],"&gt;=4",tbl_task10[[SubPLOs]:[SubPLOs]],"&lt;5")</f>
        <v>0</v>
      </c>
      <c r="Q183" s="41">
        <f>SUMIFS(tbl_task1[S12],tbl_task1[[SubPLOs]:[SubPLOs]],"&gt;=4",tbl_task1[[SubPLOs]:[SubPLOs]],"&lt;5")+SUMIFS(tbl_task2[S12],tbl_task2[[SubPLOs]:[SubPLOs]],"&gt;=4",tbl_task2[[SubPLOs]:[SubPLOs]],"&lt;5")+SUMIFS(tbl_task3[S12],tbl_task3[[SubPLOs]:[SubPLOs]],"&gt;=4",tbl_task3[[SubPLOs]:[SubPLOs]],"&lt;5")+SUMIFS(tbl_task4[S12],tbl_task4[[SubPLOs]:[SubPLOs]],"&gt;=4",tbl_task4[[SubPLOs]:[SubPLOs]],"&lt;5")+SUMIFS(tbl_task5[S12],tbl_task5[[SubPLOs]:[SubPLOs]],"&gt;=4",tbl_task5[[SubPLOs]:[SubPLOs]],"&lt;5")+SUMIFS(tbl_task6[S12],tbl_task6[[SubPLOs]:[SubPLOs]],"&gt;=4",tbl_task6[[SubPLOs]:[SubPLOs]],"&lt;5")+SUMIFS(tbl_task7[S12],tbl_task7[[SubPLOs]:[SubPLOs]],"&gt;=4",tbl_task7[[SubPLOs]:[SubPLOs]],"&lt;5")+SUMIFS(tbl_task8[S12],tbl_task8[[SubPLOs]:[SubPLOs]],"&gt;=4",tbl_task8[[SubPLOs]:[SubPLOs]],"&lt;5")+SUMIFS(tbl_task9[S12],tbl_task9[[SubPLOs]:[SubPLOs]],"&gt;=4",tbl_task9[[SubPLOs]:[SubPLOs]],"&lt;5")+SUMIFS(tbl_task10[S12],tbl_task10[[SubPLOs]:[SubPLOs]],"&gt;=4",tbl_task10[[SubPLOs]:[SubPLOs]],"&lt;5")</f>
        <v>0</v>
      </c>
      <c r="R183" s="41">
        <f>SUMIFS(tbl_task1[S13],tbl_task1[[SubPLOs]:[SubPLOs]],"&gt;=4",tbl_task1[[SubPLOs]:[SubPLOs]],"&lt;5")+SUMIFS(tbl_task2[S13],tbl_task2[[SubPLOs]:[SubPLOs]],"&gt;=4",tbl_task2[[SubPLOs]:[SubPLOs]],"&lt;5")+SUMIFS(tbl_task3[S13],tbl_task3[[SubPLOs]:[SubPLOs]],"&gt;=4",tbl_task3[[SubPLOs]:[SubPLOs]],"&lt;5")+SUMIFS(tbl_task4[S13],tbl_task4[[SubPLOs]:[SubPLOs]],"&gt;=4",tbl_task4[[SubPLOs]:[SubPLOs]],"&lt;5")+SUMIFS(tbl_task5[S13],tbl_task5[[SubPLOs]:[SubPLOs]],"&gt;=4",tbl_task5[[SubPLOs]:[SubPLOs]],"&lt;5")+SUMIFS(tbl_task6[S13],tbl_task6[[SubPLOs]:[SubPLOs]],"&gt;=4",tbl_task6[[SubPLOs]:[SubPLOs]],"&lt;5")+SUMIFS(tbl_task7[S13],tbl_task7[[SubPLOs]:[SubPLOs]],"&gt;=4",tbl_task7[[SubPLOs]:[SubPLOs]],"&lt;5")+SUMIFS(tbl_task8[S13],tbl_task8[[SubPLOs]:[SubPLOs]],"&gt;=4",tbl_task8[[SubPLOs]:[SubPLOs]],"&lt;5")+SUMIFS(tbl_task9[S13],tbl_task9[[SubPLOs]:[SubPLOs]],"&gt;=4",tbl_task9[[SubPLOs]:[SubPLOs]],"&lt;5")+SUMIFS(tbl_task10[S13],tbl_task10[[SubPLOs]:[SubPLOs]],"&gt;=4",tbl_task10[[SubPLOs]:[SubPLOs]],"&lt;5")</f>
        <v>0</v>
      </c>
      <c r="S183" s="41">
        <f>SUMIFS(tbl_task1[S14],tbl_task1[[SubPLOs]:[SubPLOs]],"&gt;=4",tbl_task1[[SubPLOs]:[SubPLOs]],"&lt;5")+SUMIFS(tbl_task2[S14],tbl_task2[[SubPLOs]:[SubPLOs]],"&gt;=4",tbl_task2[[SubPLOs]:[SubPLOs]],"&lt;5")+SUMIFS(tbl_task3[S14],tbl_task3[[SubPLOs]:[SubPLOs]],"&gt;=4",tbl_task3[[SubPLOs]:[SubPLOs]],"&lt;5")+SUMIFS(tbl_task4[S14],tbl_task4[[SubPLOs]:[SubPLOs]],"&gt;=4",tbl_task4[[SubPLOs]:[SubPLOs]],"&lt;5")+SUMIFS(tbl_task5[S14],tbl_task5[[SubPLOs]:[SubPLOs]],"&gt;=4",tbl_task5[[SubPLOs]:[SubPLOs]],"&lt;5")+SUMIFS(tbl_task6[S14],tbl_task6[[SubPLOs]:[SubPLOs]],"&gt;=4",tbl_task6[[SubPLOs]:[SubPLOs]],"&lt;5")+SUMIFS(tbl_task7[S14],tbl_task7[[SubPLOs]:[SubPLOs]],"&gt;=4",tbl_task7[[SubPLOs]:[SubPLOs]],"&lt;5")+SUMIFS(tbl_task8[S14],tbl_task8[[SubPLOs]:[SubPLOs]],"&gt;=4",tbl_task8[[SubPLOs]:[SubPLOs]],"&lt;5")+SUMIFS(tbl_task9[S14],tbl_task9[[SubPLOs]:[SubPLOs]],"&gt;=4",tbl_task9[[SubPLOs]:[SubPLOs]],"&lt;5")+SUMIFS(tbl_task10[S14],tbl_task10[[SubPLOs]:[SubPLOs]],"&gt;=4",tbl_task10[[SubPLOs]:[SubPLOs]],"&lt;5")</f>
        <v>0</v>
      </c>
      <c r="T183" s="41">
        <f>SUMIFS(tbl_task1[S15],tbl_task1[[SubPLOs]:[SubPLOs]],"&gt;=4",tbl_task1[[SubPLOs]:[SubPLOs]],"&lt;5")+SUMIFS(tbl_task2[S15],tbl_task2[[SubPLOs]:[SubPLOs]],"&gt;=4",tbl_task2[[SubPLOs]:[SubPLOs]],"&lt;5")+SUMIFS(tbl_task3[S15],tbl_task3[[SubPLOs]:[SubPLOs]],"&gt;=4",tbl_task3[[SubPLOs]:[SubPLOs]],"&lt;5")+SUMIFS(tbl_task4[S15],tbl_task4[[SubPLOs]:[SubPLOs]],"&gt;=4",tbl_task4[[SubPLOs]:[SubPLOs]],"&lt;5")+SUMIFS(tbl_task5[S15],tbl_task5[[SubPLOs]:[SubPLOs]],"&gt;=4",tbl_task5[[SubPLOs]:[SubPLOs]],"&lt;5")+SUMIFS(tbl_task6[S15],tbl_task6[[SubPLOs]:[SubPLOs]],"&gt;=4",tbl_task6[[SubPLOs]:[SubPLOs]],"&lt;5")+SUMIFS(tbl_task7[S15],tbl_task7[[SubPLOs]:[SubPLOs]],"&gt;=4",tbl_task7[[SubPLOs]:[SubPLOs]],"&lt;5")+SUMIFS(tbl_task8[S15],tbl_task8[[SubPLOs]:[SubPLOs]],"&gt;=4",tbl_task8[[SubPLOs]:[SubPLOs]],"&lt;5")+SUMIFS(tbl_task9[S15],tbl_task9[[SubPLOs]:[SubPLOs]],"&gt;=4",tbl_task9[[SubPLOs]:[SubPLOs]],"&lt;5")+SUMIFS(tbl_task10[S15],tbl_task10[[SubPLOs]:[SubPLOs]],"&gt;=4",tbl_task10[[SubPLOs]:[SubPLOs]],"&lt;5")</f>
        <v>0</v>
      </c>
      <c r="U183" s="41">
        <f>SUMIFS(tbl_task1[S16],tbl_task1[[SubPLOs]:[SubPLOs]],"&gt;=4",tbl_task1[[SubPLOs]:[SubPLOs]],"&lt;5")+SUMIFS(tbl_task2[S16],tbl_task2[[SubPLOs]:[SubPLOs]],"&gt;=4",tbl_task2[[SubPLOs]:[SubPLOs]],"&lt;5")+SUMIFS(tbl_task3[S16],tbl_task3[[SubPLOs]:[SubPLOs]],"&gt;=4",tbl_task3[[SubPLOs]:[SubPLOs]],"&lt;5")+SUMIFS(tbl_task4[S16],tbl_task4[[SubPLOs]:[SubPLOs]],"&gt;=4",tbl_task4[[SubPLOs]:[SubPLOs]],"&lt;5")+SUMIFS(tbl_task5[S16],tbl_task5[[SubPLOs]:[SubPLOs]],"&gt;=4",tbl_task5[[SubPLOs]:[SubPLOs]],"&lt;5")+SUMIFS(tbl_task6[S16],tbl_task6[[SubPLOs]:[SubPLOs]],"&gt;=4",tbl_task6[[SubPLOs]:[SubPLOs]],"&lt;5")+SUMIFS(tbl_task7[S16],tbl_task7[[SubPLOs]:[SubPLOs]],"&gt;=4",tbl_task7[[SubPLOs]:[SubPLOs]],"&lt;5")+SUMIFS(tbl_task8[S16],tbl_task8[[SubPLOs]:[SubPLOs]],"&gt;=4",tbl_task8[[SubPLOs]:[SubPLOs]],"&lt;5")+SUMIFS(tbl_task9[S16],tbl_task9[[SubPLOs]:[SubPLOs]],"&gt;=4",tbl_task9[[SubPLOs]:[SubPLOs]],"&lt;5")+SUMIFS(tbl_task10[S16],tbl_task10[[SubPLOs]:[SubPLOs]],"&gt;=4",tbl_task10[[SubPLOs]:[SubPLOs]],"&lt;5")</f>
        <v>0</v>
      </c>
      <c r="V183" s="41">
        <f>SUMIFS(tbl_task1[S17],tbl_task1[[SubPLOs]:[SubPLOs]],"&gt;=4",tbl_task1[[SubPLOs]:[SubPLOs]],"&lt;5")+SUMIFS(tbl_task2[S17],tbl_task2[[SubPLOs]:[SubPLOs]],"&gt;=4",tbl_task2[[SubPLOs]:[SubPLOs]],"&lt;5")+SUMIFS(tbl_task3[S17],tbl_task3[[SubPLOs]:[SubPLOs]],"&gt;=4",tbl_task3[[SubPLOs]:[SubPLOs]],"&lt;5")+SUMIFS(tbl_task4[S17],tbl_task4[[SubPLOs]:[SubPLOs]],"&gt;=4",tbl_task4[[SubPLOs]:[SubPLOs]],"&lt;5")+SUMIFS(tbl_task5[S17],tbl_task5[[SubPLOs]:[SubPLOs]],"&gt;=4",tbl_task5[[SubPLOs]:[SubPLOs]],"&lt;5")+SUMIFS(tbl_task6[S17],tbl_task6[[SubPLOs]:[SubPLOs]],"&gt;=4",tbl_task6[[SubPLOs]:[SubPLOs]],"&lt;5")+SUMIFS(tbl_task7[S17],tbl_task7[[SubPLOs]:[SubPLOs]],"&gt;=4",tbl_task7[[SubPLOs]:[SubPLOs]],"&lt;5")+SUMIFS(tbl_task8[S17],tbl_task8[[SubPLOs]:[SubPLOs]],"&gt;=4",tbl_task8[[SubPLOs]:[SubPLOs]],"&lt;5")+SUMIFS(tbl_task9[S17],tbl_task9[[SubPLOs]:[SubPLOs]],"&gt;=4",tbl_task9[[SubPLOs]:[SubPLOs]],"&lt;5")+SUMIFS(tbl_task10[S17],tbl_task10[[SubPLOs]:[SubPLOs]],"&gt;=4",tbl_task10[[SubPLOs]:[SubPLOs]],"&lt;5")</f>
        <v>0</v>
      </c>
      <c r="W183" s="41">
        <f>SUMIFS(tbl_task1[S18],tbl_task1[[SubPLOs]:[SubPLOs]],"&gt;=4",tbl_task1[[SubPLOs]:[SubPLOs]],"&lt;5")+SUMIFS(tbl_task2[S18],tbl_task2[[SubPLOs]:[SubPLOs]],"&gt;=4",tbl_task2[[SubPLOs]:[SubPLOs]],"&lt;5")+SUMIFS(tbl_task3[S18],tbl_task3[[SubPLOs]:[SubPLOs]],"&gt;=4",tbl_task3[[SubPLOs]:[SubPLOs]],"&lt;5")+SUMIFS(tbl_task4[S18],tbl_task4[[SubPLOs]:[SubPLOs]],"&gt;=4",tbl_task4[[SubPLOs]:[SubPLOs]],"&lt;5")+SUMIFS(tbl_task5[S18],tbl_task5[[SubPLOs]:[SubPLOs]],"&gt;=4",tbl_task5[[SubPLOs]:[SubPLOs]],"&lt;5")+SUMIFS(tbl_task6[S18],tbl_task6[[SubPLOs]:[SubPLOs]],"&gt;=4",tbl_task6[[SubPLOs]:[SubPLOs]],"&lt;5")+SUMIFS(tbl_task7[S18],tbl_task7[[SubPLOs]:[SubPLOs]],"&gt;=4",tbl_task7[[SubPLOs]:[SubPLOs]],"&lt;5")+SUMIFS(tbl_task8[S18],tbl_task8[[SubPLOs]:[SubPLOs]],"&gt;=4",tbl_task8[[SubPLOs]:[SubPLOs]],"&lt;5")+SUMIFS(tbl_task9[S18],tbl_task9[[SubPLOs]:[SubPLOs]],"&gt;=4",tbl_task9[[SubPLOs]:[SubPLOs]],"&lt;5")+SUMIFS(tbl_task10[S18],tbl_task10[[SubPLOs]:[SubPLOs]],"&gt;=4",tbl_task10[[SubPLOs]:[SubPLOs]],"&lt;5")</f>
        <v>0</v>
      </c>
      <c r="X183" s="41">
        <f>SUMIFS(tbl_task1[S19],tbl_task1[[SubPLOs]:[SubPLOs]],"&gt;=4",tbl_task1[[SubPLOs]:[SubPLOs]],"&lt;5")+SUMIFS(tbl_task2[S19],tbl_task2[[SubPLOs]:[SubPLOs]],"&gt;=4",tbl_task2[[SubPLOs]:[SubPLOs]],"&lt;5")+SUMIFS(tbl_task3[S19],tbl_task3[[SubPLOs]:[SubPLOs]],"&gt;=4",tbl_task3[[SubPLOs]:[SubPLOs]],"&lt;5")+SUMIFS(tbl_task4[S19],tbl_task4[[SubPLOs]:[SubPLOs]],"&gt;=4",tbl_task4[[SubPLOs]:[SubPLOs]],"&lt;5")+SUMIFS(tbl_task5[S19],tbl_task5[[SubPLOs]:[SubPLOs]],"&gt;=4",tbl_task5[[SubPLOs]:[SubPLOs]],"&lt;5")+SUMIFS(tbl_task6[S19],tbl_task6[[SubPLOs]:[SubPLOs]],"&gt;=4",tbl_task6[[SubPLOs]:[SubPLOs]],"&lt;5")+SUMIFS(tbl_task7[S19],tbl_task7[[SubPLOs]:[SubPLOs]],"&gt;=4",tbl_task7[[SubPLOs]:[SubPLOs]],"&lt;5")+SUMIFS(tbl_task8[S19],tbl_task8[[SubPLOs]:[SubPLOs]],"&gt;=4",tbl_task8[[SubPLOs]:[SubPLOs]],"&lt;5")+SUMIFS(tbl_task9[S19],tbl_task9[[SubPLOs]:[SubPLOs]],"&gt;=4",tbl_task9[[SubPLOs]:[SubPLOs]],"&lt;5")+SUMIFS(tbl_task10[S19],tbl_task10[[SubPLOs]:[SubPLOs]],"&gt;=4",tbl_task10[[SubPLOs]:[SubPLOs]],"&lt;5")</f>
        <v>0</v>
      </c>
      <c r="Y183" s="41">
        <f>SUMIFS(tbl_task1[S20],tbl_task1[[SubPLOs]:[SubPLOs]],"&gt;=4",tbl_task1[[SubPLOs]:[SubPLOs]],"&lt;5")+SUMIFS(tbl_task2[S20],tbl_task2[[SubPLOs]:[SubPLOs]],"&gt;=4",tbl_task2[[SubPLOs]:[SubPLOs]],"&lt;5")+SUMIFS(tbl_task3[S20],tbl_task3[[SubPLOs]:[SubPLOs]],"&gt;=4",tbl_task3[[SubPLOs]:[SubPLOs]],"&lt;5")+SUMIFS(tbl_task4[S20],tbl_task4[[SubPLOs]:[SubPLOs]],"&gt;=4",tbl_task4[[SubPLOs]:[SubPLOs]],"&lt;5")+SUMIFS(tbl_task5[S20],tbl_task5[[SubPLOs]:[SubPLOs]],"&gt;=4",tbl_task5[[SubPLOs]:[SubPLOs]],"&lt;5")+SUMIFS(tbl_task6[S20],tbl_task6[[SubPLOs]:[SubPLOs]],"&gt;=4",tbl_task6[[SubPLOs]:[SubPLOs]],"&lt;5")+SUMIFS(tbl_task7[S20],tbl_task7[[SubPLOs]:[SubPLOs]],"&gt;=4",tbl_task7[[SubPLOs]:[SubPLOs]],"&lt;5")+SUMIFS(tbl_task8[S20],tbl_task8[[SubPLOs]:[SubPLOs]],"&gt;=4",tbl_task8[[SubPLOs]:[SubPLOs]],"&lt;5")+SUMIFS(tbl_task9[S20],tbl_task9[[SubPLOs]:[SubPLOs]],"&gt;=4",tbl_task9[[SubPLOs]:[SubPLOs]],"&lt;5")+SUMIFS(tbl_task10[S20],tbl_task10[[SubPLOs]:[SubPLOs]],"&gt;=4",tbl_task10[[SubPLOs]:[SubPLOs]],"&lt;5")</f>
        <v>0</v>
      </c>
      <c r="Z183" s="41">
        <f>SUMIFS(tbl_task1[S21],tbl_task1[[SubPLOs]:[SubPLOs]],"&gt;=4",tbl_task1[[SubPLOs]:[SubPLOs]],"&lt;5")+SUMIFS(tbl_task2[S21],tbl_task2[[SubPLOs]:[SubPLOs]],"&gt;=4",tbl_task2[[SubPLOs]:[SubPLOs]],"&lt;5")+SUMIFS(tbl_task3[S21],tbl_task3[[SubPLOs]:[SubPLOs]],"&gt;=4",tbl_task3[[SubPLOs]:[SubPLOs]],"&lt;5")+SUMIFS(tbl_task4[S21],tbl_task4[[SubPLOs]:[SubPLOs]],"&gt;=4",tbl_task4[[SubPLOs]:[SubPLOs]],"&lt;5")+SUMIFS(tbl_task5[S21],tbl_task5[[SubPLOs]:[SubPLOs]],"&gt;=4",tbl_task5[[SubPLOs]:[SubPLOs]],"&lt;5")+SUMIFS(tbl_task6[S21],tbl_task6[[SubPLOs]:[SubPLOs]],"&gt;=4",tbl_task6[[SubPLOs]:[SubPLOs]],"&lt;5")+SUMIFS(tbl_task7[S21],tbl_task7[[SubPLOs]:[SubPLOs]],"&gt;=4",tbl_task7[[SubPLOs]:[SubPLOs]],"&lt;5")+SUMIFS(tbl_task8[S21],tbl_task8[[SubPLOs]:[SubPLOs]],"&gt;=4",tbl_task8[[SubPLOs]:[SubPLOs]],"&lt;5")+SUMIFS(tbl_task9[S21],tbl_task9[[SubPLOs]:[SubPLOs]],"&gt;=4",tbl_task9[[SubPLOs]:[SubPLOs]],"&lt;5")+SUMIFS(tbl_task10[S21],tbl_task10[[SubPLOs]:[SubPLOs]],"&gt;=4",tbl_task10[[SubPLOs]:[SubPLOs]],"&lt;5")</f>
        <v>0</v>
      </c>
      <c r="AA183" s="41">
        <f>SUMIFS(tbl_task1[S22],tbl_task1[[SubPLOs]:[SubPLOs]],"&gt;=4",tbl_task1[[SubPLOs]:[SubPLOs]],"&lt;5")+SUMIFS(tbl_task2[S22],tbl_task2[[SubPLOs]:[SubPLOs]],"&gt;=4",tbl_task2[[SubPLOs]:[SubPLOs]],"&lt;5")+SUMIFS(tbl_task3[S22],tbl_task3[[SubPLOs]:[SubPLOs]],"&gt;=4",tbl_task3[[SubPLOs]:[SubPLOs]],"&lt;5")+SUMIFS(tbl_task4[S22],tbl_task4[[SubPLOs]:[SubPLOs]],"&gt;=4",tbl_task4[[SubPLOs]:[SubPLOs]],"&lt;5")+SUMIFS(tbl_task5[S22],tbl_task5[[SubPLOs]:[SubPLOs]],"&gt;=4",tbl_task5[[SubPLOs]:[SubPLOs]],"&lt;5")+SUMIFS(tbl_task6[S22],tbl_task6[[SubPLOs]:[SubPLOs]],"&gt;=4",tbl_task6[[SubPLOs]:[SubPLOs]],"&lt;5")+SUMIFS(tbl_task7[S22],tbl_task7[[SubPLOs]:[SubPLOs]],"&gt;=4",tbl_task7[[SubPLOs]:[SubPLOs]],"&lt;5")+SUMIFS(tbl_task8[S22],tbl_task8[[SubPLOs]:[SubPLOs]],"&gt;=4",tbl_task8[[SubPLOs]:[SubPLOs]],"&lt;5")+SUMIFS(tbl_task9[S22],tbl_task9[[SubPLOs]:[SubPLOs]],"&gt;=4",tbl_task9[[SubPLOs]:[SubPLOs]],"&lt;5")+SUMIFS(tbl_task10[S22],tbl_task10[[SubPLOs]:[SubPLOs]],"&gt;=4",tbl_task10[[SubPLOs]:[SubPLOs]],"&lt;5")</f>
        <v>0</v>
      </c>
      <c r="AB183" s="41">
        <f>SUMIFS(tbl_task1[S23],tbl_task1[[SubPLOs]:[SubPLOs]],"&gt;=4",tbl_task1[[SubPLOs]:[SubPLOs]],"&lt;5")+SUMIFS(tbl_task2[S23],tbl_task2[[SubPLOs]:[SubPLOs]],"&gt;=4",tbl_task2[[SubPLOs]:[SubPLOs]],"&lt;5")+SUMIFS(tbl_task3[S23],tbl_task3[[SubPLOs]:[SubPLOs]],"&gt;=4",tbl_task3[[SubPLOs]:[SubPLOs]],"&lt;5")+SUMIFS(tbl_task4[S23],tbl_task4[[SubPLOs]:[SubPLOs]],"&gt;=4",tbl_task4[[SubPLOs]:[SubPLOs]],"&lt;5")+SUMIFS(tbl_task5[S23],tbl_task5[[SubPLOs]:[SubPLOs]],"&gt;=4",tbl_task5[[SubPLOs]:[SubPLOs]],"&lt;5")+SUMIFS(tbl_task6[S23],tbl_task6[[SubPLOs]:[SubPLOs]],"&gt;=4",tbl_task6[[SubPLOs]:[SubPLOs]],"&lt;5")+SUMIFS(tbl_task7[S23],tbl_task7[[SubPLOs]:[SubPLOs]],"&gt;=4",tbl_task7[[SubPLOs]:[SubPLOs]],"&lt;5")+SUMIFS(tbl_task8[S23],tbl_task8[[SubPLOs]:[SubPLOs]],"&gt;=4",tbl_task8[[SubPLOs]:[SubPLOs]],"&lt;5")+SUMIFS(tbl_task9[S23],tbl_task9[[SubPLOs]:[SubPLOs]],"&gt;=4",tbl_task9[[SubPLOs]:[SubPLOs]],"&lt;5")+SUMIFS(tbl_task10[S23],tbl_task10[[SubPLOs]:[SubPLOs]],"&gt;=4",tbl_task10[[SubPLOs]:[SubPLOs]],"&lt;5")</f>
        <v>0</v>
      </c>
      <c r="AC183" s="41">
        <f>SUMIFS(tbl_task1[S24],tbl_task1[[SubPLOs]:[SubPLOs]],"&gt;=4",tbl_task1[[SubPLOs]:[SubPLOs]],"&lt;5")+SUMIFS(tbl_task2[S24],tbl_task2[[SubPLOs]:[SubPLOs]],"&gt;=4",tbl_task2[[SubPLOs]:[SubPLOs]],"&lt;5")+SUMIFS(tbl_task3[S24],tbl_task3[[SubPLOs]:[SubPLOs]],"&gt;=4",tbl_task3[[SubPLOs]:[SubPLOs]],"&lt;5")+SUMIFS(tbl_task4[S24],tbl_task4[[SubPLOs]:[SubPLOs]],"&gt;=4",tbl_task4[[SubPLOs]:[SubPLOs]],"&lt;5")+SUMIFS(tbl_task5[S24],tbl_task5[[SubPLOs]:[SubPLOs]],"&gt;=4",tbl_task5[[SubPLOs]:[SubPLOs]],"&lt;5")+SUMIFS(tbl_task6[S24],tbl_task6[[SubPLOs]:[SubPLOs]],"&gt;=4",tbl_task6[[SubPLOs]:[SubPLOs]],"&lt;5")+SUMIFS(tbl_task7[S24],tbl_task7[[SubPLOs]:[SubPLOs]],"&gt;=4",tbl_task7[[SubPLOs]:[SubPLOs]],"&lt;5")+SUMIFS(tbl_task8[S24],tbl_task8[[SubPLOs]:[SubPLOs]],"&gt;=4",tbl_task8[[SubPLOs]:[SubPLOs]],"&lt;5")+SUMIFS(tbl_task9[S24],tbl_task9[[SubPLOs]:[SubPLOs]],"&gt;=4",tbl_task9[[SubPLOs]:[SubPLOs]],"&lt;5")+SUMIFS(tbl_task10[S24],tbl_task10[[SubPLOs]:[SubPLOs]],"&gt;=4",tbl_task10[[SubPLOs]:[SubPLOs]],"&lt;5")</f>
        <v>0</v>
      </c>
      <c r="AD183" s="41">
        <f>SUMIFS(tbl_task1[S25],tbl_task1[[SubPLOs]:[SubPLOs]],"&gt;=4",tbl_task1[[SubPLOs]:[SubPLOs]],"&lt;5")+SUMIFS(tbl_task2[S25],tbl_task2[[SubPLOs]:[SubPLOs]],"&gt;=4",tbl_task2[[SubPLOs]:[SubPLOs]],"&lt;5")+SUMIFS(tbl_task3[S25],tbl_task3[[SubPLOs]:[SubPLOs]],"&gt;=4",tbl_task3[[SubPLOs]:[SubPLOs]],"&lt;5")+SUMIFS(tbl_task4[S25],tbl_task4[[SubPLOs]:[SubPLOs]],"&gt;=4",tbl_task4[[SubPLOs]:[SubPLOs]],"&lt;5")+SUMIFS(tbl_task5[S25],tbl_task5[[SubPLOs]:[SubPLOs]],"&gt;=4",tbl_task5[[SubPLOs]:[SubPLOs]],"&lt;5")+SUMIFS(tbl_task6[S25],tbl_task6[[SubPLOs]:[SubPLOs]],"&gt;=4",tbl_task6[[SubPLOs]:[SubPLOs]],"&lt;5")+SUMIFS(tbl_task7[S25],tbl_task7[[SubPLOs]:[SubPLOs]],"&gt;=4",tbl_task7[[SubPLOs]:[SubPLOs]],"&lt;5")+SUMIFS(tbl_task8[S25],tbl_task8[[SubPLOs]:[SubPLOs]],"&gt;=4",tbl_task8[[SubPLOs]:[SubPLOs]],"&lt;5")+SUMIFS(tbl_task9[S25],tbl_task9[[SubPLOs]:[SubPLOs]],"&gt;=4",tbl_task9[[SubPLOs]:[SubPLOs]],"&lt;5")+SUMIFS(tbl_task10[S25],tbl_task10[[SubPLOs]:[SubPLOs]],"&gt;=4",tbl_task10[[SubPLOs]:[SubPLOs]],"&lt;5")</f>
        <v>0</v>
      </c>
      <c r="AE183" s="41">
        <f>SUMIFS(tbl_task1[S26],tbl_task1[[SubPLOs]:[SubPLOs]],"&gt;=4",tbl_task1[[SubPLOs]:[SubPLOs]],"&lt;5")+SUMIFS(tbl_task2[S26],tbl_task2[[SubPLOs]:[SubPLOs]],"&gt;=4",tbl_task2[[SubPLOs]:[SubPLOs]],"&lt;5")+SUMIFS(tbl_task3[S26],tbl_task3[[SubPLOs]:[SubPLOs]],"&gt;=4",tbl_task3[[SubPLOs]:[SubPLOs]],"&lt;5")+SUMIFS(tbl_task4[S26],tbl_task4[[SubPLOs]:[SubPLOs]],"&gt;=4",tbl_task4[[SubPLOs]:[SubPLOs]],"&lt;5")+SUMIFS(tbl_task5[S26],tbl_task5[[SubPLOs]:[SubPLOs]],"&gt;=4",tbl_task5[[SubPLOs]:[SubPLOs]],"&lt;5")+SUMIFS(tbl_task6[S26],tbl_task6[[SubPLOs]:[SubPLOs]],"&gt;=4",tbl_task6[[SubPLOs]:[SubPLOs]],"&lt;5")+SUMIFS(tbl_task7[S26],tbl_task7[[SubPLOs]:[SubPLOs]],"&gt;=4",tbl_task7[[SubPLOs]:[SubPLOs]],"&lt;5")+SUMIFS(tbl_task8[S26],tbl_task8[[SubPLOs]:[SubPLOs]],"&gt;=4",tbl_task8[[SubPLOs]:[SubPLOs]],"&lt;5")+SUMIFS(tbl_task9[S26],tbl_task9[[SubPLOs]:[SubPLOs]],"&gt;=4",tbl_task9[[SubPLOs]:[SubPLOs]],"&lt;5")+SUMIFS(tbl_task10[S26],tbl_task10[[SubPLOs]:[SubPLOs]],"&gt;=4",tbl_task10[[SubPLOs]:[SubPLOs]],"&lt;5")</f>
        <v>0</v>
      </c>
      <c r="AF183" s="41">
        <f>SUMIFS(tbl_task1[S27],tbl_task1[[SubPLOs]:[SubPLOs]],"&gt;=4",tbl_task1[[SubPLOs]:[SubPLOs]],"&lt;5")+SUMIFS(tbl_task2[S27],tbl_task2[[SubPLOs]:[SubPLOs]],"&gt;=4",tbl_task2[[SubPLOs]:[SubPLOs]],"&lt;5")+SUMIFS(tbl_task3[S27],tbl_task3[[SubPLOs]:[SubPLOs]],"&gt;=4",tbl_task3[[SubPLOs]:[SubPLOs]],"&lt;5")+SUMIFS(tbl_task4[S27],tbl_task4[[SubPLOs]:[SubPLOs]],"&gt;=4",tbl_task4[[SubPLOs]:[SubPLOs]],"&lt;5")+SUMIFS(tbl_task5[S27],tbl_task5[[SubPLOs]:[SubPLOs]],"&gt;=4",tbl_task5[[SubPLOs]:[SubPLOs]],"&lt;5")+SUMIFS(tbl_task6[S27],tbl_task6[[SubPLOs]:[SubPLOs]],"&gt;=4",tbl_task6[[SubPLOs]:[SubPLOs]],"&lt;5")+SUMIFS(tbl_task7[S27],tbl_task7[[SubPLOs]:[SubPLOs]],"&gt;=4",tbl_task7[[SubPLOs]:[SubPLOs]],"&lt;5")+SUMIFS(tbl_task8[S27],tbl_task8[[SubPLOs]:[SubPLOs]],"&gt;=4",tbl_task8[[SubPLOs]:[SubPLOs]],"&lt;5")+SUMIFS(tbl_task9[S27],tbl_task9[[SubPLOs]:[SubPLOs]],"&gt;=4",tbl_task9[[SubPLOs]:[SubPLOs]],"&lt;5")+SUMIFS(tbl_task10[S27],tbl_task10[[SubPLOs]:[SubPLOs]],"&gt;=4",tbl_task10[[SubPLOs]:[SubPLOs]],"&lt;5")</f>
        <v>0</v>
      </c>
      <c r="AG183" s="41">
        <f>SUMIFS(tbl_task1[S28],tbl_task1[[SubPLOs]:[SubPLOs]],"&gt;=4",tbl_task1[[SubPLOs]:[SubPLOs]],"&lt;5")+SUMIFS(tbl_task2[S28],tbl_task2[[SubPLOs]:[SubPLOs]],"&gt;=4",tbl_task2[[SubPLOs]:[SubPLOs]],"&lt;5")+SUMIFS(tbl_task3[S28],tbl_task3[[SubPLOs]:[SubPLOs]],"&gt;=4",tbl_task3[[SubPLOs]:[SubPLOs]],"&lt;5")+SUMIFS(tbl_task4[S28],tbl_task4[[SubPLOs]:[SubPLOs]],"&gt;=4",tbl_task4[[SubPLOs]:[SubPLOs]],"&lt;5")+SUMIFS(tbl_task5[S28],tbl_task5[[SubPLOs]:[SubPLOs]],"&gt;=4",tbl_task5[[SubPLOs]:[SubPLOs]],"&lt;5")+SUMIFS(tbl_task6[S28],tbl_task6[[SubPLOs]:[SubPLOs]],"&gt;=4",tbl_task6[[SubPLOs]:[SubPLOs]],"&lt;5")+SUMIFS(tbl_task7[S28],tbl_task7[[SubPLOs]:[SubPLOs]],"&gt;=4",tbl_task7[[SubPLOs]:[SubPLOs]],"&lt;5")+SUMIFS(tbl_task8[S28],tbl_task8[[SubPLOs]:[SubPLOs]],"&gt;=4",tbl_task8[[SubPLOs]:[SubPLOs]],"&lt;5")+SUMIFS(tbl_task9[S28],tbl_task9[[SubPLOs]:[SubPLOs]],"&gt;=4",tbl_task9[[SubPLOs]:[SubPLOs]],"&lt;5")+SUMIFS(tbl_task10[S28],tbl_task10[[SubPLOs]:[SubPLOs]],"&gt;=4",tbl_task10[[SubPLOs]:[SubPLOs]],"&lt;5")</f>
        <v>0</v>
      </c>
      <c r="AH183" s="41">
        <f>SUMIFS(tbl_task1[S29],tbl_task1[[SubPLOs]:[SubPLOs]],"&gt;=4",tbl_task1[[SubPLOs]:[SubPLOs]],"&lt;5")+SUMIFS(tbl_task2[S29],tbl_task2[[SubPLOs]:[SubPLOs]],"&gt;=4",tbl_task2[[SubPLOs]:[SubPLOs]],"&lt;5")+SUMIFS(tbl_task3[S29],tbl_task3[[SubPLOs]:[SubPLOs]],"&gt;=4",tbl_task3[[SubPLOs]:[SubPLOs]],"&lt;5")+SUMIFS(tbl_task4[S29],tbl_task4[[SubPLOs]:[SubPLOs]],"&gt;=4",tbl_task4[[SubPLOs]:[SubPLOs]],"&lt;5")+SUMIFS(tbl_task5[S29],tbl_task5[[SubPLOs]:[SubPLOs]],"&gt;=4",tbl_task5[[SubPLOs]:[SubPLOs]],"&lt;5")+SUMIFS(tbl_task6[S29],tbl_task6[[SubPLOs]:[SubPLOs]],"&gt;=4",tbl_task6[[SubPLOs]:[SubPLOs]],"&lt;5")+SUMIFS(tbl_task7[S29],tbl_task7[[SubPLOs]:[SubPLOs]],"&gt;=4",tbl_task7[[SubPLOs]:[SubPLOs]],"&lt;5")+SUMIFS(tbl_task8[S29],tbl_task8[[SubPLOs]:[SubPLOs]],"&gt;=4",tbl_task8[[SubPLOs]:[SubPLOs]],"&lt;5")+SUMIFS(tbl_task9[S29],tbl_task9[[SubPLOs]:[SubPLOs]],"&gt;=4",tbl_task9[[SubPLOs]:[SubPLOs]],"&lt;5")+SUMIFS(tbl_task10[S29],tbl_task10[[SubPLOs]:[SubPLOs]],"&gt;=4",tbl_task10[[SubPLOs]:[SubPLOs]],"&lt;5")</f>
        <v>0</v>
      </c>
      <c r="AI183" s="41">
        <f>SUMIFS(tbl_task1[S30],tbl_task1[[SubPLOs]:[SubPLOs]],"&gt;=4",tbl_task1[[SubPLOs]:[SubPLOs]],"&lt;5")+SUMIFS(tbl_task2[S30],tbl_task2[[SubPLOs]:[SubPLOs]],"&gt;=4",tbl_task2[[SubPLOs]:[SubPLOs]],"&lt;5")+SUMIFS(tbl_task3[S30],tbl_task3[[SubPLOs]:[SubPLOs]],"&gt;=4",tbl_task3[[SubPLOs]:[SubPLOs]],"&lt;5")+SUMIFS(tbl_task4[S30],tbl_task4[[SubPLOs]:[SubPLOs]],"&gt;=4",tbl_task4[[SubPLOs]:[SubPLOs]],"&lt;5")+SUMIFS(tbl_task5[S30],tbl_task5[[SubPLOs]:[SubPLOs]],"&gt;=4",tbl_task5[[SubPLOs]:[SubPLOs]],"&lt;5")+SUMIFS(tbl_task6[S30],tbl_task6[[SubPLOs]:[SubPLOs]],"&gt;=4",tbl_task6[[SubPLOs]:[SubPLOs]],"&lt;5")+SUMIFS(tbl_task7[S30],tbl_task7[[SubPLOs]:[SubPLOs]],"&gt;=4",tbl_task7[[SubPLOs]:[SubPLOs]],"&lt;5")+SUMIFS(tbl_task8[S30],tbl_task8[[SubPLOs]:[SubPLOs]],"&gt;=4",tbl_task8[[SubPLOs]:[SubPLOs]],"&lt;5")+SUMIFS(tbl_task9[S30],tbl_task9[[SubPLOs]:[SubPLOs]],"&gt;=4",tbl_task9[[SubPLOs]:[SubPLOs]],"&lt;5")+SUMIFS(tbl_task10[S30],tbl_task10[[SubPLOs]:[SubPLOs]],"&gt;=4",tbl_task10[[SubPLOs]:[SubPLOs]],"&lt;5")</f>
        <v>0</v>
      </c>
      <c r="AJ183" s="41">
        <f>SUMIFS(tbl_task1[S31],tbl_task1[[SubPLOs]:[SubPLOs]],"&gt;=4",tbl_task1[[SubPLOs]:[SubPLOs]],"&lt;5")+SUMIFS(tbl_task2[S31],tbl_task2[[SubPLOs]:[SubPLOs]],"&gt;=4",tbl_task2[[SubPLOs]:[SubPLOs]],"&lt;5")+SUMIFS(tbl_task3[S31],tbl_task3[[SubPLOs]:[SubPLOs]],"&gt;=4",tbl_task3[[SubPLOs]:[SubPLOs]],"&lt;5")+SUMIFS(tbl_task4[S31],tbl_task4[[SubPLOs]:[SubPLOs]],"&gt;=4",tbl_task4[[SubPLOs]:[SubPLOs]],"&lt;5")+SUMIFS(tbl_task5[S31],tbl_task5[[SubPLOs]:[SubPLOs]],"&gt;=4",tbl_task5[[SubPLOs]:[SubPLOs]],"&lt;5")+SUMIFS(tbl_task6[S31],tbl_task6[[SubPLOs]:[SubPLOs]],"&gt;=4",tbl_task6[[SubPLOs]:[SubPLOs]],"&lt;5")+SUMIFS(tbl_task7[S31],tbl_task7[[SubPLOs]:[SubPLOs]],"&gt;=4",tbl_task7[[SubPLOs]:[SubPLOs]],"&lt;5")+SUMIFS(tbl_task8[S31],tbl_task8[[SubPLOs]:[SubPLOs]],"&gt;=4",tbl_task8[[SubPLOs]:[SubPLOs]],"&lt;5")+SUMIFS(tbl_task9[S31],tbl_task9[[SubPLOs]:[SubPLOs]],"&gt;=4",tbl_task9[[SubPLOs]:[SubPLOs]],"&lt;5")+SUMIFS(tbl_task10[S31],tbl_task10[[SubPLOs]:[SubPLOs]],"&gt;=4",tbl_task10[[SubPLOs]:[SubPLOs]],"&lt;5")</f>
        <v>0</v>
      </c>
      <c r="AK183" s="41">
        <f>SUMIFS(tbl_task1[S32],tbl_task1[[SubPLOs]:[SubPLOs]],"&gt;=4",tbl_task1[[SubPLOs]:[SubPLOs]],"&lt;5")+SUMIFS(tbl_task2[S32],tbl_task2[[SubPLOs]:[SubPLOs]],"&gt;=4",tbl_task2[[SubPLOs]:[SubPLOs]],"&lt;5")+SUMIFS(tbl_task3[S32],tbl_task3[[SubPLOs]:[SubPLOs]],"&gt;=4",tbl_task3[[SubPLOs]:[SubPLOs]],"&lt;5")+SUMIFS(tbl_task4[S32],tbl_task4[[SubPLOs]:[SubPLOs]],"&gt;=4",tbl_task4[[SubPLOs]:[SubPLOs]],"&lt;5")+SUMIFS(tbl_task5[S32],tbl_task5[[SubPLOs]:[SubPLOs]],"&gt;=4",tbl_task5[[SubPLOs]:[SubPLOs]],"&lt;5")+SUMIFS(tbl_task6[S32],tbl_task6[[SubPLOs]:[SubPLOs]],"&gt;=4",tbl_task6[[SubPLOs]:[SubPLOs]],"&lt;5")+SUMIFS(tbl_task7[S32],tbl_task7[[SubPLOs]:[SubPLOs]],"&gt;=4",tbl_task7[[SubPLOs]:[SubPLOs]],"&lt;5")+SUMIFS(tbl_task8[S32],tbl_task8[[SubPLOs]:[SubPLOs]],"&gt;=4",tbl_task8[[SubPLOs]:[SubPLOs]],"&lt;5")+SUMIFS(tbl_task9[S32],tbl_task9[[SubPLOs]:[SubPLOs]],"&gt;=4",tbl_task9[[SubPLOs]:[SubPLOs]],"&lt;5")+SUMIFS(tbl_task10[S32],tbl_task10[[SubPLOs]:[SubPLOs]],"&gt;=4",tbl_task10[[SubPLOs]:[SubPLOs]],"&lt;5")</f>
        <v>0</v>
      </c>
      <c r="AL183" s="41">
        <f>SUMIFS(tbl_task1[S33],tbl_task1[[SubPLOs]:[SubPLOs]],"&gt;=4",tbl_task1[[SubPLOs]:[SubPLOs]],"&lt;5")+SUMIFS(tbl_task2[S33],tbl_task2[[SubPLOs]:[SubPLOs]],"&gt;=4",tbl_task2[[SubPLOs]:[SubPLOs]],"&lt;5")+SUMIFS(tbl_task3[S33],tbl_task3[[SubPLOs]:[SubPLOs]],"&gt;=4",tbl_task3[[SubPLOs]:[SubPLOs]],"&lt;5")+SUMIFS(tbl_task4[S33],tbl_task4[[SubPLOs]:[SubPLOs]],"&gt;=4",tbl_task4[[SubPLOs]:[SubPLOs]],"&lt;5")+SUMIFS(tbl_task5[S33],tbl_task5[[SubPLOs]:[SubPLOs]],"&gt;=4",tbl_task5[[SubPLOs]:[SubPLOs]],"&lt;5")+SUMIFS(tbl_task6[S33],tbl_task6[[SubPLOs]:[SubPLOs]],"&gt;=4",tbl_task6[[SubPLOs]:[SubPLOs]],"&lt;5")+SUMIFS(tbl_task7[S33],tbl_task7[[SubPLOs]:[SubPLOs]],"&gt;=4",tbl_task7[[SubPLOs]:[SubPLOs]],"&lt;5")+SUMIFS(tbl_task8[S33],tbl_task8[[SubPLOs]:[SubPLOs]],"&gt;=4",tbl_task8[[SubPLOs]:[SubPLOs]],"&lt;5")+SUMIFS(tbl_task9[S33],tbl_task9[[SubPLOs]:[SubPLOs]],"&gt;=4",tbl_task9[[SubPLOs]:[SubPLOs]],"&lt;5")+SUMIFS(tbl_task10[S33],tbl_task10[[SubPLOs]:[SubPLOs]],"&gt;=4",tbl_task10[[SubPLOs]:[SubPLOs]],"&lt;5")</f>
        <v>0</v>
      </c>
      <c r="AM183" s="41">
        <f>SUMIFS(tbl_task1[S34],tbl_task1[[SubPLOs]:[SubPLOs]],"&gt;=4",tbl_task1[[SubPLOs]:[SubPLOs]],"&lt;5")+SUMIFS(tbl_task2[S34],tbl_task2[[SubPLOs]:[SubPLOs]],"&gt;=4",tbl_task2[[SubPLOs]:[SubPLOs]],"&lt;5")+SUMIFS(tbl_task3[S34],tbl_task3[[SubPLOs]:[SubPLOs]],"&gt;=4",tbl_task3[[SubPLOs]:[SubPLOs]],"&lt;5")+SUMIFS(tbl_task4[S34],tbl_task4[[SubPLOs]:[SubPLOs]],"&gt;=4",tbl_task4[[SubPLOs]:[SubPLOs]],"&lt;5")+SUMIFS(tbl_task5[S34],tbl_task5[[SubPLOs]:[SubPLOs]],"&gt;=4",tbl_task5[[SubPLOs]:[SubPLOs]],"&lt;5")+SUMIFS(tbl_task6[S34],tbl_task6[[SubPLOs]:[SubPLOs]],"&gt;=4",tbl_task6[[SubPLOs]:[SubPLOs]],"&lt;5")+SUMIFS(tbl_task7[S34],tbl_task7[[SubPLOs]:[SubPLOs]],"&gt;=4",tbl_task7[[SubPLOs]:[SubPLOs]],"&lt;5")+SUMIFS(tbl_task8[S34],tbl_task8[[SubPLOs]:[SubPLOs]],"&gt;=4",tbl_task8[[SubPLOs]:[SubPLOs]],"&lt;5")+SUMIFS(tbl_task9[S34],tbl_task9[[SubPLOs]:[SubPLOs]],"&gt;=4",tbl_task9[[SubPLOs]:[SubPLOs]],"&lt;5")+SUMIFS(tbl_task10[S34],tbl_task10[[SubPLOs]:[SubPLOs]],"&gt;=4",tbl_task10[[SubPLOs]:[SubPLOs]],"&lt;5")</f>
        <v>0</v>
      </c>
      <c r="AN183" s="41">
        <f>SUMIFS(tbl_task1[S35],tbl_task1[[SubPLOs]:[SubPLOs]],"&gt;=4",tbl_task1[[SubPLOs]:[SubPLOs]],"&lt;5")+SUMIFS(tbl_task2[S35],tbl_task2[[SubPLOs]:[SubPLOs]],"&gt;=4",tbl_task2[[SubPLOs]:[SubPLOs]],"&lt;5")+SUMIFS(tbl_task3[S35],tbl_task3[[SubPLOs]:[SubPLOs]],"&gt;=4",tbl_task3[[SubPLOs]:[SubPLOs]],"&lt;5")+SUMIFS(tbl_task4[S35],tbl_task4[[SubPLOs]:[SubPLOs]],"&gt;=4",tbl_task4[[SubPLOs]:[SubPLOs]],"&lt;5")+SUMIFS(tbl_task5[S35],tbl_task5[[SubPLOs]:[SubPLOs]],"&gt;=4",tbl_task5[[SubPLOs]:[SubPLOs]],"&lt;5")+SUMIFS(tbl_task6[S35],tbl_task6[[SubPLOs]:[SubPLOs]],"&gt;=4",tbl_task6[[SubPLOs]:[SubPLOs]],"&lt;5")+SUMIFS(tbl_task7[S35],tbl_task7[[SubPLOs]:[SubPLOs]],"&gt;=4",tbl_task7[[SubPLOs]:[SubPLOs]],"&lt;5")+SUMIFS(tbl_task8[S35],tbl_task8[[SubPLOs]:[SubPLOs]],"&gt;=4",tbl_task8[[SubPLOs]:[SubPLOs]],"&lt;5")+SUMIFS(tbl_task9[S35],tbl_task9[[SubPLOs]:[SubPLOs]],"&gt;=4",tbl_task9[[SubPLOs]:[SubPLOs]],"&lt;5")+SUMIFS(tbl_task10[S35],tbl_task10[[SubPLOs]:[SubPLOs]],"&gt;=4",tbl_task10[[SubPLOs]:[SubPLOs]],"&lt;5")</f>
        <v>0</v>
      </c>
      <c r="AO183" s="41">
        <f>SUMIFS(tbl_task1[S36],tbl_task1[[SubPLOs]:[SubPLOs]],"&gt;=4",tbl_task1[[SubPLOs]:[SubPLOs]],"&lt;5")+SUMIFS(tbl_task2[S36],tbl_task2[[SubPLOs]:[SubPLOs]],"&gt;=4",tbl_task2[[SubPLOs]:[SubPLOs]],"&lt;5")+SUMIFS(tbl_task3[S36],tbl_task3[[SubPLOs]:[SubPLOs]],"&gt;=4",tbl_task3[[SubPLOs]:[SubPLOs]],"&lt;5")+SUMIFS(tbl_task4[S36],tbl_task4[[SubPLOs]:[SubPLOs]],"&gt;=4",tbl_task4[[SubPLOs]:[SubPLOs]],"&lt;5")+SUMIFS(tbl_task5[S36],tbl_task5[[SubPLOs]:[SubPLOs]],"&gt;=4",tbl_task5[[SubPLOs]:[SubPLOs]],"&lt;5")+SUMIFS(tbl_task6[S36],tbl_task6[[SubPLOs]:[SubPLOs]],"&gt;=4",tbl_task6[[SubPLOs]:[SubPLOs]],"&lt;5")+SUMIFS(tbl_task7[S36],tbl_task7[[SubPLOs]:[SubPLOs]],"&gt;=4",tbl_task7[[SubPLOs]:[SubPLOs]],"&lt;5")+SUMIFS(tbl_task8[S36],tbl_task8[[SubPLOs]:[SubPLOs]],"&gt;=4",tbl_task8[[SubPLOs]:[SubPLOs]],"&lt;5")+SUMIFS(tbl_task9[S36],tbl_task9[[SubPLOs]:[SubPLOs]],"&gt;=4",tbl_task9[[SubPLOs]:[SubPLOs]],"&lt;5")+SUMIFS(tbl_task10[S36],tbl_task10[[SubPLOs]:[SubPLOs]],"&gt;=4",tbl_task10[[SubPLOs]:[SubPLOs]],"&lt;5")</f>
        <v>0</v>
      </c>
      <c r="AP183" s="41">
        <f>SUMIFS(tbl_task1[S37],tbl_task1[[SubPLOs]:[SubPLOs]],"&gt;=4",tbl_task1[[SubPLOs]:[SubPLOs]],"&lt;5")+SUMIFS(tbl_task2[S37],tbl_task2[[SubPLOs]:[SubPLOs]],"&gt;=4",tbl_task2[[SubPLOs]:[SubPLOs]],"&lt;5")+SUMIFS(tbl_task3[S37],tbl_task3[[SubPLOs]:[SubPLOs]],"&gt;=4",tbl_task3[[SubPLOs]:[SubPLOs]],"&lt;5")+SUMIFS(tbl_task4[S37],tbl_task4[[SubPLOs]:[SubPLOs]],"&gt;=4",tbl_task4[[SubPLOs]:[SubPLOs]],"&lt;5")+SUMIFS(tbl_task5[S37],tbl_task5[[SubPLOs]:[SubPLOs]],"&gt;=4",tbl_task5[[SubPLOs]:[SubPLOs]],"&lt;5")+SUMIFS(tbl_task6[S37],tbl_task6[[SubPLOs]:[SubPLOs]],"&gt;=4",tbl_task6[[SubPLOs]:[SubPLOs]],"&lt;5")+SUMIFS(tbl_task7[S37],tbl_task7[[SubPLOs]:[SubPLOs]],"&gt;=4",tbl_task7[[SubPLOs]:[SubPLOs]],"&lt;5")+SUMIFS(tbl_task8[S37],tbl_task8[[SubPLOs]:[SubPLOs]],"&gt;=4",tbl_task8[[SubPLOs]:[SubPLOs]],"&lt;5")+SUMIFS(tbl_task9[S37],tbl_task9[[SubPLOs]:[SubPLOs]],"&gt;=4",tbl_task9[[SubPLOs]:[SubPLOs]],"&lt;5")+SUMIFS(tbl_task10[S37],tbl_task10[[SubPLOs]:[SubPLOs]],"&gt;=4",tbl_task10[[SubPLOs]:[SubPLOs]],"&lt;5")</f>
        <v>0</v>
      </c>
      <c r="AQ183" s="41">
        <f>SUMIFS(tbl_task1[S38],tbl_task1[[SubPLOs]:[SubPLOs]],"&gt;=4",tbl_task1[[SubPLOs]:[SubPLOs]],"&lt;5")+SUMIFS(tbl_task2[S38],tbl_task2[[SubPLOs]:[SubPLOs]],"&gt;=4",tbl_task2[[SubPLOs]:[SubPLOs]],"&lt;5")+SUMIFS(tbl_task3[S38],tbl_task3[[SubPLOs]:[SubPLOs]],"&gt;=4",tbl_task3[[SubPLOs]:[SubPLOs]],"&lt;5")+SUMIFS(tbl_task4[S38],tbl_task4[[SubPLOs]:[SubPLOs]],"&gt;=4",tbl_task4[[SubPLOs]:[SubPLOs]],"&lt;5")+SUMIFS(tbl_task5[S38],tbl_task5[[SubPLOs]:[SubPLOs]],"&gt;=4",tbl_task5[[SubPLOs]:[SubPLOs]],"&lt;5")+SUMIFS(tbl_task6[S38],tbl_task6[[SubPLOs]:[SubPLOs]],"&gt;=4",tbl_task6[[SubPLOs]:[SubPLOs]],"&lt;5")+SUMIFS(tbl_task7[S38],tbl_task7[[SubPLOs]:[SubPLOs]],"&gt;=4",tbl_task7[[SubPLOs]:[SubPLOs]],"&lt;5")+SUMIFS(tbl_task8[S38],tbl_task8[[SubPLOs]:[SubPLOs]],"&gt;=4",tbl_task8[[SubPLOs]:[SubPLOs]],"&lt;5")+SUMIFS(tbl_task9[S38],tbl_task9[[SubPLOs]:[SubPLOs]],"&gt;=4",tbl_task9[[SubPLOs]:[SubPLOs]],"&lt;5")+SUMIFS(tbl_task10[S38],tbl_task10[[SubPLOs]:[SubPLOs]],"&gt;=4",tbl_task10[[SubPLOs]:[SubPLOs]],"&lt;5")</f>
        <v>0</v>
      </c>
      <c r="AR183" s="41">
        <f>SUMIFS(tbl_task1[S39],tbl_task1[[SubPLOs]:[SubPLOs]],"&gt;=4",tbl_task1[[SubPLOs]:[SubPLOs]],"&lt;5")+SUMIFS(tbl_task2[S39],tbl_task2[[SubPLOs]:[SubPLOs]],"&gt;=4",tbl_task2[[SubPLOs]:[SubPLOs]],"&lt;5")+SUMIFS(tbl_task3[S39],tbl_task3[[SubPLOs]:[SubPLOs]],"&gt;=4",tbl_task3[[SubPLOs]:[SubPLOs]],"&lt;5")+SUMIFS(tbl_task4[S39],tbl_task4[[SubPLOs]:[SubPLOs]],"&gt;=4",tbl_task4[[SubPLOs]:[SubPLOs]],"&lt;5")+SUMIFS(tbl_task5[S39],tbl_task5[[SubPLOs]:[SubPLOs]],"&gt;=4",tbl_task5[[SubPLOs]:[SubPLOs]],"&lt;5")+SUMIFS(tbl_task6[S39],tbl_task6[[SubPLOs]:[SubPLOs]],"&gt;=4",tbl_task6[[SubPLOs]:[SubPLOs]],"&lt;5")+SUMIFS(tbl_task7[S39],tbl_task7[[SubPLOs]:[SubPLOs]],"&gt;=4",tbl_task7[[SubPLOs]:[SubPLOs]],"&lt;5")+SUMIFS(tbl_task8[S39],tbl_task8[[SubPLOs]:[SubPLOs]],"&gt;=4",tbl_task8[[SubPLOs]:[SubPLOs]],"&lt;5")+SUMIFS(tbl_task9[S39],tbl_task9[[SubPLOs]:[SubPLOs]],"&gt;=4",tbl_task9[[SubPLOs]:[SubPLOs]],"&lt;5")+SUMIFS(tbl_task10[S39],tbl_task10[[SubPLOs]:[SubPLOs]],"&gt;=4",tbl_task10[[SubPLOs]:[SubPLOs]],"&lt;5")</f>
        <v>0</v>
      </c>
      <c r="AS183" s="41">
        <f>SUMIFS(tbl_task1[S40],tbl_task1[[SubPLOs]:[SubPLOs]],"&gt;=4",tbl_task1[[SubPLOs]:[SubPLOs]],"&lt;5")+SUMIFS(tbl_task2[S40],tbl_task2[[SubPLOs]:[SubPLOs]],"&gt;=4",tbl_task2[[SubPLOs]:[SubPLOs]],"&lt;5")+SUMIFS(tbl_task3[S40],tbl_task3[[SubPLOs]:[SubPLOs]],"&gt;=4",tbl_task3[[SubPLOs]:[SubPLOs]],"&lt;5")+SUMIFS(tbl_task4[S40],tbl_task4[[SubPLOs]:[SubPLOs]],"&gt;=4",tbl_task4[[SubPLOs]:[SubPLOs]],"&lt;5")+SUMIFS(tbl_task5[S40],tbl_task5[[SubPLOs]:[SubPLOs]],"&gt;=4",tbl_task5[[SubPLOs]:[SubPLOs]],"&lt;5")+SUMIFS(tbl_task6[S40],tbl_task6[[SubPLOs]:[SubPLOs]],"&gt;=4",tbl_task6[[SubPLOs]:[SubPLOs]],"&lt;5")+SUMIFS(tbl_task7[S40],tbl_task7[[SubPLOs]:[SubPLOs]],"&gt;=4",tbl_task7[[SubPLOs]:[SubPLOs]],"&lt;5")+SUMIFS(tbl_task8[S40],tbl_task8[[SubPLOs]:[SubPLOs]],"&gt;=4",tbl_task8[[SubPLOs]:[SubPLOs]],"&lt;5")+SUMIFS(tbl_task9[S40],tbl_task9[[SubPLOs]:[SubPLOs]],"&gt;=4",tbl_task9[[SubPLOs]:[SubPLOs]],"&lt;5")+SUMIFS(tbl_task10[S40],tbl_task10[[SubPLOs]:[SubPLOs]],"&gt;=4",tbl_task10[[SubPLOs]:[SubPLOs]],"&lt;5")</f>
        <v>0</v>
      </c>
      <c r="AT183" s="41">
        <f>SUMIFS(tbl_task1[S41],tbl_task1[[SubPLOs]:[SubPLOs]],"&gt;=4",tbl_task1[[SubPLOs]:[SubPLOs]],"&lt;5")+SUMIFS(tbl_task2[S41],tbl_task2[[SubPLOs]:[SubPLOs]],"&gt;=4",tbl_task2[[SubPLOs]:[SubPLOs]],"&lt;5")+SUMIFS(tbl_task3[S41],tbl_task3[[SubPLOs]:[SubPLOs]],"&gt;=4",tbl_task3[[SubPLOs]:[SubPLOs]],"&lt;5")+SUMIFS(tbl_task4[S41],tbl_task4[[SubPLOs]:[SubPLOs]],"&gt;=4",tbl_task4[[SubPLOs]:[SubPLOs]],"&lt;5")+SUMIFS(tbl_task5[S41],tbl_task5[[SubPLOs]:[SubPLOs]],"&gt;=4",tbl_task5[[SubPLOs]:[SubPLOs]],"&lt;5")+SUMIFS(tbl_task6[S41],tbl_task6[[SubPLOs]:[SubPLOs]],"&gt;=4",tbl_task6[[SubPLOs]:[SubPLOs]],"&lt;5")+SUMIFS(tbl_task7[S41],tbl_task7[[SubPLOs]:[SubPLOs]],"&gt;=4",tbl_task7[[SubPLOs]:[SubPLOs]],"&lt;5")+SUMIFS(tbl_task8[S41],tbl_task8[[SubPLOs]:[SubPLOs]],"&gt;=4",tbl_task8[[SubPLOs]:[SubPLOs]],"&lt;5")+SUMIFS(tbl_task9[S41],tbl_task9[[SubPLOs]:[SubPLOs]],"&gt;=4",tbl_task9[[SubPLOs]:[SubPLOs]],"&lt;5")+SUMIFS(tbl_task10[S41],tbl_task10[[SubPLOs]:[SubPLOs]],"&gt;=4",tbl_task10[[SubPLOs]:[SubPLOs]],"&lt;5")</f>
        <v>0</v>
      </c>
      <c r="AU183" s="41">
        <f>SUMIFS(tbl_task1[S42],tbl_task1[[SubPLOs]:[SubPLOs]],"&gt;=4",tbl_task1[[SubPLOs]:[SubPLOs]],"&lt;5")+SUMIFS(tbl_task2[S42],tbl_task2[[SubPLOs]:[SubPLOs]],"&gt;=4",tbl_task2[[SubPLOs]:[SubPLOs]],"&lt;5")+SUMIFS(tbl_task3[S42],tbl_task3[[SubPLOs]:[SubPLOs]],"&gt;=4",tbl_task3[[SubPLOs]:[SubPLOs]],"&lt;5")+SUMIFS(tbl_task4[S42],tbl_task4[[SubPLOs]:[SubPLOs]],"&gt;=4",tbl_task4[[SubPLOs]:[SubPLOs]],"&lt;5")+SUMIFS(tbl_task5[S42],tbl_task5[[SubPLOs]:[SubPLOs]],"&gt;=4",tbl_task5[[SubPLOs]:[SubPLOs]],"&lt;5")+SUMIFS(tbl_task6[S42],tbl_task6[[SubPLOs]:[SubPLOs]],"&gt;=4",tbl_task6[[SubPLOs]:[SubPLOs]],"&lt;5")+SUMIFS(tbl_task7[S42],tbl_task7[[SubPLOs]:[SubPLOs]],"&gt;=4",tbl_task7[[SubPLOs]:[SubPLOs]],"&lt;5")+SUMIFS(tbl_task8[S42],tbl_task8[[SubPLOs]:[SubPLOs]],"&gt;=4",tbl_task8[[SubPLOs]:[SubPLOs]],"&lt;5")+SUMIFS(tbl_task9[S42],tbl_task9[[SubPLOs]:[SubPLOs]],"&gt;=4",tbl_task9[[SubPLOs]:[SubPLOs]],"&lt;5")+SUMIFS(tbl_task10[S42],tbl_task10[[SubPLOs]:[SubPLOs]],"&gt;=4",tbl_task10[[SubPLOs]:[SubPLOs]],"&lt;5")</f>
        <v>0</v>
      </c>
      <c r="AV183" s="41">
        <f>SUMIFS(tbl_task1[S43],tbl_task1[[SubPLOs]:[SubPLOs]],"&gt;=4",tbl_task1[[SubPLOs]:[SubPLOs]],"&lt;5")+SUMIFS(tbl_task2[S43],tbl_task2[[SubPLOs]:[SubPLOs]],"&gt;=4",tbl_task2[[SubPLOs]:[SubPLOs]],"&lt;5")+SUMIFS(tbl_task3[S43],tbl_task3[[SubPLOs]:[SubPLOs]],"&gt;=4",tbl_task3[[SubPLOs]:[SubPLOs]],"&lt;5")+SUMIFS(tbl_task4[S43],tbl_task4[[SubPLOs]:[SubPLOs]],"&gt;=4",tbl_task4[[SubPLOs]:[SubPLOs]],"&lt;5")+SUMIFS(tbl_task5[S43],tbl_task5[[SubPLOs]:[SubPLOs]],"&gt;=4",tbl_task5[[SubPLOs]:[SubPLOs]],"&lt;5")+SUMIFS(tbl_task6[S43],tbl_task6[[SubPLOs]:[SubPLOs]],"&gt;=4",tbl_task6[[SubPLOs]:[SubPLOs]],"&lt;5")+SUMIFS(tbl_task7[S43],tbl_task7[[SubPLOs]:[SubPLOs]],"&gt;=4",tbl_task7[[SubPLOs]:[SubPLOs]],"&lt;5")+SUMIFS(tbl_task8[S43],tbl_task8[[SubPLOs]:[SubPLOs]],"&gt;=4",tbl_task8[[SubPLOs]:[SubPLOs]],"&lt;5")+SUMIFS(tbl_task9[S43],tbl_task9[[SubPLOs]:[SubPLOs]],"&gt;=4",tbl_task9[[SubPLOs]:[SubPLOs]],"&lt;5")+SUMIFS(tbl_task10[S43],tbl_task10[[SubPLOs]:[SubPLOs]],"&gt;=4",tbl_task10[[SubPLOs]:[SubPLOs]],"&lt;5")</f>
        <v>0</v>
      </c>
      <c r="AW183" s="41">
        <f>SUMIFS(tbl_task1[S44],tbl_task1[[SubPLOs]:[SubPLOs]],"&gt;=4",tbl_task1[[SubPLOs]:[SubPLOs]],"&lt;5")+SUMIFS(tbl_task2[S44],tbl_task2[[SubPLOs]:[SubPLOs]],"&gt;=4",tbl_task2[[SubPLOs]:[SubPLOs]],"&lt;5")+SUMIFS(tbl_task3[S44],tbl_task3[[SubPLOs]:[SubPLOs]],"&gt;=4",tbl_task3[[SubPLOs]:[SubPLOs]],"&lt;5")+SUMIFS(tbl_task4[S44],tbl_task4[[SubPLOs]:[SubPLOs]],"&gt;=4",tbl_task4[[SubPLOs]:[SubPLOs]],"&lt;5")+SUMIFS(tbl_task5[S44],tbl_task5[[SubPLOs]:[SubPLOs]],"&gt;=4",tbl_task5[[SubPLOs]:[SubPLOs]],"&lt;5")+SUMIFS(tbl_task6[S44],tbl_task6[[SubPLOs]:[SubPLOs]],"&gt;=4",tbl_task6[[SubPLOs]:[SubPLOs]],"&lt;5")+SUMIFS(tbl_task7[S44],tbl_task7[[SubPLOs]:[SubPLOs]],"&gt;=4",tbl_task7[[SubPLOs]:[SubPLOs]],"&lt;5")+SUMIFS(tbl_task8[S44],tbl_task8[[SubPLOs]:[SubPLOs]],"&gt;=4",tbl_task8[[SubPLOs]:[SubPLOs]],"&lt;5")+SUMIFS(tbl_task9[S44],tbl_task9[[SubPLOs]:[SubPLOs]],"&gt;=4",tbl_task9[[SubPLOs]:[SubPLOs]],"&lt;5")+SUMIFS(tbl_task10[S44],tbl_task10[[SubPLOs]:[SubPLOs]],"&gt;=4",tbl_task10[[SubPLOs]:[SubPLOs]],"&lt;5")</f>
        <v>0</v>
      </c>
      <c r="AX183" s="41">
        <f>SUMIFS(tbl_task1[S45],tbl_task1[[SubPLOs]:[SubPLOs]],"&gt;=4",tbl_task1[[SubPLOs]:[SubPLOs]],"&lt;5")+SUMIFS(tbl_task2[S45],tbl_task2[[SubPLOs]:[SubPLOs]],"&gt;=4",tbl_task2[[SubPLOs]:[SubPLOs]],"&lt;5")+SUMIFS(tbl_task3[S45],tbl_task3[[SubPLOs]:[SubPLOs]],"&gt;=4",tbl_task3[[SubPLOs]:[SubPLOs]],"&lt;5")+SUMIFS(tbl_task4[S45],tbl_task4[[SubPLOs]:[SubPLOs]],"&gt;=4",tbl_task4[[SubPLOs]:[SubPLOs]],"&lt;5")+SUMIFS(tbl_task5[S45],tbl_task5[[SubPLOs]:[SubPLOs]],"&gt;=4",tbl_task5[[SubPLOs]:[SubPLOs]],"&lt;5")+SUMIFS(tbl_task6[S45],tbl_task6[[SubPLOs]:[SubPLOs]],"&gt;=4",tbl_task6[[SubPLOs]:[SubPLOs]],"&lt;5")+SUMIFS(tbl_task7[S45],tbl_task7[[SubPLOs]:[SubPLOs]],"&gt;=4",tbl_task7[[SubPLOs]:[SubPLOs]],"&lt;5")+SUMIFS(tbl_task8[S45],tbl_task8[[SubPLOs]:[SubPLOs]],"&gt;=4",tbl_task8[[SubPLOs]:[SubPLOs]],"&lt;5")+SUMIFS(tbl_task9[S45],tbl_task9[[SubPLOs]:[SubPLOs]],"&gt;=4",tbl_task9[[SubPLOs]:[SubPLOs]],"&lt;5")+SUMIFS(tbl_task10[S45],tbl_task10[[SubPLOs]:[SubPLOs]],"&gt;=4",tbl_task10[[SubPLOs]:[SubPLOs]],"&lt;5")</f>
        <v>0</v>
      </c>
      <c r="AY183" s="41">
        <f>SUMIFS(tbl_task1[S46],tbl_task1[[SubPLOs]:[SubPLOs]],"&gt;=4",tbl_task1[[SubPLOs]:[SubPLOs]],"&lt;5")+SUMIFS(tbl_task2[S46],tbl_task2[[SubPLOs]:[SubPLOs]],"&gt;=4",tbl_task2[[SubPLOs]:[SubPLOs]],"&lt;5")+SUMIFS(tbl_task3[S46],tbl_task3[[SubPLOs]:[SubPLOs]],"&gt;=4",tbl_task3[[SubPLOs]:[SubPLOs]],"&lt;5")+SUMIFS(tbl_task4[S46],tbl_task4[[SubPLOs]:[SubPLOs]],"&gt;=4",tbl_task4[[SubPLOs]:[SubPLOs]],"&lt;5")+SUMIFS(tbl_task5[S46],tbl_task5[[SubPLOs]:[SubPLOs]],"&gt;=4",tbl_task5[[SubPLOs]:[SubPLOs]],"&lt;5")+SUMIFS(tbl_task6[S46],tbl_task6[[SubPLOs]:[SubPLOs]],"&gt;=4",tbl_task6[[SubPLOs]:[SubPLOs]],"&lt;5")+SUMIFS(tbl_task7[S46],tbl_task7[[SubPLOs]:[SubPLOs]],"&gt;=4",tbl_task7[[SubPLOs]:[SubPLOs]],"&lt;5")+SUMIFS(tbl_task8[S46],tbl_task8[[SubPLOs]:[SubPLOs]],"&gt;=4",tbl_task8[[SubPLOs]:[SubPLOs]],"&lt;5")+SUMIFS(tbl_task9[S46],tbl_task9[[SubPLOs]:[SubPLOs]],"&gt;=4",tbl_task9[[SubPLOs]:[SubPLOs]],"&lt;5")+SUMIFS(tbl_task10[S46],tbl_task10[[SubPLOs]:[SubPLOs]],"&gt;=4",tbl_task10[[SubPLOs]:[SubPLOs]],"&lt;5")</f>
        <v>0</v>
      </c>
      <c r="AZ183" s="41">
        <f>SUMIFS(tbl_task1[S47],tbl_task1[[SubPLOs]:[SubPLOs]],"&gt;=4",tbl_task1[[SubPLOs]:[SubPLOs]],"&lt;5")+SUMIFS(tbl_task2[S47],tbl_task2[[SubPLOs]:[SubPLOs]],"&gt;=4",tbl_task2[[SubPLOs]:[SubPLOs]],"&lt;5")+SUMIFS(tbl_task3[S47],tbl_task3[[SubPLOs]:[SubPLOs]],"&gt;=4",tbl_task3[[SubPLOs]:[SubPLOs]],"&lt;5")+SUMIFS(tbl_task4[S47],tbl_task4[[SubPLOs]:[SubPLOs]],"&gt;=4",tbl_task4[[SubPLOs]:[SubPLOs]],"&lt;5")+SUMIFS(tbl_task5[S47],tbl_task5[[SubPLOs]:[SubPLOs]],"&gt;=4",tbl_task5[[SubPLOs]:[SubPLOs]],"&lt;5")+SUMIFS(tbl_task6[S47],tbl_task6[[SubPLOs]:[SubPLOs]],"&gt;=4",tbl_task6[[SubPLOs]:[SubPLOs]],"&lt;5")+SUMIFS(tbl_task7[S47],tbl_task7[[SubPLOs]:[SubPLOs]],"&gt;=4",tbl_task7[[SubPLOs]:[SubPLOs]],"&lt;5")+SUMIFS(tbl_task8[S47],tbl_task8[[SubPLOs]:[SubPLOs]],"&gt;=4",tbl_task8[[SubPLOs]:[SubPLOs]],"&lt;5")+SUMIFS(tbl_task9[S47],tbl_task9[[SubPLOs]:[SubPLOs]],"&gt;=4",tbl_task9[[SubPLOs]:[SubPLOs]],"&lt;5")+SUMIFS(tbl_task10[S47],tbl_task10[[SubPLOs]:[SubPLOs]],"&gt;=4",tbl_task10[[SubPLOs]:[SubPLOs]],"&lt;5")</f>
        <v>0</v>
      </c>
      <c r="BA183" s="41">
        <f>SUMIFS(tbl_task1[S48],tbl_task1[[SubPLOs]:[SubPLOs]],"&gt;=4",tbl_task1[[SubPLOs]:[SubPLOs]],"&lt;5")+SUMIFS(tbl_task2[S48],tbl_task2[[SubPLOs]:[SubPLOs]],"&gt;=4",tbl_task2[[SubPLOs]:[SubPLOs]],"&lt;5")+SUMIFS(tbl_task3[S48],tbl_task3[[SubPLOs]:[SubPLOs]],"&gt;=4",tbl_task3[[SubPLOs]:[SubPLOs]],"&lt;5")+SUMIFS(tbl_task4[S48],tbl_task4[[SubPLOs]:[SubPLOs]],"&gt;=4",tbl_task4[[SubPLOs]:[SubPLOs]],"&lt;5")+SUMIFS(tbl_task5[S48],tbl_task5[[SubPLOs]:[SubPLOs]],"&gt;=4",tbl_task5[[SubPLOs]:[SubPLOs]],"&lt;5")+SUMIFS(tbl_task6[S48],tbl_task6[[SubPLOs]:[SubPLOs]],"&gt;=4",tbl_task6[[SubPLOs]:[SubPLOs]],"&lt;5")+SUMIFS(tbl_task7[S48],tbl_task7[[SubPLOs]:[SubPLOs]],"&gt;=4",tbl_task7[[SubPLOs]:[SubPLOs]],"&lt;5")+SUMIFS(tbl_task8[S48],tbl_task8[[SubPLOs]:[SubPLOs]],"&gt;=4",tbl_task8[[SubPLOs]:[SubPLOs]],"&lt;5")+SUMIFS(tbl_task9[S48],tbl_task9[[SubPLOs]:[SubPLOs]],"&gt;=4",tbl_task9[[SubPLOs]:[SubPLOs]],"&lt;5")+SUMIFS(tbl_task10[S48],tbl_task10[[SubPLOs]:[SubPLOs]],"&gt;=4",tbl_task10[[SubPLOs]:[SubPLOs]],"&lt;5")</f>
        <v>0</v>
      </c>
      <c r="BB183" s="41">
        <f>SUMIFS(tbl_task1[S49],tbl_task1[[SubPLOs]:[SubPLOs]],"&gt;=4",tbl_task1[[SubPLOs]:[SubPLOs]],"&lt;5")+SUMIFS(tbl_task2[S49],tbl_task2[[SubPLOs]:[SubPLOs]],"&gt;=4",tbl_task2[[SubPLOs]:[SubPLOs]],"&lt;5")+SUMIFS(tbl_task3[S49],tbl_task3[[SubPLOs]:[SubPLOs]],"&gt;=4",tbl_task3[[SubPLOs]:[SubPLOs]],"&lt;5")+SUMIFS(tbl_task4[S49],tbl_task4[[SubPLOs]:[SubPLOs]],"&gt;=4",tbl_task4[[SubPLOs]:[SubPLOs]],"&lt;5")+SUMIFS(tbl_task5[S49],tbl_task5[[SubPLOs]:[SubPLOs]],"&gt;=4",tbl_task5[[SubPLOs]:[SubPLOs]],"&lt;5")+SUMIFS(tbl_task6[S49],tbl_task6[[SubPLOs]:[SubPLOs]],"&gt;=4",tbl_task6[[SubPLOs]:[SubPLOs]],"&lt;5")+SUMIFS(tbl_task7[S49],tbl_task7[[SubPLOs]:[SubPLOs]],"&gt;=4",tbl_task7[[SubPLOs]:[SubPLOs]],"&lt;5")+SUMIFS(tbl_task8[S49],tbl_task8[[SubPLOs]:[SubPLOs]],"&gt;=4",tbl_task8[[SubPLOs]:[SubPLOs]],"&lt;5")+SUMIFS(tbl_task9[S49],tbl_task9[[SubPLOs]:[SubPLOs]],"&gt;=4",tbl_task9[[SubPLOs]:[SubPLOs]],"&lt;5")+SUMIFS(tbl_task10[S49],tbl_task10[[SubPLOs]:[SubPLOs]],"&gt;=4",tbl_task10[[SubPLOs]:[SubPLOs]],"&lt;5")</f>
        <v>0</v>
      </c>
      <c r="BC183" s="41">
        <f>SUMIFS(tbl_task1[S50],tbl_task1[[SubPLOs]:[SubPLOs]],"&gt;=4",tbl_task1[[SubPLOs]:[SubPLOs]],"&lt;5")+SUMIFS(tbl_task2[S50],tbl_task2[[SubPLOs]:[SubPLOs]],"&gt;=4",tbl_task2[[SubPLOs]:[SubPLOs]],"&lt;5")+SUMIFS(tbl_task3[S50],tbl_task3[[SubPLOs]:[SubPLOs]],"&gt;=4",tbl_task3[[SubPLOs]:[SubPLOs]],"&lt;5")+SUMIFS(tbl_task4[S50],tbl_task4[[SubPLOs]:[SubPLOs]],"&gt;=4",tbl_task4[[SubPLOs]:[SubPLOs]],"&lt;5")+SUMIFS(tbl_task5[S50],tbl_task5[[SubPLOs]:[SubPLOs]],"&gt;=4",tbl_task5[[SubPLOs]:[SubPLOs]],"&lt;5")+SUMIFS(tbl_task6[S50],tbl_task6[[SubPLOs]:[SubPLOs]],"&gt;=4",tbl_task6[[SubPLOs]:[SubPLOs]],"&lt;5")+SUMIFS(tbl_task7[S50],tbl_task7[[SubPLOs]:[SubPLOs]],"&gt;=4",tbl_task7[[SubPLOs]:[SubPLOs]],"&lt;5")+SUMIFS(tbl_task8[S50],tbl_task8[[SubPLOs]:[SubPLOs]],"&gt;=4",tbl_task8[[SubPLOs]:[SubPLOs]],"&lt;5")+SUMIFS(tbl_task9[S50],tbl_task9[[SubPLOs]:[SubPLOs]],"&gt;=4",tbl_task9[[SubPLOs]:[SubPLOs]],"&lt;5")+SUMIFS(tbl_task10[S50],tbl_task10[[SubPLOs]:[SubPLOs]],"&gt;=4",tbl_task10[[SubPLOs]:[SubPLOs]],"&lt;5")</f>
        <v>0</v>
      </c>
      <c r="BD183" s="41">
        <f>SUMIFS(tbl_task1[S51],tbl_task1[[SubPLOs]:[SubPLOs]],"&gt;=4",tbl_task1[[SubPLOs]:[SubPLOs]],"&lt;5")+SUMIFS(tbl_task2[S51],tbl_task2[[SubPLOs]:[SubPLOs]],"&gt;=4",tbl_task2[[SubPLOs]:[SubPLOs]],"&lt;5")+SUMIFS(tbl_task3[S51],tbl_task3[[SubPLOs]:[SubPLOs]],"&gt;=4",tbl_task3[[SubPLOs]:[SubPLOs]],"&lt;5")+SUMIFS(tbl_task4[S51],tbl_task4[[SubPLOs]:[SubPLOs]],"&gt;=4",tbl_task4[[SubPLOs]:[SubPLOs]],"&lt;5")+SUMIFS(tbl_task5[S51],tbl_task5[[SubPLOs]:[SubPLOs]],"&gt;=4",tbl_task5[[SubPLOs]:[SubPLOs]],"&lt;5")+SUMIFS(tbl_task6[S51],tbl_task6[[SubPLOs]:[SubPLOs]],"&gt;=4",tbl_task6[[SubPLOs]:[SubPLOs]],"&lt;5")+SUMIFS(tbl_task7[S51],tbl_task7[[SubPLOs]:[SubPLOs]],"&gt;=4",tbl_task7[[SubPLOs]:[SubPLOs]],"&lt;5")+SUMIFS(tbl_task8[S51],tbl_task8[[SubPLOs]:[SubPLOs]],"&gt;=4",tbl_task8[[SubPLOs]:[SubPLOs]],"&lt;5")+SUMIFS(tbl_task9[S51],tbl_task9[[SubPLOs]:[SubPLOs]],"&gt;=4",tbl_task9[[SubPLOs]:[SubPLOs]],"&lt;5")+SUMIFS(tbl_task10[S51],tbl_task10[[SubPLOs]:[SubPLOs]],"&gt;=4",tbl_task10[[SubPLOs]:[SubPLOs]],"&lt;5")</f>
        <v>0</v>
      </c>
      <c r="BE183" s="41">
        <f>SUMIFS(tbl_task1[S52],tbl_task1[[SubPLOs]:[SubPLOs]],"&gt;=4",tbl_task1[[SubPLOs]:[SubPLOs]],"&lt;5")+SUMIFS(tbl_task2[S52],tbl_task2[[SubPLOs]:[SubPLOs]],"&gt;=4",tbl_task2[[SubPLOs]:[SubPLOs]],"&lt;5")+SUMIFS(tbl_task3[S52],tbl_task3[[SubPLOs]:[SubPLOs]],"&gt;=4",tbl_task3[[SubPLOs]:[SubPLOs]],"&lt;5")+SUMIFS(tbl_task4[S52],tbl_task4[[SubPLOs]:[SubPLOs]],"&gt;=4",tbl_task4[[SubPLOs]:[SubPLOs]],"&lt;5")+SUMIFS(tbl_task5[S52],tbl_task5[[SubPLOs]:[SubPLOs]],"&gt;=4",tbl_task5[[SubPLOs]:[SubPLOs]],"&lt;5")+SUMIFS(tbl_task6[S52],tbl_task6[[SubPLOs]:[SubPLOs]],"&gt;=4",tbl_task6[[SubPLOs]:[SubPLOs]],"&lt;5")+SUMIFS(tbl_task7[S52],tbl_task7[[SubPLOs]:[SubPLOs]],"&gt;=4",tbl_task7[[SubPLOs]:[SubPLOs]],"&lt;5")+SUMIFS(tbl_task8[S52],tbl_task8[[SubPLOs]:[SubPLOs]],"&gt;=4",tbl_task8[[SubPLOs]:[SubPLOs]],"&lt;5")+SUMIFS(tbl_task9[S52],tbl_task9[[SubPLOs]:[SubPLOs]],"&gt;=4",tbl_task9[[SubPLOs]:[SubPLOs]],"&lt;5")+SUMIFS(tbl_task10[S52],tbl_task10[[SubPLOs]:[SubPLOs]],"&gt;=4",tbl_task10[[SubPLOs]:[SubPLOs]],"&lt;5")</f>
        <v>0</v>
      </c>
      <c r="BF183" s="41">
        <f>SUMIFS(tbl_task1[S53],tbl_task1[[SubPLOs]:[SubPLOs]],"&gt;=4",tbl_task1[[SubPLOs]:[SubPLOs]],"&lt;5")+SUMIFS(tbl_task2[S53],tbl_task2[[SubPLOs]:[SubPLOs]],"&gt;=4",tbl_task2[[SubPLOs]:[SubPLOs]],"&lt;5")+SUMIFS(tbl_task3[S53],tbl_task3[[SubPLOs]:[SubPLOs]],"&gt;=4",tbl_task3[[SubPLOs]:[SubPLOs]],"&lt;5")+SUMIFS(tbl_task4[S53],tbl_task4[[SubPLOs]:[SubPLOs]],"&gt;=4",tbl_task4[[SubPLOs]:[SubPLOs]],"&lt;5")+SUMIFS(tbl_task5[S53],tbl_task5[[SubPLOs]:[SubPLOs]],"&gt;=4",tbl_task5[[SubPLOs]:[SubPLOs]],"&lt;5")+SUMIFS(tbl_task6[S53],tbl_task6[[SubPLOs]:[SubPLOs]],"&gt;=4",tbl_task6[[SubPLOs]:[SubPLOs]],"&lt;5")+SUMIFS(tbl_task7[S53],tbl_task7[[SubPLOs]:[SubPLOs]],"&gt;=4",tbl_task7[[SubPLOs]:[SubPLOs]],"&lt;5")+SUMIFS(tbl_task8[S53],tbl_task8[[SubPLOs]:[SubPLOs]],"&gt;=4",tbl_task8[[SubPLOs]:[SubPLOs]],"&lt;5")+SUMIFS(tbl_task9[S53],tbl_task9[[SubPLOs]:[SubPLOs]],"&gt;=4",tbl_task9[[SubPLOs]:[SubPLOs]],"&lt;5")+SUMIFS(tbl_task10[S53],tbl_task10[[SubPLOs]:[SubPLOs]],"&gt;=4",tbl_task10[[SubPLOs]:[SubPLOs]],"&lt;5")</f>
        <v>0</v>
      </c>
      <c r="BG183" s="41">
        <f>SUMIFS(tbl_task1[S54],tbl_task1[[SubPLOs]:[SubPLOs]],"&gt;=4",tbl_task1[[SubPLOs]:[SubPLOs]],"&lt;5")+SUMIFS(tbl_task2[S54],tbl_task2[[SubPLOs]:[SubPLOs]],"&gt;=4",tbl_task2[[SubPLOs]:[SubPLOs]],"&lt;5")+SUMIFS(tbl_task3[S54],tbl_task3[[SubPLOs]:[SubPLOs]],"&gt;=4",tbl_task3[[SubPLOs]:[SubPLOs]],"&lt;5")+SUMIFS(tbl_task4[S54],tbl_task4[[SubPLOs]:[SubPLOs]],"&gt;=4",tbl_task4[[SubPLOs]:[SubPLOs]],"&lt;5")+SUMIFS(tbl_task5[S54],tbl_task5[[SubPLOs]:[SubPLOs]],"&gt;=4",tbl_task5[[SubPLOs]:[SubPLOs]],"&lt;5")+SUMIFS(tbl_task6[S54],tbl_task6[[SubPLOs]:[SubPLOs]],"&gt;=4",tbl_task6[[SubPLOs]:[SubPLOs]],"&lt;5")+SUMIFS(tbl_task7[S54],tbl_task7[[SubPLOs]:[SubPLOs]],"&gt;=4",tbl_task7[[SubPLOs]:[SubPLOs]],"&lt;5")+SUMIFS(tbl_task8[S54],tbl_task8[[SubPLOs]:[SubPLOs]],"&gt;=4",tbl_task8[[SubPLOs]:[SubPLOs]],"&lt;5")+SUMIFS(tbl_task9[S54],tbl_task9[[SubPLOs]:[SubPLOs]],"&gt;=4",tbl_task9[[SubPLOs]:[SubPLOs]],"&lt;5")+SUMIFS(tbl_task10[S54],tbl_task10[[SubPLOs]:[SubPLOs]],"&gt;=4",tbl_task10[[SubPLOs]:[SubPLOs]],"&lt;5")</f>
        <v>0</v>
      </c>
      <c r="BH183" s="41">
        <f>SUMIFS(tbl_task1[S55],tbl_task1[[SubPLOs]:[SubPLOs]],"&gt;=4",tbl_task1[[SubPLOs]:[SubPLOs]],"&lt;5")+SUMIFS(tbl_task2[S55],tbl_task2[[SubPLOs]:[SubPLOs]],"&gt;=4",tbl_task2[[SubPLOs]:[SubPLOs]],"&lt;5")+SUMIFS(tbl_task3[S55],tbl_task3[[SubPLOs]:[SubPLOs]],"&gt;=4",tbl_task3[[SubPLOs]:[SubPLOs]],"&lt;5")+SUMIFS(tbl_task4[S55],tbl_task4[[SubPLOs]:[SubPLOs]],"&gt;=4",tbl_task4[[SubPLOs]:[SubPLOs]],"&lt;5")+SUMIFS(tbl_task5[S55],tbl_task5[[SubPLOs]:[SubPLOs]],"&gt;=4",tbl_task5[[SubPLOs]:[SubPLOs]],"&lt;5")+SUMIFS(tbl_task6[S55],tbl_task6[[SubPLOs]:[SubPLOs]],"&gt;=4",tbl_task6[[SubPLOs]:[SubPLOs]],"&lt;5")+SUMIFS(tbl_task7[S55],tbl_task7[[SubPLOs]:[SubPLOs]],"&gt;=4",tbl_task7[[SubPLOs]:[SubPLOs]],"&lt;5")+SUMIFS(tbl_task8[S55],tbl_task8[[SubPLOs]:[SubPLOs]],"&gt;=4",tbl_task8[[SubPLOs]:[SubPLOs]],"&lt;5")+SUMIFS(tbl_task9[S55],tbl_task9[[SubPLOs]:[SubPLOs]],"&gt;=4",tbl_task9[[SubPLOs]:[SubPLOs]],"&lt;5")+SUMIFS(tbl_task10[S55],tbl_task10[[SubPLOs]:[SubPLOs]],"&gt;=4",tbl_task10[[SubPLOs]:[SubPLOs]],"&lt;5")</f>
        <v>0</v>
      </c>
      <c r="BI183" s="41">
        <f>SUMIFS(tbl_task1[S56],tbl_task1[[SubPLOs]:[SubPLOs]],"&gt;=4",tbl_task1[[SubPLOs]:[SubPLOs]],"&lt;5")+SUMIFS(tbl_task2[S56],tbl_task2[[SubPLOs]:[SubPLOs]],"&gt;=4",tbl_task2[[SubPLOs]:[SubPLOs]],"&lt;5")+SUMIFS(tbl_task3[S56],tbl_task3[[SubPLOs]:[SubPLOs]],"&gt;=4",tbl_task3[[SubPLOs]:[SubPLOs]],"&lt;5")+SUMIFS(tbl_task4[S56],tbl_task4[[SubPLOs]:[SubPLOs]],"&gt;=4",tbl_task4[[SubPLOs]:[SubPLOs]],"&lt;5")+SUMIFS(tbl_task5[S56],tbl_task5[[SubPLOs]:[SubPLOs]],"&gt;=4",tbl_task5[[SubPLOs]:[SubPLOs]],"&lt;5")+SUMIFS(tbl_task6[S56],tbl_task6[[SubPLOs]:[SubPLOs]],"&gt;=4",tbl_task6[[SubPLOs]:[SubPLOs]],"&lt;5")+SUMIFS(tbl_task7[S56],tbl_task7[[SubPLOs]:[SubPLOs]],"&gt;=4",tbl_task7[[SubPLOs]:[SubPLOs]],"&lt;5")+SUMIFS(tbl_task8[S56],tbl_task8[[SubPLOs]:[SubPLOs]],"&gt;=4",tbl_task8[[SubPLOs]:[SubPLOs]],"&lt;5")+SUMIFS(tbl_task9[S56],tbl_task9[[SubPLOs]:[SubPLOs]],"&gt;=4",tbl_task9[[SubPLOs]:[SubPLOs]],"&lt;5")+SUMIFS(tbl_task10[S56],tbl_task10[[SubPLOs]:[SubPLOs]],"&gt;=4",tbl_task10[[SubPLOs]:[SubPLOs]],"&lt;5")</f>
        <v>0</v>
      </c>
      <c r="BJ183" s="41">
        <f>SUMIFS(tbl_task1[S57],tbl_task1[[SubPLOs]:[SubPLOs]],"&gt;=4",tbl_task1[[SubPLOs]:[SubPLOs]],"&lt;5")+SUMIFS(tbl_task2[S57],tbl_task2[[SubPLOs]:[SubPLOs]],"&gt;=4",tbl_task2[[SubPLOs]:[SubPLOs]],"&lt;5")+SUMIFS(tbl_task3[S57],tbl_task3[[SubPLOs]:[SubPLOs]],"&gt;=4",tbl_task3[[SubPLOs]:[SubPLOs]],"&lt;5")+SUMIFS(tbl_task4[S57],tbl_task4[[SubPLOs]:[SubPLOs]],"&gt;=4",tbl_task4[[SubPLOs]:[SubPLOs]],"&lt;5")+SUMIFS(tbl_task5[S57],tbl_task5[[SubPLOs]:[SubPLOs]],"&gt;=4",tbl_task5[[SubPLOs]:[SubPLOs]],"&lt;5")+SUMIFS(tbl_task6[S57],tbl_task6[[SubPLOs]:[SubPLOs]],"&gt;=4",tbl_task6[[SubPLOs]:[SubPLOs]],"&lt;5")+SUMIFS(tbl_task7[S57],tbl_task7[[SubPLOs]:[SubPLOs]],"&gt;=4",tbl_task7[[SubPLOs]:[SubPLOs]],"&lt;5")+SUMIFS(tbl_task8[S57],tbl_task8[[SubPLOs]:[SubPLOs]],"&gt;=4",tbl_task8[[SubPLOs]:[SubPLOs]],"&lt;5")+SUMIFS(tbl_task9[S57],tbl_task9[[SubPLOs]:[SubPLOs]],"&gt;=4",tbl_task9[[SubPLOs]:[SubPLOs]],"&lt;5")+SUMIFS(tbl_task10[S57],tbl_task10[[SubPLOs]:[SubPLOs]],"&gt;=4",tbl_task10[[SubPLOs]:[SubPLOs]],"&lt;5")</f>
        <v>0</v>
      </c>
      <c r="BK183" s="41">
        <f>SUMIFS(tbl_task1[S58],tbl_task1[[SubPLOs]:[SubPLOs]],"&gt;=4",tbl_task1[[SubPLOs]:[SubPLOs]],"&lt;5")+SUMIFS(tbl_task2[S58],tbl_task2[[SubPLOs]:[SubPLOs]],"&gt;=4",tbl_task2[[SubPLOs]:[SubPLOs]],"&lt;5")+SUMIFS(tbl_task3[S58],tbl_task3[[SubPLOs]:[SubPLOs]],"&gt;=4",tbl_task3[[SubPLOs]:[SubPLOs]],"&lt;5")+SUMIFS(tbl_task4[S58],tbl_task4[[SubPLOs]:[SubPLOs]],"&gt;=4",tbl_task4[[SubPLOs]:[SubPLOs]],"&lt;5")+SUMIFS(tbl_task5[S58],tbl_task5[[SubPLOs]:[SubPLOs]],"&gt;=4",tbl_task5[[SubPLOs]:[SubPLOs]],"&lt;5")+SUMIFS(tbl_task6[S58],tbl_task6[[SubPLOs]:[SubPLOs]],"&gt;=4",tbl_task6[[SubPLOs]:[SubPLOs]],"&lt;5")+SUMIFS(tbl_task7[S58],tbl_task7[[SubPLOs]:[SubPLOs]],"&gt;=4",tbl_task7[[SubPLOs]:[SubPLOs]],"&lt;5")+SUMIFS(tbl_task8[S58],tbl_task8[[SubPLOs]:[SubPLOs]],"&gt;=4",tbl_task8[[SubPLOs]:[SubPLOs]],"&lt;5")+SUMIFS(tbl_task9[S58],tbl_task9[[SubPLOs]:[SubPLOs]],"&gt;=4",tbl_task9[[SubPLOs]:[SubPLOs]],"&lt;5")+SUMIFS(tbl_task10[S58],tbl_task10[[SubPLOs]:[SubPLOs]],"&gt;=4",tbl_task10[[SubPLOs]:[SubPLOs]],"&lt;5")</f>
        <v>0</v>
      </c>
      <c r="BL183" s="41">
        <f>SUMIFS(tbl_task1[S59],tbl_task1[[SubPLOs]:[SubPLOs]],"&gt;=4",tbl_task1[[SubPLOs]:[SubPLOs]],"&lt;5")+SUMIFS(tbl_task2[S59],tbl_task2[[SubPLOs]:[SubPLOs]],"&gt;=4",tbl_task2[[SubPLOs]:[SubPLOs]],"&lt;5")+SUMIFS(tbl_task3[S59],tbl_task3[[SubPLOs]:[SubPLOs]],"&gt;=4",tbl_task3[[SubPLOs]:[SubPLOs]],"&lt;5")+SUMIFS(tbl_task4[S59],tbl_task4[[SubPLOs]:[SubPLOs]],"&gt;=4",tbl_task4[[SubPLOs]:[SubPLOs]],"&lt;5")+SUMIFS(tbl_task5[S59],tbl_task5[[SubPLOs]:[SubPLOs]],"&gt;=4",tbl_task5[[SubPLOs]:[SubPLOs]],"&lt;5")+SUMIFS(tbl_task6[S59],tbl_task6[[SubPLOs]:[SubPLOs]],"&gt;=4",tbl_task6[[SubPLOs]:[SubPLOs]],"&lt;5")+SUMIFS(tbl_task7[S59],tbl_task7[[SubPLOs]:[SubPLOs]],"&gt;=4",tbl_task7[[SubPLOs]:[SubPLOs]],"&lt;5")+SUMIFS(tbl_task8[S59],tbl_task8[[SubPLOs]:[SubPLOs]],"&gt;=4",tbl_task8[[SubPLOs]:[SubPLOs]],"&lt;5")+SUMIFS(tbl_task9[S59],tbl_task9[[SubPLOs]:[SubPLOs]],"&gt;=4",tbl_task9[[SubPLOs]:[SubPLOs]],"&lt;5")+SUMIFS(tbl_task10[S59],tbl_task10[[SubPLOs]:[SubPLOs]],"&gt;=4",tbl_task10[[SubPLOs]:[SubPLOs]],"&lt;5")</f>
        <v>0</v>
      </c>
      <c r="BM183" s="41">
        <f>SUMIFS(tbl_task1[S60],tbl_task1[[SubPLOs]:[SubPLOs]],"&gt;=4",tbl_task1[[SubPLOs]:[SubPLOs]],"&lt;5")+SUMIFS(tbl_task2[S60],tbl_task2[[SubPLOs]:[SubPLOs]],"&gt;=4",tbl_task2[[SubPLOs]:[SubPLOs]],"&lt;5")+SUMIFS(tbl_task3[S60],tbl_task3[[SubPLOs]:[SubPLOs]],"&gt;=4",tbl_task3[[SubPLOs]:[SubPLOs]],"&lt;5")+SUMIFS(tbl_task4[S60],tbl_task4[[SubPLOs]:[SubPLOs]],"&gt;=4",tbl_task4[[SubPLOs]:[SubPLOs]],"&lt;5")+SUMIFS(tbl_task5[S60],tbl_task5[[SubPLOs]:[SubPLOs]],"&gt;=4",tbl_task5[[SubPLOs]:[SubPLOs]],"&lt;5")+SUMIFS(tbl_task6[S60],tbl_task6[[SubPLOs]:[SubPLOs]],"&gt;=4",tbl_task6[[SubPLOs]:[SubPLOs]],"&lt;5")+SUMIFS(tbl_task7[S60],tbl_task7[[SubPLOs]:[SubPLOs]],"&gt;=4",tbl_task7[[SubPLOs]:[SubPLOs]],"&lt;5")+SUMIFS(tbl_task8[S60],tbl_task8[[SubPLOs]:[SubPLOs]],"&gt;=4",tbl_task8[[SubPLOs]:[SubPLOs]],"&lt;5")+SUMIFS(tbl_task9[S60],tbl_task9[[SubPLOs]:[SubPLOs]],"&gt;=4",tbl_task9[[SubPLOs]:[SubPLOs]],"&lt;5")+SUMIFS(tbl_task10[S60],tbl_task10[[SubPLOs]:[SubPLOs]],"&gt;=4",tbl_task10[[SubPLOs]:[SubPLOs]],"&lt;5")</f>
        <v>0</v>
      </c>
      <c r="BN183" s="41">
        <f>SUMIFS(tbl_task1[S61],tbl_task1[[SubPLOs]:[SubPLOs]],"&gt;=4",tbl_task1[[SubPLOs]:[SubPLOs]],"&lt;5")+SUMIFS(tbl_task2[S61],tbl_task2[[SubPLOs]:[SubPLOs]],"&gt;=4",tbl_task2[[SubPLOs]:[SubPLOs]],"&lt;5")+SUMIFS(tbl_task3[S61],tbl_task3[[SubPLOs]:[SubPLOs]],"&gt;=4",tbl_task3[[SubPLOs]:[SubPLOs]],"&lt;5")+SUMIFS(tbl_task4[S61],tbl_task4[[SubPLOs]:[SubPLOs]],"&gt;=4",tbl_task4[[SubPLOs]:[SubPLOs]],"&lt;5")+SUMIFS(tbl_task5[S61],tbl_task5[[SubPLOs]:[SubPLOs]],"&gt;=4",tbl_task5[[SubPLOs]:[SubPLOs]],"&lt;5")+SUMIFS(tbl_task6[S61],tbl_task6[[SubPLOs]:[SubPLOs]],"&gt;=4",tbl_task6[[SubPLOs]:[SubPLOs]],"&lt;5")+SUMIFS(tbl_task7[S61],tbl_task7[[SubPLOs]:[SubPLOs]],"&gt;=4",tbl_task7[[SubPLOs]:[SubPLOs]],"&lt;5")+SUMIFS(tbl_task8[S61],tbl_task8[[SubPLOs]:[SubPLOs]],"&gt;=4",tbl_task8[[SubPLOs]:[SubPLOs]],"&lt;5")+SUMIFS(tbl_task9[S61],tbl_task9[[SubPLOs]:[SubPLOs]],"&gt;=4",tbl_task9[[SubPLOs]:[SubPLOs]],"&lt;5")+SUMIFS(tbl_task10[S61],tbl_task10[[SubPLOs]:[SubPLOs]],"&gt;=4",tbl_task10[[SubPLOs]:[SubPLOs]],"&lt;5")</f>
        <v>0</v>
      </c>
      <c r="BO183" s="41">
        <f>SUMIFS(tbl_task1[S62],tbl_task1[[SubPLOs]:[SubPLOs]],"&gt;=4",tbl_task1[[SubPLOs]:[SubPLOs]],"&lt;5")+SUMIFS(tbl_task2[S62],tbl_task2[[SubPLOs]:[SubPLOs]],"&gt;=4",tbl_task2[[SubPLOs]:[SubPLOs]],"&lt;5")+SUMIFS(tbl_task3[S62],tbl_task3[[SubPLOs]:[SubPLOs]],"&gt;=4",tbl_task3[[SubPLOs]:[SubPLOs]],"&lt;5")+SUMIFS(tbl_task4[S62],tbl_task4[[SubPLOs]:[SubPLOs]],"&gt;=4",tbl_task4[[SubPLOs]:[SubPLOs]],"&lt;5")+SUMIFS(tbl_task5[S62],tbl_task5[[SubPLOs]:[SubPLOs]],"&gt;=4",tbl_task5[[SubPLOs]:[SubPLOs]],"&lt;5")+SUMIFS(tbl_task6[S62],tbl_task6[[SubPLOs]:[SubPLOs]],"&gt;=4",tbl_task6[[SubPLOs]:[SubPLOs]],"&lt;5")+SUMIFS(tbl_task7[S62],tbl_task7[[SubPLOs]:[SubPLOs]],"&gt;=4",tbl_task7[[SubPLOs]:[SubPLOs]],"&lt;5")+SUMIFS(tbl_task8[S62],tbl_task8[[SubPLOs]:[SubPLOs]],"&gt;=4",tbl_task8[[SubPLOs]:[SubPLOs]],"&lt;5")+SUMIFS(tbl_task9[S62],tbl_task9[[SubPLOs]:[SubPLOs]],"&gt;=4",tbl_task9[[SubPLOs]:[SubPLOs]],"&lt;5")+SUMIFS(tbl_task10[S62],tbl_task10[[SubPLOs]:[SubPLOs]],"&gt;=4",tbl_task10[[SubPLOs]:[SubPLOs]],"&lt;5")</f>
        <v>0</v>
      </c>
      <c r="BP183" s="41">
        <f>SUMIFS(tbl_task1[S63],tbl_task1[[SubPLOs]:[SubPLOs]],"&gt;=4",tbl_task1[[SubPLOs]:[SubPLOs]],"&lt;5")+SUMIFS(tbl_task2[S63],tbl_task2[[SubPLOs]:[SubPLOs]],"&gt;=4",tbl_task2[[SubPLOs]:[SubPLOs]],"&lt;5")+SUMIFS(tbl_task3[S63],tbl_task3[[SubPLOs]:[SubPLOs]],"&gt;=4",tbl_task3[[SubPLOs]:[SubPLOs]],"&lt;5")+SUMIFS(tbl_task4[S63],tbl_task4[[SubPLOs]:[SubPLOs]],"&gt;=4",tbl_task4[[SubPLOs]:[SubPLOs]],"&lt;5")+SUMIFS(tbl_task5[S63],tbl_task5[[SubPLOs]:[SubPLOs]],"&gt;=4",tbl_task5[[SubPLOs]:[SubPLOs]],"&lt;5")+SUMIFS(tbl_task6[S63],tbl_task6[[SubPLOs]:[SubPLOs]],"&gt;=4",tbl_task6[[SubPLOs]:[SubPLOs]],"&lt;5")+SUMIFS(tbl_task7[S63],tbl_task7[[SubPLOs]:[SubPLOs]],"&gt;=4",tbl_task7[[SubPLOs]:[SubPLOs]],"&lt;5")+SUMIFS(tbl_task8[S63],tbl_task8[[SubPLOs]:[SubPLOs]],"&gt;=4",tbl_task8[[SubPLOs]:[SubPLOs]],"&lt;5")+SUMIFS(tbl_task9[S63],tbl_task9[[SubPLOs]:[SubPLOs]],"&gt;=4",tbl_task9[[SubPLOs]:[SubPLOs]],"&lt;5")+SUMIFS(tbl_task10[S63],tbl_task10[[SubPLOs]:[SubPLOs]],"&gt;=4",tbl_task10[[SubPLOs]:[SubPLOs]],"&lt;5")</f>
        <v>0</v>
      </c>
      <c r="BQ183" s="41">
        <f>SUMIFS(tbl_task1[S64],tbl_task1[[SubPLOs]:[SubPLOs]],"&gt;=4",tbl_task1[[SubPLOs]:[SubPLOs]],"&lt;5")+SUMIFS(tbl_task2[S64],tbl_task2[[SubPLOs]:[SubPLOs]],"&gt;=4",tbl_task2[[SubPLOs]:[SubPLOs]],"&lt;5")+SUMIFS(tbl_task3[S64],tbl_task3[[SubPLOs]:[SubPLOs]],"&gt;=4",tbl_task3[[SubPLOs]:[SubPLOs]],"&lt;5")+SUMIFS(tbl_task4[S64],tbl_task4[[SubPLOs]:[SubPLOs]],"&gt;=4",tbl_task4[[SubPLOs]:[SubPLOs]],"&lt;5")+SUMIFS(tbl_task5[S64],tbl_task5[[SubPLOs]:[SubPLOs]],"&gt;=4",tbl_task5[[SubPLOs]:[SubPLOs]],"&lt;5")+SUMIFS(tbl_task6[S64],tbl_task6[[SubPLOs]:[SubPLOs]],"&gt;=4",tbl_task6[[SubPLOs]:[SubPLOs]],"&lt;5")+SUMIFS(tbl_task7[S64],tbl_task7[[SubPLOs]:[SubPLOs]],"&gt;=4",tbl_task7[[SubPLOs]:[SubPLOs]],"&lt;5")+SUMIFS(tbl_task8[S64],tbl_task8[[SubPLOs]:[SubPLOs]],"&gt;=4",tbl_task8[[SubPLOs]:[SubPLOs]],"&lt;5")+SUMIFS(tbl_task9[S64],tbl_task9[[SubPLOs]:[SubPLOs]],"&gt;=4",tbl_task9[[SubPLOs]:[SubPLOs]],"&lt;5")+SUMIFS(tbl_task10[S64],tbl_task10[[SubPLOs]:[SubPLOs]],"&gt;=4",tbl_task10[[SubPLOs]:[SubPLOs]],"&lt;5")</f>
        <v>0</v>
      </c>
      <c r="BR183" s="41">
        <f>SUMIFS(tbl_task1[S65],tbl_task1[[SubPLOs]:[SubPLOs]],"&gt;=4",tbl_task1[[SubPLOs]:[SubPLOs]],"&lt;5")+SUMIFS(tbl_task2[S65],tbl_task2[[SubPLOs]:[SubPLOs]],"&gt;=4",tbl_task2[[SubPLOs]:[SubPLOs]],"&lt;5")+SUMIFS(tbl_task3[S65],tbl_task3[[SubPLOs]:[SubPLOs]],"&gt;=4",tbl_task3[[SubPLOs]:[SubPLOs]],"&lt;5")+SUMIFS(tbl_task4[S65],tbl_task4[[SubPLOs]:[SubPLOs]],"&gt;=4",tbl_task4[[SubPLOs]:[SubPLOs]],"&lt;5")+SUMIFS(tbl_task5[S65],tbl_task5[[SubPLOs]:[SubPLOs]],"&gt;=4",tbl_task5[[SubPLOs]:[SubPLOs]],"&lt;5")+SUMIFS(tbl_task6[S65],tbl_task6[[SubPLOs]:[SubPLOs]],"&gt;=4",tbl_task6[[SubPLOs]:[SubPLOs]],"&lt;5")+SUMIFS(tbl_task7[S65],tbl_task7[[SubPLOs]:[SubPLOs]],"&gt;=4",tbl_task7[[SubPLOs]:[SubPLOs]],"&lt;5")+SUMIFS(tbl_task8[S65],tbl_task8[[SubPLOs]:[SubPLOs]],"&gt;=4",tbl_task8[[SubPLOs]:[SubPLOs]],"&lt;5")+SUMIFS(tbl_task9[S65],tbl_task9[[SubPLOs]:[SubPLOs]],"&gt;=4",tbl_task9[[SubPLOs]:[SubPLOs]],"&lt;5")+SUMIFS(tbl_task10[S65],tbl_task10[[SubPLOs]:[SubPLOs]],"&gt;=4",tbl_task10[[SubPLOs]:[SubPLOs]],"&lt;5")</f>
        <v>0</v>
      </c>
      <c r="BS183" s="41">
        <f>SUMIFS(tbl_task1[S66],tbl_task1[[SubPLOs]:[SubPLOs]],"&gt;=4",tbl_task1[[SubPLOs]:[SubPLOs]],"&lt;5")+SUMIFS(tbl_task2[S66],tbl_task2[[SubPLOs]:[SubPLOs]],"&gt;=4",tbl_task2[[SubPLOs]:[SubPLOs]],"&lt;5")+SUMIFS(tbl_task3[S66],tbl_task3[[SubPLOs]:[SubPLOs]],"&gt;=4",tbl_task3[[SubPLOs]:[SubPLOs]],"&lt;5")+SUMIFS(tbl_task4[S66],tbl_task4[[SubPLOs]:[SubPLOs]],"&gt;=4",tbl_task4[[SubPLOs]:[SubPLOs]],"&lt;5")+SUMIFS(tbl_task5[S66],tbl_task5[[SubPLOs]:[SubPLOs]],"&gt;=4",tbl_task5[[SubPLOs]:[SubPLOs]],"&lt;5")+SUMIFS(tbl_task6[S66],tbl_task6[[SubPLOs]:[SubPLOs]],"&gt;=4",tbl_task6[[SubPLOs]:[SubPLOs]],"&lt;5")+SUMIFS(tbl_task7[S66],tbl_task7[[SubPLOs]:[SubPLOs]],"&gt;=4",tbl_task7[[SubPLOs]:[SubPLOs]],"&lt;5")+SUMIFS(tbl_task8[S66],tbl_task8[[SubPLOs]:[SubPLOs]],"&gt;=4",tbl_task8[[SubPLOs]:[SubPLOs]],"&lt;5")+SUMIFS(tbl_task9[S66],tbl_task9[[SubPLOs]:[SubPLOs]],"&gt;=4",tbl_task9[[SubPLOs]:[SubPLOs]],"&lt;5")+SUMIFS(tbl_task10[S66],tbl_task10[[SubPLOs]:[SubPLOs]],"&gt;=4",tbl_task10[[SubPLOs]:[SubPLOs]],"&lt;5")</f>
        <v>0</v>
      </c>
      <c r="BT183" s="41">
        <f>SUMIFS(tbl_task1[S67],tbl_task1[[SubPLOs]:[SubPLOs]],"&gt;=4",tbl_task1[[SubPLOs]:[SubPLOs]],"&lt;5")+SUMIFS(tbl_task2[S67],tbl_task2[[SubPLOs]:[SubPLOs]],"&gt;=4",tbl_task2[[SubPLOs]:[SubPLOs]],"&lt;5")+SUMIFS(tbl_task3[S67],tbl_task3[[SubPLOs]:[SubPLOs]],"&gt;=4",tbl_task3[[SubPLOs]:[SubPLOs]],"&lt;5")+SUMIFS(tbl_task4[S67],tbl_task4[[SubPLOs]:[SubPLOs]],"&gt;=4",tbl_task4[[SubPLOs]:[SubPLOs]],"&lt;5")+SUMIFS(tbl_task5[S67],tbl_task5[[SubPLOs]:[SubPLOs]],"&gt;=4",tbl_task5[[SubPLOs]:[SubPLOs]],"&lt;5")+SUMIFS(tbl_task6[S67],tbl_task6[[SubPLOs]:[SubPLOs]],"&gt;=4",tbl_task6[[SubPLOs]:[SubPLOs]],"&lt;5")+SUMIFS(tbl_task7[S67],tbl_task7[[SubPLOs]:[SubPLOs]],"&gt;=4",tbl_task7[[SubPLOs]:[SubPLOs]],"&lt;5")+SUMIFS(tbl_task8[S67],tbl_task8[[SubPLOs]:[SubPLOs]],"&gt;=4",tbl_task8[[SubPLOs]:[SubPLOs]],"&lt;5")+SUMIFS(tbl_task9[S67],tbl_task9[[SubPLOs]:[SubPLOs]],"&gt;=4",tbl_task9[[SubPLOs]:[SubPLOs]],"&lt;5")+SUMIFS(tbl_task10[S67],tbl_task10[[SubPLOs]:[SubPLOs]],"&gt;=4",tbl_task10[[SubPLOs]:[SubPLOs]],"&lt;5")</f>
        <v>0</v>
      </c>
      <c r="BU183" s="41">
        <f>SUMIFS(tbl_task1[S68],tbl_task1[[SubPLOs]:[SubPLOs]],"&gt;=4",tbl_task1[[SubPLOs]:[SubPLOs]],"&lt;5")+SUMIFS(tbl_task2[S68],tbl_task2[[SubPLOs]:[SubPLOs]],"&gt;=4",tbl_task2[[SubPLOs]:[SubPLOs]],"&lt;5")+SUMIFS(tbl_task3[S68],tbl_task3[[SubPLOs]:[SubPLOs]],"&gt;=4",tbl_task3[[SubPLOs]:[SubPLOs]],"&lt;5")+SUMIFS(tbl_task4[S68],tbl_task4[[SubPLOs]:[SubPLOs]],"&gt;=4",tbl_task4[[SubPLOs]:[SubPLOs]],"&lt;5")+SUMIFS(tbl_task5[S68],tbl_task5[[SubPLOs]:[SubPLOs]],"&gt;=4",tbl_task5[[SubPLOs]:[SubPLOs]],"&lt;5")+SUMIFS(tbl_task6[S68],tbl_task6[[SubPLOs]:[SubPLOs]],"&gt;=4",tbl_task6[[SubPLOs]:[SubPLOs]],"&lt;5")+SUMIFS(tbl_task7[S68],tbl_task7[[SubPLOs]:[SubPLOs]],"&gt;=4",tbl_task7[[SubPLOs]:[SubPLOs]],"&lt;5")+SUMIFS(tbl_task8[S68],tbl_task8[[SubPLOs]:[SubPLOs]],"&gt;=4",tbl_task8[[SubPLOs]:[SubPLOs]],"&lt;5")+SUMIFS(tbl_task9[S68],tbl_task9[[SubPLOs]:[SubPLOs]],"&gt;=4",tbl_task9[[SubPLOs]:[SubPLOs]],"&lt;5")+SUMIFS(tbl_task10[S68],tbl_task10[[SubPLOs]:[SubPLOs]],"&gt;=4",tbl_task10[[SubPLOs]:[SubPLOs]],"&lt;5")</f>
        <v>0</v>
      </c>
      <c r="BV183" s="41">
        <f>SUMIFS(tbl_task1[S69],tbl_task1[[SubPLOs]:[SubPLOs]],"&gt;=4",tbl_task1[[SubPLOs]:[SubPLOs]],"&lt;5")+SUMIFS(tbl_task2[S69],tbl_task2[[SubPLOs]:[SubPLOs]],"&gt;=4",tbl_task2[[SubPLOs]:[SubPLOs]],"&lt;5")+SUMIFS(tbl_task3[S69],tbl_task3[[SubPLOs]:[SubPLOs]],"&gt;=4",tbl_task3[[SubPLOs]:[SubPLOs]],"&lt;5")+SUMIFS(tbl_task4[S69],tbl_task4[[SubPLOs]:[SubPLOs]],"&gt;=4",tbl_task4[[SubPLOs]:[SubPLOs]],"&lt;5")+SUMIFS(tbl_task5[S69],tbl_task5[[SubPLOs]:[SubPLOs]],"&gt;=4",tbl_task5[[SubPLOs]:[SubPLOs]],"&lt;5")+SUMIFS(tbl_task6[S69],tbl_task6[[SubPLOs]:[SubPLOs]],"&gt;=4",tbl_task6[[SubPLOs]:[SubPLOs]],"&lt;5")+SUMIFS(tbl_task7[S69],tbl_task7[[SubPLOs]:[SubPLOs]],"&gt;=4",tbl_task7[[SubPLOs]:[SubPLOs]],"&lt;5")+SUMIFS(tbl_task8[S69],tbl_task8[[SubPLOs]:[SubPLOs]],"&gt;=4",tbl_task8[[SubPLOs]:[SubPLOs]],"&lt;5")+SUMIFS(tbl_task9[S69],tbl_task9[[SubPLOs]:[SubPLOs]],"&gt;=4",tbl_task9[[SubPLOs]:[SubPLOs]],"&lt;5")+SUMIFS(tbl_task10[S69],tbl_task10[[SubPLOs]:[SubPLOs]],"&gt;=4",tbl_task10[[SubPLOs]:[SubPLOs]],"&lt;5")</f>
        <v>0</v>
      </c>
      <c r="BW183" s="41">
        <f>SUMIFS(tbl_task1[S70],tbl_task1[[SubPLOs]:[SubPLOs]],"&gt;=4",tbl_task1[[SubPLOs]:[SubPLOs]],"&lt;5")+SUMIFS(tbl_task2[S70],tbl_task2[[SubPLOs]:[SubPLOs]],"&gt;=4",tbl_task2[[SubPLOs]:[SubPLOs]],"&lt;5")+SUMIFS(tbl_task3[S70],tbl_task3[[SubPLOs]:[SubPLOs]],"&gt;=4",tbl_task3[[SubPLOs]:[SubPLOs]],"&lt;5")+SUMIFS(tbl_task4[S70],tbl_task4[[SubPLOs]:[SubPLOs]],"&gt;=4",tbl_task4[[SubPLOs]:[SubPLOs]],"&lt;5")+SUMIFS(tbl_task5[S70],tbl_task5[[SubPLOs]:[SubPLOs]],"&gt;=4",tbl_task5[[SubPLOs]:[SubPLOs]],"&lt;5")+SUMIFS(tbl_task6[S70],tbl_task6[[SubPLOs]:[SubPLOs]],"&gt;=4",tbl_task6[[SubPLOs]:[SubPLOs]],"&lt;5")+SUMIFS(tbl_task7[S70],tbl_task7[[SubPLOs]:[SubPLOs]],"&gt;=4",tbl_task7[[SubPLOs]:[SubPLOs]],"&lt;5")+SUMIFS(tbl_task8[S70],tbl_task8[[SubPLOs]:[SubPLOs]],"&gt;=4",tbl_task8[[SubPLOs]:[SubPLOs]],"&lt;5")+SUMIFS(tbl_task9[S70],tbl_task9[[SubPLOs]:[SubPLOs]],"&gt;=4",tbl_task9[[SubPLOs]:[SubPLOs]],"&lt;5")+SUMIFS(tbl_task10[S70],tbl_task10[[SubPLOs]:[SubPLOs]],"&gt;=4",tbl_task10[[SubPLOs]:[SubPLOs]],"&lt;5")</f>
        <v>0</v>
      </c>
      <c r="BX183" s="41">
        <f>SUMIFS(tbl_task1[S71],tbl_task1[[SubPLOs]:[SubPLOs]],"&gt;=4",tbl_task1[[SubPLOs]:[SubPLOs]],"&lt;5")+SUMIFS(tbl_task2[S71],tbl_task2[[SubPLOs]:[SubPLOs]],"&gt;=4",tbl_task2[[SubPLOs]:[SubPLOs]],"&lt;5")+SUMIFS(tbl_task3[S71],tbl_task3[[SubPLOs]:[SubPLOs]],"&gt;=4",tbl_task3[[SubPLOs]:[SubPLOs]],"&lt;5")+SUMIFS(tbl_task4[S71],tbl_task4[[SubPLOs]:[SubPLOs]],"&gt;=4",tbl_task4[[SubPLOs]:[SubPLOs]],"&lt;5")+SUMIFS(tbl_task5[S71],tbl_task5[[SubPLOs]:[SubPLOs]],"&gt;=4",tbl_task5[[SubPLOs]:[SubPLOs]],"&lt;5")+SUMIFS(tbl_task6[S71],tbl_task6[[SubPLOs]:[SubPLOs]],"&gt;=4",tbl_task6[[SubPLOs]:[SubPLOs]],"&lt;5")+SUMIFS(tbl_task7[S71],tbl_task7[[SubPLOs]:[SubPLOs]],"&gt;=4",tbl_task7[[SubPLOs]:[SubPLOs]],"&lt;5")+SUMIFS(tbl_task8[S71],tbl_task8[[SubPLOs]:[SubPLOs]],"&gt;=4",tbl_task8[[SubPLOs]:[SubPLOs]],"&lt;5")+SUMIFS(tbl_task9[S71],tbl_task9[[SubPLOs]:[SubPLOs]],"&gt;=4",tbl_task9[[SubPLOs]:[SubPLOs]],"&lt;5")+SUMIFS(tbl_task10[S71],tbl_task10[[SubPLOs]:[SubPLOs]],"&gt;=4",tbl_task10[[SubPLOs]:[SubPLOs]],"&lt;5")</f>
        <v>0</v>
      </c>
      <c r="BY183" s="41">
        <f>SUMIFS(tbl_task1[S72],tbl_task1[[SubPLOs]:[SubPLOs]],"&gt;=4",tbl_task1[[SubPLOs]:[SubPLOs]],"&lt;5")+SUMIFS(tbl_task2[S72],tbl_task2[[SubPLOs]:[SubPLOs]],"&gt;=4",tbl_task2[[SubPLOs]:[SubPLOs]],"&lt;5")+SUMIFS(tbl_task3[S72],tbl_task3[[SubPLOs]:[SubPLOs]],"&gt;=4",tbl_task3[[SubPLOs]:[SubPLOs]],"&lt;5")+SUMIFS(tbl_task4[S72],tbl_task4[[SubPLOs]:[SubPLOs]],"&gt;=4",tbl_task4[[SubPLOs]:[SubPLOs]],"&lt;5")+SUMIFS(tbl_task5[S72],tbl_task5[[SubPLOs]:[SubPLOs]],"&gt;=4",tbl_task5[[SubPLOs]:[SubPLOs]],"&lt;5")+SUMIFS(tbl_task6[S72],tbl_task6[[SubPLOs]:[SubPLOs]],"&gt;=4",tbl_task6[[SubPLOs]:[SubPLOs]],"&lt;5")+SUMIFS(tbl_task7[S72],tbl_task7[[SubPLOs]:[SubPLOs]],"&gt;=4",tbl_task7[[SubPLOs]:[SubPLOs]],"&lt;5")+SUMIFS(tbl_task8[S72],tbl_task8[[SubPLOs]:[SubPLOs]],"&gt;=4",tbl_task8[[SubPLOs]:[SubPLOs]],"&lt;5")+SUMIFS(tbl_task9[S72],tbl_task9[[SubPLOs]:[SubPLOs]],"&gt;=4",tbl_task9[[SubPLOs]:[SubPLOs]],"&lt;5")+SUMIFS(tbl_task10[S72],tbl_task10[[SubPLOs]:[SubPLOs]],"&gt;=4",tbl_task10[[SubPLOs]:[SubPLOs]],"&lt;5")</f>
        <v>0</v>
      </c>
      <c r="BZ183" s="41">
        <f>SUMIFS(tbl_task1[S73],tbl_task1[[SubPLOs]:[SubPLOs]],"&gt;=4",tbl_task1[[SubPLOs]:[SubPLOs]],"&lt;5")+SUMIFS(tbl_task2[S73],tbl_task2[[SubPLOs]:[SubPLOs]],"&gt;=4",tbl_task2[[SubPLOs]:[SubPLOs]],"&lt;5")+SUMIFS(tbl_task3[S73],tbl_task3[[SubPLOs]:[SubPLOs]],"&gt;=4",tbl_task3[[SubPLOs]:[SubPLOs]],"&lt;5")+SUMIFS(tbl_task4[S73],tbl_task4[[SubPLOs]:[SubPLOs]],"&gt;=4",tbl_task4[[SubPLOs]:[SubPLOs]],"&lt;5")+SUMIFS(tbl_task5[S73],tbl_task5[[SubPLOs]:[SubPLOs]],"&gt;=4",tbl_task5[[SubPLOs]:[SubPLOs]],"&lt;5")+SUMIFS(tbl_task6[S73],tbl_task6[[SubPLOs]:[SubPLOs]],"&gt;=4",tbl_task6[[SubPLOs]:[SubPLOs]],"&lt;5")+SUMIFS(tbl_task7[S73],tbl_task7[[SubPLOs]:[SubPLOs]],"&gt;=4",tbl_task7[[SubPLOs]:[SubPLOs]],"&lt;5")+SUMIFS(tbl_task8[S73],tbl_task8[[SubPLOs]:[SubPLOs]],"&gt;=4",tbl_task8[[SubPLOs]:[SubPLOs]],"&lt;5")+SUMIFS(tbl_task9[S73],tbl_task9[[SubPLOs]:[SubPLOs]],"&gt;=4",tbl_task9[[SubPLOs]:[SubPLOs]],"&lt;5")+SUMIFS(tbl_task10[S73],tbl_task10[[SubPLOs]:[SubPLOs]],"&gt;=4",tbl_task10[[SubPLOs]:[SubPLOs]],"&lt;5")</f>
        <v>0</v>
      </c>
      <c r="CA183" s="41">
        <f>SUMIFS(tbl_task1[S74],tbl_task1[[SubPLOs]:[SubPLOs]],"&gt;=4",tbl_task1[[SubPLOs]:[SubPLOs]],"&lt;5")+SUMIFS(tbl_task2[S74],tbl_task2[[SubPLOs]:[SubPLOs]],"&gt;=4",tbl_task2[[SubPLOs]:[SubPLOs]],"&lt;5")+SUMIFS(tbl_task3[S74],tbl_task3[[SubPLOs]:[SubPLOs]],"&gt;=4",tbl_task3[[SubPLOs]:[SubPLOs]],"&lt;5")+SUMIFS(tbl_task4[S74],tbl_task4[[SubPLOs]:[SubPLOs]],"&gt;=4",tbl_task4[[SubPLOs]:[SubPLOs]],"&lt;5")+SUMIFS(tbl_task5[S74],tbl_task5[[SubPLOs]:[SubPLOs]],"&gt;=4",tbl_task5[[SubPLOs]:[SubPLOs]],"&lt;5")+SUMIFS(tbl_task6[S74],tbl_task6[[SubPLOs]:[SubPLOs]],"&gt;=4",tbl_task6[[SubPLOs]:[SubPLOs]],"&lt;5")+SUMIFS(tbl_task7[S74],tbl_task7[[SubPLOs]:[SubPLOs]],"&gt;=4",tbl_task7[[SubPLOs]:[SubPLOs]],"&lt;5")+SUMIFS(tbl_task8[S74],tbl_task8[[SubPLOs]:[SubPLOs]],"&gt;=4",tbl_task8[[SubPLOs]:[SubPLOs]],"&lt;5")+SUMIFS(tbl_task9[S74],tbl_task9[[SubPLOs]:[SubPLOs]],"&gt;=4",tbl_task9[[SubPLOs]:[SubPLOs]],"&lt;5")+SUMIFS(tbl_task10[S74],tbl_task10[[SubPLOs]:[SubPLOs]],"&gt;=4",tbl_task10[[SubPLOs]:[SubPLOs]],"&lt;5")</f>
        <v>0</v>
      </c>
      <c r="CB183" s="41">
        <f>SUMIFS(tbl_task1[S75],tbl_task1[[SubPLOs]:[SubPLOs]],"&gt;=4",tbl_task1[[SubPLOs]:[SubPLOs]],"&lt;5")+SUMIFS(tbl_task2[S75],tbl_task2[[SubPLOs]:[SubPLOs]],"&gt;=4",tbl_task2[[SubPLOs]:[SubPLOs]],"&lt;5")+SUMIFS(tbl_task3[S75],tbl_task3[[SubPLOs]:[SubPLOs]],"&gt;=4",tbl_task3[[SubPLOs]:[SubPLOs]],"&lt;5")+SUMIFS(tbl_task4[S75],tbl_task4[[SubPLOs]:[SubPLOs]],"&gt;=4",tbl_task4[[SubPLOs]:[SubPLOs]],"&lt;5")+SUMIFS(tbl_task5[S75],tbl_task5[[SubPLOs]:[SubPLOs]],"&gt;=4",tbl_task5[[SubPLOs]:[SubPLOs]],"&lt;5")+SUMIFS(tbl_task6[S75],tbl_task6[[SubPLOs]:[SubPLOs]],"&gt;=4",tbl_task6[[SubPLOs]:[SubPLOs]],"&lt;5")+SUMIFS(tbl_task7[S75],tbl_task7[[SubPLOs]:[SubPLOs]],"&gt;=4",tbl_task7[[SubPLOs]:[SubPLOs]],"&lt;5")+SUMIFS(tbl_task8[S75],tbl_task8[[SubPLOs]:[SubPLOs]],"&gt;=4",tbl_task8[[SubPLOs]:[SubPLOs]],"&lt;5")+SUMIFS(tbl_task9[S75],tbl_task9[[SubPLOs]:[SubPLOs]],"&gt;=4",tbl_task9[[SubPLOs]:[SubPLOs]],"&lt;5")+SUMIFS(tbl_task10[S75],tbl_task10[[SubPLOs]:[SubPLOs]],"&gt;=4",tbl_task10[[SubPLOs]:[SubPLOs]],"&lt;5")</f>
        <v>0</v>
      </c>
      <c r="CC183" s="41">
        <f>SUMIFS(tbl_task1[S76],tbl_task1[[SubPLOs]:[SubPLOs]],"&gt;=4",tbl_task1[[SubPLOs]:[SubPLOs]],"&lt;5")+SUMIFS(tbl_task2[S76],tbl_task2[[SubPLOs]:[SubPLOs]],"&gt;=4",tbl_task2[[SubPLOs]:[SubPLOs]],"&lt;5")+SUMIFS(tbl_task3[S76],tbl_task3[[SubPLOs]:[SubPLOs]],"&gt;=4",tbl_task3[[SubPLOs]:[SubPLOs]],"&lt;5")+SUMIFS(tbl_task4[S76],tbl_task4[[SubPLOs]:[SubPLOs]],"&gt;=4",tbl_task4[[SubPLOs]:[SubPLOs]],"&lt;5")+SUMIFS(tbl_task5[S76],tbl_task5[[SubPLOs]:[SubPLOs]],"&gt;=4",tbl_task5[[SubPLOs]:[SubPLOs]],"&lt;5")+SUMIFS(tbl_task6[S76],tbl_task6[[SubPLOs]:[SubPLOs]],"&gt;=4",tbl_task6[[SubPLOs]:[SubPLOs]],"&lt;5")+SUMIFS(tbl_task7[S76],tbl_task7[[SubPLOs]:[SubPLOs]],"&gt;=4",tbl_task7[[SubPLOs]:[SubPLOs]],"&lt;5")+SUMIFS(tbl_task8[S76],tbl_task8[[SubPLOs]:[SubPLOs]],"&gt;=4",tbl_task8[[SubPLOs]:[SubPLOs]],"&lt;5")+SUMIFS(tbl_task9[S76],tbl_task9[[SubPLOs]:[SubPLOs]],"&gt;=4",tbl_task9[[SubPLOs]:[SubPLOs]],"&lt;5")+SUMIFS(tbl_task10[S76],tbl_task10[[SubPLOs]:[SubPLOs]],"&gt;=4",tbl_task10[[SubPLOs]:[SubPLOs]],"&lt;5")</f>
        <v>0</v>
      </c>
      <c r="CD183" s="41">
        <f>SUMIFS(tbl_task1[S77],tbl_task1[[SubPLOs]:[SubPLOs]],"&gt;=4",tbl_task1[[SubPLOs]:[SubPLOs]],"&lt;5")+SUMIFS(tbl_task2[S77],tbl_task2[[SubPLOs]:[SubPLOs]],"&gt;=4",tbl_task2[[SubPLOs]:[SubPLOs]],"&lt;5")+SUMIFS(tbl_task3[S77],tbl_task3[[SubPLOs]:[SubPLOs]],"&gt;=4",tbl_task3[[SubPLOs]:[SubPLOs]],"&lt;5")+SUMIFS(tbl_task4[S77],tbl_task4[[SubPLOs]:[SubPLOs]],"&gt;=4",tbl_task4[[SubPLOs]:[SubPLOs]],"&lt;5")+SUMIFS(tbl_task5[S77],tbl_task5[[SubPLOs]:[SubPLOs]],"&gt;=4",tbl_task5[[SubPLOs]:[SubPLOs]],"&lt;5")+SUMIFS(tbl_task6[S77],tbl_task6[[SubPLOs]:[SubPLOs]],"&gt;=4",tbl_task6[[SubPLOs]:[SubPLOs]],"&lt;5")+SUMIFS(tbl_task7[S77],tbl_task7[[SubPLOs]:[SubPLOs]],"&gt;=4",tbl_task7[[SubPLOs]:[SubPLOs]],"&lt;5")+SUMIFS(tbl_task8[S77],tbl_task8[[SubPLOs]:[SubPLOs]],"&gt;=4",tbl_task8[[SubPLOs]:[SubPLOs]],"&lt;5")+SUMIFS(tbl_task9[S77],tbl_task9[[SubPLOs]:[SubPLOs]],"&gt;=4",tbl_task9[[SubPLOs]:[SubPLOs]],"&lt;5")+SUMIFS(tbl_task10[S77],tbl_task10[[SubPLOs]:[SubPLOs]],"&gt;=4",tbl_task10[[SubPLOs]:[SubPLOs]],"&lt;5")</f>
        <v>0</v>
      </c>
      <c r="CE183" s="41">
        <f>SUMIFS(tbl_task1[S78],tbl_task1[[SubPLOs]:[SubPLOs]],"&gt;=4",tbl_task1[[SubPLOs]:[SubPLOs]],"&lt;5")+SUMIFS(tbl_task2[S78],tbl_task2[[SubPLOs]:[SubPLOs]],"&gt;=4",tbl_task2[[SubPLOs]:[SubPLOs]],"&lt;5")+SUMIFS(tbl_task3[S78],tbl_task3[[SubPLOs]:[SubPLOs]],"&gt;=4",tbl_task3[[SubPLOs]:[SubPLOs]],"&lt;5")+SUMIFS(tbl_task4[S78],tbl_task4[[SubPLOs]:[SubPLOs]],"&gt;=4",tbl_task4[[SubPLOs]:[SubPLOs]],"&lt;5")+SUMIFS(tbl_task5[S78],tbl_task5[[SubPLOs]:[SubPLOs]],"&gt;=4",tbl_task5[[SubPLOs]:[SubPLOs]],"&lt;5")+SUMIFS(tbl_task6[S78],tbl_task6[[SubPLOs]:[SubPLOs]],"&gt;=4",tbl_task6[[SubPLOs]:[SubPLOs]],"&lt;5")+SUMIFS(tbl_task7[S78],tbl_task7[[SubPLOs]:[SubPLOs]],"&gt;=4",tbl_task7[[SubPLOs]:[SubPLOs]],"&lt;5")+SUMIFS(tbl_task8[S78],tbl_task8[[SubPLOs]:[SubPLOs]],"&gt;=4",tbl_task8[[SubPLOs]:[SubPLOs]],"&lt;5")+SUMIFS(tbl_task9[S78],tbl_task9[[SubPLOs]:[SubPLOs]],"&gt;=4",tbl_task9[[SubPLOs]:[SubPLOs]],"&lt;5")+SUMIFS(tbl_task10[S78],tbl_task10[[SubPLOs]:[SubPLOs]],"&gt;=4",tbl_task10[[SubPLOs]:[SubPLOs]],"&lt;5")</f>
        <v>0</v>
      </c>
      <c r="CF183" s="41">
        <f>SUMIFS(tbl_task1[S79],tbl_task1[[SubPLOs]:[SubPLOs]],"&gt;=4",tbl_task1[[SubPLOs]:[SubPLOs]],"&lt;5")+SUMIFS(tbl_task2[S79],tbl_task2[[SubPLOs]:[SubPLOs]],"&gt;=4",tbl_task2[[SubPLOs]:[SubPLOs]],"&lt;5")+SUMIFS(tbl_task3[S79],tbl_task3[[SubPLOs]:[SubPLOs]],"&gt;=4",tbl_task3[[SubPLOs]:[SubPLOs]],"&lt;5")+SUMIFS(tbl_task4[S79],tbl_task4[[SubPLOs]:[SubPLOs]],"&gt;=4",tbl_task4[[SubPLOs]:[SubPLOs]],"&lt;5")+SUMIFS(tbl_task5[S79],tbl_task5[[SubPLOs]:[SubPLOs]],"&gt;=4",tbl_task5[[SubPLOs]:[SubPLOs]],"&lt;5")+SUMIFS(tbl_task6[S79],tbl_task6[[SubPLOs]:[SubPLOs]],"&gt;=4",tbl_task6[[SubPLOs]:[SubPLOs]],"&lt;5")+SUMIFS(tbl_task7[S79],tbl_task7[[SubPLOs]:[SubPLOs]],"&gt;=4",tbl_task7[[SubPLOs]:[SubPLOs]],"&lt;5")+SUMIFS(tbl_task8[S79],tbl_task8[[SubPLOs]:[SubPLOs]],"&gt;=4",tbl_task8[[SubPLOs]:[SubPLOs]],"&lt;5")+SUMIFS(tbl_task9[S79],tbl_task9[[SubPLOs]:[SubPLOs]],"&gt;=4",tbl_task9[[SubPLOs]:[SubPLOs]],"&lt;5")+SUMIFS(tbl_task10[S79],tbl_task10[[SubPLOs]:[SubPLOs]],"&gt;=4",tbl_task10[[SubPLOs]:[SubPLOs]],"&lt;5")</f>
        <v>0</v>
      </c>
      <c r="CG183" s="41">
        <f>SUMIFS(tbl_task1[S80],tbl_task1[[SubPLOs]:[SubPLOs]],"&gt;=4",tbl_task1[[SubPLOs]:[SubPLOs]],"&lt;5")+SUMIFS(tbl_task2[S80],tbl_task2[[SubPLOs]:[SubPLOs]],"&gt;=4",tbl_task2[[SubPLOs]:[SubPLOs]],"&lt;5")+SUMIFS(tbl_task3[S80],tbl_task3[[SubPLOs]:[SubPLOs]],"&gt;=4",tbl_task3[[SubPLOs]:[SubPLOs]],"&lt;5")+SUMIFS(tbl_task4[S80],tbl_task4[[SubPLOs]:[SubPLOs]],"&gt;=4",tbl_task4[[SubPLOs]:[SubPLOs]],"&lt;5")+SUMIFS(tbl_task5[S80],tbl_task5[[SubPLOs]:[SubPLOs]],"&gt;=4",tbl_task5[[SubPLOs]:[SubPLOs]],"&lt;5")+SUMIFS(tbl_task6[S80],tbl_task6[[SubPLOs]:[SubPLOs]],"&gt;=4",tbl_task6[[SubPLOs]:[SubPLOs]],"&lt;5")+SUMIFS(tbl_task7[S80],tbl_task7[[SubPLOs]:[SubPLOs]],"&gt;=4",tbl_task7[[SubPLOs]:[SubPLOs]],"&lt;5")+SUMIFS(tbl_task8[S80],tbl_task8[[SubPLOs]:[SubPLOs]],"&gt;=4",tbl_task8[[SubPLOs]:[SubPLOs]],"&lt;5")+SUMIFS(tbl_task9[S80],tbl_task9[[SubPLOs]:[SubPLOs]],"&gt;=4",tbl_task9[[SubPLOs]:[SubPLOs]],"&lt;5")+SUMIFS(tbl_task10[S80],tbl_task10[[SubPLOs]:[SubPLOs]],"&gt;=4",tbl_task10[[SubPLOs]:[SubPLOs]],"&lt;5")</f>
        <v>0</v>
      </c>
      <c r="CH183" s="41">
        <f>SUMIFS(tbl_task1[S81],tbl_task1[[SubPLOs]:[SubPLOs]],"&gt;=4",tbl_task1[[SubPLOs]:[SubPLOs]],"&lt;5")+SUMIFS(tbl_task2[S81],tbl_task2[[SubPLOs]:[SubPLOs]],"&gt;=4",tbl_task2[[SubPLOs]:[SubPLOs]],"&lt;5")+SUMIFS(tbl_task3[S81],tbl_task3[[SubPLOs]:[SubPLOs]],"&gt;=4",tbl_task3[[SubPLOs]:[SubPLOs]],"&lt;5")+SUMIFS(tbl_task4[S81],tbl_task4[[SubPLOs]:[SubPLOs]],"&gt;=4",tbl_task4[[SubPLOs]:[SubPLOs]],"&lt;5")+SUMIFS(tbl_task5[S81],tbl_task5[[SubPLOs]:[SubPLOs]],"&gt;=4",tbl_task5[[SubPLOs]:[SubPLOs]],"&lt;5")+SUMIFS(tbl_task6[S81],tbl_task6[[SubPLOs]:[SubPLOs]],"&gt;=4",tbl_task6[[SubPLOs]:[SubPLOs]],"&lt;5")+SUMIFS(tbl_task7[S81],tbl_task7[[SubPLOs]:[SubPLOs]],"&gt;=4",tbl_task7[[SubPLOs]:[SubPLOs]],"&lt;5")+SUMIFS(tbl_task8[S81],tbl_task8[[SubPLOs]:[SubPLOs]],"&gt;=4",tbl_task8[[SubPLOs]:[SubPLOs]],"&lt;5")+SUMIFS(tbl_task9[S81],tbl_task9[[SubPLOs]:[SubPLOs]],"&gt;=4",tbl_task9[[SubPLOs]:[SubPLOs]],"&lt;5")+SUMIFS(tbl_task10[S81],tbl_task10[[SubPLOs]:[SubPLOs]],"&gt;=4",tbl_task10[[SubPLOs]:[SubPLOs]],"&lt;5")</f>
        <v>0</v>
      </c>
      <c r="CI183" s="41">
        <f>SUMIFS(tbl_task1[S82],tbl_task1[[SubPLOs]:[SubPLOs]],"&gt;=4",tbl_task1[[SubPLOs]:[SubPLOs]],"&lt;5")+SUMIFS(tbl_task2[S82],tbl_task2[[SubPLOs]:[SubPLOs]],"&gt;=4",tbl_task2[[SubPLOs]:[SubPLOs]],"&lt;5")+SUMIFS(tbl_task3[S82],tbl_task3[[SubPLOs]:[SubPLOs]],"&gt;=4",tbl_task3[[SubPLOs]:[SubPLOs]],"&lt;5")+SUMIFS(tbl_task4[S82],tbl_task4[[SubPLOs]:[SubPLOs]],"&gt;=4",tbl_task4[[SubPLOs]:[SubPLOs]],"&lt;5")+SUMIFS(tbl_task5[S82],tbl_task5[[SubPLOs]:[SubPLOs]],"&gt;=4",tbl_task5[[SubPLOs]:[SubPLOs]],"&lt;5")+SUMIFS(tbl_task6[S82],tbl_task6[[SubPLOs]:[SubPLOs]],"&gt;=4",tbl_task6[[SubPLOs]:[SubPLOs]],"&lt;5")+SUMIFS(tbl_task7[S82],tbl_task7[[SubPLOs]:[SubPLOs]],"&gt;=4",tbl_task7[[SubPLOs]:[SubPLOs]],"&lt;5")+SUMIFS(tbl_task8[S82],tbl_task8[[SubPLOs]:[SubPLOs]],"&gt;=4",tbl_task8[[SubPLOs]:[SubPLOs]],"&lt;5")+SUMIFS(tbl_task9[S82],tbl_task9[[SubPLOs]:[SubPLOs]],"&gt;=4",tbl_task9[[SubPLOs]:[SubPLOs]],"&lt;5")+SUMIFS(tbl_task10[S82],tbl_task10[[SubPLOs]:[SubPLOs]],"&gt;=4",tbl_task10[[SubPLOs]:[SubPLOs]],"&lt;5")</f>
        <v>0</v>
      </c>
      <c r="CJ183" s="41">
        <f>SUMIFS(tbl_task1[S83],tbl_task1[[SubPLOs]:[SubPLOs]],"&gt;=4",tbl_task1[[SubPLOs]:[SubPLOs]],"&lt;5")+SUMIFS(tbl_task2[S83],tbl_task2[[SubPLOs]:[SubPLOs]],"&gt;=4",tbl_task2[[SubPLOs]:[SubPLOs]],"&lt;5")+SUMIFS(tbl_task3[S83],tbl_task3[[SubPLOs]:[SubPLOs]],"&gt;=4",tbl_task3[[SubPLOs]:[SubPLOs]],"&lt;5")+SUMIFS(tbl_task4[S83],tbl_task4[[SubPLOs]:[SubPLOs]],"&gt;=4",tbl_task4[[SubPLOs]:[SubPLOs]],"&lt;5")+SUMIFS(tbl_task5[S83],tbl_task5[[SubPLOs]:[SubPLOs]],"&gt;=4",tbl_task5[[SubPLOs]:[SubPLOs]],"&lt;5")+SUMIFS(tbl_task6[S83],tbl_task6[[SubPLOs]:[SubPLOs]],"&gt;=4",tbl_task6[[SubPLOs]:[SubPLOs]],"&lt;5")+SUMIFS(tbl_task7[S83],tbl_task7[[SubPLOs]:[SubPLOs]],"&gt;=4",tbl_task7[[SubPLOs]:[SubPLOs]],"&lt;5")+SUMIFS(tbl_task8[S83],tbl_task8[[SubPLOs]:[SubPLOs]],"&gt;=4",tbl_task8[[SubPLOs]:[SubPLOs]],"&lt;5")+SUMIFS(tbl_task9[S83],tbl_task9[[SubPLOs]:[SubPLOs]],"&gt;=4",tbl_task9[[SubPLOs]:[SubPLOs]],"&lt;5")+SUMIFS(tbl_task10[S83],tbl_task10[[SubPLOs]:[SubPLOs]],"&gt;=4",tbl_task10[[SubPLOs]:[SubPLOs]],"&lt;5")</f>
        <v>0</v>
      </c>
      <c r="CK183" s="41">
        <f>SUMIFS(tbl_task1[S84],tbl_task1[[SubPLOs]:[SubPLOs]],"&gt;=4",tbl_task1[[SubPLOs]:[SubPLOs]],"&lt;5")+SUMIFS(tbl_task2[S84],tbl_task2[[SubPLOs]:[SubPLOs]],"&gt;=4",tbl_task2[[SubPLOs]:[SubPLOs]],"&lt;5")+SUMIFS(tbl_task3[S84],tbl_task3[[SubPLOs]:[SubPLOs]],"&gt;=4",tbl_task3[[SubPLOs]:[SubPLOs]],"&lt;5")+SUMIFS(tbl_task4[S84],tbl_task4[[SubPLOs]:[SubPLOs]],"&gt;=4",tbl_task4[[SubPLOs]:[SubPLOs]],"&lt;5")+SUMIFS(tbl_task5[S84],tbl_task5[[SubPLOs]:[SubPLOs]],"&gt;=4",tbl_task5[[SubPLOs]:[SubPLOs]],"&lt;5")+SUMIFS(tbl_task6[S84],tbl_task6[[SubPLOs]:[SubPLOs]],"&gt;=4",tbl_task6[[SubPLOs]:[SubPLOs]],"&lt;5")+SUMIFS(tbl_task7[S84],tbl_task7[[SubPLOs]:[SubPLOs]],"&gt;=4",tbl_task7[[SubPLOs]:[SubPLOs]],"&lt;5")+SUMIFS(tbl_task8[S84],tbl_task8[[SubPLOs]:[SubPLOs]],"&gt;=4",tbl_task8[[SubPLOs]:[SubPLOs]],"&lt;5")+SUMIFS(tbl_task9[S84],tbl_task9[[SubPLOs]:[SubPLOs]],"&gt;=4",tbl_task9[[SubPLOs]:[SubPLOs]],"&lt;5")+SUMIFS(tbl_task10[S84],tbl_task10[[SubPLOs]:[SubPLOs]],"&gt;=4",tbl_task10[[SubPLOs]:[SubPLOs]],"&lt;5")</f>
        <v>0</v>
      </c>
      <c r="CL183" s="41">
        <f>SUMIFS(tbl_task1[S85],tbl_task1[[SubPLOs]:[SubPLOs]],"&gt;=4",tbl_task1[[SubPLOs]:[SubPLOs]],"&lt;5")+SUMIFS(tbl_task2[S85],tbl_task2[[SubPLOs]:[SubPLOs]],"&gt;=4",tbl_task2[[SubPLOs]:[SubPLOs]],"&lt;5")+SUMIFS(tbl_task3[S85],tbl_task3[[SubPLOs]:[SubPLOs]],"&gt;=4",tbl_task3[[SubPLOs]:[SubPLOs]],"&lt;5")+SUMIFS(tbl_task4[S85],tbl_task4[[SubPLOs]:[SubPLOs]],"&gt;=4",tbl_task4[[SubPLOs]:[SubPLOs]],"&lt;5")+SUMIFS(tbl_task5[S85],tbl_task5[[SubPLOs]:[SubPLOs]],"&gt;=4",tbl_task5[[SubPLOs]:[SubPLOs]],"&lt;5")+SUMIFS(tbl_task6[S85],tbl_task6[[SubPLOs]:[SubPLOs]],"&gt;=4",tbl_task6[[SubPLOs]:[SubPLOs]],"&lt;5")+SUMIFS(tbl_task7[S85],tbl_task7[[SubPLOs]:[SubPLOs]],"&gt;=4",tbl_task7[[SubPLOs]:[SubPLOs]],"&lt;5")+SUMIFS(tbl_task8[S85],tbl_task8[[SubPLOs]:[SubPLOs]],"&gt;=4",tbl_task8[[SubPLOs]:[SubPLOs]],"&lt;5")+SUMIFS(tbl_task9[S85],tbl_task9[[SubPLOs]:[SubPLOs]],"&gt;=4",tbl_task9[[SubPLOs]:[SubPLOs]],"&lt;5")+SUMIFS(tbl_task10[S85],tbl_task10[[SubPLOs]:[SubPLOs]],"&gt;=4",tbl_task10[[SubPLOs]:[SubPLOs]],"&lt;5")</f>
        <v>0</v>
      </c>
      <c r="CM183" s="41">
        <f>SUMIFS(tbl_task1[S86],tbl_task1[[SubPLOs]:[SubPLOs]],"&gt;=4",tbl_task1[[SubPLOs]:[SubPLOs]],"&lt;5")+SUMIFS(tbl_task2[S86],tbl_task2[[SubPLOs]:[SubPLOs]],"&gt;=4",tbl_task2[[SubPLOs]:[SubPLOs]],"&lt;5")+SUMIFS(tbl_task3[S86],tbl_task3[[SubPLOs]:[SubPLOs]],"&gt;=4",tbl_task3[[SubPLOs]:[SubPLOs]],"&lt;5")+SUMIFS(tbl_task4[S86],tbl_task4[[SubPLOs]:[SubPLOs]],"&gt;=4",tbl_task4[[SubPLOs]:[SubPLOs]],"&lt;5")+SUMIFS(tbl_task5[S86],tbl_task5[[SubPLOs]:[SubPLOs]],"&gt;=4",tbl_task5[[SubPLOs]:[SubPLOs]],"&lt;5")+SUMIFS(tbl_task6[S86],tbl_task6[[SubPLOs]:[SubPLOs]],"&gt;=4",tbl_task6[[SubPLOs]:[SubPLOs]],"&lt;5")+SUMIFS(tbl_task7[S86],tbl_task7[[SubPLOs]:[SubPLOs]],"&gt;=4",tbl_task7[[SubPLOs]:[SubPLOs]],"&lt;5")+SUMIFS(tbl_task8[S86],tbl_task8[[SubPLOs]:[SubPLOs]],"&gt;=4",tbl_task8[[SubPLOs]:[SubPLOs]],"&lt;5")+SUMIFS(tbl_task9[S86],tbl_task9[[SubPLOs]:[SubPLOs]],"&gt;=4",tbl_task9[[SubPLOs]:[SubPLOs]],"&lt;5")+SUMIFS(tbl_task10[S86],tbl_task10[[SubPLOs]:[SubPLOs]],"&gt;=4",tbl_task10[[SubPLOs]:[SubPLOs]],"&lt;5")</f>
        <v>0</v>
      </c>
      <c r="CN183" s="41">
        <f>SUMIFS(tbl_task1[S87],tbl_task1[[SubPLOs]:[SubPLOs]],"&gt;=4",tbl_task1[[SubPLOs]:[SubPLOs]],"&lt;5")+SUMIFS(tbl_task2[S87],tbl_task2[[SubPLOs]:[SubPLOs]],"&gt;=4",tbl_task2[[SubPLOs]:[SubPLOs]],"&lt;5")+SUMIFS(tbl_task3[S87],tbl_task3[[SubPLOs]:[SubPLOs]],"&gt;=4",tbl_task3[[SubPLOs]:[SubPLOs]],"&lt;5")+SUMIFS(tbl_task4[S87],tbl_task4[[SubPLOs]:[SubPLOs]],"&gt;=4",tbl_task4[[SubPLOs]:[SubPLOs]],"&lt;5")+SUMIFS(tbl_task5[S87],tbl_task5[[SubPLOs]:[SubPLOs]],"&gt;=4",tbl_task5[[SubPLOs]:[SubPLOs]],"&lt;5")+SUMIFS(tbl_task6[S87],tbl_task6[[SubPLOs]:[SubPLOs]],"&gt;=4",tbl_task6[[SubPLOs]:[SubPLOs]],"&lt;5")+SUMIFS(tbl_task7[S87],tbl_task7[[SubPLOs]:[SubPLOs]],"&gt;=4",tbl_task7[[SubPLOs]:[SubPLOs]],"&lt;5")+SUMIFS(tbl_task8[S87],tbl_task8[[SubPLOs]:[SubPLOs]],"&gt;=4",tbl_task8[[SubPLOs]:[SubPLOs]],"&lt;5")+SUMIFS(tbl_task9[S87],tbl_task9[[SubPLOs]:[SubPLOs]],"&gt;=4",tbl_task9[[SubPLOs]:[SubPLOs]],"&lt;5")+SUMIFS(tbl_task10[S87],tbl_task10[[SubPLOs]:[SubPLOs]],"&gt;=4",tbl_task10[[SubPLOs]:[SubPLOs]],"&lt;5")</f>
        <v>0</v>
      </c>
      <c r="CO183" s="41">
        <f>SUMIFS(tbl_task1[S88],tbl_task1[[SubPLOs]:[SubPLOs]],"&gt;=4",tbl_task1[[SubPLOs]:[SubPLOs]],"&lt;5")+SUMIFS(tbl_task2[S88],tbl_task2[[SubPLOs]:[SubPLOs]],"&gt;=4",tbl_task2[[SubPLOs]:[SubPLOs]],"&lt;5")+SUMIFS(tbl_task3[S88],tbl_task3[[SubPLOs]:[SubPLOs]],"&gt;=4",tbl_task3[[SubPLOs]:[SubPLOs]],"&lt;5")+SUMIFS(tbl_task4[S88],tbl_task4[[SubPLOs]:[SubPLOs]],"&gt;=4",tbl_task4[[SubPLOs]:[SubPLOs]],"&lt;5")+SUMIFS(tbl_task5[S88],tbl_task5[[SubPLOs]:[SubPLOs]],"&gt;=4",tbl_task5[[SubPLOs]:[SubPLOs]],"&lt;5")+SUMIFS(tbl_task6[S88],tbl_task6[[SubPLOs]:[SubPLOs]],"&gt;=4",tbl_task6[[SubPLOs]:[SubPLOs]],"&lt;5")+SUMIFS(tbl_task7[S88],tbl_task7[[SubPLOs]:[SubPLOs]],"&gt;=4",tbl_task7[[SubPLOs]:[SubPLOs]],"&lt;5")+SUMIFS(tbl_task8[S88],tbl_task8[[SubPLOs]:[SubPLOs]],"&gt;=4",tbl_task8[[SubPLOs]:[SubPLOs]],"&lt;5")+SUMIFS(tbl_task9[S88],tbl_task9[[SubPLOs]:[SubPLOs]],"&gt;=4",tbl_task9[[SubPLOs]:[SubPLOs]],"&lt;5")+SUMIFS(tbl_task10[S88],tbl_task10[[SubPLOs]:[SubPLOs]],"&gt;=4",tbl_task10[[SubPLOs]:[SubPLOs]],"&lt;5")</f>
        <v>0</v>
      </c>
      <c r="CP183" s="41">
        <f>SUMIFS(tbl_task1[S89],tbl_task1[[SubPLOs]:[SubPLOs]],"&gt;=4",tbl_task1[[SubPLOs]:[SubPLOs]],"&lt;5")+SUMIFS(tbl_task2[S89],tbl_task2[[SubPLOs]:[SubPLOs]],"&gt;=4",tbl_task2[[SubPLOs]:[SubPLOs]],"&lt;5")+SUMIFS(tbl_task3[S89],tbl_task3[[SubPLOs]:[SubPLOs]],"&gt;=4",tbl_task3[[SubPLOs]:[SubPLOs]],"&lt;5")+SUMIFS(tbl_task4[S89],tbl_task4[[SubPLOs]:[SubPLOs]],"&gt;=4",tbl_task4[[SubPLOs]:[SubPLOs]],"&lt;5")+SUMIFS(tbl_task5[S89],tbl_task5[[SubPLOs]:[SubPLOs]],"&gt;=4",tbl_task5[[SubPLOs]:[SubPLOs]],"&lt;5")+SUMIFS(tbl_task6[S89],tbl_task6[[SubPLOs]:[SubPLOs]],"&gt;=4",tbl_task6[[SubPLOs]:[SubPLOs]],"&lt;5")+SUMIFS(tbl_task7[S89],tbl_task7[[SubPLOs]:[SubPLOs]],"&gt;=4",tbl_task7[[SubPLOs]:[SubPLOs]],"&lt;5")+SUMIFS(tbl_task8[S89],tbl_task8[[SubPLOs]:[SubPLOs]],"&gt;=4",tbl_task8[[SubPLOs]:[SubPLOs]],"&lt;5")+SUMIFS(tbl_task9[S89],tbl_task9[[SubPLOs]:[SubPLOs]],"&gt;=4",tbl_task9[[SubPLOs]:[SubPLOs]],"&lt;5")+SUMIFS(tbl_task10[S89],tbl_task10[[SubPLOs]:[SubPLOs]],"&gt;=4",tbl_task10[[SubPLOs]:[SubPLOs]],"&lt;5")</f>
        <v>0</v>
      </c>
      <c r="CQ183" s="41">
        <f>SUMIFS(tbl_task1[S90],tbl_task1[[SubPLOs]:[SubPLOs]],"&gt;=4",tbl_task1[[SubPLOs]:[SubPLOs]],"&lt;5")+SUMIFS(tbl_task2[S90],tbl_task2[[SubPLOs]:[SubPLOs]],"&gt;=4",tbl_task2[[SubPLOs]:[SubPLOs]],"&lt;5")+SUMIFS(tbl_task3[S90],tbl_task3[[SubPLOs]:[SubPLOs]],"&gt;=4",tbl_task3[[SubPLOs]:[SubPLOs]],"&lt;5")+SUMIFS(tbl_task4[S90],tbl_task4[[SubPLOs]:[SubPLOs]],"&gt;=4",tbl_task4[[SubPLOs]:[SubPLOs]],"&lt;5")+SUMIFS(tbl_task5[S90],tbl_task5[[SubPLOs]:[SubPLOs]],"&gt;=4",tbl_task5[[SubPLOs]:[SubPLOs]],"&lt;5")+SUMIFS(tbl_task6[S90],tbl_task6[[SubPLOs]:[SubPLOs]],"&gt;=4",tbl_task6[[SubPLOs]:[SubPLOs]],"&lt;5")+SUMIFS(tbl_task7[S90],tbl_task7[[SubPLOs]:[SubPLOs]],"&gt;=4",tbl_task7[[SubPLOs]:[SubPLOs]],"&lt;5")+SUMIFS(tbl_task8[S90],tbl_task8[[SubPLOs]:[SubPLOs]],"&gt;=4",tbl_task8[[SubPLOs]:[SubPLOs]],"&lt;5")+SUMIFS(tbl_task9[S90],tbl_task9[[SubPLOs]:[SubPLOs]],"&gt;=4",tbl_task9[[SubPLOs]:[SubPLOs]],"&lt;5")+SUMIFS(tbl_task10[S90],tbl_task10[[SubPLOs]:[SubPLOs]],"&gt;=4",tbl_task10[[SubPLOs]:[SubPLOs]],"&lt;5")</f>
        <v>0</v>
      </c>
      <c r="CR183" s="41">
        <f>SUMIFS(tbl_task1[S91],tbl_task1[[SubPLOs]:[SubPLOs]],"&gt;=4",tbl_task1[[SubPLOs]:[SubPLOs]],"&lt;5")+SUMIFS(tbl_task2[S91],tbl_task2[[SubPLOs]:[SubPLOs]],"&gt;=4",tbl_task2[[SubPLOs]:[SubPLOs]],"&lt;5")+SUMIFS(tbl_task3[S91],tbl_task3[[SubPLOs]:[SubPLOs]],"&gt;=4",tbl_task3[[SubPLOs]:[SubPLOs]],"&lt;5")+SUMIFS(tbl_task4[S91],tbl_task4[[SubPLOs]:[SubPLOs]],"&gt;=4",tbl_task4[[SubPLOs]:[SubPLOs]],"&lt;5")+SUMIFS(tbl_task5[S91],tbl_task5[[SubPLOs]:[SubPLOs]],"&gt;=4",tbl_task5[[SubPLOs]:[SubPLOs]],"&lt;5")+SUMIFS(tbl_task6[S91],tbl_task6[[SubPLOs]:[SubPLOs]],"&gt;=4",tbl_task6[[SubPLOs]:[SubPLOs]],"&lt;5")+SUMIFS(tbl_task7[S91],tbl_task7[[SubPLOs]:[SubPLOs]],"&gt;=4",tbl_task7[[SubPLOs]:[SubPLOs]],"&lt;5")+SUMIFS(tbl_task8[S91],tbl_task8[[SubPLOs]:[SubPLOs]],"&gt;=4",tbl_task8[[SubPLOs]:[SubPLOs]],"&lt;5")+SUMIFS(tbl_task9[S91],tbl_task9[[SubPLOs]:[SubPLOs]],"&gt;=4",tbl_task9[[SubPLOs]:[SubPLOs]],"&lt;5")+SUMIFS(tbl_task10[S91],tbl_task10[[SubPLOs]:[SubPLOs]],"&gt;=4",tbl_task10[[SubPLOs]:[SubPLOs]],"&lt;5")</f>
        <v>0</v>
      </c>
      <c r="CS183" s="41">
        <f>SUMIFS(tbl_task1[S92],tbl_task1[[SubPLOs]:[SubPLOs]],"&gt;=4",tbl_task1[[SubPLOs]:[SubPLOs]],"&lt;5")+SUMIFS(tbl_task2[S92],tbl_task2[[SubPLOs]:[SubPLOs]],"&gt;=4",tbl_task2[[SubPLOs]:[SubPLOs]],"&lt;5")+SUMIFS(tbl_task3[S92],tbl_task3[[SubPLOs]:[SubPLOs]],"&gt;=4",tbl_task3[[SubPLOs]:[SubPLOs]],"&lt;5")+SUMIFS(tbl_task4[S92],tbl_task4[[SubPLOs]:[SubPLOs]],"&gt;=4",tbl_task4[[SubPLOs]:[SubPLOs]],"&lt;5")+SUMIFS(tbl_task5[S92],tbl_task5[[SubPLOs]:[SubPLOs]],"&gt;=4",tbl_task5[[SubPLOs]:[SubPLOs]],"&lt;5")+SUMIFS(tbl_task6[S92],tbl_task6[[SubPLOs]:[SubPLOs]],"&gt;=4",tbl_task6[[SubPLOs]:[SubPLOs]],"&lt;5")+SUMIFS(tbl_task7[S92],tbl_task7[[SubPLOs]:[SubPLOs]],"&gt;=4",tbl_task7[[SubPLOs]:[SubPLOs]],"&lt;5")+SUMIFS(tbl_task8[S92],tbl_task8[[SubPLOs]:[SubPLOs]],"&gt;=4",tbl_task8[[SubPLOs]:[SubPLOs]],"&lt;5")+SUMIFS(tbl_task9[S92],tbl_task9[[SubPLOs]:[SubPLOs]],"&gt;=4",tbl_task9[[SubPLOs]:[SubPLOs]],"&lt;5")+SUMIFS(tbl_task10[S92],tbl_task10[[SubPLOs]:[SubPLOs]],"&gt;=4",tbl_task10[[SubPLOs]:[SubPLOs]],"&lt;5")</f>
        <v>0</v>
      </c>
      <c r="CT183" s="41">
        <f>SUMIFS(tbl_task1[S93],tbl_task1[[SubPLOs]:[SubPLOs]],"&gt;=4",tbl_task1[[SubPLOs]:[SubPLOs]],"&lt;5")+SUMIFS(tbl_task2[S93],tbl_task2[[SubPLOs]:[SubPLOs]],"&gt;=4",tbl_task2[[SubPLOs]:[SubPLOs]],"&lt;5")+SUMIFS(tbl_task3[S93],tbl_task3[[SubPLOs]:[SubPLOs]],"&gt;=4",tbl_task3[[SubPLOs]:[SubPLOs]],"&lt;5")+SUMIFS(tbl_task4[S93],tbl_task4[[SubPLOs]:[SubPLOs]],"&gt;=4",tbl_task4[[SubPLOs]:[SubPLOs]],"&lt;5")+SUMIFS(tbl_task5[S93],tbl_task5[[SubPLOs]:[SubPLOs]],"&gt;=4",tbl_task5[[SubPLOs]:[SubPLOs]],"&lt;5")+SUMIFS(tbl_task6[S93],tbl_task6[[SubPLOs]:[SubPLOs]],"&gt;=4",tbl_task6[[SubPLOs]:[SubPLOs]],"&lt;5")+SUMIFS(tbl_task7[S93],tbl_task7[[SubPLOs]:[SubPLOs]],"&gt;=4",tbl_task7[[SubPLOs]:[SubPLOs]],"&lt;5")+SUMIFS(tbl_task8[S93],tbl_task8[[SubPLOs]:[SubPLOs]],"&gt;=4",tbl_task8[[SubPLOs]:[SubPLOs]],"&lt;5")+SUMIFS(tbl_task9[S93],tbl_task9[[SubPLOs]:[SubPLOs]],"&gt;=4",tbl_task9[[SubPLOs]:[SubPLOs]],"&lt;5")+SUMIFS(tbl_task10[S93],tbl_task10[[SubPLOs]:[SubPLOs]],"&gt;=4",tbl_task10[[SubPLOs]:[SubPLOs]],"&lt;5")</f>
        <v>0</v>
      </c>
      <c r="CU183" s="41">
        <f>SUMIFS(tbl_task1[S94],tbl_task1[[SubPLOs]:[SubPLOs]],"&gt;=4",tbl_task1[[SubPLOs]:[SubPLOs]],"&lt;5")+SUMIFS(tbl_task2[S94],tbl_task2[[SubPLOs]:[SubPLOs]],"&gt;=4",tbl_task2[[SubPLOs]:[SubPLOs]],"&lt;5")+SUMIFS(tbl_task3[S94],tbl_task3[[SubPLOs]:[SubPLOs]],"&gt;=4",tbl_task3[[SubPLOs]:[SubPLOs]],"&lt;5")+SUMIFS(tbl_task4[S94],tbl_task4[[SubPLOs]:[SubPLOs]],"&gt;=4",tbl_task4[[SubPLOs]:[SubPLOs]],"&lt;5")+SUMIFS(tbl_task5[S94],tbl_task5[[SubPLOs]:[SubPLOs]],"&gt;=4",tbl_task5[[SubPLOs]:[SubPLOs]],"&lt;5")+SUMIFS(tbl_task6[S94],tbl_task6[[SubPLOs]:[SubPLOs]],"&gt;=4",tbl_task6[[SubPLOs]:[SubPLOs]],"&lt;5")+SUMIFS(tbl_task7[S94],tbl_task7[[SubPLOs]:[SubPLOs]],"&gt;=4",tbl_task7[[SubPLOs]:[SubPLOs]],"&lt;5")+SUMIFS(tbl_task8[S94],tbl_task8[[SubPLOs]:[SubPLOs]],"&gt;=4",tbl_task8[[SubPLOs]:[SubPLOs]],"&lt;5")+SUMIFS(tbl_task9[S94],tbl_task9[[SubPLOs]:[SubPLOs]],"&gt;=4",tbl_task9[[SubPLOs]:[SubPLOs]],"&lt;5")+SUMIFS(tbl_task10[S94],tbl_task10[[SubPLOs]:[SubPLOs]],"&gt;=4",tbl_task10[[SubPLOs]:[SubPLOs]],"&lt;5")</f>
        <v>0</v>
      </c>
      <c r="CV183" s="41">
        <f>SUMIFS(tbl_task1[S95],tbl_task1[[SubPLOs]:[SubPLOs]],"&gt;=4",tbl_task1[[SubPLOs]:[SubPLOs]],"&lt;5")+SUMIFS(tbl_task2[S95],tbl_task2[[SubPLOs]:[SubPLOs]],"&gt;=4",tbl_task2[[SubPLOs]:[SubPLOs]],"&lt;5")+SUMIFS(tbl_task3[S95],tbl_task3[[SubPLOs]:[SubPLOs]],"&gt;=4",tbl_task3[[SubPLOs]:[SubPLOs]],"&lt;5")+SUMIFS(tbl_task4[S95],tbl_task4[[SubPLOs]:[SubPLOs]],"&gt;=4",tbl_task4[[SubPLOs]:[SubPLOs]],"&lt;5")+SUMIFS(tbl_task5[S95],tbl_task5[[SubPLOs]:[SubPLOs]],"&gt;=4",tbl_task5[[SubPLOs]:[SubPLOs]],"&lt;5")+SUMIFS(tbl_task6[S95],tbl_task6[[SubPLOs]:[SubPLOs]],"&gt;=4",tbl_task6[[SubPLOs]:[SubPLOs]],"&lt;5")+SUMIFS(tbl_task7[S95],tbl_task7[[SubPLOs]:[SubPLOs]],"&gt;=4",tbl_task7[[SubPLOs]:[SubPLOs]],"&lt;5")+SUMIFS(tbl_task8[S95],tbl_task8[[SubPLOs]:[SubPLOs]],"&gt;=4",tbl_task8[[SubPLOs]:[SubPLOs]],"&lt;5")+SUMIFS(tbl_task9[S95],tbl_task9[[SubPLOs]:[SubPLOs]],"&gt;=4",tbl_task9[[SubPLOs]:[SubPLOs]],"&lt;5")+SUMIFS(tbl_task10[S95],tbl_task10[[SubPLOs]:[SubPLOs]],"&gt;=4",tbl_task10[[SubPLOs]:[SubPLOs]],"&lt;5")</f>
        <v>0</v>
      </c>
      <c r="CW183" s="41">
        <f>SUMIFS(tbl_task1[S96],tbl_task1[[SubPLOs]:[SubPLOs]],"&gt;=4",tbl_task1[[SubPLOs]:[SubPLOs]],"&lt;5")+SUMIFS(tbl_task2[S96],tbl_task2[[SubPLOs]:[SubPLOs]],"&gt;=4",tbl_task2[[SubPLOs]:[SubPLOs]],"&lt;5")+SUMIFS(tbl_task3[S96],tbl_task3[[SubPLOs]:[SubPLOs]],"&gt;=4",tbl_task3[[SubPLOs]:[SubPLOs]],"&lt;5")+SUMIFS(tbl_task4[S96],tbl_task4[[SubPLOs]:[SubPLOs]],"&gt;=4",tbl_task4[[SubPLOs]:[SubPLOs]],"&lt;5")+SUMIFS(tbl_task5[S96],tbl_task5[[SubPLOs]:[SubPLOs]],"&gt;=4",tbl_task5[[SubPLOs]:[SubPLOs]],"&lt;5")+SUMIFS(tbl_task6[S96],tbl_task6[[SubPLOs]:[SubPLOs]],"&gt;=4",tbl_task6[[SubPLOs]:[SubPLOs]],"&lt;5")+SUMIFS(tbl_task7[S96],tbl_task7[[SubPLOs]:[SubPLOs]],"&gt;=4",tbl_task7[[SubPLOs]:[SubPLOs]],"&lt;5")+SUMIFS(tbl_task8[S96],tbl_task8[[SubPLOs]:[SubPLOs]],"&gt;=4",tbl_task8[[SubPLOs]:[SubPLOs]],"&lt;5")+SUMIFS(tbl_task9[S96],tbl_task9[[SubPLOs]:[SubPLOs]],"&gt;=4",tbl_task9[[SubPLOs]:[SubPLOs]],"&lt;5")+SUMIFS(tbl_task10[S96],tbl_task10[[SubPLOs]:[SubPLOs]],"&gt;=4",tbl_task10[[SubPLOs]:[SubPLOs]],"&lt;5")</f>
        <v>0</v>
      </c>
      <c r="CX183" s="41">
        <f>SUMIFS(tbl_task1[S97],tbl_task1[[SubPLOs]:[SubPLOs]],"&gt;=4",tbl_task1[[SubPLOs]:[SubPLOs]],"&lt;5")+SUMIFS(tbl_task2[S97],tbl_task2[[SubPLOs]:[SubPLOs]],"&gt;=4",tbl_task2[[SubPLOs]:[SubPLOs]],"&lt;5")+SUMIFS(tbl_task3[S97],tbl_task3[[SubPLOs]:[SubPLOs]],"&gt;=4",tbl_task3[[SubPLOs]:[SubPLOs]],"&lt;5")+SUMIFS(tbl_task4[S97],tbl_task4[[SubPLOs]:[SubPLOs]],"&gt;=4",tbl_task4[[SubPLOs]:[SubPLOs]],"&lt;5")+SUMIFS(tbl_task5[S97],tbl_task5[[SubPLOs]:[SubPLOs]],"&gt;=4",tbl_task5[[SubPLOs]:[SubPLOs]],"&lt;5")+SUMIFS(tbl_task6[S97],tbl_task6[[SubPLOs]:[SubPLOs]],"&gt;=4",tbl_task6[[SubPLOs]:[SubPLOs]],"&lt;5")+SUMIFS(tbl_task7[S97],tbl_task7[[SubPLOs]:[SubPLOs]],"&gt;=4",tbl_task7[[SubPLOs]:[SubPLOs]],"&lt;5")+SUMIFS(tbl_task8[S97],tbl_task8[[SubPLOs]:[SubPLOs]],"&gt;=4",tbl_task8[[SubPLOs]:[SubPLOs]],"&lt;5")+SUMIFS(tbl_task9[S97],tbl_task9[[SubPLOs]:[SubPLOs]],"&gt;=4",tbl_task9[[SubPLOs]:[SubPLOs]],"&lt;5")+SUMIFS(tbl_task10[S97],tbl_task10[[SubPLOs]:[SubPLOs]],"&gt;=4",tbl_task10[[SubPLOs]:[SubPLOs]],"&lt;5")</f>
        <v>0</v>
      </c>
      <c r="CY183" s="41">
        <f>SUMIFS(tbl_task1[S98],tbl_task1[[SubPLOs]:[SubPLOs]],"&gt;=4",tbl_task1[[SubPLOs]:[SubPLOs]],"&lt;5")+SUMIFS(tbl_task2[S98],tbl_task2[[SubPLOs]:[SubPLOs]],"&gt;=4",tbl_task2[[SubPLOs]:[SubPLOs]],"&lt;5")+SUMIFS(tbl_task3[S98],tbl_task3[[SubPLOs]:[SubPLOs]],"&gt;=4",tbl_task3[[SubPLOs]:[SubPLOs]],"&lt;5")+SUMIFS(tbl_task4[S98],tbl_task4[[SubPLOs]:[SubPLOs]],"&gt;=4",tbl_task4[[SubPLOs]:[SubPLOs]],"&lt;5")+SUMIFS(tbl_task5[S98],tbl_task5[[SubPLOs]:[SubPLOs]],"&gt;=4",tbl_task5[[SubPLOs]:[SubPLOs]],"&lt;5")+SUMIFS(tbl_task6[S98],tbl_task6[[SubPLOs]:[SubPLOs]],"&gt;=4",tbl_task6[[SubPLOs]:[SubPLOs]],"&lt;5")+SUMIFS(tbl_task7[S98],tbl_task7[[SubPLOs]:[SubPLOs]],"&gt;=4",tbl_task7[[SubPLOs]:[SubPLOs]],"&lt;5")+SUMIFS(tbl_task8[S98],tbl_task8[[SubPLOs]:[SubPLOs]],"&gt;=4",tbl_task8[[SubPLOs]:[SubPLOs]],"&lt;5")+SUMIFS(tbl_task9[S98],tbl_task9[[SubPLOs]:[SubPLOs]],"&gt;=4",tbl_task9[[SubPLOs]:[SubPLOs]],"&lt;5")+SUMIFS(tbl_task10[S98],tbl_task10[[SubPLOs]:[SubPLOs]],"&gt;=4",tbl_task10[[SubPLOs]:[SubPLOs]],"&lt;5")</f>
        <v>0</v>
      </c>
      <c r="CZ183" s="41">
        <f>SUMIFS(tbl_task1[S99],tbl_task1[[SubPLOs]:[SubPLOs]],"&gt;=4",tbl_task1[[SubPLOs]:[SubPLOs]],"&lt;5")+SUMIFS(tbl_task2[S99],tbl_task2[[SubPLOs]:[SubPLOs]],"&gt;=4",tbl_task2[[SubPLOs]:[SubPLOs]],"&lt;5")+SUMIFS(tbl_task3[S99],tbl_task3[[SubPLOs]:[SubPLOs]],"&gt;=4",tbl_task3[[SubPLOs]:[SubPLOs]],"&lt;5")+SUMIFS(tbl_task4[S99],tbl_task4[[SubPLOs]:[SubPLOs]],"&gt;=4",tbl_task4[[SubPLOs]:[SubPLOs]],"&lt;5")+SUMIFS(tbl_task5[S99],tbl_task5[[SubPLOs]:[SubPLOs]],"&gt;=4",tbl_task5[[SubPLOs]:[SubPLOs]],"&lt;5")+SUMIFS(tbl_task6[S99],tbl_task6[[SubPLOs]:[SubPLOs]],"&gt;=4",tbl_task6[[SubPLOs]:[SubPLOs]],"&lt;5")+SUMIFS(tbl_task7[S99],tbl_task7[[SubPLOs]:[SubPLOs]],"&gt;=4",tbl_task7[[SubPLOs]:[SubPLOs]],"&lt;5")+SUMIFS(tbl_task8[S99],tbl_task8[[SubPLOs]:[SubPLOs]],"&gt;=4",tbl_task8[[SubPLOs]:[SubPLOs]],"&lt;5")+SUMIFS(tbl_task9[S99],tbl_task9[[SubPLOs]:[SubPLOs]],"&gt;=4",tbl_task9[[SubPLOs]:[SubPLOs]],"&lt;5")+SUMIFS(tbl_task10[S99],tbl_task10[[SubPLOs]:[SubPLOs]],"&gt;=4",tbl_task10[[SubPLOs]:[SubPLOs]],"&lt;5")</f>
        <v>0</v>
      </c>
      <c r="DA183" s="41">
        <f>SUMIFS(tbl_task1[S100],tbl_task1[[SubPLOs]:[SubPLOs]],"&gt;=4",tbl_task1[[SubPLOs]:[SubPLOs]],"&lt;5")+SUMIFS(tbl_task2[S100],tbl_task2[[SubPLOs]:[SubPLOs]],"&gt;=4",tbl_task2[[SubPLOs]:[SubPLOs]],"&lt;5")+SUMIFS(tbl_task3[S100],tbl_task3[[SubPLOs]:[SubPLOs]],"&gt;=4",tbl_task3[[SubPLOs]:[SubPLOs]],"&lt;5")+SUMIFS(tbl_task4[S100],tbl_task4[[SubPLOs]:[SubPLOs]],"&gt;=4",tbl_task4[[SubPLOs]:[SubPLOs]],"&lt;5")+SUMIFS(tbl_task5[S100],tbl_task5[[SubPLOs]:[SubPLOs]],"&gt;=4",tbl_task5[[SubPLOs]:[SubPLOs]],"&lt;5")+SUMIFS(tbl_task6[S100],tbl_task6[[SubPLOs]:[SubPLOs]],"&gt;=4",tbl_task6[[SubPLOs]:[SubPLOs]],"&lt;5")+SUMIFS(tbl_task7[S100],tbl_task7[[SubPLOs]:[SubPLOs]],"&gt;=4",tbl_task7[[SubPLOs]:[SubPLOs]],"&lt;5")+SUMIFS(tbl_task8[S100],tbl_task8[[SubPLOs]:[SubPLOs]],"&gt;=4",tbl_task8[[SubPLOs]:[SubPLOs]],"&lt;5")+SUMIFS(tbl_task9[S100],tbl_task9[[SubPLOs]:[SubPLOs]],"&gt;=4",tbl_task9[[SubPLOs]:[SubPLOs]],"&lt;5")+SUMIFS(tbl_task10[S100],tbl_task10[[SubPLOs]:[SubPLOs]],"&gt;=4",tbl_task10[[SubPLOs]:[SubPLOs]],"&lt;5")</f>
        <v>0</v>
      </c>
      <c r="DB183" s="41">
        <f>SUMIFS(tbl_task1[S101],tbl_task1[[SubPLOs]:[SubPLOs]],"&gt;=4",tbl_task1[[SubPLOs]:[SubPLOs]],"&lt;5")+SUMIFS(tbl_task2[S101],tbl_task2[[SubPLOs]:[SubPLOs]],"&gt;=4",tbl_task2[[SubPLOs]:[SubPLOs]],"&lt;5")+SUMIFS(tbl_task3[S101],tbl_task3[[SubPLOs]:[SubPLOs]],"&gt;=4",tbl_task3[[SubPLOs]:[SubPLOs]],"&lt;5")+SUMIFS(tbl_task4[S101],tbl_task4[[SubPLOs]:[SubPLOs]],"&gt;=4",tbl_task4[[SubPLOs]:[SubPLOs]],"&lt;5")+SUMIFS(tbl_task5[S101],tbl_task5[[SubPLOs]:[SubPLOs]],"&gt;=4",tbl_task5[[SubPLOs]:[SubPLOs]],"&lt;5")+SUMIFS(tbl_task6[S101],tbl_task6[[SubPLOs]:[SubPLOs]],"&gt;=4",tbl_task6[[SubPLOs]:[SubPLOs]],"&lt;5")+SUMIFS(tbl_task7[S101],tbl_task7[[SubPLOs]:[SubPLOs]],"&gt;=4",tbl_task7[[SubPLOs]:[SubPLOs]],"&lt;5")+SUMIFS(tbl_task8[S101],tbl_task8[[SubPLOs]:[SubPLOs]],"&gt;=4",tbl_task8[[SubPLOs]:[SubPLOs]],"&lt;5")+SUMIFS(tbl_task9[S101],tbl_task9[[SubPLOs]:[SubPLOs]],"&gt;=4",tbl_task9[[SubPLOs]:[SubPLOs]],"&lt;5")+SUMIFS(tbl_task10[S101],tbl_task10[[SubPLOs]:[SubPLOs]],"&gt;=4",tbl_task10[[SubPLOs]:[SubPLOs]],"&lt;5")</f>
        <v>0</v>
      </c>
      <c r="DC183" s="41">
        <f>SUMIFS(tbl_task1[S102],tbl_task1[[SubPLOs]:[SubPLOs]],"&gt;=4",tbl_task1[[SubPLOs]:[SubPLOs]],"&lt;5")+SUMIFS(tbl_task2[S102],tbl_task2[[SubPLOs]:[SubPLOs]],"&gt;=4",tbl_task2[[SubPLOs]:[SubPLOs]],"&lt;5")+SUMIFS(tbl_task3[S102],tbl_task3[[SubPLOs]:[SubPLOs]],"&gt;=4",tbl_task3[[SubPLOs]:[SubPLOs]],"&lt;5")+SUMIFS(tbl_task4[S102],tbl_task4[[SubPLOs]:[SubPLOs]],"&gt;=4",tbl_task4[[SubPLOs]:[SubPLOs]],"&lt;5")+SUMIFS(tbl_task5[S102],tbl_task5[[SubPLOs]:[SubPLOs]],"&gt;=4",tbl_task5[[SubPLOs]:[SubPLOs]],"&lt;5")+SUMIFS(tbl_task6[S102],tbl_task6[[SubPLOs]:[SubPLOs]],"&gt;=4",tbl_task6[[SubPLOs]:[SubPLOs]],"&lt;5")+SUMIFS(tbl_task7[S102],tbl_task7[[SubPLOs]:[SubPLOs]],"&gt;=4",tbl_task7[[SubPLOs]:[SubPLOs]],"&lt;5")+SUMIFS(tbl_task8[S102],tbl_task8[[SubPLOs]:[SubPLOs]],"&gt;=4",tbl_task8[[SubPLOs]:[SubPLOs]],"&lt;5")+SUMIFS(tbl_task9[S102],tbl_task9[[SubPLOs]:[SubPLOs]],"&gt;=4",tbl_task9[[SubPLOs]:[SubPLOs]],"&lt;5")+SUMIFS(tbl_task10[S102],tbl_task10[[SubPLOs]:[SubPLOs]],"&gt;=4",tbl_task10[[SubPLOs]:[SubPLOs]],"&lt;5")</f>
        <v>0</v>
      </c>
      <c r="DD183" s="41">
        <f>SUMIFS(tbl_task1[S103],tbl_task1[[SubPLOs]:[SubPLOs]],"&gt;=4",tbl_task1[[SubPLOs]:[SubPLOs]],"&lt;5")+SUMIFS(tbl_task2[S103],tbl_task2[[SubPLOs]:[SubPLOs]],"&gt;=4",tbl_task2[[SubPLOs]:[SubPLOs]],"&lt;5")+SUMIFS(tbl_task3[S103],tbl_task3[[SubPLOs]:[SubPLOs]],"&gt;=4",tbl_task3[[SubPLOs]:[SubPLOs]],"&lt;5")+SUMIFS(tbl_task4[S103],tbl_task4[[SubPLOs]:[SubPLOs]],"&gt;=4",tbl_task4[[SubPLOs]:[SubPLOs]],"&lt;5")+SUMIFS(tbl_task5[S103],tbl_task5[[SubPLOs]:[SubPLOs]],"&gt;=4",tbl_task5[[SubPLOs]:[SubPLOs]],"&lt;5")+SUMIFS(tbl_task6[S103],tbl_task6[[SubPLOs]:[SubPLOs]],"&gt;=4",tbl_task6[[SubPLOs]:[SubPLOs]],"&lt;5")+SUMIFS(tbl_task7[S103],tbl_task7[[SubPLOs]:[SubPLOs]],"&gt;=4",tbl_task7[[SubPLOs]:[SubPLOs]],"&lt;5")+SUMIFS(tbl_task8[S103],tbl_task8[[SubPLOs]:[SubPLOs]],"&gt;=4",tbl_task8[[SubPLOs]:[SubPLOs]],"&lt;5")+SUMIFS(tbl_task9[S103],tbl_task9[[SubPLOs]:[SubPLOs]],"&gt;=4",tbl_task9[[SubPLOs]:[SubPLOs]],"&lt;5")+SUMIFS(tbl_task10[S103],tbl_task10[[SubPLOs]:[SubPLOs]],"&gt;=4",tbl_task10[[SubPLOs]:[SubPLOs]],"&lt;5")</f>
        <v>0</v>
      </c>
      <c r="DE183" s="41">
        <f>SUMIFS(tbl_task1[S104],tbl_task1[[SubPLOs]:[SubPLOs]],"&gt;=4",tbl_task1[[SubPLOs]:[SubPLOs]],"&lt;5")+SUMIFS(tbl_task2[S104],tbl_task2[[SubPLOs]:[SubPLOs]],"&gt;=4",tbl_task2[[SubPLOs]:[SubPLOs]],"&lt;5")+SUMIFS(tbl_task3[S104],tbl_task3[[SubPLOs]:[SubPLOs]],"&gt;=4",tbl_task3[[SubPLOs]:[SubPLOs]],"&lt;5")+SUMIFS(tbl_task4[S104],tbl_task4[[SubPLOs]:[SubPLOs]],"&gt;=4",tbl_task4[[SubPLOs]:[SubPLOs]],"&lt;5")+SUMIFS(tbl_task5[S104],tbl_task5[[SubPLOs]:[SubPLOs]],"&gt;=4",tbl_task5[[SubPLOs]:[SubPLOs]],"&lt;5")+SUMIFS(tbl_task6[S104],tbl_task6[[SubPLOs]:[SubPLOs]],"&gt;=4",tbl_task6[[SubPLOs]:[SubPLOs]],"&lt;5")+SUMIFS(tbl_task7[S104],tbl_task7[[SubPLOs]:[SubPLOs]],"&gt;=4",tbl_task7[[SubPLOs]:[SubPLOs]],"&lt;5")+SUMIFS(tbl_task8[S104],tbl_task8[[SubPLOs]:[SubPLOs]],"&gt;=4",tbl_task8[[SubPLOs]:[SubPLOs]],"&lt;5")+SUMIFS(tbl_task9[S104],tbl_task9[[SubPLOs]:[SubPLOs]],"&gt;=4",tbl_task9[[SubPLOs]:[SubPLOs]],"&lt;5")+SUMIFS(tbl_task10[S104],tbl_task10[[SubPLOs]:[SubPLOs]],"&gt;=4",tbl_task10[[SubPLOs]:[SubPLOs]],"&lt;5")</f>
        <v>0</v>
      </c>
      <c r="DF183" s="41">
        <f>SUMIFS(tbl_task1[S105],tbl_task1[[SubPLOs]:[SubPLOs]],"&gt;=4",tbl_task1[[SubPLOs]:[SubPLOs]],"&lt;5")+SUMIFS(tbl_task2[S105],tbl_task2[[SubPLOs]:[SubPLOs]],"&gt;=4",tbl_task2[[SubPLOs]:[SubPLOs]],"&lt;5")+SUMIFS(tbl_task3[S105],tbl_task3[[SubPLOs]:[SubPLOs]],"&gt;=4",tbl_task3[[SubPLOs]:[SubPLOs]],"&lt;5")+SUMIFS(tbl_task4[S105],tbl_task4[[SubPLOs]:[SubPLOs]],"&gt;=4",tbl_task4[[SubPLOs]:[SubPLOs]],"&lt;5")+SUMIFS(tbl_task5[S105],tbl_task5[[SubPLOs]:[SubPLOs]],"&gt;=4",tbl_task5[[SubPLOs]:[SubPLOs]],"&lt;5")+SUMIFS(tbl_task6[S105],tbl_task6[[SubPLOs]:[SubPLOs]],"&gt;=4",tbl_task6[[SubPLOs]:[SubPLOs]],"&lt;5")+SUMIFS(tbl_task7[S105],tbl_task7[[SubPLOs]:[SubPLOs]],"&gt;=4",tbl_task7[[SubPLOs]:[SubPLOs]],"&lt;5")+SUMIFS(tbl_task8[S105],tbl_task8[[SubPLOs]:[SubPLOs]],"&gt;=4",tbl_task8[[SubPLOs]:[SubPLOs]],"&lt;5")+SUMIFS(tbl_task9[S105],tbl_task9[[SubPLOs]:[SubPLOs]],"&gt;=4",tbl_task9[[SubPLOs]:[SubPLOs]],"&lt;5")+SUMIFS(tbl_task10[S105],tbl_task10[[SubPLOs]:[SubPLOs]],"&gt;=4",tbl_task10[[SubPLOs]:[SubPLOs]],"&lt;5")</f>
        <v>0</v>
      </c>
      <c r="DG183" s="41">
        <f>SUMIFS(tbl_task1[S106],tbl_task1[[SubPLOs]:[SubPLOs]],"&gt;=4",tbl_task1[[SubPLOs]:[SubPLOs]],"&lt;5")+SUMIFS(tbl_task2[S106],tbl_task2[[SubPLOs]:[SubPLOs]],"&gt;=4",tbl_task2[[SubPLOs]:[SubPLOs]],"&lt;5")+SUMIFS(tbl_task3[S106],tbl_task3[[SubPLOs]:[SubPLOs]],"&gt;=4",tbl_task3[[SubPLOs]:[SubPLOs]],"&lt;5")+SUMIFS(tbl_task4[S106],tbl_task4[[SubPLOs]:[SubPLOs]],"&gt;=4",tbl_task4[[SubPLOs]:[SubPLOs]],"&lt;5")+SUMIFS(tbl_task5[S106],tbl_task5[[SubPLOs]:[SubPLOs]],"&gt;=4",tbl_task5[[SubPLOs]:[SubPLOs]],"&lt;5")+SUMIFS(tbl_task6[S106],tbl_task6[[SubPLOs]:[SubPLOs]],"&gt;=4",tbl_task6[[SubPLOs]:[SubPLOs]],"&lt;5")+SUMIFS(tbl_task7[S106],tbl_task7[[SubPLOs]:[SubPLOs]],"&gt;=4",tbl_task7[[SubPLOs]:[SubPLOs]],"&lt;5")+SUMIFS(tbl_task8[S106],tbl_task8[[SubPLOs]:[SubPLOs]],"&gt;=4",tbl_task8[[SubPLOs]:[SubPLOs]],"&lt;5")+SUMIFS(tbl_task9[S106],tbl_task9[[SubPLOs]:[SubPLOs]],"&gt;=4",tbl_task9[[SubPLOs]:[SubPLOs]],"&lt;5")+SUMIFS(tbl_task10[S106],tbl_task10[[SubPLOs]:[SubPLOs]],"&gt;=4",tbl_task10[[SubPLOs]:[SubPLOs]],"&lt;5")</f>
        <v>0</v>
      </c>
      <c r="DH183" s="41">
        <f>SUMIFS(tbl_task1[S107],tbl_task1[[SubPLOs]:[SubPLOs]],"&gt;=4",tbl_task1[[SubPLOs]:[SubPLOs]],"&lt;5")+SUMIFS(tbl_task2[S107],tbl_task2[[SubPLOs]:[SubPLOs]],"&gt;=4",tbl_task2[[SubPLOs]:[SubPLOs]],"&lt;5")+SUMIFS(tbl_task3[S107],tbl_task3[[SubPLOs]:[SubPLOs]],"&gt;=4",tbl_task3[[SubPLOs]:[SubPLOs]],"&lt;5")+SUMIFS(tbl_task4[S107],tbl_task4[[SubPLOs]:[SubPLOs]],"&gt;=4",tbl_task4[[SubPLOs]:[SubPLOs]],"&lt;5")+SUMIFS(tbl_task5[S107],tbl_task5[[SubPLOs]:[SubPLOs]],"&gt;=4",tbl_task5[[SubPLOs]:[SubPLOs]],"&lt;5")+SUMIFS(tbl_task6[S107],tbl_task6[[SubPLOs]:[SubPLOs]],"&gt;=4",tbl_task6[[SubPLOs]:[SubPLOs]],"&lt;5")+SUMIFS(tbl_task7[S107],tbl_task7[[SubPLOs]:[SubPLOs]],"&gt;=4",tbl_task7[[SubPLOs]:[SubPLOs]],"&lt;5")+SUMIFS(tbl_task8[S107],tbl_task8[[SubPLOs]:[SubPLOs]],"&gt;=4",tbl_task8[[SubPLOs]:[SubPLOs]],"&lt;5")+SUMIFS(tbl_task9[S107],tbl_task9[[SubPLOs]:[SubPLOs]],"&gt;=4",tbl_task9[[SubPLOs]:[SubPLOs]],"&lt;5")+SUMIFS(tbl_task10[S107],tbl_task10[[SubPLOs]:[SubPLOs]],"&gt;=4",tbl_task10[[SubPLOs]:[SubPLOs]],"&lt;5")</f>
        <v>0</v>
      </c>
      <c r="DI183" s="41">
        <f>SUMIFS(tbl_task1[S108],tbl_task1[[SubPLOs]:[SubPLOs]],"&gt;=4",tbl_task1[[SubPLOs]:[SubPLOs]],"&lt;5")+SUMIFS(tbl_task2[S108],tbl_task2[[SubPLOs]:[SubPLOs]],"&gt;=4",tbl_task2[[SubPLOs]:[SubPLOs]],"&lt;5")+SUMIFS(tbl_task3[S108],tbl_task3[[SubPLOs]:[SubPLOs]],"&gt;=4",tbl_task3[[SubPLOs]:[SubPLOs]],"&lt;5")+SUMIFS(tbl_task4[S108],tbl_task4[[SubPLOs]:[SubPLOs]],"&gt;=4",tbl_task4[[SubPLOs]:[SubPLOs]],"&lt;5")+SUMIFS(tbl_task5[S108],tbl_task5[[SubPLOs]:[SubPLOs]],"&gt;=4",tbl_task5[[SubPLOs]:[SubPLOs]],"&lt;5")+SUMIFS(tbl_task6[S108],tbl_task6[[SubPLOs]:[SubPLOs]],"&gt;=4",tbl_task6[[SubPLOs]:[SubPLOs]],"&lt;5")+SUMIFS(tbl_task7[S108],tbl_task7[[SubPLOs]:[SubPLOs]],"&gt;=4",tbl_task7[[SubPLOs]:[SubPLOs]],"&lt;5")+SUMIFS(tbl_task8[S108],tbl_task8[[SubPLOs]:[SubPLOs]],"&gt;=4",tbl_task8[[SubPLOs]:[SubPLOs]],"&lt;5")+SUMIFS(tbl_task9[S108],tbl_task9[[SubPLOs]:[SubPLOs]],"&gt;=4",tbl_task9[[SubPLOs]:[SubPLOs]],"&lt;5")+SUMIFS(tbl_task10[S108],tbl_task10[[SubPLOs]:[SubPLOs]],"&gt;=4",tbl_task10[[SubPLOs]:[SubPLOs]],"&lt;5")</f>
        <v>0</v>
      </c>
      <c r="DJ183" s="41">
        <f>SUMIFS(tbl_task1[S109],tbl_task1[[SubPLOs]:[SubPLOs]],"&gt;=4",tbl_task1[[SubPLOs]:[SubPLOs]],"&lt;5")+SUMIFS(tbl_task2[S109],tbl_task2[[SubPLOs]:[SubPLOs]],"&gt;=4",tbl_task2[[SubPLOs]:[SubPLOs]],"&lt;5")+SUMIFS(tbl_task3[S109],tbl_task3[[SubPLOs]:[SubPLOs]],"&gt;=4",tbl_task3[[SubPLOs]:[SubPLOs]],"&lt;5")+SUMIFS(tbl_task4[S109],tbl_task4[[SubPLOs]:[SubPLOs]],"&gt;=4",tbl_task4[[SubPLOs]:[SubPLOs]],"&lt;5")+SUMIFS(tbl_task5[S109],tbl_task5[[SubPLOs]:[SubPLOs]],"&gt;=4",tbl_task5[[SubPLOs]:[SubPLOs]],"&lt;5")+SUMIFS(tbl_task6[S109],tbl_task6[[SubPLOs]:[SubPLOs]],"&gt;=4",tbl_task6[[SubPLOs]:[SubPLOs]],"&lt;5")+SUMIFS(tbl_task7[S109],tbl_task7[[SubPLOs]:[SubPLOs]],"&gt;=4",tbl_task7[[SubPLOs]:[SubPLOs]],"&lt;5")+SUMIFS(tbl_task8[S109],tbl_task8[[SubPLOs]:[SubPLOs]],"&gt;=4",tbl_task8[[SubPLOs]:[SubPLOs]],"&lt;5")+SUMIFS(tbl_task9[S109],tbl_task9[[SubPLOs]:[SubPLOs]],"&gt;=4",tbl_task9[[SubPLOs]:[SubPLOs]],"&lt;5")+SUMIFS(tbl_task10[S109],tbl_task10[[SubPLOs]:[SubPLOs]],"&gt;=4",tbl_task10[[SubPLOs]:[SubPLOs]],"&lt;5")</f>
        <v>0</v>
      </c>
      <c r="DK183" s="41">
        <f>SUMIFS(tbl_task1[S110],tbl_task1[[SubPLOs]:[SubPLOs]],"&gt;=4",tbl_task1[[SubPLOs]:[SubPLOs]],"&lt;5")+SUMIFS(tbl_task2[S110],tbl_task2[[SubPLOs]:[SubPLOs]],"&gt;=4",tbl_task2[[SubPLOs]:[SubPLOs]],"&lt;5")+SUMIFS(tbl_task3[S110],tbl_task3[[SubPLOs]:[SubPLOs]],"&gt;=4",tbl_task3[[SubPLOs]:[SubPLOs]],"&lt;5")+SUMIFS(tbl_task4[S110],tbl_task4[[SubPLOs]:[SubPLOs]],"&gt;=4",tbl_task4[[SubPLOs]:[SubPLOs]],"&lt;5")+SUMIFS(tbl_task5[S110],tbl_task5[[SubPLOs]:[SubPLOs]],"&gt;=4",tbl_task5[[SubPLOs]:[SubPLOs]],"&lt;5")+SUMIFS(tbl_task6[S110],tbl_task6[[SubPLOs]:[SubPLOs]],"&gt;=4",tbl_task6[[SubPLOs]:[SubPLOs]],"&lt;5")+SUMIFS(tbl_task7[S110],tbl_task7[[SubPLOs]:[SubPLOs]],"&gt;=4",tbl_task7[[SubPLOs]:[SubPLOs]],"&lt;5")+SUMIFS(tbl_task8[S110],tbl_task8[[SubPLOs]:[SubPLOs]],"&gt;=4",tbl_task8[[SubPLOs]:[SubPLOs]],"&lt;5")+SUMIFS(tbl_task9[S110],tbl_task9[[SubPLOs]:[SubPLOs]],"&gt;=4",tbl_task9[[SubPLOs]:[SubPLOs]],"&lt;5")+SUMIFS(tbl_task10[S110],tbl_task10[[SubPLOs]:[SubPLOs]],"&gt;=4",tbl_task10[[SubPLOs]:[SubPLOs]],"&lt;5")</f>
        <v>0</v>
      </c>
      <c r="DL183" s="41">
        <f>SUMIFS(tbl_task1[S111],tbl_task1[[SubPLOs]:[SubPLOs]],"&gt;=4",tbl_task1[[SubPLOs]:[SubPLOs]],"&lt;5")+SUMIFS(tbl_task2[S111],tbl_task2[[SubPLOs]:[SubPLOs]],"&gt;=4",tbl_task2[[SubPLOs]:[SubPLOs]],"&lt;5")+SUMIFS(tbl_task3[S111],tbl_task3[[SubPLOs]:[SubPLOs]],"&gt;=4",tbl_task3[[SubPLOs]:[SubPLOs]],"&lt;5")+SUMIFS(tbl_task4[S111],tbl_task4[[SubPLOs]:[SubPLOs]],"&gt;=4",tbl_task4[[SubPLOs]:[SubPLOs]],"&lt;5")+SUMIFS(tbl_task5[S111],tbl_task5[[SubPLOs]:[SubPLOs]],"&gt;=4",tbl_task5[[SubPLOs]:[SubPLOs]],"&lt;5")+SUMIFS(tbl_task6[S111],tbl_task6[[SubPLOs]:[SubPLOs]],"&gt;=4",tbl_task6[[SubPLOs]:[SubPLOs]],"&lt;5")+SUMIFS(tbl_task7[S111],tbl_task7[[SubPLOs]:[SubPLOs]],"&gt;=4",tbl_task7[[SubPLOs]:[SubPLOs]],"&lt;5")+SUMIFS(tbl_task8[S111],tbl_task8[[SubPLOs]:[SubPLOs]],"&gt;=4",tbl_task8[[SubPLOs]:[SubPLOs]],"&lt;5")+SUMIFS(tbl_task9[S111],tbl_task9[[SubPLOs]:[SubPLOs]],"&gt;=4",tbl_task9[[SubPLOs]:[SubPLOs]],"&lt;5")+SUMIFS(tbl_task10[S111],tbl_task10[[SubPLOs]:[SubPLOs]],"&gt;=4",tbl_task10[[SubPLOs]:[SubPLOs]],"&lt;5")</f>
        <v>0</v>
      </c>
      <c r="DM183" s="41">
        <f>SUMIFS(tbl_task1[S112],tbl_task1[[SubPLOs]:[SubPLOs]],"&gt;=4",tbl_task1[[SubPLOs]:[SubPLOs]],"&lt;5")+SUMIFS(tbl_task2[S112],tbl_task2[[SubPLOs]:[SubPLOs]],"&gt;=4",tbl_task2[[SubPLOs]:[SubPLOs]],"&lt;5")+SUMIFS(tbl_task3[S112],tbl_task3[[SubPLOs]:[SubPLOs]],"&gt;=4",tbl_task3[[SubPLOs]:[SubPLOs]],"&lt;5")+SUMIFS(tbl_task4[S112],tbl_task4[[SubPLOs]:[SubPLOs]],"&gt;=4",tbl_task4[[SubPLOs]:[SubPLOs]],"&lt;5")+SUMIFS(tbl_task5[S112],tbl_task5[[SubPLOs]:[SubPLOs]],"&gt;=4",tbl_task5[[SubPLOs]:[SubPLOs]],"&lt;5")+SUMIFS(tbl_task6[S112],tbl_task6[[SubPLOs]:[SubPLOs]],"&gt;=4",tbl_task6[[SubPLOs]:[SubPLOs]],"&lt;5")+SUMIFS(tbl_task7[S112],tbl_task7[[SubPLOs]:[SubPLOs]],"&gt;=4",tbl_task7[[SubPLOs]:[SubPLOs]],"&lt;5")+SUMIFS(tbl_task8[S112],tbl_task8[[SubPLOs]:[SubPLOs]],"&gt;=4",tbl_task8[[SubPLOs]:[SubPLOs]],"&lt;5")+SUMIFS(tbl_task9[S112],tbl_task9[[SubPLOs]:[SubPLOs]],"&gt;=4",tbl_task9[[SubPLOs]:[SubPLOs]],"&lt;5")+SUMIFS(tbl_task10[S112],tbl_task10[[SubPLOs]:[SubPLOs]],"&gt;=4",tbl_task10[[SubPLOs]:[SubPLOs]],"&lt;5")</f>
        <v>0</v>
      </c>
      <c r="DN183" s="41">
        <f>SUMIFS(tbl_task1[S113],tbl_task1[[SubPLOs]:[SubPLOs]],"&gt;=4",tbl_task1[[SubPLOs]:[SubPLOs]],"&lt;5")+SUMIFS(tbl_task2[S113],tbl_task2[[SubPLOs]:[SubPLOs]],"&gt;=4",tbl_task2[[SubPLOs]:[SubPLOs]],"&lt;5")+SUMIFS(tbl_task3[S113],tbl_task3[[SubPLOs]:[SubPLOs]],"&gt;=4",tbl_task3[[SubPLOs]:[SubPLOs]],"&lt;5")+SUMIFS(tbl_task4[S113],tbl_task4[[SubPLOs]:[SubPLOs]],"&gt;=4",tbl_task4[[SubPLOs]:[SubPLOs]],"&lt;5")+SUMIFS(tbl_task5[S113],tbl_task5[[SubPLOs]:[SubPLOs]],"&gt;=4",tbl_task5[[SubPLOs]:[SubPLOs]],"&lt;5")+SUMIFS(tbl_task6[S113],tbl_task6[[SubPLOs]:[SubPLOs]],"&gt;=4",tbl_task6[[SubPLOs]:[SubPLOs]],"&lt;5")+SUMIFS(tbl_task7[S113],tbl_task7[[SubPLOs]:[SubPLOs]],"&gt;=4",tbl_task7[[SubPLOs]:[SubPLOs]],"&lt;5")+SUMIFS(tbl_task8[S113],tbl_task8[[SubPLOs]:[SubPLOs]],"&gt;=4",tbl_task8[[SubPLOs]:[SubPLOs]],"&lt;5")+SUMIFS(tbl_task9[S113],tbl_task9[[SubPLOs]:[SubPLOs]],"&gt;=4",tbl_task9[[SubPLOs]:[SubPLOs]],"&lt;5")+SUMIFS(tbl_task10[S113],tbl_task10[[SubPLOs]:[SubPLOs]],"&gt;=4",tbl_task10[[SubPLOs]:[SubPLOs]],"&lt;5")</f>
        <v>0</v>
      </c>
      <c r="DO183" s="41">
        <f>SUMIFS(tbl_task1[S114],tbl_task1[[SubPLOs]:[SubPLOs]],"&gt;=4",tbl_task1[[SubPLOs]:[SubPLOs]],"&lt;5")+SUMIFS(tbl_task2[S114],tbl_task2[[SubPLOs]:[SubPLOs]],"&gt;=4",tbl_task2[[SubPLOs]:[SubPLOs]],"&lt;5")+SUMIFS(tbl_task3[S114],tbl_task3[[SubPLOs]:[SubPLOs]],"&gt;=4",tbl_task3[[SubPLOs]:[SubPLOs]],"&lt;5")+SUMIFS(tbl_task4[S114],tbl_task4[[SubPLOs]:[SubPLOs]],"&gt;=4",tbl_task4[[SubPLOs]:[SubPLOs]],"&lt;5")+SUMIFS(tbl_task5[S114],tbl_task5[[SubPLOs]:[SubPLOs]],"&gt;=4",tbl_task5[[SubPLOs]:[SubPLOs]],"&lt;5")+SUMIFS(tbl_task6[S114],tbl_task6[[SubPLOs]:[SubPLOs]],"&gt;=4",tbl_task6[[SubPLOs]:[SubPLOs]],"&lt;5")+SUMIFS(tbl_task7[S114],tbl_task7[[SubPLOs]:[SubPLOs]],"&gt;=4",tbl_task7[[SubPLOs]:[SubPLOs]],"&lt;5")+SUMIFS(tbl_task8[S114],tbl_task8[[SubPLOs]:[SubPLOs]],"&gt;=4",tbl_task8[[SubPLOs]:[SubPLOs]],"&lt;5")+SUMIFS(tbl_task9[S114],tbl_task9[[SubPLOs]:[SubPLOs]],"&gt;=4",tbl_task9[[SubPLOs]:[SubPLOs]],"&lt;5")+SUMIFS(tbl_task10[S114],tbl_task10[[SubPLOs]:[SubPLOs]],"&gt;=4",tbl_task10[[SubPLOs]:[SubPLOs]],"&lt;5")</f>
        <v>0</v>
      </c>
      <c r="DP183" s="41">
        <f>SUMIFS(tbl_task1[S115],tbl_task1[[SubPLOs]:[SubPLOs]],"&gt;=4",tbl_task1[[SubPLOs]:[SubPLOs]],"&lt;5")+SUMIFS(tbl_task2[S115],tbl_task2[[SubPLOs]:[SubPLOs]],"&gt;=4",tbl_task2[[SubPLOs]:[SubPLOs]],"&lt;5")+SUMIFS(tbl_task3[S115],tbl_task3[[SubPLOs]:[SubPLOs]],"&gt;=4",tbl_task3[[SubPLOs]:[SubPLOs]],"&lt;5")+SUMIFS(tbl_task4[S115],tbl_task4[[SubPLOs]:[SubPLOs]],"&gt;=4",tbl_task4[[SubPLOs]:[SubPLOs]],"&lt;5")+SUMIFS(tbl_task5[S115],tbl_task5[[SubPLOs]:[SubPLOs]],"&gt;=4",tbl_task5[[SubPLOs]:[SubPLOs]],"&lt;5")+SUMIFS(tbl_task6[S115],tbl_task6[[SubPLOs]:[SubPLOs]],"&gt;=4",tbl_task6[[SubPLOs]:[SubPLOs]],"&lt;5")+SUMIFS(tbl_task7[S115],tbl_task7[[SubPLOs]:[SubPLOs]],"&gt;=4",tbl_task7[[SubPLOs]:[SubPLOs]],"&lt;5")+SUMIFS(tbl_task8[S115],tbl_task8[[SubPLOs]:[SubPLOs]],"&gt;=4",tbl_task8[[SubPLOs]:[SubPLOs]],"&lt;5")+SUMIFS(tbl_task9[S115],tbl_task9[[SubPLOs]:[SubPLOs]],"&gt;=4",tbl_task9[[SubPLOs]:[SubPLOs]],"&lt;5")+SUMIFS(tbl_task10[S115],tbl_task10[[SubPLOs]:[SubPLOs]],"&gt;=4",tbl_task10[[SubPLOs]:[SubPLOs]],"&lt;5")</f>
        <v>0</v>
      </c>
      <c r="DQ183" s="41">
        <f>SUMIFS(tbl_task1[S116],tbl_task1[[SubPLOs]:[SubPLOs]],"&gt;=4",tbl_task1[[SubPLOs]:[SubPLOs]],"&lt;5")+SUMIFS(tbl_task2[S116],tbl_task2[[SubPLOs]:[SubPLOs]],"&gt;=4",tbl_task2[[SubPLOs]:[SubPLOs]],"&lt;5")+SUMIFS(tbl_task3[S116],tbl_task3[[SubPLOs]:[SubPLOs]],"&gt;=4",tbl_task3[[SubPLOs]:[SubPLOs]],"&lt;5")+SUMIFS(tbl_task4[S116],tbl_task4[[SubPLOs]:[SubPLOs]],"&gt;=4",tbl_task4[[SubPLOs]:[SubPLOs]],"&lt;5")+SUMIFS(tbl_task5[S116],tbl_task5[[SubPLOs]:[SubPLOs]],"&gt;=4",tbl_task5[[SubPLOs]:[SubPLOs]],"&lt;5")+SUMIFS(tbl_task6[S116],tbl_task6[[SubPLOs]:[SubPLOs]],"&gt;=4",tbl_task6[[SubPLOs]:[SubPLOs]],"&lt;5")+SUMIFS(tbl_task7[S116],tbl_task7[[SubPLOs]:[SubPLOs]],"&gt;=4",tbl_task7[[SubPLOs]:[SubPLOs]],"&lt;5")+SUMIFS(tbl_task8[S116],tbl_task8[[SubPLOs]:[SubPLOs]],"&gt;=4",tbl_task8[[SubPLOs]:[SubPLOs]],"&lt;5")+SUMIFS(tbl_task9[S116],tbl_task9[[SubPLOs]:[SubPLOs]],"&gt;=4",tbl_task9[[SubPLOs]:[SubPLOs]],"&lt;5")+SUMIFS(tbl_task10[S116],tbl_task10[[SubPLOs]:[SubPLOs]],"&gt;=4",tbl_task10[[SubPLOs]:[SubPLOs]],"&lt;5")</f>
        <v>0</v>
      </c>
      <c r="DR183" s="41">
        <f>SUMIFS(tbl_task1[S117],tbl_task1[[SubPLOs]:[SubPLOs]],"&gt;=4",tbl_task1[[SubPLOs]:[SubPLOs]],"&lt;5")+SUMIFS(tbl_task2[S117],tbl_task2[[SubPLOs]:[SubPLOs]],"&gt;=4",tbl_task2[[SubPLOs]:[SubPLOs]],"&lt;5")+SUMIFS(tbl_task3[S117],tbl_task3[[SubPLOs]:[SubPLOs]],"&gt;=4",tbl_task3[[SubPLOs]:[SubPLOs]],"&lt;5")+SUMIFS(tbl_task4[S117],tbl_task4[[SubPLOs]:[SubPLOs]],"&gt;=4",tbl_task4[[SubPLOs]:[SubPLOs]],"&lt;5")+SUMIFS(tbl_task5[S117],tbl_task5[[SubPLOs]:[SubPLOs]],"&gt;=4",tbl_task5[[SubPLOs]:[SubPLOs]],"&lt;5")+SUMIFS(tbl_task6[S117],tbl_task6[[SubPLOs]:[SubPLOs]],"&gt;=4",tbl_task6[[SubPLOs]:[SubPLOs]],"&lt;5")+SUMIFS(tbl_task7[S117],tbl_task7[[SubPLOs]:[SubPLOs]],"&gt;=4",tbl_task7[[SubPLOs]:[SubPLOs]],"&lt;5")+SUMIFS(tbl_task8[S117],tbl_task8[[SubPLOs]:[SubPLOs]],"&gt;=4",tbl_task8[[SubPLOs]:[SubPLOs]],"&lt;5")+SUMIFS(tbl_task9[S117],tbl_task9[[SubPLOs]:[SubPLOs]],"&gt;=4",tbl_task9[[SubPLOs]:[SubPLOs]],"&lt;5")+SUMIFS(tbl_task10[S117],tbl_task10[[SubPLOs]:[SubPLOs]],"&gt;=4",tbl_task10[[SubPLOs]:[SubPLOs]],"&lt;5")</f>
        <v>0</v>
      </c>
      <c r="DS183" s="41">
        <f>SUMIFS(tbl_task1[S118],tbl_task1[[SubPLOs]:[SubPLOs]],"&gt;=4",tbl_task1[[SubPLOs]:[SubPLOs]],"&lt;5")+SUMIFS(tbl_task2[S118],tbl_task2[[SubPLOs]:[SubPLOs]],"&gt;=4",tbl_task2[[SubPLOs]:[SubPLOs]],"&lt;5")+SUMIFS(tbl_task3[S118],tbl_task3[[SubPLOs]:[SubPLOs]],"&gt;=4",tbl_task3[[SubPLOs]:[SubPLOs]],"&lt;5")+SUMIFS(tbl_task4[S118],tbl_task4[[SubPLOs]:[SubPLOs]],"&gt;=4",tbl_task4[[SubPLOs]:[SubPLOs]],"&lt;5")+SUMIFS(tbl_task5[S118],tbl_task5[[SubPLOs]:[SubPLOs]],"&gt;=4",tbl_task5[[SubPLOs]:[SubPLOs]],"&lt;5")+SUMIFS(tbl_task6[S118],tbl_task6[[SubPLOs]:[SubPLOs]],"&gt;=4",tbl_task6[[SubPLOs]:[SubPLOs]],"&lt;5")+SUMIFS(tbl_task7[S118],tbl_task7[[SubPLOs]:[SubPLOs]],"&gt;=4",tbl_task7[[SubPLOs]:[SubPLOs]],"&lt;5")+SUMIFS(tbl_task8[S118],tbl_task8[[SubPLOs]:[SubPLOs]],"&gt;=4",tbl_task8[[SubPLOs]:[SubPLOs]],"&lt;5")+SUMIFS(tbl_task9[S118],tbl_task9[[SubPLOs]:[SubPLOs]],"&gt;=4",tbl_task9[[SubPLOs]:[SubPLOs]],"&lt;5")+SUMIFS(tbl_task10[S118],tbl_task10[[SubPLOs]:[SubPLOs]],"&gt;=4",tbl_task10[[SubPLOs]:[SubPLOs]],"&lt;5")</f>
        <v>0</v>
      </c>
      <c r="DT183" s="41">
        <f>SUMIFS(tbl_task1[S119],tbl_task1[[SubPLOs]:[SubPLOs]],"&gt;=4",tbl_task1[[SubPLOs]:[SubPLOs]],"&lt;5")+SUMIFS(tbl_task2[S119],tbl_task2[[SubPLOs]:[SubPLOs]],"&gt;=4",tbl_task2[[SubPLOs]:[SubPLOs]],"&lt;5")+SUMIFS(tbl_task3[S119],tbl_task3[[SubPLOs]:[SubPLOs]],"&gt;=4",tbl_task3[[SubPLOs]:[SubPLOs]],"&lt;5")+SUMIFS(tbl_task4[S119],tbl_task4[[SubPLOs]:[SubPLOs]],"&gt;=4",tbl_task4[[SubPLOs]:[SubPLOs]],"&lt;5")+SUMIFS(tbl_task5[S119],tbl_task5[[SubPLOs]:[SubPLOs]],"&gt;=4",tbl_task5[[SubPLOs]:[SubPLOs]],"&lt;5")+SUMIFS(tbl_task6[S119],tbl_task6[[SubPLOs]:[SubPLOs]],"&gt;=4",tbl_task6[[SubPLOs]:[SubPLOs]],"&lt;5")+SUMIFS(tbl_task7[S119],tbl_task7[[SubPLOs]:[SubPLOs]],"&gt;=4",tbl_task7[[SubPLOs]:[SubPLOs]],"&lt;5")+SUMIFS(tbl_task8[S119],tbl_task8[[SubPLOs]:[SubPLOs]],"&gt;=4",tbl_task8[[SubPLOs]:[SubPLOs]],"&lt;5")+SUMIFS(tbl_task9[S119],tbl_task9[[SubPLOs]:[SubPLOs]],"&gt;=4",tbl_task9[[SubPLOs]:[SubPLOs]],"&lt;5")+SUMIFS(tbl_task10[S119],tbl_task10[[SubPLOs]:[SubPLOs]],"&gt;=4",tbl_task10[[SubPLOs]:[SubPLOs]],"&lt;5")</f>
        <v>0</v>
      </c>
      <c r="DU183" s="41">
        <f>SUMIFS(tbl_task1[S120],tbl_task1[[SubPLOs]:[SubPLOs]],"&gt;=4",tbl_task1[[SubPLOs]:[SubPLOs]],"&lt;5")+SUMIFS(tbl_task2[S120],tbl_task2[[SubPLOs]:[SubPLOs]],"&gt;=4",tbl_task2[[SubPLOs]:[SubPLOs]],"&lt;5")+SUMIFS(tbl_task3[S120],tbl_task3[[SubPLOs]:[SubPLOs]],"&gt;=4",tbl_task3[[SubPLOs]:[SubPLOs]],"&lt;5")+SUMIFS(tbl_task4[S120],tbl_task4[[SubPLOs]:[SubPLOs]],"&gt;=4",tbl_task4[[SubPLOs]:[SubPLOs]],"&lt;5")+SUMIFS(tbl_task5[S120],tbl_task5[[SubPLOs]:[SubPLOs]],"&gt;=4",tbl_task5[[SubPLOs]:[SubPLOs]],"&lt;5")+SUMIFS(tbl_task6[S120],tbl_task6[[SubPLOs]:[SubPLOs]],"&gt;=4",tbl_task6[[SubPLOs]:[SubPLOs]],"&lt;5")+SUMIFS(tbl_task7[S120],tbl_task7[[SubPLOs]:[SubPLOs]],"&gt;=4",tbl_task7[[SubPLOs]:[SubPLOs]],"&lt;5")+SUMIFS(tbl_task8[S120],tbl_task8[[SubPLOs]:[SubPLOs]],"&gt;=4",tbl_task8[[SubPLOs]:[SubPLOs]],"&lt;5")+SUMIFS(tbl_task9[S120],tbl_task9[[SubPLOs]:[SubPLOs]],"&gt;=4",tbl_task9[[SubPLOs]:[SubPLOs]],"&lt;5")+SUMIFS(tbl_task10[S120],tbl_task10[[SubPLOs]:[SubPLOs]],"&gt;=4",tbl_task10[[SubPLOs]:[SubPLOs]],"&lt;5")</f>
        <v>0</v>
      </c>
      <c r="DV183" s="41">
        <f>SUMIFS(tbl_task1[S121],tbl_task1[[SubPLOs]:[SubPLOs]],"&gt;=4",tbl_task1[[SubPLOs]:[SubPLOs]],"&lt;5")+SUMIFS(tbl_task2[S121],tbl_task2[[SubPLOs]:[SubPLOs]],"&gt;=4",tbl_task2[[SubPLOs]:[SubPLOs]],"&lt;5")+SUMIFS(tbl_task3[S121],tbl_task3[[SubPLOs]:[SubPLOs]],"&gt;=4",tbl_task3[[SubPLOs]:[SubPLOs]],"&lt;5")+SUMIFS(tbl_task4[S121],tbl_task4[[SubPLOs]:[SubPLOs]],"&gt;=4",tbl_task4[[SubPLOs]:[SubPLOs]],"&lt;5")+SUMIFS(tbl_task5[S121],tbl_task5[[SubPLOs]:[SubPLOs]],"&gt;=4",tbl_task5[[SubPLOs]:[SubPLOs]],"&lt;5")+SUMIFS(tbl_task6[S121],tbl_task6[[SubPLOs]:[SubPLOs]],"&gt;=4",tbl_task6[[SubPLOs]:[SubPLOs]],"&lt;5")+SUMIFS(tbl_task7[S121],tbl_task7[[SubPLOs]:[SubPLOs]],"&gt;=4",tbl_task7[[SubPLOs]:[SubPLOs]],"&lt;5")+SUMIFS(tbl_task8[S121],tbl_task8[[SubPLOs]:[SubPLOs]],"&gt;=4",tbl_task8[[SubPLOs]:[SubPLOs]],"&lt;5")+SUMIFS(tbl_task9[S121],tbl_task9[[SubPLOs]:[SubPLOs]],"&gt;=4",tbl_task9[[SubPLOs]:[SubPLOs]],"&lt;5")+SUMIFS(tbl_task10[S121],tbl_task10[[SubPLOs]:[SubPLOs]],"&gt;=4",tbl_task10[[SubPLOs]:[SubPLOs]],"&lt;5")</f>
        <v>0</v>
      </c>
      <c r="DW183" s="41">
        <f>SUMIFS(tbl_task1[S122],tbl_task1[[SubPLOs]:[SubPLOs]],"&gt;=4",tbl_task1[[SubPLOs]:[SubPLOs]],"&lt;5")+SUMIFS(tbl_task2[S122],tbl_task2[[SubPLOs]:[SubPLOs]],"&gt;=4",tbl_task2[[SubPLOs]:[SubPLOs]],"&lt;5")+SUMIFS(tbl_task3[S122],tbl_task3[[SubPLOs]:[SubPLOs]],"&gt;=4",tbl_task3[[SubPLOs]:[SubPLOs]],"&lt;5")+SUMIFS(tbl_task4[S122],tbl_task4[[SubPLOs]:[SubPLOs]],"&gt;=4",tbl_task4[[SubPLOs]:[SubPLOs]],"&lt;5")+SUMIFS(tbl_task5[S122],tbl_task5[[SubPLOs]:[SubPLOs]],"&gt;=4",tbl_task5[[SubPLOs]:[SubPLOs]],"&lt;5")+SUMIFS(tbl_task6[S122],tbl_task6[[SubPLOs]:[SubPLOs]],"&gt;=4",tbl_task6[[SubPLOs]:[SubPLOs]],"&lt;5")+SUMIFS(tbl_task7[S122],tbl_task7[[SubPLOs]:[SubPLOs]],"&gt;=4",tbl_task7[[SubPLOs]:[SubPLOs]],"&lt;5")+SUMIFS(tbl_task8[S122],tbl_task8[[SubPLOs]:[SubPLOs]],"&gt;=4",tbl_task8[[SubPLOs]:[SubPLOs]],"&lt;5")+SUMIFS(tbl_task9[S122],tbl_task9[[SubPLOs]:[SubPLOs]],"&gt;=4",tbl_task9[[SubPLOs]:[SubPLOs]],"&lt;5")+SUMIFS(tbl_task10[S122],tbl_task10[[SubPLOs]:[SubPLOs]],"&gt;=4",tbl_task10[[SubPLOs]:[SubPLOs]],"&lt;5")</f>
        <v>0</v>
      </c>
      <c r="DX183" s="41">
        <f>SUMIFS(tbl_task1[S123],tbl_task1[[SubPLOs]:[SubPLOs]],"&gt;=4",tbl_task1[[SubPLOs]:[SubPLOs]],"&lt;5")+SUMIFS(tbl_task2[S123],tbl_task2[[SubPLOs]:[SubPLOs]],"&gt;=4",tbl_task2[[SubPLOs]:[SubPLOs]],"&lt;5")+SUMIFS(tbl_task3[S123],tbl_task3[[SubPLOs]:[SubPLOs]],"&gt;=4",tbl_task3[[SubPLOs]:[SubPLOs]],"&lt;5")+SUMIFS(tbl_task4[S123],tbl_task4[[SubPLOs]:[SubPLOs]],"&gt;=4",tbl_task4[[SubPLOs]:[SubPLOs]],"&lt;5")+SUMIFS(tbl_task5[S123],tbl_task5[[SubPLOs]:[SubPLOs]],"&gt;=4",tbl_task5[[SubPLOs]:[SubPLOs]],"&lt;5")+SUMIFS(tbl_task6[S123],tbl_task6[[SubPLOs]:[SubPLOs]],"&gt;=4",tbl_task6[[SubPLOs]:[SubPLOs]],"&lt;5")+SUMIFS(tbl_task7[S123],tbl_task7[[SubPLOs]:[SubPLOs]],"&gt;=4",tbl_task7[[SubPLOs]:[SubPLOs]],"&lt;5")+SUMIFS(tbl_task8[S123],tbl_task8[[SubPLOs]:[SubPLOs]],"&gt;=4",tbl_task8[[SubPLOs]:[SubPLOs]],"&lt;5")+SUMIFS(tbl_task9[S123],tbl_task9[[SubPLOs]:[SubPLOs]],"&gt;=4",tbl_task9[[SubPLOs]:[SubPLOs]],"&lt;5")+SUMIFS(tbl_task10[S123],tbl_task10[[SubPLOs]:[SubPLOs]],"&gt;=4",tbl_task10[[SubPLOs]:[SubPLOs]],"&lt;5")</f>
        <v>0</v>
      </c>
      <c r="DY183" s="41">
        <f>SUMIFS(tbl_task1[S124],tbl_task1[[SubPLOs]:[SubPLOs]],"&gt;=4",tbl_task1[[SubPLOs]:[SubPLOs]],"&lt;5")+SUMIFS(tbl_task2[S124],tbl_task2[[SubPLOs]:[SubPLOs]],"&gt;=4",tbl_task2[[SubPLOs]:[SubPLOs]],"&lt;5")+SUMIFS(tbl_task3[S124],tbl_task3[[SubPLOs]:[SubPLOs]],"&gt;=4",tbl_task3[[SubPLOs]:[SubPLOs]],"&lt;5")+SUMIFS(tbl_task4[S124],tbl_task4[[SubPLOs]:[SubPLOs]],"&gt;=4",tbl_task4[[SubPLOs]:[SubPLOs]],"&lt;5")+SUMIFS(tbl_task5[S124],tbl_task5[[SubPLOs]:[SubPLOs]],"&gt;=4",tbl_task5[[SubPLOs]:[SubPLOs]],"&lt;5")+SUMIFS(tbl_task6[S124],tbl_task6[[SubPLOs]:[SubPLOs]],"&gt;=4",tbl_task6[[SubPLOs]:[SubPLOs]],"&lt;5")+SUMIFS(tbl_task7[S124],tbl_task7[[SubPLOs]:[SubPLOs]],"&gt;=4",tbl_task7[[SubPLOs]:[SubPLOs]],"&lt;5")+SUMIFS(tbl_task8[S124],tbl_task8[[SubPLOs]:[SubPLOs]],"&gt;=4",tbl_task8[[SubPLOs]:[SubPLOs]],"&lt;5")+SUMIFS(tbl_task9[S124],tbl_task9[[SubPLOs]:[SubPLOs]],"&gt;=4",tbl_task9[[SubPLOs]:[SubPLOs]],"&lt;5")+SUMIFS(tbl_task10[S124],tbl_task10[[SubPLOs]:[SubPLOs]],"&gt;=4",tbl_task10[[SubPLOs]:[SubPLOs]],"&lt;5")</f>
        <v>0</v>
      </c>
      <c r="DZ183" s="41">
        <f>SUMIFS(tbl_task1[S125],tbl_task1[[SubPLOs]:[SubPLOs]],"&gt;=4",tbl_task1[[SubPLOs]:[SubPLOs]],"&lt;5")+SUMIFS(tbl_task2[S125],tbl_task2[[SubPLOs]:[SubPLOs]],"&gt;=4",tbl_task2[[SubPLOs]:[SubPLOs]],"&lt;5")+SUMIFS(tbl_task3[S125],tbl_task3[[SubPLOs]:[SubPLOs]],"&gt;=4",tbl_task3[[SubPLOs]:[SubPLOs]],"&lt;5")+SUMIFS(tbl_task4[S125],tbl_task4[[SubPLOs]:[SubPLOs]],"&gt;=4",tbl_task4[[SubPLOs]:[SubPLOs]],"&lt;5")+SUMIFS(tbl_task5[S125],tbl_task5[[SubPLOs]:[SubPLOs]],"&gt;=4",tbl_task5[[SubPLOs]:[SubPLOs]],"&lt;5")+SUMIFS(tbl_task6[S125],tbl_task6[[SubPLOs]:[SubPLOs]],"&gt;=4",tbl_task6[[SubPLOs]:[SubPLOs]],"&lt;5")+SUMIFS(tbl_task7[S125],tbl_task7[[SubPLOs]:[SubPLOs]],"&gt;=4",tbl_task7[[SubPLOs]:[SubPLOs]],"&lt;5")+SUMIFS(tbl_task8[S125],tbl_task8[[SubPLOs]:[SubPLOs]],"&gt;=4",tbl_task8[[SubPLOs]:[SubPLOs]],"&lt;5")+SUMIFS(tbl_task9[S125],tbl_task9[[SubPLOs]:[SubPLOs]],"&gt;=4",tbl_task9[[SubPLOs]:[SubPLOs]],"&lt;5")+SUMIFS(tbl_task10[S125],tbl_task10[[SubPLOs]:[SubPLOs]],"&gt;=4",tbl_task10[[SubPLOs]:[SubPLOs]],"&lt;5")</f>
        <v>0</v>
      </c>
      <c r="EA183" s="41">
        <f>SUMIFS(tbl_task1[S126],tbl_task1[[SubPLOs]:[SubPLOs]],"&gt;=4",tbl_task1[[SubPLOs]:[SubPLOs]],"&lt;5")+SUMIFS(tbl_task2[S126],tbl_task2[[SubPLOs]:[SubPLOs]],"&gt;=4",tbl_task2[[SubPLOs]:[SubPLOs]],"&lt;5")+SUMIFS(tbl_task3[S126],tbl_task3[[SubPLOs]:[SubPLOs]],"&gt;=4",tbl_task3[[SubPLOs]:[SubPLOs]],"&lt;5")+SUMIFS(tbl_task4[S126],tbl_task4[[SubPLOs]:[SubPLOs]],"&gt;=4",tbl_task4[[SubPLOs]:[SubPLOs]],"&lt;5")+SUMIFS(tbl_task5[S126],tbl_task5[[SubPLOs]:[SubPLOs]],"&gt;=4",tbl_task5[[SubPLOs]:[SubPLOs]],"&lt;5")+SUMIFS(tbl_task6[S126],tbl_task6[[SubPLOs]:[SubPLOs]],"&gt;=4",tbl_task6[[SubPLOs]:[SubPLOs]],"&lt;5")+SUMIFS(tbl_task7[S126],tbl_task7[[SubPLOs]:[SubPLOs]],"&gt;=4",tbl_task7[[SubPLOs]:[SubPLOs]],"&lt;5")+SUMIFS(tbl_task8[S126],tbl_task8[[SubPLOs]:[SubPLOs]],"&gt;=4",tbl_task8[[SubPLOs]:[SubPLOs]],"&lt;5")+SUMIFS(tbl_task9[S126],tbl_task9[[SubPLOs]:[SubPLOs]],"&gt;=4",tbl_task9[[SubPLOs]:[SubPLOs]],"&lt;5")+SUMIFS(tbl_task10[S126],tbl_task10[[SubPLOs]:[SubPLOs]],"&gt;=4",tbl_task10[[SubPLOs]:[SubPLOs]],"&lt;5")</f>
        <v>0</v>
      </c>
      <c r="EB183" s="41">
        <f>SUMIFS(tbl_task1[S127],tbl_task1[[SubPLOs]:[SubPLOs]],"&gt;=4",tbl_task1[[SubPLOs]:[SubPLOs]],"&lt;5")+SUMIFS(tbl_task2[S127],tbl_task2[[SubPLOs]:[SubPLOs]],"&gt;=4",tbl_task2[[SubPLOs]:[SubPLOs]],"&lt;5")+SUMIFS(tbl_task3[S127],tbl_task3[[SubPLOs]:[SubPLOs]],"&gt;=4",tbl_task3[[SubPLOs]:[SubPLOs]],"&lt;5")+SUMIFS(tbl_task4[S127],tbl_task4[[SubPLOs]:[SubPLOs]],"&gt;=4",tbl_task4[[SubPLOs]:[SubPLOs]],"&lt;5")+SUMIFS(tbl_task5[S127],tbl_task5[[SubPLOs]:[SubPLOs]],"&gt;=4",tbl_task5[[SubPLOs]:[SubPLOs]],"&lt;5")+SUMIFS(tbl_task6[S127],tbl_task6[[SubPLOs]:[SubPLOs]],"&gt;=4",tbl_task6[[SubPLOs]:[SubPLOs]],"&lt;5")+SUMIFS(tbl_task7[S127],tbl_task7[[SubPLOs]:[SubPLOs]],"&gt;=4",tbl_task7[[SubPLOs]:[SubPLOs]],"&lt;5")+SUMIFS(tbl_task8[S127],tbl_task8[[SubPLOs]:[SubPLOs]],"&gt;=4",tbl_task8[[SubPLOs]:[SubPLOs]],"&lt;5")+SUMIFS(tbl_task9[S127],tbl_task9[[SubPLOs]:[SubPLOs]],"&gt;=4",tbl_task9[[SubPLOs]:[SubPLOs]],"&lt;5")+SUMIFS(tbl_task10[S127],tbl_task10[[SubPLOs]:[SubPLOs]],"&gt;=4",tbl_task10[[SubPLOs]:[SubPLOs]],"&lt;5")</f>
        <v>0</v>
      </c>
      <c r="EC183" s="41">
        <f>SUMIFS(tbl_task1[S128],tbl_task1[[SubPLOs]:[SubPLOs]],"&gt;=4",tbl_task1[[SubPLOs]:[SubPLOs]],"&lt;5")+SUMIFS(tbl_task2[S128],tbl_task2[[SubPLOs]:[SubPLOs]],"&gt;=4",tbl_task2[[SubPLOs]:[SubPLOs]],"&lt;5")+SUMIFS(tbl_task3[S128],tbl_task3[[SubPLOs]:[SubPLOs]],"&gt;=4",tbl_task3[[SubPLOs]:[SubPLOs]],"&lt;5")+SUMIFS(tbl_task4[S128],tbl_task4[[SubPLOs]:[SubPLOs]],"&gt;=4",tbl_task4[[SubPLOs]:[SubPLOs]],"&lt;5")+SUMIFS(tbl_task5[S128],tbl_task5[[SubPLOs]:[SubPLOs]],"&gt;=4",tbl_task5[[SubPLOs]:[SubPLOs]],"&lt;5")+SUMIFS(tbl_task6[S128],tbl_task6[[SubPLOs]:[SubPLOs]],"&gt;=4",tbl_task6[[SubPLOs]:[SubPLOs]],"&lt;5")+SUMIFS(tbl_task7[S128],tbl_task7[[SubPLOs]:[SubPLOs]],"&gt;=4",tbl_task7[[SubPLOs]:[SubPLOs]],"&lt;5")+SUMIFS(tbl_task8[S128],tbl_task8[[SubPLOs]:[SubPLOs]],"&gt;=4",tbl_task8[[SubPLOs]:[SubPLOs]],"&lt;5")+SUMIFS(tbl_task9[S128],tbl_task9[[SubPLOs]:[SubPLOs]],"&gt;=4",tbl_task9[[SubPLOs]:[SubPLOs]],"&lt;5")+SUMIFS(tbl_task10[S128],tbl_task10[[SubPLOs]:[SubPLOs]],"&gt;=4",tbl_task10[[SubPLOs]:[SubPLOs]],"&lt;5")</f>
        <v>0</v>
      </c>
      <c r="ED183" s="41">
        <f>SUMIFS(tbl_task1[S129],tbl_task1[[SubPLOs]:[SubPLOs]],"&gt;=4",tbl_task1[[SubPLOs]:[SubPLOs]],"&lt;5")+SUMIFS(tbl_task2[S129],tbl_task2[[SubPLOs]:[SubPLOs]],"&gt;=4",tbl_task2[[SubPLOs]:[SubPLOs]],"&lt;5")+SUMIFS(tbl_task3[S129],tbl_task3[[SubPLOs]:[SubPLOs]],"&gt;=4",tbl_task3[[SubPLOs]:[SubPLOs]],"&lt;5")+SUMIFS(tbl_task4[S129],tbl_task4[[SubPLOs]:[SubPLOs]],"&gt;=4",tbl_task4[[SubPLOs]:[SubPLOs]],"&lt;5")+SUMIFS(tbl_task5[S129],tbl_task5[[SubPLOs]:[SubPLOs]],"&gt;=4",tbl_task5[[SubPLOs]:[SubPLOs]],"&lt;5")+SUMIFS(tbl_task6[S129],tbl_task6[[SubPLOs]:[SubPLOs]],"&gt;=4",tbl_task6[[SubPLOs]:[SubPLOs]],"&lt;5")+SUMIFS(tbl_task7[S129],tbl_task7[[SubPLOs]:[SubPLOs]],"&gt;=4",tbl_task7[[SubPLOs]:[SubPLOs]],"&lt;5")+SUMIFS(tbl_task8[S129],tbl_task8[[SubPLOs]:[SubPLOs]],"&gt;=4",tbl_task8[[SubPLOs]:[SubPLOs]],"&lt;5")+SUMIFS(tbl_task9[S129],tbl_task9[[SubPLOs]:[SubPLOs]],"&gt;=4",tbl_task9[[SubPLOs]:[SubPLOs]],"&lt;5")+SUMIFS(tbl_task10[S129],tbl_task10[[SubPLOs]:[SubPLOs]],"&gt;=4",tbl_task10[[SubPLOs]:[SubPLOs]],"&lt;5")</f>
        <v>0</v>
      </c>
      <c r="EE183" s="41">
        <f>SUMIFS(tbl_task1[S130],tbl_task1[[SubPLOs]:[SubPLOs]],"&gt;=4",tbl_task1[[SubPLOs]:[SubPLOs]],"&lt;5")+SUMIFS(tbl_task2[S130],tbl_task2[[SubPLOs]:[SubPLOs]],"&gt;=4",tbl_task2[[SubPLOs]:[SubPLOs]],"&lt;5")+SUMIFS(tbl_task3[S130],tbl_task3[[SubPLOs]:[SubPLOs]],"&gt;=4",tbl_task3[[SubPLOs]:[SubPLOs]],"&lt;5")+SUMIFS(tbl_task4[S130],tbl_task4[[SubPLOs]:[SubPLOs]],"&gt;=4",tbl_task4[[SubPLOs]:[SubPLOs]],"&lt;5")+SUMIFS(tbl_task5[S130],tbl_task5[[SubPLOs]:[SubPLOs]],"&gt;=4",tbl_task5[[SubPLOs]:[SubPLOs]],"&lt;5")+SUMIFS(tbl_task6[S130],tbl_task6[[SubPLOs]:[SubPLOs]],"&gt;=4",tbl_task6[[SubPLOs]:[SubPLOs]],"&lt;5")+SUMIFS(tbl_task7[S130],tbl_task7[[SubPLOs]:[SubPLOs]],"&gt;=4",tbl_task7[[SubPLOs]:[SubPLOs]],"&lt;5")+SUMIFS(tbl_task8[S130],tbl_task8[[SubPLOs]:[SubPLOs]],"&gt;=4",tbl_task8[[SubPLOs]:[SubPLOs]],"&lt;5")+SUMIFS(tbl_task9[S130],tbl_task9[[SubPLOs]:[SubPLOs]],"&gt;=4",tbl_task9[[SubPLOs]:[SubPLOs]],"&lt;5")+SUMIFS(tbl_task10[S130],tbl_task10[[SubPLOs]:[SubPLOs]],"&gt;=4",tbl_task10[[SubPLOs]:[SubPLOs]],"&lt;5")</f>
        <v>0</v>
      </c>
      <c r="EF183" s="41">
        <f>SUMIFS(tbl_task1[S131],tbl_task1[[SubPLOs]:[SubPLOs]],"&gt;=4",tbl_task1[[SubPLOs]:[SubPLOs]],"&lt;5")+SUMIFS(tbl_task2[S131],tbl_task2[[SubPLOs]:[SubPLOs]],"&gt;=4",tbl_task2[[SubPLOs]:[SubPLOs]],"&lt;5")+SUMIFS(tbl_task3[S131],tbl_task3[[SubPLOs]:[SubPLOs]],"&gt;=4",tbl_task3[[SubPLOs]:[SubPLOs]],"&lt;5")+SUMIFS(tbl_task4[S131],tbl_task4[[SubPLOs]:[SubPLOs]],"&gt;=4",tbl_task4[[SubPLOs]:[SubPLOs]],"&lt;5")+SUMIFS(tbl_task5[S131],tbl_task5[[SubPLOs]:[SubPLOs]],"&gt;=4",tbl_task5[[SubPLOs]:[SubPLOs]],"&lt;5")+SUMIFS(tbl_task6[S131],tbl_task6[[SubPLOs]:[SubPLOs]],"&gt;=4",tbl_task6[[SubPLOs]:[SubPLOs]],"&lt;5")+SUMIFS(tbl_task7[S131],tbl_task7[[SubPLOs]:[SubPLOs]],"&gt;=4",tbl_task7[[SubPLOs]:[SubPLOs]],"&lt;5")+SUMIFS(tbl_task8[S131],tbl_task8[[SubPLOs]:[SubPLOs]],"&gt;=4",tbl_task8[[SubPLOs]:[SubPLOs]],"&lt;5")+SUMIFS(tbl_task9[S131],tbl_task9[[SubPLOs]:[SubPLOs]],"&gt;=4",tbl_task9[[SubPLOs]:[SubPLOs]],"&lt;5")+SUMIFS(tbl_task10[S131],tbl_task10[[SubPLOs]:[SubPLOs]],"&gt;=4",tbl_task10[[SubPLOs]:[SubPLOs]],"&lt;5")</f>
        <v>0</v>
      </c>
      <c r="EG183" s="41">
        <f>SUMIFS(tbl_task1[S132],tbl_task1[[SubPLOs]:[SubPLOs]],"&gt;=4",tbl_task1[[SubPLOs]:[SubPLOs]],"&lt;5")+SUMIFS(tbl_task2[S132],tbl_task2[[SubPLOs]:[SubPLOs]],"&gt;=4",tbl_task2[[SubPLOs]:[SubPLOs]],"&lt;5")+SUMIFS(tbl_task3[S132],tbl_task3[[SubPLOs]:[SubPLOs]],"&gt;=4",tbl_task3[[SubPLOs]:[SubPLOs]],"&lt;5")+SUMIFS(tbl_task4[S132],tbl_task4[[SubPLOs]:[SubPLOs]],"&gt;=4",tbl_task4[[SubPLOs]:[SubPLOs]],"&lt;5")+SUMIFS(tbl_task5[S132],tbl_task5[[SubPLOs]:[SubPLOs]],"&gt;=4",tbl_task5[[SubPLOs]:[SubPLOs]],"&lt;5")+SUMIFS(tbl_task6[S132],tbl_task6[[SubPLOs]:[SubPLOs]],"&gt;=4",tbl_task6[[SubPLOs]:[SubPLOs]],"&lt;5")+SUMIFS(tbl_task7[S132],tbl_task7[[SubPLOs]:[SubPLOs]],"&gt;=4",tbl_task7[[SubPLOs]:[SubPLOs]],"&lt;5")+SUMIFS(tbl_task8[S132],tbl_task8[[SubPLOs]:[SubPLOs]],"&gt;=4",tbl_task8[[SubPLOs]:[SubPLOs]],"&lt;5")+SUMIFS(tbl_task9[S132],tbl_task9[[SubPLOs]:[SubPLOs]],"&gt;=4",tbl_task9[[SubPLOs]:[SubPLOs]],"&lt;5")+SUMIFS(tbl_task10[S132],tbl_task10[[SubPLOs]:[SubPLOs]],"&gt;=4",tbl_task10[[SubPLOs]:[SubPLOs]],"&lt;5")</f>
        <v>0</v>
      </c>
      <c r="EH183" s="41">
        <f>SUMIFS(tbl_task1[S133],tbl_task1[[SubPLOs]:[SubPLOs]],"&gt;=4",tbl_task1[[SubPLOs]:[SubPLOs]],"&lt;5")+SUMIFS(tbl_task2[S133],tbl_task2[[SubPLOs]:[SubPLOs]],"&gt;=4",tbl_task2[[SubPLOs]:[SubPLOs]],"&lt;5")+SUMIFS(tbl_task3[S133],tbl_task3[[SubPLOs]:[SubPLOs]],"&gt;=4",tbl_task3[[SubPLOs]:[SubPLOs]],"&lt;5")+SUMIFS(tbl_task4[S133],tbl_task4[[SubPLOs]:[SubPLOs]],"&gt;=4",tbl_task4[[SubPLOs]:[SubPLOs]],"&lt;5")+SUMIFS(tbl_task5[S133],tbl_task5[[SubPLOs]:[SubPLOs]],"&gt;=4",tbl_task5[[SubPLOs]:[SubPLOs]],"&lt;5")+SUMIFS(tbl_task6[S133],tbl_task6[[SubPLOs]:[SubPLOs]],"&gt;=4",tbl_task6[[SubPLOs]:[SubPLOs]],"&lt;5")+SUMIFS(tbl_task7[S133],tbl_task7[[SubPLOs]:[SubPLOs]],"&gt;=4",tbl_task7[[SubPLOs]:[SubPLOs]],"&lt;5")+SUMIFS(tbl_task8[S133],tbl_task8[[SubPLOs]:[SubPLOs]],"&gt;=4",tbl_task8[[SubPLOs]:[SubPLOs]],"&lt;5")+SUMIFS(tbl_task9[S133],tbl_task9[[SubPLOs]:[SubPLOs]],"&gt;=4",tbl_task9[[SubPLOs]:[SubPLOs]],"&lt;5")+SUMIFS(tbl_task10[S133],tbl_task10[[SubPLOs]:[SubPLOs]],"&gt;=4",tbl_task10[[SubPLOs]:[SubPLOs]],"&lt;5")</f>
        <v>0</v>
      </c>
      <c r="EI183" s="41">
        <f>SUMIFS(tbl_task1[S134],tbl_task1[[SubPLOs]:[SubPLOs]],"&gt;=4",tbl_task1[[SubPLOs]:[SubPLOs]],"&lt;5")+SUMIFS(tbl_task2[S134],tbl_task2[[SubPLOs]:[SubPLOs]],"&gt;=4",tbl_task2[[SubPLOs]:[SubPLOs]],"&lt;5")+SUMIFS(tbl_task3[S134],tbl_task3[[SubPLOs]:[SubPLOs]],"&gt;=4",tbl_task3[[SubPLOs]:[SubPLOs]],"&lt;5")+SUMIFS(tbl_task4[S134],tbl_task4[[SubPLOs]:[SubPLOs]],"&gt;=4",tbl_task4[[SubPLOs]:[SubPLOs]],"&lt;5")+SUMIFS(tbl_task5[S134],tbl_task5[[SubPLOs]:[SubPLOs]],"&gt;=4",tbl_task5[[SubPLOs]:[SubPLOs]],"&lt;5")+SUMIFS(tbl_task6[S134],tbl_task6[[SubPLOs]:[SubPLOs]],"&gt;=4",tbl_task6[[SubPLOs]:[SubPLOs]],"&lt;5")+SUMIFS(tbl_task7[S134],tbl_task7[[SubPLOs]:[SubPLOs]],"&gt;=4",tbl_task7[[SubPLOs]:[SubPLOs]],"&lt;5")+SUMIFS(tbl_task8[S134],tbl_task8[[SubPLOs]:[SubPLOs]],"&gt;=4",tbl_task8[[SubPLOs]:[SubPLOs]],"&lt;5")+SUMIFS(tbl_task9[S134],tbl_task9[[SubPLOs]:[SubPLOs]],"&gt;=4",tbl_task9[[SubPLOs]:[SubPLOs]],"&lt;5")+SUMIFS(tbl_task10[S134],tbl_task10[[SubPLOs]:[SubPLOs]],"&gt;=4",tbl_task10[[SubPLOs]:[SubPLOs]],"&lt;5")</f>
        <v>0</v>
      </c>
      <c r="EJ183" s="41">
        <f>SUMIFS(tbl_task1[S135],tbl_task1[[SubPLOs]:[SubPLOs]],"&gt;=4",tbl_task1[[SubPLOs]:[SubPLOs]],"&lt;5")+SUMIFS(tbl_task2[S135],tbl_task2[[SubPLOs]:[SubPLOs]],"&gt;=4",tbl_task2[[SubPLOs]:[SubPLOs]],"&lt;5")+SUMIFS(tbl_task3[S135],tbl_task3[[SubPLOs]:[SubPLOs]],"&gt;=4",tbl_task3[[SubPLOs]:[SubPLOs]],"&lt;5")+SUMIFS(tbl_task4[S135],tbl_task4[[SubPLOs]:[SubPLOs]],"&gt;=4",tbl_task4[[SubPLOs]:[SubPLOs]],"&lt;5")+SUMIFS(tbl_task5[S135],tbl_task5[[SubPLOs]:[SubPLOs]],"&gt;=4",tbl_task5[[SubPLOs]:[SubPLOs]],"&lt;5")+SUMIFS(tbl_task6[S135],tbl_task6[[SubPLOs]:[SubPLOs]],"&gt;=4",tbl_task6[[SubPLOs]:[SubPLOs]],"&lt;5")+SUMIFS(tbl_task7[S135],tbl_task7[[SubPLOs]:[SubPLOs]],"&gt;=4",tbl_task7[[SubPLOs]:[SubPLOs]],"&lt;5")+SUMIFS(tbl_task8[S135],tbl_task8[[SubPLOs]:[SubPLOs]],"&gt;=4",tbl_task8[[SubPLOs]:[SubPLOs]],"&lt;5")+SUMIFS(tbl_task9[S135],tbl_task9[[SubPLOs]:[SubPLOs]],"&gt;=4",tbl_task9[[SubPLOs]:[SubPLOs]],"&lt;5")+SUMIFS(tbl_task10[S135],tbl_task10[[SubPLOs]:[SubPLOs]],"&gt;=4",tbl_task10[[SubPLOs]:[SubPLOs]],"&lt;5")</f>
        <v>0</v>
      </c>
      <c r="EK183" s="41">
        <f>SUMIFS(tbl_task1[S136],tbl_task1[[SubPLOs]:[SubPLOs]],"&gt;=4",tbl_task1[[SubPLOs]:[SubPLOs]],"&lt;5")+SUMIFS(tbl_task2[S136],tbl_task2[[SubPLOs]:[SubPLOs]],"&gt;=4",tbl_task2[[SubPLOs]:[SubPLOs]],"&lt;5")+SUMIFS(tbl_task3[S136],tbl_task3[[SubPLOs]:[SubPLOs]],"&gt;=4",tbl_task3[[SubPLOs]:[SubPLOs]],"&lt;5")+SUMIFS(tbl_task4[S136],tbl_task4[[SubPLOs]:[SubPLOs]],"&gt;=4",tbl_task4[[SubPLOs]:[SubPLOs]],"&lt;5")+SUMIFS(tbl_task5[S136],tbl_task5[[SubPLOs]:[SubPLOs]],"&gt;=4",tbl_task5[[SubPLOs]:[SubPLOs]],"&lt;5")+SUMIFS(tbl_task6[S136],tbl_task6[[SubPLOs]:[SubPLOs]],"&gt;=4",tbl_task6[[SubPLOs]:[SubPLOs]],"&lt;5")+SUMIFS(tbl_task7[S136],tbl_task7[[SubPLOs]:[SubPLOs]],"&gt;=4",tbl_task7[[SubPLOs]:[SubPLOs]],"&lt;5")+SUMIFS(tbl_task8[S136],tbl_task8[[SubPLOs]:[SubPLOs]],"&gt;=4",tbl_task8[[SubPLOs]:[SubPLOs]],"&lt;5")+SUMIFS(tbl_task9[S136],tbl_task9[[SubPLOs]:[SubPLOs]],"&gt;=4",tbl_task9[[SubPLOs]:[SubPLOs]],"&lt;5")+SUMIFS(tbl_task10[S136],tbl_task10[[SubPLOs]:[SubPLOs]],"&gt;=4",tbl_task10[[SubPLOs]:[SubPLOs]],"&lt;5")</f>
        <v>0</v>
      </c>
      <c r="EL183" s="41">
        <f>SUMIFS(tbl_task1[S137],tbl_task1[[SubPLOs]:[SubPLOs]],"&gt;=4",tbl_task1[[SubPLOs]:[SubPLOs]],"&lt;5")+SUMIFS(tbl_task2[S137],tbl_task2[[SubPLOs]:[SubPLOs]],"&gt;=4",tbl_task2[[SubPLOs]:[SubPLOs]],"&lt;5")+SUMIFS(tbl_task3[S137],tbl_task3[[SubPLOs]:[SubPLOs]],"&gt;=4",tbl_task3[[SubPLOs]:[SubPLOs]],"&lt;5")+SUMIFS(tbl_task4[S137],tbl_task4[[SubPLOs]:[SubPLOs]],"&gt;=4",tbl_task4[[SubPLOs]:[SubPLOs]],"&lt;5")+SUMIFS(tbl_task5[S137],tbl_task5[[SubPLOs]:[SubPLOs]],"&gt;=4",tbl_task5[[SubPLOs]:[SubPLOs]],"&lt;5")+SUMIFS(tbl_task6[S137],tbl_task6[[SubPLOs]:[SubPLOs]],"&gt;=4",tbl_task6[[SubPLOs]:[SubPLOs]],"&lt;5")+SUMIFS(tbl_task7[S137],tbl_task7[[SubPLOs]:[SubPLOs]],"&gt;=4",tbl_task7[[SubPLOs]:[SubPLOs]],"&lt;5")+SUMIFS(tbl_task8[S137],tbl_task8[[SubPLOs]:[SubPLOs]],"&gt;=4",tbl_task8[[SubPLOs]:[SubPLOs]],"&lt;5")+SUMIFS(tbl_task9[S137],tbl_task9[[SubPLOs]:[SubPLOs]],"&gt;=4",tbl_task9[[SubPLOs]:[SubPLOs]],"&lt;5")+SUMIFS(tbl_task10[S137],tbl_task10[[SubPLOs]:[SubPLOs]],"&gt;=4",tbl_task10[[SubPLOs]:[SubPLOs]],"&lt;5")</f>
        <v>0</v>
      </c>
      <c r="EM183" s="41">
        <f>SUMIFS(tbl_task1[S138],tbl_task1[[SubPLOs]:[SubPLOs]],"&gt;=4",tbl_task1[[SubPLOs]:[SubPLOs]],"&lt;5")+SUMIFS(tbl_task2[S138],tbl_task2[[SubPLOs]:[SubPLOs]],"&gt;=4",tbl_task2[[SubPLOs]:[SubPLOs]],"&lt;5")+SUMIFS(tbl_task3[S138],tbl_task3[[SubPLOs]:[SubPLOs]],"&gt;=4",tbl_task3[[SubPLOs]:[SubPLOs]],"&lt;5")+SUMIFS(tbl_task4[S138],tbl_task4[[SubPLOs]:[SubPLOs]],"&gt;=4",tbl_task4[[SubPLOs]:[SubPLOs]],"&lt;5")+SUMIFS(tbl_task5[S138],tbl_task5[[SubPLOs]:[SubPLOs]],"&gt;=4",tbl_task5[[SubPLOs]:[SubPLOs]],"&lt;5")+SUMIFS(tbl_task6[S138],tbl_task6[[SubPLOs]:[SubPLOs]],"&gt;=4",tbl_task6[[SubPLOs]:[SubPLOs]],"&lt;5")+SUMIFS(tbl_task7[S138],tbl_task7[[SubPLOs]:[SubPLOs]],"&gt;=4",tbl_task7[[SubPLOs]:[SubPLOs]],"&lt;5")+SUMIFS(tbl_task8[S138],tbl_task8[[SubPLOs]:[SubPLOs]],"&gt;=4",tbl_task8[[SubPLOs]:[SubPLOs]],"&lt;5")+SUMIFS(tbl_task9[S138],tbl_task9[[SubPLOs]:[SubPLOs]],"&gt;=4",tbl_task9[[SubPLOs]:[SubPLOs]],"&lt;5")+SUMIFS(tbl_task10[S138],tbl_task10[[SubPLOs]:[SubPLOs]],"&gt;=4",tbl_task10[[SubPLOs]:[SubPLOs]],"&lt;5")</f>
        <v>0</v>
      </c>
      <c r="EN183" s="41">
        <f>SUMIFS(tbl_task1[S139],tbl_task1[[SubPLOs]:[SubPLOs]],"&gt;=4",tbl_task1[[SubPLOs]:[SubPLOs]],"&lt;5")+SUMIFS(tbl_task2[S139],tbl_task2[[SubPLOs]:[SubPLOs]],"&gt;=4",tbl_task2[[SubPLOs]:[SubPLOs]],"&lt;5")+SUMIFS(tbl_task3[S139],tbl_task3[[SubPLOs]:[SubPLOs]],"&gt;=4",tbl_task3[[SubPLOs]:[SubPLOs]],"&lt;5")+SUMIFS(tbl_task4[S139],tbl_task4[[SubPLOs]:[SubPLOs]],"&gt;=4",tbl_task4[[SubPLOs]:[SubPLOs]],"&lt;5")+SUMIFS(tbl_task5[S139],tbl_task5[[SubPLOs]:[SubPLOs]],"&gt;=4",tbl_task5[[SubPLOs]:[SubPLOs]],"&lt;5")+SUMIFS(tbl_task6[S139],tbl_task6[[SubPLOs]:[SubPLOs]],"&gt;=4",tbl_task6[[SubPLOs]:[SubPLOs]],"&lt;5")+SUMIFS(tbl_task7[S139],tbl_task7[[SubPLOs]:[SubPLOs]],"&gt;=4",tbl_task7[[SubPLOs]:[SubPLOs]],"&lt;5")+SUMIFS(tbl_task8[S139],tbl_task8[[SubPLOs]:[SubPLOs]],"&gt;=4",tbl_task8[[SubPLOs]:[SubPLOs]],"&lt;5")+SUMIFS(tbl_task9[S139],tbl_task9[[SubPLOs]:[SubPLOs]],"&gt;=4",tbl_task9[[SubPLOs]:[SubPLOs]],"&lt;5")+SUMIFS(tbl_task10[S139],tbl_task10[[SubPLOs]:[SubPLOs]],"&gt;=4",tbl_task10[[SubPLOs]:[SubPLOs]],"&lt;5")</f>
        <v>0</v>
      </c>
      <c r="EO183" s="41">
        <f>SUMIFS(tbl_task1[S140],tbl_task1[[SubPLOs]:[SubPLOs]],"&gt;=4",tbl_task1[[SubPLOs]:[SubPLOs]],"&lt;5")+SUMIFS(tbl_task2[S140],tbl_task2[[SubPLOs]:[SubPLOs]],"&gt;=4",tbl_task2[[SubPLOs]:[SubPLOs]],"&lt;5")+SUMIFS(tbl_task3[S140],tbl_task3[[SubPLOs]:[SubPLOs]],"&gt;=4",tbl_task3[[SubPLOs]:[SubPLOs]],"&lt;5")+SUMIFS(tbl_task4[S140],tbl_task4[[SubPLOs]:[SubPLOs]],"&gt;=4",tbl_task4[[SubPLOs]:[SubPLOs]],"&lt;5")+SUMIFS(tbl_task5[S140],tbl_task5[[SubPLOs]:[SubPLOs]],"&gt;=4",tbl_task5[[SubPLOs]:[SubPLOs]],"&lt;5")+SUMIFS(tbl_task6[S140],tbl_task6[[SubPLOs]:[SubPLOs]],"&gt;=4",tbl_task6[[SubPLOs]:[SubPLOs]],"&lt;5")+SUMIFS(tbl_task7[S140],tbl_task7[[SubPLOs]:[SubPLOs]],"&gt;=4",tbl_task7[[SubPLOs]:[SubPLOs]],"&lt;5")+SUMIFS(tbl_task8[S140],tbl_task8[[SubPLOs]:[SubPLOs]],"&gt;=4",tbl_task8[[SubPLOs]:[SubPLOs]],"&lt;5")+SUMIFS(tbl_task9[S140],tbl_task9[[SubPLOs]:[SubPLOs]],"&gt;=4",tbl_task9[[SubPLOs]:[SubPLOs]],"&lt;5")+SUMIFS(tbl_task10[S140],tbl_task10[[SubPLOs]:[SubPLOs]],"&gt;=4",tbl_task10[[SubPLOs]:[SubPLOs]],"&lt;5")</f>
        <v>0</v>
      </c>
      <c r="EP183" s="41">
        <f>SUMIFS(tbl_task1[S141],tbl_task1[[SubPLOs]:[SubPLOs]],"&gt;=4",tbl_task1[[SubPLOs]:[SubPLOs]],"&lt;5")+SUMIFS(tbl_task2[S141],tbl_task2[[SubPLOs]:[SubPLOs]],"&gt;=4",tbl_task2[[SubPLOs]:[SubPLOs]],"&lt;5")+SUMIFS(tbl_task3[S141],tbl_task3[[SubPLOs]:[SubPLOs]],"&gt;=4",tbl_task3[[SubPLOs]:[SubPLOs]],"&lt;5")+SUMIFS(tbl_task4[S141],tbl_task4[[SubPLOs]:[SubPLOs]],"&gt;=4",tbl_task4[[SubPLOs]:[SubPLOs]],"&lt;5")+SUMIFS(tbl_task5[S141],tbl_task5[[SubPLOs]:[SubPLOs]],"&gt;=4",tbl_task5[[SubPLOs]:[SubPLOs]],"&lt;5")+SUMIFS(tbl_task6[S141],tbl_task6[[SubPLOs]:[SubPLOs]],"&gt;=4",tbl_task6[[SubPLOs]:[SubPLOs]],"&lt;5")+SUMIFS(tbl_task7[S141],tbl_task7[[SubPLOs]:[SubPLOs]],"&gt;=4",tbl_task7[[SubPLOs]:[SubPLOs]],"&lt;5")+SUMIFS(tbl_task8[S141],tbl_task8[[SubPLOs]:[SubPLOs]],"&gt;=4",tbl_task8[[SubPLOs]:[SubPLOs]],"&lt;5")+SUMIFS(tbl_task9[S141],tbl_task9[[SubPLOs]:[SubPLOs]],"&gt;=4",tbl_task9[[SubPLOs]:[SubPLOs]],"&lt;5")+SUMIFS(tbl_task10[S141],tbl_task10[[SubPLOs]:[SubPLOs]],"&gt;=4",tbl_task10[[SubPLOs]:[SubPLOs]],"&lt;5")</f>
        <v>0</v>
      </c>
      <c r="EQ183" s="41">
        <f>SUMIFS(tbl_task1[S142],tbl_task1[[SubPLOs]:[SubPLOs]],"&gt;=4",tbl_task1[[SubPLOs]:[SubPLOs]],"&lt;5")+SUMIFS(tbl_task2[S142],tbl_task2[[SubPLOs]:[SubPLOs]],"&gt;=4",tbl_task2[[SubPLOs]:[SubPLOs]],"&lt;5")+SUMIFS(tbl_task3[S142],tbl_task3[[SubPLOs]:[SubPLOs]],"&gt;=4",tbl_task3[[SubPLOs]:[SubPLOs]],"&lt;5")+SUMIFS(tbl_task4[S142],tbl_task4[[SubPLOs]:[SubPLOs]],"&gt;=4",tbl_task4[[SubPLOs]:[SubPLOs]],"&lt;5")+SUMIFS(tbl_task5[S142],tbl_task5[[SubPLOs]:[SubPLOs]],"&gt;=4",tbl_task5[[SubPLOs]:[SubPLOs]],"&lt;5")+SUMIFS(tbl_task6[S142],tbl_task6[[SubPLOs]:[SubPLOs]],"&gt;=4",tbl_task6[[SubPLOs]:[SubPLOs]],"&lt;5")+SUMIFS(tbl_task7[S142],tbl_task7[[SubPLOs]:[SubPLOs]],"&gt;=4",tbl_task7[[SubPLOs]:[SubPLOs]],"&lt;5")+SUMIFS(tbl_task8[S142],tbl_task8[[SubPLOs]:[SubPLOs]],"&gt;=4",tbl_task8[[SubPLOs]:[SubPLOs]],"&lt;5")+SUMIFS(tbl_task9[S142],tbl_task9[[SubPLOs]:[SubPLOs]],"&gt;=4",tbl_task9[[SubPLOs]:[SubPLOs]],"&lt;5")+SUMIFS(tbl_task10[S142],tbl_task10[[SubPLOs]:[SubPLOs]],"&gt;=4",tbl_task10[[SubPLOs]:[SubPLOs]],"&lt;5")</f>
        <v>0</v>
      </c>
      <c r="ER183" s="41">
        <f>SUMIFS(tbl_task1[S143],tbl_task1[[SubPLOs]:[SubPLOs]],"&gt;=4",tbl_task1[[SubPLOs]:[SubPLOs]],"&lt;5")+SUMIFS(tbl_task2[S143],tbl_task2[[SubPLOs]:[SubPLOs]],"&gt;=4",tbl_task2[[SubPLOs]:[SubPLOs]],"&lt;5")+SUMIFS(tbl_task3[S143],tbl_task3[[SubPLOs]:[SubPLOs]],"&gt;=4",tbl_task3[[SubPLOs]:[SubPLOs]],"&lt;5")+SUMIFS(tbl_task4[S143],tbl_task4[[SubPLOs]:[SubPLOs]],"&gt;=4",tbl_task4[[SubPLOs]:[SubPLOs]],"&lt;5")+SUMIFS(tbl_task5[S143],tbl_task5[[SubPLOs]:[SubPLOs]],"&gt;=4",tbl_task5[[SubPLOs]:[SubPLOs]],"&lt;5")+SUMIFS(tbl_task6[S143],tbl_task6[[SubPLOs]:[SubPLOs]],"&gt;=4",tbl_task6[[SubPLOs]:[SubPLOs]],"&lt;5")+SUMIFS(tbl_task7[S143],tbl_task7[[SubPLOs]:[SubPLOs]],"&gt;=4",tbl_task7[[SubPLOs]:[SubPLOs]],"&lt;5")+SUMIFS(tbl_task8[S143],tbl_task8[[SubPLOs]:[SubPLOs]],"&gt;=4",tbl_task8[[SubPLOs]:[SubPLOs]],"&lt;5")+SUMIFS(tbl_task9[S143],tbl_task9[[SubPLOs]:[SubPLOs]],"&gt;=4",tbl_task9[[SubPLOs]:[SubPLOs]],"&lt;5")+SUMIFS(tbl_task10[S143],tbl_task10[[SubPLOs]:[SubPLOs]],"&gt;=4",tbl_task10[[SubPLOs]:[SubPLOs]],"&lt;5")</f>
        <v>0</v>
      </c>
      <c r="ES183" s="41">
        <f>SUMIFS(tbl_task1[S144],tbl_task1[[SubPLOs]:[SubPLOs]],"&gt;=4",tbl_task1[[SubPLOs]:[SubPLOs]],"&lt;5")+SUMIFS(tbl_task2[S144],tbl_task2[[SubPLOs]:[SubPLOs]],"&gt;=4",tbl_task2[[SubPLOs]:[SubPLOs]],"&lt;5")+SUMIFS(tbl_task3[S144],tbl_task3[[SubPLOs]:[SubPLOs]],"&gt;=4",tbl_task3[[SubPLOs]:[SubPLOs]],"&lt;5")+SUMIFS(tbl_task4[S144],tbl_task4[[SubPLOs]:[SubPLOs]],"&gt;=4",tbl_task4[[SubPLOs]:[SubPLOs]],"&lt;5")+SUMIFS(tbl_task5[S144],tbl_task5[[SubPLOs]:[SubPLOs]],"&gt;=4",tbl_task5[[SubPLOs]:[SubPLOs]],"&lt;5")+SUMIFS(tbl_task6[S144],tbl_task6[[SubPLOs]:[SubPLOs]],"&gt;=4",tbl_task6[[SubPLOs]:[SubPLOs]],"&lt;5")+SUMIFS(tbl_task7[S144],tbl_task7[[SubPLOs]:[SubPLOs]],"&gt;=4",tbl_task7[[SubPLOs]:[SubPLOs]],"&lt;5")+SUMIFS(tbl_task8[S144],tbl_task8[[SubPLOs]:[SubPLOs]],"&gt;=4",tbl_task8[[SubPLOs]:[SubPLOs]],"&lt;5")+SUMIFS(tbl_task9[S144],tbl_task9[[SubPLOs]:[SubPLOs]],"&gt;=4",tbl_task9[[SubPLOs]:[SubPLOs]],"&lt;5")+SUMIFS(tbl_task10[S144],tbl_task10[[SubPLOs]:[SubPLOs]],"&gt;=4",tbl_task10[[SubPLOs]:[SubPLOs]],"&lt;5")</f>
        <v>0</v>
      </c>
      <c r="ET183" s="41">
        <f>SUMIFS(tbl_task1[S145],tbl_task1[[SubPLOs]:[SubPLOs]],"&gt;=4",tbl_task1[[SubPLOs]:[SubPLOs]],"&lt;5")+SUMIFS(tbl_task2[S145],tbl_task2[[SubPLOs]:[SubPLOs]],"&gt;=4",tbl_task2[[SubPLOs]:[SubPLOs]],"&lt;5")+SUMIFS(tbl_task3[S145],tbl_task3[[SubPLOs]:[SubPLOs]],"&gt;=4",tbl_task3[[SubPLOs]:[SubPLOs]],"&lt;5")+SUMIFS(tbl_task4[S145],tbl_task4[[SubPLOs]:[SubPLOs]],"&gt;=4",tbl_task4[[SubPLOs]:[SubPLOs]],"&lt;5")+SUMIFS(tbl_task5[S145],tbl_task5[[SubPLOs]:[SubPLOs]],"&gt;=4",tbl_task5[[SubPLOs]:[SubPLOs]],"&lt;5")+SUMIFS(tbl_task6[S145],tbl_task6[[SubPLOs]:[SubPLOs]],"&gt;=4",tbl_task6[[SubPLOs]:[SubPLOs]],"&lt;5")+SUMIFS(tbl_task7[S145],tbl_task7[[SubPLOs]:[SubPLOs]],"&gt;=4",tbl_task7[[SubPLOs]:[SubPLOs]],"&lt;5")+SUMIFS(tbl_task8[S145],tbl_task8[[SubPLOs]:[SubPLOs]],"&gt;=4",tbl_task8[[SubPLOs]:[SubPLOs]],"&lt;5")+SUMIFS(tbl_task9[S145],tbl_task9[[SubPLOs]:[SubPLOs]],"&gt;=4",tbl_task9[[SubPLOs]:[SubPLOs]],"&lt;5")+SUMIFS(tbl_task10[S145],tbl_task10[[SubPLOs]:[SubPLOs]],"&gt;=4",tbl_task10[[SubPLOs]:[SubPLOs]],"&lt;5")</f>
        <v>0</v>
      </c>
      <c r="EU183" s="41">
        <f>SUMIFS(tbl_task1[S146],tbl_task1[[SubPLOs]:[SubPLOs]],"&gt;=4",tbl_task1[[SubPLOs]:[SubPLOs]],"&lt;5")+SUMIFS(tbl_task2[S146],tbl_task2[[SubPLOs]:[SubPLOs]],"&gt;=4",tbl_task2[[SubPLOs]:[SubPLOs]],"&lt;5")+SUMIFS(tbl_task3[S146],tbl_task3[[SubPLOs]:[SubPLOs]],"&gt;=4",tbl_task3[[SubPLOs]:[SubPLOs]],"&lt;5")+SUMIFS(tbl_task4[S146],tbl_task4[[SubPLOs]:[SubPLOs]],"&gt;=4",tbl_task4[[SubPLOs]:[SubPLOs]],"&lt;5")+SUMIFS(tbl_task5[S146],tbl_task5[[SubPLOs]:[SubPLOs]],"&gt;=4",tbl_task5[[SubPLOs]:[SubPLOs]],"&lt;5")+SUMIFS(tbl_task6[S146],tbl_task6[[SubPLOs]:[SubPLOs]],"&gt;=4",tbl_task6[[SubPLOs]:[SubPLOs]],"&lt;5")+SUMIFS(tbl_task7[S146],tbl_task7[[SubPLOs]:[SubPLOs]],"&gt;=4",tbl_task7[[SubPLOs]:[SubPLOs]],"&lt;5")+SUMIFS(tbl_task8[S146],tbl_task8[[SubPLOs]:[SubPLOs]],"&gt;=4",tbl_task8[[SubPLOs]:[SubPLOs]],"&lt;5")+SUMIFS(tbl_task9[S146],tbl_task9[[SubPLOs]:[SubPLOs]],"&gt;=4",tbl_task9[[SubPLOs]:[SubPLOs]],"&lt;5")+SUMIFS(tbl_task10[S146],tbl_task10[[SubPLOs]:[SubPLOs]],"&gt;=4",tbl_task10[[SubPLOs]:[SubPLOs]],"&lt;5")</f>
        <v>0</v>
      </c>
      <c r="EV183" s="41">
        <f>SUMIFS(tbl_task1[S147],tbl_task1[[SubPLOs]:[SubPLOs]],"&gt;=4",tbl_task1[[SubPLOs]:[SubPLOs]],"&lt;5")+SUMIFS(tbl_task2[S147],tbl_task2[[SubPLOs]:[SubPLOs]],"&gt;=4",tbl_task2[[SubPLOs]:[SubPLOs]],"&lt;5")+SUMIFS(tbl_task3[S147],tbl_task3[[SubPLOs]:[SubPLOs]],"&gt;=4",tbl_task3[[SubPLOs]:[SubPLOs]],"&lt;5")+SUMIFS(tbl_task4[S147],tbl_task4[[SubPLOs]:[SubPLOs]],"&gt;=4",tbl_task4[[SubPLOs]:[SubPLOs]],"&lt;5")+SUMIFS(tbl_task5[S147],tbl_task5[[SubPLOs]:[SubPLOs]],"&gt;=4",tbl_task5[[SubPLOs]:[SubPLOs]],"&lt;5")+SUMIFS(tbl_task6[S147],tbl_task6[[SubPLOs]:[SubPLOs]],"&gt;=4",tbl_task6[[SubPLOs]:[SubPLOs]],"&lt;5")+SUMIFS(tbl_task7[S147],tbl_task7[[SubPLOs]:[SubPLOs]],"&gt;=4",tbl_task7[[SubPLOs]:[SubPLOs]],"&lt;5")+SUMIFS(tbl_task8[S147],tbl_task8[[SubPLOs]:[SubPLOs]],"&gt;=4",tbl_task8[[SubPLOs]:[SubPLOs]],"&lt;5")+SUMIFS(tbl_task9[S147],tbl_task9[[SubPLOs]:[SubPLOs]],"&gt;=4",tbl_task9[[SubPLOs]:[SubPLOs]],"&lt;5")+SUMIFS(tbl_task10[S147],tbl_task10[[SubPLOs]:[SubPLOs]],"&gt;=4",tbl_task10[[SubPLOs]:[SubPLOs]],"&lt;5")</f>
        <v>0</v>
      </c>
      <c r="EW183" s="41">
        <f>SUMIFS(tbl_task1[S148],tbl_task1[[SubPLOs]:[SubPLOs]],"&gt;=4",tbl_task1[[SubPLOs]:[SubPLOs]],"&lt;5")+SUMIFS(tbl_task2[S148],tbl_task2[[SubPLOs]:[SubPLOs]],"&gt;=4",tbl_task2[[SubPLOs]:[SubPLOs]],"&lt;5")+SUMIFS(tbl_task3[S148],tbl_task3[[SubPLOs]:[SubPLOs]],"&gt;=4",tbl_task3[[SubPLOs]:[SubPLOs]],"&lt;5")+SUMIFS(tbl_task4[S148],tbl_task4[[SubPLOs]:[SubPLOs]],"&gt;=4",tbl_task4[[SubPLOs]:[SubPLOs]],"&lt;5")+SUMIFS(tbl_task5[S148],tbl_task5[[SubPLOs]:[SubPLOs]],"&gt;=4",tbl_task5[[SubPLOs]:[SubPLOs]],"&lt;5")+SUMIFS(tbl_task6[S148],tbl_task6[[SubPLOs]:[SubPLOs]],"&gt;=4",tbl_task6[[SubPLOs]:[SubPLOs]],"&lt;5")+SUMIFS(tbl_task7[S148],tbl_task7[[SubPLOs]:[SubPLOs]],"&gt;=4",tbl_task7[[SubPLOs]:[SubPLOs]],"&lt;5")+SUMIFS(tbl_task8[S148],tbl_task8[[SubPLOs]:[SubPLOs]],"&gt;=4",tbl_task8[[SubPLOs]:[SubPLOs]],"&lt;5")+SUMIFS(tbl_task9[S148],tbl_task9[[SubPLOs]:[SubPLOs]],"&gt;=4",tbl_task9[[SubPLOs]:[SubPLOs]],"&lt;5")+SUMIFS(tbl_task10[S148],tbl_task10[[SubPLOs]:[SubPLOs]],"&gt;=4",tbl_task10[[SubPLOs]:[SubPLOs]],"&lt;5")</f>
        <v>0</v>
      </c>
      <c r="EX183" s="41">
        <f>SUMIFS(tbl_task1[S149],tbl_task1[[SubPLOs]:[SubPLOs]],"&gt;=4",tbl_task1[[SubPLOs]:[SubPLOs]],"&lt;5")+SUMIFS(tbl_task2[S149],tbl_task2[[SubPLOs]:[SubPLOs]],"&gt;=4",tbl_task2[[SubPLOs]:[SubPLOs]],"&lt;5")+SUMIFS(tbl_task3[S149],tbl_task3[[SubPLOs]:[SubPLOs]],"&gt;=4",tbl_task3[[SubPLOs]:[SubPLOs]],"&lt;5")+SUMIFS(tbl_task4[S149],tbl_task4[[SubPLOs]:[SubPLOs]],"&gt;=4",tbl_task4[[SubPLOs]:[SubPLOs]],"&lt;5")+SUMIFS(tbl_task5[S149],tbl_task5[[SubPLOs]:[SubPLOs]],"&gt;=4",tbl_task5[[SubPLOs]:[SubPLOs]],"&lt;5")+SUMIFS(tbl_task6[S149],tbl_task6[[SubPLOs]:[SubPLOs]],"&gt;=4",tbl_task6[[SubPLOs]:[SubPLOs]],"&lt;5")+SUMIFS(tbl_task7[S149],tbl_task7[[SubPLOs]:[SubPLOs]],"&gt;=4",tbl_task7[[SubPLOs]:[SubPLOs]],"&lt;5")+SUMIFS(tbl_task8[S149],tbl_task8[[SubPLOs]:[SubPLOs]],"&gt;=4",tbl_task8[[SubPLOs]:[SubPLOs]],"&lt;5")+SUMIFS(tbl_task9[S149],tbl_task9[[SubPLOs]:[SubPLOs]],"&gt;=4",tbl_task9[[SubPLOs]:[SubPLOs]],"&lt;5")+SUMIFS(tbl_task10[S149],tbl_task10[[SubPLOs]:[SubPLOs]],"&gt;=4",tbl_task10[[SubPLOs]:[SubPLOs]],"&lt;5")</f>
        <v>0</v>
      </c>
      <c r="EY183" s="41">
        <f>SUMIFS(tbl_task1[S150],tbl_task1[[SubPLOs]:[SubPLOs]],"&gt;=4",tbl_task1[[SubPLOs]:[SubPLOs]],"&lt;5")+SUMIFS(tbl_task2[S150],tbl_task2[[SubPLOs]:[SubPLOs]],"&gt;=4",tbl_task2[[SubPLOs]:[SubPLOs]],"&lt;5")+SUMIFS(tbl_task3[S150],tbl_task3[[SubPLOs]:[SubPLOs]],"&gt;=4",tbl_task3[[SubPLOs]:[SubPLOs]],"&lt;5")+SUMIFS(tbl_task4[S150],tbl_task4[[SubPLOs]:[SubPLOs]],"&gt;=4",tbl_task4[[SubPLOs]:[SubPLOs]],"&lt;5")+SUMIFS(tbl_task5[S150],tbl_task5[[SubPLOs]:[SubPLOs]],"&gt;=4",tbl_task5[[SubPLOs]:[SubPLOs]],"&lt;5")+SUMIFS(tbl_task6[S150],tbl_task6[[SubPLOs]:[SubPLOs]],"&gt;=4",tbl_task6[[SubPLOs]:[SubPLOs]],"&lt;5")+SUMIFS(tbl_task7[S150],tbl_task7[[SubPLOs]:[SubPLOs]],"&gt;=4",tbl_task7[[SubPLOs]:[SubPLOs]],"&lt;5")+SUMIFS(tbl_task8[S150],tbl_task8[[SubPLOs]:[SubPLOs]],"&gt;=4",tbl_task8[[SubPLOs]:[SubPLOs]],"&lt;5")+SUMIFS(tbl_task9[S150],tbl_task9[[SubPLOs]:[SubPLOs]],"&gt;=4",tbl_task9[[SubPLOs]:[SubPLOs]],"&lt;5")+SUMIFS(tbl_task10[S150],tbl_task10[[SubPLOs]:[SubPLOs]],"&gt;=4",tbl_task10[[SubPLOs]:[SubPLOs]],"&lt;5")</f>
        <v>0</v>
      </c>
      <c r="EZ183" s="41">
        <f>SUMIFS(tbl_task1[S151],tbl_task1[[SubPLOs]:[SubPLOs]],"&gt;=4",tbl_task1[[SubPLOs]:[SubPLOs]],"&lt;5")+SUMIFS(tbl_task2[S151],tbl_task2[[SubPLOs]:[SubPLOs]],"&gt;=4",tbl_task2[[SubPLOs]:[SubPLOs]],"&lt;5")+SUMIFS(tbl_task3[S151],tbl_task3[[SubPLOs]:[SubPLOs]],"&gt;=4",tbl_task3[[SubPLOs]:[SubPLOs]],"&lt;5")+SUMIFS(tbl_task4[S151],tbl_task4[[SubPLOs]:[SubPLOs]],"&gt;=4",tbl_task4[[SubPLOs]:[SubPLOs]],"&lt;5")+SUMIFS(tbl_task5[S151],tbl_task5[[SubPLOs]:[SubPLOs]],"&gt;=4",tbl_task5[[SubPLOs]:[SubPLOs]],"&lt;5")+SUMIFS(tbl_task6[S151],tbl_task6[[SubPLOs]:[SubPLOs]],"&gt;=4",tbl_task6[[SubPLOs]:[SubPLOs]],"&lt;5")+SUMIFS(tbl_task7[S151],tbl_task7[[SubPLOs]:[SubPLOs]],"&gt;=4",tbl_task7[[SubPLOs]:[SubPLOs]],"&lt;5")+SUMIFS(tbl_task8[S151],tbl_task8[[SubPLOs]:[SubPLOs]],"&gt;=4",tbl_task8[[SubPLOs]:[SubPLOs]],"&lt;5")+SUMIFS(tbl_task9[S151],tbl_task9[[SubPLOs]:[SubPLOs]],"&gt;=4",tbl_task9[[SubPLOs]:[SubPLOs]],"&lt;5")+SUMIFS(tbl_task10[S151],tbl_task10[[SubPLOs]:[SubPLOs]],"&gt;=4",tbl_task10[[SubPLOs]:[SubPLOs]],"&lt;5")</f>
        <v>0</v>
      </c>
      <c r="FA183" s="41">
        <f>SUMIFS(tbl_task1[S152],tbl_task1[[SubPLOs]:[SubPLOs]],"&gt;=4",tbl_task1[[SubPLOs]:[SubPLOs]],"&lt;5")+SUMIFS(tbl_task2[S152],tbl_task2[[SubPLOs]:[SubPLOs]],"&gt;=4",tbl_task2[[SubPLOs]:[SubPLOs]],"&lt;5")+SUMIFS(tbl_task3[S152],tbl_task3[[SubPLOs]:[SubPLOs]],"&gt;=4",tbl_task3[[SubPLOs]:[SubPLOs]],"&lt;5")+SUMIFS(tbl_task4[S152],tbl_task4[[SubPLOs]:[SubPLOs]],"&gt;=4",tbl_task4[[SubPLOs]:[SubPLOs]],"&lt;5")+SUMIFS(tbl_task5[S152],tbl_task5[[SubPLOs]:[SubPLOs]],"&gt;=4",tbl_task5[[SubPLOs]:[SubPLOs]],"&lt;5")+SUMIFS(tbl_task6[S152],tbl_task6[[SubPLOs]:[SubPLOs]],"&gt;=4",tbl_task6[[SubPLOs]:[SubPLOs]],"&lt;5")+SUMIFS(tbl_task7[S152],tbl_task7[[SubPLOs]:[SubPLOs]],"&gt;=4",tbl_task7[[SubPLOs]:[SubPLOs]],"&lt;5")+SUMIFS(tbl_task8[S152],tbl_task8[[SubPLOs]:[SubPLOs]],"&gt;=4",tbl_task8[[SubPLOs]:[SubPLOs]],"&lt;5")+SUMIFS(tbl_task9[S152],tbl_task9[[SubPLOs]:[SubPLOs]],"&gt;=4",tbl_task9[[SubPLOs]:[SubPLOs]],"&lt;5")+SUMIFS(tbl_task10[S152],tbl_task10[[SubPLOs]:[SubPLOs]],"&gt;=4",tbl_task10[[SubPLOs]:[SubPLOs]],"&lt;5")</f>
        <v>0</v>
      </c>
      <c r="FB183" s="41">
        <f>SUMIFS(tbl_task1[S153],tbl_task1[[SubPLOs]:[SubPLOs]],"&gt;=4",tbl_task1[[SubPLOs]:[SubPLOs]],"&lt;5")+SUMIFS(tbl_task2[S153],tbl_task2[[SubPLOs]:[SubPLOs]],"&gt;=4",tbl_task2[[SubPLOs]:[SubPLOs]],"&lt;5")+SUMIFS(tbl_task3[S153],tbl_task3[[SubPLOs]:[SubPLOs]],"&gt;=4",tbl_task3[[SubPLOs]:[SubPLOs]],"&lt;5")+SUMIFS(tbl_task4[S153],tbl_task4[[SubPLOs]:[SubPLOs]],"&gt;=4",tbl_task4[[SubPLOs]:[SubPLOs]],"&lt;5")+SUMIFS(tbl_task5[S153],tbl_task5[[SubPLOs]:[SubPLOs]],"&gt;=4",tbl_task5[[SubPLOs]:[SubPLOs]],"&lt;5")+SUMIFS(tbl_task6[S153],tbl_task6[[SubPLOs]:[SubPLOs]],"&gt;=4",tbl_task6[[SubPLOs]:[SubPLOs]],"&lt;5")+SUMIFS(tbl_task7[S153],tbl_task7[[SubPLOs]:[SubPLOs]],"&gt;=4",tbl_task7[[SubPLOs]:[SubPLOs]],"&lt;5")+SUMIFS(tbl_task8[S153],tbl_task8[[SubPLOs]:[SubPLOs]],"&gt;=4",tbl_task8[[SubPLOs]:[SubPLOs]],"&lt;5")+SUMIFS(tbl_task9[S153],tbl_task9[[SubPLOs]:[SubPLOs]],"&gt;=4",tbl_task9[[SubPLOs]:[SubPLOs]],"&lt;5")+SUMIFS(tbl_task10[S153],tbl_task10[[SubPLOs]:[SubPLOs]],"&gt;=4",tbl_task10[[SubPLOs]:[SubPLOs]],"&lt;5")</f>
        <v>0</v>
      </c>
      <c r="FC183" s="41">
        <f>SUMIFS(tbl_task1[S154],tbl_task1[[SubPLOs]:[SubPLOs]],"&gt;=4",tbl_task1[[SubPLOs]:[SubPLOs]],"&lt;5")+SUMIFS(tbl_task2[S154],tbl_task2[[SubPLOs]:[SubPLOs]],"&gt;=4",tbl_task2[[SubPLOs]:[SubPLOs]],"&lt;5")+SUMIFS(tbl_task3[S154],tbl_task3[[SubPLOs]:[SubPLOs]],"&gt;=4",tbl_task3[[SubPLOs]:[SubPLOs]],"&lt;5")+SUMIFS(tbl_task4[S154],tbl_task4[[SubPLOs]:[SubPLOs]],"&gt;=4",tbl_task4[[SubPLOs]:[SubPLOs]],"&lt;5")+SUMIFS(tbl_task5[S154],tbl_task5[[SubPLOs]:[SubPLOs]],"&gt;=4",tbl_task5[[SubPLOs]:[SubPLOs]],"&lt;5")+SUMIFS(tbl_task6[S154],tbl_task6[[SubPLOs]:[SubPLOs]],"&gt;=4",tbl_task6[[SubPLOs]:[SubPLOs]],"&lt;5")+SUMIFS(tbl_task7[S154],tbl_task7[[SubPLOs]:[SubPLOs]],"&gt;=4",tbl_task7[[SubPLOs]:[SubPLOs]],"&lt;5")+SUMIFS(tbl_task8[S154],tbl_task8[[SubPLOs]:[SubPLOs]],"&gt;=4",tbl_task8[[SubPLOs]:[SubPLOs]],"&lt;5")+SUMIFS(tbl_task9[S154],tbl_task9[[SubPLOs]:[SubPLOs]],"&gt;=4",tbl_task9[[SubPLOs]:[SubPLOs]],"&lt;5")+SUMIFS(tbl_task10[S154],tbl_task10[[SubPLOs]:[SubPLOs]],"&gt;=4",tbl_task10[[SubPLOs]:[SubPLOs]],"&lt;5")</f>
        <v>0</v>
      </c>
      <c r="FD183" s="41">
        <f>SUMIFS(tbl_task1[S155],tbl_task1[[SubPLOs]:[SubPLOs]],"&gt;=4",tbl_task1[[SubPLOs]:[SubPLOs]],"&lt;5")+SUMIFS(tbl_task2[S155],tbl_task2[[SubPLOs]:[SubPLOs]],"&gt;=4",tbl_task2[[SubPLOs]:[SubPLOs]],"&lt;5")+SUMIFS(tbl_task3[S155],tbl_task3[[SubPLOs]:[SubPLOs]],"&gt;=4",tbl_task3[[SubPLOs]:[SubPLOs]],"&lt;5")+SUMIFS(tbl_task4[S155],tbl_task4[[SubPLOs]:[SubPLOs]],"&gt;=4",tbl_task4[[SubPLOs]:[SubPLOs]],"&lt;5")+SUMIFS(tbl_task5[S155],tbl_task5[[SubPLOs]:[SubPLOs]],"&gt;=4",tbl_task5[[SubPLOs]:[SubPLOs]],"&lt;5")+SUMIFS(tbl_task6[S155],tbl_task6[[SubPLOs]:[SubPLOs]],"&gt;=4",tbl_task6[[SubPLOs]:[SubPLOs]],"&lt;5")+SUMIFS(tbl_task7[S155],tbl_task7[[SubPLOs]:[SubPLOs]],"&gt;=4",tbl_task7[[SubPLOs]:[SubPLOs]],"&lt;5")+SUMIFS(tbl_task8[S155],tbl_task8[[SubPLOs]:[SubPLOs]],"&gt;=4",tbl_task8[[SubPLOs]:[SubPLOs]],"&lt;5")+SUMIFS(tbl_task9[S155],tbl_task9[[SubPLOs]:[SubPLOs]],"&gt;=4",tbl_task9[[SubPLOs]:[SubPLOs]],"&lt;5")+SUMIFS(tbl_task10[S155],tbl_task10[[SubPLOs]:[SubPLOs]],"&gt;=4",tbl_task10[[SubPLOs]:[SubPLOs]],"&lt;5")</f>
        <v>0</v>
      </c>
      <c r="FE183" s="41">
        <f>SUMIFS(tbl_task1[S156],tbl_task1[[SubPLOs]:[SubPLOs]],"&gt;=4",tbl_task1[[SubPLOs]:[SubPLOs]],"&lt;5")+SUMIFS(tbl_task2[S156],tbl_task2[[SubPLOs]:[SubPLOs]],"&gt;=4",tbl_task2[[SubPLOs]:[SubPLOs]],"&lt;5")+SUMIFS(tbl_task3[S156],tbl_task3[[SubPLOs]:[SubPLOs]],"&gt;=4",tbl_task3[[SubPLOs]:[SubPLOs]],"&lt;5")+SUMIFS(tbl_task4[S156],tbl_task4[[SubPLOs]:[SubPLOs]],"&gt;=4",tbl_task4[[SubPLOs]:[SubPLOs]],"&lt;5")+SUMIFS(tbl_task5[S156],tbl_task5[[SubPLOs]:[SubPLOs]],"&gt;=4",tbl_task5[[SubPLOs]:[SubPLOs]],"&lt;5")+SUMIFS(tbl_task6[S156],tbl_task6[[SubPLOs]:[SubPLOs]],"&gt;=4",tbl_task6[[SubPLOs]:[SubPLOs]],"&lt;5")+SUMIFS(tbl_task7[S156],tbl_task7[[SubPLOs]:[SubPLOs]],"&gt;=4",tbl_task7[[SubPLOs]:[SubPLOs]],"&lt;5")+SUMIFS(tbl_task8[S156],tbl_task8[[SubPLOs]:[SubPLOs]],"&gt;=4",tbl_task8[[SubPLOs]:[SubPLOs]],"&lt;5")+SUMIFS(tbl_task9[S156],tbl_task9[[SubPLOs]:[SubPLOs]],"&gt;=4",tbl_task9[[SubPLOs]:[SubPLOs]],"&lt;5")+SUMIFS(tbl_task10[S156],tbl_task10[[SubPLOs]:[SubPLOs]],"&gt;=4",tbl_task10[[SubPLOs]:[SubPLOs]],"&lt;5")</f>
        <v>0</v>
      </c>
      <c r="FF183" s="41">
        <f>SUMIFS(tbl_task1[S157],tbl_task1[[SubPLOs]:[SubPLOs]],"&gt;=4",tbl_task1[[SubPLOs]:[SubPLOs]],"&lt;5")+SUMIFS(tbl_task2[S157],tbl_task2[[SubPLOs]:[SubPLOs]],"&gt;=4",tbl_task2[[SubPLOs]:[SubPLOs]],"&lt;5")+SUMIFS(tbl_task3[S157],tbl_task3[[SubPLOs]:[SubPLOs]],"&gt;=4",tbl_task3[[SubPLOs]:[SubPLOs]],"&lt;5")+SUMIFS(tbl_task4[S157],tbl_task4[[SubPLOs]:[SubPLOs]],"&gt;=4",tbl_task4[[SubPLOs]:[SubPLOs]],"&lt;5")+SUMIFS(tbl_task5[S157],tbl_task5[[SubPLOs]:[SubPLOs]],"&gt;=4",tbl_task5[[SubPLOs]:[SubPLOs]],"&lt;5")+SUMIFS(tbl_task6[S157],tbl_task6[[SubPLOs]:[SubPLOs]],"&gt;=4",tbl_task6[[SubPLOs]:[SubPLOs]],"&lt;5")+SUMIFS(tbl_task7[S157],tbl_task7[[SubPLOs]:[SubPLOs]],"&gt;=4",tbl_task7[[SubPLOs]:[SubPLOs]],"&lt;5")+SUMIFS(tbl_task8[S157],tbl_task8[[SubPLOs]:[SubPLOs]],"&gt;=4",tbl_task8[[SubPLOs]:[SubPLOs]],"&lt;5")+SUMIFS(tbl_task9[S157],tbl_task9[[SubPLOs]:[SubPLOs]],"&gt;=4",tbl_task9[[SubPLOs]:[SubPLOs]],"&lt;5")+SUMIFS(tbl_task10[S157],tbl_task10[[SubPLOs]:[SubPLOs]],"&gt;=4",tbl_task10[[SubPLOs]:[SubPLOs]],"&lt;5")</f>
        <v>0</v>
      </c>
      <c r="FG183" s="41">
        <f>SUMIFS(tbl_task1[S158],tbl_task1[[SubPLOs]:[SubPLOs]],"&gt;=4",tbl_task1[[SubPLOs]:[SubPLOs]],"&lt;5")+SUMIFS(tbl_task2[S158],tbl_task2[[SubPLOs]:[SubPLOs]],"&gt;=4",tbl_task2[[SubPLOs]:[SubPLOs]],"&lt;5")+SUMIFS(tbl_task3[S158],tbl_task3[[SubPLOs]:[SubPLOs]],"&gt;=4",tbl_task3[[SubPLOs]:[SubPLOs]],"&lt;5")+SUMIFS(tbl_task4[S158],tbl_task4[[SubPLOs]:[SubPLOs]],"&gt;=4",tbl_task4[[SubPLOs]:[SubPLOs]],"&lt;5")+SUMIFS(tbl_task5[S158],tbl_task5[[SubPLOs]:[SubPLOs]],"&gt;=4",tbl_task5[[SubPLOs]:[SubPLOs]],"&lt;5")+SUMIFS(tbl_task6[S158],tbl_task6[[SubPLOs]:[SubPLOs]],"&gt;=4",tbl_task6[[SubPLOs]:[SubPLOs]],"&lt;5")+SUMIFS(tbl_task7[S158],tbl_task7[[SubPLOs]:[SubPLOs]],"&gt;=4",tbl_task7[[SubPLOs]:[SubPLOs]],"&lt;5")+SUMIFS(tbl_task8[S158],tbl_task8[[SubPLOs]:[SubPLOs]],"&gt;=4",tbl_task8[[SubPLOs]:[SubPLOs]],"&lt;5")+SUMIFS(tbl_task9[S158],tbl_task9[[SubPLOs]:[SubPLOs]],"&gt;=4",tbl_task9[[SubPLOs]:[SubPLOs]],"&lt;5")+SUMIFS(tbl_task10[S158],tbl_task10[[SubPLOs]:[SubPLOs]],"&gt;=4",tbl_task10[[SubPLOs]:[SubPLOs]],"&lt;5")</f>
        <v>0</v>
      </c>
      <c r="FH183" s="41">
        <f>SUMIFS(tbl_task1[S159],tbl_task1[[SubPLOs]:[SubPLOs]],"&gt;=4",tbl_task1[[SubPLOs]:[SubPLOs]],"&lt;5")+SUMIFS(tbl_task2[S159],tbl_task2[[SubPLOs]:[SubPLOs]],"&gt;=4",tbl_task2[[SubPLOs]:[SubPLOs]],"&lt;5")+SUMIFS(tbl_task3[S159],tbl_task3[[SubPLOs]:[SubPLOs]],"&gt;=4",tbl_task3[[SubPLOs]:[SubPLOs]],"&lt;5")+SUMIFS(tbl_task4[S159],tbl_task4[[SubPLOs]:[SubPLOs]],"&gt;=4",tbl_task4[[SubPLOs]:[SubPLOs]],"&lt;5")+SUMIFS(tbl_task5[S159],tbl_task5[[SubPLOs]:[SubPLOs]],"&gt;=4",tbl_task5[[SubPLOs]:[SubPLOs]],"&lt;5")+SUMIFS(tbl_task6[S159],tbl_task6[[SubPLOs]:[SubPLOs]],"&gt;=4",tbl_task6[[SubPLOs]:[SubPLOs]],"&lt;5")+SUMIFS(tbl_task7[S159],tbl_task7[[SubPLOs]:[SubPLOs]],"&gt;=4",tbl_task7[[SubPLOs]:[SubPLOs]],"&lt;5")+SUMIFS(tbl_task8[S159],tbl_task8[[SubPLOs]:[SubPLOs]],"&gt;=4",tbl_task8[[SubPLOs]:[SubPLOs]],"&lt;5")+SUMIFS(tbl_task9[S159],tbl_task9[[SubPLOs]:[SubPLOs]],"&gt;=4",tbl_task9[[SubPLOs]:[SubPLOs]],"&lt;5")+SUMIFS(tbl_task10[S159],tbl_task10[[SubPLOs]:[SubPLOs]],"&gt;=4",tbl_task10[[SubPLOs]:[SubPLOs]],"&lt;5")</f>
        <v>0</v>
      </c>
      <c r="FI183" s="41">
        <f>SUMIFS(tbl_task1[S160],tbl_task1[[SubPLOs]:[SubPLOs]],"&gt;=4",tbl_task1[[SubPLOs]:[SubPLOs]],"&lt;5")+SUMIFS(tbl_task2[S160],tbl_task2[[SubPLOs]:[SubPLOs]],"&gt;=4",tbl_task2[[SubPLOs]:[SubPLOs]],"&lt;5")+SUMIFS(tbl_task3[S160],tbl_task3[[SubPLOs]:[SubPLOs]],"&gt;=4",tbl_task3[[SubPLOs]:[SubPLOs]],"&lt;5")+SUMIFS(tbl_task4[S160],tbl_task4[[SubPLOs]:[SubPLOs]],"&gt;=4",tbl_task4[[SubPLOs]:[SubPLOs]],"&lt;5")+SUMIFS(tbl_task5[S160],tbl_task5[[SubPLOs]:[SubPLOs]],"&gt;=4",tbl_task5[[SubPLOs]:[SubPLOs]],"&lt;5")+SUMIFS(tbl_task6[S160],tbl_task6[[SubPLOs]:[SubPLOs]],"&gt;=4",tbl_task6[[SubPLOs]:[SubPLOs]],"&lt;5")+SUMIFS(tbl_task7[S160],tbl_task7[[SubPLOs]:[SubPLOs]],"&gt;=4",tbl_task7[[SubPLOs]:[SubPLOs]],"&lt;5")+SUMIFS(tbl_task8[S160],tbl_task8[[SubPLOs]:[SubPLOs]],"&gt;=4",tbl_task8[[SubPLOs]:[SubPLOs]],"&lt;5")+SUMIFS(tbl_task9[S160],tbl_task9[[SubPLOs]:[SubPLOs]],"&gt;=4",tbl_task9[[SubPLOs]:[SubPLOs]],"&lt;5")+SUMIFS(tbl_task10[S160],tbl_task10[[SubPLOs]:[SubPLOs]],"&gt;=4",tbl_task10[[SubPLOs]:[SubPLOs]],"&lt;5")</f>
        <v>0</v>
      </c>
      <c r="FJ183" s="41">
        <f>SUMIFS(tbl_task1[S161],tbl_task1[[SubPLOs]:[SubPLOs]],"&gt;=4",tbl_task1[[SubPLOs]:[SubPLOs]],"&lt;5")+SUMIFS(tbl_task2[S161],tbl_task2[[SubPLOs]:[SubPLOs]],"&gt;=4",tbl_task2[[SubPLOs]:[SubPLOs]],"&lt;5")+SUMIFS(tbl_task3[S161],tbl_task3[[SubPLOs]:[SubPLOs]],"&gt;=4",tbl_task3[[SubPLOs]:[SubPLOs]],"&lt;5")+SUMIFS(tbl_task4[S161],tbl_task4[[SubPLOs]:[SubPLOs]],"&gt;=4",tbl_task4[[SubPLOs]:[SubPLOs]],"&lt;5")+SUMIFS(tbl_task5[S161],tbl_task5[[SubPLOs]:[SubPLOs]],"&gt;=4",tbl_task5[[SubPLOs]:[SubPLOs]],"&lt;5")+SUMIFS(tbl_task6[S161],tbl_task6[[SubPLOs]:[SubPLOs]],"&gt;=4",tbl_task6[[SubPLOs]:[SubPLOs]],"&lt;5")+SUMIFS(tbl_task7[S161],tbl_task7[[SubPLOs]:[SubPLOs]],"&gt;=4",tbl_task7[[SubPLOs]:[SubPLOs]],"&lt;5")+SUMIFS(tbl_task8[S161],tbl_task8[[SubPLOs]:[SubPLOs]],"&gt;=4",tbl_task8[[SubPLOs]:[SubPLOs]],"&lt;5")+SUMIFS(tbl_task9[S161],tbl_task9[[SubPLOs]:[SubPLOs]],"&gt;=4",tbl_task9[[SubPLOs]:[SubPLOs]],"&lt;5")+SUMIFS(tbl_task10[S161],tbl_task10[[SubPLOs]:[SubPLOs]],"&gt;=4",tbl_task10[[SubPLOs]:[SubPLOs]],"&lt;5")</f>
        <v>0</v>
      </c>
      <c r="FK183" s="41">
        <f>SUMIFS(tbl_task1[S162],tbl_task1[[SubPLOs]:[SubPLOs]],"&gt;=4",tbl_task1[[SubPLOs]:[SubPLOs]],"&lt;5")+SUMIFS(tbl_task2[S162],tbl_task2[[SubPLOs]:[SubPLOs]],"&gt;=4",tbl_task2[[SubPLOs]:[SubPLOs]],"&lt;5")+SUMIFS(tbl_task3[S162],tbl_task3[[SubPLOs]:[SubPLOs]],"&gt;=4",tbl_task3[[SubPLOs]:[SubPLOs]],"&lt;5")+SUMIFS(tbl_task4[S162],tbl_task4[[SubPLOs]:[SubPLOs]],"&gt;=4",tbl_task4[[SubPLOs]:[SubPLOs]],"&lt;5")+SUMIFS(tbl_task5[S162],tbl_task5[[SubPLOs]:[SubPLOs]],"&gt;=4",tbl_task5[[SubPLOs]:[SubPLOs]],"&lt;5")+SUMIFS(tbl_task6[S162],tbl_task6[[SubPLOs]:[SubPLOs]],"&gt;=4",tbl_task6[[SubPLOs]:[SubPLOs]],"&lt;5")+SUMIFS(tbl_task7[S162],tbl_task7[[SubPLOs]:[SubPLOs]],"&gt;=4",tbl_task7[[SubPLOs]:[SubPLOs]],"&lt;5")+SUMIFS(tbl_task8[S162],tbl_task8[[SubPLOs]:[SubPLOs]],"&gt;=4",tbl_task8[[SubPLOs]:[SubPLOs]],"&lt;5")+SUMIFS(tbl_task9[S162],tbl_task9[[SubPLOs]:[SubPLOs]],"&gt;=4",tbl_task9[[SubPLOs]:[SubPLOs]],"&lt;5")+SUMIFS(tbl_task10[S162],tbl_task10[[SubPLOs]:[SubPLOs]],"&gt;=4",tbl_task10[[SubPLOs]:[SubPLOs]],"&lt;5")</f>
        <v>0</v>
      </c>
      <c r="FL183" s="41">
        <f>SUMIFS(tbl_task1[S163],tbl_task1[[SubPLOs]:[SubPLOs]],"&gt;=4",tbl_task1[[SubPLOs]:[SubPLOs]],"&lt;5")+SUMIFS(tbl_task2[S163],tbl_task2[[SubPLOs]:[SubPLOs]],"&gt;=4",tbl_task2[[SubPLOs]:[SubPLOs]],"&lt;5")+SUMIFS(tbl_task3[S163],tbl_task3[[SubPLOs]:[SubPLOs]],"&gt;=4",tbl_task3[[SubPLOs]:[SubPLOs]],"&lt;5")+SUMIFS(tbl_task4[S163],tbl_task4[[SubPLOs]:[SubPLOs]],"&gt;=4",tbl_task4[[SubPLOs]:[SubPLOs]],"&lt;5")+SUMIFS(tbl_task5[S163],tbl_task5[[SubPLOs]:[SubPLOs]],"&gt;=4",tbl_task5[[SubPLOs]:[SubPLOs]],"&lt;5")+SUMIFS(tbl_task6[S163],tbl_task6[[SubPLOs]:[SubPLOs]],"&gt;=4",tbl_task6[[SubPLOs]:[SubPLOs]],"&lt;5")+SUMIFS(tbl_task7[S163],tbl_task7[[SubPLOs]:[SubPLOs]],"&gt;=4",tbl_task7[[SubPLOs]:[SubPLOs]],"&lt;5")+SUMIFS(tbl_task8[S163],tbl_task8[[SubPLOs]:[SubPLOs]],"&gt;=4",tbl_task8[[SubPLOs]:[SubPLOs]],"&lt;5")+SUMIFS(tbl_task9[S163],tbl_task9[[SubPLOs]:[SubPLOs]],"&gt;=4",tbl_task9[[SubPLOs]:[SubPLOs]],"&lt;5")+SUMIFS(tbl_task10[S163],tbl_task10[[SubPLOs]:[SubPLOs]],"&gt;=4",tbl_task10[[SubPLOs]:[SubPLOs]],"&lt;5")</f>
        <v>0</v>
      </c>
      <c r="FM183" s="41">
        <f>SUMIFS(tbl_task1[S164],tbl_task1[[SubPLOs]:[SubPLOs]],"&gt;=4",tbl_task1[[SubPLOs]:[SubPLOs]],"&lt;5")+SUMIFS(tbl_task2[S164],tbl_task2[[SubPLOs]:[SubPLOs]],"&gt;=4",tbl_task2[[SubPLOs]:[SubPLOs]],"&lt;5")+SUMIFS(tbl_task3[S164],tbl_task3[[SubPLOs]:[SubPLOs]],"&gt;=4",tbl_task3[[SubPLOs]:[SubPLOs]],"&lt;5")+SUMIFS(tbl_task4[S164],tbl_task4[[SubPLOs]:[SubPLOs]],"&gt;=4",tbl_task4[[SubPLOs]:[SubPLOs]],"&lt;5")+SUMIFS(tbl_task5[S164],tbl_task5[[SubPLOs]:[SubPLOs]],"&gt;=4",tbl_task5[[SubPLOs]:[SubPLOs]],"&lt;5")+SUMIFS(tbl_task6[S164],tbl_task6[[SubPLOs]:[SubPLOs]],"&gt;=4",tbl_task6[[SubPLOs]:[SubPLOs]],"&lt;5")+SUMIFS(tbl_task7[S164],tbl_task7[[SubPLOs]:[SubPLOs]],"&gt;=4",tbl_task7[[SubPLOs]:[SubPLOs]],"&lt;5")+SUMIFS(tbl_task8[S164],tbl_task8[[SubPLOs]:[SubPLOs]],"&gt;=4",tbl_task8[[SubPLOs]:[SubPLOs]],"&lt;5")+SUMIFS(tbl_task9[S164],tbl_task9[[SubPLOs]:[SubPLOs]],"&gt;=4",tbl_task9[[SubPLOs]:[SubPLOs]],"&lt;5")+SUMIFS(tbl_task10[S164],tbl_task10[[SubPLOs]:[SubPLOs]],"&gt;=4",tbl_task10[[SubPLOs]:[SubPLOs]],"&lt;5")</f>
        <v>0</v>
      </c>
      <c r="FN183" s="41">
        <f>SUMIFS(tbl_task1[S165],tbl_task1[[SubPLOs]:[SubPLOs]],"&gt;=4",tbl_task1[[SubPLOs]:[SubPLOs]],"&lt;5")+SUMIFS(tbl_task2[S165],tbl_task2[[SubPLOs]:[SubPLOs]],"&gt;=4",tbl_task2[[SubPLOs]:[SubPLOs]],"&lt;5")+SUMIFS(tbl_task3[S165],tbl_task3[[SubPLOs]:[SubPLOs]],"&gt;=4",tbl_task3[[SubPLOs]:[SubPLOs]],"&lt;5")+SUMIFS(tbl_task4[S165],tbl_task4[[SubPLOs]:[SubPLOs]],"&gt;=4",tbl_task4[[SubPLOs]:[SubPLOs]],"&lt;5")+SUMIFS(tbl_task5[S165],tbl_task5[[SubPLOs]:[SubPLOs]],"&gt;=4",tbl_task5[[SubPLOs]:[SubPLOs]],"&lt;5")+SUMIFS(tbl_task6[S165],tbl_task6[[SubPLOs]:[SubPLOs]],"&gt;=4",tbl_task6[[SubPLOs]:[SubPLOs]],"&lt;5")+SUMIFS(tbl_task7[S165],tbl_task7[[SubPLOs]:[SubPLOs]],"&gt;=4",tbl_task7[[SubPLOs]:[SubPLOs]],"&lt;5")+SUMIFS(tbl_task8[S165],tbl_task8[[SubPLOs]:[SubPLOs]],"&gt;=4",tbl_task8[[SubPLOs]:[SubPLOs]],"&lt;5")+SUMIFS(tbl_task9[S165],tbl_task9[[SubPLOs]:[SubPLOs]],"&gt;=4",tbl_task9[[SubPLOs]:[SubPLOs]],"&lt;5")+SUMIFS(tbl_task10[S165],tbl_task10[[SubPLOs]:[SubPLOs]],"&gt;=4",tbl_task10[[SubPLOs]:[SubPLOs]],"&lt;5")</f>
        <v>0</v>
      </c>
    </row>
    <row r="184" spans="1:170" ht="128.4" customHeight="1" x14ac:dyDescent="0.25">
      <c r="A184" s="135">
        <v>5</v>
      </c>
      <c r="B184" s="5" t="s">
        <v>438</v>
      </c>
      <c r="C184" s="86">
        <f>COUNTIFS(tbl_task1[SubPLOs],"&gt;=5",tbl_task1[SubPLOs],"&lt;6")+COUNTIFS(tbl_task2[SubPLOs],"&gt;=5",tbl_task2[SubPLOs],"&lt;6")+COUNTIFS(tbl_task3[SubPLOs],"&gt;=5",tbl_task3[SubPLOs],"&lt;6")+COUNTIFS(tbl_task4[SubPLOs],"&gt;=5",tbl_task4[SubPLOs],"&lt;6")+COUNTIFS(tbl_task5[SubPLOs],"&gt;=5",tbl_task5[SubPLOs],"&lt;6")+COUNTIFS(tbl_task6[SubPLOs],"&gt;=5",tbl_task6[SubPLOs],"&lt;6")+COUNTIFS(tbl_task7[SubPLOs],"&gt;=5",tbl_task7[SubPLOs],"&lt;6")+COUNTIFS(tbl_task8[SubPLOs],"&gt;=5",tbl_task8[SubPLOs],"&lt;6")+COUNTIFS(tbl_task9[SubPLOs],"&gt;=5",tbl_task9[SubPLOs],"&lt;6")+COUNTIFS(tbl_task10[SubPLOs],"&gt;=5",tbl_task10[SubPLOs],"&lt;6")</f>
        <v>0</v>
      </c>
      <c r="D184" s="86">
        <f>SUMIFS(tbl_task1[คะแนนเต็ม],tbl_task1[SubPLOs],"&gt;=5",tbl_task1[SubPLOs],"&lt;6")+SUMIFS(tbl_task2[คะแนนเต็ม],tbl_task2[SubPLOs],"&gt;=5",tbl_task2[SubPLOs],"&lt;6")+SUMIFS(tbl_task3[คะแนนเต็ม],tbl_task3[SubPLOs],"&gt;=5",tbl_task3[SubPLOs],"&lt;6")+SUMIFS(tbl_task4[คะแนนเต็ม],tbl_task4[SubPLOs],"&gt;=5",tbl_task4[SubPLOs],"&lt;6")+SUMIFS(tbl_task5[คะแนนเต็ม],tbl_task5[SubPLOs],"&gt;=5",tbl_task5[SubPLOs],"&lt;6")+SUMIFS(tbl_task6[คะแนนเต็ม],tbl_task6[SubPLOs],"&gt;=5",tbl_task6[SubPLOs],"&lt;6")+SUMIFS(tbl_task7[คะแนนเต็ม],tbl_task7[SubPLOs],"&gt;=5",tbl_task7[SubPLOs],"&lt;6")+SUMIFS(tbl_task8[คะแนนเต็ม],tbl_task8[SubPLOs],"&gt;=5",tbl_task8[SubPLOs],"&lt;6")+SUMIFS(tbl_task9[คะแนนเต็ม],tbl_task9[SubPLOs],"&gt;=5",tbl_task9[SubPLOs],"&lt;6")+SUMIFS(tbl_task10[คะแนนเต็ม],tbl_task10[SubPLOs],"&gt;=5",tbl_task10[SubPLOs],"&lt;6")</f>
        <v>0</v>
      </c>
      <c r="E184" s="47">
        <f>SUMIFS(tbl_task1[%],tbl_task1[SubPLOs],"&gt;=5",tbl_task1[SubPLOs],"&lt;6")+SUMIFS(tbl_task2[%],tbl_task2[SubPLOs],"&gt;=5",tbl_task2[SubPLOs],"&lt;6")+SUMIFS(tbl_task3[%],tbl_task3[SubPLOs],"&gt;=5",tbl_task3[SubPLOs],"&lt;6")+SUMIFS(tbl_task4[%],tbl_task4[SubPLOs],"&gt;=5",tbl_task4[SubPLOs],"&lt;6")+SUMIFS(tbl_task5[%],tbl_task5[SubPLOs],"&gt;=5",tbl_task5[SubPLOs],"&lt;6")+SUMIFS(tbl_task6[%],tbl_task6[SubPLOs],"&gt;=5",tbl_task6[SubPLOs],"&lt;6")+SUMIFS(tbl_task7[%],tbl_task7[SubPLOs],"&gt;=5",tbl_task7[SubPLOs],"&lt;6")+SUMIFS(tbl_task8[%],tbl_task8[SubPLOs],"&gt;=5",tbl_task8[SubPLOs],"&lt;6")+SUMIFS(tbl_task9[%],tbl_task9[SubPLOs],"&gt;=5",tbl_task9[SubPLOs],"&lt;6")+SUMIFS(tbl_task10[%],tbl_task10[SubPLOs],"&gt;=5",tbl_task10[SubPLOs],"&lt;6")</f>
        <v>0</v>
      </c>
      <c r="F184" s="41">
        <f>SUMIFS(tbl_task1[S1],tbl_task1[[SubPLOs]:[SubPLOs]],"&gt;=5",tbl_task1[[SubPLOs]:[SubPLOs]],"&lt;6")+SUMIFS(tbl_task2[S1],tbl_task2[[SubPLOs]:[SubPLOs]],"&gt;=5",tbl_task2[[SubPLOs]:[SubPLOs]],"&lt;6")+SUMIFS(tbl_task3[S1],tbl_task3[[SubPLOs]:[SubPLOs]],"&gt;=5",tbl_task3[[SubPLOs]:[SubPLOs]],"&lt;6")+SUMIFS(tbl_task4[S1],tbl_task4[[SubPLOs]:[SubPLOs]],"&gt;=5",tbl_task4[[SubPLOs]:[SubPLOs]],"&lt;6")+SUMIFS(tbl_task5[S1],tbl_task5[[SubPLOs]:[SubPLOs]],"&gt;=5",tbl_task5[[SubPLOs]:[SubPLOs]],"&lt;6")+SUMIFS(tbl_task6[S1],tbl_task6[[SubPLOs]:[SubPLOs]],"&gt;=5",tbl_task6[[SubPLOs]:[SubPLOs]],"&lt;6")+SUMIFS(tbl_task7[S1],tbl_task7[[SubPLOs]:[SubPLOs]],"&gt;=5",tbl_task7[[SubPLOs]:[SubPLOs]],"&lt;6")+SUMIFS(tbl_task8[S1],tbl_task8[[SubPLOs]:[SubPLOs]],"&gt;=5",tbl_task8[[SubPLOs]:[SubPLOs]],"&lt;6")+SUMIFS(tbl_task9[S1],tbl_task9[[SubPLOs]:[SubPLOs]],"&gt;=5",tbl_task9[[SubPLOs]:[SubPLOs]],"&lt;6")+SUMIFS(tbl_task10[S1],tbl_task10[[SubPLOs]:[SubPLOs]],"&gt;=5",tbl_task10[[SubPLOs]:[SubPLOs]],"&lt;6")</f>
        <v>0</v>
      </c>
      <c r="G184" s="41">
        <f>SUMIFS(tbl_task1[S2],tbl_task1[[SubPLOs]:[SubPLOs]],"&gt;=5",tbl_task1[[SubPLOs]:[SubPLOs]],"&lt;6")+SUMIFS(tbl_task2[S2],tbl_task2[[SubPLOs]:[SubPLOs]],"&gt;=5",tbl_task2[[SubPLOs]:[SubPLOs]],"&lt;6")+SUMIFS(tbl_task3[S2],tbl_task3[[SubPLOs]:[SubPLOs]],"&gt;=5",tbl_task3[[SubPLOs]:[SubPLOs]],"&lt;6")+SUMIFS(tbl_task4[S2],tbl_task4[[SubPLOs]:[SubPLOs]],"&gt;=5",tbl_task4[[SubPLOs]:[SubPLOs]],"&lt;6")+SUMIFS(tbl_task5[S2],tbl_task5[[SubPLOs]:[SubPLOs]],"&gt;=5",tbl_task5[[SubPLOs]:[SubPLOs]],"&lt;6")+SUMIFS(tbl_task6[S2],tbl_task6[[SubPLOs]:[SubPLOs]],"&gt;=5",tbl_task6[[SubPLOs]:[SubPLOs]],"&lt;6")+SUMIFS(tbl_task7[S2],tbl_task7[[SubPLOs]:[SubPLOs]],"&gt;=5",tbl_task7[[SubPLOs]:[SubPLOs]],"&lt;6")+SUMIFS(tbl_task8[S2],tbl_task8[[SubPLOs]:[SubPLOs]],"&gt;=5",tbl_task8[[SubPLOs]:[SubPLOs]],"&lt;6")+SUMIFS(tbl_task9[S2],tbl_task9[[SubPLOs]:[SubPLOs]],"&gt;=5",tbl_task9[[SubPLOs]:[SubPLOs]],"&lt;6")+SUMIFS(tbl_task10[S2],tbl_task10[[SubPLOs]:[SubPLOs]],"&gt;=5",tbl_task10[[SubPLOs]:[SubPLOs]],"&lt;6")</f>
        <v>0</v>
      </c>
      <c r="H184" s="41">
        <f>SUMIFS(tbl_task1[S3],tbl_task1[[SubPLOs]:[SubPLOs]],"&gt;=5",tbl_task1[[SubPLOs]:[SubPLOs]],"&lt;6")+SUMIFS(tbl_task2[S3],tbl_task2[[SubPLOs]:[SubPLOs]],"&gt;=5",tbl_task2[[SubPLOs]:[SubPLOs]],"&lt;6")+SUMIFS(tbl_task3[S3],tbl_task3[[SubPLOs]:[SubPLOs]],"&gt;=5",tbl_task3[[SubPLOs]:[SubPLOs]],"&lt;6")+SUMIFS(tbl_task4[S3],tbl_task4[[SubPLOs]:[SubPLOs]],"&gt;=5",tbl_task4[[SubPLOs]:[SubPLOs]],"&lt;6")+SUMIFS(tbl_task5[S3],tbl_task5[[SubPLOs]:[SubPLOs]],"&gt;=5",tbl_task5[[SubPLOs]:[SubPLOs]],"&lt;6")+SUMIFS(tbl_task6[S3],tbl_task6[[SubPLOs]:[SubPLOs]],"&gt;=5",tbl_task6[[SubPLOs]:[SubPLOs]],"&lt;6")+SUMIFS(tbl_task7[S3],tbl_task7[[SubPLOs]:[SubPLOs]],"&gt;=5",tbl_task7[[SubPLOs]:[SubPLOs]],"&lt;6")+SUMIFS(tbl_task8[S3],tbl_task8[[SubPLOs]:[SubPLOs]],"&gt;=5",tbl_task8[[SubPLOs]:[SubPLOs]],"&lt;6")+SUMIFS(tbl_task9[S3],tbl_task9[[SubPLOs]:[SubPLOs]],"&gt;=5",tbl_task9[[SubPLOs]:[SubPLOs]],"&lt;6")+SUMIFS(tbl_task10[S3],tbl_task10[[SubPLOs]:[SubPLOs]],"&gt;=5",tbl_task10[[SubPLOs]:[SubPLOs]],"&lt;6")</f>
        <v>0</v>
      </c>
      <c r="I184" s="41">
        <f>SUMIFS(tbl_task1[S4],tbl_task1[[SubPLOs]:[SubPLOs]],"&gt;=5",tbl_task1[[SubPLOs]:[SubPLOs]],"&lt;6")+SUMIFS(tbl_task2[S4],tbl_task2[[SubPLOs]:[SubPLOs]],"&gt;=5",tbl_task2[[SubPLOs]:[SubPLOs]],"&lt;6")+SUMIFS(tbl_task3[S4],tbl_task3[[SubPLOs]:[SubPLOs]],"&gt;=5",tbl_task3[[SubPLOs]:[SubPLOs]],"&lt;6")+SUMIFS(tbl_task4[S4],tbl_task4[[SubPLOs]:[SubPLOs]],"&gt;=5",tbl_task4[[SubPLOs]:[SubPLOs]],"&lt;6")+SUMIFS(tbl_task5[S4],tbl_task5[[SubPLOs]:[SubPLOs]],"&gt;=5",tbl_task5[[SubPLOs]:[SubPLOs]],"&lt;6")+SUMIFS(tbl_task6[S4],tbl_task6[[SubPLOs]:[SubPLOs]],"&gt;=5",tbl_task6[[SubPLOs]:[SubPLOs]],"&lt;6")+SUMIFS(tbl_task7[S4],tbl_task7[[SubPLOs]:[SubPLOs]],"&gt;=5",tbl_task7[[SubPLOs]:[SubPLOs]],"&lt;6")+SUMIFS(tbl_task8[S4],tbl_task8[[SubPLOs]:[SubPLOs]],"&gt;=5",tbl_task8[[SubPLOs]:[SubPLOs]],"&lt;6")+SUMIFS(tbl_task9[S4],tbl_task9[[SubPLOs]:[SubPLOs]],"&gt;=5",tbl_task9[[SubPLOs]:[SubPLOs]],"&lt;6")+SUMIFS(tbl_task10[S4],tbl_task10[[SubPLOs]:[SubPLOs]],"&gt;=5",tbl_task10[[SubPLOs]:[SubPLOs]],"&lt;6")</f>
        <v>0</v>
      </c>
      <c r="J184" s="41">
        <f>SUMIFS(tbl_task1[S5],tbl_task1[[SubPLOs]:[SubPLOs]],"&gt;=5",tbl_task1[[SubPLOs]:[SubPLOs]],"&lt;6")+SUMIFS(tbl_task2[S5],tbl_task2[[SubPLOs]:[SubPLOs]],"&gt;=5",tbl_task2[[SubPLOs]:[SubPLOs]],"&lt;6")+SUMIFS(tbl_task3[S5],tbl_task3[[SubPLOs]:[SubPLOs]],"&gt;=5",tbl_task3[[SubPLOs]:[SubPLOs]],"&lt;6")+SUMIFS(tbl_task4[S5],tbl_task4[[SubPLOs]:[SubPLOs]],"&gt;=5",tbl_task4[[SubPLOs]:[SubPLOs]],"&lt;6")+SUMIFS(tbl_task5[S5],tbl_task5[[SubPLOs]:[SubPLOs]],"&gt;=5",tbl_task5[[SubPLOs]:[SubPLOs]],"&lt;6")+SUMIFS(tbl_task6[S5],tbl_task6[[SubPLOs]:[SubPLOs]],"&gt;=5",tbl_task6[[SubPLOs]:[SubPLOs]],"&lt;6")+SUMIFS(tbl_task7[S5],tbl_task7[[SubPLOs]:[SubPLOs]],"&gt;=5",tbl_task7[[SubPLOs]:[SubPLOs]],"&lt;6")+SUMIFS(tbl_task8[S5],tbl_task8[[SubPLOs]:[SubPLOs]],"&gt;=5",tbl_task8[[SubPLOs]:[SubPLOs]],"&lt;6")+SUMIFS(tbl_task9[S5],tbl_task9[[SubPLOs]:[SubPLOs]],"&gt;=5",tbl_task9[[SubPLOs]:[SubPLOs]],"&lt;6")+SUMIFS(tbl_task10[S5],tbl_task10[[SubPLOs]:[SubPLOs]],"&gt;=5",tbl_task10[[SubPLOs]:[SubPLOs]],"&lt;6")</f>
        <v>0</v>
      </c>
      <c r="K184" s="41">
        <f>SUMIFS(tbl_task1[S6],tbl_task1[[SubPLOs]:[SubPLOs]],"&gt;=5",tbl_task1[[SubPLOs]:[SubPLOs]],"&lt;6")+SUMIFS(tbl_task2[S6],tbl_task2[[SubPLOs]:[SubPLOs]],"&gt;=5",tbl_task2[[SubPLOs]:[SubPLOs]],"&lt;6")+SUMIFS(tbl_task3[S6],tbl_task3[[SubPLOs]:[SubPLOs]],"&gt;=5",tbl_task3[[SubPLOs]:[SubPLOs]],"&lt;6")+SUMIFS(tbl_task4[S6],tbl_task4[[SubPLOs]:[SubPLOs]],"&gt;=5",tbl_task4[[SubPLOs]:[SubPLOs]],"&lt;6")+SUMIFS(tbl_task5[S6],tbl_task5[[SubPLOs]:[SubPLOs]],"&gt;=5",tbl_task5[[SubPLOs]:[SubPLOs]],"&lt;6")+SUMIFS(tbl_task6[S6],tbl_task6[[SubPLOs]:[SubPLOs]],"&gt;=5",tbl_task6[[SubPLOs]:[SubPLOs]],"&lt;6")+SUMIFS(tbl_task7[S6],tbl_task7[[SubPLOs]:[SubPLOs]],"&gt;=5",tbl_task7[[SubPLOs]:[SubPLOs]],"&lt;6")+SUMIFS(tbl_task8[S6],tbl_task8[[SubPLOs]:[SubPLOs]],"&gt;=5",tbl_task8[[SubPLOs]:[SubPLOs]],"&lt;6")+SUMIFS(tbl_task9[S6],tbl_task9[[SubPLOs]:[SubPLOs]],"&gt;=5",tbl_task9[[SubPLOs]:[SubPLOs]],"&lt;6")+SUMIFS(tbl_task10[S6],tbl_task10[[SubPLOs]:[SubPLOs]],"&gt;=5",tbl_task10[[SubPLOs]:[SubPLOs]],"&lt;6")</f>
        <v>0</v>
      </c>
      <c r="L184" s="41">
        <f>SUMIFS(tbl_task1[S7],tbl_task1[[SubPLOs]:[SubPLOs]],"&gt;=5",tbl_task1[[SubPLOs]:[SubPLOs]],"&lt;6")+SUMIFS(tbl_task2[S7],tbl_task2[[SubPLOs]:[SubPLOs]],"&gt;=5",tbl_task2[[SubPLOs]:[SubPLOs]],"&lt;6")+SUMIFS(tbl_task3[S7],tbl_task3[[SubPLOs]:[SubPLOs]],"&gt;=5",tbl_task3[[SubPLOs]:[SubPLOs]],"&lt;6")+SUMIFS(tbl_task4[S7],tbl_task4[[SubPLOs]:[SubPLOs]],"&gt;=5",tbl_task4[[SubPLOs]:[SubPLOs]],"&lt;6")+SUMIFS(tbl_task5[S7],tbl_task5[[SubPLOs]:[SubPLOs]],"&gt;=5",tbl_task5[[SubPLOs]:[SubPLOs]],"&lt;6")+SUMIFS(tbl_task6[S7],tbl_task6[[SubPLOs]:[SubPLOs]],"&gt;=5",tbl_task6[[SubPLOs]:[SubPLOs]],"&lt;6")+SUMIFS(tbl_task7[S7],tbl_task7[[SubPLOs]:[SubPLOs]],"&gt;=5",tbl_task7[[SubPLOs]:[SubPLOs]],"&lt;6")+SUMIFS(tbl_task8[S7],tbl_task8[[SubPLOs]:[SubPLOs]],"&gt;=5",tbl_task8[[SubPLOs]:[SubPLOs]],"&lt;6")+SUMIFS(tbl_task9[S7],tbl_task9[[SubPLOs]:[SubPLOs]],"&gt;=5",tbl_task9[[SubPLOs]:[SubPLOs]],"&lt;6")+SUMIFS(tbl_task10[S7],tbl_task10[[SubPLOs]:[SubPLOs]],"&gt;=5",tbl_task10[[SubPLOs]:[SubPLOs]],"&lt;6")</f>
        <v>0</v>
      </c>
      <c r="M184" s="41">
        <f>SUMIFS(tbl_task1[S8],tbl_task1[[SubPLOs]:[SubPLOs]],"&gt;=5",tbl_task1[[SubPLOs]:[SubPLOs]],"&lt;6")+SUMIFS(tbl_task2[S8],tbl_task2[[SubPLOs]:[SubPLOs]],"&gt;=5",tbl_task2[[SubPLOs]:[SubPLOs]],"&lt;6")+SUMIFS(tbl_task3[S8],tbl_task3[[SubPLOs]:[SubPLOs]],"&gt;=5",tbl_task3[[SubPLOs]:[SubPLOs]],"&lt;6")+SUMIFS(tbl_task4[S8],tbl_task4[[SubPLOs]:[SubPLOs]],"&gt;=5",tbl_task4[[SubPLOs]:[SubPLOs]],"&lt;6")+SUMIFS(tbl_task5[S8],tbl_task5[[SubPLOs]:[SubPLOs]],"&gt;=5",tbl_task5[[SubPLOs]:[SubPLOs]],"&lt;6")+SUMIFS(tbl_task6[S8],tbl_task6[[SubPLOs]:[SubPLOs]],"&gt;=5",tbl_task6[[SubPLOs]:[SubPLOs]],"&lt;6")+SUMIFS(tbl_task7[S8],tbl_task7[[SubPLOs]:[SubPLOs]],"&gt;=5",tbl_task7[[SubPLOs]:[SubPLOs]],"&lt;6")+SUMIFS(tbl_task8[S8],tbl_task8[[SubPLOs]:[SubPLOs]],"&gt;=5",tbl_task8[[SubPLOs]:[SubPLOs]],"&lt;6")+SUMIFS(tbl_task9[S8],tbl_task9[[SubPLOs]:[SubPLOs]],"&gt;=5",tbl_task9[[SubPLOs]:[SubPLOs]],"&lt;6")+SUMIFS(tbl_task10[S8],tbl_task10[[SubPLOs]:[SubPLOs]],"&gt;=5",tbl_task10[[SubPLOs]:[SubPLOs]],"&lt;6")</f>
        <v>0</v>
      </c>
      <c r="N184" s="41">
        <f>SUMIFS(tbl_task1[S9],tbl_task1[[SubPLOs]:[SubPLOs]],"&gt;=5",tbl_task1[[SubPLOs]:[SubPLOs]],"&lt;6")+SUMIFS(tbl_task2[S9],tbl_task2[[SubPLOs]:[SubPLOs]],"&gt;=5",tbl_task2[[SubPLOs]:[SubPLOs]],"&lt;6")+SUMIFS(tbl_task3[S9],tbl_task3[[SubPLOs]:[SubPLOs]],"&gt;=5",tbl_task3[[SubPLOs]:[SubPLOs]],"&lt;6")+SUMIFS(tbl_task4[S9],tbl_task4[[SubPLOs]:[SubPLOs]],"&gt;=5",tbl_task4[[SubPLOs]:[SubPLOs]],"&lt;6")+SUMIFS(tbl_task5[S9],tbl_task5[[SubPLOs]:[SubPLOs]],"&gt;=5",tbl_task5[[SubPLOs]:[SubPLOs]],"&lt;6")+SUMIFS(tbl_task6[S9],tbl_task6[[SubPLOs]:[SubPLOs]],"&gt;=5",tbl_task6[[SubPLOs]:[SubPLOs]],"&lt;6")+SUMIFS(tbl_task7[S9],tbl_task7[[SubPLOs]:[SubPLOs]],"&gt;=5",tbl_task7[[SubPLOs]:[SubPLOs]],"&lt;6")+SUMIFS(tbl_task8[S9],tbl_task8[[SubPLOs]:[SubPLOs]],"&gt;=5",tbl_task8[[SubPLOs]:[SubPLOs]],"&lt;6")+SUMIFS(tbl_task9[S9],tbl_task9[[SubPLOs]:[SubPLOs]],"&gt;=5",tbl_task9[[SubPLOs]:[SubPLOs]],"&lt;6")+SUMIFS(tbl_task10[S9],tbl_task10[[SubPLOs]:[SubPLOs]],"&gt;=5",tbl_task10[[SubPLOs]:[SubPLOs]],"&lt;6")</f>
        <v>0</v>
      </c>
      <c r="O184" s="41">
        <f>SUMIFS(tbl_task1[S10],tbl_task1[[SubPLOs]:[SubPLOs]],"&gt;=5",tbl_task1[[SubPLOs]:[SubPLOs]],"&lt;6")+SUMIFS(tbl_task2[S10],tbl_task2[[SubPLOs]:[SubPLOs]],"&gt;=5",tbl_task2[[SubPLOs]:[SubPLOs]],"&lt;6")+SUMIFS(tbl_task3[S10],tbl_task3[[SubPLOs]:[SubPLOs]],"&gt;=5",tbl_task3[[SubPLOs]:[SubPLOs]],"&lt;6")+SUMIFS(tbl_task4[S10],tbl_task4[[SubPLOs]:[SubPLOs]],"&gt;=5",tbl_task4[[SubPLOs]:[SubPLOs]],"&lt;6")+SUMIFS(tbl_task5[S10],tbl_task5[[SubPLOs]:[SubPLOs]],"&gt;=5",tbl_task5[[SubPLOs]:[SubPLOs]],"&lt;6")+SUMIFS(tbl_task6[S10],tbl_task6[[SubPLOs]:[SubPLOs]],"&gt;=5",tbl_task6[[SubPLOs]:[SubPLOs]],"&lt;6")+SUMIFS(tbl_task7[S10],tbl_task7[[SubPLOs]:[SubPLOs]],"&gt;=5",tbl_task7[[SubPLOs]:[SubPLOs]],"&lt;6")+SUMIFS(tbl_task8[S10],tbl_task8[[SubPLOs]:[SubPLOs]],"&gt;=5",tbl_task8[[SubPLOs]:[SubPLOs]],"&lt;6")+SUMIFS(tbl_task9[S10],tbl_task9[[SubPLOs]:[SubPLOs]],"&gt;=5",tbl_task9[[SubPLOs]:[SubPLOs]],"&lt;6")+SUMIFS(tbl_task10[S10],tbl_task10[[SubPLOs]:[SubPLOs]],"&gt;=5",tbl_task10[[SubPLOs]:[SubPLOs]],"&lt;6")</f>
        <v>0</v>
      </c>
      <c r="P184" s="41">
        <f>SUMIFS(tbl_task1[S11],tbl_task1[[SubPLOs]:[SubPLOs]],"&gt;=5",tbl_task1[[SubPLOs]:[SubPLOs]],"&lt;6")+SUMIFS(tbl_task2[S11],tbl_task2[[SubPLOs]:[SubPLOs]],"&gt;=5",tbl_task2[[SubPLOs]:[SubPLOs]],"&lt;6")+SUMIFS(tbl_task3[S11],tbl_task3[[SubPLOs]:[SubPLOs]],"&gt;=5",tbl_task3[[SubPLOs]:[SubPLOs]],"&lt;6")+SUMIFS(tbl_task4[S11],tbl_task4[[SubPLOs]:[SubPLOs]],"&gt;=5",tbl_task4[[SubPLOs]:[SubPLOs]],"&lt;6")+SUMIFS(tbl_task5[S11],tbl_task5[[SubPLOs]:[SubPLOs]],"&gt;=5",tbl_task5[[SubPLOs]:[SubPLOs]],"&lt;6")+SUMIFS(tbl_task6[S11],tbl_task6[[SubPLOs]:[SubPLOs]],"&gt;=5",tbl_task6[[SubPLOs]:[SubPLOs]],"&lt;6")+SUMIFS(tbl_task7[S11],tbl_task7[[SubPLOs]:[SubPLOs]],"&gt;=5",tbl_task7[[SubPLOs]:[SubPLOs]],"&lt;6")+SUMIFS(tbl_task8[S11],tbl_task8[[SubPLOs]:[SubPLOs]],"&gt;=5",tbl_task8[[SubPLOs]:[SubPLOs]],"&lt;6")+SUMIFS(tbl_task9[S11],tbl_task9[[SubPLOs]:[SubPLOs]],"&gt;=5",tbl_task9[[SubPLOs]:[SubPLOs]],"&lt;6")+SUMIFS(tbl_task10[S11],tbl_task10[[SubPLOs]:[SubPLOs]],"&gt;=5",tbl_task10[[SubPLOs]:[SubPLOs]],"&lt;6")</f>
        <v>0</v>
      </c>
      <c r="Q184" s="41">
        <f>SUMIFS(tbl_task1[S12],tbl_task1[[SubPLOs]:[SubPLOs]],"&gt;=5",tbl_task1[[SubPLOs]:[SubPLOs]],"&lt;6")+SUMIFS(tbl_task2[S12],tbl_task2[[SubPLOs]:[SubPLOs]],"&gt;=5",tbl_task2[[SubPLOs]:[SubPLOs]],"&lt;6")+SUMIFS(tbl_task3[S12],tbl_task3[[SubPLOs]:[SubPLOs]],"&gt;=5",tbl_task3[[SubPLOs]:[SubPLOs]],"&lt;6")+SUMIFS(tbl_task4[S12],tbl_task4[[SubPLOs]:[SubPLOs]],"&gt;=5",tbl_task4[[SubPLOs]:[SubPLOs]],"&lt;6")+SUMIFS(tbl_task5[S12],tbl_task5[[SubPLOs]:[SubPLOs]],"&gt;=5",tbl_task5[[SubPLOs]:[SubPLOs]],"&lt;6")+SUMIFS(tbl_task6[S12],tbl_task6[[SubPLOs]:[SubPLOs]],"&gt;=5",tbl_task6[[SubPLOs]:[SubPLOs]],"&lt;6")+SUMIFS(tbl_task7[S12],tbl_task7[[SubPLOs]:[SubPLOs]],"&gt;=5",tbl_task7[[SubPLOs]:[SubPLOs]],"&lt;6")+SUMIFS(tbl_task8[S12],tbl_task8[[SubPLOs]:[SubPLOs]],"&gt;=5",tbl_task8[[SubPLOs]:[SubPLOs]],"&lt;6")+SUMIFS(tbl_task9[S12],tbl_task9[[SubPLOs]:[SubPLOs]],"&gt;=5",tbl_task9[[SubPLOs]:[SubPLOs]],"&lt;6")+SUMIFS(tbl_task10[S12],tbl_task10[[SubPLOs]:[SubPLOs]],"&gt;=5",tbl_task10[[SubPLOs]:[SubPLOs]],"&lt;6")</f>
        <v>0</v>
      </c>
      <c r="R184" s="41">
        <f>SUMIFS(tbl_task1[S13],tbl_task1[[SubPLOs]:[SubPLOs]],"&gt;=5",tbl_task1[[SubPLOs]:[SubPLOs]],"&lt;6")+SUMIFS(tbl_task2[S13],tbl_task2[[SubPLOs]:[SubPLOs]],"&gt;=5",tbl_task2[[SubPLOs]:[SubPLOs]],"&lt;6")+SUMIFS(tbl_task3[S13],tbl_task3[[SubPLOs]:[SubPLOs]],"&gt;=5",tbl_task3[[SubPLOs]:[SubPLOs]],"&lt;6")+SUMIFS(tbl_task4[S13],tbl_task4[[SubPLOs]:[SubPLOs]],"&gt;=5",tbl_task4[[SubPLOs]:[SubPLOs]],"&lt;6")+SUMIFS(tbl_task5[S13],tbl_task5[[SubPLOs]:[SubPLOs]],"&gt;=5",tbl_task5[[SubPLOs]:[SubPLOs]],"&lt;6")+SUMIFS(tbl_task6[S13],tbl_task6[[SubPLOs]:[SubPLOs]],"&gt;=5",tbl_task6[[SubPLOs]:[SubPLOs]],"&lt;6")+SUMIFS(tbl_task7[S13],tbl_task7[[SubPLOs]:[SubPLOs]],"&gt;=5",tbl_task7[[SubPLOs]:[SubPLOs]],"&lt;6")+SUMIFS(tbl_task8[S13],tbl_task8[[SubPLOs]:[SubPLOs]],"&gt;=5",tbl_task8[[SubPLOs]:[SubPLOs]],"&lt;6")+SUMIFS(tbl_task9[S13],tbl_task9[[SubPLOs]:[SubPLOs]],"&gt;=5",tbl_task9[[SubPLOs]:[SubPLOs]],"&lt;6")+SUMIFS(tbl_task10[S13],tbl_task10[[SubPLOs]:[SubPLOs]],"&gt;=5",tbl_task10[[SubPLOs]:[SubPLOs]],"&lt;6")</f>
        <v>0</v>
      </c>
      <c r="S184" s="41">
        <f>SUMIFS(tbl_task1[S14],tbl_task1[[SubPLOs]:[SubPLOs]],"&gt;=5",tbl_task1[[SubPLOs]:[SubPLOs]],"&lt;6")+SUMIFS(tbl_task2[S14],tbl_task2[[SubPLOs]:[SubPLOs]],"&gt;=5",tbl_task2[[SubPLOs]:[SubPLOs]],"&lt;6")+SUMIFS(tbl_task3[S14],tbl_task3[[SubPLOs]:[SubPLOs]],"&gt;=5",tbl_task3[[SubPLOs]:[SubPLOs]],"&lt;6")+SUMIFS(tbl_task4[S14],tbl_task4[[SubPLOs]:[SubPLOs]],"&gt;=5",tbl_task4[[SubPLOs]:[SubPLOs]],"&lt;6")+SUMIFS(tbl_task5[S14],tbl_task5[[SubPLOs]:[SubPLOs]],"&gt;=5",tbl_task5[[SubPLOs]:[SubPLOs]],"&lt;6")+SUMIFS(tbl_task6[S14],tbl_task6[[SubPLOs]:[SubPLOs]],"&gt;=5",tbl_task6[[SubPLOs]:[SubPLOs]],"&lt;6")+SUMIFS(tbl_task7[S14],tbl_task7[[SubPLOs]:[SubPLOs]],"&gt;=5",tbl_task7[[SubPLOs]:[SubPLOs]],"&lt;6")+SUMIFS(tbl_task8[S14],tbl_task8[[SubPLOs]:[SubPLOs]],"&gt;=5",tbl_task8[[SubPLOs]:[SubPLOs]],"&lt;6")+SUMIFS(tbl_task9[S14],tbl_task9[[SubPLOs]:[SubPLOs]],"&gt;=5",tbl_task9[[SubPLOs]:[SubPLOs]],"&lt;6")+SUMIFS(tbl_task10[S14],tbl_task10[[SubPLOs]:[SubPLOs]],"&gt;=5",tbl_task10[[SubPLOs]:[SubPLOs]],"&lt;6")</f>
        <v>0</v>
      </c>
      <c r="T184" s="41">
        <f>SUMIFS(tbl_task1[S15],tbl_task1[[SubPLOs]:[SubPLOs]],"&gt;=5",tbl_task1[[SubPLOs]:[SubPLOs]],"&lt;6")+SUMIFS(tbl_task2[S15],tbl_task2[[SubPLOs]:[SubPLOs]],"&gt;=5",tbl_task2[[SubPLOs]:[SubPLOs]],"&lt;6")+SUMIFS(tbl_task3[S15],tbl_task3[[SubPLOs]:[SubPLOs]],"&gt;=5",tbl_task3[[SubPLOs]:[SubPLOs]],"&lt;6")+SUMIFS(tbl_task4[S15],tbl_task4[[SubPLOs]:[SubPLOs]],"&gt;=5",tbl_task4[[SubPLOs]:[SubPLOs]],"&lt;6")+SUMIFS(tbl_task5[S15],tbl_task5[[SubPLOs]:[SubPLOs]],"&gt;=5",tbl_task5[[SubPLOs]:[SubPLOs]],"&lt;6")+SUMIFS(tbl_task6[S15],tbl_task6[[SubPLOs]:[SubPLOs]],"&gt;=5",tbl_task6[[SubPLOs]:[SubPLOs]],"&lt;6")+SUMIFS(tbl_task7[S15],tbl_task7[[SubPLOs]:[SubPLOs]],"&gt;=5",tbl_task7[[SubPLOs]:[SubPLOs]],"&lt;6")+SUMIFS(tbl_task8[S15],tbl_task8[[SubPLOs]:[SubPLOs]],"&gt;=5",tbl_task8[[SubPLOs]:[SubPLOs]],"&lt;6")+SUMIFS(tbl_task9[S15],tbl_task9[[SubPLOs]:[SubPLOs]],"&gt;=5",tbl_task9[[SubPLOs]:[SubPLOs]],"&lt;6")+SUMIFS(tbl_task10[S15],tbl_task10[[SubPLOs]:[SubPLOs]],"&gt;=5",tbl_task10[[SubPLOs]:[SubPLOs]],"&lt;6")</f>
        <v>0</v>
      </c>
      <c r="U184" s="41">
        <f>SUMIFS(tbl_task1[S16],tbl_task1[[SubPLOs]:[SubPLOs]],"&gt;=5",tbl_task1[[SubPLOs]:[SubPLOs]],"&lt;6")+SUMIFS(tbl_task2[S16],tbl_task2[[SubPLOs]:[SubPLOs]],"&gt;=5",tbl_task2[[SubPLOs]:[SubPLOs]],"&lt;6")+SUMIFS(tbl_task3[S16],tbl_task3[[SubPLOs]:[SubPLOs]],"&gt;=5",tbl_task3[[SubPLOs]:[SubPLOs]],"&lt;6")+SUMIFS(tbl_task4[S16],tbl_task4[[SubPLOs]:[SubPLOs]],"&gt;=5",tbl_task4[[SubPLOs]:[SubPLOs]],"&lt;6")+SUMIFS(tbl_task5[S16],tbl_task5[[SubPLOs]:[SubPLOs]],"&gt;=5",tbl_task5[[SubPLOs]:[SubPLOs]],"&lt;6")+SUMIFS(tbl_task6[S16],tbl_task6[[SubPLOs]:[SubPLOs]],"&gt;=5",tbl_task6[[SubPLOs]:[SubPLOs]],"&lt;6")+SUMIFS(tbl_task7[S16],tbl_task7[[SubPLOs]:[SubPLOs]],"&gt;=5",tbl_task7[[SubPLOs]:[SubPLOs]],"&lt;6")+SUMIFS(tbl_task8[S16],tbl_task8[[SubPLOs]:[SubPLOs]],"&gt;=5",tbl_task8[[SubPLOs]:[SubPLOs]],"&lt;6")+SUMIFS(tbl_task9[S16],tbl_task9[[SubPLOs]:[SubPLOs]],"&gt;=5",tbl_task9[[SubPLOs]:[SubPLOs]],"&lt;6")+SUMIFS(tbl_task10[S16],tbl_task10[[SubPLOs]:[SubPLOs]],"&gt;=5",tbl_task10[[SubPLOs]:[SubPLOs]],"&lt;6")</f>
        <v>0</v>
      </c>
      <c r="V184" s="41">
        <f>SUMIFS(tbl_task1[S17],tbl_task1[[SubPLOs]:[SubPLOs]],"&gt;=5",tbl_task1[[SubPLOs]:[SubPLOs]],"&lt;6")+SUMIFS(tbl_task2[S17],tbl_task2[[SubPLOs]:[SubPLOs]],"&gt;=5",tbl_task2[[SubPLOs]:[SubPLOs]],"&lt;6")+SUMIFS(tbl_task3[S17],tbl_task3[[SubPLOs]:[SubPLOs]],"&gt;=5",tbl_task3[[SubPLOs]:[SubPLOs]],"&lt;6")+SUMIFS(tbl_task4[S17],tbl_task4[[SubPLOs]:[SubPLOs]],"&gt;=5",tbl_task4[[SubPLOs]:[SubPLOs]],"&lt;6")+SUMIFS(tbl_task5[S17],tbl_task5[[SubPLOs]:[SubPLOs]],"&gt;=5",tbl_task5[[SubPLOs]:[SubPLOs]],"&lt;6")+SUMIFS(tbl_task6[S17],tbl_task6[[SubPLOs]:[SubPLOs]],"&gt;=5",tbl_task6[[SubPLOs]:[SubPLOs]],"&lt;6")+SUMIFS(tbl_task7[S17],tbl_task7[[SubPLOs]:[SubPLOs]],"&gt;=5",tbl_task7[[SubPLOs]:[SubPLOs]],"&lt;6")+SUMIFS(tbl_task8[S17],tbl_task8[[SubPLOs]:[SubPLOs]],"&gt;=5",tbl_task8[[SubPLOs]:[SubPLOs]],"&lt;6")+SUMIFS(tbl_task9[S17],tbl_task9[[SubPLOs]:[SubPLOs]],"&gt;=5",tbl_task9[[SubPLOs]:[SubPLOs]],"&lt;6")+SUMIFS(tbl_task10[S17],tbl_task10[[SubPLOs]:[SubPLOs]],"&gt;=5",tbl_task10[[SubPLOs]:[SubPLOs]],"&lt;6")</f>
        <v>0</v>
      </c>
      <c r="W184" s="41">
        <f>SUMIFS(tbl_task1[S18],tbl_task1[[SubPLOs]:[SubPLOs]],"&gt;=5",tbl_task1[[SubPLOs]:[SubPLOs]],"&lt;6")+SUMIFS(tbl_task2[S18],tbl_task2[[SubPLOs]:[SubPLOs]],"&gt;=5",tbl_task2[[SubPLOs]:[SubPLOs]],"&lt;6")+SUMIFS(tbl_task3[S18],tbl_task3[[SubPLOs]:[SubPLOs]],"&gt;=5",tbl_task3[[SubPLOs]:[SubPLOs]],"&lt;6")+SUMIFS(tbl_task4[S18],tbl_task4[[SubPLOs]:[SubPLOs]],"&gt;=5",tbl_task4[[SubPLOs]:[SubPLOs]],"&lt;6")+SUMIFS(tbl_task5[S18],tbl_task5[[SubPLOs]:[SubPLOs]],"&gt;=5",tbl_task5[[SubPLOs]:[SubPLOs]],"&lt;6")+SUMIFS(tbl_task6[S18],tbl_task6[[SubPLOs]:[SubPLOs]],"&gt;=5",tbl_task6[[SubPLOs]:[SubPLOs]],"&lt;6")+SUMIFS(tbl_task7[S18],tbl_task7[[SubPLOs]:[SubPLOs]],"&gt;=5",tbl_task7[[SubPLOs]:[SubPLOs]],"&lt;6")+SUMIFS(tbl_task8[S18],tbl_task8[[SubPLOs]:[SubPLOs]],"&gt;=5",tbl_task8[[SubPLOs]:[SubPLOs]],"&lt;6")+SUMIFS(tbl_task9[S18],tbl_task9[[SubPLOs]:[SubPLOs]],"&gt;=5",tbl_task9[[SubPLOs]:[SubPLOs]],"&lt;6")+SUMIFS(tbl_task10[S18],tbl_task10[[SubPLOs]:[SubPLOs]],"&gt;=5",tbl_task10[[SubPLOs]:[SubPLOs]],"&lt;6")</f>
        <v>0</v>
      </c>
      <c r="X184" s="41">
        <f>SUMIFS(tbl_task1[S19],tbl_task1[[SubPLOs]:[SubPLOs]],"&gt;=5",tbl_task1[[SubPLOs]:[SubPLOs]],"&lt;6")+SUMIFS(tbl_task2[S19],tbl_task2[[SubPLOs]:[SubPLOs]],"&gt;=5",tbl_task2[[SubPLOs]:[SubPLOs]],"&lt;6")+SUMIFS(tbl_task3[S19],tbl_task3[[SubPLOs]:[SubPLOs]],"&gt;=5",tbl_task3[[SubPLOs]:[SubPLOs]],"&lt;6")+SUMIFS(tbl_task4[S19],tbl_task4[[SubPLOs]:[SubPLOs]],"&gt;=5",tbl_task4[[SubPLOs]:[SubPLOs]],"&lt;6")+SUMIFS(tbl_task5[S19],tbl_task5[[SubPLOs]:[SubPLOs]],"&gt;=5",tbl_task5[[SubPLOs]:[SubPLOs]],"&lt;6")+SUMIFS(tbl_task6[S19],tbl_task6[[SubPLOs]:[SubPLOs]],"&gt;=5",tbl_task6[[SubPLOs]:[SubPLOs]],"&lt;6")+SUMIFS(tbl_task7[S19],tbl_task7[[SubPLOs]:[SubPLOs]],"&gt;=5",tbl_task7[[SubPLOs]:[SubPLOs]],"&lt;6")+SUMIFS(tbl_task8[S19],tbl_task8[[SubPLOs]:[SubPLOs]],"&gt;=5",tbl_task8[[SubPLOs]:[SubPLOs]],"&lt;6")+SUMIFS(tbl_task9[S19],tbl_task9[[SubPLOs]:[SubPLOs]],"&gt;=5",tbl_task9[[SubPLOs]:[SubPLOs]],"&lt;6")+SUMIFS(tbl_task10[S19],tbl_task10[[SubPLOs]:[SubPLOs]],"&gt;=5",tbl_task10[[SubPLOs]:[SubPLOs]],"&lt;6")</f>
        <v>0</v>
      </c>
      <c r="Y184" s="41">
        <f>SUMIFS(tbl_task1[S20],tbl_task1[[SubPLOs]:[SubPLOs]],"&gt;=5",tbl_task1[[SubPLOs]:[SubPLOs]],"&lt;6")+SUMIFS(tbl_task2[S20],tbl_task2[[SubPLOs]:[SubPLOs]],"&gt;=5",tbl_task2[[SubPLOs]:[SubPLOs]],"&lt;6")+SUMIFS(tbl_task3[S20],tbl_task3[[SubPLOs]:[SubPLOs]],"&gt;=5",tbl_task3[[SubPLOs]:[SubPLOs]],"&lt;6")+SUMIFS(tbl_task4[S20],tbl_task4[[SubPLOs]:[SubPLOs]],"&gt;=5",tbl_task4[[SubPLOs]:[SubPLOs]],"&lt;6")+SUMIFS(tbl_task5[S20],tbl_task5[[SubPLOs]:[SubPLOs]],"&gt;=5",tbl_task5[[SubPLOs]:[SubPLOs]],"&lt;6")+SUMIFS(tbl_task6[S20],tbl_task6[[SubPLOs]:[SubPLOs]],"&gt;=5",tbl_task6[[SubPLOs]:[SubPLOs]],"&lt;6")+SUMIFS(tbl_task7[S20],tbl_task7[[SubPLOs]:[SubPLOs]],"&gt;=5",tbl_task7[[SubPLOs]:[SubPLOs]],"&lt;6")+SUMIFS(tbl_task8[S20],tbl_task8[[SubPLOs]:[SubPLOs]],"&gt;=5",tbl_task8[[SubPLOs]:[SubPLOs]],"&lt;6")+SUMIFS(tbl_task9[S20],tbl_task9[[SubPLOs]:[SubPLOs]],"&gt;=5",tbl_task9[[SubPLOs]:[SubPLOs]],"&lt;6")+SUMIFS(tbl_task10[S20],tbl_task10[[SubPLOs]:[SubPLOs]],"&gt;=5",tbl_task10[[SubPLOs]:[SubPLOs]],"&lt;6")</f>
        <v>0</v>
      </c>
      <c r="Z184" s="41">
        <f>SUMIFS(tbl_task1[S21],tbl_task1[[SubPLOs]:[SubPLOs]],"&gt;=5",tbl_task1[[SubPLOs]:[SubPLOs]],"&lt;6")+SUMIFS(tbl_task2[S21],tbl_task2[[SubPLOs]:[SubPLOs]],"&gt;=5",tbl_task2[[SubPLOs]:[SubPLOs]],"&lt;6")+SUMIFS(tbl_task3[S21],tbl_task3[[SubPLOs]:[SubPLOs]],"&gt;=5",tbl_task3[[SubPLOs]:[SubPLOs]],"&lt;6")+SUMIFS(tbl_task4[S21],tbl_task4[[SubPLOs]:[SubPLOs]],"&gt;=5",tbl_task4[[SubPLOs]:[SubPLOs]],"&lt;6")+SUMIFS(tbl_task5[S21],tbl_task5[[SubPLOs]:[SubPLOs]],"&gt;=5",tbl_task5[[SubPLOs]:[SubPLOs]],"&lt;6")+SUMIFS(tbl_task6[S21],tbl_task6[[SubPLOs]:[SubPLOs]],"&gt;=5",tbl_task6[[SubPLOs]:[SubPLOs]],"&lt;6")+SUMIFS(tbl_task7[S21],tbl_task7[[SubPLOs]:[SubPLOs]],"&gt;=5",tbl_task7[[SubPLOs]:[SubPLOs]],"&lt;6")+SUMIFS(tbl_task8[S21],tbl_task8[[SubPLOs]:[SubPLOs]],"&gt;=5",tbl_task8[[SubPLOs]:[SubPLOs]],"&lt;6")+SUMIFS(tbl_task9[S21],tbl_task9[[SubPLOs]:[SubPLOs]],"&gt;=5",tbl_task9[[SubPLOs]:[SubPLOs]],"&lt;6")+SUMIFS(tbl_task10[S21],tbl_task10[[SubPLOs]:[SubPLOs]],"&gt;=5",tbl_task10[[SubPLOs]:[SubPLOs]],"&lt;6")</f>
        <v>0</v>
      </c>
      <c r="AA184" s="41">
        <f>SUMIFS(tbl_task1[S22],tbl_task1[[SubPLOs]:[SubPLOs]],"&gt;=5",tbl_task1[[SubPLOs]:[SubPLOs]],"&lt;6")+SUMIFS(tbl_task2[S22],tbl_task2[[SubPLOs]:[SubPLOs]],"&gt;=5",tbl_task2[[SubPLOs]:[SubPLOs]],"&lt;6")+SUMIFS(tbl_task3[S22],tbl_task3[[SubPLOs]:[SubPLOs]],"&gt;=5",tbl_task3[[SubPLOs]:[SubPLOs]],"&lt;6")+SUMIFS(tbl_task4[S22],tbl_task4[[SubPLOs]:[SubPLOs]],"&gt;=5",tbl_task4[[SubPLOs]:[SubPLOs]],"&lt;6")+SUMIFS(tbl_task5[S22],tbl_task5[[SubPLOs]:[SubPLOs]],"&gt;=5",tbl_task5[[SubPLOs]:[SubPLOs]],"&lt;6")+SUMIFS(tbl_task6[S22],tbl_task6[[SubPLOs]:[SubPLOs]],"&gt;=5",tbl_task6[[SubPLOs]:[SubPLOs]],"&lt;6")+SUMIFS(tbl_task7[S22],tbl_task7[[SubPLOs]:[SubPLOs]],"&gt;=5",tbl_task7[[SubPLOs]:[SubPLOs]],"&lt;6")+SUMIFS(tbl_task8[S22],tbl_task8[[SubPLOs]:[SubPLOs]],"&gt;=5",tbl_task8[[SubPLOs]:[SubPLOs]],"&lt;6")+SUMIFS(tbl_task9[S22],tbl_task9[[SubPLOs]:[SubPLOs]],"&gt;=5",tbl_task9[[SubPLOs]:[SubPLOs]],"&lt;6")+SUMIFS(tbl_task10[S22],tbl_task10[[SubPLOs]:[SubPLOs]],"&gt;=5",tbl_task10[[SubPLOs]:[SubPLOs]],"&lt;6")</f>
        <v>0</v>
      </c>
      <c r="AB184" s="41">
        <f>SUMIFS(tbl_task1[S23],tbl_task1[[SubPLOs]:[SubPLOs]],"&gt;=5",tbl_task1[[SubPLOs]:[SubPLOs]],"&lt;6")+SUMIFS(tbl_task2[S23],tbl_task2[[SubPLOs]:[SubPLOs]],"&gt;=5",tbl_task2[[SubPLOs]:[SubPLOs]],"&lt;6")+SUMIFS(tbl_task3[S23],tbl_task3[[SubPLOs]:[SubPLOs]],"&gt;=5",tbl_task3[[SubPLOs]:[SubPLOs]],"&lt;6")+SUMIFS(tbl_task4[S23],tbl_task4[[SubPLOs]:[SubPLOs]],"&gt;=5",tbl_task4[[SubPLOs]:[SubPLOs]],"&lt;6")+SUMIFS(tbl_task5[S23],tbl_task5[[SubPLOs]:[SubPLOs]],"&gt;=5",tbl_task5[[SubPLOs]:[SubPLOs]],"&lt;6")+SUMIFS(tbl_task6[S23],tbl_task6[[SubPLOs]:[SubPLOs]],"&gt;=5",tbl_task6[[SubPLOs]:[SubPLOs]],"&lt;6")+SUMIFS(tbl_task7[S23],tbl_task7[[SubPLOs]:[SubPLOs]],"&gt;=5",tbl_task7[[SubPLOs]:[SubPLOs]],"&lt;6")+SUMIFS(tbl_task8[S23],tbl_task8[[SubPLOs]:[SubPLOs]],"&gt;=5",tbl_task8[[SubPLOs]:[SubPLOs]],"&lt;6")+SUMIFS(tbl_task9[S23],tbl_task9[[SubPLOs]:[SubPLOs]],"&gt;=5",tbl_task9[[SubPLOs]:[SubPLOs]],"&lt;6")+SUMIFS(tbl_task10[S23],tbl_task10[[SubPLOs]:[SubPLOs]],"&gt;=5",tbl_task10[[SubPLOs]:[SubPLOs]],"&lt;6")</f>
        <v>0</v>
      </c>
      <c r="AC184" s="41">
        <f>SUMIFS(tbl_task1[S24],tbl_task1[[SubPLOs]:[SubPLOs]],"&gt;=5",tbl_task1[[SubPLOs]:[SubPLOs]],"&lt;6")+SUMIFS(tbl_task2[S24],tbl_task2[[SubPLOs]:[SubPLOs]],"&gt;=5",tbl_task2[[SubPLOs]:[SubPLOs]],"&lt;6")+SUMIFS(tbl_task3[S24],tbl_task3[[SubPLOs]:[SubPLOs]],"&gt;=5",tbl_task3[[SubPLOs]:[SubPLOs]],"&lt;6")+SUMIFS(tbl_task4[S24],tbl_task4[[SubPLOs]:[SubPLOs]],"&gt;=5",tbl_task4[[SubPLOs]:[SubPLOs]],"&lt;6")+SUMIFS(tbl_task5[S24],tbl_task5[[SubPLOs]:[SubPLOs]],"&gt;=5",tbl_task5[[SubPLOs]:[SubPLOs]],"&lt;6")+SUMIFS(tbl_task6[S24],tbl_task6[[SubPLOs]:[SubPLOs]],"&gt;=5",tbl_task6[[SubPLOs]:[SubPLOs]],"&lt;6")+SUMIFS(tbl_task7[S24],tbl_task7[[SubPLOs]:[SubPLOs]],"&gt;=5",tbl_task7[[SubPLOs]:[SubPLOs]],"&lt;6")+SUMIFS(tbl_task8[S24],tbl_task8[[SubPLOs]:[SubPLOs]],"&gt;=5",tbl_task8[[SubPLOs]:[SubPLOs]],"&lt;6")+SUMIFS(tbl_task9[S24],tbl_task9[[SubPLOs]:[SubPLOs]],"&gt;=5",tbl_task9[[SubPLOs]:[SubPLOs]],"&lt;6")+SUMIFS(tbl_task10[S24],tbl_task10[[SubPLOs]:[SubPLOs]],"&gt;=5",tbl_task10[[SubPLOs]:[SubPLOs]],"&lt;6")</f>
        <v>0</v>
      </c>
      <c r="AD184" s="41">
        <f>SUMIFS(tbl_task1[S25],tbl_task1[[SubPLOs]:[SubPLOs]],"&gt;=5",tbl_task1[[SubPLOs]:[SubPLOs]],"&lt;6")+SUMIFS(tbl_task2[S25],tbl_task2[[SubPLOs]:[SubPLOs]],"&gt;=5",tbl_task2[[SubPLOs]:[SubPLOs]],"&lt;6")+SUMIFS(tbl_task3[S25],tbl_task3[[SubPLOs]:[SubPLOs]],"&gt;=5",tbl_task3[[SubPLOs]:[SubPLOs]],"&lt;6")+SUMIFS(tbl_task4[S25],tbl_task4[[SubPLOs]:[SubPLOs]],"&gt;=5",tbl_task4[[SubPLOs]:[SubPLOs]],"&lt;6")+SUMIFS(tbl_task5[S25],tbl_task5[[SubPLOs]:[SubPLOs]],"&gt;=5",tbl_task5[[SubPLOs]:[SubPLOs]],"&lt;6")+SUMIFS(tbl_task6[S25],tbl_task6[[SubPLOs]:[SubPLOs]],"&gt;=5",tbl_task6[[SubPLOs]:[SubPLOs]],"&lt;6")+SUMIFS(tbl_task7[S25],tbl_task7[[SubPLOs]:[SubPLOs]],"&gt;=5",tbl_task7[[SubPLOs]:[SubPLOs]],"&lt;6")+SUMIFS(tbl_task8[S25],tbl_task8[[SubPLOs]:[SubPLOs]],"&gt;=5",tbl_task8[[SubPLOs]:[SubPLOs]],"&lt;6")+SUMIFS(tbl_task9[S25],tbl_task9[[SubPLOs]:[SubPLOs]],"&gt;=5",tbl_task9[[SubPLOs]:[SubPLOs]],"&lt;6")+SUMIFS(tbl_task10[S25],tbl_task10[[SubPLOs]:[SubPLOs]],"&gt;=5",tbl_task10[[SubPLOs]:[SubPLOs]],"&lt;6")</f>
        <v>0</v>
      </c>
      <c r="AE184" s="41">
        <f>SUMIFS(tbl_task1[S26],tbl_task1[[SubPLOs]:[SubPLOs]],"&gt;=5",tbl_task1[[SubPLOs]:[SubPLOs]],"&lt;6")+SUMIFS(tbl_task2[S26],tbl_task2[[SubPLOs]:[SubPLOs]],"&gt;=5",tbl_task2[[SubPLOs]:[SubPLOs]],"&lt;6")+SUMIFS(tbl_task3[S26],tbl_task3[[SubPLOs]:[SubPLOs]],"&gt;=5",tbl_task3[[SubPLOs]:[SubPLOs]],"&lt;6")+SUMIFS(tbl_task4[S26],tbl_task4[[SubPLOs]:[SubPLOs]],"&gt;=5",tbl_task4[[SubPLOs]:[SubPLOs]],"&lt;6")+SUMIFS(tbl_task5[S26],tbl_task5[[SubPLOs]:[SubPLOs]],"&gt;=5",tbl_task5[[SubPLOs]:[SubPLOs]],"&lt;6")+SUMIFS(tbl_task6[S26],tbl_task6[[SubPLOs]:[SubPLOs]],"&gt;=5",tbl_task6[[SubPLOs]:[SubPLOs]],"&lt;6")+SUMIFS(tbl_task7[S26],tbl_task7[[SubPLOs]:[SubPLOs]],"&gt;=5",tbl_task7[[SubPLOs]:[SubPLOs]],"&lt;6")+SUMIFS(tbl_task8[S26],tbl_task8[[SubPLOs]:[SubPLOs]],"&gt;=5",tbl_task8[[SubPLOs]:[SubPLOs]],"&lt;6")+SUMIFS(tbl_task9[S26],tbl_task9[[SubPLOs]:[SubPLOs]],"&gt;=5",tbl_task9[[SubPLOs]:[SubPLOs]],"&lt;6")+SUMIFS(tbl_task10[S26],tbl_task10[[SubPLOs]:[SubPLOs]],"&gt;=5",tbl_task10[[SubPLOs]:[SubPLOs]],"&lt;6")</f>
        <v>0</v>
      </c>
      <c r="AF184" s="41">
        <f>SUMIFS(tbl_task1[S27],tbl_task1[[SubPLOs]:[SubPLOs]],"&gt;=5",tbl_task1[[SubPLOs]:[SubPLOs]],"&lt;6")+SUMIFS(tbl_task2[S27],tbl_task2[[SubPLOs]:[SubPLOs]],"&gt;=5",tbl_task2[[SubPLOs]:[SubPLOs]],"&lt;6")+SUMIFS(tbl_task3[S27],tbl_task3[[SubPLOs]:[SubPLOs]],"&gt;=5",tbl_task3[[SubPLOs]:[SubPLOs]],"&lt;6")+SUMIFS(tbl_task4[S27],tbl_task4[[SubPLOs]:[SubPLOs]],"&gt;=5",tbl_task4[[SubPLOs]:[SubPLOs]],"&lt;6")+SUMIFS(tbl_task5[S27],tbl_task5[[SubPLOs]:[SubPLOs]],"&gt;=5",tbl_task5[[SubPLOs]:[SubPLOs]],"&lt;6")+SUMIFS(tbl_task6[S27],tbl_task6[[SubPLOs]:[SubPLOs]],"&gt;=5",tbl_task6[[SubPLOs]:[SubPLOs]],"&lt;6")+SUMIFS(tbl_task7[S27],tbl_task7[[SubPLOs]:[SubPLOs]],"&gt;=5",tbl_task7[[SubPLOs]:[SubPLOs]],"&lt;6")+SUMIFS(tbl_task8[S27],tbl_task8[[SubPLOs]:[SubPLOs]],"&gt;=5",tbl_task8[[SubPLOs]:[SubPLOs]],"&lt;6")+SUMIFS(tbl_task9[S27],tbl_task9[[SubPLOs]:[SubPLOs]],"&gt;=5",tbl_task9[[SubPLOs]:[SubPLOs]],"&lt;6")+SUMIFS(tbl_task10[S27],tbl_task10[[SubPLOs]:[SubPLOs]],"&gt;=5",tbl_task10[[SubPLOs]:[SubPLOs]],"&lt;6")</f>
        <v>0</v>
      </c>
      <c r="AG184" s="41">
        <f>SUMIFS(tbl_task1[S28],tbl_task1[[SubPLOs]:[SubPLOs]],"&gt;=5",tbl_task1[[SubPLOs]:[SubPLOs]],"&lt;6")+SUMIFS(tbl_task2[S28],tbl_task2[[SubPLOs]:[SubPLOs]],"&gt;=5",tbl_task2[[SubPLOs]:[SubPLOs]],"&lt;6")+SUMIFS(tbl_task3[S28],tbl_task3[[SubPLOs]:[SubPLOs]],"&gt;=5",tbl_task3[[SubPLOs]:[SubPLOs]],"&lt;6")+SUMIFS(tbl_task4[S28],tbl_task4[[SubPLOs]:[SubPLOs]],"&gt;=5",tbl_task4[[SubPLOs]:[SubPLOs]],"&lt;6")+SUMIFS(tbl_task5[S28],tbl_task5[[SubPLOs]:[SubPLOs]],"&gt;=5",tbl_task5[[SubPLOs]:[SubPLOs]],"&lt;6")+SUMIFS(tbl_task6[S28],tbl_task6[[SubPLOs]:[SubPLOs]],"&gt;=5",tbl_task6[[SubPLOs]:[SubPLOs]],"&lt;6")+SUMIFS(tbl_task7[S28],tbl_task7[[SubPLOs]:[SubPLOs]],"&gt;=5",tbl_task7[[SubPLOs]:[SubPLOs]],"&lt;6")+SUMIFS(tbl_task8[S28],tbl_task8[[SubPLOs]:[SubPLOs]],"&gt;=5",tbl_task8[[SubPLOs]:[SubPLOs]],"&lt;6")+SUMIFS(tbl_task9[S28],tbl_task9[[SubPLOs]:[SubPLOs]],"&gt;=5",tbl_task9[[SubPLOs]:[SubPLOs]],"&lt;6")+SUMIFS(tbl_task10[S28],tbl_task10[[SubPLOs]:[SubPLOs]],"&gt;=5",tbl_task10[[SubPLOs]:[SubPLOs]],"&lt;6")</f>
        <v>0</v>
      </c>
      <c r="AH184" s="41">
        <f>SUMIFS(tbl_task1[S29],tbl_task1[[SubPLOs]:[SubPLOs]],"&gt;=5",tbl_task1[[SubPLOs]:[SubPLOs]],"&lt;6")+SUMIFS(tbl_task2[S29],tbl_task2[[SubPLOs]:[SubPLOs]],"&gt;=5",tbl_task2[[SubPLOs]:[SubPLOs]],"&lt;6")+SUMIFS(tbl_task3[S29],tbl_task3[[SubPLOs]:[SubPLOs]],"&gt;=5",tbl_task3[[SubPLOs]:[SubPLOs]],"&lt;6")+SUMIFS(tbl_task4[S29],tbl_task4[[SubPLOs]:[SubPLOs]],"&gt;=5",tbl_task4[[SubPLOs]:[SubPLOs]],"&lt;6")+SUMIFS(tbl_task5[S29],tbl_task5[[SubPLOs]:[SubPLOs]],"&gt;=5",tbl_task5[[SubPLOs]:[SubPLOs]],"&lt;6")+SUMIFS(tbl_task6[S29],tbl_task6[[SubPLOs]:[SubPLOs]],"&gt;=5",tbl_task6[[SubPLOs]:[SubPLOs]],"&lt;6")+SUMIFS(tbl_task7[S29],tbl_task7[[SubPLOs]:[SubPLOs]],"&gt;=5",tbl_task7[[SubPLOs]:[SubPLOs]],"&lt;6")+SUMIFS(tbl_task8[S29],tbl_task8[[SubPLOs]:[SubPLOs]],"&gt;=5",tbl_task8[[SubPLOs]:[SubPLOs]],"&lt;6")+SUMIFS(tbl_task9[S29],tbl_task9[[SubPLOs]:[SubPLOs]],"&gt;=5",tbl_task9[[SubPLOs]:[SubPLOs]],"&lt;6")+SUMIFS(tbl_task10[S29],tbl_task10[[SubPLOs]:[SubPLOs]],"&gt;=5",tbl_task10[[SubPLOs]:[SubPLOs]],"&lt;6")</f>
        <v>0</v>
      </c>
      <c r="AI184" s="41">
        <f>SUMIFS(tbl_task1[S30],tbl_task1[[SubPLOs]:[SubPLOs]],"&gt;=5",tbl_task1[[SubPLOs]:[SubPLOs]],"&lt;6")+SUMIFS(tbl_task2[S30],tbl_task2[[SubPLOs]:[SubPLOs]],"&gt;=5",tbl_task2[[SubPLOs]:[SubPLOs]],"&lt;6")+SUMIFS(tbl_task3[S30],tbl_task3[[SubPLOs]:[SubPLOs]],"&gt;=5",tbl_task3[[SubPLOs]:[SubPLOs]],"&lt;6")+SUMIFS(tbl_task4[S30],tbl_task4[[SubPLOs]:[SubPLOs]],"&gt;=5",tbl_task4[[SubPLOs]:[SubPLOs]],"&lt;6")+SUMIFS(tbl_task5[S30],tbl_task5[[SubPLOs]:[SubPLOs]],"&gt;=5",tbl_task5[[SubPLOs]:[SubPLOs]],"&lt;6")+SUMIFS(tbl_task6[S30],tbl_task6[[SubPLOs]:[SubPLOs]],"&gt;=5",tbl_task6[[SubPLOs]:[SubPLOs]],"&lt;6")+SUMIFS(tbl_task7[S30],tbl_task7[[SubPLOs]:[SubPLOs]],"&gt;=5",tbl_task7[[SubPLOs]:[SubPLOs]],"&lt;6")+SUMIFS(tbl_task8[S30],tbl_task8[[SubPLOs]:[SubPLOs]],"&gt;=5",tbl_task8[[SubPLOs]:[SubPLOs]],"&lt;6")+SUMIFS(tbl_task9[S30],tbl_task9[[SubPLOs]:[SubPLOs]],"&gt;=5",tbl_task9[[SubPLOs]:[SubPLOs]],"&lt;6")+SUMIFS(tbl_task10[S30],tbl_task10[[SubPLOs]:[SubPLOs]],"&gt;=5",tbl_task10[[SubPLOs]:[SubPLOs]],"&lt;6")</f>
        <v>0</v>
      </c>
      <c r="AJ184" s="41">
        <f>SUMIFS(tbl_task1[S31],tbl_task1[[SubPLOs]:[SubPLOs]],"&gt;=5",tbl_task1[[SubPLOs]:[SubPLOs]],"&lt;6")+SUMIFS(tbl_task2[S31],tbl_task2[[SubPLOs]:[SubPLOs]],"&gt;=5",tbl_task2[[SubPLOs]:[SubPLOs]],"&lt;6")+SUMIFS(tbl_task3[S31],tbl_task3[[SubPLOs]:[SubPLOs]],"&gt;=5",tbl_task3[[SubPLOs]:[SubPLOs]],"&lt;6")+SUMIFS(tbl_task4[S31],tbl_task4[[SubPLOs]:[SubPLOs]],"&gt;=5",tbl_task4[[SubPLOs]:[SubPLOs]],"&lt;6")+SUMIFS(tbl_task5[S31],tbl_task5[[SubPLOs]:[SubPLOs]],"&gt;=5",tbl_task5[[SubPLOs]:[SubPLOs]],"&lt;6")+SUMIFS(tbl_task6[S31],tbl_task6[[SubPLOs]:[SubPLOs]],"&gt;=5",tbl_task6[[SubPLOs]:[SubPLOs]],"&lt;6")+SUMIFS(tbl_task7[S31],tbl_task7[[SubPLOs]:[SubPLOs]],"&gt;=5",tbl_task7[[SubPLOs]:[SubPLOs]],"&lt;6")+SUMIFS(tbl_task8[S31],tbl_task8[[SubPLOs]:[SubPLOs]],"&gt;=5",tbl_task8[[SubPLOs]:[SubPLOs]],"&lt;6")+SUMIFS(tbl_task9[S31],tbl_task9[[SubPLOs]:[SubPLOs]],"&gt;=5",tbl_task9[[SubPLOs]:[SubPLOs]],"&lt;6")+SUMIFS(tbl_task10[S31],tbl_task10[[SubPLOs]:[SubPLOs]],"&gt;=5",tbl_task10[[SubPLOs]:[SubPLOs]],"&lt;6")</f>
        <v>0</v>
      </c>
      <c r="AK184" s="41">
        <f>SUMIFS(tbl_task1[S32],tbl_task1[[SubPLOs]:[SubPLOs]],"&gt;=5",tbl_task1[[SubPLOs]:[SubPLOs]],"&lt;6")+SUMIFS(tbl_task2[S32],tbl_task2[[SubPLOs]:[SubPLOs]],"&gt;=5",tbl_task2[[SubPLOs]:[SubPLOs]],"&lt;6")+SUMIFS(tbl_task3[S32],tbl_task3[[SubPLOs]:[SubPLOs]],"&gt;=5",tbl_task3[[SubPLOs]:[SubPLOs]],"&lt;6")+SUMIFS(tbl_task4[S32],tbl_task4[[SubPLOs]:[SubPLOs]],"&gt;=5",tbl_task4[[SubPLOs]:[SubPLOs]],"&lt;6")+SUMIFS(tbl_task5[S32],tbl_task5[[SubPLOs]:[SubPLOs]],"&gt;=5",tbl_task5[[SubPLOs]:[SubPLOs]],"&lt;6")+SUMIFS(tbl_task6[S32],tbl_task6[[SubPLOs]:[SubPLOs]],"&gt;=5",tbl_task6[[SubPLOs]:[SubPLOs]],"&lt;6")+SUMIFS(tbl_task7[S32],tbl_task7[[SubPLOs]:[SubPLOs]],"&gt;=5",tbl_task7[[SubPLOs]:[SubPLOs]],"&lt;6")+SUMIFS(tbl_task8[S32],tbl_task8[[SubPLOs]:[SubPLOs]],"&gt;=5",tbl_task8[[SubPLOs]:[SubPLOs]],"&lt;6")+SUMIFS(tbl_task9[S32],tbl_task9[[SubPLOs]:[SubPLOs]],"&gt;=5",tbl_task9[[SubPLOs]:[SubPLOs]],"&lt;6")+SUMIFS(tbl_task10[S32],tbl_task10[[SubPLOs]:[SubPLOs]],"&gt;=5",tbl_task10[[SubPLOs]:[SubPLOs]],"&lt;6")</f>
        <v>0</v>
      </c>
      <c r="AL184" s="41">
        <f>SUMIFS(tbl_task1[S33],tbl_task1[[SubPLOs]:[SubPLOs]],"&gt;=5",tbl_task1[[SubPLOs]:[SubPLOs]],"&lt;6")+SUMIFS(tbl_task2[S33],tbl_task2[[SubPLOs]:[SubPLOs]],"&gt;=5",tbl_task2[[SubPLOs]:[SubPLOs]],"&lt;6")+SUMIFS(tbl_task3[S33],tbl_task3[[SubPLOs]:[SubPLOs]],"&gt;=5",tbl_task3[[SubPLOs]:[SubPLOs]],"&lt;6")+SUMIFS(tbl_task4[S33],tbl_task4[[SubPLOs]:[SubPLOs]],"&gt;=5",tbl_task4[[SubPLOs]:[SubPLOs]],"&lt;6")+SUMIFS(tbl_task5[S33],tbl_task5[[SubPLOs]:[SubPLOs]],"&gt;=5",tbl_task5[[SubPLOs]:[SubPLOs]],"&lt;6")+SUMIFS(tbl_task6[S33],tbl_task6[[SubPLOs]:[SubPLOs]],"&gt;=5",tbl_task6[[SubPLOs]:[SubPLOs]],"&lt;6")+SUMIFS(tbl_task7[S33],tbl_task7[[SubPLOs]:[SubPLOs]],"&gt;=5",tbl_task7[[SubPLOs]:[SubPLOs]],"&lt;6")+SUMIFS(tbl_task8[S33],tbl_task8[[SubPLOs]:[SubPLOs]],"&gt;=5",tbl_task8[[SubPLOs]:[SubPLOs]],"&lt;6")+SUMIFS(tbl_task9[S33],tbl_task9[[SubPLOs]:[SubPLOs]],"&gt;=5",tbl_task9[[SubPLOs]:[SubPLOs]],"&lt;6")+SUMIFS(tbl_task10[S33],tbl_task10[[SubPLOs]:[SubPLOs]],"&gt;=5",tbl_task10[[SubPLOs]:[SubPLOs]],"&lt;6")</f>
        <v>0</v>
      </c>
      <c r="AM184" s="41">
        <f>SUMIFS(tbl_task1[S34],tbl_task1[[SubPLOs]:[SubPLOs]],"&gt;=5",tbl_task1[[SubPLOs]:[SubPLOs]],"&lt;6")+SUMIFS(tbl_task2[S34],tbl_task2[[SubPLOs]:[SubPLOs]],"&gt;=5",tbl_task2[[SubPLOs]:[SubPLOs]],"&lt;6")+SUMIFS(tbl_task3[S34],tbl_task3[[SubPLOs]:[SubPLOs]],"&gt;=5",tbl_task3[[SubPLOs]:[SubPLOs]],"&lt;6")+SUMIFS(tbl_task4[S34],tbl_task4[[SubPLOs]:[SubPLOs]],"&gt;=5",tbl_task4[[SubPLOs]:[SubPLOs]],"&lt;6")+SUMIFS(tbl_task5[S34],tbl_task5[[SubPLOs]:[SubPLOs]],"&gt;=5",tbl_task5[[SubPLOs]:[SubPLOs]],"&lt;6")+SUMIFS(tbl_task6[S34],tbl_task6[[SubPLOs]:[SubPLOs]],"&gt;=5",tbl_task6[[SubPLOs]:[SubPLOs]],"&lt;6")+SUMIFS(tbl_task7[S34],tbl_task7[[SubPLOs]:[SubPLOs]],"&gt;=5",tbl_task7[[SubPLOs]:[SubPLOs]],"&lt;6")+SUMIFS(tbl_task8[S34],tbl_task8[[SubPLOs]:[SubPLOs]],"&gt;=5",tbl_task8[[SubPLOs]:[SubPLOs]],"&lt;6")+SUMIFS(tbl_task9[S34],tbl_task9[[SubPLOs]:[SubPLOs]],"&gt;=5",tbl_task9[[SubPLOs]:[SubPLOs]],"&lt;6")+SUMIFS(tbl_task10[S34],tbl_task10[[SubPLOs]:[SubPLOs]],"&gt;=5",tbl_task10[[SubPLOs]:[SubPLOs]],"&lt;6")</f>
        <v>0</v>
      </c>
      <c r="AN184" s="41">
        <f>SUMIFS(tbl_task1[S35],tbl_task1[[SubPLOs]:[SubPLOs]],"&gt;=5",tbl_task1[[SubPLOs]:[SubPLOs]],"&lt;6")+SUMIFS(tbl_task2[S35],tbl_task2[[SubPLOs]:[SubPLOs]],"&gt;=5",tbl_task2[[SubPLOs]:[SubPLOs]],"&lt;6")+SUMIFS(tbl_task3[S35],tbl_task3[[SubPLOs]:[SubPLOs]],"&gt;=5",tbl_task3[[SubPLOs]:[SubPLOs]],"&lt;6")+SUMIFS(tbl_task4[S35],tbl_task4[[SubPLOs]:[SubPLOs]],"&gt;=5",tbl_task4[[SubPLOs]:[SubPLOs]],"&lt;6")+SUMIFS(tbl_task5[S35],tbl_task5[[SubPLOs]:[SubPLOs]],"&gt;=5",tbl_task5[[SubPLOs]:[SubPLOs]],"&lt;6")+SUMIFS(tbl_task6[S35],tbl_task6[[SubPLOs]:[SubPLOs]],"&gt;=5",tbl_task6[[SubPLOs]:[SubPLOs]],"&lt;6")+SUMIFS(tbl_task7[S35],tbl_task7[[SubPLOs]:[SubPLOs]],"&gt;=5",tbl_task7[[SubPLOs]:[SubPLOs]],"&lt;6")+SUMIFS(tbl_task8[S35],tbl_task8[[SubPLOs]:[SubPLOs]],"&gt;=5",tbl_task8[[SubPLOs]:[SubPLOs]],"&lt;6")+SUMIFS(tbl_task9[S35],tbl_task9[[SubPLOs]:[SubPLOs]],"&gt;=5",tbl_task9[[SubPLOs]:[SubPLOs]],"&lt;6")+SUMIFS(tbl_task10[S35],tbl_task10[[SubPLOs]:[SubPLOs]],"&gt;=5",tbl_task10[[SubPLOs]:[SubPLOs]],"&lt;6")</f>
        <v>0</v>
      </c>
      <c r="AO184" s="41">
        <f>SUMIFS(tbl_task1[S36],tbl_task1[[SubPLOs]:[SubPLOs]],"&gt;=5",tbl_task1[[SubPLOs]:[SubPLOs]],"&lt;6")+SUMIFS(tbl_task2[S36],tbl_task2[[SubPLOs]:[SubPLOs]],"&gt;=5",tbl_task2[[SubPLOs]:[SubPLOs]],"&lt;6")+SUMIFS(tbl_task3[S36],tbl_task3[[SubPLOs]:[SubPLOs]],"&gt;=5",tbl_task3[[SubPLOs]:[SubPLOs]],"&lt;6")+SUMIFS(tbl_task4[S36],tbl_task4[[SubPLOs]:[SubPLOs]],"&gt;=5",tbl_task4[[SubPLOs]:[SubPLOs]],"&lt;6")+SUMIFS(tbl_task5[S36],tbl_task5[[SubPLOs]:[SubPLOs]],"&gt;=5",tbl_task5[[SubPLOs]:[SubPLOs]],"&lt;6")+SUMIFS(tbl_task6[S36],tbl_task6[[SubPLOs]:[SubPLOs]],"&gt;=5",tbl_task6[[SubPLOs]:[SubPLOs]],"&lt;6")+SUMIFS(tbl_task7[S36],tbl_task7[[SubPLOs]:[SubPLOs]],"&gt;=5",tbl_task7[[SubPLOs]:[SubPLOs]],"&lt;6")+SUMIFS(tbl_task8[S36],tbl_task8[[SubPLOs]:[SubPLOs]],"&gt;=5",tbl_task8[[SubPLOs]:[SubPLOs]],"&lt;6")+SUMIFS(tbl_task9[S36],tbl_task9[[SubPLOs]:[SubPLOs]],"&gt;=5",tbl_task9[[SubPLOs]:[SubPLOs]],"&lt;6")+SUMIFS(tbl_task10[S36],tbl_task10[[SubPLOs]:[SubPLOs]],"&gt;=5",tbl_task10[[SubPLOs]:[SubPLOs]],"&lt;6")</f>
        <v>0</v>
      </c>
      <c r="AP184" s="41">
        <f>SUMIFS(tbl_task1[S37],tbl_task1[[SubPLOs]:[SubPLOs]],"&gt;=5",tbl_task1[[SubPLOs]:[SubPLOs]],"&lt;6")+SUMIFS(tbl_task2[S37],tbl_task2[[SubPLOs]:[SubPLOs]],"&gt;=5",tbl_task2[[SubPLOs]:[SubPLOs]],"&lt;6")+SUMIFS(tbl_task3[S37],tbl_task3[[SubPLOs]:[SubPLOs]],"&gt;=5",tbl_task3[[SubPLOs]:[SubPLOs]],"&lt;6")+SUMIFS(tbl_task4[S37],tbl_task4[[SubPLOs]:[SubPLOs]],"&gt;=5",tbl_task4[[SubPLOs]:[SubPLOs]],"&lt;6")+SUMIFS(tbl_task5[S37],tbl_task5[[SubPLOs]:[SubPLOs]],"&gt;=5",tbl_task5[[SubPLOs]:[SubPLOs]],"&lt;6")+SUMIFS(tbl_task6[S37],tbl_task6[[SubPLOs]:[SubPLOs]],"&gt;=5",tbl_task6[[SubPLOs]:[SubPLOs]],"&lt;6")+SUMIFS(tbl_task7[S37],tbl_task7[[SubPLOs]:[SubPLOs]],"&gt;=5",tbl_task7[[SubPLOs]:[SubPLOs]],"&lt;6")+SUMIFS(tbl_task8[S37],tbl_task8[[SubPLOs]:[SubPLOs]],"&gt;=5",tbl_task8[[SubPLOs]:[SubPLOs]],"&lt;6")+SUMIFS(tbl_task9[S37],tbl_task9[[SubPLOs]:[SubPLOs]],"&gt;=5",tbl_task9[[SubPLOs]:[SubPLOs]],"&lt;6")+SUMIFS(tbl_task10[S37],tbl_task10[[SubPLOs]:[SubPLOs]],"&gt;=5",tbl_task10[[SubPLOs]:[SubPLOs]],"&lt;6")</f>
        <v>0</v>
      </c>
      <c r="AQ184" s="41">
        <f>SUMIFS(tbl_task1[S38],tbl_task1[[SubPLOs]:[SubPLOs]],"&gt;=5",tbl_task1[[SubPLOs]:[SubPLOs]],"&lt;6")+SUMIFS(tbl_task2[S38],tbl_task2[[SubPLOs]:[SubPLOs]],"&gt;=5",tbl_task2[[SubPLOs]:[SubPLOs]],"&lt;6")+SUMIFS(tbl_task3[S38],tbl_task3[[SubPLOs]:[SubPLOs]],"&gt;=5",tbl_task3[[SubPLOs]:[SubPLOs]],"&lt;6")+SUMIFS(tbl_task4[S38],tbl_task4[[SubPLOs]:[SubPLOs]],"&gt;=5",tbl_task4[[SubPLOs]:[SubPLOs]],"&lt;6")+SUMIFS(tbl_task5[S38],tbl_task5[[SubPLOs]:[SubPLOs]],"&gt;=5",tbl_task5[[SubPLOs]:[SubPLOs]],"&lt;6")+SUMIFS(tbl_task6[S38],tbl_task6[[SubPLOs]:[SubPLOs]],"&gt;=5",tbl_task6[[SubPLOs]:[SubPLOs]],"&lt;6")+SUMIFS(tbl_task7[S38],tbl_task7[[SubPLOs]:[SubPLOs]],"&gt;=5",tbl_task7[[SubPLOs]:[SubPLOs]],"&lt;6")+SUMIFS(tbl_task8[S38],tbl_task8[[SubPLOs]:[SubPLOs]],"&gt;=5",tbl_task8[[SubPLOs]:[SubPLOs]],"&lt;6")+SUMIFS(tbl_task9[S38],tbl_task9[[SubPLOs]:[SubPLOs]],"&gt;=5",tbl_task9[[SubPLOs]:[SubPLOs]],"&lt;6")+SUMIFS(tbl_task10[S38],tbl_task10[[SubPLOs]:[SubPLOs]],"&gt;=5",tbl_task10[[SubPLOs]:[SubPLOs]],"&lt;6")</f>
        <v>0</v>
      </c>
      <c r="AR184" s="41">
        <f>SUMIFS(tbl_task1[S39],tbl_task1[[SubPLOs]:[SubPLOs]],"&gt;=5",tbl_task1[[SubPLOs]:[SubPLOs]],"&lt;6")+SUMIFS(tbl_task2[S39],tbl_task2[[SubPLOs]:[SubPLOs]],"&gt;=5",tbl_task2[[SubPLOs]:[SubPLOs]],"&lt;6")+SUMIFS(tbl_task3[S39],tbl_task3[[SubPLOs]:[SubPLOs]],"&gt;=5",tbl_task3[[SubPLOs]:[SubPLOs]],"&lt;6")+SUMIFS(tbl_task4[S39],tbl_task4[[SubPLOs]:[SubPLOs]],"&gt;=5",tbl_task4[[SubPLOs]:[SubPLOs]],"&lt;6")+SUMIFS(tbl_task5[S39],tbl_task5[[SubPLOs]:[SubPLOs]],"&gt;=5",tbl_task5[[SubPLOs]:[SubPLOs]],"&lt;6")+SUMIFS(tbl_task6[S39],tbl_task6[[SubPLOs]:[SubPLOs]],"&gt;=5",tbl_task6[[SubPLOs]:[SubPLOs]],"&lt;6")+SUMIFS(tbl_task7[S39],tbl_task7[[SubPLOs]:[SubPLOs]],"&gt;=5",tbl_task7[[SubPLOs]:[SubPLOs]],"&lt;6")+SUMIFS(tbl_task8[S39],tbl_task8[[SubPLOs]:[SubPLOs]],"&gt;=5",tbl_task8[[SubPLOs]:[SubPLOs]],"&lt;6")+SUMIFS(tbl_task9[S39],tbl_task9[[SubPLOs]:[SubPLOs]],"&gt;=5",tbl_task9[[SubPLOs]:[SubPLOs]],"&lt;6")+SUMIFS(tbl_task10[S39],tbl_task10[[SubPLOs]:[SubPLOs]],"&gt;=5",tbl_task10[[SubPLOs]:[SubPLOs]],"&lt;6")</f>
        <v>0</v>
      </c>
      <c r="AS184" s="41">
        <f>SUMIFS(tbl_task1[S40],tbl_task1[[SubPLOs]:[SubPLOs]],"&gt;=5",tbl_task1[[SubPLOs]:[SubPLOs]],"&lt;6")+SUMIFS(tbl_task2[S40],tbl_task2[[SubPLOs]:[SubPLOs]],"&gt;=5",tbl_task2[[SubPLOs]:[SubPLOs]],"&lt;6")+SUMIFS(tbl_task3[S40],tbl_task3[[SubPLOs]:[SubPLOs]],"&gt;=5",tbl_task3[[SubPLOs]:[SubPLOs]],"&lt;6")+SUMIFS(tbl_task4[S40],tbl_task4[[SubPLOs]:[SubPLOs]],"&gt;=5",tbl_task4[[SubPLOs]:[SubPLOs]],"&lt;6")+SUMIFS(tbl_task5[S40],tbl_task5[[SubPLOs]:[SubPLOs]],"&gt;=5",tbl_task5[[SubPLOs]:[SubPLOs]],"&lt;6")+SUMIFS(tbl_task6[S40],tbl_task6[[SubPLOs]:[SubPLOs]],"&gt;=5",tbl_task6[[SubPLOs]:[SubPLOs]],"&lt;6")+SUMIFS(tbl_task7[S40],tbl_task7[[SubPLOs]:[SubPLOs]],"&gt;=5",tbl_task7[[SubPLOs]:[SubPLOs]],"&lt;6")+SUMIFS(tbl_task8[S40],tbl_task8[[SubPLOs]:[SubPLOs]],"&gt;=5",tbl_task8[[SubPLOs]:[SubPLOs]],"&lt;6")+SUMIFS(tbl_task9[S40],tbl_task9[[SubPLOs]:[SubPLOs]],"&gt;=5",tbl_task9[[SubPLOs]:[SubPLOs]],"&lt;6")+SUMIFS(tbl_task10[S40],tbl_task10[[SubPLOs]:[SubPLOs]],"&gt;=5",tbl_task10[[SubPLOs]:[SubPLOs]],"&lt;6")</f>
        <v>0</v>
      </c>
      <c r="AT184" s="41">
        <f>SUMIFS(tbl_task1[S41],tbl_task1[[SubPLOs]:[SubPLOs]],"&gt;=5",tbl_task1[[SubPLOs]:[SubPLOs]],"&lt;6")+SUMIFS(tbl_task2[S41],tbl_task2[[SubPLOs]:[SubPLOs]],"&gt;=5",tbl_task2[[SubPLOs]:[SubPLOs]],"&lt;6")+SUMIFS(tbl_task3[S41],tbl_task3[[SubPLOs]:[SubPLOs]],"&gt;=5",tbl_task3[[SubPLOs]:[SubPLOs]],"&lt;6")+SUMIFS(tbl_task4[S41],tbl_task4[[SubPLOs]:[SubPLOs]],"&gt;=5",tbl_task4[[SubPLOs]:[SubPLOs]],"&lt;6")+SUMIFS(tbl_task5[S41],tbl_task5[[SubPLOs]:[SubPLOs]],"&gt;=5",tbl_task5[[SubPLOs]:[SubPLOs]],"&lt;6")+SUMIFS(tbl_task6[S41],tbl_task6[[SubPLOs]:[SubPLOs]],"&gt;=5",tbl_task6[[SubPLOs]:[SubPLOs]],"&lt;6")+SUMIFS(tbl_task7[S41],tbl_task7[[SubPLOs]:[SubPLOs]],"&gt;=5",tbl_task7[[SubPLOs]:[SubPLOs]],"&lt;6")+SUMIFS(tbl_task8[S41],tbl_task8[[SubPLOs]:[SubPLOs]],"&gt;=5",tbl_task8[[SubPLOs]:[SubPLOs]],"&lt;6")+SUMIFS(tbl_task9[S41],tbl_task9[[SubPLOs]:[SubPLOs]],"&gt;=5",tbl_task9[[SubPLOs]:[SubPLOs]],"&lt;6")+SUMIFS(tbl_task10[S41],tbl_task10[[SubPLOs]:[SubPLOs]],"&gt;=5",tbl_task10[[SubPLOs]:[SubPLOs]],"&lt;6")</f>
        <v>0</v>
      </c>
      <c r="AU184" s="41">
        <f>SUMIFS(tbl_task1[S42],tbl_task1[[SubPLOs]:[SubPLOs]],"&gt;=5",tbl_task1[[SubPLOs]:[SubPLOs]],"&lt;6")+SUMIFS(tbl_task2[S42],tbl_task2[[SubPLOs]:[SubPLOs]],"&gt;=5",tbl_task2[[SubPLOs]:[SubPLOs]],"&lt;6")+SUMIFS(tbl_task3[S42],tbl_task3[[SubPLOs]:[SubPLOs]],"&gt;=5",tbl_task3[[SubPLOs]:[SubPLOs]],"&lt;6")+SUMIFS(tbl_task4[S42],tbl_task4[[SubPLOs]:[SubPLOs]],"&gt;=5",tbl_task4[[SubPLOs]:[SubPLOs]],"&lt;6")+SUMIFS(tbl_task5[S42],tbl_task5[[SubPLOs]:[SubPLOs]],"&gt;=5",tbl_task5[[SubPLOs]:[SubPLOs]],"&lt;6")+SUMIFS(tbl_task6[S42],tbl_task6[[SubPLOs]:[SubPLOs]],"&gt;=5",tbl_task6[[SubPLOs]:[SubPLOs]],"&lt;6")+SUMIFS(tbl_task7[S42],tbl_task7[[SubPLOs]:[SubPLOs]],"&gt;=5",tbl_task7[[SubPLOs]:[SubPLOs]],"&lt;6")+SUMIFS(tbl_task8[S42],tbl_task8[[SubPLOs]:[SubPLOs]],"&gt;=5",tbl_task8[[SubPLOs]:[SubPLOs]],"&lt;6")+SUMIFS(tbl_task9[S42],tbl_task9[[SubPLOs]:[SubPLOs]],"&gt;=5",tbl_task9[[SubPLOs]:[SubPLOs]],"&lt;6")+SUMIFS(tbl_task10[S42],tbl_task10[[SubPLOs]:[SubPLOs]],"&gt;=5",tbl_task10[[SubPLOs]:[SubPLOs]],"&lt;6")</f>
        <v>0</v>
      </c>
      <c r="AV184" s="41">
        <f>SUMIFS(tbl_task1[S43],tbl_task1[[SubPLOs]:[SubPLOs]],"&gt;=5",tbl_task1[[SubPLOs]:[SubPLOs]],"&lt;6")+SUMIFS(tbl_task2[S43],tbl_task2[[SubPLOs]:[SubPLOs]],"&gt;=5",tbl_task2[[SubPLOs]:[SubPLOs]],"&lt;6")+SUMIFS(tbl_task3[S43],tbl_task3[[SubPLOs]:[SubPLOs]],"&gt;=5",tbl_task3[[SubPLOs]:[SubPLOs]],"&lt;6")+SUMIFS(tbl_task4[S43],tbl_task4[[SubPLOs]:[SubPLOs]],"&gt;=5",tbl_task4[[SubPLOs]:[SubPLOs]],"&lt;6")+SUMIFS(tbl_task5[S43],tbl_task5[[SubPLOs]:[SubPLOs]],"&gt;=5",tbl_task5[[SubPLOs]:[SubPLOs]],"&lt;6")+SUMIFS(tbl_task6[S43],tbl_task6[[SubPLOs]:[SubPLOs]],"&gt;=5",tbl_task6[[SubPLOs]:[SubPLOs]],"&lt;6")+SUMIFS(tbl_task7[S43],tbl_task7[[SubPLOs]:[SubPLOs]],"&gt;=5",tbl_task7[[SubPLOs]:[SubPLOs]],"&lt;6")+SUMIFS(tbl_task8[S43],tbl_task8[[SubPLOs]:[SubPLOs]],"&gt;=5",tbl_task8[[SubPLOs]:[SubPLOs]],"&lt;6")+SUMIFS(tbl_task9[S43],tbl_task9[[SubPLOs]:[SubPLOs]],"&gt;=5",tbl_task9[[SubPLOs]:[SubPLOs]],"&lt;6")+SUMIFS(tbl_task10[S43],tbl_task10[[SubPLOs]:[SubPLOs]],"&gt;=5",tbl_task10[[SubPLOs]:[SubPLOs]],"&lt;6")</f>
        <v>0</v>
      </c>
      <c r="AW184" s="41">
        <f>SUMIFS(tbl_task1[S44],tbl_task1[[SubPLOs]:[SubPLOs]],"&gt;=5",tbl_task1[[SubPLOs]:[SubPLOs]],"&lt;6")+SUMIFS(tbl_task2[S44],tbl_task2[[SubPLOs]:[SubPLOs]],"&gt;=5",tbl_task2[[SubPLOs]:[SubPLOs]],"&lt;6")+SUMIFS(tbl_task3[S44],tbl_task3[[SubPLOs]:[SubPLOs]],"&gt;=5",tbl_task3[[SubPLOs]:[SubPLOs]],"&lt;6")+SUMIFS(tbl_task4[S44],tbl_task4[[SubPLOs]:[SubPLOs]],"&gt;=5",tbl_task4[[SubPLOs]:[SubPLOs]],"&lt;6")+SUMIFS(tbl_task5[S44],tbl_task5[[SubPLOs]:[SubPLOs]],"&gt;=5",tbl_task5[[SubPLOs]:[SubPLOs]],"&lt;6")+SUMIFS(tbl_task6[S44],tbl_task6[[SubPLOs]:[SubPLOs]],"&gt;=5",tbl_task6[[SubPLOs]:[SubPLOs]],"&lt;6")+SUMIFS(tbl_task7[S44],tbl_task7[[SubPLOs]:[SubPLOs]],"&gt;=5",tbl_task7[[SubPLOs]:[SubPLOs]],"&lt;6")+SUMIFS(tbl_task8[S44],tbl_task8[[SubPLOs]:[SubPLOs]],"&gt;=5",tbl_task8[[SubPLOs]:[SubPLOs]],"&lt;6")+SUMIFS(tbl_task9[S44],tbl_task9[[SubPLOs]:[SubPLOs]],"&gt;=5",tbl_task9[[SubPLOs]:[SubPLOs]],"&lt;6")+SUMIFS(tbl_task10[S44],tbl_task10[[SubPLOs]:[SubPLOs]],"&gt;=5",tbl_task10[[SubPLOs]:[SubPLOs]],"&lt;6")</f>
        <v>0</v>
      </c>
      <c r="AX184" s="41">
        <f>SUMIFS(tbl_task1[S45],tbl_task1[[SubPLOs]:[SubPLOs]],"&gt;=5",tbl_task1[[SubPLOs]:[SubPLOs]],"&lt;6")+SUMIFS(tbl_task2[S45],tbl_task2[[SubPLOs]:[SubPLOs]],"&gt;=5",tbl_task2[[SubPLOs]:[SubPLOs]],"&lt;6")+SUMIFS(tbl_task3[S45],tbl_task3[[SubPLOs]:[SubPLOs]],"&gt;=5",tbl_task3[[SubPLOs]:[SubPLOs]],"&lt;6")+SUMIFS(tbl_task4[S45],tbl_task4[[SubPLOs]:[SubPLOs]],"&gt;=5",tbl_task4[[SubPLOs]:[SubPLOs]],"&lt;6")+SUMIFS(tbl_task5[S45],tbl_task5[[SubPLOs]:[SubPLOs]],"&gt;=5",tbl_task5[[SubPLOs]:[SubPLOs]],"&lt;6")+SUMIFS(tbl_task6[S45],tbl_task6[[SubPLOs]:[SubPLOs]],"&gt;=5",tbl_task6[[SubPLOs]:[SubPLOs]],"&lt;6")+SUMIFS(tbl_task7[S45],tbl_task7[[SubPLOs]:[SubPLOs]],"&gt;=5",tbl_task7[[SubPLOs]:[SubPLOs]],"&lt;6")+SUMIFS(tbl_task8[S45],tbl_task8[[SubPLOs]:[SubPLOs]],"&gt;=5",tbl_task8[[SubPLOs]:[SubPLOs]],"&lt;6")+SUMIFS(tbl_task9[S45],tbl_task9[[SubPLOs]:[SubPLOs]],"&gt;=5",tbl_task9[[SubPLOs]:[SubPLOs]],"&lt;6")+SUMIFS(tbl_task10[S45],tbl_task10[[SubPLOs]:[SubPLOs]],"&gt;=5",tbl_task10[[SubPLOs]:[SubPLOs]],"&lt;6")</f>
        <v>0</v>
      </c>
      <c r="AY184" s="41">
        <f>SUMIFS(tbl_task1[S46],tbl_task1[[SubPLOs]:[SubPLOs]],"&gt;=5",tbl_task1[[SubPLOs]:[SubPLOs]],"&lt;6")+SUMIFS(tbl_task2[S46],tbl_task2[[SubPLOs]:[SubPLOs]],"&gt;=5",tbl_task2[[SubPLOs]:[SubPLOs]],"&lt;6")+SUMIFS(tbl_task3[S46],tbl_task3[[SubPLOs]:[SubPLOs]],"&gt;=5",tbl_task3[[SubPLOs]:[SubPLOs]],"&lt;6")+SUMIFS(tbl_task4[S46],tbl_task4[[SubPLOs]:[SubPLOs]],"&gt;=5",tbl_task4[[SubPLOs]:[SubPLOs]],"&lt;6")+SUMIFS(tbl_task5[S46],tbl_task5[[SubPLOs]:[SubPLOs]],"&gt;=5",tbl_task5[[SubPLOs]:[SubPLOs]],"&lt;6")+SUMIFS(tbl_task6[S46],tbl_task6[[SubPLOs]:[SubPLOs]],"&gt;=5",tbl_task6[[SubPLOs]:[SubPLOs]],"&lt;6")+SUMIFS(tbl_task7[S46],tbl_task7[[SubPLOs]:[SubPLOs]],"&gt;=5",tbl_task7[[SubPLOs]:[SubPLOs]],"&lt;6")+SUMIFS(tbl_task8[S46],tbl_task8[[SubPLOs]:[SubPLOs]],"&gt;=5",tbl_task8[[SubPLOs]:[SubPLOs]],"&lt;6")+SUMIFS(tbl_task9[S46],tbl_task9[[SubPLOs]:[SubPLOs]],"&gt;=5",tbl_task9[[SubPLOs]:[SubPLOs]],"&lt;6")+SUMIFS(tbl_task10[S46],tbl_task10[[SubPLOs]:[SubPLOs]],"&gt;=5",tbl_task10[[SubPLOs]:[SubPLOs]],"&lt;6")</f>
        <v>0</v>
      </c>
      <c r="AZ184" s="41">
        <f>SUMIFS(tbl_task1[S47],tbl_task1[[SubPLOs]:[SubPLOs]],"&gt;=5",tbl_task1[[SubPLOs]:[SubPLOs]],"&lt;6")+SUMIFS(tbl_task2[S47],tbl_task2[[SubPLOs]:[SubPLOs]],"&gt;=5",tbl_task2[[SubPLOs]:[SubPLOs]],"&lt;6")+SUMIFS(tbl_task3[S47],tbl_task3[[SubPLOs]:[SubPLOs]],"&gt;=5",tbl_task3[[SubPLOs]:[SubPLOs]],"&lt;6")+SUMIFS(tbl_task4[S47],tbl_task4[[SubPLOs]:[SubPLOs]],"&gt;=5",tbl_task4[[SubPLOs]:[SubPLOs]],"&lt;6")+SUMIFS(tbl_task5[S47],tbl_task5[[SubPLOs]:[SubPLOs]],"&gt;=5",tbl_task5[[SubPLOs]:[SubPLOs]],"&lt;6")+SUMIFS(tbl_task6[S47],tbl_task6[[SubPLOs]:[SubPLOs]],"&gt;=5",tbl_task6[[SubPLOs]:[SubPLOs]],"&lt;6")+SUMIFS(tbl_task7[S47],tbl_task7[[SubPLOs]:[SubPLOs]],"&gt;=5",tbl_task7[[SubPLOs]:[SubPLOs]],"&lt;6")+SUMIFS(tbl_task8[S47],tbl_task8[[SubPLOs]:[SubPLOs]],"&gt;=5",tbl_task8[[SubPLOs]:[SubPLOs]],"&lt;6")+SUMIFS(tbl_task9[S47],tbl_task9[[SubPLOs]:[SubPLOs]],"&gt;=5",tbl_task9[[SubPLOs]:[SubPLOs]],"&lt;6")+SUMIFS(tbl_task10[S47],tbl_task10[[SubPLOs]:[SubPLOs]],"&gt;=5",tbl_task10[[SubPLOs]:[SubPLOs]],"&lt;6")</f>
        <v>0</v>
      </c>
      <c r="BA184" s="41">
        <f>SUMIFS(tbl_task1[S48],tbl_task1[[SubPLOs]:[SubPLOs]],"&gt;=5",tbl_task1[[SubPLOs]:[SubPLOs]],"&lt;6")+SUMIFS(tbl_task2[S48],tbl_task2[[SubPLOs]:[SubPLOs]],"&gt;=5",tbl_task2[[SubPLOs]:[SubPLOs]],"&lt;6")+SUMIFS(tbl_task3[S48],tbl_task3[[SubPLOs]:[SubPLOs]],"&gt;=5",tbl_task3[[SubPLOs]:[SubPLOs]],"&lt;6")+SUMIFS(tbl_task4[S48],tbl_task4[[SubPLOs]:[SubPLOs]],"&gt;=5",tbl_task4[[SubPLOs]:[SubPLOs]],"&lt;6")+SUMIFS(tbl_task5[S48],tbl_task5[[SubPLOs]:[SubPLOs]],"&gt;=5",tbl_task5[[SubPLOs]:[SubPLOs]],"&lt;6")+SUMIFS(tbl_task6[S48],tbl_task6[[SubPLOs]:[SubPLOs]],"&gt;=5",tbl_task6[[SubPLOs]:[SubPLOs]],"&lt;6")+SUMIFS(tbl_task7[S48],tbl_task7[[SubPLOs]:[SubPLOs]],"&gt;=5",tbl_task7[[SubPLOs]:[SubPLOs]],"&lt;6")+SUMIFS(tbl_task8[S48],tbl_task8[[SubPLOs]:[SubPLOs]],"&gt;=5",tbl_task8[[SubPLOs]:[SubPLOs]],"&lt;6")+SUMIFS(tbl_task9[S48],tbl_task9[[SubPLOs]:[SubPLOs]],"&gt;=5",tbl_task9[[SubPLOs]:[SubPLOs]],"&lt;6")+SUMIFS(tbl_task10[S48],tbl_task10[[SubPLOs]:[SubPLOs]],"&gt;=5",tbl_task10[[SubPLOs]:[SubPLOs]],"&lt;6")</f>
        <v>0</v>
      </c>
      <c r="BB184" s="41">
        <f>SUMIFS(tbl_task1[S49],tbl_task1[[SubPLOs]:[SubPLOs]],"&gt;=5",tbl_task1[[SubPLOs]:[SubPLOs]],"&lt;6")+SUMIFS(tbl_task2[S49],tbl_task2[[SubPLOs]:[SubPLOs]],"&gt;=5",tbl_task2[[SubPLOs]:[SubPLOs]],"&lt;6")+SUMIFS(tbl_task3[S49],tbl_task3[[SubPLOs]:[SubPLOs]],"&gt;=5",tbl_task3[[SubPLOs]:[SubPLOs]],"&lt;6")+SUMIFS(tbl_task4[S49],tbl_task4[[SubPLOs]:[SubPLOs]],"&gt;=5",tbl_task4[[SubPLOs]:[SubPLOs]],"&lt;6")+SUMIFS(tbl_task5[S49],tbl_task5[[SubPLOs]:[SubPLOs]],"&gt;=5",tbl_task5[[SubPLOs]:[SubPLOs]],"&lt;6")+SUMIFS(tbl_task6[S49],tbl_task6[[SubPLOs]:[SubPLOs]],"&gt;=5",tbl_task6[[SubPLOs]:[SubPLOs]],"&lt;6")+SUMIFS(tbl_task7[S49],tbl_task7[[SubPLOs]:[SubPLOs]],"&gt;=5",tbl_task7[[SubPLOs]:[SubPLOs]],"&lt;6")+SUMIFS(tbl_task8[S49],tbl_task8[[SubPLOs]:[SubPLOs]],"&gt;=5",tbl_task8[[SubPLOs]:[SubPLOs]],"&lt;6")+SUMIFS(tbl_task9[S49],tbl_task9[[SubPLOs]:[SubPLOs]],"&gt;=5",tbl_task9[[SubPLOs]:[SubPLOs]],"&lt;6")+SUMIFS(tbl_task10[S49],tbl_task10[[SubPLOs]:[SubPLOs]],"&gt;=5",tbl_task10[[SubPLOs]:[SubPLOs]],"&lt;6")</f>
        <v>0</v>
      </c>
      <c r="BC184" s="41">
        <f>SUMIFS(tbl_task1[S50],tbl_task1[[SubPLOs]:[SubPLOs]],"&gt;=5",tbl_task1[[SubPLOs]:[SubPLOs]],"&lt;6")+SUMIFS(tbl_task2[S50],tbl_task2[[SubPLOs]:[SubPLOs]],"&gt;=5",tbl_task2[[SubPLOs]:[SubPLOs]],"&lt;6")+SUMIFS(tbl_task3[S50],tbl_task3[[SubPLOs]:[SubPLOs]],"&gt;=5",tbl_task3[[SubPLOs]:[SubPLOs]],"&lt;6")+SUMIFS(tbl_task4[S50],tbl_task4[[SubPLOs]:[SubPLOs]],"&gt;=5",tbl_task4[[SubPLOs]:[SubPLOs]],"&lt;6")+SUMIFS(tbl_task5[S50],tbl_task5[[SubPLOs]:[SubPLOs]],"&gt;=5",tbl_task5[[SubPLOs]:[SubPLOs]],"&lt;6")+SUMIFS(tbl_task6[S50],tbl_task6[[SubPLOs]:[SubPLOs]],"&gt;=5",tbl_task6[[SubPLOs]:[SubPLOs]],"&lt;6")+SUMIFS(tbl_task7[S50],tbl_task7[[SubPLOs]:[SubPLOs]],"&gt;=5",tbl_task7[[SubPLOs]:[SubPLOs]],"&lt;6")+SUMIFS(tbl_task8[S50],tbl_task8[[SubPLOs]:[SubPLOs]],"&gt;=5",tbl_task8[[SubPLOs]:[SubPLOs]],"&lt;6")+SUMIFS(tbl_task9[S50],tbl_task9[[SubPLOs]:[SubPLOs]],"&gt;=5",tbl_task9[[SubPLOs]:[SubPLOs]],"&lt;6")+SUMIFS(tbl_task10[S50],tbl_task10[[SubPLOs]:[SubPLOs]],"&gt;=5",tbl_task10[[SubPLOs]:[SubPLOs]],"&lt;6")</f>
        <v>0</v>
      </c>
      <c r="BD184" s="41">
        <f>SUMIFS(tbl_task1[S51],tbl_task1[[SubPLOs]:[SubPLOs]],"&gt;=5",tbl_task1[[SubPLOs]:[SubPLOs]],"&lt;6")+SUMIFS(tbl_task2[S51],tbl_task2[[SubPLOs]:[SubPLOs]],"&gt;=5",tbl_task2[[SubPLOs]:[SubPLOs]],"&lt;6")+SUMIFS(tbl_task3[S51],tbl_task3[[SubPLOs]:[SubPLOs]],"&gt;=5",tbl_task3[[SubPLOs]:[SubPLOs]],"&lt;6")+SUMIFS(tbl_task4[S51],tbl_task4[[SubPLOs]:[SubPLOs]],"&gt;=5",tbl_task4[[SubPLOs]:[SubPLOs]],"&lt;6")+SUMIFS(tbl_task5[S51],tbl_task5[[SubPLOs]:[SubPLOs]],"&gt;=5",tbl_task5[[SubPLOs]:[SubPLOs]],"&lt;6")+SUMIFS(tbl_task6[S51],tbl_task6[[SubPLOs]:[SubPLOs]],"&gt;=5",tbl_task6[[SubPLOs]:[SubPLOs]],"&lt;6")+SUMIFS(tbl_task7[S51],tbl_task7[[SubPLOs]:[SubPLOs]],"&gt;=5",tbl_task7[[SubPLOs]:[SubPLOs]],"&lt;6")+SUMIFS(tbl_task8[S51],tbl_task8[[SubPLOs]:[SubPLOs]],"&gt;=5",tbl_task8[[SubPLOs]:[SubPLOs]],"&lt;6")+SUMIFS(tbl_task9[S51],tbl_task9[[SubPLOs]:[SubPLOs]],"&gt;=5",tbl_task9[[SubPLOs]:[SubPLOs]],"&lt;6")+SUMIFS(tbl_task10[S51],tbl_task10[[SubPLOs]:[SubPLOs]],"&gt;=5",tbl_task10[[SubPLOs]:[SubPLOs]],"&lt;6")</f>
        <v>0</v>
      </c>
      <c r="BE184" s="41">
        <f>SUMIFS(tbl_task1[S52],tbl_task1[[SubPLOs]:[SubPLOs]],"&gt;=5",tbl_task1[[SubPLOs]:[SubPLOs]],"&lt;6")+SUMIFS(tbl_task2[S52],tbl_task2[[SubPLOs]:[SubPLOs]],"&gt;=5",tbl_task2[[SubPLOs]:[SubPLOs]],"&lt;6")+SUMIFS(tbl_task3[S52],tbl_task3[[SubPLOs]:[SubPLOs]],"&gt;=5",tbl_task3[[SubPLOs]:[SubPLOs]],"&lt;6")+SUMIFS(tbl_task4[S52],tbl_task4[[SubPLOs]:[SubPLOs]],"&gt;=5",tbl_task4[[SubPLOs]:[SubPLOs]],"&lt;6")+SUMIFS(tbl_task5[S52],tbl_task5[[SubPLOs]:[SubPLOs]],"&gt;=5",tbl_task5[[SubPLOs]:[SubPLOs]],"&lt;6")+SUMIFS(tbl_task6[S52],tbl_task6[[SubPLOs]:[SubPLOs]],"&gt;=5",tbl_task6[[SubPLOs]:[SubPLOs]],"&lt;6")+SUMIFS(tbl_task7[S52],tbl_task7[[SubPLOs]:[SubPLOs]],"&gt;=5",tbl_task7[[SubPLOs]:[SubPLOs]],"&lt;6")+SUMIFS(tbl_task8[S52],tbl_task8[[SubPLOs]:[SubPLOs]],"&gt;=5",tbl_task8[[SubPLOs]:[SubPLOs]],"&lt;6")+SUMIFS(tbl_task9[S52],tbl_task9[[SubPLOs]:[SubPLOs]],"&gt;=5",tbl_task9[[SubPLOs]:[SubPLOs]],"&lt;6")+SUMIFS(tbl_task10[S52],tbl_task10[[SubPLOs]:[SubPLOs]],"&gt;=5",tbl_task10[[SubPLOs]:[SubPLOs]],"&lt;6")</f>
        <v>0</v>
      </c>
      <c r="BF184" s="41">
        <f>SUMIFS(tbl_task1[S53],tbl_task1[[SubPLOs]:[SubPLOs]],"&gt;=5",tbl_task1[[SubPLOs]:[SubPLOs]],"&lt;6")+SUMIFS(tbl_task2[S53],tbl_task2[[SubPLOs]:[SubPLOs]],"&gt;=5",tbl_task2[[SubPLOs]:[SubPLOs]],"&lt;6")+SUMIFS(tbl_task3[S53],tbl_task3[[SubPLOs]:[SubPLOs]],"&gt;=5",tbl_task3[[SubPLOs]:[SubPLOs]],"&lt;6")+SUMIFS(tbl_task4[S53],tbl_task4[[SubPLOs]:[SubPLOs]],"&gt;=5",tbl_task4[[SubPLOs]:[SubPLOs]],"&lt;6")+SUMIFS(tbl_task5[S53],tbl_task5[[SubPLOs]:[SubPLOs]],"&gt;=5",tbl_task5[[SubPLOs]:[SubPLOs]],"&lt;6")+SUMIFS(tbl_task6[S53],tbl_task6[[SubPLOs]:[SubPLOs]],"&gt;=5",tbl_task6[[SubPLOs]:[SubPLOs]],"&lt;6")+SUMIFS(tbl_task7[S53],tbl_task7[[SubPLOs]:[SubPLOs]],"&gt;=5",tbl_task7[[SubPLOs]:[SubPLOs]],"&lt;6")+SUMIFS(tbl_task8[S53],tbl_task8[[SubPLOs]:[SubPLOs]],"&gt;=5",tbl_task8[[SubPLOs]:[SubPLOs]],"&lt;6")+SUMIFS(tbl_task9[S53],tbl_task9[[SubPLOs]:[SubPLOs]],"&gt;=5",tbl_task9[[SubPLOs]:[SubPLOs]],"&lt;6")+SUMIFS(tbl_task10[S53],tbl_task10[[SubPLOs]:[SubPLOs]],"&gt;=5",tbl_task10[[SubPLOs]:[SubPLOs]],"&lt;6")</f>
        <v>0</v>
      </c>
      <c r="BG184" s="41">
        <f>SUMIFS(tbl_task1[S54],tbl_task1[[SubPLOs]:[SubPLOs]],"&gt;=5",tbl_task1[[SubPLOs]:[SubPLOs]],"&lt;6")+SUMIFS(tbl_task2[S54],tbl_task2[[SubPLOs]:[SubPLOs]],"&gt;=5",tbl_task2[[SubPLOs]:[SubPLOs]],"&lt;6")+SUMIFS(tbl_task3[S54],tbl_task3[[SubPLOs]:[SubPLOs]],"&gt;=5",tbl_task3[[SubPLOs]:[SubPLOs]],"&lt;6")+SUMIFS(tbl_task4[S54],tbl_task4[[SubPLOs]:[SubPLOs]],"&gt;=5",tbl_task4[[SubPLOs]:[SubPLOs]],"&lt;6")+SUMIFS(tbl_task5[S54],tbl_task5[[SubPLOs]:[SubPLOs]],"&gt;=5",tbl_task5[[SubPLOs]:[SubPLOs]],"&lt;6")+SUMIFS(tbl_task6[S54],tbl_task6[[SubPLOs]:[SubPLOs]],"&gt;=5",tbl_task6[[SubPLOs]:[SubPLOs]],"&lt;6")+SUMIFS(tbl_task7[S54],tbl_task7[[SubPLOs]:[SubPLOs]],"&gt;=5",tbl_task7[[SubPLOs]:[SubPLOs]],"&lt;6")+SUMIFS(tbl_task8[S54],tbl_task8[[SubPLOs]:[SubPLOs]],"&gt;=5",tbl_task8[[SubPLOs]:[SubPLOs]],"&lt;6")+SUMIFS(tbl_task9[S54],tbl_task9[[SubPLOs]:[SubPLOs]],"&gt;=5",tbl_task9[[SubPLOs]:[SubPLOs]],"&lt;6")+SUMIFS(tbl_task10[S54],tbl_task10[[SubPLOs]:[SubPLOs]],"&gt;=5",tbl_task10[[SubPLOs]:[SubPLOs]],"&lt;6")</f>
        <v>0</v>
      </c>
      <c r="BH184" s="41">
        <f>SUMIFS(tbl_task1[S55],tbl_task1[[SubPLOs]:[SubPLOs]],"&gt;=5",tbl_task1[[SubPLOs]:[SubPLOs]],"&lt;6")+SUMIFS(tbl_task2[S55],tbl_task2[[SubPLOs]:[SubPLOs]],"&gt;=5",tbl_task2[[SubPLOs]:[SubPLOs]],"&lt;6")+SUMIFS(tbl_task3[S55],tbl_task3[[SubPLOs]:[SubPLOs]],"&gt;=5",tbl_task3[[SubPLOs]:[SubPLOs]],"&lt;6")+SUMIFS(tbl_task4[S55],tbl_task4[[SubPLOs]:[SubPLOs]],"&gt;=5",tbl_task4[[SubPLOs]:[SubPLOs]],"&lt;6")+SUMIFS(tbl_task5[S55],tbl_task5[[SubPLOs]:[SubPLOs]],"&gt;=5",tbl_task5[[SubPLOs]:[SubPLOs]],"&lt;6")+SUMIFS(tbl_task6[S55],tbl_task6[[SubPLOs]:[SubPLOs]],"&gt;=5",tbl_task6[[SubPLOs]:[SubPLOs]],"&lt;6")+SUMIFS(tbl_task7[S55],tbl_task7[[SubPLOs]:[SubPLOs]],"&gt;=5",tbl_task7[[SubPLOs]:[SubPLOs]],"&lt;6")+SUMIFS(tbl_task8[S55],tbl_task8[[SubPLOs]:[SubPLOs]],"&gt;=5",tbl_task8[[SubPLOs]:[SubPLOs]],"&lt;6")+SUMIFS(tbl_task9[S55],tbl_task9[[SubPLOs]:[SubPLOs]],"&gt;=5",tbl_task9[[SubPLOs]:[SubPLOs]],"&lt;6")+SUMIFS(tbl_task10[S55],tbl_task10[[SubPLOs]:[SubPLOs]],"&gt;=5",tbl_task10[[SubPLOs]:[SubPLOs]],"&lt;6")</f>
        <v>0</v>
      </c>
      <c r="BI184" s="41">
        <f>SUMIFS(tbl_task1[S56],tbl_task1[[SubPLOs]:[SubPLOs]],"&gt;=5",tbl_task1[[SubPLOs]:[SubPLOs]],"&lt;6")+SUMIFS(tbl_task2[S56],tbl_task2[[SubPLOs]:[SubPLOs]],"&gt;=5",tbl_task2[[SubPLOs]:[SubPLOs]],"&lt;6")+SUMIFS(tbl_task3[S56],tbl_task3[[SubPLOs]:[SubPLOs]],"&gt;=5",tbl_task3[[SubPLOs]:[SubPLOs]],"&lt;6")+SUMIFS(tbl_task4[S56],tbl_task4[[SubPLOs]:[SubPLOs]],"&gt;=5",tbl_task4[[SubPLOs]:[SubPLOs]],"&lt;6")+SUMIFS(tbl_task5[S56],tbl_task5[[SubPLOs]:[SubPLOs]],"&gt;=5",tbl_task5[[SubPLOs]:[SubPLOs]],"&lt;6")+SUMIFS(tbl_task6[S56],tbl_task6[[SubPLOs]:[SubPLOs]],"&gt;=5",tbl_task6[[SubPLOs]:[SubPLOs]],"&lt;6")+SUMIFS(tbl_task7[S56],tbl_task7[[SubPLOs]:[SubPLOs]],"&gt;=5",tbl_task7[[SubPLOs]:[SubPLOs]],"&lt;6")+SUMIFS(tbl_task8[S56],tbl_task8[[SubPLOs]:[SubPLOs]],"&gt;=5",tbl_task8[[SubPLOs]:[SubPLOs]],"&lt;6")+SUMIFS(tbl_task9[S56],tbl_task9[[SubPLOs]:[SubPLOs]],"&gt;=5",tbl_task9[[SubPLOs]:[SubPLOs]],"&lt;6")+SUMIFS(tbl_task10[S56],tbl_task10[[SubPLOs]:[SubPLOs]],"&gt;=5",tbl_task10[[SubPLOs]:[SubPLOs]],"&lt;6")</f>
        <v>0</v>
      </c>
      <c r="BJ184" s="41">
        <f>SUMIFS(tbl_task1[S57],tbl_task1[[SubPLOs]:[SubPLOs]],"&gt;=5",tbl_task1[[SubPLOs]:[SubPLOs]],"&lt;6")+SUMIFS(tbl_task2[S57],tbl_task2[[SubPLOs]:[SubPLOs]],"&gt;=5",tbl_task2[[SubPLOs]:[SubPLOs]],"&lt;6")+SUMIFS(tbl_task3[S57],tbl_task3[[SubPLOs]:[SubPLOs]],"&gt;=5",tbl_task3[[SubPLOs]:[SubPLOs]],"&lt;6")+SUMIFS(tbl_task4[S57],tbl_task4[[SubPLOs]:[SubPLOs]],"&gt;=5",tbl_task4[[SubPLOs]:[SubPLOs]],"&lt;6")+SUMIFS(tbl_task5[S57],tbl_task5[[SubPLOs]:[SubPLOs]],"&gt;=5",tbl_task5[[SubPLOs]:[SubPLOs]],"&lt;6")+SUMIFS(tbl_task6[S57],tbl_task6[[SubPLOs]:[SubPLOs]],"&gt;=5",tbl_task6[[SubPLOs]:[SubPLOs]],"&lt;6")+SUMIFS(tbl_task7[S57],tbl_task7[[SubPLOs]:[SubPLOs]],"&gt;=5",tbl_task7[[SubPLOs]:[SubPLOs]],"&lt;6")+SUMIFS(tbl_task8[S57],tbl_task8[[SubPLOs]:[SubPLOs]],"&gt;=5",tbl_task8[[SubPLOs]:[SubPLOs]],"&lt;6")+SUMIFS(tbl_task9[S57],tbl_task9[[SubPLOs]:[SubPLOs]],"&gt;=5",tbl_task9[[SubPLOs]:[SubPLOs]],"&lt;6")+SUMIFS(tbl_task10[S57],tbl_task10[[SubPLOs]:[SubPLOs]],"&gt;=5",tbl_task10[[SubPLOs]:[SubPLOs]],"&lt;6")</f>
        <v>0</v>
      </c>
      <c r="BK184" s="41">
        <f>SUMIFS(tbl_task1[S58],tbl_task1[[SubPLOs]:[SubPLOs]],"&gt;=5",tbl_task1[[SubPLOs]:[SubPLOs]],"&lt;6")+SUMIFS(tbl_task2[S58],tbl_task2[[SubPLOs]:[SubPLOs]],"&gt;=5",tbl_task2[[SubPLOs]:[SubPLOs]],"&lt;6")+SUMIFS(tbl_task3[S58],tbl_task3[[SubPLOs]:[SubPLOs]],"&gt;=5",tbl_task3[[SubPLOs]:[SubPLOs]],"&lt;6")+SUMIFS(tbl_task4[S58],tbl_task4[[SubPLOs]:[SubPLOs]],"&gt;=5",tbl_task4[[SubPLOs]:[SubPLOs]],"&lt;6")+SUMIFS(tbl_task5[S58],tbl_task5[[SubPLOs]:[SubPLOs]],"&gt;=5",tbl_task5[[SubPLOs]:[SubPLOs]],"&lt;6")+SUMIFS(tbl_task6[S58],tbl_task6[[SubPLOs]:[SubPLOs]],"&gt;=5",tbl_task6[[SubPLOs]:[SubPLOs]],"&lt;6")+SUMIFS(tbl_task7[S58],tbl_task7[[SubPLOs]:[SubPLOs]],"&gt;=5",tbl_task7[[SubPLOs]:[SubPLOs]],"&lt;6")+SUMIFS(tbl_task8[S58],tbl_task8[[SubPLOs]:[SubPLOs]],"&gt;=5",tbl_task8[[SubPLOs]:[SubPLOs]],"&lt;6")+SUMIFS(tbl_task9[S58],tbl_task9[[SubPLOs]:[SubPLOs]],"&gt;=5",tbl_task9[[SubPLOs]:[SubPLOs]],"&lt;6")+SUMIFS(tbl_task10[S58],tbl_task10[[SubPLOs]:[SubPLOs]],"&gt;=5",tbl_task10[[SubPLOs]:[SubPLOs]],"&lt;6")</f>
        <v>0</v>
      </c>
      <c r="BL184" s="41">
        <f>SUMIFS(tbl_task1[S59],tbl_task1[[SubPLOs]:[SubPLOs]],"&gt;=5",tbl_task1[[SubPLOs]:[SubPLOs]],"&lt;6")+SUMIFS(tbl_task2[S59],tbl_task2[[SubPLOs]:[SubPLOs]],"&gt;=5",tbl_task2[[SubPLOs]:[SubPLOs]],"&lt;6")+SUMIFS(tbl_task3[S59],tbl_task3[[SubPLOs]:[SubPLOs]],"&gt;=5",tbl_task3[[SubPLOs]:[SubPLOs]],"&lt;6")+SUMIFS(tbl_task4[S59],tbl_task4[[SubPLOs]:[SubPLOs]],"&gt;=5",tbl_task4[[SubPLOs]:[SubPLOs]],"&lt;6")+SUMIFS(tbl_task5[S59],tbl_task5[[SubPLOs]:[SubPLOs]],"&gt;=5",tbl_task5[[SubPLOs]:[SubPLOs]],"&lt;6")+SUMIFS(tbl_task6[S59],tbl_task6[[SubPLOs]:[SubPLOs]],"&gt;=5",tbl_task6[[SubPLOs]:[SubPLOs]],"&lt;6")+SUMIFS(tbl_task7[S59],tbl_task7[[SubPLOs]:[SubPLOs]],"&gt;=5",tbl_task7[[SubPLOs]:[SubPLOs]],"&lt;6")+SUMIFS(tbl_task8[S59],tbl_task8[[SubPLOs]:[SubPLOs]],"&gt;=5",tbl_task8[[SubPLOs]:[SubPLOs]],"&lt;6")+SUMIFS(tbl_task9[S59],tbl_task9[[SubPLOs]:[SubPLOs]],"&gt;=5",tbl_task9[[SubPLOs]:[SubPLOs]],"&lt;6")+SUMIFS(tbl_task10[S59],tbl_task10[[SubPLOs]:[SubPLOs]],"&gt;=5",tbl_task10[[SubPLOs]:[SubPLOs]],"&lt;6")</f>
        <v>0</v>
      </c>
      <c r="BM184" s="41">
        <f>SUMIFS(tbl_task1[S60],tbl_task1[[SubPLOs]:[SubPLOs]],"&gt;=5",tbl_task1[[SubPLOs]:[SubPLOs]],"&lt;6")+SUMIFS(tbl_task2[S60],tbl_task2[[SubPLOs]:[SubPLOs]],"&gt;=5",tbl_task2[[SubPLOs]:[SubPLOs]],"&lt;6")+SUMIFS(tbl_task3[S60],tbl_task3[[SubPLOs]:[SubPLOs]],"&gt;=5",tbl_task3[[SubPLOs]:[SubPLOs]],"&lt;6")+SUMIFS(tbl_task4[S60],tbl_task4[[SubPLOs]:[SubPLOs]],"&gt;=5",tbl_task4[[SubPLOs]:[SubPLOs]],"&lt;6")+SUMIFS(tbl_task5[S60],tbl_task5[[SubPLOs]:[SubPLOs]],"&gt;=5",tbl_task5[[SubPLOs]:[SubPLOs]],"&lt;6")+SUMIFS(tbl_task6[S60],tbl_task6[[SubPLOs]:[SubPLOs]],"&gt;=5",tbl_task6[[SubPLOs]:[SubPLOs]],"&lt;6")+SUMIFS(tbl_task7[S60],tbl_task7[[SubPLOs]:[SubPLOs]],"&gt;=5",tbl_task7[[SubPLOs]:[SubPLOs]],"&lt;6")+SUMIFS(tbl_task8[S60],tbl_task8[[SubPLOs]:[SubPLOs]],"&gt;=5",tbl_task8[[SubPLOs]:[SubPLOs]],"&lt;6")+SUMIFS(tbl_task9[S60],tbl_task9[[SubPLOs]:[SubPLOs]],"&gt;=5",tbl_task9[[SubPLOs]:[SubPLOs]],"&lt;6")+SUMIFS(tbl_task10[S60],tbl_task10[[SubPLOs]:[SubPLOs]],"&gt;=5",tbl_task10[[SubPLOs]:[SubPLOs]],"&lt;6")</f>
        <v>0</v>
      </c>
      <c r="BN184" s="41">
        <f>SUMIFS(tbl_task1[S61],tbl_task1[[SubPLOs]:[SubPLOs]],"&gt;=5",tbl_task1[[SubPLOs]:[SubPLOs]],"&lt;6")+SUMIFS(tbl_task2[S61],tbl_task2[[SubPLOs]:[SubPLOs]],"&gt;=5",tbl_task2[[SubPLOs]:[SubPLOs]],"&lt;6")+SUMIFS(tbl_task3[S61],tbl_task3[[SubPLOs]:[SubPLOs]],"&gt;=5",tbl_task3[[SubPLOs]:[SubPLOs]],"&lt;6")+SUMIFS(tbl_task4[S61],tbl_task4[[SubPLOs]:[SubPLOs]],"&gt;=5",tbl_task4[[SubPLOs]:[SubPLOs]],"&lt;6")+SUMIFS(tbl_task5[S61],tbl_task5[[SubPLOs]:[SubPLOs]],"&gt;=5",tbl_task5[[SubPLOs]:[SubPLOs]],"&lt;6")+SUMIFS(tbl_task6[S61],tbl_task6[[SubPLOs]:[SubPLOs]],"&gt;=5",tbl_task6[[SubPLOs]:[SubPLOs]],"&lt;6")+SUMIFS(tbl_task7[S61],tbl_task7[[SubPLOs]:[SubPLOs]],"&gt;=5",tbl_task7[[SubPLOs]:[SubPLOs]],"&lt;6")+SUMIFS(tbl_task8[S61],tbl_task8[[SubPLOs]:[SubPLOs]],"&gt;=5",tbl_task8[[SubPLOs]:[SubPLOs]],"&lt;6")+SUMIFS(tbl_task9[S61],tbl_task9[[SubPLOs]:[SubPLOs]],"&gt;=5",tbl_task9[[SubPLOs]:[SubPLOs]],"&lt;6")+SUMIFS(tbl_task10[S61],tbl_task10[[SubPLOs]:[SubPLOs]],"&gt;=5",tbl_task10[[SubPLOs]:[SubPLOs]],"&lt;6")</f>
        <v>0</v>
      </c>
      <c r="BO184" s="41">
        <f>SUMIFS(tbl_task1[S62],tbl_task1[[SubPLOs]:[SubPLOs]],"&gt;=5",tbl_task1[[SubPLOs]:[SubPLOs]],"&lt;6")+SUMIFS(tbl_task2[S62],tbl_task2[[SubPLOs]:[SubPLOs]],"&gt;=5",tbl_task2[[SubPLOs]:[SubPLOs]],"&lt;6")+SUMIFS(tbl_task3[S62],tbl_task3[[SubPLOs]:[SubPLOs]],"&gt;=5",tbl_task3[[SubPLOs]:[SubPLOs]],"&lt;6")+SUMIFS(tbl_task4[S62],tbl_task4[[SubPLOs]:[SubPLOs]],"&gt;=5",tbl_task4[[SubPLOs]:[SubPLOs]],"&lt;6")+SUMIFS(tbl_task5[S62],tbl_task5[[SubPLOs]:[SubPLOs]],"&gt;=5",tbl_task5[[SubPLOs]:[SubPLOs]],"&lt;6")+SUMIFS(tbl_task6[S62],tbl_task6[[SubPLOs]:[SubPLOs]],"&gt;=5",tbl_task6[[SubPLOs]:[SubPLOs]],"&lt;6")+SUMIFS(tbl_task7[S62],tbl_task7[[SubPLOs]:[SubPLOs]],"&gt;=5",tbl_task7[[SubPLOs]:[SubPLOs]],"&lt;6")+SUMIFS(tbl_task8[S62],tbl_task8[[SubPLOs]:[SubPLOs]],"&gt;=5",tbl_task8[[SubPLOs]:[SubPLOs]],"&lt;6")+SUMIFS(tbl_task9[S62],tbl_task9[[SubPLOs]:[SubPLOs]],"&gt;=5",tbl_task9[[SubPLOs]:[SubPLOs]],"&lt;6")+SUMIFS(tbl_task10[S62],tbl_task10[[SubPLOs]:[SubPLOs]],"&gt;=5",tbl_task10[[SubPLOs]:[SubPLOs]],"&lt;6")</f>
        <v>0</v>
      </c>
      <c r="BP184" s="41">
        <f>SUMIFS(tbl_task1[S63],tbl_task1[[SubPLOs]:[SubPLOs]],"&gt;=5",tbl_task1[[SubPLOs]:[SubPLOs]],"&lt;6")+SUMIFS(tbl_task2[S63],tbl_task2[[SubPLOs]:[SubPLOs]],"&gt;=5",tbl_task2[[SubPLOs]:[SubPLOs]],"&lt;6")+SUMIFS(tbl_task3[S63],tbl_task3[[SubPLOs]:[SubPLOs]],"&gt;=5",tbl_task3[[SubPLOs]:[SubPLOs]],"&lt;6")+SUMIFS(tbl_task4[S63],tbl_task4[[SubPLOs]:[SubPLOs]],"&gt;=5",tbl_task4[[SubPLOs]:[SubPLOs]],"&lt;6")+SUMIFS(tbl_task5[S63],tbl_task5[[SubPLOs]:[SubPLOs]],"&gt;=5",tbl_task5[[SubPLOs]:[SubPLOs]],"&lt;6")+SUMIFS(tbl_task6[S63],tbl_task6[[SubPLOs]:[SubPLOs]],"&gt;=5",tbl_task6[[SubPLOs]:[SubPLOs]],"&lt;6")+SUMIFS(tbl_task7[S63],tbl_task7[[SubPLOs]:[SubPLOs]],"&gt;=5",tbl_task7[[SubPLOs]:[SubPLOs]],"&lt;6")+SUMIFS(tbl_task8[S63],tbl_task8[[SubPLOs]:[SubPLOs]],"&gt;=5",tbl_task8[[SubPLOs]:[SubPLOs]],"&lt;6")+SUMIFS(tbl_task9[S63],tbl_task9[[SubPLOs]:[SubPLOs]],"&gt;=5",tbl_task9[[SubPLOs]:[SubPLOs]],"&lt;6")+SUMIFS(tbl_task10[S63],tbl_task10[[SubPLOs]:[SubPLOs]],"&gt;=5",tbl_task10[[SubPLOs]:[SubPLOs]],"&lt;6")</f>
        <v>0</v>
      </c>
      <c r="BQ184" s="41">
        <f>SUMIFS(tbl_task1[S64],tbl_task1[[SubPLOs]:[SubPLOs]],"&gt;=5",tbl_task1[[SubPLOs]:[SubPLOs]],"&lt;6")+SUMIFS(tbl_task2[S64],tbl_task2[[SubPLOs]:[SubPLOs]],"&gt;=5",tbl_task2[[SubPLOs]:[SubPLOs]],"&lt;6")+SUMIFS(tbl_task3[S64],tbl_task3[[SubPLOs]:[SubPLOs]],"&gt;=5",tbl_task3[[SubPLOs]:[SubPLOs]],"&lt;6")+SUMIFS(tbl_task4[S64],tbl_task4[[SubPLOs]:[SubPLOs]],"&gt;=5",tbl_task4[[SubPLOs]:[SubPLOs]],"&lt;6")+SUMIFS(tbl_task5[S64],tbl_task5[[SubPLOs]:[SubPLOs]],"&gt;=5",tbl_task5[[SubPLOs]:[SubPLOs]],"&lt;6")+SUMIFS(tbl_task6[S64],tbl_task6[[SubPLOs]:[SubPLOs]],"&gt;=5",tbl_task6[[SubPLOs]:[SubPLOs]],"&lt;6")+SUMIFS(tbl_task7[S64],tbl_task7[[SubPLOs]:[SubPLOs]],"&gt;=5",tbl_task7[[SubPLOs]:[SubPLOs]],"&lt;6")+SUMIFS(tbl_task8[S64],tbl_task8[[SubPLOs]:[SubPLOs]],"&gt;=5",tbl_task8[[SubPLOs]:[SubPLOs]],"&lt;6")+SUMIFS(tbl_task9[S64],tbl_task9[[SubPLOs]:[SubPLOs]],"&gt;=5",tbl_task9[[SubPLOs]:[SubPLOs]],"&lt;6")+SUMIFS(tbl_task10[S64],tbl_task10[[SubPLOs]:[SubPLOs]],"&gt;=5",tbl_task10[[SubPLOs]:[SubPLOs]],"&lt;6")</f>
        <v>0</v>
      </c>
      <c r="BR184" s="41">
        <f>SUMIFS(tbl_task1[S65],tbl_task1[[SubPLOs]:[SubPLOs]],"&gt;=5",tbl_task1[[SubPLOs]:[SubPLOs]],"&lt;6")+SUMIFS(tbl_task2[S65],tbl_task2[[SubPLOs]:[SubPLOs]],"&gt;=5",tbl_task2[[SubPLOs]:[SubPLOs]],"&lt;6")+SUMIFS(tbl_task3[S65],tbl_task3[[SubPLOs]:[SubPLOs]],"&gt;=5",tbl_task3[[SubPLOs]:[SubPLOs]],"&lt;6")+SUMIFS(tbl_task4[S65],tbl_task4[[SubPLOs]:[SubPLOs]],"&gt;=5",tbl_task4[[SubPLOs]:[SubPLOs]],"&lt;6")+SUMIFS(tbl_task5[S65],tbl_task5[[SubPLOs]:[SubPLOs]],"&gt;=5",tbl_task5[[SubPLOs]:[SubPLOs]],"&lt;6")+SUMIFS(tbl_task6[S65],tbl_task6[[SubPLOs]:[SubPLOs]],"&gt;=5",tbl_task6[[SubPLOs]:[SubPLOs]],"&lt;6")+SUMIFS(tbl_task7[S65],tbl_task7[[SubPLOs]:[SubPLOs]],"&gt;=5",tbl_task7[[SubPLOs]:[SubPLOs]],"&lt;6")+SUMIFS(tbl_task8[S65],tbl_task8[[SubPLOs]:[SubPLOs]],"&gt;=5",tbl_task8[[SubPLOs]:[SubPLOs]],"&lt;6")+SUMIFS(tbl_task9[S65],tbl_task9[[SubPLOs]:[SubPLOs]],"&gt;=5",tbl_task9[[SubPLOs]:[SubPLOs]],"&lt;6")+SUMIFS(tbl_task10[S65],tbl_task10[[SubPLOs]:[SubPLOs]],"&gt;=5",tbl_task10[[SubPLOs]:[SubPLOs]],"&lt;6")</f>
        <v>0</v>
      </c>
      <c r="BS184" s="41">
        <f>SUMIFS(tbl_task1[S66],tbl_task1[[SubPLOs]:[SubPLOs]],"&gt;=5",tbl_task1[[SubPLOs]:[SubPLOs]],"&lt;6")+SUMIFS(tbl_task2[S66],tbl_task2[[SubPLOs]:[SubPLOs]],"&gt;=5",tbl_task2[[SubPLOs]:[SubPLOs]],"&lt;6")+SUMIFS(tbl_task3[S66],tbl_task3[[SubPLOs]:[SubPLOs]],"&gt;=5",tbl_task3[[SubPLOs]:[SubPLOs]],"&lt;6")+SUMIFS(tbl_task4[S66],tbl_task4[[SubPLOs]:[SubPLOs]],"&gt;=5",tbl_task4[[SubPLOs]:[SubPLOs]],"&lt;6")+SUMIFS(tbl_task5[S66],tbl_task5[[SubPLOs]:[SubPLOs]],"&gt;=5",tbl_task5[[SubPLOs]:[SubPLOs]],"&lt;6")+SUMIFS(tbl_task6[S66],tbl_task6[[SubPLOs]:[SubPLOs]],"&gt;=5",tbl_task6[[SubPLOs]:[SubPLOs]],"&lt;6")+SUMIFS(tbl_task7[S66],tbl_task7[[SubPLOs]:[SubPLOs]],"&gt;=5",tbl_task7[[SubPLOs]:[SubPLOs]],"&lt;6")+SUMIFS(tbl_task8[S66],tbl_task8[[SubPLOs]:[SubPLOs]],"&gt;=5",tbl_task8[[SubPLOs]:[SubPLOs]],"&lt;6")+SUMIFS(tbl_task9[S66],tbl_task9[[SubPLOs]:[SubPLOs]],"&gt;=5",tbl_task9[[SubPLOs]:[SubPLOs]],"&lt;6")+SUMIFS(tbl_task10[S66],tbl_task10[[SubPLOs]:[SubPLOs]],"&gt;=5",tbl_task10[[SubPLOs]:[SubPLOs]],"&lt;6")</f>
        <v>0</v>
      </c>
      <c r="BT184" s="41">
        <f>SUMIFS(tbl_task1[S67],tbl_task1[[SubPLOs]:[SubPLOs]],"&gt;=5",tbl_task1[[SubPLOs]:[SubPLOs]],"&lt;6")+SUMIFS(tbl_task2[S67],tbl_task2[[SubPLOs]:[SubPLOs]],"&gt;=5",tbl_task2[[SubPLOs]:[SubPLOs]],"&lt;6")+SUMIFS(tbl_task3[S67],tbl_task3[[SubPLOs]:[SubPLOs]],"&gt;=5",tbl_task3[[SubPLOs]:[SubPLOs]],"&lt;6")+SUMIFS(tbl_task4[S67],tbl_task4[[SubPLOs]:[SubPLOs]],"&gt;=5",tbl_task4[[SubPLOs]:[SubPLOs]],"&lt;6")+SUMIFS(tbl_task5[S67],tbl_task5[[SubPLOs]:[SubPLOs]],"&gt;=5",tbl_task5[[SubPLOs]:[SubPLOs]],"&lt;6")+SUMIFS(tbl_task6[S67],tbl_task6[[SubPLOs]:[SubPLOs]],"&gt;=5",tbl_task6[[SubPLOs]:[SubPLOs]],"&lt;6")+SUMIFS(tbl_task7[S67],tbl_task7[[SubPLOs]:[SubPLOs]],"&gt;=5",tbl_task7[[SubPLOs]:[SubPLOs]],"&lt;6")+SUMIFS(tbl_task8[S67],tbl_task8[[SubPLOs]:[SubPLOs]],"&gt;=5",tbl_task8[[SubPLOs]:[SubPLOs]],"&lt;6")+SUMIFS(tbl_task9[S67],tbl_task9[[SubPLOs]:[SubPLOs]],"&gt;=5",tbl_task9[[SubPLOs]:[SubPLOs]],"&lt;6")+SUMIFS(tbl_task10[S67],tbl_task10[[SubPLOs]:[SubPLOs]],"&gt;=5",tbl_task10[[SubPLOs]:[SubPLOs]],"&lt;6")</f>
        <v>0</v>
      </c>
      <c r="BU184" s="41">
        <f>SUMIFS(tbl_task1[S68],tbl_task1[[SubPLOs]:[SubPLOs]],"&gt;=5",tbl_task1[[SubPLOs]:[SubPLOs]],"&lt;6")+SUMIFS(tbl_task2[S68],tbl_task2[[SubPLOs]:[SubPLOs]],"&gt;=5",tbl_task2[[SubPLOs]:[SubPLOs]],"&lt;6")+SUMIFS(tbl_task3[S68],tbl_task3[[SubPLOs]:[SubPLOs]],"&gt;=5",tbl_task3[[SubPLOs]:[SubPLOs]],"&lt;6")+SUMIFS(tbl_task4[S68],tbl_task4[[SubPLOs]:[SubPLOs]],"&gt;=5",tbl_task4[[SubPLOs]:[SubPLOs]],"&lt;6")+SUMIFS(tbl_task5[S68],tbl_task5[[SubPLOs]:[SubPLOs]],"&gt;=5",tbl_task5[[SubPLOs]:[SubPLOs]],"&lt;6")+SUMIFS(tbl_task6[S68],tbl_task6[[SubPLOs]:[SubPLOs]],"&gt;=5",tbl_task6[[SubPLOs]:[SubPLOs]],"&lt;6")+SUMIFS(tbl_task7[S68],tbl_task7[[SubPLOs]:[SubPLOs]],"&gt;=5",tbl_task7[[SubPLOs]:[SubPLOs]],"&lt;6")+SUMIFS(tbl_task8[S68],tbl_task8[[SubPLOs]:[SubPLOs]],"&gt;=5",tbl_task8[[SubPLOs]:[SubPLOs]],"&lt;6")+SUMIFS(tbl_task9[S68],tbl_task9[[SubPLOs]:[SubPLOs]],"&gt;=5",tbl_task9[[SubPLOs]:[SubPLOs]],"&lt;6")+SUMIFS(tbl_task10[S68],tbl_task10[[SubPLOs]:[SubPLOs]],"&gt;=5",tbl_task10[[SubPLOs]:[SubPLOs]],"&lt;6")</f>
        <v>0</v>
      </c>
      <c r="BV184" s="41">
        <f>SUMIFS(tbl_task1[S69],tbl_task1[[SubPLOs]:[SubPLOs]],"&gt;=5",tbl_task1[[SubPLOs]:[SubPLOs]],"&lt;6")+SUMIFS(tbl_task2[S69],tbl_task2[[SubPLOs]:[SubPLOs]],"&gt;=5",tbl_task2[[SubPLOs]:[SubPLOs]],"&lt;6")+SUMIFS(tbl_task3[S69],tbl_task3[[SubPLOs]:[SubPLOs]],"&gt;=5",tbl_task3[[SubPLOs]:[SubPLOs]],"&lt;6")+SUMIFS(tbl_task4[S69],tbl_task4[[SubPLOs]:[SubPLOs]],"&gt;=5",tbl_task4[[SubPLOs]:[SubPLOs]],"&lt;6")+SUMIFS(tbl_task5[S69],tbl_task5[[SubPLOs]:[SubPLOs]],"&gt;=5",tbl_task5[[SubPLOs]:[SubPLOs]],"&lt;6")+SUMIFS(tbl_task6[S69],tbl_task6[[SubPLOs]:[SubPLOs]],"&gt;=5",tbl_task6[[SubPLOs]:[SubPLOs]],"&lt;6")+SUMIFS(tbl_task7[S69],tbl_task7[[SubPLOs]:[SubPLOs]],"&gt;=5",tbl_task7[[SubPLOs]:[SubPLOs]],"&lt;6")+SUMIFS(tbl_task8[S69],tbl_task8[[SubPLOs]:[SubPLOs]],"&gt;=5",tbl_task8[[SubPLOs]:[SubPLOs]],"&lt;6")+SUMIFS(tbl_task9[S69],tbl_task9[[SubPLOs]:[SubPLOs]],"&gt;=5",tbl_task9[[SubPLOs]:[SubPLOs]],"&lt;6")+SUMIFS(tbl_task10[S69],tbl_task10[[SubPLOs]:[SubPLOs]],"&gt;=5",tbl_task10[[SubPLOs]:[SubPLOs]],"&lt;6")</f>
        <v>0</v>
      </c>
      <c r="BW184" s="41">
        <f>SUMIFS(tbl_task1[S70],tbl_task1[[SubPLOs]:[SubPLOs]],"&gt;=5",tbl_task1[[SubPLOs]:[SubPLOs]],"&lt;6")+SUMIFS(tbl_task2[S70],tbl_task2[[SubPLOs]:[SubPLOs]],"&gt;=5",tbl_task2[[SubPLOs]:[SubPLOs]],"&lt;6")+SUMIFS(tbl_task3[S70],tbl_task3[[SubPLOs]:[SubPLOs]],"&gt;=5",tbl_task3[[SubPLOs]:[SubPLOs]],"&lt;6")+SUMIFS(tbl_task4[S70],tbl_task4[[SubPLOs]:[SubPLOs]],"&gt;=5",tbl_task4[[SubPLOs]:[SubPLOs]],"&lt;6")+SUMIFS(tbl_task5[S70],tbl_task5[[SubPLOs]:[SubPLOs]],"&gt;=5",tbl_task5[[SubPLOs]:[SubPLOs]],"&lt;6")+SUMIFS(tbl_task6[S70],tbl_task6[[SubPLOs]:[SubPLOs]],"&gt;=5",tbl_task6[[SubPLOs]:[SubPLOs]],"&lt;6")+SUMIFS(tbl_task7[S70],tbl_task7[[SubPLOs]:[SubPLOs]],"&gt;=5",tbl_task7[[SubPLOs]:[SubPLOs]],"&lt;6")+SUMIFS(tbl_task8[S70],tbl_task8[[SubPLOs]:[SubPLOs]],"&gt;=5",tbl_task8[[SubPLOs]:[SubPLOs]],"&lt;6")+SUMIFS(tbl_task9[S70],tbl_task9[[SubPLOs]:[SubPLOs]],"&gt;=5",tbl_task9[[SubPLOs]:[SubPLOs]],"&lt;6")+SUMIFS(tbl_task10[S70],tbl_task10[[SubPLOs]:[SubPLOs]],"&gt;=5",tbl_task10[[SubPLOs]:[SubPLOs]],"&lt;6")</f>
        <v>0</v>
      </c>
      <c r="BX184" s="41">
        <f>SUMIFS(tbl_task1[S71],tbl_task1[[SubPLOs]:[SubPLOs]],"&gt;=5",tbl_task1[[SubPLOs]:[SubPLOs]],"&lt;6")+SUMIFS(tbl_task2[S71],tbl_task2[[SubPLOs]:[SubPLOs]],"&gt;=5",tbl_task2[[SubPLOs]:[SubPLOs]],"&lt;6")+SUMIFS(tbl_task3[S71],tbl_task3[[SubPLOs]:[SubPLOs]],"&gt;=5",tbl_task3[[SubPLOs]:[SubPLOs]],"&lt;6")+SUMIFS(tbl_task4[S71],tbl_task4[[SubPLOs]:[SubPLOs]],"&gt;=5",tbl_task4[[SubPLOs]:[SubPLOs]],"&lt;6")+SUMIFS(tbl_task5[S71],tbl_task5[[SubPLOs]:[SubPLOs]],"&gt;=5",tbl_task5[[SubPLOs]:[SubPLOs]],"&lt;6")+SUMIFS(tbl_task6[S71],tbl_task6[[SubPLOs]:[SubPLOs]],"&gt;=5",tbl_task6[[SubPLOs]:[SubPLOs]],"&lt;6")+SUMIFS(tbl_task7[S71],tbl_task7[[SubPLOs]:[SubPLOs]],"&gt;=5",tbl_task7[[SubPLOs]:[SubPLOs]],"&lt;6")+SUMIFS(tbl_task8[S71],tbl_task8[[SubPLOs]:[SubPLOs]],"&gt;=5",tbl_task8[[SubPLOs]:[SubPLOs]],"&lt;6")+SUMIFS(tbl_task9[S71],tbl_task9[[SubPLOs]:[SubPLOs]],"&gt;=5",tbl_task9[[SubPLOs]:[SubPLOs]],"&lt;6")+SUMIFS(tbl_task10[S71],tbl_task10[[SubPLOs]:[SubPLOs]],"&gt;=5",tbl_task10[[SubPLOs]:[SubPLOs]],"&lt;6")</f>
        <v>0</v>
      </c>
      <c r="BY184" s="41">
        <f>SUMIFS(tbl_task1[S72],tbl_task1[[SubPLOs]:[SubPLOs]],"&gt;=5",tbl_task1[[SubPLOs]:[SubPLOs]],"&lt;6")+SUMIFS(tbl_task2[S72],tbl_task2[[SubPLOs]:[SubPLOs]],"&gt;=5",tbl_task2[[SubPLOs]:[SubPLOs]],"&lt;6")+SUMIFS(tbl_task3[S72],tbl_task3[[SubPLOs]:[SubPLOs]],"&gt;=5",tbl_task3[[SubPLOs]:[SubPLOs]],"&lt;6")+SUMIFS(tbl_task4[S72],tbl_task4[[SubPLOs]:[SubPLOs]],"&gt;=5",tbl_task4[[SubPLOs]:[SubPLOs]],"&lt;6")+SUMIFS(tbl_task5[S72],tbl_task5[[SubPLOs]:[SubPLOs]],"&gt;=5",tbl_task5[[SubPLOs]:[SubPLOs]],"&lt;6")+SUMIFS(tbl_task6[S72],tbl_task6[[SubPLOs]:[SubPLOs]],"&gt;=5",tbl_task6[[SubPLOs]:[SubPLOs]],"&lt;6")+SUMIFS(tbl_task7[S72],tbl_task7[[SubPLOs]:[SubPLOs]],"&gt;=5",tbl_task7[[SubPLOs]:[SubPLOs]],"&lt;6")+SUMIFS(tbl_task8[S72],tbl_task8[[SubPLOs]:[SubPLOs]],"&gt;=5",tbl_task8[[SubPLOs]:[SubPLOs]],"&lt;6")+SUMIFS(tbl_task9[S72],tbl_task9[[SubPLOs]:[SubPLOs]],"&gt;=5",tbl_task9[[SubPLOs]:[SubPLOs]],"&lt;6")+SUMIFS(tbl_task10[S72],tbl_task10[[SubPLOs]:[SubPLOs]],"&gt;=5",tbl_task10[[SubPLOs]:[SubPLOs]],"&lt;6")</f>
        <v>0</v>
      </c>
      <c r="BZ184" s="41">
        <f>SUMIFS(tbl_task1[S73],tbl_task1[[SubPLOs]:[SubPLOs]],"&gt;=5",tbl_task1[[SubPLOs]:[SubPLOs]],"&lt;6")+SUMIFS(tbl_task2[S73],tbl_task2[[SubPLOs]:[SubPLOs]],"&gt;=5",tbl_task2[[SubPLOs]:[SubPLOs]],"&lt;6")+SUMIFS(tbl_task3[S73],tbl_task3[[SubPLOs]:[SubPLOs]],"&gt;=5",tbl_task3[[SubPLOs]:[SubPLOs]],"&lt;6")+SUMIFS(tbl_task4[S73],tbl_task4[[SubPLOs]:[SubPLOs]],"&gt;=5",tbl_task4[[SubPLOs]:[SubPLOs]],"&lt;6")+SUMIFS(tbl_task5[S73],tbl_task5[[SubPLOs]:[SubPLOs]],"&gt;=5",tbl_task5[[SubPLOs]:[SubPLOs]],"&lt;6")+SUMIFS(tbl_task6[S73],tbl_task6[[SubPLOs]:[SubPLOs]],"&gt;=5",tbl_task6[[SubPLOs]:[SubPLOs]],"&lt;6")+SUMIFS(tbl_task7[S73],tbl_task7[[SubPLOs]:[SubPLOs]],"&gt;=5",tbl_task7[[SubPLOs]:[SubPLOs]],"&lt;6")+SUMIFS(tbl_task8[S73],tbl_task8[[SubPLOs]:[SubPLOs]],"&gt;=5",tbl_task8[[SubPLOs]:[SubPLOs]],"&lt;6")+SUMIFS(tbl_task9[S73],tbl_task9[[SubPLOs]:[SubPLOs]],"&gt;=5",tbl_task9[[SubPLOs]:[SubPLOs]],"&lt;6")+SUMIFS(tbl_task10[S73],tbl_task10[[SubPLOs]:[SubPLOs]],"&gt;=5",tbl_task10[[SubPLOs]:[SubPLOs]],"&lt;6")</f>
        <v>0</v>
      </c>
      <c r="CA184" s="41">
        <f>SUMIFS(tbl_task1[S74],tbl_task1[[SubPLOs]:[SubPLOs]],"&gt;=5",tbl_task1[[SubPLOs]:[SubPLOs]],"&lt;6")+SUMIFS(tbl_task2[S74],tbl_task2[[SubPLOs]:[SubPLOs]],"&gt;=5",tbl_task2[[SubPLOs]:[SubPLOs]],"&lt;6")+SUMIFS(tbl_task3[S74],tbl_task3[[SubPLOs]:[SubPLOs]],"&gt;=5",tbl_task3[[SubPLOs]:[SubPLOs]],"&lt;6")+SUMIFS(tbl_task4[S74],tbl_task4[[SubPLOs]:[SubPLOs]],"&gt;=5",tbl_task4[[SubPLOs]:[SubPLOs]],"&lt;6")+SUMIFS(tbl_task5[S74],tbl_task5[[SubPLOs]:[SubPLOs]],"&gt;=5",tbl_task5[[SubPLOs]:[SubPLOs]],"&lt;6")+SUMIFS(tbl_task6[S74],tbl_task6[[SubPLOs]:[SubPLOs]],"&gt;=5",tbl_task6[[SubPLOs]:[SubPLOs]],"&lt;6")+SUMIFS(tbl_task7[S74],tbl_task7[[SubPLOs]:[SubPLOs]],"&gt;=5",tbl_task7[[SubPLOs]:[SubPLOs]],"&lt;6")+SUMIFS(tbl_task8[S74],tbl_task8[[SubPLOs]:[SubPLOs]],"&gt;=5",tbl_task8[[SubPLOs]:[SubPLOs]],"&lt;6")+SUMIFS(tbl_task9[S74],tbl_task9[[SubPLOs]:[SubPLOs]],"&gt;=5",tbl_task9[[SubPLOs]:[SubPLOs]],"&lt;6")+SUMIFS(tbl_task10[S74],tbl_task10[[SubPLOs]:[SubPLOs]],"&gt;=5",tbl_task10[[SubPLOs]:[SubPLOs]],"&lt;6")</f>
        <v>0</v>
      </c>
      <c r="CB184" s="41">
        <f>SUMIFS(tbl_task1[S75],tbl_task1[[SubPLOs]:[SubPLOs]],"&gt;=5",tbl_task1[[SubPLOs]:[SubPLOs]],"&lt;6")+SUMIFS(tbl_task2[S75],tbl_task2[[SubPLOs]:[SubPLOs]],"&gt;=5",tbl_task2[[SubPLOs]:[SubPLOs]],"&lt;6")+SUMIFS(tbl_task3[S75],tbl_task3[[SubPLOs]:[SubPLOs]],"&gt;=5",tbl_task3[[SubPLOs]:[SubPLOs]],"&lt;6")+SUMIFS(tbl_task4[S75],tbl_task4[[SubPLOs]:[SubPLOs]],"&gt;=5",tbl_task4[[SubPLOs]:[SubPLOs]],"&lt;6")+SUMIFS(tbl_task5[S75],tbl_task5[[SubPLOs]:[SubPLOs]],"&gt;=5",tbl_task5[[SubPLOs]:[SubPLOs]],"&lt;6")+SUMIFS(tbl_task6[S75],tbl_task6[[SubPLOs]:[SubPLOs]],"&gt;=5",tbl_task6[[SubPLOs]:[SubPLOs]],"&lt;6")+SUMIFS(tbl_task7[S75],tbl_task7[[SubPLOs]:[SubPLOs]],"&gt;=5",tbl_task7[[SubPLOs]:[SubPLOs]],"&lt;6")+SUMIFS(tbl_task8[S75],tbl_task8[[SubPLOs]:[SubPLOs]],"&gt;=5",tbl_task8[[SubPLOs]:[SubPLOs]],"&lt;6")+SUMIFS(tbl_task9[S75],tbl_task9[[SubPLOs]:[SubPLOs]],"&gt;=5",tbl_task9[[SubPLOs]:[SubPLOs]],"&lt;6")+SUMIFS(tbl_task10[S75],tbl_task10[[SubPLOs]:[SubPLOs]],"&gt;=5",tbl_task10[[SubPLOs]:[SubPLOs]],"&lt;6")</f>
        <v>0</v>
      </c>
      <c r="CC184" s="41">
        <f>SUMIFS(tbl_task1[S76],tbl_task1[[SubPLOs]:[SubPLOs]],"&gt;=5",tbl_task1[[SubPLOs]:[SubPLOs]],"&lt;6")+SUMIFS(tbl_task2[S76],tbl_task2[[SubPLOs]:[SubPLOs]],"&gt;=5",tbl_task2[[SubPLOs]:[SubPLOs]],"&lt;6")+SUMIFS(tbl_task3[S76],tbl_task3[[SubPLOs]:[SubPLOs]],"&gt;=5",tbl_task3[[SubPLOs]:[SubPLOs]],"&lt;6")+SUMIFS(tbl_task4[S76],tbl_task4[[SubPLOs]:[SubPLOs]],"&gt;=5",tbl_task4[[SubPLOs]:[SubPLOs]],"&lt;6")+SUMIFS(tbl_task5[S76],tbl_task5[[SubPLOs]:[SubPLOs]],"&gt;=5",tbl_task5[[SubPLOs]:[SubPLOs]],"&lt;6")+SUMIFS(tbl_task6[S76],tbl_task6[[SubPLOs]:[SubPLOs]],"&gt;=5",tbl_task6[[SubPLOs]:[SubPLOs]],"&lt;6")+SUMIFS(tbl_task7[S76],tbl_task7[[SubPLOs]:[SubPLOs]],"&gt;=5",tbl_task7[[SubPLOs]:[SubPLOs]],"&lt;6")+SUMIFS(tbl_task8[S76],tbl_task8[[SubPLOs]:[SubPLOs]],"&gt;=5",tbl_task8[[SubPLOs]:[SubPLOs]],"&lt;6")+SUMIFS(tbl_task9[S76],tbl_task9[[SubPLOs]:[SubPLOs]],"&gt;=5",tbl_task9[[SubPLOs]:[SubPLOs]],"&lt;6")+SUMIFS(tbl_task10[S76],tbl_task10[[SubPLOs]:[SubPLOs]],"&gt;=5",tbl_task10[[SubPLOs]:[SubPLOs]],"&lt;6")</f>
        <v>0</v>
      </c>
      <c r="CD184" s="41">
        <f>SUMIFS(tbl_task1[S77],tbl_task1[[SubPLOs]:[SubPLOs]],"&gt;=5",tbl_task1[[SubPLOs]:[SubPLOs]],"&lt;6")+SUMIFS(tbl_task2[S77],tbl_task2[[SubPLOs]:[SubPLOs]],"&gt;=5",tbl_task2[[SubPLOs]:[SubPLOs]],"&lt;6")+SUMIFS(tbl_task3[S77],tbl_task3[[SubPLOs]:[SubPLOs]],"&gt;=5",tbl_task3[[SubPLOs]:[SubPLOs]],"&lt;6")+SUMIFS(tbl_task4[S77],tbl_task4[[SubPLOs]:[SubPLOs]],"&gt;=5",tbl_task4[[SubPLOs]:[SubPLOs]],"&lt;6")+SUMIFS(tbl_task5[S77],tbl_task5[[SubPLOs]:[SubPLOs]],"&gt;=5",tbl_task5[[SubPLOs]:[SubPLOs]],"&lt;6")+SUMIFS(tbl_task6[S77],tbl_task6[[SubPLOs]:[SubPLOs]],"&gt;=5",tbl_task6[[SubPLOs]:[SubPLOs]],"&lt;6")+SUMIFS(tbl_task7[S77],tbl_task7[[SubPLOs]:[SubPLOs]],"&gt;=5",tbl_task7[[SubPLOs]:[SubPLOs]],"&lt;6")+SUMIFS(tbl_task8[S77],tbl_task8[[SubPLOs]:[SubPLOs]],"&gt;=5",tbl_task8[[SubPLOs]:[SubPLOs]],"&lt;6")+SUMIFS(tbl_task9[S77],tbl_task9[[SubPLOs]:[SubPLOs]],"&gt;=5",tbl_task9[[SubPLOs]:[SubPLOs]],"&lt;6")+SUMIFS(tbl_task10[S77],tbl_task10[[SubPLOs]:[SubPLOs]],"&gt;=5",tbl_task10[[SubPLOs]:[SubPLOs]],"&lt;6")</f>
        <v>0</v>
      </c>
      <c r="CE184" s="41">
        <f>SUMIFS(tbl_task1[S78],tbl_task1[[SubPLOs]:[SubPLOs]],"&gt;=5",tbl_task1[[SubPLOs]:[SubPLOs]],"&lt;6")+SUMIFS(tbl_task2[S78],tbl_task2[[SubPLOs]:[SubPLOs]],"&gt;=5",tbl_task2[[SubPLOs]:[SubPLOs]],"&lt;6")+SUMIFS(tbl_task3[S78],tbl_task3[[SubPLOs]:[SubPLOs]],"&gt;=5",tbl_task3[[SubPLOs]:[SubPLOs]],"&lt;6")+SUMIFS(tbl_task4[S78],tbl_task4[[SubPLOs]:[SubPLOs]],"&gt;=5",tbl_task4[[SubPLOs]:[SubPLOs]],"&lt;6")+SUMIFS(tbl_task5[S78],tbl_task5[[SubPLOs]:[SubPLOs]],"&gt;=5",tbl_task5[[SubPLOs]:[SubPLOs]],"&lt;6")+SUMIFS(tbl_task6[S78],tbl_task6[[SubPLOs]:[SubPLOs]],"&gt;=5",tbl_task6[[SubPLOs]:[SubPLOs]],"&lt;6")+SUMIFS(tbl_task7[S78],tbl_task7[[SubPLOs]:[SubPLOs]],"&gt;=5",tbl_task7[[SubPLOs]:[SubPLOs]],"&lt;6")+SUMIFS(tbl_task8[S78],tbl_task8[[SubPLOs]:[SubPLOs]],"&gt;=5",tbl_task8[[SubPLOs]:[SubPLOs]],"&lt;6")+SUMIFS(tbl_task9[S78],tbl_task9[[SubPLOs]:[SubPLOs]],"&gt;=5",tbl_task9[[SubPLOs]:[SubPLOs]],"&lt;6")+SUMIFS(tbl_task10[S78],tbl_task10[[SubPLOs]:[SubPLOs]],"&gt;=5",tbl_task10[[SubPLOs]:[SubPLOs]],"&lt;6")</f>
        <v>0</v>
      </c>
      <c r="CF184" s="41">
        <f>SUMIFS(tbl_task1[S79],tbl_task1[[SubPLOs]:[SubPLOs]],"&gt;=5",tbl_task1[[SubPLOs]:[SubPLOs]],"&lt;6")+SUMIFS(tbl_task2[S79],tbl_task2[[SubPLOs]:[SubPLOs]],"&gt;=5",tbl_task2[[SubPLOs]:[SubPLOs]],"&lt;6")+SUMIFS(tbl_task3[S79],tbl_task3[[SubPLOs]:[SubPLOs]],"&gt;=5",tbl_task3[[SubPLOs]:[SubPLOs]],"&lt;6")+SUMIFS(tbl_task4[S79],tbl_task4[[SubPLOs]:[SubPLOs]],"&gt;=5",tbl_task4[[SubPLOs]:[SubPLOs]],"&lt;6")+SUMIFS(tbl_task5[S79],tbl_task5[[SubPLOs]:[SubPLOs]],"&gt;=5",tbl_task5[[SubPLOs]:[SubPLOs]],"&lt;6")+SUMIFS(tbl_task6[S79],tbl_task6[[SubPLOs]:[SubPLOs]],"&gt;=5",tbl_task6[[SubPLOs]:[SubPLOs]],"&lt;6")+SUMIFS(tbl_task7[S79],tbl_task7[[SubPLOs]:[SubPLOs]],"&gt;=5",tbl_task7[[SubPLOs]:[SubPLOs]],"&lt;6")+SUMIFS(tbl_task8[S79],tbl_task8[[SubPLOs]:[SubPLOs]],"&gt;=5",tbl_task8[[SubPLOs]:[SubPLOs]],"&lt;6")+SUMIFS(tbl_task9[S79],tbl_task9[[SubPLOs]:[SubPLOs]],"&gt;=5",tbl_task9[[SubPLOs]:[SubPLOs]],"&lt;6")+SUMIFS(tbl_task10[S79],tbl_task10[[SubPLOs]:[SubPLOs]],"&gt;=5",tbl_task10[[SubPLOs]:[SubPLOs]],"&lt;6")</f>
        <v>0</v>
      </c>
      <c r="CG184" s="41">
        <f>SUMIFS(tbl_task1[S80],tbl_task1[[SubPLOs]:[SubPLOs]],"&gt;=5",tbl_task1[[SubPLOs]:[SubPLOs]],"&lt;6")+SUMIFS(tbl_task2[S80],tbl_task2[[SubPLOs]:[SubPLOs]],"&gt;=5",tbl_task2[[SubPLOs]:[SubPLOs]],"&lt;6")+SUMIFS(tbl_task3[S80],tbl_task3[[SubPLOs]:[SubPLOs]],"&gt;=5",tbl_task3[[SubPLOs]:[SubPLOs]],"&lt;6")+SUMIFS(tbl_task4[S80],tbl_task4[[SubPLOs]:[SubPLOs]],"&gt;=5",tbl_task4[[SubPLOs]:[SubPLOs]],"&lt;6")+SUMIFS(tbl_task5[S80],tbl_task5[[SubPLOs]:[SubPLOs]],"&gt;=5",tbl_task5[[SubPLOs]:[SubPLOs]],"&lt;6")+SUMIFS(tbl_task6[S80],tbl_task6[[SubPLOs]:[SubPLOs]],"&gt;=5",tbl_task6[[SubPLOs]:[SubPLOs]],"&lt;6")+SUMIFS(tbl_task7[S80],tbl_task7[[SubPLOs]:[SubPLOs]],"&gt;=5",tbl_task7[[SubPLOs]:[SubPLOs]],"&lt;6")+SUMIFS(tbl_task8[S80],tbl_task8[[SubPLOs]:[SubPLOs]],"&gt;=5",tbl_task8[[SubPLOs]:[SubPLOs]],"&lt;6")+SUMIFS(tbl_task9[S80],tbl_task9[[SubPLOs]:[SubPLOs]],"&gt;=5",tbl_task9[[SubPLOs]:[SubPLOs]],"&lt;6")+SUMIFS(tbl_task10[S80],tbl_task10[[SubPLOs]:[SubPLOs]],"&gt;=5",tbl_task10[[SubPLOs]:[SubPLOs]],"&lt;6")</f>
        <v>0</v>
      </c>
      <c r="CH184" s="41">
        <f>SUMIFS(tbl_task1[S81],tbl_task1[[SubPLOs]:[SubPLOs]],"&gt;=5",tbl_task1[[SubPLOs]:[SubPLOs]],"&lt;6")+SUMIFS(tbl_task2[S81],tbl_task2[[SubPLOs]:[SubPLOs]],"&gt;=5",tbl_task2[[SubPLOs]:[SubPLOs]],"&lt;6")+SUMIFS(tbl_task3[S81],tbl_task3[[SubPLOs]:[SubPLOs]],"&gt;=5",tbl_task3[[SubPLOs]:[SubPLOs]],"&lt;6")+SUMIFS(tbl_task4[S81],tbl_task4[[SubPLOs]:[SubPLOs]],"&gt;=5",tbl_task4[[SubPLOs]:[SubPLOs]],"&lt;6")+SUMIFS(tbl_task5[S81],tbl_task5[[SubPLOs]:[SubPLOs]],"&gt;=5",tbl_task5[[SubPLOs]:[SubPLOs]],"&lt;6")+SUMIFS(tbl_task6[S81],tbl_task6[[SubPLOs]:[SubPLOs]],"&gt;=5",tbl_task6[[SubPLOs]:[SubPLOs]],"&lt;6")+SUMIFS(tbl_task7[S81],tbl_task7[[SubPLOs]:[SubPLOs]],"&gt;=5",tbl_task7[[SubPLOs]:[SubPLOs]],"&lt;6")+SUMIFS(tbl_task8[S81],tbl_task8[[SubPLOs]:[SubPLOs]],"&gt;=5",tbl_task8[[SubPLOs]:[SubPLOs]],"&lt;6")+SUMIFS(tbl_task9[S81],tbl_task9[[SubPLOs]:[SubPLOs]],"&gt;=5",tbl_task9[[SubPLOs]:[SubPLOs]],"&lt;6")+SUMIFS(tbl_task10[S81],tbl_task10[[SubPLOs]:[SubPLOs]],"&gt;=5",tbl_task10[[SubPLOs]:[SubPLOs]],"&lt;6")</f>
        <v>0</v>
      </c>
      <c r="CI184" s="41">
        <f>SUMIFS(tbl_task1[S82],tbl_task1[[SubPLOs]:[SubPLOs]],"&gt;=5",tbl_task1[[SubPLOs]:[SubPLOs]],"&lt;6")+SUMIFS(tbl_task2[S82],tbl_task2[[SubPLOs]:[SubPLOs]],"&gt;=5",tbl_task2[[SubPLOs]:[SubPLOs]],"&lt;6")+SUMIFS(tbl_task3[S82],tbl_task3[[SubPLOs]:[SubPLOs]],"&gt;=5",tbl_task3[[SubPLOs]:[SubPLOs]],"&lt;6")+SUMIFS(tbl_task4[S82],tbl_task4[[SubPLOs]:[SubPLOs]],"&gt;=5",tbl_task4[[SubPLOs]:[SubPLOs]],"&lt;6")+SUMIFS(tbl_task5[S82],tbl_task5[[SubPLOs]:[SubPLOs]],"&gt;=5",tbl_task5[[SubPLOs]:[SubPLOs]],"&lt;6")+SUMIFS(tbl_task6[S82],tbl_task6[[SubPLOs]:[SubPLOs]],"&gt;=5",tbl_task6[[SubPLOs]:[SubPLOs]],"&lt;6")+SUMIFS(tbl_task7[S82],tbl_task7[[SubPLOs]:[SubPLOs]],"&gt;=5",tbl_task7[[SubPLOs]:[SubPLOs]],"&lt;6")+SUMIFS(tbl_task8[S82],tbl_task8[[SubPLOs]:[SubPLOs]],"&gt;=5",tbl_task8[[SubPLOs]:[SubPLOs]],"&lt;6")+SUMIFS(tbl_task9[S82],tbl_task9[[SubPLOs]:[SubPLOs]],"&gt;=5",tbl_task9[[SubPLOs]:[SubPLOs]],"&lt;6")+SUMIFS(tbl_task10[S82],tbl_task10[[SubPLOs]:[SubPLOs]],"&gt;=5",tbl_task10[[SubPLOs]:[SubPLOs]],"&lt;6")</f>
        <v>0</v>
      </c>
      <c r="CJ184" s="41">
        <f>SUMIFS(tbl_task1[S83],tbl_task1[[SubPLOs]:[SubPLOs]],"&gt;=5",tbl_task1[[SubPLOs]:[SubPLOs]],"&lt;6")+SUMIFS(tbl_task2[S83],tbl_task2[[SubPLOs]:[SubPLOs]],"&gt;=5",tbl_task2[[SubPLOs]:[SubPLOs]],"&lt;6")+SUMIFS(tbl_task3[S83],tbl_task3[[SubPLOs]:[SubPLOs]],"&gt;=5",tbl_task3[[SubPLOs]:[SubPLOs]],"&lt;6")+SUMIFS(tbl_task4[S83],tbl_task4[[SubPLOs]:[SubPLOs]],"&gt;=5",tbl_task4[[SubPLOs]:[SubPLOs]],"&lt;6")+SUMIFS(tbl_task5[S83],tbl_task5[[SubPLOs]:[SubPLOs]],"&gt;=5",tbl_task5[[SubPLOs]:[SubPLOs]],"&lt;6")+SUMIFS(tbl_task6[S83],tbl_task6[[SubPLOs]:[SubPLOs]],"&gt;=5",tbl_task6[[SubPLOs]:[SubPLOs]],"&lt;6")+SUMIFS(tbl_task7[S83],tbl_task7[[SubPLOs]:[SubPLOs]],"&gt;=5",tbl_task7[[SubPLOs]:[SubPLOs]],"&lt;6")+SUMIFS(tbl_task8[S83],tbl_task8[[SubPLOs]:[SubPLOs]],"&gt;=5",tbl_task8[[SubPLOs]:[SubPLOs]],"&lt;6")+SUMIFS(tbl_task9[S83],tbl_task9[[SubPLOs]:[SubPLOs]],"&gt;=5",tbl_task9[[SubPLOs]:[SubPLOs]],"&lt;6")+SUMIFS(tbl_task10[S83],tbl_task10[[SubPLOs]:[SubPLOs]],"&gt;=5",tbl_task10[[SubPLOs]:[SubPLOs]],"&lt;6")</f>
        <v>0</v>
      </c>
      <c r="CK184" s="41">
        <f>SUMIFS(tbl_task1[S84],tbl_task1[[SubPLOs]:[SubPLOs]],"&gt;=5",tbl_task1[[SubPLOs]:[SubPLOs]],"&lt;6")+SUMIFS(tbl_task2[S84],tbl_task2[[SubPLOs]:[SubPLOs]],"&gt;=5",tbl_task2[[SubPLOs]:[SubPLOs]],"&lt;6")+SUMIFS(tbl_task3[S84],tbl_task3[[SubPLOs]:[SubPLOs]],"&gt;=5",tbl_task3[[SubPLOs]:[SubPLOs]],"&lt;6")+SUMIFS(tbl_task4[S84],tbl_task4[[SubPLOs]:[SubPLOs]],"&gt;=5",tbl_task4[[SubPLOs]:[SubPLOs]],"&lt;6")+SUMIFS(tbl_task5[S84],tbl_task5[[SubPLOs]:[SubPLOs]],"&gt;=5",tbl_task5[[SubPLOs]:[SubPLOs]],"&lt;6")+SUMIFS(tbl_task6[S84],tbl_task6[[SubPLOs]:[SubPLOs]],"&gt;=5",tbl_task6[[SubPLOs]:[SubPLOs]],"&lt;6")+SUMIFS(tbl_task7[S84],tbl_task7[[SubPLOs]:[SubPLOs]],"&gt;=5",tbl_task7[[SubPLOs]:[SubPLOs]],"&lt;6")+SUMIFS(tbl_task8[S84],tbl_task8[[SubPLOs]:[SubPLOs]],"&gt;=5",tbl_task8[[SubPLOs]:[SubPLOs]],"&lt;6")+SUMIFS(tbl_task9[S84],tbl_task9[[SubPLOs]:[SubPLOs]],"&gt;=5",tbl_task9[[SubPLOs]:[SubPLOs]],"&lt;6")+SUMIFS(tbl_task10[S84],tbl_task10[[SubPLOs]:[SubPLOs]],"&gt;=5",tbl_task10[[SubPLOs]:[SubPLOs]],"&lt;6")</f>
        <v>0</v>
      </c>
      <c r="CL184" s="41">
        <f>SUMIFS(tbl_task1[S85],tbl_task1[[SubPLOs]:[SubPLOs]],"&gt;=5",tbl_task1[[SubPLOs]:[SubPLOs]],"&lt;6")+SUMIFS(tbl_task2[S85],tbl_task2[[SubPLOs]:[SubPLOs]],"&gt;=5",tbl_task2[[SubPLOs]:[SubPLOs]],"&lt;6")+SUMIFS(tbl_task3[S85],tbl_task3[[SubPLOs]:[SubPLOs]],"&gt;=5",tbl_task3[[SubPLOs]:[SubPLOs]],"&lt;6")+SUMIFS(tbl_task4[S85],tbl_task4[[SubPLOs]:[SubPLOs]],"&gt;=5",tbl_task4[[SubPLOs]:[SubPLOs]],"&lt;6")+SUMIFS(tbl_task5[S85],tbl_task5[[SubPLOs]:[SubPLOs]],"&gt;=5",tbl_task5[[SubPLOs]:[SubPLOs]],"&lt;6")+SUMIFS(tbl_task6[S85],tbl_task6[[SubPLOs]:[SubPLOs]],"&gt;=5",tbl_task6[[SubPLOs]:[SubPLOs]],"&lt;6")+SUMIFS(tbl_task7[S85],tbl_task7[[SubPLOs]:[SubPLOs]],"&gt;=5",tbl_task7[[SubPLOs]:[SubPLOs]],"&lt;6")+SUMIFS(tbl_task8[S85],tbl_task8[[SubPLOs]:[SubPLOs]],"&gt;=5",tbl_task8[[SubPLOs]:[SubPLOs]],"&lt;6")+SUMIFS(tbl_task9[S85],tbl_task9[[SubPLOs]:[SubPLOs]],"&gt;=5",tbl_task9[[SubPLOs]:[SubPLOs]],"&lt;6")+SUMIFS(tbl_task10[S85],tbl_task10[[SubPLOs]:[SubPLOs]],"&gt;=5",tbl_task10[[SubPLOs]:[SubPLOs]],"&lt;6")</f>
        <v>0</v>
      </c>
      <c r="CM184" s="41">
        <f>SUMIFS(tbl_task1[S86],tbl_task1[[SubPLOs]:[SubPLOs]],"&gt;=5",tbl_task1[[SubPLOs]:[SubPLOs]],"&lt;6")+SUMIFS(tbl_task2[S86],tbl_task2[[SubPLOs]:[SubPLOs]],"&gt;=5",tbl_task2[[SubPLOs]:[SubPLOs]],"&lt;6")+SUMIFS(tbl_task3[S86],tbl_task3[[SubPLOs]:[SubPLOs]],"&gt;=5",tbl_task3[[SubPLOs]:[SubPLOs]],"&lt;6")+SUMIFS(tbl_task4[S86],tbl_task4[[SubPLOs]:[SubPLOs]],"&gt;=5",tbl_task4[[SubPLOs]:[SubPLOs]],"&lt;6")+SUMIFS(tbl_task5[S86],tbl_task5[[SubPLOs]:[SubPLOs]],"&gt;=5",tbl_task5[[SubPLOs]:[SubPLOs]],"&lt;6")+SUMIFS(tbl_task6[S86],tbl_task6[[SubPLOs]:[SubPLOs]],"&gt;=5",tbl_task6[[SubPLOs]:[SubPLOs]],"&lt;6")+SUMIFS(tbl_task7[S86],tbl_task7[[SubPLOs]:[SubPLOs]],"&gt;=5",tbl_task7[[SubPLOs]:[SubPLOs]],"&lt;6")+SUMIFS(tbl_task8[S86],tbl_task8[[SubPLOs]:[SubPLOs]],"&gt;=5",tbl_task8[[SubPLOs]:[SubPLOs]],"&lt;6")+SUMIFS(tbl_task9[S86],tbl_task9[[SubPLOs]:[SubPLOs]],"&gt;=5",tbl_task9[[SubPLOs]:[SubPLOs]],"&lt;6")+SUMIFS(tbl_task10[S86],tbl_task10[[SubPLOs]:[SubPLOs]],"&gt;=5",tbl_task10[[SubPLOs]:[SubPLOs]],"&lt;6")</f>
        <v>0</v>
      </c>
      <c r="CN184" s="41">
        <f>SUMIFS(tbl_task1[S87],tbl_task1[[SubPLOs]:[SubPLOs]],"&gt;=5",tbl_task1[[SubPLOs]:[SubPLOs]],"&lt;6")+SUMIFS(tbl_task2[S87],tbl_task2[[SubPLOs]:[SubPLOs]],"&gt;=5",tbl_task2[[SubPLOs]:[SubPLOs]],"&lt;6")+SUMIFS(tbl_task3[S87],tbl_task3[[SubPLOs]:[SubPLOs]],"&gt;=5",tbl_task3[[SubPLOs]:[SubPLOs]],"&lt;6")+SUMIFS(tbl_task4[S87],tbl_task4[[SubPLOs]:[SubPLOs]],"&gt;=5",tbl_task4[[SubPLOs]:[SubPLOs]],"&lt;6")+SUMIFS(tbl_task5[S87],tbl_task5[[SubPLOs]:[SubPLOs]],"&gt;=5",tbl_task5[[SubPLOs]:[SubPLOs]],"&lt;6")+SUMIFS(tbl_task6[S87],tbl_task6[[SubPLOs]:[SubPLOs]],"&gt;=5",tbl_task6[[SubPLOs]:[SubPLOs]],"&lt;6")+SUMIFS(tbl_task7[S87],tbl_task7[[SubPLOs]:[SubPLOs]],"&gt;=5",tbl_task7[[SubPLOs]:[SubPLOs]],"&lt;6")+SUMIFS(tbl_task8[S87],tbl_task8[[SubPLOs]:[SubPLOs]],"&gt;=5",tbl_task8[[SubPLOs]:[SubPLOs]],"&lt;6")+SUMIFS(tbl_task9[S87],tbl_task9[[SubPLOs]:[SubPLOs]],"&gt;=5",tbl_task9[[SubPLOs]:[SubPLOs]],"&lt;6")+SUMIFS(tbl_task10[S87],tbl_task10[[SubPLOs]:[SubPLOs]],"&gt;=5",tbl_task10[[SubPLOs]:[SubPLOs]],"&lt;6")</f>
        <v>0</v>
      </c>
      <c r="CO184" s="41">
        <f>SUMIFS(tbl_task1[S88],tbl_task1[[SubPLOs]:[SubPLOs]],"&gt;=5",tbl_task1[[SubPLOs]:[SubPLOs]],"&lt;6")+SUMIFS(tbl_task2[S88],tbl_task2[[SubPLOs]:[SubPLOs]],"&gt;=5",tbl_task2[[SubPLOs]:[SubPLOs]],"&lt;6")+SUMIFS(tbl_task3[S88],tbl_task3[[SubPLOs]:[SubPLOs]],"&gt;=5",tbl_task3[[SubPLOs]:[SubPLOs]],"&lt;6")+SUMIFS(tbl_task4[S88],tbl_task4[[SubPLOs]:[SubPLOs]],"&gt;=5",tbl_task4[[SubPLOs]:[SubPLOs]],"&lt;6")+SUMIFS(tbl_task5[S88],tbl_task5[[SubPLOs]:[SubPLOs]],"&gt;=5",tbl_task5[[SubPLOs]:[SubPLOs]],"&lt;6")+SUMIFS(tbl_task6[S88],tbl_task6[[SubPLOs]:[SubPLOs]],"&gt;=5",tbl_task6[[SubPLOs]:[SubPLOs]],"&lt;6")+SUMIFS(tbl_task7[S88],tbl_task7[[SubPLOs]:[SubPLOs]],"&gt;=5",tbl_task7[[SubPLOs]:[SubPLOs]],"&lt;6")+SUMIFS(tbl_task8[S88],tbl_task8[[SubPLOs]:[SubPLOs]],"&gt;=5",tbl_task8[[SubPLOs]:[SubPLOs]],"&lt;6")+SUMIFS(tbl_task9[S88],tbl_task9[[SubPLOs]:[SubPLOs]],"&gt;=5",tbl_task9[[SubPLOs]:[SubPLOs]],"&lt;6")+SUMIFS(tbl_task10[S88],tbl_task10[[SubPLOs]:[SubPLOs]],"&gt;=5",tbl_task10[[SubPLOs]:[SubPLOs]],"&lt;6")</f>
        <v>0</v>
      </c>
      <c r="CP184" s="41">
        <f>SUMIFS(tbl_task1[S89],tbl_task1[[SubPLOs]:[SubPLOs]],"&gt;=5",tbl_task1[[SubPLOs]:[SubPLOs]],"&lt;6")+SUMIFS(tbl_task2[S89],tbl_task2[[SubPLOs]:[SubPLOs]],"&gt;=5",tbl_task2[[SubPLOs]:[SubPLOs]],"&lt;6")+SUMIFS(tbl_task3[S89],tbl_task3[[SubPLOs]:[SubPLOs]],"&gt;=5",tbl_task3[[SubPLOs]:[SubPLOs]],"&lt;6")+SUMIFS(tbl_task4[S89],tbl_task4[[SubPLOs]:[SubPLOs]],"&gt;=5",tbl_task4[[SubPLOs]:[SubPLOs]],"&lt;6")+SUMIFS(tbl_task5[S89],tbl_task5[[SubPLOs]:[SubPLOs]],"&gt;=5",tbl_task5[[SubPLOs]:[SubPLOs]],"&lt;6")+SUMIFS(tbl_task6[S89],tbl_task6[[SubPLOs]:[SubPLOs]],"&gt;=5",tbl_task6[[SubPLOs]:[SubPLOs]],"&lt;6")+SUMIFS(tbl_task7[S89],tbl_task7[[SubPLOs]:[SubPLOs]],"&gt;=5",tbl_task7[[SubPLOs]:[SubPLOs]],"&lt;6")+SUMIFS(tbl_task8[S89],tbl_task8[[SubPLOs]:[SubPLOs]],"&gt;=5",tbl_task8[[SubPLOs]:[SubPLOs]],"&lt;6")+SUMIFS(tbl_task9[S89],tbl_task9[[SubPLOs]:[SubPLOs]],"&gt;=5",tbl_task9[[SubPLOs]:[SubPLOs]],"&lt;6")+SUMIFS(tbl_task10[S89],tbl_task10[[SubPLOs]:[SubPLOs]],"&gt;=5",tbl_task10[[SubPLOs]:[SubPLOs]],"&lt;6")</f>
        <v>0</v>
      </c>
      <c r="CQ184" s="41">
        <f>SUMIFS(tbl_task1[S90],tbl_task1[[SubPLOs]:[SubPLOs]],"&gt;=5",tbl_task1[[SubPLOs]:[SubPLOs]],"&lt;6")+SUMIFS(tbl_task2[S90],tbl_task2[[SubPLOs]:[SubPLOs]],"&gt;=5",tbl_task2[[SubPLOs]:[SubPLOs]],"&lt;6")+SUMIFS(tbl_task3[S90],tbl_task3[[SubPLOs]:[SubPLOs]],"&gt;=5",tbl_task3[[SubPLOs]:[SubPLOs]],"&lt;6")+SUMIFS(tbl_task4[S90],tbl_task4[[SubPLOs]:[SubPLOs]],"&gt;=5",tbl_task4[[SubPLOs]:[SubPLOs]],"&lt;6")+SUMIFS(tbl_task5[S90],tbl_task5[[SubPLOs]:[SubPLOs]],"&gt;=5",tbl_task5[[SubPLOs]:[SubPLOs]],"&lt;6")+SUMIFS(tbl_task6[S90],tbl_task6[[SubPLOs]:[SubPLOs]],"&gt;=5",tbl_task6[[SubPLOs]:[SubPLOs]],"&lt;6")+SUMIFS(tbl_task7[S90],tbl_task7[[SubPLOs]:[SubPLOs]],"&gt;=5",tbl_task7[[SubPLOs]:[SubPLOs]],"&lt;6")+SUMIFS(tbl_task8[S90],tbl_task8[[SubPLOs]:[SubPLOs]],"&gt;=5",tbl_task8[[SubPLOs]:[SubPLOs]],"&lt;6")+SUMIFS(tbl_task9[S90],tbl_task9[[SubPLOs]:[SubPLOs]],"&gt;=5",tbl_task9[[SubPLOs]:[SubPLOs]],"&lt;6")+SUMIFS(tbl_task10[S90],tbl_task10[[SubPLOs]:[SubPLOs]],"&gt;=5",tbl_task10[[SubPLOs]:[SubPLOs]],"&lt;6")</f>
        <v>0</v>
      </c>
      <c r="CR184" s="41">
        <f>SUMIFS(tbl_task1[S91],tbl_task1[[SubPLOs]:[SubPLOs]],"&gt;=5",tbl_task1[[SubPLOs]:[SubPLOs]],"&lt;6")+SUMIFS(tbl_task2[S91],tbl_task2[[SubPLOs]:[SubPLOs]],"&gt;=5",tbl_task2[[SubPLOs]:[SubPLOs]],"&lt;6")+SUMIFS(tbl_task3[S91],tbl_task3[[SubPLOs]:[SubPLOs]],"&gt;=5",tbl_task3[[SubPLOs]:[SubPLOs]],"&lt;6")+SUMIFS(tbl_task4[S91],tbl_task4[[SubPLOs]:[SubPLOs]],"&gt;=5",tbl_task4[[SubPLOs]:[SubPLOs]],"&lt;6")+SUMIFS(tbl_task5[S91],tbl_task5[[SubPLOs]:[SubPLOs]],"&gt;=5",tbl_task5[[SubPLOs]:[SubPLOs]],"&lt;6")+SUMIFS(tbl_task6[S91],tbl_task6[[SubPLOs]:[SubPLOs]],"&gt;=5",tbl_task6[[SubPLOs]:[SubPLOs]],"&lt;6")+SUMIFS(tbl_task7[S91],tbl_task7[[SubPLOs]:[SubPLOs]],"&gt;=5",tbl_task7[[SubPLOs]:[SubPLOs]],"&lt;6")+SUMIFS(tbl_task8[S91],tbl_task8[[SubPLOs]:[SubPLOs]],"&gt;=5",tbl_task8[[SubPLOs]:[SubPLOs]],"&lt;6")+SUMIFS(tbl_task9[S91],tbl_task9[[SubPLOs]:[SubPLOs]],"&gt;=5",tbl_task9[[SubPLOs]:[SubPLOs]],"&lt;6")+SUMIFS(tbl_task10[S91],tbl_task10[[SubPLOs]:[SubPLOs]],"&gt;=5",tbl_task10[[SubPLOs]:[SubPLOs]],"&lt;6")</f>
        <v>0</v>
      </c>
      <c r="CS184" s="41">
        <f>SUMIFS(tbl_task1[S92],tbl_task1[[SubPLOs]:[SubPLOs]],"&gt;=5",tbl_task1[[SubPLOs]:[SubPLOs]],"&lt;6")+SUMIFS(tbl_task2[S92],tbl_task2[[SubPLOs]:[SubPLOs]],"&gt;=5",tbl_task2[[SubPLOs]:[SubPLOs]],"&lt;6")+SUMIFS(tbl_task3[S92],tbl_task3[[SubPLOs]:[SubPLOs]],"&gt;=5",tbl_task3[[SubPLOs]:[SubPLOs]],"&lt;6")+SUMIFS(tbl_task4[S92],tbl_task4[[SubPLOs]:[SubPLOs]],"&gt;=5",tbl_task4[[SubPLOs]:[SubPLOs]],"&lt;6")+SUMIFS(tbl_task5[S92],tbl_task5[[SubPLOs]:[SubPLOs]],"&gt;=5",tbl_task5[[SubPLOs]:[SubPLOs]],"&lt;6")+SUMIFS(tbl_task6[S92],tbl_task6[[SubPLOs]:[SubPLOs]],"&gt;=5",tbl_task6[[SubPLOs]:[SubPLOs]],"&lt;6")+SUMIFS(tbl_task7[S92],tbl_task7[[SubPLOs]:[SubPLOs]],"&gt;=5",tbl_task7[[SubPLOs]:[SubPLOs]],"&lt;6")+SUMIFS(tbl_task8[S92],tbl_task8[[SubPLOs]:[SubPLOs]],"&gt;=5",tbl_task8[[SubPLOs]:[SubPLOs]],"&lt;6")+SUMIFS(tbl_task9[S92],tbl_task9[[SubPLOs]:[SubPLOs]],"&gt;=5",tbl_task9[[SubPLOs]:[SubPLOs]],"&lt;6")+SUMIFS(tbl_task10[S92],tbl_task10[[SubPLOs]:[SubPLOs]],"&gt;=5",tbl_task10[[SubPLOs]:[SubPLOs]],"&lt;6")</f>
        <v>0</v>
      </c>
      <c r="CT184" s="41">
        <f>SUMIFS(tbl_task1[S93],tbl_task1[[SubPLOs]:[SubPLOs]],"&gt;=5",tbl_task1[[SubPLOs]:[SubPLOs]],"&lt;6")+SUMIFS(tbl_task2[S93],tbl_task2[[SubPLOs]:[SubPLOs]],"&gt;=5",tbl_task2[[SubPLOs]:[SubPLOs]],"&lt;6")+SUMIFS(tbl_task3[S93],tbl_task3[[SubPLOs]:[SubPLOs]],"&gt;=5",tbl_task3[[SubPLOs]:[SubPLOs]],"&lt;6")+SUMIFS(tbl_task4[S93],tbl_task4[[SubPLOs]:[SubPLOs]],"&gt;=5",tbl_task4[[SubPLOs]:[SubPLOs]],"&lt;6")+SUMIFS(tbl_task5[S93],tbl_task5[[SubPLOs]:[SubPLOs]],"&gt;=5",tbl_task5[[SubPLOs]:[SubPLOs]],"&lt;6")+SUMIFS(tbl_task6[S93],tbl_task6[[SubPLOs]:[SubPLOs]],"&gt;=5",tbl_task6[[SubPLOs]:[SubPLOs]],"&lt;6")+SUMIFS(tbl_task7[S93],tbl_task7[[SubPLOs]:[SubPLOs]],"&gt;=5",tbl_task7[[SubPLOs]:[SubPLOs]],"&lt;6")+SUMIFS(tbl_task8[S93],tbl_task8[[SubPLOs]:[SubPLOs]],"&gt;=5",tbl_task8[[SubPLOs]:[SubPLOs]],"&lt;6")+SUMIFS(tbl_task9[S93],tbl_task9[[SubPLOs]:[SubPLOs]],"&gt;=5",tbl_task9[[SubPLOs]:[SubPLOs]],"&lt;6")+SUMIFS(tbl_task10[S93],tbl_task10[[SubPLOs]:[SubPLOs]],"&gt;=5",tbl_task10[[SubPLOs]:[SubPLOs]],"&lt;6")</f>
        <v>0</v>
      </c>
      <c r="CU184" s="41">
        <f>SUMIFS(tbl_task1[S94],tbl_task1[[SubPLOs]:[SubPLOs]],"&gt;=5",tbl_task1[[SubPLOs]:[SubPLOs]],"&lt;6")+SUMIFS(tbl_task2[S94],tbl_task2[[SubPLOs]:[SubPLOs]],"&gt;=5",tbl_task2[[SubPLOs]:[SubPLOs]],"&lt;6")+SUMIFS(tbl_task3[S94],tbl_task3[[SubPLOs]:[SubPLOs]],"&gt;=5",tbl_task3[[SubPLOs]:[SubPLOs]],"&lt;6")+SUMIFS(tbl_task4[S94],tbl_task4[[SubPLOs]:[SubPLOs]],"&gt;=5",tbl_task4[[SubPLOs]:[SubPLOs]],"&lt;6")+SUMIFS(tbl_task5[S94],tbl_task5[[SubPLOs]:[SubPLOs]],"&gt;=5",tbl_task5[[SubPLOs]:[SubPLOs]],"&lt;6")+SUMIFS(tbl_task6[S94],tbl_task6[[SubPLOs]:[SubPLOs]],"&gt;=5",tbl_task6[[SubPLOs]:[SubPLOs]],"&lt;6")+SUMIFS(tbl_task7[S94],tbl_task7[[SubPLOs]:[SubPLOs]],"&gt;=5",tbl_task7[[SubPLOs]:[SubPLOs]],"&lt;6")+SUMIFS(tbl_task8[S94],tbl_task8[[SubPLOs]:[SubPLOs]],"&gt;=5",tbl_task8[[SubPLOs]:[SubPLOs]],"&lt;6")+SUMIFS(tbl_task9[S94],tbl_task9[[SubPLOs]:[SubPLOs]],"&gt;=5",tbl_task9[[SubPLOs]:[SubPLOs]],"&lt;6")+SUMIFS(tbl_task10[S94],tbl_task10[[SubPLOs]:[SubPLOs]],"&gt;=5",tbl_task10[[SubPLOs]:[SubPLOs]],"&lt;6")</f>
        <v>0</v>
      </c>
      <c r="CV184" s="41">
        <f>SUMIFS(tbl_task1[S95],tbl_task1[[SubPLOs]:[SubPLOs]],"&gt;=5",tbl_task1[[SubPLOs]:[SubPLOs]],"&lt;6")+SUMIFS(tbl_task2[S95],tbl_task2[[SubPLOs]:[SubPLOs]],"&gt;=5",tbl_task2[[SubPLOs]:[SubPLOs]],"&lt;6")+SUMIFS(tbl_task3[S95],tbl_task3[[SubPLOs]:[SubPLOs]],"&gt;=5",tbl_task3[[SubPLOs]:[SubPLOs]],"&lt;6")+SUMIFS(tbl_task4[S95],tbl_task4[[SubPLOs]:[SubPLOs]],"&gt;=5",tbl_task4[[SubPLOs]:[SubPLOs]],"&lt;6")+SUMIFS(tbl_task5[S95],tbl_task5[[SubPLOs]:[SubPLOs]],"&gt;=5",tbl_task5[[SubPLOs]:[SubPLOs]],"&lt;6")+SUMIFS(tbl_task6[S95],tbl_task6[[SubPLOs]:[SubPLOs]],"&gt;=5",tbl_task6[[SubPLOs]:[SubPLOs]],"&lt;6")+SUMIFS(tbl_task7[S95],tbl_task7[[SubPLOs]:[SubPLOs]],"&gt;=5",tbl_task7[[SubPLOs]:[SubPLOs]],"&lt;6")+SUMIFS(tbl_task8[S95],tbl_task8[[SubPLOs]:[SubPLOs]],"&gt;=5",tbl_task8[[SubPLOs]:[SubPLOs]],"&lt;6")+SUMIFS(tbl_task9[S95],tbl_task9[[SubPLOs]:[SubPLOs]],"&gt;=5",tbl_task9[[SubPLOs]:[SubPLOs]],"&lt;6")+SUMIFS(tbl_task10[S95],tbl_task10[[SubPLOs]:[SubPLOs]],"&gt;=5",tbl_task10[[SubPLOs]:[SubPLOs]],"&lt;6")</f>
        <v>0</v>
      </c>
      <c r="CW184" s="41">
        <f>SUMIFS(tbl_task1[S96],tbl_task1[[SubPLOs]:[SubPLOs]],"&gt;=5",tbl_task1[[SubPLOs]:[SubPLOs]],"&lt;6")+SUMIFS(tbl_task2[S96],tbl_task2[[SubPLOs]:[SubPLOs]],"&gt;=5",tbl_task2[[SubPLOs]:[SubPLOs]],"&lt;6")+SUMIFS(tbl_task3[S96],tbl_task3[[SubPLOs]:[SubPLOs]],"&gt;=5",tbl_task3[[SubPLOs]:[SubPLOs]],"&lt;6")+SUMIFS(tbl_task4[S96],tbl_task4[[SubPLOs]:[SubPLOs]],"&gt;=5",tbl_task4[[SubPLOs]:[SubPLOs]],"&lt;6")+SUMIFS(tbl_task5[S96],tbl_task5[[SubPLOs]:[SubPLOs]],"&gt;=5",tbl_task5[[SubPLOs]:[SubPLOs]],"&lt;6")+SUMIFS(tbl_task6[S96],tbl_task6[[SubPLOs]:[SubPLOs]],"&gt;=5",tbl_task6[[SubPLOs]:[SubPLOs]],"&lt;6")+SUMIFS(tbl_task7[S96],tbl_task7[[SubPLOs]:[SubPLOs]],"&gt;=5",tbl_task7[[SubPLOs]:[SubPLOs]],"&lt;6")+SUMIFS(tbl_task8[S96],tbl_task8[[SubPLOs]:[SubPLOs]],"&gt;=5",tbl_task8[[SubPLOs]:[SubPLOs]],"&lt;6")+SUMIFS(tbl_task9[S96],tbl_task9[[SubPLOs]:[SubPLOs]],"&gt;=5",tbl_task9[[SubPLOs]:[SubPLOs]],"&lt;6")+SUMIFS(tbl_task10[S96],tbl_task10[[SubPLOs]:[SubPLOs]],"&gt;=5",tbl_task10[[SubPLOs]:[SubPLOs]],"&lt;6")</f>
        <v>0</v>
      </c>
      <c r="CX184" s="41">
        <f>SUMIFS(tbl_task1[S97],tbl_task1[[SubPLOs]:[SubPLOs]],"&gt;=5",tbl_task1[[SubPLOs]:[SubPLOs]],"&lt;6")+SUMIFS(tbl_task2[S97],tbl_task2[[SubPLOs]:[SubPLOs]],"&gt;=5",tbl_task2[[SubPLOs]:[SubPLOs]],"&lt;6")+SUMIFS(tbl_task3[S97],tbl_task3[[SubPLOs]:[SubPLOs]],"&gt;=5",tbl_task3[[SubPLOs]:[SubPLOs]],"&lt;6")+SUMIFS(tbl_task4[S97],tbl_task4[[SubPLOs]:[SubPLOs]],"&gt;=5",tbl_task4[[SubPLOs]:[SubPLOs]],"&lt;6")+SUMIFS(tbl_task5[S97],tbl_task5[[SubPLOs]:[SubPLOs]],"&gt;=5",tbl_task5[[SubPLOs]:[SubPLOs]],"&lt;6")+SUMIFS(tbl_task6[S97],tbl_task6[[SubPLOs]:[SubPLOs]],"&gt;=5",tbl_task6[[SubPLOs]:[SubPLOs]],"&lt;6")+SUMIFS(tbl_task7[S97],tbl_task7[[SubPLOs]:[SubPLOs]],"&gt;=5",tbl_task7[[SubPLOs]:[SubPLOs]],"&lt;6")+SUMIFS(tbl_task8[S97],tbl_task8[[SubPLOs]:[SubPLOs]],"&gt;=5",tbl_task8[[SubPLOs]:[SubPLOs]],"&lt;6")+SUMIFS(tbl_task9[S97],tbl_task9[[SubPLOs]:[SubPLOs]],"&gt;=5",tbl_task9[[SubPLOs]:[SubPLOs]],"&lt;6")+SUMIFS(tbl_task10[S97],tbl_task10[[SubPLOs]:[SubPLOs]],"&gt;=5",tbl_task10[[SubPLOs]:[SubPLOs]],"&lt;6")</f>
        <v>0</v>
      </c>
      <c r="CY184" s="41">
        <f>SUMIFS(tbl_task1[S98],tbl_task1[[SubPLOs]:[SubPLOs]],"&gt;=5",tbl_task1[[SubPLOs]:[SubPLOs]],"&lt;6")+SUMIFS(tbl_task2[S98],tbl_task2[[SubPLOs]:[SubPLOs]],"&gt;=5",tbl_task2[[SubPLOs]:[SubPLOs]],"&lt;6")+SUMIFS(tbl_task3[S98],tbl_task3[[SubPLOs]:[SubPLOs]],"&gt;=5",tbl_task3[[SubPLOs]:[SubPLOs]],"&lt;6")+SUMIFS(tbl_task4[S98],tbl_task4[[SubPLOs]:[SubPLOs]],"&gt;=5",tbl_task4[[SubPLOs]:[SubPLOs]],"&lt;6")+SUMIFS(tbl_task5[S98],tbl_task5[[SubPLOs]:[SubPLOs]],"&gt;=5",tbl_task5[[SubPLOs]:[SubPLOs]],"&lt;6")+SUMIFS(tbl_task6[S98],tbl_task6[[SubPLOs]:[SubPLOs]],"&gt;=5",tbl_task6[[SubPLOs]:[SubPLOs]],"&lt;6")+SUMIFS(tbl_task7[S98],tbl_task7[[SubPLOs]:[SubPLOs]],"&gt;=5",tbl_task7[[SubPLOs]:[SubPLOs]],"&lt;6")+SUMIFS(tbl_task8[S98],tbl_task8[[SubPLOs]:[SubPLOs]],"&gt;=5",tbl_task8[[SubPLOs]:[SubPLOs]],"&lt;6")+SUMIFS(tbl_task9[S98],tbl_task9[[SubPLOs]:[SubPLOs]],"&gt;=5",tbl_task9[[SubPLOs]:[SubPLOs]],"&lt;6")+SUMIFS(tbl_task10[S98],tbl_task10[[SubPLOs]:[SubPLOs]],"&gt;=5",tbl_task10[[SubPLOs]:[SubPLOs]],"&lt;6")</f>
        <v>0</v>
      </c>
      <c r="CZ184" s="41">
        <f>SUMIFS(tbl_task1[S99],tbl_task1[[SubPLOs]:[SubPLOs]],"&gt;=5",tbl_task1[[SubPLOs]:[SubPLOs]],"&lt;6")+SUMIFS(tbl_task2[S99],tbl_task2[[SubPLOs]:[SubPLOs]],"&gt;=5",tbl_task2[[SubPLOs]:[SubPLOs]],"&lt;6")+SUMIFS(tbl_task3[S99],tbl_task3[[SubPLOs]:[SubPLOs]],"&gt;=5",tbl_task3[[SubPLOs]:[SubPLOs]],"&lt;6")+SUMIFS(tbl_task4[S99],tbl_task4[[SubPLOs]:[SubPLOs]],"&gt;=5",tbl_task4[[SubPLOs]:[SubPLOs]],"&lt;6")+SUMIFS(tbl_task5[S99],tbl_task5[[SubPLOs]:[SubPLOs]],"&gt;=5",tbl_task5[[SubPLOs]:[SubPLOs]],"&lt;6")+SUMIFS(tbl_task6[S99],tbl_task6[[SubPLOs]:[SubPLOs]],"&gt;=5",tbl_task6[[SubPLOs]:[SubPLOs]],"&lt;6")+SUMIFS(tbl_task7[S99],tbl_task7[[SubPLOs]:[SubPLOs]],"&gt;=5",tbl_task7[[SubPLOs]:[SubPLOs]],"&lt;6")+SUMIFS(tbl_task8[S99],tbl_task8[[SubPLOs]:[SubPLOs]],"&gt;=5",tbl_task8[[SubPLOs]:[SubPLOs]],"&lt;6")+SUMIFS(tbl_task9[S99],tbl_task9[[SubPLOs]:[SubPLOs]],"&gt;=5",tbl_task9[[SubPLOs]:[SubPLOs]],"&lt;6")+SUMIFS(tbl_task10[S99],tbl_task10[[SubPLOs]:[SubPLOs]],"&gt;=5",tbl_task10[[SubPLOs]:[SubPLOs]],"&lt;6")</f>
        <v>0</v>
      </c>
      <c r="DA184" s="41">
        <f>SUMIFS(tbl_task1[S100],tbl_task1[[SubPLOs]:[SubPLOs]],"&gt;=5",tbl_task1[[SubPLOs]:[SubPLOs]],"&lt;6")+SUMIFS(tbl_task2[S100],tbl_task2[[SubPLOs]:[SubPLOs]],"&gt;=5",tbl_task2[[SubPLOs]:[SubPLOs]],"&lt;6")+SUMIFS(tbl_task3[S100],tbl_task3[[SubPLOs]:[SubPLOs]],"&gt;=5",tbl_task3[[SubPLOs]:[SubPLOs]],"&lt;6")+SUMIFS(tbl_task4[S100],tbl_task4[[SubPLOs]:[SubPLOs]],"&gt;=5",tbl_task4[[SubPLOs]:[SubPLOs]],"&lt;6")+SUMIFS(tbl_task5[S100],tbl_task5[[SubPLOs]:[SubPLOs]],"&gt;=5",tbl_task5[[SubPLOs]:[SubPLOs]],"&lt;6")+SUMIFS(tbl_task6[S100],tbl_task6[[SubPLOs]:[SubPLOs]],"&gt;=5",tbl_task6[[SubPLOs]:[SubPLOs]],"&lt;6")+SUMIFS(tbl_task7[S100],tbl_task7[[SubPLOs]:[SubPLOs]],"&gt;=5",tbl_task7[[SubPLOs]:[SubPLOs]],"&lt;6")+SUMIFS(tbl_task8[S100],tbl_task8[[SubPLOs]:[SubPLOs]],"&gt;=5",tbl_task8[[SubPLOs]:[SubPLOs]],"&lt;6")+SUMIFS(tbl_task9[S100],tbl_task9[[SubPLOs]:[SubPLOs]],"&gt;=5",tbl_task9[[SubPLOs]:[SubPLOs]],"&lt;6")+SUMIFS(tbl_task10[S100],tbl_task10[[SubPLOs]:[SubPLOs]],"&gt;=5",tbl_task10[[SubPLOs]:[SubPLOs]],"&lt;6")</f>
        <v>0</v>
      </c>
      <c r="DB184" s="41">
        <f>SUMIFS(tbl_task1[S101],tbl_task1[[SubPLOs]:[SubPLOs]],"&gt;=5",tbl_task1[[SubPLOs]:[SubPLOs]],"&lt;6")+SUMIFS(tbl_task2[S101],tbl_task2[[SubPLOs]:[SubPLOs]],"&gt;=5",tbl_task2[[SubPLOs]:[SubPLOs]],"&lt;6")+SUMIFS(tbl_task3[S101],tbl_task3[[SubPLOs]:[SubPLOs]],"&gt;=5",tbl_task3[[SubPLOs]:[SubPLOs]],"&lt;6")+SUMIFS(tbl_task4[S101],tbl_task4[[SubPLOs]:[SubPLOs]],"&gt;=5",tbl_task4[[SubPLOs]:[SubPLOs]],"&lt;6")+SUMIFS(tbl_task5[S101],tbl_task5[[SubPLOs]:[SubPLOs]],"&gt;=5",tbl_task5[[SubPLOs]:[SubPLOs]],"&lt;6")+SUMIFS(tbl_task6[S101],tbl_task6[[SubPLOs]:[SubPLOs]],"&gt;=5",tbl_task6[[SubPLOs]:[SubPLOs]],"&lt;6")+SUMIFS(tbl_task7[S101],tbl_task7[[SubPLOs]:[SubPLOs]],"&gt;=5",tbl_task7[[SubPLOs]:[SubPLOs]],"&lt;6")+SUMIFS(tbl_task8[S101],tbl_task8[[SubPLOs]:[SubPLOs]],"&gt;=5",tbl_task8[[SubPLOs]:[SubPLOs]],"&lt;6")+SUMIFS(tbl_task9[S101],tbl_task9[[SubPLOs]:[SubPLOs]],"&gt;=5",tbl_task9[[SubPLOs]:[SubPLOs]],"&lt;6")+SUMIFS(tbl_task10[S101],tbl_task10[[SubPLOs]:[SubPLOs]],"&gt;=5",tbl_task10[[SubPLOs]:[SubPLOs]],"&lt;6")</f>
        <v>0</v>
      </c>
      <c r="DC184" s="41">
        <f>SUMIFS(tbl_task1[S102],tbl_task1[[SubPLOs]:[SubPLOs]],"&gt;=5",tbl_task1[[SubPLOs]:[SubPLOs]],"&lt;6")+SUMIFS(tbl_task2[S102],tbl_task2[[SubPLOs]:[SubPLOs]],"&gt;=5",tbl_task2[[SubPLOs]:[SubPLOs]],"&lt;6")+SUMIFS(tbl_task3[S102],tbl_task3[[SubPLOs]:[SubPLOs]],"&gt;=5",tbl_task3[[SubPLOs]:[SubPLOs]],"&lt;6")+SUMIFS(tbl_task4[S102],tbl_task4[[SubPLOs]:[SubPLOs]],"&gt;=5",tbl_task4[[SubPLOs]:[SubPLOs]],"&lt;6")+SUMIFS(tbl_task5[S102],tbl_task5[[SubPLOs]:[SubPLOs]],"&gt;=5",tbl_task5[[SubPLOs]:[SubPLOs]],"&lt;6")+SUMIFS(tbl_task6[S102],tbl_task6[[SubPLOs]:[SubPLOs]],"&gt;=5",tbl_task6[[SubPLOs]:[SubPLOs]],"&lt;6")+SUMIFS(tbl_task7[S102],tbl_task7[[SubPLOs]:[SubPLOs]],"&gt;=5",tbl_task7[[SubPLOs]:[SubPLOs]],"&lt;6")+SUMIFS(tbl_task8[S102],tbl_task8[[SubPLOs]:[SubPLOs]],"&gt;=5",tbl_task8[[SubPLOs]:[SubPLOs]],"&lt;6")+SUMIFS(tbl_task9[S102],tbl_task9[[SubPLOs]:[SubPLOs]],"&gt;=5",tbl_task9[[SubPLOs]:[SubPLOs]],"&lt;6")+SUMIFS(tbl_task10[S102],tbl_task10[[SubPLOs]:[SubPLOs]],"&gt;=5",tbl_task10[[SubPLOs]:[SubPLOs]],"&lt;6")</f>
        <v>0</v>
      </c>
      <c r="DD184" s="41">
        <f>SUMIFS(tbl_task1[S103],tbl_task1[[SubPLOs]:[SubPLOs]],"&gt;=5",tbl_task1[[SubPLOs]:[SubPLOs]],"&lt;6")+SUMIFS(tbl_task2[S103],tbl_task2[[SubPLOs]:[SubPLOs]],"&gt;=5",tbl_task2[[SubPLOs]:[SubPLOs]],"&lt;6")+SUMIFS(tbl_task3[S103],tbl_task3[[SubPLOs]:[SubPLOs]],"&gt;=5",tbl_task3[[SubPLOs]:[SubPLOs]],"&lt;6")+SUMIFS(tbl_task4[S103],tbl_task4[[SubPLOs]:[SubPLOs]],"&gt;=5",tbl_task4[[SubPLOs]:[SubPLOs]],"&lt;6")+SUMIFS(tbl_task5[S103],tbl_task5[[SubPLOs]:[SubPLOs]],"&gt;=5",tbl_task5[[SubPLOs]:[SubPLOs]],"&lt;6")+SUMIFS(tbl_task6[S103],tbl_task6[[SubPLOs]:[SubPLOs]],"&gt;=5",tbl_task6[[SubPLOs]:[SubPLOs]],"&lt;6")+SUMIFS(tbl_task7[S103],tbl_task7[[SubPLOs]:[SubPLOs]],"&gt;=5",tbl_task7[[SubPLOs]:[SubPLOs]],"&lt;6")+SUMIFS(tbl_task8[S103],tbl_task8[[SubPLOs]:[SubPLOs]],"&gt;=5",tbl_task8[[SubPLOs]:[SubPLOs]],"&lt;6")+SUMIFS(tbl_task9[S103],tbl_task9[[SubPLOs]:[SubPLOs]],"&gt;=5",tbl_task9[[SubPLOs]:[SubPLOs]],"&lt;6")+SUMIFS(tbl_task10[S103],tbl_task10[[SubPLOs]:[SubPLOs]],"&gt;=5",tbl_task10[[SubPLOs]:[SubPLOs]],"&lt;6")</f>
        <v>0</v>
      </c>
      <c r="DE184" s="41">
        <f>SUMIFS(tbl_task1[S104],tbl_task1[[SubPLOs]:[SubPLOs]],"&gt;=5",tbl_task1[[SubPLOs]:[SubPLOs]],"&lt;6")+SUMIFS(tbl_task2[S104],tbl_task2[[SubPLOs]:[SubPLOs]],"&gt;=5",tbl_task2[[SubPLOs]:[SubPLOs]],"&lt;6")+SUMIFS(tbl_task3[S104],tbl_task3[[SubPLOs]:[SubPLOs]],"&gt;=5",tbl_task3[[SubPLOs]:[SubPLOs]],"&lt;6")+SUMIFS(tbl_task4[S104],tbl_task4[[SubPLOs]:[SubPLOs]],"&gt;=5",tbl_task4[[SubPLOs]:[SubPLOs]],"&lt;6")+SUMIFS(tbl_task5[S104],tbl_task5[[SubPLOs]:[SubPLOs]],"&gt;=5",tbl_task5[[SubPLOs]:[SubPLOs]],"&lt;6")+SUMIFS(tbl_task6[S104],tbl_task6[[SubPLOs]:[SubPLOs]],"&gt;=5",tbl_task6[[SubPLOs]:[SubPLOs]],"&lt;6")+SUMIFS(tbl_task7[S104],tbl_task7[[SubPLOs]:[SubPLOs]],"&gt;=5",tbl_task7[[SubPLOs]:[SubPLOs]],"&lt;6")+SUMIFS(tbl_task8[S104],tbl_task8[[SubPLOs]:[SubPLOs]],"&gt;=5",tbl_task8[[SubPLOs]:[SubPLOs]],"&lt;6")+SUMIFS(tbl_task9[S104],tbl_task9[[SubPLOs]:[SubPLOs]],"&gt;=5",tbl_task9[[SubPLOs]:[SubPLOs]],"&lt;6")+SUMIFS(tbl_task10[S104],tbl_task10[[SubPLOs]:[SubPLOs]],"&gt;=5",tbl_task10[[SubPLOs]:[SubPLOs]],"&lt;6")</f>
        <v>0</v>
      </c>
      <c r="DF184" s="41">
        <f>SUMIFS(tbl_task1[S105],tbl_task1[[SubPLOs]:[SubPLOs]],"&gt;=5",tbl_task1[[SubPLOs]:[SubPLOs]],"&lt;6")+SUMIFS(tbl_task2[S105],tbl_task2[[SubPLOs]:[SubPLOs]],"&gt;=5",tbl_task2[[SubPLOs]:[SubPLOs]],"&lt;6")+SUMIFS(tbl_task3[S105],tbl_task3[[SubPLOs]:[SubPLOs]],"&gt;=5",tbl_task3[[SubPLOs]:[SubPLOs]],"&lt;6")+SUMIFS(tbl_task4[S105],tbl_task4[[SubPLOs]:[SubPLOs]],"&gt;=5",tbl_task4[[SubPLOs]:[SubPLOs]],"&lt;6")+SUMIFS(tbl_task5[S105],tbl_task5[[SubPLOs]:[SubPLOs]],"&gt;=5",tbl_task5[[SubPLOs]:[SubPLOs]],"&lt;6")+SUMIFS(tbl_task6[S105],tbl_task6[[SubPLOs]:[SubPLOs]],"&gt;=5",tbl_task6[[SubPLOs]:[SubPLOs]],"&lt;6")+SUMIFS(tbl_task7[S105],tbl_task7[[SubPLOs]:[SubPLOs]],"&gt;=5",tbl_task7[[SubPLOs]:[SubPLOs]],"&lt;6")+SUMIFS(tbl_task8[S105],tbl_task8[[SubPLOs]:[SubPLOs]],"&gt;=5",tbl_task8[[SubPLOs]:[SubPLOs]],"&lt;6")+SUMIFS(tbl_task9[S105],tbl_task9[[SubPLOs]:[SubPLOs]],"&gt;=5",tbl_task9[[SubPLOs]:[SubPLOs]],"&lt;6")+SUMIFS(tbl_task10[S105],tbl_task10[[SubPLOs]:[SubPLOs]],"&gt;=5",tbl_task10[[SubPLOs]:[SubPLOs]],"&lt;6")</f>
        <v>0</v>
      </c>
      <c r="DG184" s="41">
        <f>SUMIFS(tbl_task1[S106],tbl_task1[[SubPLOs]:[SubPLOs]],"&gt;=5",tbl_task1[[SubPLOs]:[SubPLOs]],"&lt;6")+SUMIFS(tbl_task2[S106],tbl_task2[[SubPLOs]:[SubPLOs]],"&gt;=5",tbl_task2[[SubPLOs]:[SubPLOs]],"&lt;6")+SUMIFS(tbl_task3[S106],tbl_task3[[SubPLOs]:[SubPLOs]],"&gt;=5",tbl_task3[[SubPLOs]:[SubPLOs]],"&lt;6")+SUMIFS(tbl_task4[S106],tbl_task4[[SubPLOs]:[SubPLOs]],"&gt;=5",tbl_task4[[SubPLOs]:[SubPLOs]],"&lt;6")+SUMIFS(tbl_task5[S106],tbl_task5[[SubPLOs]:[SubPLOs]],"&gt;=5",tbl_task5[[SubPLOs]:[SubPLOs]],"&lt;6")+SUMIFS(tbl_task6[S106],tbl_task6[[SubPLOs]:[SubPLOs]],"&gt;=5",tbl_task6[[SubPLOs]:[SubPLOs]],"&lt;6")+SUMIFS(tbl_task7[S106],tbl_task7[[SubPLOs]:[SubPLOs]],"&gt;=5",tbl_task7[[SubPLOs]:[SubPLOs]],"&lt;6")+SUMIFS(tbl_task8[S106],tbl_task8[[SubPLOs]:[SubPLOs]],"&gt;=5",tbl_task8[[SubPLOs]:[SubPLOs]],"&lt;6")+SUMIFS(tbl_task9[S106],tbl_task9[[SubPLOs]:[SubPLOs]],"&gt;=5",tbl_task9[[SubPLOs]:[SubPLOs]],"&lt;6")+SUMIFS(tbl_task10[S106],tbl_task10[[SubPLOs]:[SubPLOs]],"&gt;=5",tbl_task10[[SubPLOs]:[SubPLOs]],"&lt;6")</f>
        <v>0</v>
      </c>
      <c r="DH184" s="41">
        <f>SUMIFS(tbl_task1[S107],tbl_task1[[SubPLOs]:[SubPLOs]],"&gt;=5",tbl_task1[[SubPLOs]:[SubPLOs]],"&lt;6")+SUMIFS(tbl_task2[S107],tbl_task2[[SubPLOs]:[SubPLOs]],"&gt;=5",tbl_task2[[SubPLOs]:[SubPLOs]],"&lt;6")+SUMIFS(tbl_task3[S107],tbl_task3[[SubPLOs]:[SubPLOs]],"&gt;=5",tbl_task3[[SubPLOs]:[SubPLOs]],"&lt;6")+SUMIFS(tbl_task4[S107],tbl_task4[[SubPLOs]:[SubPLOs]],"&gt;=5",tbl_task4[[SubPLOs]:[SubPLOs]],"&lt;6")+SUMIFS(tbl_task5[S107],tbl_task5[[SubPLOs]:[SubPLOs]],"&gt;=5",tbl_task5[[SubPLOs]:[SubPLOs]],"&lt;6")+SUMIFS(tbl_task6[S107],tbl_task6[[SubPLOs]:[SubPLOs]],"&gt;=5",tbl_task6[[SubPLOs]:[SubPLOs]],"&lt;6")+SUMIFS(tbl_task7[S107],tbl_task7[[SubPLOs]:[SubPLOs]],"&gt;=5",tbl_task7[[SubPLOs]:[SubPLOs]],"&lt;6")+SUMIFS(tbl_task8[S107],tbl_task8[[SubPLOs]:[SubPLOs]],"&gt;=5",tbl_task8[[SubPLOs]:[SubPLOs]],"&lt;6")+SUMIFS(tbl_task9[S107],tbl_task9[[SubPLOs]:[SubPLOs]],"&gt;=5",tbl_task9[[SubPLOs]:[SubPLOs]],"&lt;6")+SUMIFS(tbl_task10[S107],tbl_task10[[SubPLOs]:[SubPLOs]],"&gt;=5",tbl_task10[[SubPLOs]:[SubPLOs]],"&lt;6")</f>
        <v>0</v>
      </c>
      <c r="DI184" s="41">
        <f>SUMIFS(tbl_task1[S108],tbl_task1[[SubPLOs]:[SubPLOs]],"&gt;=5",tbl_task1[[SubPLOs]:[SubPLOs]],"&lt;6")+SUMIFS(tbl_task2[S108],tbl_task2[[SubPLOs]:[SubPLOs]],"&gt;=5",tbl_task2[[SubPLOs]:[SubPLOs]],"&lt;6")+SUMIFS(tbl_task3[S108],tbl_task3[[SubPLOs]:[SubPLOs]],"&gt;=5",tbl_task3[[SubPLOs]:[SubPLOs]],"&lt;6")+SUMIFS(tbl_task4[S108],tbl_task4[[SubPLOs]:[SubPLOs]],"&gt;=5",tbl_task4[[SubPLOs]:[SubPLOs]],"&lt;6")+SUMIFS(tbl_task5[S108],tbl_task5[[SubPLOs]:[SubPLOs]],"&gt;=5",tbl_task5[[SubPLOs]:[SubPLOs]],"&lt;6")+SUMIFS(tbl_task6[S108],tbl_task6[[SubPLOs]:[SubPLOs]],"&gt;=5",tbl_task6[[SubPLOs]:[SubPLOs]],"&lt;6")+SUMIFS(tbl_task7[S108],tbl_task7[[SubPLOs]:[SubPLOs]],"&gt;=5",tbl_task7[[SubPLOs]:[SubPLOs]],"&lt;6")+SUMIFS(tbl_task8[S108],tbl_task8[[SubPLOs]:[SubPLOs]],"&gt;=5",tbl_task8[[SubPLOs]:[SubPLOs]],"&lt;6")+SUMIFS(tbl_task9[S108],tbl_task9[[SubPLOs]:[SubPLOs]],"&gt;=5",tbl_task9[[SubPLOs]:[SubPLOs]],"&lt;6")+SUMIFS(tbl_task10[S108],tbl_task10[[SubPLOs]:[SubPLOs]],"&gt;=5",tbl_task10[[SubPLOs]:[SubPLOs]],"&lt;6")</f>
        <v>0</v>
      </c>
      <c r="DJ184" s="41">
        <f>SUMIFS(tbl_task1[S109],tbl_task1[[SubPLOs]:[SubPLOs]],"&gt;=5",tbl_task1[[SubPLOs]:[SubPLOs]],"&lt;6")+SUMIFS(tbl_task2[S109],tbl_task2[[SubPLOs]:[SubPLOs]],"&gt;=5",tbl_task2[[SubPLOs]:[SubPLOs]],"&lt;6")+SUMIFS(tbl_task3[S109],tbl_task3[[SubPLOs]:[SubPLOs]],"&gt;=5",tbl_task3[[SubPLOs]:[SubPLOs]],"&lt;6")+SUMIFS(tbl_task4[S109],tbl_task4[[SubPLOs]:[SubPLOs]],"&gt;=5",tbl_task4[[SubPLOs]:[SubPLOs]],"&lt;6")+SUMIFS(tbl_task5[S109],tbl_task5[[SubPLOs]:[SubPLOs]],"&gt;=5",tbl_task5[[SubPLOs]:[SubPLOs]],"&lt;6")+SUMIFS(tbl_task6[S109],tbl_task6[[SubPLOs]:[SubPLOs]],"&gt;=5",tbl_task6[[SubPLOs]:[SubPLOs]],"&lt;6")+SUMIFS(tbl_task7[S109],tbl_task7[[SubPLOs]:[SubPLOs]],"&gt;=5",tbl_task7[[SubPLOs]:[SubPLOs]],"&lt;6")+SUMIFS(tbl_task8[S109],tbl_task8[[SubPLOs]:[SubPLOs]],"&gt;=5",tbl_task8[[SubPLOs]:[SubPLOs]],"&lt;6")+SUMIFS(tbl_task9[S109],tbl_task9[[SubPLOs]:[SubPLOs]],"&gt;=5",tbl_task9[[SubPLOs]:[SubPLOs]],"&lt;6")+SUMIFS(tbl_task10[S109],tbl_task10[[SubPLOs]:[SubPLOs]],"&gt;=5",tbl_task10[[SubPLOs]:[SubPLOs]],"&lt;6")</f>
        <v>0</v>
      </c>
      <c r="DK184" s="41">
        <f>SUMIFS(tbl_task1[S110],tbl_task1[[SubPLOs]:[SubPLOs]],"&gt;=5",tbl_task1[[SubPLOs]:[SubPLOs]],"&lt;6")+SUMIFS(tbl_task2[S110],tbl_task2[[SubPLOs]:[SubPLOs]],"&gt;=5",tbl_task2[[SubPLOs]:[SubPLOs]],"&lt;6")+SUMIFS(tbl_task3[S110],tbl_task3[[SubPLOs]:[SubPLOs]],"&gt;=5",tbl_task3[[SubPLOs]:[SubPLOs]],"&lt;6")+SUMIFS(tbl_task4[S110],tbl_task4[[SubPLOs]:[SubPLOs]],"&gt;=5",tbl_task4[[SubPLOs]:[SubPLOs]],"&lt;6")+SUMIFS(tbl_task5[S110],tbl_task5[[SubPLOs]:[SubPLOs]],"&gt;=5",tbl_task5[[SubPLOs]:[SubPLOs]],"&lt;6")+SUMIFS(tbl_task6[S110],tbl_task6[[SubPLOs]:[SubPLOs]],"&gt;=5",tbl_task6[[SubPLOs]:[SubPLOs]],"&lt;6")+SUMIFS(tbl_task7[S110],tbl_task7[[SubPLOs]:[SubPLOs]],"&gt;=5",tbl_task7[[SubPLOs]:[SubPLOs]],"&lt;6")+SUMIFS(tbl_task8[S110],tbl_task8[[SubPLOs]:[SubPLOs]],"&gt;=5",tbl_task8[[SubPLOs]:[SubPLOs]],"&lt;6")+SUMIFS(tbl_task9[S110],tbl_task9[[SubPLOs]:[SubPLOs]],"&gt;=5",tbl_task9[[SubPLOs]:[SubPLOs]],"&lt;6")+SUMIFS(tbl_task10[S110],tbl_task10[[SubPLOs]:[SubPLOs]],"&gt;=5",tbl_task10[[SubPLOs]:[SubPLOs]],"&lt;6")</f>
        <v>0</v>
      </c>
      <c r="DL184" s="41">
        <f>SUMIFS(tbl_task1[S111],tbl_task1[[SubPLOs]:[SubPLOs]],"&gt;=5",tbl_task1[[SubPLOs]:[SubPLOs]],"&lt;6")+SUMIFS(tbl_task2[S111],tbl_task2[[SubPLOs]:[SubPLOs]],"&gt;=5",tbl_task2[[SubPLOs]:[SubPLOs]],"&lt;6")+SUMIFS(tbl_task3[S111],tbl_task3[[SubPLOs]:[SubPLOs]],"&gt;=5",tbl_task3[[SubPLOs]:[SubPLOs]],"&lt;6")+SUMIFS(tbl_task4[S111],tbl_task4[[SubPLOs]:[SubPLOs]],"&gt;=5",tbl_task4[[SubPLOs]:[SubPLOs]],"&lt;6")+SUMIFS(tbl_task5[S111],tbl_task5[[SubPLOs]:[SubPLOs]],"&gt;=5",tbl_task5[[SubPLOs]:[SubPLOs]],"&lt;6")+SUMIFS(tbl_task6[S111],tbl_task6[[SubPLOs]:[SubPLOs]],"&gt;=5",tbl_task6[[SubPLOs]:[SubPLOs]],"&lt;6")+SUMIFS(tbl_task7[S111],tbl_task7[[SubPLOs]:[SubPLOs]],"&gt;=5",tbl_task7[[SubPLOs]:[SubPLOs]],"&lt;6")+SUMIFS(tbl_task8[S111],tbl_task8[[SubPLOs]:[SubPLOs]],"&gt;=5",tbl_task8[[SubPLOs]:[SubPLOs]],"&lt;6")+SUMIFS(tbl_task9[S111],tbl_task9[[SubPLOs]:[SubPLOs]],"&gt;=5",tbl_task9[[SubPLOs]:[SubPLOs]],"&lt;6")+SUMIFS(tbl_task10[S111],tbl_task10[[SubPLOs]:[SubPLOs]],"&gt;=5",tbl_task10[[SubPLOs]:[SubPLOs]],"&lt;6")</f>
        <v>0</v>
      </c>
      <c r="DM184" s="41">
        <f>SUMIFS(tbl_task1[S112],tbl_task1[[SubPLOs]:[SubPLOs]],"&gt;=5",tbl_task1[[SubPLOs]:[SubPLOs]],"&lt;6")+SUMIFS(tbl_task2[S112],tbl_task2[[SubPLOs]:[SubPLOs]],"&gt;=5",tbl_task2[[SubPLOs]:[SubPLOs]],"&lt;6")+SUMIFS(tbl_task3[S112],tbl_task3[[SubPLOs]:[SubPLOs]],"&gt;=5",tbl_task3[[SubPLOs]:[SubPLOs]],"&lt;6")+SUMIFS(tbl_task4[S112],tbl_task4[[SubPLOs]:[SubPLOs]],"&gt;=5",tbl_task4[[SubPLOs]:[SubPLOs]],"&lt;6")+SUMIFS(tbl_task5[S112],tbl_task5[[SubPLOs]:[SubPLOs]],"&gt;=5",tbl_task5[[SubPLOs]:[SubPLOs]],"&lt;6")+SUMIFS(tbl_task6[S112],tbl_task6[[SubPLOs]:[SubPLOs]],"&gt;=5",tbl_task6[[SubPLOs]:[SubPLOs]],"&lt;6")+SUMIFS(tbl_task7[S112],tbl_task7[[SubPLOs]:[SubPLOs]],"&gt;=5",tbl_task7[[SubPLOs]:[SubPLOs]],"&lt;6")+SUMIFS(tbl_task8[S112],tbl_task8[[SubPLOs]:[SubPLOs]],"&gt;=5",tbl_task8[[SubPLOs]:[SubPLOs]],"&lt;6")+SUMIFS(tbl_task9[S112],tbl_task9[[SubPLOs]:[SubPLOs]],"&gt;=5",tbl_task9[[SubPLOs]:[SubPLOs]],"&lt;6")+SUMIFS(tbl_task10[S112],tbl_task10[[SubPLOs]:[SubPLOs]],"&gt;=5",tbl_task10[[SubPLOs]:[SubPLOs]],"&lt;6")</f>
        <v>0</v>
      </c>
      <c r="DN184" s="41">
        <f>SUMIFS(tbl_task1[S113],tbl_task1[[SubPLOs]:[SubPLOs]],"&gt;=5",tbl_task1[[SubPLOs]:[SubPLOs]],"&lt;6")+SUMIFS(tbl_task2[S113],tbl_task2[[SubPLOs]:[SubPLOs]],"&gt;=5",tbl_task2[[SubPLOs]:[SubPLOs]],"&lt;6")+SUMIFS(tbl_task3[S113],tbl_task3[[SubPLOs]:[SubPLOs]],"&gt;=5",tbl_task3[[SubPLOs]:[SubPLOs]],"&lt;6")+SUMIFS(tbl_task4[S113],tbl_task4[[SubPLOs]:[SubPLOs]],"&gt;=5",tbl_task4[[SubPLOs]:[SubPLOs]],"&lt;6")+SUMIFS(tbl_task5[S113],tbl_task5[[SubPLOs]:[SubPLOs]],"&gt;=5",tbl_task5[[SubPLOs]:[SubPLOs]],"&lt;6")+SUMIFS(tbl_task6[S113],tbl_task6[[SubPLOs]:[SubPLOs]],"&gt;=5",tbl_task6[[SubPLOs]:[SubPLOs]],"&lt;6")+SUMIFS(tbl_task7[S113],tbl_task7[[SubPLOs]:[SubPLOs]],"&gt;=5",tbl_task7[[SubPLOs]:[SubPLOs]],"&lt;6")+SUMIFS(tbl_task8[S113],tbl_task8[[SubPLOs]:[SubPLOs]],"&gt;=5",tbl_task8[[SubPLOs]:[SubPLOs]],"&lt;6")+SUMIFS(tbl_task9[S113],tbl_task9[[SubPLOs]:[SubPLOs]],"&gt;=5",tbl_task9[[SubPLOs]:[SubPLOs]],"&lt;6")+SUMIFS(tbl_task10[S113],tbl_task10[[SubPLOs]:[SubPLOs]],"&gt;=5",tbl_task10[[SubPLOs]:[SubPLOs]],"&lt;6")</f>
        <v>0</v>
      </c>
      <c r="DO184" s="41">
        <f>SUMIFS(tbl_task1[S114],tbl_task1[[SubPLOs]:[SubPLOs]],"&gt;=5",tbl_task1[[SubPLOs]:[SubPLOs]],"&lt;6")+SUMIFS(tbl_task2[S114],tbl_task2[[SubPLOs]:[SubPLOs]],"&gt;=5",tbl_task2[[SubPLOs]:[SubPLOs]],"&lt;6")+SUMIFS(tbl_task3[S114],tbl_task3[[SubPLOs]:[SubPLOs]],"&gt;=5",tbl_task3[[SubPLOs]:[SubPLOs]],"&lt;6")+SUMIFS(tbl_task4[S114],tbl_task4[[SubPLOs]:[SubPLOs]],"&gt;=5",tbl_task4[[SubPLOs]:[SubPLOs]],"&lt;6")+SUMIFS(tbl_task5[S114],tbl_task5[[SubPLOs]:[SubPLOs]],"&gt;=5",tbl_task5[[SubPLOs]:[SubPLOs]],"&lt;6")+SUMIFS(tbl_task6[S114],tbl_task6[[SubPLOs]:[SubPLOs]],"&gt;=5",tbl_task6[[SubPLOs]:[SubPLOs]],"&lt;6")+SUMIFS(tbl_task7[S114],tbl_task7[[SubPLOs]:[SubPLOs]],"&gt;=5",tbl_task7[[SubPLOs]:[SubPLOs]],"&lt;6")+SUMIFS(tbl_task8[S114],tbl_task8[[SubPLOs]:[SubPLOs]],"&gt;=5",tbl_task8[[SubPLOs]:[SubPLOs]],"&lt;6")+SUMIFS(tbl_task9[S114],tbl_task9[[SubPLOs]:[SubPLOs]],"&gt;=5",tbl_task9[[SubPLOs]:[SubPLOs]],"&lt;6")+SUMIFS(tbl_task10[S114],tbl_task10[[SubPLOs]:[SubPLOs]],"&gt;=5",tbl_task10[[SubPLOs]:[SubPLOs]],"&lt;6")</f>
        <v>0</v>
      </c>
      <c r="DP184" s="41">
        <f>SUMIFS(tbl_task1[S115],tbl_task1[[SubPLOs]:[SubPLOs]],"&gt;=5",tbl_task1[[SubPLOs]:[SubPLOs]],"&lt;6")+SUMIFS(tbl_task2[S115],tbl_task2[[SubPLOs]:[SubPLOs]],"&gt;=5",tbl_task2[[SubPLOs]:[SubPLOs]],"&lt;6")+SUMIFS(tbl_task3[S115],tbl_task3[[SubPLOs]:[SubPLOs]],"&gt;=5",tbl_task3[[SubPLOs]:[SubPLOs]],"&lt;6")+SUMIFS(tbl_task4[S115],tbl_task4[[SubPLOs]:[SubPLOs]],"&gt;=5",tbl_task4[[SubPLOs]:[SubPLOs]],"&lt;6")+SUMIFS(tbl_task5[S115],tbl_task5[[SubPLOs]:[SubPLOs]],"&gt;=5",tbl_task5[[SubPLOs]:[SubPLOs]],"&lt;6")+SUMIFS(tbl_task6[S115],tbl_task6[[SubPLOs]:[SubPLOs]],"&gt;=5",tbl_task6[[SubPLOs]:[SubPLOs]],"&lt;6")+SUMIFS(tbl_task7[S115],tbl_task7[[SubPLOs]:[SubPLOs]],"&gt;=5",tbl_task7[[SubPLOs]:[SubPLOs]],"&lt;6")+SUMIFS(tbl_task8[S115],tbl_task8[[SubPLOs]:[SubPLOs]],"&gt;=5",tbl_task8[[SubPLOs]:[SubPLOs]],"&lt;6")+SUMIFS(tbl_task9[S115],tbl_task9[[SubPLOs]:[SubPLOs]],"&gt;=5",tbl_task9[[SubPLOs]:[SubPLOs]],"&lt;6")+SUMIFS(tbl_task10[S115],tbl_task10[[SubPLOs]:[SubPLOs]],"&gt;=5",tbl_task10[[SubPLOs]:[SubPLOs]],"&lt;6")</f>
        <v>0</v>
      </c>
      <c r="DQ184" s="41">
        <f>SUMIFS(tbl_task1[S116],tbl_task1[[SubPLOs]:[SubPLOs]],"&gt;=5",tbl_task1[[SubPLOs]:[SubPLOs]],"&lt;6")+SUMIFS(tbl_task2[S116],tbl_task2[[SubPLOs]:[SubPLOs]],"&gt;=5",tbl_task2[[SubPLOs]:[SubPLOs]],"&lt;6")+SUMIFS(tbl_task3[S116],tbl_task3[[SubPLOs]:[SubPLOs]],"&gt;=5",tbl_task3[[SubPLOs]:[SubPLOs]],"&lt;6")+SUMIFS(tbl_task4[S116],tbl_task4[[SubPLOs]:[SubPLOs]],"&gt;=5",tbl_task4[[SubPLOs]:[SubPLOs]],"&lt;6")+SUMIFS(tbl_task5[S116],tbl_task5[[SubPLOs]:[SubPLOs]],"&gt;=5",tbl_task5[[SubPLOs]:[SubPLOs]],"&lt;6")+SUMIFS(tbl_task6[S116],tbl_task6[[SubPLOs]:[SubPLOs]],"&gt;=5",tbl_task6[[SubPLOs]:[SubPLOs]],"&lt;6")+SUMIFS(tbl_task7[S116],tbl_task7[[SubPLOs]:[SubPLOs]],"&gt;=5",tbl_task7[[SubPLOs]:[SubPLOs]],"&lt;6")+SUMIFS(tbl_task8[S116],tbl_task8[[SubPLOs]:[SubPLOs]],"&gt;=5",tbl_task8[[SubPLOs]:[SubPLOs]],"&lt;6")+SUMIFS(tbl_task9[S116],tbl_task9[[SubPLOs]:[SubPLOs]],"&gt;=5",tbl_task9[[SubPLOs]:[SubPLOs]],"&lt;6")+SUMIFS(tbl_task10[S116],tbl_task10[[SubPLOs]:[SubPLOs]],"&gt;=5",tbl_task10[[SubPLOs]:[SubPLOs]],"&lt;6")</f>
        <v>0</v>
      </c>
      <c r="DR184" s="41">
        <f>SUMIFS(tbl_task1[S117],tbl_task1[[SubPLOs]:[SubPLOs]],"&gt;=5",tbl_task1[[SubPLOs]:[SubPLOs]],"&lt;6")+SUMIFS(tbl_task2[S117],tbl_task2[[SubPLOs]:[SubPLOs]],"&gt;=5",tbl_task2[[SubPLOs]:[SubPLOs]],"&lt;6")+SUMIFS(tbl_task3[S117],tbl_task3[[SubPLOs]:[SubPLOs]],"&gt;=5",tbl_task3[[SubPLOs]:[SubPLOs]],"&lt;6")+SUMIFS(tbl_task4[S117],tbl_task4[[SubPLOs]:[SubPLOs]],"&gt;=5",tbl_task4[[SubPLOs]:[SubPLOs]],"&lt;6")+SUMIFS(tbl_task5[S117],tbl_task5[[SubPLOs]:[SubPLOs]],"&gt;=5",tbl_task5[[SubPLOs]:[SubPLOs]],"&lt;6")+SUMIFS(tbl_task6[S117],tbl_task6[[SubPLOs]:[SubPLOs]],"&gt;=5",tbl_task6[[SubPLOs]:[SubPLOs]],"&lt;6")+SUMIFS(tbl_task7[S117],tbl_task7[[SubPLOs]:[SubPLOs]],"&gt;=5",tbl_task7[[SubPLOs]:[SubPLOs]],"&lt;6")+SUMIFS(tbl_task8[S117],tbl_task8[[SubPLOs]:[SubPLOs]],"&gt;=5",tbl_task8[[SubPLOs]:[SubPLOs]],"&lt;6")+SUMIFS(tbl_task9[S117],tbl_task9[[SubPLOs]:[SubPLOs]],"&gt;=5",tbl_task9[[SubPLOs]:[SubPLOs]],"&lt;6")+SUMIFS(tbl_task10[S117],tbl_task10[[SubPLOs]:[SubPLOs]],"&gt;=5",tbl_task10[[SubPLOs]:[SubPLOs]],"&lt;6")</f>
        <v>0</v>
      </c>
      <c r="DS184" s="41">
        <f>SUMIFS(tbl_task1[S118],tbl_task1[[SubPLOs]:[SubPLOs]],"&gt;=5",tbl_task1[[SubPLOs]:[SubPLOs]],"&lt;6")+SUMIFS(tbl_task2[S118],tbl_task2[[SubPLOs]:[SubPLOs]],"&gt;=5",tbl_task2[[SubPLOs]:[SubPLOs]],"&lt;6")+SUMIFS(tbl_task3[S118],tbl_task3[[SubPLOs]:[SubPLOs]],"&gt;=5",tbl_task3[[SubPLOs]:[SubPLOs]],"&lt;6")+SUMIFS(tbl_task4[S118],tbl_task4[[SubPLOs]:[SubPLOs]],"&gt;=5",tbl_task4[[SubPLOs]:[SubPLOs]],"&lt;6")+SUMIFS(tbl_task5[S118],tbl_task5[[SubPLOs]:[SubPLOs]],"&gt;=5",tbl_task5[[SubPLOs]:[SubPLOs]],"&lt;6")+SUMIFS(tbl_task6[S118],tbl_task6[[SubPLOs]:[SubPLOs]],"&gt;=5",tbl_task6[[SubPLOs]:[SubPLOs]],"&lt;6")+SUMIFS(tbl_task7[S118],tbl_task7[[SubPLOs]:[SubPLOs]],"&gt;=5",tbl_task7[[SubPLOs]:[SubPLOs]],"&lt;6")+SUMIFS(tbl_task8[S118],tbl_task8[[SubPLOs]:[SubPLOs]],"&gt;=5",tbl_task8[[SubPLOs]:[SubPLOs]],"&lt;6")+SUMIFS(tbl_task9[S118],tbl_task9[[SubPLOs]:[SubPLOs]],"&gt;=5",tbl_task9[[SubPLOs]:[SubPLOs]],"&lt;6")+SUMIFS(tbl_task10[S118],tbl_task10[[SubPLOs]:[SubPLOs]],"&gt;=5",tbl_task10[[SubPLOs]:[SubPLOs]],"&lt;6")</f>
        <v>0</v>
      </c>
      <c r="DT184" s="41">
        <f>SUMIFS(tbl_task1[S119],tbl_task1[[SubPLOs]:[SubPLOs]],"&gt;=5",tbl_task1[[SubPLOs]:[SubPLOs]],"&lt;6")+SUMIFS(tbl_task2[S119],tbl_task2[[SubPLOs]:[SubPLOs]],"&gt;=5",tbl_task2[[SubPLOs]:[SubPLOs]],"&lt;6")+SUMIFS(tbl_task3[S119],tbl_task3[[SubPLOs]:[SubPLOs]],"&gt;=5",tbl_task3[[SubPLOs]:[SubPLOs]],"&lt;6")+SUMIFS(tbl_task4[S119],tbl_task4[[SubPLOs]:[SubPLOs]],"&gt;=5",tbl_task4[[SubPLOs]:[SubPLOs]],"&lt;6")+SUMIFS(tbl_task5[S119],tbl_task5[[SubPLOs]:[SubPLOs]],"&gt;=5",tbl_task5[[SubPLOs]:[SubPLOs]],"&lt;6")+SUMIFS(tbl_task6[S119],tbl_task6[[SubPLOs]:[SubPLOs]],"&gt;=5",tbl_task6[[SubPLOs]:[SubPLOs]],"&lt;6")+SUMIFS(tbl_task7[S119],tbl_task7[[SubPLOs]:[SubPLOs]],"&gt;=5",tbl_task7[[SubPLOs]:[SubPLOs]],"&lt;6")+SUMIFS(tbl_task8[S119],tbl_task8[[SubPLOs]:[SubPLOs]],"&gt;=5",tbl_task8[[SubPLOs]:[SubPLOs]],"&lt;6")+SUMIFS(tbl_task9[S119],tbl_task9[[SubPLOs]:[SubPLOs]],"&gt;=5",tbl_task9[[SubPLOs]:[SubPLOs]],"&lt;6")+SUMIFS(tbl_task10[S119],tbl_task10[[SubPLOs]:[SubPLOs]],"&gt;=5",tbl_task10[[SubPLOs]:[SubPLOs]],"&lt;6")</f>
        <v>0</v>
      </c>
      <c r="DU184" s="41">
        <f>SUMIFS(tbl_task1[S120],tbl_task1[[SubPLOs]:[SubPLOs]],"&gt;=5",tbl_task1[[SubPLOs]:[SubPLOs]],"&lt;6")+SUMIFS(tbl_task2[S120],tbl_task2[[SubPLOs]:[SubPLOs]],"&gt;=5",tbl_task2[[SubPLOs]:[SubPLOs]],"&lt;6")+SUMIFS(tbl_task3[S120],tbl_task3[[SubPLOs]:[SubPLOs]],"&gt;=5",tbl_task3[[SubPLOs]:[SubPLOs]],"&lt;6")+SUMIFS(tbl_task4[S120],tbl_task4[[SubPLOs]:[SubPLOs]],"&gt;=5",tbl_task4[[SubPLOs]:[SubPLOs]],"&lt;6")+SUMIFS(tbl_task5[S120],tbl_task5[[SubPLOs]:[SubPLOs]],"&gt;=5",tbl_task5[[SubPLOs]:[SubPLOs]],"&lt;6")+SUMIFS(tbl_task6[S120],tbl_task6[[SubPLOs]:[SubPLOs]],"&gt;=5",tbl_task6[[SubPLOs]:[SubPLOs]],"&lt;6")+SUMIFS(tbl_task7[S120],tbl_task7[[SubPLOs]:[SubPLOs]],"&gt;=5",tbl_task7[[SubPLOs]:[SubPLOs]],"&lt;6")+SUMIFS(tbl_task8[S120],tbl_task8[[SubPLOs]:[SubPLOs]],"&gt;=5",tbl_task8[[SubPLOs]:[SubPLOs]],"&lt;6")+SUMIFS(tbl_task9[S120],tbl_task9[[SubPLOs]:[SubPLOs]],"&gt;=5",tbl_task9[[SubPLOs]:[SubPLOs]],"&lt;6")+SUMIFS(tbl_task10[S120],tbl_task10[[SubPLOs]:[SubPLOs]],"&gt;=5",tbl_task10[[SubPLOs]:[SubPLOs]],"&lt;6")</f>
        <v>0</v>
      </c>
      <c r="DV184" s="41">
        <f>SUMIFS(tbl_task1[S121],tbl_task1[[SubPLOs]:[SubPLOs]],"&gt;=5",tbl_task1[[SubPLOs]:[SubPLOs]],"&lt;6")+SUMIFS(tbl_task2[S121],tbl_task2[[SubPLOs]:[SubPLOs]],"&gt;=5",tbl_task2[[SubPLOs]:[SubPLOs]],"&lt;6")+SUMIFS(tbl_task3[S121],tbl_task3[[SubPLOs]:[SubPLOs]],"&gt;=5",tbl_task3[[SubPLOs]:[SubPLOs]],"&lt;6")+SUMIFS(tbl_task4[S121],tbl_task4[[SubPLOs]:[SubPLOs]],"&gt;=5",tbl_task4[[SubPLOs]:[SubPLOs]],"&lt;6")+SUMIFS(tbl_task5[S121],tbl_task5[[SubPLOs]:[SubPLOs]],"&gt;=5",tbl_task5[[SubPLOs]:[SubPLOs]],"&lt;6")+SUMIFS(tbl_task6[S121],tbl_task6[[SubPLOs]:[SubPLOs]],"&gt;=5",tbl_task6[[SubPLOs]:[SubPLOs]],"&lt;6")+SUMIFS(tbl_task7[S121],tbl_task7[[SubPLOs]:[SubPLOs]],"&gt;=5",tbl_task7[[SubPLOs]:[SubPLOs]],"&lt;6")+SUMIFS(tbl_task8[S121],tbl_task8[[SubPLOs]:[SubPLOs]],"&gt;=5",tbl_task8[[SubPLOs]:[SubPLOs]],"&lt;6")+SUMIFS(tbl_task9[S121],tbl_task9[[SubPLOs]:[SubPLOs]],"&gt;=5",tbl_task9[[SubPLOs]:[SubPLOs]],"&lt;6")+SUMIFS(tbl_task10[S121],tbl_task10[[SubPLOs]:[SubPLOs]],"&gt;=5",tbl_task10[[SubPLOs]:[SubPLOs]],"&lt;6")</f>
        <v>0</v>
      </c>
      <c r="DW184" s="41">
        <f>SUMIFS(tbl_task1[S122],tbl_task1[[SubPLOs]:[SubPLOs]],"&gt;=5",tbl_task1[[SubPLOs]:[SubPLOs]],"&lt;6")+SUMIFS(tbl_task2[S122],tbl_task2[[SubPLOs]:[SubPLOs]],"&gt;=5",tbl_task2[[SubPLOs]:[SubPLOs]],"&lt;6")+SUMIFS(tbl_task3[S122],tbl_task3[[SubPLOs]:[SubPLOs]],"&gt;=5",tbl_task3[[SubPLOs]:[SubPLOs]],"&lt;6")+SUMIFS(tbl_task4[S122],tbl_task4[[SubPLOs]:[SubPLOs]],"&gt;=5",tbl_task4[[SubPLOs]:[SubPLOs]],"&lt;6")+SUMIFS(tbl_task5[S122],tbl_task5[[SubPLOs]:[SubPLOs]],"&gt;=5",tbl_task5[[SubPLOs]:[SubPLOs]],"&lt;6")+SUMIFS(tbl_task6[S122],tbl_task6[[SubPLOs]:[SubPLOs]],"&gt;=5",tbl_task6[[SubPLOs]:[SubPLOs]],"&lt;6")+SUMIFS(tbl_task7[S122],tbl_task7[[SubPLOs]:[SubPLOs]],"&gt;=5",tbl_task7[[SubPLOs]:[SubPLOs]],"&lt;6")+SUMIFS(tbl_task8[S122],tbl_task8[[SubPLOs]:[SubPLOs]],"&gt;=5",tbl_task8[[SubPLOs]:[SubPLOs]],"&lt;6")+SUMIFS(tbl_task9[S122],tbl_task9[[SubPLOs]:[SubPLOs]],"&gt;=5",tbl_task9[[SubPLOs]:[SubPLOs]],"&lt;6")+SUMIFS(tbl_task10[S122],tbl_task10[[SubPLOs]:[SubPLOs]],"&gt;=5",tbl_task10[[SubPLOs]:[SubPLOs]],"&lt;6")</f>
        <v>0</v>
      </c>
      <c r="DX184" s="41">
        <f>SUMIFS(tbl_task1[S123],tbl_task1[[SubPLOs]:[SubPLOs]],"&gt;=5",tbl_task1[[SubPLOs]:[SubPLOs]],"&lt;6")+SUMIFS(tbl_task2[S123],tbl_task2[[SubPLOs]:[SubPLOs]],"&gt;=5",tbl_task2[[SubPLOs]:[SubPLOs]],"&lt;6")+SUMIFS(tbl_task3[S123],tbl_task3[[SubPLOs]:[SubPLOs]],"&gt;=5",tbl_task3[[SubPLOs]:[SubPLOs]],"&lt;6")+SUMIFS(tbl_task4[S123],tbl_task4[[SubPLOs]:[SubPLOs]],"&gt;=5",tbl_task4[[SubPLOs]:[SubPLOs]],"&lt;6")+SUMIFS(tbl_task5[S123],tbl_task5[[SubPLOs]:[SubPLOs]],"&gt;=5",tbl_task5[[SubPLOs]:[SubPLOs]],"&lt;6")+SUMIFS(tbl_task6[S123],tbl_task6[[SubPLOs]:[SubPLOs]],"&gt;=5",tbl_task6[[SubPLOs]:[SubPLOs]],"&lt;6")+SUMIFS(tbl_task7[S123],tbl_task7[[SubPLOs]:[SubPLOs]],"&gt;=5",tbl_task7[[SubPLOs]:[SubPLOs]],"&lt;6")+SUMIFS(tbl_task8[S123],tbl_task8[[SubPLOs]:[SubPLOs]],"&gt;=5",tbl_task8[[SubPLOs]:[SubPLOs]],"&lt;6")+SUMIFS(tbl_task9[S123],tbl_task9[[SubPLOs]:[SubPLOs]],"&gt;=5",tbl_task9[[SubPLOs]:[SubPLOs]],"&lt;6")+SUMIFS(tbl_task10[S123],tbl_task10[[SubPLOs]:[SubPLOs]],"&gt;=5",tbl_task10[[SubPLOs]:[SubPLOs]],"&lt;6")</f>
        <v>0</v>
      </c>
      <c r="DY184" s="41">
        <f>SUMIFS(tbl_task1[S124],tbl_task1[[SubPLOs]:[SubPLOs]],"&gt;=5",tbl_task1[[SubPLOs]:[SubPLOs]],"&lt;6")+SUMIFS(tbl_task2[S124],tbl_task2[[SubPLOs]:[SubPLOs]],"&gt;=5",tbl_task2[[SubPLOs]:[SubPLOs]],"&lt;6")+SUMIFS(tbl_task3[S124],tbl_task3[[SubPLOs]:[SubPLOs]],"&gt;=5",tbl_task3[[SubPLOs]:[SubPLOs]],"&lt;6")+SUMIFS(tbl_task4[S124],tbl_task4[[SubPLOs]:[SubPLOs]],"&gt;=5",tbl_task4[[SubPLOs]:[SubPLOs]],"&lt;6")+SUMIFS(tbl_task5[S124],tbl_task5[[SubPLOs]:[SubPLOs]],"&gt;=5",tbl_task5[[SubPLOs]:[SubPLOs]],"&lt;6")+SUMIFS(tbl_task6[S124],tbl_task6[[SubPLOs]:[SubPLOs]],"&gt;=5",tbl_task6[[SubPLOs]:[SubPLOs]],"&lt;6")+SUMIFS(tbl_task7[S124],tbl_task7[[SubPLOs]:[SubPLOs]],"&gt;=5",tbl_task7[[SubPLOs]:[SubPLOs]],"&lt;6")+SUMIFS(tbl_task8[S124],tbl_task8[[SubPLOs]:[SubPLOs]],"&gt;=5",tbl_task8[[SubPLOs]:[SubPLOs]],"&lt;6")+SUMIFS(tbl_task9[S124],tbl_task9[[SubPLOs]:[SubPLOs]],"&gt;=5",tbl_task9[[SubPLOs]:[SubPLOs]],"&lt;6")+SUMIFS(tbl_task10[S124],tbl_task10[[SubPLOs]:[SubPLOs]],"&gt;=5",tbl_task10[[SubPLOs]:[SubPLOs]],"&lt;6")</f>
        <v>0</v>
      </c>
      <c r="DZ184" s="41">
        <f>SUMIFS(tbl_task1[S125],tbl_task1[[SubPLOs]:[SubPLOs]],"&gt;=5",tbl_task1[[SubPLOs]:[SubPLOs]],"&lt;6")+SUMIFS(tbl_task2[S125],tbl_task2[[SubPLOs]:[SubPLOs]],"&gt;=5",tbl_task2[[SubPLOs]:[SubPLOs]],"&lt;6")+SUMIFS(tbl_task3[S125],tbl_task3[[SubPLOs]:[SubPLOs]],"&gt;=5",tbl_task3[[SubPLOs]:[SubPLOs]],"&lt;6")+SUMIFS(tbl_task4[S125],tbl_task4[[SubPLOs]:[SubPLOs]],"&gt;=5",tbl_task4[[SubPLOs]:[SubPLOs]],"&lt;6")+SUMIFS(tbl_task5[S125],tbl_task5[[SubPLOs]:[SubPLOs]],"&gt;=5",tbl_task5[[SubPLOs]:[SubPLOs]],"&lt;6")+SUMIFS(tbl_task6[S125],tbl_task6[[SubPLOs]:[SubPLOs]],"&gt;=5",tbl_task6[[SubPLOs]:[SubPLOs]],"&lt;6")+SUMIFS(tbl_task7[S125],tbl_task7[[SubPLOs]:[SubPLOs]],"&gt;=5",tbl_task7[[SubPLOs]:[SubPLOs]],"&lt;6")+SUMIFS(tbl_task8[S125],tbl_task8[[SubPLOs]:[SubPLOs]],"&gt;=5",tbl_task8[[SubPLOs]:[SubPLOs]],"&lt;6")+SUMIFS(tbl_task9[S125],tbl_task9[[SubPLOs]:[SubPLOs]],"&gt;=5",tbl_task9[[SubPLOs]:[SubPLOs]],"&lt;6")+SUMIFS(tbl_task10[S125],tbl_task10[[SubPLOs]:[SubPLOs]],"&gt;=5",tbl_task10[[SubPLOs]:[SubPLOs]],"&lt;6")</f>
        <v>0</v>
      </c>
      <c r="EA184" s="41">
        <f>SUMIFS(tbl_task1[S126],tbl_task1[[SubPLOs]:[SubPLOs]],"&gt;=5",tbl_task1[[SubPLOs]:[SubPLOs]],"&lt;6")+SUMIFS(tbl_task2[S126],tbl_task2[[SubPLOs]:[SubPLOs]],"&gt;=5",tbl_task2[[SubPLOs]:[SubPLOs]],"&lt;6")+SUMIFS(tbl_task3[S126],tbl_task3[[SubPLOs]:[SubPLOs]],"&gt;=5",tbl_task3[[SubPLOs]:[SubPLOs]],"&lt;6")+SUMIFS(tbl_task4[S126],tbl_task4[[SubPLOs]:[SubPLOs]],"&gt;=5",tbl_task4[[SubPLOs]:[SubPLOs]],"&lt;6")+SUMIFS(tbl_task5[S126],tbl_task5[[SubPLOs]:[SubPLOs]],"&gt;=5",tbl_task5[[SubPLOs]:[SubPLOs]],"&lt;6")+SUMIFS(tbl_task6[S126],tbl_task6[[SubPLOs]:[SubPLOs]],"&gt;=5",tbl_task6[[SubPLOs]:[SubPLOs]],"&lt;6")+SUMIFS(tbl_task7[S126],tbl_task7[[SubPLOs]:[SubPLOs]],"&gt;=5",tbl_task7[[SubPLOs]:[SubPLOs]],"&lt;6")+SUMIFS(tbl_task8[S126],tbl_task8[[SubPLOs]:[SubPLOs]],"&gt;=5",tbl_task8[[SubPLOs]:[SubPLOs]],"&lt;6")+SUMIFS(tbl_task9[S126],tbl_task9[[SubPLOs]:[SubPLOs]],"&gt;=5",tbl_task9[[SubPLOs]:[SubPLOs]],"&lt;6")+SUMIFS(tbl_task10[S126],tbl_task10[[SubPLOs]:[SubPLOs]],"&gt;=5",tbl_task10[[SubPLOs]:[SubPLOs]],"&lt;6")</f>
        <v>0</v>
      </c>
      <c r="EB184" s="41">
        <f>SUMIFS(tbl_task1[S127],tbl_task1[[SubPLOs]:[SubPLOs]],"&gt;=5",tbl_task1[[SubPLOs]:[SubPLOs]],"&lt;6")+SUMIFS(tbl_task2[S127],tbl_task2[[SubPLOs]:[SubPLOs]],"&gt;=5",tbl_task2[[SubPLOs]:[SubPLOs]],"&lt;6")+SUMIFS(tbl_task3[S127],tbl_task3[[SubPLOs]:[SubPLOs]],"&gt;=5",tbl_task3[[SubPLOs]:[SubPLOs]],"&lt;6")+SUMIFS(tbl_task4[S127],tbl_task4[[SubPLOs]:[SubPLOs]],"&gt;=5",tbl_task4[[SubPLOs]:[SubPLOs]],"&lt;6")+SUMIFS(tbl_task5[S127],tbl_task5[[SubPLOs]:[SubPLOs]],"&gt;=5",tbl_task5[[SubPLOs]:[SubPLOs]],"&lt;6")+SUMIFS(tbl_task6[S127],tbl_task6[[SubPLOs]:[SubPLOs]],"&gt;=5",tbl_task6[[SubPLOs]:[SubPLOs]],"&lt;6")+SUMIFS(tbl_task7[S127],tbl_task7[[SubPLOs]:[SubPLOs]],"&gt;=5",tbl_task7[[SubPLOs]:[SubPLOs]],"&lt;6")+SUMIFS(tbl_task8[S127],tbl_task8[[SubPLOs]:[SubPLOs]],"&gt;=5",tbl_task8[[SubPLOs]:[SubPLOs]],"&lt;6")+SUMIFS(tbl_task9[S127],tbl_task9[[SubPLOs]:[SubPLOs]],"&gt;=5",tbl_task9[[SubPLOs]:[SubPLOs]],"&lt;6")+SUMIFS(tbl_task10[S127],tbl_task10[[SubPLOs]:[SubPLOs]],"&gt;=5",tbl_task10[[SubPLOs]:[SubPLOs]],"&lt;6")</f>
        <v>0</v>
      </c>
      <c r="EC184" s="41">
        <f>SUMIFS(tbl_task1[S128],tbl_task1[[SubPLOs]:[SubPLOs]],"&gt;=5",tbl_task1[[SubPLOs]:[SubPLOs]],"&lt;6")+SUMIFS(tbl_task2[S128],tbl_task2[[SubPLOs]:[SubPLOs]],"&gt;=5",tbl_task2[[SubPLOs]:[SubPLOs]],"&lt;6")+SUMIFS(tbl_task3[S128],tbl_task3[[SubPLOs]:[SubPLOs]],"&gt;=5",tbl_task3[[SubPLOs]:[SubPLOs]],"&lt;6")+SUMIFS(tbl_task4[S128],tbl_task4[[SubPLOs]:[SubPLOs]],"&gt;=5",tbl_task4[[SubPLOs]:[SubPLOs]],"&lt;6")+SUMIFS(tbl_task5[S128],tbl_task5[[SubPLOs]:[SubPLOs]],"&gt;=5",tbl_task5[[SubPLOs]:[SubPLOs]],"&lt;6")+SUMIFS(tbl_task6[S128],tbl_task6[[SubPLOs]:[SubPLOs]],"&gt;=5",tbl_task6[[SubPLOs]:[SubPLOs]],"&lt;6")+SUMIFS(tbl_task7[S128],tbl_task7[[SubPLOs]:[SubPLOs]],"&gt;=5",tbl_task7[[SubPLOs]:[SubPLOs]],"&lt;6")+SUMIFS(tbl_task8[S128],tbl_task8[[SubPLOs]:[SubPLOs]],"&gt;=5",tbl_task8[[SubPLOs]:[SubPLOs]],"&lt;6")+SUMIFS(tbl_task9[S128],tbl_task9[[SubPLOs]:[SubPLOs]],"&gt;=5",tbl_task9[[SubPLOs]:[SubPLOs]],"&lt;6")+SUMIFS(tbl_task10[S128],tbl_task10[[SubPLOs]:[SubPLOs]],"&gt;=5",tbl_task10[[SubPLOs]:[SubPLOs]],"&lt;6")</f>
        <v>0</v>
      </c>
      <c r="ED184" s="41">
        <f>SUMIFS(tbl_task1[S129],tbl_task1[[SubPLOs]:[SubPLOs]],"&gt;=5",tbl_task1[[SubPLOs]:[SubPLOs]],"&lt;6")+SUMIFS(tbl_task2[S129],tbl_task2[[SubPLOs]:[SubPLOs]],"&gt;=5",tbl_task2[[SubPLOs]:[SubPLOs]],"&lt;6")+SUMIFS(tbl_task3[S129],tbl_task3[[SubPLOs]:[SubPLOs]],"&gt;=5",tbl_task3[[SubPLOs]:[SubPLOs]],"&lt;6")+SUMIFS(tbl_task4[S129],tbl_task4[[SubPLOs]:[SubPLOs]],"&gt;=5",tbl_task4[[SubPLOs]:[SubPLOs]],"&lt;6")+SUMIFS(tbl_task5[S129],tbl_task5[[SubPLOs]:[SubPLOs]],"&gt;=5",tbl_task5[[SubPLOs]:[SubPLOs]],"&lt;6")+SUMIFS(tbl_task6[S129],tbl_task6[[SubPLOs]:[SubPLOs]],"&gt;=5",tbl_task6[[SubPLOs]:[SubPLOs]],"&lt;6")+SUMIFS(tbl_task7[S129],tbl_task7[[SubPLOs]:[SubPLOs]],"&gt;=5",tbl_task7[[SubPLOs]:[SubPLOs]],"&lt;6")+SUMIFS(tbl_task8[S129],tbl_task8[[SubPLOs]:[SubPLOs]],"&gt;=5",tbl_task8[[SubPLOs]:[SubPLOs]],"&lt;6")+SUMIFS(tbl_task9[S129],tbl_task9[[SubPLOs]:[SubPLOs]],"&gt;=5",tbl_task9[[SubPLOs]:[SubPLOs]],"&lt;6")+SUMIFS(tbl_task10[S129],tbl_task10[[SubPLOs]:[SubPLOs]],"&gt;=5",tbl_task10[[SubPLOs]:[SubPLOs]],"&lt;6")</f>
        <v>0</v>
      </c>
      <c r="EE184" s="41">
        <f>SUMIFS(tbl_task1[S130],tbl_task1[[SubPLOs]:[SubPLOs]],"&gt;=5",tbl_task1[[SubPLOs]:[SubPLOs]],"&lt;6")+SUMIFS(tbl_task2[S130],tbl_task2[[SubPLOs]:[SubPLOs]],"&gt;=5",tbl_task2[[SubPLOs]:[SubPLOs]],"&lt;6")+SUMIFS(tbl_task3[S130],tbl_task3[[SubPLOs]:[SubPLOs]],"&gt;=5",tbl_task3[[SubPLOs]:[SubPLOs]],"&lt;6")+SUMIFS(tbl_task4[S130],tbl_task4[[SubPLOs]:[SubPLOs]],"&gt;=5",tbl_task4[[SubPLOs]:[SubPLOs]],"&lt;6")+SUMIFS(tbl_task5[S130],tbl_task5[[SubPLOs]:[SubPLOs]],"&gt;=5",tbl_task5[[SubPLOs]:[SubPLOs]],"&lt;6")+SUMIFS(tbl_task6[S130],tbl_task6[[SubPLOs]:[SubPLOs]],"&gt;=5",tbl_task6[[SubPLOs]:[SubPLOs]],"&lt;6")+SUMIFS(tbl_task7[S130],tbl_task7[[SubPLOs]:[SubPLOs]],"&gt;=5",tbl_task7[[SubPLOs]:[SubPLOs]],"&lt;6")+SUMIFS(tbl_task8[S130],tbl_task8[[SubPLOs]:[SubPLOs]],"&gt;=5",tbl_task8[[SubPLOs]:[SubPLOs]],"&lt;6")+SUMIFS(tbl_task9[S130],tbl_task9[[SubPLOs]:[SubPLOs]],"&gt;=5",tbl_task9[[SubPLOs]:[SubPLOs]],"&lt;6")+SUMIFS(tbl_task10[S130],tbl_task10[[SubPLOs]:[SubPLOs]],"&gt;=5",tbl_task10[[SubPLOs]:[SubPLOs]],"&lt;6")</f>
        <v>0</v>
      </c>
      <c r="EF184" s="41">
        <f>SUMIFS(tbl_task1[S131],tbl_task1[[SubPLOs]:[SubPLOs]],"&gt;=5",tbl_task1[[SubPLOs]:[SubPLOs]],"&lt;6")+SUMIFS(tbl_task2[S131],tbl_task2[[SubPLOs]:[SubPLOs]],"&gt;=5",tbl_task2[[SubPLOs]:[SubPLOs]],"&lt;6")+SUMIFS(tbl_task3[S131],tbl_task3[[SubPLOs]:[SubPLOs]],"&gt;=5",tbl_task3[[SubPLOs]:[SubPLOs]],"&lt;6")+SUMIFS(tbl_task4[S131],tbl_task4[[SubPLOs]:[SubPLOs]],"&gt;=5",tbl_task4[[SubPLOs]:[SubPLOs]],"&lt;6")+SUMIFS(tbl_task5[S131],tbl_task5[[SubPLOs]:[SubPLOs]],"&gt;=5",tbl_task5[[SubPLOs]:[SubPLOs]],"&lt;6")+SUMIFS(tbl_task6[S131],tbl_task6[[SubPLOs]:[SubPLOs]],"&gt;=5",tbl_task6[[SubPLOs]:[SubPLOs]],"&lt;6")+SUMIFS(tbl_task7[S131],tbl_task7[[SubPLOs]:[SubPLOs]],"&gt;=5",tbl_task7[[SubPLOs]:[SubPLOs]],"&lt;6")+SUMIFS(tbl_task8[S131],tbl_task8[[SubPLOs]:[SubPLOs]],"&gt;=5",tbl_task8[[SubPLOs]:[SubPLOs]],"&lt;6")+SUMIFS(tbl_task9[S131],tbl_task9[[SubPLOs]:[SubPLOs]],"&gt;=5",tbl_task9[[SubPLOs]:[SubPLOs]],"&lt;6")+SUMIFS(tbl_task10[S131],tbl_task10[[SubPLOs]:[SubPLOs]],"&gt;=5",tbl_task10[[SubPLOs]:[SubPLOs]],"&lt;6")</f>
        <v>0</v>
      </c>
      <c r="EG184" s="41">
        <f>SUMIFS(tbl_task1[S132],tbl_task1[[SubPLOs]:[SubPLOs]],"&gt;=5",tbl_task1[[SubPLOs]:[SubPLOs]],"&lt;6")+SUMIFS(tbl_task2[S132],tbl_task2[[SubPLOs]:[SubPLOs]],"&gt;=5",tbl_task2[[SubPLOs]:[SubPLOs]],"&lt;6")+SUMIFS(tbl_task3[S132],tbl_task3[[SubPLOs]:[SubPLOs]],"&gt;=5",tbl_task3[[SubPLOs]:[SubPLOs]],"&lt;6")+SUMIFS(tbl_task4[S132],tbl_task4[[SubPLOs]:[SubPLOs]],"&gt;=5",tbl_task4[[SubPLOs]:[SubPLOs]],"&lt;6")+SUMIFS(tbl_task5[S132],tbl_task5[[SubPLOs]:[SubPLOs]],"&gt;=5",tbl_task5[[SubPLOs]:[SubPLOs]],"&lt;6")+SUMIFS(tbl_task6[S132],tbl_task6[[SubPLOs]:[SubPLOs]],"&gt;=5",tbl_task6[[SubPLOs]:[SubPLOs]],"&lt;6")+SUMIFS(tbl_task7[S132],tbl_task7[[SubPLOs]:[SubPLOs]],"&gt;=5",tbl_task7[[SubPLOs]:[SubPLOs]],"&lt;6")+SUMIFS(tbl_task8[S132],tbl_task8[[SubPLOs]:[SubPLOs]],"&gt;=5",tbl_task8[[SubPLOs]:[SubPLOs]],"&lt;6")+SUMIFS(tbl_task9[S132],tbl_task9[[SubPLOs]:[SubPLOs]],"&gt;=5",tbl_task9[[SubPLOs]:[SubPLOs]],"&lt;6")+SUMIFS(tbl_task10[S132],tbl_task10[[SubPLOs]:[SubPLOs]],"&gt;=5",tbl_task10[[SubPLOs]:[SubPLOs]],"&lt;6")</f>
        <v>0</v>
      </c>
      <c r="EH184" s="41">
        <f>SUMIFS(tbl_task1[S133],tbl_task1[[SubPLOs]:[SubPLOs]],"&gt;=5",tbl_task1[[SubPLOs]:[SubPLOs]],"&lt;6")+SUMIFS(tbl_task2[S133],tbl_task2[[SubPLOs]:[SubPLOs]],"&gt;=5",tbl_task2[[SubPLOs]:[SubPLOs]],"&lt;6")+SUMIFS(tbl_task3[S133],tbl_task3[[SubPLOs]:[SubPLOs]],"&gt;=5",tbl_task3[[SubPLOs]:[SubPLOs]],"&lt;6")+SUMIFS(tbl_task4[S133],tbl_task4[[SubPLOs]:[SubPLOs]],"&gt;=5",tbl_task4[[SubPLOs]:[SubPLOs]],"&lt;6")+SUMIFS(tbl_task5[S133],tbl_task5[[SubPLOs]:[SubPLOs]],"&gt;=5",tbl_task5[[SubPLOs]:[SubPLOs]],"&lt;6")+SUMIFS(tbl_task6[S133],tbl_task6[[SubPLOs]:[SubPLOs]],"&gt;=5",tbl_task6[[SubPLOs]:[SubPLOs]],"&lt;6")+SUMIFS(tbl_task7[S133],tbl_task7[[SubPLOs]:[SubPLOs]],"&gt;=5",tbl_task7[[SubPLOs]:[SubPLOs]],"&lt;6")+SUMIFS(tbl_task8[S133],tbl_task8[[SubPLOs]:[SubPLOs]],"&gt;=5",tbl_task8[[SubPLOs]:[SubPLOs]],"&lt;6")+SUMIFS(tbl_task9[S133],tbl_task9[[SubPLOs]:[SubPLOs]],"&gt;=5",tbl_task9[[SubPLOs]:[SubPLOs]],"&lt;6")+SUMIFS(tbl_task10[S133],tbl_task10[[SubPLOs]:[SubPLOs]],"&gt;=5",tbl_task10[[SubPLOs]:[SubPLOs]],"&lt;6")</f>
        <v>0</v>
      </c>
      <c r="EI184" s="41">
        <f>SUMIFS(tbl_task1[S134],tbl_task1[[SubPLOs]:[SubPLOs]],"&gt;=5",tbl_task1[[SubPLOs]:[SubPLOs]],"&lt;6")+SUMIFS(tbl_task2[S134],tbl_task2[[SubPLOs]:[SubPLOs]],"&gt;=5",tbl_task2[[SubPLOs]:[SubPLOs]],"&lt;6")+SUMIFS(tbl_task3[S134],tbl_task3[[SubPLOs]:[SubPLOs]],"&gt;=5",tbl_task3[[SubPLOs]:[SubPLOs]],"&lt;6")+SUMIFS(tbl_task4[S134],tbl_task4[[SubPLOs]:[SubPLOs]],"&gt;=5",tbl_task4[[SubPLOs]:[SubPLOs]],"&lt;6")+SUMIFS(tbl_task5[S134],tbl_task5[[SubPLOs]:[SubPLOs]],"&gt;=5",tbl_task5[[SubPLOs]:[SubPLOs]],"&lt;6")+SUMIFS(tbl_task6[S134],tbl_task6[[SubPLOs]:[SubPLOs]],"&gt;=5",tbl_task6[[SubPLOs]:[SubPLOs]],"&lt;6")+SUMIFS(tbl_task7[S134],tbl_task7[[SubPLOs]:[SubPLOs]],"&gt;=5",tbl_task7[[SubPLOs]:[SubPLOs]],"&lt;6")+SUMIFS(tbl_task8[S134],tbl_task8[[SubPLOs]:[SubPLOs]],"&gt;=5",tbl_task8[[SubPLOs]:[SubPLOs]],"&lt;6")+SUMIFS(tbl_task9[S134],tbl_task9[[SubPLOs]:[SubPLOs]],"&gt;=5",tbl_task9[[SubPLOs]:[SubPLOs]],"&lt;6")+SUMIFS(tbl_task10[S134],tbl_task10[[SubPLOs]:[SubPLOs]],"&gt;=5",tbl_task10[[SubPLOs]:[SubPLOs]],"&lt;6")</f>
        <v>0</v>
      </c>
      <c r="EJ184" s="41">
        <f>SUMIFS(tbl_task1[S135],tbl_task1[[SubPLOs]:[SubPLOs]],"&gt;=5",tbl_task1[[SubPLOs]:[SubPLOs]],"&lt;6")+SUMIFS(tbl_task2[S135],tbl_task2[[SubPLOs]:[SubPLOs]],"&gt;=5",tbl_task2[[SubPLOs]:[SubPLOs]],"&lt;6")+SUMIFS(tbl_task3[S135],tbl_task3[[SubPLOs]:[SubPLOs]],"&gt;=5",tbl_task3[[SubPLOs]:[SubPLOs]],"&lt;6")+SUMIFS(tbl_task4[S135],tbl_task4[[SubPLOs]:[SubPLOs]],"&gt;=5",tbl_task4[[SubPLOs]:[SubPLOs]],"&lt;6")+SUMIFS(tbl_task5[S135],tbl_task5[[SubPLOs]:[SubPLOs]],"&gt;=5",tbl_task5[[SubPLOs]:[SubPLOs]],"&lt;6")+SUMIFS(tbl_task6[S135],tbl_task6[[SubPLOs]:[SubPLOs]],"&gt;=5",tbl_task6[[SubPLOs]:[SubPLOs]],"&lt;6")+SUMIFS(tbl_task7[S135],tbl_task7[[SubPLOs]:[SubPLOs]],"&gt;=5",tbl_task7[[SubPLOs]:[SubPLOs]],"&lt;6")+SUMIFS(tbl_task8[S135],tbl_task8[[SubPLOs]:[SubPLOs]],"&gt;=5",tbl_task8[[SubPLOs]:[SubPLOs]],"&lt;6")+SUMIFS(tbl_task9[S135],tbl_task9[[SubPLOs]:[SubPLOs]],"&gt;=5",tbl_task9[[SubPLOs]:[SubPLOs]],"&lt;6")+SUMIFS(tbl_task10[S135],tbl_task10[[SubPLOs]:[SubPLOs]],"&gt;=5",tbl_task10[[SubPLOs]:[SubPLOs]],"&lt;6")</f>
        <v>0</v>
      </c>
      <c r="EK184" s="41">
        <f>SUMIFS(tbl_task1[S136],tbl_task1[[SubPLOs]:[SubPLOs]],"&gt;=5",tbl_task1[[SubPLOs]:[SubPLOs]],"&lt;6")+SUMIFS(tbl_task2[S136],tbl_task2[[SubPLOs]:[SubPLOs]],"&gt;=5",tbl_task2[[SubPLOs]:[SubPLOs]],"&lt;6")+SUMIFS(tbl_task3[S136],tbl_task3[[SubPLOs]:[SubPLOs]],"&gt;=5",tbl_task3[[SubPLOs]:[SubPLOs]],"&lt;6")+SUMIFS(tbl_task4[S136],tbl_task4[[SubPLOs]:[SubPLOs]],"&gt;=5",tbl_task4[[SubPLOs]:[SubPLOs]],"&lt;6")+SUMIFS(tbl_task5[S136],tbl_task5[[SubPLOs]:[SubPLOs]],"&gt;=5",tbl_task5[[SubPLOs]:[SubPLOs]],"&lt;6")+SUMIFS(tbl_task6[S136],tbl_task6[[SubPLOs]:[SubPLOs]],"&gt;=5",tbl_task6[[SubPLOs]:[SubPLOs]],"&lt;6")+SUMIFS(tbl_task7[S136],tbl_task7[[SubPLOs]:[SubPLOs]],"&gt;=5",tbl_task7[[SubPLOs]:[SubPLOs]],"&lt;6")+SUMIFS(tbl_task8[S136],tbl_task8[[SubPLOs]:[SubPLOs]],"&gt;=5",tbl_task8[[SubPLOs]:[SubPLOs]],"&lt;6")+SUMIFS(tbl_task9[S136],tbl_task9[[SubPLOs]:[SubPLOs]],"&gt;=5",tbl_task9[[SubPLOs]:[SubPLOs]],"&lt;6")+SUMIFS(tbl_task10[S136],tbl_task10[[SubPLOs]:[SubPLOs]],"&gt;=5",tbl_task10[[SubPLOs]:[SubPLOs]],"&lt;6")</f>
        <v>0</v>
      </c>
      <c r="EL184" s="41">
        <f>SUMIFS(tbl_task1[S137],tbl_task1[[SubPLOs]:[SubPLOs]],"&gt;=5",tbl_task1[[SubPLOs]:[SubPLOs]],"&lt;6")+SUMIFS(tbl_task2[S137],tbl_task2[[SubPLOs]:[SubPLOs]],"&gt;=5",tbl_task2[[SubPLOs]:[SubPLOs]],"&lt;6")+SUMIFS(tbl_task3[S137],tbl_task3[[SubPLOs]:[SubPLOs]],"&gt;=5",tbl_task3[[SubPLOs]:[SubPLOs]],"&lt;6")+SUMIFS(tbl_task4[S137],tbl_task4[[SubPLOs]:[SubPLOs]],"&gt;=5",tbl_task4[[SubPLOs]:[SubPLOs]],"&lt;6")+SUMIFS(tbl_task5[S137],tbl_task5[[SubPLOs]:[SubPLOs]],"&gt;=5",tbl_task5[[SubPLOs]:[SubPLOs]],"&lt;6")+SUMIFS(tbl_task6[S137],tbl_task6[[SubPLOs]:[SubPLOs]],"&gt;=5",tbl_task6[[SubPLOs]:[SubPLOs]],"&lt;6")+SUMIFS(tbl_task7[S137],tbl_task7[[SubPLOs]:[SubPLOs]],"&gt;=5",tbl_task7[[SubPLOs]:[SubPLOs]],"&lt;6")+SUMIFS(tbl_task8[S137],tbl_task8[[SubPLOs]:[SubPLOs]],"&gt;=5",tbl_task8[[SubPLOs]:[SubPLOs]],"&lt;6")+SUMIFS(tbl_task9[S137],tbl_task9[[SubPLOs]:[SubPLOs]],"&gt;=5",tbl_task9[[SubPLOs]:[SubPLOs]],"&lt;6")+SUMIFS(tbl_task10[S137],tbl_task10[[SubPLOs]:[SubPLOs]],"&gt;=5",tbl_task10[[SubPLOs]:[SubPLOs]],"&lt;6")</f>
        <v>0</v>
      </c>
      <c r="EM184" s="41">
        <f>SUMIFS(tbl_task1[S138],tbl_task1[[SubPLOs]:[SubPLOs]],"&gt;=5",tbl_task1[[SubPLOs]:[SubPLOs]],"&lt;6")+SUMIFS(tbl_task2[S138],tbl_task2[[SubPLOs]:[SubPLOs]],"&gt;=5",tbl_task2[[SubPLOs]:[SubPLOs]],"&lt;6")+SUMIFS(tbl_task3[S138],tbl_task3[[SubPLOs]:[SubPLOs]],"&gt;=5",tbl_task3[[SubPLOs]:[SubPLOs]],"&lt;6")+SUMIFS(tbl_task4[S138],tbl_task4[[SubPLOs]:[SubPLOs]],"&gt;=5",tbl_task4[[SubPLOs]:[SubPLOs]],"&lt;6")+SUMIFS(tbl_task5[S138],tbl_task5[[SubPLOs]:[SubPLOs]],"&gt;=5",tbl_task5[[SubPLOs]:[SubPLOs]],"&lt;6")+SUMIFS(tbl_task6[S138],tbl_task6[[SubPLOs]:[SubPLOs]],"&gt;=5",tbl_task6[[SubPLOs]:[SubPLOs]],"&lt;6")+SUMIFS(tbl_task7[S138],tbl_task7[[SubPLOs]:[SubPLOs]],"&gt;=5",tbl_task7[[SubPLOs]:[SubPLOs]],"&lt;6")+SUMIFS(tbl_task8[S138],tbl_task8[[SubPLOs]:[SubPLOs]],"&gt;=5",tbl_task8[[SubPLOs]:[SubPLOs]],"&lt;6")+SUMIFS(tbl_task9[S138],tbl_task9[[SubPLOs]:[SubPLOs]],"&gt;=5",tbl_task9[[SubPLOs]:[SubPLOs]],"&lt;6")+SUMIFS(tbl_task10[S138],tbl_task10[[SubPLOs]:[SubPLOs]],"&gt;=5",tbl_task10[[SubPLOs]:[SubPLOs]],"&lt;6")</f>
        <v>0</v>
      </c>
      <c r="EN184" s="41">
        <f>SUMIFS(tbl_task1[S139],tbl_task1[[SubPLOs]:[SubPLOs]],"&gt;=5",tbl_task1[[SubPLOs]:[SubPLOs]],"&lt;6")+SUMIFS(tbl_task2[S139],tbl_task2[[SubPLOs]:[SubPLOs]],"&gt;=5",tbl_task2[[SubPLOs]:[SubPLOs]],"&lt;6")+SUMIFS(tbl_task3[S139],tbl_task3[[SubPLOs]:[SubPLOs]],"&gt;=5",tbl_task3[[SubPLOs]:[SubPLOs]],"&lt;6")+SUMIFS(tbl_task4[S139],tbl_task4[[SubPLOs]:[SubPLOs]],"&gt;=5",tbl_task4[[SubPLOs]:[SubPLOs]],"&lt;6")+SUMIFS(tbl_task5[S139],tbl_task5[[SubPLOs]:[SubPLOs]],"&gt;=5",tbl_task5[[SubPLOs]:[SubPLOs]],"&lt;6")+SUMIFS(tbl_task6[S139],tbl_task6[[SubPLOs]:[SubPLOs]],"&gt;=5",tbl_task6[[SubPLOs]:[SubPLOs]],"&lt;6")+SUMIFS(tbl_task7[S139],tbl_task7[[SubPLOs]:[SubPLOs]],"&gt;=5",tbl_task7[[SubPLOs]:[SubPLOs]],"&lt;6")+SUMIFS(tbl_task8[S139],tbl_task8[[SubPLOs]:[SubPLOs]],"&gt;=5",tbl_task8[[SubPLOs]:[SubPLOs]],"&lt;6")+SUMIFS(tbl_task9[S139],tbl_task9[[SubPLOs]:[SubPLOs]],"&gt;=5",tbl_task9[[SubPLOs]:[SubPLOs]],"&lt;6")+SUMIFS(tbl_task10[S139],tbl_task10[[SubPLOs]:[SubPLOs]],"&gt;=5",tbl_task10[[SubPLOs]:[SubPLOs]],"&lt;6")</f>
        <v>0</v>
      </c>
      <c r="EO184" s="41">
        <f>SUMIFS(tbl_task1[S140],tbl_task1[[SubPLOs]:[SubPLOs]],"&gt;=5",tbl_task1[[SubPLOs]:[SubPLOs]],"&lt;6")+SUMIFS(tbl_task2[S140],tbl_task2[[SubPLOs]:[SubPLOs]],"&gt;=5",tbl_task2[[SubPLOs]:[SubPLOs]],"&lt;6")+SUMIFS(tbl_task3[S140],tbl_task3[[SubPLOs]:[SubPLOs]],"&gt;=5",tbl_task3[[SubPLOs]:[SubPLOs]],"&lt;6")+SUMIFS(tbl_task4[S140],tbl_task4[[SubPLOs]:[SubPLOs]],"&gt;=5",tbl_task4[[SubPLOs]:[SubPLOs]],"&lt;6")+SUMIFS(tbl_task5[S140],tbl_task5[[SubPLOs]:[SubPLOs]],"&gt;=5",tbl_task5[[SubPLOs]:[SubPLOs]],"&lt;6")+SUMIFS(tbl_task6[S140],tbl_task6[[SubPLOs]:[SubPLOs]],"&gt;=5",tbl_task6[[SubPLOs]:[SubPLOs]],"&lt;6")+SUMIFS(tbl_task7[S140],tbl_task7[[SubPLOs]:[SubPLOs]],"&gt;=5",tbl_task7[[SubPLOs]:[SubPLOs]],"&lt;6")+SUMIFS(tbl_task8[S140],tbl_task8[[SubPLOs]:[SubPLOs]],"&gt;=5",tbl_task8[[SubPLOs]:[SubPLOs]],"&lt;6")+SUMIFS(tbl_task9[S140],tbl_task9[[SubPLOs]:[SubPLOs]],"&gt;=5",tbl_task9[[SubPLOs]:[SubPLOs]],"&lt;6")+SUMIFS(tbl_task10[S140],tbl_task10[[SubPLOs]:[SubPLOs]],"&gt;=5",tbl_task10[[SubPLOs]:[SubPLOs]],"&lt;6")</f>
        <v>0</v>
      </c>
      <c r="EP184" s="41">
        <f>SUMIFS(tbl_task1[S141],tbl_task1[[SubPLOs]:[SubPLOs]],"&gt;=5",tbl_task1[[SubPLOs]:[SubPLOs]],"&lt;6")+SUMIFS(tbl_task2[S141],tbl_task2[[SubPLOs]:[SubPLOs]],"&gt;=5",tbl_task2[[SubPLOs]:[SubPLOs]],"&lt;6")+SUMIFS(tbl_task3[S141],tbl_task3[[SubPLOs]:[SubPLOs]],"&gt;=5",tbl_task3[[SubPLOs]:[SubPLOs]],"&lt;6")+SUMIFS(tbl_task4[S141],tbl_task4[[SubPLOs]:[SubPLOs]],"&gt;=5",tbl_task4[[SubPLOs]:[SubPLOs]],"&lt;6")+SUMIFS(tbl_task5[S141],tbl_task5[[SubPLOs]:[SubPLOs]],"&gt;=5",tbl_task5[[SubPLOs]:[SubPLOs]],"&lt;6")+SUMIFS(tbl_task6[S141],tbl_task6[[SubPLOs]:[SubPLOs]],"&gt;=5",tbl_task6[[SubPLOs]:[SubPLOs]],"&lt;6")+SUMIFS(tbl_task7[S141],tbl_task7[[SubPLOs]:[SubPLOs]],"&gt;=5",tbl_task7[[SubPLOs]:[SubPLOs]],"&lt;6")+SUMIFS(tbl_task8[S141],tbl_task8[[SubPLOs]:[SubPLOs]],"&gt;=5",tbl_task8[[SubPLOs]:[SubPLOs]],"&lt;6")+SUMIFS(tbl_task9[S141],tbl_task9[[SubPLOs]:[SubPLOs]],"&gt;=5",tbl_task9[[SubPLOs]:[SubPLOs]],"&lt;6")+SUMIFS(tbl_task10[S141],tbl_task10[[SubPLOs]:[SubPLOs]],"&gt;=5",tbl_task10[[SubPLOs]:[SubPLOs]],"&lt;6")</f>
        <v>0</v>
      </c>
      <c r="EQ184" s="41">
        <f>SUMIFS(tbl_task1[S142],tbl_task1[[SubPLOs]:[SubPLOs]],"&gt;=5",tbl_task1[[SubPLOs]:[SubPLOs]],"&lt;6")+SUMIFS(tbl_task2[S142],tbl_task2[[SubPLOs]:[SubPLOs]],"&gt;=5",tbl_task2[[SubPLOs]:[SubPLOs]],"&lt;6")+SUMIFS(tbl_task3[S142],tbl_task3[[SubPLOs]:[SubPLOs]],"&gt;=5",tbl_task3[[SubPLOs]:[SubPLOs]],"&lt;6")+SUMIFS(tbl_task4[S142],tbl_task4[[SubPLOs]:[SubPLOs]],"&gt;=5",tbl_task4[[SubPLOs]:[SubPLOs]],"&lt;6")+SUMIFS(tbl_task5[S142],tbl_task5[[SubPLOs]:[SubPLOs]],"&gt;=5",tbl_task5[[SubPLOs]:[SubPLOs]],"&lt;6")+SUMIFS(tbl_task6[S142],tbl_task6[[SubPLOs]:[SubPLOs]],"&gt;=5",tbl_task6[[SubPLOs]:[SubPLOs]],"&lt;6")+SUMIFS(tbl_task7[S142],tbl_task7[[SubPLOs]:[SubPLOs]],"&gt;=5",tbl_task7[[SubPLOs]:[SubPLOs]],"&lt;6")+SUMIFS(tbl_task8[S142],tbl_task8[[SubPLOs]:[SubPLOs]],"&gt;=5",tbl_task8[[SubPLOs]:[SubPLOs]],"&lt;6")+SUMIFS(tbl_task9[S142],tbl_task9[[SubPLOs]:[SubPLOs]],"&gt;=5",tbl_task9[[SubPLOs]:[SubPLOs]],"&lt;6")+SUMIFS(tbl_task10[S142],tbl_task10[[SubPLOs]:[SubPLOs]],"&gt;=5",tbl_task10[[SubPLOs]:[SubPLOs]],"&lt;6")</f>
        <v>0</v>
      </c>
      <c r="ER184" s="41">
        <f>SUMIFS(tbl_task1[S143],tbl_task1[[SubPLOs]:[SubPLOs]],"&gt;=5",tbl_task1[[SubPLOs]:[SubPLOs]],"&lt;6")+SUMIFS(tbl_task2[S143],tbl_task2[[SubPLOs]:[SubPLOs]],"&gt;=5",tbl_task2[[SubPLOs]:[SubPLOs]],"&lt;6")+SUMIFS(tbl_task3[S143],tbl_task3[[SubPLOs]:[SubPLOs]],"&gt;=5",tbl_task3[[SubPLOs]:[SubPLOs]],"&lt;6")+SUMIFS(tbl_task4[S143],tbl_task4[[SubPLOs]:[SubPLOs]],"&gt;=5",tbl_task4[[SubPLOs]:[SubPLOs]],"&lt;6")+SUMIFS(tbl_task5[S143],tbl_task5[[SubPLOs]:[SubPLOs]],"&gt;=5",tbl_task5[[SubPLOs]:[SubPLOs]],"&lt;6")+SUMIFS(tbl_task6[S143],tbl_task6[[SubPLOs]:[SubPLOs]],"&gt;=5",tbl_task6[[SubPLOs]:[SubPLOs]],"&lt;6")+SUMIFS(tbl_task7[S143],tbl_task7[[SubPLOs]:[SubPLOs]],"&gt;=5",tbl_task7[[SubPLOs]:[SubPLOs]],"&lt;6")+SUMIFS(tbl_task8[S143],tbl_task8[[SubPLOs]:[SubPLOs]],"&gt;=5",tbl_task8[[SubPLOs]:[SubPLOs]],"&lt;6")+SUMIFS(tbl_task9[S143],tbl_task9[[SubPLOs]:[SubPLOs]],"&gt;=5",tbl_task9[[SubPLOs]:[SubPLOs]],"&lt;6")+SUMIFS(tbl_task10[S143],tbl_task10[[SubPLOs]:[SubPLOs]],"&gt;=5",tbl_task10[[SubPLOs]:[SubPLOs]],"&lt;6")</f>
        <v>0</v>
      </c>
      <c r="ES184" s="41">
        <f>SUMIFS(tbl_task1[S144],tbl_task1[[SubPLOs]:[SubPLOs]],"&gt;=5",tbl_task1[[SubPLOs]:[SubPLOs]],"&lt;6")+SUMIFS(tbl_task2[S144],tbl_task2[[SubPLOs]:[SubPLOs]],"&gt;=5",tbl_task2[[SubPLOs]:[SubPLOs]],"&lt;6")+SUMIFS(tbl_task3[S144],tbl_task3[[SubPLOs]:[SubPLOs]],"&gt;=5",tbl_task3[[SubPLOs]:[SubPLOs]],"&lt;6")+SUMIFS(tbl_task4[S144],tbl_task4[[SubPLOs]:[SubPLOs]],"&gt;=5",tbl_task4[[SubPLOs]:[SubPLOs]],"&lt;6")+SUMIFS(tbl_task5[S144],tbl_task5[[SubPLOs]:[SubPLOs]],"&gt;=5",tbl_task5[[SubPLOs]:[SubPLOs]],"&lt;6")+SUMIFS(tbl_task6[S144],tbl_task6[[SubPLOs]:[SubPLOs]],"&gt;=5",tbl_task6[[SubPLOs]:[SubPLOs]],"&lt;6")+SUMIFS(tbl_task7[S144],tbl_task7[[SubPLOs]:[SubPLOs]],"&gt;=5",tbl_task7[[SubPLOs]:[SubPLOs]],"&lt;6")+SUMIFS(tbl_task8[S144],tbl_task8[[SubPLOs]:[SubPLOs]],"&gt;=5",tbl_task8[[SubPLOs]:[SubPLOs]],"&lt;6")+SUMIFS(tbl_task9[S144],tbl_task9[[SubPLOs]:[SubPLOs]],"&gt;=5",tbl_task9[[SubPLOs]:[SubPLOs]],"&lt;6")+SUMIFS(tbl_task10[S144],tbl_task10[[SubPLOs]:[SubPLOs]],"&gt;=5",tbl_task10[[SubPLOs]:[SubPLOs]],"&lt;6")</f>
        <v>0</v>
      </c>
      <c r="ET184" s="41">
        <f>SUMIFS(tbl_task1[S145],tbl_task1[[SubPLOs]:[SubPLOs]],"&gt;=5",tbl_task1[[SubPLOs]:[SubPLOs]],"&lt;6")+SUMIFS(tbl_task2[S145],tbl_task2[[SubPLOs]:[SubPLOs]],"&gt;=5",tbl_task2[[SubPLOs]:[SubPLOs]],"&lt;6")+SUMIFS(tbl_task3[S145],tbl_task3[[SubPLOs]:[SubPLOs]],"&gt;=5",tbl_task3[[SubPLOs]:[SubPLOs]],"&lt;6")+SUMIFS(tbl_task4[S145],tbl_task4[[SubPLOs]:[SubPLOs]],"&gt;=5",tbl_task4[[SubPLOs]:[SubPLOs]],"&lt;6")+SUMIFS(tbl_task5[S145],tbl_task5[[SubPLOs]:[SubPLOs]],"&gt;=5",tbl_task5[[SubPLOs]:[SubPLOs]],"&lt;6")+SUMIFS(tbl_task6[S145],tbl_task6[[SubPLOs]:[SubPLOs]],"&gt;=5",tbl_task6[[SubPLOs]:[SubPLOs]],"&lt;6")+SUMIFS(tbl_task7[S145],tbl_task7[[SubPLOs]:[SubPLOs]],"&gt;=5",tbl_task7[[SubPLOs]:[SubPLOs]],"&lt;6")+SUMIFS(tbl_task8[S145],tbl_task8[[SubPLOs]:[SubPLOs]],"&gt;=5",tbl_task8[[SubPLOs]:[SubPLOs]],"&lt;6")+SUMIFS(tbl_task9[S145],tbl_task9[[SubPLOs]:[SubPLOs]],"&gt;=5",tbl_task9[[SubPLOs]:[SubPLOs]],"&lt;6")+SUMIFS(tbl_task10[S145],tbl_task10[[SubPLOs]:[SubPLOs]],"&gt;=5",tbl_task10[[SubPLOs]:[SubPLOs]],"&lt;6")</f>
        <v>0</v>
      </c>
      <c r="EU184" s="41">
        <f>SUMIFS(tbl_task1[S146],tbl_task1[[SubPLOs]:[SubPLOs]],"&gt;=5",tbl_task1[[SubPLOs]:[SubPLOs]],"&lt;6")+SUMIFS(tbl_task2[S146],tbl_task2[[SubPLOs]:[SubPLOs]],"&gt;=5",tbl_task2[[SubPLOs]:[SubPLOs]],"&lt;6")+SUMIFS(tbl_task3[S146],tbl_task3[[SubPLOs]:[SubPLOs]],"&gt;=5",tbl_task3[[SubPLOs]:[SubPLOs]],"&lt;6")+SUMIFS(tbl_task4[S146],tbl_task4[[SubPLOs]:[SubPLOs]],"&gt;=5",tbl_task4[[SubPLOs]:[SubPLOs]],"&lt;6")+SUMIFS(tbl_task5[S146],tbl_task5[[SubPLOs]:[SubPLOs]],"&gt;=5",tbl_task5[[SubPLOs]:[SubPLOs]],"&lt;6")+SUMIFS(tbl_task6[S146],tbl_task6[[SubPLOs]:[SubPLOs]],"&gt;=5",tbl_task6[[SubPLOs]:[SubPLOs]],"&lt;6")+SUMIFS(tbl_task7[S146],tbl_task7[[SubPLOs]:[SubPLOs]],"&gt;=5",tbl_task7[[SubPLOs]:[SubPLOs]],"&lt;6")+SUMIFS(tbl_task8[S146],tbl_task8[[SubPLOs]:[SubPLOs]],"&gt;=5",tbl_task8[[SubPLOs]:[SubPLOs]],"&lt;6")+SUMIFS(tbl_task9[S146],tbl_task9[[SubPLOs]:[SubPLOs]],"&gt;=5",tbl_task9[[SubPLOs]:[SubPLOs]],"&lt;6")+SUMIFS(tbl_task10[S146],tbl_task10[[SubPLOs]:[SubPLOs]],"&gt;=5",tbl_task10[[SubPLOs]:[SubPLOs]],"&lt;6")</f>
        <v>0</v>
      </c>
      <c r="EV184" s="41">
        <f>SUMIFS(tbl_task1[S147],tbl_task1[[SubPLOs]:[SubPLOs]],"&gt;=5",tbl_task1[[SubPLOs]:[SubPLOs]],"&lt;6")+SUMIFS(tbl_task2[S147],tbl_task2[[SubPLOs]:[SubPLOs]],"&gt;=5",tbl_task2[[SubPLOs]:[SubPLOs]],"&lt;6")+SUMIFS(tbl_task3[S147],tbl_task3[[SubPLOs]:[SubPLOs]],"&gt;=5",tbl_task3[[SubPLOs]:[SubPLOs]],"&lt;6")+SUMIFS(tbl_task4[S147],tbl_task4[[SubPLOs]:[SubPLOs]],"&gt;=5",tbl_task4[[SubPLOs]:[SubPLOs]],"&lt;6")+SUMIFS(tbl_task5[S147],tbl_task5[[SubPLOs]:[SubPLOs]],"&gt;=5",tbl_task5[[SubPLOs]:[SubPLOs]],"&lt;6")+SUMIFS(tbl_task6[S147],tbl_task6[[SubPLOs]:[SubPLOs]],"&gt;=5",tbl_task6[[SubPLOs]:[SubPLOs]],"&lt;6")+SUMIFS(tbl_task7[S147],tbl_task7[[SubPLOs]:[SubPLOs]],"&gt;=5",tbl_task7[[SubPLOs]:[SubPLOs]],"&lt;6")+SUMIFS(tbl_task8[S147],tbl_task8[[SubPLOs]:[SubPLOs]],"&gt;=5",tbl_task8[[SubPLOs]:[SubPLOs]],"&lt;6")+SUMIFS(tbl_task9[S147],tbl_task9[[SubPLOs]:[SubPLOs]],"&gt;=5",tbl_task9[[SubPLOs]:[SubPLOs]],"&lt;6")+SUMIFS(tbl_task10[S147],tbl_task10[[SubPLOs]:[SubPLOs]],"&gt;=5",tbl_task10[[SubPLOs]:[SubPLOs]],"&lt;6")</f>
        <v>0</v>
      </c>
      <c r="EW184" s="41">
        <f>SUMIFS(tbl_task1[S148],tbl_task1[[SubPLOs]:[SubPLOs]],"&gt;=5",tbl_task1[[SubPLOs]:[SubPLOs]],"&lt;6")+SUMIFS(tbl_task2[S148],tbl_task2[[SubPLOs]:[SubPLOs]],"&gt;=5",tbl_task2[[SubPLOs]:[SubPLOs]],"&lt;6")+SUMIFS(tbl_task3[S148],tbl_task3[[SubPLOs]:[SubPLOs]],"&gt;=5",tbl_task3[[SubPLOs]:[SubPLOs]],"&lt;6")+SUMIFS(tbl_task4[S148],tbl_task4[[SubPLOs]:[SubPLOs]],"&gt;=5",tbl_task4[[SubPLOs]:[SubPLOs]],"&lt;6")+SUMIFS(tbl_task5[S148],tbl_task5[[SubPLOs]:[SubPLOs]],"&gt;=5",tbl_task5[[SubPLOs]:[SubPLOs]],"&lt;6")+SUMIFS(tbl_task6[S148],tbl_task6[[SubPLOs]:[SubPLOs]],"&gt;=5",tbl_task6[[SubPLOs]:[SubPLOs]],"&lt;6")+SUMIFS(tbl_task7[S148],tbl_task7[[SubPLOs]:[SubPLOs]],"&gt;=5",tbl_task7[[SubPLOs]:[SubPLOs]],"&lt;6")+SUMIFS(tbl_task8[S148],tbl_task8[[SubPLOs]:[SubPLOs]],"&gt;=5",tbl_task8[[SubPLOs]:[SubPLOs]],"&lt;6")+SUMIFS(tbl_task9[S148],tbl_task9[[SubPLOs]:[SubPLOs]],"&gt;=5",tbl_task9[[SubPLOs]:[SubPLOs]],"&lt;6")+SUMIFS(tbl_task10[S148],tbl_task10[[SubPLOs]:[SubPLOs]],"&gt;=5",tbl_task10[[SubPLOs]:[SubPLOs]],"&lt;6")</f>
        <v>0</v>
      </c>
      <c r="EX184" s="41">
        <f>SUMIFS(tbl_task1[S149],tbl_task1[[SubPLOs]:[SubPLOs]],"&gt;=5",tbl_task1[[SubPLOs]:[SubPLOs]],"&lt;6")+SUMIFS(tbl_task2[S149],tbl_task2[[SubPLOs]:[SubPLOs]],"&gt;=5",tbl_task2[[SubPLOs]:[SubPLOs]],"&lt;6")+SUMIFS(tbl_task3[S149],tbl_task3[[SubPLOs]:[SubPLOs]],"&gt;=5",tbl_task3[[SubPLOs]:[SubPLOs]],"&lt;6")+SUMIFS(tbl_task4[S149],tbl_task4[[SubPLOs]:[SubPLOs]],"&gt;=5",tbl_task4[[SubPLOs]:[SubPLOs]],"&lt;6")+SUMIFS(tbl_task5[S149],tbl_task5[[SubPLOs]:[SubPLOs]],"&gt;=5",tbl_task5[[SubPLOs]:[SubPLOs]],"&lt;6")+SUMIFS(tbl_task6[S149],tbl_task6[[SubPLOs]:[SubPLOs]],"&gt;=5",tbl_task6[[SubPLOs]:[SubPLOs]],"&lt;6")+SUMIFS(tbl_task7[S149],tbl_task7[[SubPLOs]:[SubPLOs]],"&gt;=5",tbl_task7[[SubPLOs]:[SubPLOs]],"&lt;6")+SUMIFS(tbl_task8[S149],tbl_task8[[SubPLOs]:[SubPLOs]],"&gt;=5",tbl_task8[[SubPLOs]:[SubPLOs]],"&lt;6")+SUMIFS(tbl_task9[S149],tbl_task9[[SubPLOs]:[SubPLOs]],"&gt;=5",tbl_task9[[SubPLOs]:[SubPLOs]],"&lt;6")+SUMIFS(tbl_task10[S149],tbl_task10[[SubPLOs]:[SubPLOs]],"&gt;=5",tbl_task10[[SubPLOs]:[SubPLOs]],"&lt;6")</f>
        <v>0</v>
      </c>
      <c r="EY184" s="41">
        <f>SUMIFS(tbl_task1[S150],tbl_task1[[SubPLOs]:[SubPLOs]],"&gt;=5",tbl_task1[[SubPLOs]:[SubPLOs]],"&lt;6")+SUMIFS(tbl_task2[S150],tbl_task2[[SubPLOs]:[SubPLOs]],"&gt;=5",tbl_task2[[SubPLOs]:[SubPLOs]],"&lt;6")+SUMIFS(tbl_task3[S150],tbl_task3[[SubPLOs]:[SubPLOs]],"&gt;=5",tbl_task3[[SubPLOs]:[SubPLOs]],"&lt;6")+SUMIFS(tbl_task4[S150],tbl_task4[[SubPLOs]:[SubPLOs]],"&gt;=5",tbl_task4[[SubPLOs]:[SubPLOs]],"&lt;6")+SUMIFS(tbl_task5[S150],tbl_task5[[SubPLOs]:[SubPLOs]],"&gt;=5",tbl_task5[[SubPLOs]:[SubPLOs]],"&lt;6")+SUMIFS(tbl_task6[S150],tbl_task6[[SubPLOs]:[SubPLOs]],"&gt;=5",tbl_task6[[SubPLOs]:[SubPLOs]],"&lt;6")+SUMIFS(tbl_task7[S150],tbl_task7[[SubPLOs]:[SubPLOs]],"&gt;=5",tbl_task7[[SubPLOs]:[SubPLOs]],"&lt;6")+SUMIFS(tbl_task8[S150],tbl_task8[[SubPLOs]:[SubPLOs]],"&gt;=5",tbl_task8[[SubPLOs]:[SubPLOs]],"&lt;6")+SUMIFS(tbl_task9[S150],tbl_task9[[SubPLOs]:[SubPLOs]],"&gt;=5",tbl_task9[[SubPLOs]:[SubPLOs]],"&lt;6")+SUMIFS(tbl_task10[S150],tbl_task10[[SubPLOs]:[SubPLOs]],"&gt;=5",tbl_task10[[SubPLOs]:[SubPLOs]],"&lt;6")</f>
        <v>0</v>
      </c>
      <c r="EZ184" s="41">
        <f>SUMIFS(tbl_task1[S151],tbl_task1[[SubPLOs]:[SubPLOs]],"&gt;=5",tbl_task1[[SubPLOs]:[SubPLOs]],"&lt;6")+SUMIFS(tbl_task2[S151],tbl_task2[[SubPLOs]:[SubPLOs]],"&gt;=5",tbl_task2[[SubPLOs]:[SubPLOs]],"&lt;6")+SUMIFS(tbl_task3[S151],tbl_task3[[SubPLOs]:[SubPLOs]],"&gt;=5",tbl_task3[[SubPLOs]:[SubPLOs]],"&lt;6")+SUMIFS(tbl_task4[S151],tbl_task4[[SubPLOs]:[SubPLOs]],"&gt;=5",tbl_task4[[SubPLOs]:[SubPLOs]],"&lt;6")+SUMIFS(tbl_task5[S151],tbl_task5[[SubPLOs]:[SubPLOs]],"&gt;=5",tbl_task5[[SubPLOs]:[SubPLOs]],"&lt;6")+SUMIFS(tbl_task6[S151],tbl_task6[[SubPLOs]:[SubPLOs]],"&gt;=5",tbl_task6[[SubPLOs]:[SubPLOs]],"&lt;6")+SUMIFS(tbl_task7[S151],tbl_task7[[SubPLOs]:[SubPLOs]],"&gt;=5",tbl_task7[[SubPLOs]:[SubPLOs]],"&lt;6")+SUMIFS(tbl_task8[S151],tbl_task8[[SubPLOs]:[SubPLOs]],"&gt;=5",tbl_task8[[SubPLOs]:[SubPLOs]],"&lt;6")+SUMIFS(tbl_task9[S151],tbl_task9[[SubPLOs]:[SubPLOs]],"&gt;=5",tbl_task9[[SubPLOs]:[SubPLOs]],"&lt;6")+SUMIFS(tbl_task10[S151],tbl_task10[[SubPLOs]:[SubPLOs]],"&gt;=5",tbl_task10[[SubPLOs]:[SubPLOs]],"&lt;6")</f>
        <v>0</v>
      </c>
      <c r="FA184" s="41">
        <f>SUMIFS(tbl_task1[S152],tbl_task1[[SubPLOs]:[SubPLOs]],"&gt;=5",tbl_task1[[SubPLOs]:[SubPLOs]],"&lt;6")+SUMIFS(tbl_task2[S152],tbl_task2[[SubPLOs]:[SubPLOs]],"&gt;=5",tbl_task2[[SubPLOs]:[SubPLOs]],"&lt;6")+SUMIFS(tbl_task3[S152],tbl_task3[[SubPLOs]:[SubPLOs]],"&gt;=5",tbl_task3[[SubPLOs]:[SubPLOs]],"&lt;6")+SUMIFS(tbl_task4[S152],tbl_task4[[SubPLOs]:[SubPLOs]],"&gt;=5",tbl_task4[[SubPLOs]:[SubPLOs]],"&lt;6")+SUMIFS(tbl_task5[S152],tbl_task5[[SubPLOs]:[SubPLOs]],"&gt;=5",tbl_task5[[SubPLOs]:[SubPLOs]],"&lt;6")+SUMIFS(tbl_task6[S152],tbl_task6[[SubPLOs]:[SubPLOs]],"&gt;=5",tbl_task6[[SubPLOs]:[SubPLOs]],"&lt;6")+SUMIFS(tbl_task7[S152],tbl_task7[[SubPLOs]:[SubPLOs]],"&gt;=5",tbl_task7[[SubPLOs]:[SubPLOs]],"&lt;6")+SUMIFS(tbl_task8[S152],tbl_task8[[SubPLOs]:[SubPLOs]],"&gt;=5",tbl_task8[[SubPLOs]:[SubPLOs]],"&lt;6")+SUMIFS(tbl_task9[S152],tbl_task9[[SubPLOs]:[SubPLOs]],"&gt;=5",tbl_task9[[SubPLOs]:[SubPLOs]],"&lt;6")+SUMIFS(tbl_task10[S152],tbl_task10[[SubPLOs]:[SubPLOs]],"&gt;=5",tbl_task10[[SubPLOs]:[SubPLOs]],"&lt;6")</f>
        <v>0</v>
      </c>
      <c r="FB184" s="41">
        <f>SUMIFS(tbl_task1[S153],tbl_task1[[SubPLOs]:[SubPLOs]],"&gt;=5",tbl_task1[[SubPLOs]:[SubPLOs]],"&lt;6")+SUMIFS(tbl_task2[S153],tbl_task2[[SubPLOs]:[SubPLOs]],"&gt;=5",tbl_task2[[SubPLOs]:[SubPLOs]],"&lt;6")+SUMIFS(tbl_task3[S153],tbl_task3[[SubPLOs]:[SubPLOs]],"&gt;=5",tbl_task3[[SubPLOs]:[SubPLOs]],"&lt;6")+SUMIFS(tbl_task4[S153],tbl_task4[[SubPLOs]:[SubPLOs]],"&gt;=5",tbl_task4[[SubPLOs]:[SubPLOs]],"&lt;6")+SUMIFS(tbl_task5[S153],tbl_task5[[SubPLOs]:[SubPLOs]],"&gt;=5",tbl_task5[[SubPLOs]:[SubPLOs]],"&lt;6")+SUMIFS(tbl_task6[S153],tbl_task6[[SubPLOs]:[SubPLOs]],"&gt;=5",tbl_task6[[SubPLOs]:[SubPLOs]],"&lt;6")+SUMIFS(tbl_task7[S153],tbl_task7[[SubPLOs]:[SubPLOs]],"&gt;=5",tbl_task7[[SubPLOs]:[SubPLOs]],"&lt;6")+SUMIFS(tbl_task8[S153],tbl_task8[[SubPLOs]:[SubPLOs]],"&gt;=5",tbl_task8[[SubPLOs]:[SubPLOs]],"&lt;6")+SUMIFS(tbl_task9[S153],tbl_task9[[SubPLOs]:[SubPLOs]],"&gt;=5",tbl_task9[[SubPLOs]:[SubPLOs]],"&lt;6")+SUMIFS(tbl_task10[S153],tbl_task10[[SubPLOs]:[SubPLOs]],"&gt;=5",tbl_task10[[SubPLOs]:[SubPLOs]],"&lt;6")</f>
        <v>0</v>
      </c>
      <c r="FC184" s="41">
        <f>SUMIFS(tbl_task1[S154],tbl_task1[[SubPLOs]:[SubPLOs]],"&gt;=5",tbl_task1[[SubPLOs]:[SubPLOs]],"&lt;6")+SUMIFS(tbl_task2[S154],tbl_task2[[SubPLOs]:[SubPLOs]],"&gt;=5",tbl_task2[[SubPLOs]:[SubPLOs]],"&lt;6")+SUMIFS(tbl_task3[S154],tbl_task3[[SubPLOs]:[SubPLOs]],"&gt;=5",tbl_task3[[SubPLOs]:[SubPLOs]],"&lt;6")+SUMIFS(tbl_task4[S154],tbl_task4[[SubPLOs]:[SubPLOs]],"&gt;=5",tbl_task4[[SubPLOs]:[SubPLOs]],"&lt;6")+SUMIFS(tbl_task5[S154],tbl_task5[[SubPLOs]:[SubPLOs]],"&gt;=5",tbl_task5[[SubPLOs]:[SubPLOs]],"&lt;6")+SUMIFS(tbl_task6[S154],tbl_task6[[SubPLOs]:[SubPLOs]],"&gt;=5",tbl_task6[[SubPLOs]:[SubPLOs]],"&lt;6")+SUMIFS(tbl_task7[S154],tbl_task7[[SubPLOs]:[SubPLOs]],"&gt;=5",tbl_task7[[SubPLOs]:[SubPLOs]],"&lt;6")+SUMIFS(tbl_task8[S154],tbl_task8[[SubPLOs]:[SubPLOs]],"&gt;=5",tbl_task8[[SubPLOs]:[SubPLOs]],"&lt;6")+SUMIFS(tbl_task9[S154],tbl_task9[[SubPLOs]:[SubPLOs]],"&gt;=5",tbl_task9[[SubPLOs]:[SubPLOs]],"&lt;6")+SUMIFS(tbl_task10[S154],tbl_task10[[SubPLOs]:[SubPLOs]],"&gt;=5",tbl_task10[[SubPLOs]:[SubPLOs]],"&lt;6")</f>
        <v>0</v>
      </c>
      <c r="FD184" s="41">
        <f>SUMIFS(tbl_task1[S155],tbl_task1[[SubPLOs]:[SubPLOs]],"&gt;=5",tbl_task1[[SubPLOs]:[SubPLOs]],"&lt;6")+SUMIFS(tbl_task2[S155],tbl_task2[[SubPLOs]:[SubPLOs]],"&gt;=5",tbl_task2[[SubPLOs]:[SubPLOs]],"&lt;6")+SUMIFS(tbl_task3[S155],tbl_task3[[SubPLOs]:[SubPLOs]],"&gt;=5",tbl_task3[[SubPLOs]:[SubPLOs]],"&lt;6")+SUMIFS(tbl_task4[S155],tbl_task4[[SubPLOs]:[SubPLOs]],"&gt;=5",tbl_task4[[SubPLOs]:[SubPLOs]],"&lt;6")+SUMIFS(tbl_task5[S155],tbl_task5[[SubPLOs]:[SubPLOs]],"&gt;=5",tbl_task5[[SubPLOs]:[SubPLOs]],"&lt;6")+SUMIFS(tbl_task6[S155],tbl_task6[[SubPLOs]:[SubPLOs]],"&gt;=5",tbl_task6[[SubPLOs]:[SubPLOs]],"&lt;6")+SUMIFS(tbl_task7[S155],tbl_task7[[SubPLOs]:[SubPLOs]],"&gt;=5",tbl_task7[[SubPLOs]:[SubPLOs]],"&lt;6")+SUMIFS(tbl_task8[S155],tbl_task8[[SubPLOs]:[SubPLOs]],"&gt;=5",tbl_task8[[SubPLOs]:[SubPLOs]],"&lt;6")+SUMIFS(tbl_task9[S155],tbl_task9[[SubPLOs]:[SubPLOs]],"&gt;=5",tbl_task9[[SubPLOs]:[SubPLOs]],"&lt;6")+SUMIFS(tbl_task10[S155],tbl_task10[[SubPLOs]:[SubPLOs]],"&gt;=5",tbl_task10[[SubPLOs]:[SubPLOs]],"&lt;6")</f>
        <v>0</v>
      </c>
      <c r="FE184" s="41">
        <f>SUMIFS(tbl_task1[S156],tbl_task1[[SubPLOs]:[SubPLOs]],"&gt;=5",tbl_task1[[SubPLOs]:[SubPLOs]],"&lt;6")+SUMIFS(tbl_task2[S156],tbl_task2[[SubPLOs]:[SubPLOs]],"&gt;=5",tbl_task2[[SubPLOs]:[SubPLOs]],"&lt;6")+SUMIFS(tbl_task3[S156],tbl_task3[[SubPLOs]:[SubPLOs]],"&gt;=5",tbl_task3[[SubPLOs]:[SubPLOs]],"&lt;6")+SUMIFS(tbl_task4[S156],tbl_task4[[SubPLOs]:[SubPLOs]],"&gt;=5",tbl_task4[[SubPLOs]:[SubPLOs]],"&lt;6")+SUMIFS(tbl_task5[S156],tbl_task5[[SubPLOs]:[SubPLOs]],"&gt;=5",tbl_task5[[SubPLOs]:[SubPLOs]],"&lt;6")+SUMIFS(tbl_task6[S156],tbl_task6[[SubPLOs]:[SubPLOs]],"&gt;=5",tbl_task6[[SubPLOs]:[SubPLOs]],"&lt;6")+SUMIFS(tbl_task7[S156],tbl_task7[[SubPLOs]:[SubPLOs]],"&gt;=5",tbl_task7[[SubPLOs]:[SubPLOs]],"&lt;6")+SUMIFS(tbl_task8[S156],tbl_task8[[SubPLOs]:[SubPLOs]],"&gt;=5",tbl_task8[[SubPLOs]:[SubPLOs]],"&lt;6")+SUMIFS(tbl_task9[S156],tbl_task9[[SubPLOs]:[SubPLOs]],"&gt;=5",tbl_task9[[SubPLOs]:[SubPLOs]],"&lt;6")+SUMIFS(tbl_task10[S156],tbl_task10[[SubPLOs]:[SubPLOs]],"&gt;=5",tbl_task10[[SubPLOs]:[SubPLOs]],"&lt;6")</f>
        <v>0</v>
      </c>
      <c r="FF184" s="41">
        <f>SUMIFS(tbl_task1[S157],tbl_task1[[SubPLOs]:[SubPLOs]],"&gt;=5",tbl_task1[[SubPLOs]:[SubPLOs]],"&lt;6")+SUMIFS(tbl_task2[S157],tbl_task2[[SubPLOs]:[SubPLOs]],"&gt;=5",tbl_task2[[SubPLOs]:[SubPLOs]],"&lt;6")+SUMIFS(tbl_task3[S157],tbl_task3[[SubPLOs]:[SubPLOs]],"&gt;=5",tbl_task3[[SubPLOs]:[SubPLOs]],"&lt;6")+SUMIFS(tbl_task4[S157],tbl_task4[[SubPLOs]:[SubPLOs]],"&gt;=5",tbl_task4[[SubPLOs]:[SubPLOs]],"&lt;6")+SUMIFS(tbl_task5[S157],tbl_task5[[SubPLOs]:[SubPLOs]],"&gt;=5",tbl_task5[[SubPLOs]:[SubPLOs]],"&lt;6")+SUMIFS(tbl_task6[S157],tbl_task6[[SubPLOs]:[SubPLOs]],"&gt;=5",tbl_task6[[SubPLOs]:[SubPLOs]],"&lt;6")+SUMIFS(tbl_task7[S157],tbl_task7[[SubPLOs]:[SubPLOs]],"&gt;=5",tbl_task7[[SubPLOs]:[SubPLOs]],"&lt;6")+SUMIFS(tbl_task8[S157],tbl_task8[[SubPLOs]:[SubPLOs]],"&gt;=5",tbl_task8[[SubPLOs]:[SubPLOs]],"&lt;6")+SUMIFS(tbl_task9[S157],tbl_task9[[SubPLOs]:[SubPLOs]],"&gt;=5",tbl_task9[[SubPLOs]:[SubPLOs]],"&lt;6")+SUMIFS(tbl_task10[S157],tbl_task10[[SubPLOs]:[SubPLOs]],"&gt;=5",tbl_task10[[SubPLOs]:[SubPLOs]],"&lt;6")</f>
        <v>0</v>
      </c>
      <c r="FG184" s="41">
        <f>SUMIFS(tbl_task1[S158],tbl_task1[[SubPLOs]:[SubPLOs]],"&gt;=5",tbl_task1[[SubPLOs]:[SubPLOs]],"&lt;6")+SUMIFS(tbl_task2[S158],tbl_task2[[SubPLOs]:[SubPLOs]],"&gt;=5",tbl_task2[[SubPLOs]:[SubPLOs]],"&lt;6")+SUMIFS(tbl_task3[S158],tbl_task3[[SubPLOs]:[SubPLOs]],"&gt;=5",tbl_task3[[SubPLOs]:[SubPLOs]],"&lt;6")+SUMIFS(tbl_task4[S158],tbl_task4[[SubPLOs]:[SubPLOs]],"&gt;=5",tbl_task4[[SubPLOs]:[SubPLOs]],"&lt;6")+SUMIFS(tbl_task5[S158],tbl_task5[[SubPLOs]:[SubPLOs]],"&gt;=5",tbl_task5[[SubPLOs]:[SubPLOs]],"&lt;6")+SUMIFS(tbl_task6[S158],tbl_task6[[SubPLOs]:[SubPLOs]],"&gt;=5",tbl_task6[[SubPLOs]:[SubPLOs]],"&lt;6")+SUMIFS(tbl_task7[S158],tbl_task7[[SubPLOs]:[SubPLOs]],"&gt;=5",tbl_task7[[SubPLOs]:[SubPLOs]],"&lt;6")+SUMIFS(tbl_task8[S158],tbl_task8[[SubPLOs]:[SubPLOs]],"&gt;=5",tbl_task8[[SubPLOs]:[SubPLOs]],"&lt;6")+SUMIFS(tbl_task9[S158],tbl_task9[[SubPLOs]:[SubPLOs]],"&gt;=5",tbl_task9[[SubPLOs]:[SubPLOs]],"&lt;6")+SUMIFS(tbl_task10[S158],tbl_task10[[SubPLOs]:[SubPLOs]],"&gt;=5",tbl_task10[[SubPLOs]:[SubPLOs]],"&lt;6")</f>
        <v>0</v>
      </c>
      <c r="FH184" s="41">
        <f>SUMIFS(tbl_task1[S159],tbl_task1[[SubPLOs]:[SubPLOs]],"&gt;=5",tbl_task1[[SubPLOs]:[SubPLOs]],"&lt;6")+SUMIFS(tbl_task2[S159],tbl_task2[[SubPLOs]:[SubPLOs]],"&gt;=5",tbl_task2[[SubPLOs]:[SubPLOs]],"&lt;6")+SUMIFS(tbl_task3[S159],tbl_task3[[SubPLOs]:[SubPLOs]],"&gt;=5",tbl_task3[[SubPLOs]:[SubPLOs]],"&lt;6")+SUMIFS(tbl_task4[S159],tbl_task4[[SubPLOs]:[SubPLOs]],"&gt;=5",tbl_task4[[SubPLOs]:[SubPLOs]],"&lt;6")+SUMIFS(tbl_task5[S159],tbl_task5[[SubPLOs]:[SubPLOs]],"&gt;=5",tbl_task5[[SubPLOs]:[SubPLOs]],"&lt;6")+SUMIFS(tbl_task6[S159],tbl_task6[[SubPLOs]:[SubPLOs]],"&gt;=5",tbl_task6[[SubPLOs]:[SubPLOs]],"&lt;6")+SUMIFS(tbl_task7[S159],tbl_task7[[SubPLOs]:[SubPLOs]],"&gt;=5",tbl_task7[[SubPLOs]:[SubPLOs]],"&lt;6")+SUMIFS(tbl_task8[S159],tbl_task8[[SubPLOs]:[SubPLOs]],"&gt;=5",tbl_task8[[SubPLOs]:[SubPLOs]],"&lt;6")+SUMIFS(tbl_task9[S159],tbl_task9[[SubPLOs]:[SubPLOs]],"&gt;=5",tbl_task9[[SubPLOs]:[SubPLOs]],"&lt;6")+SUMIFS(tbl_task10[S159],tbl_task10[[SubPLOs]:[SubPLOs]],"&gt;=5",tbl_task10[[SubPLOs]:[SubPLOs]],"&lt;6")</f>
        <v>0</v>
      </c>
      <c r="FI184" s="41">
        <f>SUMIFS(tbl_task1[S160],tbl_task1[[SubPLOs]:[SubPLOs]],"&gt;=5",tbl_task1[[SubPLOs]:[SubPLOs]],"&lt;6")+SUMIFS(tbl_task2[S160],tbl_task2[[SubPLOs]:[SubPLOs]],"&gt;=5",tbl_task2[[SubPLOs]:[SubPLOs]],"&lt;6")+SUMIFS(tbl_task3[S160],tbl_task3[[SubPLOs]:[SubPLOs]],"&gt;=5",tbl_task3[[SubPLOs]:[SubPLOs]],"&lt;6")+SUMIFS(tbl_task4[S160],tbl_task4[[SubPLOs]:[SubPLOs]],"&gt;=5",tbl_task4[[SubPLOs]:[SubPLOs]],"&lt;6")+SUMIFS(tbl_task5[S160],tbl_task5[[SubPLOs]:[SubPLOs]],"&gt;=5",tbl_task5[[SubPLOs]:[SubPLOs]],"&lt;6")+SUMIFS(tbl_task6[S160],tbl_task6[[SubPLOs]:[SubPLOs]],"&gt;=5",tbl_task6[[SubPLOs]:[SubPLOs]],"&lt;6")+SUMIFS(tbl_task7[S160],tbl_task7[[SubPLOs]:[SubPLOs]],"&gt;=5",tbl_task7[[SubPLOs]:[SubPLOs]],"&lt;6")+SUMIFS(tbl_task8[S160],tbl_task8[[SubPLOs]:[SubPLOs]],"&gt;=5",tbl_task8[[SubPLOs]:[SubPLOs]],"&lt;6")+SUMIFS(tbl_task9[S160],tbl_task9[[SubPLOs]:[SubPLOs]],"&gt;=5",tbl_task9[[SubPLOs]:[SubPLOs]],"&lt;6")+SUMIFS(tbl_task10[S160],tbl_task10[[SubPLOs]:[SubPLOs]],"&gt;=5",tbl_task10[[SubPLOs]:[SubPLOs]],"&lt;6")</f>
        <v>0</v>
      </c>
      <c r="FJ184" s="41">
        <f>SUMIFS(tbl_task1[S161],tbl_task1[[SubPLOs]:[SubPLOs]],"&gt;=5",tbl_task1[[SubPLOs]:[SubPLOs]],"&lt;6")+SUMIFS(tbl_task2[S161],tbl_task2[[SubPLOs]:[SubPLOs]],"&gt;=5",tbl_task2[[SubPLOs]:[SubPLOs]],"&lt;6")+SUMIFS(tbl_task3[S161],tbl_task3[[SubPLOs]:[SubPLOs]],"&gt;=5",tbl_task3[[SubPLOs]:[SubPLOs]],"&lt;6")+SUMIFS(tbl_task4[S161],tbl_task4[[SubPLOs]:[SubPLOs]],"&gt;=5",tbl_task4[[SubPLOs]:[SubPLOs]],"&lt;6")+SUMIFS(tbl_task5[S161],tbl_task5[[SubPLOs]:[SubPLOs]],"&gt;=5",tbl_task5[[SubPLOs]:[SubPLOs]],"&lt;6")+SUMIFS(tbl_task6[S161],tbl_task6[[SubPLOs]:[SubPLOs]],"&gt;=5",tbl_task6[[SubPLOs]:[SubPLOs]],"&lt;6")+SUMIFS(tbl_task7[S161],tbl_task7[[SubPLOs]:[SubPLOs]],"&gt;=5",tbl_task7[[SubPLOs]:[SubPLOs]],"&lt;6")+SUMIFS(tbl_task8[S161],tbl_task8[[SubPLOs]:[SubPLOs]],"&gt;=5",tbl_task8[[SubPLOs]:[SubPLOs]],"&lt;6")+SUMIFS(tbl_task9[S161],tbl_task9[[SubPLOs]:[SubPLOs]],"&gt;=5",tbl_task9[[SubPLOs]:[SubPLOs]],"&lt;6")+SUMIFS(tbl_task10[S161],tbl_task10[[SubPLOs]:[SubPLOs]],"&gt;=5",tbl_task10[[SubPLOs]:[SubPLOs]],"&lt;6")</f>
        <v>0</v>
      </c>
      <c r="FK184" s="41">
        <f>SUMIFS(tbl_task1[S162],tbl_task1[[SubPLOs]:[SubPLOs]],"&gt;=5",tbl_task1[[SubPLOs]:[SubPLOs]],"&lt;6")+SUMIFS(tbl_task2[S162],tbl_task2[[SubPLOs]:[SubPLOs]],"&gt;=5",tbl_task2[[SubPLOs]:[SubPLOs]],"&lt;6")+SUMIFS(tbl_task3[S162],tbl_task3[[SubPLOs]:[SubPLOs]],"&gt;=5",tbl_task3[[SubPLOs]:[SubPLOs]],"&lt;6")+SUMIFS(tbl_task4[S162],tbl_task4[[SubPLOs]:[SubPLOs]],"&gt;=5",tbl_task4[[SubPLOs]:[SubPLOs]],"&lt;6")+SUMIFS(tbl_task5[S162],tbl_task5[[SubPLOs]:[SubPLOs]],"&gt;=5",tbl_task5[[SubPLOs]:[SubPLOs]],"&lt;6")+SUMIFS(tbl_task6[S162],tbl_task6[[SubPLOs]:[SubPLOs]],"&gt;=5",tbl_task6[[SubPLOs]:[SubPLOs]],"&lt;6")+SUMIFS(tbl_task7[S162],tbl_task7[[SubPLOs]:[SubPLOs]],"&gt;=5",tbl_task7[[SubPLOs]:[SubPLOs]],"&lt;6")+SUMIFS(tbl_task8[S162],tbl_task8[[SubPLOs]:[SubPLOs]],"&gt;=5",tbl_task8[[SubPLOs]:[SubPLOs]],"&lt;6")+SUMIFS(tbl_task9[S162],tbl_task9[[SubPLOs]:[SubPLOs]],"&gt;=5",tbl_task9[[SubPLOs]:[SubPLOs]],"&lt;6")+SUMIFS(tbl_task10[S162],tbl_task10[[SubPLOs]:[SubPLOs]],"&gt;=5",tbl_task10[[SubPLOs]:[SubPLOs]],"&lt;6")</f>
        <v>0</v>
      </c>
      <c r="FL184" s="41">
        <f>SUMIFS(tbl_task1[S163],tbl_task1[[SubPLOs]:[SubPLOs]],"&gt;=5",tbl_task1[[SubPLOs]:[SubPLOs]],"&lt;6")+SUMIFS(tbl_task2[S163],tbl_task2[[SubPLOs]:[SubPLOs]],"&gt;=5",tbl_task2[[SubPLOs]:[SubPLOs]],"&lt;6")+SUMIFS(tbl_task3[S163],tbl_task3[[SubPLOs]:[SubPLOs]],"&gt;=5",tbl_task3[[SubPLOs]:[SubPLOs]],"&lt;6")+SUMIFS(tbl_task4[S163],tbl_task4[[SubPLOs]:[SubPLOs]],"&gt;=5",tbl_task4[[SubPLOs]:[SubPLOs]],"&lt;6")+SUMIFS(tbl_task5[S163],tbl_task5[[SubPLOs]:[SubPLOs]],"&gt;=5",tbl_task5[[SubPLOs]:[SubPLOs]],"&lt;6")+SUMIFS(tbl_task6[S163],tbl_task6[[SubPLOs]:[SubPLOs]],"&gt;=5",tbl_task6[[SubPLOs]:[SubPLOs]],"&lt;6")+SUMIFS(tbl_task7[S163],tbl_task7[[SubPLOs]:[SubPLOs]],"&gt;=5",tbl_task7[[SubPLOs]:[SubPLOs]],"&lt;6")+SUMIFS(tbl_task8[S163],tbl_task8[[SubPLOs]:[SubPLOs]],"&gt;=5",tbl_task8[[SubPLOs]:[SubPLOs]],"&lt;6")+SUMIFS(tbl_task9[S163],tbl_task9[[SubPLOs]:[SubPLOs]],"&gt;=5",tbl_task9[[SubPLOs]:[SubPLOs]],"&lt;6")+SUMIFS(tbl_task10[S163],tbl_task10[[SubPLOs]:[SubPLOs]],"&gt;=5",tbl_task10[[SubPLOs]:[SubPLOs]],"&lt;6")</f>
        <v>0</v>
      </c>
      <c r="FM184" s="41">
        <f>SUMIFS(tbl_task1[S164],tbl_task1[[SubPLOs]:[SubPLOs]],"&gt;=5",tbl_task1[[SubPLOs]:[SubPLOs]],"&lt;6")+SUMIFS(tbl_task2[S164],tbl_task2[[SubPLOs]:[SubPLOs]],"&gt;=5",tbl_task2[[SubPLOs]:[SubPLOs]],"&lt;6")+SUMIFS(tbl_task3[S164],tbl_task3[[SubPLOs]:[SubPLOs]],"&gt;=5",tbl_task3[[SubPLOs]:[SubPLOs]],"&lt;6")+SUMIFS(tbl_task4[S164],tbl_task4[[SubPLOs]:[SubPLOs]],"&gt;=5",tbl_task4[[SubPLOs]:[SubPLOs]],"&lt;6")+SUMIFS(tbl_task5[S164],tbl_task5[[SubPLOs]:[SubPLOs]],"&gt;=5",tbl_task5[[SubPLOs]:[SubPLOs]],"&lt;6")+SUMIFS(tbl_task6[S164],tbl_task6[[SubPLOs]:[SubPLOs]],"&gt;=5",tbl_task6[[SubPLOs]:[SubPLOs]],"&lt;6")+SUMIFS(tbl_task7[S164],tbl_task7[[SubPLOs]:[SubPLOs]],"&gt;=5",tbl_task7[[SubPLOs]:[SubPLOs]],"&lt;6")+SUMIFS(tbl_task8[S164],tbl_task8[[SubPLOs]:[SubPLOs]],"&gt;=5",tbl_task8[[SubPLOs]:[SubPLOs]],"&lt;6")+SUMIFS(tbl_task9[S164],tbl_task9[[SubPLOs]:[SubPLOs]],"&gt;=5",tbl_task9[[SubPLOs]:[SubPLOs]],"&lt;6")+SUMIFS(tbl_task10[S164],tbl_task10[[SubPLOs]:[SubPLOs]],"&gt;=5",tbl_task10[[SubPLOs]:[SubPLOs]],"&lt;6")</f>
        <v>0</v>
      </c>
      <c r="FN184" s="41">
        <f>SUMIFS(tbl_task1[S165],tbl_task1[[SubPLOs]:[SubPLOs]],"&gt;=5",tbl_task1[[SubPLOs]:[SubPLOs]],"&lt;6")+SUMIFS(tbl_task2[S165],tbl_task2[[SubPLOs]:[SubPLOs]],"&gt;=5",tbl_task2[[SubPLOs]:[SubPLOs]],"&lt;6")+SUMIFS(tbl_task3[S165],tbl_task3[[SubPLOs]:[SubPLOs]],"&gt;=5",tbl_task3[[SubPLOs]:[SubPLOs]],"&lt;6")+SUMIFS(tbl_task4[S165],tbl_task4[[SubPLOs]:[SubPLOs]],"&gt;=5",tbl_task4[[SubPLOs]:[SubPLOs]],"&lt;6")+SUMIFS(tbl_task5[S165],tbl_task5[[SubPLOs]:[SubPLOs]],"&gt;=5",tbl_task5[[SubPLOs]:[SubPLOs]],"&lt;6")+SUMIFS(tbl_task6[S165],tbl_task6[[SubPLOs]:[SubPLOs]],"&gt;=5",tbl_task6[[SubPLOs]:[SubPLOs]],"&lt;6")+SUMIFS(tbl_task7[S165],tbl_task7[[SubPLOs]:[SubPLOs]],"&gt;=5",tbl_task7[[SubPLOs]:[SubPLOs]],"&lt;6")+SUMIFS(tbl_task8[S165],tbl_task8[[SubPLOs]:[SubPLOs]],"&gt;=5",tbl_task8[[SubPLOs]:[SubPLOs]],"&lt;6")+SUMIFS(tbl_task9[S165],tbl_task9[[SubPLOs]:[SubPLOs]],"&gt;=5",tbl_task9[[SubPLOs]:[SubPLOs]],"&lt;6")+SUMIFS(tbl_task10[S165],tbl_task10[[SubPLOs]:[SubPLOs]],"&gt;=5",tbl_task10[[SubPLOs]:[SubPLOs]],"&lt;6")</f>
        <v>0</v>
      </c>
    </row>
    <row r="185" spans="1:170" ht="64.2" customHeight="1" x14ac:dyDescent="0.25">
      <c r="A185" s="135">
        <v>6</v>
      </c>
      <c r="B185" s="5" t="s">
        <v>439</v>
      </c>
      <c r="C185" s="86">
        <f>COUNTIFS(tbl_task1[SubPLOs],"&gt;=6",tbl_task1[SubPLOs],"&lt;7")+COUNTIFS(tbl_task2[SubPLOs],"&gt;=6",tbl_task2[SubPLOs],"&lt;7")+COUNTIFS(tbl_task3[SubPLOs],"&gt;=6",tbl_task3[SubPLOs],"&lt;7")+COUNTIFS(tbl_task4[SubPLOs],"&gt;=6",tbl_task4[SubPLOs],"&lt;7")+COUNTIFS(tbl_task5[SubPLOs],"&gt;=6",tbl_task5[SubPLOs],"&lt;7")+COUNTIFS(tbl_task6[SubPLOs],"&gt;=6",tbl_task6[SubPLOs],"&lt;7")+COUNTIFS(tbl_task7[SubPLOs],"&gt;=6",tbl_task7[SubPLOs],"&lt;7")+COUNTIFS(tbl_task8[SubPLOs],"&gt;=6",tbl_task8[SubPLOs],"&lt;7")+COUNTIFS(tbl_task9[SubPLOs],"&gt;=6",tbl_task9[SubPLOs],"&lt;7")+COUNTIFS(tbl_task10[SubPLOs],"&gt;=6",tbl_task10[SubPLOs],"&lt;7")</f>
        <v>0</v>
      </c>
      <c r="D185" s="86">
        <f>SUMIFS(tbl_task1[คะแนนเต็ม],tbl_task1[SubPLOs],"&gt;=6",tbl_task1[SubPLOs],"&lt;7")+SUMIFS(tbl_task2[คะแนนเต็ม],tbl_task2[SubPLOs],"&gt;=6",tbl_task2[SubPLOs],"&lt;7")+SUMIFS(tbl_task3[คะแนนเต็ม],tbl_task3[SubPLOs],"&gt;=6",tbl_task3[SubPLOs],"&lt;7")+SUMIFS(tbl_task4[คะแนนเต็ม],tbl_task4[SubPLOs],"&gt;=6",tbl_task4[SubPLOs],"&lt;7")+SUMIFS(tbl_task5[คะแนนเต็ม],tbl_task5[SubPLOs],"&gt;=6",tbl_task5[SubPLOs],"&lt;7")+SUMIFS(tbl_task6[คะแนนเต็ม],tbl_task6[SubPLOs],"&gt;=6",tbl_task6[SubPLOs],"&lt;7")+SUMIFS(tbl_task7[คะแนนเต็ม],tbl_task7[SubPLOs],"&gt;=6",tbl_task7[SubPLOs],"&lt;7")+SUMIFS(tbl_task8[คะแนนเต็ม],tbl_task8[SubPLOs],"&gt;=6",tbl_task8[SubPLOs],"&lt;7")+SUMIFS(tbl_task9[คะแนนเต็ม],tbl_task9[SubPLOs],"&gt;=6",tbl_task9[SubPLOs],"&lt;7")+SUMIFS(tbl_task10[คะแนนเต็ม],tbl_task10[SubPLOs],"&gt;=6",tbl_task10[SubPLOs],"&lt;7")</f>
        <v>0</v>
      </c>
      <c r="E185" s="47">
        <f>SUMIFS(tbl_task1[%],tbl_task1[SubPLOs],"&gt;=6",tbl_task1[SubPLOs],"&lt;7")+SUMIFS(tbl_task2[%],tbl_task2[SubPLOs],"&gt;=6",tbl_task2[SubPLOs],"&lt;7")+SUMIFS(tbl_task3[%],tbl_task3[SubPLOs],"&gt;=6",tbl_task3[SubPLOs],"&lt;7")+SUMIFS(tbl_task4[%],tbl_task4[SubPLOs],"&gt;=6",tbl_task4[SubPLOs],"&lt;7")+SUMIFS(tbl_task5[%],tbl_task5[SubPLOs],"&gt;=6",tbl_task5[SubPLOs],"&lt;7")+SUMIFS(tbl_task6[%],tbl_task6[SubPLOs],"&gt;=6",tbl_task6[SubPLOs],"&lt;7")+SUMIFS(tbl_task7[%],tbl_task7[SubPLOs],"&gt;=6",tbl_task7[SubPLOs],"&lt;7")+SUMIFS(tbl_task8[%],tbl_task8[SubPLOs],"&gt;=6",tbl_task8[SubPLOs],"&lt;7")+SUMIFS(tbl_task9[%],tbl_task9[SubPLOs],"&gt;=6",tbl_task9[SubPLOs],"&lt;7")+SUMIFS(tbl_task10[%],tbl_task10[SubPLOs],"&gt;=6",tbl_task10[SubPLOs],"&lt;7")</f>
        <v>0</v>
      </c>
      <c r="F185" s="41">
        <f>SUMIFS(tbl_task1[S1],tbl_task1[[SubPLOs]:[SubPLOs]],"&gt;=6",tbl_task1[[SubPLOs]:[SubPLOs]],"&lt;7")+SUMIFS(tbl_task2[S1],tbl_task2[[SubPLOs]:[SubPLOs]],"&gt;=6",tbl_task2[[SubPLOs]:[SubPLOs]],"&lt;7")+SUMIFS(tbl_task3[S1],tbl_task3[[SubPLOs]:[SubPLOs]],"&gt;=6",tbl_task3[[SubPLOs]:[SubPLOs]],"&lt;7")+SUMIFS(tbl_task4[S1],tbl_task4[[SubPLOs]:[SubPLOs]],"&gt;=6",tbl_task4[[SubPLOs]:[SubPLOs]],"&lt;7")+SUMIFS(tbl_task5[S1],tbl_task5[[SubPLOs]:[SubPLOs]],"&gt;=6",tbl_task5[[SubPLOs]:[SubPLOs]],"&lt;7")+SUMIFS(tbl_task6[S1],tbl_task6[[SubPLOs]:[SubPLOs]],"&gt;=6",tbl_task6[[SubPLOs]:[SubPLOs]],"&lt;7")+SUMIFS(tbl_task7[S1],tbl_task7[[SubPLOs]:[SubPLOs]],"&gt;=6",tbl_task7[[SubPLOs]:[SubPLOs]],"&lt;7")+SUMIFS(tbl_task8[S1],tbl_task8[[SubPLOs]:[SubPLOs]],"&gt;=6",tbl_task8[[SubPLOs]:[SubPLOs]],"&lt;7")+SUMIFS(tbl_task9[S1],tbl_task9[[SubPLOs]:[SubPLOs]],"&gt;=6",tbl_task9[[SubPLOs]:[SubPLOs]],"&lt;7")+SUMIFS(tbl_task10[S1],tbl_task10[[SubPLOs]:[SubPLOs]],"&gt;=6",tbl_task10[[SubPLOs]:[SubPLOs]],"&lt;7")</f>
        <v>0</v>
      </c>
      <c r="G185" s="41">
        <f>SUMIFS(tbl_task1[S2],tbl_task1[[SubPLOs]:[SubPLOs]],"&gt;=6",tbl_task1[[SubPLOs]:[SubPLOs]],"&lt;7")+SUMIFS(tbl_task2[S2],tbl_task2[[SubPLOs]:[SubPLOs]],"&gt;=6",tbl_task2[[SubPLOs]:[SubPLOs]],"&lt;7")+SUMIFS(tbl_task3[S2],tbl_task3[[SubPLOs]:[SubPLOs]],"&gt;=6",tbl_task3[[SubPLOs]:[SubPLOs]],"&lt;7")+SUMIFS(tbl_task4[S2],tbl_task4[[SubPLOs]:[SubPLOs]],"&gt;=6",tbl_task4[[SubPLOs]:[SubPLOs]],"&lt;7")+SUMIFS(tbl_task5[S2],tbl_task5[[SubPLOs]:[SubPLOs]],"&gt;=6",tbl_task5[[SubPLOs]:[SubPLOs]],"&lt;7")+SUMIFS(tbl_task6[S2],tbl_task6[[SubPLOs]:[SubPLOs]],"&gt;=6",tbl_task6[[SubPLOs]:[SubPLOs]],"&lt;7")+SUMIFS(tbl_task7[S2],tbl_task7[[SubPLOs]:[SubPLOs]],"&gt;=6",tbl_task7[[SubPLOs]:[SubPLOs]],"&lt;7")+SUMIFS(tbl_task8[S2],tbl_task8[[SubPLOs]:[SubPLOs]],"&gt;=6",tbl_task8[[SubPLOs]:[SubPLOs]],"&lt;7")+SUMIFS(tbl_task9[S2],tbl_task9[[SubPLOs]:[SubPLOs]],"&gt;=6",tbl_task9[[SubPLOs]:[SubPLOs]],"&lt;7")+SUMIFS(tbl_task10[S2],tbl_task10[[SubPLOs]:[SubPLOs]],"&gt;=6",tbl_task10[[SubPLOs]:[SubPLOs]],"&lt;7")</f>
        <v>0</v>
      </c>
      <c r="H185" s="41">
        <f>SUMIFS(tbl_task1[S3],tbl_task1[[SubPLOs]:[SubPLOs]],"&gt;=6",tbl_task1[[SubPLOs]:[SubPLOs]],"&lt;7")+SUMIFS(tbl_task2[S3],tbl_task2[[SubPLOs]:[SubPLOs]],"&gt;=6",tbl_task2[[SubPLOs]:[SubPLOs]],"&lt;7")+SUMIFS(tbl_task3[S3],tbl_task3[[SubPLOs]:[SubPLOs]],"&gt;=6",tbl_task3[[SubPLOs]:[SubPLOs]],"&lt;7")+SUMIFS(tbl_task4[S3],tbl_task4[[SubPLOs]:[SubPLOs]],"&gt;=6",tbl_task4[[SubPLOs]:[SubPLOs]],"&lt;7")+SUMIFS(tbl_task5[S3],tbl_task5[[SubPLOs]:[SubPLOs]],"&gt;=6",tbl_task5[[SubPLOs]:[SubPLOs]],"&lt;7")+SUMIFS(tbl_task6[S3],tbl_task6[[SubPLOs]:[SubPLOs]],"&gt;=6",tbl_task6[[SubPLOs]:[SubPLOs]],"&lt;7")+SUMIFS(tbl_task7[S3],tbl_task7[[SubPLOs]:[SubPLOs]],"&gt;=6",tbl_task7[[SubPLOs]:[SubPLOs]],"&lt;7")+SUMIFS(tbl_task8[S3],tbl_task8[[SubPLOs]:[SubPLOs]],"&gt;=6",tbl_task8[[SubPLOs]:[SubPLOs]],"&lt;7")+SUMIFS(tbl_task9[S3],tbl_task9[[SubPLOs]:[SubPLOs]],"&gt;=6",tbl_task9[[SubPLOs]:[SubPLOs]],"&lt;7")+SUMIFS(tbl_task10[S3],tbl_task10[[SubPLOs]:[SubPLOs]],"&gt;=6",tbl_task10[[SubPLOs]:[SubPLOs]],"&lt;7")</f>
        <v>0</v>
      </c>
      <c r="I185" s="41">
        <f>SUMIFS(tbl_task1[S4],tbl_task1[[SubPLOs]:[SubPLOs]],"&gt;=6",tbl_task1[[SubPLOs]:[SubPLOs]],"&lt;7")+SUMIFS(tbl_task2[S4],tbl_task2[[SubPLOs]:[SubPLOs]],"&gt;=6",tbl_task2[[SubPLOs]:[SubPLOs]],"&lt;7")+SUMIFS(tbl_task3[S4],tbl_task3[[SubPLOs]:[SubPLOs]],"&gt;=6",tbl_task3[[SubPLOs]:[SubPLOs]],"&lt;7")+SUMIFS(tbl_task4[S4],tbl_task4[[SubPLOs]:[SubPLOs]],"&gt;=6",tbl_task4[[SubPLOs]:[SubPLOs]],"&lt;7")+SUMIFS(tbl_task5[S4],tbl_task5[[SubPLOs]:[SubPLOs]],"&gt;=6",tbl_task5[[SubPLOs]:[SubPLOs]],"&lt;7")+SUMIFS(tbl_task6[S4],tbl_task6[[SubPLOs]:[SubPLOs]],"&gt;=6",tbl_task6[[SubPLOs]:[SubPLOs]],"&lt;7")+SUMIFS(tbl_task7[S4],tbl_task7[[SubPLOs]:[SubPLOs]],"&gt;=6",tbl_task7[[SubPLOs]:[SubPLOs]],"&lt;7")+SUMIFS(tbl_task8[S4],tbl_task8[[SubPLOs]:[SubPLOs]],"&gt;=6",tbl_task8[[SubPLOs]:[SubPLOs]],"&lt;7")+SUMIFS(tbl_task9[S4],tbl_task9[[SubPLOs]:[SubPLOs]],"&gt;=6",tbl_task9[[SubPLOs]:[SubPLOs]],"&lt;7")+SUMIFS(tbl_task10[S4],tbl_task10[[SubPLOs]:[SubPLOs]],"&gt;=6",tbl_task10[[SubPLOs]:[SubPLOs]],"&lt;7")</f>
        <v>0</v>
      </c>
      <c r="J185" s="41">
        <f>SUMIFS(tbl_task1[S5],tbl_task1[[SubPLOs]:[SubPLOs]],"&gt;=6",tbl_task1[[SubPLOs]:[SubPLOs]],"&lt;7")+SUMIFS(tbl_task2[S5],tbl_task2[[SubPLOs]:[SubPLOs]],"&gt;=6",tbl_task2[[SubPLOs]:[SubPLOs]],"&lt;7")+SUMIFS(tbl_task3[S5],tbl_task3[[SubPLOs]:[SubPLOs]],"&gt;=6",tbl_task3[[SubPLOs]:[SubPLOs]],"&lt;7")+SUMIFS(tbl_task4[S5],tbl_task4[[SubPLOs]:[SubPLOs]],"&gt;=6",tbl_task4[[SubPLOs]:[SubPLOs]],"&lt;7")+SUMIFS(tbl_task5[S5],tbl_task5[[SubPLOs]:[SubPLOs]],"&gt;=6",tbl_task5[[SubPLOs]:[SubPLOs]],"&lt;7")+SUMIFS(tbl_task6[S5],tbl_task6[[SubPLOs]:[SubPLOs]],"&gt;=6",tbl_task6[[SubPLOs]:[SubPLOs]],"&lt;7")+SUMIFS(tbl_task7[S5],tbl_task7[[SubPLOs]:[SubPLOs]],"&gt;=6",tbl_task7[[SubPLOs]:[SubPLOs]],"&lt;7")+SUMIFS(tbl_task8[S5],tbl_task8[[SubPLOs]:[SubPLOs]],"&gt;=6",tbl_task8[[SubPLOs]:[SubPLOs]],"&lt;7")+SUMIFS(tbl_task9[S5],tbl_task9[[SubPLOs]:[SubPLOs]],"&gt;=6",tbl_task9[[SubPLOs]:[SubPLOs]],"&lt;7")+SUMIFS(tbl_task10[S5],tbl_task10[[SubPLOs]:[SubPLOs]],"&gt;=6",tbl_task10[[SubPLOs]:[SubPLOs]],"&lt;7")</f>
        <v>0</v>
      </c>
      <c r="K185" s="41">
        <f>SUMIFS(tbl_task1[S6],tbl_task1[[SubPLOs]:[SubPLOs]],"&gt;=6",tbl_task1[[SubPLOs]:[SubPLOs]],"&lt;7")+SUMIFS(tbl_task2[S6],tbl_task2[[SubPLOs]:[SubPLOs]],"&gt;=6",tbl_task2[[SubPLOs]:[SubPLOs]],"&lt;7")+SUMIFS(tbl_task3[S6],tbl_task3[[SubPLOs]:[SubPLOs]],"&gt;=6",tbl_task3[[SubPLOs]:[SubPLOs]],"&lt;7")+SUMIFS(tbl_task4[S6],tbl_task4[[SubPLOs]:[SubPLOs]],"&gt;=6",tbl_task4[[SubPLOs]:[SubPLOs]],"&lt;7")+SUMIFS(tbl_task5[S6],tbl_task5[[SubPLOs]:[SubPLOs]],"&gt;=6",tbl_task5[[SubPLOs]:[SubPLOs]],"&lt;7")+SUMIFS(tbl_task6[S6],tbl_task6[[SubPLOs]:[SubPLOs]],"&gt;=6",tbl_task6[[SubPLOs]:[SubPLOs]],"&lt;7")+SUMIFS(tbl_task7[S6],tbl_task7[[SubPLOs]:[SubPLOs]],"&gt;=6",tbl_task7[[SubPLOs]:[SubPLOs]],"&lt;7")+SUMIFS(tbl_task8[S6],tbl_task8[[SubPLOs]:[SubPLOs]],"&gt;=6",tbl_task8[[SubPLOs]:[SubPLOs]],"&lt;7")+SUMIFS(tbl_task9[S6],tbl_task9[[SubPLOs]:[SubPLOs]],"&gt;=6",tbl_task9[[SubPLOs]:[SubPLOs]],"&lt;7")+SUMIFS(tbl_task10[S6],tbl_task10[[SubPLOs]:[SubPLOs]],"&gt;=6",tbl_task10[[SubPLOs]:[SubPLOs]],"&lt;7")</f>
        <v>0</v>
      </c>
      <c r="L185" s="41">
        <f>SUMIFS(tbl_task1[S7],tbl_task1[[SubPLOs]:[SubPLOs]],"&gt;=6",tbl_task1[[SubPLOs]:[SubPLOs]],"&lt;7")+SUMIFS(tbl_task2[S7],tbl_task2[[SubPLOs]:[SubPLOs]],"&gt;=6",tbl_task2[[SubPLOs]:[SubPLOs]],"&lt;7")+SUMIFS(tbl_task3[S7],tbl_task3[[SubPLOs]:[SubPLOs]],"&gt;=6",tbl_task3[[SubPLOs]:[SubPLOs]],"&lt;7")+SUMIFS(tbl_task4[S7],tbl_task4[[SubPLOs]:[SubPLOs]],"&gt;=6",tbl_task4[[SubPLOs]:[SubPLOs]],"&lt;7")+SUMIFS(tbl_task5[S7],tbl_task5[[SubPLOs]:[SubPLOs]],"&gt;=6",tbl_task5[[SubPLOs]:[SubPLOs]],"&lt;7")+SUMIFS(tbl_task6[S7],tbl_task6[[SubPLOs]:[SubPLOs]],"&gt;=6",tbl_task6[[SubPLOs]:[SubPLOs]],"&lt;7")+SUMIFS(tbl_task7[S7],tbl_task7[[SubPLOs]:[SubPLOs]],"&gt;=6",tbl_task7[[SubPLOs]:[SubPLOs]],"&lt;7")+SUMIFS(tbl_task8[S7],tbl_task8[[SubPLOs]:[SubPLOs]],"&gt;=6",tbl_task8[[SubPLOs]:[SubPLOs]],"&lt;7")+SUMIFS(tbl_task9[S7],tbl_task9[[SubPLOs]:[SubPLOs]],"&gt;=6",tbl_task9[[SubPLOs]:[SubPLOs]],"&lt;7")+SUMIFS(tbl_task10[S7],tbl_task10[[SubPLOs]:[SubPLOs]],"&gt;=6",tbl_task10[[SubPLOs]:[SubPLOs]],"&lt;7")</f>
        <v>0</v>
      </c>
      <c r="M185" s="41">
        <f>SUMIFS(tbl_task1[S8],tbl_task1[[SubPLOs]:[SubPLOs]],"&gt;=6",tbl_task1[[SubPLOs]:[SubPLOs]],"&lt;7")+SUMIFS(tbl_task2[S8],tbl_task2[[SubPLOs]:[SubPLOs]],"&gt;=6",tbl_task2[[SubPLOs]:[SubPLOs]],"&lt;7")+SUMIFS(tbl_task3[S8],tbl_task3[[SubPLOs]:[SubPLOs]],"&gt;=6",tbl_task3[[SubPLOs]:[SubPLOs]],"&lt;7")+SUMIFS(tbl_task4[S8],tbl_task4[[SubPLOs]:[SubPLOs]],"&gt;=6",tbl_task4[[SubPLOs]:[SubPLOs]],"&lt;7")+SUMIFS(tbl_task5[S8],tbl_task5[[SubPLOs]:[SubPLOs]],"&gt;=6",tbl_task5[[SubPLOs]:[SubPLOs]],"&lt;7")+SUMIFS(tbl_task6[S8],tbl_task6[[SubPLOs]:[SubPLOs]],"&gt;=6",tbl_task6[[SubPLOs]:[SubPLOs]],"&lt;7")+SUMIFS(tbl_task7[S8],tbl_task7[[SubPLOs]:[SubPLOs]],"&gt;=6",tbl_task7[[SubPLOs]:[SubPLOs]],"&lt;7")+SUMIFS(tbl_task8[S8],tbl_task8[[SubPLOs]:[SubPLOs]],"&gt;=6",tbl_task8[[SubPLOs]:[SubPLOs]],"&lt;7")+SUMIFS(tbl_task9[S8],tbl_task9[[SubPLOs]:[SubPLOs]],"&gt;=6",tbl_task9[[SubPLOs]:[SubPLOs]],"&lt;7")+SUMIFS(tbl_task10[S8],tbl_task10[[SubPLOs]:[SubPLOs]],"&gt;=6",tbl_task10[[SubPLOs]:[SubPLOs]],"&lt;7")</f>
        <v>0</v>
      </c>
      <c r="N185" s="41">
        <f>SUMIFS(tbl_task1[S9],tbl_task1[[SubPLOs]:[SubPLOs]],"&gt;=6",tbl_task1[[SubPLOs]:[SubPLOs]],"&lt;7")+SUMIFS(tbl_task2[S9],tbl_task2[[SubPLOs]:[SubPLOs]],"&gt;=6",tbl_task2[[SubPLOs]:[SubPLOs]],"&lt;7")+SUMIFS(tbl_task3[S9],tbl_task3[[SubPLOs]:[SubPLOs]],"&gt;=6",tbl_task3[[SubPLOs]:[SubPLOs]],"&lt;7")+SUMIFS(tbl_task4[S9],tbl_task4[[SubPLOs]:[SubPLOs]],"&gt;=6",tbl_task4[[SubPLOs]:[SubPLOs]],"&lt;7")+SUMIFS(tbl_task5[S9],tbl_task5[[SubPLOs]:[SubPLOs]],"&gt;=6",tbl_task5[[SubPLOs]:[SubPLOs]],"&lt;7")+SUMIFS(tbl_task6[S9],tbl_task6[[SubPLOs]:[SubPLOs]],"&gt;=6",tbl_task6[[SubPLOs]:[SubPLOs]],"&lt;7")+SUMIFS(tbl_task7[S9],tbl_task7[[SubPLOs]:[SubPLOs]],"&gt;=6",tbl_task7[[SubPLOs]:[SubPLOs]],"&lt;7")+SUMIFS(tbl_task8[S9],tbl_task8[[SubPLOs]:[SubPLOs]],"&gt;=6",tbl_task8[[SubPLOs]:[SubPLOs]],"&lt;7")+SUMIFS(tbl_task9[S9],tbl_task9[[SubPLOs]:[SubPLOs]],"&gt;=6",tbl_task9[[SubPLOs]:[SubPLOs]],"&lt;7")+SUMIFS(tbl_task10[S9],tbl_task10[[SubPLOs]:[SubPLOs]],"&gt;=6",tbl_task10[[SubPLOs]:[SubPLOs]],"&lt;7")</f>
        <v>0</v>
      </c>
      <c r="O185" s="41">
        <f>SUMIFS(tbl_task1[S10],tbl_task1[[SubPLOs]:[SubPLOs]],"&gt;=6",tbl_task1[[SubPLOs]:[SubPLOs]],"&lt;7")+SUMIFS(tbl_task2[S10],tbl_task2[[SubPLOs]:[SubPLOs]],"&gt;=6",tbl_task2[[SubPLOs]:[SubPLOs]],"&lt;7")+SUMIFS(tbl_task3[S10],tbl_task3[[SubPLOs]:[SubPLOs]],"&gt;=6",tbl_task3[[SubPLOs]:[SubPLOs]],"&lt;7")+SUMIFS(tbl_task4[S10],tbl_task4[[SubPLOs]:[SubPLOs]],"&gt;=6",tbl_task4[[SubPLOs]:[SubPLOs]],"&lt;7")+SUMIFS(tbl_task5[S10],tbl_task5[[SubPLOs]:[SubPLOs]],"&gt;=6",tbl_task5[[SubPLOs]:[SubPLOs]],"&lt;7")+SUMIFS(tbl_task6[S10],tbl_task6[[SubPLOs]:[SubPLOs]],"&gt;=6",tbl_task6[[SubPLOs]:[SubPLOs]],"&lt;7")+SUMIFS(tbl_task7[S10],tbl_task7[[SubPLOs]:[SubPLOs]],"&gt;=6",tbl_task7[[SubPLOs]:[SubPLOs]],"&lt;7")+SUMIFS(tbl_task8[S10],tbl_task8[[SubPLOs]:[SubPLOs]],"&gt;=6",tbl_task8[[SubPLOs]:[SubPLOs]],"&lt;7")+SUMIFS(tbl_task9[S10],tbl_task9[[SubPLOs]:[SubPLOs]],"&gt;=6",tbl_task9[[SubPLOs]:[SubPLOs]],"&lt;7")+SUMIFS(tbl_task10[S10],tbl_task10[[SubPLOs]:[SubPLOs]],"&gt;=6",tbl_task10[[SubPLOs]:[SubPLOs]],"&lt;7")</f>
        <v>0</v>
      </c>
      <c r="P185" s="41">
        <f>SUMIFS(tbl_task1[S11],tbl_task1[[SubPLOs]:[SubPLOs]],"&gt;=6",tbl_task1[[SubPLOs]:[SubPLOs]],"&lt;7")+SUMIFS(tbl_task2[S11],tbl_task2[[SubPLOs]:[SubPLOs]],"&gt;=6",tbl_task2[[SubPLOs]:[SubPLOs]],"&lt;7")+SUMIFS(tbl_task3[S11],tbl_task3[[SubPLOs]:[SubPLOs]],"&gt;=6",tbl_task3[[SubPLOs]:[SubPLOs]],"&lt;7")+SUMIFS(tbl_task4[S11],tbl_task4[[SubPLOs]:[SubPLOs]],"&gt;=6",tbl_task4[[SubPLOs]:[SubPLOs]],"&lt;7")+SUMIFS(tbl_task5[S11],tbl_task5[[SubPLOs]:[SubPLOs]],"&gt;=6",tbl_task5[[SubPLOs]:[SubPLOs]],"&lt;7")+SUMIFS(tbl_task6[S11],tbl_task6[[SubPLOs]:[SubPLOs]],"&gt;=6",tbl_task6[[SubPLOs]:[SubPLOs]],"&lt;7")+SUMIFS(tbl_task7[S11],tbl_task7[[SubPLOs]:[SubPLOs]],"&gt;=6",tbl_task7[[SubPLOs]:[SubPLOs]],"&lt;7")+SUMIFS(tbl_task8[S11],tbl_task8[[SubPLOs]:[SubPLOs]],"&gt;=6",tbl_task8[[SubPLOs]:[SubPLOs]],"&lt;7")+SUMIFS(tbl_task9[S11],tbl_task9[[SubPLOs]:[SubPLOs]],"&gt;=6",tbl_task9[[SubPLOs]:[SubPLOs]],"&lt;7")+SUMIFS(tbl_task10[S11],tbl_task10[[SubPLOs]:[SubPLOs]],"&gt;=6",tbl_task10[[SubPLOs]:[SubPLOs]],"&lt;7")</f>
        <v>0</v>
      </c>
      <c r="Q185" s="41">
        <f>SUMIFS(tbl_task1[S12],tbl_task1[[SubPLOs]:[SubPLOs]],"&gt;=6",tbl_task1[[SubPLOs]:[SubPLOs]],"&lt;7")+SUMIFS(tbl_task2[S12],tbl_task2[[SubPLOs]:[SubPLOs]],"&gt;=6",tbl_task2[[SubPLOs]:[SubPLOs]],"&lt;7")+SUMIFS(tbl_task3[S12],tbl_task3[[SubPLOs]:[SubPLOs]],"&gt;=6",tbl_task3[[SubPLOs]:[SubPLOs]],"&lt;7")+SUMIFS(tbl_task4[S12],tbl_task4[[SubPLOs]:[SubPLOs]],"&gt;=6",tbl_task4[[SubPLOs]:[SubPLOs]],"&lt;7")+SUMIFS(tbl_task5[S12],tbl_task5[[SubPLOs]:[SubPLOs]],"&gt;=6",tbl_task5[[SubPLOs]:[SubPLOs]],"&lt;7")+SUMIFS(tbl_task6[S12],tbl_task6[[SubPLOs]:[SubPLOs]],"&gt;=6",tbl_task6[[SubPLOs]:[SubPLOs]],"&lt;7")+SUMIFS(tbl_task7[S12],tbl_task7[[SubPLOs]:[SubPLOs]],"&gt;=6",tbl_task7[[SubPLOs]:[SubPLOs]],"&lt;7")+SUMIFS(tbl_task8[S12],tbl_task8[[SubPLOs]:[SubPLOs]],"&gt;=6",tbl_task8[[SubPLOs]:[SubPLOs]],"&lt;7")+SUMIFS(tbl_task9[S12],tbl_task9[[SubPLOs]:[SubPLOs]],"&gt;=6",tbl_task9[[SubPLOs]:[SubPLOs]],"&lt;7")+SUMIFS(tbl_task10[S12],tbl_task10[[SubPLOs]:[SubPLOs]],"&gt;=6",tbl_task10[[SubPLOs]:[SubPLOs]],"&lt;7")</f>
        <v>0</v>
      </c>
      <c r="R185" s="41">
        <f>SUMIFS(tbl_task1[S13],tbl_task1[[SubPLOs]:[SubPLOs]],"&gt;=6",tbl_task1[[SubPLOs]:[SubPLOs]],"&lt;7")+SUMIFS(tbl_task2[S13],tbl_task2[[SubPLOs]:[SubPLOs]],"&gt;=6",tbl_task2[[SubPLOs]:[SubPLOs]],"&lt;7")+SUMIFS(tbl_task3[S13],tbl_task3[[SubPLOs]:[SubPLOs]],"&gt;=6",tbl_task3[[SubPLOs]:[SubPLOs]],"&lt;7")+SUMIFS(tbl_task4[S13],tbl_task4[[SubPLOs]:[SubPLOs]],"&gt;=6",tbl_task4[[SubPLOs]:[SubPLOs]],"&lt;7")+SUMIFS(tbl_task5[S13],tbl_task5[[SubPLOs]:[SubPLOs]],"&gt;=6",tbl_task5[[SubPLOs]:[SubPLOs]],"&lt;7")+SUMIFS(tbl_task6[S13],tbl_task6[[SubPLOs]:[SubPLOs]],"&gt;=6",tbl_task6[[SubPLOs]:[SubPLOs]],"&lt;7")+SUMIFS(tbl_task7[S13],tbl_task7[[SubPLOs]:[SubPLOs]],"&gt;=6",tbl_task7[[SubPLOs]:[SubPLOs]],"&lt;7")+SUMIFS(tbl_task8[S13],tbl_task8[[SubPLOs]:[SubPLOs]],"&gt;=6",tbl_task8[[SubPLOs]:[SubPLOs]],"&lt;7")+SUMIFS(tbl_task9[S13],tbl_task9[[SubPLOs]:[SubPLOs]],"&gt;=6",tbl_task9[[SubPLOs]:[SubPLOs]],"&lt;7")+SUMIFS(tbl_task10[S13],tbl_task10[[SubPLOs]:[SubPLOs]],"&gt;=6",tbl_task10[[SubPLOs]:[SubPLOs]],"&lt;7")</f>
        <v>0</v>
      </c>
      <c r="S185" s="41">
        <f>SUMIFS(tbl_task1[S14],tbl_task1[[SubPLOs]:[SubPLOs]],"&gt;=6",tbl_task1[[SubPLOs]:[SubPLOs]],"&lt;7")+SUMIFS(tbl_task2[S14],tbl_task2[[SubPLOs]:[SubPLOs]],"&gt;=6",tbl_task2[[SubPLOs]:[SubPLOs]],"&lt;7")+SUMIFS(tbl_task3[S14],tbl_task3[[SubPLOs]:[SubPLOs]],"&gt;=6",tbl_task3[[SubPLOs]:[SubPLOs]],"&lt;7")+SUMIFS(tbl_task4[S14],tbl_task4[[SubPLOs]:[SubPLOs]],"&gt;=6",tbl_task4[[SubPLOs]:[SubPLOs]],"&lt;7")+SUMIFS(tbl_task5[S14],tbl_task5[[SubPLOs]:[SubPLOs]],"&gt;=6",tbl_task5[[SubPLOs]:[SubPLOs]],"&lt;7")+SUMIFS(tbl_task6[S14],tbl_task6[[SubPLOs]:[SubPLOs]],"&gt;=6",tbl_task6[[SubPLOs]:[SubPLOs]],"&lt;7")+SUMIFS(tbl_task7[S14],tbl_task7[[SubPLOs]:[SubPLOs]],"&gt;=6",tbl_task7[[SubPLOs]:[SubPLOs]],"&lt;7")+SUMIFS(tbl_task8[S14],tbl_task8[[SubPLOs]:[SubPLOs]],"&gt;=6",tbl_task8[[SubPLOs]:[SubPLOs]],"&lt;7")+SUMIFS(tbl_task9[S14],tbl_task9[[SubPLOs]:[SubPLOs]],"&gt;=6",tbl_task9[[SubPLOs]:[SubPLOs]],"&lt;7")+SUMIFS(tbl_task10[S14],tbl_task10[[SubPLOs]:[SubPLOs]],"&gt;=6",tbl_task10[[SubPLOs]:[SubPLOs]],"&lt;7")</f>
        <v>0</v>
      </c>
      <c r="T185" s="41">
        <f>SUMIFS(tbl_task1[S15],tbl_task1[[SubPLOs]:[SubPLOs]],"&gt;=6",tbl_task1[[SubPLOs]:[SubPLOs]],"&lt;7")+SUMIFS(tbl_task2[S15],tbl_task2[[SubPLOs]:[SubPLOs]],"&gt;=6",tbl_task2[[SubPLOs]:[SubPLOs]],"&lt;7")+SUMIFS(tbl_task3[S15],tbl_task3[[SubPLOs]:[SubPLOs]],"&gt;=6",tbl_task3[[SubPLOs]:[SubPLOs]],"&lt;7")+SUMIFS(tbl_task4[S15],tbl_task4[[SubPLOs]:[SubPLOs]],"&gt;=6",tbl_task4[[SubPLOs]:[SubPLOs]],"&lt;7")+SUMIFS(tbl_task5[S15],tbl_task5[[SubPLOs]:[SubPLOs]],"&gt;=6",tbl_task5[[SubPLOs]:[SubPLOs]],"&lt;7")+SUMIFS(tbl_task6[S15],tbl_task6[[SubPLOs]:[SubPLOs]],"&gt;=6",tbl_task6[[SubPLOs]:[SubPLOs]],"&lt;7")+SUMIFS(tbl_task7[S15],tbl_task7[[SubPLOs]:[SubPLOs]],"&gt;=6",tbl_task7[[SubPLOs]:[SubPLOs]],"&lt;7")+SUMIFS(tbl_task8[S15],tbl_task8[[SubPLOs]:[SubPLOs]],"&gt;=6",tbl_task8[[SubPLOs]:[SubPLOs]],"&lt;7")+SUMIFS(tbl_task9[S15],tbl_task9[[SubPLOs]:[SubPLOs]],"&gt;=6",tbl_task9[[SubPLOs]:[SubPLOs]],"&lt;7")+SUMIFS(tbl_task10[S15],tbl_task10[[SubPLOs]:[SubPLOs]],"&gt;=6",tbl_task10[[SubPLOs]:[SubPLOs]],"&lt;7")</f>
        <v>0</v>
      </c>
      <c r="U185" s="41">
        <f>SUMIFS(tbl_task1[S16],tbl_task1[[SubPLOs]:[SubPLOs]],"&gt;=6",tbl_task1[[SubPLOs]:[SubPLOs]],"&lt;7")+SUMIFS(tbl_task2[S16],tbl_task2[[SubPLOs]:[SubPLOs]],"&gt;=6",tbl_task2[[SubPLOs]:[SubPLOs]],"&lt;7")+SUMIFS(tbl_task3[S16],tbl_task3[[SubPLOs]:[SubPLOs]],"&gt;=6",tbl_task3[[SubPLOs]:[SubPLOs]],"&lt;7")+SUMIFS(tbl_task4[S16],tbl_task4[[SubPLOs]:[SubPLOs]],"&gt;=6",tbl_task4[[SubPLOs]:[SubPLOs]],"&lt;7")+SUMIFS(tbl_task5[S16],tbl_task5[[SubPLOs]:[SubPLOs]],"&gt;=6",tbl_task5[[SubPLOs]:[SubPLOs]],"&lt;7")+SUMIFS(tbl_task6[S16],tbl_task6[[SubPLOs]:[SubPLOs]],"&gt;=6",tbl_task6[[SubPLOs]:[SubPLOs]],"&lt;7")+SUMIFS(tbl_task7[S16],tbl_task7[[SubPLOs]:[SubPLOs]],"&gt;=6",tbl_task7[[SubPLOs]:[SubPLOs]],"&lt;7")+SUMIFS(tbl_task8[S16],tbl_task8[[SubPLOs]:[SubPLOs]],"&gt;=6",tbl_task8[[SubPLOs]:[SubPLOs]],"&lt;7")+SUMIFS(tbl_task9[S16],tbl_task9[[SubPLOs]:[SubPLOs]],"&gt;=6",tbl_task9[[SubPLOs]:[SubPLOs]],"&lt;7")+SUMIFS(tbl_task10[S16],tbl_task10[[SubPLOs]:[SubPLOs]],"&gt;=6",tbl_task10[[SubPLOs]:[SubPLOs]],"&lt;7")</f>
        <v>0</v>
      </c>
      <c r="V185" s="41">
        <f>SUMIFS(tbl_task1[S17],tbl_task1[[SubPLOs]:[SubPLOs]],"&gt;=6",tbl_task1[[SubPLOs]:[SubPLOs]],"&lt;7")+SUMIFS(tbl_task2[S17],tbl_task2[[SubPLOs]:[SubPLOs]],"&gt;=6",tbl_task2[[SubPLOs]:[SubPLOs]],"&lt;7")+SUMIFS(tbl_task3[S17],tbl_task3[[SubPLOs]:[SubPLOs]],"&gt;=6",tbl_task3[[SubPLOs]:[SubPLOs]],"&lt;7")+SUMIFS(tbl_task4[S17],tbl_task4[[SubPLOs]:[SubPLOs]],"&gt;=6",tbl_task4[[SubPLOs]:[SubPLOs]],"&lt;7")+SUMIFS(tbl_task5[S17],tbl_task5[[SubPLOs]:[SubPLOs]],"&gt;=6",tbl_task5[[SubPLOs]:[SubPLOs]],"&lt;7")+SUMIFS(tbl_task6[S17],tbl_task6[[SubPLOs]:[SubPLOs]],"&gt;=6",tbl_task6[[SubPLOs]:[SubPLOs]],"&lt;7")+SUMIFS(tbl_task7[S17],tbl_task7[[SubPLOs]:[SubPLOs]],"&gt;=6",tbl_task7[[SubPLOs]:[SubPLOs]],"&lt;7")+SUMIFS(tbl_task8[S17],tbl_task8[[SubPLOs]:[SubPLOs]],"&gt;=6",tbl_task8[[SubPLOs]:[SubPLOs]],"&lt;7")+SUMIFS(tbl_task9[S17],tbl_task9[[SubPLOs]:[SubPLOs]],"&gt;=6",tbl_task9[[SubPLOs]:[SubPLOs]],"&lt;7")+SUMIFS(tbl_task10[S17],tbl_task10[[SubPLOs]:[SubPLOs]],"&gt;=6",tbl_task10[[SubPLOs]:[SubPLOs]],"&lt;7")</f>
        <v>0</v>
      </c>
      <c r="W185" s="41">
        <f>SUMIFS(tbl_task1[S18],tbl_task1[[SubPLOs]:[SubPLOs]],"&gt;=6",tbl_task1[[SubPLOs]:[SubPLOs]],"&lt;7")+SUMIFS(tbl_task2[S18],tbl_task2[[SubPLOs]:[SubPLOs]],"&gt;=6",tbl_task2[[SubPLOs]:[SubPLOs]],"&lt;7")+SUMIFS(tbl_task3[S18],tbl_task3[[SubPLOs]:[SubPLOs]],"&gt;=6",tbl_task3[[SubPLOs]:[SubPLOs]],"&lt;7")+SUMIFS(tbl_task4[S18],tbl_task4[[SubPLOs]:[SubPLOs]],"&gt;=6",tbl_task4[[SubPLOs]:[SubPLOs]],"&lt;7")+SUMIFS(tbl_task5[S18],tbl_task5[[SubPLOs]:[SubPLOs]],"&gt;=6",tbl_task5[[SubPLOs]:[SubPLOs]],"&lt;7")+SUMIFS(tbl_task6[S18],tbl_task6[[SubPLOs]:[SubPLOs]],"&gt;=6",tbl_task6[[SubPLOs]:[SubPLOs]],"&lt;7")+SUMIFS(tbl_task7[S18],tbl_task7[[SubPLOs]:[SubPLOs]],"&gt;=6",tbl_task7[[SubPLOs]:[SubPLOs]],"&lt;7")+SUMIFS(tbl_task8[S18],tbl_task8[[SubPLOs]:[SubPLOs]],"&gt;=6",tbl_task8[[SubPLOs]:[SubPLOs]],"&lt;7")+SUMIFS(tbl_task9[S18],tbl_task9[[SubPLOs]:[SubPLOs]],"&gt;=6",tbl_task9[[SubPLOs]:[SubPLOs]],"&lt;7")+SUMIFS(tbl_task10[S18],tbl_task10[[SubPLOs]:[SubPLOs]],"&gt;=6",tbl_task10[[SubPLOs]:[SubPLOs]],"&lt;7")</f>
        <v>0</v>
      </c>
      <c r="X185" s="41">
        <f>SUMIFS(tbl_task1[S19],tbl_task1[[SubPLOs]:[SubPLOs]],"&gt;=6",tbl_task1[[SubPLOs]:[SubPLOs]],"&lt;7")+SUMIFS(tbl_task2[S19],tbl_task2[[SubPLOs]:[SubPLOs]],"&gt;=6",tbl_task2[[SubPLOs]:[SubPLOs]],"&lt;7")+SUMIFS(tbl_task3[S19],tbl_task3[[SubPLOs]:[SubPLOs]],"&gt;=6",tbl_task3[[SubPLOs]:[SubPLOs]],"&lt;7")+SUMIFS(tbl_task4[S19],tbl_task4[[SubPLOs]:[SubPLOs]],"&gt;=6",tbl_task4[[SubPLOs]:[SubPLOs]],"&lt;7")+SUMIFS(tbl_task5[S19],tbl_task5[[SubPLOs]:[SubPLOs]],"&gt;=6",tbl_task5[[SubPLOs]:[SubPLOs]],"&lt;7")+SUMIFS(tbl_task6[S19],tbl_task6[[SubPLOs]:[SubPLOs]],"&gt;=6",tbl_task6[[SubPLOs]:[SubPLOs]],"&lt;7")+SUMIFS(tbl_task7[S19],tbl_task7[[SubPLOs]:[SubPLOs]],"&gt;=6",tbl_task7[[SubPLOs]:[SubPLOs]],"&lt;7")+SUMIFS(tbl_task8[S19],tbl_task8[[SubPLOs]:[SubPLOs]],"&gt;=6",tbl_task8[[SubPLOs]:[SubPLOs]],"&lt;7")+SUMIFS(tbl_task9[S19],tbl_task9[[SubPLOs]:[SubPLOs]],"&gt;=6",tbl_task9[[SubPLOs]:[SubPLOs]],"&lt;7")+SUMIFS(tbl_task10[S19],tbl_task10[[SubPLOs]:[SubPLOs]],"&gt;=6",tbl_task10[[SubPLOs]:[SubPLOs]],"&lt;7")</f>
        <v>0</v>
      </c>
      <c r="Y185" s="41">
        <f>SUMIFS(tbl_task1[S20],tbl_task1[[SubPLOs]:[SubPLOs]],"&gt;=6",tbl_task1[[SubPLOs]:[SubPLOs]],"&lt;7")+SUMIFS(tbl_task2[S20],tbl_task2[[SubPLOs]:[SubPLOs]],"&gt;=6",tbl_task2[[SubPLOs]:[SubPLOs]],"&lt;7")+SUMIFS(tbl_task3[S20],tbl_task3[[SubPLOs]:[SubPLOs]],"&gt;=6",tbl_task3[[SubPLOs]:[SubPLOs]],"&lt;7")+SUMIFS(tbl_task4[S20],tbl_task4[[SubPLOs]:[SubPLOs]],"&gt;=6",tbl_task4[[SubPLOs]:[SubPLOs]],"&lt;7")+SUMIFS(tbl_task5[S20],tbl_task5[[SubPLOs]:[SubPLOs]],"&gt;=6",tbl_task5[[SubPLOs]:[SubPLOs]],"&lt;7")+SUMIFS(tbl_task6[S20],tbl_task6[[SubPLOs]:[SubPLOs]],"&gt;=6",tbl_task6[[SubPLOs]:[SubPLOs]],"&lt;7")+SUMIFS(tbl_task7[S20],tbl_task7[[SubPLOs]:[SubPLOs]],"&gt;=6",tbl_task7[[SubPLOs]:[SubPLOs]],"&lt;7")+SUMIFS(tbl_task8[S20],tbl_task8[[SubPLOs]:[SubPLOs]],"&gt;=6",tbl_task8[[SubPLOs]:[SubPLOs]],"&lt;7")+SUMIFS(tbl_task9[S20],tbl_task9[[SubPLOs]:[SubPLOs]],"&gt;=6",tbl_task9[[SubPLOs]:[SubPLOs]],"&lt;7")+SUMIFS(tbl_task10[S20],tbl_task10[[SubPLOs]:[SubPLOs]],"&gt;=6",tbl_task10[[SubPLOs]:[SubPLOs]],"&lt;7")</f>
        <v>0</v>
      </c>
      <c r="Z185" s="41">
        <f>SUMIFS(tbl_task1[S21],tbl_task1[[SubPLOs]:[SubPLOs]],"&gt;=6",tbl_task1[[SubPLOs]:[SubPLOs]],"&lt;7")+SUMIFS(tbl_task2[S21],tbl_task2[[SubPLOs]:[SubPLOs]],"&gt;=6",tbl_task2[[SubPLOs]:[SubPLOs]],"&lt;7")+SUMIFS(tbl_task3[S21],tbl_task3[[SubPLOs]:[SubPLOs]],"&gt;=6",tbl_task3[[SubPLOs]:[SubPLOs]],"&lt;7")+SUMIFS(tbl_task4[S21],tbl_task4[[SubPLOs]:[SubPLOs]],"&gt;=6",tbl_task4[[SubPLOs]:[SubPLOs]],"&lt;7")+SUMIFS(tbl_task5[S21],tbl_task5[[SubPLOs]:[SubPLOs]],"&gt;=6",tbl_task5[[SubPLOs]:[SubPLOs]],"&lt;7")+SUMIFS(tbl_task6[S21],tbl_task6[[SubPLOs]:[SubPLOs]],"&gt;=6",tbl_task6[[SubPLOs]:[SubPLOs]],"&lt;7")+SUMIFS(tbl_task7[S21],tbl_task7[[SubPLOs]:[SubPLOs]],"&gt;=6",tbl_task7[[SubPLOs]:[SubPLOs]],"&lt;7")+SUMIFS(tbl_task8[S21],tbl_task8[[SubPLOs]:[SubPLOs]],"&gt;=6",tbl_task8[[SubPLOs]:[SubPLOs]],"&lt;7")+SUMIFS(tbl_task9[S21],tbl_task9[[SubPLOs]:[SubPLOs]],"&gt;=6",tbl_task9[[SubPLOs]:[SubPLOs]],"&lt;7")+SUMIFS(tbl_task10[S21],tbl_task10[[SubPLOs]:[SubPLOs]],"&gt;=6",tbl_task10[[SubPLOs]:[SubPLOs]],"&lt;7")</f>
        <v>0</v>
      </c>
      <c r="AA185" s="41">
        <f>SUMIFS(tbl_task1[S22],tbl_task1[[SubPLOs]:[SubPLOs]],"&gt;=6",tbl_task1[[SubPLOs]:[SubPLOs]],"&lt;7")+SUMIFS(tbl_task2[S22],tbl_task2[[SubPLOs]:[SubPLOs]],"&gt;=6",tbl_task2[[SubPLOs]:[SubPLOs]],"&lt;7")+SUMIFS(tbl_task3[S22],tbl_task3[[SubPLOs]:[SubPLOs]],"&gt;=6",tbl_task3[[SubPLOs]:[SubPLOs]],"&lt;7")+SUMIFS(tbl_task4[S22],tbl_task4[[SubPLOs]:[SubPLOs]],"&gt;=6",tbl_task4[[SubPLOs]:[SubPLOs]],"&lt;7")+SUMIFS(tbl_task5[S22],tbl_task5[[SubPLOs]:[SubPLOs]],"&gt;=6",tbl_task5[[SubPLOs]:[SubPLOs]],"&lt;7")+SUMIFS(tbl_task6[S22],tbl_task6[[SubPLOs]:[SubPLOs]],"&gt;=6",tbl_task6[[SubPLOs]:[SubPLOs]],"&lt;7")+SUMIFS(tbl_task7[S22],tbl_task7[[SubPLOs]:[SubPLOs]],"&gt;=6",tbl_task7[[SubPLOs]:[SubPLOs]],"&lt;7")+SUMIFS(tbl_task8[S22],tbl_task8[[SubPLOs]:[SubPLOs]],"&gt;=6",tbl_task8[[SubPLOs]:[SubPLOs]],"&lt;7")+SUMIFS(tbl_task9[S22],tbl_task9[[SubPLOs]:[SubPLOs]],"&gt;=6",tbl_task9[[SubPLOs]:[SubPLOs]],"&lt;7")+SUMIFS(tbl_task10[S22],tbl_task10[[SubPLOs]:[SubPLOs]],"&gt;=6",tbl_task10[[SubPLOs]:[SubPLOs]],"&lt;7")</f>
        <v>0</v>
      </c>
      <c r="AB185" s="41">
        <f>SUMIFS(tbl_task1[S23],tbl_task1[[SubPLOs]:[SubPLOs]],"&gt;=6",tbl_task1[[SubPLOs]:[SubPLOs]],"&lt;7")+SUMIFS(tbl_task2[S23],tbl_task2[[SubPLOs]:[SubPLOs]],"&gt;=6",tbl_task2[[SubPLOs]:[SubPLOs]],"&lt;7")+SUMIFS(tbl_task3[S23],tbl_task3[[SubPLOs]:[SubPLOs]],"&gt;=6",tbl_task3[[SubPLOs]:[SubPLOs]],"&lt;7")+SUMIFS(tbl_task4[S23],tbl_task4[[SubPLOs]:[SubPLOs]],"&gt;=6",tbl_task4[[SubPLOs]:[SubPLOs]],"&lt;7")+SUMIFS(tbl_task5[S23],tbl_task5[[SubPLOs]:[SubPLOs]],"&gt;=6",tbl_task5[[SubPLOs]:[SubPLOs]],"&lt;7")+SUMIFS(tbl_task6[S23],tbl_task6[[SubPLOs]:[SubPLOs]],"&gt;=6",tbl_task6[[SubPLOs]:[SubPLOs]],"&lt;7")+SUMIFS(tbl_task7[S23],tbl_task7[[SubPLOs]:[SubPLOs]],"&gt;=6",tbl_task7[[SubPLOs]:[SubPLOs]],"&lt;7")+SUMIFS(tbl_task8[S23],tbl_task8[[SubPLOs]:[SubPLOs]],"&gt;=6",tbl_task8[[SubPLOs]:[SubPLOs]],"&lt;7")+SUMIFS(tbl_task9[S23],tbl_task9[[SubPLOs]:[SubPLOs]],"&gt;=6",tbl_task9[[SubPLOs]:[SubPLOs]],"&lt;7")+SUMIFS(tbl_task10[S23],tbl_task10[[SubPLOs]:[SubPLOs]],"&gt;=6",tbl_task10[[SubPLOs]:[SubPLOs]],"&lt;7")</f>
        <v>0</v>
      </c>
      <c r="AC185" s="41">
        <f>SUMIFS(tbl_task1[S24],tbl_task1[[SubPLOs]:[SubPLOs]],"&gt;=6",tbl_task1[[SubPLOs]:[SubPLOs]],"&lt;7")+SUMIFS(tbl_task2[S24],tbl_task2[[SubPLOs]:[SubPLOs]],"&gt;=6",tbl_task2[[SubPLOs]:[SubPLOs]],"&lt;7")+SUMIFS(tbl_task3[S24],tbl_task3[[SubPLOs]:[SubPLOs]],"&gt;=6",tbl_task3[[SubPLOs]:[SubPLOs]],"&lt;7")+SUMIFS(tbl_task4[S24],tbl_task4[[SubPLOs]:[SubPLOs]],"&gt;=6",tbl_task4[[SubPLOs]:[SubPLOs]],"&lt;7")+SUMIFS(tbl_task5[S24],tbl_task5[[SubPLOs]:[SubPLOs]],"&gt;=6",tbl_task5[[SubPLOs]:[SubPLOs]],"&lt;7")+SUMIFS(tbl_task6[S24],tbl_task6[[SubPLOs]:[SubPLOs]],"&gt;=6",tbl_task6[[SubPLOs]:[SubPLOs]],"&lt;7")+SUMIFS(tbl_task7[S24],tbl_task7[[SubPLOs]:[SubPLOs]],"&gt;=6",tbl_task7[[SubPLOs]:[SubPLOs]],"&lt;7")+SUMIFS(tbl_task8[S24],tbl_task8[[SubPLOs]:[SubPLOs]],"&gt;=6",tbl_task8[[SubPLOs]:[SubPLOs]],"&lt;7")+SUMIFS(tbl_task9[S24],tbl_task9[[SubPLOs]:[SubPLOs]],"&gt;=6",tbl_task9[[SubPLOs]:[SubPLOs]],"&lt;7")+SUMIFS(tbl_task10[S24],tbl_task10[[SubPLOs]:[SubPLOs]],"&gt;=6",tbl_task10[[SubPLOs]:[SubPLOs]],"&lt;7")</f>
        <v>0</v>
      </c>
      <c r="AD185" s="41">
        <f>SUMIFS(tbl_task1[S25],tbl_task1[[SubPLOs]:[SubPLOs]],"&gt;=6",tbl_task1[[SubPLOs]:[SubPLOs]],"&lt;7")+SUMIFS(tbl_task2[S25],tbl_task2[[SubPLOs]:[SubPLOs]],"&gt;=6",tbl_task2[[SubPLOs]:[SubPLOs]],"&lt;7")+SUMIFS(tbl_task3[S25],tbl_task3[[SubPLOs]:[SubPLOs]],"&gt;=6",tbl_task3[[SubPLOs]:[SubPLOs]],"&lt;7")+SUMIFS(tbl_task4[S25],tbl_task4[[SubPLOs]:[SubPLOs]],"&gt;=6",tbl_task4[[SubPLOs]:[SubPLOs]],"&lt;7")+SUMIFS(tbl_task5[S25],tbl_task5[[SubPLOs]:[SubPLOs]],"&gt;=6",tbl_task5[[SubPLOs]:[SubPLOs]],"&lt;7")+SUMIFS(tbl_task6[S25],tbl_task6[[SubPLOs]:[SubPLOs]],"&gt;=6",tbl_task6[[SubPLOs]:[SubPLOs]],"&lt;7")+SUMIFS(tbl_task7[S25],tbl_task7[[SubPLOs]:[SubPLOs]],"&gt;=6",tbl_task7[[SubPLOs]:[SubPLOs]],"&lt;7")+SUMIFS(tbl_task8[S25],tbl_task8[[SubPLOs]:[SubPLOs]],"&gt;=6",tbl_task8[[SubPLOs]:[SubPLOs]],"&lt;7")+SUMIFS(tbl_task9[S25],tbl_task9[[SubPLOs]:[SubPLOs]],"&gt;=6",tbl_task9[[SubPLOs]:[SubPLOs]],"&lt;7")+SUMIFS(tbl_task10[S25],tbl_task10[[SubPLOs]:[SubPLOs]],"&gt;=6",tbl_task10[[SubPLOs]:[SubPLOs]],"&lt;7")</f>
        <v>0</v>
      </c>
      <c r="AE185" s="41">
        <f>SUMIFS(tbl_task1[S26],tbl_task1[[SubPLOs]:[SubPLOs]],"&gt;=6",tbl_task1[[SubPLOs]:[SubPLOs]],"&lt;7")+SUMIFS(tbl_task2[S26],tbl_task2[[SubPLOs]:[SubPLOs]],"&gt;=6",tbl_task2[[SubPLOs]:[SubPLOs]],"&lt;7")+SUMIFS(tbl_task3[S26],tbl_task3[[SubPLOs]:[SubPLOs]],"&gt;=6",tbl_task3[[SubPLOs]:[SubPLOs]],"&lt;7")+SUMIFS(tbl_task4[S26],tbl_task4[[SubPLOs]:[SubPLOs]],"&gt;=6",tbl_task4[[SubPLOs]:[SubPLOs]],"&lt;7")+SUMIFS(tbl_task5[S26],tbl_task5[[SubPLOs]:[SubPLOs]],"&gt;=6",tbl_task5[[SubPLOs]:[SubPLOs]],"&lt;7")+SUMIFS(tbl_task6[S26],tbl_task6[[SubPLOs]:[SubPLOs]],"&gt;=6",tbl_task6[[SubPLOs]:[SubPLOs]],"&lt;7")+SUMIFS(tbl_task7[S26],tbl_task7[[SubPLOs]:[SubPLOs]],"&gt;=6",tbl_task7[[SubPLOs]:[SubPLOs]],"&lt;7")+SUMIFS(tbl_task8[S26],tbl_task8[[SubPLOs]:[SubPLOs]],"&gt;=6",tbl_task8[[SubPLOs]:[SubPLOs]],"&lt;7")+SUMIFS(tbl_task9[S26],tbl_task9[[SubPLOs]:[SubPLOs]],"&gt;=6",tbl_task9[[SubPLOs]:[SubPLOs]],"&lt;7")+SUMIFS(tbl_task10[S26],tbl_task10[[SubPLOs]:[SubPLOs]],"&gt;=6",tbl_task10[[SubPLOs]:[SubPLOs]],"&lt;7")</f>
        <v>0</v>
      </c>
      <c r="AF185" s="41">
        <f>SUMIFS(tbl_task1[S27],tbl_task1[[SubPLOs]:[SubPLOs]],"&gt;=6",tbl_task1[[SubPLOs]:[SubPLOs]],"&lt;7")+SUMIFS(tbl_task2[S27],tbl_task2[[SubPLOs]:[SubPLOs]],"&gt;=6",tbl_task2[[SubPLOs]:[SubPLOs]],"&lt;7")+SUMIFS(tbl_task3[S27],tbl_task3[[SubPLOs]:[SubPLOs]],"&gt;=6",tbl_task3[[SubPLOs]:[SubPLOs]],"&lt;7")+SUMIFS(tbl_task4[S27],tbl_task4[[SubPLOs]:[SubPLOs]],"&gt;=6",tbl_task4[[SubPLOs]:[SubPLOs]],"&lt;7")+SUMIFS(tbl_task5[S27],tbl_task5[[SubPLOs]:[SubPLOs]],"&gt;=6",tbl_task5[[SubPLOs]:[SubPLOs]],"&lt;7")+SUMIFS(tbl_task6[S27],tbl_task6[[SubPLOs]:[SubPLOs]],"&gt;=6",tbl_task6[[SubPLOs]:[SubPLOs]],"&lt;7")+SUMIFS(tbl_task7[S27],tbl_task7[[SubPLOs]:[SubPLOs]],"&gt;=6",tbl_task7[[SubPLOs]:[SubPLOs]],"&lt;7")+SUMIFS(tbl_task8[S27],tbl_task8[[SubPLOs]:[SubPLOs]],"&gt;=6",tbl_task8[[SubPLOs]:[SubPLOs]],"&lt;7")+SUMIFS(tbl_task9[S27],tbl_task9[[SubPLOs]:[SubPLOs]],"&gt;=6",tbl_task9[[SubPLOs]:[SubPLOs]],"&lt;7")+SUMIFS(tbl_task10[S27],tbl_task10[[SubPLOs]:[SubPLOs]],"&gt;=6",tbl_task10[[SubPLOs]:[SubPLOs]],"&lt;7")</f>
        <v>0</v>
      </c>
      <c r="AG185" s="41">
        <f>SUMIFS(tbl_task1[S28],tbl_task1[[SubPLOs]:[SubPLOs]],"&gt;=6",tbl_task1[[SubPLOs]:[SubPLOs]],"&lt;7")+SUMIFS(tbl_task2[S28],tbl_task2[[SubPLOs]:[SubPLOs]],"&gt;=6",tbl_task2[[SubPLOs]:[SubPLOs]],"&lt;7")+SUMIFS(tbl_task3[S28],tbl_task3[[SubPLOs]:[SubPLOs]],"&gt;=6",tbl_task3[[SubPLOs]:[SubPLOs]],"&lt;7")+SUMIFS(tbl_task4[S28],tbl_task4[[SubPLOs]:[SubPLOs]],"&gt;=6",tbl_task4[[SubPLOs]:[SubPLOs]],"&lt;7")+SUMIFS(tbl_task5[S28],tbl_task5[[SubPLOs]:[SubPLOs]],"&gt;=6",tbl_task5[[SubPLOs]:[SubPLOs]],"&lt;7")+SUMIFS(tbl_task6[S28],tbl_task6[[SubPLOs]:[SubPLOs]],"&gt;=6",tbl_task6[[SubPLOs]:[SubPLOs]],"&lt;7")+SUMIFS(tbl_task7[S28],tbl_task7[[SubPLOs]:[SubPLOs]],"&gt;=6",tbl_task7[[SubPLOs]:[SubPLOs]],"&lt;7")+SUMIFS(tbl_task8[S28],tbl_task8[[SubPLOs]:[SubPLOs]],"&gt;=6",tbl_task8[[SubPLOs]:[SubPLOs]],"&lt;7")+SUMIFS(tbl_task9[S28],tbl_task9[[SubPLOs]:[SubPLOs]],"&gt;=6",tbl_task9[[SubPLOs]:[SubPLOs]],"&lt;7")+SUMIFS(tbl_task10[S28],tbl_task10[[SubPLOs]:[SubPLOs]],"&gt;=6",tbl_task10[[SubPLOs]:[SubPLOs]],"&lt;7")</f>
        <v>0</v>
      </c>
      <c r="AH185" s="41">
        <f>SUMIFS(tbl_task1[S29],tbl_task1[[SubPLOs]:[SubPLOs]],"&gt;=6",tbl_task1[[SubPLOs]:[SubPLOs]],"&lt;7")+SUMIFS(tbl_task2[S29],tbl_task2[[SubPLOs]:[SubPLOs]],"&gt;=6",tbl_task2[[SubPLOs]:[SubPLOs]],"&lt;7")+SUMIFS(tbl_task3[S29],tbl_task3[[SubPLOs]:[SubPLOs]],"&gt;=6",tbl_task3[[SubPLOs]:[SubPLOs]],"&lt;7")+SUMIFS(tbl_task4[S29],tbl_task4[[SubPLOs]:[SubPLOs]],"&gt;=6",tbl_task4[[SubPLOs]:[SubPLOs]],"&lt;7")+SUMIFS(tbl_task5[S29],tbl_task5[[SubPLOs]:[SubPLOs]],"&gt;=6",tbl_task5[[SubPLOs]:[SubPLOs]],"&lt;7")+SUMIFS(tbl_task6[S29],tbl_task6[[SubPLOs]:[SubPLOs]],"&gt;=6",tbl_task6[[SubPLOs]:[SubPLOs]],"&lt;7")+SUMIFS(tbl_task7[S29],tbl_task7[[SubPLOs]:[SubPLOs]],"&gt;=6",tbl_task7[[SubPLOs]:[SubPLOs]],"&lt;7")+SUMIFS(tbl_task8[S29],tbl_task8[[SubPLOs]:[SubPLOs]],"&gt;=6",tbl_task8[[SubPLOs]:[SubPLOs]],"&lt;7")+SUMIFS(tbl_task9[S29],tbl_task9[[SubPLOs]:[SubPLOs]],"&gt;=6",tbl_task9[[SubPLOs]:[SubPLOs]],"&lt;7")+SUMIFS(tbl_task10[S29],tbl_task10[[SubPLOs]:[SubPLOs]],"&gt;=6",tbl_task10[[SubPLOs]:[SubPLOs]],"&lt;7")</f>
        <v>0</v>
      </c>
      <c r="AI185" s="41">
        <f>SUMIFS(tbl_task1[S30],tbl_task1[[SubPLOs]:[SubPLOs]],"&gt;=6",tbl_task1[[SubPLOs]:[SubPLOs]],"&lt;7")+SUMIFS(tbl_task2[S30],tbl_task2[[SubPLOs]:[SubPLOs]],"&gt;=6",tbl_task2[[SubPLOs]:[SubPLOs]],"&lt;7")+SUMIFS(tbl_task3[S30],tbl_task3[[SubPLOs]:[SubPLOs]],"&gt;=6",tbl_task3[[SubPLOs]:[SubPLOs]],"&lt;7")+SUMIFS(tbl_task4[S30],tbl_task4[[SubPLOs]:[SubPLOs]],"&gt;=6",tbl_task4[[SubPLOs]:[SubPLOs]],"&lt;7")+SUMIFS(tbl_task5[S30],tbl_task5[[SubPLOs]:[SubPLOs]],"&gt;=6",tbl_task5[[SubPLOs]:[SubPLOs]],"&lt;7")+SUMIFS(tbl_task6[S30],tbl_task6[[SubPLOs]:[SubPLOs]],"&gt;=6",tbl_task6[[SubPLOs]:[SubPLOs]],"&lt;7")+SUMIFS(tbl_task7[S30],tbl_task7[[SubPLOs]:[SubPLOs]],"&gt;=6",tbl_task7[[SubPLOs]:[SubPLOs]],"&lt;7")+SUMIFS(tbl_task8[S30],tbl_task8[[SubPLOs]:[SubPLOs]],"&gt;=6",tbl_task8[[SubPLOs]:[SubPLOs]],"&lt;7")+SUMIFS(tbl_task9[S30],tbl_task9[[SubPLOs]:[SubPLOs]],"&gt;=6",tbl_task9[[SubPLOs]:[SubPLOs]],"&lt;7")+SUMIFS(tbl_task10[S30],tbl_task10[[SubPLOs]:[SubPLOs]],"&gt;=6",tbl_task10[[SubPLOs]:[SubPLOs]],"&lt;7")</f>
        <v>0</v>
      </c>
      <c r="AJ185" s="41">
        <f>SUMIFS(tbl_task1[S31],tbl_task1[[SubPLOs]:[SubPLOs]],"&gt;=6",tbl_task1[[SubPLOs]:[SubPLOs]],"&lt;7")+SUMIFS(tbl_task2[S31],tbl_task2[[SubPLOs]:[SubPLOs]],"&gt;=6",tbl_task2[[SubPLOs]:[SubPLOs]],"&lt;7")+SUMIFS(tbl_task3[S31],tbl_task3[[SubPLOs]:[SubPLOs]],"&gt;=6",tbl_task3[[SubPLOs]:[SubPLOs]],"&lt;7")+SUMIFS(tbl_task4[S31],tbl_task4[[SubPLOs]:[SubPLOs]],"&gt;=6",tbl_task4[[SubPLOs]:[SubPLOs]],"&lt;7")+SUMIFS(tbl_task5[S31],tbl_task5[[SubPLOs]:[SubPLOs]],"&gt;=6",tbl_task5[[SubPLOs]:[SubPLOs]],"&lt;7")+SUMIFS(tbl_task6[S31],tbl_task6[[SubPLOs]:[SubPLOs]],"&gt;=6",tbl_task6[[SubPLOs]:[SubPLOs]],"&lt;7")+SUMIFS(tbl_task7[S31],tbl_task7[[SubPLOs]:[SubPLOs]],"&gt;=6",tbl_task7[[SubPLOs]:[SubPLOs]],"&lt;7")+SUMIFS(tbl_task8[S31],tbl_task8[[SubPLOs]:[SubPLOs]],"&gt;=6",tbl_task8[[SubPLOs]:[SubPLOs]],"&lt;7")+SUMIFS(tbl_task9[S31],tbl_task9[[SubPLOs]:[SubPLOs]],"&gt;=6",tbl_task9[[SubPLOs]:[SubPLOs]],"&lt;7")+SUMIFS(tbl_task10[S31],tbl_task10[[SubPLOs]:[SubPLOs]],"&gt;=6",tbl_task10[[SubPLOs]:[SubPLOs]],"&lt;7")</f>
        <v>0</v>
      </c>
      <c r="AK185" s="41">
        <f>SUMIFS(tbl_task1[S32],tbl_task1[[SubPLOs]:[SubPLOs]],"&gt;=6",tbl_task1[[SubPLOs]:[SubPLOs]],"&lt;7")+SUMIFS(tbl_task2[S32],tbl_task2[[SubPLOs]:[SubPLOs]],"&gt;=6",tbl_task2[[SubPLOs]:[SubPLOs]],"&lt;7")+SUMIFS(tbl_task3[S32],tbl_task3[[SubPLOs]:[SubPLOs]],"&gt;=6",tbl_task3[[SubPLOs]:[SubPLOs]],"&lt;7")+SUMIFS(tbl_task4[S32],tbl_task4[[SubPLOs]:[SubPLOs]],"&gt;=6",tbl_task4[[SubPLOs]:[SubPLOs]],"&lt;7")+SUMIFS(tbl_task5[S32],tbl_task5[[SubPLOs]:[SubPLOs]],"&gt;=6",tbl_task5[[SubPLOs]:[SubPLOs]],"&lt;7")+SUMIFS(tbl_task6[S32],tbl_task6[[SubPLOs]:[SubPLOs]],"&gt;=6",tbl_task6[[SubPLOs]:[SubPLOs]],"&lt;7")+SUMIFS(tbl_task7[S32],tbl_task7[[SubPLOs]:[SubPLOs]],"&gt;=6",tbl_task7[[SubPLOs]:[SubPLOs]],"&lt;7")+SUMIFS(tbl_task8[S32],tbl_task8[[SubPLOs]:[SubPLOs]],"&gt;=6",tbl_task8[[SubPLOs]:[SubPLOs]],"&lt;7")+SUMIFS(tbl_task9[S32],tbl_task9[[SubPLOs]:[SubPLOs]],"&gt;=6",tbl_task9[[SubPLOs]:[SubPLOs]],"&lt;7")+SUMIFS(tbl_task10[S32],tbl_task10[[SubPLOs]:[SubPLOs]],"&gt;=6",tbl_task10[[SubPLOs]:[SubPLOs]],"&lt;7")</f>
        <v>0</v>
      </c>
      <c r="AL185" s="41">
        <f>SUMIFS(tbl_task1[S33],tbl_task1[[SubPLOs]:[SubPLOs]],"&gt;=6",tbl_task1[[SubPLOs]:[SubPLOs]],"&lt;7")+SUMIFS(tbl_task2[S33],tbl_task2[[SubPLOs]:[SubPLOs]],"&gt;=6",tbl_task2[[SubPLOs]:[SubPLOs]],"&lt;7")+SUMIFS(tbl_task3[S33],tbl_task3[[SubPLOs]:[SubPLOs]],"&gt;=6",tbl_task3[[SubPLOs]:[SubPLOs]],"&lt;7")+SUMIFS(tbl_task4[S33],tbl_task4[[SubPLOs]:[SubPLOs]],"&gt;=6",tbl_task4[[SubPLOs]:[SubPLOs]],"&lt;7")+SUMIFS(tbl_task5[S33],tbl_task5[[SubPLOs]:[SubPLOs]],"&gt;=6",tbl_task5[[SubPLOs]:[SubPLOs]],"&lt;7")+SUMIFS(tbl_task6[S33],tbl_task6[[SubPLOs]:[SubPLOs]],"&gt;=6",tbl_task6[[SubPLOs]:[SubPLOs]],"&lt;7")+SUMIFS(tbl_task7[S33],tbl_task7[[SubPLOs]:[SubPLOs]],"&gt;=6",tbl_task7[[SubPLOs]:[SubPLOs]],"&lt;7")+SUMIFS(tbl_task8[S33],tbl_task8[[SubPLOs]:[SubPLOs]],"&gt;=6",tbl_task8[[SubPLOs]:[SubPLOs]],"&lt;7")+SUMIFS(tbl_task9[S33],tbl_task9[[SubPLOs]:[SubPLOs]],"&gt;=6",tbl_task9[[SubPLOs]:[SubPLOs]],"&lt;7")+SUMIFS(tbl_task10[S33],tbl_task10[[SubPLOs]:[SubPLOs]],"&gt;=6",tbl_task10[[SubPLOs]:[SubPLOs]],"&lt;7")</f>
        <v>0</v>
      </c>
      <c r="AM185" s="41">
        <f>SUMIFS(tbl_task1[S34],tbl_task1[[SubPLOs]:[SubPLOs]],"&gt;=6",tbl_task1[[SubPLOs]:[SubPLOs]],"&lt;7")+SUMIFS(tbl_task2[S34],tbl_task2[[SubPLOs]:[SubPLOs]],"&gt;=6",tbl_task2[[SubPLOs]:[SubPLOs]],"&lt;7")+SUMIFS(tbl_task3[S34],tbl_task3[[SubPLOs]:[SubPLOs]],"&gt;=6",tbl_task3[[SubPLOs]:[SubPLOs]],"&lt;7")+SUMIFS(tbl_task4[S34],tbl_task4[[SubPLOs]:[SubPLOs]],"&gt;=6",tbl_task4[[SubPLOs]:[SubPLOs]],"&lt;7")+SUMIFS(tbl_task5[S34],tbl_task5[[SubPLOs]:[SubPLOs]],"&gt;=6",tbl_task5[[SubPLOs]:[SubPLOs]],"&lt;7")+SUMIFS(tbl_task6[S34],tbl_task6[[SubPLOs]:[SubPLOs]],"&gt;=6",tbl_task6[[SubPLOs]:[SubPLOs]],"&lt;7")+SUMIFS(tbl_task7[S34],tbl_task7[[SubPLOs]:[SubPLOs]],"&gt;=6",tbl_task7[[SubPLOs]:[SubPLOs]],"&lt;7")+SUMIFS(tbl_task8[S34],tbl_task8[[SubPLOs]:[SubPLOs]],"&gt;=6",tbl_task8[[SubPLOs]:[SubPLOs]],"&lt;7")+SUMIFS(tbl_task9[S34],tbl_task9[[SubPLOs]:[SubPLOs]],"&gt;=6",tbl_task9[[SubPLOs]:[SubPLOs]],"&lt;7")+SUMIFS(tbl_task10[S34],tbl_task10[[SubPLOs]:[SubPLOs]],"&gt;=6",tbl_task10[[SubPLOs]:[SubPLOs]],"&lt;7")</f>
        <v>0</v>
      </c>
      <c r="AN185" s="41">
        <f>SUMIFS(tbl_task1[S35],tbl_task1[[SubPLOs]:[SubPLOs]],"&gt;=6",tbl_task1[[SubPLOs]:[SubPLOs]],"&lt;7")+SUMIFS(tbl_task2[S35],tbl_task2[[SubPLOs]:[SubPLOs]],"&gt;=6",tbl_task2[[SubPLOs]:[SubPLOs]],"&lt;7")+SUMIFS(tbl_task3[S35],tbl_task3[[SubPLOs]:[SubPLOs]],"&gt;=6",tbl_task3[[SubPLOs]:[SubPLOs]],"&lt;7")+SUMIFS(tbl_task4[S35],tbl_task4[[SubPLOs]:[SubPLOs]],"&gt;=6",tbl_task4[[SubPLOs]:[SubPLOs]],"&lt;7")+SUMIFS(tbl_task5[S35],tbl_task5[[SubPLOs]:[SubPLOs]],"&gt;=6",tbl_task5[[SubPLOs]:[SubPLOs]],"&lt;7")+SUMIFS(tbl_task6[S35],tbl_task6[[SubPLOs]:[SubPLOs]],"&gt;=6",tbl_task6[[SubPLOs]:[SubPLOs]],"&lt;7")+SUMIFS(tbl_task7[S35],tbl_task7[[SubPLOs]:[SubPLOs]],"&gt;=6",tbl_task7[[SubPLOs]:[SubPLOs]],"&lt;7")+SUMIFS(tbl_task8[S35],tbl_task8[[SubPLOs]:[SubPLOs]],"&gt;=6",tbl_task8[[SubPLOs]:[SubPLOs]],"&lt;7")+SUMIFS(tbl_task9[S35],tbl_task9[[SubPLOs]:[SubPLOs]],"&gt;=6",tbl_task9[[SubPLOs]:[SubPLOs]],"&lt;7")+SUMIFS(tbl_task10[S35],tbl_task10[[SubPLOs]:[SubPLOs]],"&gt;=6",tbl_task10[[SubPLOs]:[SubPLOs]],"&lt;7")</f>
        <v>0</v>
      </c>
      <c r="AO185" s="41">
        <f>SUMIFS(tbl_task1[S36],tbl_task1[[SubPLOs]:[SubPLOs]],"&gt;=6",tbl_task1[[SubPLOs]:[SubPLOs]],"&lt;7")+SUMIFS(tbl_task2[S36],tbl_task2[[SubPLOs]:[SubPLOs]],"&gt;=6",tbl_task2[[SubPLOs]:[SubPLOs]],"&lt;7")+SUMIFS(tbl_task3[S36],tbl_task3[[SubPLOs]:[SubPLOs]],"&gt;=6",tbl_task3[[SubPLOs]:[SubPLOs]],"&lt;7")+SUMIFS(tbl_task4[S36],tbl_task4[[SubPLOs]:[SubPLOs]],"&gt;=6",tbl_task4[[SubPLOs]:[SubPLOs]],"&lt;7")+SUMIFS(tbl_task5[S36],tbl_task5[[SubPLOs]:[SubPLOs]],"&gt;=6",tbl_task5[[SubPLOs]:[SubPLOs]],"&lt;7")+SUMIFS(tbl_task6[S36],tbl_task6[[SubPLOs]:[SubPLOs]],"&gt;=6",tbl_task6[[SubPLOs]:[SubPLOs]],"&lt;7")+SUMIFS(tbl_task7[S36],tbl_task7[[SubPLOs]:[SubPLOs]],"&gt;=6",tbl_task7[[SubPLOs]:[SubPLOs]],"&lt;7")+SUMIFS(tbl_task8[S36],tbl_task8[[SubPLOs]:[SubPLOs]],"&gt;=6",tbl_task8[[SubPLOs]:[SubPLOs]],"&lt;7")+SUMIFS(tbl_task9[S36],tbl_task9[[SubPLOs]:[SubPLOs]],"&gt;=6",tbl_task9[[SubPLOs]:[SubPLOs]],"&lt;7")+SUMIFS(tbl_task10[S36],tbl_task10[[SubPLOs]:[SubPLOs]],"&gt;=6",tbl_task10[[SubPLOs]:[SubPLOs]],"&lt;7")</f>
        <v>0</v>
      </c>
      <c r="AP185" s="41">
        <f>SUMIFS(tbl_task1[S37],tbl_task1[[SubPLOs]:[SubPLOs]],"&gt;=6",tbl_task1[[SubPLOs]:[SubPLOs]],"&lt;7")+SUMIFS(tbl_task2[S37],tbl_task2[[SubPLOs]:[SubPLOs]],"&gt;=6",tbl_task2[[SubPLOs]:[SubPLOs]],"&lt;7")+SUMIFS(tbl_task3[S37],tbl_task3[[SubPLOs]:[SubPLOs]],"&gt;=6",tbl_task3[[SubPLOs]:[SubPLOs]],"&lt;7")+SUMIFS(tbl_task4[S37],tbl_task4[[SubPLOs]:[SubPLOs]],"&gt;=6",tbl_task4[[SubPLOs]:[SubPLOs]],"&lt;7")+SUMIFS(tbl_task5[S37],tbl_task5[[SubPLOs]:[SubPLOs]],"&gt;=6",tbl_task5[[SubPLOs]:[SubPLOs]],"&lt;7")+SUMIFS(tbl_task6[S37],tbl_task6[[SubPLOs]:[SubPLOs]],"&gt;=6",tbl_task6[[SubPLOs]:[SubPLOs]],"&lt;7")+SUMIFS(tbl_task7[S37],tbl_task7[[SubPLOs]:[SubPLOs]],"&gt;=6",tbl_task7[[SubPLOs]:[SubPLOs]],"&lt;7")+SUMIFS(tbl_task8[S37],tbl_task8[[SubPLOs]:[SubPLOs]],"&gt;=6",tbl_task8[[SubPLOs]:[SubPLOs]],"&lt;7")+SUMIFS(tbl_task9[S37],tbl_task9[[SubPLOs]:[SubPLOs]],"&gt;=6",tbl_task9[[SubPLOs]:[SubPLOs]],"&lt;7")+SUMIFS(tbl_task10[S37],tbl_task10[[SubPLOs]:[SubPLOs]],"&gt;=6",tbl_task10[[SubPLOs]:[SubPLOs]],"&lt;7")</f>
        <v>0</v>
      </c>
      <c r="AQ185" s="41">
        <f>SUMIFS(tbl_task1[S38],tbl_task1[[SubPLOs]:[SubPLOs]],"&gt;=6",tbl_task1[[SubPLOs]:[SubPLOs]],"&lt;7")+SUMIFS(tbl_task2[S38],tbl_task2[[SubPLOs]:[SubPLOs]],"&gt;=6",tbl_task2[[SubPLOs]:[SubPLOs]],"&lt;7")+SUMIFS(tbl_task3[S38],tbl_task3[[SubPLOs]:[SubPLOs]],"&gt;=6",tbl_task3[[SubPLOs]:[SubPLOs]],"&lt;7")+SUMIFS(tbl_task4[S38],tbl_task4[[SubPLOs]:[SubPLOs]],"&gt;=6",tbl_task4[[SubPLOs]:[SubPLOs]],"&lt;7")+SUMIFS(tbl_task5[S38],tbl_task5[[SubPLOs]:[SubPLOs]],"&gt;=6",tbl_task5[[SubPLOs]:[SubPLOs]],"&lt;7")+SUMIFS(tbl_task6[S38],tbl_task6[[SubPLOs]:[SubPLOs]],"&gt;=6",tbl_task6[[SubPLOs]:[SubPLOs]],"&lt;7")+SUMIFS(tbl_task7[S38],tbl_task7[[SubPLOs]:[SubPLOs]],"&gt;=6",tbl_task7[[SubPLOs]:[SubPLOs]],"&lt;7")+SUMIFS(tbl_task8[S38],tbl_task8[[SubPLOs]:[SubPLOs]],"&gt;=6",tbl_task8[[SubPLOs]:[SubPLOs]],"&lt;7")+SUMIFS(tbl_task9[S38],tbl_task9[[SubPLOs]:[SubPLOs]],"&gt;=6",tbl_task9[[SubPLOs]:[SubPLOs]],"&lt;7")+SUMIFS(tbl_task10[S38],tbl_task10[[SubPLOs]:[SubPLOs]],"&gt;=6",tbl_task10[[SubPLOs]:[SubPLOs]],"&lt;7")</f>
        <v>0</v>
      </c>
      <c r="AR185" s="41">
        <f>SUMIFS(tbl_task1[S39],tbl_task1[[SubPLOs]:[SubPLOs]],"&gt;=6",tbl_task1[[SubPLOs]:[SubPLOs]],"&lt;7")+SUMIFS(tbl_task2[S39],tbl_task2[[SubPLOs]:[SubPLOs]],"&gt;=6",tbl_task2[[SubPLOs]:[SubPLOs]],"&lt;7")+SUMIFS(tbl_task3[S39],tbl_task3[[SubPLOs]:[SubPLOs]],"&gt;=6",tbl_task3[[SubPLOs]:[SubPLOs]],"&lt;7")+SUMIFS(tbl_task4[S39],tbl_task4[[SubPLOs]:[SubPLOs]],"&gt;=6",tbl_task4[[SubPLOs]:[SubPLOs]],"&lt;7")+SUMIFS(tbl_task5[S39],tbl_task5[[SubPLOs]:[SubPLOs]],"&gt;=6",tbl_task5[[SubPLOs]:[SubPLOs]],"&lt;7")+SUMIFS(tbl_task6[S39],tbl_task6[[SubPLOs]:[SubPLOs]],"&gt;=6",tbl_task6[[SubPLOs]:[SubPLOs]],"&lt;7")+SUMIFS(tbl_task7[S39],tbl_task7[[SubPLOs]:[SubPLOs]],"&gt;=6",tbl_task7[[SubPLOs]:[SubPLOs]],"&lt;7")+SUMIFS(tbl_task8[S39],tbl_task8[[SubPLOs]:[SubPLOs]],"&gt;=6",tbl_task8[[SubPLOs]:[SubPLOs]],"&lt;7")+SUMIFS(tbl_task9[S39],tbl_task9[[SubPLOs]:[SubPLOs]],"&gt;=6",tbl_task9[[SubPLOs]:[SubPLOs]],"&lt;7")+SUMIFS(tbl_task10[S39],tbl_task10[[SubPLOs]:[SubPLOs]],"&gt;=6",tbl_task10[[SubPLOs]:[SubPLOs]],"&lt;7")</f>
        <v>0</v>
      </c>
      <c r="AS185" s="41">
        <f>SUMIFS(tbl_task1[S40],tbl_task1[[SubPLOs]:[SubPLOs]],"&gt;=6",tbl_task1[[SubPLOs]:[SubPLOs]],"&lt;7")+SUMIFS(tbl_task2[S40],tbl_task2[[SubPLOs]:[SubPLOs]],"&gt;=6",tbl_task2[[SubPLOs]:[SubPLOs]],"&lt;7")+SUMIFS(tbl_task3[S40],tbl_task3[[SubPLOs]:[SubPLOs]],"&gt;=6",tbl_task3[[SubPLOs]:[SubPLOs]],"&lt;7")+SUMIFS(tbl_task4[S40],tbl_task4[[SubPLOs]:[SubPLOs]],"&gt;=6",tbl_task4[[SubPLOs]:[SubPLOs]],"&lt;7")+SUMIFS(tbl_task5[S40],tbl_task5[[SubPLOs]:[SubPLOs]],"&gt;=6",tbl_task5[[SubPLOs]:[SubPLOs]],"&lt;7")+SUMIFS(tbl_task6[S40],tbl_task6[[SubPLOs]:[SubPLOs]],"&gt;=6",tbl_task6[[SubPLOs]:[SubPLOs]],"&lt;7")+SUMIFS(tbl_task7[S40],tbl_task7[[SubPLOs]:[SubPLOs]],"&gt;=6",tbl_task7[[SubPLOs]:[SubPLOs]],"&lt;7")+SUMIFS(tbl_task8[S40],tbl_task8[[SubPLOs]:[SubPLOs]],"&gt;=6",tbl_task8[[SubPLOs]:[SubPLOs]],"&lt;7")+SUMIFS(tbl_task9[S40],tbl_task9[[SubPLOs]:[SubPLOs]],"&gt;=6",tbl_task9[[SubPLOs]:[SubPLOs]],"&lt;7")+SUMIFS(tbl_task10[S40],tbl_task10[[SubPLOs]:[SubPLOs]],"&gt;=6",tbl_task10[[SubPLOs]:[SubPLOs]],"&lt;7")</f>
        <v>0</v>
      </c>
      <c r="AT185" s="41">
        <f>SUMIFS(tbl_task1[S41],tbl_task1[[SubPLOs]:[SubPLOs]],"&gt;=6",tbl_task1[[SubPLOs]:[SubPLOs]],"&lt;7")+SUMIFS(tbl_task2[S41],tbl_task2[[SubPLOs]:[SubPLOs]],"&gt;=6",tbl_task2[[SubPLOs]:[SubPLOs]],"&lt;7")+SUMIFS(tbl_task3[S41],tbl_task3[[SubPLOs]:[SubPLOs]],"&gt;=6",tbl_task3[[SubPLOs]:[SubPLOs]],"&lt;7")+SUMIFS(tbl_task4[S41],tbl_task4[[SubPLOs]:[SubPLOs]],"&gt;=6",tbl_task4[[SubPLOs]:[SubPLOs]],"&lt;7")+SUMIFS(tbl_task5[S41],tbl_task5[[SubPLOs]:[SubPLOs]],"&gt;=6",tbl_task5[[SubPLOs]:[SubPLOs]],"&lt;7")+SUMIFS(tbl_task6[S41],tbl_task6[[SubPLOs]:[SubPLOs]],"&gt;=6",tbl_task6[[SubPLOs]:[SubPLOs]],"&lt;7")+SUMIFS(tbl_task7[S41],tbl_task7[[SubPLOs]:[SubPLOs]],"&gt;=6",tbl_task7[[SubPLOs]:[SubPLOs]],"&lt;7")+SUMIFS(tbl_task8[S41],tbl_task8[[SubPLOs]:[SubPLOs]],"&gt;=6",tbl_task8[[SubPLOs]:[SubPLOs]],"&lt;7")+SUMIFS(tbl_task9[S41],tbl_task9[[SubPLOs]:[SubPLOs]],"&gt;=6",tbl_task9[[SubPLOs]:[SubPLOs]],"&lt;7")+SUMIFS(tbl_task10[S41],tbl_task10[[SubPLOs]:[SubPLOs]],"&gt;=6",tbl_task10[[SubPLOs]:[SubPLOs]],"&lt;7")</f>
        <v>0</v>
      </c>
      <c r="AU185" s="41">
        <f>SUMIFS(tbl_task1[S42],tbl_task1[[SubPLOs]:[SubPLOs]],"&gt;=6",tbl_task1[[SubPLOs]:[SubPLOs]],"&lt;7")+SUMIFS(tbl_task2[S42],tbl_task2[[SubPLOs]:[SubPLOs]],"&gt;=6",tbl_task2[[SubPLOs]:[SubPLOs]],"&lt;7")+SUMIFS(tbl_task3[S42],tbl_task3[[SubPLOs]:[SubPLOs]],"&gt;=6",tbl_task3[[SubPLOs]:[SubPLOs]],"&lt;7")+SUMIFS(tbl_task4[S42],tbl_task4[[SubPLOs]:[SubPLOs]],"&gt;=6",tbl_task4[[SubPLOs]:[SubPLOs]],"&lt;7")+SUMIFS(tbl_task5[S42],tbl_task5[[SubPLOs]:[SubPLOs]],"&gt;=6",tbl_task5[[SubPLOs]:[SubPLOs]],"&lt;7")+SUMIFS(tbl_task6[S42],tbl_task6[[SubPLOs]:[SubPLOs]],"&gt;=6",tbl_task6[[SubPLOs]:[SubPLOs]],"&lt;7")+SUMIFS(tbl_task7[S42],tbl_task7[[SubPLOs]:[SubPLOs]],"&gt;=6",tbl_task7[[SubPLOs]:[SubPLOs]],"&lt;7")+SUMIFS(tbl_task8[S42],tbl_task8[[SubPLOs]:[SubPLOs]],"&gt;=6",tbl_task8[[SubPLOs]:[SubPLOs]],"&lt;7")+SUMIFS(tbl_task9[S42],tbl_task9[[SubPLOs]:[SubPLOs]],"&gt;=6",tbl_task9[[SubPLOs]:[SubPLOs]],"&lt;7")+SUMIFS(tbl_task10[S42],tbl_task10[[SubPLOs]:[SubPLOs]],"&gt;=6",tbl_task10[[SubPLOs]:[SubPLOs]],"&lt;7")</f>
        <v>0</v>
      </c>
      <c r="AV185" s="41">
        <f>SUMIFS(tbl_task1[S43],tbl_task1[[SubPLOs]:[SubPLOs]],"&gt;=6",tbl_task1[[SubPLOs]:[SubPLOs]],"&lt;7")+SUMIFS(tbl_task2[S43],tbl_task2[[SubPLOs]:[SubPLOs]],"&gt;=6",tbl_task2[[SubPLOs]:[SubPLOs]],"&lt;7")+SUMIFS(tbl_task3[S43],tbl_task3[[SubPLOs]:[SubPLOs]],"&gt;=6",tbl_task3[[SubPLOs]:[SubPLOs]],"&lt;7")+SUMIFS(tbl_task4[S43],tbl_task4[[SubPLOs]:[SubPLOs]],"&gt;=6",tbl_task4[[SubPLOs]:[SubPLOs]],"&lt;7")+SUMIFS(tbl_task5[S43],tbl_task5[[SubPLOs]:[SubPLOs]],"&gt;=6",tbl_task5[[SubPLOs]:[SubPLOs]],"&lt;7")+SUMIFS(tbl_task6[S43],tbl_task6[[SubPLOs]:[SubPLOs]],"&gt;=6",tbl_task6[[SubPLOs]:[SubPLOs]],"&lt;7")+SUMIFS(tbl_task7[S43],tbl_task7[[SubPLOs]:[SubPLOs]],"&gt;=6",tbl_task7[[SubPLOs]:[SubPLOs]],"&lt;7")+SUMIFS(tbl_task8[S43],tbl_task8[[SubPLOs]:[SubPLOs]],"&gt;=6",tbl_task8[[SubPLOs]:[SubPLOs]],"&lt;7")+SUMIFS(tbl_task9[S43],tbl_task9[[SubPLOs]:[SubPLOs]],"&gt;=6",tbl_task9[[SubPLOs]:[SubPLOs]],"&lt;7")+SUMIFS(tbl_task10[S43],tbl_task10[[SubPLOs]:[SubPLOs]],"&gt;=6",tbl_task10[[SubPLOs]:[SubPLOs]],"&lt;7")</f>
        <v>0</v>
      </c>
      <c r="AW185" s="41">
        <f>SUMIFS(tbl_task1[S44],tbl_task1[[SubPLOs]:[SubPLOs]],"&gt;=6",tbl_task1[[SubPLOs]:[SubPLOs]],"&lt;7")+SUMIFS(tbl_task2[S44],tbl_task2[[SubPLOs]:[SubPLOs]],"&gt;=6",tbl_task2[[SubPLOs]:[SubPLOs]],"&lt;7")+SUMIFS(tbl_task3[S44],tbl_task3[[SubPLOs]:[SubPLOs]],"&gt;=6",tbl_task3[[SubPLOs]:[SubPLOs]],"&lt;7")+SUMIFS(tbl_task4[S44],tbl_task4[[SubPLOs]:[SubPLOs]],"&gt;=6",tbl_task4[[SubPLOs]:[SubPLOs]],"&lt;7")+SUMIFS(tbl_task5[S44],tbl_task5[[SubPLOs]:[SubPLOs]],"&gt;=6",tbl_task5[[SubPLOs]:[SubPLOs]],"&lt;7")+SUMIFS(tbl_task6[S44],tbl_task6[[SubPLOs]:[SubPLOs]],"&gt;=6",tbl_task6[[SubPLOs]:[SubPLOs]],"&lt;7")+SUMIFS(tbl_task7[S44],tbl_task7[[SubPLOs]:[SubPLOs]],"&gt;=6",tbl_task7[[SubPLOs]:[SubPLOs]],"&lt;7")+SUMIFS(tbl_task8[S44],tbl_task8[[SubPLOs]:[SubPLOs]],"&gt;=6",tbl_task8[[SubPLOs]:[SubPLOs]],"&lt;7")+SUMIFS(tbl_task9[S44],tbl_task9[[SubPLOs]:[SubPLOs]],"&gt;=6",tbl_task9[[SubPLOs]:[SubPLOs]],"&lt;7")+SUMIFS(tbl_task10[S44],tbl_task10[[SubPLOs]:[SubPLOs]],"&gt;=6",tbl_task10[[SubPLOs]:[SubPLOs]],"&lt;7")</f>
        <v>0</v>
      </c>
      <c r="AX185" s="41">
        <f>SUMIFS(tbl_task1[S45],tbl_task1[[SubPLOs]:[SubPLOs]],"&gt;=6",tbl_task1[[SubPLOs]:[SubPLOs]],"&lt;7")+SUMIFS(tbl_task2[S45],tbl_task2[[SubPLOs]:[SubPLOs]],"&gt;=6",tbl_task2[[SubPLOs]:[SubPLOs]],"&lt;7")+SUMIFS(tbl_task3[S45],tbl_task3[[SubPLOs]:[SubPLOs]],"&gt;=6",tbl_task3[[SubPLOs]:[SubPLOs]],"&lt;7")+SUMIFS(tbl_task4[S45],tbl_task4[[SubPLOs]:[SubPLOs]],"&gt;=6",tbl_task4[[SubPLOs]:[SubPLOs]],"&lt;7")+SUMIFS(tbl_task5[S45],tbl_task5[[SubPLOs]:[SubPLOs]],"&gt;=6",tbl_task5[[SubPLOs]:[SubPLOs]],"&lt;7")+SUMIFS(tbl_task6[S45],tbl_task6[[SubPLOs]:[SubPLOs]],"&gt;=6",tbl_task6[[SubPLOs]:[SubPLOs]],"&lt;7")+SUMIFS(tbl_task7[S45],tbl_task7[[SubPLOs]:[SubPLOs]],"&gt;=6",tbl_task7[[SubPLOs]:[SubPLOs]],"&lt;7")+SUMIFS(tbl_task8[S45],tbl_task8[[SubPLOs]:[SubPLOs]],"&gt;=6",tbl_task8[[SubPLOs]:[SubPLOs]],"&lt;7")+SUMIFS(tbl_task9[S45],tbl_task9[[SubPLOs]:[SubPLOs]],"&gt;=6",tbl_task9[[SubPLOs]:[SubPLOs]],"&lt;7")+SUMIFS(tbl_task10[S45],tbl_task10[[SubPLOs]:[SubPLOs]],"&gt;=6",tbl_task10[[SubPLOs]:[SubPLOs]],"&lt;7")</f>
        <v>0</v>
      </c>
      <c r="AY185" s="41">
        <f>SUMIFS(tbl_task1[S46],tbl_task1[[SubPLOs]:[SubPLOs]],"&gt;=6",tbl_task1[[SubPLOs]:[SubPLOs]],"&lt;7")+SUMIFS(tbl_task2[S46],tbl_task2[[SubPLOs]:[SubPLOs]],"&gt;=6",tbl_task2[[SubPLOs]:[SubPLOs]],"&lt;7")+SUMIFS(tbl_task3[S46],tbl_task3[[SubPLOs]:[SubPLOs]],"&gt;=6",tbl_task3[[SubPLOs]:[SubPLOs]],"&lt;7")+SUMIFS(tbl_task4[S46],tbl_task4[[SubPLOs]:[SubPLOs]],"&gt;=6",tbl_task4[[SubPLOs]:[SubPLOs]],"&lt;7")+SUMIFS(tbl_task5[S46],tbl_task5[[SubPLOs]:[SubPLOs]],"&gt;=6",tbl_task5[[SubPLOs]:[SubPLOs]],"&lt;7")+SUMIFS(tbl_task6[S46],tbl_task6[[SubPLOs]:[SubPLOs]],"&gt;=6",tbl_task6[[SubPLOs]:[SubPLOs]],"&lt;7")+SUMIFS(tbl_task7[S46],tbl_task7[[SubPLOs]:[SubPLOs]],"&gt;=6",tbl_task7[[SubPLOs]:[SubPLOs]],"&lt;7")+SUMIFS(tbl_task8[S46],tbl_task8[[SubPLOs]:[SubPLOs]],"&gt;=6",tbl_task8[[SubPLOs]:[SubPLOs]],"&lt;7")+SUMIFS(tbl_task9[S46],tbl_task9[[SubPLOs]:[SubPLOs]],"&gt;=6",tbl_task9[[SubPLOs]:[SubPLOs]],"&lt;7")+SUMIFS(tbl_task10[S46],tbl_task10[[SubPLOs]:[SubPLOs]],"&gt;=6",tbl_task10[[SubPLOs]:[SubPLOs]],"&lt;7")</f>
        <v>0</v>
      </c>
      <c r="AZ185" s="41">
        <f>SUMIFS(tbl_task1[S47],tbl_task1[[SubPLOs]:[SubPLOs]],"&gt;=6",tbl_task1[[SubPLOs]:[SubPLOs]],"&lt;7")+SUMIFS(tbl_task2[S47],tbl_task2[[SubPLOs]:[SubPLOs]],"&gt;=6",tbl_task2[[SubPLOs]:[SubPLOs]],"&lt;7")+SUMIFS(tbl_task3[S47],tbl_task3[[SubPLOs]:[SubPLOs]],"&gt;=6",tbl_task3[[SubPLOs]:[SubPLOs]],"&lt;7")+SUMIFS(tbl_task4[S47],tbl_task4[[SubPLOs]:[SubPLOs]],"&gt;=6",tbl_task4[[SubPLOs]:[SubPLOs]],"&lt;7")+SUMIFS(tbl_task5[S47],tbl_task5[[SubPLOs]:[SubPLOs]],"&gt;=6",tbl_task5[[SubPLOs]:[SubPLOs]],"&lt;7")+SUMIFS(tbl_task6[S47],tbl_task6[[SubPLOs]:[SubPLOs]],"&gt;=6",tbl_task6[[SubPLOs]:[SubPLOs]],"&lt;7")+SUMIFS(tbl_task7[S47],tbl_task7[[SubPLOs]:[SubPLOs]],"&gt;=6",tbl_task7[[SubPLOs]:[SubPLOs]],"&lt;7")+SUMIFS(tbl_task8[S47],tbl_task8[[SubPLOs]:[SubPLOs]],"&gt;=6",tbl_task8[[SubPLOs]:[SubPLOs]],"&lt;7")+SUMIFS(tbl_task9[S47],tbl_task9[[SubPLOs]:[SubPLOs]],"&gt;=6",tbl_task9[[SubPLOs]:[SubPLOs]],"&lt;7")+SUMIFS(tbl_task10[S47],tbl_task10[[SubPLOs]:[SubPLOs]],"&gt;=6",tbl_task10[[SubPLOs]:[SubPLOs]],"&lt;7")</f>
        <v>0</v>
      </c>
      <c r="BA185" s="41">
        <f>SUMIFS(tbl_task1[S48],tbl_task1[[SubPLOs]:[SubPLOs]],"&gt;=6",tbl_task1[[SubPLOs]:[SubPLOs]],"&lt;7")+SUMIFS(tbl_task2[S48],tbl_task2[[SubPLOs]:[SubPLOs]],"&gt;=6",tbl_task2[[SubPLOs]:[SubPLOs]],"&lt;7")+SUMIFS(tbl_task3[S48],tbl_task3[[SubPLOs]:[SubPLOs]],"&gt;=6",tbl_task3[[SubPLOs]:[SubPLOs]],"&lt;7")+SUMIFS(tbl_task4[S48],tbl_task4[[SubPLOs]:[SubPLOs]],"&gt;=6",tbl_task4[[SubPLOs]:[SubPLOs]],"&lt;7")+SUMIFS(tbl_task5[S48],tbl_task5[[SubPLOs]:[SubPLOs]],"&gt;=6",tbl_task5[[SubPLOs]:[SubPLOs]],"&lt;7")+SUMIFS(tbl_task6[S48],tbl_task6[[SubPLOs]:[SubPLOs]],"&gt;=6",tbl_task6[[SubPLOs]:[SubPLOs]],"&lt;7")+SUMIFS(tbl_task7[S48],tbl_task7[[SubPLOs]:[SubPLOs]],"&gt;=6",tbl_task7[[SubPLOs]:[SubPLOs]],"&lt;7")+SUMIFS(tbl_task8[S48],tbl_task8[[SubPLOs]:[SubPLOs]],"&gt;=6",tbl_task8[[SubPLOs]:[SubPLOs]],"&lt;7")+SUMIFS(tbl_task9[S48],tbl_task9[[SubPLOs]:[SubPLOs]],"&gt;=6",tbl_task9[[SubPLOs]:[SubPLOs]],"&lt;7")+SUMIFS(tbl_task10[S48],tbl_task10[[SubPLOs]:[SubPLOs]],"&gt;=6",tbl_task10[[SubPLOs]:[SubPLOs]],"&lt;7")</f>
        <v>0</v>
      </c>
      <c r="BB185" s="41">
        <f>SUMIFS(tbl_task1[S49],tbl_task1[[SubPLOs]:[SubPLOs]],"&gt;=6",tbl_task1[[SubPLOs]:[SubPLOs]],"&lt;7")+SUMIFS(tbl_task2[S49],tbl_task2[[SubPLOs]:[SubPLOs]],"&gt;=6",tbl_task2[[SubPLOs]:[SubPLOs]],"&lt;7")+SUMIFS(tbl_task3[S49],tbl_task3[[SubPLOs]:[SubPLOs]],"&gt;=6",tbl_task3[[SubPLOs]:[SubPLOs]],"&lt;7")+SUMIFS(tbl_task4[S49],tbl_task4[[SubPLOs]:[SubPLOs]],"&gt;=6",tbl_task4[[SubPLOs]:[SubPLOs]],"&lt;7")+SUMIFS(tbl_task5[S49],tbl_task5[[SubPLOs]:[SubPLOs]],"&gt;=6",tbl_task5[[SubPLOs]:[SubPLOs]],"&lt;7")+SUMIFS(tbl_task6[S49],tbl_task6[[SubPLOs]:[SubPLOs]],"&gt;=6",tbl_task6[[SubPLOs]:[SubPLOs]],"&lt;7")+SUMIFS(tbl_task7[S49],tbl_task7[[SubPLOs]:[SubPLOs]],"&gt;=6",tbl_task7[[SubPLOs]:[SubPLOs]],"&lt;7")+SUMIFS(tbl_task8[S49],tbl_task8[[SubPLOs]:[SubPLOs]],"&gt;=6",tbl_task8[[SubPLOs]:[SubPLOs]],"&lt;7")+SUMIFS(tbl_task9[S49],tbl_task9[[SubPLOs]:[SubPLOs]],"&gt;=6",tbl_task9[[SubPLOs]:[SubPLOs]],"&lt;7")+SUMIFS(tbl_task10[S49],tbl_task10[[SubPLOs]:[SubPLOs]],"&gt;=6",tbl_task10[[SubPLOs]:[SubPLOs]],"&lt;7")</f>
        <v>0</v>
      </c>
      <c r="BC185" s="41">
        <f>SUMIFS(tbl_task1[S50],tbl_task1[[SubPLOs]:[SubPLOs]],"&gt;=6",tbl_task1[[SubPLOs]:[SubPLOs]],"&lt;7")+SUMIFS(tbl_task2[S50],tbl_task2[[SubPLOs]:[SubPLOs]],"&gt;=6",tbl_task2[[SubPLOs]:[SubPLOs]],"&lt;7")+SUMIFS(tbl_task3[S50],tbl_task3[[SubPLOs]:[SubPLOs]],"&gt;=6",tbl_task3[[SubPLOs]:[SubPLOs]],"&lt;7")+SUMIFS(tbl_task4[S50],tbl_task4[[SubPLOs]:[SubPLOs]],"&gt;=6",tbl_task4[[SubPLOs]:[SubPLOs]],"&lt;7")+SUMIFS(tbl_task5[S50],tbl_task5[[SubPLOs]:[SubPLOs]],"&gt;=6",tbl_task5[[SubPLOs]:[SubPLOs]],"&lt;7")+SUMIFS(tbl_task6[S50],tbl_task6[[SubPLOs]:[SubPLOs]],"&gt;=6",tbl_task6[[SubPLOs]:[SubPLOs]],"&lt;7")+SUMIFS(tbl_task7[S50],tbl_task7[[SubPLOs]:[SubPLOs]],"&gt;=6",tbl_task7[[SubPLOs]:[SubPLOs]],"&lt;7")+SUMIFS(tbl_task8[S50],tbl_task8[[SubPLOs]:[SubPLOs]],"&gt;=6",tbl_task8[[SubPLOs]:[SubPLOs]],"&lt;7")+SUMIFS(tbl_task9[S50],tbl_task9[[SubPLOs]:[SubPLOs]],"&gt;=6",tbl_task9[[SubPLOs]:[SubPLOs]],"&lt;7")+SUMIFS(tbl_task10[S50],tbl_task10[[SubPLOs]:[SubPLOs]],"&gt;=6",tbl_task10[[SubPLOs]:[SubPLOs]],"&lt;7")</f>
        <v>0</v>
      </c>
      <c r="BD185" s="41">
        <f>SUMIFS(tbl_task1[S51],tbl_task1[[SubPLOs]:[SubPLOs]],"&gt;=6",tbl_task1[[SubPLOs]:[SubPLOs]],"&lt;7")+SUMIFS(tbl_task2[S51],tbl_task2[[SubPLOs]:[SubPLOs]],"&gt;=6",tbl_task2[[SubPLOs]:[SubPLOs]],"&lt;7")+SUMIFS(tbl_task3[S51],tbl_task3[[SubPLOs]:[SubPLOs]],"&gt;=6",tbl_task3[[SubPLOs]:[SubPLOs]],"&lt;7")+SUMIFS(tbl_task4[S51],tbl_task4[[SubPLOs]:[SubPLOs]],"&gt;=6",tbl_task4[[SubPLOs]:[SubPLOs]],"&lt;7")+SUMIFS(tbl_task5[S51],tbl_task5[[SubPLOs]:[SubPLOs]],"&gt;=6",tbl_task5[[SubPLOs]:[SubPLOs]],"&lt;7")+SUMIFS(tbl_task6[S51],tbl_task6[[SubPLOs]:[SubPLOs]],"&gt;=6",tbl_task6[[SubPLOs]:[SubPLOs]],"&lt;7")+SUMIFS(tbl_task7[S51],tbl_task7[[SubPLOs]:[SubPLOs]],"&gt;=6",tbl_task7[[SubPLOs]:[SubPLOs]],"&lt;7")+SUMIFS(tbl_task8[S51],tbl_task8[[SubPLOs]:[SubPLOs]],"&gt;=6",tbl_task8[[SubPLOs]:[SubPLOs]],"&lt;7")+SUMIFS(tbl_task9[S51],tbl_task9[[SubPLOs]:[SubPLOs]],"&gt;=6",tbl_task9[[SubPLOs]:[SubPLOs]],"&lt;7")+SUMIFS(tbl_task10[S51],tbl_task10[[SubPLOs]:[SubPLOs]],"&gt;=6",tbl_task10[[SubPLOs]:[SubPLOs]],"&lt;7")</f>
        <v>0</v>
      </c>
      <c r="BE185" s="41">
        <f>SUMIFS(tbl_task1[S52],tbl_task1[[SubPLOs]:[SubPLOs]],"&gt;=6",tbl_task1[[SubPLOs]:[SubPLOs]],"&lt;7")+SUMIFS(tbl_task2[S52],tbl_task2[[SubPLOs]:[SubPLOs]],"&gt;=6",tbl_task2[[SubPLOs]:[SubPLOs]],"&lt;7")+SUMIFS(tbl_task3[S52],tbl_task3[[SubPLOs]:[SubPLOs]],"&gt;=6",tbl_task3[[SubPLOs]:[SubPLOs]],"&lt;7")+SUMIFS(tbl_task4[S52],tbl_task4[[SubPLOs]:[SubPLOs]],"&gt;=6",tbl_task4[[SubPLOs]:[SubPLOs]],"&lt;7")+SUMIFS(tbl_task5[S52],tbl_task5[[SubPLOs]:[SubPLOs]],"&gt;=6",tbl_task5[[SubPLOs]:[SubPLOs]],"&lt;7")+SUMIFS(tbl_task6[S52],tbl_task6[[SubPLOs]:[SubPLOs]],"&gt;=6",tbl_task6[[SubPLOs]:[SubPLOs]],"&lt;7")+SUMIFS(tbl_task7[S52],tbl_task7[[SubPLOs]:[SubPLOs]],"&gt;=6",tbl_task7[[SubPLOs]:[SubPLOs]],"&lt;7")+SUMIFS(tbl_task8[S52],tbl_task8[[SubPLOs]:[SubPLOs]],"&gt;=6",tbl_task8[[SubPLOs]:[SubPLOs]],"&lt;7")+SUMIFS(tbl_task9[S52],tbl_task9[[SubPLOs]:[SubPLOs]],"&gt;=6",tbl_task9[[SubPLOs]:[SubPLOs]],"&lt;7")+SUMIFS(tbl_task10[S52],tbl_task10[[SubPLOs]:[SubPLOs]],"&gt;=6",tbl_task10[[SubPLOs]:[SubPLOs]],"&lt;7")</f>
        <v>0</v>
      </c>
      <c r="BF185" s="41">
        <f>SUMIFS(tbl_task1[S53],tbl_task1[[SubPLOs]:[SubPLOs]],"&gt;=6",tbl_task1[[SubPLOs]:[SubPLOs]],"&lt;7")+SUMIFS(tbl_task2[S53],tbl_task2[[SubPLOs]:[SubPLOs]],"&gt;=6",tbl_task2[[SubPLOs]:[SubPLOs]],"&lt;7")+SUMIFS(tbl_task3[S53],tbl_task3[[SubPLOs]:[SubPLOs]],"&gt;=6",tbl_task3[[SubPLOs]:[SubPLOs]],"&lt;7")+SUMIFS(tbl_task4[S53],tbl_task4[[SubPLOs]:[SubPLOs]],"&gt;=6",tbl_task4[[SubPLOs]:[SubPLOs]],"&lt;7")+SUMIFS(tbl_task5[S53],tbl_task5[[SubPLOs]:[SubPLOs]],"&gt;=6",tbl_task5[[SubPLOs]:[SubPLOs]],"&lt;7")+SUMIFS(tbl_task6[S53],tbl_task6[[SubPLOs]:[SubPLOs]],"&gt;=6",tbl_task6[[SubPLOs]:[SubPLOs]],"&lt;7")+SUMIFS(tbl_task7[S53],tbl_task7[[SubPLOs]:[SubPLOs]],"&gt;=6",tbl_task7[[SubPLOs]:[SubPLOs]],"&lt;7")+SUMIFS(tbl_task8[S53],tbl_task8[[SubPLOs]:[SubPLOs]],"&gt;=6",tbl_task8[[SubPLOs]:[SubPLOs]],"&lt;7")+SUMIFS(tbl_task9[S53],tbl_task9[[SubPLOs]:[SubPLOs]],"&gt;=6",tbl_task9[[SubPLOs]:[SubPLOs]],"&lt;7")+SUMIFS(tbl_task10[S53],tbl_task10[[SubPLOs]:[SubPLOs]],"&gt;=6",tbl_task10[[SubPLOs]:[SubPLOs]],"&lt;7")</f>
        <v>0</v>
      </c>
      <c r="BG185" s="41">
        <f>SUMIFS(tbl_task1[S54],tbl_task1[[SubPLOs]:[SubPLOs]],"&gt;=6",tbl_task1[[SubPLOs]:[SubPLOs]],"&lt;7")+SUMIFS(tbl_task2[S54],tbl_task2[[SubPLOs]:[SubPLOs]],"&gt;=6",tbl_task2[[SubPLOs]:[SubPLOs]],"&lt;7")+SUMIFS(tbl_task3[S54],tbl_task3[[SubPLOs]:[SubPLOs]],"&gt;=6",tbl_task3[[SubPLOs]:[SubPLOs]],"&lt;7")+SUMIFS(tbl_task4[S54],tbl_task4[[SubPLOs]:[SubPLOs]],"&gt;=6",tbl_task4[[SubPLOs]:[SubPLOs]],"&lt;7")+SUMIFS(tbl_task5[S54],tbl_task5[[SubPLOs]:[SubPLOs]],"&gt;=6",tbl_task5[[SubPLOs]:[SubPLOs]],"&lt;7")+SUMIFS(tbl_task6[S54],tbl_task6[[SubPLOs]:[SubPLOs]],"&gt;=6",tbl_task6[[SubPLOs]:[SubPLOs]],"&lt;7")+SUMIFS(tbl_task7[S54],tbl_task7[[SubPLOs]:[SubPLOs]],"&gt;=6",tbl_task7[[SubPLOs]:[SubPLOs]],"&lt;7")+SUMIFS(tbl_task8[S54],tbl_task8[[SubPLOs]:[SubPLOs]],"&gt;=6",tbl_task8[[SubPLOs]:[SubPLOs]],"&lt;7")+SUMIFS(tbl_task9[S54],tbl_task9[[SubPLOs]:[SubPLOs]],"&gt;=6",tbl_task9[[SubPLOs]:[SubPLOs]],"&lt;7")+SUMIFS(tbl_task10[S54],tbl_task10[[SubPLOs]:[SubPLOs]],"&gt;=6",tbl_task10[[SubPLOs]:[SubPLOs]],"&lt;7")</f>
        <v>0</v>
      </c>
      <c r="BH185" s="41">
        <f>SUMIFS(tbl_task1[S55],tbl_task1[[SubPLOs]:[SubPLOs]],"&gt;=6",tbl_task1[[SubPLOs]:[SubPLOs]],"&lt;7")+SUMIFS(tbl_task2[S55],tbl_task2[[SubPLOs]:[SubPLOs]],"&gt;=6",tbl_task2[[SubPLOs]:[SubPLOs]],"&lt;7")+SUMIFS(tbl_task3[S55],tbl_task3[[SubPLOs]:[SubPLOs]],"&gt;=6",tbl_task3[[SubPLOs]:[SubPLOs]],"&lt;7")+SUMIFS(tbl_task4[S55],tbl_task4[[SubPLOs]:[SubPLOs]],"&gt;=6",tbl_task4[[SubPLOs]:[SubPLOs]],"&lt;7")+SUMIFS(tbl_task5[S55],tbl_task5[[SubPLOs]:[SubPLOs]],"&gt;=6",tbl_task5[[SubPLOs]:[SubPLOs]],"&lt;7")+SUMIFS(tbl_task6[S55],tbl_task6[[SubPLOs]:[SubPLOs]],"&gt;=6",tbl_task6[[SubPLOs]:[SubPLOs]],"&lt;7")+SUMIFS(tbl_task7[S55],tbl_task7[[SubPLOs]:[SubPLOs]],"&gt;=6",tbl_task7[[SubPLOs]:[SubPLOs]],"&lt;7")+SUMIFS(tbl_task8[S55],tbl_task8[[SubPLOs]:[SubPLOs]],"&gt;=6",tbl_task8[[SubPLOs]:[SubPLOs]],"&lt;7")+SUMIFS(tbl_task9[S55],tbl_task9[[SubPLOs]:[SubPLOs]],"&gt;=6",tbl_task9[[SubPLOs]:[SubPLOs]],"&lt;7")+SUMIFS(tbl_task10[S55],tbl_task10[[SubPLOs]:[SubPLOs]],"&gt;=6",tbl_task10[[SubPLOs]:[SubPLOs]],"&lt;7")</f>
        <v>0</v>
      </c>
      <c r="BI185" s="41">
        <f>SUMIFS(tbl_task1[S56],tbl_task1[[SubPLOs]:[SubPLOs]],"&gt;=6",tbl_task1[[SubPLOs]:[SubPLOs]],"&lt;7")+SUMIFS(tbl_task2[S56],tbl_task2[[SubPLOs]:[SubPLOs]],"&gt;=6",tbl_task2[[SubPLOs]:[SubPLOs]],"&lt;7")+SUMIFS(tbl_task3[S56],tbl_task3[[SubPLOs]:[SubPLOs]],"&gt;=6",tbl_task3[[SubPLOs]:[SubPLOs]],"&lt;7")+SUMIFS(tbl_task4[S56],tbl_task4[[SubPLOs]:[SubPLOs]],"&gt;=6",tbl_task4[[SubPLOs]:[SubPLOs]],"&lt;7")+SUMIFS(tbl_task5[S56],tbl_task5[[SubPLOs]:[SubPLOs]],"&gt;=6",tbl_task5[[SubPLOs]:[SubPLOs]],"&lt;7")+SUMIFS(tbl_task6[S56],tbl_task6[[SubPLOs]:[SubPLOs]],"&gt;=6",tbl_task6[[SubPLOs]:[SubPLOs]],"&lt;7")+SUMIFS(tbl_task7[S56],tbl_task7[[SubPLOs]:[SubPLOs]],"&gt;=6",tbl_task7[[SubPLOs]:[SubPLOs]],"&lt;7")+SUMIFS(tbl_task8[S56],tbl_task8[[SubPLOs]:[SubPLOs]],"&gt;=6",tbl_task8[[SubPLOs]:[SubPLOs]],"&lt;7")+SUMIFS(tbl_task9[S56],tbl_task9[[SubPLOs]:[SubPLOs]],"&gt;=6",tbl_task9[[SubPLOs]:[SubPLOs]],"&lt;7")+SUMIFS(tbl_task10[S56],tbl_task10[[SubPLOs]:[SubPLOs]],"&gt;=6",tbl_task10[[SubPLOs]:[SubPLOs]],"&lt;7")</f>
        <v>0</v>
      </c>
      <c r="BJ185" s="41">
        <f>SUMIFS(tbl_task1[S57],tbl_task1[[SubPLOs]:[SubPLOs]],"&gt;=6",tbl_task1[[SubPLOs]:[SubPLOs]],"&lt;7")+SUMIFS(tbl_task2[S57],tbl_task2[[SubPLOs]:[SubPLOs]],"&gt;=6",tbl_task2[[SubPLOs]:[SubPLOs]],"&lt;7")+SUMIFS(tbl_task3[S57],tbl_task3[[SubPLOs]:[SubPLOs]],"&gt;=6",tbl_task3[[SubPLOs]:[SubPLOs]],"&lt;7")+SUMIFS(tbl_task4[S57],tbl_task4[[SubPLOs]:[SubPLOs]],"&gt;=6",tbl_task4[[SubPLOs]:[SubPLOs]],"&lt;7")+SUMIFS(tbl_task5[S57],tbl_task5[[SubPLOs]:[SubPLOs]],"&gt;=6",tbl_task5[[SubPLOs]:[SubPLOs]],"&lt;7")+SUMIFS(tbl_task6[S57],tbl_task6[[SubPLOs]:[SubPLOs]],"&gt;=6",tbl_task6[[SubPLOs]:[SubPLOs]],"&lt;7")+SUMIFS(tbl_task7[S57],tbl_task7[[SubPLOs]:[SubPLOs]],"&gt;=6",tbl_task7[[SubPLOs]:[SubPLOs]],"&lt;7")+SUMIFS(tbl_task8[S57],tbl_task8[[SubPLOs]:[SubPLOs]],"&gt;=6",tbl_task8[[SubPLOs]:[SubPLOs]],"&lt;7")+SUMIFS(tbl_task9[S57],tbl_task9[[SubPLOs]:[SubPLOs]],"&gt;=6",tbl_task9[[SubPLOs]:[SubPLOs]],"&lt;7")+SUMIFS(tbl_task10[S57],tbl_task10[[SubPLOs]:[SubPLOs]],"&gt;=6",tbl_task10[[SubPLOs]:[SubPLOs]],"&lt;7")</f>
        <v>0</v>
      </c>
      <c r="BK185" s="41">
        <f>SUMIFS(tbl_task1[S58],tbl_task1[[SubPLOs]:[SubPLOs]],"&gt;=6",tbl_task1[[SubPLOs]:[SubPLOs]],"&lt;7")+SUMIFS(tbl_task2[S58],tbl_task2[[SubPLOs]:[SubPLOs]],"&gt;=6",tbl_task2[[SubPLOs]:[SubPLOs]],"&lt;7")+SUMIFS(tbl_task3[S58],tbl_task3[[SubPLOs]:[SubPLOs]],"&gt;=6",tbl_task3[[SubPLOs]:[SubPLOs]],"&lt;7")+SUMIFS(tbl_task4[S58],tbl_task4[[SubPLOs]:[SubPLOs]],"&gt;=6",tbl_task4[[SubPLOs]:[SubPLOs]],"&lt;7")+SUMIFS(tbl_task5[S58],tbl_task5[[SubPLOs]:[SubPLOs]],"&gt;=6",tbl_task5[[SubPLOs]:[SubPLOs]],"&lt;7")+SUMIFS(tbl_task6[S58],tbl_task6[[SubPLOs]:[SubPLOs]],"&gt;=6",tbl_task6[[SubPLOs]:[SubPLOs]],"&lt;7")+SUMIFS(tbl_task7[S58],tbl_task7[[SubPLOs]:[SubPLOs]],"&gt;=6",tbl_task7[[SubPLOs]:[SubPLOs]],"&lt;7")+SUMIFS(tbl_task8[S58],tbl_task8[[SubPLOs]:[SubPLOs]],"&gt;=6",tbl_task8[[SubPLOs]:[SubPLOs]],"&lt;7")+SUMIFS(tbl_task9[S58],tbl_task9[[SubPLOs]:[SubPLOs]],"&gt;=6",tbl_task9[[SubPLOs]:[SubPLOs]],"&lt;7")+SUMIFS(tbl_task10[S58],tbl_task10[[SubPLOs]:[SubPLOs]],"&gt;=6",tbl_task10[[SubPLOs]:[SubPLOs]],"&lt;7")</f>
        <v>0</v>
      </c>
      <c r="BL185" s="41">
        <f>SUMIFS(tbl_task1[S59],tbl_task1[[SubPLOs]:[SubPLOs]],"&gt;=6",tbl_task1[[SubPLOs]:[SubPLOs]],"&lt;7")+SUMIFS(tbl_task2[S59],tbl_task2[[SubPLOs]:[SubPLOs]],"&gt;=6",tbl_task2[[SubPLOs]:[SubPLOs]],"&lt;7")+SUMIFS(tbl_task3[S59],tbl_task3[[SubPLOs]:[SubPLOs]],"&gt;=6",tbl_task3[[SubPLOs]:[SubPLOs]],"&lt;7")+SUMIFS(tbl_task4[S59],tbl_task4[[SubPLOs]:[SubPLOs]],"&gt;=6",tbl_task4[[SubPLOs]:[SubPLOs]],"&lt;7")+SUMIFS(tbl_task5[S59],tbl_task5[[SubPLOs]:[SubPLOs]],"&gt;=6",tbl_task5[[SubPLOs]:[SubPLOs]],"&lt;7")+SUMIFS(tbl_task6[S59],tbl_task6[[SubPLOs]:[SubPLOs]],"&gt;=6",tbl_task6[[SubPLOs]:[SubPLOs]],"&lt;7")+SUMIFS(tbl_task7[S59],tbl_task7[[SubPLOs]:[SubPLOs]],"&gt;=6",tbl_task7[[SubPLOs]:[SubPLOs]],"&lt;7")+SUMIFS(tbl_task8[S59],tbl_task8[[SubPLOs]:[SubPLOs]],"&gt;=6",tbl_task8[[SubPLOs]:[SubPLOs]],"&lt;7")+SUMIFS(tbl_task9[S59],tbl_task9[[SubPLOs]:[SubPLOs]],"&gt;=6",tbl_task9[[SubPLOs]:[SubPLOs]],"&lt;7")+SUMIFS(tbl_task10[S59],tbl_task10[[SubPLOs]:[SubPLOs]],"&gt;=6",tbl_task10[[SubPLOs]:[SubPLOs]],"&lt;7")</f>
        <v>0</v>
      </c>
      <c r="BM185" s="41">
        <f>SUMIFS(tbl_task1[S60],tbl_task1[[SubPLOs]:[SubPLOs]],"&gt;=6",tbl_task1[[SubPLOs]:[SubPLOs]],"&lt;7")+SUMIFS(tbl_task2[S60],tbl_task2[[SubPLOs]:[SubPLOs]],"&gt;=6",tbl_task2[[SubPLOs]:[SubPLOs]],"&lt;7")+SUMIFS(tbl_task3[S60],tbl_task3[[SubPLOs]:[SubPLOs]],"&gt;=6",tbl_task3[[SubPLOs]:[SubPLOs]],"&lt;7")+SUMIFS(tbl_task4[S60],tbl_task4[[SubPLOs]:[SubPLOs]],"&gt;=6",tbl_task4[[SubPLOs]:[SubPLOs]],"&lt;7")+SUMIFS(tbl_task5[S60],tbl_task5[[SubPLOs]:[SubPLOs]],"&gt;=6",tbl_task5[[SubPLOs]:[SubPLOs]],"&lt;7")+SUMIFS(tbl_task6[S60],tbl_task6[[SubPLOs]:[SubPLOs]],"&gt;=6",tbl_task6[[SubPLOs]:[SubPLOs]],"&lt;7")+SUMIFS(tbl_task7[S60],tbl_task7[[SubPLOs]:[SubPLOs]],"&gt;=6",tbl_task7[[SubPLOs]:[SubPLOs]],"&lt;7")+SUMIFS(tbl_task8[S60],tbl_task8[[SubPLOs]:[SubPLOs]],"&gt;=6",tbl_task8[[SubPLOs]:[SubPLOs]],"&lt;7")+SUMIFS(tbl_task9[S60],tbl_task9[[SubPLOs]:[SubPLOs]],"&gt;=6",tbl_task9[[SubPLOs]:[SubPLOs]],"&lt;7")+SUMIFS(tbl_task10[S60],tbl_task10[[SubPLOs]:[SubPLOs]],"&gt;=6",tbl_task10[[SubPLOs]:[SubPLOs]],"&lt;7")</f>
        <v>0</v>
      </c>
      <c r="BN185" s="41">
        <f>SUMIFS(tbl_task1[S61],tbl_task1[[SubPLOs]:[SubPLOs]],"&gt;=6",tbl_task1[[SubPLOs]:[SubPLOs]],"&lt;7")+SUMIFS(tbl_task2[S61],tbl_task2[[SubPLOs]:[SubPLOs]],"&gt;=6",tbl_task2[[SubPLOs]:[SubPLOs]],"&lt;7")+SUMIFS(tbl_task3[S61],tbl_task3[[SubPLOs]:[SubPLOs]],"&gt;=6",tbl_task3[[SubPLOs]:[SubPLOs]],"&lt;7")+SUMIFS(tbl_task4[S61],tbl_task4[[SubPLOs]:[SubPLOs]],"&gt;=6",tbl_task4[[SubPLOs]:[SubPLOs]],"&lt;7")+SUMIFS(tbl_task5[S61],tbl_task5[[SubPLOs]:[SubPLOs]],"&gt;=6",tbl_task5[[SubPLOs]:[SubPLOs]],"&lt;7")+SUMIFS(tbl_task6[S61],tbl_task6[[SubPLOs]:[SubPLOs]],"&gt;=6",tbl_task6[[SubPLOs]:[SubPLOs]],"&lt;7")+SUMIFS(tbl_task7[S61],tbl_task7[[SubPLOs]:[SubPLOs]],"&gt;=6",tbl_task7[[SubPLOs]:[SubPLOs]],"&lt;7")+SUMIFS(tbl_task8[S61],tbl_task8[[SubPLOs]:[SubPLOs]],"&gt;=6",tbl_task8[[SubPLOs]:[SubPLOs]],"&lt;7")+SUMIFS(tbl_task9[S61],tbl_task9[[SubPLOs]:[SubPLOs]],"&gt;=6",tbl_task9[[SubPLOs]:[SubPLOs]],"&lt;7")+SUMIFS(tbl_task10[S61],tbl_task10[[SubPLOs]:[SubPLOs]],"&gt;=6",tbl_task10[[SubPLOs]:[SubPLOs]],"&lt;7")</f>
        <v>0</v>
      </c>
      <c r="BO185" s="41">
        <f>SUMIFS(tbl_task1[S62],tbl_task1[[SubPLOs]:[SubPLOs]],"&gt;=6",tbl_task1[[SubPLOs]:[SubPLOs]],"&lt;7")+SUMIFS(tbl_task2[S62],tbl_task2[[SubPLOs]:[SubPLOs]],"&gt;=6",tbl_task2[[SubPLOs]:[SubPLOs]],"&lt;7")+SUMIFS(tbl_task3[S62],tbl_task3[[SubPLOs]:[SubPLOs]],"&gt;=6",tbl_task3[[SubPLOs]:[SubPLOs]],"&lt;7")+SUMIFS(tbl_task4[S62],tbl_task4[[SubPLOs]:[SubPLOs]],"&gt;=6",tbl_task4[[SubPLOs]:[SubPLOs]],"&lt;7")+SUMIFS(tbl_task5[S62],tbl_task5[[SubPLOs]:[SubPLOs]],"&gt;=6",tbl_task5[[SubPLOs]:[SubPLOs]],"&lt;7")+SUMIFS(tbl_task6[S62],tbl_task6[[SubPLOs]:[SubPLOs]],"&gt;=6",tbl_task6[[SubPLOs]:[SubPLOs]],"&lt;7")+SUMIFS(tbl_task7[S62],tbl_task7[[SubPLOs]:[SubPLOs]],"&gt;=6",tbl_task7[[SubPLOs]:[SubPLOs]],"&lt;7")+SUMIFS(tbl_task8[S62],tbl_task8[[SubPLOs]:[SubPLOs]],"&gt;=6",tbl_task8[[SubPLOs]:[SubPLOs]],"&lt;7")+SUMIFS(tbl_task9[S62],tbl_task9[[SubPLOs]:[SubPLOs]],"&gt;=6",tbl_task9[[SubPLOs]:[SubPLOs]],"&lt;7")+SUMIFS(tbl_task10[S62],tbl_task10[[SubPLOs]:[SubPLOs]],"&gt;=6",tbl_task10[[SubPLOs]:[SubPLOs]],"&lt;7")</f>
        <v>0</v>
      </c>
      <c r="BP185" s="41">
        <f>SUMIFS(tbl_task1[S63],tbl_task1[[SubPLOs]:[SubPLOs]],"&gt;=6",tbl_task1[[SubPLOs]:[SubPLOs]],"&lt;7")+SUMIFS(tbl_task2[S63],tbl_task2[[SubPLOs]:[SubPLOs]],"&gt;=6",tbl_task2[[SubPLOs]:[SubPLOs]],"&lt;7")+SUMIFS(tbl_task3[S63],tbl_task3[[SubPLOs]:[SubPLOs]],"&gt;=6",tbl_task3[[SubPLOs]:[SubPLOs]],"&lt;7")+SUMIFS(tbl_task4[S63],tbl_task4[[SubPLOs]:[SubPLOs]],"&gt;=6",tbl_task4[[SubPLOs]:[SubPLOs]],"&lt;7")+SUMIFS(tbl_task5[S63],tbl_task5[[SubPLOs]:[SubPLOs]],"&gt;=6",tbl_task5[[SubPLOs]:[SubPLOs]],"&lt;7")+SUMIFS(tbl_task6[S63],tbl_task6[[SubPLOs]:[SubPLOs]],"&gt;=6",tbl_task6[[SubPLOs]:[SubPLOs]],"&lt;7")+SUMIFS(tbl_task7[S63],tbl_task7[[SubPLOs]:[SubPLOs]],"&gt;=6",tbl_task7[[SubPLOs]:[SubPLOs]],"&lt;7")+SUMIFS(tbl_task8[S63],tbl_task8[[SubPLOs]:[SubPLOs]],"&gt;=6",tbl_task8[[SubPLOs]:[SubPLOs]],"&lt;7")+SUMIFS(tbl_task9[S63],tbl_task9[[SubPLOs]:[SubPLOs]],"&gt;=6",tbl_task9[[SubPLOs]:[SubPLOs]],"&lt;7")+SUMIFS(tbl_task10[S63],tbl_task10[[SubPLOs]:[SubPLOs]],"&gt;=6",tbl_task10[[SubPLOs]:[SubPLOs]],"&lt;7")</f>
        <v>0</v>
      </c>
      <c r="BQ185" s="41">
        <f>SUMIFS(tbl_task1[S64],tbl_task1[[SubPLOs]:[SubPLOs]],"&gt;=6",tbl_task1[[SubPLOs]:[SubPLOs]],"&lt;7")+SUMIFS(tbl_task2[S64],tbl_task2[[SubPLOs]:[SubPLOs]],"&gt;=6",tbl_task2[[SubPLOs]:[SubPLOs]],"&lt;7")+SUMIFS(tbl_task3[S64],tbl_task3[[SubPLOs]:[SubPLOs]],"&gt;=6",tbl_task3[[SubPLOs]:[SubPLOs]],"&lt;7")+SUMIFS(tbl_task4[S64],tbl_task4[[SubPLOs]:[SubPLOs]],"&gt;=6",tbl_task4[[SubPLOs]:[SubPLOs]],"&lt;7")+SUMIFS(tbl_task5[S64],tbl_task5[[SubPLOs]:[SubPLOs]],"&gt;=6",tbl_task5[[SubPLOs]:[SubPLOs]],"&lt;7")+SUMIFS(tbl_task6[S64],tbl_task6[[SubPLOs]:[SubPLOs]],"&gt;=6",tbl_task6[[SubPLOs]:[SubPLOs]],"&lt;7")+SUMIFS(tbl_task7[S64],tbl_task7[[SubPLOs]:[SubPLOs]],"&gt;=6",tbl_task7[[SubPLOs]:[SubPLOs]],"&lt;7")+SUMIFS(tbl_task8[S64],tbl_task8[[SubPLOs]:[SubPLOs]],"&gt;=6",tbl_task8[[SubPLOs]:[SubPLOs]],"&lt;7")+SUMIFS(tbl_task9[S64],tbl_task9[[SubPLOs]:[SubPLOs]],"&gt;=6",tbl_task9[[SubPLOs]:[SubPLOs]],"&lt;7")+SUMIFS(tbl_task10[S64],tbl_task10[[SubPLOs]:[SubPLOs]],"&gt;=6",tbl_task10[[SubPLOs]:[SubPLOs]],"&lt;7")</f>
        <v>0</v>
      </c>
      <c r="BR185" s="41">
        <f>SUMIFS(tbl_task1[S65],tbl_task1[[SubPLOs]:[SubPLOs]],"&gt;=6",tbl_task1[[SubPLOs]:[SubPLOs]],"&lt;7")+SUMIFS(tbl_task2[S65],tbl_task2[[SubPLOs]:[SubPLOs]],"&gt;=6",tbl_task2[[SubPLOs]:[SubPLOs]],"&lt;7")+SUMIFS(tbl_task3[S65],tbl_task3[[SubPLOs]:[SubPLOs]],"&gt;=6",tbl_task3[[SubPLOs]:[SubPLOs]],"&lt;7")+SUMIFS(tbl_task4[S65],tbl_task4[[SubPLOs]:[SubPLOs]],"&gt;=6",tbl_task4[[SubPLOs]:[SubPLOs]],"&lt;7")+SUMIFS(tbl_task5[S65],tbl_task5[[SubPLOs]:[SubPLOs]],"&gt;=6",tbl_task5[[SubPLOs]:[SubPLOs]],"&lt;7")+SUMIFS(tbl_task6[S65],tbl_task6[[SubPLOs]:[SubPLOs]],"&gt;=6",tbl_task6[[SubPLOs]:[SubPLOs]],"&lt;7")+SUMIFS(tbl_task7[S65],tbl_task7[[SubPLOs]:[SubPLOs]],"&gt;=6",tbl_task7[[SubPLOs]:[SubPLOs]],"&lt;7")+SUMIFS(tbl_task8[S65],tbl_task8[[SubPLOs]:[SubPLOs]],"&gt;=6",tbl_task8[[SubPLOs]:[SubPLOs]],"&lt;7")+SUMIFS(tbl_task9[S65],tbl_task9[[SubPLOs]:[SubPLOs]],"&gt;=6",tbl_task9[[SubPLOs]:[SubPLOs]],"&lt;7")+SUMIFS(tbl_task10[S65],tbl_task10[[SubPLOs]:[SubPLOs]],"&gt;=6",tbl_task10[[SubPLOs]:[SubPLOs]],"&lt;7")</f>
        <v>0</v>
      </c>
      <c r="BS185" s="41">
        <f>SUMIFS(tbl_task1[S66],tbl_task1[[SubPLOs]:[SubPLOs]],"&gt;=6",tbl_task1[[SubPLOs]:[SubPLOs]],"&lt;7")+SUMIFS(tbl_task2[S66],tbl_task2[[SubPLOs]:[SubPLOs]],"&gt;=6",tbl_task2[[SubPLOs]:[SubPLOs]],"&lt;7")+SUMIFS(tbl_task3[S66],tbl_task3[[SubPLOs]:[SubPLOs]],"&gt;=6",tbl_task3[[SubPLOs]:[SubPLOs]],"&lt;7")+SUMIFS(tbl_task4[S66],tbl_task4[[SubPLOs]:[SubPLOs]],"&gt;=6",tbl_task4[[SubPLOs]:[SubPLOs]],"&lt;7")+SUMIFS(tbl_task5[S66],tbl_task5[[SubPLOs]:[SubPLOs]],"&gt;=6",tbl_task5[[SubPLOs]:[SubPLOs]],"&lt;7")+SUMIFS(tbl_task6[S66],tbl_task6[[SubPLOs]:[SubPLOs]],"&gt;=6",tbl_task6[[SubPLOs]:[SubPLOs]],"&lt;7")+SUMIFS(tbl_task7[S66],tbl_task7[[SubPLOs]:[SubPLOs]],"&gt;=6",tbl_task7[[SubPLOs]:[SubPLOs]],"&lt;7")+SUMIFS(tbl_task8[S66],tbl_task8[[SubPLOs]:[SubPLOs]],"&gt;=6",tbl_task8[[SubPLOs]:[SubPLOs]],"&lt;7")+SUMIFS(tbl_task9[S66],tbl_task9[[SubPLOs]:[SubPLOs]],"&gt;=6",tbl_task9[[SubPLOs]:[SubPLOs]],"&lt;7")+SUMIFS(tbl_task10[S66],tbl_task10[[SubPLOs]:[SubPLOs]],"&gt;=6",tbl_task10[[SubPLOs]:[SubPLOs]],"&lt;7")</f>
        <v>0</v>
      </c>
      <c r="BT185" s="41">
        <f>SUMIFS(tbl_task1[S67],tbl_task1[[SubPLOs]:[SubPLOs]],"&gt;=6",tbl_task1[[SubPLOs]:[SubPLOs]],"&lt;7")+SUMIFS(tbl_task2[S67],tbl_task2[[SubPLOs]:[SubPLOs]],"&gt;=6",tbl_task2[[SubPLOs]:[SubPLOs]],"&lt;7")+SUMIFS(tbl_task3[S67],tbl_task3[[SubPLOs]:[SubPLOs]],"&gt;=6",tbl_task3[[SubPLOs]:[SubPLOs]],"&lt;7")+SUMIFS(tbl_task4[S67],tbl_task4[[SubPLOs]:[SubPLOs]],"&gt;=6",tbl_task4[[SubPLOs]:[SubPLOs]],"&lt;7")+SUMIFS(tbl_task5[S67],tbl_task5[[SubPLOs]:[SubPLOs]],"&gt;=6",tbl_task5[[SubPLOs]:[SubPLOs]],"&lt;7")+SUMIFS(tbl_task6[S67],tbl_task6[[SubPLOs]:[SubPLOs]],"&gt;=6",tbl_task6[[SubPLOs]:[SubPLOs]],"&lt;7")+SUMIFS(tbl_task7[S67],tbl_task7[[SubPLOs]:[SubPLOs]],"&gt;=6",tbl_task7[[SubPLOs]:[SubPLOs]],"&lt;7")+SUMIFS(tbl_task8[S67],tbl_task8[[SubPLOs]:[SubPLOs]],"&gt;=6",tbl_task8[[SubPLOs]:[SubPLOs]],"&lt;7")+SUMIFS(tbl_task9[S67],tbl_task9[[SubPLOs]:[SubPLOs]],"&gt;=6",tbl_task9[[SubPLOs]:[SubPLOs]],"&lt;7")+SUMIFS(tbl_task10[S67],tbl_task10[[SubPLOs]:[SubPLOs]],"&gt;=6",tbl_task10[[SubPLOs]:[SubPLOs]],"&lt;7")</f>
        <v>0</v>
      </c>
      <c r="BU185" s="41">
        <f>SUMIFS(tbl_task1[S68],tbl_task1[[SubPLOs]:[SubPLOs]],"&gt;=6",tbl_task1[[SubPLOs]:[SubPLOs]],"&lt;7")+SUMIFS(tbl_task2[S68],tbl_task2[[SubPLOs]:[SubPLOs]],"&gt;=6",tbl_task2[[SubPLOs]:[SubPLOs]],"&lt;7")+SUMIFS(tbl_task3[S68],tbl_task3[[SubPLOs]:[SubPLOs]],"&gt;=6",tbl_task3[[SubPLOs]:[SubPLOs]],"&lt;7")+SUMIFS(tbl_task4[S68],tbl_task4[[SubPLOs]:[SubPLOs]],"&gt;=6",tbl_task4[[SubPLOs]:[SubPLOs]],"&lt;7")+SUMIFS(tbl_task5[S68],tbl_task5[[SubPLOs]:[SubPLOs]],"&gt;=6",tbl_task5[[SubPLOs]:[SubPLOs]],"&lt;7")+SUMIFS(tbl_task6[S68],tbl_task6[[SubPLOs]:[SubPLOs]],"&gt;=6",tbl_task6[[SubPLOs]:[SubPLOs]],"&lt;7")+SUMIFS(tbl_task7[S68],tbl_task7[[SubPLOs]:[SubPLOs]],"&gt;=6",tbl_task7[[SubPLOs]:[SubPLOs]],"&lt;7")+SUMIFS(tbl_task8[S68],tbl_task8[[SubPLOs]:[SubPLOs]],"&gt;=6",tbl_task8[[SubPLOs]:[SubPLOs]],"&lt;7")+SUMIFS(tbl_task9[S68],tbl_task9[[SubPLOs]:[SubPLOs]],"&gt;=6",tbl_task9[[SubPLOs]:[SubPLOs]],"&lt;7")+SUMIFS(tbl_task10[S68],tbl_task10[[SubPLOs]:[SubPLOs]],"&gt;=6",tbl_task10[[SubPLOs]:[SubPLOs]],"&lt;7")</f>
        <v>0</v>
      </c>
      <c r="BV185" s="41">
        <f>SUMIFS(tbl_task1[S69],tbl_task1[[SubPLOs]:[SubPLOs]],"&gt;=6",tbl_task1[[SubPLOs]:[SubPLOs]],"&lt;7")+SUMIFS(tbl_task2[S69],tbl_task2[[SubPLOs]:[SubPLOs]],"&gt;=6",tbl_task2[[SubPLOs]:[SubPLOs]],"&lt;7")+SUMIFS(tbl_task3[S69],tbl_task3[[SubPLOs]:[SubPLOs]],"&gt;=6",tbl_task3[[SubPLOs]:[SubPLOs]],"&lt;7")+SUMIFS(tbl_task4[S69],tbl_task4[[SubPLOs]:[SubPLOs]],"&gt;=6",tbl_task4[[SubPLOs]:[SubPLOs]],"&lt;7")+SUMIFS(tbl_task5[S69],tbl_task5[[SubPLOs]:[SubPLOs]],"&gt;=6",tbl_task5[[SubPLOs]:[SubPLOs]],"&lt;7")+SUMIFS(tbl_task6[S69],tbl_task6[[SubPLOs]:[SubPLOs]],"&gt;=6",tbl_task6[[SubPLOs]:[SubPLOs]],"&lt;7")+SUMIFS(tbl_task7[S69],tbl_task7[[SubPLOs]:[SubPLOs]],"&gt;=6",tbl_task7[[SubPLOs]:[SubPLOs]],"&lt;7")+SUMIFS(tbl_task8[S69],tbl_task8[[SubPLOs]:[SubPLOs]],"&gt;=6",tbl_task8[[SubPLOs]:[SubPLOs]],"&lt;7")+SUMIFS(tbl_task9[S69],tbl_task9[[SubPLOs]:[SubPLOs]],"&gt;=6",tbl_task9[[SubPLOs]:[SubPLOs]],"&lt;7")+SUMIFS(tbl_task10[S69],tbl_task10[[SubPLOs]:[SubPLOs]],"&gt;=6",tbl_task10[[SubPLOs]:[SubPLOs]],"&lt;7")</f>
        <v>0</v>
      </c>
      <c r="BW185" s="41">
        <f>SUMIFS(tbl_task1[S70],tbl_task1[[SubPLOs]:[SubPLOs]],"&gt;=6",tbl_task1[[SubPLOs]:[SubPLOs]],"&lt;7")+SUMIFS(tbl_task2[S70],tbl_task2[[SubPLOs]:[SubPLOs]],"&gt;=6",tbl_task2[[SubPLOs]:[SubPLOs]],"&lt;7")+SUMIFS(tbl_task3[S70],tbl_task3[[SubPLOs]:[SubPLOs]],"&gt;=6",tbl_task3[[SubPLOs]:[SubPLOs]],"&lt;7")+SUMIFS(tbl_task4[S70],tbl_task4[[SubPLOs]:[SubPLOs]],"&gt;=6",tbl_task4[[SubPLOs]:[SubPLOs]],"&lt;7")+SUMIFS(tbl_task5[S70],tbl_task5[[SubPLOs]:[SubPLOs]],"&gt;=6",tbl_task5[[SubPLOs]:[SubPLOs]],"&lt;7")+SUMIFS(tbl_task6[S70],tbl_task6[[SubPLOs]:[SubPLOs]],"&gt;=6",tbl_task6[[SubPLOs]:[SubPLOs]],"&lt;7")+SUMIFS(tbl_task7[S70],tbl_task7[[SubPLOs]:[SubPLOs]],"&gt;=6",tbl_task7[[SubPLOs]:[SubPLOs]],"&lt;7")+SUMIFS(tbl_task8[S70],tbl_task8[[SubPLOs]:[SubPLOs]],"&gt;=6",tbl_task8[[SubPLOs]:[SubPLOs]],"&lt;7")+SUMIFS(tbl_task9[S70],tbl_task9[[SubPLOs]:[SubPLOs]],"&gt;=6",tbl_task9[[SubPLOs]:[SubPLOs]],"&lt;7")+SUMIFS(tbl_task10[S70],tbl_task10[[SubPLOs]:[SubPLOs]],"&gt;=6",tbl_task10[[SubPLOs]:[SubPLOs]],"&lt;7")</f>
        <v>0</v>
      </c>
      <c r="BX185" s="41">
        <f>SUMIFS(tbl_task1[S71],tbl_task1[[SubPLOs]:[SubPLOs]],"&gt;=6",tbl_task1[[SubPLOs]:[SubPLOs]],"&lt;7")+SUMIFS(tbl_task2[S71],tbl_task2[[SubPLOs]:[SubPLOs]],"&gt;=6",tbl_task2[[SubPLOs]:[SubPLOs]],"&lt;7")+SUMIFS(tbl_task3[S71],tbl_task3[[SubPLOs]:[SubPLOs]],"&gt;=6",tbl_task3[[SubPLOs]:[SubPLOs]],"&lt;7")+SUMIFS(tbl_task4[S71],tbl_task4[[SubPLOs]:[SubPLOs]],"&gt;=6",tbl_task4[[SubPLOs]:[SubPLOs]],"&lt;7")+SUMIFS(tbl_task5[S71],tbl_task5[[SubPLOs]:[SubPLOs]],"&gt;=6",tbl_task5[[SubPLOs]:[SubPLOs]],"&lt;7")+SUMIFS(tbl_task6[S71],tbl_task6[[SubPLOs]:[SubPLOs]],"&gt;=6",tbl_task6[[SubPLOs]:[SubPLOs]],"&lt;7")+SUMIFS(tbl_task7[S71],tbl_task7[[SubPLOs]:[SubPLOs]],"&gt;=6",tbl_task7[[SubPLOs]:[SubPLOs]],"&lt;7")+SUMIFS(tbl_task8[S71],tbl_task8[[SubPLOs]:[SubPLOs]],"&gt;=6",tbl_task8[[SubPLOs]:[SubPLOs]],"&lt;7")+SUMIFS(tbl_task9[S71],tbl_task9[[SubPLOs]:[SubPLOs]],"&gt;=6",tbl_task9[[SubPLOs]:[SubPLOs]],"&lt;7")+SUMIFS(tbl_task10[S71],tbl_task10[[SubPLOs]:[SubPLOs]],"&gt;=6",tbl_task10[[SubPLOs]:[SubPLOs]],"&lt;7")</f>
        <v>0</v>
      </c>
      <c r="BY185" s="41">
        <f>SUMIFS(tbl_task1[S72],tbl_task1[[SubPLOs]:[SubPLOs]],"&gt;=6",tbl_task1[[SubPLOs]:[SubPLOs]],"&lt;7")+SUMIFS(tbl_task2[S72],tbl_task2[[SubPLOs]:[SubPLOs]],"&gt;=6",tbl_task2[[SubPLOs]:[SubPLOs]],"&lt;7")+SUMIFS(tbl_task3[S72],tbl_task3[[SubPLOs]:[SubPLOs]],"&gt;=6",tbl_task3[[SubPLOs]:[SubPLOs]],"&lt;7")+SUMIFS(tbl_task4[S72],tbl_task4[[SubPLOs]:[SubPLOs]],"&gt;=6",tbl_task4[[SubPLOs]:[SubPLOs]],"&lt;7")+SUMIFS(tbl_task5[S72],tbl_task5[[SubPLOs]:[SubPLOs]],"&gt;=6",tbl_task5[[SubPLOs]:[SubPLOs]],"&lt;7")+SUMIFS(tbl_task6[S72],tbl_task6[[SubPLOs]:[SubPLOs]],"&gt;=6",tbl_task6[[SubPLOs]:[SubPLOs]],"&lt;7")+SUMIFS(tbl_task7[S72],tbl_task7[[SubPLOs]:[SubPLOs]],"&gt;=6",tbl_task7[[SubPLOs]:[SubPLOs]],"&lt;7")+SUMIFS(tbl_task8[S72],tbl_task8[[SubPLOs]:[SubPLOs]],"&gt;=6",tbl_task8[[SubPLOs]:[SubPLOs]],"&lt;7")+SUMIFS(tbl_task9[S72],tbl_task9[[SubPLOs]:[SubPLOs]],"&gt;=6",tbl_task9[[SubPLOs]:[SubPLOs]],"&lt;7")+SUMIFS(tbl_task10[S72],tbl_task10[[SubPLOs]:[SubPLOs]],"&gt;=6",tbl_task10[[SubPLOs]:[SubPLOs]],"&lt;7")</f>
        <v>0</v>
      </c>
      <c r="BZ185" s="41">
        <f>SUMIFS(tbl_task1[S73],tbl_task1[[SubPLOs]:[SubPLOs]],"&gt;=6",tbl_task1[[SubPLOs]:[SubPLOs]],"&lt;7")+SUMIFS(tbl_task2[S73],tbl_task2[[SubPLOs]:[SubPLOs]],"&gt;=6",tbl_task2[[SubPLOs]:[SubPLOs]],"&lt;7")+SUMIFS(tbl_task3[S73],tbl_task3[[SubPLOs]:[SubPLOs]],"&gt;=6",tbl_task3[[SubPLOs]:[SubPLOs]],"&lt;7")+SUMIFS(tbl_task4[S73],tbl_task4[[SubPLOs]:[SubPLOs]],"&gt;=6",tbl_task4[[SubPLOs]:[SubPLOs]],"&lt;7")+SUMIFS(tbl_task5[S73],tbl_task5[[SubPLOs]:[SubPLOs]],"&gt;=6",tbl_task5[[SubPLOs]:[SubPLOs]],"&lt;7")+SUMIFS(tbl_task6[S73],tbl_task6[[SubPLOs]:[SubPLOs]],"&gt;=6",tbl_task6[[SubPLOs]:[SubPLOs]],"&lt;7")+SUMIFS(tbl_task7[S73],tbl_task7[[SubPLOs]:[SubPLOs]],"&gt;=6",tbl_task7[[SubPLOs]:[SubPLOs]],"&lt;7")+SUMIFS(tbl_task8[S73],tbl_task8[[SubPLOs]:[SubPLOs]],"&gt;=6",tbl_task8[[SubPLOs]:[SubPLOs]],"&lt;7")+SUMIFS(tbl_task9[S73],tbl_task9[[SubPLOs]:[SubPLOs]],"&gt;=6",tbl_task9[[SubPLOs]:[SubPLOs]],"&lt;7")+SUMIFS(tbl_task10[S73],tbl_task10[[SubPLOs]:[SubPLOs]],"&gt;=6",tbl_task10[[SubPLOs]:[SubPLOs]],"&lt;7")</f>
        <v>0</v>
      </c>
      <c r="CA185" s="41">
        <f>SUMIFS(tbl_task1[S74],tbl_task1[[SubPLOs]:[SubPLOs]],"&gt;=6",tbl_task1[[SubPLOs]:[SubPLOs]],"&lt;7")+SUMIFS(tbl_task2[S74],tbl_task2[[SubPLOs]:[SubPLOs]],"&gt;=6",tbl_task2[[SubPLOs]:[SubPLOs]],"&lt;7")+SUMIFS(tbl_task3[S74],tbl_task3[[SubPLOs]:[SubPLOs]],"&gt;=6",tbl_task3[[SubPLOs]:[SubPLOs]],"&lt;7")+SUMIFS(tbl_task4[S74],tbl_task4[[SubPLOs]:[SubPLOs]],"&gt;=6",tbl_task4[[SubPLOs]:[SubPLOs]],"&lt;7")+SUMIFS(tbl_task5[S74],tbl_task5[[SubPLOs]:[SubPLOs]],"&gt;=6",tbl_task5[[SubPLOs]:[SubPLOs]],"&lt;7")+SUMIFS(tbl_task6[S74],tbl_task6[[SubPLOs]:[SubPLOs]],"&gt;=6",tbl_task6[[SubPLOs]:[SubPLOs]],"&lt;7")+SUMIFS(tbl_task7[S74],tbl_task7[[SubPLOs]:[SubPLOs]],"&gt;=6",tbl_task7[[SubPLOs]:[SubPLOs]],"&lt;7")+SUMIFS(tbl_task8[S74],tbl_task8[[SubPLOs]:[SubPLOs]],"&gt;=6",tbl_task8[[SubPLOs]:[SubPLOs]],"&lt;7")+SUMIFS(tbl_task9[S74],tbl_task9[[SubPLOs]:[SubPLOs]],"&gt;=6",tbl_task9[[SubPLOs]:[SubPLOs]],"&lt;7")+SUMIFS(tbl_task10[S74],tbl_task10[[SubPLOs]:[SubPLOs]],"&gt;=6",tbl_task10[[SubPLOs]:[SubPLOs]],"&lt;7")</f>
        <v>0</v>
      </c>
      <c r="CB185" s="41">
        <f>SUMIFS(tbl_task1[S75],tbl_task1[[SubPLOs]:[SubPLOs]],"&gt;=6",tbl_task1[[SubPLOs]:[SubPLOs]],"&lt;7")+SUMIFS(tbl_task2[S75],tbl_task2[[SubPLOs]:[SubPLOs]],"&gt;=6",tbl_task2[[SubPLOs]:[SubPLOs]],"&lt;7")+SUMIFS(tbl_task3[S75],tbl_task3[[SubPLOs]:[SubPLOs]],"&gt;=6",tbl_task3[[SubPLOs]:[SubPLOs]],"&lt;7")+SUMIFS(tbl_task4[S75],tbl_task4[[SubPLOs]:[SubPLOs]],"&gt;=6",tbl_task4[[SubPLOs]:[SubPLOs]],"&lt;7")+SUMIFS(tbl_task5[S75],tbl_task5[[SubPLOs]:[SubPLOs]],"&gt;=6",tbl_task5[[SubPLOs]:[SubPLOs]],"&lt;7")+SUMIFS(tbl_task6[S75],tbl_task6[[SubPLOs]:[SubPLOs]],"&gt;=6",tbl_task6[[SubPLOs]:[SubPLOs]],"&lt;7")+SUMIFS(tbl_task7[S75],tbl_task7[[SubPLOs]:[SubPLOs]],"&gt;=6",tbl_task7[[SubPLOs]:[SubPLOs]],"&lt;7")+SUMIFS(tbl_task8[S75],tbl_task8[[SubPLOs]:[SubPLOs]],"&gt;=6",tbl_task8[[SubPLOs]:[SubPLOs]],"&lt;7")+SUMIFS(tbl_task9[S75],tbl_task9[[SubPLOs]:[SubPLOs]],"&gt;=6",tbl_task9[[SubPLOs]:[SubPLOs]],"&lt;7")+SUMIFS(tbl_task10[S75],tbl_task10[[SubPLOs]:[SubPLOs]],"&gt;=6",tbl_task10[[SubPLOs]:[SubPLOs]],"&lt;7")</f>
        <v>0</v>
      </c>
      <c r="CC185" s="41">
        <f>SUMIFS(tbl_task1[S76],tbl_task1[[SubPLOs]:[SubPLOs]],"&gt;=6",tbl_task1[[SubPLOs]:[SubPLOs]],"&lt;7")+SUMIFS(tbl_task2[S76],tbl_task2[[SubPLOs]:[SubPLOs]],"&gt;=6",tbl_task2[[SubPLOs]:[SubPLOs]],"&lt;7")+SUMIFS(tbl_task3[S76],tbl_task3[[SubPLOs]:[SubPLOs]],"&gt;=6",tbl_task3[[SubPLOs]:[SubPLOs]],"&lt;7")+SUMIFS(tbl_task4[S76],tbl_task4[[SubPLOs]:[SubPLOs]],"&gt;=6",tbl_task4[[SubPLOs]:[SubPLOs]],"&lt;7")+SUMIFS(tbl_task5[S76],tbl_task5[[SubPLOs]:[SubPLOs]],"&gt;=6",tbl_task5[[SubPLOs]:[SubPLOs]],"&lt;7")+SUMIFS(tbl_task6[S76],tbl_task6[[SubPLOs]:[SubPLOs]],"&gt;=6",tbl_task6[[SubPLOs]:[SubPLOs]],"&lt;7")+SUMIFS(tbl_task7[S76],tbl_task7[[SubPLOs]:[SubPLOs]],"&gt;=6",tbl_task7[[SubPLOs]:[SubPLOs]],"&lt;7")+SUMIFS(tbl_task8[S76],tbl_task8[[SubPLOs]:[SubPLOs]],"&gt;=6",tbl_task8[[SubPLOs]:[SubPLOs]],"&lt;7")+SUMIFS(tbl_task9[S76],tbl_task9[[SubPLOs]:[SubPLOs]],"&gt;=6",tbl_task9[[SubPLOs]:[SubPLOs]],"&lt;7")+SUMIFS(tbl_task10[S76],tbl_task10[[SubPLOs]:[SubPLOs]],"&gt;=6",tbl_task10[[SubPLOs]:[SubPLOs]],"&lt;7")</f>
        <v>0</v>
      </c>
      <c r="CD185" s="41">
        <f>SUMIFS(tbl_task1[S77],tbl_task1[[SubPLOs]:[SubPLOs]],"&gt;=6",tbl_task1[[SubPLOs]:[SubPLOs]],"&lt;7")+SUMIFS(tbl_task2[S77],tbl_task2[[SubPLOs]:[SubPLOs]],"&gt;=6",tbl_task2[[SubPLOs]:[SubPLOs]],"&lt;7")+SUMIFS(tbl_task3[S77],tbl_task3[[SubPLOs]:[SubPLOs]],"&gt;=6",tbl_task3[[SubPLOs]:[SubPLOs]],"&lt;7")+SUMIFS(tbl_task4[S77],tbl_task4[[SubPLOs]:[SubPLOs]],"&gt;=6",tbl_task4[[SubPLOs]:[SubPLOs]],"&lt;7")+SUMIFS(tbl_task5[S77],tbl_task5[[SubPLOs]:[SubPLOs]],"&gt;=6",tbl_task5[[SubPLOs]:[SubPLOs]],"&lt;7")+SUMIFS(tbl_task6[S77],tbl_task6[[SubPLOs]:[SubPLOs]],"&gt;=6",tbl_task6[[SubPLOs]:[SubPLOs]],"&lt;7")+SUMIFS(tbl_task7[S77],tbl_task7[[SubPLOs]:[SubPLOs]],"&gt;=6",tbl_task7[[SubPLOs]:[SubPLOs]],"&lt;7")+SUMIFS(tbl_task8[S77],tbl_task8[[SubPLOs]:[SubPLOs]],"&gt;=6",tbl_task8[[SubPLOs]:[SubPLOs]],"&lt;7")+SUMIFS(tbl_task9[S77],tbl_task9[[SubPLOs]:[SubPLOs]],"&gt;=6",tbl_task9[[SubPLOs]:[SubPLOs]],"&lt;7")+SUMIFS(tbl_task10[S77],tbl_task10[[SubPLOs]:[SubPLOs]],"&gt;=6",tbl_task10[[SubPLOs]:[SubPLOs]],"&lt;7")</f>
        <v>0</v>
      </c>
      <c r="CE185" s="41">
        <f>SUMIFS(tbl_task1[S78],tbl_task1[[SubPLOs]:[SubPLOs]],"&gt;=6",tbl_task1[[SubPLOs]:[SubPLOs]],"&lt;7")+SUMIFS(tbl_task2[S78],tbl_task2[[SubPLOs]:[SubPLOs]],"&gt;=6",tbl_task2[[SubPLOs]:[SubPLOs]],"&lt;7")+SUMIFS(tbl_task3[S78],tbl_task3[[SubPLOs]:[SubPLOs]],"&gt;=6",tbl_task3[[SubPLOs]:[SubPLOs]],"&lt;7")+SUMIFS(tbl_task4[S78],tbl_task4[[SubPLOs]:[SubPLOs]],"&gt;=6",tbl_task4[[SubPLOs]:[SubPLOs]],"&lt;7")+SUMIFS(tbl_task5[S78],tbl_task5[[SubPLOs]:[SubPLOs]],"&gt;=6",tbl_task5[[SubPLOs]:[SubPLOs]],"&lt;7")+SUMIFS(tbl_task6[S78],tbl_task6[[SubPLOs]:[SubPLOs]],"&gt;=6",tbl_task6[[SubPLOs]:[SubPLOs]],"&lt;7")+SUMIFS(tbl_task7[S78],tbl_task7[[SubPLOs]:[SubPLOs]],"&gt;=6",tbl_task7[[SubPLOs]:[SubPLOs]],"&lt;7")+SUMIFS(tbl_task8[S78],tbl_task8[[SubPLOs]:[SubPLOs]],"&gt;=6",tbl_task8[[SubPLOs]:[SubPLOs]],"&lt;7")+SUMIFS(tbl_task9[S78],tbl_task9[[SubPLOs]:[SubPLOs]],"&gt;=6",tbl_task9[[SubPLOs]:[SubPLOs]],"&lt;7")+SUMIFS(tbl_task10[S78],tbl_task10[[SubPLOs]:[SubPLOs]],"&gt;=6",tbl_task10[[SubPLOs]:[SubPLOs]],"&lt;7")</f>
        <v>0</v>
      </c>
      <c r="CF185" s="41">
        <f>SUMIFS(tbl_task1[S79],tbl_task1[[SubPLOs]:[SubPLOs]],"&gt;=6",tbl_task1[[SubPLOs]:[SubPLOs]],"&lt;7")+SUMIFS(tbl_task2[S79],tbl_task2[[SubPLOs]:[SubPLOs]],"&gt;=6",tbl_task2[[SubPLOs]:[SubPLOs]],"&lt;7")+SUMIFS(tbl_task3[S79],tbl_task3[[SubPLOs]:[SubPLOs]],"&gt;=6",tbl_task3[[SubPLOs]:[SubPLOs]],"&lt;7")+SUMIFS(tbl_task4[S79],tbl_task4[[SubPLOs]:[SubPLOs]],"&gt;=6",tbl_task4[[SubPLOs]:[SubPLOs]],"&lt;7")+SUMIFS(tbl_task5[S79],tbl_task5[[SubPLOs]:[SubPLOs]],"&gt;=6",tbl_task5[[SubPLOs]:[SubPLOs]],"&lt;7")+SUMIFS(tbl_task6[S79],tbl_task6[[SubPLOs]:[SubPLOs]],"&gt;=6",tbl_task6[[SubPLOs]:[SubPLOs]],"&lt;7")+SUMIFS(tbl_task7[S79],tbl_task7[[SubPLOs]:[SubPLOs]],"&gt;=6",tbl_task7[[SubPLOs]:[SubPLOs]],"&lt;7")+SUMIFS(tbl_task8[S79],tbl_task8[[SubPLOs]:[SubPLOs]],"&gt;=6",tbl_task8[[SubPLOs]:[SubPLOs]],"&lt;7")+SUMIFS(tbl_task9[S79],tbl_task9[[SubPLOs]:[SubPLOs]],"&gt;=6",tbl_task9[[SubPLOs]:[SubPLOs]],"&lt;7")+SUMIFS(tbl_task10[S79],tbl_task10[[SubPLOs]:[SubPLOs]],"&gt;=6",tbl_task10[[SubPLOs]:[SubPLOs]],"&lt;7")</f>
        <v>0</v>
      </c>
      <c r="CG185" s="41">
        <f>SUMIFS(tbl_task1[S80],tbl_task1[[SubPLOs]:[SubPLOs]],"&gt;=6",tbl_task1[[SubPLOs]:[SubPLOs]],"&lt;7")+SUMIFS(tbl_task2[S80],tbl_task2[[SubPLOs]:[SubPLOs]],"&gt;=6",tbl_task2[[SubPLOs]:[SubPLOs]],"&lt;7")+SUMIFS(tbl_task3[S80],tbl_task3[[SubPLOs]:[SubPLOs]],"&gt;=6",tbl_task3[[SubPLOs]:[SubPLOs]],"&lt;7")+SUMIFS(tbl_task4[S80],tbl_task4[[SubPLOs]:[SubPLOs]],"&gt;=6",tbl_task4[[SubPLOs]:[SubPLOs]],"&lt;7")+SUMIFS(tbl_task5[S80],tbl_task5[[SubPLOs]:[SubPLOs]],"&gt;=6",tbl_task5[[SubPLOs]:[SubPLOs]],"&lt;7")+SUMIFS(tbl_task6[S80],tbl_task6[[SubPLOs]:[SubPLOs]],"&gt;=6",tbl_task6[[SubPLOs]:[SubPLOs]],"&lt;7")+SUMIFS(tbl_task7[S80],tbl_task7[[SubPLOs]:[SubPLOs]],"&gt;=6",tbl_task7[[SubPLOs]:[SubPLOs]],"&lt;7")+SUMIFS(tbl_task8[S80],tbl_task8[[SubPLOs]:[SubPLOs]],"&gt;=6",tbl_task8[[SubPLOs]:[SubPLOs]],"&lt;7")+SUMIFS(tbl_task9[S80],tbl_task9[[SubPLOs]:[SubPLOs]],"&gt;=6",tbl_task9[[SubPLOs]:[SubPLOs]],"&lt;7")+SUMIFS(tbl_task10[S80],tbl_task10[[SubPLOs]:[SubPLOs]],"&gt;=6",tbl_task10[[SubPLOs]:[SubPLOs]],"&lt;7")</f>
        <v>0</v>
      </c>
      <c r="CH185" s="41">
        <f>SUMIFS(tbl_task1[S81],tbl_task1[[SubPLOs]:[SubPLOs]],"&gt;=6",tbl_task1[[SubPLOs]:[SubPLOs]],"&lt;7")+SUMIFS(tbl_task2[S81],tbl_task2[[SubPLOs]:[SubPLOs]],"&gt;=6",tbl_task2[[SubPLOs]:[SubPLOs]],"&lt;7")+SUMIFS(tbl_task3[S81],tbl_task3[[SubPLOs]:[SubPLOs]],"&gt;=6",tbl_task3[[SubPLOs]:[SubPLOs]],"&lt;7")+SUMIFS(tbl_task4[S81],tbl_task4[[SubPLOs]:[SubPLOs]],"&gt;=6",tbl_task4[[SubPLOs]:[SubPLOs]],"&lt;7")+SUMIFS(tbl_task5[S81],tbl_task5[[SubPLOs]:[SubPLOs]],"&gt;=6",tbl_task5[[SubPLOs]:[SubPLOs]],"&lt;7")+SUMIFS(tbl_task6[S81],tbl_task6[[SubPLOs]:[SubPLOs]],"&gt;=6",tbl_task6[[SubPLOs]:[SubPLOs]],"&lt;7")+SUMIFS(tbl_task7[S81],tbl_task7[[SubPLOs]:[SubPLOs]],"&gt;=6",tbl_task7[[SubPLOs]:[SubPLOs]],"&lt;7")+SUMIFS(tbl_task8[S81],tbl_task8[[SubPLOs]:[SubPLOs]],"&gt;=6",tbl_task8[[SubPLOs]:[SubPLOs]],"&lt;7")+SUMIFS(tbl_task9[S81],tbl_task9[[SubPLOs]:[SubPLOs]],"&gt;=6",tbl_task9[[SubPLOs]:[SubPLOs]],"&lt;7")+SUMIFS(tbl_task10[S81],tbl_task10[[SubPLOs]:[SubPLOs]],"&gt;=6",tbl_task10[[SubPLOs]:[SubPLOs]],"&lt;7")</f>
        <v>0</v>
      </c>
      <c r="CI185" s="41">
        <f>SUMIFS(tbl_task1[S82],tbl_task1[[SubPLOs]:[SubPLOs]],"&gt;=6",tbl_task1[[SubPLOs]:[SubPLOs]],"&lt;7")+SUMIFS(tbl_task2[S82],tbl_task2[[SubPLOs]:[SubPLOs]],"&gt;=6",tbl_task2[[SubPLOs]:[SubPLOs]],"&lt;7")+SUMIFS(tbl_task3[S82],tbl_task3[[SubPLOs]:[SubPLOs]],"&gt;=6",tbl_task3[[SubPLOs]:[SubPLOs]],"&lt;7")+SUMIFS(tbl_task4[S82],tbl_task4[[SubPLOs]:[SubPLOs]],"&gt;=6",tbl_task4[[SubPLOs]:[SubPLOs]],"&lt;7")+SUMIFS(tbl_task5[S82],tbl_task5[[SubPLOs]:[SubPLOs]],"&gt;=6",tbl_task5[[SubPLOs]:[SubPLOs]],"&lt;7")+SUMIFS(tbl_task6[S82],tbl_task6[[SubPLOs]:[SubPLOs]],"&gt;=6",tbl_task6[[SubPLOs]:[SubPLOs]],"&lt;7")+SUMIFS(tbl_task7[S82],tbl_task7[[SubPLOs]:[SubPLOs]],"&gt;=6",tbl_task7[[SubPLOs]:[SubPLOs]],"&lt;7")+SUMIFS(tbl_task8[S82],tbl_task8[[SubPLOs]:[SubPLOs]],"&gt;=6",tbl_task8[[SubPLOs]:[SubPLOs]],"&lt;7")+SUMIFS(tbl_task9[S82],tbl_task9[[SubPLOs]:[SubPLOs]],"&gt;=6",tbl_task9[[SubPLOs]:[SubPLOs]],"&lt;7")+SUMIFS(tbl_task10[S82],tbl_task10[[SubPLOs]:[SubPLOs]],"&gt;=6",tbl_task10[[SubPLOs]:[SubPLOs]],"&lt;7")</f>
        <v>0</v>
      </c>
      <c r="CJ185" s="41">
        <f>SUMIFS(tbl_task1[S83],tbl_task1[[SubPLOs]:[SubPLOs]],"&gt;=6",tbl_task1[[SubPLOs]:[SubPLOs]],"&lt;7")+SUMIFS(tbl_task2[S83],tbl_task2[[SubPLOs]:[SubPLOs]],"&gt;=6",tbl_task2[[SubPLOs]:[SubPLOs]],"&lt;7")+SUMIFS(tbl_task3[S83],tbl_task3[[SubPLOs]:[SubPLOs]],"&gt;=6",tbl_task3[[SubPLOs]:[SubPLOs]],"&lt;7")+SUMIFS(tbl_task4[S83],tbl_task4[[SubPLOs]:[SubPLOs]],"&gt;=6",tbl_task4[[SubPLOs]:[SubPLOs]],"&lt;7")+SUMIFS(tbl_task5[S83],tbl_task5[[SubPLOs]:[SubPLOs]],"&gt;=6",tbl_task5[[SubPLOs]:[SubPLOs]],"&lt;7")+SUMIFS(tbl_task6[S83],tbl_task6[[SubPLOs]:[SubPLOs]],"&gt;=6",tbl_task6[[SubPLOs]:[SubPLOs]],"&lt;7")+SUMIFS(tbl_task7[S83],tbl_task7[[SubPLOs]:[SubPLOs]],"&gt;=6",tbl_task7[[SubPLOs]:[SubPLOs]],"&lt;7")+SUMIFS(tbl_task8[S83],tbl_task8[[SubPLOs]:[SubPLOs]],"&gt;=6",tbl_task8[[SubPLOs]:[SubPLOs]],"&lt;7")+SUMIFS(tbl_task9[S83],tbl_task9[[SubPLOs]:[SubPLOs]],"&gt;=6",tbl_task9[[SubPLOs]:[SubPLOs]],"&lt;7")+SUMIFS(tbl_task10[S83],tbl_task10[[SubPLOs]:[SubPLOs]],"&gt;=6",tbl_task10[[SubPLOs]:[SubPLOs]],"&lt;7")</f>
        <v>0</v>
      </c>
      <c r="CK185" s="41">
        <f>SUMIFS(tbl_task1[S84],tbl_task1[[SubPLOs]:[SubPLOs]],"&gt;=6",tbl_task1[[SubPLOs]:[SubPLOs]],"&lt;7")+SUMIFS(tbl_task2[S84],tbl_task2[[SubPLOs]:[SubPLOs]],"&gt;=6",tbl_task2[[SubPLOs]:[SubPLOs]],"&lt;7")+SUMIFS(tbl_task3[S84],tbl_task3[[SubPLOs]:[SubPLOs]],"&gt;=6",tbl_task3[[SubPLOs]:[SubPLOs]],"&lt;7")+SUMIFS(tbl_task4[S84],tbl_task4[[SubPLOs]:[SubPLOs]],"&gt;=6",tbl_task4[[SubPLOs]:[SubPLOs]],"&lt;7")+SUMIFS(tbl_task5[S84],tbl_task5[[SubPLOs]:[SubPLOs]],"&gt;=6",tbl_task5[[SubPLOs]:[SubPLOs]],"&lt;7")+SUMIFS(tbl_task6[S84],tbl_task6[[SubPLOs]:[SubPLOs]],"&gt;=6",tbl_task6[[SubPLOs]:[SubPLOs]],"&lt;7")+SUMIFS(tbl_task7[S84],tbl_task7[[SubPLOs]:[SubPLOs]],"&gt;=6",tbl_task7[[SubPLOs]:[SubPLOs]],"&lt;7")+SUMIFS(tbl_task8[S84],tbl_task8[[SubPLOs]:[SubPLOs]],"&gt;=6",tbl_task8[[SubPLOs]:[SubPLOs]],"&lt;7")+SUMIFS(tbl_task9[S84],tbl_task9[[SubPLOs]:[SubPLOs]],"&gt;=6",tbl_task9[[SubPLOs]:[SubPLOs]],"&lt;7")+SUMIFS(tbl_task10[S84],tbl_task10[[SubPLOs]:[SubPLOs]],"&gt;=6",tbl_task10[[SubPLOs]:[SubPLOs]],"&lt;7")</f>
        <v>0</v>
      </c>
      <c r="CL185" s="41">
        <f>SUMIFS(tbl_task1[S85],tbl_task1[[SubPLOs]:[SubPLOs]],"&gt;=6",tbl_task1[[SubPLOs]:[SubPLOs]],"&lt;7")+SUMIFS(tbl_task2[S85],tbl_task2[[SubPLOs]:[SubPLOs]],"&gt;=6",tbl_task2[[SubPLOs]:[SubPLOs]],"&lt;7")+SUMIFS(tbl_task3[S85],tbl_task3[[SubPLOs]:[SubPLOs]],"&gt;=6",tbl_task3[[SubPLOs]:[SubPLOs]],"&lt;7")+SUMIFS(tbl_task4[S85],tbl_task4[[SubPLOs]:[SubPLOs]],"&gt;=6",tbl_task4[[SubPLOs]:[SubPLOs]],"&lt;7")+SUMIFS(tbl_task5[S85],tbl_task5[[SubPLOs]:[SubPLOs]],"&gt;=6",tbl_task5[[SubPLOs]:[SubPLOs]],"&lt;7")+SUMIFS(tbl_task6[S85],tbl_task6[[SubPLOs]:[SubPLOs]],"&gt;=6",tbl_task6[[SubPLOs]:[SubPLOs]],"&lt;7")+SUMIFS(tbl_task7[S85],tbl_task7[[SubPLOs]:[SubPLOs]],"&gt;=6",tbl_task7[[SubPLOs]:[SubPLOs]],"&lt;7")+SUMIFS(tbl_task8[S85],tbl_task8[[SubPLOs]:[SubPLOs]],"&gt;=6",tbl_task8[[SubPLOs]:[SubPLOs]],"&lt;7")+SUMIFS(tbl_task9[S85],tbl_task9[[SubPLOs]:[SubPLOs]],"&gt;=6",tbl_task9[[SubPLOs]:[SubPLOs]],"&lt;7")+SUMIFS(tbl_task10[S85],tbl_task10[[SubPLOs]:[SubPLOs]],"&gt;=6",tbl_task10[[SubPLOs]:[SubPLOs]],"&lt;7")</f>
        <v>0</v>
      </c>
      <c r="CM185" s="41">
        <f>SUMIFS(tbl_task1[S86],tbl_task1[[SubPLOs]:[SubPLOs]],"&gt;=6",tbl_task1[[SubPLOs]:[SubPLOs]],"&lt;7")+SUMIFS(tbl_task2[S86],tbl_task2[[SubPLOs]:[SubPLOs]],"&gt;=6",tbl_task2[[SubPLOs]:[SubPLOs]],"&lt;7")+SUMIFS(tbl_task3[S86],tbl_task3[[SubPLOs]:[SubPLOs]],"&gt;=6",tbl_task3[[SubPLOs]:[SubPLOs]],"&lt;7")+SUMIFS(tbl_task4[S86],tbl_task4[[SubPLOs]:[SubPLOs]],"&gt;=6",tbl_task4[[SubPLOs]:[SubPLOs]],"&lt;7")+SUMIFS(tbl_task5[S86],tbl_task5[[SubPLOs]:[SubPLOs]],"&gt;=6",tbl_task5[[SubPLOs]:[SubPLOs]],"&lt;7")+SUMIFS(tbl_task6[S86],tbl_task6[[SubPLOs]:[SubPLOs]],"&gt;=6",tbl_task6[[SubPLOs]:[SubPLOs]],"&lt;7")+SUMIFS(tbl_task7[S86],tbl_task7[[SubPLOs]:[SubPLOs]],"&gt;=6",tbl_task7[[SubPLOs]:[SubPLOs]],"&lt;7")+SUMIFS(tbl_task8[S86],tbl_task8[[SubPLOs]:[SubPLOs]],"&gt;=6",tbl_task8[[SubPLOs]:[SubPLOs]],"&lt;7")+SUMIFS(tbl_task9[S86],tbl_task9[[SubPLOs]:[SubPLOs]],"&gt;=6",tbl_task9[[SubPLOs]:[SubPLOs]],"&lt;7")+SUMIFS(tbl_task10[S86],tbl_task10[[SubPLOs]:[SubPLOs]],"&gt;=6",tbl_task10[[SubPLOs]:[SubPLOs]],"&lt;7")</f>
        <v>0</v>
      </c>
      <c r="CN185" s="41">
        <f>SUMIFS(tbl_task1[S87],tbl_task1[[SubPLOs]:[SubPLOs]],"&gt;=6",tbl_task1[[SubPLOs]:[SubPLOs]],"&lt;7")+SUMIFS(tbl_task2[S87],tbl_task2[[SubPLOs]:[SubPLOs]],"&gt;=6",tbl_task2[[SubPLOs]:[SubPLOs]],"&lt;7")+SUMIFS(tbl_task3[S87],tbl_task3[[SubPLOs]:[SubPLOs]],"&gt;=6",tbl_task3[[SubPLOs]:[SubPLOs]],"&lt;7")+SUMIFS(tbl_task4[S87],tbl_task4[[SubPLOs]:[SubPLOs]],"&gt;=6",tbl_task4[[SubPLOs]:[SubPLOs]],"&lt;7")+SUMIFS(tbl_task5[S87],tbl_task5[[SubPLOs]:[SubPLOs]],"&gt;=6",tbl_task5[[SubPLOs]:[SubPLOs]],"&lt;7")+SUMIFS(tbl_task6[S87],tbl_task6[[SubPLOs]:[SubPLOs]],"&gt;=6",tbl_task6[[SubPLOs]:[SubPLOs]],"&lt;7")+SUMIFS(tbl_task7[S87],tbl_task7[[SubPLOs]:[SubPLOs]],"&gt;=6",tbl_task7[[SubPLOs]:[SubPLOs]],"&lt;7")+SUMIFS(tbl_task8[S87],tbl_task8[[SubPLOs]:[SubPLOs]],"&gt;=6",tbl_task8[[SubPLOs]:[SubPLOs]],"&lt;7")+SUMIFS(tbl_task9[S87],tbl_task9[[SubPLOs]:[SubPLOs]],"&gt;=6",tbl_task9[[SubPLOs]:[SubPLOs]],"&lt;7")+SUMIFS(tbl_task10[S87],tbl_task10[[SubPLOs]:[SubPLOs]],"&gt;=6",tbl_task10[[SubPLOs]:[SubPLOs]],"&lt;7")</f>
        <v>0</v>
      </c>
      <c r="CO185" s="41">
        <f>SUMIFS(tbl_task1[S88],tbl_task1[[SubPLOs]:[SubPLOs]],"&gt;=6",tbl_task1[[SubPLOs]:[SubPLOs]],"&lt;7")+SUMIFS(tbl_task2[S88],tbl_task2[[SubPLOs]:[SubPLOs]],"&gt;=6",tbl_task2[[SubPLOs]:[SubPLOs]],"&lt;7")+SUMIFS(tbl_task3[S88],tbl_task3[[SubPLOs]:[SubPLOs]],"&gt;=6",tbl_task3[[SubPLOs]:[SubPLOs]],"&lt;7")+SUMIFS(tbl_task4[S88],tbl_task4[[SubPLOs]:[SubPLOs]],"&gt;=6",tbl_task4[[SubPLOs]:[SubPLOs]],"&lt;7")+SUMIFS(tbl_task5[S88],tbl_task5[[SubPLOs]:[SubPLOs]],"&gt;=6",tbl_task5[[SubPLOs]:[SubPLOs]],"&lt;7")+SUMIFS(tbl_task6[S88],tbl_task6[[SubPLOs]:[SubPLOs]],"&gt;=6",tbl_task6[[SubPLOs]:[SubPLOs]],"&lt;7")+SUMIFS(tbl_task7[S88],tbl_task7[[SubPLOs]:[SubPLOs]],"&gt;=6",tbl_task7[[SubPLOs]:[SubPLOs]],"&lt;7")+SUMIFS(tbl_task8[S88],tbl_task8[[SubPLOs]:[SubPLOs]],"&gt;=6",tbl_task8[[SubPLOs]:[SubPLOs]],"&lt;7")+SUMIFS(tbl_task9[S88],tbl_task9[[SubPLOs]:[SubPLOs]],"&gt;=6",tbl_task9[[SubPLOs]:[SubPLOs]],"&lt;7")+SUMIFS(tbl_task10[S88],tbl_task10[[SubPLOs]:[SubPLOs]],"&gt;=6",tbl_task10[[SubPLOs]:[SubPLOs]],"&lt;7")</f>
        <v>0</v>
      </c>
      <c r="CP185" s="41">
        <f>SUMIFS(tbl_task1[S89],tbl_task1[[SubPLOs]:[SubPLOs]],"&gt;=6",tbl_task1[[SubPLOs]:[SubPLOs]],"&lt;7")+SUMIFS(tbl_task2[S89],tbl_task2[[SubPLOs]:[SubPLOs]],"&gt;=6",tbl_task2[[SubPLOs]:[SubPLOs]],"&lt;7")+SUMIFS(tbl_task3[S89],tbl_task3[[SubPLOs]:[SubPLOs]],"&gt;=6",tbl_task3[[SubPLOs]:[SubPLOs]],"&lt;7")+SUMIFS(tbl_task4[S89],tbl_task4[[SubPLOs]:[SubPLOs]],"&gt;=6",tbl_task4[[SubPLOs]:[SubPLOs]],"&lt;7")+SUMIFS(tbl_task5[S89],tbl_task5[[SubPLOs]:[SubPLOs]],"&gt;=6",tbl_task5[[SubPLOs]:[SubPLOs]],"&lt;7")+SUMIFS(tbl_task6[S89],tbl_task6[[SubPLOs]:[SubPLOs]],"&gt;=6",tbl_task6[[SubPLOs]:[SubPLOs]],"&lt;7")+SUMIFS(tbl_task7[S89],tbl_task7[[SubPLOs]:[SubPLOs]],"&gt;=6",tbl_task7[[SubPLOs]:[SubPLOs]],"&lt;7")+SUMIFS(tbl_task8[S89],tbl_task8[[SubPLOs]:[SubPLOs]],"&gt;=6",tbl_task8[[SubPLOs]:[SubPLOs]],"&lt;7")+SUMIFS(tbl_task9[S89],tbl_task9[[SubPLOs]:[SubPLOs]],"&gt;=6",tbl_task9[[SubPLOs]:[SubPLOs]],"&lt;7")+SUMIFS(tbl_task10[S89],tbl_task10[[SubPLOs]:[SubPLOs]],"&gt;=6",tbl_task10[[SubPLOs]:[SubPLOs]],"&lt;7")</f>
        <v>0</v>
      </c>
      <c r="CQ185" s="41">
        <f>SUMIFS(tbl_task1[S90],tbl_task1[[SubPLOs]:[SubPLOs]],"&gt;=6",tbl_task1[[SubPLOs]:[SubPLOs]],"&lt;7")+SUMIFS(tbl_task2[S90],tbl_task2[[SubPLOs]:[SubPLOs]],"&gt;=6",tbl_task2[[SubPLOs]:[SubPLOs]],"&lt;7")+SUMIFS(tbl_task3[S90],tbl_task3[[SubPLOs]:[SubPLOs]],"&gt;=6",tbl_task3[[SubPLOs]:[SubPLOs]],"&lt;7")+SUMIFS(tbl_task4[S90],tbl_task4[[SubPLOs]:[SubPLOs]],"&gt;=6",tbl_task4[[SubPLOs]:[SubPLOs]],"&lt;7")+SUMIFS(tbl_task5[S90],tbl_task5[[SubPLOs]:[SubPLOs]],"&gt;=6",tbl_task5[[SubPLOs]:[SubPLOs]],"&lt;7")+SUMIFS(tbl_task6[S90],tbl_task6[[SubPLOs]:[SubPLOs]],"&gt;=6",tbl_task6[[SubPLOs]:[SubPLOs]],"&lt;7")+SUMIFS(tbl_task7[S90],tbl_task7[[SubPLOs]:[SubPLOs]],"&gt;=6",tbl_task7[[SubPLOs]:[SubPLOs]],"&lt;7")+SUMIFS(tbl_task8[S90],tbl_task8[[SubPLOs]:[SubPLOs]],"&gt;=6",tbl_task8[[SubPLOs]:[SubPLOs]],"&lt;7")+SUMIFS(tbl_task9[S90],tbl_task9[[SubPLOs]:[SubPLOs]],"&gt;=6",tbl_task9[[SubPLOs]:[SubPLOs]],"&lt;7")+SUMIFS(tbl_task10[S90],tbl_task10[[SubPLOs]:[SubPLOs]],"&gt;=6",tbl_task10[[SubPLOs]:[SubPLOs]],"&lt;7")</f>
        <v>0</v>
      </c>
      <c r="CR185" s="41">
        <f>SUMIFS(tbl_task1[S91],tbl_task1[[SubPLOs]:[SubPLOs]],"&gt;=6",tbl_task1[[SubPLOs]:[SubPLOs]],"&lt;7")+SUMIFS(tbl_task2[S91],tbl_task2[[SubPLOs]:[SubPLOs]],"&gt;=6",tbl_task2[[SubPLOs]:[SubPLOs]],"&lt;7")+SUMIFS(tbl_task3[S91],tbl_task3[[SubPLOs]:[SubPLOs]],"&gt;=6",tbl_task3[[SubPLOs]:[SubPLOs]],"&lt;7")+SUMIFS(tbl_task4[S91],tbl_task4[[SubPLOs]:[SubPLOs]],"&gt;=6",tbl_task4[[SubPLOs]:[SubPLOs]],"&lt;7")+SUMIFS(tbl_task5[S91],tbl_task5[[SubPLOs]:[SubPLOs]],"&gt;=6",tbl_task5[[SubPLOs]:[SubPLOs]],"&lt;7")+SUMIFS(tbl_task6[S91],tbl_task6[[SubPLOs]:[SubPLOs]],"&gt;=6",tbl_task6[[SubPLOs]:[SubPLOs]],"&lt;7")+SUMIFS(tbl_task7[S91],tbl_task7[[SubPLOs]:[SubPLOs]],"&gt;=6",tbl_task7[[SubPLOs]:[SubPLOs]],"&lt;7")+SUMIFS(tbl_task8[S91],tbl_task8[[SubPLOs]:[SubPLOs]],"&gt;=6",tbl_task8[[SubPLOs]:[SubPLOs]],"&lt;7")+SUMIFS(tbl_task9[S91],tbl_task9[[SubPLOs]:[SubPLOs]],"&gt;=6",tbl_task9[[SubPLOs]:[SubPLOs]],"&lt;7")+SUMIFS(tbl_task10[S91],tbl_task10[[SubPLOs]:[SubPLOs]],"&gt;=6",tbl_task10[[SubPLOs]:[SubPLOs]],"&lt;7")</f>
        <v>0</v>
      </c>
      <c r="CS185" s="41">
        <f>SUMIFS(tbl_task1[S92],tbl_task1[[SubPLOs]:[SubPLOs]],"&gt;=6",tbl_task1[[SubPLOs]:[SubPLOs]],"&lt;7")+SUMIFS(tbl_task2[S92],tbl_task2[[SubPLOs]:[SubPLOs]],"&gt;=6",tbl_task2[[SubPLOs]:[SubPLOs]],"&lt;7")+SUMIFS(tbl_task3[S92],tbl_task3[[SubPLOs]:[SubPLOs]],"&gt;=6",tbl_task3[[SubPLOs]:[SubPLOs]],"&lt;7")+SUMIFS(tbl_task4[S92],tbl_task4[[SubPLOs]:[SubPLOs]],"&gt;=6",tbl_task4[[SubPLOs]:[SubPLOs]],"&lt;7")+SUMIFS(tbl_task5[S92],tbl_task5[[SubPLOs]:[SubPLOs]],"&gt;=6",tbl_task5[[SubPLOs]:[SubPLOs]],"&lt;7")+SUMIFS(tbl_task6[S92],tbl_task6[[SubPLOs]:[SubPLOs]],"&gt;=6",tbl_task6[[SubPLOs]:[SubPLOs]],"&lt;7")+SUMIFS(tbl_task7[S92],tbl_task7[[SubPLOs]:[SubPLOs]],"&gt;=6",tbl_task7[[SubPLOs]:[SubPLOs]],"&lt;7")+SUMIFS(tbl_task8[S92],tbl_task8[[SubPLOs]:[SubPLOs]],"&gt;=6",tbl_task8[[SubPLOs]:[SubPLOs]],"&lt;7")+SUMIFS(tbl_task9[S92],tbl_task9[[SubPLOs]:[SubPLOs]],"&gt;=6",tbl_task9[[SubPLOs]:[SubPLOs]],"&lt;7")+SUMIFS(tbl_task10[S92],tbl_task10[[SubPLOs]:[SubPLOs]],"&gt;=6",tbl_task10[[SubPLOs]:[SubPLOs]],"&lt;7")</f>
        <v>0</v>
      </c>
      <c r="CT185" s="41">
        <f>SUMIFS(tbl_task1[S93],tbl_task1[[SubPLOs]:[SubPLOs]],"&gt;=6",tbl_task1[[SubPLOs]:[SubPLOs]],"&lt;7")+SUMIFS(tbl_task2[S93],tbl_task2[[SubPLOs]:[SubPLOs]],"&gt;=6",tbl_task2[[SubPLOs]:[SubPLOs]],"&lt;7")+SUMIFS(tbl_task3[S93],tbl_task3[[SubPLOs]:[SubPLOs]],"&gt;=6",tbl_task3[[SubPLOs]:[SubPLOs]],"&lt;7")+SUMIFS(tbl_task4[S93],tbl_task4[[SubPLOs]:[SubPLOs]],"&gt;=6",tbl_task4[[SubPLOs]:[SubPLOs]],"&lt;7")+SUMIFS(tbl_task5[S93],tbl_task5[[SubPLOs]:[SubPLOs]],"&gt;=6",tbl_task5[[SubPLOs]:[SubPLOs]],"&lt;7")+SUMIFS(tbl_task6[S93],tbl_task6[[SubPLOs]:[SubPLOs]],"&gt;=6",tbl_task6[[SubPLOs]:[SubPLOs]],"&lt;7")+SUMIFS(tbl_task7[S93],tbl_task7[[SubPLOs]:[SubPLOs]],"&gt;=6",tbl_task7[[SubPLOs]:[SubPLOs]],"&lt;7")+SUMIFS(tbl_task8[S93],tbl_task8[[SubPLOs]:[SubPLOs]],"&gt;=6",tbl_task8[[SubPLOs]:[SubPLOs]],"&lt;7")+SUMIFS(tbl_task9[S93],tbl_task9[[SubPLOs]:[SubPLOs]],"&gt;=6",tbl_task9[[SubPLOs]:[SubPLOs]],"&lt;7")+SUMIFS(tbl_task10[S93],tbl_task10[[SubPLOs]:[SubPLOs]],"&gt;=6",tbl_task10[[SubPLOs]:[SubPLOs]],"&lt;7")</f>
        <v>0</v>
      </c>
      <c r="CU185" s="41">
        <f>SUMIFS(tbl_task1[S94],tbl_task1[[SubPLOs]:[SubPLOs]],"&gt;=6",tbl_task1[[SubPLOs]:[SubPLOs]],"&lt;7")+SUMIFS(tbl_task2[S94],tbl_task2[[SubPLOs]:[SubPLOs]],"&gt;=6",tbl_task2[[SubPLOs]:[SubPLOs]],"&lt;7")+SUMIFS(tbl_task3[S94],tbl_task3[[SubPLOs]:[SubPLOs]],"&gt;=6",tbl_task3[[SubPLOs]:[SubPLOs]],"&lt;7")+SUMIFS(tbl_task4[S94],tbl_task4[[SubPLOs]:[SubPLOs]],"&gt;=6",tbl_task4[[SubPLOs]:[SubPLOs]],"&lt;7")+SUMIFS(tbl_task5[S94],tbl_task5[[SubPLOs]:[SubPLOs]],"&gt;=6",tbl_task5[[SubPLOs]:[SubPLOs]],"&lt;7")+SUMIFS(tbl_task6[S94],tbl_task6[[SubPLOs]:[SubPLOs]],"&gt;=6",tbl_task6[[SubPLOs]:[SubPLOs]],"&lt;7")+SUMIFS(tbl_task7[S94],tbl_task7[[SubPLOs]:[SubPLOs]],"&gt;=6",tbl_task7[[SubPLOs]:[SubPLOs]],"&lt;7")+SUMIFS(tbl_task8[S94],tbl_task8[[SubPLOs]:[SubPLOs]],"&gt;=6",tbl_task8[[SubPLOs]:[SubPLOs]],"&lt;7")+SUMIFS(tbl_task9[S94],tbl_task9[[SubPLOs]:[SubPLOs]],"&gt;=6",tbl_task9[[SubPLOs]:[SubPLOs]],"&lt;7")+SUMIFS(tbl_task10[S94],tbl_task10[[SubPLOs]:[SubPLOs]],"&gt;=6",tbl_task10[[SubPLOs]:[SubPLOs]],"&lt;7")</f>
        <v>0</v>
      </c>
      <c r="CV185" s="41">
        <f>SUMIFS(tbl_task1[S95],tbl_task1[[SubPLOs]:[SubPLOs]],"&gt;=6",tbl_task1[[SubPLOs]:[SubPLOs]],"&lt;7")+SUMIFS(tbl_task2[S95],tbl_task2[[SubPLOs]:[SubPLOs]],"&gt;=6",tbl_task2[[SubPLOs]:[SubPLOs]],"&lt;7")+SUMIFS(tbl_task3[S95],tbl_task3[[SubPLOs]:[SubPLOs]],"&gt;=6",tbl_task3[[SubPLOs]:[SubPLOs]],"&lt;7")+SUMIFS(tbl_task4[S95],tbl_task4[[SubPLOs]:[SubPLOs]],"&gt;=6",tbl_task4[[SubPLOs]:[SubPLOs]],"&lt;7")+SUMIFS(tbl_task5[S95],tbl_task5[[SubPLOs]:[SubPLOs]],"&gt;=6",tbl_task5[[SubPLOs]:[SubPLOs]],"&lt;7")+SUMIFS(tbl_task6[S95],tbl_task6[[SubPLOs]:[SubPLOs]],"&gt;=6",tbl_task6[[SubPLOs]:[SubPLOs]],"&lt;7")+SUMIFS(tbl_task7[S95],tbl_task7[[SubPLOs]:[SubPLOs]],"&gt;=6",tbl_task7[[SubPLOs]:[SubPLOs]],"&lt;7")+SUMIFS(tbl_task8[S95],tbl_task8[[SubPLOs]:[SubPLOs]],"&gt;=6",tbl_task8[[SubPLOs]:[SubPLOs]],"&lt;7")+SUMIFS(tbl_task9[S95],tbl_task9[[SubPLOs]:[SubPLOs]],"&gt;=6",tbl_task9[[SubPLOs]:[SubPLOs]],"&lt;7")+SUMIFS(tbl_task10[S95],tbl_task10[[SubPLOs]:[SubPLOs]],"&gt;=6",tbl_task10[[SubPLOs]:[SubPLOs]],"&lt;7")</f>
        <v>0</v>
      </c>
      <c r="CW185" s="41">
        <f>SUMIFS(tbl_task1[S96],tbl_task1[[SubPLOs]:[SubPLOs]],"&gt;=6",tbl_task1[[SubPLOs]:[SubPLOs]],"&lt;7")+SUMIFS(tbl_task2[S96],tbl_task2[[SubPLOs]:[SubPLOs]],"&gt;=6",tbl_task2[[SubPLOs]:[SubPLOs]],"&lt;7")+SUMIFS(tbl_task3[S96],tbl_task3[[SubPLOs]:[SubPLOs]],"&gt;=6",tbl_task3[[SubPLOs]:[SubPLOs]],"&lt;7")+SUMIFS(tbl_task4[S96],tbl_task4[[SubPLOs]:[SubPLOs]],"&gt;=6",tbl_task4[[SubPLOs]:[SubPLOs]],"&lt;7")+SUMIFS(tbl_task5[S96],tbl_task5[[SubPLOs]:[SubPLOs]],"&gt;=6",tbl_task5[[SubPLOs]:[SubPLOs]],"&lt;7")+SUMIFS(tbl_task6[S96],tbl_task6[[SubPLOs]:[SubPLOs]],"&gt;=6",tbl_task6[[SubPLOs]:[SubPLOs]],"&lt;7")+SUMIFS(tbl_task7[S96],tbl_task7[[SubPLOs]:[SubPLOs]],"&gt;=6",tbl_task7[[SubPLOs]:[SubPLOs]],"&lt;7")+SUMIFS(tbl_task8[S96],tbl_task8[[SubPLOs]:[SubPLOs]],"&gt;=6",tbl_task8[[SubPLOs]:[SubPLOs]],"&lt;7")+SUMIFS(tbl_task9[S96],tbl_task9[[SubPLOs]:[SubPLOs]],"&gt;=6",tbl_task9[[SubPLOs]:[SubPLOs]],"&lt;7")+SUMIFS(tbl_task10[S96],tbl_task10[[SubPLOs]:[SubPLOs]],"&gt;=6",tbl_task10[[SubPLOs]:[SubPLOs]],"&lt;7")</f>
        <v>0</v>
      </c>
      <c r="CX185" s="41">
        <f>SUMIFS(tbl_task1[S97],tbl_task1[[SubPLOs]:[SubPLOs]],"&gt;=6",tbl_task1[[SubPLOs]:[SubPLOs]],"&lt;7")+SUMIFS(tbl_task2[S97],tbl_task2[[SubPLOs]:[SubPLOs]],"&gt;=6",tbl_task2[[SubPLOs]:[SubPLOs]],"&lt;7")+SUMIFS(tbl_task3[S97],tbl_task3[[SubPLOs]:[SubPLOs]],"&gt;=6",tbl_task3[[SubPLOs]:[SubPLOs]],"&lt;7")+SUMIFS(tbl_task4[S97],tbl_task4[[SubPLOs]:[SubPLOs]],"&gt;=6",tbl_task4[[SubPLOs]:[SubPLOs]],"&lt;7")+SUMIFS(tbl_task5[S97],tbl_task5[[SubPLOs]:[SubPLOs]],"&gt;=6",tbl_task5[[SubPLOs]:[SubPLOs]],"&lt;7")+SUMIFS(tbl_task6[S97],tbl_task6[[SubPLOs]:[SubPLOs]],"&gt;=6",tbl_task6[[SubPLOs]:[SubPLOs]],"&lt;7")+SUMIFS(tbl_task7[S97],tbl_task7[[SubPLOs]:[SubPLOs]],"&gt;=6",tbl_task7[[SubPLOs]:[SubPLOs]],"&lt;7")+SUMIFS(tbl_task8[S97],tbl_task8[[SubPLOs]:[SubPLOs]],"&gt;=6",tbl_task8[[SubPLOs]:[SubPLOs]],"&lt;7")+SUMIFS(tbl_task9[S97],tbl_task9[[SubPLOs]:[SubPLOs]],"&gt;=6",tbl_task9[[SubPLOs]:[SubPLOs]],"&lt;7")+SUMIFS(tbl_task10[S97],tbl_task10[[SubPLOs]:[SubPLOs]],"&gt;=6",tbl_task10[[SubPLOs]:[SubPLOs]],"&lt;7")</f>
        <v>0</v>
      </c>
      <c r="CY185" s="41">
        <f>SUMIFS(tbl_task1[S98],tbl_task1[[SubPLOs]:[SubPLOs]],"&gt;=6",tbl_task1[[SubPLOs]:[SubPLOs]],"&lt;7")+SUMIFS(tbl_task2[S98],tbl_task2[[SubPLOs]:[SubPLOs]],"&gt;=6",tbl_task2[[SubPLOs]:[SubPLOs]],"&lt;7")+SUMIFS(tbl_task3[S98],tbl_task3[[SubPLOs]:[SubPLOs]],"&gt;=6",tbl_task3[[SubPLOs]:[SubPLOs]],"&lt;7")+SUMIFS(tbl_task4[S98],tbl_task4[[SubPLOs]:[SubPLOs]],"&gt;=6",tbl_task4[[SubPLOs]:[SubPLOs]],"&lt;7")+SUMIFS(tbl_task5[S98],tbl_task5[[SubPLOs]:[SubPLOs]],"&gt;=6",tbl_task5[[SubPLOs]:[SubPLOs]],"&lt;7")+SUMIFS(tbl_task6[S98],tbl_task6[[SubPLOs]:[SubPLOs]],"&gt;=6",tbl_task6[[SubPLOs]:[SubPLOs]],"&lt;7")+SUMIFS(tbl_task7[S98],tbl_task7[[SubPLOs]:[SubPLOs]],"&gt;=6",tbl_task7[[SubPLOs]:[SubPLOs]],"&lt;7")+SUMIFS(tbl_task8[S98],tbl_task8[[SubPLOs]:[SubPLOs]],"&gt;=6",tbl_task8[[SubPLOs]:[SubPLOs]],"&lt;7")+SUMIFS(tbl_task9[S98],tbl_task9[[SubPLOs]:[SubPLOs]],"&gt;=6",tbl_task9[[SubPLOs]:[SubPLOs]],"&lt;7")+SUMIFS(tbl_task10[S98],tbl_task10[[SubPLOs]:[SubPLOs]],"&gt;=6",tbl_task10[[SubPLOs]:[SubPLOs]],"&lt;7")</f>
        <v>0</v>
      </c>
      <c r="CZ185" s="41">
        <f>SUMIFS(tbl_task1[S99],tbl_task1[[SubPLOs]:[SubPLOs]],"&gt;=6",tbl_task1[[SubPLOs]:[SubPLOs]],"&lt;7")+SUMIFS(tbl_task2[S99],tbl_task2[[SubPLOs]:[SubPLOs]],"&gt;=6",tbl_task2[[SubPLOs]:[SubPLOs]],"&lt;7")+SUMIFS(tbl_task3[S99],tbl_task3[[SubPLOs]:[SubPLOs]],"&gt;=6",tbl_task3[[SubPLOs]:[SubPLOs]],"&lt;7")+SUMIFS(tbl_task4[S99],tbl_task4[[SubPLOs]:[SubPLOs]],"&gt;=6",tbl_task4[[SubPLOs]:[SubPLOs]],"&lt;7")+SUMIFS(tbl_task5[S99],tbl_task5[[SubPLOs]:[SubPLOs]],"&gt;=6",tbl_task5[[SubPLOs]:[SubPLOs]],"&lt;7")+SUMIFS(tbl_task6[S99],tbl_task6[[SubPLOs]:[SubPLOs]],"&gt;=6",tbl_task6[[SubPLOs]:[SubPLOs]],"&lt;7")+SUMIFS(tbl_task7[S99],tbl_task7[[SubPLOs]:[SubPLOs]],"&gt;=6",tbl_task7[[SubPLOs]:[SubPLOs]],"&lt;7")+SUMIFS(tbl_task8[S99],tbl_task8[[SubPLOs]:[SubPLOs]],"&gt;=6",tbl_task8[[SubPLOs]:[SubPLOs]],"&lt;7")+SUMIFS(tbl_task9[S99],tbl_task9[[SubPLOs]:[SubPLOs]],"&gt;=6",tbl_task9[[SubPLOs]:[SubPLOs]],"&lt;7")+SUMIFS(tbl_task10[S99],tbl_task10[[SubPLOs]:[SubPLOs]],"&gt;=6",tbl_task10[[SubPLOs]:[SubPLOs]],"&lt;7")</f>
        <v>0</v>
      </c>
      <c r="DA185" s="41">
        <f>SUMIFS(tbl_task1[S100],tbl_task1[[SubPLOs]:[SubPLOs]],"&gt;=6",tbl_task1[[SubPLOs]:[SubPLOs]],"&lt;7")+SUMIFS(tbl_task2[S100],tbl_task2[[SubPLOs]:[SubPLOs]],"&gt;=6",tbl_task2[[SubPLOs]:[SubPLOs]],"&lt;7")+SUMIFS(tbl_task3[S100],tbl_task3[[SubPLOs]:[SubPLOs]],"&gt;=6",tbl_task3[[SubPLOs]:[SubPLOs]],"&lt;7")+SUMIFS(tbl_task4[S100],tbl_task4[[SubPLOs]:[SubPLOs]],"&gt;=6",tbl_task4[[SubPLOs]:[SubPLOs]],"&lt;7")+SUMIFS(tbl_task5[S100],tbl_task5[[SubPLOs]:[SubPLOs]],"&gt;=6",tbl_task5[[SubPLOs]:[SubPLOs]],"&lt;7")+SUMIFS(tbl_task6[S100],tbl_task6[[SubPLOs]:[SubPLOs]],"&gt;=6",tbl_task6[[SubPLOs]:[SubPLOs]],"&lt;7")+SUMIFS(tbl_task7[S100],tbl_task7[[SubPLOs]:[SubPLOs]],"&gt;=6",tbl_task7[[SubPLOs]:[SubPLOs]],"&lt;7")+SUMIFS(tbl_task8[S100],tbl_task8[[SubPLOs]:[SubPLOs]],"&gt;=6",tbl_task8[[SubPLOs]:[SubPLOs]],"&lt;7")+SUMIFS(tbl_task9[S100],tbl_task9[[SubPLOs]:[SubPLOs]],"&gt;=6",tbl_task9[[SubPLOs]:[SubPLOs]],"&lt;7")+SUMIFS(tbl_task10[S100],tbl_task10[[SubPLOs]:[SubPLOs]],"&gt;=6",tbl_task10[[SubPLOs]:[SubPLOs]],"&lt;7")</f>
        <v>0</v>
      </c>
      <c r="DB185" s="41">
        <f>SUMIFS(tbl_task1[S101],tbl_task1[[SubPLOs]:[SubPLOs]],"&gt;=6",tbl_task1[[SubPLOs]:[SubPLOs]],"&lt;7")+SUMIFS(tbl_task2[S101],tbl_task2[[SubPLOs]:[SubPLOs]],"&gt;=6",tbl_task2[[SubPLOs]:[SubPLOs]],"&lt;7")+SUMIFS(tbl_task3[S101],tbl_task3[[SubPLOs]:[SubPLOs]],"&gt;=6",tbl_task3[[SubPLOs]:[SubPLOs]],"&lt;7")+SUMIFS(tbl_task4[S101],tbl_task4[[SubPLOs]:[SubPLOs]],"&gt;=6",tbl_task4[[SubPLOs]:[SubPLOs]],"&lt;7")+SUMIFS(tbl_task5[S101],tbl_task5[[SubPLOs]:[SubPLOs]],"&gt;=6",tbl_task5[[SubPLOs]:[SubPLOs]],"&lt;7")+SUMIFS(tbl_task6[S101],tbl_task6[[SubPLOs]:[SubPLOs]],"&gt;=6",tbl_task6[[SubPLOs]:[SubPLOs]],"&lt;7")+SUMIFS(tbl_task7[S101],tbl_task7[[SubPLOs]:[SubPLOs]],"&gt;=6",tbl_task7[[SubPLOs]:[SubPLOs]],"&lt;7")+SUMIFS(tbl_task8[S101],tbl_task8[[SubPLOs]:[SubPLOs]],"&gt;=6",tbl_task8[[SubPLOs]:[SubPLOs]],"&lt;7")+SUMIFS(tbl_task9[S101],tbl_task9[[SubPLOs]:[SubPLOs]],"&gt;=6",tbl_task9[[SubPLOs]:[SubPLOs]],"&lt;7")+SUMIFS(tbl_task10[S101],tbl_task10[[SubPLOs]:[SubPLOs]],"&gt;=6",tbl_task10[[SubPLOs]:[SubPLOs]],"&lt;7")</f>
        <v>0</v>
      </c>
      <c r="DC185" s="41">
        <f>SUMIFS(tbl_task1[S102],tbl_task1[[SubPLOs]:[SubPLOs]],"&gt;=6",tbl_task1[[SubPLOs]:[SubPLOs]],"&lt;7")+SUMIFS(tbl_task2[S102],tbl_task2[[SubPLOs]:[SubPLOs]],"&gt;=6",tbl_task2[[SubPLOs]:[SubPLOs]],"&lt;7")+SUMIFS(tbl_task3[S102],tbl_task3[[SubPLOs]:[SubPLOs]],"&gt;=6",tbl_task3[[SubPLOs]:[SubPLOs]],"&lt;7")+SUMIFS(tbl_task4[S102],tbl_task4[[SubPLOs]:[SubPLOs]],"&gt;=6",tbl_task4[[SubPLOs]:[SubPLOs]],"&lt;7")+SUMIFS(tbl_task5[S102],tbl_task5[[SubPLOs]:[SubPLOs]],"&gt;=6",tbl_task5[[SubPLOs]:[SubPLOs]],"&lt;7")+SUMIFS(tbl_task6[S102],tbl_task6[[SubPLOs]:[SubPLOs]],"&gt;=6",tbl_task6[[SubPLOs]:[SubPLOs]],"&lt;7")+SUMIFS(tbl_task7[S102],tbl_task7[[SubPLOs]:[SubPLOs]],"&gt;=6",tbl_task7[[SubPLOs]:[SubPLOs]],"&lt;7")+SUMIFS(tbl_task8[S102],tbl_task8[[SubPLOs]:[SubPLOs]],"&gt;=6",tbl_task8[[SubPLOs]:[SubPLOs]],"&lt;7")+SUMIFS(tbl_task9[S102],tbl_task9[[SubPLOs]:[SubPLOs]],"&gt;=6",tbl_task9[[SubPLOs]:[SubPLOs]],"&lt;7")+SUMIFS(tbl_task10[S102],tbl_task10[[SubPLOs]:[SubPLOs]],"&gt;=6",tbl_task10[[SubPLOs]:[SubPLOs]],"&lt;7")</f>
        <v>0</v>
      </c>
      <c r="DD185" s="41">
        <f>SUMIFS(tbl_task1[S103],tbl_task1[[SubPLOs]:[SubPLOs]],"&gt;=6",tbl_task1[[SubPLOs]:[SubPLOs]],"&lt;7")+SUMIFS(tbl_task2[S103],tbl_task2[[SubPLOs]:[SubPLOs]],"&gt;=6",tbl_task2[[SubPLOs]:[SubPLOs]],"&lt;7")+SUMIFS(tbl_task3[S103],tbl_task3[[SubPLOs]:[SubPLOs]],"&gt;=6",tbl_task3[[SubPLOs]:[SubPLOs]],"&lt;7")+SUMIFS(tbl_task4[S103],tbl_task4[[SubPLOs]:[SubPLOs]],"&gt;=6",tbl_task4[[SubPLOs]:[SubPLOs]],"&lt;7")+SUMIFS(tbl_task5[S103],tbl_task5[[SubPLOs]:[SubPLOs]],"&gt;=6",tbl_task5[[SubPLOs]:[SubPLOs]],"&lt;7")+SUMIFS(tbl_task6[S103],tbl_task6[[SubPLOs]:[SubPLOs]],"&gt;=6",tbl_task6[[SubPLOs]:[SubPLOs]],"&lt;7")+SUMIFS(tbl_task7[S103],tbl_task7[[SubPLOs]:[SubPLOs]],"&gt;=6",tbl_task7[[SubPLOs]:[SubPLOs]],"&lt;7")+SUMIFS(tbl_task8[S103],tbl_task8[[SubPLOs]:[SubPLOs]],"&gt;=6",tbl_task8[[SubPLOs]:[SubPLOs]],"&lt;7")+SUMIFS(tbl_task9[S103],tbl_task9[[SubPLOs]:[SubPLOs]],"&gt;=6",tbl_task9[[SubPLOs]:[SubPLOs]],"&lt;7")+SUMIFS(tbl_task10[S103],tbl_task10[[SubPLOs]:[SubPLOs]],"&gt;=6",tbl_task10[[SubPLOs]:[SubPLOs]],"&lt;7")</f>
        <v>0</v>
      </c>
      <c r="DE185" s="41">
        <f>SUMIFS(tbl_task1[S104],tbl_task1[[SubPLOs]:[SubPLOs]],"&gt;=6",tbl_task1[[SubPLOs]:[SubPLOs]],"&lt;7")+SUMIFS(tbl_task2[S104],tbl_task2[[SubPLOs]:[SubPLOs]],"&gt;=6",tbl_task2[[SubPLOs]:[SubPLOs]],"&lt;7")+SUMIFS(tbl_task3[S104],tbl_task3[[SubPLOs]:[SubPLOs]],"&gt;=6",tbl_task3[[SubPLOs]:[SubPLOs]],"&lt;7")+SUMIFS(tbl_task4[S104],tbl_task4[[SubPLOs]:[SubPLOs]],"&gt;=6",tbl_task4[[SubPLOs]:[SubPLOs]],"&lt;7")+SUMIFS(tbl_task5[S104],tbl_task5[[SubPLOs]:[SubPLOs]],"&gt;=6",tbl_task5[[SubPLOs]:[SubPLOs]],"&lt;7")+SUMIFS(tbl_task6[S104],tbl_task6[[SubPLOs]:[SubPLOs]],"&gt;=6",tbl_task6[[SubPLOs]:[SubPLOs]],"&lt;7")+SUMIFS(tbl_task7[S104],tbl_task7[[SubPLOs]:[SubPLOs]],"&gt;=6",tbl_task7[[SubPLOs]:[SubPLOs]],"&lt;7")+SUMIFS(tbl_task8[S104],tbl_task8[[SubPLOs]:[SubPLOs]],"&gt;=6",tbl_task8[[SubPLOs]:[SubPLOs]],"&lt;7")+SUMIFS(tbl_task9[S104],tbl_task9[[SubPLOs]:[SubPLOs]],"&gt;=6",tbl_task9[[SubPLOs]:[SubPLOs]],"&lt;7")+SUMIFS(tbl_task10[S104],tbl_task10[[SubPLOs]:[SubPLOs]],"&gt;=6",tbl_task10[[SubPLOs]:[SubPLOs]],"&lt;7")</f>
        <v>0</v>
      </c>
      <c r="DF185" s="41">
        <f>SUMIFS(tbl_task1[S105],tbl_task1[[SubPLOs]:[SubPLOs]],"&gt;=6",tbl_task1[[SubPLOs]:[SubPLOs]],"&lt;7")+SUMIFS(tbl_task2[S105],tbl_task2[[SubPLOs]:[SubPLOs]],"&gt;=6",tbl_task2[[SubPLOs]:[SubPLOs]],"&lt;7")+SUMIFS(tbl_task3[S105],tbl_task3[[SubPLOs]:[SubPLOs]],"&gt;=6",tbl_task3[[SubPLOs]:[SubPLOs]],"&lt;7")+SUMIFS(tbl_task4[S105],tbl_task4[[SubPLOs]:[SubPLOs]],"&gt;=6",tbl_task4[[SubPLOs]:[SubPLOs]],"&lt;7")+SUMIFS(tbl_task5[S105],tbl_task5[[SubPLOs]:[SubPLOs]],"&gt;=6",tbl_task5[[SubPLOs]:[SubPLOs]],"&lt;7")+SUMIFS(tbl_task6[S105],tbl_task6[[SubPLOs]:[SubPLOs]],"&gt;=6",tbl_task6[[SubPLOs]:[SubPLOs]],"&lt;7")+SUMIFS(tbl_task7[S105],tbl_task7[[SubPLOs]:[SubPLOs]],"&gt;=6",tbl_task7[[SubPLOs]:[SubPLOs]],"&lt;7")+SUMIFS(tbl_task8[S105],tbl_task8[[SubPLOs]:[SubPLOs]],"&gt;=6",tbl_task8[[SubPLOs]:[SubPLOs]],"&lt;7")+SUMIFS(tbl_task9[S105],tbl_task9[[SubPLOs]:[SubPLOs]],"&gt;=6",tbl_task9[[SubPLOs]:[SubPLOs]],"&lt;7")+SUMIFS(tbl_task10[S105],tbl_task10[[SubPLOs]:[SubPLOs]],"&gt;=6",tbl_task10[[SubPLOs]:[SubPLOs]],"&lt;7")</f>
        <v>0</v>
      </c>
      <c r="DG185" s="41">
        <f>SUMIFS(tbl_task1[S106],tbl_task1[[SubPLOs]:[SubPLOs]],"&gt;=6",tbl_task1[[SubPLOs]:[SubPLOs]],"&lt;7")+SUMIFS(tbl_task2[S106],tbl_task2[[SubPLOs]:[SubPLOs]],"&gt;=6",tbl_task2[[SubPLOs]:[SubPLOs]],"&lt;7")+SUMIFS(tbl_task3[S106],tbl_task3[[SubPLOs]:[SubPLOs]],"&gt;=6",tbl_task3[[SubPLOs]:[SubPLOs]],"&lt;7")+SUMIFS(tbl_task4[S106],tbl_task4[[SubPLOs]:[SubPLOs]],"&gt;=6",tbl_task4[[SubPLOs]:[SubPLOs]],"&lt;7")+SUMIFS(tbl_task5[S106],tbl_task5[[SubPLOs]:[SubPLOs]],"&gt;=6",tbl_task5[[SubPLOs]:[SubPLOs]],"&lt;7")+SUMIFS(tbl_task6[S106],tbl_task6[[SubPLOs]:[SubPLOs]],"&gt;=6",tbl_task6[[SubPLOs]:[SubPLOs]],"&lt;7")+SUMIFS(tbl_task7[S106],tbl_task7[[SubPLOs]:[SubPLOs]],"&gt;=6",tbl_task7[[SubPLOs]:[SubPLOs]],"&lt;7")+SUMIFS(tbl_task8[S106],tbl_task8[[SubPLOs]:[SubPLOs]],"&gt;=6",tbl_task8[[SubPLOs]:[SubPLOs]],"&lt;7")+SUMIFS(tbl_task9[S106],tbl_task9[[SubPLOs]:[SubPLOs]],"&gt;=6",tbl_task9[[SubPLOs]:[SubPLOs]],"&lt;7")+SUMIFS(tbl_task10[S106],tbl_task10[[SubPLOs]:[SubPLOs]],"&gt;=6",tbl_task10[[SubPLOs]:[SubPLOs]],"&lt;7")</f>
        <v>0</v>
      </c>
      <c r="DH185" s="41">
        <f>SUMIFS(tbl_task1[S107],tbl_task1[[SubPLOs]:[SubPLOs]],"&gt;=6",tbl_task1[[SubPLOs]:[SubPLOs]],"&lt;7")+SUMIFS(tbl_task2[S107],tbl_task2[[SubPLOs]:[SubPLOs]],"&gt;=6",tbl_task2[[SubPLOs]:[SubPLOs]],"&lt;7")+SUMIFS(tbl_task3[S107],tbl_task3[[SubPLOs]:[SubPLOs]],"&gt;=6",tbl_task3[[SubPLOs]:[SubPLOs]],"&lt;7")+SUMIFS(tbl_task4[S107],tbl_task4[[SubPLOs]:[SubPLOs]],"&gt;=6",tbl_task4[[SubPLOs]:[SubPLOs]],"&lt;7")+SUMIFS(tbl_task5[S107],tbl_task5[[SubPLOs]:[SubPLOs]],"&gt;=6",tbl_task5[[SubPLOs]:[SubPLOs]],"&lt;7")+SUMIFS(tbl_task6[S107],tbl_task6[[SubPLOs]:[SubPLOs]],"&gt;=6",tbl_task6[[SubPLOs]:[SubPLOs]],"&lt;7")+SUMIFS(tbl_task7[S107],tbl_task7[[SubPLOs]:[SubPLOs]],"&gt;=6",tbl_task7[[SubPLOs]:[SubPLOs]],"&lt;7")+SUMIFS(tbl_task8[S107],tbl_task8[[SubPLOs]:[SubPLOs]],"&gt;=6",tbl_task8[[SubPLOs]:[SubPLOs]],"&lt;7")+SUMIFS(tbl_task9[S107],tbl_task9[[SubPLOs]:[SubPLOs]],"&gt;=6",tbl_task9[[SubPLOs]:[SubPLOs]],"&lt;7")+SUMIFS(tbl_task10[S107],tbl_task10[[SubPLOs]:[SubPLOs]],"&gt;=6",tbl_task10[[SubPLOs]:[SubPLOs]],"&lt;7")</f>
        <v>0</v>
      </c>
      <c r="DI185" s="41">
        <f>SUMIFS(tbl_task1[S108],tbl_task1[[SubPLOs]:[SubPLOs]],"&gt;=6",tbl_task1[[SubPLOs]:[SubPLOs]],"&lt;7")+SUMIFS(tbl_task2[S108],tbl_task2[[SubPLOs]:[SubPLOs]],"&gt;=6",tbl_task2[[SubPLOs]:[SubPLOs]],"&lt;7")+SUMIFS(tbl_task3[S108],tbl_task3[[SubPLOs]:[SubPLOs]],"&gt;=6",tbl_task3[[SubPLOs]:[SubPLOs]],"&lt;7")+SUMIFS(tbl_task4[S108],tbl_task4[[SubPLOs]:[SubPLOs]],"&gt;=6",tbl_task4[[SubPLOs]:[SubPLOs]],"&lt;7")+SUMIFS(tbl_task5[S108],tbl_task5[[SubPLOs]:[SubPLOs]],"&gt;=6",tbl_task5[[SubPLOs]:[SubPLOs]],"&lt;7")+SUMIFS(tbl_task6[S108],tbl_task6[[SubPLOs]:[SubPLOs]],"&gt;=6",tbl_task6[[SubPLOs]:[SubPLOs]],"&lt;7")+SUMIFS(tbl_task7[S108],tbl_task7[[SubPLOs]:[SubPLOs]],"&gt;=6",tbl_task7[[SubPLOs]:[SubPLOs]],"&lt;7")+SUMIFS(tbl_task8[S108],tbl_task8[[SubPLOs]:[SubPLOs]],"&gt;=6",tbl_task8[[SubPLOs]:[SubPLOs]],"&lt;7")+SUMIFS(tbl_task9[S108],tbl_task9[[SubPLOs]:[SubPLOs]],"&gt;=6",tbl_task9[[SubPLOs]:[SubPLOs]],"&lt;7")+SUMIFS(tbl_task10[S108],tbl_task10[[SubPLOs]:[SubPLOs]],"&gt;=6",tbl_task10[[SubPLOs]:[SubPLOs]],"&lt;7")</f>
        <v>0</v>
      </c>
      <c r="DJ185" s="41">
        <f>SUMIFS(tbl_task1[S109],tbl_task1[[SubPLOs]:[SubPLOs]],"&gt;=6",tbl_task1[[SubPLOs]:[SubPLOs]],"&lt;7")+SUMIFS(tbl_task2[S109],tbl_task2[[SubPLOs]:[SubPLOs]],"&gt;=6",tbl_task2[[SubPLOs]:[SubPLOs]],"&lt;7")+SUMIFS(tbl_task3[S109],tbl_task3[[SubPLOs]:[SubPLOs]],"&gt;=6",tbl_task3[[SubPLOs]:[SubPLOs]],"&lt;7")+SUMIFS(tbl_task4[S109],tbl_task4[[SubPLOs]:[SubPLOs]],"&gt;=6",tbl_task4[[SubPLOs]:[SubPLOs]],"&lt;7")+SUMIFS(tbl_task5[S109],tbl_task5[[SubPLOs]:[SubPLOs]],"&gt;=6",tbl_task5[[SubPLOs]:[SubPLOs]],"&lt;7")+SUMIFS(tbl_task6[S109],tbl_task6[[SubPLOs]:[SubPLOs]],"&gt;=6",tbl_task6[[SubPLOs]:[SubPLOs]],"&lt;7")+SUMIFS(tbl_task7[S109],tbl_task7[[SubPLOs]:[SubPLOs]],"&gt;=6",tbl_task7[[SubPLOs]:[SubPLOs]],"&lt;7")+SUMIFS(tbl_task8[S109],tbl_task8[[SubPLOs]:[SubPLOs]],"&gt;=6",tbl_task8[[SubPLOs]:[SubPLOs]],"&lt;7")+SUMIFS(tbl_task9[S109],tbl_task9[[SubPLOs]:[SubPLOs]],"&gt;=6",tbl_task9[[SubPLOs]:[SubPLOs]],"&lt;7")+SUMIFS(tbl_task10[S109],tbl_task10[[SubPLOs]:[SubPLOs]],"&gt;=6",tbl_task10[[SubPLOs]:[SubPLOs]],"&lt;7")</f>
        <v>0</v>
      </c>
      <c r="DK185" s="41">
        <f>SUMIFS(tbl_task1[S110],tbl_task1[[SubPLOs]:[SubPLOs]],"&gt;=6",tbl_task1[[SubPLOs]:[SubPLOs]],"&lt;7")+SUMIFS(tbl_task2[S110],tbl_task2[[SubPLOs]:[SubPLOs]],"&gt;=6",tbl_task2[[SubPLOs]:[SubPLOs]],"&lt;7")+SUMIFS(tbl_task3[S110],tbl_task3[[SubPLOs]:[SubPLOs]],"&gt;=6",tbl_task3[[SubPLOs]:[SubPLOs]],"&lt;7")+SUMIFS(tbl_task4[S110],tbl_task4[[SubPLOs]:[SubPLOs]],"&gt;=6",tbl_task4[[SubPLOs]:[SubPLOs]],"&lt;7")+SUMIFS(tbl_task5[S110],tbl_task5[[SubPLOs]:[SubPLOs]],"&gt;=6",tbl_task5[[SubPLOs]:[SubPLOs]],"&lt;7")+SUMIFS(tbl_task6[S110],tbl_task6[[SubPLOs]:[SubPLOs]],"&gt;=6",tbl_task6[[SubPLOs]:[SubPLOs]],"&lt;7")+SUMIFS(tbl_task7[S110],tbl_task7[[SubPLOs]:[SubPLOs]],"&gt;=6",tbl_task7[[SubPLOs]:[SubPLOs]],"&lt;7")+SUMIFS(tbl_task8[S110],tbl_task8[[SubPLOs]:[SubPLOs]],"&gt;=6",tbl_task8[[SubPLOs]:[SubPLOs]],"&lt;7")+SUMIFS(tbl_task9[S110],tbl_task9[[SubPLOs]:[SubPLOs]],"&gt;=6",tbl_task9[[SubPLOs]:[SubPLOs]],"&lt;7")+SUMIFS(tbl_task10[S110],tbl_task10[[SubPLOs]:[SubPLOs]],"&gt;=6",tbl_task10[[SubPLOs]:[SubPLOs]],"&lt;7")</f>
        <v>0</v>
      </c>
      <c r="DL185" s="41">
        <f>SUMIFS(tbl_task1[S111],tbl_task1[[SubPLOs]:[SubPLOs]],"&gt;=6",tbl_task1[[SubPLOs]:[SubPLOs]],"&lt;7")+SUMIFS(tbl_task2[S111],tbl_task2[[SubPLOs]:[SubPLOs]],"&gt;=6",tbl_task2[[SubPLOs]:[SubPLOs]],"&lt;7")+SUMIFS(tbl_task3[S111],tbl_task3[[SubPLOs]:[SubPLOs]],"&gt;=6",tbl_task3[[SubPLOs]:[SubPLOs]],"&lt;7")+SUMIFS(tbl_task4[S111],tbl_task4[[SubPLOs]:[SubPLOs]],"&gt;=6",tbl_task4[[SubPLOs]:[SubPLOs]],"&lt;7")+SUMIFS(tbl_task5[S111],tbl_task5[[SubPLOs]:[SubPLOs]],"&gt;=6",tbl_task5[[SubPLOs]:[SubPLOs]],"&lt;7")+SUMIFS(tbl_task6[S111],tbl_task6[[SubPLOs]:[SubPLOs]],"&gt;=6",tbl_task6[[SubPLOs]:[SubPLOs]],"&lt;7")+SUMIFS(tbl_task7[S111],tbl_task7[[SubPLOs]:[SubPLOs]],"&gt;=6",tbl_task7[[SubPLOs]:[SubPLOs]],"&lt;7")+SUMIFS(tbl_task8[S111],tbl_task8[[SubPLOs]:[SubPLOs]],"&gt;=6",tbl_task8[[SubPLOs]:[SubPLOs]],"&lt;7")+SUMIFS(tbl_task9[S111],tbl_task9[[SubPLOs]:[SubPLOs]],"&gt;=6",tbl_task9[[SubPLOs]:[SubPLOs]],"&lt;7")+SUMIFS(tbl_task10[S111],tbl_task10[[SubPLOs]:[SubPLOs]],"&gt;=6",tbl_task10[[SubPLOs]:[SubPLOs]],"&lt;7")</f>
        <v>0</v>
      </c>
      <c r="DM185" s="41">
        <f>SUMIFS(tbl_task1[S112],tbl_task1[[SubPLOs]:[SubPLOs]],"&gt;=6",tbl_task1[[SubPLOs]:[SubPLOs]],"&lt;7")+SUMIFS(tbl_task2[S112],tbl_task2[[SubPLOs]:[SubPLOs]],"&gt;=6",tbl_task2[[SubPLOs]:[SubPLOs]],"&lt;7")+SUMIFS(tbl_task3[S112],tbl_task3[[SubPLOs]:[SubPLOs]],"&gt;=6",tbl_task3[[SubPLOs]:[SubPLOs]],"&lt;7")+SUMIFS(tbl_task4[S112],tbl_task4[[SubPLOs]:[SubPLOs]],"&gt;=6",tbl_task4[[SubPLOs]:[SubPLOs]],"&lt;7")+SUMIFS(tbl_task5[S112],tbl_task5[[SubPLOs]:[SubPLOs]],"&gt;=6",tbl_task5[[SubPLOs]:[SubPLOs]],"&lt;7")+SUMIFS(tbl_task6[S112],tbl_task6[[SubPLOs]:[SubPLOs]],"&gt;=6",tbl_task6[[SubPLOs]:[SubPLOs]],"&lt;7")+SUMIFS(tbl_task7[S112],tbl_task7[[SubPLOs]:[SubPLOs]],"&gt;=6",tbl_task7[[SubPLOs]:[SubPLOs]],"&lt;7")+SUMIFS(tbl_task8[S112],tbl_task8[[SubPLOs]:[SubPLOs]],"&gt;=6",tbl_task8[[SubPLOs]:[SubPLOs]],"&lt;7")+SUMIFS(tbl_task9[S112],tbl_task9[[SubPLOs]:[SubPLOs]],"&gt;=6",tbl_task9[[SubPLOs]:[SubPLOs]],"&lt;7")+SUMIFS(tbl_task10[S112],tbl_task10[[SubPLOs]:[SubPLOs]],"&gt;=6",tbl_task10[[SubPLOs]:[SubPLOs]],"&lt;7")</f>
        <v>0</v>
      </c>
      <c r="DN185" s="41">
        <f>SUMIFS(tbl_task1[S113],tbl_task1[[SubPLOs]:[SubPLOs]],"&gt;=6",tbl_task1[[SubPLOs]:[SubPLOs]],"&lt;7")+SUMIFS(tbl_task2[S113],tbl_task2[[SubPLOs]:[SubPLOs]],"&gt;=6",tbl_task2[[SubPLOs]:[SubPLOs]],"&lt;7")+SUMIFS(tbl_task3[S113],tbl_task3[[SubPLOs]:[SubPLOs]],"&gt;=6",tbl_task3[[SubPLOs]:[SubPLOs]],"&lt;7")+SUMIFS(tbl_task4[S113],tbl_task4[[SubPLOs]:[SubPLOs]],"&gt;=6",tbl_task4[[SubPLOs]:[SubPLOs]],"&lt;7")+SUMIFS(tbl_task5[S113],tbl_task5[[SubPLOs]:[SubPLOs]],"&gt;=6",tbl_task5[[SubPLOs]:[SubPLOs]],"&lt;7")+SUMIFS(tbl_task6[S113],tbl_task6[[SubPLOs]:[SubPLOs]],"&gt;=6",tbl_task6[[SubPLOs]:[SubPLOs]],"&lt;7")+SUMIFS(tbl_task7[S113],tbl_task7[[SubPLOs]:[SubPLOs]],"&gt;=6",tbl_task7[[SubPLOs]:[SubPLOs]],"&lt;7")+SUMIFS(tbl_task8[S113],tbl_task8[[SubPLOs]:[SubPLOs]],"&gt;=6",tbl_task8[[SubPLOs]:[SubPLOs]],"&lt;7")+SUMIFS(tbl_task9[S113],tbl_task9[[SubPLOs]:[SubPLOs]],"&gt;=6",tbl_task9[[SubPLOs]:[SubPLOs]],"&lt;7")+SUMIFS(tbl_task10[S113],tbl_task10[[SubPLOs]:[SubPLOs]],"&gt;=6",tbl_task10[[SubPLOs]:[SubPLOs]],"&lt;7")</f>
        <v>0</v>
      </c>
      <c r="DO185" s="41">
        <f>SUMIFS(tbl_task1[S114],tbl_task1[[SubPLOs]:[SubPLOs]],"&gt;=6",tbl_task1[[SubPLOs]:[SubPLOs]],"&lt;7")+SUMIFS(tbl_task2[S114],tbl_task2[[SubPLOs]:[SubPLOs]],"&gt;=6",tbl_task2[[SubPLOs]:[SubPLOs]],"&lt;7")+SUMIFS(tbl_task3[S114],tbl_task3[[SubPLOs]:[SubPLOs]],"&gt;=6",tbl_task3[[SubPLOs]:[SubPLOs]],"&lt;7")+SUMIFS(tbl_task4[S114],tbl_task4[[SubPLOs]:[SubPLOs]],"&gt;=6",tbl_task4[[SubPLOs]:[SubPLOs]],"&lt;7")+SUMIFS(tbl_task5[S114],tbl_task5[[SubPLOs]:[SubPLOs]],"&gt;=6",tbl_task5[[SubPLOs]:[SubPLOs]],"&lt;7")+SUMIFS(tbl_task6[S114],tbl_task6[[SubPLOs]:[SubPLOs]],"&gt;=6",tbl_task6[[SubPLOs]:[SubPLOs]],"&lt;7")+SUMIFS(tbl_task7[S114],tbl_task7[[SubPLOs]:[SubPLOs]],"&gt;=6",tbl_task7[[SubPLOs]:[SubPLOs]],"&lt;7")+SUMIFS(tbl_task8[S114],tbl_task8[[SubPLOs]:[SubPLOs]],"&gt;=6",tbl_task8[[SubPLOs]:[SubPLOs]],"&lt;7")+SUMIFS(tbl_task9[S114],tbl_task9[[SubPLOs]:[SubPLOs]],"&gt;=6",tbl_task9[[SubPLOs]:[SubPLOs]],"&lt;7")+SUMIFS(tbl_task10[S114],tbl_task10[[SubPLOs]:[SubPLOs]],"&gt;=6",tbl_task10[[SubPLOs]:[SubPLOs]],"&lt;7")</f>
        <v>0</v>
      </c>
      <c r="DP185" s="41">
        <f>SUMIFS(tbl_task1[S115],tbl_task1[[SubPLOs]:[SubPLOs]],"&gt;=6",tbl_task1[[SubPLOs]:[SubPLOs]],"&lt;7")+SUMIFS(tbl_task2[S115],tbl_task2[[SubPLOs]:[SubPLOs]],"&gt;=6",tbl_task2[[SubPLOs]:[SubPLOs]],"&lt;7")+SUMIFS(tbl_task3[S115],tbl_task3[[SubPLOs]:[SubPLOs]],"&gt;=6",tbl_task3[[SubPLOs]:[SubPLOs]],"&lt;7")+SUMIFS(tbl_task4[S115],tbl_task4[[SubPLOs]:[SubPLOs]],"&gt;=6",tbl_task4[[SubPLOs]:[SubPLOs]],"&lt;7")+SUMIFS(tbl_task5[S115],tbl_task5[[SubPLOs]:[SubPLOs]],"&gt;=6",tbl_task5[[SubPLOs]:[SubPLOs]],"&lt;7")+SUMIFS(tbl_task6[S115],tbl_task6[[SubPLOs]:[SubPLOs]],"&gt;=6",tbl_task6[[SubPLOs]:[SubPLOs]],"&lt;7")+SUMIFS(tbl_task7[S115],tbl_task7[[SubPLOs]:[SubPLOs]],"&gt;=6",tbl_task7[[SubPLOs]:[SubPLOs]],"&lt;7")+SUMIFS(tbl_task8[S115],tbl_task8[[SubPLOs]:[SubPLOs]],"&gt;=6",tbl_task8[[SubPLOs]:[SubPLOs]],"&lt;7")+SUMIFS(tbl_task9[S115],tbl_task9[[SubPLOs]:[SubPLOs]],"&gt;=6",tbl_task9[[SubPLOs]:[SubPLOs]],"&lt;7")+SUMIFS(tbl_task10[S115],tbl_task10[[SubPLOs]:[SubPLOs]],"&gt;=6",tbl_task10[[SubPLOs]:[SubPLOs]],"&lt;7")</f>
        <v>0</v>
      </c>
      <c r="DQ185" s="41">
        <f>SUMIFS(tbl_task1[S116],tbl_task1[[SubPLOs]:[SubPLOs]],"&gt;=6",tbl_task1[[SubPLOs]:[SubPLOs]],"&lt;7")+SUMIFS(tbl_task2[S116],tbl_task2[[SubPLOs]:[SubPLOs]],"&gt;=6",tbl_task2[[SubPLOs]:[SubPLOs]],"&lt;7")+SUMIFS(tbl_task3[S116],tbl_task3[[SubPLOs]:[SubPLOs]],"&gt;=6",tbl_task3[[SubPLOs]:[SubPLOs]],"&lt;7")+SUMIFS(tbl_task4[S116],tbl_task4[[SubPLOs]:[SubPLOs]],"&gt;=6",tbl_task4[[SubPLOs]:[SubPLOs]],"&lt;7")+SUMIFS(tbl_task5[S116],tbl_task5[[SubPLOs]:[SubPLOs]],"&gt;=6",tbl_task5[[SubPLOs]:[SubPLOs]],"&lt;7")+SUMIFS(tbl_task6[S116],tbl_task6[[SubPLOs]:[SubPLOs]],"&gt;=6",tbl_task6[[SubPLOs]:[SubPLOs]],"&lt;7")+SUMIFS(tbl_task7[S116],tbl_task7[[SubPLOs]:[SubPLOs]],"&gt;=6",tbl_task7[[SubPLOs]:[SubPLOs]],"&lt;7")+SUMIFS(tbl_task8[S116],tbl_task8[[SubPLOs]:[SubPLOs]],"&gt;=6",tbl_task8[[SubPLOs]:[SubPLOs]],"&lt;7")+SUMIFS(tbl_task9[S116],tbl_task9[[SubPLOs]:[SubPLOs]],"&gt;=6",tbl_task9[[SubPLOs]:[SubPLOs]],"&lt;7")+SUMIFS(tbl_task10[S116],tbl_task10[[SubPLOs]:[SubPLOs]],"&gt;=6",tbl_task10[[SubPLOs]:[SubPLOs]],"&lt;7")</f>
        <v>0</v>
      </c>
      <c r="DR185" s="41">
        <f>SUMIFS(tbl_task1[S117],tbl_task1[[SubPLOs]:[SubPLOs]],"&gt;=6",tbl_task1[[SubPLOs]:[SubPLOs]],"&lt;7")+SUMIFS(tbl_task2[S117],tbl_task2[[SubPLOs]:[SubPLOs]],"&gt;=6",tbl_task2[[SubPLOs]:[SubPLOs]],"&lt;7")+SUMIFS(tbl_task3[S117],tbl_task3[[SubPLOs]:[SubPLOs]],"&gt;=6",tbl_task3[[SubPLOs]:[SubPLOs]],"&lt;7")+SUMIFS(tbl_task4[S117],tbl_task4[[SubPLOs]:[SubPLOs]],"&gt;=6",tbl_task4[[SubPLOs]:[SubPLOs]],"&lt;7")+SUMIFS(tbl_task5[S117],tbl_task5[[SubPLOs]:[SubPLOs]],"&gt;=6",tbl_task5[[SubPLOs]:[SubPLOs]],"&lt;7")+SUMIFS(tbl_task6[S117],tbl_task6[[SubPLOs]:[SubPLOs]],"&gt;=6",tbl_task6[[SubPLOs]:[SubPLOs]],"&lt;7")+SUMIFS(tbl_task7[S117],tbl_task7[[SubPLOs]:[SubPLOs]],"&gt;=6",tbl_task7[[SubPLOs]:[SubPLOs]],"&lt;7")+SUMIFS(tbl_task8[S117],tbl_task8[[SubPLOs]:[SubPLOs]],"&gt;=6",tbl_task8[[SubPLOs]:[SubPLOs]],"&lt;7")+SUMIFS(tbl_task9[S117],tbl_task9[[SubPLOs]:[SubPLOs]],"&gt;=6",tbl_task9[[SubPLOs]:[SubPLOs]],"&lt;7")+SUMIFS(tbl_task10[S117],tbl_task10[[SubPLOs]:[SubPLOs]],"&gt;=6",tbl_task10[[SubPLOs]:[SubPLOs]],"&lt;7")</f>
        <v>0</v>
      </c>
      <c r="DS185" s="41">
        <f>SUMIFS(tbl_task1[S118],tbl_task1[[SubPLOs]:[SubPLOs]],"&gt;=6",tbl_task1[[SubPLOs]:[SubPLOs]],"&lt;7")+SUMIFS(tbl_task2[S118],tbl_task2[[SubPLOs]:[SubPLOs]],"&gt;=6",tbl_task2[[SubPLOs]:[SubPLOs]],"&lt;7")+SUMIFS(tbl_task3[S118],tbl_task3[[SubPLOs]:[SubPLOs]],"&gt;=6",tbl_task3[[SubPLOs]:[SubPLOs]],"&lt;7")+SUMIFS(tbl_task4[S118],tbl_task4[[SubPLOs]:[SubPLOs]],"&gt;=6",tbl_task4[[SubPLOs]:[SubPLOs]],"&lt;7")+SUMIFS(tbl_task5[S118],tbl_task5[[SubPLOs]:[SubPLOs]],"&gt;=6",tbl_task5[[SubPLOs]:[SubPLOs]],"&lt;7")+SUMIFS(tbl_task6[S118],tbl_task6[[SubPLOs]:[SubPLOs]],"&gt;=6",tbl_task6[[SubPLOs]:[SubPLOs]],"&lt;7")+SUMIFS(tbl_task7[S118],tbl_task7[[SubPLOs]:[SubPLOs]],"&gt;=6",tbl_task7[[SubPLOs]:[SubPLOs]],"&lt;7")+SUMIFS(tbl_task8[S118],tbl_task8[[SubPLOs]:[SubPLOs]],"&gt;=6",tbl_task8[[SubPLOs]:[SubPLOs]],"&lt;7")+SUMIFS(tbl_task9[S118],tbl_task9[[SubPLOs]:[SubPLOs]],"&gt;=6",tbl_task9[[SubPLOs]:[SubPLOs]],"&lt;7")+SUMIFS(tbl_task10[S118],tbl_task10[[SubPLOs]:[SubPLOs]],"&gt;=6",tbl_task10[[SubPLOs]:[SubPLOs]],"&lt;7")</f>
        <v>0</v>
      </c>
      <c r="DT185" s="41">
        <f>SUMIFS(tbl_task1[S119],tbl_task1[[SubPLOs]:[SubPLOs]],"&gt;=6",tbl_task1[[SubPLOs]:[SubPLOs]],"&lt;7")+SUMIFS(tbl_task2[S119],tbl_task2[[SubPLOs]:[SubPLOs]],"&gt;=6",tbl_task2[[SubPLOs]:[SubPLOs]],"&lt;7")+SUMIFS(tbl_task3[S119],tbl_task3[[SubPLOs]:[SubPLOs]],"&gt;=6",tbl_task3[[SubPLOs]:[SubPLOs]],"&lt;7")+SUMIFS(tbl_task4[S119],tbl_task4[[SubPLOs]:[SubPLOs]],"&gt;=6",tbl_task4[[SubPLOs]:[SubPLOs]],"&lt;7")+SUMIFS(tbl_task5[S119],tbl_task5[[SubPLOs]:[SubPLOs]],"&gt;=6",tbl_task5[[SubPLOs]:[SubPLOs]],"&lt;7")+SUMIFS(tbl_task6[S119],tbl_task6[[SubPLOs]:[SubPLOs]],"&gt;=6",tbl_task6[[SubPLOs]:[SubPLOs]],"&lt;7")+SUMIFS(tbl_task7[S119],tbl_task7[[SubPLOs]:[SubPLOs]],"&gt;=6",tbl_task7[[SubPLOs]:[SubPLOs]],"&lt;7")+SUMIFS(tbl_task8[S119],tbl_task8[[SubPLOs]:[SubPLOs]],"&gt;=6",tbl_task8[[SubPLOs]:[SubPLOs]],"&lt;7")+SUMIFS(tbl_task9[S119],tbl_task9[[SubPLOs]:[SubPLOs]],"&gt;=6",tbl_task9[[SubPLOs]:[SubPLOs]],"&lt;7")+SUMIFS(tbl_task10[S119],tbl_task10[[SubPLOs]:[SubPLOs]],"&gt;=6",tbl_task10[[SubPLOs]:[SubPLOs]],"&lt;7")</f>
        <v>0</v>
      </c>
      <c r="DU185" s="41">
        <f>SUMIFS(tbl_task1[S120],tbl_task1[[SubPLOs]:[SubPLOs]],"&gt;=6",tbl_task1[[SubPLOs]:[SubPLOs]],"&lt;7")+SUMIFS(tbl_task2[S120],tbl_task2[[SubPLOs]:[SubPLOs]],"&gt;=6",tbl_task2[[SubPLOs]:[SubPLOs]],"&lt;7")+SUMIFS(tbl_task3[S120],tbl_task3[[SubPLOs]:[SubPLOs]],"&gt;=6",tbl_task3[[SubPLOs]:[SubPLOs]],"&lt;7")+SUMIFS(tbl_task4[S120],tbl_task4[[SubPLOs]:[SubPLOs]],"&gt;=6",tbl_task4[[SubPLOs]:[SubPLOs]],"&lt;7")+SUMIFS(tbl_task5[S120],tbl_task5[[SubPLOs]:[SubPLOs]],"&gt;=6",tbl_task5[[SubPLOs]:[SubPLOs]],"&lt;7")+SUMIFS(tbl_task6[S120],tbl_task6[[SubPLOs]:[SubPLOs]],"&gt;=6",tbl_task6[[SubPLOs]:[SubPLOs]],"&lt;7")+SUMIFS(tbl_task7[S120],tbl_task7[[SubPLOs]:[SubPLOs]],"&gt;=6",tbl_task7[[SubPLOs]:[SubPLOs]],"&lt;7")+SUMIFS(tbl_task8[S120],tbl_task8[[SubPLOs]:[SubPLOs]],"&gt;=6",tbl_task8[[SubPLOs]:[SubPLOs]],"&lt;7")+SUMIFS(tbl_task9[S120],tbl_task9[[SubPLOs]:[SubPLOs]],"&gt;=6",tbl_task9[[SubPLOs]:[SubPLOs]],"&lt;7")+SUMIFS(tbl_task10[S120],tbl_task10[[SubPLOs]:[SubPLOs]],"&gt;=6",tbl_task10[[SubPLOs]:[SubPLOs]],"&lt;7")</f>
        <v>0</v>
      </c>
      <c r="DV185" s="41">
        <f>SUMIFS(tbl_task1[S121],tbl_task1[[SubPLOs]:[SubPLOs]],"&gt;=6",tbl_task1[[SubPLOs]:[SubPLOs]],"&lt;7")+SUMIFS(tbl_task2[S121],tbl_task2[[SubPLOs]:[SubPLOs]],"&gt;=6",tbl_task2[[SubPLOs]:[SubPLOs]],"&lt;7")+SUMIFS(tbl_task3[S121],tbl_task3[[SubPLOs]:[SubPLOs]],"&gt;=6",tbl_task3[[SubPLOs]:[SubPLOs]],"&lt;7")+SUMIFS(tbl_task4[S121],tbl_task4[[SubPLOs]:[SubPLOs]],"&gt;=6",tbl_task4[[SubPLOs]:[SubPLOs]],"&lt;7")+SUMIFS(tbl_task5[S121],tbl_task5[[SubPLOs]:[SubPLOs]],"&gt;=6",tbl_task5[[SubPLOs]:[SubPLOs]],"&lt;7")+SUMIFS(tbl_task6[S121],tbl_task6[[SubPLOs]:[SubPLOs]],"&gt;=6",tbl_task6[[SubPLOs]:[SubPLOs]],"&lt;7")+SUMIFS(tbl_task7[S121],tbl_task7[[SubPLOs]:[SubPLOs]],"&gt;=6",tbl_task7[[SubPLOs]:[SubPLOs]],"&lt;7")+SUMIFS(tbl_task8[S121],tbl_task8[[SubPLOs]:[SubPLOs]],"&gt;=6",tbl_task8[[SubPLOs]:[SubPLOs]],"&lt;7")+SUMIFS(tbl_task9[S121],tbl_task9[[SubPLOs]:[SubPLOs]],"&gt;=6",tbl_task9[[SubPLOs]:[SubPLOs]],"&lt;7")+SUMIFS(tbl_task10[S121],tbl_task10[[SubPLOs]:[SubPLOs]],"&gt;=6",tbl_task10[[SubPLOs]:[SubPLOs]],"&lt;7")</f>
        <v>0</v>
      </c>
      <c r="DW185" s="41">
        <f>SUMIFS(tbl_task1[S122],tbl_task1[[SubPLOs]:[SubPLOs]],"&gt;=6",tbl_task1[[SubPLOs]:[SubPLOs]],"&lt;7")+SUMIFS(tbl_task2[S122],tbl_task2[[SubPLOs]:[SubPLOs]],"&gt;=6",tbl_task2[[SubPLOs]:[SubPLOs]],"&lt;7")+SUMIFS(tbl_task3[S122],tbl_task3[[SubPLOs]:[SubPLOs]],"&gt;=6",tbl_task3[[SubPLOs]:[SubPLOs]],"&lt;7")+SUMIFS(tbl_task4[S122],tbl_task4[[SubPLOs]:[SubPLOs]],"&gt;=6",tbl_task4[[SubPLOs]:[SubPLOs]],"&lt;7")+SUMIFS(tbl_task5[S122],tbl_task5[[SubPLOs]:[SubPLOs]],"&gt;=6",tbl_task5[[SubPLOs]:[SubPLOs]],"&lt;7")+SUMIFS(tbl_task6[S122],tbl_task6[[SubPLOs]:[SubPLOs]],"&gt;=6",tbl_task6[[SubPLOs]:[SubPLOs]],"&lt;7")+SUMIFS(tbl_task7[S122],tbl_task7[[SubPLOs]:[SubPLOs]],"&gt;=6",tbl_task7[[SubPLOs]:[SubPLOs]],"&lt;7")+SUMIFS(tbl_task8[S122],tbl_task8[[SubPLOs]:[SubPLOs]],"&gt;=6",tbl_task8[[SubPLOs]:[SubPLOs]],"&lt;7")+SUMIFS(tbl_task9[S122],tbl_task9[[SubPLOs]:[SubPLOs]],"&gt;=6",tbl_task9[[SubPLOs]:[SubPLOs]],"&lt;7")+SUMIFS(tbl_task10[S122],tbl_task10[[SubPLOs]:[SubPLOs]],"&gt;=6",tbl_task10[[SubPLOs]:[SubPLOs]],"&lt;7")</f>
        <v>0</v>
      </c>
      <c r="DX185" s="41">
        <f>SUMIFS(tbl_task1[S123],tbl_task1[[SubPLOs]:[SubPLOs]],"&gt;=6",tbl_task1[[SubPLOs]:[SubPLOs]],"&lt;7")+SUMIFS(tbl_task2[S123],tbl_task2[[SubPLOs]:[SubPLOs]],"&gt;=6",tbl_task2[[SubPLOs]:[SubPLOs]],"&lt;7")+SUMIFS(tbl_task3[S123],tbl_task3[[SubPLOs]:[SubPLOs]],"&gt;=6",tbl_task3[[SubPLOs]:[SubPLOs]],"&lt;7")+SUMIFS(tbl_task4[S123],tbl_task4[[SubPLOs]:[SubPLOs]],"&gt;=6",tbl_task4[[SubPLOs]:[SubPLOs]],"&lt;7")+SUMIFS(tbl_task5[S123],tbl_task5[[SubPLOs]:[SubPLOs]],"&gt;=6",tbl_task5[[SubPLOs]:[SubPLOs]],"&lt;7")+SUMIFS(tbl_task6[S123],tbl_task6[[SubPLOs]:[SubPLOs]],"&gt;=6",tbl_task6[[SubPLOs]:[SubPLOs]],"&lt;7")+SUMIFS(tbl_task7[S123],tbl_task7[[SubPLOs]:[SubPLOs]],"&gt;=6",tbl_task7[[SubPLOs]:[SubPLOs]],"&lt;7")+SUMIFS(tbl_task8[S123],tbl_task8[[SubPLOs]:[SubPLOs]],"&gt;=6",tbl_task8[[SubPLOs]:[SubPLOs]],"&lt;7")+SUMIFS(tbl_task9[S123],tbl_task9[[SubPLOs]:[SubPLOs]],"&gt;=6",tbl_task9[[SubPLOs]:[SubPLOs]],"&lt;7")+SUMIFS(tbl_task10[S123],tbl_task10[[SubPLOs]:[SubPLOs]],"&gt;=6",tbl_task10[[SubPLOs]:[SubPLOs]],"&lt;7")</f>
        <v>0</v>
      </c>
      <c r="DY185" s="41">
        <f>SUMIFS(tbl_task1[S124],tbl_task1[[SubPLOs]:[SubPLOs]],"&gt;=6",tbl_task1[[SubPLOs]:[SubPLOs]],"&lt;7")+SUMIFS(tbl_task2[S124],tbl_task2[[SubPLOs]:[SubPLOs]],"&gt;=6",tbl_task2[[SubPLOs]:[SubPLOs]],"&lt;7")+SUMIFS(tbl_task3[S124],tbl_task3[[SubPLOs]:[SubPLOs]],"&gt;=6",tbl_task3[[SubPLOs]:[SubPLOs]],"&lt;7")+SUMIFS(tbl_task4[S124],tbl_task4[[SubPLOs]:[SubPLOs]],"&gt;=6",tbl_task4[[SubPLOs]:[SubPLOs]],"&lt;7")+SUMIFS(tbl_task5[S124],tbl_task5[[SubPLOs]:[SubPLOs]],"&gt;=6",tbl_task5[[SubPLOs]:[SubPLOs]],"&lt;7")+SUMIFS(tbl_task6[S124],tbl_task6[[SubPLOs]:[SubPLOs]],"&gt;=6",tbl_task6[[SubPLOs]:[SubPLOs]],"&lt;7")+SUMIFS(tbl_task7[S124],tbl_task7[[SubPLOs]:[SubPLOs]],"&gt;=6",tbl_task7[[SubPLOs]:[SubPLOs]],"&lt;7")+SUMIFS(tbl_task8[S124],tbl_task8[[SubPLOs]:[SubPLOs]],"&gt;=6",tbl_task8[[SubPLOs]:[SubPLOs]],"&lt;7")+SUMIFS(tbl_task9[S124],tbl_task9[[SubPLOs]:[SubPLOs]],"&gt;=6",tbl_task9[[SubPLOs]:[SubPLOs]],"&lt;7")+SUMIFS(tbl_task10[S124],tbl_task10[[SubPLOs]:[SubPLOs]],"&gt;=6",tbl_task10[[SubPLOs]:[SubPLOs]],"&lt;7")</f>
        <v>0</v>
      </c>
      <c r="DZ185" s="41">
        <f>SUMIFS(tbl_task1[S125],tbl_task1[[SubPLOs]:[SubPLOs]],"&gt;=6",tbl_task1[[SubPLOs]:[SubPLOs]],"&lt;7")+SUMIFS(tbl_task2[S125],tbl_task2[[SubPLOs]:[SubPLOs]],"&gt;=6",tbl_task2[[SubPLOs]:[SubPLOs]],"&lt;7")+SUMIFS(tbl_task3[S125],tbl_task3[[SubPLOs]:[SubPLOs]],"&gt;=6",tbl_task3[[SubPLOs]:[SubPLOs]],"&lt;7")+SUMIFS(tbl_task4[S125],tbl_task4[[SubPLOs]:[SubPLOs]],"&gt;=6",tbl_task4[[SubPLOs]:[SubPLOs]],"&lt;7")+SUMIFS(tbl_task5[S125],tbl_task5[[SubPLOs]:[SubPLOs]],"&gt;=6",tbl_task5[[SubPLOs]:[SubPLOs]],"&lt;7")+SUMIFS(tbl_task6[S125],tbl_task6[[SubPLOs]:[SubPLOs]],"&gt;=6",tbl_task6[[SubPLOs]:[SubPLOs]],"&lt;7")+SUMIFS(tbl_task7[S125],tbl_task7[[SubPLOs]:[SubPLOs]],"&gt;=6",tbl_task7[[SubPLOs]:[SubPLOs]],"&lt;7")+SUMIFS(tbl_task8[S125],tbl_task8[[SubPLOs]:[SubPLOs]],"&gt;=6",tbl_task8[[SubPLOs]:[SubPLOs]],"&lt;7")+SUMIFS(tbl_task9[S125],tbl_task9[[SubPLOs]:[SubPLOs]],"&gt;=6",tbl_task9[[SubPLOs]:[SubPLOs]],"&lt;7")+SUMIFS(tbl_task10[S125],tbl_task10[[SubPLOs]:[SubPLOs]],"&gt;=6",tbl_task10[[SubPLOs]:[SubPLOs]],"&lt;7")</f>
        <v>0</v>
      </c>
      <c r="EA185" s="41">
        <f>SUMIFS(tbl_task1[S126],tbl_task1[[SubPLOs]:[SubPLOs]],"&gt;=6",tbl_task1[[SubPLOs]:[SubPLOs]],"&lt;7")+SUMIFS(tbl_task2[S126],tbl_task2[[SubPLOs]:[SubPLOs]],"&gt;=6",tbl_task2[[SubPLOs]:[SubPLOs]],"&lt;7")+SUMIFS(tbl_task3[S126],tbl_task3[[SubPLOs]:[SubPLOs]],"&gt;=6",tbl_task3[[SubPLOs]:[SubPLOs]],"&lt;7")+SUMIFS(tbl_task4[S126],tbl_task4[[SubPLOs]:[SubPLOs]],"&gt;=6",tbl_task4[[SubPLOs]:[SubPLOs]],"&lt;7")+SUMIFS(tbl_task5[S126],tbl_task5[[SubPLOs]:[SubPLOs]],"&gt;=6",tbl_task5[[SubPLOs]:[SubPLOs]],"&lt;7")+SUMIFS(tbl_task6[S126],tbl_task6[[SubPLOs]:[SubPLOs]],"&gt;=6",tbl_task6[[SubPLOs]:[SubPLOs]],"&lt;7")+SUMIFS(tbl_task7[S126],tbl_task7[[SubPLOs]:[SubPLOs]],"&gt;=6",tbl_task7[[SubPLOs]:[SubPLOs]],"&lt;7")+SUMIFS(tbl_task8[S126],tbl_task8[[SubPLOs]:[SubPLOs]],"&gt;=6",tbl_task8[[SubPLOs]:[SubPLOs]],"&lt;7")+SUMIFS(tbl_task9[S126],tbl_task9[[SubPLOs]:[SubPLOs]],"&gt;=6",tbl_task9[[SubPLOs]:[SubPLOs]],"&lt;7")+SUMIFS(tbl_task10[S126],tbl_task10[[SubPLOs]:[SubPLOs]],"&gt;=6",tbl_task10[[SubPLOs]:[SubPLOs]],"&lt;7")</f>
        <v>0</v>
      </c>
      <c r="EB185" s="41">
        <f>SUMIFS(tbl_task1[S127],tbl_task1[[SubPLOs]:[SubPLOs]],"&gt;=6",tbl_task1[[SubPLOs]:[SubPLOs]],"&lt;7")+SUMIFS(tbl_task2[S127],tbl_task2[[SubPLOs]:[SubPLOs]],"&gt;=6",tbl_task2[[SubPLOs]:[SubPLOs]],"&lt;7")+SUMIFS(tbl_task3[S127],tbl_task3[[SubPLOs]:[SubPLOs]],"&gt;=6",tbl_task3[[SubPLOs]:[SubPLOs]],"&lt;7")+SUMIFS(tbl_task4[S127],tbl_task4[[SubPLOs]:[SubPLOs]],"&gt;=6",tbl_task4[[SubPLOs]:[SubPLOs]],"&lt;7")+SUMIFS(tbl_task5[S127],tbl_task5[[SubPLOs]:[SubPLOs]],"&gt;=6",tbl_task5[[SubPLOs]:[SubPLOs]],"&lt;7")+SUMIFS(tbl_task6[S127],tbl_task6[[SubPLOs]:[SubPLOs]],"&gt;=6",tbl_task6[[SubPLOs]:[SubPLOs]],"&lt;7")+SUMIFS(tbl_task7[S127],tbl_task7[[SubPLOs]:[SubPLOs]],"&gt;=6",tbl_task7[[SubPLOs]:[SubPLOs]],"&lt;7")+SUMIFS(tbl_task8[S127],tbl_task8[[SubPLOs]:[SubPLOs]],"&gt;=6",tbl_task8[[SubPLOs]:[SubPLOs]],"&lt;7")+SUMIFS(tbl_task9[S127],tbl_task9[[SubPLOs]:[SubPLOs]],"&gt;=6",tbl_task9[[SubPLOs]:[SubPLOs]],"&lt;7")+SUMIFS(tbl_task10[S127],tbl_task10[[SubPLOs]:[SubPLOs]],"&gt;=6",tbl_task10[[SubPLOs]:[SubPLOs]],"&lt;7")</f>
        <v>0</v>
      </c>
      <c r="EC185" s="41">
        <f>SUMIFS(tbl_task1[S128],tbl_task1[[SubPLOs]:[SubPLOs]],"&gt;=6",tbl_task1[[SubPLOs]:[SubPLOs]],"&lt;7")+SUMIFS(tbl_task2[S128],tbl_task2[[SubPLOs]:[SubPLOs]],"&gt;=6",tbl_task2[[SubPLOs]:[SubPLOs]],"&lt;7")+SUMIFS(tbl_task3[S128],tbl_task3[[SubPLOs]:[SubPLOs]],"&gt;=6",tbl_task3[[SubPLOs]:[SubPLOs]],"&lt;7")+SUMIFS(tbl_task4[S128],tbl_task4[[SubPLOs]:[SubPLOs]],"&gt;=6",tbl_task4[[SubPLOs]:[SubPLOs]],"&lt;7")+SUMIFS(tbl_task5[S128],tbl_task5[[SubPLOs]:[SubPLOs]],"&gt;=6",tbl_task5[[SubPLOs]:[SubPLOs]],"&lt;7")+SUMIFS(tbl_task6[S128],tbl_task6[[SubPLOs]:[SubPLOs]],"&gt;=6",tbl_task6[[SubPLOs]:[SubPLOs]],"&lt;7")+SUMIFS(tbl_task7[S128],tbl_task7[[SubPLOs]:[SubPLOs]],"&gt;=6",tbl_task7[[SubPLOs]:[SubPLOs]],"&lt;7")+SUMIFS(tbl_task8[S128],tbl_task8[[SubPLOs]:[SubPLOs]],"&gt;=6",tbl_task8[[SubPLOs]:[SubPLOs]],"&lt;7")+SUMIFS(tbl_task9[S128],tbl_task9[[SubPLOs]:[SubPLOs]],"&gt;=6",tbl_task9[[SubPLOs]:[SubPLOs]],"&lt;7")+SUMIFS(tbl_task10[S128],tbl_task10[[SubPLOs]:[SubPLOs]],"&gt;=6",tbl_task10[[SubPLOs]:[SubPLOs]],"&lt;7")</f>
        <v>0</v>
      </c>
      <c r="ED185" s="41">
        <f>SUMIFS(tbl_task1[S129],tbl_task1[[SubPLOs]:[SubPLOs]],"&gt;=6",tbl_task1[[SubPLOs]:[SubPLOs]],"&lt;7")+SUMIFS(tbl_task2[S129],tbl_task2[[SubPLOs]:[SubPLOs]],"&gt;=6",tbl_task2[[SubPLOs]:[SubPLOs]],"&lt;7")+SUMIFS(tbl_task3[S129],tbl_task3[[SubPLOs]:[SubPLOs]],"&gt;=6",tbl_task3[[SubPLOs]:[SubPLOs]],"&lt;7")+SUMIFS(tbl_task4[S129],tbl_task4[[SubPLOs]:[SubPLOs]],"&gt;=6",tbl_task4[[SubPLOs]:[SubPLOs]],"&lt;7")+SUMIFS(tbl_task5[S129],tbl_task5[[SubPLOs]:[SubPLOs]],"&gt;=6",tbl_task5[[SubPLOs]:[SubPLOs]],"&lt;7")+SUMIFS(tbl_task6[S129],tbl_task6[[SubPLOs]:[SubPLOs]],"&gt;=6",tbl_task6[[SubPLOs]:[SubPLOs]],"&lt;7")+SUMIFS(tbl_task7[S129],tbl_task7[[SubPLOs]:[SubPLOs]],"&gt;=6",tbl_task7[[SubPLOs]:[SubPLOs]],"&lt;7")+SUMIFS(tbl_task8[S129],tbl_task8[[SubPLOs]:[SubPLOs]],"&gt;=6",tbl_task8[[SubPLOs]:[SubPLOs]],"&lt;7")+SUMIFS(tbl_task9[S129],tbl_task9[[SubPLOs]:[SubPLOs]],"&gt;=6",tbl_task9[[SubPLOs]:[SubPLOs]],"&lt;7")+SUMIFS(tbl_task10[S129],tbl_task10[[SubPLOs]:[SubPLOs]],"&gt;=6",tbl_task10[[SubPLOs]:[SubPLOs]],"&lt;7")</f>
        <v>0</v>
      </c>
      <c r="EE185" s="41">
        <f>SUMIFS(tbl_task1[S130],tbl_task1[[SubPLOs]:[SubPLOs]],"&gt;=6",tbl_task1[[SubPLOs]:[SubPLOs]],"&lt;7")+SUMIFS(tbl_task2[S130],tbl_task2[[SubPLOs]:[SubPLOs]],"&gt;=6",tbl_task2[[SubPLOs]:[SubPLOs]],"&lt;7")+SUMIFS(tbl_task3[S130],tbl_task3[[SubPLOs]:[SubPLOs]],"&gt;=6",tbl_task3[[SubPLOs]:[SubPLOs]],"&lt;7")+SUMIFS(tbl_task4[S130],tbl_task4[[SubPLOs]:[SubPLOs]],"&gt;=6",tbl_task4[[SubPLOs]:[SubPLOs]],"&lt;7")+SUMIFS(tbl_task5[S130],tbl_task5[[SubPLOs]:[SubPLOs]],"&gt;=6",tbl_task5[[SubPLOs]:[SubPLOs]],"&lt;7")+SUMIFS(tbl_task6[S130],tbl_task6[[SubPLOs]:[SubPLOs]],"&gt;=6",tbl_task6[[SubPLOs]:[SubPLOs]],"&lt;7")+SUMIFS(tbl_task7[S130],tbl_task7[[SubPLOs]:[SubPLOs]],"&gt;=6",tbl_task7[[SubPLOs]:[SubPLOs]],"&lt;7")+SUMIFS(tbl_task8[S130],tbl_task8[[SubPLOs]:[SubPLOs]],"&gt;=6",tbl_task8[[SubPLOs]:[SubPLOs]],"&lt;7")+SUMIFS(tbl_task9[S130],tbl_task9[[SubPLOs]:[SubPLOs]],"&gt;=6",tbl_task9[[SubPLOs]:[SubPLOs]],"&lt;7")+SUMIFS(tbl_task10[S130],tbl_task10[[SubPLOs]:[SubPLOs]],"&gt;=6",tbl_task10[[SubPLOs]:[SubPLOs]],"&lt;7")</f>
        <v>0</v>
      </c>
      <c r="EF185" s="41">
        <f>SUMIFS(tbl_task1[S131],tbl_task1[[SubPLOs]:[SubPLOs]],"&gt;=6",tbl_task1[[SubPLOs]:[SubPLOs]],"&lt;7")+SUMIFS(tbl_task2[S131],tbl_task2[[SubPLOs]:[SubPLOs]],"&gt;=6",tbl_task2[[SubPLOs]:[SubPLOs]],"&lt;7")+SUMIFS(tbl_task3[S131],tbl_task3[[SubPLOs]:[SubPLOs]],"&gt;=6",tbl_task3[[SubPLOs]:[SubPLOs]],"&lt;7")+SUMIFS(tbl_task4[S131],tbl_task4[[SubPLOs]:[SubPLOs]],"&gt;=6",tbl_task4[[SubPLOs]:[SubPLOs]],"&lt;7")+SUMIFS(tbl_task5[S131],tbl_task5[[SubPLOs]:[SubPLOs]],"&gt;=6",tbl_task5[[SubPLOs]:[SubPLOs]],"&lt;7")+SUMIFS(tbl_task6[S131],tbl_task6[[SubPLOs]:[SubPLOs]],"&gt;=6",tbl_task6[[SubPLOs]:[SubPLOs]],"&lt;7")+SUMIFS(tbl_task7[S131],tbl_task7[[SubPLOs]:[SubPLOs]],"&gt;=6",tbl_task7[[SubPLOs]:[SubPLOs]],"&lt;7")+SUMIFS(tbl_task8[S131],tbl_task8[[SubPLOs]:[SubPLOs]],"&gt;=6",tbl_task8[[SubPLOs]:[SubPLOs]],"&lt;7")+SUMIFS(tbl_task9[S131],tbl_task9[[SubPLOs]:[SubPLOs]],"&gt;=6",tbl_task9[[SubPLOs]:[SubPLOs]],"&lt;7")+SUMIFS(tbl_task10[S131],tbl_task10[[SubPLOs]:[SubPLOs]],"&gt;=6",tbl_task10[[SubPLOs]:[SubPLOs]],"&lt;7")</f>
        <v>0</v>
      </c>
      <c r="EG185" s="41">
        <f>SUMIFS(tbl_task1[S132],tbl_task1[[SubPLOs]:[SubPLOs]],"&gt;=6",tbl_task1[[SubPLOs]:[SubPLOs]],"&lt;7")+SUMIFS(tbl_task2[S132],tbl_task2[[SubPLOs]:[SubPLOs]],"&gt;=6",tbl_task2[[SubPLOs]:[SubPLOs]],"&lt;7")+SUMIFS(tbl_task3[S132],tbl_task3[[SubPLOs]:[SubPLOs]],"&gt;=6",tbl_task3[[SubPLOs]:[SubPLOs]],"&lt;7")+SUMIFS(tbl_task4[S132],tbl_task4[[SubPLOs]:[SubPLOs]],"&gt;=6",tbl_task4[[SubPLOs]:[SubPLOs]],"&lt;7")+SUMIFS(tbl_task5[S132],tbl_task5[[SubPLOs]:[SubPLOs]],"&gt;=6",tbl_task5[[SubPLOs]:[SubPLOs]],"&lt;7")+SUMIFS(tbl_task6[S132],tbl_task6[[SubPLOs]:[SubPLOs]],"&gt;=6",tbl_task6[[SubPLOs]:[SubPLOs]],"&lt;7")+SUMIFS(tbl_task7[S132],tbl_task7[[SubPLOs]:[SubPLOs]],"&gt;=6",tbl_task7[[SubPLOs]:[SubPLOs]],"&lt;7")+SUMIFS(tbl_task8[S132],tbl_task8[[SubPLOs]:[SubPLOs]],"&gt;=6",tbl_task8[[SubPLOs]:[SubPLOs]],"&lt;7")+SUMIFS(tbl_task9[S132],tbl_task9[[SubPLOs]:[SubPLOs]],"&gt;=6",tbl_task9[[SubPLOs]:[SubPLOs]],"&lt;7")+SUMIFS(tbl_task10[S132],tbl_task10[[SubPLOs]:[SubPLOs]],"&gt;=6",tbl_task10[[SubPLOs]:[SubPLOs]],"&lt;7")</f>
        <v>0</v>
      </c>
      <c r="EH185" s="41">
        <f>SUMIFS(tbl_task1[S133],tbl_task1[[SubPLOs]:[SubPLOs]],"&gt;=6",tbl_task1[[SubPLOs]:[SubPLOs]],"&lt;7")+SUMIFS(tbl_task2[S133],tbl_task2[[SubPLOs]:[SubPLOs]],"&gt;=6",tbl_task2[[SubPLOs]:[SubPLOs]],"&lt;7")+SUMIFS(tbl_task3[S133],tbl_task3[[SubPLOs]:[SubPLOs]],"&gt;=6",tbl_task3[[SubPLOs]:[SubPLOs]],"&lt;7")+SUMIFS(tbl_task4[S133],tbl_task4[[SubPLOs]:[SubPLOs]],"&gt;=6",tbl_task4[[SubPLOs]:[SubPLOs]],"&lt;7")+SUMIFS(tbl_task5[S133],tbl_task5[[SubPLOs]:[SubPLOs]],"&gt;=6",tbl_task5[[SubPLOs]:[SubPLOs]],"&lt;7")+SUMIFS(tbl_task6[S133],tbl_task6[[SubPLOs]:[SubPLOs]],"&gt;=6",tbl_task6[[SubPLOs]:[SubPLOs]],"&lt;7")+SUMIFS(tbl_task7[S133],tbl_task7[[SubPLOs]:[SubPLOs]],"&gt;=6",tbl_task7[[SubPLOs]:[SubPLOs]],"&lt;7")+SUMIFS(tbl_task8[S133],tbl_task8[[SubPLOs]:[SubPLOs]],"&gt;=6",tbl_task8[[SubPLOs]:[SubPLOs]],"&lt;7")+SUMIFS(tbl_task9[S133],tbl_task9[[SubPLOs]:[SubPLOs]],"&gt;=6",tbl_task9[[SubPLOs]:[SubPLOs]],"&lt;7")+SUMIFS(tbl_task10[S133],tbl_task10[[SubPLOs]:[SubPLOs]],"&gt;=6",tbl_task10[[SubPLOs]:[SubPLOs]],"&lt;7")</f>
        <v>0</v>
      </c>
      <c r="EI185" s="41">
        <f>SUMIFS(tbl_task1[S134],tbl_task1[[SubPLOs]:[SubPLOs]],"&gt;=6",tbl_task1[[SubPLOs]:[SubPLOs]],"&lt;7")+SUMIFS(tbl_task2[S134],tbl_task2[[SubPLOs]:[SubPLOs]],"&gt;=6",tbl_task2[[SubPLOs]:[SubPLOs]],"&lt;7")+SUMIFS(tbl_task3[S134],tbl_task3[[SubPLOs]:[SubPLOs]],"&gt;=6",tbl_task3[[SubPLOs]:[SubPLOs]],"&lt;7")+SUMIFS(tbl_task4[S134],tbl_task4[[SubPLOs]:[SubPLOs]],"&gt;=6",tbl_task4[[SubPLOs]:[SubPLOs]],"&lt;7")+SUMIFS(tbl_task5[S134],tbl_task5[[SubPLOs]:[SubPLOs]],"&gt;=6",tbl_task5[[SubPLOs]:[SubPLOs]],"&lt;7")+SUMIFS(tbl_task6[S134],tbl_task6[[SubPLOs]:[SubPLOs]],"&gt;=6",tbl_task6[[SubPLOs]:[SubPLOs]],"&lt;7")+SUMIFS(tbl_task7[S134],tbl_task7[[SubPLOs]:[SubPLOs]],"&gt;=6",tbl_task7[[SubPLOs]:[SubPLOs]],"&lt;7")+SUMIFS(tbl_task8[S134],tbl_task8[[SubPLOs]:[SubPLOs]],"&gt;=6",tbl_task8[[SubPLOs]:[SubPLOs]],"&lt;7")+SUMIFS(tbl_task9[S134],tbl_task9[[SubPLOs]:[SubPLOs]],"&gt;=6",tbl_task9[[SubPLOs]:[SubPLOs]],"&lt;7")+SUMIFS(tbl_task10[S134],tbl_task10[[SubPLOs]:[SubPLOs]],"&gt;=6",tbl_task10[[SubPLOs]:[SubPLOs]],"&lt;7")</f>
        <v>0</v>
      </c>
      <c r="EJ185" s="41">
        <f>SUMIFS(tbl_task1[S135],tbl_task1[[SubPLOs]:[SubPLOs]],"&gt;=6",tbl_task1[[SubPLOs]:[SubPLOs]],"&lt;7")+SUMIFS(tbl_task2[S135],tbl_task2[[SubPLOs]:[SubPLOs]],"&gt;=6",tbl_task2[[SubPLOs]:[SubPLOs]],"&lt;7")+SUMIFS(tbl_task3[S135],tbl_task3[[SubPLOs]:[SubPLOs]],"&gt;=6",tbl_task3[[SubPLOs]:[SubPLOs]],"&lt;7")+SUMIFS(tbl_task4[S135],tbl_task4[[SubPLOs]:[SubPLOs]],"&gt;=6",tbl_task4[[SubPLOs]:[SubPLOs]],"&lt;7")+SUMIFS(tbl_task5[S135],tbl_task5[[SubPLOs]:[SubPLOs]],"&gt;=6",tbl_task5[[SubPLOs]:[SubPLOs]],"&lt;7")+SUMIFS(tbl_task6[S135],tbl_task6[[SubPLOs]:[SubPLOs]],"&gt;=6",tbl_task6[[SubPLOs]:[SubPLOs]],"&lt;7")+SUMIFS(tbl_task7[S135],tbl_task7[[SubPLOs]:[SubPLOs]],"&gt;=6",tbl_task7[[SubPLOs]:[SubPLOs]],"&lt;7")+SUMIFS(tbl_task8[S135],tbl_task8[[SubPLOs]:[SubPLOs]],"&gt;=6",tbl_task8[[SubPLOs]:[SubPLOs]],"&lt;7")+SUMIFS(tbl_task9[S135],tbl_task9[[SubPLOs]:[SubPLOs]],"&gt;=6",tbl_task9[[SubPLOs]:[SubPLOs]],"&lt;7")+SUMIFS(tbl_task10[S135],tbl_task10[[SubPLOs]:[SubPLOs]],"&gt;=6",tbl_task10[[SubPLOs]:[SubPLOs]],"&lt;7")</f>
        <v>0</v>
      </c>
      <c r="EK185" s="41">
        <f>SUMIFS(tbl_task1[S136],tbl_task1[[SubPLOs]:[SubPLOs]],"&gt;=6",tbl_task1[[SubPLOs]:[SubPLOs]],"&lt;7")+SUMIFS(tbl_task2[S136],tbl_task2[[SubPLOs]:[SubPLOs]],"&gt;=6",tbl_task2[[SubPLOs]:[SubPLOs]],"&lt;7")+SUMIFS(tbl_task3[S136],tbl_task3[[SubPLOs]:[SubPLOs]],"&gt;=6",tbl_task3[[SubPLOs]:[SubPLOs]],"&lt;7")+SUMIFS(tbl_task4[S136],tbl_task4[[SubPLOs]:[SubPLOs]],"&gt;=6",tbl_task4[[SubPLOs]:[SubPLOs]],"&lt;7")+SUMIFS(tbl_task5[S136],tbl_task5[[SubPLOs]:[SubPLOs]],"&gt;=6",tbl_task5[[SubPLOs]:[SubPLOs]],"&lt;7")+SUMIFS(tbl_task6[S136],tbl_task6[[SubPLOs]:[SubPLOs]],"&gt;=6",tbl_task6[[SubPLOs]:[SubPLOs]],"&lt;7")+SUMIFS(tbl_task7[S136],tbl_task7[[SubPLOs]:[SubPLOs]],"&gt;=6",tbl_task7[[SubPLOs]:[SubPLOs]],"&lt;7")+SUMIFS(tbl_task8[S136],tbl_task8[[SubPLOs]:[SubPLOs]],"&gt;=6",tbl_task8[[SubPLOs]:[SubPLOs]],"&lt;7")+SUMIFS(tbl_task9[S136],tbl_task9[[SubPLOs]:[SubPLOs]],"&gt;=6",tbl_task9[[SubPLOs]:[SubPLOs]],"&lt;7")+SUMIFS(tbl_task10[S136],tbl_task10[[SubPLOs]:[SubPLOs]],"&gt;=6",tbl_task10[[SubPLOs]:[SubPLOs]],"&lt;7")</f>
        <v>0</v>
      </c>
      <c r="EL185" s="41">
        <f>SUMIFS(tbl_task1[S137],tbl_task1[[SubPLOs]:[SubPLOs]],"&gt;=6",tbl_task1[[SubPLOs]:[SubPLOs]],"&lt;7")+SUMIFS(tbl_task2[S137],tbl_task2[[SubPLOs]:[SubPLOs]],"&gt;=6",tbl_task2[[SubPLOs]:[SubPLOs]],"&lt;7")+SUMIFS(tbl_task3[S137],tbl_task3[[SubPLOs]:[SubPLOs]],"&gt;=6",tbl_task3[[SubPLOs]:[SubPLOs]],"&lt;7")+SUMIFS(tbl_task4[S137],tbl_task4[[SubPLOs]:[SubPLOs]],"&gt;=6",tbl_task4[[SubPLOs]:[SubPLOs]],"&lt;7")+SUMIFS(tbl_task5[S137],tbl_task5[[SubPLOs]:[SubPLOs]],"&gt;=6",tbl_task5[[SubPLOs]:[SubPLOs]],"&lt;7")+SUMIFS(tbl_task6[S137],tbl_task6[[SubPLOs]:[SubPLOs]],"&gt;=6",tbl_task6[[SubPLOs]:[SubPLOs]],"&lt;7")+SUMIFS(tbl_task7[S137],tbl_task7[[SubPLOs]:[SubPLOs]],"&gt;=6",tbl_task7[[SubPLOs]:[SubPLOs]],"&lt;7")+SUMIFS(tbl_task8[S137],tbl_task8[[SubPLOs]:[SubPLOs]],"&gt;=6",tbl_task8[[SubPLOs]:[SubPLOs]],"&lt;7")+SUMIFS(tbl_task9[S137],tbl_task9[[SubPLOs]:[SubPLOs]],"&gt;=6",tbl_task9[[SubPLOs]:[SubPLOs]],"&lt;7")+SUMIFS(tbl_task10[S137],tbl_task10[[SubPLOs]:[SubPLOs]],"&gt;=6",tbl_task10[[SubPLOs]:[SubPLOs]],"&lt;7")</f>
        <v>0</v>
      </c>
      <c r="EM185" s="41">
        <f>SUMIFS(tbl_task1[S138],tbl_task1[[SubPLOs]:[SubPLOs]],"&gt;=6",tbl_task1[[SubPLOs]:[SubPLOs]],"&lt;7")+SUMIFS(tbl_task2[S138],tbl_task2[[SubPLOs]:[SubPLOs]],"&gt;=6",tbl_task2[[SubPLOs]:[SubPLOs]],"&lt;7")+SUMIFS(tbl_task3[S138],tbl_task3[[SubPLOs]:[SubPLOs]],"&gt;=6",tbl_task3[[SubPLOs]:[SubPLOs]],"&lt;7")+SUMIFS(tbl_task4[S138],tbl_task4[[SubPLOs]:[SubPLOs]],"&gt;=6",tbl_task4[[SubPLOs]:[SubPLOs]],"&lt;7")+SUMIFS(tbl_task5[S138],tbl_task5[[SubPLOs]:[SubPLOs]],"&gt;=6",tbl_task5[[SubPLOs]:[SubPLOs]],"&lt;7")+SUMIFS(tbl_task6[S138],tbl_task6[[SubPLOs]:[SubPLOs]],"&gt;=6",tbl_task6[[SubPLOs]:[SubPLOs]],"&lt;7")+SUMIFS(tbl_task7[S138],tbl_task7[[SubPLOs]:[SubPLOs]],"&gt;=6",tbl_task7[[SubPLOs]:[SubPLOs]],"&lt;7")+SUMIFS(tbl_task8[S138],tbl_task8[[SubPLOs]:[SubPLOs]],"&gt;=6",tbl_task8[[SubPLOs]:[SubPLOs]],"&lt;7")+SUMIFS(tbl_task9[S138],tbl_task9[[SubPLOs]:[SubPLOs]],"&gt;=6",tbl_task9[[SubPLOs]:[SubPLOs]],"&lt;7")+SUMIFS(tbl_task10[S138],tbl_task10[[SubPLOs]:[SubPLOs]],"&gt;=6",tbl_task10[[SubPLOs]:[SubPLOs]],"&lt;7")</f>
        <v>0</v>
      </c>
      <c r="EN185" s="41">
        <f>SUMIFS(tbl_task1[S139],tbl_task1[[SubPLOs]:[SubPLOs]],"&gt;=6",tbl_task1[[SubPLOs]:[SubPLOs]],"&lt;7")+SUMIFS(tbl_task2[S139],tbl_task2[[SubPLOs]:[SubPLOs]],"&gt;=6",tbl_task2[[SubPLOs]:[SubPLOs]],"&lt;7")+SUMIFS(tbl_task3[S139],tbl_task3[[SubPLOs]:[SubPLOs]],"&gt;=6",tbl_task3[[SubPLOs]:[SubPLOs]],"&lt;7")+SUMIFS(tbl_task4[S139],tbl_task4[[SubPLOs]:[SubPLOs]],"&gt;=6",tbl_task4[[SubPLOs]:[SubPLOs]],"&lt;7")+SUMIFS(tbl_task5[S139],tbl_task5[[SubPLOs]:[SubPLOs]],"&gt;=6",tbl_task5[[SubPLOs]:[SubPLOs]],"&lt;7")+SUMIFS(tbl_task6[S139],tbl_task6[[SubPLOs]:[SubPLOs]],"&gt;=6",tbl_task6[[SubPLOs]:[SubPLOs]],"&lt;7")+SUMIFS(tbl_task7[S139],tbl_task7[[SubPLOs]:[SubPLOs]],"&gt;=6",tbl_task7[[SubPLOs]:[SubPLOs]],"&lt;7")+SUMIFS(tbl_task8[S139],tbl_task8[[SubPLOs]:[SubPLOs]],"&gt;=6",tbl_task8[[SubPLOs]:[SubPLOs]],"&lt;7")+SUMIFS(tbl_task9[S139],tbl_task9[[SubPLOs]:[SubPLOs]],"&gt;=6",tbl_task9[[SubPLOs]:[SubPLOs]],"&lt;7")+SUMIFS(tbl_task10[S139],tbl_task10[[SubPLOs]:[SubPLOs]],"&gt;=6",tbl_task10[[SubPLOs]:[SubPLOs]],"&lt;7")</f>
        <v>0</v>
      </c>
      <c r="EO185" s="41">
        <f>SUMIFS(tbl_task1[S140],tbl_task1[[SubPLOs]:[SubPLOs]],"&gt;=6",tbl_task1[[SubPLOs]:[SubPLOs]],"&lt;7")+SUMIFS(tbl_task2[S140],tbl_task2[[SubPLOs]:[SubPLOs]],"&gt;=6",tbl_task2[[SubPLOs]:[SubPLOs]],"&lt;7")+SUMIFS(tbl_task3[S140],tbl_task3[[SubPLOs]:[SubPLOs]],"&gt;=6",tbl_task3[[SubPLOs]:[SubPLOs]],"&lt;7")+SUMIFS(tbl_task4[S140],tbl_task4[[SubPLOs]:[SubPLOs]],"&gt;=6",tbl_task4[[SubPLOs]:[SubPLOs]],"&lt;7")+SUMIFS(tbl_task5[S140],tbl_task5[[SubPLOs]:[SubPLOs]],"&gt;=6",tbl_task5[[SubPLOs]:[SubPLOs]],"&lt;7")+SUMIFS(tbl_task6[S140],tbl_task6[[SubPLOs]:[SubPLOs]],"&gt;=6",tbl_task6[[SubPLOs]:[SubPLOs]],"&lt;7")+SUMIFS(tbl_task7[S140],tbl_task7[[SubPLOs]:[SubPLOs]],"&gt;=6",tbl_task7[[SubPLOs]:[SubPLOs]],"&lt;7")+SUMIFS(tbl_task8[S140],tbl_task8[[SubPLOs]:[SubPLOs]],"&gt;=6",tbl_task8[[SubPLOs]:[SubPLOs]],"&lt;7")+SUMIFS(tbl_task9[S140],tbl_task9[[SubPLOs]:[SubPLOs]],"&gt;=6",tbl_task9[[SubPLOs]:[SubPLOs]],"&lt;7")+SUMIFS(tbl_task10[S140],tbl_task10[[SubPLOs]:[SubPLOs]],"&gt;=6",tbl_task10[[SubPLOs]:[SubPLOs]],"&lt;7")</f>
        <v>0</v>
      </c>
      <c r="EP185" s="41">
        <f>SUMIFS(tbl_task1[S141],tbl_task1[[SubPLOs]:[SubPLOs]],"&gt;=6",tbl_task1[[SubPLOs]:[SubPLOs]],"&lt;7")+SUMIFS(tbl_task2[S141],tbl_task2[[SubPLOs]:[SubPLOs]],"&gt;=6",tbl_task2[[SubPLOs]:[SubPLOs]],"&lt;7")+SUMIFS(tbl_task3[S141],tbl_task3[[SubPLOs]:[SubPLOs]],"&gt;=6",tbl_task3[[SubPLOs]:[SubPLOs]],"&lt;7")+SUMIFS(tbl_task4[S141],tbl_task4[[SubPLOs]:[SubPLOs]],"&gt;=6",tbl_task4[[SubPLOs]:[SubPLOs]],"&lt;7")+SUMIFS(tbl_task5[S141],tbl_task5[[SubPLOs]:[SubPLOs]],"&gt;=6",tbl_task5[[SubPLOs]:[SubPLOs]],"&lt;7")+SUMIFS(tbl_task6[S141],tbl_task6[[SubPLOs]:[SubPLOs]],"&gt;=6",tbl_task6[[SubPLOs]:[SubPLOs]],"&lt;7")+SUMIFS(tbl_task7[S141],tbl_task7[[SubPLOs]:[SubPLOs]],"&gt;=6",tbl_task7[[SubPLOs]:[SubPLOs]],"&lt;7")+SUMIFS(tbl_task8[S141],tbl_task8[[SubPLOs]:[SubPLOs]],"&gt;=6",tbl_task8[[SubPLOs]:[SubPLOs]],"&lt;7")+SUMIFS(tbl_task9[S141],tbl_task9[[SubPLOs]:[SubPLOs]],"&gt;=6",tbl_task9[[SubPLOs]:[SubPLOs]],"&lt;7")+SUMIFS(tbl_task10[S141],tbl_task10[[SubPLOs]:[SubPLOs]],"&gt;=6",tbl_task10[[SubPLOs]:[SubPLOs]],"&lt;7")</f>
        <v>0</v>
      </c>
      <c r="EQ185" s="41">
        <f>SUMIFS(tbl_task1[S142],tbl_task1[[SubPLOs]:[SubPLOs]],"&gt;=6",tbl_task1[[SubPLOs]:[SubPLOs]],"&lt;7")+SUMIFS(tbl_task2[S142],tbl_task2[[SubPLOs]:[SubPLOs]],"&gt;=6",tbl_task2[[SubPLOs]:[SubPLOs]],"&lt;7")+SUMIFS(tbl_task3[S142],tbl_task3[[SubPLOs]:[SubPLOs]],"&gt;=6",tbl_task3[[SubPLOs]:[SubPLOs]],"&lt;7")+SUMIFS(tbl_task4[S142],tbl_task4[[SubPLOs]:[SubPLOs]],"&gt;=6",tbl_task4[[SubPLOs]:[SubPLOs]],"&lt;7")+SUMIFS(tbl_task5[S142],tbl_task5[[SubPLOs]:[SubPLOs]],"&gt;=6",tbl_task5[[SubPLOs]:[SubPLOs]],"&lt;7")+SUMIFS(tbl_task6[S142],tbl_task6[[SubPLOs]:[SubPLOs]],"&gt;=6",tbl_task6[[SubPLOs]:[SubPLOs]],"&lt;7")+SUMIFS(tbl_task7[S142],tbl_task7[[SubPLOs]:[SubPLOs]],"&gt;=6",tbl_task7[[SubPLOs]:[SubPLOs]],"&lt;7")+SUMIFS(tbl_task8[S142],tbl_task8[[SubPLOs]:[SubPLOs]],"&gt;=6",tbl_task8[[SubPLOs]:[SubPLOs]],"&lt;7")+SUMIFS(tbl_task9[S142],tbl_task9[[SubPLOs]:[SubPLOs]],"&gt;=6",tbl_task9[[SubPLOs]:[SubPLOs]],"&lt;7")+SUMIFS(tbl_task10[S142],tbl_task10[[SubPLOs]:[SubPLOs]],"&gt;=6",tbl_task10[[SubPLOs]:[SubPLOs]],"&lt;7")</f>
        <v>0</v>
      </c>
      <c r="ER185" s="41">
        <f>SUMIFS(tbl_task1[S143],tbl_task1[[SubPLOs]:[SubPLOs]],"&gt;=6",tbl_task1[[SubPLOs]:[SubPLOs]],"&lt;7")+SUMIFS(tbl_task2[S143],tbl_task2[[SubPLOs]:[SubPLOs]],"&gt;=6",tbl_task2[[SubPLOs]:[SubPLOs]],"&lt;7")+SUMIFS(tbl_task3[S143],tbl_task3[[SubPLOs]:[SubPLOs]],"&gt;=6",tbl_task3[[SubPLOs]:[SubPLOs]],"&lt;7")+SUMIFS(tbl_task4[S143],tbl_task4[[SubPLOs]:[SubPLOs]],"&gt;=6",tbl_task4[[SubPLOs]:[SubPLOs]],"&lt;7")+SUMIFS(tbl_task5[S143],tbl_task5[[SubPLOs]:[SubPLOs]],"&gt;=6",tbl_task5[[SubPLOs]:[SubPLOs]],"&lt;7")+SUMIFS(tbl_task6[S143],tbl_task6[[SubPLOs]:[SubPLOs]],"&gt;=6",tbl_task6[[SubPLOs]:[SubPLOs]],"&lt;7")+SUMIFS(tbl_task7[S143],tbl_task7[[SubPLOs]:[SubPLOs]],"&gt;=6",tbl_task7[[SubPLOs]:[SubPLOs]],"&lt;7")+SUMIFS(tbl_task8[S143],tbl_task8[[SubPLOs]:[SubPLOs]],"&gt;=6",tbl_task8[[SubPLOs]:[SubPLOs]],"&lt;7")+SUMIFS(tbl_task9[S143],tbl_task9[[SubPLOs]:[SubPLOs]],"&gt;=6",tbl_task9[[SubPLOs]:[SubPLOs]],"&lt;7")+SUMIFS(tbl_task10[S143],tbl_task10[[SubPLOs]:[SubPLOs]],"&gt;=6",tbl_task10[[SubPLOs]:[SubPLOs]],"&lt;7")</f>
        <v>0</v>
      </c>
      <c r="ES185" s="41">
        <f>SUMIFS(tbl_task1[S144],tbl_task1[[SubPLOs]:[SubPLOs]],"&gt;=6",tbl_task1[[SubPLOs]:[SubPLOs]],"&lt;7")+SUMIFS(tbl_task2[S144],tbl_task2[[SubPLOs]:[SubPLOs]],"&gt;=6",tbl_task2[[SubPLOs]:[SubPLOs]],"&lt;7")+SUMIFS(tbl_task3[S144],tbl_task3[[SubPLOs]:[SubPLOs]],"&gt;=6",tbl_task3[[SubPLOs]:[SubPLOs]],"&lt;7")+SUMIFS(tbl_task4[S144],tbl_task4[[SubPLOs]:[SubPLOs]],"&gt;=6",tbl_task4[[SubPLOs]:[SubPLOs]],"&lt;7")+SUMIFS(tbl_task5[S144],tbl_task5[[SubPLOs]:[SubPLOs]],"&gt;=6",tbl_task5[[SubPLOs]:[SubPLOs]],"&lt;7")+SUMIFS(tbl_task6[S144],tbl_task6[[SubPLOs]:[SubPLOs]],"&gt;=6",tbl_task6[[SubPLOs]:[SubPLOs]],"&lt;7")+SUMIFS(tbl_task7[S144],tbl_task7[[SubPLOs]:[SubPLOs]],"&gt;=6",tbl_task7[[SubPLOs]:[SubPLOs]],"&lt;7")+SUMIFS(tbl_task8[S144],tbl_task8[[SubPLOs]:[SubPLOs]],"&gt;=6",tbl_task8[[SubPLOs]:[SubPLOs]],"&lt;7")+SUMIFS(tbl_task9[S144],tbl_task9[[SubPLOs]:[SubPLOs]],"&gt;=6",tbl_task9[[SubPLOs]:[SubPLOs]],"&lt;7")+SUMIFS(tbl_task10[S144],tbl_task10[[SubPLOs]:[SubPLOs]],"&gt;=6",tbl_task10[[SubPLOs]:[SubPLOs]],"&lt;7")</f>
        <v>0</v>
      </c>
      <c r="ET185" s="41">
        <f>SUMIFS(tbl_task1[S145],tbl_task1[[SubPLOs]:[SubPLOs]],"&gt;=6",tbl_task1[[SubPLOs]:[SubPLOs]],"&lt;7")+SUMIFS(tbl_task2[S145],tbl_task2[[SubPLOs]:[SubPLOs]],"&gt;=6",tbl_task2[[SubPLOs]:[SubPLOs]],"&lt;7")+SUMIFS(tbl_task3[S145],tbl_task3[[SubPLOs]:[SubPLOs]],"&gt;=6",tbl_task3[[SubPLOs]:[SubPLOs]],"&lt;7")+SUMIFS(tbl_task4[S145],tbl_task4[[SubPLOs]:[SubPLOs]],"&gt;=6",tbl_task4[[SubPLOs]:[SubPLOs]],"&lt;7")+SUMIFS(tbl_task5[S145],tbl_task5[[SubPLOs]:[SubPLOs]],"&gt;=6",tbl_task5[[SubPLOs]:[SubPLOs]],"&lt;7")+SUMIFS(tbl_task6[S145],tbl_task6[[SubPLOs]:[SubPLOs]],"&gt;=6",tbl_task6[[SubPLOs]:[SubPLOs]],"&lt;7")+SUMIFS(tbl_task7[S145],tbl_task7[[SubPLOs]:[SubPLOs]],"&gt;=6",tbl_task7[[SubPLOs]:[SubPLOs]],"&lt;7")+SUMIFS(tbl_task8[S145],tbl_task8[[SubPLOs]:[SubPLOs]],"&gt;=6",tbl_task8[[SubPLOs]:[SubPLOs]],"&lt;7")+SUMIFS(tbl_task9[S145],tbl_task9[[SubPLOs]:[SubPLOs]],"&gt;=6",tbl_task9[[SubPLOs]:[SubPLOs]],"&lt;7")+SUMIFS(tbl_task10[S145],tbl_task10[[SubPLOs]:[SubPLOs]],"&gt;=6",tbl_task10[[SubPLOs]:[SubPLOs]],"&lt;7")</f>
        <v>0</v>
      </c>
      <c r="EU185" s="41">
        <f>SUMIFS(tbl_task1[S146],tbl_task1[[SubPLOs]:[SubPLOs]],"&gt;=6",tbl_task1[[SubPLOs]:[SubPLOs]],"&lt;7")+SUMIFS(tbl_task2[S146],tbl_task2[[SubPLOs]:[SubPLOs]],"&gt;=6",tbl_task2[[SubPLOs]:[SubPLOs]],"&lt;7")+SUMIFS(tbl_task3[S146],tbl_task3[[SubPLOs]:[SubPLOs]],"&gt;=6",tbl_task3[[SubPLOs]:[SubPLOs]],"&lt;7")+SUMIFS(tbl_task4[S146],tbl_task4[[SubPLOs]:[SubPLOs]],"&gt;=6",tbl_task4[[SubPLOs]:[SubPLOs]],"&lt;7")+SUMIFS(tbl_task5[S146],tbl_task5[[SubPLOs]:[SubPLOs]],"&gt;=6",tbl_task5[[SubPLOs]:[SubPLOs]],"&lt;7")+SUMIFS(tbl_task6[S146],tbl_task6[[SubPLOs]:[SubPLOs]],"&gt;=6",tbl_task6[[SubPLOs]:[SubPLOs]],"&lt;7")+SUMIFS(tbl_task7[S146],tbl_task7[[SubPLOs]:[SubPLOs]],"&gt;=6",tbl_task7[[SubPLOs]:[SubPLOs]],"&lt;7")+SUMIFS(tbl_task8[S146],tbl_task8[[SubPLOs]:[SubPLOs]],"&gt;=6",tbl_task8[[SubPLOs]:[SubPLOs]],"&lt;7")+SUMIFS(tbl_task9[S146],tbl_task9[[SubPLOs]:[SubPLOs]],"&gt;=6",tbl_task9[[SubPLOs]:[SubPLOs]],"&lt;7")+SUMIFS(tbl_task10[S146],tbl_task10[[SubPLOs]:[SubPLOs]],"&gt;=6",tbl_task10[[SubPLOs]:[SubPLOs]],"&lt;7")</f>
        <v>0</v>
      </c>
      <c r="EV185" s="41">
        <f>SUMIFS(tbl_task1[S147],tbl_task1[[SubPLOs]:[SubPLOs]],"&gt;=6",tbl_task1[[SubPLOs]:[SubPLOs]],"&lt;7")+SUMIFS(tbl_task2[S147],tbl_task2[[SubPLOs]:[SubPLOs]],"&gt;=6",tbl_task2[[SubPLOs]:[SubPLOs]],"&lt;7")+SUMIFS(tbl_task3[S147],tbl_task3[[SubPLOs]:[SubPLOs]],"&gt;=6",tbl_task3[[SubPLOs]:[SubPLOs]],"&lt;7")+SUMIFS(tbl_task4[S147],tbl_task4[[SubPLOs]:[SubPLOs]],"&gt;=6",tbl_task4[[SubPLOs]:[SubPLOs]],"&lt;7")+SUMIFS(tbl_task5[S147],tbl_task5[[SubPLOs]:[SubPLOs]],"&gt;=6",tbl_task5[[SubPLOs]:[SubPLOs]],"&lt;7")+SUMIFS(tbl_task6[S147],tbl_task6[[SubPLOs]:[SubPLOs]],"&gt;=6",tbl_task6[[SubPLOs]:[SubPLOs]],"&lt;7")+SUMIFS(tbl_task7[S147],tbl_task7[[SubPLOs]:[SubPLOs]],"&gt;=6",tbl_task7[[SubPLOs]:[SubPLOs]],"&lt;7")+SUMIFS(tbl_task8[S147],tbl_task8[[SubPLOs]:[SubPLOs]],"&gt;=6",tbl_task8[[SubPLOs]:[SubPLOs]],"&lt;7")+SUMIFS(tbl_task9[S147],tbl_task9[[SubPLOs]:[SubPLOs]],"&gt;=6",tbl_task9[[SubPLOs]:[SubPLOs]],"&lt;7")+SUMIFS(tbl_task10[S147],tbl_task10[[SubPLOs]:[SubPLOs]],"&gt;=6",tbl_task10[[SubPLOs]:[SubPLOs]],"&lt;7")</f>
        <v>0</v>
      </c>
      <c r="EW185" s="41">
        <f>SUMIFS(tbl_task1[S148],tbl_task1[[SubPLOs]:[SubPLOs]],"&gt;=6",tbl_task1[[SubPLOs]:[SubPLOs]],"&lt;7")+SUMIFS(tbl_task2[S148],tbl_task2[[SubPLOs]:[SubPLOs]],"&gt;=6",tbl_task2[[SubPLOs]:[SubPLOs]],"&lt;7")+SUMIFS(tbl_task3[S148],tbl_task3[[SubPLOs]:[SubPLOs]],"&gt;=6",tbl_task3[[SubPLOs]:[SubPLOs]],"&lt;7")+SUMIFS(tbl_task4[S148],tbl_task4[[SubPLOs]:[SubPLOs]],"&gt;=6",tbl_task4[[SubPLOs]:[SubPLOs]],"&lt;7")+SUMIFS(tbl_task5[S148],tbl_task5[[SubPLOs]:[SubPLOs]],"&gt;=6",tbl_task5[[SubPLOs]:[SubPLOs]],"&lt;7")+SUMIFS(tbl_task6[S148],tbl_task6[[SubPLOs]:[SubPLOs]],"&gt;=6",tbl_task6[[SubPLOs]:[SubPLOs]],"&lt;7")+SUMIFS(tbl_task7[S148],tbl_task7[[SubPLOs]:[SubPLOs]],"&gt;=6",tbl_task7[[SubPLOs]:[SubPLOs]],"&lt;7")+SUMIFS(tbl_task8[S148],tbl_task8[[SubPLOs]:[SubPLOs]],"&gt;=6",tbl_task8[[SubPLOs]:[SubPLOs]],"&lt;7")+SUMIFS(tbl_task9[S148],tbl_task9[[SubPLOs]:[SubPLOs]],"&gt;=6",tbl_task9[[SubPLOs]:[SubPLOs]],"&lt;7")+SUMIFS(tbl_task10[S148],tbl_task10[[SubPLOs]:[SubPLOs]],"&gt;=6",tbl_task10[[SubPLOs]:[SubPLOs]],"&lt;7")</f>
        <v>0</v>
      </c>
      <c r="EX185" s="41">
        <f>SUMIFS(tbl_task1[S149],tbl_task1[[SubPLOs]:[SubPLOs]],"&gt;=6",tbl_task1[[SubPLOs]:[SubPLOs]],"&lt;7")+SUMIFS(tbl_task2[S149],tbl_task2[[SubPLOs]:[SubPLOs]],"&gt;=6",tbl_task2[[SubPLOs]:[SubPLOs]],"&lt;7")+SUMIFS(tbl_task3[S149],tbl_task3[[SubPLOs]:[SubPLOs]],"&gt;=6",tbl_task3[[SubPLOs]:[SubPLOs]],"&lt;7")+SUMIFS(tbl_task4[S149],tbl_task4[[SubPLOs]:[SubPLOs]],"&gt;=6",tbl_task4[[SubPLOs]:[SubPLOs]],"&lt;7")+SUMIFS(tbl_task5[S149],tbl_task5[[SubPLOs]:[SubPLOs]],"&gt;=6",tbl_task5[[SubPLOs]:[SubPLOs]],"&lt;7")+SUMIFS(tbl_task6[S149],tbl_task6[[SubPLOs]:[SubPLOs]],"&gt;=6",tbl_task6[[SubPLOs]:[SubPLOs]],"&lt;7")+SUMIFS(tbl_task7[S149],tbl_task7[[SubPLOs]:[SubPLOs]],"&gt;=6",tbl_task7[[SubPLOs]:[SubPLOs]],"&lt;7")+SUMIFS(tbl_task8[S149],tbl_task8[[SubPLOs]:[SubPLOs]],"&gt;=6",tbl_task8[[SubPLOs]:[SubPLOs]],"&lt;7")+SUMIFS(tbl_task9[S149],tbl_task9[[SubPLOs]:[SubPLOs]],"&gt;=6",tbl_task9[[SubPLOs]:[SubPLOs]],"&lt;7")+SUMIFS(tbl_task10[S149],tbl_task10[[SubPLOs]:[SubPLOs]],"&gt;=6",tbl_task10[[SubPLOs]:[SubPLOs]],"&lt;7")</f>
        <v>0</v>
      </c>
      <c r="EY185" s="41">
        <f>SUMIFS(tbl_task1[S150],tbl_task1[[SubPLOs]:[SubPLOs]],"&gt;=6",tbl_task1[[SubPLOs]:[SubPLOs]],"&lt;7")+SUMIFS(tbl_task2[S150],tbl_task2[[SubPLOs]:[SubPLOs]],"&gt;=6",tbl_task2[[SubPLOs]:[SubPLOs]],"&lt;7")+SUMIFS(tbl_task3[S150],tbl_task3[[SubPLOs]:[SubPLOs]],"&gt;=6",tbl_task3[[SubPLOs]:[SubPLOs]],"&lt;7")+SUMIFS(tbl_task4[S150],tbl_task4[[SubPLOs]:[SubPLOs]],"&gt;=6",tbl_task4[[SubPLOs]:[SubPLOs]],"&lt;7")+SUMIFS(tbl_task5[S150],tbl_task5[[SubPLOs]:[SubPLOs]],"&gt;=6",tbl_task5[[SubPLOs]:[SubPLOs]],"&lt;7")+SUMIFS(tbl_task6[S150],tbl_task6[[SubPLOs]:[SubPLOs]],"&gt;=6",tbl_task6[[SubPLOs]:[SubPLOs]],"&lt;7")+SUMIFS(tbl_task7[S150],tbl_task7[[SubPLOs]:[SubPLOs]],"&gt;=6",tbl_task7[[SubPLOs]:[SubPLOs]],"&lt;7")+SUMIFS(tbl_task8[S150],tbl_task8[[SubPLOs]:[SubPLOs]],"&gt;=6",tbl_task8[[SubPLOs]:[SubPLOs]],"&lt;7")+SUMIFS(tbl_task9[S150],tbl_task9[[SubPLOs]:[SubPLOs]],"&gt;=6",tbl_task9[[SubPLOs]:[SubPLOs]],"&lt;7")+SUMIFS(tbl_task10[S150],tbl_task10[[SubPLOs]:[SubPLOs]],"&gt;=6",tbl_task10[[SubPLOs]:[SubPLOs]],"&lt;7")</f>
        <v>0</v>
      </c>
      <c r="EZ185" s="41">
        <f>SUMIFS(tbl_task1[S151],tbl_task1[[SubPLOs]:[SubPLOs]],"&gt;=6",tbl_task1[[SubPLOs]:[SubPLOs]],"&lt;7")+SUMIFS(tbl_task2[S151],tbl_task2[[SubPLOs]:[SubPLOs]],"&gt;=6",tbl_task2[[SubPLOs]:[SubPLOs]],"&lt;7")+SUMIFS(tbl_task3[S151],tbl_task3[[SubPLOs]:[SubPLOs]],"&gt;=6",tbl_task3[[SubPLOs]:[SubPLOs]],"&lt;7")+SUMIFS(tbl_task4[S151],tbl_task4[[SubPLOs]:[SubPLOs]],"&gt;=6",tbl_task4[[SubPLOs]:[SubPLOs]],"&lt;7")+SUMIFS(tbl_task5[S151],tbl_task5[[SubPLOs]:[SubPLOs]],"&gt;=6",tbl_task5[[SubPLOs]:[SubPLOs]],"&lt;7")+SUMIFS(tbl_task6[S151],tbl_task6[[SubPLOs]:[SubPLOs]],"&gt;=6",tbl_task6[[SubPLOs]:[SubPLOs]],"&lt;7")+SUMIFS(tbl_task7[S151],tbl_task7[[SubPLOs]:[SubPLOs]],"&gt;=6",tbl_task7[[SubPLOs]:[SubPLOs]],"&lt;7")+SUMIFS(tbl_task8[S151],tbl_task8[[SubPLOs]:[SubPLOs]],"&gt;=6",tbl_task8[[SubPLOs]:[SubPLOs]],"&lt;7")+SUMIFS(tbl_task9[S151],tbl_task9[[SubPLOs]:[SubPLOs]],"&gt;=6",tbl_task9[[SubPLOs]:[SubPLOs]],"&lt;7")+SUMIFS(tbl_task10[S151],tbl_task10[[SubPLOs]:[SubPLOs]],"&gt;=6",tbl_task10[[SubPLOs]:[SubPLOs]],"&lt;7")</f>
        <v>0</v>
      </c>
      <c r="FA185" s="41">
        <f>SUMIFS(tbl_task1[S152],tbl_task1[[SubPLOs]:[SubPLOs]],"&gt;=6",tbl_task1[[SubPLOs]:[SubPLOs]],"&lt;7")+SUMIFS(tbl_task2[S152],tbl_task2[[SubPLOs]:[SubPLOs]],"&gt;=6",tbl_task2[[SubPLOs]:[SubPLOs]],"&lt;7")+SUMIFS(tbl_task3[S152],tbl_task3[[SubPLOs]:[SubPLOs]],"&gt;=6",tbl_task3[[SubPLOs]:[SubPLOs]],"&lt;7")+SUMIFS(tbl_task4[S152],tbl_task4[[SubPLOs]:[SubPLOs]],"&gt;=6",tbl_task4[[SubPLOs]:[SubPLOs]],"&lt;7")+SUMIFS(tbl_task5[S152],tbl_task5[[SubPLOs]:[SubPLOs]],"&gt;=6",tbl_task5[[SubPLOs]:[SubPLOs]],"&lt;7")+SUMIFS(tbl_task6[S152],tbl_task6[[SubPLOs]:[SubPLOs]],"&gt;=6",tbl_task6[[SubPLOs]:[SubPLOs]],"&lt;7")+SUMIFS(tbl_task7[S152],tbl_task7[[SubPLOs]:[SubPLOs]],"&gt;=6",tbl_task7[[SubPLOs]:[SubPLOs]],"&lt;7")+SUMIFS(tbl_task8[S152],tbl_task8[[SubPLOs]:[SubPLOs]],"&gt;=6",tbl_task8[[SubPLOs]:[SubPLOs]],"&lt;7")+SUMIFS(tbl_task9[S152],tbl_task9[[SubPLOs]:[SubPLOs]],"&gt;=6",tbl_task9[[SubPLOs]:[SubPLOs]],"&lt;7")+SUMIFS(tbl_task10[S152],tbl_task10[[SubPLOs]:[SubPLOs]],"&gt;=6",tbl_task10[[SubPLOs]:[SubPLOs]],"&lt;7")</f>
        <v>0</v>
      </c>
      <c r="FB185" s="41">
        <f>SUMIFS(tbl_task1[S153],tbl_task1[[SubPLOs]:[SubPLOs]],"&gt;=6",tbl_task1[[SubPLOs]:[SubPLOs]],"&lt;7")+SUMIFS(tbl_task2[S153],tbl_task2[[SubPLOs]:[SubPLOs]],"&gt;=6",tbl_task2[[SubPLOs]:[SubPLOs]],"&lt;7")+SUMIFS(tbl_task3[S153],tbl_task3[[SubPLOs]:[SubPLOs]],"&gt;=6",tbl_task3[[SubPLOs]:[SubPLOs]],"&lt;7")+SUMIFS(tbl_task4[S153],tbl_task4[[SubPLOs]:[SubPLOs]],"&gt;=6",tbl_task4[[SubPLOs]:[SubPLOs]],"&lt;7")+SUMIFS(tbl_task5[S153],tbl_task5[[SubPLOs]:[SubPLOs]],"&gt;=6",tbl_task5[[SubPLOs]:[SubPLOs]],"&lt;7")+SUMIFS(tbl_task6[S153],tbl_task6[[SubPLOs]:[SubPLOs]],"&gt;=6",tbl_task6[[SubPLOs]:[SubPLOs]],"&lt;7")+SUMIFS(tbl_task7[S153],tbl_task7[[SubPLOs]:[SubPLOs]],"&gt;=6",tbl_task7[[SubPLOs]:[SubPLOs]],"&lt;7")+SUMIFS(tbl_task8[S153],tbl_task8[[SubPLOs]:[SubPLOs]],"&gt;=6",tbl_task8[[SubPLOs]:[SubPLOs]],"&lt;7")+SUMIFS(tbl_task9[S153],tbl_task9[[SubPLOs]:[SubPLOs]],"&gt;=6",tbl_task9[[SubPLOs]:[SubPLOs]],"&lt;7")+SUMIFS(tbl_task10[S153],tbl_task10[[SubPLOs]:[SubPLOs]],"&gt;=6",tbl_task10[[SubPLOs]:[SubPLOs]],"&lt;7")</f>
        <v>0</v>
      </c>
      <c r="FC185" s="41">
        <f>SUMIFS(tbl_task1[S154],tbl_task1[[SubPLOs]:[SubPLOs]],"&gt;=6",tbl_task1[[SubPLOs]:[SubPLOs]],"&lt;7")+SUMIFS(tbl_task2[S154],tbl_task2[[SubPLOs]:[SubPLOs]],"&gt;=6",tbl_task2[[SubPLOs]:[SubPLOs]],"&lt;7")+SUMIFS(tbl_task3[S154],tbl_task3[[SubPLOs]:[SubPLOs]],"&gt;=6",tbl_task3[[SubPLOs]:[SubPLOs]],"&lt;7")+SUMIFS(tbl_task4[S154],tbl_task4[[SubPLOs]:[SubPLOs]],"&gt;=6",tbl_task4[[SubPLOs]:[SubPLOs]],"&lt;7")+SUMIFS(tbl_task5[S154],tbl_task5[[SubPLOs]:[SubPLOs]],"&gt;=6",tbl_task5[[SubPLOs]:[SubPLOs]],"&lt;7")+SUMIFS(tbl_task6[S154],tbl_task6[[SubPLOs]:[SubPLOs]],"&gt;=6",tbl_task6[[SubPLOs]:[SubPLOs]],"&lt;7")+SUMIFS(tbl_task7[S154],tbl_task7[[SubPLOs]:[SubPLOs]],"&gt;=6",tbl_task7[[SubPLOs]:[SubPLOs]],"&lt;7")+SUMIFS(tbl_task8[S154],tbl_task8[[SubPLOs]:[SubPLOs]],"&gt;=6",tbl_task8[[SubPLOs]:[SubPLOs]],"&lt;7")+SUMIFS(tbl_task9[S154],tbl_task9[[SubPLOs]:[SubPLOs]],"&gt;=6",tbl_task9[[SubPLOs]:[SubPLOs]],"&lt;7")+SUMIFS(tbl_task10[S154],tbl_task10[[SubPLOs]:[SubPLOs]],"&gt;=6",tbl_task10[[SubPLOs]:[SubPLOs]],"&lt;7")</f>
        <v>0</v>
      </c>
      <c r="FD185" s="41">
        <f>SUMIFS(tbl_task1[S155],tbl_task1[[SubPLOs]:[SubPLOs]],"&gt;=6",tbl_task1[[SubPLOs]:[SubPLOs]],"&lt;7")+SUMIFS(tbl_task2[S155],tbl_task2[[SubPLOs]:[SubPLOs]],"&gt;=6",tbl_task2[[SubPLOs]:[SubPLOs]],"&lt;7")+SUMIFS(tbl_task3[S155],tbl_task3[[SubPLOs]:[SubPLOs]],"&gt;=6",tbl_task3[[SubPLOs]:[SubPLOs]],"&lt;7")+SUMIFS(tbl_task4[S155],tbl_task4[[SubPLOs]:[SubPLOs]],"&gt;=6",tbl_task4[[SubPLOs]:[SubPLOs]],"&lt;7")+SUMIFS(tbl_task5[S155],tbl_task5[[SubPLOs]:[SubPLOs]],"&gt;=6",tbl_task5[[SubPLOs]:[SubPLOs]],"&lt;7")+SUMIFS(tbl_task6[S155],tbl_task6[[SubPLOs]:[SubPLOs]],"&gt;=6",tbl_task6[[SubPLOs]:[SubPLOs]],"&lt;7")+SUMIFS(tbl_task7[S155],tbl_task7[[SubPLOs]:[SubPLOs]],"&gt;=6",tbl_task7[[SubPLOs]:[SubPLOs]],"&lt;7")+SUMIFS(tbl_task8[S155],tbl_task8[[SubPLOs]:[SubPLOs]],"&gt;=6",tbl_task8[[SubPLOs]:[SubPLOs]],"&lt;7")+SUMIFS(tbl_task9[S155],tbl_task9[[SubPLOs]:[SubPLOs]],"&gt;=6",tbl_task9[[SubPLOs]:[SubPLOs]],"&lt;7")+SUMIFS(tbl_task10[S155],tbl_task10[[SubPLOs]:[SubPLOs]],"&gt;=6",tbl_task10[[SubPLOs]:[SubPLOs]],"&lt;7")</f>
        <v>0</v>
      </c>
      <c r="FE185" s="41">
        <f>SUMIFS(tbl_task1[S156],tbl_task1[[SubPLOs]:[SubPLOs]],"&gt;=6",tbl_task1[[SubPLOs]:[SubPLOs]],"&lt;7")+SUMIFS(tbl_task2[S156],tbl_task2[[SubPLOs]:[SubPLOs]],"&gt;=6",tbl_task2[[SubPLOs]:[SubPLOs]],"&lt;7")+SUMIFS(tbl_task3[S156],tbl_task3[[SubPLOs]:[SubPLOs]],"&gt;=6",tbl_task3[[SubPLOs]:[SubPLOs]],"&lt;7")+SUMIFS(tbl_task4[S156],tbl_task4[[SubPLOs]:[SubPLOs]],"&gt;=6",tbl_task4[[SubPLOs]:[SubPLOs]],"&lt;7")+SUMIFS(tbl_task5[S156],tbl_task5[[SubPLOs]:[SubPLOs]],"&gt;=6",tbl_task5[[SubPLOs]:[SubPLOs]],"&lt;7")+SUMIFS(tbl_task6[S156],tbl_task6[[SubPLOs]:[SubPLOs]],"&gt;=6",tbl_task6[[SubPLOs]:[SubPLOs]],"&lt;7")+SUMIFS(tbl_task7[S156],tbl_task7[[SubPLOs]:[SubPLOs]],"&gt;=6",tbl_task7[[SubPLOs]:[SubPLOs]],"&lt;7")+SUMIFS(tbl_task8[S156],tbl_task8[[SubPLOs]:[SubPLOs]],"&gt;=6",tbl_task8[[SubPLOs]:[SubPLOs]],"&lt;7")+SUMIFS(tbl_task9[S156],tbl_task9[[SubPLOs]:[SubPLOs]],"&gt;=6",tbl_task9[[SubPLOs]:[SubPLOs]],"&lt;7")+SUMIFS(tbl_task10[S156],tbl_task10[[SubPLOs]:[SubPLOs]],"&gt;=6",tbl_task10[[SubPLOs]:[SubPLOs]],"&lt;7")</f>
        <v>0</v>
      </c>
      <c r="FF185" s="41">
        <f>SUMIFS(tbl_task1[S157],tbl_task1[[SubPLOs]:[SubPLOs]],"&gt;=6",tbl_task1[[SubPLOs]:[SubPLOs]],"&lt;7")+SUMIFS(tbl_task2[S157],tbl_task2[[SubPLOs]:[SubPLOs]],"&gt;=6",tbl_task2[[SubPLOs]:[SubPLOs]],"&lt;7")+SUMIFS(tbl_task3[S157],tbl_task3[[SubPLOs]:[SubPLOs]],"&gt;=6",tbl_task3[[SubPLOs]:[SubPLOs]],"&lt;7")+SUMIFS(tbl_task4[S157],tbl_task4[[SubPLOs]:[SubPLOs]],"&gt;=6",tbl_task4[[SubPLOs]:[SubPLOs]],"&lt;7")+SUMIFS(tbl_task5[S157],tbl_task5[[SubPLOs]:[SubPLOs]],"&gt;=6",tbl_task5[[SubPLOs]:[SubPLOs]],"&lt;7")+SUMIFS(tbl_task6[S157],tbl_task6[[SubPLOs]:[SubPLOs]],"&gt;=6",tbl_task6[[SubPLOs]:[SubPLOs]],"&lt;7")+SUMIFS(tbl_task7[S157],tbl_task7[[SubPLOs]:[SubPLOs]],"&gt;=6",tbl_task7[[SubPLOs]:[SubPLOs]],"&lt;7")+SUMIFS(tbl_task8[S157],tbl_task8[[SubPLOs]:[SubPLOs]],"&gt;=6",tbl_task8[[SubPLOs]:[SubPLOs]],"&lt;7")+SUMIFS(tbl_task9[S157],tbl_task9[[SubPLOs]:[SubPLOs]],"&gt;=6",tbl_task9[[SubPLOs]:[SubPLOs]],"&lt;7")+SUMIFS(tbl_task10[S157],tbl_task10[[SubPLOs]:[SubPLOs]],"&gt;=6",tbl_task10[[SubPLOs]:[SubPLOs]],"&lt;7")</f>
        <v>0</v>
      </c>
      <c r="FG185" s="41">
        <f>SUMIFS(tbl_task1[S158],tbl_task1[[SubPLOs]:[SubPLOs]],"&gt;=6",tbl_task1[[SubPLOs]:[SubPLOs]],"&lt;7")+SUMIFS(tbl_task2[S158],tbl_task2[[SubPLOs]:[SubPLOs]],"&gt;=6",tbl_task2[[SubPLOs]:[SubPLOs]],"&lt;7")+SUMIFS(tbl_task3[S158],tbl_task3[[SubPLOs]:[SubPLOs]],"&gt;=6",tbl_task3[[SubPLOs]:[SubPLOs]],"&lt;7")+SUMIFS(tbl_task4[S158],tbl_task4[[SubPLOs]:[SubPLOs]],"&gt;=6",tbl_task4[[SubPLOs]:[SubPLOs]],"&lt;7")+SUMIFS(tbl_task5[S158],tbl_task5[[SubPLOs]:[SubPLOs]],"&gt;=6",tbl_task5[[SubPLOs]:[SubPLOs]],"&lt;7")+SUMIFS(tbl_task6[S158],tbl_task6[[SubPLOs]:[SubPLOs]],"&gt;=6",tbl_task6[[SubPLOs]:[SubPLOs]],"&lt;7")+SUMIFS(tbl_task7[S158],tbl_task7[[SubPLOs]:[SubPLOs]],"&gt;=6",tbl_task7[[SubPLOs]:[SubPLOs]],"&lt;7")+SUMIFS(tbl_task8[S158],tbl_task8[[SubPLOs]:[SubPLOs]],"&gt;=6",tbl_task8[[SubPLOs]:[SubPLOs]],"&lt;7")+SUMIFS(tbl_task9[S158],tbl_task9[[SubPLOs]:[SubPLOs]],"&gt;=6",tbl_task9[[SubPLOs]:[SubPLOs]],"&lt;7")+SUMIFS(tbl_task10[S158],tbl_task10[[SubPLOs]:[SubPLOs]],"&gt;=6",tbl_task10[[SubPLOs]:[SubPLOs]],"&lt;7")</f>
        <v>0</v>
      </c>
      <c r="FH185" s="41">
        <f>SUMIFS(tbl_task1[S159],tbl_task1[[SubPLOs]:[SubPLOs]],"&gt;=6",tbl_task1[[SubPLOs]:[SubPLOs]],"&lt;7")+SUMIFS(tbl_task2[S159],tbl_task2[[SubPLOs]:[SubPLOs]],"&gt;=6",tbl_task2[[SubPLOs]:[SubPLOs]],"&lt;7")+SUMIFS(tbl_task3[S159],tbl_task3[[SubPLOs]:[SubPLOs]],"&gt;=6",tbl_task3[[SubPLOs]:[SubPLOs]],"&lt;7")+SUMIFS(tbl_task4[S159],tbl_task4[[SubPLOs]:[SubPLOs]],"&gt;=6",tbl_task4[[SubPLOs]:[SubPLOs]],"&lt;7")+SUMIFS(tbl_task5[S159],tbl_task5[[SubPLOs]:[SubPLOs]],"&gt;=6",tbl_task5[[SubPLOs]:[SubPLOs]],"&lt;7")+SUMIFS(tbl_task6[S159],tbl_task6[[SubPLOs]:[SubPLOs]],"&gt;=6",tbl_task6[[SubPLOs]:[SubPLOs]],"&lt;7")+SUMIFS(tbl_task7[S159],tbl_task7[[SubPLOs]:[SubPLOs]],"&gt;=6",tbl_task7[[SubPLOs]:[SubPLOs]],"&lt;7")+SUMIFS(tbl_task8[S159],tbl_task8[[SubPLOs]:[SubPLOs]],"&gt;=6",tbl_task8[[SubPLOs]:[SubPLOs]],"&lt;7")+SUMIFS(tbl_task9[S159],tbl_task9[[SubPLOs]:[SubPLOs]],"&gt;=6",tbl_task9[[SubPLOs]:[SubPLOs]],"&lt;7")+SUMIFS(tbl_task10[S159],tbl_task10[[SubPLOs]:[SubPLOs]],"&gt;=6",tbl_task10[[SubPLOs]:[SubPLOs]],"&lt;7")</f>
        <v>0</v>
      </c>
      <c r="FI185" s="41">
        <f>SUMIFS(tbl_task1[S160],tbl_task1[[SubPLOs]:[SubPLOs]],"&gt;=6",tbl_task1[[SubPLOs]:[SubPLOs]],"&lt;7")+SUMIFS(tbl_task2[S160],tbl_task2[[SubPLOs]:[SubPLOs]],"&gt;=6",tbl_task2[[SubPLOs]:[SubPLOs]],"&lt;7")+SUMIFS(tbl_task3[S160],tbl_task3[[SubPLOs]:[SubPLOs]],"&gt;=6",tbl_task3[[SubPLOs]:[SubPLOs]],"&lt;7")+SUMIFS(tbl_task4[S160],tbl_task4[[SubPLOs]:[SubPLOs]],"&gt;=6",tbl_task4[[SubPLOs]:[SubPLOs]],"&lt;7")+SUMIFS(tbl_task5[S160],tbl_task5[[SubPLOs]:[SubPLOs]],"&gt;=6",tbl_task5[[SubPLOs]:[SubPLOs]],"&lt;7")+SUMIFS(tbl_task6[S160],tbl_task6[[SubPLOs]:[SubPLOs]],"&gt;=6",tbl_task6[[SubPLOs]:[SubPLOs]],"&lt;7")+SUMIFS(tbl_task7[S160],tbl_task7[[SubPLOs]:[SubPLOs]],"&gt;=6",tbl_task7[[SubPLOs]:[SubPLOs]],"&lt;7")+SUMIFS(tbl_task8[S160],tbl_task8[[SubPLOs]:[SubPLOs]],"&gt;=6",tbl_task8[[SubPLOs]:[SubPLOs]],"&lt;7")+SUMIFS(tbl_task9[S160],tbl_task9[[SubPLOs]:[SubPLOs]],"&gt;=6",tbl_task9[[SubPLOs]:[SubPLOs]],"&lt;7")+SUMIFS(tbl_task10[S160],tbl_task10[[SubPLOs]:[SubPLOs]],"&gt;=6",tbl_task10[[SubPLOs]:[SubPLOs]],"&lt;7")</f>
        <v>0</v>
      </c>
      <c r="FJ185" s="41">
        <f>SUMIFS(tbl_task1[S161],tbl_task1[[SubPLOs]:[SubPLOs]],"&gt;=6",tbl_task1[[SubPLOs]:[SubPLOs]],"&lt;7")+SUMIFS(tbl_task2[S161],tbl_task2[[SubPLOs]:[SubPLOs]],"&gt;=6",tbl_task2[[SubPLOs]:[SubPLOs]],"&lt;7")+SUMIFS(tbl_task3[S161],tbl_task3[[SubPLOs]:[SubPLOs]],"&gt;=6",tbl_task3[[SubPLOs]:[SubPLOs]],"&lt;7")+SUMIFS(tbl_task4[S161],tbl_task4[[SubPLOs]:[SubPLOs]],"&gt;=6",tbl_task4[[SubPLOs]:[SubPLOs]],"&lt;7")+SUMIFS(tbl_task5[S161],tbl_task5[[SubPLOs]:[SubPLOs]],"&gt;=6",tbl_task5[[SubPLOs]:[SubPLOs]],"&lt;7")+SUMIFS(tbl_task6[S161],tbl_task6[[SubPLOs]:[SubPLOs]],"&gt;=6",tbl_task6[[SubPLOs]:[SubPLOs]],"&lt;7")+SUMIFS(tbl_task7[S161],tbl_task7[[SubPLOs]:[SubPLOs]],"&gt;=6",tbl_task7[[SubPLOs]:[SubPLOs]],"&lt;7")+SUMIFS(tbl_task8[S161],tbl_task8[[SubPLOs]:[SubPLOs]],"&gt;=6",tbl_task8[[SubPLOs]:[SubPLOs]],"&lt;7")+SUMIFS(tbl_task9[S161],tbl_task9[[SubPLOs]:[SubPLOs]],"&gt;=6",tbl_task9[[SubPLOs]:[SubPLOs]],"&lt;7")+SUMIFS(tbl_task10[S161],tbl_task10[[SubPLOs]:[SubPLOs]],"&gt;=6",tbl_task10[[SubPLOs]:[SubPLOs]],"&lt;7")</f>
        <v>0</v>
      </c>
      <c r="FK185" s="41">
        <f>SUMIFS(tbl_task1[S162],tbl_task1[[SubPLOs]:[SubPLOs]],"&gt;=6",tbl_task1[[SubPLOs]:[SubPLOs]],"&lt;7")+SUMIFS(tbl_task2[S162],tbl_task2[[SubPLOs]:[SubPLOs]],"&gt;=6",tbl_task2[[SubPLOs]:[SubPLOs]],"&lt;7")+SUMIFS(tbl_task3[S162],tbl_task3[[SubPLOs]:[SubPLOs]],"&gt;=6",tbl_task3[[SubPLOs]:[SubPLOs]],"&lt;7")+SUMIFS(tbl_task4[S162],tbl_task4[[SubPLOs]:[SubPLOs]],"&gt;=6",tbl_task4[[SubPLOs]:[SubPLOs]],"&lt;7")+SUMIFS(tbl_task5[S162],tbl_task5[[SubPLOs]:[SubPLOs]],"&gt;=6",tbl_task5[[SubPLOs]:[SubPLOs]],"&lt;7")+SUMIFS(tbl_task6[S162],tbl_task6[[SubPLOs]:[SubPLOs]],"&gt;=6",tbl_task6[[SubPLOs]:[SubPLOs]],"&lt;7")+SUMIFS(tbl_task7[S162],tbl_task7[[SubPLOs]:[SubPLOs]],"&gt;=6",tbl_task7[[SubPLOs]:[SubPLOs]],"&lt;7")+SUMIFS(tbl_task8[S162],tbl_task8[[SubPLOs]:[SubPLOs]],"&gt;=6",tbl_task8[[SubPLOs]:[SubPLOs]],"&lt;7")+SUMIFS(tbl_task9[S162],tbl_task9[[SubPLOs]:[SubPLOs]],"&gt;=6",tbl_task9[[SubPLOs]:[SubPLOs]],"&lt;7")+SUMIFS(tbl_task10[S162],tbl_task10[[SubPLOs]:[SubPLOs]],"&gt;=6",tbl_task10[[SubPLOs]:[SubPLOs]],"&lt;7")</f>
        <v>0</v>
      </c>
      <c r="FL185" s="41">
        <f>SUMIFS(tbl_task1[S163],tbl_task1[[SubPLOs]:[SubPLOs]],"&gt;=6",tbl_task1[[SubPLOs]:[SubPLOs]],"&lt;7")+SUMIFS(tbl_task2[S163],tbl_task2[[SubPLOs]:[SubPLOs]],"&gt;=6",tbl_task2[[SubPLOs]:[SubPLOs]],"&lt;7")+SUMIFS(tbl_task3[S163],tbl_task3[[SubPLOs]:[SubPLOs]],"&gt;=6",tbl_task3[[SubPLOs]:[SubPLOs]],"&lt;7")+SUMIFS(tbl_task4[S163],tbl_task4[[SubPLOs]:[SubPLOs]],"&gt;=6",tbl_task4[[SubPLOs]:[SubPLOs]],"&lt;7")+SUMIFS(tbl_task5[S163],tbl_task5[[SubPLOs]:[SubPLOs]],"&gt;=6",tbl_task5[[SubPLOs]:[SubPLOs]],"&lt;7")+SUMIFS(tbl_task6[S163],tbl_task6[[SubPLOs]:[SubPLOs]],"&gt;=6",tbl_task6[[SubPLOs]:[SubPLOs]],"&lt;7")+SUMIFS(tbl_task7[S163],tbl_task7[[SubPLOs]:[SubPLOs]],"&gt;=6",tbl_task7[[SubPLOs]:[SubPLOs]],"&lt;7")+SUMIFS(tbl_task8[S163],tbl_task8[[SubPLOs]:[SubPLOs]],"&gt;=6",tbl_task8[[SubPLOs]:[SubPLOs]],"&lt;7")+SUMIFS(tbl_task9[S163],tbl_task9[[SubPLOs]:[SubPLOs]],"&gt;=6",tbl_task9[[SubPLOs]:[SubPLOs]],"&lt;7")+SUMIFS(tbl_task10[S163],tbl_task10[[SubPLOs]:[SubPLOs]],"&gt;=6",tbl_task10[[SubPLOs]:[SubPLOs]],"&lt;7")</f>
        <v>0</v>
      </c>
      <c r="FM185" s="41">
        <f>SUMIFS(tbl_task1[S164],tbl_task1[[SubPLOs]:[SubPLOs]],"&gt;=6",tbl_task1[[SubPLOs]:[SubPLOs]],"&lt;7")+SUMIFS(tbl_task2[S164],tbl_task2[[SubPLOs]:[SubPLOs]],"&gt;=6",tbl_task2[[SubPLOs]:[SubPLOs]],"&lt;7")+SUMIFS(tbl_task3[S164],tbl_task3[[SubPLOs]:[SubPLOs]],"&gt;=6",tbl_task3[[SubPLOs]:[SubPLOs]],"&lt;7")+SUMIFS(tbl_task4[S164],tbl_task4[[SubPLOs]:[SubPLOs]],"&gt;=6",tbl_task4[[SubPLOs]:[SubPLOs]],"&lt;7")+SUMIFS(tbl_task5[S164],tbl_task5[[SubPLOs]:[SubPLOs]],"&gt;=6",tbl_task5[[SubPLOs]:[SubPLOs]],"&lt;7")+SUMIFS(tbl_task6[S164],tbl_task6[[SubPLOs]:[SubPLOs]],"&gt;=6",tbl_task6[[SubPLOs]:[SubPLOs]],"&lt;7")+SUMIFS(tbl_task7[S164],tbl_task7[[SubPLOs]:[SubPLOs]],"&gt;=6",tbl_task7[[SubPLOs]:[SubPLOs]],"&lt;7")+SUMIFS(tbl_task8[S164],tbl_task8[[SubPLOs]:[SubPLOs]],"&gt;=6",tbl_task8[[SubPLOs]:[SubPLOs]],"&lt;7")+SUMIFS(tbl_task9[S164],tbl_task9[[SubPLOs]:[SubPLOs]],"&gt;=6",tbl_task9[[SubPLOs]:[SubPLOs]],"&lt;7")+SUMIFS(tbl_task10[S164],tbl_task10[[SubPLOs]:[SubPLOs]],"&gt;=6",tbl_task10[[SubPLOs]:[SubPLOs]],"&lt;7")</f>
        <v>0</v>
      </c>
      <c r="FN185" s="41">
        <f>SUMIFS(tbl_task1[S165],tbl_task1[[SubPLOs]:[SubPLOs]],"&gt;=6",tbl_task1[[SubPLOs]:[SubPLOs]],"&lt;7")+SUMIFS(tbl_task2[S165],tbl_task2[[SubPLOs]:[SubPLOs]],"&gt;=6",tbl_task2[[SubPLOs]:[SubPLOs]],"&lt;7")+SUMIFS(tbl_task3[S165],tbl_task3[[SubPLOs]:[SubPLOs]],"&gt;=6",tbl_task3[[SubPLOs]:[SubPLOs]],"&lt;7")+SUMIFS(tbl_task4[S165],tbl_task4[[SubPLOs]:[SubPLOs]],"&gt;=6",tbl_task4[[SubPLOs]:[SubPLOs]],"&lt;7")+SUMIFS(tbl_task5[S165],tbl_task5[[SubPLOs]:[SubPLOs]],"&gt;=6",tbl_task5[[SubPLOs]:[SubPLOs]],"&lt;7")+SUMIFS(tbl_task6[S165],tbl_task6[[SubPLOs]:[SubPLOs]],"&gt;=6",tbl_task6[[SubPLOs]:[SubPLOs]],"&lt;7")+SUMIFS(tbl_task7[S165],tbl_task7[[SubPLOs]:[SubPLOs]],"&gt;=6",tbl_task7[[SubPLOs]:[SubPLOs]],"&lt;7")+SUMIFS(tbl_task8[S165],tbl_task8[[SubPLOs]:[SubPLOs]],"&gt;=6",tbl_task8[[SubPLOs]:[SubPLOs]],"&lt;7")+SUMIFS(tbl_task9[S165],tbl_task9[[SubPLOs]:[SubPLOs]],"&gt;=6",tbl_task9[[SubPLOs]:[SubPLOs]],"&lt;7")+SUMIFS(tbl_task10[S165],tbl_task10[[SubPLOs]:[SubPLOs]],"&gt;=6",tbl_task10[[SubPLOs]:[SubPLOs]],"&lt;7")</f>
        <v>0</v>
      </c>
    </row>
    <row r="186" spans="1:170" ht="63" customHeight="1" x14ac:dyDescent="0.25">
      <c r="A186" s="135">
        <v>7</v>
      </c>
      <c r="B186" s="5" t="s">
        <v>440</v>
      </c>
      <c r="C186" s="86">
        <f>COUNTIFS(tbl_task1[SubPLOs],"&gt;=7",tbl_task1[SubPLOs],"&lt;8")+COUNTIFS(tbl_task2[SubPLOs],"&gt;=7",tbl_task2[SubPLOs],"&lt;8")+COUNTIFS(tbl_task3[SubPLOs],"&gt;=7",tbl_task3[SubPLOs],"&lt;8")+COUNTIFS(tbl_task4[SubPLOs],"&gt;=7",tbl_task4[SubPLOs],"&lt;8")+COUNTIFS(tbl_task5[SubPLOs],"&gt;=7",tbl_task5[SubPLOs],"&lt;8")+COUNTIFS(tbl_task6[SubPLOs],"&gt;=7",tbl_task6[SubPLOs],"&lt;8")+COUNTIFS(tbl_task7[SubPLOs],"&gt;=7",tbl_task7[SubPLOs],"&lt;8")+COUNTIFS(tbl_task8[SubPLOs],"&gt;=7",tbl_task8[SubPLOs],"&lt;8")+COUNTIFS(tbl_task9[SubPLOs],"&gt;=7",tbl_task9[SubPLOs],"&lt;8")+COUNTIFS(tbl_task10[SubPLOs],"&gt;=7",tbl_task10[SubPLOs],"&lt;8")</f>
        <v>0</v>
      </c>
      <c r="D186" s="86">
        <f>SUMIFS(tbl_task1[คะแนนเต็ม],tbl_task1[SubPLOs],"&gt;=7",tbl_task1[SubPLOs],"&lt;8")+SUMIFS(tbl_task2[คะแนนเต็ม],tbl_task2[SubPLOs],"&gt;=7",tbl_task2[SubPLOs],"&lt;8")+SUMIFS(tbl_task3[คะแนนเต็ม],tbl_task3[SubPLOs],"&gt;=7",tbl_task3[SubPLOs],"&lt;8")+SUMIFS(tbl_task4[คะแนนเต็ม],tbl_task4[SubPLOs],"&gt;=7",tbl_task4[SubPLOs],"&lt;8")+SUMIFS(tbl_task5[คะแนนเต็ม],tbl_task5[SubPLOs],"&gt;=7",tbl_task5[SubPLOs],"&lt;8")+SUMIFS(tbl_task6[คะแนนเต็ม],tbl_task6[SubPLOs],"&gt;=7",tbl_task6[SubPLOs],"&lt;8")+SUMIFS(tbl_task7[คะแนนเต็ม],tbl_task7[SubPLOs],"&gt;=7",tbl_task7[SubPLOs],"&lt;8")+SUMIFS(tbl_task8[คะแนนเต็ม],tbl_task8[SubPLOs],"&gt;=7",tbl_task8[SubPLOs],"&lt;8")+SUMIFS(tbl_task9[คะแนนเต็ม],tbl_task9[SubPLOs],"&gt;=7",tbl_task9[SubPLOs],"&lt;8")+SUMIFS(tbl_task10[คะแนนเต็ม],tbl_task10[SubPLOs],"&gt;=7",tbl_task10[SubPLOs],"&lt;8")</f>
        <v>0</v>
      </c>
      <c r="E186" s="47">
        <f>SUMIFS(tbl_task1[%],tbl_task1[SubPLOs],"&gt;=7",tbl_task1[SubPLOs],"&lt;8")+SUMIFS(tbl_task2[%],tbl_task2[SubPLOs],"&gt;=7",tbl_task2[SubPLOs],"&lt;8")+SUMIFS(tbl_task3[%],tbl_task3[SubPLOs],"&gt;=7",tbl_task3[SubPLOs],"&lt;8")+SUMIFS(tbl_task4[%],tbl_task4[SubPLOs],"&gt;=7",tbl_task4[SubPLOs],"&lt;8")+SUMIFS(tbl_task5[%],tbl_task5[SubPLOs],"&gt;=7",tbl_task5[SubPLOs],"&lt;8")+SUMIFS(tbl_task6[%],tbl_task6[SubPLOs],"&gt;=7",tbl_task6[SubPLOs],"&lt;8")+SUMIFS(tbl_task7[%],tbl_task7[SubPLOs],"&gt;=7",tbl_task7[SubPLOs],"&lt;8")+SUMIFS(tbl_task8[%],tbl_task8[SubPLOs],"&gt;=7",tbl_task8[SubPLOs],"&lt;8")+SUMIFS(tbl_task9[%],tbl_task9[SubPLOs],"&gt;=7",tbl_task9[SubPLOs],"&lt;8")+SUMIFS(tbl_task10[%],tbl_task10[SubPLOs],"&gt;=7",tbl_task10[SubPLOs],"&lt;8")</f>
        <v>0</v>
      </c>
      <c r="F186" s="41">
        <f>SUMIFS(tbl_task1[S1],tbl_task1[[SubPLOs]:[SubPLOs]],"&gt;=7",tbl_task1[[SubPLOs]:[SubPLOs]],"&lt;8")+SUMIFS(tbl_task2[S1],tbl_task2[[SubPLOs]:[SubPLOs]],"&gt;=7",tbl_task2[[SubPLOs]:[SubPLOs]],"&lt;8")+SUMIFS(tbl_task3[S1],tbl_task3[[SubPLOs]:[SubPLOs]],"&gt;=7",tbl_task3[[SubPLOs]:[SubPLOs]],"&lt;8")+SUMIFS(tbl_task4[S1],tbl_task4[[SubPLOs]:[SubPLOs]],"&gt;=7",tbl_task4[[SubPLOs]:[SubPLOs]],"&lt;8")+SUMIFS(tbl_task5[S1],tbl_task5[[SubPLOs]:[SubPLOs]],"&gt;=7",tbl_task5[[SubPLOs]:[SubPLOs]],"&lt;8")+SUMIFS(tbl_task6[S1],tbl_task6[[SubPLOs]:[SubPLOs]],"&gt;=7",tbl_task6[[SubPLOs]:[SubPLOs]],"&lt;8")+SUMIFS(tbl_task7[S1],tbl_task7[[SubPLOs]:[SubPLOs]],"&gt;=7",tbl_task7[[SubPLOs]:[SubPLOs]],"&lt;8")+SUMIFS(tbl_task8[S1],tbl_task8[[SubPLOs]:[SubPLOs]],"&gt;=7",tbl_task8[[SubPLOs]:[SubPLOs]],"&lt;8")+SUMIFS(tbl_task9[S1],tbl_task9[[SubPLOs]:[SubPLOs]],"&gt;=7",tbl_task9[[SubPLOs]:[SubPLOs]],"&lt;8")+SUMIFS(tbl_task10[S1],tbl_task10[[SubPLOs]:[SubPLOs]],"&gt;=7",tbl_task10[[SubPLOs]:[SubPLOs]],"&lt;8")</f>
        <v>0</v>
      </c>
      <c r="G186" s="41">
        <f>SUMIFS(tbl_task1[S2],tbl_task1[[SubPLOs]:[SubPLOs]],"&gt;=7",tbl_task1[[SubPLOs]:[SubPLOs]],"&lt;8")+SUMIFS(tbl_task2[S2],tbl_task2[[SubPLOs]:[SubPLOs]],"&gt;=7",tbl_task2[[SubPLOs]:[SubPLOs]],"&lt;8")+SUMIFS(tbl_task3[S2],tbl_task3[[SubPLOs]:[SubPLOs]],"&gt;=7",tbl_task3[[SubPLOs]:[SubPLOs]],"&lt;8")+SUMIFS(tbl_task4[S2],tbl_task4[[SubPLOs]:[SubPLOs]],"&gt;=7",tbl_task4[[SubPLOs]:[SubPLOs]],"&lt;8")+SUMIFS(tbl_task5[S2],tbl_task5[[SubPLOs]:[SubPLOs]],"&gt;=7",tbl_task5[[SubPLOs]:[SubPLOs]],"&lt;8")+SUMIFS(tbl_task6[S2],tbl_task6[[SubPLOs]:[SubPLOs]],"&gt;=7",tbl_task6[[SubPLOs]:[SubPLOs]],"&lt;8")+SUMIFS(tbl_task7[S2],tbl_task7[[SubPLOs]:[SubPLOs]],"&gt;=7",tbl_task7[[SubPLOs]:[SubPLOs]],"&lt;8")+SUMIFS(tbl_task8[S2],tbl_task8[[SubPLOs]:[SubPLOs]],"&gt;=7",tbl_task8[[SubPLOs]:[SubPLOs]],"&lt;8")+SUMIFS(tbl_task9[S2],tbl_task9[[SubPLOs]:[SubPLOs]],"&gt;=7",tbl_task9[[SubPLOs]:[SubPLOs]],"&lt;8")+SUMIFS(tbl_task10[S2],tbl_task10[[SubPLOs]:[SubPLOs]],"&gt;=7",tbl_task10[[SubPLOs]:[SubPLOs]],"&lt;8")</f>
        <v>0</v>
      </c>
      <c r="H186" s="41">
        <f>SUMIFS(tbl_task1[S3],tbl_task1[[SubPLOs]:[SubPLOs]],"&gt;=7",tbl_task1[[SubPLOs]:[SubPLOs]],"&lt;8")+SUMIFS(tbl_task2[S3],tbl_task2[[SubPLOs]:[SubPLOs]],"&gt;=7",tbl_task2[[SubPLOs]:[SubPLOs]],"&lt;8")+SUMIFS(tbl_task3[S3],tbl_task3[[SubPLOs]:[SubPLOs]],"&gt;=7",tbl_task3[[SubPLOs]:[SubPLOs]],"&lt;8")+SUMIFS(tbl_task4[S3],tbl_task4[[SubPLOs]:[SubPLOs]],"&gt;=7",tbl_task4[[SubPLOs]:[SubPLOs]],"&lt;8")+SUMIFS(tbl_task5[S3],tbl_task5[[SubPLOs]:[SubPLOs]],"&gt;=7",tbl_task5[[SubPLOs]:[SubPLOs]],"&lt;8")+SUMIFS(tbl_task6[S3],tbl_task6[[SubPLOs]:[SubPLOs]],"&gt;=7",tbl_task6[[SubPLOs]:[SubPLOs]],"&lt;8")+SUMIFS(tbl_task7[S3],tbl_task7[[SubPLOs]:[SubPLOs]],"&gt;=7",tbl_task7[[SubPLOs]:[SubPLOs]],"&lt;8")+SUMIFS(tbl_task8[S3],tbl_task8[[SubPLOs]:[SubPLOs]],"&gt;=7",tbl_task8[[SubPLOs]:[SubPLOs]],"&lt;8")+SUMIFS(tbl_task9[S3],tbl_task9[[SubPLOs]:[SubPLOs]],"&gt;=7",tbl_task9[[SubPLOs]:[SubPLOs]],"&lt;8")+SUMIFS(tbl_task10[S3],tbl_task10[[SubPLOs]:[SubPLOs]],"&gt;=7",tbl_task10[[SubPLOs]:[SubPLOs]],"&lt;8")</f>
        <v>0</v>
      </c>
      <c r="I186" s="41">
        <f>SUMIFS(tbl_task1[S4],tbl_task1[[SubPLOs]:[SubPLOs]],"&gt;=7",tbl_task1[[SubPLOs]:[SubPLOs]],"&lt;8")+SUMIFS(tbl_task2[S4],tbl_task2[[SubPLOs]:[SubPLOs]],"&gt;=7",tbl_task2[[SubPLOs]:[SubPLOs]],"&lt;8")+SUMIFS(tbl_task3[S4],tbl_task3[[SubPLOs]:[SubPLOs]],"&gt;=7",tbl_task3[[SubPLOs]:[SubPLOs]],"&lt;8")+SUMIFS(tbl_task4[S4],tbl_task4[[SubPLOs]:[SubPLOs]],"&gt;=7",tbl_task4[[SubPLOs]:[SubPLOs]],"&lt;8")+SUMIFS(tbl_task5[S4],tbl_task5[[SubPLOs]:[SubPLOs]],"&gt;=7",tbl_task5[[SubPLOs]:[SubPLOs]],"&lt;8")+SUMIFS(tbl_task6[S4],tbl_task6[[SubPLOs]:[SubPLOs]],"&gt;=7",tbl_task6[[SubPLOs]:[SubPLOs]],"&lt;8")+SUMIFS(tbl_task7[S4],tbl_task7[[SubPLOs]:[SubPLOs]],"&gt;=7",tbl_task7[[SubPLOs]:[SubPLOs]],"&lt;8")+SUMIFS(tbl_task8[S4],tbl_task8[[SubPLOs]:[SubPLOs]],"&gt;=7",tbl_task8[[SubPLOs]:[SubPLOs]],"&lt;8")+SUMIFS(tbl_task9[S4],tbl_task9[[SubPLOs]:[SubPLOs]],"&gt;=7",tbl_task9[[SubPLOs]:[SubPLOs]],"&lt;8")+SUMIFS(tbl_task10[S4],tbl_task10[[SubPLOs]:[SubPLOs]],"&gt;=7",tbl_task10[[SubPLOs]:[SubPLOs]],"&lt;8")</f>
        <v>0</v>
      </c>
      <c r="J186" s="41">
        <f>SUMIFS(tbl_task1[S5],tbl_task1[[SubPLOs]:[SubPLOs]],"&gt;=7",tbl_task1[[SubPLOs]:[SubPLOs]],"&lt;8")+SUMIFS(tbl_task2[S5],tbl_task2[[SubPLOs]:[SubPLOs]],"&gt;=7",tbl_task2[[SubPLOs]:[SubPLOs]],"&lt;8")+SUMIFS(tbl_task3[S5],tbl_task3[[SubPLOs]:[SubPLOs]],"&gt;=7",tbl_task3[[SubPLOs]:[SubPLOs]],"&lt;8")+SUMIFS(tbl_task4[S5],tbl_task4[[SubPLOs]:[SubPLOs]],"&gt;=7",tbl_task4[[SubPLOs]:[SubPLOs]],"&lt;8")+SUMIFS(tbl_task5[S5],tbl_task5[[SubPLOs]:[SubPLOs]],"&gt;=7",tbl_task5[[SubPLOs]:[SubPLOs]],"&lt;8")+SUMIFS(tbl_task6[S5],tbl_task6[[SubPLOs]:[SubPLOs]],"&gt;=7",tbl_task6[[SubPLOs]:[SubPLOs]],"&lt;8")+SUMIFS(tbl_task7[S5],tbl_task7[[SubPLOs]:[SubPLOs]],"&gt;=7",tbl_task7[[SubPLOs]:[SubPLOs]],"&lt;8")+SUMIFS(tbl_task8[S5],tbl_task8[[SubPLOs]:[SubPLOs]],"&gt;=7",tbl_task8[[SubPLOs]:[SubPLOs]],"&lt;8")+SUMIFS(tbl_task9[S5],tbl_task9[[SubPLOs]:[SubPLOs]],"&gt;=7",tbl_task9[[SubPLOs]:[SubPLOs]],"&lt;8")+SUMIFS(tbl_task10[S5],tbl_task10[[SubPLOs]:[SubPLOs]],"&gt;=7",tbl_task10[[SubPLOs]:[SubPLOs]],"&lt;8")</f>
        <v>0</v>
      </c>
      <c r="K186" s="41">
        <f>SUMIFS(tbl_task1[S6],tbl_task1[[SubPLOs]:[SubPLOs]],"&gt;=7",tbl_task1[[SubPLOs]:[SubPLOs]],"&lt;8")+SUMIFS(tbl_task2[S6],tbl_task2[[SubPLOs]:[SubPLOs]],"&gt;=7",tbl_task2[[SubPLOs]:[SubPLOs]],"&lt;8")+SUMIFS(tbl_task3[S6],tbl_task3[[SubPLOs]:[SubPLOs]],"&gt;=7",tbl_task3[[SubPLOs]:[SubPLOs]],"&lt;8")+SUMIFS(tbl_task4[S6],tbl_task4[[SubPLOs]:[SubPLOs]],"&gt;=7",tbl_task4[[SubPLOs]:[SubPLOs]],"&lt;8")+SUMIFS(tbl_task5[S6],tbl_task5[[SubPLOs]:[SubPLOs]],"&gt;=7",tbl_task5[[SubPLOs]:[SubPLOs]],"&lt;8")+SUMIFS(tbl_task6[S6],tbl_task6[[SubPLOs]:[SubPLOs]],"&gt;=7",tbl_task6[[SubPLOs]:[SubPLOs]],"&lt;8")+SUMIFS(tbl_task7[S6],tbl_task7[[SubPLOs]:[SubPLOs]],"&gt;=7",tbl_task7[[SubPLOs]:[SubPLOs]],"&lt;8")+SUMIFS(tbl_task8[S6],tbl_task8[[SubPLOs]:[SubPLOs]],"&gt;=7",tbl_task8[[SubPLOs]:[SubPLOs]],"&lt;8")+SUMIFS(tbl_task9[S6],tbl_task9[[SubPLOs]:[SubPLOs]],"&gt;=7",tbl_task9[[SubPLOs]:[SubPLOs]],"&lt;8")+SUMIFS(tbl_task10[S6],tbl_task10[[SubPLOs]:[SubPLOs]],"&gt;=7",tbl_task10[[SubPLOs]:[SubPLOs]],"&lt;8")</f>
        <v>0</v>
      </c>
      <c r="L186" s="41">
        <f>SUMIFS(tbl_task1[S7],tbl_task1[[SubPLOs]:[SubPLOs]],"&gt;=7",tbl_task1[[SubPLOs]:[SubPLOs]],"&lt;8")+SUMIFS(tbl_task2[S7],tbl_task2[[SubPLOs]:[SubPLOs]],"&gt;=7",tbl_task2[[SubPLOs]:[SubPLOs]],"&lt;8")+SUMIFS(tbl_task3[S7],tbl_task3[[SubPLOs]:[SubPLOs]],"&gt;=7",tbl_task3[[SubPLOs]:[SubPLOs]],"&lt;8")+SUMIFS(tbl_task4[S7],tbl_task4[[SubPLOs]:[SubPLOs]],"&gt;=7",tbl_task4[[SubPLOs]:[SubPLOs]],"&lt;8")+SUMIFS(tbl_task5[S7],tbl_task5[[SubPLOs]:[SubPLOs]],"&gt;=7",tbl_task5[[SubPLOs]:[SubPLOs]],"&lt;8")+SUMIFS(tbl_task6[S7],tbl_task6[[SubPLOs]:[SubPLOs]],"&gt;=7",tbl_task6[[SubPLOs]:[SubPLOs]],"&lt;8")+SUMIFS(tbl_task7[S7],tbl_task7[[SubPLOs]:[SubPLOs]],"&gt;=7",tbl_task7[[SubPLOs]:[SubPLOs]],"&lt;8")+SUMIFS(tbl_task8[S7],tbl_task8[[SubPLOs]:[SubPLOs]],"&gt;=7",tbl_task8[[SubPLOs]:[SubPLOs]],"&lt;8")+SUMIFS(tbl_task9[S7],tbl_task9[[SubPLOs]:[SubPLOs]],"&gt;=7",tbl_task9[[SubPLOs]:[SubPLOs]],"&lt;8")+SUMIFS(tbl_task10[S7],tbl_task10[[SubPLOs]:[SubPLOs]],"&gt;=7",tbl_task10[[SubPLOs]:[SubPLOs]],"&lt;8")</f>
        <v>0</v>
      </c>
      <c r="M186" s="41">
        <f>SUMIFS(tbl_task1[S8],tbl_task1[[SubPLOs]:[SubPLOs]],"&gt;=7",tbl_task1[[SubPLOs]:[SubPLOs]],"&lt;8")+SUMIFS(tbl_task2[S8],tbl_task2[[SubPLOs]:[SubPLOs]],"&gt;=7",tbl_task2[[SubPLOs]:[SubPLOs]],"&lt;8")+SUMIFS(tbl_task3[S8],tbl_task3[[SubPLOs]:[SubPLOs]],"&gt;=7",tbl_task3[[SubPLOs]:[SubPLOs]],"&lt;8")+SUMIFS(tbl_task4[S8],tbl_task4[[SubPLOs]:[SubPLOs]],"&gt;=7",tbl_task4[[SubPLOs]:[SubPLOs]],"&lt;8")+SUMIFS(tbl_task5[S8],tbl_task5[[SubPLOs]:[SubPLOs]],"&gt;=7",tbl_task5[[SubPLOs]:[SubPLOs]],"&lt;8")+SUMIFS(tbl_task6[S8],tbl_task6[[SubPLOs]:[SubPLOs]],"&gt;=7",tbl_task6[[SubPLOs]:[SubPLOs]],"&lt;8")+SUMIFS(tbl_task7[S8],tbl_task7[[SubPLOs]:[SubPLOs]],"&gt;=7",tbl_task7[[SubPLOs]:[SubPLOs]],"&lt;8")+SUMIFS(tbl_task8[S8],tbl_task8[[SubPLOs]:[SubPLOs]],"&gt;=7",tbl_task8[[SubPLOs]:[SubPLOs]],"&lt;8")+SUMIFS(tbl_task9[S8],tbl_task9[[SubPLOs]:[SubPLOs]],"&gt;=7",tbl_task9[[SubPLOs]:[SubPLOs]],"&lt;8")+SUMIFS(tbl_task10[S8],tbl_task10[[SubPLOs]:[SubPLOs]],"&gt;=7",tbl_task10[[SubPLOs]:[SubPLOs]],"&lt;8")</f>
        <v>0</v>
      </c>
      <c r="N186" s="41">
        <f>SUMIFS(tbl_task1[S9],tbl_task1[[SubPLOs]:[SubPLOs]],"&gt;=7",tbl_task1[[SubPLOs]:[SubPLOs]],"&lt;8")+SUMIFS(tbl_task2[S9],tbl_task2[[SubPLOs]:[SubPLOs]],"&gt;=7",tbl_task2[[SubPLOs]:[SubPLOs]],"&lt;8")+SUMIFS(tbl_task3[S9],tbl_task3[[SubPLOs]:[SubPLOs]],"&gt;=7",tbl_task3[[SubPLOs]:[SubPLOs]],"&lt;8")+SUMIFS(tbl_task4[S9],tbl_task4[[SubPLOs]:[SubPLOs]],"&gt;=7",tbl_task4[[SubPLOs]:[SubPLOs]],"&lt;8")+SUMIFS(tbl_task5[S9],tbl_task5[[SubPLOs]:[SubPLOs]],"&gt;=7",tbl_task5[[SubPLOs]:[SubPLOs]],"&lt;8")+SUMIFS(tbl_task6[S9],tbl_task6[[SubPLOs]:[SubPLOs]],"&gt;=7",tbl_task6[[SubPLOs]:[SubPLOs]],"&lt;8")+SUMIFS(tbl_task7[S9],tbl_task7[[SubPLOs]:[SubPLOs]],"&gt;=7",tbl_task7[[SubPLOs]:[SubPLOs]],"&lt;8")+SUMIFS(tbl_task8[S9],tbl_task8[[SubPLOs]:[SubPLOs]],"&gt;=7",tbl_task8[[SubPLOs]:[SubPLOs]],"&lt;8")+SUMIFS(tbl_task9[S9],tbl_task9[[SubPLOs]:[SubPLOs]],"&gt;=7",tbl_task9[[SubPLOs]:[SubPLOs]],"&lt;8")+SUMIFS(tbl_task10[S9],tbl_task10[[SubPLOs]:[SubPLOs]],"&gt;=7",tbl_task10[[SubPLOs]:[SubPLOs]],"&lt;8")</f>
        <v>0</v>
      </c>
      <c r="O186" s="41">
        <f>SUMIFS(tbl_task1[S10],tbl_task1[[SubPLOs]:[SubPLOs]],"&gt;=7",tbl_task1[[SubPLOs]:[SubPLOs]],"&lt;8")+SUMIFS(tbl_task2[S10],tbl_task2[[SubPLOs]:[SubPLOs]],"&gt;=7",tbl_task2[[SubPLOs]:[SubPLOs]],"&lt;8")+SUMIFS(tbl_task3[S10],tbl_task3[[SubPLOs]:[SubPLOs]],"&gt;=7",tbl_task3[[SubPLOs]:[SubPLOs]],"&lt;8")+SUMIFS(tbl_task4[S10],tbl_task4[[SubPLOs]:[SubPLOs]],"&gt;=7",tbl_task4[[SubPLOs]:[SubPLOs]],"&lt;8")+SUMIFS(tbl_task5[S10],tbl_task5[[SubPLOs]:[SubPLOs]],"&gt;=7",tbl_task5[[SubPLOs]:[SubPLOs]],"&lt;8")+SUMIFS(tbl_task6[S10],tbl_task6[[SubPLOs]:[SubPLOs]],"&gt;=7",tbl_task6[[SubPLOs]:[SubPLOs]],"&lt;8")+SUMIFS(tbl_task7[S10],tbl_task7[[SubPLOs]:[SubPLOs]],"&gt;=7",tbl_task7[[SubPLOs]:[SubPLOs]],"&lt;8")+SUMIFS(tbl_task8[S10],tbl_task8[[SubPLOs]:[SubPLOs]],"&gt;=7",tbl_task8[[SubPLOs]:[SubPLOs]],"&lt;8")+SUMIFS(tbl_task9[S10],tbl_task9[[SubPLOs]:[SubPLOs]],"&gt;=7",tbl_task9[[SubPLOs]:[SubPLOs]],"&lt;8")+SUMIFS(tbl_task10[S10],tbl_task10[[SubPLOs]:[SubPLOs]],"&gt;=7",tbl_task10[[SubPLOs]:[SubPLOs]],"&lt;8")</f>
        <v>0</v>
      </c>
      <c r="P186" s="41">
        <f>SUMIFS(tbl_task1[S11],tbl_task1[[SubPLOs]:[SubPLOs]],"&gt;=7",tbl_task1[[SubPLOs]:[SubPLOs]],"&lt;8")+SUMIFS(tbl_task2[S11],tbl_task2[[SubPLOs]:[SubPLOs]],"&gt;=7",tbl_task2[[SubPLOs]:[SubPLOs]],"&lt;8")+SUMIFS(tbl_task3[S11],tbl_task3[[SubPLOs]:[SubPLOs]],"&gt;=7",tbl_task3[[SubPLOs]:[SubPLOs]],"&lt;8")+SUMIFS(tbl_task4[S11],tbl_task4[[SubPLOs]:[SubPLOs]],"&gt;=7",tbl_task4[[SubPLOs]:[SubPLOs]],"&lt;8")+SUMIFS(tbl_task5[S11],tbl_task5[[SubPLOs]:[SubPLOs]],"&gt;=7",tbl_task5[[SubPLOs]:[SubPLOs]],"&lt;8")+SUMIFS(tbl_task6[S11],tbl_task6[[SubPLOs]:[SubPLOs]],"&gt;=7",tbl_task6[[SubPLOs]:[SubPLOs]],"&lt;8")+SUMIFS(tbl_task7[S11],tbl_task7[[SubPLOs]:[SubPLOs]],"&gt;=7",tbl_task7[[SubPLOs]:[SubPLOs]],"&lt;8")+SUMIFS(tbl_task8[S11],tbl_task8[[SubPLOs]:[SubPLOs]],"&gt;=7",tbl_task8[[SubPLOs]:[SubPLOs]],"&lt;8")+SUMIFS(tbl_task9[S11],tbl_task9[[SubPLOs]:[SubPLOs]],"&gt;=7",tbl_task9[[SubPLOs]:[SubPLOs]],"&lt;8")+SUMIFS(tbl_task10[S11],tbl_task10[[SubPLOs]:[SubPLOs]],"&gt;=7",tbl_task10[[SubPLOs]:[SubPLOs]],"&lt;8")</f>
        <v>0</v>
      </c>
      <c r="Q186" s="41">
        <f>SUMIFS(tbl_task1[S12],tbl_task1[[SubPLOs]:[SubPLOs]],"&gt;=7",tbl_task1[[SubPLOs]:[SubPLOs]],"&lt;8")+SUMIFS(tbl_task2[S12],tbl_task2[[SubPLOs]:[SubPLOs]],"&gt;=7",tbl_task2[[SubPLOs]:[SubPLOs]],"&lt;8")+SUMIFS(tbl_task3[S12],tbl_task3[[SubPLOs]:[SubPLOs]],"&gt;=7",tbl_task3[[SubPLOs]:[SubPLOs]],"&lt;8")+SUMIFS(tbl_task4[S12],tbl_task4[[SubPLOs]:[SubPLOs]],"&gt;=7",tbl_task4[[SubPLOs]:[SubPLOs]],"&lt;8")+SUMIFS(tbl_task5[S12],tbl_task5[[SubPLOs]:[SubPLOs]],"&gt;=7",tbl_task5[[SubPLOs]:[SubPLOs]],"&lt;8")+SUMIFS(tbl_task6[S12],tbl_task6[[SubPLOs]:[SubPLOs]],"&gt;=7",tbl_task6[[SubPLOs]:[SubPLOs]],"&lt;8")+SUMIFS(tbl_task7[S12],tbl_task7[[SubPLOs]:[SubPLOs]],"&gt;=7",tbl_task7[[SubPLOs]:[SubPLOs]],"&lt;8")+SUMIFS(tbl_task8[S12],tbl_task8[[SubPLOs]:[SubPLOs]],"&gt;=7",tbl_task8[[SubPLOs]:[SubPLOs]],"&lt;8")+SUMIFS(tbl_task9[S12],tbl_task9[[SubPLOs]:[SubPLOs]],"&gt;=7",tbl_task9[[SubPLOs]:[SubPLOs]],"&lt;8")+SUMIFS(tbl_task10[S12],tbl_task10[[SubPLOs]:[SubPLOs]],"&gt;=7",tbl_task10[[SubPLOs]:[SubPLOs]],"&lt;8")</f>
        <v>0</v>
      </c>
      <c r="R186" s="41">
        <f>SUMIFS(tbl_task1[S13],tbl_task1[[SubPLOs]:[SubPLOs]],"&gt;=7",tbl_task1[[SubPLOs]:[SubPLOs]],"&lt;8")+SUMIFS(tbl_task2[S13],tbl_task2[[SubPLOs]:[SubPLOs]],"&gt;=7",tbl_task2[[SubPLOs]:[SubPLOs]],"&lt;8")+SUMIFS(tbl_task3[S13],tbl_task3[[SubPLOs]:[SubPLOs]],"&gt;=7",tbl_task3[[SubPLOs]:[SubPLOs]],"&lt;8")+SUMIFS(tbl_task4[S13],tbl_task4[[SubPLOs]:[SubPLOs]],"&gt;=7",tbl_task4[[SubPLOs]:[SubPLOs]],"&lt;8")+SUMIFS(tbl_task5[S13],tbl_task5[[SubPLOs]:[SubPLOs]],"&gt;=7",tbl_task5[[SubPLOs]:[SubPLOs]],"&lt;8")+SUMIFS(tbl_task6[S13],tbl_task6[[SubPLOs]:[SubPLOs]],"&gt;=7",tbl_task6[[SubPLOs]:[SubPLOs]],"&lt;8")+SUMIFS(tbl_task7[S13],tbl_task7[[SubPLOs]:[SubPLOs]],"&gt;=7",tbl_task7[[SubPLOs]:[SubPLOs]],"&lt;8")+SUMIFS(tbl_task8[S13],tbl_task8[[SubPLOs]:[SubPLOs]],"&gt;=7",tbl_task8[[SubPLOs]:[SubPLOs]],"&lt;8")+SUMIFS(tbl_task9[S13],tbl_task9[[SubPLOs]:[SubPLOs]],"&gt;=7",tbl_task9[[SubPLOs]:[SubPLOs]],"&lt;8")+SUMIFS(tbl_task10[S13],tbl_task10[[SubPLOs]:[SubPLOs]],"&gt;=7",tbl_task10[[SubPLOs]:[SubPLOs]],"&lt;8")</f>
        <v>0</v>
      </c>
      <c r="S186" s="41">
        <f>SUMIFS(tbl_task1[S14],tbl_task1[[SubPLOs]:[SubPLOs]],"&gt;=7",tbl_task1[[SubPLOs]:[SubPLOs]],"&lt;8")+SUMIFS(tbl_task2[S14],tbl_task2[[SubPLOs]:[SubPLOs]],"&gt;=7",tbl_task2[[SubPLOs]:[SubPLOs]],"&lt;8")+SUMIFS(tbl_task3[S14],tbl_task3[[SubPLOs]:[SubPLOs]],"&gt;=7",tbl_task3[[SubPLOs]:[SubPLOs]],"&lt;8")+SUMIFS(tbl_task4[S14],tbl_task4[[SubPLOs]:[SubPLOs]],"&gt;=7",tbl_task4[[SubPLOs]:[SubPLOs]],"&lt;8")+SUMIFS(tbl_task5[S14],tbl_task5[[SubPLOs]:[SubPLOs]],"&gt;=7",tbl_task5[[SubPLOs]:[SubPLOs]],"&lt;8")+SUMIFS(tbl_task6[S14],tbl_task6[[SubPLOs]:[SubPLOs]],"&gt;=7",tbl_task6[[SubPLOs]:[SubPLOs]],"&lt;8")+SUMIFS(tbl_task7[S14],tbl_task7[[SubPLOs]:[SubPLOs]],"&gt;=7",tbl_task7[[SubPLOs]:[SubPLOs]],"&lt;8")+SUMIFS(tbl_task8[S14],tbl_task8[[SubPLOs]:[SubPLOs]],"&gt;=7",tbl_task8[[SubPLOs]:[SubPLOs]],"&lt;8")+SUMIFS(tbl_task9[S14],tbl_task9[[SubPLOs]:[SubPLOs]],"&gt;=7",tbl_task9[[SubPLOs]:[SubPLOs]],"&lt;8")+SUMIFS(tbl_task10[S14],tbl_task10[[SubPLOs]:[SubPLOs]],"&gt;=7",tbl_task10[[SubPLOs]:[SubPLOs]],"&lt;8")</f>
        <v>0</v>
      </c>
      <c r="T186" s="41">
        <f>SUMIFS(tbl_task1[S15],tbl_task1[[SubPLOs]:[SubPLOs]],"&gt;=7",tbl_task1[[SubPLOs]:[SubPLOs]],"&lt;8")+SUMIFS(tbl_task2[S15],tbl_task2[[SubPLOs]:[SubPLOs]],"&gt;=7",tbl_task2[[SubPLOs]:[SubPLOs]],"&lt;8")+SUMIFS(tbl_task3[S15],tbl_task3[[SubPLOs]:[SubPLOs]],"&gt;=7",tbl_task3[[SubPLOs]:[SubPLOs]],"&lt;8")+SUMIFS(tbl_task4[S15],tbl_task4[[SubPLOs]:[SubPLOs]],"&gt;=7",tbl_task4[[SubPLOs]:[SubPLOs]],"&lt;8")+SUMIFS(tbl_task5[S15],tbl_task5[[SubPLOs]:[SubPLOs]],"&gt;=7",tbl_task5[[SubPLOs]:[SubPLOs]],"&lt;8")+SUMIFS(tbl_task6[S15],tbl_task6[[SubPLOs]:[SubPLOs]],"&gt;=7",tbl_task6[[SubPLOs]:[SubPLOs]],"&lt;8")+SUMIFS(tbl_task7[S15],tbl_task7[[SubPLOs]:[SubPLOs]],"&gt;=7",tbl_task7[[SubPLOs]:[SubPLOs]],"&lt;8")+SUMIFS(tbl_task8[S15],tbl_task8[[SubPLOs]:[SubPLOs]],"&gt;=7",tbl_task8[[SubPLOs]:[SubPLOs]],"&lt;8")+SUMIFS(tbl_task9[S15],tbl_task9[[SubPLOs]:[SubPLOs]],"&gt;=7",tbl_task9[[SubPLOs]:[SubPLOs]],"&lt;8")+SUMIFS(tbl_task10[S15],tbl_task10[[SubPLOs]:[SubPLOs]],"&gt;=7",tbl_task10[[SubPLOs]:[SubPLOs]],"&lt;8")</f>
        <v>0</v>
      </c>
      <c r="U186" s="41">
        <f>SUMIFS(tbl_task1[S16],tbl_task1[[SubPLOs]:[SubPLOs]],"&gt;=7",tbl_task1[[SubPLOs]:[SubPLOs]],"&lt;8")+SUMIFS(tbl_task2[S16],tbl_task2[[SubPLOs]:[SubPLOs]],"&gt;=7",tbl_task2[[SubPLOs]:[SubPLOs]],"&lt;8")+SUMIFS(tbl_task3[S16],tbl_task3[[SubPLOs]:[SubPLOs]],"&gt;=7",tbl_task3[[SubPLOs]:[SubPLOs]],"&lt;8")+SUMIFS(tbl_task4[S16],tbl_task4[[SubPLOs]:[SubPLOs]],"&gt;=7",tbl_task4[[SubPLOs]:[SubPLOs]],"&lt;8")+SUMIFS(tbl_task5[S16],tbl_task5[[SubPLOs]:[SubPLOs]],"&gt;=7",tbl_task5[[SubPLOs]:[SubPLOs]],"&lt;8")+SUMIFS(tbl_task6[S16],tbl_task6[[SubPLOs]:[SubPLOs]],"&gt;=7",tbl_task6[[SubPLOs]:[SubPLOs]],"&lt;8")+SUMIFS(tbl_task7[S16],tbl_task7[[SubPLOs]:[SubPLOs]],"&gt;=7",tbl_task7[[SubPLOs]:[SubPLOs]],"&lt;8")+SUMIFS(tbl_task8[S16],tbl_task8[[SubPLOs]:[SubPLOs]],"&gt;=7",tbl_task8[[SubPLOs]:[SubPLOs]],"&lt;8")+SUMIFS(tbl_task9[S16],tbl_task9[[SubPLOs]:[SubPLOs]],"&gt;=7",tbl_task9[[SubPLOs]:[SubPLOs]],"&lt;8")+SUMIFS(tbl_task10[S16],tbl_task10[[SubPLOs]:[SubPLOs]],"&gt;=7",tbl_task10[[SubPLOs]:[SubPLOs]],"&lt;8")</f>
        <v>0</v>
      </c>
      <c r="V186" s="41">
        <f>SUMIFS(tbl_task1[S17],tbl_task1[[SubPLOs]:[SubPLOs]],"&gt;=7",tbl_task1[[SubPLOs]:[SubPLOs]],"&lt;8")+SUMIFS(tbl_task2[S17],tbl_task2[[SubPLOs]:[SubPLOs]],"&gt;=7",tbl_task2[[SubPLOs]:[SubPLOs]],"&lt;8")+SUMIFS(tbl_task3[S17],tbl_task3[[SubPLOs]:[SubPLOs]],"&gt;=7",tbl_task3[[SubPLOs]:[SubPLOs]],"&lt;8")+SUMIFS(tbl_task4[S17],tbl_task4[[SubPLOs]:[SubPLOs]],"&gt;=7",tbl_task4[[SubPLOs]:[SubPLOs]],"&lt;8")+SUMIFS(tbl_task5[S17],tbl_task5[[SubPLOs]:[SubPLOs]],"&gt;=7",tbl_task5[[SubPLOs]:[SubPLOs]],"&lt;8")+SUMIFS(tbl_task6[S17],tbl_task6[[SubPLOs]:[SubPLOs]],"&gt;=7",tbl_task6[[SubPLOs]:[SubPLOs]],"&lt;8")+SUMIFS(tbl_task7[S17],tbl_task7[[SubPLOs]:[SubPLOs]],"&gt;=7",tbl_task7[[SubPLOs]:[SubPLOs]],"&lt;8")+SUMIFS(tbl_task8[S17],tbl_task8[[SubPLOs]:[SubPLOs]],"&gt;=7",tbl_task8[[SubPLOs]:[SubPLOs]],"&lt;8")+SUMIFS(tbl_task9[S17],tbl_task9[[SubPLOs]:[SubPLOs]],"&gt;=7",tbl_task9[[SubPLOs]:[SubPLOs]],"&lt;8")+SUMIFS(tbl_task10[S17],tbl_task10[[SubPLOs]:[SubPLOs]],"&gt;=7",tbl_task10[[SubPLOs]:[SubPLOs]],"&lt;8")</f>
        <v>0</v>
      </c>
      <c r="W186" s="41">
        <f>SUMIFS(tbl_task1[S18],tbl_task1[[SubPLOs]:[SubPLOs]],"&gt;=7",tbl_task1[[SubPLOs]:[SubPLOs]],"&lt;8")+SUMIFS(tbl_task2[S18],tbl_task2[[SubPLOs]:[SubPLOs]],"&gt;=7",tbl_task2[[SubPLOs]:[SubPLOs]],"&lt;8")+SUMIFS(tbl_task3[S18],tbl_task3[[SubPLOs]:[SubPLOs]],"&gt;=7",tbl_task3[[SubPLOs]:[SubPLOs]],"&lt;8")+SUMIFS(tbl_task4[S18],tbl_task4[[SubPLOs]:[SubPLOs]],"&gt;=7",tbl_task4[[SubPLOs]:[SubPLOs]],"&lt;8")+SUMIFS(tbl_task5[S18],tbl_task5[[SubPLOs]:[SubPLOs]],"&gt;=7",tbl_task5[[SubPLOs]:[SubPLOs]],"&lt;8")+SUMIFS(tbl_task6[S18],tbl_task6[[SubPLOs]:[SubPLOs]],"&gt;=7",tbl_task6[[SubPLOs]:[SubPLOs]],"&lt;8")+SUMIFS(tbl_task7[S18],tbl_task7[[SubPLOs]:[SubPLOs]],"&gt;=7",tbl_task7[[SubPLOs]:[SubPLOs]],"&lt;8")+SUMIFS(tbl_task8[S18],tbl_task8[[SubPLOs]:[SubPLOs]],"&gt;=7",tbl_task8[[SubPLOs]:[SubPLOs]],"&lt;8")+SUMIFS(tbl_task9[S18],tbl_task9[[SubPLOs]:[SubPLOs]],"&gt;=7",tbl_task9[[SubPLOs]:[SubPLOs]],"&lt;8")+SUMIFS(tbl_task10[S18],tbl_task10[[SubPLOs]:[SubPLOs]],"&gt;=7",tbl_task10[[SubPLOs]:[SubPLOs]],"&lt;8")</f>
        <v>0</v>
      </c>
      <c r="X186" s="41">
        <f>SUMIFS(tbl_task1[S19],tbl_task1[[SubPLOs]:[SubPLOs]],"&gt;=7",tbl_task1[[SubPLOs]:[SubPLOs]],"&lt;8")+SUMIFS(tbl_task2[S19],tbl_task2[[SubPLOs]:[SubPLOs]],"&gt;=7",tbl_task2[[SubPLOs]:[SubPLOs]],"&lt;8")+SUMIFS(tbl_task3[S19],tbl_task3[[SubPLOs]:[SubPLOs]],"&gt;=7",tbl_task3[[SubPLOs]:[SubPLOs]],"&lt;8")+SUMIFS(tbl_task4[S19],tbl_task4[[SubPLOs]:[SubPLOs]],"&gt;=7",tbl_task4[[SubPLOs]:[SubPLOs]],"&lt;8")+SUMIFS(tbl_task5[S19],tbl_task5[[SubPLOs]:[SubPLOs]],"&gt;=7",tbl_task5[[SubPLOs]:[SubPLOs]],"&lt;8")+SUMIFS(tbl_task6[S19],tbl_task6[[SubPLOs]:[SubPLOs]],"&gt;=7",tbl_task6[[SubPLOs]:[SubPLOs]],"&lt;8")+SUMIFS(tbl_task7[S19],tbl_task7[[SubPLOs]:[SubPLOs]],"&gt;=7",tbl_task7[[SubPLOs]:[SubPLOs]],"&lt;8")+SUMIFS(tbl_task8[S19],tbl_task8[[SubPLOs]:[SubPLOs]],"&gt;=7",tbl_task8[[SubPLOs]:[SubPLOs]],"&lt;8")+SUMIFS(tbl_task9[S19],tbl_task9[[SubPLOs]:[SubPLOs]],"&gt;=7",tbl_task9[[SubPLOs]:[SubPLOs]],"&lt;8")+SUMIFS(tbl_task10[S19],tbl_task10[[SubPLOs]:[SubPLOs]],"&gt;=7",tbl_task10[[SubPLOs]:[SubPLOs]],"&lt;8")</f>
        <v>0</v>
      </c>
      <c r="Y186" s="41">
        <f>SUMIFS(tbl_task1[S20],tbl_task1[[SubPLOs]:[SubPLOs]],"&gt;=7",tbl_task1[[SubPLOs]:[SubPLOs]],"&lt;8")+SUMIFS(tbl_task2[S20],tbl_task2[[SubPLOs]:[SubPLOs]],"&gt;=7",tbl_task2[[SubPLOs]:[SubPLOs]],"&lt;8")+SUMIFS(tbl_task3[S20],tbl_task3[[SubPLOs]:[SubPLOs]],"&gt;=7",tbl_task3[[SubPLOs]:[SubPLOs]],"&lt;8")+SUMIFS(tbl_task4[S20],tbl_task4[[SubPLOs]:[SubPLOs]],"&gt;=7",tbl_task4[[SubPLOs]:[SubPLOs]],"&lt;8")+SUMIFS(tbl_task5[S20],tbl_task5[[SubPLOs]:[SubPLOs]],"&gt;=7",tbl_task5[[SubPLOs]:[SubPLOs]],"&lt;8")+SUMIFS(tbl_task6[S20],tbl_task6[[SubPLOs]:[SubPLOs]],"&gt;=7",tbl_task6[[SubPLOs]:[SubPLOs]],"&lt;8")+SUMIFS(tbl_task7[S20],tbl_task7[[SubPLOs]:[SubPLOs]],"&gt;=7",tbl_task7[[SubPLOs]:[SubPLOs]],"&lt;8")+SUMIFS(tbl_task8[S20],tbl_task8[[SubPLOs]:[SubPLOs]],"&gt;=7",tbl_task8[[SubPLOs]:[SubPLOs]],"&lt;8")+SUMIFS(tbl_task9[S20],tbl_task9[[SubPLOs]:[SubPLOs]],"&gt;=7",tbl_task9[[SubPLOs]:[SubPLOs]],"&lt;8")+SUMIFS(tbl_task10[S20],tbl_task10[[SubPLOs]:[SubPLOs]],"&gt;=7",tbl_task10[[SubPLOs]:[SubPLOs]],"&lt;8")</f>
        <v>0</v>
      </c>
      <c r="Z186" s="41">
        <f>SUMIFS(tbl_task1[S21],tbl_task1[[SubPLOs]:[SubPLOs]],"&gt;=7",tbl_task1[[SubPLOs]:[SubPLOs]],"&lt;8")+SUMIFS(tbl_task2[S21],tbl_task2[[SubPLOs]:[SubPLOs]],"&gt;=7",tbl_task2[[SubPLOs]:[SubPLOs]],"&lt;8")+SUMIFS(tbl_task3[S21],tbl_task3[[SubPLOs]:[SubPLOs]],"&gt;=7",tbl_task3[[SubPLOs]:[SubPLOs]],"&lt;8")+SUMIFS(tbl_task4[S21],tbl_task4[[SubPLOs]:[SubPLOs]],"&gt;=7",tbl_task4[[SubPLOs]:[SubPLOs]],"&lt;8")+SUMIFS(tbl_task5[S21],tbl_task5[[SubPLOs]:[SubPLOs]],"&gt;=7",tbl_task5[[SubPLOs]:[SubPLOs]],"&lt;8")+SUMIFS(tbl_task6[S21],tbl_task6[[SubPLOs]:[SubPLOs]],"&gt;=7",tbl_task6[[SubPLOs]:[SubPLOs]],"&lt;8")+SUMIFS(tbl_task7[S21],tbl_task7[[SubPLOs]:[SubPLOs]],"&gt;=7",tbl_task7[[SubPLOs]:[SubPLOs]],"&lt;8")+SUMIFS(tbl_task8[S21],tbl_task8[[SubPLOs]:[SubPLOs]],"&gt;=7",tbl_task8[[SubPLOs]:[SubPLOs]],"&lt;8")+SUMIFS(tbl_task9[S21],tbl_task9[[SubPLOs]:[SubPLOs]],"&gt;=7",tbl_task9[[SubPLOs]:[SubPLOs]],"&lt;8")+SUMIFS(tbl_task10[S21],tbl_task10[[SubPLOs]:[SubPLOs]],"&gt;=7",tbl_task10[[SubPLOs]:[SubPLOs]],"&lt;8")</f>
        <v>0</v>
      </c>
      <c r="AA186" s="41">
        <f>SUMIFS(tbl_task1[S22],tbl_task1[[SubPLOs]:[SubPLOs]],"&gt;=7",tbl_task1[[SubPLOs]:[SubPLOs]],"&lt;8")+SUMIFS(tbl_task2[S22],tbl_task2[[SubPLOs]:[SubPLOs]],"&gt;=7",tbl_task2[[SubPLOs]:[SubPLOs]],"&lt;8")+SUMIFS(tbl_task3[S22],tbl_task3[[SubPLOs]:[SubPLOs]],"&gt;=7",tbl_task3[[SubPLOs]:[SubPLOs]],"&lt;8")+SUMIFS(tbl_task4[S22],tbl_task4[[SubPLOs]:[SubPLOs]],"&gt;=7",tbl_task4[[SubPLOs]:[SubPLOs]],"&lt;8")+SUMIFS(tbl_task5[S22],tbl_task5[[SubPLOs]:[SubPLOs]],"&gt;=7",tbl_task5[[SubPLOs]:[SubPLOs]],"&lt;8")+SUMIFS(tbl_task6[S22],tbl_task6[[SubPLOs]:[SubPLOs]],"&gt;=7",tbl_task6[[SubPLOs]:[SubPLOs]],"&lt;8")+SUMIFS(tbl_task7[S22],tbl_task7[[SubPLOs]:[SubPLOs]],"&gt;=7",tbl_task7[[SubPLOs]:[SubPLOs]],"&lt;8")+SUMIFS(tbl_task8[S22],tbl_task8[[SubPLOs]:[SubPLOs]],"&gt;=7",tbl_task8[[SubPLOs]:[SubPLOs]],"&lt;8")+SUMIFS(tbl_task9[S22],tbl_task9[[SubPLOs]:[SubPLOs]],"&gt;=7",tbl_task9[[SubPLOs]:[SubPLOs]],"&lt;8")+SUMIFS(tbl_task10[S22],tbl_task10[[SubPLOs]:[SubPLOs]],"&gt;=7",tbl_task10[[SubPLOs]:[SubPLOs]],"&lt;8")</f>
        <v>0</v>
      </c>
      <c r="AB186" s="41">
        <f>SUMIFS(tbl_task1[S23],tbl_task1[[SubPLOs]:[SubPLOs]],"&gt;=7",tbl_task1[[SubPLOs]:[SubPLOs]],"&lt;8")+SUMIFS(tbl_task2[S23],tbl_task2[[SubPLOs]:[SubPLOs]],"&gt;=7",tbl_task2[[SubPLOs]:[SubPLOs]],"&lt;8")+SUMIFS(tbl_task3[S23],tbl_task3[[SubPLOs]:[SubPLOs]],"&gt;=7",tbl_task3[[SubPLOs]:[SubPLOs]],"&lt;8")+SUMIFS(tbl_task4[S23],tbl_task4[[SubPLOs]:[SubPLOs]],"&gt;=7",tbl_task4[[SubPLOs]:[SubPLOs]],"&lt;8")+SUMIFS(tbl_task5[S23],tbl_task5[[SubPLOs]:[SubPLOs]],"&gt;=7",tbl_task5[[SubPLOs]:[SubPLOs]],"&lt;8")+SUMIFS(tbl_task6[S23],tbl_task6[[SubPLOs]:[SubPLOs]],"&gt;=7",tbl_task6[[SubPLOs]:[SubPLOs]],"&lt;8")+SUMIFS(tbl_task7[S23],tbl_task7[[SubPLOs]:[SubPLOs]],"&gt;=7",tbl_task7[[SubPLOs]:[SubPLOs]],"&lt;8")+SUMIFS(tbl_task8[S23],tbl_task8[[SubPLOs]:[SubPLOs]],"&gt;=7",tbl_task8[[SubPLOs]:[SubPLOs]],"&lt;8")+SUMIFS(tbl_task9[S23],tbl_task9[[SubPLOs]:[SubPLOs]],"&gt;=7",tbl_task9[[SubPLOs]:[SubPLOs]],"&lt;8")+SUMIFS(tbl_task10[S23],tbl_task10[[SubPLOs]:[SubPLOs]],"&gt;=7",tbl_task10[[SubPLOs]:[SubPLOs]],"&lt;8")</f>
        <v>0</v>
      </c>
      <c r="AC186" s="41">
        <f>SUMIFS(tbl_task1[S24],tbl_task1[[SubPLOs]:[SubPLOs]],"&gt;=7",tbl_task1[[SubPLOs]:[SubPLOs]],"&lt;8")+SUMIFS(tbl_task2[S24],tbl_task2[[SubPLOs]:[SubPLOs]],"&gt;=7",tbl_task2[[SubPLOs]:[SubPLOs]],"&lt;8")+SUMIFS(tbl_task3[S24],tbl_task3[[SubPLOs]:[SubPLOs]],"&gt;=7",tbl_task3[[SubPLOs]:[SubPLOs]],"&lt;8")+SUMIFS(tbl_task4[S24],tbl_task4[[SubPLOs]:[SubPLOs]],"&gt;=7",tbl_task4[[SubPLOs]:[SubPLOs]],"&lt;8")+SUMIFS(tbl_task5[S24],tbl_task5[[SubPLOs]:[SubPLOs]],"&gt;=7",tbl_task5[[SubPLOs]:[SubPLOs]],"&lt;8")+SUMIFS(tbl_task6[S24],tbl_task6[[SubPLOs]:[SubPLOs]],"&gt;=7",tbl_task6[[SubPLOs]:[SubPLOs]],"&lt;8")+SUMIFS(tbl_task7[S24],tbl_task7[[SubPLOs]:[SubPLOs]],"&gt;=7",tbl_task7[[SubPLOs]:[SubPLOs]],"&lt;8")+SUMIFS(tbl_task8[S24],tbl_task8[[SubPLOs]:[SubPLOs]],"&gt;=7",tbl_task8[[SubPLOs]:[SubPLOs]],"&lt;8")+SUMIFS(tbl_task9[S24],tbl_task9[[SubPLOs]:[SubPLOs]],"&gt;=7",tbl_task9[[SubPLOs]:[SubPLOs]],"&lt;8")+SUMIFS(tbl_task10[S24],tbl_task10[[SubPLOs]:[SubPLOs]],"&gt;=7",tbl_task10[[SubPLOs]:[SubPLOs]],"&lt;8")</f>
        <v>0</v>
      </c>
      <c r="AD186" s="41">
        <f>SUMIFS(tbl_task1[S25],tbl_task1[[SubPLOs]:[SubPLOs]],"&gt;=7",tbl_task1[[SubPLOs]:[SubPLOs]],"&lt;8")+SUMIFS(tbl_task2[S25],tbl_task2[[SubPLOs]:[SubPLOs]],"&gt;=7",tbl_task2[[SubPLOs]:[SubPLOs]],"&lt;8")+SUMIFS(tbl_task3[S25],tbl_task3[[SubPLOs]:[SubPLOs]],"&gt;=7",tbl_task3[[SubPLOs]:[SubPLOs]],"&lt;8")+SUMIFS(tbl_task4[S25],tbl_task4[[SubPLOs]:[SubPLOs]],"&gt;=7",tbl_task4[[SubPLOs]:[SubPLOs]],"&lt;8")+SUMIFS(tbl_task5[S25],tbl_task5[[SubPLOs]:[SubPLOs]],"&gt;=7",tbl_task5[[SubPLOs]:[SubPLOs]],"&lt;8")+SUMIFS(tbl_task6[S25],tbl_task6[[SubPLOs]:[SubPLOs]],"&gt;=7",tbl_task6[[SubPLOs]:[SubPLOs]],"&lt;8")+SUMIFS(tbl_task7[S25],tbl_task7[[SubPLOs]:[SubPLOs]],"&gt;=7",tbl_task7[[SubPLOs]:[SubPLOs]],"&lt;8")+SUMIFS(tbl_task8[S25],tbl_task8[[SubPLOs]:[SubPLOs]],"&gt;=7",tbl_task8[[SubPLOs]:[SubPLOs]],"&lt;8")+SUMIFS(tbl_task9[S25],tbl_task9[[SubPLOs]:[SubPLOs]],"&gt;=7",tbl_task9[[SubPLOs]:[SubPLOs]],"&lt;8")+SUMIFS(tbl_task10[S25],tbl_task10[[SubPLOs]:[SubPLOs]],"&gt;=7",tbl_task10[[SubPLOs]:[SubPLOs]],"&lt;8")</f>
        <v>0</v>
      </c>
      <c r="AE186" s="41">
        <f>SUMIFS(tbl_task1[S26],tbl_task1[[SubPLOs]:[SubPLOs]],"&gt;=7",tbl_task1[[SubPLOs]:[SubPLOs]],"&lt;8")+SUMIFS(tbl_task2[S26],tbl_task2[[SubPLOs]:[SubPLOs]],"&gt;=7",tbl_task2[[SubPLOs]:[SubPLOs]],"&lt;8")+SUMIFS(tbl_task3[S26],tbl_task3[[SubPLOs]:[SubPLOs]],"&gt;=7",tbl_task3[[SubPLOs]:[SubPLOs]],"&lt;8")+SUMIFS(tbl_task4[S26],tbl_task4[[SubPLOs]:[SubPLOs]],"&gt;=7",tbl_task4[[SubPLOs]:[SubPLOs]],"&lt;8")+SUMIFS(tbl_task5[S26],tbl_task5[[SubPLOs]:[SubPLOs]],"&gt;=7",tbl_task5[[SubPLOs]:[SubPLOs]],"&lt;8")+SUMIFS(tbl_task6[S26],tbl_task6[[SubPLOs]:[SubPLOs]],"&gt;=7",tbl_task6[[SubPLOs]:[SubPLOs]],"&lt;8")+SUMIFS(tbl_task7[S26],tbl_task7[[SubPLOs]:[SubPLOs]],"&gt;=7",tbl_task7[[SubPLOs]:[SubPLOs]],"&lt;8")+SUMIFS(tbl_task8[S26],tbl_task8[[SubPLOs]:[SubPLOs]],"&gt;=7",tbl_task8[[SubPLOs]:[SubPLOs]],"&lt;8")+SUMIFS(tbl_task9[S26],tbl_task9[[SubPLOs]:[SubPLOs]],"&gt;=7",tbl_task9[[SubPLOs]:[SubPLOs]],"&lt;8")+SUMIFS(tbl_task10[S26],tbl_task10[[SubPLOs]:[SubPLOs]],"&gt;=7",tbl_task10[[SubPLOs]:[SubPLOs]],"&lt;8")</f>
        <v>0</v>
      </c>
      <c r="AF186" s="41">
        <f>SUMIFS(tbl_task1[S27],tbl_task1[[SubPLOs]:[SubPLOs]],"&gt;=7",tbl_task1[[SubPLOs]:[SubPLOs]],"&lt;8")+SUMIFS(tbl_task2[S27],tbl_task2[[SubPLOs]:[SubPLOs]],"&gt;=7",tbl_task2[[SubPLOs]:[SubPLOs]],"&lt;8")+SUMIFS(tbl_task3[S27],tbl_task3[[SubPLOs]:[SubPLOs]],"&gt;=7",tbl_task3[[SubPLOs]:[SubPLOs]],"&lt;8")+SUMIFS(tbl_task4[S27],tbl_task4[[SubPLOs]:[SubPLOs]],"&gt;=7",tbl_task4[[SubPLOs]:[SubPLOs]],"&lt;8")+SUMIFS(tbl_task5[S27],tbl_task5[[SubPLOs]:[SubPLOs]],"&gt;=7",tbl_task5[[SubPLOs]:[SubPLOs]],"&lt;8")+SUMIFS(tbl_task6[S27],tbl_task6[[SubPLOs]:[SubPLOs]],"&gt;=7",tbl_task6[[SubPLOs]:[SubPLOs]],"&lt;8")+SUMIFS(tbl_task7[S27],tbl_task7[[SubPLOs]:[SubPLOs]],"&gt;=7",tbl_task7[[SubPLOs]:[SubPLOs]],"&lt;8")+SUMIFS(tbl_task8[S27],tbl_task8[[SubPLOs]:[SubPLOs]],"&gt;=7",tbl_task8[[SubPLOs]:[SubPLOs]],"&lt;8")+SUMIFS(tbl_task9[S27],tbl_task9[[SubPLOs]:[SubPLOs]],"&gt;=7",tbl_task9[[SubPLOs]:[SubPLOs]],"&lt;8")+SUMIFS(tbl_task10[S27],tbl_task10[[SubPLOs]:[SubPLOs]],"&gt;=7",tbl_task10[[SubPLOs]:[SubPLOs]],"&lt;8")</f>
        <v>0</v>
      </c>
      <c r="AG186" s="41">
        <f>SUMIFS(tbl_task1[S28],tbl_task1[[SubPLOs]:[SubPLOs]],"&gt;=7",tbl_task1[[SubPLOs]:[SubPLOs]],"&lt;8")+SUMIFS(tbl_task2[S28],tbl_task2[[SubPLOs]:[SubPLOs]],"&gt;=7",tbl_task2[[SubPLOs]:[SubPLOs]],"&lt;8")+SUMIFS(tbl_task3[S28],tbl_task3[[SubPLOs]:[SubPLOs]],"&gt;=7",tbl_task3[[SubPLOs]:[SubPLOs]],"&lt;8")+SUMIFS(tbl_task4[S28],tbl_task4[[SubPLOs]:[SubPLOs]],"&gt;=7",tbl_task4[[SubPLOs]:[SubPLOs]],"&lt;8")+SUMIFS(tbl_task5[S28],tbl_task5[[SubPLOs]:[SubPLOs]],"&gt;=7",tbl_task5[[SubPLOs]:[SubPLOs]],"&lt;8")+SUMIFS(tbl_task6[S28],tbl_task6[[SubPLOs]:[SubPLOs]],"&gt;=7",tbl_task6[[SubPLOs]:[SubPLOs]],"&lt;8")+SUMIFS(tbl_task7[S28],tbl_task7[[SubPLOs]:[SubPLOs]],"&gt;=7",tbl_task7[[SubPLOs]:[SubPLOs]],"&lt;8")+SUMIFS(tbl_task8[S28],tbl_task8[[SubPLOs]:[SubPLOs]],"&gt;=7",tbl_task8[[SubPLOs]:[SubPLOs]],"&lt;8")+SUMIFS(tbl_task9[S28],tbl_task9[[SubPLOs]:[SubPLOs]],"&gt;=7",tbl_task9[[SubPLOs]:[SubPLOs]],"&lt;8")+SUMIFS(tbl_task10[S28],tbl_task10[[SubPLOs]:[SubPLOs]],"&gt;=7",tbl_task10[[SubPLOs]:[SubPLOs]],"&lt;8")</f>
        <v>0</v>
      </c>
      <c r="AH186" s="41">
        <f>SUMIFS(tbl_task1[S29],tbl_task1[[SubPLOs]:[SubPLOs]],"&gt;=7",tbl_task1[[SubPLOs]:[SubPLOs]],"&lt;8")+SUMIFS(tbl_task2[S29],tbl_task2[[SubPLOs]:[SubPLOs]],"&gt;=7",tbl_task2[[SubPLOs]:[SubPLOs]],"&lt;8")+SUMIFS(tbl_task3[S29],tbl_task3[[SubPLOs]:[SubPLOs]],"&gt;=7",tbl_task3[[SubPLOs]:[SubPLOs]],"&lt;8")+SUMIFS(tbl_task4[S29],tbl_task4[[SubPLOs]:[SubPLOs]],"&gt;=7",tbl_task4[[SubPLOs]:[SubPLOs]],"&lt;8")+SUMIFS(tbl_task5[S29],tbl_task5[[SubPLOs]:[SubPLOs]],"&gt;=7",tbl_task5[[SubPLOs]:[SubPLOs]],"&lt;8")+SUMIFS(tbl_task6[S29],tbl_task6[[SubPLOs]:[SubPLOs]],"&gt;=7",tbl_task6[[SubPLOs]:[SubPLOs]],"&lt;8")+SUMIFS(tbl_task7[S29],tbl_task7[[SubPLOs]:[SubPLOs]],"&gt;=7",tbl_task7[[SubPLOs]:[SubPLOs]],"&lt;8")+SUMIFS(tbl_task8[S29],tbl_task8[[SubPLOs]:[SubPLOs]],"&gt;=7",tbl_task8[[SubPLOs]:[SubPLOs]],"&lt;8")+SUMIFS(tbl_task9[S29],tbl_task9[[SubPLOs]:[SubPLOs]],"&gt;=7",tbl_task9[[SubPLOs]:[SubPLOs]],"&lt;8")+SUMIFS(tbl_task10[S29],tbl_task10[[SubPLOs]:[SubPLOs]],"&gt;=7",tbl_task10[[SubPLOs]:[SubPLOs]],"&lt;8")</f>
        <v>0</v>
      </c>
      <c r="AI186" s="41">
        <f>SUMIFS(tbl_task1[S30],tbl_task1[[SubPLOs]:[SubPLOs]],"&gt;=7",tbl_task1[[SubPLOs]:[SubPLOs]],"&lt;8")+SUMIFS(tbl_task2[S30],tbl_task2[[SubPLOs]:[SubPLOs]],"&gt;=7",tbl_task2[[SubPLOs]:[SubPLOs]],"&lt;8")+SUMIFS(tbl_task3[S30],tbl_task3[[SubPLOs]:[SubPLOs]],"&gt;=7",tbl_task3[[SubPLOs]:[SubPLOs]],"&lt;8")+SUMIFS(tbl_task4[S30],tbl_task4[[SubPLOs]:[SubPLOs]],"&gt;=7",tbl_task4[[SubPLOs]:[SubPLOs]],"&lt;8")+SUMIFS(tbl_task5[S30],tbl_task5[[SubPLOs]:[SubPLOs]],"&gt;=7",tbl_task5[[SubPLOs]:[SubPLOs]],"&lt;8")+SUMIFS(tbl_task6[S30],tbl_task6[[SubPLOs]:[SubPLOs]],"&gt;=7",tbl_task6[[SubPLOs]:[SubPLOs]],"&lt;8")+SUMIFS(tbl_task7[S30],tbl_task7[[SubPLOs]:[SubPLOs]],"&gt;=7",tbl_task7[[SubPLOs]:[SubPLOs]],"&lt;8")+SUMIFS(tbl_task8[S30],tbl_task8[[SubPLOs]:[SubPLOs]],"&gt;=7",tbl_task8[[SubPLOs]:[SubPLOs]],"&lt;8")+SUMIFS(tbl_task9[S30],tbl_task9[[SubPLOs]:[SubPLOs]],"&gt;=7",tbl_task9[[SubPLOs]:[SubPLOs]],"&lt;8")+SUMIFS(tbl_task10[S30],tbl_task10[[SubPLOs]:[SubPLOs]],"&gt;=7",tbl_task10[[SubPLOs]:[SubPLOs]],"&lt;8")</f>
        <v>0</v>
      </c>
      <c r="AJ186" s="41">
        <f>SUMIFS(tbl_task1[S31],tbl_task1[[SubPLOs]:[SubPLOs]],"&gt;=7",tbl_task1[[SubPLOs]:[SubPLOs]],"&lt;8")+SUMIFS(tbl_task2[S31],tbl_task2[[SubPLOs]:[SubPLOs]],"&gt;=7",tbl_task2[[SubPLOs]:[SubPLOs]],"&lt;8")+SUMIFS(tbl_task3[S31],tbl_task3[[SubPLOs]:[SubPLOs]],"&gt;=7",tbl_task3[[SubPLOs]:[SubPLOs]],"&lt;8")+SUMIFS(tbl_task4[S31],tbl_task4[[SubPLOs]:[SubPLOs]],"&gt;=7",tbl_task4[[SubPLOs]:[SubPLOs]],"&lt;8")+SUMIFS(tbl_task5[S31],tbl_task5[[SubPLOs]:[SubPLOs]],"&gt;=7",tbl_task5[[SubPLOs]:[SubPLOs]],"&lt;8")+SUMIFS(tbl_task6[S31],tbl_task6[[SubPLOs]:[SubPLOs]],"&gt;=7",tbl_task6[[SubPLOs]:[SubPLOs]],"&lt;8")+SUMIFS(tbl_task7[S31],tbl_task7[[SubPLOs]:[SubPLOs]],"&gt;=7",tbl_task7[[SubPLOs]:[SubPLOs]],"&lt;8")+SUMIFS(tbl_task8[S31],tbl_task8[[SubPLOs]:[SubPLOs]],"&gt;=7",tbl_task8[[SubPLOs]:[SubPLOs]],"&lt;8")+SUMIFS(tbl_task9[S31],tbl_task9[[SubPLOs]:[SubPLOs]],"&gt;=7",tbl_task9[[SubPLOs]:[SubPLOs]],"&lt;8")+SUMIFS(tbl_task10[S31],tbl_task10[[SubPLOs]:[SubPLOs]],"&gt;=7",tbl_task10[[SubPLOs]:[SubPLOs]],"&lt;8")</f>
        <v>0</v>
      </c>
      <c r="AK186" s="41">
        <f>SUMIFS(tbl_task1[S32],tbl_task1[[SubPLOs]:[SubPLOs]],"&gt;=7",tbl_task1[[SubPLOs]:[SubPLOs]],"&lt;8")+SUMIFS(tbl_task2[S32],tbl_task2[[SubPLOs]:[SubPLOs]],"&gt;=7",tbl_task2[[SubPLOs]:[SubPLOs]],"&lt;8")+SUMIFS(tbl_task3[S32],tbl_task3[[SubPLOs]:[SubPLOs]],"&gt;=7",tbl_task3[[SubPLOs]:[SubPLOs]],"&lt;8")+SUMIFS(tbl_task4[S32],tbl_task4[[SubPLOs]:[SubPLOs]],"&gt;=7",tbl_task4[[SubPLOs]:[SubPLOs]],"&lt;8")+SUMIFS(tbl_task5[S32],tbl_task5[[SubPLOs]:[SubPLOs]],"&gt;=7",tbl_task5[[SubPLOs]:[SubPLOs]],"&lt;8")+SUMIFS(tbl_task6[S32],tbl_task6[[SubPLOs]:[SubPLOs]],"&gt;=7",tbl_task6[[SubPLOs]:[SubPLOs]],"&lt;8")+SUMIFS(tbl_task7[S32],tbl_task7[[SubPLOs]:[SubPLOs]],"&gt;=7",tbl_task7[[SubPLOs]:[SubPLOs]],"&lt;8")+SUMIFS(tbl_task8[S32],tbl_task8[[SubPLOs]:[SubPLOs]],"&gt;=7",tbl_task8[[SubPLOs]:[SubPLOs]],"&lt;8")+SUMIFS(tbl_task9[S32],tbl_task9[[SubPLOs]:[SubPLOs]],"&gt;=7",tbl_task9[[SubPLOs]:[SubPLOs]],"&lt;8")+SUMIFS(tbl_task10[S32],tbl_task10[[SubPLOs]:[SubPLOs]],"&gt;=7",tbl_task10[[SubPLOs]:[SubPLOs]],"&lt;8")</f>
        <v>0</v>
      </c>
      <c r="AL186" s="41">
        <f>SUMIFS(tbl_task1[S33],tbl_task1[[SubPLOs]:[SubPLOs]],"&gt;=7",tbl_task1[[SubPLOs]:[SubPLOs]],"&lt;8")+SUMIFS(tbl_task2[S33],tbl_task2[[SubPLOs]:[SubPLOs]],"&gt;=7",tbl_task2[[SubPLOs]:[SubPLOs]],"&lt;8")+SUMIFS(tbl_task3[S33],tbl_task3[[SubPLOs]:[SubPLOs]],"&gt;=7",tbl_task3[[SubPLOs]:[SubPLOs]],"&lt;8")+SUMIFS(tbl_task4[S33],tbl_task4[[SubPLOs]:[SubPLOs]],"&gt;=7",tbl_task4[[SubPLOs]:[SubPLOs]],"&lt;8")+SUMIFS(tbl_task5[S33],tbl_task5[[SubPLOs]:[SubPLOs]],"&gt;=7",tbl_task5[[SubPLOs]:[SubPLOs]],"&lt;8")+SUMIFS(tbl_task6[S33],tbl_task6[[SubPLOs]:[SubPLOs]],"&gt;=7",tbl_task6[[SubPLOs]:[SubPLOs]],"&lt;8")+SUMIFS(tbl_task7[S33],tbl_task7[[SubPLOs]:[SubPLOs]],"&gt;=7",tbl_task7[[SubPLOs]:[SubPLOs]],"&lt;8")+SUMIFS(tbl_task8[S33],tbl_task8[[SubPLOs]:[SubPLOs]],"&gt;=7",tbl_task8[[SubPLOs]:[SubPLOs]],"&lt;8")+SUMIFS(tbl_task9[S33],tbl_task9[[SubPLOs]:[SubPLOs]],"&gt;=7",tbl_task9[[SubPLOs]:[SubPLOs]],"&lt;8")+SUMIFS(tbl_task10[S33],tbl_task10[[SubPLOs]:[SubPLOs]],"&gt;=7",tbl_task10[[SubPLOs]:[SubPLOs]],"&lt;8")</f>
        <v>0</v>
      </c>
      <c r="AM186" s="41">
        <f>SUMIFS(tbl_task1[S34],tbl_task1[[SubPLOs]:[SubPLOs]],"&gt;=7",tbl_task1[[SubPLOs]:[SubPLOs]],"&lt;8")+SUMIFS(tbl_task2[S34],tbl_task2[[SubPLOs]:[SubPLOs]],"&gt;=7",tbl_task2[[SubPLOs]:[SubPLOs]],"&lt;8")+SUMIFS(tbl_task3[S34],tbl_task3[[SubPLOs]:[SubPLOs]],"&gt;=7",tbl_task3[[SubPLOs]:[SubPLOs]],"&lt;8")+SUMIFS(tbl_task4[S34],tbl_task4[[SubPLOs]:[SubPLOs]],"&gt;=7",tbl_task4[[SubPLOs]:[SubPLOs]],"&lt;8")+SUMIFS(tbl_task5[S34],tbl_task5[[SubPLOs]:[SubPLOs]],"&gt;=7",tbl_task5[[SubPLOs]:[SubPLOs]],"&lt;8")+SUMIFS(tbl_task6[S34],tbl_task6[[SubPLOs]:[SubPLOs]],"&gt;=7",tbl_task6[[SubPLOs]:[SubPLOs]],"&lt;8")+SUMIFS(tbl_task7[S34],tbl_task7[[SubPLOs]:[SubPLOs]],"&gt;=7",tbl_task7[[SubPLOs]:[SubPLOs]],"&lt;8")+SUMIFS(tbl_task8[S34],tbl_task8[[SubPLOs]:[SubPLOs]],"&gt;=7",tbl_task8[[SubPLOs]:[SubPLOs]],"&lt;8")+SUMIFS(tbl_task9[S34],tbl_task9[[SubPLOs]:[SubPLOs]],"&gt;=7",tbl_task9[[SubPLOs]:[SubPLOs]],"&lt;8")+SUMIFS(tbl_task10[S34],tbl_task10[[SubPLOs]:[SubPLOs]],"&gt;=7",tbl_task10[[SubPLOs]:[SubPLOs]],"&lt;8")</f>
        <v>0</v>
      </c>
      <c r="AN186" s="41">
        <f>SUMIFS(tbl_task1[S35],tbl_task1[[SubPLOs]:[SubPLOs]],"&gt;=7",tbl_task1[[SubPLOs]:[SubPLOs]],"&lt;8")+SUMIFS(tbl_task2[S35],tbl_task2[[SubPLOs]:[SubPLOs]],"&gt;=7",tbl_task2[[SubPLOs]:[SubPLOs]],"&lt;8")+SUMIFS(tbl_task3[S35],tbl_task3[[SubPLOs]:[SubPLOs]],"&gt;=7",tbl_task3[[SubPLOs]:[SubPLOs]],"&lt;8")+SUMIFS(tbl_task4[S35],tbl_task4[[SubPLOs]:[SubPLOs]],"&gt;=7",tbl_task4[[SubPLOs]:[SubPLOs]],"&lt;8")+SUMIFS(tbl_task5[S35],tbl_task5[[SubPLOs]:[SubPLOs]],"&gt;=7",tbl_task5[[SubPLOs]:[SubPLOs]],"&lt;8")+SUMIFS(tbl_task6[S35],tbl_task6[[SubPLOs]:[SubPLOs]],"&gt;=7",tbl_task6[[SubPLOs]:[SubPLOs]],"&lt;8")+SUMIFS(tbl_task7[S35],tbl_task7[[SubPLOs]:[SubPLOs]],"&gt;=7",tbl_task7[[SubPLOs]:[SubPLOs]],"&lt;8")+SUMIFS(tbl_task8[S35],tbl_task8[[SubPLOs]:[SubPLOs]],"&gt;=7",tbl_task8[[SubPLOs]:[SubPLOs]],"&lt;8")+SUMIFS(tbl_task9[S35],tbl_task9[[SubPLOs]:[SubPLOs]],"&gt;=7",tbl_task9[[SubPLOs]:[SubPLOs]],"&lt;8")+SUMIFS(tbl_task10[S35],tbl_task10[[SubPLOs]:[SubPLOs]],"&gt;=7",tbl_task10[[SubPLOs]:[SubPLOs]],"&lt;8")</f>
        <v>0</v>
      </c>
      <c r="AO186" s="41">
        <f>SUMIFS(tbl_task1[S36],tbl_task1[[SubPLOs]:[SubPLOs]],"&gt;=7",tbl_task1[[SubPLOs]:[SubPLOs]],"&lt;8")+SUMIFS(tbl_task2[S36],tbl_task2[[SubPLOs]:[SubPLOs]],"&gt;=7",tbl_task2[[SubPLOs]:[SubPLOs]],"&lt;8")+SUMIFS(tbl_task3[S36],tbl_task3[[SubPLOs]:[SubPLOs]],"&gt;=7",tbl_task3[[SubPLOs]:[SubPLOs]],"&lt;8")+SUMIFS(tbl_task4[S36],tbl_task4[[SubPLOs]:[SubPLOs]],"&gt;=7",tbl_task4[[SubPLOs]:[SubPLOs]],"&lt;8")+SUMIFS(tbl_task5[S36],tbl_task5[[SubPLOs]:[SubPLOs]],"&gt;=7",tbl_task5[[SubPLOs]:[SubPLOs]],"&lt;8")+SUMIFS(tbl_task6[S36],tbl_task6[[SubPLOs]:[SubPLOs]],"&gt;=7",tbl_task6[[SubPLOs]:[SubPLOs]],"&lt;8")+SUMIFS(tbl_task7[S36],tbl_task7[[SubPLOs]:[SubPLOs]],"&gt;=7",tbl_task7[[SubPLOs]:[SubPLOs]],"&lt;8")+SUMIFS(tbl_task8[S36],tbl_task8[[SubPLOs]:[SubPLOs]],"&gt;=7",tbl_task8[[SubPLOs]:[SubPLOs]],"&lt;8")+SUMIFS(tbl_task9[S36],tbl_task9[[SubPLOs]:[SubPLOs]],"&gt;=7",tbl_task9[[SubPLOs]:[SubPLOs]],"&lt;8")+SUMIFS(tbl_task10[S36],tbl_task10[[SubPLOs]:[SubPLOs]],"&gt;=7",tbl_task10[[SubPLOs]:[SubPLOs]],"&lt;8")</f>
        <v>0</v>
      </c>
      <c r="AP186" s="41">
        <f>SUMIFS(tbl_task1[S37],tbl_task1[[SubPLOs]:[SubPLOs]],"&gt;=7",tbl_task1[[SubPLOs]:[SubPLOs]],"&lt;8")+SUMIFS(tbl_task2[S37],tbl_task2[[SubPLOs]:[SubPLOs]],"&gt;=7",tbl_task2[[SubPLOs]:[SubPLOs]],"&lt;8")+SUMIFS(tbl_task3[S37],tbl_task3[[SubPLOs]:[SubPLOs]],"&gt;=7",tbl_task3[[SubPLOs]:[SubPLOs]],"&lt;8")+SUMIFS(tbl_task4[S37],tbl_task4[[SubPLOs]:[SubPLOs]],"&gt;=7",tbl_task4[[SubPLOs]:[SubPLOs]],"&lt;8")+SUMIFS(tbl_task5[S37],tbl_task5[[SubPLOs]:[SubPLOs]],"&gt;=7",tbl_task5[[SubPLOs]:[SubPLOs]],"&lt;8")+SUMIFS(tbl_task6[S37],tbl_task6[[SubPLOs]:[SubPLOs]],"&gt;=7",tbl_task6[[SubPLOs]:[SubPLOs]],"&lt;8")+SUMIFS(tbl_task7[S37],tbl_task7[[SubPLOs]:[SubPLOs]],"&gt;=7",tbl_task7[[SubPLOs]:[SubPLOs]],"&lt;8")+SUMIFS(tbl_task8[S37],tbl_task8[[SubPLOs]:[SubPLOs]],"&gt;=7",tbl_task8[[SubPLOs]:[SubPLOs]],"&lt;8")+SUMIFS(tbl_task9[S37],tbl_task9[[SubPLOs]:[SubPLOs]],"&gt;=7",tbl_task9[[SubPLOs]:[SubPLOs]],"&lt;8")+SUMIFS(tbl_task10[S37],tbl_task10[[SubPLOs]:[SubPLOs]],"&gt;=7",tbl_task10[[SubPLOs]:[SubPLOs]],"&lt;8")</f>
        <v>0</v>
      </c>
      <c r="AQ186" s="41">
        <f>SUMIFS(tbl_task1[S38],tbl_task1[[SubPLOs]:[SubPLOs]],"&gt;=7",tbl_task1[[SubPLOs]:[SubPLOs]],"&lt;8")+SUMIFS(tbl_task2[S38],tbl_task2[[SubPLOs]:[SubPLOs]],"&gt;=7",tbl_task2[[SubPLOs]:[SubPLOs]],"&lt;8")+SUMIFS(tbl_task3[S38],tbl_task3[[SubPLOs]:[SubPLOs]],"&gt;=7",tbl_task3[[SubPLOs]:[SubPLOs]],"&lt;8")+SUMIFS(tbl_task4[S38],tbl_task4[[SubPLOs]:[SubPLOs]],"&gt;=7",tbl_task4[[SubPLOs]:[SubPLOs]],"&lt;8")+SUMIFS(tbl_task5[S38],tbl_task5[[SubPLOs]:[SubPLOs]],"&gt;=7",tbl_task5[[SubPLOs]:[SubPLOs]],"&lt;8")+SUMIFS(tbl_task6[S38],tbl_task6[[SubPLOs]:[SubPLOs]],"&gt;=7",tbl_task6[[SubPLOs]:[SubPLOs]],"&lt;8")+SUMIFS(tbl_task7[S38],tbl_task7[[SubPLOs]:[SubPLOs]],"&gt;=7",tbl_task7[[SubPLOs]:[SubPLOs]],"&lt;8")+SUMIFS(tbl_task8[S38],tbl_task8[[SubPLOs]:[SubPLOs]],"&gt;=7",tbl_task8[[SubPLOs]:[SubPLOs]],"&lt;8")+SUMIFS(tbl_task9[S38],tbl_task9[[SubPLOs]:[SubPLOs]],"&gt;=7",tbl_task9[[SubPLOs]:[SubPLOs]],"&lt;8")+SUMIFS(tbl_task10[S38],tbl_task10[[SubPLOs]:[SubPLOs]],"&gt;=7",tbl_task10[[SubPLOs]:[SubPLOs]],"&lt;8")</f>
        <v>0</v>
      </c>
      <c r="AR186" s="41">
        <f>SUMIFS(tbl_task1[S39],tbl_task1[[SubPLOs]:[SubPLOs]],"&gt;=7",tbl_task1[[SubPLOs]:[SubPLOs]],"&lt;8")+SUMIFS(tbl_task2[S39],tbl_task2[[SubPLOs]:[SubPLOs]],"&gt;=7",tbl_task2[[SubPLOs]:[SubPLOs]],"&lt;8")+SUMIFS(tbl_task3[S39],tbl_task3[[SubPLOs]:[SubPLOs]],"&gt;=7",tbl_task3[[SubPLOs]:[SubPLOs]],"&lt;8")+SUMIFS(tbl_task4[S39],tbl_task4[[SubPLOs]:[SubPLOs]],"&gt;=7",tbl_task4[[SubPLOs]:[SubPLOs]],"&lt;8")+SUMIFS(tbl_task5[S39],tbl_task5[[SubPLOs]:[SubPLOs]],"&gt;=7",tbl_task5[[SubPLOs]:[SubPLOs]],"&lt;8")+SUMIFS(tbl_task6[S39],tbl_task6[[SubPLOs]:[SubPLOs]],"&gt;=7",tbl_task6[[SubPLOs]:[SubPLOs]],"&lt;8")+SUMIFS(tbl_task7[S39],tbl_task7[[SubPLOs]:[SubPLOs]],"&gt;=7",tbl_task7[[SubPLOs]:[SubPLOs]],"&lt;8")+SUMIFS(tbl_task8[S39],tbl_task8[[SubPLOs]:[SubPLOs]],"&gt;=7",tbl_task8[[SubPLOs]:[SubPLOs]],"&lt;8")+SUMIFS(tbl_task9[S39],tbl_task9[[SubPLOs]:[SubPLOs]],"&gt;=7",tbl_task9[[SubPLOs]:[SubPLOs]],"&lt;8")+SUMIFS(tbl_task10[S39],tbl_task10[[SubPLOs]:[SubPLOs]],"&gt;=7",tbl_task10[[SubPLOs]:[SubPLOs]],"&lt;8")</f>
        <v>0</v>
      </c>
      <c r="AS186" s="41">
        <f>SUMIFS(tbl_task1[S40],tbl_task1[[SubPLOs]:[SubPLOs]],"&gt;=7",tbl_task1[[SubPLOs]:[SubPLOs]],"&lt;8")+SUMIFS(tbl_task2[S40],tbl_task2[[SubPLOs]:[SubPLOs]],"&gt;=7",tbl_task2[[SubPLOs]:[SubPLOs]],"&lt;8")+SUMIFS(tbl_task3[S40],tbl_task3[[SubPLOs]:[SubPLOs]],"&gt;=7",tbl_task3[[SubPLOs]:[SubPLOs]],"&lt;8")+SUMIFS(tbl_task4[S40],tbl_task4[[SubPLOs]:[SubPLOs]],"&gt;=7",tbl_task4[[SubPLOs]:[SubPLOs]],"&lt;8")+SUMIFS(tbl_task5[S40],tbl_task5[[SubPLOs]:[SubPLOs]],"&gt;=7",tbl_task5[[SubPLOs]:[SubPLOs]],"&lt;8")+SUMIFS(tbl_task6[S40],tbl_task6[[SubPLOs]:[SubPLOs]],"&gt;=7",tbl_task6[[SubPLOs]:[SubPLOs]],"&lt;8")+SUMIFS(tbl_task7[S40],tbl_task7[[SubPLOs]:[SubPLOs]],"&gt;=7",tbl_task7[[SubPLOs]:[SubPLOs]],"&lt;8")+SUMIFS(tbl_task8[S40],tbl_task8[[SubPLOs]:[SubPLOs]],"&gt;=7",tbl_task8[[SubPLOs]:[SubPLOs]],"&lt;8")+SUMIFS(tbl_task9[S40],tbl_task9[[SubPLOs]:[SubPLOs]],"&gt;=7",tbl_task9[[SubPLOs]:[SubPLOs]],"&lt;8")+SUMIFS(tbl_task10[S40],tbl_task10[[SubPLOs]:[SubPLOs]],"&gt;=7",tbl_task10[[SubPLOs]:[SubPLOs]],"&lt;8")</f>
        <v>0</v>
      </c>
      <c r="AT186" s="41">
        <f>SUMIFS(tbl_task1[S41],tbl_task1[[SubPLOs]:[SubPLOs]],"&gt;=7",tbl_task1[[SubPLOs]:[SubPLOs]],"&lt;8")+SUMIFS(tbl_task2[S41],tbl_task2[[SubPLOs]:[SubPLOs]],"&gt;=7",tbl_task2[[SubPLOs]:[SubPLOs]],"&lt;8")+SUMIFS(tbl_task3[S41],tbl_task3[[SubPLOs]:[SubPLOs]],"&gt;=7",tbl_task3[[SubPLOs]:[SubPLOs]],"&lt;8")+SUMIFS(tbl_task4[S41],tbl_task4[[SubPLOs]:[SubPLOs]],"&gt;=7",tbl_task4[[SubPLOs]:[SubPLOs]],"&lt;8")+SUMIFS(tbl_task5[S41],tbl_task5[[SubPLOs]:[SubPLOs]],"&gt;=7",tbl_task5[[SubPLOs]:[SubPLOs]],"&lt;8")+SUMIFS(tbl_task6[S41],tbl_task6[[SubPLOs]:[SubPLOs]],"&gt;=7",tbl_task6[[SubPLOs]:[SubPLOs]],"&lt;8")+SUMIFS(tbl_task7[S41],tbl_task7[[SubPLOs]:[SubPLOs]],"&gt;=7",tbl_task7[[SubPLOs]:[SubPLOs]],"&lt;8")+SUMIFS(tbl_task8[S41],tbl_task8[[SubPLOs]:[SubPLOs]],"&gt;=7",tbl_task8[[SubPLOs]:[SubPLOs]],"&lt;8")+SUMIFS(tbl_task9[S41],tbl_task9[[SubPLOs]:[SubPLOs]],"&gt;=7",tbl_task9[[SubPLOs]:[SubPLOs]],"&lt;8")+SUMIFS(tbl_task10[S41],tbl_task10[[SubPLOs]:[SubPLOs]],"&gt;=7",tbl_task10[[SubPLOs]:[SubPLOs]],"&lt;8")</f>
        <v>0</v>
      </c>
      <c r="AU186" s="41">
        <f>SUMIFS(tbl_task1[S42],tbl_task1[[SubPLOs]:[SubPLOs]],"&gt;=7",tbl_task1[[SubPLOs]:[SubPLOs]],"&lt;8")+SUMIFS(tbl_task2[S42],tbl_task2[[SubPLOs]:[SubPLOs]],"&gt;=7",tbl_task2[[SubPLOs]:[SubPLOs]],"&lt;8")+SUMIFS(tbl_task3[S42],tbl_task3[[SubPLOs]:[SubPLOs]],"&gt;=7",tbl_task3[[SubPLOs]:[SubPLOs]],"&lt;8")+SUMIFS(tbl_task4[S42],tbl_task4[[SubPLOs]:[SubPLOs]],"&gt;=7",tbl_task4[[SubPLOs]:[SubPLOs]],"&lt;8")+SUMIFS(tbl_task5[S42],tbl_task5[[SubPLOs]:[SubPLOs]],"&gt;=7",tbl_task5[[SubPLOs]:[SubPLOs]],"&lt;8")+SUMIFS(tbl_task6[S42],tbl_task6[[SubPLOs]:[SubPLOs]],"&gt;=7",tbl_task6[[SubPLOs]:[SubPLOs]],"&lt;8")+SUMIFS(tbl_task7[S42],tbl_task7[[SubPLOs]:[SubPLOs]],"&gt;=7",tbl_task7[[SubPLOs]:[SubPLOs]],"&lt;8")+SUMIFS(tbl_task8[S42],tbl_task8[[SubPLOs]:[SubPLOs]],"&gt;=7",tbl_task8[[SubPLOs]:[SubPLOs]],"&lt;8")+SUMIFS(tbl_task9[S42],tbl_task9[[SubPLOs]:[SubPLOs]],"&gt;=7",tbl_task9[[SubPLOs]:[SubPLOs]],"&lt;8")+SUMIFS(tbl_task10[S42],tbl_task10[[SubPLOs]:[SubPLOs]],"&gt;=7",tbl_task10[[SubPLOs]:[SubPLOs]],"&lt;8")</f>
        <v>0</v>
      </c>
      <c r="AV186" s="41">
        <f>SUMIFS(tbl_task1[S43],tbl_task1[[SubPLOs]:[SubPLOs]],"&gt;=7",tbl_task1[[SubPLOs]:[SubPLOs]],"&lt;8")+SUMIFS(tbl_task2[S43],tbl_task2[[SubPLOs]:[SubPLOs]],"&gt;=7",tbl_task2[[SubPLOs]:[SubPLOs]],"&lt;8")+SUMIFS(tbl_task3[S43],tbl_task3[[SubPLOs]:[SubPLOs]],"&gt;=7",tbl_task3[[SubPLOs]:[SubPLOs]],"&lt;8")+SUMIFS(tbl_task4[S43],tbl_task4[[SubPLOs]:[SubPLOs]],"&gt;=7",tbl_task4[[SubPLOs]:[SubPLOs]],"&lt;8")+SUMIFS(tbl_task5[S43],tbl_task5[[SubPLOs]:[SubPLOs]],"&gt;=7",tbl_task5[[SubPLOs]:[SubPLOs]],"&lt;8")+SUMIFS(tbl_task6[S43],tbl_task6[[SubPLOs]:[SubPLOs]],"&gt;=7",tbl_task6[[SubPLOs]:[SubPLOs]],"&lt;8")+SUMIFS(tbl_task7[S43],tbl_task7[[SubPLOs]:[SubPLOs]],"&gt;=7",tbl_task7[[SubPLOs]:[SubPLOs]],"&lt;8")+SUMIFS(tbl_task8[S43],tbl_task8[[SubPLOs]:[SubPLOs]],"&gt;=7",tbl_task8[[SubPLOs]:[SubPLOs]],"&lt;8")+SUMIFS(tbl_task9[S43],tbl_task9[[SubPLOs]:[SubPLOs]],"&gt;=7",tbl_task9[[SubPLOs]:[SubPLOs]],"&lt;8")+SUMIFS(tbl_task10[S43],tbl_task10[[SubPLOs]:[SubPLOs]],"&gt;=7",tbl_task10[[SubPLOs]:[SubPLOs]],"&lt;8")</f>
        <v>0</v>
      </c>
      <c r="AW186" s="41">
        <f>SUMIFS(tbl_task1[S44],tbl_task1[[SubPLOs]:[SubPLOs]],"&gt;=7",tbl_task1[[SubPLOs]:[SubPLOs]],"&lt;8")+SUMIFS(tbl_task2[S44],tbl_task2[[SubPLOs]:[SubPLOs]],"&gt;=7",tbl_task2[[SubPLOs]:[SubPLOs]],"&lt;8")+SUMIFS(tbl_task3[S44],tbl_task3[[SubPLOs]:[SubPLOs]],"&gt;=7",tbl_task3[[SubPLOs]:[SubPLOs]],"&lt;8")+SUMIFS(tbl_task4[S44],tbl_task4[[SubPLOs]:[SubPLOs]],"&gt;=7",tbl_task4[[SubPLOs]:[SubPLOs]],"&lt;8")+SUMIFS(tbl_task5[S44],tbl_task5[[SubPLOs]:[SubPLOs]],"&gt;=7",tbl_task5[[SubPLOs]:[SubPLOs]],"&lt;8")+SUMIFS(tbl_task6[S44],tbl_task6[[SubPLOs]:[SubPLOs]],"&gt;=7",tbl_task6[[SubPLOs]:[SubPLOs]],"&lt;8")+SUMIFS(tbl_task7[S44],tbl_task7[[SubPLOs]:[SubPLOs]],"&gt;=7",tbl_task7[[SubPLOs]:[SubPLOs]],"&lt;8")+SUMIFS(tbl_task8[S44],tbl_task8[[SubPLOs]:[SubPLOs]],"&gt;=7",tbl_task8[[SubPLOs]:[SubPLOs]],"&lt;8")+SUMIFS(tbl_task9[S44],tbl_task9[[SubPLOs]:[SubPLOs]],"&gt;=7",tbl_task9[[SubPLOs]:[SubPLOs]],"&lt;8")+SUMIFS(tbl_task10[S44],tbl_task10[[SubPLOs]:[SubPLOs]],"&gt;=7",tbl_task10[[SubPLOs]:[SubPLOs]],"&lt;8")</f>
        <v>0</v>
      </c>
      <c r="AX186" s="41">
        <f>SUMIFS(tbl_task1[S45],tbl_task1[[SubPLOs]:[SubPLOs]],"&gt;=7",tbl_task1[[SubPLOs]:[SubPLOs]],"&lt;8")+SUMIFS(tbl_task2[S45],tbl_task2[[SubPLOs]:[SubPLOs]],"&gt;=7",tbl_task2[[SubPLOs]:[SubPLOs]],"&lt;8")+SUMIFS(tbl_task3[S45],tbl_task3[[SubPLOs]:[SubPLOs]],"&gt;=7",tbl_task3[[SubPLOs]:[SubPLOs]],"&lt;8")+SUMIFS(tbl_task4[S45],tbl_task4[[SubPLOs]:[SubPLOs]],"&gt;=7",tbl_task4[[SubPLOs]:[SubPLOs]],"&lt;8")+SUMIFS(tbl_task5[S45],tbl_task5[[SubPLOs]:[SubPLOs]],"&gt;=7",tbl_task5[[SubPLOs]:[SubPLOs]],"&lt;8")+SUMIFS(tbl_task6[S45],tbl_task6[[SubPLOs]:[SubPLOs]],"&gt;=7",tbl_task6[[SubPLOs]:[SubPLOs]],"&lt;8")+SUMIFS(tbl_task7[S45],tbl_task7[[SubPLOs]:[SubPLOs]],"&gt;=7",tbl_task7[[SubPLOs]:[SubPLOs]],"&lt;8")+SUMIFS(tbl_task8[S45],tbl_task8[[SubPLOs]:[SubPLOs]],"&gt;=7",tbl_task8[[SubPLOs]:[SubPLOs]],"&lt;8")+SUMIFS(tbl_task9[S45],tbl_task9[[SubPLOs]:[SubPLOs]],"&gt;=7",tbl_task9[[SubPLOs]:[SubPLOs]],"&lt;8")+SUMIFS(tbl_task10[S45],tbl_task10[[SubPLOs]:[SubPLOs]],"&gt;=7",tbl_task10[[SubPLOs]:[SubPLOs]],"&lt;8")</f>
        <v>0</v>
      </c>
      <c r="AY186" s="41">
        <f>SUMIFS(tbl_task1[S46],tbl_task1[[SubPLOs]:[SubPLOs]],"&gt;=7",tbl_task1[[SubPLOs]:[SubPLOs]],"&lt;8")+SUMIFS(tbl_task2[S46],tbl_task2[[SubPLOs]:[SubPLOs]],"&gt;=7",tbl_task2[[SubPLOs]:[SubPLOs]],"&lt;8")+SUMIFS(tbl_task3[S46],tbl_task3[[SubPLOs]:[SubPLOs]],"&gt;=7",tbl_task3[[SubPLOs]:[SubPLOs]],"&lt;8")+SUMIFS(tbl_task4[S46],tbl_task4[[SubPLOs]:[SubPLOs]],"&gt;=7",tbl_task4[[SubPLOs]:[SubPLOs]],"&lt;8")+SUMIFS(tbl_task5[S46],tbl_task5[[SubPLOs]:[SubPLOs]],"&gt;=7",tbl_task5[[SubPLOs]:[SubPLOs]],"&lt;8")+SUMIFS(tbl_task6[S46],tbl_task6[[SubPLOs]:[SubPLOs]],"&gt;=7",tbl_task6[[SubPLOs]:[SubPLOs]],"&lt;8")+SUMIFS(tbl_task7[S46],tbl_task7[[SubPLOs]:[SubPLOs]],"&gt;=7",tbl_task7[[SubPLOs]:[SubPLOs]],"&lt;8")+SUMIFS(tbl_task8[S46],tbl_task8[[SubPLOs]:[SubPLOs]],"&gt;=7",tbl_task8[[SubPLOs]:[SubPLOs]],"&lt;8")+SUMIFS(tbl_task9[S46],tbl_task9[[SubPLOs]:[SubPLOs]],"&gt;=7",tbl_task9[[SubPLOs]:[SubPLOs]],"&lt;8")+SUMIFS(tbl_task10[S46],tbl_task10[[SubPLOs]:[SubPLOs]],"&gt;=7",tbl_task10[[SubPLOs]:[SubPLOs]],"&lt;8")</f>
        <v>0</v>
      </c>
      <c r="AZ186" s="41">
        <f>SUMIFS(tbl_task1[S47],tbl_task1[[SubPLOs]:[SubPLOs]],"&gt;=7",tbl_task1[[SubPLOs]:[SubPLOs]],"&lt;8")+SUMIFS(tbl_task2[S47],tbl_task2[[SubPLOs]:[SubPLOs]],"&gt;=7",tbl_task2[[SubPLOs]:[SubPLOs]],"&lt;8")+SUMIFS(tbl_task3[S47],tbl_task3[[SubPLOs]:[SubPLOs]],"&gt;=7",tbl_task3[[SubPLOs]:[SubPLOs]],"&lt;8")+SUMIFS(tbl_task4[S47],tbl_task4[[SubPLOs]:[SubPLOs]],"&gt;=7",tbl_task4[[SubPLOs]:[SubPLOs]],"&lt;8")+SUMIFS(tbl_task5[S47],tbl_task5[[SubPLOs]:[SubPLOs]],"&gt;=7",tbl_task5[[SubPLOs]:[SubPLOs]],"&lt;8")+SUMIFS(tbl_task6[S47],tbl_task6[[SubPLOs]:[SubPLOs]],"&gt;=7",tbl_task6[[SubPLOs]:[SubPLOs]],"&lt;8")+SUMIFS(tbl_task7[S47],tbl_task7[[SubPLOs]:[SubPLOs]],"&gt;=7",tbl_task7[[SubPLOs]:[SubPLOs]],"&lt;8")+SUMIFS(tbl_task8[S47],tbl_task8[[SubPLOs]:[SubPLOs]],"&gt;=7",tbl_task8[[SubPLOs]:[SubPLOs]],"&lt;8")+SUMIFS(tbl_task9[S47],tbl_task9[[SubPLOs]:[SubPLOs]],"&gt;=7",tbl_task9[[SubPLOs]:[SubPLOs]],"&lt;8")+SUMIFS(tbl_task10[S47],tbl_task10[[SubPLOs]:[SubPLOs]],"&gt;=7",tbl_task10[[SubPLOs]:[SubPLOs]],"&lt;8")</f>
        <v>0</v>
      </c>
      <c r="BA186" s="41">
        <f>SUMIFS(tbl_task1[S48],tbl_task1[[SubPLOs]:[SubPLOs]],"&gt;=7",tbl_task1[[SubPLOs]:[SubPLOs]],"&lt;8")+SUMIFS(tbl_task2[S48],tbl_task2[[SubPLOs]:[SubPLOs]],"&gt;=7",tbl_task2[[SubPLOs]:[SubPLOs]],"&lt;8")+SUMIFS(tbl_task3[S48],tbl_task3[[SubPLOs]:[SubPLOs]],"&gt;=7",tbl_task3[[SubPLOs]:[SubPLOs]],"&lt;8")+SUMIFS(tbl_task4[S48],tbl_task4[[SubPLOs]:[SubPLOs]],"&gt;=7",tbl_task4[[SubPLOs]:[SubPLOs]],"&lt;8")+SUMIFS(tbl_task5[S48],tbl_task5[[SubPLOs]:[SubPLOs]],"&gt;=7",tbl_task5[[SubPLOs]:[SubPLOs]],"&lt;8")+SUMIFS(tbl_task6[S48],tbl_task6[[SubPLOs]:[SubPLOs]],"&gt;=7",tbl_task6[[SubPLOs]:[SubPLOs]],"&lt;8")+SUMIFS(tbl_task7[S48],tbl_task7[[SubPLOs]:[SubPLOs]],"&gt;=7",tbl_task7[[SubPLOs]:[SubPLOs]],"&lt;8")+SUMIFS(tbl_task8[S48],tbl_task8[[SubPLOs]:[SubPLOs]],"&gt;=7",tbl_task8[[SubPLOs]:[SubPLOs]],"&lt;8")+SUMIFS(tbl_task9[S48],tbl_task9[[SubPLOs]:[SubPLOs]],"&gt;=7",tbl_task9[[SubPLOs]:[SubPLOs]],"&lt;8")+SUMIFS(tbl_task10[S48],tbl_task10[[SubPLOs]:[SubPLOs]],"&gt;=7",tbl_task10[[SubPLOs]:[SubPLOs]],"&lt;8")</f>
        <v>0</v>
      </c>
      <c r="BB186" s="41">
        <f>SUMIFS(tbl_task1[S49],tbl_task1[[SubPLOs]:[SubPLOs]],"&gt;=7",tbl_task1[[SubPLOs]:[SubPLOs]],"&lt;8")+SUMIFS(tbl_task2[S49],tbl_task2[[SubPLOs]:[SubPLOs]],"&gt;=7",tbl_task2[[SubPLOs]:[SubPLOs]],"&lt;8")+SUMIFS(tbl_task3[S49],tbl_task3[[SubPLOs]:[SubPLOs]],"&gt;=7",tbl_task3[[SubPLOs]:[SubPLOs]],"&lt;8")+SUMIFS(tbl_task4[S49],tbl_task4[[SubPLOs]:[SubPLOs]],"&gt;=7",tbl_task4[[SubPLOs]:[SubPLOs]],"&lt;8")+SUMIFS(tbl_task5[S49],tbl_task5[[SubPLOs]:[SubPLOs]],"&gt;=7",tbl_task5[[SubPLOs]:[SubPLOs]],"&lt;8")+SUMIFS(tbl_task6[S49],tbl_task6[[SubPLOs]:[SubPLOs]],"&gt;=7",tbl_task6[[SubPLOs]:[SubPLOs]],"&lt;8")+SUMIFS(tbl_task7[S49],tbl_task7[[SubPLOs]:[SubPLOs]],"&gt;=7",tbl_task7[[SubPLOs]:[SubPLOs]],"&lt;8")+SUMIFS(tbl_task8[S49],tbl_task8[[SubPLOs]:[SubPLOs]],"&gt;=7",tbl_task8[[SubPLOs]:[SubPLOs]],"&lt;8")+SUMIFS(tbl_task9[S49],tbl_task9[[SubPLOs]:[SubPLOs]],"&gt;=7",tbl_task9[[SubPLOs]:[SubPLOs]],"&lt;8")+SUMIFS(tbl_task10[S49],tbl_task10[[SubPLOs]:[SubPLOs]],"&gt;=7",tbl_task10[[SubPLOs]:[SubPLOs]],"&lt;8")</f>
        <v>0</v>
      </c>
      <c r="BC186" s="41">
        <f>SUMIFS(tbl_task1[S50],tbl_task1[[SubPLOs]:[SubPLOs]],"&gt;=7",tbl_task1[[SubPLOs]:[SubPLOs]],"&lt;8")+SUMIFS(tbl_task2[S50],tbl_task2[[SubPLOs]:[SubPLOs]],"&gt;=7",tbl_task2[[SubPLOs]:[SubPLOs]],"&lt;8")+SUMIFS(tbl_task3[S50],tbl_task3[[SubPLOs]:[SubPLOs]],"&gt;=7",tbl_task3[[SubPLOs]:[SubPLOs]],"&lt;8")+SUMIFS(tbl_task4[S50],tbl_task4[[SubPLOs]:[SubPLOs]],"&gt;=7",tbl_task4[[SubPLOs]:[SubPLOs]],"&lt;8")+SUMIFS(tbl_task5[S50],tbl_task5[[SubPLOs]:[SubPLOs]],"&gt;=7",tbl_task5[[SubPLOs]:[SubPLOs]],"&lt;8")+SUMIFS(tbl_task6[S50],tbl_task6[[SubPLOs]:[SubPLOs]],"&gt;=7",tbl_task6[[SubPLOs]:[SubPLOs]],"&lt;8")+SUMIFS(tbl_task7[S50],tbl_task7[[SubPLOs]:[SubPLOs]],"&gt;=7",tbl_task7[[SubPLOs]:[SubPLOs]],"&lt;8")+SUMIFS(tbl_task8[S50],tbl_task8[[SubPLOs]:[SubPLOs]],"&gt;=7",tbl_task8[[SubPLOs]:[SubPLOs]],"&lt;8")+SUMIFS(tbl_task9[S50],tbl_task9[[SubPLOs]:[SubPLOs]],"&gt;=7",tbl_task9[[SubPLOs]:[SubPLOs]],"&lt;8")+SUMIFS(tbl_task10[S50],tbl_task10[[SubPLOs]:[SubPLOs]],"&gt;=7",tbl_task10[[SubPLOs]:[SubPLOs]],"&lt;8")</f>
        <v>0</v>
      </c>
      <c r="BD186" s="41">
        <f>SUMIFS(tbl_task1[S51],tbl_task1[[SubPLOs]:[SubPLOs]],"&gt;=7",tbl_task1[[SubPLOs]:[SubPLOs]],"&lt;8")+SUMIFS(tbl_task2[S51],tbl_task2[[SubPLOs]:[SubPLOs]],"&gt;=7",tbl_task2[[SubPLOs]:[SubPLOs]],"&lt;8")+SUMIFS(tbl_task3[S51],tbl_task3[[SubPLOs]:[SubPLOs]],"&gt;=7",tbl_task3[[SubPLOs]:[SubPLOs]],"&lt;8")+SUMIFS(tbl_task4[S51],tbl_task4[[SubPLOs]:[SubPLOs]],"&gt;=7",tbl_task4[[SubPLOs]:[SubPLOs]],"&lt;8")+SUMIFS(tbl_task5[S51],tbl_task5[[SubPLOs]:[SubPLOs]],"&gt;=7",tbl_task5[[SubPLOs]:[SubPLOs]],"&lt;8")+SUMIFS(tbl_task6[S51],tbl_task6[[SubPLOs]:[SubPLOs]],"&gt;=7",tbl_task6[[SubPLOs]:[SubPLOs]],"&lt;8")+SUMIFS(tbl_task7[S51],tbl_task7[[SubPLOs]:[SubPLOs]],"&gt;=7",tbl_task7[[SubPLOs]:[SubPLOs]],"&lt;8")+SUMIFS(tbl_task8[S51],tbl_task8[[SubPLOs]:[SubPLOs]],"&gt;=7",tbl_task8[[SubPLOs]:[SubPLOs]],"&lt;8")+SUMIFS(tbl_task9[S51],tbl_task9[[SubPLOs]:[SubPLOs]],"&gt;=7",tbl_task9[[SubPLOs]:[SubPLOs]],"&lt;8")+SUMIFS(tbl_task10[S51],tbl_task10[[SubPLOs]:[SubPLOs]],"&gt;=7",tbl_task10[[SubPLOs]:[SubPLOs]],"&lt;8")</f>
        <v>0</v>
      </c>
      <c r="BE186" s="41">
        <f>SUMIFS(tbl_task1[S52],tbl_task1[[SubPLOs]:[SubPLOs]],"&gt;=7",tbl_task1[[SubPLOs]:[SubPLOs]],"&lt;8")+SUMIFS(tbl_task2[S52],tbl_task2[[SubPLOs]:[SubPLOs]],"&gt;=7",tbl_task2[[SubPLOs]:[SubPLOs]],"&lt;8")+SUMIFS(tbl_task3[S52],tbl_task3[[SubPLOs]:[SubPLOs]],"&gt;=7",tbl_task3[[SubPLOs]:[SubPLOs]],"&lt;8")+SUMIFS(tbl_task4[S52],tbl_task4[[SubPLOs]:[SubPLOs]],"&gt;=7",tbl_task4[[SubPLOs]:[SubPLOs]],"&lt;8")+SUMIFS(tbl_task5[S52],tbl_task5[[SubPLOs]:[SubPLOs]],"&gt;=7",tbl_task5[[SubPLOs]:[SubPLOs]],"&lt;8")+SUMIFS(tbl_task6[S52],tbl_task6[[SubPLOs]:[SubPLOs]],"&gt;=7",tbl_task6[[SubPLOs]:[SubPLOs]],"&lt;8")+SUMIFS(tbl_task7[S52],tbl_task7[[SubPLOs]:[SubPLOs]],"&gt;=7",tbl_task7[[SubPLOs]:[SubPLOs]],"&lt;8")+SUMIFS(tbl_task8[S52],tbl_task8[[SubPLOs]:[SubPLOs]],"&gt;=7",tbl_task8[[SubPLOs]:[SubPLOs]],"&lt;8")+SUMIFS(tbl_task9[S52],tbl_task9[[SubPLOs]:[SubPLOs]],"&gt;=7",tbl_task9[[SubPLOs]:[SubPLOs]],"&lt;8")+SUMIFS(tbl_task10[S52],tbl_task10[[SubPLOs]:[SubPLOs]],"&gt;=7",tbl_task10[[SubPLOs]:[SubPLOs]],"&lt;8")</f>
        <v>0</v>
      </c>
      <c r="BF186" s="41">
        <f>SUMIFS(tbl_task1[S53],tbl_task1[[SubPLOs]:[SubPLOs]],"&gt;=7",tbl_task1[[SubPLOs]:[SubPLOs]],"&lt;8")+SUMIFS(tbl_task2[S53],tbl_task2[[SubPLOs]:[SubPLOs]],"&gt;=7",tbl_task2[[SubPLOs]:[SubPLOs]],"&lt;8")+SUMIFS(tbl_task3[S53],tbl_task3[[SubPLOs]:[SubPLOs]],"&gt;=7",tbl_task3[[SubPLOs]:[SubPLOs]],"&lt;8")+SUMIFS(tbl_task4[S53],tbl_task4[[SubPLOs]:[SubPLOs]],"&gt;=7",tbl_task4[[SubPLOs]:[SubPLOs]],"&lt;8")+SUMIFS(tbl_task5[S53],tbl_task5[[SubPLOs]:[SubPLOs]],"&gt;=7",tbl_task5[[SubPLOs]:[SubPLOs]],"&lt;8")+SUMIFS(tbl_task6[S53],tbl_task6[[SubPLOs]:[SubPLOs]],"&gt;=7",tbl_task6[[SubPLOs]:[SubPLOs]],"&lt;8")+SUMIFS(tbl_task7[S53],tbl_task7[[SubPLOs]:[SubPLOs]],"&gt;=7",tbl_task7[[SubPLOs]:[SubPLOs]],"&lt;8")+SUMIFS(tbl_task8[S53],tbl_task8[[SubPLOs]:[SubPLOs]],"&gt;=7",tbl_task8[[SubPLOs]:[SubPLOs]],"&lt;8")+SUMIFS(tbl_task9[S53],tbl_task9[[SubPLOs]:[SubPLOs]],"&gt;=7",tbl_task9[[SubPLOs]:[SubPLOs]],"&lt;8")+SUMIFS(tbl_task10[S53],tbl_task10[[SubPLOs]:[SubPLOs]],"&gt;=7",tbl_task10[[SubPLOs]:[SubPLOs]],"&lt;8")</f>
        <v>0</v>
      </c>
      <c r="BG186" s="41">
        <f>SUMIFS(tbl_task1[S54],tbl_task1[[SubPLOs]:[SubPLOs]],"&gt;=7",tbl_task1[[SubPLOs]:[SubPLOs]],"&lt;8")+SUMIFS(tbl_task2[S54],tbl_task2[[SubPLOs]:[SubPLOs]],"&gt;=7",tbl_task2[[SubPLOs]:[SubPLOs]],"&lt;8")+SUMIFS(tbl_task3[S54],tbl_task3[[SubPLOs]:[SubPLOs]],"&gt;=7",tbl_task3[[SubPLOs]:[SubPLOs]],"&lt;8")+SUMIFS(tbl_task4[S54],tbl_task4[[SubPLOs]:[SubPLOs]],"&gt;=7",tbl_task4[[SubPLOs]:[SubPLOs]],"&lt;8")+SUMIFS(tbl_task5[S54],tbl_task5[[SubPLOs]:[SubPLOs]],"&gt;=7",tbl_task5[[SubPLOs]:[SubPLOs]],"&lt;8")+SUMIFS(tbl_task6[S54],tbl_task6[[SubPLOs]:[SubPLOs]],"&gt;=7",tbl_task6[[SubPLOs]:[SubPLOs]],"&lt;8")+SUMIFS(tbl_task7[S54],tbl_task7[[SubPLOs]:[SubPLOs]],"&gt;=7",tbl_task7[[SubPLOs]:[SubPLOs]],"&lt;8")+SUMIFS(tbl_task8[S54],tbl_task8[[SubPLOs]:[SubPLOs]],"&gt;=7",tbl_task8[[SubPLOs]:[SubPLOs]],"&lt;8")+SUMIFS(tbl_task9[S54],tbl_task9[[SubPLOs]:[SubPLOs]],"&gt;=7",tbl_task9[[SubPLOs]:[SubPLOs]],"&lt;8")+SUMIFS(tbl_task10[S54],tbl_task10[[SubPLOs]:[SubPLOs]],"&gt;=7",tbl_task10[[SubPLOs]:[SubPLOs]],"&lt;8")</f>
        <v>0</v>
      </c>
      <c r="BH186" s="41">
        <f>SUMIFS(tbl_task1[S55],tbl_task1[[SubPLOs]:[SubPLOs]],"&gt;=7",tbl_task1[[SubPLOs]:[SubPLOs]],"&lt;8")+SUMIFS(tbl_task2[S55],tbl_task2[[SubPLOs]:[SubPLOs]],"&gt;=7",tbl_task2[[SubPLOs]:[SubPLOs]],"&lt;8")+SUMIFS(tbl_task3[S55],tbl_task3[[SubPLOs]:[SubPLOs]],"&gt;=7",tbl_task3[[SubPLOs]:[SubPLOs]],"&lt;8")+SUMIFS(tbl_task4[S55],tbl_task4[[SubPLOs]:[SubPLOs]],"&gt;=7",tbl_task4[[SubPLOs]:[SubPLOs]],"&lt;8")+SUMIFS(tbl_task5[S55],tbl_task5[[SubPLOs]:[SubPLOs]],"&gt;=7",tbl_task5[[SubPLOs]:[SubPLOs]],"&lt;8")+SUMIFS(tbl_task6[S55],tbl_task6[[SubPLOs]:[SubPLOs]],"&gt;=7",tbl_task6[[SubPLOs]:[SubPLOs]],"&lt;8")+SUMIFS(tbl_task7[S55],tbl_task7[[SubPLOs]:[SubPLOs]],"&gt;=7",tbl_task7[[SubPLOs]:[SubPLOs]],"&lt;8")+SUMIFS(tbl_task8[S55],tbl_task8[[SubPLOs]:[SubPLOs]],"&gt;=7",tbl_task8[[SubPLOs]:[SubPLOs]],"&lt;8")+SUMIFS(tbl_task9[S55],tbl_task9[[SubPLOs]:[SubPLOs]],"&gt;=7",tbl_task9[[SubPLOs]:[SubPLOs]],"&lt;8")+SUMIFS(tbl_task10[S55],tbl_task10[[SubPLOs]:[SubPLOs]],"&gt;=7",tbl_task10[[SubPLOs]:[SubPLOs]],"&lt;8")</f>
        <v>0</v>
      </c>
      <c r="BI186" s="41">
        <f>SUMIFS(tbl_task1[S56],tbl_task1[[SubPLOs]:[SubPLOs]],"&gt;=7",tbl_task1[[SubPLOs]:[SubPLOs]],"&lt;8")+SUMIFS(tbl_task2[S56],tbl_task2[[SubPLOs]:[SubPLOs]],"&gt;=7",tbl_task2[[SubPLOs]:[SubPLOs]],"&lt;8")+SUMIFS(tbl_task3[S56],tbl_task3[[SubPLOs]:[SubPLOs]],"&gt;=7",tbl_task3[[SubPLOs]:[SubPLOs]],"&lt;8")+SUMIFS(tbl_task4[S56],tbl_task4[[SubPLOs]:[SubPLOs]],"&gt;=7",tbl_task4[[SubPLOs]:[SubPLOs]],"&lt;8")+SUMIFS(tbl_task5[S56],tbl_task5[[SubPLOs]:[SubPLOs]],"&gt;=7",tbl_task5[[SubPLOs]:[SubPLOs]],"&lt;8")+SUMIFS(tbl_task6[S56],tbl_task6[[SubPLOs]:[SubPLOs]],"&gt;=7",tbl_task6[[SubPLOs]:[SubPLOs]],"&lt;8")+SUMIFS(tbl_task7[S56],tbl_task7[[SubPLOs]:[SubPLOs]],"&gt;=7",tbl_task7[[SubPLOs]:[SubPLOs]],"&lt;8")+SUMIFS(tbl_task8[S56],tbl_task8[[SubPLOs]:[SubPLOs]],"&gt;=7",tbl_task8[[SubPLOs]:[SubPLOs]],"&lt;8")+SUMIFS(tbl_task9[S56],tbl_task9[[SubPLOs]:[SubPLOs]],"&gt;=7",tbl_task9[[SubPLOs]:[SubPLOs]],"&lt;8")+SUMIFS(tbl_task10[S56],tbl_task10[[SubPLOs]:[SubPLOs]],"&gt;=7",tbl_task10[[SubPLOs]:[SubPLOs]],"&lt;8")</f>
        <v>0</v>
      </c>
      <c r="BJ186" s="41">
        <f>SUMIFS(tbl_task1[S57],tbl_task1[[SubPLOs]:[SubPLOs]],"&gt;=7",tbl_task1[[SubPLOs]:[SubPLOs]],"&lt;8")+SUMIFS(tbl_task2[S57],tbl_task2[[SubPLOs]:[SubPLOs]],"&gt;=7",tbl_task2[[SubPLOs]:[SubPLOs]],"&lt;8")+SUMIFS(tbl_task3[S57],tbl_task3[[SubPLOs]:[SubPLOs]],"&gt;=7",tbl_task3[[SubPLOs]:[SubPLOs]],"&lt;8")+SUMIFS(tbl_task4[S57],tbl_task4[[SubPLOs]:[SubPLOs]],"&gt;=7",tbl_task4[[SubPLOs]:[SubPLOs]],"&lt;8")+SUMIFS(tbl_task5[S57],tbl_task5[[SubPLOs]:[SubPLOs]],"&gt;=7",tbl_task5[[SubPLOs]:[SubPLOs]],"&lt;8")+SUMIFS(tbl_task6[S57],tbl_task6[[SubPLOs]:[SubPLOs]],"&gt;=7",tbl_task6[[SubPLOs]:[SubPLOs]],"&lt;8")+SUMIFS(tbl_task7[S57],tbl_task7[[SubPLOs]:[SubPLOs]],"&gt;=7",tbl_task7[[SubPLOs]:[SubPLOs]],"&lt;8")+SUMIFS(tbl_task8[S57],tbl_task8[[SubPLOs]:[SubPLOs]],"&gt;=7",tbl_task8[[SubPLOs]:[SubPLOs]],"&lt;8")+SUMIFS(tbl_task9[S57],tbl_task9[[SubPLOs]:[SubPLOs]],"&gt;=7",tbl_task9[[SubPLOs]:[SubPLOs]],"&lt;8")+SUMIFS(tbl_task10[S57],tbl_task10[[SubPLOs]:[SubPLOs]],"&gt;=7",tbl_task10[[SubPLOs]:[SubPLOs]],"&lt;8")</f>
        <v>0</v>
      </c>
      <c r="BK186" s="41">
        <f>SUMIFS(tbl_task1[S58],tbl_task1[[SubPLOs]:[SubPLOs]],"&gt;=7",tbl_task1[[SubPLOs]:[SubPLOs]],"&lt;8")+SUMIFS(tbl_task2[S58],tbl_task2[[SubPLOs]:[SubPLOs]],"&gt;=7",tbl_task2[[SubPLOs]:[SubPLOs]],"&lt;8")+SUMIFS(tbl_task3[S58],tbl_task3[[SubPLOs]:[SubPLOs]],"&gt;=7",tbl_task3[[SubPLOs]:[SubPLOs]],"&lt;8")+SUMIFS(tbl_task4[S58],tbl_task4[[SubPLOs]:[SubPLOs]],"&gt;=7",tbl_task4[[SubPLOs]:[SubPLOs]],"&lt;8")+SUMIFS(tbl_task5[S58],tbl_task5[[SubPLOs]:[SubPLOs]],"&gt;=7",tbl_task5[[SubPLOs]:[SubPLOs]],"&lt;8")+SUMIFS(tbl_task6[S58],tbl_task6[[SubPLOs]:[SubPLOs]],"&gt;=7",tbl_task6[[SubPLOs]:[SubPLOs]],"&lt;8")+SUMIFS(tbl_task7[S58],tbl_task7[[SubPLOs]:[SubPLOs]],"&gt;=7",tbl_task7[[SubPLOs]:[SubPLOs]],"&lt;8")+SUMIFS(tbl_task8[S58],tbl_task8[[SubPLOs]:[SubPLOs]],"&gt;=7",tbl_task8[[SubPLOs]:[SubPLOs]],"&lt;8")+SUMIFS(tbl_task9[S58],tbl_task9[[SubPLOs]:[SubPLOs]],"&gt;=7",tbl_task9[[SubPLOs]:[SubPLOs]],"&lt;8")+SUMIFS(tbl_task10[S58],tbl_task10[[SubPLOs]:[SubPLOs]],"&gt;=7",tbl_task10[[SubPLOs]:[SubPLOs]],"&lt;8")</f>
        <v>0</v>
      </c>
      <c r="BL186" s="41">
        <f>SUMIFS(tbl_task1[S59],tbl_task1[[SubPLOs]:[SubPLOs]],"&gt;=7",tbl_task1[[SubPLOs]:[SubPLOs]],"&lt;8")+SUMIFS(tbl_task2[S59],tbl_task2[[SubPLOs]:[SubPLOs]],"&gt;=7",tbl_task2[[SubPLOs]:[SubPLOs]],"&lt;8")+SUMIFS(tbl_task3[S59],tbl_task3[[SubPLOs]:[SubPLOs]],"&gt;=7",tbl_task3[[SubPLOs]:[SubPLOs]],"&lt;8")+SUMIFS(tbl_task4[S59],tbl_task4[[SubPLOs]:[SubPLOs]],"&gt;=7",tbl_task4[[SubPLOs]:[SubPLOs]],"&lt;8")+SUMIFS(tbl_task5[S59],tbl_task5[[SubPLOs]:[SubPLOs]],"&gt;=7",tbl_task5[[SubPLOs]:[SubPLOs]],"&lt;8")+SUMIFS(tbl_task6[S59],tbl_task6[[SubPLOs]:[SubPLOs]],"&gt;=7",tbl_task6[[SubPLOs]:[SubPLOs]],"&lt;8")+SUMIFS(tbl_task7[S59],tbl_task7[[SubPLOs]:[SubPLOs]],"&gt;=7",tbl_task7[[SubPLOs]:[SubPLOs]],"&lt;8")+SUMIFS(tbl_task8[S59],tbl_task8[[SubPLOs]:[SubPLOs]],"&gt;=7",tbl_task8[[SubPLOs]:[SubPLOs]],"&lt;8")+SUMIFS(tbl_task9[S59],tbl_task9[[SubPLOs]:[SubPLOs]],"&gt;=7",tbl_task9[[SubPLOs]:[SubPLOs]],"&lt;8")+SUMIFS(tbl_task10[S59],tbl_task10[[SubPLOs]:[SubPLOs]],"&gt;=7",tbl_task10[[SubPLOs]:[SubPLOs]],"&lt;8")</f>
        <v>0</v>
      </c>
      <c r="BM186" s="41">
        <f>SUMIFS(tbl_task1[S60],tbl_task1[[SubPLOs]:[SubPLOs]],"&gt;=7",tbl_task1[[SubPLOs]:[SubPLOs]],"&lt;8")+SUMIFS(tbl_task2[S60],tbl_task2[[SubPLOs]:[SubPLOs]],"&gt;=7",tbl_task2[[SubPLOs]:[SubPLOs]],"&lt;8")+SUMIFS(tbl_task3[S60],tbl_task3[[SubPLOs]:[SubPLOs]],"&gt;=7",tbl_task3[[SubPLOs]:[SubPLOs]],"&lt;8")+SUMIFS(tbl_task4[S60],tbl_task4[[SubPLOs]:[SubPLOs]],"&gt;=7",tbl_task4[[SubPLOs]:[SubPLOs]],"&lt;8")+SUMIFS(tbl_task5[S60],tbl_task5[[SubPLOs]:[SubPLOs]],"&gt;=7",tbl_task5[[SubPLOs]:[SubPLOs]],"&lt;8")+SUMIFS(tbl_task6[S60],tbl_task6[[SubPLOs]:[SubPLOs]],"&gt;=7",tbl_task6[[SubPLOs]:[SubPLOs]],"&lt;8")+SUMIFS(tbl_task7[S60],tbl_task7[[SubPLOs]:[SubPLOs]],"&gt;=7",tbl_task7[[SubPLOs]:[SubPLOs]],"&lt;8")+SUMIFS(tbl_task8[S60],tbl_task8[[SubPLOs]:[SubPLOs]],"&gt;=7",tbl_task8[[SubPLOs]:[SubPLOs]],"&lt;8")+SUMIFS(tbl_task9[S60],tbl_task9[[SubPLOs]:[SubPLOs]],"&gt;=7",tbl_task9[[SubPLOs]:[SubPLOs]],"&lt;8")+SUMIFS(tbl_task10[S60],tbl_task10[[SubPLOs]:[SubPLOs]],"&gt;=7",tbl_task10[[SubPLOs]:[SubPLOs]],"&lt;8")</f>
        <v>0</v>
      </c>
      <c r="BN186" s="41">
        <f>SUMIFS(tbl_task1[S61],tbl_task1[[SubPLOs]:[SubPLOs]],"&gt;=7",tbl_task1[[SubPLOs]:[SubPLOs]],"&lt;8")+SUMIFS(tbl_task2[S61],tbl_task2[[SubPLOs]:[SubPLOs]],"&gt;=7",tbl_task2[[SubPLOs]:[SubPLOs]],"&lt;8")+SUMIFS(tbl_task3[S61],tbl_task3[[SubPLOs]:[SubPLOs]],"&gt;=7",tbl_task3[[SubPLOs]:[SubPLOs]],"&lt;8")+SUMIFS(tbl_task4[S61],tbl_task4[[SubPLOs]:[SubPLOs]],"&gt;=7",tbl_task4[[SubPLOs]:[SubPLOs]],"&lt;8")+SUMIFS(tbl_task5[S61],tbl_task5[[SubPLOs]:[SubPLOs]],"&gt;=7",tbl_task5[[SubPLOs]:[SubPLOs]],"&lt;8")+SUMIFS(tbl_task6[S61],tbl_task6[[SubPLOs]:[SubPLOs]],"&gt;=7",tbl_task6[[SubPLOs]:[SubPLOs]],"&lt;8")+SUMIFS(tbl_task7[S61],tbl_task7[[SubPLOs]:[SubPLOs]],"&gt;=7",tbl_task7[[SubPLOs]:[SubPLOs]],"&lt;8")+SUMIFS(tbl_task8[S61],tbl_task8[[SubPLOs]:[SubPLOs]],"&gt;=7",tbl_task8[[SubPLOs]:[SubPLOs]],"&lt;8")+SUMIFS(tbl_task9[S61],tbl_task9[[SubPLOs]:[SubPLOs]],"&gt;=7",tbl_task9[[SubPLOs]:[SubPLOs]],"&lt;8")+SUMIFS(tbl_task10[S61],tbl_task10[[SubPLOs]:[SubPLOs]],"&gt;=7",tbl_task10[[SubPLOs]:[SubPLOs]],"&lt;8")</f>
        <v>0</v>
      </c>
      <c r="BO186" s="41">
        <f>SUMIFS(tbl_task1[S62],tbl_task1[[SubPLOs]:[SubPLOs]],"&gt;=7",tbl_task1[[SubPLOs]:[SubPLOs]],"&lt;8")+SUMIFS(tbl_task2[S62],tbl_task2[[SubPLOs]:[SubPLOs]],"&gt;=7",tbl_task2[[SubPLOs]:[SubPLOs]],"&lt;8")+SUMIFS(tbl_task3[S62],tbl_task3[[SubPLOs]:[SubPLOs]],"&gt;=7",tbl_task3[[SubPLOs]:[SubPLOs]],"&lt;8")+SUMIFS(tbl_task4[S62],tbl_task4[[SubPLOs]:[SubPLOs]],"&gt;=7",tbl_task4[[SubPLOs]:[SubPLOs]],"&lt;8")+SUMIFS(tbl_task5[S62],tbl_task5[[SubPLOs]:[SubPLOs]],"&gt;=7",tbl_task5[[SubPLOs]:[SubPLOs]],"&lt;8")+SUMIFS(tbl_task6[S62],tbl_task6[[SubPLOs]:[SubPLOs]],"&gt;=7",tbl_task6[[SubPLOs]:[SubPLOs]],"&lt;8")+SUMIFS(tbl_task7[S62],tbl_task7[[SubPLOs]:[SubPLOs]],"&gt;=7",tbl_task7[[SubPLOs]:[SubPLOs]],"&lt;8")+SUMIFS(tbl_task8[S62],tbl_task8[[SubPLOs]:[SubPLOs]],"&gt;=7",tbl_task8[[SubPLOs]:[SubPLOs]],"&lt;8")+SUMIFS(tbl_task9[S62],tbl_task9[[SubPLOs]:[SubPLOs]],"&gt;=7",tbl_task9[[SubPLOs]:[SubPLOs]],"&lt;8")+SUMIFS(tbl_task10[S62],tbl_task10[[SubPLOs]:[SubPLOs]],"&gt;=7",tbl_task10[[SubPLOs]:[SubPLOs]],"&lt;8")</f>
        <v>0</v>
      </c>
      <c r="BP186" s="41">
        <f>SUMIFS(tbl_task1[S63],tbl_task1[[SubPLOs]:[SubPLOs]],"&gt;=7",tbl_task1[[SubPLOs]:[SubPLOs]],"&lt;8")+SUMIFS(tbl_task2[S63],tbl_task2[[SubPLOs]:[SubPLOs]],"&gt;=7",tbl_task2[[SubPLOs]:[SubPLOs]],"&lt;8")+SUMIFS(tbl_task3[S63],tbl_task3[[SubPLOs]:[SubPLOs]],"&gt;=7",tbl_task3[[SubPLOs]:[SubPLOs]],"&lt;8")+SUMIFS(tbl_task4[S63],tbl_task4[[SubPLOs]:[SubPLOs]],"&gt;=7",tbl_task4[[SubPLOs]:[SubPLOs]],"&lt;8")+SUMIFS(tbl_task5[S63],tbl_task5[[SubPLOs]:[SubPLOs]],"&gt;=7",tbl_task5[[SubPLOs]:[SubPLOs]],"&lt;8")+SUMIFS(tbl_task6[S63],tbl_task6[[SubPLOs]:[SubPLOs]],"&gt;=7",tbl_task6[[SubPLOs]:[SubPLOs]],"&lt;8")+SUMIFS(tbl_task7[S63],tbl_task7[[SubPLOs]:[SubPLOs]],"&gt;=7",tbl_task7[[SubPLOs]:[SubPLOs]],"&lt;8")+SUMIFS(tbl_task8[S63],tbl_task8[[SubPLOs]:[SubPLOs]],"&gt;=7",tbl_task8[[SubPLOs]:[SubPLOs]],"&lt;8")+SUMIFS(tbl_task9[S63],tbl_task9[[SubPLOs]:[SubPLOs]],"&gt;=7",tbl_task9[[SubPLOs]:[SubPLOs]],"&lt;8")+SUMIFS(tbl_task10[S63],tbl_task10[[SubPLOs]:[SubPLOs]],"&gt;=7",tbl_task10[[SubPLOs]:[SubPLOs]],"&lt;8")</f>
        <v>0</v>
      </c>
      <c r="BQ186" s="41">
        <f>SUMIFS(tbl_task1[S64],tbl_task1[[SubPLOs]:[SubPLOs]],"&gt;=7",tbl_task1[[SubPLOs]:[SubPLOs]],"&lt;8")+SUMIFS(tbl_task2[S64],tbl_task2[[SubPLOs]:[SubPLOs]],"&gt;=7",tbl_task2[[SubPLOs]:[SubPLOs]],"&lt;8")+SUMIFS(tbl_task3[S64],tbl_task3[[SubPLOs]:[SubPLOs]],"&gt;=7",tbl_task3[[SubPLOs]:[SubPLOs]],"&lt;8")+SUMIFS(tbl_task4[S64],tbl_task4[[SubPLOs]:[SubPLOs]],"&gt;=7",tbl_task4[[SubPLOs]:[SubPLOs]],"&lt;8")+SUMIFS(tbl_task5[S64],tbl_task5[[SubPLOs]:[SubPLOs]],"&gt;=7",tbl_task5[[SubPLOs]:[SubPLOs]],"&lt;8")+SUMIFS(tbl_task6[S64],tbl_task6[[SubPLOs]:[SubPLOs]],"&gt;=7",tbl_task6[[SubPLOs]:[SubPLOs]],"&lt;8")+SUMIFS(tbl_task7[S64],tbl_task7[[SubPLOs]:[SubPLOs]],"&gt;=7",tbl_task7[[SubPLOs]:[SubPLOs]],"&lt;8")+SUMIFS(tbl_task8[S64],tbl_task8[[SubPLOs]:[SubPLOs]],"&gt;=7",tbl_task8[[SubPLOs]:[SubPLOs]],"&lt;8")+SUMIFS(tbl_task9[S64],tbl_task9[[SubPLOs]:[SubPLOs]],"&gt;=7",tbl_task9[[SubPLOs]:[SubPLOs]],"&lt;8")+SUMIFS(tbl_task10[S64],tbl_task10[[SubPLOs]:[SubPLOs]],"&gt;=7",tbl_task10[[SubPLOs]:[SubPLOs]],"&lt;8")</f>
        <v>0</v>
      </c>
      <c r="BR186" s="41">
        <f>SUMIFS(tbl_task1[S65],tbl_task1[[SubPLOs]:[SubPLOs]],"&gt;=7",tbl_task1[[SubPLOs]:[SubPLOs]],"&lt;8")+SUMIFS(tbl_task2[S65],tbl_task2[[SubPLOs]:[SubPLOs]],"&gt;=7",tbl_task2[[SubPLOs]:[SubPLOs]],"&lt;8")+SUMIFS(tbl_task3[S65],tbl_task3[[SubPLOs]:[SubPLOs]],"&gt;=7",tbl_task3[[SubPLOs]:[SubPLOs]],"&lt;8")+SUMIFS(tbl_task4[S65],tbl_task4[[SubPLOs]:[SubPLOs]],"&gt;=7",tbl_task4[[SubPLOs]:[SubPLOs]],"&lt;8")+SUMIFS(tbl_task5[S65],tbl_task5[[SubPLOs]:[SubPLOs]],"&gt;=7",tbl_task5[[SubPLOs]:[SubPLOs]],"&lt;8")+SUMIFS(tbl_task6[S65],tbl_task6[[SubPLOs]:[SubPLOs]],"&gt;=7",tbl_task6[[SubPLOs]:[SubPLOs]],"&lt;8")+SUMIFS(tbl_task7[S65],tbl_task7[[SubPLOs]:[SubPLOs]],"&gt;=7",tbl_task7[[SubPLOs]:[SubPLOs]],"&lt;8")+SUMIFS(tbl_task8[S65],tbl_task8[[SubPLOs]:[SubPLOs]],"&gt;=7",tbl_task8[[SubPLOs]:[SubPLOs]],"&lt;8")+SUMIFS(tbl_task9[S65],tbl_task9[[SubPLOs]:[SubPLOs]],"&gt;=7",tbl_task9[[SubPLOs]:[SubPLOs]],"&lt;8")+SUMIFS(tbl_task10[S65],tbl_task10[[SubPLOs]:[SubPLOs]],"&gt;=7",tbl_task10[[SubPLOs]:[SubPLOs]],"&lt;8")</f>
        <v>0</v>
      </c>
      <c r="BS186" s="41">
        <f>SUMIFS(tbl_task1[S66],tbl_task1[[SubPLOs]:[SubPLOs]],"&gt;=7",tbl_task1[[SubPLOs]:[SubPLOs]],"&lt;8")+SUMIFS(tbl_task2[S66],tbl_task2[[SubPLOs]:[SubPLOs]],"&gt;=7",tbl_task2[[SubPLOs]:[SubPLOs]],"&lt;8")+SUMIFS(tbl_task3[S66],tbl_task3[[SubPLOs]:[SubPLOs]],"&gt;=7",tbl_task3[[SubPLOs]:[SubPLOs]],"&lt;8")+SUMIFS(tbl_task4[S66],tbl_task4[[SubPLOs]:[SubPLOs]],"&gt;=7",tbl_task4[[SubPLOs]:[SubPLOs]],"&lt;8")+SUMIFS(tbl_task5[S66],tbl_task5[[SubPLOs]:[SubPLOs]],"&gt;=7",tbl_task5[[SubPLOs]:[SubPLOs]],"&lt;8")+SUMIFS(tbl_task6[S66],tbl_task6[[SubPLOs]:[SubPLOs]],"&gt;=7",tbl_task6[[SubPLOs]:[SubPLOs]],"&lt;8")+SUMIFS(tbl_task7[S66],tbl_task7[[SubPLOs]:[SubPLOs]],"&gt;=7",tbl_task7[[SubPLOs]:[SubPLOs]],"&lt;8")+SUMIFS(tbl_task8[S66],tbl_task8[[SubPLOs]:[SubPLOs]],"&gt;=7",tbl_task8[[SubPLOs]:[SubPLOs]],"&lt;8")+SUMIFS(tbl_task9[S66],tbl_task9[[SubPLOs]:[SubPLOs]],"&gt;=7",tbl_task9[[SubPLOs]:[SubPLOs]],"&lt;8")+SUMIFS(tbl_task10[S66],tbl_task10[[SubPLOs]:[SubPLOs]],"&gt;=7",tbl_task10[[SubPLOs]:[SubPLOs]],"&lt;8")</f>
        <v>0</v>
      </c>
      <c r="BT186" s="41">
        <f>SUMIFS(tbl_task1[S67],tbl_task1[[SubPLOs]:[SubPLOs]],"&gt;=7",tbl_task1[[SubPLOs]:[SubPLOs]],"&lt;8")+SUMIFS(tbl_task2[S67],tbl_task2[[SubPLOs]:[SubPLOs]],"&gt;=7",tbl_task2[[SubPLOs]:[SubPLOs]],"&lt;8")+SUMIFS(tbl_task3[S67],tbl_task3[[SubPLOs]:[SubPLOs]],"&gt;=7",tbl_task3[[SubPLOs]:[SubPLOs]],"&lt;8")+SUMIFS(tbl_task4[S67],tbl_task4[[SubPLOs]:[SubPLOs]],"&gt;=7",tbl_task4[[SubPLOs]:[SubPLOs]],"&lt;8")+SUMIFS(tbl_task5[S67],tbl_task5[[SubPLOs]:[SubPLOs]],"&gt;=7",tbl_task5[[SubPLOs]:[SubPLOs]],"&lt;8")+SUMIFS(tbl_task6[S67],tbl_task6[[SubPLOs]:[SubPLOs]],"&gt;=7",tbl_task6[[SubPLOs]:[SubPLOs]],"&lt;8")+SUMIFS(tbl_task7[S67],tbl_task7[[SubPLOs]:[SubPLOs]],"&gt;=7",tbl_task7[[SubPLOs]:[SubPLOs]],"&lt;8")+SUMIFS(tbl_task8[S67],tbl_task8[[SubPLOs]:[SubPLOs]],"&gt;=7",tbl_task8[[SubPLOs]:[SubPLOs]],"&lt;8")+SUMIFS(tbl_task9[S67],tbl_task9[[SubPLOs]:[SubPLOs]],"&gt;=7",tbl_task9[[SubPLOs]:[SubPLOs]],"&lt;8")+SUMIFS(tbl_task10[S67],tbl_task10[[SubPLOs]:[SubPLOs]],"&gt;=7",tbl_task10[[SubPLOs]:[SubPLOs]],"&lt;8")</f>
        <v>0</v>
      </c>
      <c r="BU186" s="41">
        <f>SUMIFS(tbl_task1[S68],tbl_task1[[SubPLOs]:[SubPLOs]],"&gt;=7",tbl_task1[[SubPLOs]:[SubPLOs]],"&lt;8")+SUMIFS(tbl_task2[S68],tbl_task2[[SubPLOs]:[SubPLOs]],"&gt;=7",tbl_task2[[SubPLOs]:[SubPLOs]],"&lt;8")+SUMIFS(tbl_task3[S68],tbl_task3[[SubPLOs]:[SubPLOs]],"&gt;=7",tbl_task3[[SubPLOs]:[SubPLOs]],"&lt;8")+SUMIFS(tbl_task4[S68],tbl_task4[[SubPLOs]:[SubPLOs]],"&gt;=7",tbl_task4[[SubPLOs]:[SubPLOs]],"&lt;8")+SUMIFS(tbl_task5[S68],tbl_task5[[SubPLOs]:[SubPLOs]],"&gt;=7",tbl_task5[[SubPLOs]:[SubPLOs]],"&lt;8")+SUMIFS(tbl_task6[S68],tbl_task6[[SubPLOs]:[SubPLOs]],"&gt;=7",tbl_task6[[SubPLOs]:[SubPLOs]],"&lt;8")+SUMIFS(tbl_task7[S68],tbl_task7[[SubPLOs]:[SubPLOs]],"&gt;=7",tbl_task7[[SubPLOs]:[SubPLOs]],"&lt;8")+SUMIFS(tbl_task8[S68],tbl_task8[[SubPLOs]:[SubPLOs]],"&gt;=7",tbl_task8[[SubPLOs]:[SubPLOs]],"&lt;8")+SUMIFS(tbl_task9[S68],tbl_task9[[SubPLOs]:[SubPLOs]],"&gt;=7",tbl_task9[[SubPLOs]:[SubPLOs]],"&lt;8")+SUMIFS(tbl_task10[S68],tbl_task10[[SubPLOs]:[SubPLOs]],"&gt;=7",tbl_task10[[SubPLOs]:[SubPLOs]],"&lt;8")</f>
        <v>0</v>
      </c>
      <c r="BV186" s="41">
        <f>SUMIFS(tbl_task1[S69],tbl_task1[[SubPLOs]:[SubPLOs]],"&gt;=7",tbl_task1[[SubPLOs]:[SubPLOs]],"&lt;8")+SUMIFS(tbl_task2[S69],tbl_task2[[SubPLOs]:[SubPLOs]],"&gt;=7",tbl_task2[[SubPLOs]:[SubPLOs]],"&lt;8")+SUMIFS(tbl_task3[S69],tbl_task3[[SubPLOs]:[SubPLOs]],"&gt;=7",tbl_task3[[SubPLOs]:[SubPLOs]],"&lt;8")+SUMIFS(tbl_task4[S69],tbl_task4[[SubPLOs]:[SubPLOs]],"&gt;=7",tbl_task4[[SubPLOs]:[SubPLOs]],"&lt;8")+SUMIFS(tbl_task5[S69],tbl_task5[[SubPLOs]:[SubPLOs]],"&gt;=7",tbl_task5[[SubPLOs]:[SubPLOs]],"&lt;8")+SUMIFS(tbl_task6[S69],tbl_task6[[SubPLOs]:[SubPLOs]],"&gt;=7",tbl_task6[[SubPLOs]:[SubPLOs]],"&lt;8")+SUMIFS(tbl_task7[S69],tbl_task7[[SubPLOs]:[SubPLOs]],"&gt;=7",tbl_task7[[SubPLOs]:[SubPLOs]],"&lt;8")+SUMIFS(tbl_task8[S69],tbl_task8[[SubPLOs]:[SubPLOs]],"&gt;=7",tbl_task8[[SubPLOs]:[SubPLOs]],"&lt;8")+SUMIFS(tbl_task9[S69],tbl_task9[[SubPLOs]:[SubPLOs]],"&gt;=7",tbl_task9[[SubPLOs]:[SubPLOs]],"&lt;8")+SUMIFS(tbl_task10[S69],tbl_task10[[SubPLOs]:[SubPLOs]],"&gt;=7",tbl_task10[[SubPLOs]:[SubPLOs]],"&lt;8")</f>
        <v>0</v>
      </c>
      <c r="BW186" s="41">
        <f>SUMIFS(tbl_task1[S70],tbl_task1[[SubPLOs]:[SubPLOs]],"&gt;=7",tbl_task1[[SubPLOs]:[SubPLOs]],"&lt;8")+SUMIFS(tbl_task2[S70],tbl_task2[[SubPLOs]:[SubPLOs]],"&gt;=7",tbl_task2[[SubPLOs]:[SubPLOs]],"&lt;8")+SUMIFS(tbl_task3[S70],tbl_task3[[SubPLOs]:[SubPLOs]],"&gt;=7",tbl_task3[[SubPLOs]:[SubPLOs]],"&lt;8")+SUMIFS(tbl_task4[S70],tbl_task4[[SubPLOs]:[SubPLOs]],"&gt;=7",tbl_task4[[SubPLOs]:[SubPLOs]],"&lt;8")+SUMIFS(tbl_task5[S70],tbl_task5[[SubPLOs]:[SubPLOs]],"&gt;=7",tbl_task5[[SubPLOs]:[SubPLOs]],"&lt;8")+SUMIFS(tbl_task6[S70],tbl_task6[[SubPLOs]:[SubPLOs]],"&gt;=7",tbl_task6[[SubPLOs]:[SubPLOs]],"&lt;8")+SUMIFS(tbl_task7[S70],tbl_task7[[SubPLOs]:[SubPLOs]],"&gt;=7",tbl_task7[[SubPLOs]:[SubPLOs]],"&lt;8")+SUMIFS(tbl_task8[S70],tbl_task8[[SubPLOs]:[SubPLOs]],"&gt;=7",tbl_task8[[SubPLOs]:[SubPLOs]],"&lt;8")+SUMIFS(tbl_task9[S70],tbl_task9[[SubPLOs]:[SubPLOs]],"&gt;=7",tbl_task9[[SubPLOs]:[SubPLOs]],"&lt;8")+SUMIFS(tbl_task10[S70],tbl_task10[[SubPLOs]:[SubPLOs]],"&gt;=7",tbl_task10[[SubPLOs]:[SubPLOs]],"&lt;8")</f>
        <v>0</v>
      </c>
      <c r="BX186" s="41">
        <f>SUMIFS(tbl_task1[S71],tbl_task1[[SubPLOs]:[SubPLOs]],"&gt;=7",tbl_task1[[SubPLOs]:[SubPLOs]],"&lt;8")+SUMIFS(tbl_task2[S71],tbl_task2[[SubPLOs]:[SubPLOs]],"&gt;=7",tbl_task2[[SubPLOs]:[SubPLOs]],"&lt;8")+SUMIFS(tbl_task3[S71],tbl_task3[[SubPLOs]:[SubPLOs]],"&gt;=7",tbl_task3[[SubPLOs]:[SubPLOs]],"&lt;8")+SUMIFS(tbl_task4[S71],tbl_task4[[SubPLOs]:[SubPLOs]],"&gt;=7",tbl_task4[[SubPLOs]:[SubPLOs]],"&lt;8")+SUMIFS(tbl_task5[S71],tbl_task5[[SubPLOs]:[SubPLOs]],"&gt;=7",tbl_task5[[SubPLOs]:[SubPLOs]],"&lt;8")+SUMIFS(tbl_task6[S71],tbl_task6[[SubPLOs]:[SubPLOs]],"&gt;=7",tbl_task6[[SubPLOs]:[SubPLOs]],"&lt;8")+SUMIFS(tbl_task7[S71],tbl_task7[[SubPLOs]:[SubPLOs]],"&gt;=7",tbl_task7[[SubPLOs]:[SubPLOs]],"&lt;8")+SUMIFS(tbl_task8[S71],tbl_task8[[SubPLOs]:[SubPLOs]],"&gt;=7",tbl_task8[[SubPLOs]:[SubPLOs]],"&lt;8")+SUMIFS(tbl_task9[S71],tbl_task9[[SubPLOs]:[SubPLOs]],"&gt;=7",tbl_task9[[SubPLOs]:[SubPLOs]],"&lt;8")+SUMIFS(tbl_task10[S71],tbl_task10[[SubPLOs]:[SubPLOs]],"&gt;=7",tbl_task10[[SubPLOs]:[SubPLOs]],"&lt;8")</f>
        <v>0</v>
      </c>
      <c r="BY186" s="41">
        <f>SUMIFS(tbl_task1[S72],tbl_task1[[SubPLOs]:[SubPLOs]],"&gt;=7",tbl_task1[[SubPLOs]:[SubPLOs]],"&lt;8")+SUMIFS(tbl_task2[S72],tbl_task2[[SubPLOs]:[SubPLOs]],"&gt;=7",tbl_task2[[SubPLOs]:[SubPLOs]],"&lt;8")+SUMIFS(tbl_task3[S72],tbl_task3[[SubPLOs]:[SubPLOs]],"&gt;=7",tbl_task3[[SubPLOs]:[SubPLOs]],"&lt;8")+SUMIFS(tbl_task4[S72],tbl_task4[[SubPLOs]:[SubPLOs]],"&gt;=7",tbl_task4[[SubPLOs]:[SubPLOs]],"&lt;8")+SUMIFS(tbl_task5[S72],tbl_task5[[SubPLOs]:[SubPLOs]],"&gt;=7",tbl_task5[[SubPLOs]:[SubPLOs]],"&lt;8")+SUMIFS(tbl_task6[S72],tbl_task6[[SubPLOs]:[SubPLOs]],"&gt;=7",tbl_task6[[SubPLOs]:[SubPLOs]],"&lt;8")+SUMIFS(tbl_task7[S72],tbl_task7[[SubPLOs]:[SubPLOs]],"&gt;=7",tbl_task7[[SubPLOs]:[SubPLOs]],"&lt;8")+SUMIFS(tbl_task8[S72],tbl_task8[[SubPLOs]:[SubPLOs]],"&gt;=7",tbl_task8[[SubPLOs]:[SubPLOs]],"&lt;8")+SUMIFS(tbl_task9[S72],tbl_task9[[SubPLOs]:[SubPLOs]],"&gt;=7",tbl_task9[[SubPLOs]:[SubPLOs]],"&lt;8")+SUMIFS(tbl_task10[S72],tbl_task10[[SubPLOs]:[SubPLOs]],"&gt;=7",tbl_task10[[SubPLOs]:[SubPLOs]],"&lt;8")</f>
        <v>0</v>
      </c>
      <c r="BZ186" s="41">
        <f>SUMIFS(tbl_task1[S73],tbl_task1[[SubPLOs]:[SubPLOs]],"&gt;=7",tbl_task1[[SubPLOs]:[SubPLOs]],"&lt;8")+SUMIFS(tbl_task2[S73],tbl_task2[[SubPLOs]:[SubPLOs]],"&gt;=7",tbl_task2[[SubPLOs]:[SubPLOs]],"&lt;8")+SUMIFS(tbl_task3[S73],tbl_task3[[SubPLOs]:[SubPLOs]],"&gt;=7",tbl_task3[[SubPLOs]:[SubPLOs]],"&lt;8")+SUMIFS(tbl_task4[S73],tbl_task4[[SubPLOs]:[SubPLOs]],"&gt;=7",tbl_task4[[SubPLOs]:[SubPLOs]],"&lt;8")+SUMIFS(tbl_task5[S73],tbl_task5[[SubPLOs]:[SubPLOs]],"&gt;=7",tbl_task5[[SubPLOs]:[SubPLOs]],"&lt;8")+SUMIFS(tbl_task6[S73],tbl_task6[[SubPLOs]:[SubPLOs]],"&gt;=7",tbl_task6[[SubPLOs]:[SubPLOs]],"&lt;8")+SUMIFS(tbl_task7[S73],tbl_task7[[SubPLOs]:[SubPLOs]],"&gt;=7",tbl_task7[[SubPLOs]:[SubPLOs]],"&lt;8")+SUMIFS(tbl_task8[S73],tbl_task8[[SubPLOs]:[SubPLOs]],"&gt;=7",tbl_task8[[SubPLOs]:[SubPLOs]],"&lt;8")+SUMIFS(tbl_task9[S73],tbl_task9[[SubPLOs]:[SubPLOs]],"&gt;=7",tbl_task9[[SubPLOs]:[SubPLOs]],"&lt;8")+SUMIFS(tbl_task10[S73],tbl_task10[[SubPLOs]:[SubPLOs]],"&gt;=7",tbl_task10[[SubPLOs]:[SubPLOs]],"&lt;8")</f>
        <v>0</v>
      </c>
      <c r="CA186" s="41">
        <f>SUMIFS(tbl_task1[S74],tbl_task1[[SubPLOs]:[SubPLOs]],"&gt;=7",tbl_task1[[SubPLOs]:[SubPLOs]],"&lt;8")+SUMIFS(tbl_task2[S74],tbl_task2[[SubPLOs]:[SubPLOs]],"&gt;=7",tbl_task2[[SubPLOs]:[SubPLOs]],"&lt;8")+SUMIFS(tbl_task3[S74],tbl_task3[[SubPLOs]:[SubPLOs]],"&gt;=7",tbl_task3[[SubPLOs]:[SubPLOs]],"&lt;8")+SUMIFS(tbl_task4[S74],tbl_task4[[SubPLOs]:[SubPLOs]],"&gt;=7",tbl_task4[[SubPLOs]:[SubPLOs]],"&lt;8")+SUMIFS(tbl_task5[S74],tbl_task5[[SubPLOs]:[SubPLOs]],"&gt;=7",tbl_task5[[SubPLOs]:[SubPLOs]],"&lt;8")+SUMIFS(tbl_task6[S74],tbl_task6[[SubPLOs]:[SubPLOs]],"&gt;=7",tbl_task6[[SubPLOs]:[SubPLOs]],"&lt;8")+SUMIFS(tbl_task7[S74],tbl_task7[[SubPLOs]:[SubPLOs]],"&gt;=7",tbl_task7[[SubPLOs]:[SubPLOs]],"&lt;8")+SUMIFS(tbl_task8[S74],tbl_task8[[SubPLOs]:[SubPLOs]],"&gt;=7",tbl_task8[[SubPLOs]:[SubPLOs]],"&lt;8")+SUMIFS(tbl_task9[S74],tbl_task9[[SubPLOs]:[SubPLOs]],"&gt;=7",tbl_task9[[SubPLOs]:[SubPLOs]],"&lt;8")+SUMIFS(tbl_task10[S74],tbl_task10[[SubPLOs]:[SubPLOs]],"&gt;=7",tbl_task10[[SubPLOs]:[SubPLOs]],"&lt;8")</f>
        <v>0</v>
      </c>
      <c r="CB186" s="41">
        <f>SUMIFS(tbl_task1[S75],tbl_task1[[SubPLOs]:[SubPLOs]],"&gt;=7",tbl_task1[[SubPLOs]:[SubPLOs]],"&lt;8")+SUMIFS(tbl_task2[S75],tbl_task2[[SubPLOs]:[SubPLOs]],"&gt;=7",tbl_task2[[SubPLOs]:[SubPLOs]],"&lt;8")+SUMIFS(tbl_task3[S75],tbl_task3[[SubPLOs]:[SubPLOs]],"&gt;=7",tbl_task3[[SubPLOs]:[SubPLOs]],"&lt;8")+SUMIFS(tbl_task4[S75],tbl_task4[[SubPLOs]:[SubPLOs]],"&gt;=7",tbl_task4[[SubPLOs]:[SubPLOs]],"&lt;8")+SUMIFS(tbl_task5[S75],tbl_task5[[SubPLOs]:[SubPLOs]],"&gt;=7",tbl_task5[[SubPLOs]:[SubPLOs]],"&lt;8")+SUMIFS(tbl_task6[S75],tbl_task6[[SubPLOs]:[SubPLOs]],"&gt;=7",tbl_task6[[SubPLOs]:[SubPLOs]],"&lt;8")+SUMIFS(tbl_task7[S75],tbl_task7[[SubPLOs]:[SubPLOs]],"&gt;=7",tbl_task7[[SubPLOs]:[SubPLOs]],"&lt;8")+SUMIFS(tbl_task8[S75],tbl_task8[[SubPLOs]:[SubPLOs]],"&gt;=7",tbl_task8[[SubPLOs]:[SubPLOs]],"&lt;8")+SUMIFS(tbl_task9[S75],tbl_task9[[SubPLOs]:[SubPLOs]],"&gt;=7",tbl_task9[[SubPLOs]:[SubPLOs]],"&lt;8")+SUMIFS(tbl_task10[S75],tbl_task10[[SubPLOs]:[SubPLOs]],"&gt;=7",tbl_task10[[SubPLOs]:[SubPLOs]],"&lt;8")</f>
        <v>0</v>
      </c>
      <c r="CC186" s="41">
        <f>SUMIFS(tbl_task1[S76],tbl_task1[[SubPLOs]:[SubPLOs]],"&gt;=7",tbl_task1[[SubPLOs]:[SubPLOs]],"&lt;8")+SUMIFS(tbl_task2[S76],tbl_task2[[SubPLOs]:[SubPLOs]],"&gt;=7",tbl_task2[[SubPLOs]:[SubPLOs]],"&lt;8")+SUMIFS(tbl_task3[S76],tbl_task3[[SubPLOs]:[SubPLOs]],"&gt;=7",tbl_task3[[SubPLOs]:[SubPLOs]],"&lt;8")+SUMIFS(tbl_task4[S76],tbl_task4[[SubPLOs]:[SubPLOs]],"&gt;=7",tbl_task4[[SubPLOs]:[SubPLOs]],"&lt;8")+SUMIFS(tbl_task5[S76],tbl_task5[[SubPLOs]:[SubPLOs]],"&gt;=7",tbl_task5[[SubPLOs]:[SubPLOs]],"&lt;8")+SUMIFS(tbl_task6[S76],tbl_task6[[SubPLOs]:[SubPLOs]],"&gt;=7",tbl_task6[[SubPLOs]:[SubPLOs]],"&lt;8")+SUMIFS(tbl_task7[S76],tbl_task7[[SubPLOs]:[SubPLOs]],"&gt;=7",tbl_task7[[SubPLOs]:[SubPLOs]],"&lt;8")+SUMIFS(tbl_task8[S76],tbl_task8[[SubPLOs]:[SubPLOs]],"&gt;=7",tbl_task8[[SubPLOs]:[SubPLOs]],"&lt;8")+SUMIFS(tbl_task9[S76],tbl_task9[[SubPLOs]:[SubPLOs]],"&gt;=7",tbl_task9[[SubPLOs]:[SubPLOs]],"&lt;8")+SUMIFS(tbl_task10[S76],tbl_task10[[SubPLOs]:[SubPLOs]],"&gt;=7",tbl_task10[[SubPLOs]:[SubPLOs]],"&lt;8")</f>
        <v>0</v>
      </c>
      <c r="CD186" s="41">
        <f>SUMIFS(tbl_task1[S77],tbl_task1[[SubPLOs]:[SubPLOs]],"&gt;=7",tbl_task1[[SubPLOs]:[SubPLOs]],"&lt;8")+SUMIFS(tbl_task2[S77],tbl_task2[[SubPLOs]:[SubPLOs]],"&gt;=7",tbl_task2[[SubPLOs]:[SubPLOs]],"&lt;8")+SUMIFS(tbl_task3[S77],tbl_task3[[SubPLOs]:[SubPLOs]],"&gt;=7",tbl_task3[[SubPLOs]:[SubPLOs]],"&lt;8")+SUMIFS(tbl_task4[S77],tbl_task4[[SubPLOs]:[SubPLOs]],"&gt;=7",tbl_task4[[SubPLOs]:[SubPLOs]],"&lt;8")+SUMIFS(tbl_task5[S77],tbl_task5[[SubPLOs]:[SubPLOs]],"&gt;=7",tbl_task5[[SubPLOs]:[SubPLOs]],"&lt;8")+SUMIFS(tbl_task6[S77],tbl_task6[[SubPLOs]:[SubPLOs]],"&gt;=7",tbl_task6[[SubPLOs]:[SubPLOs]],"&lt;8")+SUMIFS(tbl_task7[S77],tbl_task7[[SubPLOs]:[SubPLOs]],"&gt;=7",tbl_task7[[SubPLOs]:[SubPLOs]],"&lt;8")+SUMIFS(tbl_task8[S77],tbl_task8[[SubPLOs]:[SubPLOs]],"&gt;=7",tbl_task8[[SubPLOs]:[SubPLOs]],"&lt;8")+SUMIFS(tbl_task9[S77],tbl_task9[[SubPLOs]:[SubPLOs]],"&gt;=7",tbl_task9[[SubPLOs]:[SubPLOs]],"&lt;8")+SUMIFS(tbl_task10[S77],tbl_task10[[SubPLOs]:[SubPLOs]],"&gt;=7",tbl_task10[[SubPLOs]:[SubPLOs]],"&lt;8")</f>
        <v>0</v>
      </c>
      <c r="CE186" s="41">
        <f>SUMIFS(tbl_task1[S78],tbl_task1[[SubPLOs]:[SubPLOs]],"&gt;=7",tbl_task1[[SubPLOs]:[SubPLOs]],"&lt;8")+SUMIFS(tbl_task2[S78],tbl_task2[[SubPLOs]:[SubPLOs]],"&gt;=7",tbl_task2[[SubPLOs]:[SubPLOs]],"&lt;8")+SUMIFS(tbl_task3[S78],tbl_task3[[SubPLOs]:[SubPLOs]],"&gt;=7",tbl_task3[[SubPLOs]:[SubPLOs]],"&lt;8")+SUMIFS(tbl_task4[S78],tbl_task4[[SubPLOs]:[SubPLOs]],"&gt;=7",tbl_task4[[SubPLOs]:[SubPLOs]],"&lt;8")+SUMIFS(tbl_task5[S78],tbl_task5[[SubPLOs]:[SubPLOs]],"&gt;=7",tbl_task5[[SubPLOs]:[SubPLOs]],"&lt;8")+SUMIFS(tbl_task6[S78],tbl_task6[[SubPLOs]:[SubPLOs]],"&gt;=7",tbl_task6[[SubPLOs]:[SubPLOs]],"&lt;8")+SUMIFS(tbl_task7[S78],tbl_task7[[SubPLOs]:[SubPLOs]],"&gt;=7",tbl_task7[[SubPLOs]:[SubPLOs]],"&lt;8")+SUMIFS(tbl_task8[S78],tbl_task8[[SubPLOs]:[SubPLOs]],"&gt;=7",tbl_task8[[SubPLOs]:[SubPLOs]],"&lt;8")+SUMIFS(tbl_task9[S78],tbl_task9[[SubPLOs]:[SubPLOs]],"&gt;=7",tbl_task9[[SubPLOs]:[SubPLOs]],"&lt;8")+SUMIFS(tbl_task10[S78],tbl_task10[[SubPLOs]:[SubPLOs]],"&gt;=7",tbl_task10[[SubPLOs]:[SubPLOs]],"&lt;8")</f>
        <v>0</v>
      </c>
      <c r="CF186" s="41">
        <f>SUMIFS(tbl_task1[S79],tbl_task1[[SubPLOs]:[SubPLOs]],"&gt;=7",tbl_task1[[SubPLOs]:[SubPLOs]],"&lt;8")+SUMIFS(tbl_task2[S79],tbl_task2[[SubPLOs]:[SubPLOs]],"&gt;=7",tbl_task2[[SubPLOs]:[SubPLOs]],"&lt;8")+SUMIFS(tbl_task3[S79],tbl_task3[[SubPLOs]:[SubPLOs]],"&gt;=7",tbl_task3[[SubPLOs]:[SubPLOs]],"&lt;8")+SUMIFS(tbl_task4[S79],tbl_task4[[SubPLOs]:[SubPLOs]],"&gt;=7",tbl_task4[[SubPLOs]:[SubPLOs]],"&lt;8")+SUMIFS(tbl_task5[S79],tbl_task5[[SubPLOs]:[SubPLOs]],"&gt;=7",tbl_task5[[SubPLOs]:[SubPLOs]],"&lt;8")+SUMIFS(tbl_task6[S79],tbl_task6[[SubPLOs]:[SubPLOs]],"&gt;=7",tbl_task6[[SubPLOs]:[SubPLOs]],"&lt;8")+SUMIFS(tbl_task7[S79],tbl_task7[[SubPLOs]:[SubPLOs]],"&gt;=7",tbl_task7[[SubPLOs]:[SubPLOs]],"&lt;8")+SUMIFS(tbl_task8[S79],tbl_task8[[SubPLOs]:[SubPLOs]],"&gt;=7",tbl_task8[[SubPLOs]:[SubPLOs]],"&lt;8")+SUMIFS(tbl_task9[S79],tbl_task9[[SubPLOs]:[SubPLOs]],"&gt;=7",tbl_task9[[SubPLOs]:[SubPLOs]],"&lt;8")+SUMIFS(tbl_task10[S79],tbl_task10[[SubPLOs]:[SubPLOs]],"&gt;=7",tbl_task10[[SubPLOs]:[SubPLOs]],"&lt;8")</f>
        <v>0</v>
      </c>
      <c r="CG186" s="41">
        <f>SUMIFS(tbl_task1[S80],tbl_task1[[SubPLOs]:[SubPLOs]],"&gt;=7",tbl_task1[[SubPLOs]:[SubPLOs]],"&lt;8")+SUMIFS(tbl_task2[S80],tbl_task2[[SubPLOs]:[SubPLOs]],"&gt;=7",tbl_task2[[SubPLOs]:[SubPLOs]],"&lt;8")+SUMIFS(tbl_task3[S80],tbl_task3[[SubPLOs]:[SubPLOs]],"&gt;=7",tbl_task3[[SubPLOs]:[SubPLOs]],"&lt;8")+SUMIFS(tbl_task4[S80],tbl_task4[[SubPLOs]:[SubPLOs]],"&gt;=7",tbl_task4[[SubPLOs]:[SubPLOs]],"&lt;8")+SUMIFS(tbl_task5[S80],tbl_task5[[SubPLOs]:[SubPLOs]],"&gt;=7",tbl_task5[[SubPLOs]:[SubPLOs]],"&lt;8")+SUMIFS(tbl_task6[S80],tbl_task6[[SubPLOs]:[SubPLOs]],"&gt;=7",tbl_task6[[SubPLOs]:[SubPLOs]],"&lt;8")+SUMIFS(tbl_task7[S80],tbl_task7[[SubPLOs]:[SubPLOs]],"&gt;=7",tbl_task7[[SubPLOs]:[SubPLOs]],"&lt;8")+SUMIFS(tbl_task8[S80],tbl_task8[[SubPLOs]:[SubPLOs]],"&gt;=7",tbl_task8[[SubPLOs]:[SubPLOs]],"&lt;8")+SUMIFS(tbl_task9[S80],tbl_task9[[SubPLOs]:[SubPLOs]],"&gt;=7",tbl_task9[[SubPLOs]:[SubPLOs]],"&lt;8")+SUMIFS(tbl_task10[S80],tbl_task10[[SubPLOs]:[SubPLOs]],"&gt;=7",tbl_task10[[SubPLOs]:[SubPLOs]],"&lt;8")</f>
        <v>0</v>
      </c>
      <c r="CH186" s="41">
        <f>SUMIFS(tbl_task1[S81],tbl_task1[[SubPLOs]:[SubPLOs]],"&gt;=7",tbl_task1[[SubPLOs]:[SubPLOs]],"&lt;8")+SUMIFS(tbl_task2[S81],tbl_task2[[SubPLOs]:[SubPLOs]],"&gt;=7",tbl_task2[[SubPLOs]:[SubPLOs]],"&lt;8")+SUMIFS(tbl_task3[S81],tbl_task3[[SubPLOs]:[SubPLOs]],"&gt;=7",tbl_task3[[SubPLOs]:[SubPLOs]],"&lt;8")+SUMIFS(tbl_task4[S81],tbl_task4[[SubPLOs]:[SubPLOs]],"&gt;=7",tbl_task4[[SubPLOs]:[SubPLOs]],"&lt;8")+SUMIFS(tbl_task5[S81],tbl_task5[[SubPLOs]:[SubPLOs]],"&gt;=7",tbl_task5[[SubPLOs]:[SubPLOs]],"&lt;8")+SUMIFS(tbl_task6[S81],tbl_task6[[SubPLOs]:[SubPLOs]],"&gt;=7",tbl_task6[[SubPLOs]:[SubPLOs]],"&lt;8")+SUMIFS(tbl_task7[S81],tbl_task7[[SubPLOs]:[SubPLOs]],"&gt;=7",tbl_task7[[SubPLOs]:[SubPLOs]],"&lt;8")+SUMIFS(tbl_task8[S81],tbl_task8[[SubPLOs]:[SubPLOs]],"&gt;=7",tbl_task8[[SubPLOs]:[SubPLOs]],"&lt;8")+SUMIFS(tbl_task9[S81],tbl_task9[[SubPLOs]:[SubPLOs]],"&gt;=7",tbl_task9[[SubPLOs]:[SubPLOs]],"&lt;8")+SUMIFS(tbl_task10[S81],tbl_task10[[SubPLOs]:[SubPLOs]],"&gt;=7",tbl_task10[[SubPLOs]:[SubPLOs]],"&lt;8")</f>
        <v>0</v>
      </c>
      <c r="CI186" s="41">
        <f>SUMIFS(tbl_task1[S82],tbl_task1[[SubPLOs]:[SubPLOs]],"&gt;=7",tbl_task1[[SubPLOs]:[SubPLOs]],"&lt;8")+SUMIFS(tbl_task2[S82],tbl_task2[[SubPLOs]:[SubPLOs]],"&gt;=7",tbl_task2[[SubPLOs]:[SubPLOs]],"&lt;8")+SUMIFS(tbl_task3[S82],tbl_task3[[SubPLOs]:[SubPLOs]],"&gt;=7",tbl_task3[[SubPLOs]:[SubPLOs]],"&lt;8")+SUMIFS(tbl_task4[S82],tbl_task4[[SubPLOs]:[SubPLOs]],"&gt;=7",tbl_task4[[SubPLOs]:[SubPLOs]],"&lt;8")+SUMIFS(tbl_task5[S82],tbl_task5[[SubPLOs]:[SubPLOs]],"&gt;=7",tbl_task5[[SubPLOs]:[SubPLOs]],"&lt;8")+SUMIFS(tbl_task6[S82],tbl_task6[[SubPLOs]:[SubPLOs]],"&gt;=7",tbl_task6[[SubPLOs]:[SubPLOs]],"&lt;8")+SUMIFS(tbl_task7[S82],tbl_task7[[SubPLOs]:[SubPLOs]],"&gt;=7",tbl_task7[[SubPLOs]:[SubPLOs]],"&lt;8")+SUMIFS(tbl_task8[S82],tbl_task8[[SubPLOs]:[SubPLOs]],"&gt;=7",tbl_task8[[SubPLOs]:[SubPLOs]],"&lt;8")+SUMIFS(tbl_task9[S82],tbl_task9[[SubPLOs]:[SubPLOs]],"&gt;=7",tbl_task9[[SubPLOs]:[SubPLOs]],"&lt;8")+SUMIFS(tbl_task10[S82],tbl_task10[[SubPLOs]:[SubPLOs]],"&gt;=7",tbl_task10[[SubPLOs]:[SubPLOs]],"&lt;8")</f>
        <v>0</v>
      </c>
      <c r="CJ186" s="41">
        <f>SUMIFS(tbl_task1[S83],tbl_task1[[SubPLOs]:[SubPLOs]],"&gt;=7",tbl_task1[[SubPLOs]:[SubPLOs]],"&lt;8")+SUMIFS(tbl_task2[S83],tbl_task2[[SubPLOs]:[SubPLOs]],"&gt;=7",tbl_task2[[SubPLOs]:[SubPLOs]],"&lt;8")+SUMIFS(tbl_task3[S83],tbl_task3[[SubPLOs]:[SubPLOs]],"&gt;=7",tbl_task3[[SubPLOs]:[SubPLOs]],"&lt;8")+SUMIFS(tbl_task4[S83],tbl_task4[[SubPLOs]:[SubPLOs]],"&gt;=7",tbl_task4[[SubPLOs]:[SubPLOs]],"&lt;8")+SUMIFS(tbl_task5[S83],tbl_task5[[SubPLOs]:[SubPLOs]],"&gt;=7",tbl_task5[[SubPLOs]:[SubPLOs]],"&lt;8")+SUMIFS(tbl_task6[S83],tbl_task6[[SubPLOs]:[SubPLOs]],"&gt;=7",tbl_task6[[SubPLOs]:[SubPLOs]],"&lt;8")+SUMIFS(tbl_task7[S83],tbl_task7[[SubPLOs]:[SubPLOs]],"&gt;=7",tbl_task7[[SubPLOs]:[SubPLOs]],"&lt;8")+SUMIFS(tbl_task8[S83],tbl_task8[[SubPLOs]:[SubPLOs]],"&gt;=7",tbl_task8[[SubPLOs]:[SubPLOs]],"&lt;8")+SUMIFS(tbl_task9[S83],tbl_task9[[SubPLOs]:[SubPLOs]],"&gt;=7",tbl_task9[[SubPLOs]:[SubPLOs]],"&lt;8")+SUMIFS(tbl_task10[S83],tbl_task10[[SubPLOs]:[SubPLOs]],"&gt;=7",tbl_task10[[SubPLOs]:[SubPLOs]],"&lt;8")</f>
        <v>0</v>
      </c>
      <c r="CK186" s="41">
        <f>SUMIFS(tbl_task1[S84],tbl_task1[[SubPLOs]:[SubPLOs]],"&gt;=7",tbl_task1[[SubPLOs]:[SubPLOs]],"&lt;8")+SUMIFS(tbl_task2[S84],tbl_task2[[SubPLOs]:[SubPLOs]],"&gt;=7",tbl_task2[[SubPLOs]:[SubPLOs]],"&lt;8")+SUMIFS(tbl_task3[S84],tbl_task3[[SubPLOs]:[SubPLOs]],"&gt;=7",tbl_task3[[SubPLOs]:[SubPLOs]],"&lt;8")+SUMIFS(tbl_task4[S84],tbl_task4[[SubPLOs]:[SubPLOs]],"&gt;=7",tbl_task4[[SubPLOs]:[SubPLOs]],"&lt;8")+SUMIFS(tbl_task5[S84],tbl_task5[[SubPLOs]:[SubPLOs]],"&gt;=7",tbl_task5[[SubPLOs]:[SubPLOs]],"&lt;8")+SUMIFS(tbl_task6[S84],tbl_task6[[SubPLOs]:[SubPLOs]],"&gt;=7",tbl_task6[[SubPLOs]:[SubPLOs]],"&lt;8")+SUMIFS(tbl_task7[S84],tbl_task7[[SubPLOs]:[SubPLOs]],"&gt;=7",tbl_task7[[SubPLOs]:[SubPLOs]],"&lt;8")+SUMIFS(tbl_task8[S84],tbl_task8[[SubPLOs]:[SubPLOs]],"&gt;=7",tbl_task8[[SubPLOs]:[SubPLOs]],"&lt;8")+SUMIFS(tbl_task9[S84],tbl_task9[[SubPLOs]:[SubPLOs]],"&gt;=7",tbl_task9[[SubPLOs]:[SubPLOs]],"&lt;8")+SUMIFS(tbl_task10[S84],tbl_task10[[SubPLOs]:[SubPLOs]],"&gt;=7",tbl_task10[[SubPLOs]:[SubPLOs]],"&lt;8")</f>
        <v>0</v>
      </c>
      <c r="CL186" s="41">
        <f>SUMIFS(tbl_task1[S85],tbl_task1[[SubPLOs]:[SubPLOs]],"&gt;=7",tbl_task1[[SubPLOs]:[SubPLOs]],"&lt;8")+SUMIFS(tbl_task2[S85],tbl_task2[[SubPLOs]:[SubPLOs]],"&gt;=7",tbl_task2[[SubPLOs]:[SubPLOs]],"&lt;8")+SUMIFS(tbl_task3[S85],tbl_task3[[SubPLOs]:[SubPLOs]],"&gt;=7",tbl_task3[[SubPLOs]:[SubPLOs]],"&lt;8")+SUMIFS(tbl_task4[S85],tbl_task4[[SubPLOs]:[SubPLOs]],"&gt;=7",tbl_task4[[SubPLOs]:[SubPLOs]],"&lt;8")+SUMIFS(tbl_task5[S85],tbl_task5[[SubPLOs]:[SubPLOs]],"&gt;=7",tbl_task5[[SubPLOs]:[SubPLOs]],"&lt;8")+SUMIFS(tbl_task6[S85],tbl_task6[[SubPLOs]:[SubPLOs]],"&gt;=7",tbl_task6[[SubPLOs]:[SubPLOs]],"&lt;8")+SUMIFS(tbl_task7[S85],tbl_task7[[SubPLOs]:[SubPLOs]],"&gt;=7",tbl_task7[[SubPLOs]:[SubPLOs]],"&lt;8")+SUMIFS(tbl_task8[S85],tbl_task8[[SubPLOs]:[SubPLOs]],"&gt;=7",tbl_task8[[SubPLOs]:[SubPLOs]],"&lt;8")+SUMIFS(tbl_task9[S85],tbl_task9[[SubPLOs]:[SubPLOs]],"&gt;=7",tbl_task9[[SubPLOs]:[SubPLOs]],"&lt;8")+SUMIFS(tbl_task10[S85],tbl_task10[[SubPLOs]:[SubPLOs]],"&gt;=7",tbl_task10[[SubPLOs]:[SubPLOs]],"&lt;8")</f>
        <v>0</v>
      </c>
      <c r="CM186" s="41">
        <f>SUMIFS(tbl_task1[S86],tbl_task1[[SubPLOs]:[SubPLOs]],"&gt;=7",tbl_task1[[SubPLOs]:[SubPLOs]],"&lt;8")+SUMIFS(tbl_task2[S86],tbl_task2[[SubPLOs]:[SubPLOs]],"&gt;=7",tbl_task2[[SubPLOs]:[SubPLOs]],"&lt;8")+SUMIFS(tbl_task3[S86],tbl_task3[[SubPLOs]:[SubPLOs]],"&gt;=7",tbl_task3[[SubPLOs]:[SubPLOs]],"&lt;8")+SUMIFS(tbl_task4[S86],tbl_task4[[SubPLOs]:[SubPLOs]],"&gt;=7",tbl_task4[[SubPLOs]:[SubPLOs]],"&lt;8")+SUMIFS(tbl_task5[S86],tbl_task5[[SubPLOs]:[SubPLOs]],"&gt;=7",tbl_task5[[SubPLOs]:[SubPLOs]],"&lt;8")+SUMIFS(tbl_task6[S86],tbl_task6[[SubPLOs]:[SubPLOs]],"&gt;=7",tbl_task6[[SubPLOs]:[SubPLOs]],"&lt;8")+SUMIFS(tbl_task7[S86],tbl_task7[[SubPLOs]:[SubPLOs]],"&gt;=7",tbl_task7[[SubPLOs]:[SubPLOs]],"&lt;8")+SUMIFS(tbl_task8[S86],tbl_task8[[SubPLOs]:[SubPLOs]],"&gt;=7",tbl_task8[[SubPLOs]:[SubPLOs]],"&lt;8")+SUMIFS(tbl_task9[S86],tbl_task9[[SubPLOs]:[SubPLOs]],"&gt;=7",tbl_task9[[SubPLOs]:[SubPLOs]],"&lt;8")+SUMIFS(tbl_task10[S86],tbl_task10[[SubPLOs]:[SubPLOs]],"&gt;=7",tbl_task10[[SubPLOs]:[SubPLOs]],"&lt;8")</f>
        <v>0</v>
      </c>
      <c r="CN186" s="41">
        <f>SUMIFS(tbl_task1[S87],tbl_task1[[SubPLOs]:[SubPLOs]],"&gt;=7",tbl_task1[[SubPLOs]:[SubPLOs]],"&lt;8")+SUMIFS(tbl_task2[S87],tbl_task2[[SubPLOs]:[SubPLOs]],"&gt;=7",tbl_task2[[SubPLOs]:[SubPLOs]],"&lt;8")+SUMIFS(tbl_task3[S87],tbl_task3[[SubPLOs]:[SubPLOs]],"&gt;=7",tbl_task3[[SubPLOs]:[SubPLOs]],"&lt;8")+SUMIFS(tbl_task4[S87],tbl_task4[[SubPLOs]:[SubPLOs]],"&gt;=7",tbl_task4[[SubPLOs]:[SubPLOs]],"&lt;8")+SUMIFS(tbl_task5[S87],tbl_task5[[SubPLOs]:[SubPLOs]],"&gt;=7",tbl_task5[[SubPLOs]:[SubPLOs]],"&lt;8")+SUMIFS(tbl_task6[S87],tbl_task6[[SubPLOs]:[SubPLOs]],"&gt;=7",tbl_task6[[SubPLOs]:[SubPLOs]],"&lt;8")+SUMIFS(tbl_task7[S87],tbl_task7[[SubPLOs]:[SubPLOs]],"&gt;=7",tbl_task7[[SubPLOs]:[SubPLOs]],"&lt;8")+SUMIFS(tbl_task8[S87],tbl_task8[[SubPLOs]:[SubPLOs]],"&gt;=7",tbl_task8[[SubPLOs]:[SubPLOs]],"&lt;8")+SUMIFS(tbl_task9[S87],tbl_task9[[SubPLOs]:[SubPLOs]],"&gt;=7",tbl_task9[[SubPLOs]:[SubPLOs]],"&lt;8")+SUMIFS(tbl_task10[S87],tbl_task10[[SubPLOs]:[SubPLOs]],"&gt;=7",tbl_task10[[SubPLOs]:[SubPLOs]],"&lt;8")</f>
        <v>0</v>
      </c>
      <c r="CO186" s="41">
        <f>SUMIFS(tbl_task1[S88],tbl_task1[[SubPLOs]:[SubPLOs]],"&gt;=7",tbl_task1[[SubPLOs]:[SubPLOs]],"&lt;8")+SUMIFS(tbl_task2[S88],tbl_task2[[SubPLOs]:[SubPLOs]],"&gt;=7",tbl_task2[[SubPLOs]:[SubPLOs]],"&lt;8")+SUMIFS(tbl_task3[S88],tbl_task3[[SubPLOs]:[SubPLOs]],"&gt;=7",tbl_task3[[SubPLOs]:[SubPLOs]],"&lt;8")+SUMIFS(tbl_task4[S88],tbl_task4[[SubPLOs]:[SubPLOs]],"&gt;=7",tbl_task4[[SubPLOs]:[SubPLOs]],"&lt;8")+SUMIFS(tbl_task5[S88],tbl_task5[[SubPLOs]:[SubPLOs]],"&gt;=7",tbl_task5[[SubPLOs]:[SubPLOs]],"&lt;8")+SUMIFS(tbl_task6[S88],tbl_task6[[SubPLOs]:[SubPLOs]],"&gt;=7",tbl_task6[[SubPLOs]:[SubPLOs]],"&lt;8")+SUMIFS(tbl_task7[S88],tbl_task7[[SubPLOs]:[SubPLOs]],"&gt;=7",tbl_task7[[SubPLOs]:[SubPLOs]],"&lt;8")+SUMIFS(tbl_task8[S88],tbl_task8[[SubPLOs]:[SubPLOs]],"&gt;=7",tbl_task8[[SubPLOs]:[SubPLOs]],"&lt;8")+SUMIFS(tbl_task9[S88],tbl_task9[[SubPLOs]:[SubPLOs]],"&gt;=7",tbl_task9[[SubPLOs]:[SubPLOs]],"&lt;8")+SUMIFS(tbl_task10[S88],tbl_task10[[SubPLOs]:[SubPLOs]],"&gt;=7",tbl_task10[[SubPLOs]:[SubPLOs]],"&lt;8")</f>
        <v>0</v>
      </c>
      <c r="CP186" s="41">
        <f>SUMIFS(tbl_task1[S89],tbl_task1[[SubPLOs]:[SubPLOs]],"&gt;=7",tbl_task1[[SubPLOs]:[SubPLOs]],"&lt;8")+SUMIFS(tbl_task2[S89],tbl_task2[[SubPLOs]:[SubPLOs]],"&gt;=7",tbl_task2[[SubPLOs]:[SubPLOs]],"&lt;8")+SUMIFS(tbl_task3[S89],tbl_task3[[SubPLOs]:[SubPLOs]],"&gt;=7",tbl_task3[[SubPLOs]:[SubPLOs]],"&lt;8")+SUMIFS(tbl_task4[S89],tbl_task4[[SubPLOs]:[SubPLOs]],"&gt;=7",tbl_task4[[SubPLOs]:[SubPLOs]],"&lt;8")+SUMIFS(tbl_task5[S89],tbl_task5[[SubPLOs]:[SubPLOs]],"&gt;=7",tbl_task5[[SubPLOs]:[SubPLOs]],"&lt;8")+SUMIFS(tbl_task6[S89],tbl_task6[[SubPLOs]:[SubPLOs]],"&gt;=7",tbl_task6[[SubPLOs]:[SubPLOs]],"&lt;8")+SUMIFS(tbl_task7[S89],tbl_task7[[SubPLOs]:[SubPLOs]],"&gt;=7",tbl_task7[[SubPLOs]:[SubPLOs]],"&lt;8")+SUMIFS(tbl_task8[S89],tbl_task8[[SubPLOs]:[SubPLOs]],"&gt;=7",tbl_task8[[SubPLOs]:[SubPLOs]],"&lt;8")+SUMIFS(tbl_task9[S89],tbl_task9[[SubPLOs]:[SubPLOs]],"&gt;=7",tbl_task9[[SubPLOs]:[SubPLOs]],"&lt;8")+SUMIFS(tbl_task10[S89],tbl_task10[[SubPLOs]:[SubPLOs]],"&gt;=7",tbl_task10[[SubPLOs]:[SubPLOs]],"&lt;8")</f>
        <v>0</v>
      </c>
      <c r="CQ186" s="41">
        <f>SUMIFS(tbl_task1[S90],tbl_task1[[SubPLOs]:[SubPLOs]],"&gt;=7",tbl_task1[[SubPLOs]:[SubPLOs]],"&lt;8")+SUMIFS(tbl_task2[S90],tbl_task2[[SubPLOs]:[SubPLOs]],"&gt;=7",tbl_task2[[SubPLOs]:[SubPLOs]],"&lt;8")+SUMIFS(tbl_task3[S90],tbl_task3[[SubPLOs]:[SubPLOs]],"&gt;=7",tbl_task3[[SubPLOs]:[SubPLOs]],"&lt;8")+SUMIFS(tbl_task4[S90],tbl_task4[[SubPLOs]:[SubPLOs]],"&gt;=7",tbl_task4[[SubPLOs]:[SubPLOs]],"&lt;8")+SUMIFS(tbl_task5[S90],tbl_task5[[SubPLOs]:[SubPLOs]],"&gt;=7",tbl_task5[[SubPLOs]:[SubPLOs]],"&lt;8")+SUMIFS(tbl_task6[S90],tbl_task6[[SubPLOs]:[SubPLOs]],"&gt;=7",tbl_task6[[SubPLOs]:[SubPLOs]],"&lt;8")+SUMIFS(tbl_task7[S90],tbl_task7[[SubPLOs]:[SubPLOs]],"&gt;=7",tbl_task7[[SubPLOs]:[SubPLOs]],"&lt;8")+SUMIFS(tbl_task8[S90],tbl_task8[[SubPLOs]:[SubPLOs]],"&gt;=7",tbl_task8[[SubPLOs]:[SubPLOs]],"&lt;8")+SUMIFS(tbl_task9[S90],tbl_task9[[SubPLOs]:[SubPLOs]],"&gt;=7",tbl_task9[[SubPLOs]:[SubPLOs]],"&lt;8")+SUMIFS(tbl_task10[S90],tbl_task10[[SubPLOs]:[SubPLOs]],"&gt;=7",tbl_task10[[SubPLOs]:[SubPLOs]],"&lt;8")</f>
        <v>0</v>
      </c>
      <c r="CR186" s="41">
        <f>SUMIFS(tbl_task1[S91],tbl_task1[[SubPLOs]:[SubPLOs]],"&gt;=7",tbl_task1[[SubPLOs]:[SubPLOs]],"&lt;8")+SUMIFS(tbl_task2[S91],tbl_task2[[SubPLOs]:[SubPLOs]],"&gt;=7",tbl_task2[[SubPLOs]:[SubPLOs]],"&lt;8")+SUMIFS(tbl_task3[S91],tbl_task3[[SubPLOs]:[SubPLOs]],"&gt;=7",tbl_task3[[SubPLOs]:[SubPLOs]],"&lt;8")+SUMIFS(tbl_task4[S91],tbl_task4[[SubPLOs]:[SubPLOs]],"&gt;=7",tbl_task4[[SubPLOs]:[SubPLOs]],"&lt;8")+SUMIFS(tbl_task5[S91],tbl_task5[[SubPLOs]:[SubPLOs]],"&gt;=7",tbl_task5[[SubPLOs]:[SubPLOs]],"&lt;8")+SUMIFS(tbl_task6[S91],tbl_task6[[SubPLOs]:[SubPLOs]],"&gt;=7",tbl_task6[[SubPLOs]:[SubPLOs]],"&lt;8")+SUMIFS(tbl_task7[S91],tbl_task7[[SubPLOs]:[SubPLOs]],"&gt;=7",tbl_task7[[SubPLOs]:[SubPLOs]],"&lt;8")+SUMIFS(tbl_task8[S91],tbl_task8[[SubPLOs]:[SubPLOs]],"&gt;=7",tbl_task8[[SubPLOs]:[SubPLOs]],"&lt;8")+SUMIFS(tbl_task9[S91],tbl_task9[[SubPLOs]:[SubPLOs]],"&gt;=7",tbl_task9[[SubPLOs]:[SubPLOs]],"&lt;8")+SUMIFS(tbl_task10[S91],tbl_task10[[SubPLOs]:[SubPLOs]],"&gt;=7",tbl_task10[[SubPLOs]:[SubPLOs]],"&lt;8")</f>
        <v>0</v>
      </c>
      <c r="CS186" s="41">
        <f>SUMIFS(tbl_task1[S92],tbl_task1[[SubPLOs]:[SubPLOs]],"&gt;=7",tbl_task1[[SubPLOs]:[SubPLOs]],"&lt;8")+SUMIFS(tbl_task2[S92],tbl_task2[[SubPLOs]:[SubPLOs]],"&gt;=7",tbl_task2[[SubPLOs]:[SubPLOs]],"&lt;8")+SUMIFS(tbl_task3[S92],tbl_task3[[SubPLOs]:[SubPLOs]],"&gt;=7",tbl_task3[[SubPLOs]:[SubPLOs]],"&lt;8")+SUMIFS(tbl_task4[S92],tbl_task4[[SubPLOs]:[SubPLOs]],"&gt;=7",tbl_task4[[SubPLOs]:[SubPLOs]],"&lt;8")+SUMIFS(tbl_task5[S92],tbl_task5[[SubPLOs]:[SubPLOs]],"&gt;=7",tbl_task5[[SubPLOs]:[SubPLOs]],"&lt;8")+SUMIFS(tbl_task6[S92],tbl_task6[[SubPLOs]:[SubPLOs]],"&gt;=7",tbl_task6[[SubPLOs]:[SubPLOs]],"&lt;8")+SUMIFS(tbl_task7[S92],tbl_task7[[SubPLOs]:[SubPLOs]],"&gt;=7",tbl_task7[[SubPLOs]:[SubPLOs]],"&lt;8")+SUMIFS(tbl_task8[S92],tbl_task8[[SubPLOs]:[SubPLOs]],"&gt;=7",tbl_task8[[SubPLOs]:[SubPLOs]],"&lt;8")+SUMIFS(tbl_task9[S92],tbl_task9[[SubPLOs]:[SubPLOs]],"&gt;=7",tbl_task9[[SubPLOs]:[SubPLOs]],"&lt;8")+SUMIFS(tbl_task10[S92],tbl_task10[[SubPLOs]:[SubPLOs]],"&gt;=7",tbl_task10[[SubPLOs]:[SubPLOs]],"&lt;8")</f>
        <v>0</v>
      </c>
      <c r="CT186" s="41">
        <f>SUMIFS(tbl_task1[S93],tbl_task1[[SubPLOs]:[SubPLOs]],"&gt;=7",tbl_task1[[SubPLOs]:[SubPLOs]],"&lt;8")+SUMIFS(tbl_task2[S93],tbl_task2[[SubPLOs]:[SubPLOs]],"&gt;=7",tbl_task2[[SubPLOs]:[SubPLOs]],"&lt;8")+SUMIFS(tbl_task3[S93],tbl_task3[[SubPLOs]:[SubPLOs]],"&gt;=7",tbl_task3[[SubPLOs]:[SubPLOs]],"&lt;8")+SUMIFS(tbl_task4[S93],tbl_task4[[SubPLOs]:[SubPLOs]],"&gt;=7",tbl_task4[[SubPLOs]:[SubPLOs]],"&lt;8")+SUMIFS(tbl_task5[S93],tbl_task5[[SubPLOs]:[SubPLOs]],"&gt;=7",tbl_task5[[SubPLOs]:[SubPLOs]],"&lt;8")+SUMIFS(tbl_task6[S93],tbl_task6[[SubPLOs]:[SubPLOs]],"&gt;=7",tbl_task6[[SubPLOs]:[SubPLOs]],"&lt;8")+SUMIFS(tbl_task7[S93],tbl_task7[[SubPLOs]:[SubPLOs]],"&gt;=7",tbl_task7[[SubPLOs]:[SubPLOs]],"&lt;8")+SUMIFS(tbl_task8[S93],tbl_task8[[SubPLOs]:[SubPLOs]],"&gt;=7",tbl_task8[[SubPLOs]:[SubPLOs]],"&lt;8")+SUMIFS(tbl_task9[S93],tbl_task9[[SubPLOs]:[SubPLOs]],"&gt;=7",tbl_task9[[SubPLOs]:[SubPLOs]],"&lt;8")+SUMIFS(tbl_task10[S93],tbl_task10[[SubPLOs]:[SubPLOs]],"&gt;=7",tbl_task10[[SubPLOs]:[SubPLOs]],"&lt;8")</f>
        <v>0</v>
      </c>
      <c r="CU186" s="41">
        <f>SUMIFS(tbl_task1[S94],tbl_task1[[SubPLOs]:[SubPLOs]],"&gt;=7",tbl_task1[[SubPLOs]:[SubPLOs]],"&lt;8")+SUMIFS(tbl_task2[S94],tbl_task2[[SubPLOs]:[SubPLOs]],"&gt;=7",tbl_task2[[SubPLOs]:[SubPLOs]],"&lt;8")+SUMIFS(tbl_task3[S94],tbl_task3[[SubPLOs]:[SubPLOs]],"&gt;=7",tbl_task3[[SubPLOs]:[SubPLOs]],"&lt;8")+SUMIFS(tbl_task4[S94],tbl_task4[[SubPLOs]:[SubPLOs]],"&gt;=7",tbl_task4[[SubPLOs]:[SubPLOs]],"&lt;8")+SUMIFS(tbl_task5[S94],tbl_task5[[SubPLOs]:[SubPLOs]],"&gt;=7",tbl_task5[[SubPLOs]:[SubPLOs]],"&lt;8")+SUMIFS(tbl_task6[S94],tbl_task6[[SubPLOs]:[SubPLOs]],"&gt;=7",tbl_task6[[SubPLOs]:[SubPLOs]],"&lt;8")+SUMIFS(tbl_task7[S94],tbl_task7[[SubPLOs]:[SubPLOs]],"&gt;=7",tbl_task7[[SubPLOs]:[SubPLOs]],"&lt;8")+SUMIFS(tbl_task8[S94],tbl_task8[[SubPLOs]:[SubPLOs]],"&gt;=7",tbl_task8[[SubPLOs]:[SubPLOs]],"&lt;8")+SUMIFS(tbl_task9[S94],tbl_task9[[SubPLOs]:[SubPLOs]],"&gt;=7",tbl_task9[[SubPLOs]:[SubPLOs]],"&lt;8")+SUMIFS(tbl_task10[S94],tbl_task10[[SubPLOs]:[SubPLOs]],"&gt;=7",tbl_task10[[SubPLOs]:[SubPLOs]],"&lt;8")</f>
        <v>0</v>
      </c>
      <c r="CV186" s="41">
        <f>SUMIFS(tbl_task1[S95],tbl_task1[[SubPLOs]:[SubPLOs]],"&gt;=7",tbl_task1[[SubPLOs]:[SubPLOs]],"&lt;8")+SUMIFS(tbl_task2[S95],tbl_task2[[SubPLOs]:[SubPLOs]],"&gt;=7",tbl_task2[[SubPLOs]:[SubPLOs]],"&lt;8")+SUMIFS(tbl_task3[S95],tbl_task3[[SubPLOs]:[SubPLOs]],"&gt;=7",tbl_task3[[SubPLOs]:[SubPLOs]],"&lt;8")+SUMIFS(tbl_task4[S95],tbl_task4[[SubPLOs]:[SubPLOs]],"&gt;=7",tbl_task4[[SubPLOs]:[SubPLOs]],"&lt;8")+SUMIFS(tbl_task5[S95],tbl_task5[[SubPLOs]:[SubPLOs]],"&gt;=7",tbl_task5[[SubPLOs]:[SubPLOs]],"&lt;8")+SUMIFS(tbl_task6[S95],tbl_task6[[SubPLOs]:[SubPLOs]],"&gt;=7",tbl_task6[[SubPLOs]:[SubPLOs]],"&lt;8")+SUMIFS(tbl_task7[S95],tbl_task7[[SubPLOs]:[SubPLOs]],"&gt;=7",tbl_task7[[SubPLOs]:[SubPLOs]],"&lt;8")+SUMIFS(tbl_task8[S95],tbl_task8[[SubPLOs]:[SubPLOs]],"&gt;=7",tbl_task8[[SubPLOs]:[SubPLOs]],"&lt;8")+SUMIFS(tbl_task9[S95],tbl_task9[[SubPLOs]:[SubPLOs]],"&gt;=7",tbl_task9[[SubPLOs]:[SubPLOs]],"&lt;8")+SUMIFS(tbl_task10[S95],tbl_task10[[SubPLOs]:[SubPLOs]],"&gt;=7",tbl_task10[[SubPLOs]:[SubPLOs]],"&lt;8")</f>
        <v>0</v>
      </c>
      <c r="CW186" s="41">
        <f>SUMIFS(tbl_task1[S96],tbl_task1[[SubPLOs]:[SubPLOs]],"&gt;=7",tbl_task1[[SubPLOs]:[SubPLOs]],"&lt;8")+SUMIFS(tbl_task2[S96],tbl_task2[[SubPLOs]:[SubPLOs]],"&gt;=7",tbl_task2[[SubPLOs]:[SubPLOs]],"&lt;8")+SUMIFS(tbl_task3[S96],tbl_task3[[SubPLOs]:[SubPLOs]],"&gt;=7",tbl_task3[[SubPLOs]:[SubPLOs]],"&lt;8")+SUMIFS(tbl_task4[S96],tbl_task4[[SubPLOs]:[SubPLOs]],"&gt;=7",tbl_task4[[SubPLOs]:[SubPLOs]],"&lt;8")+SUMIFS(tbl_task5[S96],tbl_task5[[SubPLOs]:[SubPLOs]],"&gt;=7",tbl_task5[[SubPLOs]:[SubPLOs]],"&lt;8")+SUMIFS(tbl_task6[S96],tbl_task6[[SubPLOs]:[SubPLOs]],"&gt;=7",tbl_task6[[SubPLOs]:[SubPLOs]],"&lt;8")+SUMIFS(tbl_task7[S96],tbl_task7[[SubPLOs]:[SubPLOs]],"&gt;=7",tbl_task7[[SubPLOs]:[SubPLOs]],"&lt;8")+SUMIFS(tbl_task8[S96],tbl_task8[[SubPLOs]:[SubPLOs]],"&gt;=7",tbl_task8[[SubPLOs]:[SubPLOs]],"&lt;8")+SUMIFS(tbl_task9[S96],tbl_task9[[SubPLOs]:[SubPLOs]],"&gt;=7",tbl_task9[[SubPLOs]:[SubPLOs]],"&lt;8")+SUMIFS(tbl_task10[S96],tbl_task10[[SubPLOs]:[SubPLOs]],"&gt;=7",tbl_task10[[SubPLOs]:[SubPLOs]],"&lt;8")</f>
        <v>0</v>
      </c>
      <c r="CX186" s="41">
        <f>SUMIFS(tbl_task1[S97],tbl_task1[[SubPLOs]:[SubPLOs]],"&gt;=7",tbl_task1[[SubPLOs]:[SubPLOs]],"&lt;8")+SUMIFS(tbl_task2[S97],tbl_task2[[SubPLOs]:[SubPLOs]],"&gt;=7",tbl_task2[[SubPLOs]:[SubPLOs]],"&lt;8")+SUMIFS(tbl_task3[S97],tbl_task3[[SubPLOs]:[SubPLOs]],"&gt;=7",tbl_task3[[SubPLOs]:[SubPLOs]],"&lt;8")+SUMIFS(tbl_task4[S97],tbl_task4[[SubPLOs]:[SubPLOs]],"&gt;=7",tbl_task4[[SubPLOs]:[SubPLOs]],"&lt;8")+SUMIFS(tbl_task5[S97],tbl_task5[[SubPLOs]:[SubPLOs]],"&gt;=7",tbl_task5[[SubPLOs]:[SubPLOs]],"&lt;8")+SUMIFS(tbl_task6[S97],tbl_task6[[SubPLOs]:[SubPLOs]],"&gt;=7",tbl_task6[[SubPLOs]:[SubPLOs]],"&lt;8")+SUMIFS(tbl_task7[S97],tbl_task7[[SubPLOs]:[SubPLOs]],"&gt;=7",tbl_task7[[SubPLOs]:[SubPLOs]],"&lt;8")+SUMIFS(tbl_task8[S97],tbl_task8[[SubPLOs]:[SubPLOs]],"&gt;=7",tbl_task8[[SubPLOs]:[SubPLOs]],"&lt;8")+SUMIFS(tbl_task9[S97],tbl_task9[[SubPLOs]:[SubPLOs]],"&gt;=7",tbl_task9[[SubPLOs]:[SubPLOs]],"&lt;8")+SUMIFS(tbl_task10[S97],tbl_task10[[SubPLOs]:[SubPLOs]],"&gt;=7",tbl_task10[[SubPLOs]:[SubPLOs]],"&lt;8")</f>
        <v>0</v>
      </c>
      <c r="CY186" s="41">
        <f>SUMIFS(tbl_task1[S98],tbl_task1[[SubPLOs]:[SubPLOs]],"&gt;=7",tbl_task1[[SubPLOs]:[SubPLOs]],"&lt;8")+SUMIFS(tbl_task2[S98],tbl_task2[[SubPLOs]:[SubPLOs]],"&gt;=7",tbl_task2[[SubPLOs]:[SubPLOs]],"&lt;8")+SUMIFS(tbl_task3[S98],tbl_task3[[SubPLOs]:[SubPLOs]],"&gt;=7",tbl_task3[[SubPLOs]:[SubPLOs]],"&lt;8")+SUMIFS(tbl_task4[S98],tbl_task4[[SubPLOs]:[SubPLOs]],"&gt;=7",tbl_task4[[SubPLOs]:[SubPLOs]],"&lt;8")+SUMIFS(tbl_task5[S98],tbl_task5[[SubPLOs]:[SubPLOs]],"&gt;=7",tbl_task5[[SubPLOs]:[SubPLOs]],"&lt;8")+SUMIFS(tbl_task6[S98],tbl_task6[[SubPLOs]:[SubPLOs]],"&gt;=7",tbl_task6[[SubPLOs]:[SubPLOs]],"&lt;8")+SUMIFS(tbl_task7[S98],tbl_task7[[SubPLOs]:[SubPLOs]],"&gt;=7",tbl_task7[[SubPLOs]:[SubPLOs]],"&lt;8")+SUMIFS(tbl_task8[S98],tbl_task8[[SubPLOs]:[SubPLOs]],"&gt;=7",tbl_task8[[SubPLOs]:[SubPLOs]],"&lt;8")+SUMIFS(tbl_task9[S98],tbl_task9[[SubPLOs]:[SubPLOs]],"&gt;=7",tbl_task9[[SubPLOs]:[SubPLOs]],"&lt;8")+SUMIFS(tbl_task10[S98],tbl_task10[[SubPLOs]:[SubPLOs]],"&gt;=7",tbl_task10[[SubPLOs]:[SubPLOs]],"&lt;8")</f>
        <v>0</v>
      </c>
      <c r="CZ186" s="41">
        <f>SUMIFS(tbl_task1[S99],tbl_task1[[SubPLOs]:[SubPLOs]],"&gt;=7",tbl_task1[[SubPLOs]:[SubPLOs]],"&lt;8")+SUMIFS(tbl_task2[S99],tbl_task2[[SubPLOs]:[SubPLOs]],"&gt;=7",tbl_task2[[SubPLOs]:[SubPLOs]],"&lt;8")+SUMIFS(tbl_task3[S99],tbl_task3[[SubPLOs]:[SubPLOs]],"&gt;=7",tbl_task3[[SubPLOs]:[SubPLOs]],"&lt;8")+SUMIFS(tbl_task4[S99],tbl_task4[[SubPLOs]:[SubPLOs]],"&gt;=7",tbl_task4[[SubPLOs]:[SubPLOs]],"&lt;8")+SUMIFS(tbl_task5[S99],tbl_task5[[SubPLOs]:[SubPLOs]],"&gt;=7",tbl_task5[[SubPLOs]:[SubPLOs]],"&lt;8")+SUMIFS(tbl_task6[S99],tbl_task6[[SubPLOs]:[SubPLOs]],"&gt;=7",tbl_task6[[SubPLOs]:[SubPLOs]],"&lt;8")+SUMIFS(tbl_task7[S99],tbl_task7[[SubPLOs]:[SubPLOs]],"&gt;=7",tbl_task7[[SubPLOs]:[SubPLOs]],"&lt;8")+SUMIFS(tbl_task8[S99],tbl_task8[[SubPLOs]:[SubPLOs]],"&gt;=7",tbl_task8[[SubPLOs]:[SubPLOs]],"&lt;8")+SUMIFS(tbl_task9[S99],tbl_task9[[SubPLOs]:[SubPLOs]],"&gt;=7",tbl_task9[[SubPLOs]:[SubPLOs]],"&lt;8")+SUMIFS(tbl_task10[S99],tbl_task10[[SubPLOs]:[SubPLOs]],"&gt;=7",tbl_task10[[SubPLOs]:[SubPLOs]],"&lt;8")</f>
        <v>0</v>
      </c>
      <c r="DA186" s="41">
        <f>SUMIFS(tbl_task1[S100],tbl_task1[[SubPLOs]:[SubPLOs]],"&gt;=7",tbl_task1[[SubPLOs]:[SubPLOs]],"&lt;8")+SUMIFS(tbl_task2[S100],tbl_task2[[SubPLOs]:[SubPLOs]],"&gt;=7",tbl_task2[[SubPLOs]:[SubPLOs]],"&lt;8")+SUMIFS(tbl_task3[S100],tbl_task3[[SubPLOs]:[SubPLOs]],"&gt;=7",tbl_task3[[SubPLOs]:[SubPLOs]],"&lt;8")+SUMIFS(tbl_task4[S100],tbl_task4[[SubPLOs]:[SubPLOs]],"&gt;=7",tbl_task4[[SubPLOs]:[SubPLOs]],"&lt;8")+SUMIFS(tbl_task5[S100],tbl_task5[[SubPLOs]:[SubPLOs]],"&gt;=7",tbl_task5[[SubPLOs]:[SubPLOs]],"&lt;8")+SUMIFS(tbl_task6[S100],tbl_task6[[SubPLOs]:[SubPLOs]],"&gt;=7",tbl_task6[[SubPLOs]:[SubPLOs]],"&lt;8")+SUMIFS(tbl_task7[S100],tbl_task7[[SubPLOs]:[SubPLOs]],"&gt;=7",tbl_task7[[SubPLOs]:[SubPLOs]],"&lt;8")+SUMIFS(tbl_task8[S100],tbl_task8[[SubPLOs]:[SubPLOs]],"&gt;=7",tbl_task8[[SubPLOs]:[SubPLOs]],"&lt;8")+SUMIFS(tbl_task9[S100],tbl_task9[[SubPLOs]:[SubPLOs]],"&gt;=7",tbl_task9[[SubPLOs]:[SubPLOs]],"&lt;8")+SUMIFS(tbl_task10[S100],tbl_task10[[SubPLOs]:[SubPLOs]],"&gt;=7",tbl_task10[[SubPLOs]:[SubPLOs]],"&lt;8")</f>
        <v>0</v>
      </c>
      <c r="DB186" s="41">
        <f>SUMIFS(tbl_task1[S101],tbl_task1[[SubPLOs]:[SubPLOs]],"&gt;=7",tbl_task1[[SubPLOs]:[SubPLOs]],"&lt;8")+SUMIFS(tbl_task2[S101],tbl_task2[[SubPLOs]:[SubPLOs]],"&gt;=7",tbl_task2[[SubPLOs]:[SubPLOs]],"&lt;8")+SUMIFS(tbl_task3[S101],tbl_task3[[SubPLOs]:[SubPLOs]],"&gt;=7",tbl_task3[[SubPLOs]:[SubPLOs]],"&lt;8")+SUMIFS(tbl_task4[S101],tbl_task4[[SubPLOs]:[SubPLOs]],"&gt;=7",tbl_task4[[SubPLOs]:[SubPLOs]],"&lt;8")+SUMIFS(tbl_task5[S101],tbl_task5[[SubPLOs]:[SubPLOs]],"&gt;=7",tbl_task5[[SubPLOs]:[SubPLOs]],"&lt;8")+SUMIFS(tbl_task6[S101],tbl_task6[[SubPLOs]:[SubPLOs]],"&gt;=7",tbl_task6[[SubPLOs]:[SubPLOs]],"&lt;8")+SUMIFS(tbl_task7[S101],tbl_task7[[SubPLOs]:[SubPLOs]],"&gt;=7",tbl_task7[[SubPLOs]:[SubPLOs]],"&lt;8")+SUMIFS(tbl_task8[S101],tbl_task8[[SubPLOs]:[SubPLOs]],"&gt;=7",tbl_task8[[SubPLOs]:[SubPLOs]],"&lt;8")+SUMIFS(tbl_task9[S101],tbl_task9[[SubPLOs]:[SubPLOs]],"&gt;=7",tbl_task9[[SubPLOs]:[SubPLOs]],"&lt;8")+SUMIFS(tbl_task10[S101],tbl_task10[[SubPLOs]:[SubPLOs]],"&gt;=7",tbl_task10[[SubPLOs]:[SubPLOs]],"&lt;8")</f>
        <v>0</v>
      </c>
      <c r="DC186" s="41">
        <f>SUMIFS(tbl_task1[S102],tbl_task1[[SubPLOs]:[SubPLOs]],"&gt;=7",tbl_task1[[SubPLOs]:[SubPLOs]],"&lt;8")+SUMIFS(tbl_task2[S102],tbl_task2[[SubPLOs]:[SubPLOs]],"&gt;=7",tbl_task2[[SubPLOs]:[SubPLOs]],"&lt;8")+SUMIFS(tbl_task3[S102],tbl_task3[[SubPLOs]:[SubPLOs]],"&gt;=7",tbl_task3[[SubPLOs]:[SubPLOs]],"&lt;8")+SUMIFS(tbl_task4[S102],tbl_task4[[SubPLOs]:[SubPLOs]],"&gt;=7",tbl_task4[[SubPLOs]:[SubPLOs]],"&lt;8")+SUMIFS(tbl_task5[S102],tbl_task5[[SubPLOs]:[SubPLOs]],"&gt;=7",tbl_task5[[SubPLOs]:[SubPLOs]],"&lt;8")+SUMIFS(tbl_task6[S102],tbl_task6[[SubPLOs]:[SubPLOs]],"&gt;=7",tbl_task6[[SubPLOs]:[SubPLOs]],"&lt;8")+SUMIFS(tbl_task7[S102],tbl_task7[[SubPLOs]:[SubPLOs]],"&gt;=7",tbl_task7[[SubPLOs]:[SubPLOs]],"&lt;8")+SUMIFS(tbl_task8[S102],tbl_task8[[SubPLOs]:[SubPLOs]],"&gt;=7",tbl_task8[[SubPLOs]:[SubPLOs]],"&lt;8")+SUMIFS(tbl_task9[S102],tbl_task9[[SubPLOs]:[SubPLOs]],"&gt;=7",tbl_task9[[SubPLOs]:[SubPLOs]],"&lt;8")+SUMIFS(tbl_task10[S102],tbl_task10[[SubPLOs]:[SubPLOs]],"&gt;=7",tbl_task10[[SubPLOs]:[SubPLOs]],"&lt;8")</f>
        <v>0</v>
      </c>
      <c r="DD186" s="41">
        <f>SUMIFS(tbl_task1[S103],tbl_task1[[SubPLOs]:[SubPLOs]],"&gt;=7",tbl_task1[[SubPLOs]:[SubPLOs]],"&lt;8")+SUMIFS(tbl_task2[S103],tbl_task2[[SubPLOs]:[SubPLOs]],"&gt;=7",tbl_task2[[SubPLOs]:[SubPLOs]],"&lt;8")+SUMIFS(tbl_task3[S103],tbl_task3[[SubPLOs]:[SubPLOs]],"&gt;=7",tbl_task3[[SubPLOs]:[SubPLOs]],"&lt;8")+SUMIFS(tbl_task4[S103],tbl_task4[[SubPLOs]:[SubPLOs]],"&gt;=7",tbl_task4[[SubPLOs]:[SubPLOs]],"&lt;8")+SUMIFS(tbl_task5[S103],tbl_task5[[SubPLOs]:[SubPLOs]],"&gt;=7",tbl_task5[[SubPLOs]:[SubPLOs]],"&lt;8")+SUMIFS(tbl_task6[S103],tbl_task6[[SubPLOs]:[SubPLOs]],"&gt;=7",tbl_task6[[SubPLOs]:[SubPLOs]],"&lt;8")+SUMIFS(tbl_task7[S103],tbl_task7[[SubPLOs]:[SubPLOs]],"&gt;=7",tbl_task7[[SubPLOs]:[SubPLOs]],"&lt;8")+SUMIFS(tbl_task8[S103],tbl_task8[[SubPLOs]:[SubPLOs]],"&gt;=7",tbl_task8[[SubPLOs]:[SubPLOs]],"&lt;8")+SUMIFS(tbl_task9[S103],tbl_task9[[SubPLOs]:[SubPLOs]],"&gt;=7",tbl_task9[[SubPLOs]:[SubPLOs]],"&lt;8")+SUMIFS(tbl_task10[S103],tbl_task10[[SubPLOs]:[SubPLOs]],"&gt;=7",tbl_task10[[SubPLOs]:[SubPLOs]],"&lt;8")</f>
        <v>0</v>
      </c>
      <c r="DE186" s="41">
        <f>SUMIFS(tbl_task1[S104],tbl_task1[[SubPLOs]:[SubPLOs]],"&gt;=7",tbl_task1[[SubPLOs]:[SubPLOs]],"&lt;8")+SUMIFS(tbl_task2[S104],tbl_task2[[SubPLOs]:[SubPLOs]],"&gt;=7",tbl_task2[[SubPLOs]:[SubPLOs]],"&lt;8")+SUMIFS(tbl_task3[S104],tbl_task3[[SubPLOs]:[SubPLOs]],"&gt;=7",tbl_task3[[SubPLOs]:[SubPLOs]],"&lt;8")+SUMIFS(tbl_task4[S104],tbl_task4[[SubPLOs]:[SubPLOs]],"&gt;=7",tbl_task4[[SubPLOs]:[SubPLOs]],"&lt;8")+SUMIFS(tbl_task5[S104],tbl_task5[[SubPLOs]:[SubPLOs]],"&gt;=7",tbl_task5[[SubPLOs]:[SubPLOs]],"&lt;8")+SUMIFS(tbl_task6[S104],tbl_task6[[SubPLOs]:[SubPLOs]],"&gt;=7",tbl_task6[[SubPLOs]:[SubPLOs]],"&lt;8")+SUMIFS(tbl_task7[S104],tbl_task7[[SubPLOs]:[SubPLOs]],"&gt;=7",tbl_task7[[SubPLOs]:[SubPLOs]],"&lt;8")+SUMIFS(tbl_task8[S104],tbl_task8[[SubPLOs]:[SubPLOs]],"&gt;=7",tbl_task8[[SubPLOs]:[SubPLOs]],"&lt;8")+SUMIFS(tbl_task9[S104],tbl_task9[[SubPLOs]:[SubPLOs]],"&gt;=7",tbl_task9[[SubPLOs]:[SubPLOs]],"&lt;8")+SUMIFS(tbl_task10[S104],tbl_task10[[SubPLOs]:[SubPLOs]],"&gt;=7",tbl_task10[[SubPLOs]:[SubPLOs]],"&lt;8")</f>
        <v>0</v>
      </c>
      <c r="DF186" s="41">
        <f>SUMIFS(tbl_task1[S105],tbl_task1[[SubPLOs]:[SubPLOs]],"&gt;=7",tbl_task1[[SubPLOs]:[SubPLOs]],"&lt;8")+SUMIFS(tbl_task2[S105],tbl_task2[[SubPLOs]:[SubPLOs]],"&gt;=7",tbl_task2[[SubPLOs]:[SubPLOs]],"&lt;8")+SUMIFS(tbl_task3[S105],tbl_task3[[SubPLOs]:[SubPLOs]],"&gt;=7",tbl_task3[[SubPLOs]:[SubPLOs]],"&lt;8")+SUMIFS(tbl_task4[S105],tbl_task4[[SubPLOs]:[SubPLOs]],"&gt;=7",tbl_task4[[SubPLOs]:[SubPLOs]],"&lt;8")+SUMIFS(tbl_task5[S105],tbl_task5[[SubPLOs]:[SubPLOs]],"&gt;=7",tbl_task5[[SubPLOs]:[SubPLOs]],"&lt;8")+SUMIFS(tbl_task6[S105],tbl_task6[[SubPLOs]:[SubPLOs]],"&gt;=7",tbl_task6[[SubPLOs]:[SubPLOs]],"&lt;8")+SUMIFS(tbl_task7[S105],tbl_task7[[SubPLOs]:[SubPLOs]],"&gt;=7",tbl_task7[[SubPLOs]:[SubPLOs]],"&lt;8")+SUMIFS(tbl_task8[S105],tbl_task8[[SubPLOs]:[SubPLOs]],"&gt;=7",tbl_task8[[SubPLOs]:[SubPLOs]],"&lt;8")+SUMIFS(tbl_task9[S105],tbl_task9[[SubPLOs]:[SubPLOs]],"&gt;=7",tbl_task9[[SubPLOs]:[SubPLOs]],"&lt;8")+SUMIFS(tbl_task10[S105],tbl_task10[[SubPLOs]:[SubPLOs]],"&gt;=7",tbl_task10[[SubPLOs]:[SubPLOs]],"&lt;8")</f>
        <v>0</v>
      </c>
      <c r="DG186" s="41">
        <f>SUMIFS(tbl_task1[S106],tbl_task1[[SubPLOs]:[SubPLOs]],"&gt;=7",tbl_task1[[SubPLOs]:[SubPLOs]],"&lt;8")+SUMIFS(tbl_task2[S106],tbl_task2[[SubPLOs]:[SubPLOs]],"&gt;=7",tbl_task2[[SubPLOs]:[SubPLOs]],"&lt;8")+SUMIFS(tbl_task3[S106],tbl_task3[[SubPLOs]:[SubPLOs]],"&gt;=7",tbl_task3[[SubPLOs]:[SubPLOs]],"&lt;8")+SUMIFS(tbl_task4[S106],tbl_task4[[SubPLOs]:[SubPLOs]],"&gt;=7",tbl_task4[[SubPLOs]:[SubPLOs]],"&lt;8")+SUMIFS(tbl_task5[S106],tbl_task5[[SubPLOs]:[SubPLOs]],"&gt;=7",tbl_task5[[SubPLOs]:[SubPLOs]],"&lt;8")+SUMIFS(tbl_task6[S106],tbl_task6[[SubPLOs]:[SubPLOs]],"&gt;=7",tbl_task6[[SubPLOs]:[SubPLOs]],"&lt;8")+SUMIFS(tbl_task7[S106],tbl_task7[[SubPLOs]:[SubPLOs]],"&gt;=7",tbl_task7[[SubPLOs]:[SubPLOs]],"&lt;8")+SUMIFS(tbl_task8[S106],tbl_task8[[SubPLOs]:[SubPLOs]],"&gt;=7",tbl_task8[[SubPLOs]:[SubPLOs]],"&lt;8")+SUMIFS(tbl_task9[S106],tbl_task9[[SubPLOs]:[SubPLOs]],"&gt;=7",tbl_task9[[SubPLOs]:[SubPLOs]],"&lt;8")+SUMIFS(tbl_task10[S106],tbl_task10[[SubPLOs]:[SubPLOs]],"&gt;=7",tbl_task10[[SubPLOs]:[SubPLOs]],"&lt;8")</f>
        <v>0</v>
      </c>
      <c r="DH186" s="41">
        <f>SUMIFS(tbl_task1[S107],tbl_task1[[SubPLOs]:[SubPLOs]],"&gt;=7",tbl_task1[[SubPLOs]:[SubPLOs]],"&lt;8")+SUMIFS(tbl_task2[S107],tbl_task2[[SubPLOs]:[SubPLOs]],"&gt;=7",tbl_task2[[SubPLOs]:[SubPLOs]],"&lt;8")+SUMIFS(tbl_task3[S107],tbl_task3[[SubPLOs]:[SubPLOs]],"&gt;=7",tbl_task3[[SubPLOs]:[SubPLOs]],"&lt;8")+SUMIFS(tbl_task4[S107],tbl_task4[[SubPLOs]:[SubPLOs]],"&gt;=7",tbl_task4[[SubPLOs]:[SubPLOs]],"&lt;8")+SUMIFS(tbl_task5[S107],tbl_task5[[SubPLOs]:[SubPLOs]],"&gt;=7",tbl_task5[[SubPLOs]:[SubPLOs]],"&lt;8")+SUMIFS(tbl_task6[S107],tbl_task6[[SubPLOs]:[SubPLOs]],"&gt;=7",tbl_task6[[SubPLOs]:[SubPLOs]],"&lt;8")+SUMIFS(tbl_task7[S107],tbl_task7[[SubPLOs]:[SubPLOs]],"&gt;=7",tbl_task7[[SubPLOs]:[SubPLOs]],"&lt;8")+SUMIFS(tbl_task8[S107],tbl_task8[[SubPLOs]:[SubPLOs]],"&gt;=7",tbl_task8[[SubPLOs]:[SubPLOs]],"&lt;8")+SUMIFS(tbl_task9[S107],tbl_task9[[SubPLOs]:[SubPLOs]],"&gt;=7",tbl_task9[[SubPLOs]:[SubPLOs]],"&lt;8")+SUMIFS(tbl_task10[S107],tbl_task10[[SubPLOs]:[SubPLOs]],"&gt;=7",tbl_task10[[SubPLOs]:[SubPLOs]],"&lt;8")</f>
        <v>0</v>
      </c>
      <c r="DI186" s="41">
        <f>SUMIFS(tbl_task1[S108],tbl_task1[[SubPLOs]:[SubPLOs]],"&gt;=7",tbl_task1[[SubPLOs]:[SubPLOs]],"&lt;8")+SUMIFS(tbl_task2[S108],tbl_task2[[SubPLOs]:[SubPLOs]],"&gt;=7",tbl_task2[[SubPLOs]:[SubPLOs]],"&lt;8")+SUMIFS(tbl_task3[S108],tbl_task3[[SubPLOs]:[SubPLOs]],"&gt;=7",tbl_task3[[SubPLOs]:[SubPLOs]],"&lt;8")+SUMIFS(tbl_task4[S108],tbl_task4[[SubPLOs]:[SubPLOs]],"&gt;=7",tbl_task4[[SubPLOs]:[SubPLOs]],"&lt;8")+SUMIFS(tbl_task5[S108],tbl_task5[[SubPLOs]:[SubPLOs]],"&gt;=7",tbl_task5[[SubPLOs]:[SubPLOs]],"&lt;8")+SUMIFS(tbl_task6[S108],tbl_task6[[SubPLOs]:[SubPLOs]],"&gt;=7",tbl_task6[[SubPLOs]:[SubPLOs]],"&lt;8")+SUMIFS(tbl_task7[S108],tbl_task7[[SubPLOs]:[SubPLOs]],"&gt;=7",tbl_task7[[SubPLOs]:[SubPLOs]],"&lt;8")+SUMIFS(tbl_task8[S108],tbl_task8[[SubPLOs]:[SubPLOs]],"&gt;=7",tbl_task8[[SubPLOs]:[SubPLOs]],"&lt;8")+SUMIFS(tbl_task9[S108],tbl_task9[[SubPLOs]:[SubPLOs]],"&gt;=7",tbl_task9[[SubPLOs]:[SubPLOs]],"&lt;8")+SUMIFS(tbl_task10[S108],tbl_task10[[SubPLOs]:[SubPLOs]],"&gt;=7",tbl_task10[[SubPLOs]:[SubPLOs]],"&lt;8")</f>
        <v>0</v>
      </c>
      <c r="DJ186" s="41">
        <f>SUMIFS(tbl_task1[S109],tbl_task1[[SubPLOs]:[SubPLOs]],"&gt;=7",tbl_task1[[SubPLOs]:[SubPLOs]],"&lt;8")+SUMIFS(tbl_task2[S109],tbl_task2[[SubPLOs]:[SubPLOs]],"&gt;=7",tbl_task2[[SubPLOs]:[SubPLOs]],"&lt;8")+SUMIFS(tbl_task3[S109],tbl_task3[[SubPLOs]:[SubPLOs]],"&gt;=7",tbl_task3[[SubPLOs]:[SubPLOs]],"&lt;8")+SUMIFS(tbl_task4[S109],tbl_task4[[SubPLOs]:[SubPLOs]],"&gt;=7",tbl_task4[[SubPLOs]:[SubPLOs]],"&lt;8")+SUMIFS(tbl_task5[S109],tbl_task5[[SubPLOs]:[SubPLOs]],"&gt;=7",tbl_task5[[SubPLOs]:[SubPLOs]],"&lt;8")+SUMIFS(tbl_task6[S109],tbl_task6[[SubPLOs]:[SubPLOs]],"&gt;=7",tbl_task6[[SubPLOs]:[SubPLOs]],"&lt;8")+SUMIFS(tbl_task7[S109],tbl_task7[[SubPLOs]:[SubPLOs]],"&gt;=7",tbl_task7[[SubPLOs]:[SubPLOs]],"&lt;8")+SUMIFS(tbl_task8[S109],tbl_task8[[SubPLOs]:[SubPLOs]],"&gt;=7",tbl_task8[[SubPLOs]:[SubPLOs]],"&lt;8")+SUMIFS(tbl_task9[S109],tbl_task9[[SubPLOs]:[SubPLOs]],"&gt;=7",tbl_task9[[SubPLOs]:[SubPLOs]],"&lt;8")+SUMIFS(tbl_task10[S109],tbl_task10[[SubPLOs]:[SubPLOs]],"&gt;=7",tbl_task10[[SubPLOs]:[SubPLOs]],"&lt;8")</f>
        <v>0</v>
      </c>
      <c r="DK186" s="41">
        <f>SUMIFS(tbl_task1[S110],tbl_task1[[SubPLOs]:[SubPLOs]],"&gt;=7",tbl_task1[[SubPLOs]:[SubPLOs]],"&lt;8")+SUMIFS(tbl_task2[S110],tbl_task2[[SubPLOs]:[SubPLOs]],"&gt;=7",tbl_task2[[SubPLOs]:[SubPLOs]],"&lt;8")+SUMIFS(tbl_task3[S110],tbl_task3[[SubPLOs]:[SubPLOs]],"&gt;=7",tbl_task3[[SubPLOs]:[SubPLOs]],"&lt;8")+SUMIFS(tbl_task4[S110],tbl_task4[[SubPLOs]:[SubPLOs]],"&gt;=7",tbl_task4[[SubPLOs]:[SubPLOs]],"&lt;8")+SUMIFS(tbl_task5[S110],tbl_task5[[SubPLOs]:[SubPLOs]],"&gt;=7",tbl_task5[[SubPLOs]:[SubPLOs]],"&lt;8")+SUMIFS(tbl_task6[S110],tbl_task6[[SubPLOs]:[SubPLOs]],"&gt;=7",tbl_task6[[SubPLOs]:[SubPLOs]],"&lt;8")+SUMIFS(tbl_task7[S110],tbl_task7[[SubPLOs]:[SubPLOs]],"&gt;=7",tbl_task7[[SubPLOs]:[SubPLOs]],"&lt;8")+SUMIFS(tbl_task8[S110],tbl_task8[[SubPLOs]:[SubPLOs]],"&gt;=7",tbl_task8[[SubPLOs]:[SubPLOs]],"&lt;8")+SUMIFS(tbl_task9[S110],tbl_task9[[SubPLOs]:[SubPLOs]],"&gt;=7",tbl_task9[[SubPLOs]:[SubPLOs]],"&lt;8")+SUMIFS(tbl_task10[S110],tbl_task10[[SubPLOs]:[SubPLOs]],"&gt;=7",tbl_task10[[SubPLOs]:[SubPLOs]],"&lt;8")</f>
        <v>0</v>
      </c>
      <c r="DL186" s="41">
        <f>SUMIFS(tbl_task1[S111],tbl_task1[[SubPLOs]:[SubPLOs]],"&gt;=7",tbl_task1[[SubPLOs]:[SubPLOs]],"&lt;8")+SUMIFS(tbl_task2[S111],tbl_task2[[SubPLOs]:[SubPLOs]],"&gt;=7",tbl_task2[[SubPLOs]:[SubPLOs]],"&lt;8")+SUMIFS(tbl_task3[S111],tbl_task3[[SubPLOs]:[SubPLOs]],"&gt;=7",tbl_task3[[SubPLOs]:[SubPLOs]],"&lt;8")+SUMIFS(tbl_task4[S111],tbl_task4[[SubPLOs]:[SubPLOs]],"&gt;=7",tbl_task4[[SubPLOs]:[SubPLOs]],"&lt;8")+SUMIFS(tbl_task5[S111],tbl_task5[[SubPLOs]:[SubPLOs]],"&gt;=7",tbl_task5[[SubPLOs]:[SubPLOs]],"&lt;8")+SUMIFS(tbl_task6[S111],tbl_task6[[SubPLOs]:[SubPLOs]],"&gt;=7",tbl_task6[[SubPLOs]:[SubPLOs]],"&lt;8")+SUMIFS(tbl_task7[S111],tbl_task7[[SubPLOs]:[SubPLOs]],"&gt;=7",tbl_task7[[SubPLOs]:[SubPLOs]],"&lt;8")+SUMIFS(tbl_task8[S111],tbl_task8[[SubPLOs]:[SubPLOs]],"&gt;=7",tbl_task8[[SubPLOs]:[SubPLOs]],"&lt;8")+SUMIFS(tbl_task9[S111],tbl_task9[[SubPLOs]:[SubPLOs]],"&gt;=7",tbl_task9[[SubPLOs]:[SubPLOs]],"&lt;8")+SUMIFS(tbl_task10[S111],tbl_task10[[SubPLOs]:[SubPLOs]],"&gt;=7",tbl_task10[[SubPLOs]:[SubPLOs]],"&lt;8")</f>
        <v>0</v>
      </c>
      <c r="DM186" s="41">
        <f>SUMIFS(tbl_task1[S112],tbl_task1[[SubPLOs]:[SubPLOs]],"&gt;=7",tbl_task1[[SubPLOs]:[SubPLOs]],"&lt;8")+SUMIFS(tbl_task2[S112],tbl_task2[[SubPLOs]:[SubPLOs]],"&gt;=7",tbl_task2[[SubPLOs]:[SubPLOs]],"&lt;8")+SUMIFS(tbl_task3[S112],tbl_task3[[SubPLOs]:[SubPLOs]],"&gt;=7",tbl_task3[[SubPLOs]:[SubPLOs]],"&lt;8")+SUMIFS(tbl_task4[S112],tbl_task4[[SubPLOs]:[SubPLOs]],"&gt;=7",tbl_task4[[SubPLOs]:[SubPLOs]],"&lt;8")+SUMIFS(tbl_task5[S112],tbl_task5[[SubPLOs]:[SubPLOs]],"&gt;=7",tbl_task5[[SubPLOs]:[SubPLOs]],"&lt;8")+SUMIFS(tbl_task6[S112],tbl_task6[[SubPLOs]:[SubPLOs]],"&gt;=7",tbl_task6[[SubPLOs]:[SubPLOs]],"&lt;8")+SUMIFS(tbl_task7[S112],tbl_task7[[SubPLOs]:[SubPLOs]],"&gt;=7",tbl_task7[[SubPLOs]:[SubPLOs]],"&lt;8")+SUMIFS(tbl_task8[S112],tbl_task8[[SubPLOs]:[SubPLOs]],"&gt;=7",tbl_task8[[SubPLOs]:[SubPLOs]],"&lt;8")+SUMIFS(tbl_task9[S112],tbl_task9[[SubPLOs]:[SubPLOs]],"&gt;=7",tbl_task9[[SubPLOs]:[SubPLOs]],"&lt;8")+SUMIFS(tbl_task10[S112],tbl_task10[[SubPLOs]:[SubPLOs]],"&gt;=7",tbl_task10[[SubPLOs]:[SubPLOs]],"&lt;8")</f>
        <v>0</v>
      </c>
      <c r="DN186" s="41">
        <f>SUMIFS(tbl_task1[S113],tbl_task1[[SubPLOs]:[SubPLOs]],"&gt;=7",tbl_task1[[SubPLOs]:[SubPLOs]],"&lt;8")+SUMIFS(tbl_task2[S113],tbl_task2[[SubPLOs]:[SubPLOs]],"&gt;=7",tbl_task2[[SubPLOs]:[SubPLOs]],"&lt;8")+SUMIFS(tbl_task3[S113],tbl_task3[[SubPLOs]:[SubPLOs]],"&gt;=7",tbl_task3[[SubPLOs]:[SubPLOs]],"&lt;8")+SUMIFS(tbl_task4[S113],tbl_task4[[SubPLOs]:[SubPLOs]],"&gt;=7",tbl_task4[[SubPLOs]:[SubPLOs]],"&lt;8")+SUMIFS(tbl_task5[S113],tbl_task5[[SubPLOs]:[SubPLOs]],"&gt;=7",tbl_task5[[SubPLOs]:[SubPLOs]],"&lt;8")+SUMIFS(tbl_task6[S113],tbl_task6[[SubPLOs]:[SubPLOs]],"&gt;=7",tbl_task6[[SubPLOs]:[SubPLOs]],"&lt;8")+SUMIFS(tbl_task7[S113],tbl_task7[[SubPLOs]:[SubPLOs]],"&gt;=7",tbl_task7[[SubPLOs]:[SubPLOs]],"&lt;8")+SUMIFS(tbl_task8[S113],tbl_task8[[SubPLOs]:[SubPLOs]],"&gt;=7",tbl_task8[[SubPLOs]:[SubPLOs]],"&lt;8")+SUMIFS(tbl_task9[S113],tbl_task9[[SubPLOs]:[SubPLOs]],"&gt;=7",tbl_task9[[SubPLOs]:[SubPLOs]],"&lt;8")+SUMIFS(tbl_task10[S113],tbl_task10[[SubPLOs]:[SubPLOs]],"&gt;=7",tbl_task10[[SubPLOs]:[SubPLOs]],"&lt;8")</f>
        <v>0</v>
      </c>
      <c r="DO186" s="41">
        <f>SUMIFS(tbl_task1[S114],tbl_task1[[SubPLOs]:[SubPLOs]],"&gt;=7",tbl_task1[[SubPLOs]:[SubPLOs]],"&lt;8")+SUMIFS(tbl_task2[S114],tbl_task2[[SubPLOs]:[SubPLOs]],"&gt;=7",tbl_task2[[SubPLOs]:[SubPLOs]],"&lt;8")+SUMIFS(tbl_task3[S114],tbl_task3[[SubPLOs]:[SubPLOs]],"&gt;=7",tbl_task3[[SubPLOs]:[SubPLOs]],"&lt;8")+SUMIFS(tbl_task4[S114],tbl_task4[[SubPLOs]:[SubPLOs]],"&gt;=7",tbl_task4[[SubPLOs]:[SubPLOs]],"&lt;8")+SUMIFS(tbl_task5[S114],tbl_task5[[SubPLOs]:[SubPLOs]],"&gt;=7",tbl_task5[[SubPLOs]:[SubPLOs]],"&lt;8")+SUMIFS(tbl_task6[S114],tbl_task6[[SubPLOs]:[SubPLOs]],"&gt;=7",tbl_task6[[SubPLOs]:[SubPLOs]],"&lt;8")+SUMIFS(tbl_task7[S114],tbl_task7[[SubPLOs]:[SubPLOs]],"&gt;=7",tbl_task7[[SubPLOs]:[SubPLOs]],"&lt;8")+SUMIFS(tbl_task8[S114],tbl_task8[[SubPLOs]:[SubPLOs]],"&gt;=7",tbl_task8[[SubPLOs]:[SubPLOs]],"&lt;8")+SUMIFS(tbl_task9[S114],tbl_task9[[SubPLOs]:[SubPLOs]],"&gt;=7",tbl_task9[[SubPLOs]:[SubPLOs]],"&lt;8")+SUMIFS(tbl_task10[S114],tbl_task10[[SubPLOs]:[SubPLOs]],"&gt;=7",tbl_task10[[SubPLOs]:[SubPLOs]],"&lt;8")</f>
        <v>0</v>
      </c>
      <c r="DP186" s="41">
        <f>SUMIFS(tbl_task1[S115],tbl_task1[[SubPLOs]:[SubPLOs]],"&gt;=7",tbl_task1[[SubPLOs]:[SubPLOs]],"&lt;8")+SUMIFS(tbl_task2[S115],tbl_task2[[SubPLOs]:[SubPLOs]],"&gt;=7",tbl_task2[[SubPLOs]:[SubPLOs]],"&lt;8")+SUMIFS(tbl_task3[S115],tbl_task3[[SubPLOs]:[SubPLOs]],"&gt;=7",tbl_task3[[SubPLOs]:[SubPLOs]],"&lt;8")+SUMIFS(tbl_task4[S115],tbl_task4[[SubPLOs]:[SubPLOs]],"&gt;=7",tbl_task4[[SubPLOs]:[SubPLOs]],"&lt;8")+SUMIFS(tbl_task5[S115],tbl_task5[[SubPLOs]:[SubPLOs]],"&gt;=7",tbl_task5[[SubPLOs]:[SubPLOs]],"&lt;8")+SUMIFS(tbl_task6[S115],tbl_task6[[SubPLOs]:[SubPLOs]],"&gt;=7",tbl_task6[[SubPLOs]:[SubPLOs]],"&lt;8")+SUMIFS(tbl_task7[S115],tbl_task7[[SubPLOs]:[SubPLOs]],"&gt;=7",tbl_task7[[SubPLOs]:[SubPLOs]],"&lt;8")+SUMIFS(tbl_task8[S115],tbl_task8[[SubPLOs]:[SubPLOs]],"&gt;=7",tbl_task8[[SubPLOs]:[SubPLOs]],"&lt;8")+SUMIFS(tbl_task9[S115],tbl_task9[[SubPLOs]:[SubPLOs]],"&gt;=7",tbl_task9[[SubPLOs]:[SubPLOs]],"&lt;8")+SUMIFS(tbl_task10[S115],tbl_task10[[SubPLOs]:[SubPLOs]],"&gt;=7",tbl_task10[[SubPLOs]:[SubPLOs]],"&lt;8")</f>
        <v>0</v>
      </c>
      <c r="DQ186" s="41">
        <f>SUMIFS(tbl_task1[S116],tbl_task1[[SubPLOs]:[SubPLOs]],"&gt;=7",tbl_task1[[SubPLOs]:[SubPLOs]],"&lt;8")+SUMIFS(tbl_task2[S116],tbl_task2[[SubPLOs]:[SubPLOs]],"&gt;=7",tbl_task2[[SubPLOs]:[SubPLOs]],"&lt;8")+SUMIFS(tbl_task3[S116],tbl_task3[[SubPLOs]:[SubPLOs]],"&gt;=7",tbl_task3[[SubPLOs]:[SubPLOs]],"&lt;8")+SUMIFS(tbl_task4[S116],tbl_task4[[SubPLOs]:[SubPLOs]],"&gt;=7",tbl_task4[[SubPLOs]:[SubPLOs]],"&lt;8")+SUMIFS(tbl_task5[S116],tbl_task5[[SubPLOs]:[SubPLOs]],"&gt;=7",tbl_task5[[SubPLOs]:[SubPLOs]],"&lt;8")+SUMIFS(tbl_task6[S116],tbl_task6[[SubPLOs]:[SubPLOs]],"&gt;=7",tbl_task6[[SubPLOs]:[SubPLOs]],"&lt;8")+SUMIFS(tbl_task7[S116],tbl_task7[[SubPLOs]:[SubPLOs]],"&gt;=7",tbl_task7[[SubPLOs]:[SubPLOs]],"&lt;8")+SUMIFS(tbl_task8[S116],tbl_task8[[SubPLOs]:[SubPLOs]],"&gt;=7",tbl_task8[[SubPLOs]:[SubPLOs]],"&lt;8")+SUMIFS(tbl_task9[S116],tbl_task9[[SubPLOs]:[SubPLOs]],"&gt;=7",tbl_task9[[SubPLOs]:[SubPLOs]],"&lt;8")+SUMIFS(tbl_task10[S116],tbl_task10[[SubPLOs]:[SubPLOs]],"&gt;=7",tbl_task10[[SubPLOs]:[SubPLOs]],"&lt;8")</f>
        <v>0</v>
      </c>
      <c r="DR186" s="41">
        <f>SUMIFS(tbl_task1[S117],tbl_task1[[SubPLOs]:[SubPLOs]],"&gt;=7",tbl_task1[[SubPLOs]:[SubPLOs]],"&lt;8")+SUMIFS(tbl_task2[S117],tbl_task2[[SubPLOs]:[SubPLOs]],"&gt;=7",tbl_task2[[SubPLOs]:[SubPLOs]],"&lt;8")+SUMIFS(tbl_task3[S117],tbl_task3[[SubPLOs]:[SubPLOs]],"&gt;=7",tbl_task3[[SubPLOs]:[SubPLOs]],"&lt;8")+SUMIFS(tbl_task4[S117],tbl_task4[[SubPLOs]:[SubPLOs]],"&gt;=7",tbl_task4[[SubPLOs]:[SubPLOs]],"&lt;8")+SUMIFS(tbl_task5[S117],tbl_task5[[SubPLOs]:[SubPLOs]],"&gt;=7",tbl_task5[[SubPLOs]:[SubPLOs]],"&lt;8")+SUMIFS(tbl_task6[S117],tbl_task6[[SubPLOs]:[SubPLOs]],"&gt;=7",tbl_task6[[SubPLOs]:[SubPLOs]],"&lt;8")+SUMIFS(tbl_task7[S117],tbl_task7[[SubPLOs]:[SubPLOs]],"&gt;=7",tbl_task7[[SubPLOs]:[SubPLOs]],"&lt;8")+SUMIFS(tbl_task8[S117],tbl_task8[[SubPLOs]:[SubPLOs]],"&gt;=7",tbl_task8[[SubPLOs]:[SubPLOs]],"&lt;8")+SUMIFS(tbl_task9[S117],tbl_task9[[SubPLOs]:[SubPLOs]],"&gt;=7",tbl_task9[[SubPLOs]:[SubPLOs]],"&lt;8")+SUMIFS(tbl_task10[S117],tbl_task10[[SubPLOs]:[SubPLOs]],"&gt;=7",tbl_task10[[SubPLOs]:[SubPLOs]],"&lt;8")</f>
        <v>0</v>
      </c>
      <c r="DS186" s="41">
        <f>SUMIFS(tbl_task1[S118],tbl_task1[[SubPLOs]:[SubPLOs]],"&gt;=7",tbl_task1[[SubPLOs]:[SubPLOs]],"&lt;8")+SUMIFS(tbl_task2[S118],tbl_task2[[SubPLOs]:[SubPLOs]],"&gt;=7",tbl_task2[[SubPLOs]:[SubPLOs]],"&lt;8")+SUMIFS(tbl_task3[S118],tbl_task3[[SubPLOs]:[SubPLOs]],"&gt;=7",tbl_task3[[SubPLOs]:[SubPLOs]],"&lt;8")+SUMIFS(tbl_task4[S118],tbl_task4[[SubPLOs]:[SubPLOs]],"&gt;=7",tbl_task4[[SubPLOs]:[SubPLOs]],"&lt;8")+SUMIFS(tbl_task5[S118],tbl_task5[[SubPLOs]:[SubPLOs]],"&gt;=7",tbl_task5[[SubPLOs]:[SubPLOs]],"&lt;8")+SUMIFS(tbl_task6[S118],tbl_task6[[SubPLOs]:[SubPLOs]],"&gt;=7",tbl_task6[[SubPLOs]:[SubPLOs]],"&lt;8")+SUMIFS(tbl_task7[S118],tbl_task7[[SubPLOs]:[SubPLOs]],"&gt;=7",tbl_task7[[SubPLOs]:[SubPLOs]],"&lt;8")+SUMIFS(tbl_task8[S118],tbl_task8[[SubPLOs]:[SubPLOs]],"&gt;=7",tbl_task8[[SubPLOs]:[SubPLOs]],"&lt;8")+SUMIFS(tbl_task9[S118],tbl_task9[[SubPLOs]:[SubPLOs]],"&gt;=7",tbl_task9[[SubPLOs]:[SubPLOs]],"&lt;8")+SUMIFS(tbl_task10[S118],tbl_task10[[SubPLOs]:[SubPLOs]],"&gt;=7",tbl_task10[[SubPLOs]:[SubPLOs]],"&lt;8")</f>
        <v>0</v>
      </c>
      <c r="DT186" s="41">
        <f>SUMIFS(tbl_task1[S119],tbl_task1[[SubPLOs]:[SubPLOs]],"&gt;=7",tbl_task1[[SubPLOs]:[SubPLOs]],"&lt;8")+SUMIFS(tbl_task2[S119],tbl_task2[[SubPLOs]:[SubPLOs]],"&gt;=7",tbl_task2[[SubPLOs]:[SubPLOs]],"&lt;8")+SUMIFS(tbl_task3[S119],tbl_task3[[SubPLOs]:[SubPLOs]],"&gt;=7",tbl_task3[[SubPLOs]:[SubPLOs]],"&lt;8")+SUMIFS(tbl_task4[S119],tbl_task4[[SubPLOs]:[SubPLOs]],"&gt;=7",tbl_task4[[SubPLOs]:[SubPLOs]],"&lt;8")+SUMIFS(tbl_task5[S119],tbl_task5[[SubPLOs]:[SubPLOs]],"&gt;=7",tbl_task5[[SubPLOs]:[SubPLOs]],"&lt;8")+SUMIFS(tbl_task6[S119],tbl_task6[[SubPLOs]:[SubPLOs]],"&gt;=7",tbl_task6[[SubPLOs]:[SubPLOs]],"&lt;8")+SUMIFS(tbl_task7[S119],tbl_task7[[SubPLOs]:[SubPLOs]],"&gt;=7",tbl_task7[[SubPLOs]:[SubPLOs]],"&lt;8")+SUMIFS(tbl_task8[S119],tbl_task8[[SubPLOs]:[SubPLOs]],"&gt;=7",tbl_task8[[SubPLOs]:[SubPLOs]],"&lt;8")+SUMIFS(tbl_task9[S119],tbl_task9[[SubPLOs]:[SubPLOs]],"&gt;=7",tbl_task9[[SubPLOs]:[SubPLOs]],"&lt;8")+SUMIFS(tbl_task10[S119],tbl_task10[[SubPLOs]:[SubPLOs]],"&gt;=7",tbl_task10[[SubPLOs]:[SubPLOs]],"&lt;8")</f>
        <v>0</v>
      </c>
      <c r="DU186" s="41">
        <f>SUMIFS(tbl_task1[S120],tbl_task1[[SubPLOs]:[SubPLOs]],"&gt;=7",tbl_task1[[SubPLOs]:[SubPLOs]],"&lt;8")+SUMIFS(tbl_task2[S120],tbl_task2[[SubPLOs]:[SubPLOs]],"&gt;=7",tbl_task2[[SubPLOs]:[SubPLOs]],"&lt;8")+SUMIFS(tbl_task3[S120],tbl_task3[[SubPLOs]:[SubPLOs]],"&gt;=7",tbl_task3[[SubPLOs]:[SubPLOs]],"&lt;8")+SUMIFS(tbl_task4[S120],tbl_task4[[SubPLOs]:[SubPLOs]],"&gt;=7",tbl_task4[[SubPLOs]:[SubPLOs]],"&lt;8")+SUMIFS(tbl_task5[S120],tbl_task5[[SubPLOs]:[SubPLOs]],"&gt;=7",tbl_task5[[SubPLOs]:[SubPLOs]],"&lt;8")+SUMIFS(tbl_task6[S120],tbl_task6[[SubPLOs]:[SubPLOs]],"&gt;=7",tbl_task6[[SubPLOs]:[SubPLOs]],"&lt;8")+SUMIFS(tbl_task7[S120],tbl_task7[[SubPLOs]:[SubPLOs]],"&gt;=7",tbl_task7[[SubPLOs]:[SubPLOs]],"&lt;8")+SUMIFS(tbl_task8[S120],tbl_task8[[SubPLOs]:[SubPLOs]],"&gt;=7",tbl_task8[[SubPLOs]:[SubPLOs]],"&lt;8")+SUMIFS(tbl_task9[S120],tbl_task9[[SubPLOs]:[SubPLOs]],"&gt;=7",tbl_task9[[SubPLOs]:[SubPLOs]],"&lt;8")+SUMIFS(tbl_task10[S120],tbl_task10[[SubPLOs]:[SubPLOs]],"&gt;=7",tbl_task10[[SubPLOs]:[SubPLOs]],"&lt;8")</f>
        <v>0</v>
      </c>
      <c r="DV186" s="41">
        <f>SUMIFS(tbl_task1[S121],tbl_task1[[SubPLOs]:[SubPLOs]],"&gt;=7",tbl_task1[[SubPLOs]:[SubPLOs]],"&lt;8")+SUMIFS(tbl_task2[S121],tbl_task2[[SubPLOs]:[SubPLOs]],"&gt;=7",tbl_task2[[SubPLOs]:[SubPLOs]],"&lt;8")+SUMIFS(tbl_task3[S121],tbl_task3[[SubPLOs]:[SubPLOs]],"&gt;=7",tbl_task3[[SubPLOs]:[SubPLOs]],"&lt;8")+SUMIFS(tbl_task4[S121],tbl_task4[[SubPLOs]:[SubPLOs]],"&gt;=7",tbl_task4[[SubPLOs]:[SubPLOs]],"&lt;8")+SUMIFS(tbl_task5[S121],tbl_task5[[SubPLOs]:[SubPLOs]],"&gt;=7",tbl_task5[[SubPLOs]:[SubPLOs]],"&lt;8")+SUMIFS(tbl_task6[S121],tbl_task6[[SubPLOs]:[SubPLOs]],"&gt;=7",tbl_task6[[SubPLOs]:[SubPLOs]],"&lt;8")+SUMIFS(tbl_task7[S121],tbl_task7[[SubPLOs]:[SubPLOs]],"&gt;=7",tbl_task7[[SubPLOs]:[SubPLOs]],"&lt;8")+SUMIFS(tbl_task8[S121],tbl_task8[[SubPLOs]:[SubPLOs]],"&gt;=7",tbl_task8[[SubPLOs]:[SubPLOs]],"&lt;8")+SUMIFS(tbl_task9[S121],tbl_task9[[SubPLOs]:[SubPLOs]],"&gt;=7",tbl_task9[[SubPLOs]:[SubPLOs]],"&lt;8")+SUMIFS(tbl_task10[S121],tbl_task10[[SubPLOs]:[SubPLOs]],"&gt;=7",tbl_task10[[SubPLOs]:[SubPLOs]],"&lt;8")</f>
        <v>0</v>
      </c>
      <c r="DW186" s="41">
        <f>SUMIFS(tbl_task1[S122],tbl_task1[[SubPLOs]:[SubPLOs]],"&gt;=7",tbl_task1[[SubPLOs]:[SubPLOs]],"&lt;8")+SUMIFS(tbl_task2[S122],tbl_task2[[SubPLOs]:[SubPLOs]],"&gt;=7",tbl_task2[[SubPLOs]:[SubPLOs]],"&lt;8")+SUMIFS(tbl_task3[S122],tbl_task3[[SubPLOs]:[SubPLOs]],"&gt;=7",tbl_task3[[SubPLOs]:[SubPLOs]],"&lt;8")+SUMIFS(tbl_task4[S122],tbl_task4[[SubPLOs]:[SubPLOs]],"&gt;=7",tbl_task4[[SubPLOs]:[SubPLOs]],"&lt;8")+SUMIFS(tbl_task5[S122],tbl_task5[[SubPLOs]:[SubPLOs]],"&gt;=7",tbl_task5[[SubPLOs]:[SubPLOs]],"&lt;8")+SUMIFS(tbl_task6[S122],tbl_task6[[SubPLOs]:[SubPLOs]],"&gt;=7",tbl_task6[[SubPLOs]:[SubPLOs]],"&lt;8")+SUMIFS(tbl_task7[S122],tbl_task7[[SubPLOs]:[SubPLOs]],"&gt;=7",tbl_task7[[SubPLOs]:[SubPLOs]],"&lt;8")+SUMIFS(tbl_task8[S122],tbl_task8[[SubPLOs]:[SubPLOs]],"&gt;=7",tbl_task8[[SubPLOs]:[SubPLOs]],"&lt;8")+SUMIFS(tbl_task9[S122],tbl_task9[[SubPLOs]:[SubPLOs]],"&gt;=7",tbl_task9[[SubPLOs]:[SubPLOs]],"&lt;8")+SUMIFS(tbl_task10[S122],tbl_task10[[SubPLOs]:[SubPLOs]],"&gt;=7",tbl_task10[[SubPLOs]:[SubPLOs]],"&lt;8")</f>
        <v>0</v>
      </c>
      <c r="DX186" s="41">
        <f>SUMIFS(tbl_task1[S123],tbl_task1[[SubPLOs]:[SubPLOs]],"&gt;=7",tbl_task1[[SubPLOs]:[SubPLOs]],"&lt;8")+SUMIFS(tbl_task2[S123],tbl_task2[[SubPLOs]:[SubPLOs]],"&gt;=7",tbl_task2[[SubPLOs]:[SubPLOs]],"&lt;8")+SUMIFS(tbl_task3[S123],tbl_task3[[SubPLOs]:[SubPLOs]],"&gt;=7",tbl_task3[[SubPLOs]:[SubPLOs]],"&lt;8")+SUMIFS(tbl_task4[S123],tbl_task4[[SubPLOs]:[SubPLOs]],"&gt;=7",tbl_task4[[SubPLOs]:[SubPLOs]],"&lt;8")+SUMIFS(tbl_task5[S123],tbl_task5[[SubPLOs]:[SubPLOs]],"&gt;=7",tbl_task5[[SubPLOs]:[SubPLOs]],"&lt;8")+SUMIFS(tbl_task6[S123],tbl_task6[[SubPLOs]:[SubPLOs]],"&gt;=7",tbl_task6[[SubPLOs]:[SubPLOs]],"&lt;8")+SUMIFS(tbl_task7[S123],tbl_task7[[SubPLOs]:[SubPLOs]],"&gt;=7",tbl_task7[[SubPLOs]:[SubPLOs]],"&lt;8")+SUMIFS(tbl_task8[S123],tbl_task8[[SubPLOs]:[SubPLOs]],"&gt;=7",tbl_task8[[SubPLOs]:[SubPLOs]],"&lt;8")+SUMIFS(tbl_task9[S123],tbl_task9[[SubPLOs]:[SubPLOs]],"&gt;=7",tbl_task9[[SubPLOs]:[SubPLOs]],"&lt;8")+SUMIFS(tbl_task10[S123],tbl_task10[[SubPLOs]:[SubPLOs]],"&gt;=7",tbl_task10[[SubPLOs]:[SubPLOs]],"&lt;8")</f>
        <v>0</v>
      </c>
      <c r="DY186" s="41">
        <f>SUMIFS(tbl_task1[S124],tbl_task1[[SubPLOs]:[SubPLOs]],"&gt;=7",tbl_task1[[SubPLOs]:[SubPLOs]],"&lt;8")+SUMIFS(tbl_task2[S124],tbl_task2[[SubPLOs]:[SubPLOs]],"&gt;=7",tbl_task2[[SubPLOs]:[SubPLOs]],"&lt;8")+SUMIFS(tbl_task3[S124],tbl_task3[[SubPLOs]:[SubPLOs]],"&gt;=7",tbl_task3[[SubPLOs]:[SubPLOs]],"&lt;8")+SUMIFS(tbl_task4[S124],tbl_task4[[SubPLOs]:[SubPLOs]],"&gt;=7",tbl_task4[[SubPLOs]:[SubPLOs]],"&lt;8")+SUMIFS(tbl_task5[S124],tbl_task5[[SubPLOs]:[SubPLOs]],"&gt;=7",tbl_task5[[SubPLOs]:[SubPLOs]],"&lt;8")+SUMIFS(tbl_task6[S124],tbl_task6[[SubPLOs]:[SubPLOs]],"&gt;=7",tbl_task6[[SubPLOs]:[SubPLOs]],"&lt;8")+SUMIFS(tbl_task7[S124],tbl_task7[[SubPLOs]:[SubPLOs]],"&gt;=7",tbl_task7[[SubPLOs]:[SubPLOs]],"&lt;8")+SUMIFS(tbl_task8[S124],tbl_task8[[SubPLOs]:[SubPLOs]],"&gt;=7",tbl_task8[[SubPLOs]:[SubPLOs]],"&lt;8")+SUMIFS(tbl_task9[S124],tbl_task9[[SubPLOs]:[SubPLOs]],"&gt;=7",tbl_task9[[SubPLOs]:[SubPLOs]],"&lt;8")+SUMIFS(tbl_task10[S124],tbl_task10[[SubPLOs]:[SubPLOs]],"&gt;=7",tbl_task10[[SubPLOs]:[SubPLOs]],"&lt;8")</f>
        <v>0</v>
      </c>
      <c r="DZ186" s="41">
        <f>SUMIFS(tbl_task1[S125],tbl_task1[[SubPLOs]:[SubPLOs]],"&gt;=7",tbl_task1[[SubPLOs]:[SubPLOs]],"&lt;8")+SUMIFS(tbl_task2[S125],tbl_task2[[SubPLOs]:[SubPLOs]],"&gt;=7",tbl_task2[[SubPLOs]:[SubPLOs]],"&lt;8")+SUMIFS(tbl_task3[S125],tbl_task3[[SubPLOs]:[SubPLOs]],"&gt;=7",tbl_task3[[SubPLOs]:[SubPLOs]],"&lt;8")+SUMIFS(tbl_task4[S125],tbl_task4[[SubPLOs]:[SubPLOs]],"&gt;=7",tbl_task4[[SubPLOs]:[SubPLOs]],"&lt;8")+SUMIFS(tbl_task5[S125],tbl_task5[[SubPLOs]:[SubPLOs]],"&gt;=7",tbl_task5[[SubPLOs]:[SubPLOs]],"&lt;8")+SUMIFS(tbl_task6[S125],tbl_task6[[SubPLOs]:[SubPLOs]],"&gt;=7",tbl_task6[[SubPLOs]:[SubPLOs]],"&lt;8")+SUMIFS(tbl_task7[S125],tbl_task7[[SubPLOs]:[SubPLOs]],"&gt;=7",tbl_task7[[SubPLOs]:[SubPLOs]],"&lt;8")+SUMIFS(tbl_task8[S125],tbl_task8[[SubPLOs]:[SubPLOs]],"&gt;=7",tbl_task8[[SubPLOs]:[SubPLOs]],"&lt;8")+SUMIFS(tbl_task9[S125],tbl_task9[[SubPLOs]:[SubPLOs]],"&gt;=7",tbl_task9[[SubPLOs]:[SubPLOs]],"&lt;8")+SUMIFS(tbl_task10[S125],tbl_task10[[SubPLOs]:[SubPLOs]],"&gt;=7",tbl_task10[[SubPLOs]:[SubPLOs]],"&lt;8")</f>
        <v>0</v>
      </c>
      <c r="EA186" s="41">
        <f>SUMIFS(tbl_task1[S126],tbl_task1[[SubPLOs]:[SubPLOs]],"&gt;=7",tbl_task1[[SubPLOs]:[SubPLOs]],"&lt;8")+SUMIFS(tbl_task2[S126],tbl_task2[[SubPLOs]:[SubPLOs]],"&gt;=7",tbl_task2[[SubPLOs]:[SubPLOs]],"&lt;8")+SUMIFS(tbl_task3[S126],tbl_task3[[SubPLOs]:[SubPLOs]],"&gt;=7",tbl_task3[[SubPLOs]:[SubPLOs]],"&lt;8")+SUMIFS(tbl_task4[S126],tbl_task4[[SubPLOs]:[SubPLOs]],"&gt;=7",tbl_task4[[SubPLOs]:[SubPLOs]],"&lt;8")+SUMIFS(tbl_task5[S126],tbl_task5[[SubPLOs]:[SubPLOs]],"&gt;=7",tbl_task5[[SubPLOs]:[SubPLOs]],"&lt;8")+SUMIFS(tbl_task6[S126],tbl_task6[[SubPLOs]:[SubPLOs]],"&gt;=7",tbl_task6[[SubPLOs]:[SubPLOs]],"&lt;8")+SUMIFS(tbl_task7[S126],tbl_task7[[SubPLOs]:[SubPLOs]],"&gt;=7",tbl_task7[[SubPLOs]:[SubPLOs]],"&lt;8")+SUMIFS(tbl_task8[S126],tbl_task8[[SubPLOs]:[SubPLOs]],"&gt;=7",tbl_task8[[SubPLOs]:[SubPLOs]],"&lt;8")+SUMIFS(tbl_task9[S126],tbl_task9[[SubPLOs]:[SubPLOs]],"&gt;=7",tbl_task9[[SubPLOs]:[SubPLOs]],"&lt;8")+SUMIFS(tbl_task10[S126],tbl_task10[[SubPLOs]:[SubPLOs]],"&gt;=7",tbl_task10[[SubPLOs]:[SubPLOs]],"&lt;8")</f>
        <v>0</v>
      </c>
      <c r="EB186" s="41">
        <f>SUMIFS(tbl_task1[S127],tbl_task1[[SubPLOs]:[SubPLOs]],"&gt;=7",tbl_task1[[SubPLOs]:[SubPLOs]],"&lt;8")+SUMIFS(tbl_task2[S127],tbl_task2[[SubPLOs]:[SubPLOs]],"&gt;=7",tbl_task2[[SubPLOs]:[SubPLOs]],"&lt;8")+SUMIFS(tbl_task3[S127],tbl_task3[[SubPLOs]:[SubPLOs]],"&gt;=7",tbl_task3[[SubPLOs]:[SubPLOs]],"&lt;8")+SUMIFS(tbl_task4[S127],tbl_task4[[SubPLOs]:[SubPLOs]],"&gt;=7",tbl_task4[[SubPLOs]:[SubPLOs]],"&lt;8")+SUMIFS(tbl_task5[S127],tbl_task5[[SubPLOs]:[SubPLOs]],"&gt;=7",tbl_task5[[SubPLOs]:[SubPLOs]],"&lt;8")+SUMIFS(tbl_task6[S127],tbl_task6[[SubPLOs]:[SubPLOs]],"&gt;=7",tbl_task6[[SubPLOs]:[SubPLOs]],"&lt;8")+SUMIFS(tbl_task7[S127],tbl_task7[[SubPLOs]:[SubPLOs]],"&gt;=7",tbl_task7[[SubPLOs]:[SubPLOs]],"&lt;8")+SUMIFS(tbl_task8[S127],tbl_task8[[SubPLOs]:[SubPLOs]],"&gt;=7",tbl_task8[[SubPLOs]:[SubPLOs]],"&lt;8")+SUMIFS(tbl_task9[S127],tbl_task9[[SubPLOs]:[SubPLOs]],"&gt;=7",tbl_task9[[SubPLOs]:[SubPLOs]],"&lt;8")+SUMIFS(tbl_task10[S127],tbl_task10[[SubPLOs]:[SubPLOs]],"&gt;=7",tbl_task10[[SubPLOs]:[SubPLOs]],"&lt;8")</f>
        <v>0</v>
      </c>
      <c r="EC186" s="41">
        <f>SUMIFS(tbl_task1[S128],tbl_task1[[SubPLOs]:[SubPLOs]],"&gt;=7",tbl_task1[[SubPLOs]:[SubPLOs]],"&lt;8")+SUMIFS(tbl_task2[S128],tbl_task2[[SubPLOs]:[SubPLOs]],"&gt;=7",tbl_task2[[SubPLOs]:[SubPLOs]],"&lt;8")+SUMIFS(tbl_task3[S128],tbl_task3[[SubPLOs]:[SubPLOs]],"&gt;=7",tbl_task3[[SubPLOs]:[SubPLOs]],"&lt;8")+SUMIFS(tbl_task4[S128],tbl_task4[[SubPLOs]:[SubPLOs]],"&gt;=7",tbl_task4[[SubPLOs]:[SubPLOs]],"&lt;8")+SUMIFS(tbl_task5[S128],tbl_task5[[SubPLOs]:[SubPLOs]],"&gt;=7",tbl_task5[[SubPLOs]:[SubPLOs]],"&lt;8")+SUMIFS(tbl_task6[S128],tbl_task6[[SubPLOs]:[SubPLOs]],"&gt;=7",tbl_task6[[SubPLOs]:[SubPLOs]],"&lt;8")+SUMIFS(tbl_task7[S128],tbl_task7[[SubPLOs]:[SubPLOs]],"&gt;=7",tbl_task7[[SubPLOs]:[SubPLOs]],"&lt;8")+SUMIFS(tbl_task8[S128],tbl_task8[[SubPLOs]:[SubPLOs]],"&gt;=7",tbl_task8[[SubPLOs]:[SubPLOs]],"&lt;8")+SUMIFS(tbl_task9[S128],tbl_task9[[SubPLOs]:[SubPLOs]],"&gt;=7",tbl_task9[[SubPLOs]:[SubPLOs]],"&lt;8")+SUMIFS(tbl_task10[S128],tbl_task10[[SubPLOs]:[SubPLOs]],"&gt;=7",tbl_task10[[SubPLOs]:[SubPLOs]],"&lt;8")</f>
        <v>0</v>
      </c>
      <c r="ED186" s="41">
        <f>SUMIFS(tbl_task1[S129],tbl_task1[[SubPLOs]:[SubPLOs]],"&gt;=7",tbl_task1[[SubPLOs]:[SubPLOs]],"&lt;8")+SUMIFS(tbl_task2[S129],tbl_task2[[SubPLOs]:[SubPLOs]],"&gt;=7",tbl_task2[[SubPLOs]:[SubPLOs]],"&lt;8")+SUMIFS(tbl_task3[S129],tbl_task3[[SubPLOs]:[SubPLOs]],"&gt;=7",tbl_task3[[SubPLOs]:[SubPLOs]],"&lt;8")+SUMIFS(tbl_task4[S129],tbl_task4[[SubPLOs]:[SubPLOs]],"&gt;=7",tbl_task4[[SubPLOs]:[SubPLOs]],"&lt;8")+SUMIFS(tbl_task5[S129],tbl_task5[[SubPLOs]:[SubPLOs]],"&gt;=7",tbl_task5[[SubPLOs]:[SubPLOs]],"&lt;8")+SUMIFS(tbl_task6[S129],tbl_task6[[SubPLOs]:[SubPLOs]],"&gt;=7",tbl_task6[[SubPLOs]:[SubPLOs]],"&lt;8")+SUMIFS(tbl_task7[S129],tbl_task7[[SubPLOs]:[SubPLOs]],"&gt;=7",tbl_task7[[SubPLOs]:[SubPLOs]],"&lt;8")+SUMIFS(tbl_task8[S129],tbl_task8[[SubPLOs]:[SubPLOs]],"&gt;=7",tbl_task8[[SubPLOs]:[SubPLOs]],"&lt;8")+SUMIFS(tbl_task9[S129],tbl_task9[[SubPLOs]:[SubPLOs]],"&gt;=7",tbl_task9[[SubPLOs]:[SubPLOs]],"&lt;8")+SUMIFS(tbl_task10[S129],tbl_task10[[SubPLOs]:[SubPLOs]],"&gt;=7",tbl_task10[[SubPLOs]:[SubPLOs]],"&lt;8")</f>
        <v>0</v>
      </c>
      <c r="EE186" s="41">
        <f>SUMIFS(tbl_task1[S130],tbl_task1[[SubPLOs]:[SubPLOs]],"&gt;=7",tbl_task1[[SubPLOs]:[SubPLOs]],"&lt;8")+SUMIFS(tbl_task2[S130],tbl_task2[[SubPLOs]:[SubPLOs]],"&gt;=7",tbl_task2[[SubPLOs]:[SubPLOs]],"&lt;8")+SUMIFS(tbl_task3[S130],tbl_task3[[SubPLOs]:[SubPLOs]],"&gt;=7",tbl_task3[[SubPLOs]:[SubPLOs]],"&lt;8")+SUMIFS(tbl_task4[S130],tbl_task4[[SubPLOs]:[SubPLOs]],"&gt;=7",tbl_task4[[SubPLOs]:[SubPLOs]],"&lt;8")+SUMIFS(tbl_task5[S130],tbl_task5[[SubPLOs]:[SubPLOs]],"&gt;=7",tbl_task5[[SubPLOs]:[SubPLOs]],"&lt;8")+SUMIFS(tbl_task6[S130],tbl_task6[[SubPLOs]:[SubPLOs]],"&gt;=7",tbl_task6[[SubPLOs]:[SubPLOs]],"&lt;8")+SUMIFS(tbl_task7[S130],tbl_task7[[SubPLOs]:[SubPLOs]],"&gt;=7",tbl_task7[[SubPLOs]:[SubPLOs]],"&lt;8")+SUMIFS(tbl_task8[S130],tbl_task8[[SubPLOs]:[SubPLOs]],"&gt;=7",tbl_task8[[SubPLOs]:[SubPLOs]],"&lt;8")+SUMIFS(tbl_task9[S130],tbl_task9[[SubPLOs]:[SubPLOs]],"&gt;=7",tbl_task9[[SubPLOs]:[SubPLOs]],"&lt;8")+SUMIFS(tbl_task10[S130],tbl_task10[[SubPLOs]:[SubPLOs]],"&gt;=7",tbl_task10[[SubPLOs]:[SubPLOs]],"&lt;8")</f>
        <v>0</v>
      </c>
      <c r="EF186" s="41">
        <f>SUMIFS(tbl_task1[S131],tbl_task1[[SubPLOs]:[SubPLOs]],"&gt;=7",tbl_task1[[SubPLOs]:[SubPLOs]],"&lt;8")+SUMIFS(tbl_task2[S131],tbl_task2[[SubPLOs]:[SubPLOs]],"&gt;=7",tbl_task2[[SubPLOs]:[SubPLOs]],"&lt;8")+SUMIFS(tbl_task3[S131],tbl_task3[[SubPLOs]:[SubPLOs]],"&gt;=7",tbl_task3[[SubPLOs]:[SubPLOs]],"&lt;8")+SUMIFS(tbl_task4[S131],tbl_task4[[SubPLOs]:[SubPLOs]],"&gt;=7",tbl_task4[[SubPLOs]:[SubPLOs]],"&lt;8")+SUMIFS(tbl_task5[S131],tbl_task5[[SubPLOs]:[SubPLOs]],"&gt;=7",tbl_task5[[SubPLOs]:[SubPLOs]],"&lt;8")+SUMIFS(tbl_task6[S131],tbl_task6[[SubPLOs]:[SubPLOs]],"&gt;=7",tbl_task6[[SubPLOs]:[SubPLOs]],"&lt;8")+SUMIFS(tbl_task7[S131],tbl_task7[[SubPLOs]:[SubPLOs]],"&gt;=7",tbl_task7[[SubPLOs]:[SubPLOs]],"&lt;8")+SUMIFS(tbl_task8[S131],tbl_task8[[SubPLOs]:[SubPLOs]],"&gt;=7",tbl_task8[[SubPLOs]:[SubPLOs]],"&lt;8")+SUMIFS(tbl_task9[S131],tbl_task9[[SubPLOs]:[SubPLOs]],"&gt;=7",tbl_task9[[SubPLOs]:[SubPLOs]],"&lt;8")+SUMIFS(tbl_task10[S131],tbl_task10[[SubPLOs]:[SubPLOs]],"&gt;=7",tbl_task10[[SubPLOs]:[SubPLOs]],"&lt;8")</f>
        <v>0</v>
      </c>
      <c r="EG186" s="41">
        <f>SUMIFS(tbl_task1[S132],tbl_task1[[SubPLOs]:[SubPLOs]],"&gt;=7",tbl_task1[[SubPLOs]:[SubPLOs]],"&lt;8")+SUMIFS(tbl_task2[S132],tbl_task2[[SubPLOs]:[SubPLOs]],"&gt;=7",tbl_task2[[SubPLOs]:[SubPLOs]],"&lt;8")+SUMIFS(tbl_task3[S132],tbl_task3[[SubPLOs]:[SubPLOs]],"&gt;=7",tbl_task3[[SubPLOs]:[SubPLOs]],"&lt;8")+SUMIFS(tbl_task4[S132],tbl_task4[[SubPLOs]:[SubPLOs]],"&gt;=7",tbl_task4[[SubPLOs]:[SubPLOs]],"&lt;8")+SUMIFS(tbl_task5[S132],tbl_task5[[SubPLOs]:[SubPLOs]],"&gt;=7",tbl_task5[[SubPLOs]:[SubPLOs]],"&lt;8")+SUMIFS(tbl_task6[S132],tbl_task6[[SubPLOs]:[SubPLOs]],"&gt;=7",tbl_task6[[SubPLOs]:[SubPLOs]],"&lt;8")+SUMIFS(tbl_task7[S132],tbl_task7[[SubPLOs]:[SubPLOs]],"&gt;=7",tbl_task7[[SubPLOs]:[SubPLOs]],"&lt;8")+SUMIFS(tbl_task8[S132],tbl_task8[[SubPLOs]:[SubPLOs]],"&gt;=7",tbl_task8[[SubPLOs]:[SubPLOs]],"&lt;8")+SUMIFS(tbl_task9[S132],tbl_task9[[SubPLOs]:[SubPLOs]],"&gt;=7",tbl_task9[[SubPLOs]:[SubPLOs]],"&lt;8")+SUMIFS(tbl_task10[S132],tbl_task10[[SubPLOs]:[SubPLOs]],"&gt;=7",tbl_task10[[SubPLOs]:[SubPLOs]],"&lt;8")</f>
        <v>0</v>
      </c>
      <c r="EH186" s="41">
        <f>SUMIFS(tbl_task1[S133],tbl_task1[[SubPLOs]:[SubPLOs]],"&gt;=7",tbl_task1[[SubPLOs]:[SubPLOs]],"&lt;8")+SUMIFS(tbl_task2[S133],tbl_task2[[SubPLOs]:[SubPLOs]],"&gt;=7",tbl_task2[[SubPLOs]:[SubPLOs]],"&lt;8")+SUMIFS(tbl_task3[S133],tbl_task3[[SubPLOs]:[SubPLOs]],"&gt;=7",tbl_task3[[SubPLOs]:[SubPLOs]],"&lt;8")+SUMIFS(tbl_task4[S133],tbl_task4[[SubPLOs]:[SubPLOs]],"&gt;=7",tbl_task4[[SubPLOs]:[SubPLOs]],"&lt;8")+SUMIFS(tbl_task5[S133],tbl_task5[[SubPLOs]:[SubPLOs]],"&gt;=7",tbl_task5[[SubPLOs]:[SubPLOs]],"&lt;8")+SUMIFS(tbl_task6[S133],tbl_task6[[SubPLOs]:[SubPLOs]],"&gt;=7",tbl_task6[[SubPLOs]:[SubPLOs]],"&lt;8")+SUMIFS(tbl_task7[S133],tbl_task7[[SubPLOs]:[SubPLOs]],"&gt;=7",tbl_task7[[SubPLOs]:[SubPLOs]],"&lt;8")+SUMIFS(tbl_task8[S133],tbl_task8[[SubPLOs]:[SubPLOs]],"&gt;=7",tbl_task8[[SubPLOs]:[SubPLOs]],"&lt;8")+SUMIFS(tbl_task9[S133],tbl_task9[[SubPLOs]:[SubPLOs]],"&gt;=7",tbl_task9[[SubPLOs]:[SubPLOs]],"&lt;8")+SUMIFS(tbl_task10[S133],tbl_task10[[SubPLOs]:[SubPLOs]],"&gt;=7",tbl_task10[[SubPLOs]:[SubPLOs]],"&lt;8")</f>
        <v>0</v>
      </c>
      <c r="EI186" s="41">
        <f>SUMIFS(tbl_task1[S134],tbl_task1[[SubPLOs]:[SubPLOs]],"&gt;=7",tbl_task1[[SubPLOs]:[SubPLOs]],"&lt;8")+SUMIFS(tbl_task2[S134],tbl_task2[[SubPLOs]:[SubPLOs]],"&gt;=7",tbl_task2[[SubPLOs]:[SubPLOs]],"&lt;8")+SUMIFS(tbl_task3[S134],tbl_task3[[SubPLOs]:[SubPLOs]],"&gt;=7",tbl_task3[[SubPLOs]:[SubPLOs]],"&lt;8")+SUMIFS(tbl_task4[S134],tbl_task4[[SubPLOs]:[SubPLOs]],"&gt;=7",tbl_task4[[SubPLOs]:[SubPLOs]],"&lt;8")+SUMIFS(tbl_task5[S134],tbl_task5[[SubPLOs]:[SubPLOs]],"&gt;=7",tbl_task5[[SubPLOs]:[SubPLOs]],"&lt;8")+SUMIFS(tbl_task6[S134],tbl_task6[[SubPLOs]:[SubPLOs]],"&gt;=7",tbl_task6[[SubPLOs]:[SubPLOs]],"&lt;8")+SUMIFS(tbl_task7[S134],tbl_task7[[SubPLOs]:[SubPLOs]],"&gt;=7",tbl_task7[[SubPLOs]:[SubPLOs]],"&lt;8")+SUMIFS(tbl_task8[S134],tbl_task8[[SubPLOs]:[SubPLOs]],"&gt;=7",tbl_task8[[SubPLOs]:[SubPLOs]],"&lt;8")+SUMIFS(tbl_task9[S134],tbl_task9[[SubPLOs]:[SubPLOs]],"&gt;=7",tbl_task9[[SubPLOs]:[SubPLOs]],"&lt;8")+SUMIFS(tbl_task10[S134],tbl_task10[[SubPLOs]:[SubPLOs]],"&gt;=7",tbl_task10[[SubPLOs]:[SubPLOs]],"&lt;8")</f>
        <v>0</v>
      </c>
      <c r="EJ186" s="41">
        <f>SUMIFS(tbl_task1[S135],tbl_task1[[SubPLOs]:[SubPLOs]],"&gt;=7",tbl_task1[[SubPLOs]:[SubPLOs]],"&lt;8")+SUMIFS(tbl_task2[S135],tbl_task2[[SubPLOs]:[SubPLOs]],"&gt;=7",tbl_task2[[SubPLOs]:[SubPLOs]],"&lt;8")+SUMIFS(tbl_task3[S135],tbl_task3[[SubPLOs]:[SubPLOs]],"&gt;=7",tbl_task3[[SubPLOs]:[SubPLOs]],"&lt;8")+SUMIFS(tbl_task4[S135],tbl_task4[[SubPLOs]:[SubPLOs]],"&gt;=7",tbl_task4[[SubPLOs]:[SubPLOs]],"&lt;8")+SUMIFS(tbl_task5[S135],tbl_task5[[SubPLOs]:[SubPLOs]],"&gt;=7",tbl_task5[[SubPLOs]:[SubPLOs]],"&lt;8")+SUMIFS(tbl_task6[S135],tbl_task6[[SubPLOs]:[SubPLOs]],"&gt;=7",tbl_task6[[SubPLOs]:[SubPLOs]],"&lt;8")+SUMIFS(tbl_task7[S135],tbl_task7[[SubPLOs]:[SubPLOs]],"&gt;=7",tbl_task7[[SubPLOs]:[SubPLOs]],"&lt;8")+SUMIFS(tbl_task8[S135],tbl_task8[[SubPLOs]:[SubPLOs]],"&gt;=7",tbl_task8[[SubPLOs]:[SubPLOs]],"&lt;8")+SUMIFS(tbl_task9[S135],tbl_task9[[SubPLOs]:[SubPLOs]],"&gt;=7",tbl_task9[[SubPLOs]:[SubPLOs]],"&lt;8")+SUMIFS(tbl_task10[S135],tbl_task10[[SubPLOs]:[SubPLOs]],"&gt;=7",tbl_task10[[SubPLOs]:[SubPLOs]],"&lt;8")</f>
        <v>0</v>
      </c>
      <c r="EK186" s="41">
        <f>SUMIFS(tbl_task1[S136],tbl_task1[[SubPLOs]:[SubPLOs]],"&gt;=7",tbl_task1[[SubPLOs]:[SubPLOs]],"&lt;8")+SUMIFS(tbl_task2[S136],tbl_task2[[SubPLOs]:[SubPLOs]],"&gt;=7",tbl_task2[[SubPLOs]:[SubPLOs]],"&lt;8")+SUMIFS(tbl_task3[S136],tbl_task3[[SubPLOs]:[SubPLOs]],"&gt;=7",tbl_task3[[SubPLOs]:[SubPLOs]],"&lt;8")+SUMIFS(tbl_task4[S136],tbl_task4[[SubPLOs]:[SubPLOs]],"&gt;=7",tbl_task4[[SubPLOs]:[SubPLOs]],"&lt;8")+SUMIFS(tbl_task5[S136],tbl_task5[[SubPLOs]:[SubPLOs]],"&gt;=7",tbl_task5[[SubPLOs]:[SubPLOs]],"&lt;8")+SUMIFS(tbl_task6[S136],tbl_task6[[SubPLOs]:[SubPLOs]],"&gt;=7",tbl_task6[[SubPLOs]:[SubPLOs]],"&lt;8")+SUMIFS(tbl_task7[S136],tbl_task7[[SubPLOs]:[SubPLOs]],"&gt;=7",tbl_task7[[SubPLOs]:[SubPLOs]],"&lt;8")+SUMIFS(tbl_task8[S136],tbl_task8[[SubPLOs]:[SubPLOs]],"&gt;=7",tbl_task8[[SubPLOs]:[SubPLOs]],"&lt;8")+SUMIFS(tbl_task9[S136],tbl_task9[[SubPLOs]:[SubPLOs]],"&gt;=7",tbl_task9[[SubPLOs]:[SubPLOs]],"&lt;8")+SUMIFS(tbl_task10[S136],tbl_task10[[SubPLOs]:[SubPLOs]],"&gt;=7",tbl_task10[[SubPLOs]:[SubPLOs]],"&lt;8")</f>
        <v>0</v>
      </c>
      <c r="EL186" s="41">
        <f>SUMIFS(tbl_task1[S137],tbl_task1[[SubPLOs]:[SubPLOs]],"&gt;=7",tbl_task1[[SubPLOs]:[SubPLOs]],"&lt;8")+SUMIFS(tbl_task2[S137],tbl_task2[[SubPLOs]:[SubPLOs]],"&gt;=7",tbl_task2[[SubPLOs]:[SubPLOs]],"&lt;8")+SUMIFS(tbl_task3[S137],tbl_task3[[SubPLOs]:[SubPLOs]],"&gt;=7",tbl_task3[[SubPLOs]:[SubPLOs]],"&lt;8")+SUMIFS(tbl_task4[S137],tbl_task4[[SubPLOs]:[SubPLOs]],"&gt;=7",tbl_task4[[SubPLOs]:[SubPLOs]],"&lt;8")+SUMIFS(tbl_task5[S137],tbl_task5[[SubPLOs]:[SubPLOs]],"&gt;=7",tbl_task5[[SubPLOs]:[SubPLOs]],"&lt;8")+SUMIFS(tbl_task6[S137],tbl_task6[[SubPLOs]:[SubPLOs]],"&gt;=7",tbl_task6[[SubPLOs]:[SubPLOs]],"&lt;8")+SUMIFS(tbl_task7[S137],tbl_task7[[SubPLOs]:[SubPLOs]],"&gt;=7",tbl_task7[[SubPLOs]:[SubPLOs]],"&lt;8")+SUMIFS(tbl_task8[S137],tbl_task8[[SubPLOs]:[SubPLOs]],"&gt;=7",tbl_task8[[SubPLOs]:[SubPLOs]],"&lt;8")+SUMIFS(tbl_task9[S137],tbl_task9[[SubPLOs]:[SubPLOs]],"&gt;=7",tbl_task9[[SubPLOs]:[SubPLOs]],"&lt;8")+SUMIFS(tbl_task10[S137],tbl_task10[[SubPLOs]:[SubPLOs]],"&gt;=7",tbl_task10[[SubPLOs]:[SubPLOs]],"&lt;8")</f>
        <v>0</v>
      </c>
      <c r="EM186" s="41">
        <f>SUMIFS(tbl_task1[S138],tbl_task1[[SubPLOs]:[SubPLOs]],"&gt;=7",tbl_task1[[SubPLOs]:[SubPLOs]],"&lt;8")+SUMIFS(tbl_task2[S138],tbl_task2[[SubPLOs]:[SubPLOs]],"&gt;=7",tbl_task2[[SubPLOs]:[SubPLOs]],"&lt;8")+SUMIFS(tbl_task3[S138],tbl_task3[[SubPLOs]:[SubPLOs]],"&gt;=7",tbl_task3[[SubPLOs]:[SubPLOs]],"&lt;8")+SUMIFS(tbl_task4[S138],tbl_task4[[SubPLOs]:[SubPLOs]],"&gt;=7",tbl_task4[[SubPLOs]:[SubPLOs]],"&lt;8")+SUMIFS(tbl_task5[S138],tbl_task5[[SubPLOs]:[SubPLOs]],"&gt;=7",tbl_task5[[SubPLOs]:[SubPLOs]],"&lt;8")+SUMIFS(tbl_task6[S138],tbl_task6[[SubPLOs]:[SubPLOs]],"&gt;=7",tbl_task6[[SubPLOs]:[SubPLOs]],"&lt;8")+SUMIFS(tbl_task7[S138],tbl_task7[[SubPLOs]:[SubPLOs]],"&gt;=7",tbl_task7[[SubPLOs]:[SubPLOs]],"&lt;8")+SUMIFS(tbl_task8[S138],tbl_task8[[SubPLOs]:[SubPLOs]],"&gt;=7",tbl_task8[[SubPLOs]:[SubPLOs]],"&lt;8")+SUMIFS(tbl_task9[S138],tbl_task9[[SubPLOs]:[SubPLOs]],"&gt;=7",tbl_task9[[SubPLOs]:[SubPLOs]],"&lt;8")+SUMIFS(tbl_task10[S138],tbl_task10[[SubPLOs]:[SubPLOs]],"&gt;=7",tbl_task10[[SubPLOs]:[SubPLOs]],"&lt;8")</f>
        <v>0</v>
      </c>
      <c r="EN186" s="41">
        <f>SUMIFS(tbl_task1[S139],tbl_task1[[SubPLOs]:[SubPLOs]],"&gt;=7",tbl_task1[[SubPLOs]:[SubPLOs]],"&lt;8")+SUMIFS(tbl_task2[S139],tbl_task2[[SubPLOs]:[SubPLOs]],"&gt;=7",tbl_task2[[SubPLOs]:[SubPLOs]],"&lt;8")+SUMIFS(tbl_task3[S139],tbl_task3[[SubPLOs]:[SubPLOs]],"&gt;=7",tbl_task3[[SubPLOs]:[SubPLOs]],"&lt;8")+SUMIFS(tbl_task4[S139],tbl_task4[[SubPLOs]:[SubPLOs]],"&gt;=7",tbl_task4[[SubPLOs]:[SubPLOs]],"&lt;8")+SUMIFS(tbl_task5[S139],tbl_task5[[SubPLOs]:[SubPLOs]],"&gt;=7",tbl_task5[[SubPLOs]:[SubPLOs]],"&lt;8")+SUMIFS(tbl_task6[S139],tbl_task6[[SubPLOs]:[SubPLOs]],"&gt;=7",tbl_task6[[SubPLOs]:[SubPLOs]],"&lt;8")+SUMIFS(tbl_task7[S139],tbl_task7[[SubPLOs]:[SubPLOs]],"&gt;=7",tbl_task7[[SubPLOs]:[SubPLOs]],"&lt;8")+SUMIFS(tbl_task8[S139],tbl_task8[[SubPLOs]:[SubPLOs]],"&gt;=7",tbl_task8[[SubPLOs]:[SubPLOs]],"&lt;8")+SUMIFS(tbl_task9[S139],tbl_task9[[SubPLOs]:[SubPLOs]],"&gt;=7",tbl_task9[[SubPLOs]:[SubPLOs]],"&lt;8")+SUMIFS(tbl_task10[S139],tbl_task10[[SubPLOs]:[SubPLOs]],"&gt;=7",tbl_task10[[SubPLOs]:[SubPLOs]],"&lt;8")</f>
        <v>0</v>
      </c>
      <c r="EO186" s="41">
        <f>SUMIFS(tbl_task1[S140],tbl_task1[[SubPLOs]:[SubPLOs]],"&gt;=7",tbl_task1[[SubPLOs]:[SubPLOs]],"&lt;8")+SUMIFS(tbl_task2[S140],tbl_task2[[SubPLOs]:[SubPLOs]],"&gt;=7",tbl_task2[[SubPLOs]:[SubPLOs]],"&lt;8")+SUMIFS(tbl_task3[S140],tbl_task3[[SubPLOs]:[SubPLOs]],"&gt;=7",tbl_task3[[SubPLOs]:[SubPLOs]],"&lt;8")+SUMIFS(tbl_task4[S140],tbl_task4[[SubPLOs]:[SubPLOs]],"&gt;=7",tbl_task4[[SubPLOs]:[SubPLOs]],"&lt;8")+SUMIFS(tbl_task5[S140],tbl_task5[[SubPLOs]:[SubPLOs]],"&gt;=7",tbl_task5[[SubPLOs]:[SubPLOs]],"&lt;8")+SUMIFS(tbl_task6[S140],tbl_task6[[SubPLOs]:[SubPLOs]],"&gt;=7",tbl_task6[[SubPLOs]:[SubPLOs]],"&lt;8")+SUMIFS(tbl_task7[S140],tbl_task7[[SubPLOs]:[SubPLOs]],"&gt;=7",tbl_task7[[SubPLOs]:[SubPLOs]],"&lt;8")+SUMIFS(tbl_task8[S140],tbl_task8[[SubPLOs]:[SubPLOs]],"&gt;=7",tbl_task8[[SubPLOs]:[SubPLOs]],"&lt;8")+SUMIFS(tbl_task9[S140],tbl_task9[[SubPLOs]:[SubPLOs]],"&gt;=7",tbl_task9[[SubPLOs]:[SubPLOs]],"&lt;8")+SUMIFS(tbl_task10[S140],tbl_task10[[SubPLOs]:[SubPLOs]],"&gt;=7",tbl_task10[[SubPLOs]:[SubPLOs]],"&lt;8")</f>
        <v>0</v>
      </c>
      <c r="EP186" s="41">
        <f>SUMIFS(tbl_task1[S141],tbl_task1[[SubPLOs]:[SubPLOs]],"&gt;=7",tbl_task1[[SubPLOs]:[SubPLOs]],"&lt;8")+SUMIFS(tbl_task2[S141],tbl_task2[[SubPLOs]:[SubPLOs]],"&gt;=7",tbl_task2[[SubPLOs]:[SubPLOs]],"&lt;8")+SUMIFS(tbl_task3[S141],tbl_task3[[SubPLOs]:[SubPLOs]],"&gt;=7",tbl_task3[[SubPLOs]:[SubPLOs]],"&lt;8")+SUMIFS(tbl_task4[S141],tbl_task4[[SubPLOs]:[SubPLOs]],"&gt;=7",tbl_task4[[SubPLOs]:[SubPLOs]],"&lt;8")+SUMIFS(tbl_task5[S141],tbl_task5[[SubPLOs]:[SubPLOs]],"&gt;=7",tbl_task5[[SubPLOs]:[SubPLOs]],"&lt;8")+SUMIFS(tbl_task6[S141],tbl_task6[[SubPLOs]:[SubPLOs]],"&gt;=7",tbl_task6[[SubPLOs]:[SubPLOs]],"&lt;8")+SUMIFS(tbl_task7[S141],tbl_task7[[SubPLOs]:[SubPLOs]],"&gt;=7",tbl_task7[[SubPLOs]:[SubPLOs]],"&lt;8")+SUMIFS(tbl_task8[S141],tbl_task8[[SubPLOs]:[SubPLOs]],"&gt;=7",tbl_task8[[SubPLOs]:[SubPLOs]],"&lt;8")+SUMIFS(tbl_task9[S141],tbl_task9[[SubPLOs]:[SubPLOs]],"&gt;=7",tbl_task9[[SubPLOs]:[SubPLOs]],"&lt;8")+SUMIFS(tbl_task10[S141],tbl_task10[[SubPLOs]:[SubPLOs]],"&gt;=7",tbl_task10[[SubPLOs]:[SubPLOs]],"&lt;8")</f>
        <v>0</v>
      </c>
      <c r="EQ186" s="41">
        <f>SUMIFS(tbl_task1[S142],tbl_task1[[SubPLOs]:[SubPLOs]],"&gt;=7",tbl_task1[[SubPLOs]:[SubPLOs]],"&lt;8")+SUMIFS(tbl_task2[S142],tbl_task2[[SubPLOs]:[SubPLOs]],"&gt;=7",tbl_task2[[SubPLOs]:[SubPLOs]],"&lt;8")+SUMIFS(tbl_task3[S142],tbl_task3[[SubPLOs]:[SubPLOs]],"&gt;=7",tbl_task3[[SubPLOs]:[SubPLOs]],"&lt;8")+SUMIFS(tbl_task4[S142],tbl_task4[[SubPLOs]:[SubPLOs]],"&gt;=7",tbl_task4[[SubPLOs]:[SubPLOs]],"&lt;8")+SUMIFS(tbl_task5[S142],tbl_task5[[SubPLOs]:[SubPLOs]],"&gt;=7",tbl_task5[[SubPLOs]:[SubPLOs]],"&lt;8")+SUMIFS(tbl_task6[S142],tbl_task6[[SubPLOs]:[SubPLOs]],"&gt;=7",tbl_task6[[SubPLOs]:[SubPLOs]],"&lt;8")+SUMIFS(tbl_task7[S142],tbl_task7[[SubPLOs]:[SubPLOs]],"&gt;=7",tbl_task7[[SubPLOs]:[SubPLOs]],"&lt;8")+SUMIFS(tbl_task8[S142],tbl_task8[[SubPLOs]:[SubPLOs]],"&gt;=7",tbl_task8[[SubPLOs]:[SubPLOs]],"&lt;8")+SUMIFS(tbl_task9[S142],tbl_task9[[SubPLOs]:[SubPLOs]],"&gt;=7",tbl_task9[[SubPLOs]:[SubPLOs]],"&lt;8")+SUMIFS(tbl_task10[S142],tbl_task10[[SubPLOs]:[SubPLOs]],"&gt;=7",tbl_task10[[SubPLOs]:[SubPLOs]],"&lt;8")</f>
        <v>0</v>
      </c>
      <c r="ER186" s="41">
        <f>SUMIFS(tbl_task1[S143],tbl_task1[[SubPLOs]:[SubPLOs]],"&gt;=7",tbl_task1[[SubPLOs]:[SubPLOs]],"&lt;8")+SUMIFS(tbl_task2[S143],tbl_task2[[SubPLOs]:[SubPLOs]],"&gt;=7",tbl_task2[[SubPLOs]:[SubPLOs]],"&lt;8")+SUMIFS(tbl_task3[S143],tbl_task3[[SubPLOs]:[SubPLOs]],"&gt;=7",tbl_task3[[SubPLOs]:[SubPLOs]],"&lt;8")+SUMIFS(tbl_task4[S143],tbl_task4[[SubPLOs]:[SubPLOs]],"&gt;=7",tbl_task4[[SubPLOs]:[SubPLOs]],"&lt;8")+SUMIFS(tbl_task5[S143],tbl_task5[[SubPLOs]:[SubPLOs]],"&gt;=7",tbl_task5[[SubPLOs]:[SubPLOs]],"&lt;8")+SUMIFS(tbl_task6[S143],tbl_task6[[SubPLOs]:[SubPLOs]],"&gt;=7",tbl_task6[[SubPLOs]:[SubPLOs]],"&lt;8")+SUMIFS(tbl_task7[S143],tbl_task7[[SubPLOs]:[SubPLOs]],"&gt;=7",tbl_task7[[SubPLOs]:[SubPLOs]],"&lt;8")+SUMIFS(tbl_task8[S143],tbl_task8[[SubPLOs]:[SubPLOs]],"&gt;=7",tbl_task8[[SubPLOs]:[SubPLOs]],"&lt;8")+SUMIFS(tbl_task9[S143],tbl_task9[[SubPLOs]:[SubPLOs]],"&gt;=7",tbl_task9[[SubPLOs]:[SubPLOs]],"&lt;8")+SUMIFS(tbl_task10[S143],tbl_task10[[SubPLOs]:[SubPLOs]],"&gt;=7",tbl_task10[[SubPLOs]:[SubPLOs]],"&lt;8")</f>
        <v>0</v>
      </c>
      <c r="ES186" s="41">
        <f>SUMIFS(tbl_task1[S144],tbl_task1[[SubPLOs]:[SubPLOs]],"&gt;=7",tbl_task1[[SubPLOs]:[SubPLOs]],"&lt;8")+SUMIFS(tbl_task2[S144],tbl_task2[[SubPLOs]:[SubPLOs]],"&gt;=7",tbl_task2[[SubPLOs]:[SubPLOs]],"&lt;8")+SUMIFS(tbl_task3[S144],tbl_task3[[SubPLOs]:[SubPLOs]],"&gt;=7",tbl_task3[[SubPLOs]:[SubPLOs]],"&lt;8")+SUMIFS(tbl_task4[S144],tbl_task4[[SubPLOs]:[SubPLOs]],"&gt;=7",tbl_task4[[SubPLOs]:[SubPLOs]],"&lt;8")+SUMIFS(tbl_task5[S144],tbl_task5[[SubPLOs]:[SubPLOs]],"&gt;=7",tbl_task5[[SubPLOs]:[SubPLOs]],"&lt;8")+SUMIFS(tbl_task6[S144],tbl_task6[[SubPLOs]:[SubPLOs]],"&gt;=7",tbl_task6[[SubPLOs]:[SubPLOs]],"&lt;8")+SUMIFS(tbl_task7[S144],tbl_task7[[SubPLOs]:[SubPLOs]],"&gt;=7",tbl_task7[[SubPLOs]:[SubPLOs]],"&lt;8")+SUMIFS(tbl_task8[S144],tbl_task8[[SubPLOs]:[SubPLOs]],"&gt;=7",tbl_task8[[SubPLOs]:[SubPLOs]],"&lt;8")+SUMIFS(tbl_task9[S144],tbl_task9[[SubPLOs]:[SubPLOs]],"&gt;=7",tbl_task9[[SubPLOs]:[SubPLOs]],"&lt;8")+SUMIFS(tbl_task10[S144],tbl_task10[[SubPLOs]:[SubPLOs]],"&gt;=7",tbl_task10[[SubPLOs]:[SubPLOs]],"&lt;8")</f>
        <v>0</v>
      </c>
      <c r="ET186" s="41">
        <f>SUMIFS(tbl_task1[S145],tbl_task1[[SubPLOs]:[SubPLOs]],"&gt;=7",tbl_task1[[SubPLOs]:[SubPLOs]],"&lt;8")+SUMIFS(tbl_task2[S145],tbl_task2[[SubPLOs]:[SubPLOs]],"&gt;=7",tbl_task2[[SubPLOs]:[SubPLOs]],"&lt;8")+SUMIFS(tbl_task3[S145],tbl_task3[[SubPLOs]:[SubPLOs]],"&gt;=7",tbl_task3[[SubPLOs]:[SubPLOs]],"&lt;8")+SUMIFS(tbl_task4[S145],tbl_task4[[SubPLOs]:[SubPLOs]],"&gt;=7",tbl_task4[[SubPLOs]:[SubPLOs]],"&lt;8")+SUMIFS(tbl_task5[S145],tbl_task5[[SubPLOs]:[SubPLOs]],"&gt;=7",tbl_task5[[SubPLOs]:[SubPLOs]],"&lt;8")+SUMIFS(tbl_task6[S145],tbl_task6[[SubPLOs]:[SubPLOs]],"&gt;=7",tbl_task6[[SubPLOs]:[SubPLOs]],"&lt;8")+SUMIFS(tbl_task7[S145],tbl_task7[[SubPLOs]:[SubPLOs]],"&gt;=7",tbl_task7[[SubPLOs]:[SubPLOs]],"&lt;8")+SUMIFS(tbl_task8[S145],tbl_task8[[SubPLOs]:[SubPLOs]],"&gt;=7",tbl_task8[[SubPLOs]:[SubPLOs]],"&lt;8")+SUMIFS(tbl_task9[S145],tbl_task9[[SubPLOs]:[SubPLOs]],"&gt;=7",tbl_task9[[SubPLOs]:[SubPLOs]],"&lt;8")+SUMIFS(tbl_task10[S145],tbl_task10[[SubPLOs]:[SubPLOs]],"&gt;=7",tbl_task10[[SubPLOs]:[SubPLOs]],"&lt;8")</f>
        <v>0</v>
      </c>
      <c r="EU186" s="41">
        <f>SUMIFS(tbl_task1[S146],tbl_task1[[SubPLOs]:[SubPLOs]],"&gt;=7",tbl_task1[[SubPLOs]:[SubPLOs]],"&lt;8")+SUMIFS(tbl_task2[S146],tbl_task2[[SubPLOs]:[SubPLOs]],"&gt;=7",tbl_task2[[SubPLOs]:[SubPLOs]],"&lt;8")+SUMIFS(tbl_task3[S146],tbl_task3[[SubPLOs]:[SubPLOs]],"&gt;=7",tbl_task3[[SubPLOs]:[SubPLOs]],"&lt;8")+SUMIFS(tbl_task4[S146],tbl_task4[[SubPLOs]:[SubPLOs]],"&gt;=7",tbl_task4[[SubPLOs]:[SubPLOs]],"&lt;8")+SUMIFS(tbl_task5[S146],tbl_task5[[SubPLOs]:[SubPLOs]],"&gt;=7",tbl_task5[[SubPLOs]:[SubPLOs]],"&lt;8")+SUMIFS(tbl_task6[S146],tbl_task6[[SubPLOs]:[SubPLOs]],"&gt;=7",tbl_task6[[SubPLOs]:[SubPLOs]],"&lt;8")+SUMIFS(tbl_task7[S146],tbl_task7[[SubPLOs]:[SubPLOs]],"&gt;=7",tbl_task7[[SubPLOs]:[SubPLOs]],"&lt;8")+SUMIFS(tbl_task8[S146],tbl_task8[[SubPLOs]:[SubPLOs]],"&gt;=7",tbl_task8[[SubPLOs]:[SubPLOs]],"&lt;8")+SUMIFS(tbl_task9[S146],tbl_task9[[SubPLOs]:[SubPLOs]],"&gt;=7",tbl_task9[[SubPLOs]:[SubPLOs]],"&lt;8")+SUMIFS(tbl_task10[S146],tbl_task10[[SubPLOs]:[SubPLOs]],"&gt;=7",tbl_task10[[SubPLOs]:[SubPLOs]],"&lt;8")</f>
        <v>0</v>
      </c>
      <c r="EV186" s="41">
        <f>SUMIFS(tbl_task1[S147],tbl_task1[[SubPLOs]:[SubPLOs]],"&gt;=7",tbl_task1[[SubPLOs]:[SubPLOs]],"&lt;8")+SUMIFS(tbl_task2[S147],tbl_task2[[SubPLOs]:[SubPLOs]],"&gt;=7",tbl_task2[[SubPLOs]:[SubPLOs]],"&lt;8")+SUMIFS(tbl_task3[S147],tbl_task3[[SubPLOs]:[SubPLOs]],"&gt;=7",tbl_task3[[SubPLOs]:[SubPLOs]],"&lt;8")+SUMIFS(tbl_task4[S147],tbl_task4[[SubPLOs]:[SubPLOs]],"&gt;=7",tbl_task4[[SubPLOs]:[SubPLOs]],"&lt;8")+SUMIFS(tbl_task5[S147],tbl_task5[[SubPLOs]:[SubPLOs]],"&gt;=7",tbl_task5[[SubPLOs]:[SubPLOs]],"&lt;8")+SUMIFS(tbl_task6[S147],tbl_task6[[SubPLOs]:[SubPLOs]],"&gt;=7",tbl_task6[[SubPLOs]:[SubPLOs]],"&lt;8")+SUMIFS(tbl_task7[S147],tbl_task7[[SubPLOs]:[SubPLOs]],"&gt;=7",tbl_task7[[SubPLOs]:[SubPLOs]],"&lt;8")+SUMIFS(tbl_task8[S147],tbl_task8[[SubPLOs]:[SubPLOs]],"&gt;=7",tbl_task8[[SubPLOs]:[SubPLOs]],"&lt;8")+SUMIFS(tbl_task9[S147],tbl_task9[[SubPLOs]:[SubPLOs]],"&gt;=7",tbl_task9[[SubPLOs]:[SubPLOs]],"&lt;8")+SUMIFS(tbl_task10[S147],tbl_task10[[SubPLOs]:[SubPLOs]],"&gt;=7",tbl_task10[[SubPLOs]:[SubPLOs]],"&lt;8")</f>
        <v>0</v>
      </c>
      <c r="EW186" s="41">
        <f>SUMIFS(tbl_task1[S148],tbl_task1[[SubPLOs]:[SubPLOs]],"&gt;=7",tbl_task1[[SubPLOs]:[SubPLOs]],"&lt;8")+SUMIFS(tbl_task2[S148],tbl_task2[[SubPLOs]:[SubPLOs]],"&gt;=7",tbl_task2[[SubPLOs]:[SubPLOs]],"&lt;8")+SUMIFS(tbl_task3[S148],tbl_task3[[SubPLOs]:[SubPLOs]],"&gt;=7",tbl_task3[[SubPLOs]:[SubPLOs]],"&lt;8")+SUMIFS(tbl_task4[S148],tbl_task4[[SubPLOs]:[SubPLOs]],"&gt;=7",tbl_task4[[SubPLOs]:[SubPLOs]],"&lt;8")+SUMIFS(tbl_task5[S148],tbl_task5[[SubPLOs]:[SubPLOs]],"&gt;=7",tbl_task5[[SubPLOs]:[SubPLOs]],"&lt;8")+SUMIFS(tbl_task6[S148],tbl_task6[[SubPLOs]:[SubPLOs]],"&gt;=7",tbl_task6[[SubPLOs]:[SubPLOs]],"&lt;8")+SUMIFS(tbl_task7[S148],tbl_task7[[SubPLOs]:[SubPLOs]],"&gt;=7",tbl_task7[[SubPLOs]:[SubPLOs]],"&lt;8")+SUMIFS(tbl_task8[S148],tbl_task8[[SubPLOs]:[SubPLOs]],"&gt;=7",tbl_task8[[SubPLOs]:[SubPLOs]],"&lt;8")+SUMIFS(tbl_task9[S148],tbl_task9[[SubPLOs]:[SubPLOs]],"&gt;=7",tbl_task9[[SubPLOs]:[SubPLOs]],"&lt;8")+SUMIFS(tbl_task10[S148],tbl_task10[[SubPLOs]:[SubPLOs]],"&gt;=7",tbl_task10[[SubPLOs]:[SubPLOs]],"&lt;8")</f>
        <v>0</v>
      </c>
      <c r="EX186" s="41">
        <f>SUMIFS(tbl_task1[S149],tbl_task1[[SubPLOs]:[SubPLOs]],"&gt;=7",tbl_task1[[SubPLOs]:[SubPLOs]],"&lt;8")+SUMIFS(tbl_task2[S149],tbl_task2[[SubPLOs]:[SubPLOs]],"&gt;=7",tbl_task2[[SubPLOs]:[SubPLOs]],"&lt;8")+SUMIFS(tbl_task3[S149],tbl_task3[[SubPLOs]:[SubPLOs]],"&gt;=7",tbl_task3[[SubPLOs]:[SubPLOs]],"&lt;8")+SUMIFS(tbl_task4[S149],tbl_task4[[SubPLOs]:[SubPLOs]],"&gt;=7",tbl_task4[[SubPLOs]:[SubPLOs]],"&lt;8")+SUMIFS(tbl_task5[S149],tbl_task5[[SubPLOs]:[SubPLOs]],"&gt;=7",tbl_task5[[SubPLOs]:[SubPLOs]],"&lt;8")+SUMIFS(tbl_task6[S149],tbl_task6[[SubPLOs]:[SubPLOs]],"&gt;=7",tbl_task6[[SubPLOs]:[SubPLOs]],"&lt;8")+SUMIFS(tbl_task7[S149],tbl_task7[[SubPLOs]:[SubPLOs]],"&gt;=7",tbl_task7[[SubPLOs]:[SubPLOs]],"&lt;8")+SUMIFS(tbl_task8[S149],tbl_task8[[SubPLOs]:[SubPLOs]],"&gt;=7",tbl_task8[[SubPLOs]:[SubPLOs]],"&lt;8")+SUMIFS(tbl_task9[S149],tbl_task9[[SubPLOs]:[SubPLOs]],"&gt;=7",tbl_task9[[SubPLOs]:[SubPLOs]],"&lt;8")+SUMIFS(tbl_task10[S149],tbl_task10[[SubPLOs]:[SubPLOs]],"&gt;=7",tbl_task10[[SubPLOs]:[SubPLOs]],"&lt;8")</f>
        <v>0</v>
      </c>
      <c r="EY186" s="41">
        <f>SUMIFS(tbl_task1[S150],tbl_task1[[SubPLOs]:[SubPLOs]],"&gt;=7",tbl_task1[[SubPLOs]:[SubPLOs]],"&lt;8")+SUMIFS(tbl_task2[S150],tbl_task2[[SubPLOs]:[SubPLOs]],"&gt;=7",tbl_task2[[SubPLOs]:[SubPLOs]],"&lt;8")+SUMIFS(tbl_task3[S150],tbl_task3[[SubPLOs]:[SubPLOs]],"&gt;=7",tbl_task3[[SubPLOs]:[SubPLOs]],"&lt;8")+SUMIFS(tbl_task4[S150],tbl_task4[[SubPLOs]:[SubPLOs]],"&gt;=7",tbl_task4[[SubPLOs]:[SubPLOs]],"&lt;8")+SUMIFS(tbl_task5[S150],tbl_task5[[SubPLOs]:[SubPLOs]],"&gt;=7",tbl_task5[[SubPLOs]:[SubPLOs]],"&lt;8")+SUMIFS(tbl_task6[S150],tbl_task6[[SubPLOs]:[SubPLOs]],"&gt;=7",tbl_task6[[SubPLOs]:[SubPLOs]],"&lt;8")+SUMIFS(tbl_task7[S150],tbl_task7[[SubPLOs]:[SubPLOs]],"&gt;=7",tbl_task7[[SubPLOs]:[SubPLOs]],"&lt;8")+SUMIFS(tbl_task8[S150],tbl_task8[[SubPLOs]:[SubPLOs]],"&gt;=7",tbl_task8[[SubPLOs]:[SubPLOs]],"&lt;8")+SUMIFS(tbl_task9[S150],tbl_task9[[SubPLOs]:[SubPLOs]],"&gt;=7",tbl_task9[[SubPLOs]:[SubPLOs]],"&lt;8")+SUMIFS(tbl_task10[S150],tbl_task10[[SubPLOs]:[SubPLOs]],"&gt;=7",tbl_task10[[SubPLOs]:[SubPLOs]],"&lt;8")</f>
        <v>0</v>
      </c>
      <c r="EZ186" s="41">
        <f>SUMIFS(tbl_task1[S151],tbl_task1[[SubPLOs]:[SubPLOs]],"&gt;=7",tbl_task1[[SubPLOs]:[SubPLOs]],"&lt;8")+SUMIFS(tbl_task2[S151],tbl_task2[[SubPLOs]:[SubPLOs]],"&gt;=7",tbl_task2[[SubPLOs]:[SubPLOs]],"&lt;8")+SUMIFS(tbl_task3[S151],tbl_task3[[SubPLOs]:[SubPLOs]],"&gt;=7",tbl_task3[[SubPLOs]:[SubPLOs]],"&lt;8")+SUMIFS(tbl_task4[S151],tbl_task4[[SubPLOs]:[SubPLOs]],"&gt;=7",tbl_task4[[SubPLOs]:[SubPLOs]],"&lt;8")+SUMIFS(tbl_task5[S151],tbl_task5[[SubPLOs]:[SubPLOs]],"&gt;=7",tbl_task5[[SubPLOs]:[SubPLOs]],"&lt;8")+SUMIFS(tbl_task6[S151],tbl_task6[[SubPLOs]:[SubPLOs]],"&gt;=7",tbl_task6[[SubPLOs]:[SubPLOs]],"&lt;8")+SUMIFS(tbl_task7[S151],tbl_task7[[SubPLOs]:[SubPLOs]],"&gt;=7",tbl_task7[[SubPLOs]:[SubPLOs]],"&lt;8")+SUMIFS(tbl_task8[S151],tbl_task8[[SubPLOs]:[SubPLOs]],"&gt;=7",tbl_task8[[SubPLOs]:[SubPLOs]],"&lt;8")+SUMIFS(tbl_task9[S151],tbl_task9[[SubPLOs]:[SubPLOs]],"&gt;=7",tbl_task9[[SubPLOs]:[SubPLOs]],"&lt;8")+SUMIFS(tbl_task10[S151],tbl_task10[[SubPLOs]:[SubPLOs]],"&gt;=7",tbl_task10[[SubPLOs]:[SubPLOs]],"&lt;8")</f>
        <v>0</v>
      </c>
      <c r="FA186" s="41">
        <f>SUMIFS(tbl_task1[S152],tbl_task1[[SubPLOs]:[SubPLOs]],"&gt;=7",tbl_task1[[SubPLOs]:[SubPLOs]],"&lt;8")+SUMIFS(tbl_task2[S152],tbl_task2[[SubPLOs]:[SubPLOs]],"&gt;=7",tbl_task2[[SubPLOs]:[SubPLOs]],"&lt;8")+SUMIFS(tbl_task3[S152],tbl_task3[[SubPLOs]:[SubPLOs]],"&gt;=7",tbl_task3[[SubPLOs]:[SubPLOs]],"&lt;8")+SUMIFS(tbl_task4[S152],tbl_task4[[SubPLOs]:[SubPLOs]],"&gt;=7",tbl_task4[[SubPLOs]:[SubPLOs]],"&lt;8")+SUMIFS(tbl_task5[S152],tbl_task5[[SubPLOs]:[SubPLOs]],"&gt;=7",tbl_task5[[SubPLOs]:[SubPLOs]],"&lt;8")+SUMIFS(tbl_task6[S152],tbl_task6[[SubPLOs]:[SubPLOs]],"&gt;=7",tbl_task6[[SubPLOs]:[SubPLOs]],"&lt;8")+SUMIFS(tbl_task7[S152],tbl_task7[[SubPLOs]:[SubPLOs]],"&gt;=7",tbl_task7[[SubPLOs]:[SubPLOs]],"&lt;8")+SUMIFS(tbl_task8[S152],tbl_task8[[SubPLOs]:[SubPLOs]],"&gt;=7",tbl_task8[[SubPLOs]:[SubPLOs]],"&lt;8")+SUMIFS(tbl_task9[S152],tbl_task9[[SubPLOs]:[SubPLOs]],"&gt;=7",tbl_task9[[SubPLOs]:[SubPLOs]],"&lt;8")+SUMIFS(tbl_task10[S152],tbl_task10[[SubPLOs]:[SubPLOs]],"&gt;=7",tbl_task10[[SubPLOs]:[SubPLOs]],"&lt;8")</f>
        <v>0</v>
      </c>
      <c r="FB186" s="41">
        <f>SUMIFS(tbl_task1[S153],tbl_task1[[SubPLOs]:[SubPLOs]],"&gt;=7",tbl_task1[[SubPLOs]:[SubPLOs]],"&lt;8")+SUMIFS(tbl_task2[S153],tbl_task2[[SubPLOs]:[SubPLOs]],"&gt;=7",tbl_task2[[SubPLOs]:[SubPLOs]],"&lt;8")+SUMIFS(tbl_task3[S153],tbl_task3[[SubPLOs]:[SubPLOs]],"&gt;=7",tbl_task3[[SubPLOs]:[SubPLOs]],"&lt;8")+SUMIFS(tbl_task4[S153],tbl_task4[[SubPLOs]:[SubPLOs]],"&gt;=7",tbl_task4[[SubPLOs]:[SubPLOs]],"&lt;8")+SUMIFS(tbl_task5[S153],tbl_task5[[SubPLOs]:[SubPLOs]],"&gt;=7",tbl_task5[[SubPLOs]:[SubPLOs]],"&lt;8")+SUMIFS(tbl_task6[S153],tbl_task6[[SubPLOs]:[SubPLOs]],"&gt;=7",tbl_task6[[SubPLOs]:[SubPLOs]],"&lt;8")+SUMIFS(tbl_task7[S153],tbl_task7[[SubPLOs]:[SubPLOs]],"&gt;=7",tbl_task7[[SubPLOs]:[SubPLOs]],"&lt;8")+SUMIFS(tbl_task8[S153],tbl_task8[[SubPLOs]:[SubPLOs]],"&gt;=7",tbl_task8[[SubPLOs]:[SubPLOs]],"&lt;8")+SUMIFS(tbl_task9[S153],tbl_task9[[SubPLOs]:[SubPLOs]],"&gt;=7",tbl_task9[[SubPLOs]:[SubPLOs]],"&lt;8")+SUMIFS(tbl_task10[S153],tbl_task10[[SubPLOs]:[SubPLOs]],"&gt;=7",tbl_task10[[SubPLOs]:[SubPLOs]],"&lt;8")</f>
        <v>0</v>
      </c>
      <c r="FC186" s="41">
        <f>SUMIFS(tbl_task1[S154],tbl_task1[[SubPLOs]:[SubPLOs]],"&gt;=7",tbl_task1[[SubPLOs]:[SubPLOs]],"&lt;8")+SUMIFS(tbl_task2[S154],tbl_task2[[SubPLOs]:[SubPLOs]],"&gt;=7",tbl_task2[[SubPLOs]:[SubPLOs]],"&lt;8")+SUMIFS(tbl_task3[S154],tbl_task3[[SubPLOs]:[SubPLOs]],"&gt;=7",tbl_task3[[SubPLOs]:[SubPLOs]],"&lt;8")+SUMIFS(tbl_task4[S154],tbl_task4[[SubPLOs]:[SubPLOs]],"&gt;=7",tbl_task4[[SubPLOs]:[SubPLOs]],"&lt;8")+SUMIFS(tbl_task5[S154],tbl_task5[[SubPLOs]:[SubPLOs]],"&gt;=7",tbl_task5[[SubPLOs]:[SubPLOs]],"&lt;8")+SUMIFS(tbl_task6[S154],tbl_task6[[SubPLOs]:[SubPLOs]],"&gt;=7",tbl_task6[[SubPLOs]:[SubPLOs]],"&lt;8")+SUMIFS(tbl_task7[S154],tbl_task7[[SubPLOs]:[SubPLOs]],"&gt;=7",tbl_task7[[SubPLOs]:[SubPLOs]],"&lt;8")+SUMIFS(tbl_task8[S154],tbl_task8[[SubPLOs]:[SubPLOs]],"&gt;=7",tbl_task8[[SubPLOs]:[SubPLOs]],"&lt;8")+SUMIFS(tbl_task9[S154],tbl_task9[[SubPLOs]:[SubPLOs]],"&gt;=7",tbl_task9[[SubPLOs]:[SubPLOs]],"&lt;8")+SUMIFS(tbl_task10[S154],tbl_task10[[SubPLOs]:[SubPLOs]],"&gt;=7",tbl_task10[[SubPLOs]:[SubPLOs]],"&lt;8")</f>
        <v>0</v>
      </c>
      <c r="FD186" s="41">
        <f>SUMIFS(tbl_task1[S155],tbl_task1[[SubPLOs]:[SubPLOs]],"&gt;=7",tbl_task1[[SubPLOs]:[SubPLOs]],"&lt;8")+SUMIFS(tbl_task2[S155],tbl_task2[[SubPLOs]:[SubPLOs]],"&gt;=7",tbl_task2[[SubPLOs]:[SubPLOs]],"&lt;8")+SUMIFS(tbl_task3[S155],tbl_task3[[SubPLOs]:[SubPLOs]],"&gt;=7",tbl_task3[[SubPLOs]:[SubPLOs]],"&lt;8")+SUMIFS(tbl_task4[S155],tbl_task4[[SubPLOs]:[SubPLOs]],"&gt;=7",tbl_task4[[SubPLOs]:[SubPLOs]],"&lt;8")+SUMIFS(tbl_task5[S155],tbl_task5[[SubPLOs]:[SubPLOs]],"&gt;=7",tbl_task5[[SubPLOs]:[SubPLOs]],"&lt;8")+SUMIFS(tbl_task6[S155],tbl_task6[[SubPLOs]:[SubPLOs]],"&gt;=7",tbl_task6[[SubPLOs]:[SubPLOs]],"&lt;8")+SUMIFS(tbl_task7[S155],tbl_task7[[SubPLOs]:[SubPLOs]],"&gt;=7",tbl_task7[[SubPLOs]:[SubPLOs]],"&lt;8")+SUMIFS(tbl_task8[S155],tbl_task8[[SubPLOs]:[SubPLOs]],"&gt;=7",tbl_task8[[SubPLOs]:[SubPLOs]],"&lt;8")+SUMIFS(tbl_task9[S155],tbl_task9[[SubPLOs]:[SubPLOs]],"&gt;=7",tbl_task9[[SubPLOs]:[SubPLOs]],"&lt;8")+SUMIFS(tbl_task10[S155],tbl_task10[[SubPLOs]:[SubPLOs]],"&gt;=7",tbl_task10[[SubPLOs]:[SubPLOs]],"&lt;8")</f>
        <v>0</v>
      </c>
      <c r="FE186" s="41">
        <f>SUMIFS(tbl_task1[S156],tbl_task1[[SubPLOs]:[SubPLOs]],"&gt;=7",tbl_task1[[SubPLOs]:[SubPLOs]],"&lt;8")+SUMIFS(tbl_task2[S156],tbl_task2[[SubPLOs]:[SubPLOs]],"&gt;=7",tbl_task2[[SubPLOs]:[SubPLOs]],"&lt;8")+SUMIFS(tbl_task3[S156],tbl_task3[[SubPLOs]:[SubPLOs]],"&gt;=7",tbl_task3[[SubPLOs]:[SubPLOs]],"&lt;8")+SUMIFS(tbl_task4[S156],tbl_task4[[SubPLOs]:[SubPLOs]],"&gt;=7",tbl_task4[[SubPLOs]:[SubPLOs]],"&lt;8")+SUMIFS(tbl_task5[S156],tbl_task5[[SubPLOs]:[SubPLOs]],"&gt;=7",tbl_task5[[SubPLOs]:[SubPLOs]],"&lt;8")+SUMIFS(tbl_task6[S156],tbl_task6[[SubPLOs]:[SubPLOs]],"&gt;=7",tbl_task6[[SubPLOs]:[SubPLOs]],"&lt;8")+SUMIFS(tbl_task7[S156],tbl_task7[[SubPLOs]:[SubPLOs]],"&gt;=7",tbl_task7[[SubPLOs]:[SubPLOs]],"&lt;8")+SUMIFS(tbl_task8[S156],tbl_task8[[SubPLOs]:[SubPLOs]],"&gt;=7",tbl_task8[[SubPLOs]:[SubPLOs]],"&lt;8")+SUMIFS(tbl_task9[S156],tbl_task9[[SubPLOs]:[SubPLOs]],"&gt;=7",tbl_task9[[SubPLOs]:[SubPLOs]],"&lt;8")+SUMIFS(tbl_task10[S156],tbl_task10[[SubPLOs]:[SubPLOs]],"&gt;=7",tbl_task10[[SubPLOs]:[SubPLOs]],"&lt;8")</f>
        <v>0</v>
      </c>
      <c r="FF186" s="41">
        <f>SUMIFS(tbl_task1[S157],tbl_task1[[SubPLOs]:[SubPLOs]],"&gt;=7",tbl_task1[[SubPLOs]:[SubPLOs]],"&lt;8")+SUMIFS(tbl_task2[S157],tbl_task2[[SubPLOs]:[SubPLOs]],"&gt;=7",tbl_task2[[SubPLOs]:[SubPLOs]],"&lt;8")+SUMIFS(tbl_task3[S157],tbl_task3[[SubPLOs]:[SubPLOs]],"&gt;=7",tbl_task3[[SubPLOs]:[SubPLOs]],"&lt;8")+SUMIFS(tbl_task4[S157],tbl_task4[[SubPLOs]:[SubPLOs]],"&gt;=7",tbl_task4[[SubPLOs]:[SubPLOs]],"&lt;8")+SUMIFS(tbl_task5[S157],tbl_task5[[SubPLOs]:[SubPLOs]],"&gt;=7",tbl_task5[[SubPLOs]:[SubPLOs]],"&lt;8")+SUMIFS(tbl_task6[S157],tbl_task6[[SubPLOs]:[SubPLOs]],"&gt;=7",tbl_task6[[SubPLOs]:[SubPLOs]],"&lt;8")+SUMIFS(tbl_task7[S157],tbl_task7[[SubPLOs]:[SubPLOs]],"&gt;=7",tbl_task7[[SubPLOs]:[SubPLOs]],"&lt;8")+SUMIFS(tbl_task8[S157],tbl_task8[[SubPLOs]:[SubPLOs]],"&gt;=7",tbl_task8[[SubPLOs]:[SubPLOs]],"&lt;8")+SUMIFS(tbl_task9[S157],tbl_task9[[SubPLOs]:[SubPLOs]],"&gt;=7",tbl_task9[[SubPLOs]:[SubPLOs]],"&lt;8")+SUMIFS(tbl_task10[S157],tbl_task10[[SubPLOs]:[SubPLOs]],"&gt;=7",tbl_task10[[SubPLOs]:[SubPLOs]],"&lt;8")</f>
        <v>0</v>
      </c>
      <c r="FG186" s="41">
        <f>SUMIFS(tbl_task1[S158],tbl_task1[[SubPLOs]:[SubPLOs]],"&gt;=7",tbl_task1[[SubPLOs]:[SubPLOs]],"&lt;8")+SUMIFS(tbl_task2[S158],tbl_task2[[SubPLOs]:[SubPLOs]],"&gt;=7",tbl_task2[[SubPLOs]:[SubPLOs]],"&lt;8")+SUMIFS(tbl_task3[S158],tbl_task3[[SubPLOs]:[SubPLOs]],"&gt;=7",tbl_task3[[SubPLOs]:[SubPLOs]],"&lt;8")+SUMIFS(tbl_task4[S158],tbl_task4[[SubPLOs]:[SubPLOs]],"&gt;=7",tbl_task4[[SubPLOs]:[SubPLOs]],"&lt;8")+SUMIFS(tbl_task5[S158],tbl_task5[[SubPLOs]:[SubPLOs]],"&gt;=7",tbl_task5[[SubPLOs]:[SubPLOs]],"&lt;8")+SUMIFS(tbl_task6[S158],tbl_task6[[SubPLOs]:[SubPLOs]],"&gt;=7",tbl_task6[[SubPLOs]:[SubPLOs]],"&lt;8")+SUMIFS(tbl_task7[S158],tbl_task7[[SubPLOs]:[SubPLOs]],"&gt;=7",tbl_task7[[SubPLOs]:[SubPLOs]],"&lt;8")+SUMIFS(tbl_task8[S158],tbl_task8[[SubPLOs]:[SubPLOs]],"&gt;=7",tbl_task8[[SubPLOs]:[SubPLOs]],"&lt;8")+SUMIFS(tbl_task9[S158],tbl_task9[[SubPLOs]:[SubPLOs]],"&gt;=7",tbl_task9[[SubPLOs]:[SubPLOs]],"&lt;8")+SUMIFS(tbl_task10[S158],tbl_task10[[SubPLOs]:[SubPLOs]],"&gt;=7",tbl_task10[[SubPLOs]:[SubPLOs]],"&lt;8")</f>
        <v>0</v>
      </c>
      <c r="FH186" s="41">
        <f>SUMIFS(tbl_task1[S159],tbl_task1[[SubPLOs]:[SubPLOs]],"&gt;=7",tbl_task1[[SubPLOs]:[SubPLOs]],"&lt;8")+SUMIFS(tbl_task2[S159],tbl_task2[[SubPLOs]:[SubPLOs]],"&gt;=7",tbl_task2[[SubPLOs]:[SubPLOs]],"&lt;8")+SUMIFS(tbl_task3[S159],tbl_task3[[SubPLOs]:[SubPLOs]],"&gt;=7",tbl_task3[[SubPLOs]:[SubPLOs]],"&lt;8")+SUMIFS(tbl_task4[S159],tbl_task4[[SubPLOs]:[SubPLOs]],"&gt;=7",tbl_task4[[SubPLOs]:[SubPLOs]],"&lt;8")+SUMIFS(tbl_task5[S159],tbl_task5[[SubPLOs]:[SubPLOs]],"&gt;=7",tbl_task5[[SubPLOs]:[SubPLOs]],"&lt;8")+SUMIFS(tbl_task6[S159],tbl_task6[[SubPLOs]:[SubPLOs]],"&gt;=7",tbl_task6[[SubPLOs]:[SubPLOs]],"&lt;8")+SUMIFS(tbl_task7[S159],tbl_task7[[SubPLOs]:[SubPLOs]],"&gt;=7",tbl_task7[[SubPLOs]:[SubPLOs]],"&lt;8")+SUMIFS(tbl_task8[S159],tbl_task8[[SubPLOs]:[SubPLOs]],"&gt;=7",tbl_task8[[SubPLOs]:[SubPLOs]],"&lt;8")+SUMIFS(tbl_task9[S159],tbl_task9[[SubPLOs]:[SubPLOs]],"&gt;=7",tbl_task9[[SubPLOs]:[SubPLOs]],"&lt;8")+SUMIFS(tbl_task10[S159],tbl_task10[[SubPLOs]:[SubPLOs]],"&gt;=7",tbl_task10[[SubPLOs]:[SubPLOs]],"&lt;8")</f>
        <v>0</v>
      </c>
      <c r="FI186" s="41">
        <f>SUMIFS(tbl_task1[S160],tbl_task1[[SubPLOs]:[SubPLOs]],"&gt;=7",tbl_task1[[SubPLOs]:[SubPLOs]],"&lt;8")+SUMIFS(tbl_task2[S160],tbl_task2[[SubPLOs]:[SubPLOs]],"&gt;=7",tbl_task2[[SubPLOs]:[SubPLOs]],"&lt;8")+SUMIFS(tbl_task3[S160],tbl_task3[[SubPLOs]:[SubPLOs]],"&gt;=7",tbl_task3[[SubPLOs]:[SubPLOs]],"&lt;8")+SUMIFS(tbl_task4[S160],tbl_task4[[SubPLOs]:[SubPLOs]],"&gt;=7",tbl_task4[[SubPLOs]:[SubPLOs]],"&lt;8")+SUMIFS(tbl_task5[S160],tbl_task5[[SubPLOs]:[SubPLOs]],"&gt;=7",tbl_task5[[SubPLOs]:[SubPLOs]],"&lt;8")+SUMIFS(tbl_task6[S160],tbl_task6[[SubPLOs]:[SubPLOs]],"&gt;=7",tbl_task6[[SubPLOs]:[SubPLOs]],"&lt;8")+SUMIFS(tbl_task7[S160],tbl_task7[[SubPLOs]:[SubPLOs]],"&gt;=7",tbl_task7[[SubPLOs]:[SubPLOs]],"&lt;8")+SUMIFS(tbl_task8[S160],tbl_task8[[SubPLOs]:[SubPLOs]],"&gt;=7",tbl_task8[[SubPLOs]:[SubPLOs]],"&lt;8")+SUMIFS(tbl_task9[S160],tbl_task9[[SubPLOs]:[SubPLOs]],"&gt;=7",tbl_task9[[SubPLOs]:[SubPLOs]],"&lt;8")+SUMIFS(tbl_task10[S160],tbl_task10[[SubPLOs]:[SubPLOs]],"&gt;=7",tbl_task10[[SubPLOs]:[SubPLOs]],"&lt;8")</f>
        <v>0</v>
      </c>
      <c r="FJ186" s="41">
        <f>SUMIFS(tbl_task1[S161],tbl_task1[[SubPLOs]:[SubPLOs]],"&gt;=7",tbl_task1[[SubPLOs]:[SubPLOs]],"&lt;8")+SUMIFS(tbl_task2[S161],tbl_task2[[SubPLOs]:[SubPLOs]],"&gt;=7",tbl_task2[[SubPLOs]:[SubPLOs]],"&lt;8")+SUMIFS(tbl_task3[S161],tbl_task3[[SubPLOs]:[SubPLOs]],"&gt;=7",tbl_task3[[SubPLOs]:[SubPLOs]],"&lt;8")+SUMIFS(tbl_task4[S161],tbl_task4[[SubPLOs]:[SubPLOs]],"&gt;=7",tbl_task4[[SubPLOs]:[SubPLOs]],"&lt;8")+SUMIFS(tbl_task5[S161],tbl_task5[[SubPLOs]:[SubPLOs]],"&gt;=7",tbl_task5[[SubPLOs]:[SubPLOs]],"&lt;8")+SUMIFS(tbl_task6[S161],tbl_task6[[SubPLOs]:[SubPLOs]],"&gt;=7",tbl_task6[[SubPLOs]:[SubPLOs]],"&lt;8")+SUMIFS(tbl_task7[S161],tbl_task7[[SubPLOs]:[SubPLOs]],"&gt;=7",tbl_task7[[SubPLOs]:[SubPLOs]],"&lt;8")+SUMIFS(tbl_task8[S161],tbl_task8[[SubPLOs]:[SubPLOs]],"&gt;=7",tbl_task8[[SubPLOs]:[SubPLOs]],"&lt;8")+SUMIFS(tbl_task9[S161],tbl_task9[[SubPLOs]:[SubPLOs]],"&gt;=7",tbl_task9[[SubPLOs]:[SubPLOs]],"&lt;8")+SUMIFS(tbl_task10[S161],tbl_task10[[SubPLOs]:[SubPLOs]],"&gt;=7",tbl_task10[[SubPLOs]:[SubPLOs]],"&lt;8")</f>
        <v>0</v>
      </c>
      <c r="FK186" s="41">
        <f>SUMIFS(tbl_task1[S162],tbl_task1[[SubPLOs]:[SubPLOs]],"&gt;=7",tbl_task1[[SubPLOs]:[SubPLOs]],"&lt;8")+SUMIFS(tbl_task2[S162],tbl_task2[[SubPLOs]:[SubPLOs]],"&gt;=7",tbl_task2[[SubPLOs]:[SubPLOs]],"&lt;8")+SUMIFS(tbl_task3[S162],tbl_task3[[SubPLOs]:[SubPLOs]],"&gt;=7",tbl_task3[[SubPLOs]:[SubPLOs]],"&lt;8")+SUMIFS(tbl_task4[S162],tbl_task4[[SubPLOs]:[SubPLOs]],"&gt;=7",tbl_task4[[SubPLOs]:[SubPLOs]],"&lt;8")+SUMIFS(tbl_task5[S162],tbl_task5[[SubPLOs]:[SubPLOs]],"&gt;=7",tbl_task5[[SubPLOs]:[SubPLOs]],"&lt;8")+SUMIFS(tbl_task6[S162],tbl_task6[[SubPLOs]:[SubPLOs]],"&gt;=7",tbl_task6[[SubPLOs]:[SubPLOs]],"&lt;8")+SUMIFS(tbl_task7[S162],tbl_task7[[SubPLOs]:[SubPLOs]],"&gt;=7",tbl_task7[[SubPLOs]:[SubPLOs]],"&lt;8")+SUMIFS(tbl_task8[S162],tbl_task8[[SubPLOs]:[SubPLOs]],"&gt;=7",tbl_task8[[SubPLOs]:[SubPLOs]],"&lt;8")+SUMIFS(tbl_task9[S162],tbl_task9[[SubPLOs]:[SubPLOs]],"&gt;=7",tbl_task9[[SubPLOs]:[SubPLOs]],"&lt;8")+SUMIFS(tbl_task10[S162],tbl_task10[[SubPLOs]:[SubPLOs]],"&gt;=7",tbl_task10[[SubPLOs]:[SubPLOs]],"&lt;8")</f>
        <v>0</v>
      </c>
      <c r="FL186" s="41">
        <f>SUMIFS(tbl_task1[S163],tbl_task1[[SubPLOs]:[SubPLOs]],"&gt;=7",tbl_task1[[SubPLOs]:[SubPLOs]],"&lt;8")+SUMIFS(tbl_task2[S163],tbl_task2[[SubPLOs]:[SubPLOs]],"&gt;=7",tbl_task2[[SubPLOs]:[SubPLOs]],"&lt;8")+SUMIFS(tbl_task3[S163],tbl_task3[[SubPLOs]:[SubPLOs]],"&gt;=7",tbl_task3[[SubPLOs]:[SubPLOs]],"&lt;8")+SUMIFS(tbl_task4[S163],tbl_task4[[SubPLOs]:[SubPLOs]],"&gt;=7",tbl_task4[[SubPLOs]:[SubPLOs]],"&lt;8")+SUMIFS(tbl_task5[S163],tbl_task5[[SubPLOs]:[SubPLOs]],"&gt;=7",tbl_task5[[SubPLOs]:[SubPLOs]],"&lt;8")+SUMIFS(tbl_task6[S163],tbl_task6[[SubPLOs]:[SubPLOs]],"&gt;=7",tbl_task6[[SubPLOs]:[SubPLOs]],"&lt;8")+SUMIFS(tbl_task7[S163],tbl_task7[[SubPLOs]:[SubPLOs]],"&gt;=7",tbl_task7[[SubPLOs]:[SubPLOs]],"&lt;8")+SUMIFS(tbl_task8[S163],tbl_task8[[SubPLOs]:[SubPLOs]],"&gt;=7",tbl_task8[[SubPLOs]:[SubPLOs]],"&lt;8")+SUMIFS(tbl_task9[S163],tbl_task9[[SubPLOs]:[SubPLOs]],"&gt;=7",tbl_task9[[SubPLOs]:[SubPLOs]],"&lt;8")+SUMIFS(tbl_task10[S163],tbl_task10[[SubPLOs]:[SubPLOs]],"&gt;=7",tbl_task10[[SubPLOs]:[SubPLOs]],"&lt;8")</f>
        <v>0</v>
      </c>
      <c r="FM186" s="41">
        <f>SUMIFS(tbl_task1[S164],tbl_task1[[SubPLOs]:[SubPLOs]],"&gt;=7",tbl_task1[[SubPLOs]:[SubPLOs]],"&lt;8")+SUMIFS(tbl_task2[S164],tbl_task2[[SubPLOs]:[SubPLOs]],"&gt;=7",tbl_task2[[SubPLOs]:[SubPLOs]],"&lt;8")+SUMIFS(tbl_task3[S164],tbl_task3[[SubPLOs]:[SubPLOs]],"&gt;=7",tbl_task3[[SubPLOs]:[SubPLOs]],"&lt;8")+SUMIFS(tbl_task4[S164],tbl_task4[[SubPLOs]:[SubPLOs]],"&gt;=7",tbl_task4[[SubPLOs]:[SubPLOs]],"&lt;8")+SUMIFS(tbl_task5[S164],tbl_task5[[SubPLOs]:[SubPLOs]],"&gt;=7",tbl_task5[[SubPLOs]:[SubPLOs]],"&lt;8")+SUMIFS(tbl_task6[S164],tbl_task6[[SubPLOs]:[SubPLOs]],"&gt;=7",tbl_task6[[SubPLOs]:[SubPLOs]],"&lt;8")+SUMIFS(tbl_task7[S164],tbl_task7[[SubPLOs]:[SubPLOs]],"&gt;=7",tbl_task7[[SubPLOs]:[SubPLOs]],"&lt;8")+SUMIFS(tbl_task8[S164],tbl_task8[[SubPLOs]:[SubPLOs]],"&gt;=7",tbl_task8[[SubPLOs]:[SubPLOs]],"&lt;8")+SUMIFS(tbl_task9[S164],tbl_task9[[SubPLOs]:[SubPLOs]],"&gt;=7",tbl_task9[[SubPLOs]:[SubPLOs]],"&lt;8")+SUMIFS(tbl_task10[S164],tbl_task10[[SubPLOs]:[SubPLOs]],"&gt;=7",tbl_task10[[SubPLOs]:[SubPLOs]],"&lt;8")</f>
        <v>0</v>
      </c>
      <c r="FN186" s="41">
        <f>SUMIFS(tbl_task1[S165],tbl_task1[[SubPLOs]:[SubPLOs]],"&gt;=7",tbl_task1[[SubPLOs]:[SubPLOs]],"&lt;8")+SUMIFS(tbl_task2[S165],tbl_task2[[SubPLOs]:[SubPLOs]],"&gt;=7",tbl_task2[[SubPLOs]:[SubPLOs]],"&lt;8")+SUMIFS(tbl_task3[S165],tbl_task3[[SubPLOs]:[SubPLOs]],"&gt;=7",tbl_task3[[SubPLOs]:[SubPLOs]],"&lt;8")+SUMIFS(tbl_task4[S165],tbl_task4[[SubPLOs]:[SubPLOs]],"&gt;=7",tbl_task4[[SubPLOs]:[SubPLOs]],"&lt;8")+SUMIFS(tbl_task5[S165],tbl_task5[[SubPLOs]:[SubPLOs]],"&gt;=7",tbl_task5[[SubPLOs]:[SubPLOs]],"&lt;8")+SUMIFS(tbl_task6[S165],tbl_task6[[SubPLOs]:[SubPLOs]],"&gt;=7",tbl_task6[[SubPLOs]:[SubPLOs]],"&lt;8")+SUMIFS(tbl_task7[S165],tbl_task7[[SubPLOs]:[SubPLOs]],"&gt;=7",tbl_task7[[SubPLOs]:[SubPLOs]],"&lt;8")+SUMIFS(tbl_task8[S165],tbl_task8[[SubPLOs]:[SubPLOs]],"&gt;=7",tbl_task8[[SubPLOs]:[SubPLOs]],"&lt;8")+SUMIFS(tbl_task9[S165],tbl_task9[[SubPLOs]:[SubPLOs]],"&gt;=7",tbl_task9[[SubPLOs]:[SubPLOs]],"&lt;8")+SUMIFS(tbl_task10[S165],tbl_task10[[SubPLOs]:[SubPLOs]],"&gt;=7",tbl_task10[[SubPLOs]:[SubPLOs]],"&lt;8")</f>
        <v>0</v>
      </c>
    </row>
    <row r="187" spans="1:170" ht="85.8" customHeight="1" x14ac:dyDescent="0.25">
      <c r="A187" s="135">
        <v>8</v>
      </c>
      <c r="B187" s="5" t="s">
        <v>441</v>
      </c>
      <c r="C187" s="86">
        <f>COUNTIFS(tbl_task1[SubPLOs],"&gt;=8",tbl_task1[SubPLOs],"&lt;9")+COUNTIFS(tbl_task2[SubPLOs],"&gt;=8",tbl_task2[SubPLOs],"&lt;9")+COUNTIFS(tbl_task3[SubPLOs],"&gt;=8",tbl_task3[SubPLOs],"&lt;9")+COUNTIFS(tbl_task4[SubPLOs],"&gt;=8",tbl_task4[SubPLOs],"&lt;9")+COUNTIFS(tbl_task5[SubPLOs],"&gt;=8",tbl_task5[SubPLOs],"&lt;9")+COUNTIFS(tbl_task6[SubPLOs],"&gt;=8",tbl_task6[SubPLOs],"&lt;9")+COUNTIFS(tbl_task7[SubPLOs],"&gt;=8",tbl_task7[SubPLOs],"&lt;9")+COUNTIFS(tbl_task8[SubPLOs],"&gt;=8",tbl_task8[SubPLOs],"&lt;9")+COUNTIFS(tbl_task9[SubPLOs],"&gt;=8",tbl_task9[SubPLOs],"&lt;9")+COUNTIFS(tbl_task10[SubPLOs],"&gt;=8",tbl_task10[SubPLOs],"&lt;9")</f>
        <v>0</v>
      </c>
      <c r="D187" s="86">
        <f>SUMIFS(tbl_task1[คะแนนเต็ม],tbl_task1[SubPLOs],"&gt;=8",tbl_task1[SubPLOs],"&lt;9")+SUMIFS(tbl_task2[คะแนนเต็ม],tbl_task2[SubPLOs],"&gt;=8",tbl_task2[SubPLOs],"&lt;9")+SUMIFS(tbl_task3[คะแนนเต็ม],tbl_task3[SubPLOs],"&gt;=8",tbl_task3[SubPLOs],"&lt;9")+SUMIFS(tbl_task4[คะแนนเต็ม],tbl_task4[SubPLOs],"&gt;=8",tbl_task4[SubPLOs],"&lt;9")+SUMIFS(tbl_task5[คะแนนเต็ม],tbl_task5[SubPLOs],"&gt;=8",tbl_task5[SubPLOs],"&lt;9")+SUMIFS(tbl_task6[คะแนนเต็ม],tbl_task6[SubPLOs],"&gt;=8",tbl_task6[SubPLOs],"&lt;9")+SUMIFS(tbl_task7[คะแนนเต็ม],tbl_task7[SubPLOs],"&gt;=8",tbl_task7[SubPLOs],"&lt;9")+SUMIFS(tbl_task8[คะแนนเต็ม],tbl_task8[SubPLOs],"&gt;=8",tbl_task8[SubPLOs],"&lt;9")+SUMIFS(tbl_task9[คะแนนเต็ม],tbl_task9[SubPLOs],"&gt;=8",tbl_task9[SubPLOs],"&lt;9")+SUMIFS(tbl_task10[คะแนนเต็ม],tbl_task10[SubPLOs],"&gt;=8",tbl_task10[SubPLOs],"&lt;9")</f>
        <v>0</v>
      </c>
      <c r="E187" s="47">
        <f>SUMIFS(tbl_task1[%],tbl_task1[SubPLOs],"&gt;=8",tbl_task1[SubPLOs],"&lt;9")+SUMIFS(tbl_task2[%],tbl_task2[SubPLOs],"&gt;=8",tbl_task2[SubPLOs],"&lt;9")+SUMIFS(tbl_task3[%],tbl_task3[SubPLOs],"&gt;=8",tbl_task3[SubPLOs],"&lt;9")+SUMIFS(tbl_task4[%],tbl_task4[SubPLOs],"&gt;=8",tbl_task4[SubPLOs],"&lt;9")+SUMIFS(tbl_task5[%],tbl_task5[SubPLOs],"&gt;=8",tbl_task5[SubPLOs],"&lt;9")+SUMIFS(tbl_task6[%],tbl_task6[SubPLOs],"&gt;=8",tbl_task6[SubPLOs],"&lt;9")+SUMIFS(tbl_task7[%],tbl_task7[SubPLOs],"&gt;=8",tbl_task7[SubPLOs],"&lt;9")+SUMIFS(tbl_task8[%],tbl_task8[SubPLOs],"&gt;=8",tbl_task8[SubPLOs],"&lt;9")+SUMIFS(tbl_task9[%],tbl_task9[SubPLOs],"&gt;=8",tbl_task9[SubPLOs],"&lt;9")+SUMIFS(tbl_task10[%],tbl_task10[SubPLOs],"&gt;=8",tbl_task10[SubPLOs],"&lt;9")</f>
        <v>0</v>
      </c>
      <c r="F187" s="41">
        <f>SUMIFS(tbl_task1[S1],tbl_task1[[SubPLOs]:[SubPLOs]],"&gt;=8",tbl_task1[[SubPLOs]:[SubPLOs]],"&lt;9")+SUMIFS(tbl_task2[S1],tbl_task2[[SubPLOs]:[SubPLOs]],"&gt;=8",tbl_task2[[SubPLOs]:[SubPLOs]],"&lt;9")+SUMIFS(tbl_task3[S1],tbl_task3[[SubPLOs]:[SubPLOs]],"&gt;=8",tbl_task3[[SubPLOs]:[SubPLOs]],"&lt;9")+SUMIFS(tbl_task4[S1],tbl_task4[[SubPLOs]:[SubPLOs]],"&gt;=8",tbl_task4[[SubPLOs]:[SubPLOs]],"&lt;9")+SUMIFS(tbl_task5[S1],tbl_task5[[SubPLOs]:[SubPLOs]],"&gt;=8",tbl_task5[[SubPLOs]:[SubPLOs]],"&lt;9")+SUMIFS(tbl_task6[S1],tbl_task6[[SubPLOs]:[SubPLOs]],"&gt;=8",tbl_task6[[SubPLOs]:[SubPLOs]],"&lt;9")+SUMIFS(tbl_task7[S1],tbl_task7[[SubPLOs]:[SubPLOs]],"&gt;=8",tbl_task7[[SubPLOs]:[SubPLOs]],"&lt;9")+SUMIFS(tbl_task8[S1],tbl_task8[[SubPLOs]:[SubPLOs]],"&gt;=8",tbl_task8[[SubPLOs]:[SubPLOs]],"&lt;9")+SUMIFS(tbl_task9[S1],tbl_task9[[SubPLOs]:[SubPLOs]],"&gt;=8",tbl_task9[[SubPLOs]:[SubPLOs]],"&lt;9")+SUMIFS(tbl_task10[S1],tbl_task10[[SubPLOs]:[SubPLOs]],"&gt;=8",tbl_task10[[SubPLOs]:[SubPLOs]],"&lt;9")</f>
        <v>0</v>
      </c>
      <c r="G187" s="41">
        <f>SUMIFS(tbl_task1[S2],tbl_task1[[SubPLOs]:[SubPLOs]],"&gt;=8",tbl_task1[[SubPLOs]:[SubPLOs]],"&lt;9")+SUMIFS(tbl_task2[S2],tbl_task2[[SubPLOs]:[SubPLOs]],"&gt;=8",tbl_task2[[SubPLOs]:[SubPLOs]],"&lt;9")+SUMIFS(tbl_task3[S2],tbl_task3[[SubPLOs]:[SubPLOs]],"&gt;=8",tbl_task3[[SubPLOs]:[SubPLOs]],"&lt;9")+SUMIFS(tbl_task4[S2],tbl_task4[[SubPLOs]:[SubPLOs]],"&gt;=8",tbl_task4[[SubPLOs]:[SubPLOs]],"&lt;9")+SUMIFS(tbl_task5[S2],tbl_task5[[SubPLOs]:[SubPLOs]],"&gt;=8",tbl_task5[[SubPLOs]:[SubPLOs]],"&lt;9")+SUMIFS(tbl_task6[S2],tbl_task6[[SubPLOs]:[SubPLOs]],"&gt;=8",tbl_task6[[SubPLOs]:[SubPLOs]],"&lt;9")+SUMIFS(tbl_task7[S2],tbl_task7[[SubPLOs]:[SubPLOs]],"&gt;=8",tbl_task7[[SubPLOs]:[SubPLOs]],"&lt;9")+SUMIFS(tbl_task8[S2],tbl_task8[[SubPLOs]:[SubPLOs]],"&gt;=8",tbl_task8[[SubPLOs]:[SubPLOs]],"&lt;9")+SUMIFS(tbl_task9[S2],tbl_task9[[SubPLOs]:[SubPLOs]],"&gt;=8",tbl_task9[[SubPLOs]:[SubPLOs]],"&lt;9")+SUMIFS(tbl_task10[S2],tbl_task10[[SubPLOs]:[SubPLOs]],"&gt;=8",tbl_task10[[SubPLOs]:[SubPLOs]],"&lt;9")</f>
        <v>0</v>
      </c>
      <c r="H187" s="41">
        <f>SUMIFS(tbl_task1[S3],tbl_task1[[SubPLOs]:[SubPLOs]],"&gt;=8",tbl_task1[[SubPLOs]:[SubPLOs]],"&lt;9")+SUMIFS(tbl_task2[S3],tbl_task2[[SubPLOs]:[SubPLOs]],"&gt;=8",tbl_task2[[SubPLOs]:[SubPLOs]],"&lt;9")+SUMIFS(tbl_task3[S3],tbl_task3[[SubPLOs]:[SubPLOs]],"&gt;=8",tbl_task3[[SubPLOs]:[SubPLOs]],"&lt;9")+SUMIFS(tbl_task4[S3],tbl_task4[[SubPLOs]:[SubPLOs]],"&gt;=8",tbl_task4[[SubPLOs]:[SubPLOs]],"&lt;9")+SUMIFS(tbl_task5[S3],tbl_task5[[SubPLOs]:[SubPLOs]],"&gt;=8",tbl_task5[[SubPLOs]:[SubPLOs]],"&lt;9")+SUMIFS(tbl_task6[S3],tbl_task6[[SubPLOs]:[SubPLOs]],"&gt;=8",tbl_task6[[SubPLOs]:[SubPLOs]],"&lt;9")+SUMIFS(tbl_task7[S3],tbl_task7[[SubPLOs]:[SubPLOs]],"&gt;=8",tbl_task7[[SubPLOs]:[SubPLOs]],"&lt;9")+SUMIFS(tbl_task8[S3],tbl_task8[[SubPLOs]:[SubPLOs]],"&gt;=8",tbl_task8[[SubPLOs]:[SubPLOs]],"&lt;9")+SUMIFS(tbl_task9[S3],tbl_task9[[SubPLOs]:[SubPLOs]],"&gt;=8",tbl_task9[[SubPLOs]:[SubPLOs]],"&lt;9")+SUMIFS(tbl_task10[S3],tbl_task10[[SubPLOs]:[SubPLOs]],"&gt;=8",tbl_task10[[SubPLOs]:[SubPLOs]],"&lt;9")</f>
        <v>0</v>
      </c>
      <c r="I187" s="41">
        <f>SUMIFS(tbl_task1[S4],tbl_task1[[SubPLOs]:[SubPLOs]],"&gt;=8",tbl_task1[[SubPLOs]:[SubPLOs]],"&lt;9")+SUMIFS(tbl_task2[S4],tbl_task2[[SubPLOs]:[SubPLOs]],"&gt;=8",tbl_task2[[SubPLOs]:[SubPLOs]],"&lt;9")+SUMIFS(tbl_task3[S4],tbl_task3[[SubPLOs]:[SubPLOs]],"&gt;=8",tbl_task3[[SubPLOs]:[SubPLOs]],"&lt;9")+SUMIFS(tbl_task4[S4],tbl_task4[[SubPLOs]:[SubPLOs]],"&gt;=8",tbl_task4[[SubPLOs]:[SubPLOs]],"&lt;9")+SUMIFS(tbl_task5[S4],tbl_task5[[SubPLOs]:[SubPLOs]],"&gt;=8",tbl_task5[[SubPLOs]:[SubPLOs]],"&lt;9")+SUMIFS(tbl_task6[S4],tbl_task6[[SubPLOs]:[SubPLOs]],"&gt;=8",tbl_task6[[SubPLOs]:[SubPLOs]],"&lt;9")+SUMIFS(tbl_task7[S4],tbl_task7[[SubPLOs]:[SubPLOs]],"&gt;=8",tbl_task7[[SubPLOs]:[SubPLOs]],"&lt;9")+SUMIFS(tbl_task8[S4],tbl_task8[[SubPLOs]:[SubPLOs]],"&gt;=8",tbl_task8[[SubPLOs]:[SubPLOs]],"&lt;9")+SUMIFS(tbl_task9[S4],tbl_task9[[SubPLOs]:[SubPLOs]],"&gt;=8",tbl_task9[[SubPLOs]:[SubPLOs]],"&lt;9")+SUMIFS(tbl_task10[S4],tbl_task10[[SubPLOs]:[SubPLOs]],"&gt;=8",tbl_task10[[SubPLOs]:[SubPLOs]],"&lt;9")</f>
        <v>0</v>
      </c>
      <c r="J187" s="41">
        <f>SUMIFS(tbl_task1[S5],tbl_task1[[SubPLOs]:[SubPLOs]],"&gt;=8",tbl_task1[[SubPLOs]:[SubPLOs]],"&lt;9")+SUMIFS(tbl_task2[S5],tbl_task2[[SubPLOs]:[SubPLOs]],"&gt;=8",tbl_task2[[SubPLOs]:[SubPLOs]],"&lt;9")+SUMIFS(tbl_task3[S5],tbl_task3[[SubPLOs]:[SubPLOs]],"&gt;=8",tbl_task3[[SubPLOs]:[SubPLOs]],"&lt;9")+SUMIFS(tbl_task4[S5],tbl_task4[[SubPLOs]:[SubPLOs]],"&gt;=8",tbl_task4[[SubPLOs]:[SubPLOs]],"&lt;9")+SUMIFS(tbl_task5[S5],tbl_task5[[SubPLOs]:[SubPLOs]],"&gt;=8",tbl_task5[[SubPLOs]:[SubPLOs]],"&lt;9")+SUMIFS(tbl_task6[S5],tbl_task6[[SubPLOs]:[SubPLOs]],"&gt;=8",tbl_task6[[SubPLOs]:[SubPLOs]],"&lt;9")+SUMIFS(tbl_task7[S5],tbl_task7[[SubPLOs]:[SubPLOs]],"&gt;=8",tbl_task7[[SubPLOs]:[SubPLOs]],"&lt;9")+SUMIFS(tbl_task8[S5],tbl_task8[[SubPLOs]:[SubPLOs]],"&gt;=8",tbl_task8[[SubPLOs]:[SubPLOs]],"&lt;9")+SUMIFS(tbl_task9[S5],tbl_task9[[SubPLOs]:[SubPLOs]],"&gt;=8",tbl_task9[[SubPLOs]:[SubPLOs]],"&lt;9")+SUMIFS(tbl_task10[S5],tbl_task10[[SubPLOs]:[SubPLOs]],"&gt;=8",tbl_task10[[SubPLOs]:[SubPLOs]],"&lt;9")</f>
        <v>0</v>
      </c>
      <c r="K187" s="41">
        <f>SUMIFS(tbl_task1[S6],tbl_task1[[SubPLOs]:[SubPLOs]],"&gt;=8",tbl_task1[[SubPLOs]:[SubPLOs]],"&lt;9")+SUMIFS(tbl_task2[S6],tbl_task2[[SubPLOs]:[SubPLOs]],"&gt;=8",tbl_task2[[SubPLOs]:[SubPLOs]],"&lt;9")+SUMIFS(tbl_task3[S6],tbl_task3[[SubPLOs]:[SubPLOs]],"&gt;=8",tbl_task3[[SubPLOs]:[SubPLOs]],"&lt;9")+SUMIFS(tbl_task4[S6],tbl_task4[[SubPLOs]:[SubPLOs]],"&gt;=8",tbl_task4[[SubPLOs]:[SubPLOs]],"&lt;9")+SUMIFS(tbl_task5[S6],tbl_task5[[SubPLOs]:[SubPLOs]],"&gt;=8",tbl_task5[[SubPLOs]:[SubPLOs]],"&lt;9")+SUMIFS(tbl_task6[S6],tbl_task6[[SubPLOs]:[SubPLOs]],"&gt;=8",tbl_task6[[SubPLOs]:[SubPLOs]],"&lt;9")+SUMIFS(tbl_task7[S6],tbl_task7[[SubPLOs]:[SubPLOs]],"&gt;=8",tbl_task7[[SubPLOs]:[SubPLOs]],"&lt;9")+SUMIFS(tbl_task8[S6],tbl_task8[[SubPLOs]:[SubPLOs]],"&gt;=8",tbl_task8[[SubPLOs]:[SubPLOs]],"&lt;9")+SUMIFS(tbl_task9[S6],tbl_task9[[SubPLOs]:[SubPLOs]],"&gt;=8",tbl_task9[[SubPLOs]:[SubPLOs]],"&lt;9")+SUMIFS(tbl_task10[S6],tbl_task10[[SubPLOs]:[SubPLOs]],"&gt;=8",tbl_task10[[SubPLOs]:[SubPLOs]],"&lt;9")</f>
        <v>0</v>
      </c>
      <c r="L187" s="41">
        <f>SUMIFS(tbl_task1[S7],tbl_task1[[SubPLOs]:[SubPLOs]],"&gt;=8",tbl_task1[[SubPLOs]:[SubPLOs]],"&lt;9")+SUMIFS(tbl_task2[S7],tbl_task2[[SubPLOs]:[SubPLOs]],"&gt;=8",tbl_task2[[SubPLOs]:[SubPLOs]],"&lt;9")+SUMIFS(tbl_task3[S7],tbl_task3[[SubPLOs]:[SubPLOs]],"&gt;=8",tbl_task3[[SubPLOs]:[SubPLOs]],"&lt;9")+SUMIFS(tbl_task4[S7],tbl_task4[[SubPLOs]:[SubPLOs]],"&gt;=8",tbl_task4[[SubPLOs]:[SubPLOs]],"&lt;9")+SUMIFS(tbl_task5[S7],tbl_task5[[SubPLOs]:[SubPLOs]],"&gt;=8",tbl_task5[[SubPLOs]:[SubPLOs]],"&lt;9")+SUMIFS(tbl_task6[S7],tbl_task6[[SubPLOs]:[SubPLOs]],"&gt;=8",tbl_task6[[SubPLOs]:[SubPLOs]],"&lt;9")+SUMIFS(tbl_task7[S7],tbl_task7[[SubPLOs]:[SubPLOs]],"&gt;=8",tbl_task7[[SubPLOs]:[SubPLOs]],"&lt;9")+SUMIFS(tbl_task8[S7],tbl_task8[[SubPLOs]:[SubPLOs]],"&gt;=8",tbl_task8[[SubPLOs]:[SubPLOs]],"&lt;9")+SUMIFS(tbl_task9[S7],tbl_task9[[SubPLOs]:[SubPLOs]],"&gt;=8",tbl_task9[[SubPLOs]:[SubPLOs]],"&lt;9")+SUMIFS(tbl_task10[S7],tbl_task10[[SubPLOs]:[SubPLOs]],"&gt;=8",tbl_task10[[SubPLOs]:[SubPLOs]],"&lt;9")</f>
        <v>0</v>
      </c>
      <c r="M187" s="41">
        <f>SUMIFS(tbl_task1[S8],tbl_task1[[SubPLOs]:[SubPLOs]],"&gt;=8",tbl_task1[[SubPLOs]:[SubPLOs]],"&lt;9")+SUMIFS(tbl_task2[S8],tbl_task2[[SubPLOs]:[SubPLOs]],"&gt;=8",tbl_task2[[SubPLOs]:[SubPLOs]],"&lt;9")+SUMIFS(tbl_task3[S8],tbl_task3[[SubPLOs]:[SubPLOs]],"&gt;=8",tbl_task3[[SubPLOs]:[SubPLOs]],"&lt;9")+SUMIFS(tbl_task4[S8],tbl_task4[[SubPLOs]:[SubPLOs]],"&gt;=8",tbl_task4[[SubPLOs]:[SubPLOs]],"&lt;9")+SUMIFS(tbl_task5[S8],tbl_task5[[SubPLOs]:[SubPLOs]],"&gt;=8",tbl_task5[[SubPLOs]:[SubPLOs]],"&lt;9")+SUMIFS(tbl_task6[S8],tbl_task6[[SubPLOs]:[SubPLOs]],"&gt;=8",tbl_task6[[SubPLOs]:[SubPLOs]],"&lt;9")+SUMIFS(tbl_task7[S8],tbl_task7[[SubPLOs]:[SubPLOs]],"&gt;=8",tbl_task7[[SubPLOs]:[SubPLOs]],"&lt;9")+SUMIFS(tbl_task8[S8],tbl_task8[[SubPLOs]:[SubPLOs]],"&gt;=8",tbl_task8[[SubPLOs]:[SubPLOs]],"&lt;9")+SUMIFS(tbl_task9[S8],tbl_task9[[SubPLOs]:[SubPLOs]],"&gt;=8",tbl_task9[[SubPLOs]:[SubPLOs]],"&lt;9")+SUMIFS(tbl_task10[S8],tbl_task10[[SubPLOs]:[SubPLOs]],"&gt;=8",tbl_task10[[SubPLOs]:[SubPLOs]],"&lt;9")</f>
        <v>0</v>
      </c>
      <c r="N187" s="41">
        <f>SUMIFS(tbl_task1[S9],tbl_task1[[SubPLOs]:[SubPLOs]],"&gt;=8",tbl_task1[[SubPLOs]:[SubPLOs]],"&lt;9")+SUMIFS(tbl_task2[S9],tbl_task2[[SubPLOs]:[SubPLOs]],"&gt;=8",tbl_task2[[SubPLOs]:[SubPLOs]],"&lt;9")+SUMIFS(tbl_task3[S9],tbl_task3[[SubPLOs]:[SubPLOs]],"&gt;=8",tbl_task3[[SubPLOs]:[SubPLOs]],"&lt;9")+SUMIFS(tbl_task4[S9],tbl_task4[[SubPLOs]:[SubPLOs]],"&gt;=8",tbl_task4[[SubPLOs]:[SubPLOs]],"&lt;9")+SUMIFS(tbl_task5[S9],tbl_task5[[SubPLOs]:[SubPLOs]],"&gt;=8",tbl_task5[[SubPLOs]:[SubPLOs]],"&lt;9")+SUMIFS(tbl_task6[S9],tbl_task6[[SubPLOs]:[SubPLOs]],"&gt;=8",tbl_task6[[SubPLOs]:[SubPLOs]],"&lt;9")+SUMIFS(tbl_task7[S9],tbl_task7[[SubPLOs]:[SubPLOs]],"&gt;=8",tbl_task7[[SubPLOs]:[SubPLOs]],"&lt;9")+SUMIFS(tbl_task8[S9],tbl_task8[[SubPLOs]:[SubPLOs]],"&gt;=8",tbl_task8[[SubPLOs]:[SubPLOs]],"&lt;9")+SUMIFS(tbl_task9[S9],tbl_task9[[SubPLOs]:[SubPLOs]],"&gt;=8",tbl_task9[[SubPLOs]:[SubPLOs]],"&lt;9")+SUMIFS(tbl_task10[S9],tbl_task10[[SubPLOs]:[SubPLOs]],"&gt;=8",tbl_task10[[SubPLOs]:[SubPLOs]],"&lt;9")</f>
        <v>0</v>
      </c>
      <c r="O187" s="41">
        <f>SUMIFS(tbl_task1[S10],tbl_task1[[SubPLOs]:[SubPLOs]],"&gt;=8",tbl_task1[[SubPLOs]:[SubPLOs]],"&lt;9")+SUMIFS(tbl_task2[S10],tbl_task2[[SubPLOs]:[SubPLOs]],"&gt;=8",tbl_task2[[SubPLOs]:[SubPLOs]],"&lt;9")+SUMIFS(tbl_task3[S10],tbl_task3[[SubPLOs]:[SubPLOs]],"&gt;=8",tbl_task3[[SubPLOs]:[SubPLOs]],"&lt;9")+SUMIFS(tbl_task4[S10],tbl_task4[[SubPLOs]:[SubPLOs]],"&gt;=8",tbl_task4[[SubPLOs]:[SubPLOs]],"&lt;9")+SUMIFS(tbl_task5[S10],tbl_task5[[SubPLOs]:[SubPLOs]],"&gt;=8",tbl_task5[[SubPLOs]:[SubPLOs]],"&lt;9")+SUMIFS(tbl_task6[S10],tbl_task6[[SubPLOs]:[SubPLOs]],"&gt;=8",tbl_task6[[SubPLOs]:[SubPLOs]],"&lt;9")+SUMIFS(tbl_task7[S10],tbl_task7[[SubPLOs]:[SubPLOs]],"&gt;=8",tbl_task7[[SubPLOs]:[SubPLOs]],"&lt;9")+SUMIFS(tbl_task8[S10],tbl_task8[[SubPLOs]:[SubPLOs]],"&gt;=8",tbl_task8[[SubPLOs]:[SubPLOs]],"&lt;9")+SUMIFS(tbl_task9[S10],tbl_task9[[SubPLOs]:[SubPLOs]],"&gt;=8",tbl_task9[[SubPLOs]:[SubPLOs]],"&lt;9")+SUMIFS(tbl_task10[S10],tbl_task10[[SubPLOs]:[SubPLOs]],"&gt;=8",tbl_task10[[SubPLOs]:[SubPLOs]],"&lt;9")</f>
        <v>0</v>
      </c>
      <c r="P187" s="41">
        <f>SUMIFS(tbl_task1[S11],tbl_task1[[SubPLOs]:[SubPLOs]],"&gt;=8",tbl_task1[[SubPLOs]:[SubPLOs]],"&lt;9")+SUMIFS(tbl_task2[S11],tbl_task2[[SubPLOs]:[SubPLOs]],"&gt;=8",tbl_task2[[SubPLOs]:[SubPLOs]],"&lt;9")+SUMIFS(tbl_task3[S11],tbl_task3[[SubPLOs]:[SubPLOs]],"&gt;=8",tbl_task3[[SubPLOs]:[SubPLOs]],"&lt;9")+SUMIFS(tbl_task4[S11],tbl_task4[[SubPLOs]:[SubPLOs]],"&gt;=8",tbl_task4[[SubPLOs]:[SubPLOs]],"&lt;9")+SUMIFS(tbl_task5[S11],tbl_task5[[SubPLOs]:[SubPLOs]],"&gt;=8",tbl_task5[[SubPLOs]:[SubPLOs]],"&lt;9")+SUMIFS(tbl_task6[S11],tbl_task6[[SubPLOs]:[SubPLOs]],"&gt;=8",tbl_task6[[SubPLOs]:[SubPLOs]],"&lt;9")+SUMIFS(tbl_task7[S11],tbl_task7[[SubPLOs]:[SubPLOs]],"&gt;=8",tbl_task7[[SubPLOs]:[SubPLOs]],"&lt;9")+SUMIFS(tbl_task8[S11],tbl_task8[[SubPLOs]:[SubPLOs]],"&gt;=8",tbl_task8[[SubPLOs]:[SubPLOs]],"&lt;9")+SUMIFS(tbl_task9[S11],tbl_task9[[SubPLOs]:[SubPLOs]],"&gt;=8",tbl_task9[[SubPLOs]:[SubPLOs]],"&lt;9")+SUMIFS(tbl_task10[S11],tbl_task10[[SubPLOs]:[SubPLOs]],"&gt;=8",tbl_task10[[SubPLOs]:[SubPLOs]],"&lt;9")</f>
        <v>0</v>
      </c>
      <c r="Q187" s="41">
        <f>SUMIFS(tbl_task1[S12],tbl_task1[[SubPLOs]:[SubPLOs]],"&gt;=8",tbl_task1[[SubPLOs]:[SubPLOs]],"&lt;9")+SUMIFS(tbl_task2[S12],tbl_task2[[SubPLOs]:[SubPLOs]],"&gt;=8",tbl_task2[[SubPLOs]:[SubPLOs]],"&lt;9")+SUMIFS(tbl_task3[S12],tbl_task3[[SubPLOs]:[SubPLOs]],"&gt;=8",tbl_task3[[SubPLOs]:[SubPLOs]],"&lt;9")+SUMIFS(tbl_task4[S12],tbl_task4[[SubPLOs]:[SubPLOs]],"&gt;=8",tbl_task4[[SubPLOs]:[SubPLOs]],"&lt;9")+SUMIFS(tbl_task5[S12],tbl_task5[[SubPLOs]:[SubPLOs]],"&gt;=8",tbl_task5[[SubPLOs]:[SubPLOs]],"&lt;9")+SUMIFS(tbl_task6[S12],tbl_task6[[SubPLOs]:[SubPLOs]],"&gt;=8",tbl_task6[[SubPLOs]:[SubPLOs]],"&lt;9")+SUMIFS(tbl_task7[S12],tbl_task7[[SubPLOs]:[SubPLOs]],"&gt;=8",tbl_task7[[SubPLOs]:[SubPLOs]],"&lt;9")+SUMIFS(tbl_task8[S12],tbl_task8[[SubPLOs]:[SubPLOs]],"&gt;=8",tbl_task8[[SubPLOs]:[SubPLOs]],"&lt;9")+SUMIFS(tbl_task9[S12],tbl_task9[[SubPLOs]:[SubPLOs]],"&gt;=8",tbl_task9[[SubPLOs]:[SubPLOs]],"&lt;9")+SUMIFS(tbl_task10[S12],tbl_task10[[SubPLOs]:[SubPLOs]],"&gt;=8",tbl_task10[[SubPLOs]:[SubPLOs]],"&lt;9")</f>
        <v>0</v>
      </c>
      <c r="R187" s="41">
        <f>SUMIFS(tbl_task1[S13],tbl_task1[[SubPLOs]:[SubPLOs]],"&gt;=8",tbl_task1[[SubPLOs]:[SubPLOs]],"&lt;9")+SUMIFS(tbl_task2[S13],tbl_task2[[SubPLOs]:[SubPLOs]],"&gt;=8",tbl_task2[[SubPLOs]:[SubPLOs]],"&lt;9")+SUMIFS(tbl_task3[S13],tbl_task3[[SubPLOs]:[SubPLOs]],"&gt;=8",tbl_task3[[SubPLOs]:[SubPLOs]],"&lt;9")+SUMIFS(tbl_task4[S13],tbl_task4[[SubPLOs]:[SubPLOs]],"&gt;=8",tbl_task4[[SubPLOs]:[SubPLOs]],"&lt;9")+SUMIFS(tbl_task5[S13],tbl_task5[[SubPLOs]:[SubPLOs]],"&gt;=8",tbl_task5[[SubPLOs]:[SubPLOs]],"&lt;9")+SUMIFS(tbl_task6[S13],tbl_task6[[SubPLOs]:[SubPLOs]],"&gt;=8",tbl_task6[[SubPLOs]:[SubPLOs]],"&lt;9")+SUMIFS(tbl_task7[S13],tbl_task7[[SubPLOs]:[SubPLOs]],"&gt;=8",tbl_task7[[SubPLOs]:[SubPLOs]],"&lt;9")+SUMIFS(tbl_task8[S13],tbl_task8[[SubPLOs]:[SubPLOs]],"&gt;=8",tbl_task8[[SubPLOs]:[SubPLOs]],"&lt;9")+SUMIFS(tbl_task9[S13],tbl_task9[[SubPLOs]:[SubPLOs]],"&gt;=8",tbl_task9[[SubPLOs]:[SubPLOs]],"&lt;9")+SUMIFS(tbl_task10[S13],tbl_task10[[SubPLOs]:[SubPLOs]],"&gt;=8",tbl_task10[[SubPLOs]:[SubPLOs]],"&lt;9")</f>
        <v>0</v>
      </c>
      <c r="S187" s="41">
        <f>SUMIFS(tbl_task1[S14],tbl_task1[[SubPLOs]:[SubPLOs]],"&gt;=8",tbl_task1[[SubPLOs]:[SubPLOs]],"&lt;9")+SUMIFS(tbl_task2[S14],tbl_task2[[SubPLOs]:[SubPLOs]],"&gt;=8",tbl_task2[[SubPLOs]:[SubPLOs]],"&lt;9")+SUMIFS(tbl_task3[S14],tbl_task3[[SubPLOs]:[SubPLOs]],"&gt;=8",tbl_task3[[SubPLOs]:[SubPLOs]],"&lt;9")+SUMIFS(tbl_task4[S14],tbl_task4[[SubPLOs]:[SubPLOs]],"&gt;=8",tbl_task4[[SubPLOs]:[SubPLOs]],"&lt;9")+SUMIFS(tbl_task5[S14],tbl_task5[[SubPLOs]:[SubPLOs]],"&gt;=8",tbl_task5[[SubPLOs]:[SubPLOs]],"&lt;9")+SUMIFS(tbl_task6[S14],tbl_task6[[SubPLOs]:[SubPLOs]],"&gt;=8",tbl_task6[[SubPLOs]:[SubPLOs]],"&lt;9")+SUMIFS(tbl_task7[S14],tbl_task7[[SubPLOs]:[SubPLOs]],"&gt;=8",tbl_task7[[SubPLOs]:[SubPLOs]],"&lt;9")+SUMIFS(tbl_task8[S14],tbl_task8[[SubPLOs]:[SubPLOs]],"&gt;=8",tbl_task8[[SubPLOs]:[SubPLOs]],"&lt;9")+SUMIFS(tbl_task9[S14],tbl_task9[[SubPLOs]:[SubPLOs]],"&gt;=8",tbl_task9[[SubPLOs]:[SubPLOs]],"&lt;9")+SUMIFS(tbl_task10[S14],tbl_task10[[SubPLOs]:[SubPLOs]],"&gt;=8",tbl_task10[[SubPLOs]:[SubPLOs]],"&lt;9")</f>
        <v>0</v>
      </c>
      <c r="T187" s="41">
        <f>SUMIFS(tbl_task1[S15],tbl_task1[[SubPLOs]:[SubPLOs]],"&gt;=8",tbl_task1[[SubPLOs]:[SubPLOs]],"&lt;9")+SUMIFS(tbl_task2[S15],tbl_task2[[SubPLOs]:[SubPLOs]],"&gt;=8",tbl_task2[[SubPLOs]:[SubPLOs]],"&lt;9")+SUMIFS(tbl_task3[S15],tbl_task3[[SubPLOs]:[SubPLOs]],"&gt;=8",tbl_task3[[SubPLOs]:[SubPLOs]],"&lt;9")+SUMIFS(tbl_task4[S15],tbl_task4[[SubPLOs]:[SubPLOs]],"&gt;=8",tbl_task4[[SubPLOs]:[SubPLOs]],"&lt;9")+SUMIFS(tbl_task5[S15],tbl_task5[[SubPLOs]:[SubPLOs]],"&gt;=8",tbl_task5[[SubPLOs]:[SubPLOs]],"&lt;9")+SUMIFS(tbl_task6[S15],tbl_task6[[SubPLOs]:[SubPLOs]],"&gt;=8",tbl_task6[[SubPLOs]:[SubPLOs]],"&lt;9")+SUMIFS(tbl_task7[S15],tbl_task7[[SubPLOs]:[SubPLOs]],"&gt;=8",tbl_task7[[SubPLOs]:[SubPLOs]],"&lt;9")+SUMIFS(tbl_task8[S15],tbl_task8[[SubPLOs]:[SubPLOs]],"&gt;=8",tbl_task8[[SubPLOs]:[SubPLOs]],"&lt;9")+SUMIFS(tbl_task9[S15],tbl_task9[[SubPLOs]:[SubPLOs]],"&gt;=8",tbl_task9[[SubPLOs]:[SubPLOs]],"&lt;9")+SUMIFS(tbl_task10[S15],tbl_task10[[SubPLOs]:[SubPLOs]],"&gt;=8",tbl_task10[[SubPLOs]:[SubPLOs]],"&lt;9")</f>
        <v>0</v>
      </c>
      <c r="U187" s="41">
        <f>SUMIFS(tbl_task1[S16],tbl_task1[[SubPLOs]:[SubPLOs]],"&gt;=8",tbl_task1[[SubPLOs]:[SubPLOs]],"&lt;9")+SUMIFS(tbl_task2[S16],tbl_task2[[SubPLOs]:[SubPLOs]],"&gt;=8",tbl_task2[[SubPLOs]:[SubPLOs]],"&lt;9")+SUMIFS(tbl_task3[S16],tbl_task3[[SubPLOs]:[SubPLOs]],"&gt;=8",tbl_task3[[SubPLOs]:[SubPLOs]],"&lt;9")+SUMIFS(tbl_task4[S16],tbl_task4[[SubPLOs]:[SubPLOs]],"&gt;=8",tbl_task4[[SubPLOs]:[SubPLOs]],"&lt;9")+SUMIFS(tbl_task5[S16],tbl_task5[[SubPLOs]:[SubPLOs]],"&gt;=8",tbl_task5[[SubPLOs]:[SubPLOs]],"&lt;9")+SUMIFS(tbl_task6[S16],tbl_task6[[SubPLOs]:[SubPLOs]],"&gt;=8",tbl_task6[[SubPLOs]:[SubPLOs]],"&lt;9")+SUMIFS(tbl_task7[S16],tbl_task7[[SubPLOs]:[SubPLOs]],"&gt;=8",tbl_task7[[SubPLOs]:[SubPLOs]],"&lt;9")+SUMIFS(tbl_task8[S16],tbl_task8[[SubPLOs]:[SubPLOs]],"&gt;=8",tbl_task8[[SubPLOs]:[SubPLOs]],"&lt;9")+SUMIFS(tbl_task9[S16],tbl_task9[[SubPLOs]:[SubPLOs]],"&gt;=8",tbl_task9[[SubPLOs]:[SubPLOs]],"&lt;9")+SUMIFS(tbl_task10[S16],tbl_task10[[SubPLOs]:[SubPLOs]],"&gt;=8",tbl_task10[[SubPLOs]:[SubPLOs]],"&lt;9")</f>
        <v>0</v>
      </c>
      <c r="V187" s="41">
        <f>SUMIFS(tbl_task1[S17],tbl_task1[[SubPLOs]:[SubPLOs]],"&gt;=8",tbl_task1[[SubPLOs]:[SubPLOs]],"&lt;9")+SUMIFS(tbl_task2[S17],tbl_task2[[SubPLOs]:[SubPLOs]],"&gt;=8",tbl_task2[[SubPLOs]:[SubPLOs]],"&lt;9")+SUMIFS(tbl_task3[S17],tbl_task3[[SubPLOs]:[SubPLOs]],"&gt;=8",tbl_task3[[SubPLOs]:[SubPLOs]],"&lt;9")+SUMIFS(tbl_task4[S17],tbl_task4[[SubPLOs]:[SubPLOs]],"&gt;=8",tbl_task4[[SubPLOs]:[SubPLOs]],"&lt;9")+SUMIFS(tbl_task5[S17],tbl_task5[[SubPLOs]:[SubPLOs]],"&gt;=8",tbl_task5[[SubPLOs]:[SubPLOs]],"&lt;9")+SUMIFS(tbl_task6[S17],tbl_task6[[SubPLOs]:[SubPLOs]],"&gt;=8",tbl_task6[[SubPLOs]:[SubPLOs]],"&lt;9")+SUMIFS(tbl_task7[S17],tbl_task7[[SubPLOs]:[SubPLOs]],"&gt;=8",tbl_task7[[SubPLOs]:[SubPLOs]],"&lt;9")+SUMIFS(tbl_task8[S17],tbl_task8[[SubPLOs]:[SubPLOs]],"&gt;=8",tbl_task8[[SubPLOs]:[SubPLOs]],"&lt;9")+SUMIFS(tbl_task9[S17],tbl_task9[[SubPLOs]:[SubPLOs]],"&gt;=8",tbl_task9[[SubPLOs]:[SubPLOs]],"&lt;9")+SUMIFS(tbl_task10[S17],tbl_task10[[SubPLOs]:[SubPLOs]],"&gt;=8",tbl_task10[[SubPLOs]:[SubPLOs]],"&lt;9")</f>
        <v>0</v>
      </c>
      <c r="W187" s="41">
        <f>SUMIFS(tbl_task1[S18],tbl_task1[[SubPLOs]:[SubPLOs]],"&gt;=8",tbl_task1[[SubPLOs]:[SubPLOs]],"&lt;9")+SUMIFS(tbl_task2[S18],tbl_task2[[SubPLOs]:[SubPLOs]],"&gt;=8",tbl_task2[[SubPLOs]:[SubPLOs]],"&lt;9")+SUMIFS(tbl_task3[S18],tbl_task3[[SubPLOs]:[SubPLOs]],"&gt;=8",tbl_task3[[SubPLOs]:[SubPLOs]],"&lt;9")+SUMIFS(tbl_task4[S18],tbl_task4[[SubPLOs]:[SubPLOs]],"&gt;=8",tbl_task4[[SubPLOs]:[SubPLOs]],"&lt;9")+SUMIFS(tbl_task5[S18],tbl_task5[[SubPLOs]:[SubPLOs]],"&gt;=8",tbl_task5[[SubPLOs]:[SubPLOs]],"&lt;9")+SUMIFS(tbl_task6[S18],tbl_task6[[SubPLOs]:[SubPLOs]],"&gt;=8",tbl_task6[[SubPLOs]:[SubPLOs]],"&lt;9")+SUMIFS(tbl_task7[S18],tbl_task7[[SubPLOs]:[SubPLOs]],"&gt;=8",tbl_task7[[SubPLOs]:[SubPLOs]],"&lt;9")+SUMIFS(tbl_task8[S18],tbl_task8[[SubPLOs]:[SubPLOs]],"&gt;=8",tbl_task8[[SubPLOs]:[SubPLOs]],"&lt;9")+SUMIFS(tbl_task9[S18],tbl_task9[[SubPLOs]:[SubPLOs]],"&gt;=8",tbl_task9[[SubPLOs]:[SubPLOs]],"&lt;9")+SUMIFS(tbl_task10[S18],tbl_task10[[SubPLOs]:[SubPLOs]],"&gt;=8",tbl_task10[[SubPLOs]:[SubPLOs]],"&lt;9")</f>
        <v>0</v>
      </c>
      <c r="X187" s="41">
        <f>SUMIFS(tbl_task1[S19],tbl_task1[[SubPLOs]:[SubPLOs]],"&gt;=8",tbl_task1[[SubPLOs]:[SubPLOs]],"&lt;9")+SUMIFS(tbl_task2[S19],tbl_task2[[SubPLOs]:[SubPLOs]],"&gt;=8",tbl_task2[[SubPLOs]:[SubPLOs]],"&lt;9")+SUMIFS(tbl_task3[S19],tbl_task3[[SubPLOs]:[SubPLOs]],"&gt;=8",tbl_task3[[SubPLOs]:[SubPLOs]],"&lt;9")+SUMIFS(tbl_task4[S19],tbl_task4[[SubPLOs]:[SubPLOs]],"&gt;=8",tbl_task4[[SubPLOs]:[SubPLOs]],"&lt;9")+SUMIFS(tbl_task5[S19],tbl_task5[[SubPLOs]:[SubPLOs]],"&gt;=8",tbl_task5[[SubPLOs]:[SubPLOs]],"&lt;9")+SUMIFS(tbl_task6[S19],tbl_task6[[SubPLOs]:[SubPLOs]],"&gt;=8",tbl_task6[[SubPLOs]:[SubPLOs]],"&lt;9")+SUMIFS(tbl_task7[S19],tbl_task7[[SubPLOs]:[SubPLOs]],"&gt;=8",tbl_task7[[SubPLOs]:[SubPLOs]],"&lt;9")+SUMIFS(tbl_task8[S19],tbl_task8[[SubPLOs]:[SubPLOs]],"&gt;=8",tbl_task8[[SubPLOs]:[SubPLOs]],"&lt;9")+SUMIFS(tbl_task9[S19],tbl_task9[[SubPLOs]:[SubPLOs]],"&gt;=8",tbl_task9[[SubPLOs]:[SubPLOs]],"&lt;9")+SUMIFS(tbl_task10[S19],tbl_task10[[SubPLOs]:[SubPLOs]],"&gt;=8",tbl_task10[[SubPLOs]:[SubPLOs]],"&lt;9")</f>
        <v>0</v>
      </c>
      <c r="Y187" s="41">
        <f>SUMIFS(tbl_task1[S20],tbl_task1[[SubPLOs]:[SubPLOs]],"&gt;=8",tbl_task1[[SubPLOs]:[SubPLOs]],"&lt;9")+SUMIFS(tbl_task2[S20],tbl_task2[[SubPLOs]:[SubPLOs]],"&gt;=8",tbl_task2[[SubPLOs]:[SubPLOs]],"&lt;9")+SUMIFS(tbl_task3[S20],tbl_task3[[SubPLOs]:[SubPLOs]],"&gt;=8",tbl_task3[[SubPLOs]:[SubPLOs]],"&lt;9")+SUMIFS(tbl_task4[S20],tbl_task4[[SubPLOs]:[SubPLOs]],"&gt;=8",tbl_task4[[SubPLOs]:[SubPLOs]],"&lt;9")+SUMIFS(tbl_task5[S20],tbl_task5[[SubPLOs]:[SubPLOs]],"&gt;=8",tbl_task5[[SubPLOs]:[SubPLOs]],"&lt;9")+SUMIFS(tbl_task6[S20],tbl_task6[[SubPLOs]:[SubPLOs]],"&gt;=8",tbl_task6[[SubPLOs]:[SubPLOs]],"&lt;9")+SUMIFS(tbl_task7[S20],tbl_task7[[SubPLOs]:[SubPLOs]],"&gt;=8",tbl_task7[[SubPLOs]:[SubPLOs]],"&lt;9")+SUMIFS(tbl_task8[S20],tbl_task8[[SubPLOs]:[SubPLOs]],"&gt;=8",tbl_task8[[SubPLOs]:[SubPLOs]],"&lt;9")+SUMIFS(tbl_task9[S20],tbl_task9[[SubPLOs]:[SubPLOs]],"&gt;=8",tbl_task9[[SubPLOs]:[SubPLOs]],"&lt;9")+SUMIFS(tbl_task10[S20],tbl_task10[[SubPLOs]:[SubPLOs]],"&gt;=8",tbl_task10[[SubPLOs]:[SubPLOs]],"&lt;9")</f>
        <v>0</v>
      </c>
      <c r="Z187" s="41">
        <f>SUMIFS(tbl_task1[S21],tbl_task1[[SubPLOs]:[SubPLOs]],"&gt;=8",tbl_task1[[SubPLOs]:[SubPLOs]],"&lt;9")+SUMIFS(tbl_task2[S21],tbl_task2[[SubPLOs]:[SubPLOs]],"&gt;=8",tbl_task2[[SubPLOs]:[SubPLOs]],"&lt;9")+SUMIFS(tbl_task3[S21],tbl_task3[[SubPLOs]:[SubPLOs]],"&gt;=8",tbl_task3[[SubPLOs]:[SubPLOs]],"&lt;9")+SUMIFS(tbl_task4[S21],tbl_task4[[SubPLOs]:[SubPLOs]],"&gt;=8",tbl_task4[[SubPLOs]:[SubPLOs]],"&lt;9")+SUMIFS(tbl_task5[S21],tbl_task5[[SubPLOs]:[SubPLOs]],"&gt;=8",tbl_task5[[SubPLOs]:[SubPLOs]],"&lt;9")+SUMIFS(tbl_task6[S21],tbl_task6[[SubPLOs]:[SubPLOs]],"&gt;=8",tbl_task6[[SubPLOs]:[SubPLOs]],"&lt;9")+SUMIFS(tbl_task7[S21],tbl_task7[[SubPLOs]:[SubPLOs]],"&gt;=8",tbl_task7[[SubPLOs]:[SubPLOs]],"&lt;9")+SUMIFS(tbl_task8[S21],tbl_task8[[SubPLOs]:[SubPLOs]],"&gt;=8",tbl_task8[[SubPLOs]:[SubPLOs]],"&lt;9")+SUMIFS(tbl_task9[S21],tbl_task9[[SubPLOs]:[SubPLOs]],"&gt;=8",tbl_task9[[SubPLOs]:[SubPLOs]],"&lt;9")+SUMIFS(tbl_task10[S21],tbl_task10[[SubPLOs]:[SubPLOs]],"&gt;=8",tbl_task10[[SubPLOs]:[SubPLOs]],"&lt;9")</f>
        <v>0</v>
      </c>
      <c r="AA187" s="41">
        <f>SUMIFS(tbl_task1[S22],tbl_task1[[SubPLOs]:[SubPLOs]],"&gt;=8",tbl_task1[[SubPLOs]:[SubPLOs]],"&lt;9")+SUMIFS(tbl_task2[S22],tbl_task2[[SubPLOs]:[SubPLOs]],"&gt;=8",tbl_task2[[SubPLOs]:[SubPLOs]],"&lt;9")+SUMIFS(tbl_task3[S22],tbl_task3[[SubPLOs]:[SubPLOs]],"&gt;=8",tbl_task3[[SubPLOs]:[SubPLOs]],"&lt;9")+SUMIFS(tbl_task4[S22],tbl_task4[[SubPLOs]:[SubPLOs]],"&gt;=8",tbl_task4[[SubPLOs]:[SubPLOs]],"&lt;9")+SUMIFS(tbl_task5[S22],tbl_task5[[SubPLOs]:[SubPLOs]],"&gt;=8",tbl_task5[[SubPLOs]:[SubPLOs]],"&lt;9")+SUMIFS(tbl_task6[S22],tbl_task6[[SubPLOs]:[SubPLOs]],"&gt;=8",tbl_task6[[SubPLOs]:[SubPLOs]],"&lt;9")+SUMIFS(tbl_task7[S22],tbl_task7[[SubPLOs]:[SubPLOs]],"&gt;=8",tbl_task7[[SubPLOs]:[SubPLOs]],"&lt;9")+SUMIFS(tbl_task8[S22],tbl_task8[[SubPLOs]:[SubPLOs]],"&gt;=8",tbl_task8[[SubPLOs]:[SubPLOs]],"&lt;9")+SUMIFS(tbl_task9[S22],tbl_task9[[SubPLOs]:[SubPLOs]],"&gt;=8",tbl_task9[[SubPLOs]:[SubPLOs]],"&lt;9")+SUMIFS(tbl_task10[S22],tbl_task10[[SubPLOs]:[SubPLOs]],"&gt;=8",tbl_task10[[SubPLOs]:[SubPLOs]],"&lt;9")</f>
        <v>0</v>
      </c>
      <c r="AB187" s="41">
        <f>SUMIFS(tbl_task1[S23],tbl_task1[[SubPLOs]:[SubPLOs]],"&gt;=8",tbl_task1[[SubPLOs]:[SubPLOs]],"&lt;9")+SUMIFS(tbl_task2[S23],tbl_task2[[SubPLOs]:[SubPLOs]],"&gt;=8",tbl_task2[[SubPLOs]:[SubPLOs]],"&lt;9")+SUMIFS(tbl_task3[S23],tbl_task3[[SubPLOs]:[SubPLOs]],"&gt;=8",tbl_task3[[SubPLOs]:[SubPLOs]],"&lt;9")+SUMIFS(tbl_task4[S23],tbl_task4[[SubPLOs]:[SubPLOs]],"&gt;=8",tbl_task4[[SubPLOs]:[SubPLOs]],"&lt;9")+SUMIFS(tbl_task5[S23],tbl_task5[[SubPLOs]:[SubPLOs]],"&gt;=8",tbl_task5[[SubPLOs]:[SubPLOs]],"&lt;9")+SUMIFS(tbl_task6[S23],tbl_task6[[SubPLOs]:[SubPLOs]],"&gt;=8",tbl_task6[[SubPLOs]:[SubPLOs]],"&lt;9")+SUMIFS(tbl_task7[S23],tbl_task7[[SubPLOs]:[SubPLOs]],"&gt;=8",tbl_task7[[SubPLOs]:[SubPLOs]],"&lt;9")+SUMIFS(tbl_task8[S23],tbl_task8[[SubPLOs]:[SubPLOs]],"&gt;=8",tbl_task8[[SubPLOs]:[SubPLOs]],"&lt;9")+SUMIFS(tbl_task9[S23],tbl_task9[[SubPLOs]:[SubPLOs]],"&gt;=8",tbl_task9[[SubPLOs]:[SubPLOs]],"&lt;9")+SUMIFS(tbl_task10[S23],tbl_task10[[SubPLOs]:[SubPLOs]],"&gt;=8",tbl_task10[[SubPLOs]:[SubPLOs]],"&lt;9")</f>
        <v>0</v>
      </c>
      <c r="AC187" s="41">
        <f>SUMIFS(tbl_task1[S24],tbl_task1[[SubPLOs]:[SubPLOs]],"&gt;=8",tbl_task1[[SubPLOs]:[SubPLOs]],"&lt;9")+SUMIFS(tbl_task2[S24],tbl_task2[[SubPLOs]:[SubPLOs]],"&gt;=8",tbl_task2[[SubPLOs]:[SubPLOs]],"&lt;9")+SUMIFS(tbl_task3[S24],tbl_task3[[SubPLOs]:[SubPLOs]],"&gt;=8",tbl_task3[[SubPLOs]:[SubPLOs]],"&lt;9")+SUMIFS(tbl_task4[S24],tbl_task4[[SubPLOs]:[SubPLOs]],"&gt;=8",tbl_task4[[SubPLOs]:[SubPLOs]],"&lt;9")+SUMIFS(tbl_task5[S24],tbl_task5[[SubPLOs]:[SubPLOs]],"&gt;=8",tbl_task5[[SubPLOs]:[SubPLOs]],"&lt;9")+SUMIFS(tbl_task6[S24],tbl_task6[[SubPLOs]:[SubPLOs]],"&gt;=8",tbl_task6[[SubPLOs]:[SubPLOs]],"&lt;9")+SUMIFS(tbl_task7[S24],tbl_task7[[SubPLOs]:[SubPLOs]],"&gt;=8",tbl_task7[[SubPLOs]:[SubPLOs]],"&lt;9")+SUMIFS(tbl_task8[S24],tbl_task8[[SubPLOs]:[SubPLOs]],"&gt;=8",tbl_task8[[SubPLOs]:[SubPLOs]],"&lt;9")+SUMIFS(tbl_task9[S24],tbl_task9[[SubPLOs]:[SubPLOs]],"&gt;=8",tbl_task9[[SubPLOs]:[SubPLOs]],"&lt;9")+SUMIFS(tbl_task10[S24],tbl_task10[[SubPLOs]:[SubPLOs]],"&gt;=8",tbl_task10[[SubPLOs]:[SubPLOs]],"&lt;9")</f>
        <v>0</v>
      </c>
      <c r="AD187" s="41">
        <f>SUMIFS(tbl_task1[S25],tbl_task1[[SubPLOs]:[SubPLOs]],"&gt;=8",tbl_task1[[SubPLOs]:[SubPLOs]],"&lt;9")+SUMIFS(tbl_task2[S25],tbl_task2[[SubPLOs]:[SubPLOs]],"&gt;=8",tbl_task2[[SubPLOs]:[SubPLOs]],"&lt;9")+SUMIFS(tbl_task3[S25],tbl_task3[[SubPLOs]:[SubPLOs]],"&gt;=8",tbl_task3[[SubPLOs]:[SubPLOs]],"&lt;9")+SUMIFS(tbl_task4[S25],tbl_task4[[SubPLOs]:[SubPLOs]],"&gt;=8",tbl_task4[[SubPLOs]:[SubPLOs]],"&lt;9")+SUMIFS(tbl_task5[S25],tbl_task5[[SubPLOs]:[SubPLOs]],"&gt;=8",tbl_task5[[SubPLOs]:[SubPLOs]],"&lt;9")+SUMIFS(tbl_task6[S25],tbl_task6[[SubPLOs]:[SubPLOs]],"&gt;=8",tbl_task6[[SubPLOs]:[SubPLOs]],"&lt;9")+SUMIFS(tbl_task7[S25],tbl_task7[[SubPLOs]:[SubPLOs]],"&gt;=8",tbl_task7[[SubPLOs]:[SubPLOs]],"&lt;9")+SUMIFS(tbl_task8[S25],tbl_task8[[SubPLOs]:[SubPLOs]],"&gt;=8",tbl_task8[[SubPLOs]:[SubPLOs]],"&lt;9")+SUMIFS(tbl_task9[S25],tbl_task9[[SubPLOs]:[SubPLOs]],"&gt;=8",tbl_task9[[SubPLOs]:[SubPLOs]],"&lt;9")+SUMIFS(tbl_task10[S25],tbl_task10[[SubPLOs]:[SubPLOs]],"&gt;=8",tbl_task10[[SubPLOs]:[SubPLOs]],"&lt;9")</f>
        <v>0</v>
      </c>
      <c r="AE187" s="41">
        <f>SUMIFS(tbl_task1[S26],tbl_task1[[SubPLOs]:[SubPLOs]],"&gt;=8",tbl_task1[[SubPLOs]:[SubPLOs]],"&lt;9")+SUMIFS(tbl_task2[S26],tbl_task2[[SubPLOs]:[SubPLOs]],"&gt;=8",tbl_task2[[SubPLOs]:[SubPLOs]],"&lt;9")+SUMIFS(tbl_task3[S26],tbl_task3[[SubPLOs]:[SubPLOs]],"&gt;=8",tbl_task3[[SubPLOs]:[SubPLOs]],"&lt;9")+SUMIFS(tbl_task4[S26],tbl_task4[[SubPLOs]:[SubPLOs]],"&gt;=8",tbl_task4[[SubPLOs]:[SubPLOs]],"&lt;9")+SUMIFS(tbl_task5[S26],tbl_task5[[SubPLOs]:[SubPLOs]],"&gt;=8",tbl_task5[[SubPLOs]:[SubPLOs]],"&lt;9")+SUMIFS(tbl_task6[S26],tbl_task6[[SubPLOs]:[SubPLOs]],"&gt;=8",tbl_task6[[SubPLOs]:[SubPLOs]],"&lt;9")+SUMIFS(tbl_task7[S26],tbl_task7[[SubPLOs]:[SubPLOs]],"&gt;=8",tbl_task7[[SubPLOs]:[SubPLOs]],"&lt;9")+SUMIFS(tbl_task8[S26],tbl_task8[[SubPLOs]:[SubPLOs]],"&gt;=8",tbl_task8[[SubPLOs]:[SubPLOs]],"&lt;9")+SUMIFS(tbl_task9[S26],tbl_task9[[SubPLOs]:[SubPLOs]],"&gt;=8",tbl_task9[[SubPLOs]:[SubPLOs]],"&lt;9")+SUMIFS(tbl_task10[S26],tbl_task10[[SubPLOs]:[SubPLOs]],"&gt;=8",tbl_task10[[SubPLOs]:[SubPLOs]],"&lt;9")</f>
        <v>0</v>
      </c>
      <c r="AF187" s="41">
        <f>SUMIFS(tbl_task1[S27],tbl_task1[[SubPLOs]:[SubPLOs]],"&gt;=8",tbl_task1[[SubPLOs]:[SubPLOs]],"&lt;9")+SUMIFS(tbl_task2[S27],tbl_task2[[SubPLOs]:[SubPLOs]],"&gt;=8",tbl_task2[[SubPLOs]:[SubPLOs]],"&lt;9")+SUMIFS(tbl_task3[S27],tbl_task3[[SubPLOs]:[SubPLOs]],"&gt;=8",tbl_task3[[SubPLOs]:[SubPLOs]],"&lt;9")+SUMIFS(tbl_task4[S27],tbl_task4[[SubPLOs]:[SubPLOs]],"&gt;=8",tbl_task4[[SubPLOs]:[SubPLOs]],"&lt;9")+SUMIFS(tbl_task5[S27],tbl_task5[[SubPLOs]:[SubPLOs]],"&gt;=8",tbl_task5[[SubPLOs]:[SubPLOs]],"&lt;9")+SUMIFS(tbl_task6[S27],tbl_task6[[SubPLOs]:[SubPLOs]],"&gt;=8",tbl_task6[[SubPLOs]:[SubPLOs]],"&lt;9")+SUMIFS(tbl_task7[S27],tbl_task7[[SubPLOs]:[SubPLOs]],"&gt;=8",tbl_task7[[SubPLOs]:[SubPLOs]],"&lt;9")+SUMIFS(tbl_task8[S27],tbl_task8[[SubPLOs]:[SubPLOs]],"&gt;=8",tbl_task8[[SubPLOs]:[SubPLOs]],"&lt;9")+SUMIFS(tbl_task9[S27],tbl_task9[[SubPLOs]:[SubPLOs]],"&gt;=8",tbl_task9[[SubPLOs]:[SubPLOs]],"&lt;9")+SUMIFS(tbl_task10[S27],tbl_task10[[SubPLOs]:[SubPLOs]],"&gt;=8",tbl_task10[[SubPLOs]:[SubPLOs]],"&lt;9")</f>
        <v>0</v>
      </c>
      <c r="AG187" s="41">
        <f>SUMIFS(tbl_task1[S28],tbl_task1[[SubPLOs]:[SubPLOs]],"&gt;=8",tbl_task1[[SubPLOs]:[SubPLOs]],"&lt;9")+SUMIFS(tbl_task2[S28],tbl_task2[[SubPLOs]:[SubPLOs]],"&gt;=8",tbl_task2[[SubPLOs]:[SubPLOs]],"&lt;9")+SUMIFS(tbl_task3[S28],tbl_task3[[SubPLOs]:[SubPLOs]],"&gt;=8",tbl_task3[[SubPLOs]:[SubPLOs]],"&lt;9")+SUMIFS(tbl_task4[S28],tbl_task4[[SubPLOs]:[SubPLOs]],"&gt;=8",tbl_task4[[SubPLOs]:[SubPLOs]],"&lt;9")+SUMIFS(tbl_task5[S28],tbl_task5[[SubPLOs]:[SubPLOs]],"&gt;=8",tbl_task5[[SubPLOs]:[SubPLOs]],"&lt;9")+SUMIFS(tbl_task6[S28],tbl_task6[[SubPLOs]:[SubPLOs]],"&gt;=8",tbl_task6[[SubPLOs]:[SubPLOs]],"&lt;9")+SUMIFS(tbl_task7[S28],tbl_task7[[SubPLOs]:[SubPLOs]],"&gt;=8",tbl_task7[[SubPLOs]:[SubPLOs]],"&lt;9")+SUMIFS(tbl_task8[S28],tbl_task8[[SubPLOs]:[SubPLOs]],"&gt;=8",tbl_task8[[SubPLOs]:[SubPLOs]],"&lt;9")+SUMIFS(tbl_task9[S28],tbl_task9[[SubPLOs]:[SubPLOs]],"&gt;=8",tbl_task9[[SubPLOs]:[SubPLOs]],"&lt;9")+SUMIFS(tbl_task10[S28],tbl_task10[[SubPLOs]:[SubPLOs]],"&gt;=8",tbl_task10[[SubPLOs]:[SubPLOs]],"&lt;9")</f>
        <v>0</v>
      </c>
      <c r="AH187" s="41">
        <f>SUMIFS(tbl_task1[S29],tbl_task1[[SubPLOs]:[SubPLOs]],"&gt;=8",tbl_task1[[SubPLOs]:[SubPLOs]],"&lt;9")+SUMIFS(tbl_task2[S29],tbl_task2[[SubPLOs]:[SubPLOs]],"&gt;=8",tbl_task2[[SubPLOs]:[SubPLOs]],"&lt;9")+SUMIFS(tbl_task3[S29],tbl_task3[[SubPLOs]:[SubPLOs]],"&gt;=8",tbl_task3[[SubPLOs]:[SubPLOs]],"&lt;9")+SUMIFS(tbl_task4[S29],tbl_task4[[SubPLOs]:[SubPLOs]],"&gt;=8",tbl_task4[[SubPLOs]:[SubPLOs]],"&lt;9")+SUMIFS(tbl_task5[S29],tbl_task5[[SubPLOs]:[SubPLOs]],"&gt;=8",tbl_task5[[SubPLOs]:[SubPLOs]],"&lt;9")+SUMIFS(tbl_task6[S29],tbl_task6[[SubPLOs]:[SubPLOs]],"&gt;=8",tbl_task6[[SubPLOs]:[SubPLOs]],"&lt;9")+SUMIFS(tbl_task7[S29],tbl_task7[[SubPLOs]:[SubPLOs]],"&gt;=8",tbl_task7[[SubPLOs]:[SubPLOs]],"&lt;9")+SUMIFS(tbl_task8[S29],tbl_task8[[SubPLOs]:[SubPLOs]],"&gt;=8",tbl_task8[[SubPLOs]:[SubPLOs]],"&lt;9")+SUMIFS(tbl_task9[S29],tbl_task9[[SubPLOs]:[SubPLOs]],"&gt;=8",tbl_task9[[SubPLOs]:[SubPLOs]],"&lt;9")+SUMIFS(tbl_task10[S29],tbl_task10[[SubPLOs]:[SubPLOs]],"&gt;=8",tbl_task10[[SubPLOs]:[SubPLOs]],"&lt;9")</f>
        <v>0</v>
      </c>
      <c r="AI187" s="41">
        <f>SUMIFS(tbl_task1[S30],tbl_task1[[SubPLOs]:[SubPLOs]],"&gt;=8",tbl_task1[[SubPLOs]:[SubPLOs]],"&lt;9")+SUMIFS(tbl_task2[S30],tbl_task2[[SubPLOs]:[SubPLOs]],"&gt;=8",tbl_task2[[SubPLOs]:[SubPLOs]],"&lt;9")+SUMIFS(tbl_task3[S30],tbl_task3[[SubPLOs]:[SubPLOs]],"&gt;=8",tbl_task3[[SubPLOs]:[SubPLOs]],"&lt;9")+SUMIFS(tbl_task4[S30],tbl_task4[[SubPLOs]:[SubPLOs]],"&gt;=8",tbl_task4[[SubPLOs]:[SubPLOs]],"&lt;9")+SUMIFS(tbl_task5[S30],tbl_task5[[SubPLOs]:[SubPLOs]],"&gt;=8",tbl_task5[[SubPLOs]:[SubPLOs]],"&lt;9")+SUMIFS(tbl_task6[S30],tbl_task6[[SubPLOs]:[SubPLOs]],"&gt;=8",tbl_task6[[SubPLOs]:[SubPLOs]],"&lt;9")+SUMIFS(tbl_task7[S30],tbl_task7[[SubPLOs]:[SubPLOs]],"&gt;=8",tbl_task7[[SubPLOs]:[SubPLOs]],"&lt;9")+SUMIFS(tbl_task8[S30],tbl_task8[[SubPLOs]:[SubPLOs]],"&gt;=8",tbl_task8[[SubPLOs]:[SubPLOs]],"&lt;9")+SUMIFS(tbl_task9[S30],tbl_task9[[SubPLOs]:[SubPLOs]],"&gt;=8",tbl_task9[[SubPLOs]:[SubPLOs]],"&lt;9")+SUMIFS(tbl_task10[S30],tbl_task10[[SubPLOs]:[SubPLOs]],"&gt;=8",tbl_task10[[SubPLOs]:[SubPLOs]],"&lt;9")</f>
        <v>0</v>
      </c>
      <c r="AJ187" s="41">
        <f>SUMIFS(tbl_task1[S31],tbl_task1[[SubPLOs]:[SubPLOs]],"&gt;=8",tbl_task1[[SubPLOs]:[SubPLOs]],"&lt;9")+SUMIFS(tbl_task2[S31],tbl_task2[[SubPLOs]:[SubPLOs]],"&gt;=8",tbl_task2[[SubPLOs]:[SubPLOs]],"&lt;9")+SUMIFS(tbl_task3[S31],tbl_task3[[SubPLOs]:[SubPLOs]],"&gt;=8",tbl_task3[[SubPLOs]:[SubPLOs]],"&lt;9")+SUMIFS(tbl_task4[S31],tbl_task4[[SubPLOs]:[SubPLOs]],"&gt;=8",tbl_task4[[SubPLOs]:[SubPLOs]],"&lt;9")+SUMIFS(tbl_task5[S31],tbl_task5[[SubPLOs]:[SubPLOs]],"&gt;=8",tbl_task5[[SubPLOs]:[SubPLOs]],"&lt;9")+SUMIFS(tbl_task6[S31],tbl_task6[[SubPLOs]:[SubPLOs]],"&gt;=8",tbl_task6[[SubPLOs]:[SubPLOs]],"&lt;9")+SUMIFS(tbl_task7[S31],tbl_task7[[SubPLOs]:[SubPLOs]],"&gt;=8",tbl_task7[[SubPLOs]:[SubPLOs]],"&lt;9")+SUMIFS(tbl_task8[S31],tbl_task8[[SubPLOs]:[SubPLOs]],"&gt;=8",tbl_task8[[SubPLOs]:[SubPLOs]],"&lt;9")+SUMIFS(tbl_task9[S31],tbl_task9[[SubPLOs]:[SubPLOs]],"&gt;=8",tbl_task9[[SubPLOs]:[SubPLOs]],"&lt;9")+SUMIFS(tbl_task10[S31],tbl_task10[[SubPLOs]:[SubPLOs]],"&gt;=8",tbl_task10[[SubPLOs]:[SubPLOs]],"&lt;9")</f>
        <v>0</v>
      </c>
      <c r="AK187" s="41">
        <f>SUMIFS(tbl_task1[S32],tbl_task1[[SubPLOs]:[SubPLOs]],"&gt;=8",tbl_task1[[SubPLOs]:[SubPLOs]],"&lt;9")+SUMIFS(tbl_task2[S32],tbl_task2[[SubPLOs]:[SubPLOs]],"&gt;=8",tbl_task2[[SubPLOs]:[SubPLOs]],"&lt;9")+SUMIFS(tbl_task3[S32],tbl_task3[[SubPLOs]:[SubPLOs]],"&gt;=8",tbl_task3[[SubPLOs]:[SubPLOs]],"&lt;9")+SUMIFS(tbl_task4[S32],tbl_task4[[SubPLOs]:[SubPLOs]],"&gt;=8",tbl_task4[[SubPLOs]:[SubPLOs]],"&lt;9")+SUMIFS(tbl_task5[S32],tbl_task5[[SubPLOs]:[SubPLOs]],"&gt;=8",tbl_task5[[SubPLOs]:[SubPLOs]],"&lt;9")+SUMIFS(tbl_task6[S32],tbl_task6[[SubPLOs]:[SubPLOs]],"&gt;=8",tbl_task6[[SubPLOs]:[SubPLOs]],"&lt;9")+SUMIFS(tbl_task7[S32],tbl_task7[[SubPLOs]:[SubPLOs]],"&gt;=8",tbl_task7[[SubPLOs]:[SubPLOs]],"&lt;9")+SUMIFS(tbl_task8[S32],tbl_task8[[SubPLOs]:[SubPLOs]],"&gt;=8",tbl_task8[[SubPLOs]:[SubPLOs]],"&lt;9")+SUMIFS(tbl_task9[S32],tbl_task9[[SubPLOs]:[SubPLOs]],"&gt;=8",tbl_task9[[SubPLOs]:[SubPLOs]],"&lt;9")+SUMIFS(tbl_task10[S32],tbl_task10[[SubPLOs]:[SubPLOs]],"&gt;=8",tbl_task10[[SubPLOs]:[SubPLOs]],"&lt;9")</f>
        <v>0</v>
      </c>
      <c r="AL187" s="41">
        <f>SUMIFS(tbl_task1[S33],tbl_task1[[SubPLOs]:[SubPLOs]],"&gt;=8",tbl_task1[[SubPLOs]:[SubPLOs]],"&lt;9")+SUMIFS(tbl_task2[S33],tbl_task2[[SubPLOs]:[SubPLOs]],"&gt;=8",tbl_task2[[SubPLOs]:[SubPLOs]],"&lt;9")+SUMIFS(tbl_task3[S33],tbl_task3[[SubPLOs]:[SubPLOs]],"&gt;=8",tbl_task3[[SubPLOs]:[SubPLOs]],"&lt;9")+SUMIFS(tbl_task4[S33],tbl_task4[[SubPLOs]:[SubPLOs]],"&gt;=8",tbl_task4[[SubPLOs]:[SubPLOs]],"&lt;9")+SUMIFS(tbl_task5[S33],tbl_task5[[SubPLOs]:[SubPLOs]],"&gt;=8",tbl_task5[[SubPLOs]:[SubPLOs]],"&lt;9")+SUMIFS(tbl_task6[S33],tbl_task6[[SubPLOs]:[SubPLOs]],"&gt;=8",tbl_task6[[SubPLOs]:[SubPLOs]],"&lt;9")+SUMIFS(tbl_task7[S33],tbl_task7[[SubPLOs]:[SubPLOs]],"&gt;=8",tbl_task7[[SubPLOs]:[SubPLOs]],"&lt;9")+SUMIFS(tbl_task8[S33],tbl_task8[[SubPLOs]:[SubPLOs]],"&gt;=8",tbl_task8[[SubPLOs]:[SubPLOs]],"&lt;9")+SUMIFS(tbl_task9[S33],tbl_task9[[SubPLOs]:[SubPLOs]],"&gt;=8",tbl_task9[[SubPLOs]:[SubPLOs]],"&lt;9")+SUMIFS(tbl_task10[S33],tbl_task10[[SubPLOs]:[SubPLOs]],"&gt;=8",tbl_task10[[SubPLOs]:[SubPLOs]],"&lt;9")</f>
        <v>0</v>
      </c>
      <c r="AM187" s="41">
        <f>SUMIFS(tbl_task1[S34],tbl_task1[[SubPLOs]:[SubPLOs]],"&gt;=8",tbl_task1[[SubPLOs]:[SubPLOs]],"&lt;9")+SUMIFS(tbl_task2[S34],tbl_task2[[SubPLOs]:[SubPLOs]],"&gt;=8",tbl_task2[[SubPLOs]:[SubPLOs]],"&lt;9")+SUMIFS(tbl_task3[S34],tbl_task3[[SubPLOs]:[SubPLOs]],"&gt;=8",tbl_task3[[SubPLOs]:[SubPLOs]],"&lt;9")+SUMIFS(tbl_task4[S34],tbl_task4[[SubPLOs]:[SubPLOs]],"&gt;=8",tbl_task4[[SubPLOs]:[SubPLOs]],"&lt;9")+SUMIFS(tbl_task5[S34],tbl_task5[[SubPLOs]:[SubPLOs]],"&gt;=8",tbl_task5[[SubPLOs]:[SubPLOs]],"&lt;9")+SUMIFS(tbl_task6[S34],tbl_task6[[SubPLOs]:[SubPLOs]],"&gt;=8",tbl_task6[[SubPLOs]:[SubPLOs]],"&lt;9")+SUMIFS(tbl_task7[S34],tbl_task7[[SubPLOs]:[SubPLOs]],"&gt;=8",tbl_task7[[SubPLOs]:[SubPLOs]],"&lt;9")+SUMIFS(tbl_task8[S34],tbl_task8[[SubPLOs]:[SubPLOs]],"&gt;=8",tbl_task8[[SubPLOs]:[SubPLOs]],"&lt;9")+SUMIFS(tbl_task9[S34],tbl_task9[[SubPLOs]:[SubPLOs]],"&gt;=8",tbl_task9[[SubPLOs]:[SubPLOs]],"&lt;9")+SUMIFS(tbl_task10[S34],tbl_task10[[SubPLOs]:[SubPLOs]],"&gt;=8",tbl_task10[[SubPLOs]:[SubPLOs]],"&lt;9")</f>
        <v>0</v>
      </c>
      <c r="AN187" s="41">
        <f>SUMIFS(tbl_task1[S35],tbl_task1[[SubPLOs]:[SubPLOs]],"&gt;=8",tbl_task1[[SubPLOs]:[SubPLOs]],"&lt;9")+SUMIFS(tbl_task2[S35],tbl_task2[[SubPLOs]:[SubPLOs]],"&gt;=8",tbl_task2[[SubPLOs]:[SubPLOs]],"&lt;9")+SUMIFS(tbl_task3[S35],tbl_task3[[SubPLOs]:[SubPLOs]],"&gt;=8",tbl_task3[[SubPLOs]:[SubPLOs]],"&lt;9")+SUMIFS(tbl_task4[S35],tbl_task4[[SubPLOs]:[SubPLOs]],"&gt;=8",tbl_task4[[SubPLOs]:[SubPLOs]],"&lt;9")+SUMIFS(tbl_task5[S35],tbl_task5[[SubPLOs]:[SubPLOs]],"&gt;=8",tbl_task5[[SubPLOs]:[SubPLOs]],"&lt;9")+SUMIFS(tbl_task6[S35],tbl_task6[[SubPLOs]:[SubPLOs]],"&gt;=8",tbl_task6[[SubPLOs]:[SubPLOs]],"&lt;9")+SUMIFS(tbl_task7[S35],tbl_task7[[SubPLOs]:[SubPLOs]],"&gt;=8",tbl_task7[[SubPLOs]:[SubPLOs]],"&lt;9")+SUMIFS(tbl_task8[S35],tbl_task8[[SubPLOs]:[SubPLOs]],"&gt;=8",tbl_task8[[SubPLOs]:[SubPLOs]],"&lt;9")+SUMIFS(tbl_task9[S35],tbl_task9[[SubPLOs]:[SubPLOs]],"&gt;=8",tbl_task9[[SubPLOs]:[SubPLOs]],"&lt;9")+SUMIFS(tbl_task10[S35],tbl_task10[[SubPLOs]:[SubPLOs]],"&gt;=8",tbl_task10[[SubPLOs]:[SubPLOs]],"&lt;9")</f>
        <v>0</v>
      </c>
      <c r="AO187" s="41">
        <f>SUMIFS(tbl_task1[S36],tbl_task1[[SubPLOs]:[SubPLOs]],"&gt;=8",tbl_task1[[SubPLOs]:[SubPLOs]],"&lt;9")+SUMIFS(tbl_task2[S36],tbl_task2[[SubPLOs]:[SubPLOs]],"&gt;=8",tbl_task2[[SubPLOs]:[SubPLOs]],"&lt;9")+SUMIFS(tbl_task3[S36],tbl_task3[[SubPLOs]:[SubPLOs]],"&gt;=8",tbl_task3[[SubPLOs]:[SubPLOs]],"&lt;9")+SUMIFS(tbl_task4[S36],tbl_task4[[SubPLOs]:[SubPLOs]],"&gt;=8",tbl_task4[[SubPLOs]:[SubPLOs]],"&lt;9")+SUMIFS(tbl_task5[S36],tbl_task5[[SubPLOs]:[SubPLOs]],"&gt;=8",tbl_task5[[SubPLOs]:[SubPLOs]],"&lt;9")+SUMIFS(tbl_task6[S36],tbl_task6[[SubPLOs]:[SubPLOs]],"&gt;=8",tbl_task6[[SubPLOs]:[SubPLOs]],"&lt;9")+SUMIFS(tbl_task7[S36],tbl_task7[[SubPLOs]:[SubPLOs]],"&gt;=8",tbl_task7[[SubPLOs]:[SubPLOs]],"&lt;9")+SUMIFS(tbl_task8[S36],tbl_task8[[SubPLOs]:[SubPLOs]],"&gt;=8",tbl_task8[[SubPLOs]:[SubPLOs]],"&lt;9")+SUMIFS(tbl_task9[S36],tbl_task9[[SubPLOs]:[SubPLOs]],"&gt;=8",tbl_task9[[SubPLOs]:[SubPLOs]],"&lt;9")+SUMIFS(tbl_task10[S36],tbl_task10[[SubPLOs]:[SubPLOs]],"&gt;=8",tbl_task10[[SubPLOs]:[SubPLOs]],"&lt;9")</f>
        <v>0</v>
      </c>
      <c r="AP187" s="41">
        <f>SUMIFS(tbl_task1[S37],tbl_task1[[SubPLOs]:[SubPLOs]],"&gt;=8",tbl_task1[[SubPLOs]:[SubPLOs]],"&lt;9")+SUMIFS(tbl_task2[S37],tbl_task2[[SubPLOs]:[SubPLOs]],"&gt;=8",tbl_task2[[SubPLOs]:[SubPLOs]],"&lt;9")+SUMIFS(tbl_task3[S37],tbl_task3[[SubPLOs]:[SubPLOs]],"&gt;=8",tbl_task3[[SubPLOs]:[SubPLOs]],"&lt;9")+SUMIFS(tbl_task4[S37],tbl_task4[[SubPLOs]:[SubPLOs]],"&gt;=8",tbl_task4[[SubPLOs]:[SubPLOs]],"&lt;9")+SUMIFS(tbl_task5[S37],tbl_task5[[SubPLOs]:[SubPLOs]],"&gt;=8",tbl_task5[[SubPLOs]:[SubPLOs]],"&lt;9")+SUMIFS(tbl_task6[S37],tbl_task6[[SubPLOs]:[SubPLOs]],"&gt;=8",tbl_task6[[SubPLOs]:[SubPLOs]],"&lt;9")+SUMIFS(tbl_task7[S37],tbl_task7[[SubPLOs]:[SubPLOs]],"&gt;=8",tbl_task7[[SubPLOs]:[SubPLOs]],"&lt;9")+SUMIFS(tbl_task8[S37],tbl_task8[[SubPLOs]:[SubPLOs]],"&gt;=8",tbl_task8[[SubPLOs]:[SubPLOs]],"&lt;9")+SUMIFS(tbl_task9[S37],tbl_task9[[SubPLOs]:[SubPLOs]],"&gt;=8",tbl_task9[[SubPLOs]:[SubPLOs]],"&lt;9")+SUMIFS(tbl_task10[S37],tbl_task10[[SubPLOs]:[SubPLOs]],"&gt;=8",tbl_task10[[SubPLOs]:[SubPLOs]],"&lt;9")</f>
        <v>0</v>
      </c>
      <c r="AQ187" s="41">
        <f>SUMIFS(tbl_task1[S38],tbl_task1[[SubPLOs]:[SubPLOs]],"&gt;=8",tbl_task1[[SubPLOs]:[SubPLOs]],"&lt;9")+SUMIFS(tbl_task2[S38],tbl_task2[[SubPLOs]:[SubPLOs]],"&gt;=8",tbl_task2[[SubPLOs]:[SubPLOs]],"&lt;9")+SUMIFS(tbl_task3[S38],tbl_task3[[SubPLOs]:[SubPLOs]],"&gt;=8",tbl_task3[[SubPLOs]:[SubPLOs]],"&lt;9")+SUMIFS(tbl_task4[S38],tbl_task4[[SubPLOs]:[SubPLOs]],"&gt;=8",tbl_task4[[SubPLOs]:[SubPLOs]],"&lt;9")+SUMIFS(tbl_task5[S38],tbl_task5[[SubPLOs]:[SubPLOs]],"&gt;=8",tbl_task5[[SubPLOs]:[SubPLOs]],"&lt;9")+SUMIFS(tbl_task6[S38],tbl_task6[[SubPLOs]:[SubPLOs]],"&gt;=8",tbl_task6[[SubPLOs]:[SubPLOs]],"&lt;9")+SUMIFS(tbl_task7[S38],tbl_task7[[SubPLOs]:[SubPLOs]],"&gt;=8",tbl_task7[[SubPLOs]:[SubPLOs]],"&lt;9")+SUMIFS(tbl_task8[S38],tbl_task8[[SubPLOs]:[SubPLOs]],"&gt;=8",tbl_task8[[SubPLOs]:[SubPLOs]],"&lt;9")+SUMIFS(tbl_task9[S38],tbl_task9[[SubPLOs]:[SubPLOs]],"&gt;=8",tbl_task9[[SubPLOs]:[SubPLOs]],"&lt;9")+SUMIFS(tbl_task10[S38],tbl_task10[[SubPLOs]:[SubPLOs]],"&gt;=8",tbl_task10[[SubPLOs]:[SubPLOs]],"&lt;9")</f>
        <v>0</v>
      </c>
      <c r="AR187" s="41">
        <f>SUMIFS(tbl_task1[S39],tbl_task1[[SubPLOs]:[SubPLOs]],"&gt;=8",tbl_task1[[SubPLOs]:[SubPLOs]],"&lt;9")+SUMIFS(tbl_task2[S39],tbl_task2[[SubPLOs]:[SubPLOs]],"&gt;=8",tbl_task2[[SubPLOs]:[SubPLOs]],"&lt;9")+SUMIFS(tbl_task3[S39],tbl_task3[[SubPLOs]:[SubPLOs]],"&gt;=8",tbl_task3[[SubPLOs]:[SubPLOs]],"&lt;9")+SUMIFS(tbl_task4[S39],tbl_task4[[SubPLOs]:[SubPLOs]],"&gt;=8",tbl_task4[[SubPLOs]:[SubPLOs]],"&lt;9")+SUMIFS(tbl_task5[S39],tbl_task5[[SubPLOs]:[SubPLOs]],"&gt;=8",tbl_task5[[SubPLOs]:[SubPLOs]],"&lt;9")+SUMIFS(tbl_task6[S39],tbl_task6[[SubPLOs]:[SubPLOs]],"&gt;=8",tbl_task6[[SubPLOs]:[SubPLOs]],"&lt;9")+SUMIFS(tbl_task7[S39],tbl_task7[[SubPLOs]:[SubPLOs]],"&gt;=8",tbl_task7[[SubPLOs]:[SubPLOs]],"&lt;9")+SUMIFS(tbl_task8[S39],tbl_task8[[SubPLOs]:[SubPLOs]],"&gt;=8",tbl_task8[[SubPLOs]:[SubPLOs]],"&lt;9")+SUMIFS(tbl_task9[S39],tbl_task9[[SubPLOs]:[SubPLOs]],"&gt;=8",tbl_task9[[SubPLOs]:[SubPLOs]],"&lt;9")+SUMIFS(tbl_task10[S39],tbl_task10[[SubPLOs]:[SubPLOs]],"&gt;=8",tbl_task10[[SubPLOs]:[SubPLOs]],"&lt;9")</f>
        <v>0</v>
      </c>
      <c r="AS187" s="41">
        <f>SUMIFS(tbl_task1[S40],tbl_task1[[SubPLOs]:[SubPLOs]],"&gt;=8",tbl_task1[[SubPLOs]:[SubPLOs]],"&lt;9")+SUMIFS(tbl_task2[S40],tbl_task2[[SubPLOs]:[SubPLOs]],"&gt;=8",tbl_task2[[SubPLOs]:[SubPLOs]],"&lt;9")+SUMIFS(tbl_task3[S40],tbl_task3[[SubPLOs]:[SubPLOs]],"&gt;=8",tbl_task3[[SubPLOs]:[SubPLOs]],"&lt;9")+SUMIFS(tbl_task4[S40],tbl_task4[[SubPLOs]:[SubPLOs]],"&gt;=8",tbl_task4[[SubPLOs]:[SubPLOs]],"&lt;9")+SUMIFS(tbl_task5[S40],tbl_task5[[SubPLOs]:[SubPLOs]],"&gt;=8",tbl_task5[[SubPLOs]:[SubPLOs]],"&lt;9")+SUMIFS(tbl_task6[S40],tbl_task6[[SubPLOs]:[SubPLOs]],"&gt;=8",tbl_task6[[SubPLOs]:[SubPLOs]],"&lt;9")+SUMIFS(tbl_task7[S40],tbl_task7[[SubPLOs]:[SubPLOs]],"&gt;=8",tbl_task7[[SubPLOs]:[SubPLOs]],"&lt;9")+SUMIFS(tbl_task8[S40],tbl_task8[[SubPLOs]:[SubPLOs]],"&gt;=8",tbl_task8[[SubPLOs]:[SubPLOs]],"&lt;9")+SUMIFS(tbl_task9[S40],tbl_task9[[SubPLOs]:[SubPLOs]],"&gt;=8",tbl_task9[[SubPLOs]:[SubPLOs]],"&lt;9")+SUMIFS(tbl_task10[S40],tbl_task10[[SubPLOs]:[SubPLOs]],"&gt;=8",tbl_task10[[SubPLOs]:[SubPLOs]],"&lt;9")</f>
        <v>0</v>
      </c>
      <c r="AT187" s="41">
        <f>SUMIFS(tbl_task1[S41],tbl_task1[[SubPLOs]:[SubPLOs]],"&gt;=8",tbl_task1[[SubPLOs]:[SubPLOs]],"&lt;9")+SUMIFS(tbl_task2[S41],tbl_task2[[SubPLOs]:[SubPLOs]],"&gt;=8",tbl_task2[[SubPLOs]:[SubPLOs]],"&lt;9")+SUMIFS(tbl_task3[S41],tbl_task3[[SubPLOs]:[SubPLOs]],"&gt;=8",tbl_task3[[SubPLOs]:[SubPLOs]],"&lt;9")+SUMIFS(tbl_task4[S41],tbl_task4[[SubPLOs]:[SubPLOs]],"&gt;=8",tbl_task4[[SubPLOs]:[SubPLOs]],"&lt;9")+SUMIFS(tbl_task5[S41],tbl_task5[[SubPLOs]:[SubPLOs]],"&gt;=8",tbl_task5[[SubPLOs]:[SubPLOs]],"&lt;9")+SUMIFS(tbl_task6[S41],tbl_task6[[SubPLOs]:[SubPLOs]],"&gt;=8",tbl_task6[[SubPLOs]:[SubPLOs]],"&lt;9")+SUMIFS(tbl_task7[S41],tbl_task7[[SubPLOs]:[SubPLOs]],"&gt;=8",tbl_task7[[SubPLOs]:[SubPLOs]],"&lt;9")+SUMIFS(tbl_task8[S41],tbl_task8[[SubPLOs]:[SubPLOs]],"&gt;=8",tbl_task8[[SubPLOs]:[SubPLOs]],"&lt;9")+SUMIFS(tbl_task9[S41],tbl_task9[[SubPLOs]:[SubPLOs]],"&gt;=8",tbl_task9[[SubPLOs]:[SubPLOs]],"&lt;9")+SUMIFS(tbl_task10[S41],tbl_task10[[SubPLOs]:[SubPLOs]],"&gt;=8",tbl_task10[[SubPLOs]:[SubPLOs]],"&lt;9")</f>
        <v>0</v>
      </c>
      <c r="AU187" s="41">
        <f>SUMIFS(tbl_task1[S42],tbl_task1[[SubPLOs]:[SubPLOs]],"&gt;=8",tbl_task1[[SubPLOs]:[SubPLOs]],"&lt;9")+SUMIFS(tbl_task2[S42],tbl_task2[[SubPLOs]:[SubPLOs]],"&gt;=8",tbl_task2[[SubPLOs]:[SubPLOs]],"&lt;9")+SUMIFS(tbl_task3[S42],tbl_task3[[SubPLOs]:[SubPLOs]],"&gt;=8",tbl_task3[[SubPLOs]:[SubPLOs]],"&lt;9")+SUMIFS(tbl_task4[S42],tbl_task4[[SubPLOs]:[SubPLOs]],"&gt;=8",tbl_task4[[SubPLOs]:[SubPLOs]],"&lt;9")+SUMIFS(tbl_task5[S42],tbl_task5[[SubPLOs]:[SubPLOs]],"&gt;=8",tbl_task5[[SubPLOs]:[SubPLOs]],"&lt;9")+SUMIFS(tbl_task6[S42],tbl_task6[[SubPLOs]:[SubPLOs]],"&gt;=8",tbl_task6[[SubPLOs]:[SubPLOs]],"&lt;9")+SUMIFS(tbl_task7[S42],tbl_task7[[SubPLOs]:[SubPLOs]],"&gt;=8",tbl_task7[[SubPLOs]:[SubPLOs]],"&lt;9")+SUMIFS(tbl_task8[S42],tbl_task8[[SubPLOs]:[SubPLOs]],"&gt;=8",tbl_task8[[SubPLOs]:[SubPLOs]],"&lt;9")+SUMIFS(tbl_task9[S42],tbl_task9[[SubPLOs]:[SubPLOs]],"&gt;=8",tbl_task9[[SubPLOs]:[SubPLOs]],"&lt;9")+SUMIFS(tbl_task10[S42],tbl_task10[[SubPLOs]:[SubPLOs]],"&gt;=8",tbl_task10[[SubPLOs]:[SubPLOs]],"&lt;9")</f>
        <v>0</v>
      </c>
      <c r="AV187" s="41">
        <f>SUMIFS(tbl_task1[S43],tbl_task1[[SubPLOs]:[SubPLOs]],"&gt;=8",tbl_task1[[SubPLOs]:[SubPLOs]],"&lt;9")+SUMIFS(tbl_task2[S43],tbl_task2[[SubPLOs]:[SubPLOs]],"&gt;=8",tbl_task2[[SubPLOs]:[SubPLOs]],"&lt;9")+SUMIFS(tbl_task3[S43],tbl_task3[[SubPLOs]:[SubPLOs]],"&gt;=8",tbl_task3[[SubPLOs]:[SubPLOs]],"&lt;9")+SUMIFS(tbl_task4[S43],tbl_task4[[SubPLOs]:[SubPLOs]],"&gt;=8",tbl_task4[[SubPLOs]:[SubPLOs]],"&lt;9")+SUMIFS(tbl_task5[S43],tbl_task5[[SubPLOs]:[SubPLOs]],"&gt;=8",tbl_task5[[SubPLOs]:[SubPLOs]],"&lt;9")+SUMIFS(tbl_task6[S43],tbl_task6[[SubPLOs]:[SubPLOs]],"&gt;=8",tbl_task6[[SubPLOs]:[SubPLOs]],"&lt;9")+SUMIFS(tbl_task7[S43],tbl_task7[[SubPLOs]:[SubPLOs]],"&gt;=8",tbl_task7[[SubPLOs]:[SubPLOs]],"&lt;9")+SUMIFS(tbl_task8[S43],tbl_task8[[SubPLOs]:[SubPLOs]],"&gt;=8",tbl_task8[[SubPLOs]:[SubPLOs]],"&lt;9")+SUMIFS(tbl_task9[S43],tbl_task9[[SubPLOs]:[SubPLOs]],"&gt;=8",tbl_task9[[SubPLOs]:[SubPLOs]],"&lt;9")+SUMIFS(tbl_task10[S43],tbl_task10[[SubPLOs]:[SubPLOs]],"&gt;=8",tbl_task10[[SubPLOs]:[SubPLOs]],"&lt;9")</f>
        <v>0</v>
      </c>
      <c r="AW187" s="41">
        <f>SUMIFS(tbl_task1[S44],tbl_task1[[SubPLOs]:[SubPLOs]],"&gt;=8",tbl_task1[[SubPLOs]:[SubPLOs]],"&lt;9")+SUMIFS(tbl_task2[S44],tbl_task2[[SubPLOs]:[SubPLOs]],"&gt;=8",tbl_task2[[SubPLOs]:[SubPLOs]],"&lt;9")+SUMIFS(tbl_task3[S44],tbl_task3[[SubPLOs]:[SubPLOs]],"&gt;=8",tbl_task3[[SubPLOs]:[SubPLOs]],"&lt;9")+SUMIFS(tbl_task4[S44],tbl_task4[[SubPLOs]:[SubPLOs]],"&gt;=8",tbl_task4[[SubPLOs]:[SubPLOs]],"&lt;9")+SUMIFS(tbl_task5[S44],tbl_task5[[SubPLOs]:[SubPLOs]],"&gt;=8",tbl_task5[[SubPLOs]:[SubPLOs]],"&lt;9")+SUMIFS(tbl_task6[S44],tbl_task6[[SubPLOs]:[SubPLOs]],"&gt;=8",tbl_task6[[SubPLOs]:[SubPLOs]],"&lt;9")+SUMIFS(tbl_task7[S44],tbl_task7[[SubPLOs]:[SubPLOs]],"&gt;=8",tbl_task7[[SubPLOs]:[SubPLOs]],"&lt;9")+SUMIFS(tbl_task8[S44],tbl_task8[[SubPLOs]:[SubPLOs]],"&gt;=8",tbl_task8[[SubPLOs]:[SubPLOs]],"&lt;9")+SUMIFS(tbl_task9[S44],tbl_task9[[SubPLOs]:[SubPLOs]],"&gt;=8",tbl_task9[[SubPLOs]:[SubPLOs]],"&lt;9")+SUMIFS(tbl_task10[S44],tbl_task10[[SubPLOs]:[SubPLOs]],"&gt;=8",tbl_task10[[SubPLOs]:[SubPLOs]],"&lt;9")</f>
        <v>0</v>
      </c>
      <c r="AX187" s="41">
        <f>SUMIFS(tbl_task1[S45],tbl_task1[[SubPLOs]:[SubPLOs]],"&gt;=8",tbl_task1[[SubPLOs]:[SubPLOs]],"&lt;9")+SUMIFS(tbl_task2[S45],tbl_task2[[SubPLOs]:[SubPLOs]],"&gt;=8",tbl_task2[[SubPLOs]:[SubPLOs]],"&lt;9")+SUMIFS(tbl_task3[S45],tbl_task3[[SubPLOs]:[SubPLOs]],"&gt;=8",tbl_task3[[SubPLOs]:[SubPLOs]],"&lt;9")+SUMIFS(tbl_task4[S45],tbl_task4[[SubPLOs]:[SubPLOs]],"&gt;=8",tbl_task4[[SubPLOs]:[SubPLOs]],"&lt;9")+SUMIFS(tbl_task5[S45],tbl_task5[[SubPLOs]:[SubPLOs]],"&gt;=8",tbl_task5[[SubPLOs]:[SubPLOs]],"&lt;9")+SUMIFS(tbl_task6[S45],tbl_task6[[SubPLOs]:[SubPLOs]],"&gt;=8",tbl_task6[[SubPLOs]:[SubPLOs]],"&lt;9")+SUMIFS(tbl_task7[S45],tbl_task7[[SubPLOs]:[SubPLOs]],"&gt;=8",tbl_task7[[SubPLOs]:[SubPLOs]],"&lt;9")+SUMIFS(tbl_task8[S45],tbl_task8[[SubPLOs]:[SubPLOs]],"&gt;=8",tbl_task8[[SubPLOs]:[SubPLOs]],"&lt;9")+SUMIFS(tbl_task9[S45],tbl_task9[[SubPLOs]:[SubPLOs]],"&gt;=8",tbl_task9[[SubPLOs]:[SubPLOs]],"&lt;9")+SUMIFS(tbl_task10[S45],tbl_task10[[SubPLOs]:[SubPLOs]],"&gt;=8",tbl_task10[[SubPLOs]:[SubPLOs]],"&lt;9")</f>
        <v>0</v>
      </c>
      <c r="AY187" s="41">
        <f>SUMIFS(tbl_task1[S46],tbl_task1[[SubPLOs]:[SubPLOs]],"&gt;=8",tbl_task1[[SubPLOs]:[SubPLOs]],"&lt;9")+SUMIFS(tbl_task2[S46],tbl_task2[[SubPLOs]:[SubPLOs]],"&gt;=8",tbl_task2[[SubPLOs]:[SubPLOs]],"&lt;9")+SUMIFS(tbl_task3[S46],tbl_task3[[SubPLOs]:[SubPLOs]],"&gt;=8",tbl_task3[[SubPLOs]:[SubPLOs]],"&lt;9")+SUMIFS(tbl_task4[S46],tbl_task4[[SubPLOs]:[SubPLOs]],"&gt;=8",tbl_task4[[SubPLOs]:[SubPLOs]],"&lt;9")+SUMIFS(tbl_task5[S46],tbl_task5[[SubPLOs]:[SubPLOs]],"&gt;=8",tbl_task5[[SubPLOs]:[SubPLOs]],"&lt;9")+SUMIFS(tbl_task6[S46],tbl_task6[[SubPLOs]:[SubPLOs]],"&gt;=8",tbl_task6[[SubPLOs]:[SubPLOs]],"&lt;9")+SUMIFS(tbl_task7[S46],tbl_task7[[SubPLOs]:[SubPLOs]],"&gt;=8",tbl_task7[[SubPLOs]:[SubPLOs]],"&lt;9")+SUMIFS(tbl_task8[S46],tbl_task8[[SubPLOs]:[SubPLOs]],"&gt;=8",tbl_task8[[SubPLOs]:[SubPLOs]],"&lt;9")+SUMIFS(tbl_task9[S46],tbl_task9[[SubPLOs]:[SubPLOs]],"&gt;=8",tbl_task9[[SubPLOs]:[SubPLOs]],"&lt;9")+SUMIFS(tbl_task10[S46],tbl_task10[[SubPLOs]:[SubPLOs]],"&gt;=8",tbl_task10[[SubPLOs]:[SubPLOs]],"&lt;9")</f>
        <v>0</v>
      </c>
      <c r="AZ187" s="41">
        <f>SUMIFS(tbl_task1[S47],tbl_task1[[SubPLOs]:[SubPLOs]],"&gt;=8",tbl_task1[[SubPLOs]:[SubPLOs]],"&lt;9")+SUMIFS(tbl_task2[S47],tbl_task2[[SubPLOs]:[SubPLOs]],"&gt;=8",tbl_task2[[SubPLOs]:[SubPLOs]],"&lt;9")+SUMIFS(tbl_task3[S47],tbl_task3[[SubPLOs]:[SubPLOs]],"&gt;=8",tbl_task3[[SubPLOs]:[SubPLOs]],"&lt;9")+SUMIFS(tbl_task4[S47],tbl_task4[[SubPLOs]:[SubPLOs]],"&gt;=8",tbl_task4[[SubPLOs]:[SubPLOs]],"&lt;9")+SUMIFS(tbl_task5[S47],tbl_task5[[SubPLOs]:[SubPLOs]],"&gt;=8",tbl_task5[[SubPLOs]:[SubPLOs]],"&lt;9")+SUMIFS(tbl_task6[S47],tbl_task6[[SubPLOs]:[SubPLOs]],"&gt;=8",tbl_task6[[SubPLOs]:[SubPLOs]],"&lt;9")+SUMIFS(tbl_task7[S47],tbl_task7[[SubPLOs]:[SubPLOs]],"&gt;=8",tbl_task7[[SubPLOs]:[SubPLOs]],"&lt;9")+SUMIFS(tbl_task8[S47],tbl_task8[[SubPLOs]:[SubPLOs]],"&gt;=8",tbl_task8[[SubPLOs]:[SubPLOs]],"&lt;9")+SUMIFS(tbl_task9[S47],tbl_task9[[SubPLOs]:[SubPLOs]],"&gt;=8",tbl_task9[[SubPLOs]:[SubPLOs]],"&lt;9")+SUMIFS(tbl_task10[S47],tbl_task10[[SubPLOs]:[SubPLOs]],"&gt;=8",tbl_task10[[SubPLOs]:[SubPLOs]],"&lt;9")</f>
        <v>0</v>
      </c>
      <c r="BA187" s="41">
        <f>SUMIFS(tbl_task1[S48],tbl_task1[[SubPLOs]:[SubPLOs]],"&gt;=8",tbl_task1[[SubPLOs]:[SubPLOs]],"&lt;9")+SUMIFS(tbl_task2[S48],tbl_task2[[SubPLOs]:[SubPLOs]],"&gt;=8",tbl_task2[[SubPLOs]:[SubPLOs]],"&lt;9")+SUMIFS(tbl_task3[S48],tbl_task3[[SubPLOs]:[SubPLOs]],"&gt;=8",tbl_task3[[SubPLOs]:[SubPLOs]],"&lt;9")+SUMIFS(tbl_task4[S48],tbl_task4[[SubPLOs]:[SubPLOs]],"&gt;=8",tbl_task4[[SubPLOs]:[SubPLOs]],"&lt;9")+SUMIFS(tbl_task5[S48],tbl_task5[[SubPLOs]:[SubPLOs]],"&gt;=8",tbl_task5[[SubPLOs]:[SubPLOs]],"&lt;9")+SUMIFS(tbl_task6[S48],tbl_task6[[SubPLOs]:[SubPLOs]],"&gt;=8",tbl_task6[[SubPLOs]:[SubPLOs]],"&lt;9")+SUMIFS(tbl_task7[S48],tbl_task7[[SubPLOs]:[SubPLOs]],"&gt;=8",tbl_task7[[SubPLOs]:[SubPLOs]],"&lt;9")+SUMIFS(tbl_task8[S48],tbl_task8[[SubPLOs]:[SubPLOs]],"&gt;=8",tbl_task8[[SubPLOs]:[SubPLOs]],"&lt;9")+SUMIFS(tbl_task9[S48],tbl_task9[[SubPLOs]:[SubPLOs]],"&gt;=8",tbl_task9[[SubPLOs]:[SubPLOs]],"&lt;9")+SUMIFS(tbl_task10[S48],tbl_task10[[SubPLOs]:[SubPLOs]],"&gt;=8",tbl_task10[[SubPLOs]:[SubPLOs]],"&lt;9")</f>
        <v>0</v>
      </c>
      <c r="BB187" s="41">
        <f>SUMIFS(tbl_task1[S49],tbl_task1[[SubPLOs]:[SubPLOs]],"&gt;=8",tbl_task1[[SubPLOs]:[SubPLOs]],"&lt;9")+SUMIFS(tbl_task2[S49],tbl_task2[[SubPLOs]:[SubPLOs]],"&gt;=8",tbl_task2[[SubPLOs]:[SubPLOs]],"&lt;9")+SUMIFS(tbl_task3[S49],tbl_task3[[SubPLOs]:[SubPLOs]],"&gt;=8",tbl_task3[[SubPLOs]:[SubPLOs]],"&lt;9")+SUMIFS(tbl_task4[S49],tbl_task4[[SubPLOs]:[SubPLOs]],"&gt;=8",tbl_task4[[SubPLOs]:[SubPLOs]],"&lt;9")+SUMIFS(tbl_task5[S49],tbl_task5[[SubPLOs]:[SubPLOs]],"&gt;=8",tbl_task5[[SubPLOs]:[SubPLOs]],"&lt;9")+SUMIFS(tbl_task6[S49],tbl_task6[[SubPLOs]:[SubPLOs]],"&gt;=8",tbl_task6[[SubPLOs]:[SubPLOs]],"&lt;9")+SUMIFS(tbl_task7[S49],tbl_task7[[SubPLOs]:[SubPLOs]],"&gt;=8",tbl_task7[[SubPLOs]:[SubPLOs]],"&lt;9")+SUMIFS(tbl_task8[S49],tbl_task8[[SubPLOs]:[SubPLOs]],"&gt;=8",tbl_task8[[SubPLOs]:[SubPLOs]],"&lt;9")+SUMIFS(tbl_task9[S49],tbl_task9[[SubPLOs]:[SubPLOs]],"&gt;=8",tbl_task9[[SubPLOs]:[SubPLOs]],"&lt;9")+SUMIFS(tbl_task10[S49],tbl_task10[[SubPLOs]:[SubPLOs]],"&gt;=8",tbl_task10[[SubPLOs]:[SubPLOs]],"&lt;9")</f>
        <v>0</v>
      </c>
      <c r="BC187" s="41">
        <f>SUMIFS(tbl_task1[S50],tbl_task1[[SubPLOs]:[SubPLOs]],"&gt;=8",tbl_task1[[SubPLOs]:[SubPLOs]],"&lt;9")+SUMIFS(tbl_task2[S50],tbl_task2[[SubPLOs]:[SubPLOs]],"&gt;=8",tbl_task2[[SubPLOs]:[SubPLOs]],"&lt;9")+SUMIFS(tbl_task3[S50],tbl_task3[[SubPLOs]:[SubPLOs]],"&gt;=8",tbl_task3[[SubPLOs]:[SubPLOs]],"&lt;9")+SUMIFS(tbl_task4[S50],tbl_task4[[SubPLOs]:[SubPLOs]],"&gt;=8",tbl_task4[[SubPLOs]:[SubPLOs]],"&lt;9")+SUMIFS(tbl_task5[S50],tbl_task5[[SubPLOs]:[SubPLOs]],"&gt;=8",tbl_task5[[SubPLOs]:[SubPLOs]],"&lt;9")+SUMIFS(tbl_task6[S50],tbl_task6[[SubPLOs]:[SubPLOs]],"&gt;=8",tbl_task6[[SubPLOs]:[SubPLOs]],"&lt;9")+SUMIFS(tbl_task7[S50],tbl_task7[[SubPLOs]:[SubPLOs]],"&gt;=8",tbl_task7[[SubPLOs]:[SubPLOs]],"&lt;9")+SUMIFS(tbl_task8[S50],tbl_task8[[SubPLOs]:[SubPLOs]],"&gt;=8",tbl_task8[[SubPLOs]:[SubPLOs]],"&lt;9")+SUMIFS(tbl_task9[S50],tbl_task9[[SubPLOs]:[SubPLOs]],"&gt;=8",tbl_task9[[SubPLOs]:[SubPLOs]],"&lt;9")+SUMIFS(tbl_task10[S50],tbl_task10[[SubPLOs]:[SubPLOs]],"&gt;=8",tbl_task10[[SubPLOs]:[SubPLOs]],"&lt;9")</f>
        <v>0</v>
      </c>
      <c r="BD187" s="41">
        <f>SUMIFS(tbl_task1[S51],tbl_task1[[SubPLOs]:[SubPLOs]],"&gt;=8",tbl_task1[[SubPLOs]:[SubPLOs]],"&lt;9")+SUMIFS(tbl_task2[S51],tbl_task2[[SubPLOs]:[SubPLOs]],"&gt;=8",tbl_task2[[SubPLOs]:[SubPLOs]],"&lt;9")+SUMIFS(tbl_task3[S51],tbl_task3[[SubPLOs]:[SubPLOs]],"&gt;=8",tbl_task3[[SubPLOs]:[SubPLOs]],"&lt;9")+SUMIFS(tbl_task4[S51],tbl_task4[[SubPLOs]:[SubPLOs]],"&gt;=8",tbl_task4[[SubPLOs]:[SubPLOs]],"&lt;9")+SUMIFS(tbl_task5[S51],tbl_task5[[SubPLOs]:[SubPLOs]],"&gt;=8",tbl_task5[[SubPLOs]:[SubPLOs]],"&lt;9")+SUMIFS(tbl_task6[S51],tbl_task6[[SubPLOs]:[SubPLOs]],"&gt;=8",tbl_task6[[SubPLOs]:[SubPLOs]],"&lt;9")+SUMIFS(tbl_task7[S51],tbl_task7[[SubPLOs]:[SubPLOs]],"&gt;=8",tbl_task7[[SubPLOs]:[SubPLOs]],"&lt;9")+SUMIFS(tbl_task8[S51],tbl_task8[[SubPLOs]:[SubPLOs]],"&gt;=8",tbl_task8[[SubPLOs]:[SubPLOs]],"&lt;9")+SUMIFS(tbl_task9[S51],tbl_task9[[SubPLOs]:[SubPLOs]],"&gt;=8",tbl_task9[[SubPLOs]:[SubPLOs]],"&lt;9")+SUMIFS(tbl_task10[S51],tbl_task10[[SubPLOs]:[SubPLOs]],"&gt;=8",tbl_task10[[SubPLOs]:[SubPLOs]],"&lt;9")</f>
        <v>0</v>
      </c>
      <c r="BE187" s="41">
        <f>SUMIFS(tbl_task1[S52],tbl_task1[[SubPLOs]:[SubPLOs]],"&gt;=8",tbl_task1[[SubPLOs]:[SubPLOs]],"&lt;9")+SUMIFS(tbl_task2[S52],tbl_task2[[SubPLOs]:[SubPLOs]],"&gt;=8",tbl_task2[[SubPLOs]:[SubPLOs]],"&lt;9")+SUMIFS(tbl_task3[S52],tbl_task3[[SubPLOs]:[SubPLOs]],"&gt;=8",tbl_task3[[SubPLOs]:[SubPLOs]],"&lt;9")+SUMIFS(tbl_task4[S52],tbl_task4[[SubPLOs]:[SubPLOs]],"&gt;=8",tbl_task4[[SubPLOs]:[SubPLOs]],"&lt;9")+SUMIFS(tbl_task5[S52],tbl_task5[[SubPLOs]:[SubPLOs]],"&gt;=8",tbl_task5[[SubPLOs]:[SubPLOs]],"&lt;9")+SUMIFS(tbl_task6[S52],tbl_task6[[SubPLOs]:[SubPLOs]],"&gt;=8",tbl_task6[[SubPLOs]:[SubPLOs]],"&lt;9")+SUMIFS(tbl_task7[S52],tbl_task7[[SubPLOs]:[SubPLOs]],"&gt;=8",tbl_task7[[SubPLOs]:[SubPLOs]],"&lt;9")+SUMIFS(tbl_task8[S52],tbl_task8[[SubPLOs]:[SubPLOs]],"&gt;=8",tbl_task8[[SubPLOs]:[SubPLOs]],"&lt;9")+SUMIFS(tbl_task9[S52],tbl_task9[[SubPLOs]:[SubPLOs]],"&gt;=8",tbl_task9[[SubPLOs]:[SubPLOs]],"&lt;9")+SUMIFS(tbl_task10[S52],tbl_task10[[SubPLOs]:[SubPLOs]],"&gt;=8",tbl_task10[[SubPLOs]:[SubPLOs]],"&lt;9")</f>
        <v>0</v>
      </c>
      <c r="BF187" s="41">
        <f>SUMIFS(tbl_task1[S53],tbl_task1[[SubPLOs]:[SubPLOs]],"&gt;=8",tbl_task1[[SubPLOs]:[SubPLOs]],"&lt;9")+SUMIFS(tbl_task2[S53],tbl_task2[[SubPLOs]:[SubPLOs]],"&gt;=8",tbl_task2[[SubPLOs]:[SubPLOs]],"&lt;9")+SUMIFS(tbl_task3[S53],tbl_task3[[SubPLOs]:[SubPLOs]],"&gt;=8",tbl_task3[[SubPLOs]:[SubPLOs]],"&lt;9")+SUMIFS(tbl_task4[S53],tbl_task4[[SubPLOs]:[SubPLOs]],"&gt;=8",tbl_task4[[SubPLOs]:[SubPLOs]],"&lt;9")+SUMIFS(tbl_task5[S53],tbl_task5[[SubPLOs]:[SubPLOs]],"&gt;=8",tbl_task5[[SubPLOs]:[SubPLOs]],"&lt;9")+SUMIFS(tbl_task6[S53],tbl_task6[[SubPLOs]:[SubPLOs]],"&gt;=8",tbl_task6[[SubPLOs]:[SubPLOs]],"&lt;9")+SUMIFS(tbl_task7[S53],tbl_task7[[SubPLOs]:[SubPLOs]],"&gt;=8",tbl_task7[[SubPLOs]:[SubPLOs]],"&lt;9")+SUMIFS(tbl_task8[S53],tbl_task8[[SubPLOs]:[SubPLOs]],"&gt;=8",tbl_task8[[SubPLOs]:[SubPLOs]],"&lt;9")+SUMIFS(tbl_task9[S53],tbl_task9[[SubPLOs]:[SubPLOs]],"&gt;=8",tbl_task9[[SubPLOs]:[SubPLOs]],"&lt;9")+SUMIFS(tbl_task10[S53],tbl_task10[[SubPLOs]:[SubPLOs]],"&gt;=8",tbl_task10[[SubPLOs]:[SubPLOs]],"&lt;9")</f>
        <v>0</v>
      </c>
      <c r="BG187" s="41">
        <f>SUMIFS(tbl_task1[S54],tbl_task1[[SubPLOs]:[SubPLOs]],"&gt;=8",tbl_task1[[SubPLOs]:[SubPLOs]],"&lt;9")+SUMIFS(tbl_task2[S54],tbl_task2[[SubPLOs]:[SubPLOs]],"&gt;=8",tbl_task2[[SubPLOs]:[SubPLOs]],"&lt;9")+SUMIFS(tbl_task3[S54],tbl_task3[[SubPLOs]:[SubPLOs]],"&gt;=8",tbl_task3[[SubPLOs]:[SubPLOs]],"&lt;9")+SUMIFS(tbl_task4[S54],tbl_task4[[SubPLOs]:[SubPLOs]],"&gt;=8",tbl_task4[[SubPLOs]:[SubPLOs]],"&lt;9")+SUMIFS(tbl_task5[S54],tbl_task5[[SubPLOs]:[SubPLOs]],"&gt;=8",tbl_task5[[SubPLOs]:[SubPLOs]],"&lt;9")+SUMIFS(tbl_task6[S54],tbl_task6[[SubPLOs]:[SubPLOs]],"&gt;=8",tbl_task6[[SubPLOs]:[SubPLOs]],"&lt;9")+SUMIFS(tbl_task7[S54],tbl_task7[[SubPLOs]:[SubPLOs]],"&gt;=8",tbl_task7[[SubPLOs]:[SubPLOs]],"&lt;9")+SUMIFS(tbl_task8[S54],tbl_task8[[SubPLOs]:[SubPLOs]],"&gt;=8",tbl_task8[[SubPLOs]:[SubPLOs]],"&lt;9")+SUMIFS(tbl_task9[S54],tbl_task9[[SubPLOs]:[SubPLOs]],"&gt;=8",tbl_task9[[SubPLOs]:[SubPLOs]],"&lt;9")+SUMIFS(tbl_task10[S54],tbl_task10[[SubPLOs]:[SubPLOs]],"&gt;=8",tbl_task10[[SubPLOs]:[SubPLOs]],"&lt;9")</f>
        <v>0</v>
      </c>
      <c r="BH187" s="41">
        <f>SUMIFS(tbl_task1[S55],tbl_task1[[SubPLOs]:[SubPLOs]],"&gt;=8",tbl_task1[[SubPLOs]:[SubPLOs]],"&lt;9")+SUMIFS(tbl_task2[S55],tbl_task2[[SubPLOs]:[SubPLOs]],"&gt;=8",tbl_task2[[SubPLOs]:[SubPLOs]],"&lt;9")+SUMIFS(tbl_task3[S55],tbl_task3[[SubPLOs]:[SubPLOs]],"&gt;=8",tbl_task3[[SubPLOs]:[SubPLOs]],"&lt;9")+SUMIFS(tbl_task4[S55],tbl_task4[[SubPLOs]:[SubPLOs]],"&gt;=8",tbl_task4[[SubPLOs]:[SubPLOs]],"&lt;9")+SUMIFS(tbl_task5[S55],tbl_task5[[SubPLOs]:[SubPLOs]],"&gt;=8",tbl_task5[[SubPLOs]:[SubPLOs]],"&lt;9")+SUMIFS(tbl_task6[S55],tbl_task6[[SubPLOs]:[SubPLOs]],"&gt;=8",tbl_task6[[SubPLOs]:[SubPLOs]],"&lt;9")+SUMIFS(tbl_task7[S55],tbl_task7[[SubPLOs]:[SubPLOs]],"&gt;=8",tbl_task7[[SubPLOs]:[SubPLOs]],"&lt;9")+SUMIFS(tbl_task8[S55],tbl_task8[[SubPLOs]:[SubPLOs]],"&gt;=8",tbl_task8[[SubPLOs]:[SubPLOs]],"&lt;9")+SUMIFS(tbl_task9[S55],tbl_task9[[SubPLOs]:[SubPLOs]],"&gt;=8",tbl_task9[[SubPLOs]:[SubPLOs]],"&lt;9")+SUMIFS(tbl_task10[S55],tbl_task10[[SubPLOs]:[SubPLOs]],"&gt;=8",tbl_task10[[SubPLOs]:[SubPLOs]],"&lt;9")</f>
        <v>0</v>
      </c>
      <c r="BI187" s="41">
        <f>SUMIFS(tbl_task1[S56],tbl_task1[[SubPLOs]:[SubPLOs]],"&gt;=8",tbl_task1[[SubPLOs]:[SubPLOs]],"&lt;9")+SUMIFS(tbl_task2[S56],tbl_task2[[SubPLOs]:[SubPLOs]],"&gt;=8",tbl_task2[[SubPLOs]:[SubPLOs]],"&lt;9")+SUMIFS(tbl_task3[S56],tbl_task3[[SubPLOs]:[SubPLOs]],"&gt;=8",tbl_task3[[SubPLOs]:[SubPLOs]],"&lt;9")+SUMIFS(tbl_task4[S56],tbl_task4[[SubPLOs]:[SubPLOs]],"&gt;=8",tbl_task4[[SubPLOs]:[SubPLOs]],"&lt;9")+SUMIFS(tbl_task5[S56],tbl_task5[[SubPLOs]:[SubPLOs]],"&gt;=8",tbl_task5[[SubPLOs]:[SubPLOs]],"&lt;9")+SUMIFS(tbl_task6[S56],tbl_task6[[SubPLOs]:[SubPLOs]],"&gt;=8",tbl_task6[[SubPLOs]:[SubPLOs]],"&lt;9")+SUMIFS(tbl_task7[S56],tbl_task7[[SubPLOs]:[SubPLOs]],"&gt;=8",tbl_task7[[SubPLOs]:[SubPLOs]],"&lt;9")+SUMIFS(tbl_task8[S56],tbl_task8[[SubPLOs]:[SubPLOs]],"&gt;=8",tbl_task8[[SubPLOs]:[SubPLOs]],"&lt;9")+SUMIFS(tbl_task9[S56],tbl_task9[[SubPLOs]:[SubPLOs]],"&gt;=8",tbl_task9[[SubPLOs]:[SubPLOs]],"&lt;9")+SUMIFS(tbl_task10[S56],tbl_task10[[SubPLOs]:[SubPLOs]],"&gt;=8",tbl_task10[[SubPLOs]:[SubPLOs]],"&lt;9")</f>
        <v>0</v>
      </c>
      <c r="BJ187" s="41">
        <f>SUMIFS(tbl_task1[S57],tbl_task1[[SubPLOs]:[SubPLOs]],"&gt;=8",tbl_task1[[SubPLOs]:[SubPLOs]],"&lt;9")+SUMIFS(tbl_task2[S57],tbl_task2[[SubPLOs]:[SubPLOs]],"&gt;=8",tbl_task2[[SubPLOs]:[SubPLOs]],"&lt;9")+SUMIFS(tbl_task3[S57],tbl_task3[[SubPLOs]:[SubPLOs]],"&gt;=8",tbl_task3[[SubPLOs]:[SubPLOs]],"&lt;9")+SUMIFS(tbl_task4[S57],tbl_task4[[SubPLOs]:[SubPLOs]],"&gt;=8",tbl_task4[[SubPLOs]:[SubPLOs]],"&lt;9")+SUMIFS(tbl_task5[S57],tbl_task5[[SubPLOs]:[SubPLOs]],"&gt;=8",tbl_task5[[SubPLOs]:[SubPLOs]],"&lt;9")+SUMIFS(tbl_task6[S57],tbl_task6[[SubPLOs]:[SubPLOs]],"&gt;=8",tbl_task6[[SubPLOs]:[SubPLOs]],"&lt;9")+SUMIFS(tbl_task7[S57],tbl_task7[[SubPLOs]:[SubPLOs]],"&gt;=8",tbl_task7[[SubPLOs]:[SubPLOs]],"&lt;9")+SUMIFS(tbl_task8[S57],tbl_task8[[SubPLOs]:[SubPLOs]],"&gt;=8",tbl_task8[[SubPLOs]:[SubPLOs]],"&lt;9")+SUMIFS(tbl_task9[S57],tbl_task9[[SubPLOs]:[SubPLOs]],"&gt;=8",tbl_task9[[SubPLOs]:[SubPLOs]],"&lt;9")+SUMIFS(tbl_task10[S57],tbl_task10[[SubPLOs]:[SubPLOs]],"&gt;=8",tbl_task10[[SubPLOs]:[SubPLOs]],"&lt;9")</f>
        <v>0</v>
      </c>
      <c r="BK187" s="41">
        <f>SUMIFS(tbl_task1[S58],tbl_task1[[SubPLOs]:[SubPLOs]],"&gt;=8",tbl_task1[[SubPLOs]:[SubPLOs]],"&lt;9")+SUMIFS(tbl_task2[S58],tbl_task2[[SubPLOs]:[SubPLOs]],"&gt;=8",tbl_task2[[SubPLOs]:[SubPLOs]],"&lt;9")+SUMIFS(tbl_task3[S58],tbl_task3[[SubPLOs]:[SubPLOs]],"&gt;=8",tbl_task3[[SubPLOs]:[SubPLOs]],"&lt;9")+SUMIFS(tbl_task4[S58],tbl_task4[[SubPLOs]:[SubPLOs]],"&gt;=8",tbl_task4[[SubPLOs]:[SubPLOs]],"&lt;9")+SUMIFS(tbl_task5[S58],tbl_task5[[SubPLOs]:[SubPLOs]],"&gt;=8",tbl_task5[[SubPLOs]:[SubPLOs]],"&lt;9")+SUMIFS(tbl_task6[S58],tbl_task6[[SubPLOs]:[SubPLOs]],"&gt;=8",tbl_task6[[SubPLOs]:[SubPLOs]],"&lt;9")+SUMIFS(tbl_task7[S58],tbl_task7[[SubPLOs]:[SubPLOs]],"&gt;=8",tbl_task7[[SubPLOs]:[SubPLOs]],"&lt;9")+SUMIFS(tbl_task8[S58],tbl_task8[[SubPLOs]:[SubPLOs]],"&gt;=8",tbl_task8[[SubPLOs]:[SubPLOs]],"&lt;9")+SUMIFS(tbl_task9[S58],tbl_task9[[SubPLOs]:[SubPLOs]],"&gt;=8",tbl_task9[[SubPLOs]:[SubPLOs]],"&lt;9")+SUMIFS(tbl_task10[S58],tbl_task10[[SubPLOs]:[SubPLOs]],"&gt;=8",tbl_task10[[SubPLOs]:[SubPLOs]],"&lt;9")</f>
        <v>0</v>
      </c>
      <c r="BL187" s="41">
        <f>SUMIFS(tbl_task1[S59],tbl_task1[[SubPLOs]:[SubPLOs]],"&gt;=8",tbl_task1[[SubPLOs]:[SubPLOs]],"&lt;9")+SUMIFS(tbl_task2[S59],tbl_task2[[SubPLOs]:[SubPLOs]],"&gt;=8",tbl_task2[[SubPLOs]:[SubPLOs]],"&lt;9")+SUMIFS(tbl_task3[S59],tbl_task3[[SubPLOs]:[SubPLOs]],"&gt;=8",tbl_task3[[SubPLOs]:[SubPLOs]],"&lt;9")+SUMIFS(tbl_task4[S59],tbl_task4[[SubPLOs]:[SubPLOs]],"&gt;=8",tbl_task4[[SubPLOs]:[SubPLOs]],"&lt;9")+SUMIFS(tbl_task5[S59],tbl_task5[[SubPLOs]:[SubPLOs]],"&gt;=8",tbl_task5[[SubPLOs]:[SubPLOs]],"&lt;9")+SUMIFS(tbl_task6[S59],tbl_task6[[SubPLOs]:[SubPLOs]],"&gt;=8",tbl_task6[[SubPLOs]:[SubPLOs]],"&lt;9")+SUMIFS(tbl_task7[S59],tbl_task7[[SubPLOs]:[SubPLOs]],"&gt;=8",tbl_task7[[SubPLOs]:[SubPLOs]],"&lt;9")+SUMIFS(tbl_task8[S59],tbl_task8[[SubPLOs]:[SubPLOs]],"&gt;=8",tbl_task8[[SubPLOs]:[SubPLOs]],"&lt;9")+SUMIFS(tbl_task9[S59],tbl_task9[[SubPLOs]:[SubPLOs]],"&gt;=8",tbl_task9[[SubPLOs]:[SubPLOs]],"&lt;9")+SUMIFS(tbl_task10[S59],tbl_task10[[SubPLOs]:[SubPLOs]],"&gt;=8",tbl_task10[[SubPLOs]:[SubPLOs]],"&lt;9")</f>
        <v>0</v>
      </c>
      <c r="BM187" s="41">
        <f>SUMIFS(tbl_task1[S60],tbl_task1[[SubPLOs]:[SubPLOs]],"&gt;=8",tbl_task1[[SubPLOs]:[SubPLOs]],"&lt;9")+SUMIFS(tbl_task2[S60],tbl_task2[[SubPLOs]:[SubPLOs]],"&gt;=8",tbl_task2[[SubPLOs]:[SubPLOs]],"&lt;9")+SUMIFS(tbl_task3[S60],tbl_task3[[SubPLOs]:[SubPLOs]],"&gt;=8",tbl_task3[[SubPLOs]:[SubPLOs]],"&lt;9")+SUMIFS(tbl_task4[S60],tbl_task4[[SubPLOs]:[SubPLOs]],"&gt;=8",tbl_task4[[SubPLOs]:[SubPLOs]],"&lt;9")+SUMIFS(tbl_task5[S60],tbl_task5[[SubPLOs]:[SubPLOs]],"&gt;=8",tbl_task5[[SubPLOs]:[SubPLOs]],"&lt;9")+SUMIFS(tbl_task6[S60],tbl_task6[[SubPLOs]:[SubPLOs]],"&gt;=8",tbl_task6[[SubPLOs]:[SubPLOs]],"&lt;9")+SUMIFS(tbl_task7[S60],tbl_task7[[SubPLOs]:[SubPLOs]],"&gt;=8",tbl_task7[[SubPLOs]:[SubPLOs]],"&lt;9")+SUMIFS(tbl_task8[S60],tbl_task8[[SubPLOs]:[SubPLOs]],"&gt;=8",tbl_task8[[SubPLOs]:[SubPLOs]],"&lt;9")+SUMIFS(tbl_task9[S60],tbl_task9[[SubPLOs]:[SubPLOs]],"&gt;=8",tbl_task9[[SubPLOs]:[SubPLOs]],"&lt;9")+SUMIFS(tbl_task10[S60],tbl_task10[[SubPLOs]:[SubPLOs]],"&gt;=8",tbl_task10[[SubPLOs]:[SubPLOs]],"&lt;9")</f>
        <v>0</v>
      </c>
      <c r="BN187" s="41">
        <f>SUMIFS(tbl_task1[S61],tbl_task1[[SubPLOs]:[SubPLOs]],"&gt;=8",tbl_task1[[SubPLOs]:[SubPLOs]],"&lt;9")+SUMIFS(tbl_task2[S61],tbl_task2[[SubPLOs]:[SubPLOs]],"&gt;=8",tbl_task2[[SubPLOs]:[SubPLOs]],"&lt;9")+SUMIFS(tbl_task3[S61],tbl_task3[[SubPLOs]:[SubPLOs]],"&gt;=8",tbl_task3[[SubPLOs]:[SubPLOs]],"&lt;9")+SUMIFS(tbl_task4[S61],tbl_task4[[SubPLOs]:[SubPLOs]],"&gt;=8",tbl_task4[[SubPLOs]:[SubPLOs]],"&lt;9")+SUMIFS(tbl_task5[S61],tbl_task5[[SubPLOs]:[SubPLOs]],"&gt;=8",tbl_task5[[SubPLOs]:[SubPLOs]],"&lt;9")+SUMIFS(tbl_task6[S61],tbl_task6[[SubPLOs]:[SubPLOs]],"&gt;=8",tbl_task6[[SubPLOs]:[SubPLOs]],"&lt;9")+SUMIFS(tbl_task7[S61],tbl_task7[[SubPLOs]:[SubPLOs]],"&gt;=8",tbl_task7[[SubPLOs]:[SubPLOs]],"&lt;9")+SUMIFS(tbl_task8[S61],tbl_task8[[SubPLOs]:[SubPLOs]],"&gt;=8",tbl_task8[[SubPLOs]:[SubPLOs]],"&lt;9")+SUMIFS(tbl_task9[S61],tbl_task9[[SubPLOs]:[SubPLOs]],"&gt;=8",tbl_task9[[SubPLOs]:[SubPLOs]],"&lt;9")+SUMIFS(tbl_task10[S61],tbl_task10[[SubPLOs]:[SubPLOs]],"&gt;=8",tbl_task10[[SubPLOs]:[SubPLOs]],"&lt;9")</f>
        <v>0</v>
      </c>
      <c r="BO187" s="41">
        <f>SUMIFS(tbl_task1[S62],tbl_task1[[SubPLOs]:[SubPLOs]],"&gt;=8",tbl_task1[[SubPLOs]:[SubPLOs]],"&lt;9")+SUMIFS(tbl_task2[S62],tbl_task2[[SubPLOs]:[SubPLOs]],"&gt;=8",tbl_task2[[SubPLOs]:[SubPLOs]],"&lt;9")+SUMIFS(tbl_task3[S62],tbl_task3[[SubPLOs]:[SubPLOs]],"&gt;=8",tbl_task3[[SubPLOs]:[SubPLOs]],"&lt;9")+SUMIFS(tbl_task4[S62],tbl_task4[[SubPLOs]:[SubPLOs]],"&gt;=8",tbl_task4[[SubPLOs]:[SubPLOs]],"&lt;9")+SUMIFS(tbl_task5[S62],tbl_task5[[SubPLOs]:[SubPLOs]],"&gt;=8",tbl_task5[[SubPLOs]:[SubPLOs]],"&lt;9")+SUMIFS(tbl_task6[S62],tbl_task6[[SubPLOs]:[SubPLOs]],"&gt;=8",tbl_task6[[SubPLOs]:[SubPLOs]],"&lt;9")+SUMIFS(tbl_task7[S62],tbl_task7[[SubPLOs]:[SubPLOs]],"&gt;=8",tbl_task7[[SubPLOs]:[SubPLOs]],"&lt;9")+SUMIFS(tbl_task8[S62],tbl_task8[[SubPLOs]:[SubPLOs]],"&gt;=8",tbl_task8[[SubPLOs]:[SubPLOs]],"&lt;9")+SUMIFS(tbl_task9[S62],tbl_task9[[SubPLOs]:[SubPLOs]],"&gt;=8",tbl_task9[[SubPLOs]:[SubPLOs]],"&lt;9")+SUMIFS(tbl_task10[S62],tbl_task10[[SubPLOs]:[SubPLOs]],"&gt;=8",tbl_task10[[SubPLOs]:[SubPLOs]],"&lt;9")</f>
        <v>0</v>
      </c>
      <c r="BP187" s="41">
        <f>SUMIFS(tbl_task1[S63],tbl_task1[[SubPLOs]:[SubPLOs]],"&gt;=8",tbl_task1[[SubPLOs]:[SubPLOs]],"&lt;9")+SUMIFS(tbl_task2[S63],tbl_task2[[SubPLOs]:[SubPLOs]],"&gt;=8",tbl_task2[[SubPLOs]:[SubPLOs]],"&lt;9")+SUMIFS(tbl_task3[S63],tbl_task3[[SubPLOs]:[SubPLOs]],"&gt;=8",tbl_task3[[SubPLOs]:[SubPLOs]],"&lt;9")+SUMIFS(tbl_task4[S63],tbl_task4[[SubPLOs]:[SubPLOs]],"&gt;=8",tbl_task4[[SubPLOs]:[SubPLOs]],"&lt;9")+SUMIFS(tbl_task5[S63],tbl_task5[[SubPLOs]:[SubPLOs]],"&gt;=8",tbl_task5[[SubPLOs]:[SubPLOs]],"&lt;9")+SUMIFS(tbl_task6[S63],tbl_task6[[SubPLOs]:[SubPLOs]],"&gt;=8",tbl_task6[[SubPLOs]:[SubPLOs]],"&lt;9")+SUMIFS(tbl_task7[S63],tbl_task7[[SubPLOs]:[SubPLOs]],"&gt;=8",tbl_task7[[SubPLOs]:[SubPLOs]],"&lt;9")+SUMIFS(tbl_task8[S63],tbl_task8[[SubPLOs]:[SubPLOs]],"&gt;=8",tbl_task8[[SubPLOs]:[SubPLOs]],"&lt;9")+SUMIFS(tbl_task9[S63],tbl_task9[[SubPLOs]:[SubPLOs]],"&gt;=8",tbl_task9[[SubPLOs]:[SubPLOs]],"&lt;9")+SUMIFS(tbl_task10[S63],tbl_task10[[SubPLOs]:[SubPLOs]],"&gt;=8",tbl_task10[[SubPLOs]:[SubPLOs]],"&lt;9")</f>
        <v>0</v>
      </c>
      <c r="BQ187" s="41">
        <f>SUMIFS(tbl_task1[S64],tbl_task1[[SubPLOs]:[SubPLOs]],"&gt;=8",tbl_task1[[SubPLOs]:[SubPLOs]],"&lt;9")+SUMIFS(tbl_task2[S64],tbl_task2[[SubPLOs]:[SubPLOs]],"&gt;=8",tbl_task2[[SubPLOs]:[SubPLOs]],"&lt;9")+SUMIFS(tbl_task3[S64],tbl_task3[[SubPLOs]:[SubPLOs]],"&gt;=8",tbl_task3[[SubPLOs]:[SubPLOs]],"&lt;9")+SUMIFS(tbl_task4[S64],tbl_task4[[SubPLOs]:[SubPLOs]],"&gt;=8",tbl_task4[[SubPLOs]:[SubPLOs]],"&lt;9")+SUMIFS(tbl_task5[S64],tbl_task5[[SubPLOs]:[SubPLOs]],"&gt;=8",tbl_task5[[SubPLOs]:[SubPLOs]],"&lt;9")+SUMIFS(tbl_task6[S64],tbl_task6[[SubPLOs]:[SubPLOs]],"&gt;=8",tbl_task6[[SubPLOs]:[SubPLOs]],"&lt;9")+SUMIFS(tbl_task7[S64],tbl_task7[[SubPLOs]:[SubPLOs]],"&gt;=8",tbl_task7[[SubPLOs]:[SubPLOs]],"&lt;9")+SUMIFS(tbl_task8[S64],tbl_task8[[SubPLOs]:[SubPLOs]],"&gt;=8",tbl_task8[[SubPLOs]:[SubPLOs]],"&lt;9")+SUMIFS(tbl_task9[S64],tbl_task9[[SubPLOs]:[SubPLOs]],"&gt;=8",tbl_task9[[SubPLOs]:[SubPLOs]],"&lt;9")+SUMIFS(tbl_task10[S64],tbl_task10[[SubPLOs]:[SubPLOs]],"&gt;=8",tbl_task10[[SubPLOs]:[SubPLOs]],"&lt;9")</f>
        <v>0</v>
      </c>
      <c r="BR187" s="41">
        <f>SUMIFS(tbl_task1[S65],tbl_task1[[SubPLOs]:[SubPLOs]],"&gt;=8",tbl_task1[[SubPLOs]:[SubPLOs]],"&lt;9")+SUMIFS(tbl_task2[S65],tbl_task2[[SubPLOs]:[SubPLOs]],"&gt;=8",tbl_task2[[SubPLOs]:[SubPLOs]],"&lt;9")+SUMIFS(tbl_task3[S65],tbl_task3[[SubPLOs]:[SubPLOs]],"&gt;=8",tbl_task3[[SubPLOs]:[SubPLOs]],"&lt;9")+SUMIFS(tbl_task4[S65],tbl_task4[[SubPLOs]:[SubPLOs]],"&gt;=8",tbl_task4[[SubPLOs]:[SubPLOs]],"&lt;9")+SUMIFS(tbl_task5[S65],tbl_task5[[SubPLOs]:[SubPLOs]],"&gt;=8",tbl_task5[[SubPLOs]:[SubPLOs]],"&lt;9")+SUMIFS(tbl_task6[S65],tbl_task6[[SubPLOs]:[SubPLOs]],"&gt;=8",tbl_task6[[SubPLOs]:[SubPLOs]],"&lt;9")+SUMIFS(tbl_task7[S65],tbl_task7[[SubPLOs]:[SubPLOs]],"&gt;=8",tbl_task7[[SubPLOs]:[SubPLOs]],"&lt;9")+SUMIFS(tbl_task8[S65],tbl_task8[[SubPLOs]:[SubPLOs]],"&gt;=8",tbl_task8[[SubPLOs]:[SubPLOs]],"&lt;9")+SUMIFS(tbl_task9[S65],tbl_task9[[SubPLOs]:[SubPLOs]],"&gt;=8",tbl_task9[[SubPLOs]:[SubPLOs]],"&lt;9")+SUMIFS(tbl_task10[S65],tbl_task10[[SubPLOs]:[SubPLOs]],"&gt;=8",tbl_task10[[SubPLOs]:[SubPLOs]],"&lt;9")</f>
        <v>0</v>
      </c>
      <c r="BS187" s="41">
        <f>SUMIFS(tbl_task1[S66],tbl_task1[[SubPLOs]:[SubPLOs]],"&gt;=8",tbl_task1[[SubPLOs]:[SubPLOs]],"&lt;9")+SUMIFS(tbl_task2[S66],tbl_task2[[SubPLOs]:[SubPLOs]],"&gt;=8",tbl_task2[[SubPLOs]:[SubPLOs]],"&lt;9")+SUMIFS(tbl_task3[S66],tbl_task3[[SubPLOs]:[SubPLOs]],"&gt;=8",tbl_task3[[SubPLOs]:[SubPLOs]],"&lt;9")+SUMIFS(tbl_task4[S66],tbl_task4[[SubPLOs]:[SubPLOs]],"&gt;=8",tbl_task4[[SubPLOs]:[SubPLOs]],"&lt;9")+SUMIFS(tbl_task5[S66],tbl_task5[[SubPLOs]:[SubPLOs]],"&gt;=8",tbl_task5[[SubPLOs]:[SubPLOs]],"&lt;9")+SUMIFS(tbl_task6[S66],tbl_task6[[SubPLOs]:[SubPLOs]],"&gt;=8",tbl_task6[[SubPLOs]:[SubPLOs]],"&lt;9")+SUMIFS(tbl_task7[S66],tbl_task7[[SubPLOs]:[SubPLOs]],"&gt;=8",tbl_task7[[SubPLOs]:[SubPLOs]],"&lt;9")+SUMIFS(tbl_task8[S66],tbl_task8[[SubPLOs]:[SubPLOs]],"&gt;=8",tbl_task8[[SubPLOs]:[SubPLOs]],"&lt;9")+SUMIFS(tbl_task9[S66],tbl_task9[[SubPLOs]:[SubPLOs]],"&gt;=8",tbl_task9[[SubPLOs]:[SubPLOs]],"&lt;9")+SUMIFS(tbl_task10[S66],tbl_task10[[SubPLOs]:[SubPLOs]],"&gt;=8",tbl_task10[[SubPLOs]:[SubPLOs]],"&lt;9")</f>
        <v>0</v>
      </c>
      <c r="BT187" s="41">
        <f>SUMIFS(tbl_task1[S67],tbl_task1[[SubPLOs]:[SubPLOs]],"&gt;=8",tbl_task1[[SubPLOs]:[SubPLOs]],"&lt;9")+SUMIFS(tbl_task2[S67],tbl_task2[[SubPLOs]:[SubPLOs]],"&gt;=8",tbl_task2[[SubPLOs]:[SubPLOs]],"&lt;9")+SUMIFS(tbl_task3[S67],tbl_task3[[SubPLOs]:[SubPLOs]],"&gt;=8",tbl_task3[[SubPLOs]:[SubPLOs]],"&lt;9")+SUMIFS(tbl_task4[S67],tbl_task4[[SubPLOs]:[SubPLOs]],"&gt;=8",tbl_task4[[SubPLOs]:[SubPLOs]],"&lt;9")+SUMIFS(tbl_task5[S67],tbl_task5[[SubPLOs]:[SubPLOs]],"&gt;=8",tbl_task5[[SubPLOs]:[SubPLOs]],"&lt;9")+SUMIFS(tbl_task6[S67],tbl_task6[[SubPLOs]:[SubPLOs]],"&gt;=8",tbl_task6[[SubPLOs]:[SubPLOs]],"&lt;9")+SUMIFS(tbl_task7[S67],tbl_task7[[SubPLOs]:[SubPLOs]],"&gt;=8",tbl_task7[[SubPLOs]:[SubPLOs]],"&lt;9")+SUMIFS(tbl_task8[S67],tbl_task8[[SubPLOs]:[SubPLOs]],"&gt;=8",tbl_task8[[SubPLOs]:[SubPLOs]],"&lt;9")+SUMIFS(tbl_task9[S67],tbl_task9[[SubPLOs]:[SubPLOs]],"&gt;=8",tbl_task9[[SubPLOs]:[SubPLOs]],"&lt;9")+SUMIFS(tbl_task10[S67],tbl_task10[[SubPLOs]:[SubPLOs]],"&gt;=8",tbl_task10[[SubPLOs]:[SubPLOs]],"&lt;9")</f>
        <v>0</v>
      </c>
      <c r="BU187" s="41">
        <f>SUMIFS(tbl_task1[S68],tbl_task1[[SubPLOs]:[SubPLOs]],"&gt;=8",tbl_task1[[SubPLOs]:[SubPLOs]],"&lt;9")+SUMIFS(tbl_task2[S68],tbl_task2[[SubPLOs]:[SubPLOs]],"&gt;=8",tbl_task2[[SubPLOs]:[SubPLOs]],"&lt;9")+SUMIFS(tbl_task3[S68],tbl_task3[[SubPLOs]:[SubPLOs]],"&gt;=8",tbl_task3[[SubPLOs]:[SubPLOs]],"&lt;9")+SUMIFS(tbl_task4[S68],tbl_task4[[SubPLOs]:[SubPLOs]],"&gt;=8",tbl_task4[[SubPLOs]:[SubPLOs]],"&lt;9")+SUMIFS(tbl_task5[S68],tbl_task5[[SubPLOs]:[SubPLOs]],"&gt;=8",tbl_task5[[SubPLOs]:[SubPLOs]],"&lt;9")+SUMIFS(tbl_task6[S68],tbl_task6[[SubPLOs]:[SubPLOs]],"&gt;=8",tbl_task6[[SubPLOs]:[SubPLOs]],"&lt;9")+SUMIFS(tbl_task7[S68],tbl_task7[[SubPLOs]:[SubPLOs]],"&gt;=8",tbl_task7[[SubPLOs]:[SubPLOs]],"&lt;9")+SUMIFS(tbl_task8[S68],tbl_task8[[SubPLOs]:[SubPLOs]],"&gt;=8",tbl_task8[[SubPLOs]:[SubPLOs]],"&lt;9")+SUMIFS(tbl_task9[S68],tbl_task9[[SubPLOs]:[SubPLOs]],"&gt;=8",tbl_task9[[SubPLOs]:[SubPLOs]],"&lt;9")+SUMIFS(tbl_task10[S68],tbl_task10[[SubPLOs]:[SubPLOs]],"&gt;=8",tbl_task10[[SubPLOs]:[SubPLOs]],"&lt;9")</f>
        <v>0</v>
      </c>
      <c r="BV187" s="41">
        <f>SUMIFS(tbl_task1[S69],tbl_task1[[SubPLOs]:[SubPLOs]],"&gt;=8",tbl_task1[[SubPLOs]:[SubPLOs]],"&lt;9")+SUMIFS(tbl_task2[S69],tbl_task2[[SubPLOs]:[SubPLOs]],"&gt;=8",tbl_task2[[SubPLOs]:[SubPLOs]],"&lt;9")+SUMIFS(tbl_task3[S69],tbl_task3[[SubPLOs]:[SubPLOs]],"&gt;=8",tbl_task3[[SubPLOs]:[SubPLOs]],"&lt;9")+SUMIFS(tbl_task4[S69],tbl_task4[[SubPLOs]:[SubPLOs]],"&gt;=8",tbl_task4[[SubPLOs]:[SubPLOs]],"&lt;9")+SUMIFS(tbl_task5[S69],tbl_task5[[SubPLOs]:[SubPLOs]],"&gt;=8",tbl_task5[[SubPLOs]:[SubPLOs]],"&lt;9")+SUMIFS(tbl_task6[S69],tbl_task6[[SubPLOs]:[SubPLOs]],"&gt;=8",tbl_task6[[SubPLOs]:[SubPLOs]],"&lt;9")+SUMIFS(tbl_task7[S69],tbl_task7[[SubPLOs]:[SubPLOs]],"&gt;=8",tbl_task7[[SubPLOs]:[SubPLOs]],"&lt;9")+SUMIFS(tbl_task8[S69],tbl_task8[[SubPLOs]:[SubPLOs]],"&gt;=8",tbl_task8[[SubPLOs]:[SubPLOs]],"&lt;9")+SUMIFS(tbl_task9[S69],tbl_task9[[SubPLOs]:[SubPLOs]],"&gt;=8",tbl_task9[[SubPLOs]:[SubPLOs]],"&lt;9")+SUMIFS(tbl_task10[S69],tbl_task10[[SubPLOs]:[SubPLOs]],"&gt;=8",tbl_task10[[SubPLOs]:[SubPLOs]],"&lt;9")</f>
        <v>0</v>
      </c>
      <c r="BW187" s="41">
        <f>SUMIFS(tbl_task1[S70],tbl_task1[[SubPLOs]:[SubPLOs]],"&gt;=8",tbl_task1[[SubPLOs]:[SubPLOs]],"&lt;9")+SUMIFS(tbl_task2[S70],tbl_task2[[SubPLOs]:[SubPLOs]],"&gt;=8",tbl_task2[[SubPLOs]:[SubPLOs]],"&lt;9")+SUMIFS(tbl_task3[S70],tbl_task3[[SubPLOs]:[SubPLOs]],"&gt;=8",tbl_task3[[SubPLOs]:[SubPLOs]],"&lt;9")+SUMIFS(tbl_task4[S70],tbl_task4[[SubPLOs]:[SubPLOs]],"&gt;=8",tbl_task4[[SubPLOs]:[SubPLOs]],"&lt;9")+SUMIFS(tbl_task5[S70],tbl_task5[[SubPLOs]:[SubPLOs]],"&gt;=8",tbl_task5[[SubPLOs]:[SubPLOs]],"&lt;9")+SUMIFS(tbl_task6[S70],tbl_task6[[SubPLOs]:[SubPLOs]],"&gt;=8",tbl_task6[[SubPLOs]:[SubPLOs]],"&lt;9")+SUMIFS(tbl_task7[S70],tbl_task7[[SubPLOs]:[SubPLOs]],"&gt;=8",tbl_task7[[SubPLOs]:[SubPLOs]],"&lt;9")+SUMIFS(tbl_task8[S70],tbl_task8[[SubPLOs]:[SubPLOs]],"&gt;=8",tbl_task8[[SubPLOs]:[SubPLOs]],"&lt;9")+SUMIFS(tbl_task9[S70],tbl_task9[[SubPLOs]:[SubPLOs]],"&gt;=8",tbl_task9[[SubPLOs]:[SubPLOs]],"&lt;9")+SUMIFS(tbl_task10[S70],tbl_task10[[SubPLOs]:[SubPLOs]],"&gt;=8",tbl_task10[[SubPLOs]:[SubPLOs]],"&lt;9")</f>
        <v>0</v>
      </c>
      <c r="BX187" s="41">
        <f>SUMIFS(tbl_task1[S71],tbl_task1[[SubPLOs]:[SubPLOs]],"&gt;=8",tbl_task1[[SubPLOs]:[SubPLOs]],"&lt;9")+SUMIFS(tbl_task2[S71],tbl_task2[[SubPLOs]:[SubPLOs]],"&gt;=8",tbl_task2[[SubPLOs]:[SubPLOs]],"&lt;9")+SUMIFS(tbl_task3[S71],tbl_task3[[SubPLOs]:[SubPLOs]],"&gt;=8",tbl_task3[[SubPLOs]:[SubPLOs]],"&lt;9")+SUMIFS(tbl_task4[S71],tbl_task4[[SubPLOs]:[SubPLOs]],"&gt;=8",tbl_task4[[SubPLOs]:[SubPLOs]],"&lt;9")+SUMIFS(tbl_task5[S71],tbl_task5[[SubPLOs]:[SubPLOs]],"&gt;=8",tbl_task5[[SubPLOs]:[SubPLOs]],"&lt;9")+SUMIFS(tbl_task6[S71],tbl_task6[[SubPLOs]:[SubPLOs]],"&gt;=8",tbl_task6[[SubPLOs]:[SubPLOs]],"&lt;9")+SUMIFS(tbl_task7[S71],tbl_task7[[SubPLOs]:[SubPLOs]],"&gt;=8",tbl_task7[[SubPLOs]:[SubPLOs]],"&lt;9")+SUMIFS(tbl_task8[S71],tbl_task8[[SubPLOs]:[SubPLOs]],"&gt;=8",tbl_task8[[SubPLOs]:[SubPLOs]],"&lt;9")+SUMIFS(tbl_task9[S71],tbl_task9[[SubPLOs]:[SubPLOs]],"&gt;=8",tbl_task9[[SubPLOs]:[SubPLOs]],"&lt;9")+SUMIFS(tbl_task10[S71],tbl_task10[[SubPLOs]:[SubPLOs]],"&gt;=8",tbl_task10[[SubPLOs]:[SubPLOs]],"&lt;9")</f>
        <v>0</v>
      </c>
      <c r="BY187" s="41">
        <f>SUMIFS(tbl_task1[S72],tbl_task1[[SubPLOs]:[SubPLOs]],"&gt;=8",tbl_task1[[SubPLOs]:[SubPLOs]],"&lt;9")+SUMIFS(tbl_task2[S72],tbl_task2[[SubPLOs]:[SubPLOs]],"&gt;=8",tbl_task2[[SubPLOs]:[SubPLOs]],"&lt;9")+SUMIFS(tbl_task3[S72],tbl_task3[[SubPLOs]:[SubPLOs]],"&gt;=8",tbl_task3[[SubPLOs]:[SubPLOs]],"&lt;9")+SUMIFS(tbl_task4[S72],tbl_task4[[SubPLOs]:[SubPLOs]],"&gt;=8",tbl_task4[[SubPLOs]:[SubPLOs]],"&lt;9")+SUMIFS(tbl_task5[S72],tbl_task5[[SubPLOs]:[SubPLOs]],"&gt;=8",tbl_task5[[SubPLOs]:[SubPLOs]],"&lt;9")+SUMIFS(tbl_task6[S72],tbl_task6[[SubPLOs]:[SubPLOs]],"&gt;=8",tbl_task6[[SubPLOs]:[SubPLOs]],"&lt;9")+SUMIFS(tbl_task7[S72],tbl_task7[[SubPLOs]:[SubPLOs]],"&gt;=8",tbl_task7[[SubPLOs]:[SubPLOs]],"&lt;9")+SUMIFS(tbl_task8[S72],tbl_task8[[SubPLOs]:[SubPLOs]],"&gt;=8",tbl_task8[[SubPLOs]:[SubPLOs]],"&lt;9")+SUMIFS(tbl_task9[S72],tbl_task9[[SubPLOs]:[SubPLOs]],"&gt;=8",tbl_task9[[SubPLOs]:[SubPLOs]],"&lt;9")+SUMIFS(tbl_task10[S72],tbl_task10[[SubPLOs]:[SubPLOs]],"&gt;=8",tbl_task10[[SubPLOs]:[SubPLOs]],"&lt;9")</f>
        <v>0</v>
      </c>
      <c r="BZ187" s="41">
        <f>SUMIFS(tbl_task1[S73],tbl_task1[[SubPLOs]:[SubPLOs]],"&gt;=8",tbl_task1[[SubPLOs]:[SubPLOs]],"&lt;9")+SUMIFS(tbl_task2[S73],tbl_task2[[SubPLOs]:[SubPLOs]],"&gt;=8",tbl_task2[[SubPLOs]:[SubPLOs]],"&lt;9")+SUMIFS(tbl_task3[S73],tbl_task3[[SubPLOs]:[SubPLOs]],"&gt;=8",tbl_task3[[SubPLOs]:[SubPLOs]],"&lt;9")+SUMIFS(tbl_task4[S73],tbl_task4[[SubPLOs]:[SubPLOs]],"&gt;=8",tbl_task4[[SubPLOs]:[SubPLOs]],"&lt;9")+SUMIFS(tbl_task5[S73],tbl_task5[[SubPLOs]:[SubPLOs]],"&gt;=8",tbl_task5[[SubPLOs]:[SubPLOs]],"&lt;9")+SUMIFS(tbl_task6[S73],tbl_task6[[SubPLOs]:[SubPLOs]],"&gt;=8",tbl_task6[[SubPLOs]:[SubPLOs]],"&lt;9")+SUMIFS(tbl_task7[S73],tbl_task7[[SubPLOs]:[SubPLOs]],"&gt;=8",tbl_task7[[SubPLOs]:[SubPLOs]],"&lt;9")+SUMIFS(tbl_task8[S73],tbl_task8[[SubPLOs]:[SubPLOs]],"&gt;=8",tbl_task8[[SubPLOs]:[SubPLOs]],"&lt;9")+SUMIFS(tbl_task9[S73],tbl_task9[[SubPLOs]:[SubPLOs]],"&gt;=8",tbl_task9[[SubPLOs]:[SubPLOs]],"&lt;9")+SUMIFS(tbl_task10[S73],tbl_task10[[SubPLOs]:[SubPLOs]],"&gt;=8",tbl_task10[[SubPLOs]:[SubPLOs]],"&lt;9")</f>
        <v>0</v>
      </c>
      <c r="CA187" s="41">
        <f>SUMIFS(tbl_task1[S74],tbl_task1[[SubPLOs]:[SubPLOs]],"&gt;=8",tbl_task1[[SubPLOs]:[SubPLOs]],"&lt;9")+SUMIFS(tbl_task2[S74],tbl_task2[[SubPLOs]:[SubPLOs]],"&gt;=8",tbl_task2[[SubPLOs]:[SubPLOs]],"&lt;9")+SUMIFS(tbl_task3[S74],tbl_task3[[SubPLOs]:[SubPLOs]],"&gt;=8",tbl_task3[[SubPLOs]:[SubPLOs]],"&lt;9")+SUMIFS(tbl_task4[S74],tbl_task4[[SubPLOs]:[SubPLOs]],"&gt;=8",tbl_task4[[SubPLOs]:[SubPLOs]],"&lt;9")+SUMIFS(tbl_task5[S74],tbl_task5[[SubPLOs]:[SubPLOs]],"&gt;=8",tbl_task5[[SubPLOs]:[SubPLOs]],"&lt;9")+SUMIFS(tbl_task6[S74],tbl_task6[[SubPLOs]:[SubPLOs]],"&gt;=8",tbl_task6[[SubPLOs]:[SubPLOs]],"&lt;9")+SUMIFS(tbl_task7[S74],tbl_task7[[SubPLOs]:[SubPLOs]],"&gt;=8",tbl_task7[[SubPLOs]:[SubPLOs]],"&lt;9")+SUMIFS(tbl_task8[S74],tbl_task8[[SubPLOs]:[SubPLOs]],"&gt;=8",tbl_task8[[SubPLOs]:[SubPLOs]],"&lt;9")+SUMIFS(tbl_task9[S74],tbl_task9[[SubPLOs]:[SubPLOs]],"&gt;=8",tbl_task9[[SubPLOs]:[SubPLOs]],"&lt;9")+SUMIFS(tbl_task10[S74],tbl_task10[[SubPLOs]:[SubPLOs]],"&gt;=8",tbl_task10[[SubPLOs]:[SubPLOs]],"&lt;9")</f>
        <v>0</v>
      </c>
      <c r="CB187" s="41">
        <f>SUMIFS(tbl_task1[S75],tbl_task1[[SubPLOs]:[SubPLOs]],"&gt;=8",tbl_task1[[SubPLOs]:[SubPLOs]],"&lt;9")+SUMIFS(tbl_task2[S75],tbl_task2[[SubPLOs]:[SubPLOs]],"&gt;=8",tbl_task2[[SubPLOs]:[SubPLOs]],"&lt;9")+SUMIFS(tbl_task3[S75],tbl_task3[[SubPLOs]:[SubPLOs]],"&gt;=8",tbl_task3[[SubPLOs]:[SubPLOs]],"&lt;9")+SUMIFS(tbl_task4[S75],tbl_task4[[SubPLOs]:[SubPLOs]],"&gt;=8",tbl_task4[[SubPLOs]:[SubPLOs]],"&lt;9")+SUMIFS(tbl_task5[S75],tbl_task5[[SubPLOs]:[SubPLOs]],"&gt;=8",tbl_task5[[SubPLOs]:[SubPLOs]],"&lt;9")+SUMIFS(tbl_task6[S75],tbl_task6[[SubPLOs]:[SubPLOs]],"&gt;=8",tbl_task6[[SubPLOs]:[SubPLOs]],"&lt;9")+SUMIFS(tbl_task7[S75],tbl_task7[[SubPLOs]:[SubPLOs]],"&gt;=8",tbl_task7[[SubPLOs]:[SubPLOs]],"&lt;9")+SUMIFS(tbl_task8[S75],tbl_task8[[SubPLOs]:[SubPLOs]],"&gt;=8",tbl_task8[[SubPLOs]:[SubPLOs]],"&lt;9")+SUMIFS(tbl_task9[S75],tbl_task9[[SubPLOs]:[SubPLOs]],"&gt;=8",tbl_task9[[SubPLOs]:[SubPLOs]],"&lt;9")+SUMIFS(tbl_task10[S75],tbl_task10[[SubPLOs]:[SubPLOs]],"&gt;=8",tbl_task10[[SubPLOs]:[SubPLOs]],"&lt;9")</f>
        <v>0</v>
      </c>
      <c r="CC187" s="41">
        <f>SUMIFS(tbl_task1[S76],tbl_task1[[SubPLOs]:[SubPLOs]],"&gt;=8",tbl_task1[[SubPLOs]:[SubPLOs]],"&lt;9")+SUMIFS(tbl_task2[S76],tbl_task2[[SubPLOs]:[SubPLOs]],"&gt;=8",tbl_task2[[SubPLOs]:[SubPLOs]],"&lt;9")+SUMIFS(tbl_task3[S76],tbl_task3[[SubPLOs]:[SubPLOs]],"&gt;=8",tbl_task3[[SubPLOs]:[SubPLOs]],"&lt;9")+SUMIFS(tbl_task4[S76],tbl_task4[[SubPLOs]:[SubPLOs]],"&gt;=8",tbl_task4[[SubPLOs]:[SubPLOs]],"&lt;9")+SUMIFS(tbl_task5[S76],tbl_task5[[SubPLOs]:[SubPLOs]],"&gt;=8",tbl_task5[[SubPLOs]:[SubPLOs]],"&lt;9")+SUMIFS(tbl_task6[S76],tbl_task6[[SubPLOs]:[SubPLOs]],"&gt;=8",tbl_task6[[SubPLOs]:[SubPLOs]],"&lt;9")+SUMIFS(tbl_task7[S76],tbl_task7[[SubPLOs]:[SubPLOs]],"&gt;=8",tbl_task7[[SubPLOs]:[SubPLOs]],"&lt;9")+SUMIFS(tbl_task8[S76],tbl_task8[[SubPLOs]:[SubPLOs]],"&gt;=8",tbl_task8[[SubPLOs]:[SubPLOs]],"&lt;9")+SUMIFS(tbl_task9[S76],tbl_task9[[SubPLOs]:[SubPLOs]],"&gt;=8",tbl_task9[[SubPLOs]:[SubPLOs]],"&lt;9")+SUMIFS(tbl_task10[S76],tbl_task10[[SubPLOs]:[SubPLOs]],"&gt;=8",tbl_task10[[SubPLOs]:[SubPLOs]],"&lt;9")</f>
        <v>0</v>
      </c>
      <c r="CD187" s="41">
        <f>SUMIFS(tbl_task1[S77],tbl_task1[[SubPLOs]:[SubPLOs]],"&gt;=8",tbl_task1[[SubPLOs]:[SubPLOs]],"&lt;9")+SUMIFS(tbl_task2[S77],tbl_task2[[SubPLOs]:[SubPLOs]],"&gt;=8",tbl_task2[[SubPLOs]:[SubPLOs]],"&lt;9")+SUMIFS(tbl_task3[S77],tbl_task3[[SubPLOs]:[SubPLOs]],"&gt;=8",tbl_task3[[SubPLOs]:[SubPLOs]],"&lt;9")+SUMIFS(tbl_task4[S77],tbl_task4[[SubPLOs]:[SubPLOs]],"&gt;=8",tbl_task4[[SubPLOs]:[SubPLOs]],"&lt;9")+SUMIFS(tbl_task5[S77],tbl_task5[[SubPLOs]:[SubPLOs]],"&gt;=8",tbl_task5[[SubPLOs]:[SubPLOs]],"&lt;9")+SUMIFS(tbl_task6[S77],tbl_task6[[SubPLOs]:[SubPLOs]],"&gt;=8",tbl_task6[[SubPLOs]:[SubPLOs]],"&lt;9")+SUMIFS(tbl_task7[S77],tbl_task7[[SubPLOs]:[SubPLOs]],"&gt;=8",tbl_task7[[SubPLOs]:[SubPLOs]],"&lt;9")+SUMIFS(tbl_task8[S77],tbl_task8[[SubPLOs]:[SubPLOs]],"&gt;=8",tbl_task8[[SubPLOs]:[SubPLOs]],"&lt;9")+SUMIFS(tbl_task9[S77],tbl_task9[[SubPLOs]:[SubPLOs]],"&gt;=8",tbl_task9[[SubPLOs]:[SubPLOs]],"&lt;9")+SUMIFS(tbl_task10[S77],tbl_task10[[SubPLOs]:[SubPLOs]],"&gt;=8",tbl_task10[[SubPLOs]:[SubPLOs]],"&lt;9")</f>
        <v>0</v>
      </c>
      <c r="CE187" s="41">
        <f>SUMIFS(tbl_task1[S78],tbl_task1[[SubPLOs]:[SubPLOs]],"&gt;=8",tbl_task1[[SubPLOs]:[SubPLOs]],"&lt;9")+SUMIFS(tbl_task2[S78],tbl_task2[[SubPLOs]:[SubPLOs]],"&gt;=8",tbl_task2[[SubPLOs]:[SubPLOs]],"&lt;9")+SUMIFS(tbl_task3[S78],tbl_task3[[SubPLOs]:[SubPLOs]],"&gt;=8",tbl_task3[[SubPLOs]:[SubPLOs]],"&lt;9")+SUMIFS(tbl_task4[S78],tbl_task4[[SubPLOs]:[SubPLOs]],"&gt;=8",tbl_task4[[SubPLOs]:[SubPLOs]],"&lt;9")+SUMIFS(tbl_task5[S78],tbl_task5[[SubPLOs]:[SubPLOs]],"&gt;=8",tbl_task5[[SubPLOs]:[SubPLOs]],"&lt;9")+SUMIFS(tbl_task6[S78],tbl_task6[[SubPLOs]:[SubPLOs]],"&gt;=8",tbl_task6[[SubPLOs]:[SubPLOs]],"&lt;9")+SUMIFS(tbl_task7[S78],tbl_task7[[SubPLOs]:[SubPLOs]],"&gt;=8",tbl_task7[[SubPLOs]:[SubPLOs]],"&lt;9")+SUMIFS(tbl_task8[S78],tbl_task8[[SubPLOs]:[SubPLOs]],"&gt;=8",tbl_task8[[SubPLOs]:[SubPLOs]],"&lt;9")+SUMIFS(tbl_task9[S78],tbl_task9[[SubPLOs]:[SubPLOs]],"&gt;=8",tbl_task9[[SubPLOs]:[SubPLOs]],"&lt;9")+SUMIFS(tbl_task10[S78],tbl_task10[[SubPLOs]:[SubPLOs]],"&gt;=8",tbl_task10[[SubPLOs]:[SubPLOs]],"&lt;9")</f>
        <v>0</v>
      </c>
      <c r="CF187" s="41">
        <f>SUMIFS(tbl_task1[S79],tbl_task1[[SubPLOs]:[SubPLOs]],"&gt;=8",tbl_task1[[SubPLOs]:[SubPLOs]],"&lt;9")+SUMIFS(tbl_task2[S79],tbl_task2[[SubPLOs]:[SubPLOs]],"&gt;=8",tbl_task2[[SubPLOs]:[SubPLOs]],"&lt;9")+SUMIFS(tbl_task3[S79],tbl_task3[[SubPLOs]:[SubPLOs]],"&gt;=8",tbl_task3[[SubPLOs]:[SubPLOs]],"&lt;9")+SUMIFS(tbl_task4[S79],tbl_task4[[SubPLOs]:[SubPLOs]],"&gt;=8",tbl_task4[[SubPLOs]:[SubPLOs]],"&lt;9")+SUMIFS(tbl_task5[S79],tbl_task5[[SubPLOs]:[SubPLOs]],"&gt;=8",tbl_task5[[SubPLOs]:[SubPLOs]],"&lt;9")+SUMIFS(tbl_task6[S79],tbl_task6[[SubPLOs]:[SubPLOs]],"&gt;=8",tbl_task6[[SubPLOs]:[SubPLOs]],"&lt;9")+SUMIFS(tbl_task7[S79],tbl_task7[[SubPLOs]:[SubPLOs]],"&gt;=8",tbl_task7[[SubPLOs]:[SubPLOs]],"&lt;9")+SUMIFS(tbl_task8[S79],tbl_task8[[SubPLOs]:[SubPLOs]],"&gt;=8",tbl_task8[[SubPLOs]:[SubPLOs]],"&lt;9")+SUMIFS(tbl_task9[S79],tbl_task9[[SubPLOs]:[SubPLOs]],"&gt;=8",tbl_task9[[SubPLOs]:[SubPLOs]],"&lt;9")+SUMIFS(tbl_task10[S79],tbl_task10[[SubPLOs]:[SubPLOs]],"&gt;=8",tbl_task10[[SubPLOs]:[SubPLOs]],"&lt;9")</f>
        <v>0</v>
      </c>
      <c r="CG187" s="41">
        <f>SUMIFS(tbl_task1[S80],tbl_task1[[SubPLOs]:[SubPLOs]],"&gt;=8",tbl_task1[[SubPLOs]:[SubPLOs]],"&lt;9")+SUMIFS(tbl_task2[S80],tbl_task2[[SubPLOs]:[SubPLOs]],"&gt;=8",tbl_task2[[SubPLOs]:[SubPLOs]],"&lt;9")+SUMIFS(tbl_task3[S80],tbl_task3[[SubPLOs]:[SubPLOs]],"&gt;=8",tbl_task3[[SubPLOs]:[SubPLOs]],"&lt;9")+SUMIFS(tbl_task4[S80],tbl_task4[[SubPLOs]:[SubPLOs]],"&gt;=8",tbl_task4[[SubPLOs]:[SubPLOs]],"&lt;9")+SUMIFS(tbl_task5[S80],tbl_task5[[SubPLOs]:[SubPLOs]],"&gt;=8",tbl_task5[[SubPLOs]:[SubPLOs]],"&lt;9")+SUMIFS(tbl_task6[S80],tbl_task6[[SubPLOs]:[SubPLOs]],"&gt;=8",tbl_task6[[SubPLOs]:[SubPLOs]],"&lt;9")+SUMIFS(tbl_task7[S80],tbl_task7[[SubPLOs]:[SubPLOs]],"&gt;=8",tbl_task7[[SubPLOs]:[SubPLOs]],"&lt;9")+SUMIFS(tbl_task8[S80],tbl_task8[[SubPLOs]:[SubPLOs]],"&gt;=8",tbl_task8[[SubPLOs]:[SubPLOs]],"&lt;9")+SUMIFS(tbl_task9[S80],tbl_task9[[SubPLOs]:[SubPLOs]],"&gt;=8",tbl_task9[[SubPLOs]:[SubPLOs]],"&lt;9")+SUMIFS(tbl_task10[S80],tbl_task10[[SubPLOs]:[SubPLOs]],"&gt;=8",tbl_task10[[SubPLOs]:[SubPLOs]],"&lt;9")</f>
        <v>0</v>
      </c>
      <c r="CH187" s="41">
        <f>SUMIFS(tbl_task1[S81],tbl_task1[[SubPLOs]:[SubPLOs]],"&gt;=8",tbl_task1[[SubPLOs]:[SubPLOs]],"&lt;9")+SUMIFS(tbl_task2[S81],tbl_task2[[SubPLOs]:[SubPLOs]],"&gt;=8",tbl_task2[[SubPLOs]:[SubPLOs]],"&lt;9")+SUMIFS(tbl_task3[S81],tbl_task3[[SubPLOs]:[SubPLOs]],"&gt;=8",tbl_task3[[SubPLOs]:[SubPLOs]],"&lt;9")+SUMIFS(tbl_task4[S81],tbl_task4[[SubPLOs]:[SubPLOs]],"&gt;=8",tbl_task4[[SubPLOs]:[SubPLOs]],"&lt;9")+SUMIFS(tbl_task5[S81],tbl_task5[[SubPLOs]:[SubPLOs]],"&gt;=8",tbl_task5[[SubPLOs]:[SubPLOs]],"&lt;9")+SUMIFS(tbl_task6[S81],tbl_task6[[SubPLOs]:[SubPLOs]],"&gt;=8",tbl_task6[[SubPLOs]:[SubPLOs]],"&lt;9")+SUMIFS(tbl_task7[S81],tbl_task7[[SubPLOs]:[SubPLOs]],"&gt;=8",tbl_task7[[SubPLOs]:[SubPLOs]],"&lt;9")+SUMIFS(tbl_task8[S81],tbl_task8[[SubPLOs]:[SubPLOs]],"&gt;=8",tbl_task8[[SubPLOs]:[SubPLOs]],"&lt;9")+SUMIFS(tbl_task9[S81],tbl_task9[[SubPLOs]:[SubPLOs]],"&gt;=8",tbl_task9[[SubPLOs]:[SubPLOs]],"&lt;9")+SUMIFS(tbl_task10[S81],tbl_task10[[SubPLOs]:[SubPLOs]],"&gt;=8",tbl_task10[[SubPLOs]:[SubPLOs]],"&lt;9")</f>
        <v>0</v>
      </c>
      <c r="CI187" s="41">
        <f>SUMIFS(tbl_task1[S82],tbl_task1[[SubPLOs]:[SubPLOs]],"&gt;=8",tbl_task1[[SubPLOs]:[SubPLOs]],"&lt;9")+SUMIFS(tbl_task2[S82],tbl_task2[[SubPLOs]:[SubPLOs]],"&gt;=8",tbl_task2[[SubPLOs]:[SubPLOs]],"&lt;9")+SUMIFS(tbl_task3[S82],tbl_task3[[SubPLOs]:[SubPLOs]],"&gt;=8",tbl_task3[[SubPLOs]:[SubPLOs]],"&lt;9")+SUMIFS(tbl_task4[S82],tbl_task4[[SubPLOs]:[SubPLOs]],"&gt;=8",tbl_task4[[SubPLOs]:[SubPLOs]],"&lt;9")+SUMIFS(tbl_task5[S82],tbl_task5[[SubPLOs]:[SubPLOs]],"&gt;=8",tbl_task5[[SubPLOs]:[SubPLOs]],"&lt;9")+SUMIFS(tbl_task6[S82],tbl_task6[[SubPLOs]:[SubPLOs]],"&gt;=8",tbl_task6[[SubPLOs]:[SubPLOs]],"&lt;9")+SUMIFS(tbl_task7[S82],tbl_task7[[SubPLOs]:[SubPLOs]],"&gt;=8",tbl_task7[[SubPLOs]:[SubPLOs]],"&lt;9")+SUMIFS(tbl_task8[S82],tbl_task8[[SubPLOs]:[SubPLOs]],"&gt;=8",tbl_task8[[SubPLOs]:[SubPLOs]],"&lt;9")+SUMIFS(tbl_task9[S82],tbl_task9[[SubPLOs]:[SubPLOs]],"&gt;=8",tbl_task9[[SubPLOs]:[SubPLOs]],"&lt;9")+SUMIFS(tbl_task10[S82],tbl_task10[[SubPLOs]:[SubPLOs]],"&gt;=8",tbl_task10[[SubPLOs]:[SubPLOs]],"&lt;9")</f>
        <v>0</v>
      </c>
      <c r="CJ187" s="41">
        <f>SUMIFS(tbl_task1[S83],tbl_task1[[SubPLOs]:[SubPLOs]],"&gt;=8",tbl_task1[[SubPLOs]:[SubPLOs]],"&lt;9")+SUMIFS(tbl_task2[S83],tbl_task2[[SubPLOs]:[SubPLOs]],"&gt;=8",tbl_task2[[SubPLOs]:[SubPLOs]],"&lt;9")+SUMIFS(tbl_task3[S83],tbl_task3[[SubPLOs]:[SubPLOs]],"&gt;=8",tbl_task3[[SubPLOs]:[SubPLOs]],"&lt;9")+SUMIFS(tbl_task4[S83],tbl_task4[[SubPLOs]:[SubPLOs]],"&gt;=8",tbl_task4[[SubPLOs]:[SubPLOs]],"&lt;9")+SUMIFS(tbl_task5[S83],tbl_task5[[SubPLOs]:[SubPLOs]],"&gt;=8",tbl_task5[[SubPLOs]:[SubPLOs]],"&lt;9")+SUMIFS(tbl_task6[S83],tbl_task6[[SubPLOs]:[SubPLOs]],"&gt;=8",tbl_task6[[SubPLOs]:[SubPLOs]],"&lt;9")+SUMIFS(tbl_task7[S83],tbl_task7[[SubPLOs]:[SubPLOs]],"&gt;=8",tbl_task7[[SubPLOs]:[SubPLOs]],"&lt;9")+SUMIFS(tbl_task8[S83],tbl_task8[[SubPLOs]:[SubPLOs]],"&gt;=8",tbl_task8[[SubPLOs]:[SubPLOs]],"&lt;9")+SUMIFS(tbl_task9[S83],tbl_task9[[SubPLOs]:[SubPLOs]],"&gt;=8",tbl_task9[[SubPLOs]:[SubPLOs]],"&lt;9")+SUMIFS(tbl_task10[S83],tbl_task10[[SubPLOs]:[SubPLOs]],"&gt;=8",tbl_task10[[SubPLOs]:[SubPLOs]],"&lt;9")</f>
        <v>0</v>
      </c>
      <c r="CK187" s="41">
        <f>SUMIFS(tbl_task1[S84],tbl_task1[[SubPLOs]:[SubPLOs]],"&gt;=8",tbl_task1[[SubPLOs]:[SubPLOs]],"&lt;9")+SUMIFS(tbl_task2[S84],tbl_task2[[SubPLOs]:[SubPLOs]],"&gt;=8",tbl_task2[[SubPLOs]:[SubPLOs]],"&lt;9")+SUMIFS(tbl_task3[S84],tbl_task3[[SubPLOs]:[SubPLOs]],"&gt;=8",tbl_task3[[SubPLOs]:[SubPLOs]],"&lt;9")+SUMIFS(tbl_task4[S84],tbl_task4[[SubPLOs]:[SubPLOs]],"&gt;=8",tbl_task4[[SubPLOs]:[SubPLOs]],"&lt;9")+SUMIFS(tbl_task5[S84],tbl_task5[[SubPLOs]:[SubPLOs]],"&gt;=8",tbl_task5[[SubPLOs]:[SubPLOs]],"&lt;9")+SUMIFS(tbl_task6[S84],tbl_task6[[SubPLOs]:[SubPLOs]],"&gt;=8",tbl_task6[[SubPLOs]:[SubPLOs]],"&lt;9")+SUMIFS(tbl_task7[S84],tbl_task7[[SubPLOs]:[SubPLOs]],"&gt;=8",tbl_task7[[SubPLOs]:[SubPLOs]],"&lt;9")+SUMIFS(tbl_task8[S84],tbl_task8[[SubPLOs]:[SubPLOs]],"&gt;=8",tbl_task8[[SubPLOs]:[SubPLOs]],"&lt;9")+SUMIFS(tbl_task9[S84],tbl_task9[[SubPLOs]:[SubPLOs]],"&gt;=8",tbl_task9[[SubPLOs]:[SubPLOs]],"&lt;9")+SUMIFS(tbl_task10[S84],tbl_task10[[SubPLOs]:[SubPLOs]],"&gt;=8",tbl_task10[[SubPLOs]:[SubPLOs]],"&lt;9")</f>
        <v>0</v>
      </c>
      <c r="CL187" s="41">
        <f>SUMIFS(tbl_task1[S85],tbl_task1[[SubPLOs]:[SubPLOs]],"&gt;=8",tbl_task1[[SubPLOs]:[SubPLOs]],"&lt;9")+SUMIFS(tbl_task2[S85],tbl_task2[[SubPLOs]:[SubPLOs]],"&gt;=8",tbl_task2[[SubPLOs]:[SubPLOs]],"&lt;9")+SUMIFS(tbl_task3[S85],tbl_task3[[SubPLOs]:[SubPLOs]],"&gt;=8",tbl_task3[[SubPLOs]:[SubPLOs]],"&lt;9")+SUMIFS(tbl_task4[S85],tbl_task4[[SubPLOs]:[SubPLOs]],"&gt;=8",tbl_task4[[SubPLOs]:[SubPLOs]],"&lt;9")+SUMIFS(tbl_task5[S85],tbl_task5[[SubPLOs]:[SubPLOs]],"&gt;=8",tbl_task5[[SubPLOs]:[SubPLOs]],"&lt;9")+SUMIFS(tbl_task6[S85],tbl_task6[[SubPLOs]:[SubPLOs]],"&gt;=8",tbl_task6[[SubPLOs]:[SubPLOs]],"&lt;9")+SUMIFS(tbl_task7[S85],tbl_task7[[SubPLOs]:[SubPLOs]],"&gt;=8",tbl_task7[[SubPLOs]:[SubPLOs]],"&lt;9")+SUMIFS(tbl_task8[S85],tbl_task8[[SubPLOs]:[SubPLOs]],"&gt;=8",tbl_task8[[SubPLOs]:[SubPLOs]],"&lt;9")+SUMIFS(tbl_task9[S85],tbl_task9[[SubPLOs]:[SubPLOs]],"&gt;=8",tbl_task9[[SubPLOs]:[SubPLOs]],"&lt;9")+SUMIFS(tbl_task10[S85],tbl_task10[[SubPLOs]:[SubPLOs]],"&gt;=8",tbl_task10[[SubPLOs]:[SubPLOs]],"&lt;9")</f>
        <v>0</v>
      </c>
      <c r="CM187" s="41">
        <f>SUMIFS(tbl_task1[S86],tbl_task1[[SubPLOs]:[SubPLOs]],"&gt;=8",tbl_task1[[SubPLOs]:[SubPLOs]],"&lt;9")+SUMIFS(tbl_task2[S86],tbl_task2[[SubPLOs]:[SubPLOs]],"&gt;=8",tbl_task2[[SubPLOs]:[SubPLOs]],"&lt;9")+SUMIFS(tbl_task3[S86],tbl_task3[[SubPLOs]:[SubPLOs]],"&gt;=8",tbl_task3[[SubPLOs]:[SubPLOs]],"&lt;9")+SUMIFS(tbl_task4[S86],tbl_task4[[SubPLOs]:[SubPLOs]],"&gt;=8",tbl_task4[[SubPLOs]:[SubPLOs]],"&lt;9")+SUMIFS(tbl_task5[S86],tbl_task5[[SubPLOs]:[SubPLOs]],"&gt;=8",tbl_task5[[SubPLOs]:[SubPLOs]],"&lt;9")+SUMIFS(tbl_task6[S86],tbl_task6[[SubPLOs]:[SubPLOs]],"&gt;=8",tbl_task6[[SubPLOs]:[SubPLOs]],"&lt;9")+SUMIFS(tbl_task7[S86],tbl_task7[[SubPLOs]:[SubPLOs]],"&gt;=8",tbl_task7[[SubPLOs]:[SubPLOs]],"&lt;9")+SUMIFS(tbl_task8[S86],tbl_task8[[SubPLOs]:[SubPLOs]],"&gt;=8",tbl_task8[[SubPLOs]:[SubPLOs]],"&lt;9")+SUMIFS(tbl_task9[S86],tbl_task9[[SubPLOs]:[SubPLOs]],"&gt;=8",tbl_task9[[SubPLOs]:[SubPLOs]],"&lt;9")+SUMIFS(tbl_task10[S86],tbl_task10[[SubPLOs]:[SubPLOs]],"&gt;=8",tbl_task10[[SubPLOs]:[SubPLOs]],"&lt;9")</f>
        <v>0</v>
      </c>
      <c r="CN187" s="41">
        <f>SUMIFS(tbl_task1[S87],tbl_task1[[SubPLOs]:[SubPLOs]],"&gt;=8",tbl_task1[[SubPLOs]:[SubPLOs]],"&lt;9")+SUMIFS(tbl_task2[S87],tbl_task2[[SubPLOs]:[SubPLOs]],"&gt;=8",tbl_task2[[SubPLOs]:[SubPLOs]],"&lt;9")+SUMIFS(tbl_task3[S87],tbl_task3[[SubPLOs]:[SubPLOs]],"&gt;=8",tbl_task3[[SubPLOs]:[SubPLOs]],"&lt;9")+SUMIFS(tbl_task4[S87],tbl_task4[[SubPLOs]:[SubPLOs]],"&gt;=8",tbl_task4[[SubPLOs]:[SubPLOs]],"&lt;9")+SUMIFS(tbl_task5[S87],tbl_task5[[SubPLOs]:[SubPLOs]],"&gt;=8",tbl_task5[[SubPLOs]:[SubPLOs]],"&lt;9")+SUMIFS(tbl_task6[S87],tbl_task6[[SubPLOs]:[SubPLOs]],"&gt;=8",tbl_task6[[SubPLOs]:[SubPLOs]],"&lt;9")+SUMIFS(tbl_task7[S87],tbl_task7[[SubPLOs]:[SubPLOs]],"&gt;=8",tbl_task7[[SubPLOs]:[SubPLOs]],"&lt;9")+SUMIFS(tbl_task8[S87],tbl_task8[[SubPLOs]:[SubPLOs]],"&gt;=8",tbl_task8[[SubPLOs]:[SubPLOs]],"&lt;9")+SUMIFS(tbl_task9[S87],tbl_task9[[SubPLOs]:[SubPLOs]],"&gt;=8",tbl_task9[[SubPLOs]:[SubPLOs]],"&lt;9")+SUMIFS(tbl_task10[S87],tbl_task10[[SubPLOs]:[SubPLOs]],"&gt;=8",tbl_task10[[SubPLOs]:[SubPLOs]],"&lt;9")</f>
        <v>0</v>
      </c>
      <c r="CO187" s="41">
        <f>SUMIFS(tbl_task1[S88],tbl_task1[[SubPLOs]:[SubPLOs]],"&gt;=8",tbl_task1[[SubPLOs]:[SubPLOs]],"&lt;9")+SUMIFS(tbl_task2[S88],tbl_task2[[SubPLOs]:[SubPLOs]],"&gt;=8",tbl_task2[[SubPLOs]:[SubPLOs]],"&lt;9")+SUMIFS(tbl_task3[S88],tbl_task3[[SubPLOs]:[SubPLOs]],"&gt;=8",tbl_task3[[SubPLOs]:[SubPLOs]],"&lt;9")+SUMIFS(tbl_task4[S88],tbl_task4[[SubPLOs]:[SubPLOs]],"&gt;=8",tbl_task4[[SubPLOs]:[SubPLOs]],"&lt;9")+SUMIFS(tbl_task5[S88],tbl_task5[[SubPLOs]:[SubPLOs]],"&gt;=8",tbl_task5[[SubPLOs]:[SubPLOs]],"&lt;9")+SUMIFS(tbl_task6[S88],tbl_task6[[SubPLOs]:[SubPLOs]],"&gt;=8",tbl_task6[[SubPLOs]:[SubPLOs]],"&lt;9")+SUMIFS(tbl_task7[S88],tbl_task7[[SubPLOs]:[SubPLOs]],"&gt;=8",tbl_task7[[SubPLOs]:[SubPLOs]],"&lt;9")+SUMIFS(tbl_task8[S88],tbl_task8[[SubPLOs]:[SubPLOs]],"&gt;=8",tbl_task8[[SubPLOs]:[SubPLOs]],"&lt;9")+SUMIFS(tbl_task9[S88],tbl_task9[[SubPLOs]:[SubPLOs]],"&gt;=8",tbl_task9[[SubPLOs]:[SubPLOs]],"&lt;9")+SUMIFS(tbl_task10[S88],tbl_task10[[SubPLOs]:[SubPLOs]],"&gt;=8",tbl_task10[[SubPLOs]:[SubPLOs]],"&lt;9")</f>
        <v>0</v>
      </c>
      <c r="CP187" s="41">
        <f>SUMIFS(tbl_task1[S89],tbl_task1[[SubPLOs]:[SubPLOs]],"&gt;=8",tbl_task1[[SubPLOs]:[SubPLOs]],"&lt;9")+SUMIFS(tbl_task2[S89],tbl_task2[[SubPLOs]:[SubPLOs]],"&gt;=8",tbl_task2[[SubPLOs]:[SubPLOs]],"&lt;9")+SUMIFS(tbl_task3[S89],tbl_task3[[SubPLOs]:[SubPLOs]],"&gt;=8",tbl_task3[[SubPLOs]:[SubPLOs]],"&lt;9")+SUMIFS(tbl_task4[S89],tbl_task4[[SubPLOs]:[SubPLOs]],"&gt;=8",tbl_task4[[SubPLOs]:[SubPLOs]],"&lt;9")+SUMIFS(tbl_task5[S89],tbl_task5[[SubPLOs]:[SubPLOs]],"&gt;=8",tbl_task5[[SubPLOs]:[SubPLOs]],"&lt;9")+SUMIFS(tbl_task6[S89],tbl_task6[[SubPLOs]:[SubPLOs]],"&gt;=8",tbl_task6[[SubPLOs]:[SubPLOs]],"&lt;9")+SUMIFS(tbl_task7[S89],tbl_task7[[SubPLOs]:[SubPLOs]],"&gt;=8",tbl_task7[[SubPLOs]:[SubPLOs]],"&lt;9")+SUMIFS(tbl_task8[S89],tbl_task8[[SubPLOs]:[SubPLOs]],"&gt;=8",tbl_task8[[SubPLOs]:[SubPLOs]],"&lt;9")+SUMIFS(tbl_task9[S89],tbl_task9[[SubPLOs]:[SubPLOs]],"&gt;=8",tbl_task9[[SubPLOs]:[SubPLOs]],"&lt;9")+SUMIFS(tbl_task10[S89],tbl_task10[[SubPLOs]:[SubPLOs]],"&gt;=8",tbl_task10[[SubPLOs]:[SubPLOs]],"&lt;9")</f>
        <v>0</v>
      </c>
      <c r="CQ187" s="41">
        <f>SUMIFS(tbl_task1[S90],tbl_task1[[SubPLOs]:[SubPLOs]],"&gt;=8",tbl_task1[[SubPLOs]:[SubPLOs]],"&lt;9")+SUMIFS(tbl_task2[S90],tbl_task2[[SubPLOs]:[SubPLOs]],"&gt;=8",tbl_task2[[SubPLOs]:[SubPLOs]],"&lt;9")+SUMIFS(tbl_task3[S90],tbl_task3[[SubPLOs]:[SubPLOs]],"&gt;=8",tbl_task3[[SubPLOs]:[SubPLOs]],"&lt;9")+SUMIFS(tbl_task4[S90],tbl_task4[[SubPLOs]:[SubPLOs]],"&gt;=8",tbl_task4[[SubPLOs]:[SubPLOs]],"&lt;9")+SUMIFS(tbl_task5[S90],tbl_task5[[SubPLOs]:[SubPLOs]],"&gt;=8",tbl_task5[[SubPLOs]:[SubPLOs]],"&lt;9")+SUMIFS(tbl_task6[S90],tbl_task6[[SubPLOs]:[SubPLOs]],"&gt;=8",tbl_task6[[SubPLOs]:[SubPLOs]],"&lt;9")+SUMIFS(tbl_task7[S90],tbl_task7[[SubPLOs]:[SubPLOs]],"&gt;=8",tbl_task7[[SubPLOs]:[SubPLOs]],"&lt;9")+SUMIFS(tbl_task8[S90],tbl_task8[[SubPLOs]:[SubPLOs]],"&gt;=8",tbl_task8[[SubPLOs]:[SubPLOs]],"&lt;9")+SUMIFS(tbl_task9[S90],tbl_task9[[SubPLOs]:[SubPLOs]],"&gt;=8",tbl_task9[[SubPLOs]:[SubPLOs]],"&lt;9")+SUMIFS(tbl_task10[S90],tbl_task10[[SubPLOs]:[SubPLOs]],"&gt;=8",tbl_task10[[SubPLOs]:[SubPLOs]],"&lt;9")</f>
        <v>0</v>
      </c>
      <c r="CR187" s="41">
        <f>SUMIFS(tbl_task1[S91],tbl_task1[[SubPLOs]:[SubPLOs]],"&gt;=8",tbl_task1[[SubPLOs]:[SubPLOs]],"&lt;9")+SUMIFS(tbl_task2[S91],tbl_task2[[SubPLOs]:[SubPLOs]],"&gt;=8",tbl_task2[[SubPLOs]:[SubPLOs]],"&lt;9")+SUMIFS(tbl_task3[S91],tbl_task3[[SubPLOs]:[SubPLOs]],"&gt;=8",tbl_task3[[SubPLOs]:[SubPLOs]],"&lt;9")+SUMIFS(tbl_task4[S91],tbl_task4[[SubPLOs]:[SubPLOs]],"&gt;=8",tbl_task4[[SubPLOs]:[SubPLOs]],"&lt;9")+SUMIFS(tbl_task5[S91],tbl_task5[[SubPLOs]:[SubPLOs]],"&gt;=8",tbl_task5[[SubPLOs]:[SubPLOs]],"&lt;9")+SUMIFS(tbl_task6[S91],tbl_task6[[SubPLOs]:[SubPLOs]],"&gt;=8",tbl_task6[[SubPLOs]:[SubPLOs]],"&lt;9")+SUMIFS(tbl_task7[S91],tbl_task7[[SubPLOs]:[SubPLOs]],"&gt;=8",tbl_task7[[SubPLOs]:[SubPLOs]],"&lt;9")+SUMIFS(tbl_task8[S91],tbl_task8[[SubPLOs]:[SubPLOs]],"&gt;=8",tbl_task8[[SubPLOs]:[SubPLOs]],"&lt;9")+SUMIFS(tbl_task9[S91],tbl_task9[[SubPLOs]:[SubPLOs]],"&gt;=8",tbl_task9[[SubPLOs]:[SubPLOs]],"&lt;9")+SUMIFS(tbl_task10[S91],tbl_task10[[SubPLOs]:[SubPLOs]],"&gt;=8",tbl_task10[[SubPLOs]:[SubPLOs]],"&lt;9")</f>
        <v>0</v>
      </c>
      <c r="CS187" s="41">
        <f>SUMIFS(tbl_task1[S92],tbl_task1[[SubPLOs]:[SubPLOs]],"&gt;=8",tbl_task1[[SubPLOs]:[SubPLOs]],"&lt;9")+SUMIFS(tbl_task2[S92],tbl_task2[[SubPLOs]:[SubPLOs]],"&gt;=8",tbl_task2[[SubPLOs]:[SubPLOs]],"&lt;9")+SUMIFS(tbl_task3[S92],tbl_task3[[SubPLOs]:[SubPLOs]],"&gt;=8",tbl_task3[[SubPLOs]:[SubPLOs]],"&lt;9")+SUMIFS(tbl_task4[S92],tbl_task4[[SubPLOs]:[SubPLOs]],"&gt;=8",tbl_task4[[SubPLOs]:[SubPLOs]],"&lt;9")+SUMIFS(tbl_task5[S92],tbl_task5[[SubPLOs]:[SubPLOs]],"&gt;=8",tbl_task5[[SubPLOs]:[SubPLOs]],"&lt;9")+SUMIFS(tbl_task6[S92],tbl_task6[[SubPLOs]:[SubPLOs]],"&gt;=8",tbl_task6[[SubPLOs]:[SubPLOs]],"&lt;9")+SUMIFS(tbl_task7[S92],tbl_task7[[SubPLOs]:[SubPLOs]],"&gt;=8",tbl_task7[[SubPLOs]:[SubPLOs]],"&lt;9")+SUMIFS(tbl_task8[S92],tbl_task8[[SubPLOs]:[SubPLOs]],"&gt;=8",tbl_task8[[SubPLOs]:[SubPLOs]],"&lt;9")+SUMIFS(tbl_task9[S92],tbl_task9[[SubPLOs]:[SubPLOs]],"&gt;=8",tbl_task9[[SubPLOs]:[SubPLOs]],"&lt;9")+SUMIFS(tbl_task10[S92],tbl_task10[[SubPLOs]:[SubPLOs]],"&gt;=8",tbl_task10[[SubPLOs]:[SubPLOs]],"&lt;9")</f>
        <v>0</v>
      </c>
      <c r="CT187" s="41">
        <f>SUMIFS(tbl_task1[S93],tbl_task1[[SubPLOs]:[SubPLOs]],"&gt;=8",tbl_task1[[SubPLOs]:[SubPLOs]],"&lt;9")+SUMIFS(tbl_task2[S93],tbl_task2[[SubPLOs]:[SubPLOs]],"&gt;=8",tbl_task2[[SubPLOs]:[SubPLOs]],"&lt;9")+SUMIFS(tbl_task3[S93],tbl_task3[[SubPLOs]:[SubPLOs]],"&gt;=8",tbl_task3[[SubPLOs]:[SubPLOs]],"&lt;9")+SUMIFS(tbl_task4[S93],tbl_task4[[SubPLOs]:[SubPLOs]],"&gt;=8",tbl_task4[[SubPLOs]:[SubPLOs]],"&lt;9")+SUMIFS(tbl_task5[S93],tbl_task5[[SubPLOs]:[SubPLOs]],"&gt;=8",tbl_task5[[SubPLOs]:[SubPLOs]],"&lt;9")+SUMIFS(tbl_task6[S93],tbl_task6[[SubPLOs]:[SubPLOs]],"&gt;=8",tbl_task6[[SubPLOs]:[SubPLOs]],"&lt;9")+SUMIFS(tbl_task7[S93],tbl_task7[[SubPLOs]:[SubPLOs]],"&gt;=8",tbl_task7[[SubPLOs]:[SubPLOs]],"&lt;9")+SUMIFS(tbl_task8[S93],tbl_task8[[SubPLOs]:[SubPLOs]],"&gt;=8",tbl_task8[[SubPLOs]:[SubPLOs]],"&lt;9")+SUMIFS(tbl_task9[S93],tbl_task9[[SubPLOs]:[SubPLOs]],"&gt;=8",tbl_task9[[SubPLOs]:[SubPLOs]],"&lt;9")+SUMIFS(tbl_task10[S93],tbl_task10[[SubPLOs]:[SubPLOs]],"&gt;=8",tbl_task10[[SubPLOs]:[SubPLOs]],"&lt;9")</f>
        <v>0</v>
      </c>
      <c r="CU187" s="41">
        <f>SUMIFS(tbl_task1[S94],tbl_task1[[SubPLOs]:[SubPLOs]],"&gt;=8",tbl_task1[[SubPLOs]:[SubPLOs]],"&lt;9")+SUMIFS(tbl_task2[S94],tbl_task2[[SubPLOs]:[SubPLOs]],"&gt;=8",tbl_task2[[SubPLOs]:[SubPLOs]],"&lt;9")+SUMIFS(tbl_task3[S94],tbl_task3[[SubPLOs]:[SubPLOs]],"&gt;=8",tbl_task3[[SubPLOs]:[SubPLOs]],"&lt;9")+SUMIFS(tbl_task4[S94],tbl_task4[[SubPLOs]:[SubPLOs]],"&gt;=8",tbl_task4[[SubPLOs]:[SubPLOs]],"&lt;9")+SUMIFS(tbl_task5[S94],tbl_task5[[SubPLOs]:[SubPLOs]],"&gt;=8",tbl_task5[[SubPLOs]:[SubPLOs]],"&lt;9")+SUMIFS(tbl_task6[S94],tbl_task6[[SubPLOs]:[SubPLOs]],"&gt;=8",tbl_task6[[SubPLOs]:[SubPLOs]],"&lt;9")+SUMIFS(tbl_task7[S94],tbl_task7[[SubPLOs]:[SubPLOs]],"&gt;=8",tbl_task7[[SubPLOs]:[SubPLOs]],"&lt;9")+SUMIFS(tbl_task8[S94],tbl_task8[[SubPLOs]:[SubPLOs]],"&gt;=8",tbl_task8[[SubPLOs]:[SubPLOs]],"&lt;9")+SUMIFS(tbl_task9[S94],tbl_task9[[SubPLOs]:[SubPLOs]],"&gt;=8",tbl_task9[[SubPLOs]:[SubPLOs]],"&lt;9")+SUMIFS(tbl_task10[S94],tbl_task10[[SubPLOs]:[SubPLOs]],"&gt;=8",tbl_task10[[SubPLOs]:[SubPLOs]],"&lt;9")</f>
        <v>0</v>
      </c>
      <c r="CV187" s="41">
        <f>SUMIFS(tbl_task1[S95],tbl_task1[[SubPLOs]:[SubPLOs]],"&gt;=8",tbl_task1[[SubPLOs]:[SubPLOs]],"&lt;9")+SUMIFS(tbl_task2[S95],tbl_task2[[SubPLOs]:[SubPLOs]],"&gt;=8",tbl_task2[[SubPLOs]:[SubPLOs]],"&lt;9")+SUMIFS(tbl_task3[S95],tbl_task3[[SubPLOs]:[SubPLOs]],"&gt;=8",tbl_task3[[SubPLOs]:[SubPLOs]],"&lt;9")+SUMIFS(tbl_task4[S95],tbl_task4[[SubPLOs]:[SubPLOs]],"&gt;=8",tbl_task4[[SubPLOs]:[SubPLOs]],"&lt;9")+SUMIFS(tbl_task5[S95],tbl_task5[[SubPLOs]:[SubPLOs]],"&gt;=8",tbl_task5[[SubPLOs]:[SubPLOs]],"&lt;9")+SUMIFS(tbl_task6[S95],tbl_task6[[SubPLOs]:[SubPLOs]],"&gt;=8",tbl_task6[[SubPLOs]:[SubPLOs]],"&lt;9")+SUMIFS(tbl_task7[S95],tbl_task7[[SubPLOs]:[SubPLOs]],"&gt;=8",tbl_task7[[SubPLOs]:[SubPLOs]],"&lt;9")+SUMIFS(tbl_task8[S95],tbl_task8[[SubPLOs]:[SubPLOs]],"&gt;=8",tbl_task8[[SubPLOs]:[SubPLOs]],"&lt;9")+SUMIFS(tbl_task9[S95],tbl_task9[[SubPLOs]:[SubPLOs]],"&gt;=8",tbl_task9[[SubPLOs]:[SubPLOs]],"&lt;9")+SUMIFS(tbl_task10[S95],tbl_task10[[SubPLOs]:[SubPLOs]],"&gt;=8",tbl_task10[[SubPLOs]:[SubPLOs]],"&lt;9")</f>
        <v>0</v>
      </c>
      <c r="CW187" s="41">
        <f>SUMIFS(tbl_task1[S96],tbl_task1[[SubPLOs]:[SubPLOs]],"&gt;=8",tbl_task1[[SubPLOs]:[SubPLOs]],"&lt;9")+SUMIFS(tbl_task2[S96],tbl_task2[[SubPLOs]:[SubPLOs]],"&gt;=8",tbl_task2[[SubPLOs]:[SubPLOs]],"&lt;9")+SUMIFS(tbl_task3[S96],tbl_task3[[SubPLOs]:[SubPLOs]],"&gt;=8",tbl_task3[[SubPLOs]:[SubPLOs]],"&lt;9")+SUMIFS(tbl_task4[S96],tbl_task4[[SubPLOs]:[SubPLOs]],"&gt;=8",tbl_task4[[SubPLOs]:[SubPLOs]],"&lt;9")+SUMIFS(tbl_task5[S96],tbl_task5[[SubPLOs]:[SubPLOs]],"&gt;=8",tbl_task5[[SubPLOs]:[SubPLOs]],"&lt;9")+SUMIFS(tbl_task6[S96],tbl_task6[[SubPLOs]:[SubPLOs]],"&gt;=8",tbl_task6[[SubPLOs]:[SubPLOs]],"&lt;9")+SUMIFS(tbl_task7[S96],tbl_task7[[SubPLOs]:[SubPLOs]],"&gt;=8",tbl_task7[[SubPLOs]:[SubPLOs]],"&lt;9")+SUMIFS(tbl_task8[S96],tbl_task8[[SubPLOs]:[SubPLOs]],"&gt;=8",tbl_task8[[SubPLOs]:[SubPLOs]],"&lt;9")+SUMIFS(tbl_task9[S96],tbl_task9[[SubPLOs]:[SubPLOs]],"&gt;=8",tbl_task9[[SubPLOs]:[SubPLOs]],"&lt;9")+SUMIFS(tbl_task10[S96],tbl_task10[[SubPLOs]:[SubPLOs]],"&gt;=8",tbl_task10[[SubPLOs]:[SubPLOs]],"&lt;9")</f>
        <v>0</v>
      </c>
      <c r="CX187" s="41">
        <f>SUMIFS(tbl_task1[S97],tbl_task1[[SubPLOs]:[SubPLOs]],"&gt;=8",tbl_task1[[SubPLOs]:[SubPLOs]],"&lt;9")+SUMIFS(tbl_task2[S97],tbl_task2[[SubPLOs]:[SubPLOs]],"&gt;=8",tbl_task2[[SubPLOs]:[SubPLOs]],"&lt;9")+SUMIFS(tbl_task3[S97],tbl_task3[[SubPLOs]:[SubPLOs]],"&gt;=8",tbl_task3[[SubPLOs]:[SubPLOs]],"&lt;9")+SUMIFS(tbl_task4[S97],tbl_task4[[SubPLOs]:[SubPLOs]],"&gt;=8",tbl_task4[[SubPLOs]:[SubPLOs]],"&lt;9")+SUMIFS(tbl_task5[S97],tbl_task5[[SubPLOs]:[SubPLOs]],"&gt;=8",tbl_task5[[SubPLOs]:[SubPLOs]],"&lt;9")+SUMIFS(tbl_task6[S97],tbl_task6[[SubPLOs]:[SubPLOs]],"&gt;=8",tbl_task6[[SubPLOs]:[SubPLOs]],"&lt;9")+SUMIFS(tbl_task7[S97],tbl_task7[[SubPLOs]:[SubPLOs]],"&gt;=8",tbl_task7[[SubPLOs]:[SubPLOs]],"&lt;9")+SUMIFS(tbl_task8[S97],tbl_task8[[SubPLOs]:[SubPLOs]],"&gt;=8",tbl_task8[[SubPLOs]:[SubPLOs]],"&lt;9")+SUMIFS(tbl_task9[S97],tbl_task9[[SubPLOs]:[SubPLOs]],"&gt;=8",tbl_task9[[SubPLOs]:[SubPLOs]],"&lt;9")+SUMIFS(tbl_task10[S97],tbl_task10[[SubPLOs]:[SubPLOs]],"&gt;=8",tbl_task10[[SubPLOs]:[SubPLOs]],"&lt;9")</f>
        <v>0</v>
      </c>
      <c r="CY187" s="41">
        <f>SUMIFS(tbl_task1[S98],tbl_task1[[SubPLOs]:[SubPLOs]],"&gt;=8",tbl_task1[[SubPLOs]:[SubPLOs]],"&lt;9")+SUMIFS(tbl_task2[S98],tbl_task2[[SubPLOs]:[SubPLOs]],"&gt;=8",tbl_task2[[SubPLOs]:[SubPLOs]],"&lt;9")+SUMIFS(tbl_task3[S98],tbl_task3[[SubPLOs]:[SubPLOs]],"&gt;=8",tbl_task3[[SubPLOs]:[SubPLOs]],"&lt;9")+SUMIFS(tbl_task4[S98],tbl_task4[[SubPLOs]:[SubPLOs]],"&gt;=8",tbl_task4[[SubPLOs]:[SubPLOs]],"&lt;9")+SUMIFS(tbl_task5[S98],tbl_task5[[SubPLOs]:[SubPLOs]],"&gt;=8",tbl_task5[[SubPLOs]:[SubPLOs]],"&lt;9")+SUMIFS(tbl_task6[S98],tbl_task6[[SubPLOs]:[SubPLOs]],"&gt;=8",tbl_task6[[SubPLOs]:[SubPLOs]],"&lt;9")+SUMIFS(tbl_task7[S98],tbl_task7[[SubPLOs]:[SubPLOs]],"&gt;=8",tbl_task7[[SubPLOs]:[SubPLOs]],"&lt;9")+SUMIFS(tbl_task8[S98],tbl_task8[[SubPLOs]:[SubPLOs]],"&gt;=8",tbl_task8[[SubPLOs]:[SubPLOs]],"&lt;9")+SUMIFS(tbl_task9[S98],tbl_task9[[SubPLOs]:[SubPLOs]],"&gt;=8",tbl_task9[[SubPLOs]:[SubPLOs]],"&lt;9")+SUMIFS(tbl_task10[S98],tbl_task10[[SubPLOs]:[SubPLOs]],"&gt;=8",tbl_task10[[SubPLOs]:[SubPLOs]],"&lt;9")</f>
        <v>0</v>
      </c>
      <c r="CZ187" s="41">
        <f>SUMIFS(tbl_task1[S99],tbl_task1[[SubPLOs]:[SubPLOs]],"&gt;=8",tbl_task1[[SubPLOs]:[SubPLOs]],"&lt;9")+SUMIFS(tbl_task2[S99],tbl_task2[[SubPLOs]:[SubPLOs]],"&gt;=8",tbl_task2[[SubPLOs]:[SubPLOs]],"&lt;9")+SUMIFS(tbl_task3[S99],tbl_task3[[SubPLOs]:[SubPLOs]],"&gt;=8",tbl_task3[[SubPLOs]:[SubPLOs]],"&lt;9")+SUMIFS(tbl_task4[S99],tbl_task4[[SubPLOs]:[SubPLOs]],"&gt;=8",tbl_task4[[SubPLOs]:[SubPLOs]],"&lt;9")+SUMIFS(tbl_task5[S99],tbl_task5[[SubPLOs]:[SubPLOs]],"&gt;=8",tbl_task5[[SubPLOs]:[SubPLOs]],"&lt;9")+SUMIFS(tbl_task6[S99],tbl_task6[[SubPLOs]:[SubPLOs]],"&gt;=8",tbl_task6[[SubPLOs]:[SubPLOs]],"&lt;9")+SUMIFS(tbl_task7[S99],tbl_task7[[SubPLOs]:[SubPLOs]],"&gt;=8",tbl_task7[[SubPLOs]:[SubPLOs]],"&lt;9")+SUMIFS(tbl_task8[S99],tbl_task8[[SubPLOs]:[SubPLOs]],"&gt;=8",tbl_task8[[SubPLOs]:[SubPLOs]],"&lt;9")+SUMIFS(tbl_task9[S99],tbl_task9[[SubPLOs]:[SubPLOs]],"&gt;=8",tbl_task9[[SubPLOs]:[SubPLOs]],"&lt;9")+SUMIFS(tbl_task10[S99],tbl_task10[[SubPLOs]:[SubPLOs]],"&gt;=8",tbl_task10[[SubPLOs]:[SubPLOs]],"&lt;9")</f>
        <v>0</v>
      </c>
      <c r="DA187" s="41">
        <f>SUMIFS(tbl_task1[S100],tbl_task1[[SubPLOs]:[SubPLOs]],"&gt;=8",tbl_task1[[SubPLOs]:[SubPLOs]],"&lt;9")+SUMIFS(tbl_task2[S100],tbl_task2[[SubPLOs]:[SubPLOs]],"&gt;=8",tbl_task2[[SubPLOs]:[SubPLOs]],"&lt;9")+SUMIFS(tbl_task3[S100],tbl_task3[[SubPLOs]:[SubPLOs]],"&gt;=8",tbl_task3[[SubPLOs]:[SubPLOs]],"&lt;9")+SUMIFS(tbl_task4[S100],tbl_task4[[SubPLOs]:[SubPLOs]],"&gt;=8",tbl_task4[[SubPLOs]:[SubPLOs]],"&lt;9")+SUMIFS(tbl_task5[S100],tbl_task5[[SubPLOs]:[SubPLOs]],"&gt;=8",tbl_task5[[SubPLOs]:[SubPLOs]],"&lt;9")+SUMIFS(tbl_task6[S100],tbl_task6[[SubPLOs]:[SubPLOs]],"&gt;=8",tbl_task6[[SubPLOs]:[SubPLOs]],"&lt;9")+SUMIFS(tbl_task7[S100],tbl_task7[[SubPLOs]:[SubPLOs]],"&gt;=8",tbl_task7[[SubPLOs]:[SubPLOs]],"&lt;9")+SUMIFS(tbl_task8[S100],tbl_task8[[SubPLOs]:[SubPLOs]],"&gt;=8",tbl_task8[[SubPLOs]:[SubPLOs]],"&lt;9")+SUMIFS(tbl_task9[S100],tbl_task9[[SubPLOs]:[SubPLOs]],"&gt;=8",tbl_task9[[SubPLOs]:[SubPLOs]],"&lt;9")+SUMIFS(tbl_task10[S100],tbl_task10[[SubPLOs]:[SubPLOs]],"&gt;=8",tbl_task10[[SubPLOs]:[SubPLOs]],"&lt;9")</f>
        <v>0</v>
      </c>
      <c r="DB187" s="41">
        <f>SUMIFS(tbl_task1[S101],tbl_task1[[SubPLOs]:[SubPLOs]],"&gt;=8",tbl_task1[[SubPLOs]:[SubPLOs]],"&lt;9")+SUMIFS(tbl_task2[S101],tbl_task2[[SubPLOs]:[SubPLOs]],"&gt;=8",tbl_task2[[SubPLOs]:[SubPLOs]],"&lt;9")+SUMIFS(tbl_task3[S101],tbl_task3[[SubPLOs]:[SubPLOs]],"&gt;=8",tbl_task3[[SubPLOs]:[SubPLOs]],"&lt;9")+SUMIFS(tbl_task4[S101],tbl_task4[[SubPLOs]:[SubPLOs]],"&gt;=8",tbl_task4[[SubPLOs]:[SubPLOs]],"&lt;9")+SUMIFS(tbl_task5[S101],tbl_task5[[SubPLOs]:[SubPLOs]],"&gt;=8",tbl_task5[[SubPLOs]:[SubPLOs]],"&lt;9")+SUMIFS(tbl_task6[S101],tbl_task6[[SubPLOs]:[SubPLOs]],"&gt;=8",tbl_task6[[SubPLOs]:[SubPLOs]],"&lt;9")+SUMIFS(tbl_task7[S101],tbl_task7[[SubPLOs]:[SubPLOs]],"&gt;=8",tbl_task7[[SubPLOs]:[SubPLOs]],"&lt;9")+SUMIFS(tbl_task8[S101],tbl_task8[[SubPLOs]:[SubPLOs]],"&gt;=8",tbl_task8[[SubPLOs]:[SubPLOs]],"&lt;9")+SUMIFS(tbl_task9[S101],tbl_task9[[SubPLOs]:[SubPLOs]],"&gt;=8",tbl_task9[[SubPLOs]:[SubPLOs]],"&lt;9")+SUMIFS(tbl_task10[S101],tbl_task10[[SubPLOs]:[SubPLOs]],"&gt;=8",tbl_task10[[SubPLOs]:[SubPLOs]],"&lt;9")</f>
        <v>0</v>
      </c>
      <c r="DC187" s="41">
        <f>SUMIFS(tbl_task1[S102],tbl_task1[[SubPLOs]:[SubPLOs]],"&gt;=8",tbl_task1[[SubPLOs]:[SubPLOs]],"&lt;9")+SUMIFS(tbl_task2[S102],tbl_task2[[SubPLOs]:[SubPLOs]],"&gt;=8",tbl_task2[[SubPLOs]:[SubPLOs]],"&lt;9")+SUMIFS(tbl_task3[S102],tbl_task3[[SubPLOs]:[SubPLOs]],"&gt;=8",tbl_task3[[SubPLOs]:[SubPLOs]],"&lt;9")+SUMIFS(tbl_task4[S102],tbl_task4[[SubPLOs]:[SubPLOs]],"&gt;=8",tbl_task4[[SubPLOs]:[SubPLOs]],"&lt;9")+SUMIFS(tbl_task5[S102],tbl_task5[[SubPLOs]:[SubPLOs]],"&gt;=8",tbl_task5[[SubPLOs]:[SubPLOs]],"&lt;9")+SUMIFS(tbl_task6[S102],tbl_task6[[SubPLOs]:[SubPLOs]],"&gt;=8",tbl_task6[[SubPLOs]:[SubPLOs]],"&lt;9")+SUMIFS(tbl_task7[S102],tbl_task7[[SubPLOs]:[SubPLOs]],"&gt;=8",tbl_task7[[SubPLOs]:[SubPLOs]],"&lt;9")+SUMIFS(tbl_task8[S102],tbl_task8[[SubPLOs]:[SubPLOs]],"&gt;=8",tbl_task8[[SubPLOs]:[SubPLOs]],"&lt;9")+SUMIFS(tbl_task9[S102],tbl_task9[[SubPLOs]:[SubPLOs]],"&gt;=8",tbl_task9[[SubPLOs]:[SubPLOs]],"&lt;9")+SUMIFS(tbl_task10[S102],tbl_task10[[SubPLOs]:[SubPLOs]],"&gt;=8",tbl_task10[[SubPLOs]:[SubPLOs]],"&lt;9")</f>
        <v>0</v>
      </c>
      <c r="DD187" s="41">
        <f>SUMIFS(tbl_task1[S103],tbl_task1[[SubPLOs]:[SubPLOs]],"&gt;=8",tbl_task1[[SubPLOs]:[SubPLOs]],"&lt;9")+SUMIFS(tbl_task2[S103],tbl_task2[[SubPLOs]:[SubPLOs]],"&gt;=8",tbl_task2[[SubPLOs]:[SubPLOs]],"&lt;9")+SUMIFS(tbl_task3[S103],tbl_task3[[SubPLOs]:[SubPLOs]],"&gt;=8",tbl_task3[[SubPLOs]:[SubPLOs]],"&lt;9")+SUMIFS(tbl_task4[S103],tbl_task4[[SubPLOs]:[SubPLOs]],"&gt;=8",tbl_task4[[SubPLOs]:[SubPLOs]],"&lt;9")+SUMIFS(tbl_task5[S103],tbl_task5[[SubPLOs]:[SubPLOs]],"&gt;=8",tbl_task5[[SubPLOs]:[SubPLOs]],"&lt;9")+SUMIFS(tbl_task6[S103],tbl_task6[[SubPLOs]:[SubPLOs]],"&gt;=8",tbl_task6[[SubPLOs]:[SubPLOs]],"&lt;9")+SUMIFS(tbl_task7[S103],tbl_task7[[SubPLOs]:[SubPLOs]],"&gt;=8",tbl_task7[[SubPLOs]:[SubPLOs]],"&lt;9")+SUMIFS(tbl_task8[S103],tbl_task8[[SubPLOs]:[SubPLOs]],"&gt;=8",tbl_task8[[SubPLOs]:[SubPLOs]],"&lt;9")+SUMIFS(tbl_task9[S103],tbl_task9[[SubPLOs]:[SubPLOs]],"&gt;=8",tbl_task9[[SubPLOs]:[SubPLOs]],"&lt;9")+SUMIFS(tbl_task10[S103],tbl_task10[[SubPLOs]:[SubPLOs]],"&gt;=8",tbl_task10[[SubPLOs]:[SubPLOs]],"&lt;9")</f>
        <v>0</v>
      </c>
      <c r="DE187" s="41">
        <f>SUMIFS(tbl_task1[S104],tbl_task1[[SubPLOs]:[SubPLOs]],"&gt;=8",tbl_task1[[SubPLOs]:[SubPLOs]],"&lt;9")+SUMIFS(tbl_task2[S104],tbl_task2[[SubPLOs]:[SubPLOs]],"&gt;=8",tbl_task2[[SubPLOs]:[SubPLOs]],"&lt;9")+SUMIFS(tbl_task3[S104],tbl_task3[[SubPLOs]:[SubPLOs]],"&gt;=8",tbl_task3[[SubPLOs]:[SubPLOs]],"&lt;9")+SUMIFS(tbl_task4[S104],tbl_task4[[SubPLOs]:[SubPLOs]],"&gt;=8",tbl_task4[[SubPLOs]:[SubPLOs]],"&lt;9")+SUMIFS(tbl_task5[S104],tbl_task5[[SubPLOs]:[SubPLOs]],"&gt;=8",tbl_task5[[SubPLOs]:[SubPLOs]],"&lt;9")+SUMIFS(tbl_task6[S104],tbl_task6[[SubPLOs]:[SubPLOs]],"&gt;=8",tbl_task6[[SubPLOs]:[SubPLOs]],"&lt;9")+SUMIFS(tbl_task7[S104],tbl_task7[[SubPLOs]:[SubPLOs]],"&gt;=8",tbl_task7[[SubPLOs]:[SubPLOs]],"&lt;9")+SUMIFS(tbl_task8[S104],tbl_task8[[SubPLOs]:[SubPLOs]],"&gt;=8",tbl_task8[[SubPLOs]:[SubPLOs]],"&lt;9")+SUMIFS(tbl_task9[S104],tbl_task9[[SubPLOs]:[SubPLOs]],"&gt;=8",tbl_task9[[SubPLOs]:[SubPLOs]],"&lt;9")+SUMIFS(tbl_task10[S104],tbl_task10[[SubPLOs]:[SubPLOs]],"&gt;=8",tbl_task10[[SubPLOs]:[SubPLOs]],"&lt;9")</f>
        <v>0</v>
      </c>
      <c r="DF187" s="41">
        <f>SUMIFS(tbl_task1[S105],tbl_task1[[SubPLOs]:[SubPLOs]],"&gt;=8",tbl_task1[[SubPLOs]:[SubPLOs]],"&lt;9")+SUMIFS(tbl_task2[S105],tbl_task2[[SubPLOs]:[SubPLOs]],"&gt;=8",tbl_task2[[SubPLOs]:[SubPLOs]],"&lt;9")+SUMIFS(tbl_task3[S105],tbl_task3[[SubPLOs]:[SubPLOs]],"&gt;=8",tbl_task3[[SubPLOs]:[SubPLOs]],"&lt;9")+SUMIFS(tbl_task4[S105],tbl_task4[[SubPLOs]:[SubPLOs]],"&gt;=8",tbl_task4[[SubPLOs]:[SubPLOs]],"&lt;9")+SUMIFS(tbl_task5[S105],tbl_task5[[SubPLOs]:[SubPLOs]],"&gt;=8",tbl_task5[[SubPLOs]:[SubPLOs]],"&lt;9")+SUMIFS(tbl_task6[S105],tbl_task6[[SubPLOs]:[SubPLOs]],"&gt;=8",tbl_task6[[SubPLOs]:[SubPLOs]],"&lt;9")+SUMIFS(tbl_task7[S105],tbl_task7[[SubPLOs]:[SubPLOs]],"&gt;=8",tbl_task7[[SubPLOs]:[SubPLOs]],"&lt;9")+SUMIFS(tbl_task8[S105],tbl_task8[[SubPLOs]:[SubPLOs]],"&gt;=8",tbl_task8[[SubPLOs]:[SubPLOs]],"&lt;9")+SUMIFS(tbl_task9[S105],tbl_task9[[SubPLOs]:[SubPLOs]],"&gt;=8",tbl_task9[[SubPLOs]:[SubPLOs]],"&lt;9")+SUMIFS(tbl_task10[S105],tbl_task10[[SubPLOs]:[SubPLOs]],"&gt;=8",tbl_task10[[SubPLOs]:[SubPLOs]],"&lt;9")</f>
        <v>0</v>
      </c>
      <c r="DG187" s="41">
        <f>SUMIFS(tbl_task1[S106],tbl_task1[[SubPLOs]:[SubPLOs]],"&gt;=8",tbl_task1[[SubPLOs]:[SubPLOs]],"&lt;9")+SUMIFS(tbl_task2[S106],tbl_task2[[SubPLOs]:[SubPLOs]],"&gt;=8",tbl_task2[[SubPLOs]:[SubPLOs]],"&lt;9")+SUMIFS(tbl_task3[S106],tbl_task3[[SubPLOs]:[SubPLOs]],"&gt;=8",tbl_task3[[SubPLOs]:[SubPLOs]],"&lt;9")+SUMIFS(tbl_task4[S106],tbl_task4[[SubPLOs]:[SubPLOs]],"&gt;=8",tbl_task4[[SubPLOs]:[SubPLOs]],"&lt;9")+SUMIFS(tbl_task5[S106],tbl_task5[[SubPLOs]:[SubPLOs]],"&gt;=8",tbl_task5[[SubPLOs]:[SubPLOs]],"&lt;9")+SUMIFS(tbl_task6[S106],tbl_task6[[SubPLOs]:[SubPLOs]],"&gt;=8",tbl_task6[[SubPLOs]:[SubPLOs]],"&lt;9")+SUMIFS(tbl_task7[S106],tbl_task7[[SubPLOs]:[SubPLOs]],"&gt;=8",tbl_task7[[SubPLOs]:[SubPLOs]],"&lt;9")+SUMIFS(tbl_task8[S106],tbl_task8[[SubPLOs]:[SubPLOs]],"&gt;=8",tbl_task8[[SubPLOs]:[SubPLOs]],"&lt;9")+SUMIFS(tbl_task9[S106],tbl_task9[[SubPLOs]:[SubPLOs]],"&gt;=8",tbl_task9[[SubPLOs]:[SubPLOs]],"&lt;9")+SUMIFS(tbl_task10[S106],tbl_task10[[SubPLOs]:[SubPLOs]],"&gt;=8",tbl_task10[[SubPLOs]:[SubPLOs]],"&lt;9")</f>
        <v>0</v>
      </c>
      <c r="DH187" s="41">
        <f>SUMIFS(tbl_task1[S107],tbl_task1[[SubPLOs]:[SubPLOs]],"&gt;=8",tbl_task1[[SubPLOs]:[SubPLOs]],"&lt;9")+SUMIFS(tbl_task2[S107],tbl_task2[[SubPLOs]:[SubPLOs]],"&gt;=8",tbl_task2[[SubPLOs]:[SubPLOs]],"&lt;9")+SUMIFS(tbl_task3[S107],tbl_task3[[SubPLOs]:[SubPLOs]],"&gt;=8",tbl_task3[[SubPLOs]:[SubPLOs]],"&lt;9")+SUMIFS(tbl_task4[S107],tbl_task4[[SubPLOs]:[SubPLOs]],"&gt;=8",tbl_task4[[SubPLOs]:[SubPLOs]],"&lt;9")+SUMIFS(tbl_task5[S107],tbl_task5[[SubPLOs]:[SubPLOs]],"&gt;=8",tbl_task5[[SubPLOs]:[SubPLOs]],"&lt;9")+SUMIFS(tbl_task6[S107],tbl_task6[[SubPLOs]:[SubPLOs]],"&gt;=8",tbl_task6[[SubPLOs]:[SubPLOs]],"&lt;9")+SUMIFS(tbl_task7[S107],tbl_task7[[SubPLOs]:[SubPLOs]],"&gt;=8",tbl_task7[[SubPLOs]:[SubPLOs]],"&lt;9")+SUMIFS(tbl_task8[S107],tbl_task8[[SubPLOs]:[SubPLOs]],"&gt;=8",tbl_task8[[SubPLOs]:[SubPLOs]],"&lt;9")+SUMIFS(tbl_task9[S107],tbl_task9[[SubPLOs]:[SubPLOs]],"&gt;=8",tbl_task9[[SubPLOs]:[SubPLOs]],"&lt;9")+SUMIFS(tbl_task10[S107],tbl_task10[[SubPLOs]:[SubPLOs]],"&gt;=8",tbl_task10[[SubPLOs]:[SubPLOs]],"&lt;9")</f>
        <v>0</v>
      </c>
      <c r="DI187" s="41">
        <f>SUMIFS(tbl_task1[S108],tbl_task1[[SubPLOs]:[SubPLOs]],"&gt;=8",tbl_task1[[SubPLOs]:[SubPLOs]],"&lt;9")+SUMIFS(tbl_task2[S108],tbl_task2[[SubPLOs]:[SubPLOs]],"&gt;=8",tbl_task2[[SubPLOs]:[SubPLOs]],"&lt;9")+SUMIFS(tbl_task3[S108],tbl_task3[[SubPLOs]:[SubPLOs]],"&gt;=8",tbl_task3[[SubPLOs]:[SubPLOs]],"&lt;9")+SUMIFS(tbl_task4[S108],tbl_task4[[SubPLOs]:[SubPLOs]],"&gt;=8",tbl_task4[[SubPLOs]:[SubPLOs]],"&lt;9")+SUMIFS(tbl_task5[S108],tbl_task5[[SubPLOs]:[SubPLOs]],"&gt;=8",tbl_task5[[SubPLOs]:[SubPLOs]],"&lt;9")+SUMIFS(tbl_task6[S108],tbl_task6[[SubPLOs]:[SubPLOs]],"&gt;=8",tbl_task6[[SubPLOs]:[SubPLOs]],"&lt;9")+SUMIFS(tbl_task7[S108],tbl_task7[[SubPLOs]:[SubPLOs]],"&gt;=8",tbl_task7[[SubPLOs]:[SubPLOs]],"&lt;9")+SUMIFS(tbl_task8[S108],tbl_task8[[SubPLOs]:[SubPLOs]],"&gt;=8",tbl_task8[[SubPLOs]:[SubPLOs]],"&lt;9")+SUMIFS(tbl_task9[S108],tbl_task9[[SubPLOs]:[SubPLOs]],"&gt;=8",tbl_task9[[SubPLOs]:[SubPLOs]],"&lt;9")+SUMIFS(tbl_task10[S108],tbl_task10[[SubPLOs]:[SubPLOs]],"&gt;=8",tbl_task10[[SubPLOs]:[SubPLOs]],"&lt;9")</f>
        <v>0</v>
      </c>
      <c r="DJ187" s="41">
        <f>SUMIFS(tbl_task1[S109],tbl_task1[[SubPLOs]:[SubPLOs]],"&gt;=8",tbl_task1[[SubPLOs]:[SubPLOs]],"&lt;9")+SUMIFS(tbl_task2[S109],tbl_task2[[SubPLOs]:[SubPLOs]],"&gt;=8",tbl_task2[[SubPLOs]:[SubPLOs]],"&lt;9")+SUMIFS(tbl_task3[S109],tbl_task3[[SubPLOs]:[SubPLOs]],"&gt;=8",tbl_task3[[SubPLOs]:[SubPLOs]],"&lt;9")+SUMIFS(tbl_task4[S109],tbl_task4[[SubPLOs]:[SubPLOs]],"&gt;=8",tbl_task4[[SubPLOs]:[SubPLOs]],"&lt;9")+SUMIFS(tbl_task5[S109],tbl_task5[[SubPLOs]:[SubPLOs]],"&gt;=8",tbl_task5[[SubPLOs]:[SubPLOs]],"&lt;9")+SUMIFS(tbl_task6[S109],tbl_task6[[SubPLOs]:[SubPLOs]],"&gt;=8",tbl_task6[[SubPLOs]:[SubPLOs]],"&lt;9")+SUMIFS(tbl_task7[S109],tbl_task7[[SubPLOs]:[SubPLOs]],"&gt;=8",tbl_task7[[SubPLOs]:[SubPLOs]],"&lt;9")+SUMIFS(tbl_task8[S109],tbl_task8[[SubPLOs]:[SubPLOs]],"&gt;=8",tbl_task8[[SubPLOs]:[SubPLOs]],"&lt;9")+SUMIFS(tbl_task9[S109],tbl_task9[[SubPLOs]:[SubPLOs]],"&gt;=8",tbl_task9[[SubPLOs]:[SubPLOs]],"&lt;9")+SUMIFS(tbl_task10[S109],tbl_task10[[SubPLOs]:[SubPLOs]],"&gt;=8",tbl_task10[[SubPLOs]:[SubPLOs]],"&lt;9")</f>
        <v>0</v>
      </c>
      <c r="DK187" s="41">
        <f>SUMIFS(tbl_task1[S110],tbl_task1[[SubPLOs]:[SubPLOs]],"&gt;=8",tbl_task1[[SubPLOs]:[SubPLOs]],"&lt;9")+SUMIFS(tbl_task2[S110],tbl_task2[[SubPLOs]:[SubPLOs]],"&gt;=8",tbl_task2[[SubPLOs]:[SubPLOs]],"&lt;9")+SUMIFS(tbl_task3[S110],tbl_task3[[SubPLOs]:[SubPLOs]],"&gt;=8",tbl_task3[[SubPLOs]:[SubPLOs]],"&lt;9")+SUMIFS(tbl_task4[S110],tbl_task4[[SubPLOs]:[SubPLOs]],"&gt;=8",tbl_task4[[SubPLOs]:[SubPLOs]],"&lt;9")+SUMIFS(tbl_task5[S110],tbl_task5[[SubPLOs]:[SubPLOs]],"&gt;=8",tbl_task5[[SubPLOs]:[SubPLOs]],"&lt;9")+SUMIFS(tbl_task6[S110],tbl_task6[[SubPLOs]:[SubPLOs]],"&gt;=8",tbl_task6[[SubPLOs]:[SubPLOs]],"&lt;9")+SUMIFS(tbl_task7[S110],tbl_task7[[SubPLOs]:[SubPLOs]],"&gt;=8",tbl_task7[[SubPLOs]:[SubPLOs]],"&lt;9")+SUMIFS(tbl_task8[S110],tbl_task8[[SubPLOs]:[SubPLOs]],"&gt;=8",tbl_task8[[SubPLOs]:[SubPLOs]],"&lt;9")+SUMIFS(tbl_task9[S110],tbl_task9[[SubPLOs]:[SubPLOs]],"&gt;=8",tbl_task9[[SubPLOs]:[SubPLOs]],"&lt;9")+SUMIFS(tbl_task10[S110],tbl_task10[[SubPLOs]:[SubPLOs]],"&gt;=8",tbl_task10[[SubPLOs]:[SubPLOs]],"&lt;9")</f>
        <v>0</v>
      </c>
      <c r="DL187" s="41">
        <f>SUMIFS(tbl_task1[S111],tbl_task1[[SubPLOs]:[SubPLOs]],"&gt;=8",tbl_task1[[SubPLOs]:[SubPLOs]],"&lt;9")+SUMIFS(tbl_task2[S111],tbl_task2[[SubPLOs]:[SubPLOs]],"&gt;=8",tbl_task2[[SubPLOs]:[SubPLOs]],"&lt;9")+SUMIFS(tbl_task3[S111],tbl_task3[[SubPLOs]:[SubPLOs]],"&gt;=8",tbl_task3[[SubPLOs]:[SubPLOs]],"&lt;9")+SUMIFS(tbl_task4[S111],tbl_task4[[SubPLOs]:[SubPLOs]],"&gt;=8",tbl_task4[[SubPLOs]:[SubPLOs]],"&lt;9")+SUMIFS(tbl_task5[S111],tbl_task5[[SubPLOs]:[SubPLOs]],"&gt;=8",tbl_task5[[SubPLOs]:[SubPLOs]],"&lt;9")+SUMIFS(tbl_task6[S111],tbl_task6[[SubPLOs]:[SubPLOs]],"&gt;=8",tbl_task6[[SubPLOs]:[SubPLOs]],"&lt;9")+SUMIFS(tbl_task7[S111],tbl_task7[[SubPLOs]:[SubPLOs]],"&gt;=8",tbl_task7[[SubPLOs]:[SubPLOs]],"&lt;9")+SUMIFS(tbl_task8[S111],tbl_task8[[SubPLOs]:[SubPLOs]],"&gt;=8",tbl_task8[[SubPLOs]:[SubPLOs]],"&lt;9")+SUMIFS(tbl_task9[S111],tbl_task9[[SubPLOs]:[SubPLOs]],"&gt;=8",tbl_task9[[SubPLOs]:[SubPLOs]],"&lt;9")+SUMIFS(tbl_task10[S111],tbl_task10[[SubPLOs]:[SubPLOs]],"&gt;=8",tbl_task10[[SubPLOs]:[SubPLOs]],"&lt;9")</f>
        <v>0</v>
      </c>
      <c r="DM187" s="41">
        <f>SUMIFS(tbl_task1[S112],tbl_task1[[SubPLOs]:[SubPLOs]],"&gt;=8",tbl_task1[[SubPLOs]:[SubPLOs]],"&lt;9")+SUMIFS(tbl_task2[S112],tbl_task2[[SubPLOs]:[SubPLOs]],"&gt;=8",tbl_task2[[SubPLOs]:[SubPLOs]],"&lt;9")+SUMIFS(tbl_task3[S112],tbl_task3[[SubPLOs]:[SubPLOs]],"&gt;=8",tbl_task3[[SubPLOs]:[SubPLOs]],"&lt;9")+SUMIFS(tbl_task4[S112],tbl_task4[[SubPLOs]:[SubPLOs]],"&gt;=8",tbl_task4[[SubPLOs]:[SubPLOs]],"&lt;9")+SUMIFS(tbl_task5[S112],tbl_task5[[SubPLOs]:[SubPLOs]],"&gt;=8",tbl_task5[[SubPLOs]:[SubPLOs]],"&lt;9")+SUMIFS(tbl_task6[S112],tbl_task6[[SubPLOs]:[SubPLOs]],"&gt;=8",tbl_task6[[SubPLOs]:[SubPLOs]],"&lt;9")+SUMIFS(tbl_task7[S112],tbl_task7[[SubPLOs]:[SubPLOs]],"&gt;=8",tbl_task7[[SubPLOs]:[SubPLOs]],"&lt;9")+SUMIFS(tbl_task8[S112],tbl_task8[[SubPLOs]:[SubPLOs]],"&gt;=8",tbl_task8[[SubPLOs]:[SubPLOs]],"&lt;9")+SUMIFS(tbl_task9[S112],tbl_task9[[SubPLOs]:[SubPLOs]],"&gt;=8",tbl_task9[[SubPLOs]:[SubPLOs]],"&lt;9")+SUMIFS(tbl_task10[S112],tbl_task10[[SubPLOs]:[SubPLOs]],"&gt;=8",tbl_task10[[SubPLOs]:[SubPLOs]],"&lt;9")</f>
        <v>0</v>
      </c>
      <c r="DN187" s="41">
        <f>SUMIFS(tbl_task1[S113],tbl_task1[[SubPLOs]:[SubPLOs]],"&gt;=8",tbl_task1[[SubPLOs]:[SubPLOs]],"&lt;9")+SUMIFS(tbl_task2[S113],tbl_task2[[SubPLOs]:[SubPLOs]],"&gt;=8",tbl_task2[[SubPLOs]:[SubPLOs]],"&lt;9")+SUMIFS(tbl_task3[S113],tbl_task3[[SubPLOs]:[SubPLOs]],"&gt;=8",tbl_task3[[SubPLOs]:[SubPLOs]],"&lt;9")+SUMIFS(tbl_task4[S113],tbl_task4[[SubPLOs]:[SubPLOs]],"&gt;=8",tbl_task4[[SubPLOs]:[SubPLOs]],"&lt;9")+SUMIFS(tbl_task5[S113],tbl_task5[[SubPLOs]:[SubPLOs]],"&gt;=8",tbl_task5[[SubPLOs]:[SubPLOs]],"&lt;9")+SUMIFS(tbl_task6[S113],tbl_task6[[SubPLOs]:[SubPLOs]],"&gt;=8",tbl_task6[[SubPLOs]:[SubPLOs]],"&lt;9")+SUMIFS(tbl_task7[S113],tbl_task7[[SubPLOs]:[SubPLOs]],"&gt;=8",tbl_task7[[SubPLOs]:[SubPLOs]],"&lt;9")+SUMIFS(tbl_task8[S113],tbl_task8[[SubPLOs]:[SubPLOs]],"&gt;=8",tbl_task8[[SubPLOs]:[SubPLOs]],"&lt;9")+SUMIFS(tbl_task9[S113],tbl_task9[[SubPLOs]:[SubPLOs]],"&gt;=8",tbl_task9[[SubPLOs]:[SubPLOs]],"&lt;9")+SUMIFS(tbl_task10[S113],tbl_task10[[SubPLOs]:[SubPLOs]],"&gt;=8",tbl_task10[[SubPLOs]:[SubPLOs]],"&lt;9")</f>
        <v>0</v>
      </c>
      <c r="DO187" s="41">
        <f>SUMIFS(tbl_task1[S114],tbl_task1[[SubPLOs]:[SubPLOs]],"&gt;=8",tbl_task1[[SubPLOs]:[SubPLOs]],"&lt;9")+SUMIFS(tbl_task2[S114],tbl_task2[[SubPLOs]:[SubPLOs]],"&gt;=8",tbl_task2[[SubPLOs]:[SubPLOs]],"&lt;9")+SUMIFS(tbl_task3[S114],tbl_task3[[SubPLOs]:[SubPLOs]],"&gt;=8",tbl_task3[[SubPLOs]:[SubPLOs]],"&lt;9")+SUMIFS(tbl_task4[S114],tbl_task4[[SubPLOs]:[SubPLOs]],"&gt;=8",tbl_task4[[SubPLOs]:[SubPLOs]],"&lt;9")+SUMIFS(tbl_task5[S114],tbl_task5[[SubPLOs]:[SubPLOs]],"&gt;=8",tbl_task5[[SubPLOs]:[SubPLOs]],"&lt;9")+SUMIFS(tbl_task6[S114],tbl_task6[[SubPLOs]:[SubPLOs]],"&gt;=8",tbl_task6[[SubPLOs]:[SubPLOs]],"&lt;9")+SUMIFS(tbl_task7[S114],tbl_task7[[SubPLOs]:[SubPLOs]],"&gt;=8",tbl_task7[[SubPLOs]:[SubPLOs]],"&lt;9")+SUMIFS(tbl_task8[S114],tbl_task8[[SubPLOs]:[SubPLOs]],"&gt;=8",tbl_task8[[SubPLOs]:[SubPLOs]],"&lt;9")+SUMIFS(tbl_task9[S114],tbl_task9[[SubPLOs]:[SubPLOs]],"&gt;=8",tbl_task9[[SubPLOs]:[SubPLOs]],"&lt;9")+SUMIFS(tbl_task10[S114],tbl_task10[[SubPLOs]:[SubPLOs]],"&gt;=8",tbl_task10[[SubPLOs]:[SubPLOs]],"&lt;9")</f>
        <v>0</v>
      </c>
      <c r="DP187" s="41">
        <f>SUMIFS(tbl_task1[S115],tbl_task1[[SubPLOs]:[SubPLOs]],"&gt;=8",tbl_task1[[SubPLOs]:[SubPLOs]],"&lt;9")+SUMIFS(tbl_task2[S115],tbl_task2[[SubPLOs]:[SubPLOs]],"&gt;=8",tbl_task2[[SubPLOs]:[SubPLOs]],"&lt;9")+SUMIFS(tbl_task3[S115],tbl_task3[[SubPLOs]:[SubPLOs]],"&gt;=8",tbl_task3[[SubPLOs]:[SubPLOs]],"&lt;9")+SUMIFS(tbl_task4[S115],tbl_task4[[SubPLOs]:[SubPLOs]],"&gt;=8",tbl_task4[[SubPLOs]:[SubPLOs]],"&lt;9")+SUMIFS(tbl_task5[S115],tbl_task5[[SubPLOs]:[SubPLOs]],"&gt;=8",tbl_task5[[SubPLOs]:[SubPLOs]],"&lt;9")+SUMIFS(tbl_task6[S115],tbl_task6[[SubPLOs]:[SubPLOs]],"&gt;=8",tbl_task6[[SubPLOs]:[SubPLOs]],"&lt;9")+SUMIFS(tbl_task7[S115],tbl_task7[[SubPLOs]:[SubPLOs]],"&gt;=8",tbl_task7[[SubPLOs]:[SubPLOs]],"&lt;9")+SUMIFS(tbl_task8[S115],tbl_task8[[SubPLOs]:[SubPLOs]],"&gt;=8",tbl_task8[[SubPLOs]:[SubPLOs]],"&lt;9")+SUMIFS(tbl_task9[S115],tbl_task9[[SubPLOs]:[SubPLOs]],"&gt;=8",tbl_task9[[SubPLOs]:[SubPLOs]],"&lt;9")+SUMIFS(tbl_task10[S115],tbl_task10[[SubPLOs]:[SubPLOs]],"&gt;=8",tbl_task10[[SubPLOs]:[SubPLOs]],"&lt;9")</f>
        <v>0</v>
      </c>
      <c r="DQ187" s="41">
        <f>SUMIFS(tbl_task1[S116],tbl_task1[[SubPLOs]:[SubPLOs]],"&gt;=8",tbl_task1[[SubPLOs]:[SubPLOs]],"&lt;9")+SUMIFS(tbl_task2[S116],tbl_task2[[SubPLOs]:[SubPLOs]],"&gt;=8",tbl_task2[[SubPLOs]:[SubPLOs]],"&lt;9")+SUMIFS(tbl_task3[S116],tbl_task3[[SubPLOs]:[SubPLOs]],"&gt;=8",tbl_task3[[SubPLOs]:[SubPLOs]],"&lt;9")+SUMIFS(tbl_task4[S116],tbl_task4[[SubPLOs]:[SubPLOs]],"&gt;=8",tbl_task4[[SubPLOs]:[SubPLOs]],"&lt;9")+SUMIFS(tbl_task5[S116],tbl_task5[[SubPLOs]:[SubPLOs]],"&gt;=8",tbl_task5[[SubPLOs]:[SubPLOs]],"&lt;9")+SUMIFS(tbl_task6[S116],tbl_task6[[SubPLOs]:[SubPLOs]],"&gt;=8",tbl_task6[[SubPLOs]:[SubPLOs]],"&lt;9")+SUMIFS(tbl_task7[S116],tbl_task7[[SubPLOs]:[SubPLOs]],"&gt;=8",tbl_task7[[SubPLOs]:[SubPLOs]],"&lt;9")+SUMIFS(tbl_task8[S116],tbl_task8[[SubPLOs]:[SubPLOs]],"&gt;=8",tbl_task8[[SubPLOs]:[SubPLOs]],"&lt;9")+SUMIFS(tbl_task9[S116],tbl_task9[[SubPLOs]:[SubPLOs]],"&gt;=8",tbl_task9[[SubPLOs]:[SubPLOs]],"&lt;9")+SUMIFS(tbl_task10[S116],tbl_task10[[SubPLOs]:[SubPLOs]],"&gt;=8",tbl_task10[[SubPLOs]:[SubPLOs]],"&lt;9")</f>
        <v>0</v>
      </c>
      <c r="DR187" s="41">
        <f>SUMIFS(tbl_task1[S117],tbl_task1[[SubPLOs]:[SubPLOs]],"&gt;=8",tbl_task1[[SubPLOs]:[SubPLOs]],"&lt;9")+SUMIFS(tbl_task2[S117],tbl_task2[[SubPLOs]:[SubPLOs]],"&gt;=8",tbl_task2[[SubPLOs]:[SubPLOs]],"&lt;9")+SUMIFS(tbl_task3[S117],tbl_task3[[SubPLOs]:[SubPLOs]],"&gt;=8",tbl_task3[[SubPLOs]:[SubPLOs]],"&lt;9")+SUMIFS(tbl_task4[S117],tbl_task4[[SubPLOs]:[SubPLOs]],"&gt;=8",tbl_task4[[SubPLOs]:[SubPLOs]],"&lt;9")+SUMIFS(tbl_task5[S117],tbl_task5[[SubPLOs]:[SubPLOs]],"&gt;=8",tbl_task5[[SubPLOs]:[SubPLOs]],"&lt;9")+SUMIFS(tbl_task6[S117],tbl_task6[[SubPLOs]:[SubPLOs]],"&gt;=8",tbl_task6[[SubPLOs]:[SubPLOs]],"&lt;9")+SUMIFS(tbl_task7[S117],tbl_task7[[SubPLOs]:[SubPLOs]],"&gt;=8",tbl_task7[[SubPLOs]:[SubPLOs]],"&lt;9")+SUMIFS(tbl_task8[S117],tbl_task8[[SubPLOs]:[SubPLOs]],"&gt;=8",tbl_task8[[SubPLOs]:[SubPLOs]],"&lt;9")+SUMIFS(tbl_task9[S117],tbl_task9[[SubPLOs]:[SubPLOs]],"&gt;=8",tbl_task9[[SubPLOs]:[SubPLOs]],"&lt;9")+SUMIFS(tbl_task10[S117],tbl_task10[[SubPLOs]:[SubPLOs]],"&gt;=8",tbl_task10[[SubPLOs]:[SubPLOs]],"&lt;9")</f>
        <v>0</v>
      </c>
      <c r="DS187" s="41">
        <f>SUMIFS(tbl_task1[S118],tbl_task1[[SubPLOs]:[SubPLOs]],"&gt;=8",tbl_task1[[SubPLOs]:[SubPLOs]],"&lt;9")+SUMIFS(tbl_task2[S118],tbl_task2[[SubPLOs]:[SubPLOs]],"&gt;=8",tbl_task2[[SubPLOs]:[SubPLOs]],"&lt;9")+SUMIFS(tbl_task3[S118],tbl_task3[[SubPLOs]:[SubPLOs]],"&gt;=8",tbl_task3[[SubPLOs]:[SubPLOs]],"&lt;9")+SUMIFS(tbl_task4[S118],tbl_task4[[SubPLOs]:[SubPLOs]],"&gt;=8",tbl_task4[[SubPLOs]:[SubPLOs]],"&lt;9")+SUMIFS(tbl_task5[S118],tbl_task5[[SubPLOs]:[SubPLOs]],"&gt;=8",tbl_task5[[SubPLOs]:[SubPLOs]],"&lt;9")+SUMIFS(tbl_task6[S118],tbl_task6[[SubPLOs]:[SubPLOs]],"&gt;=8",tbl_task6[[SubPLOs]:[SubPLOs]],"&lt;9")+SUMIFS(tbl_task7[S118],tbl_task7[[SubPLOs]:[SubPLOs]],"&gt;=8",tbl_task7[[SubPLOs]:[SubPLOs]],"&lt;9")+SUMIFS(tbl_task8[S118],tbl_task8[[SubPLOs]:[SubPLOs]],"&gt;=8",tbl_task8[[SubPLOs]:[SubPLOs]],"&lt;9")+SUMIFS(tbl_task9[S118],tbl_task9[[SubPLOs]:[SubPLOs]],"&gt;=8",tbl_task9[[SubPLOs]:[SubPLOs]],"&lt;9")+SUMIFS(tbl_task10[S118],tbl_task10[[SubPLOs]:[SubPLOs]],"&gt;=8",tbl_task10[[SubPLOs]:[SubPLOs]],"&lt;9")</f>
        <v>0</v>
      </c>
      <c r="DT187" s="41">
        <f>SUMIFS(tbl_task1[S119],tbl_task1[[SubPLOs]:[SubPLOs]],"&gt;=8",tbl_task1[[SubPLOs]:[SubPLOs]],"&lt;9")+SUMIFS(tbl_task2[S119],tbl_task2[[SubPLOs]:[SubPLOs]],"&gt;=8",tbl_task2[[SubPLOs]:[SubPLOs]],"&lt;9")+SUMIFS(tbl_task3[S119],tbl_task3[[SubPLOs]:[SubPLOs]],"&gt;=8",tbl_task3[[SubPLOs]:[SubPLOs]],"&lt;9")+SUMIFS(tbl_task4[S119],tbl_task4[[SubPLOs]:[SubPLOs]],"&gt;=8",tbl_task4[[SubPLOs]:[SubPLOs]],"&lt;9")+SUMIFS(tbl_task5[S119],tbl_task5[[SubPLOs]:[SubPLOs]],"&gt;=8",tbl_task5[[SubPLOs]:[SubPLOs]],"&lt;9")+SUMIFS(tbl_task6[S119],tbl_task6[[SubPLOs]:[SubPLOs]],"&gt;=8",tbl_task6[[SubPLOs]:[SubPLOs]],"&lt;9")+SUMIFS(tbl_task7[S119],tbl_task7[[SubPLOs]:[SubPLOs]],"&gt;=8",tbl_task7[[SubPLOs]:[SubPLOs]],"&lt;9")+SUMIFS(tbl_task8[S119],tbl_task8[[SubPLOs]:[SubPLOs]],"&gt;=8",tbl_task8[[SubPLOs]:[SubPLOs]],"&lt;9")+SUMIFS(tbl_task9[S119],tbl_task9[[SubPLOs]:[SubPLOs]],"&gt;=8",tbl_task9[[SubPLOs]:[SubPLOs]],"&lt;9")+SUMIFS(tbl_task10[S119],tbl_task10[[SubPLOs]:[SubPLOs]],"&gt;=8",tbl_task10[[SubPLOs]:[SubPLOs]],"&lt;9")</f>
        <v>0</v>
      </c>
      <c r="DU187" s="41">
        <f>SUMIFS(tbl_task1[S120],tbl_task1[[SubPLOs]:[SubPLOs]],"&gt;=8",tbl_task1[[SubPLOs]:[SubPLOs]],"&lt;9")+SUMIFS(tbl_task2[S120],tbl_task2[[SubPLOs]:[SubPLOs]],"&gt;=8",tbl_task2[[SubPLOs]:[SubPLOs]],"&lt;9")+SUMIFS(tbl_task3[S120],tbl_task3[[SubPLOs]:[SubPLOs]],"&gt;=8",tbl_task3[[SubPLOs]:[SubPLOs]],"&lt;9")+SUMIFS(tbl_task4[S120],tbl_task4[[SubPLOs]:[SubPLOs]],"&gt;=8",tbl_task4[[SubPLOs]:[SubPLOs]],"&lt;9")+SUMIFS(tbl_task5[S120],tbl_task5[[SubPLOs]:[SubPLOs]],"&gt;=8",tbl_task5[[SubPLOs]:[SubPLOs]],"&lt;9")+SUMIFS(tbl_task6[S120],tbl_task6[[SubPLOs]:[SubPLOs]],"&gt;=8",tbl_task6[[SubPLOs]:[SubPLOs]],"&lt;9")+SUMIFS(tbl_task7[S120],tbl_task7[[SubPLOs]:[SubPLOs]],"&gt;=8",tbl_task7[[SubPLOs]:[SubPLOs]],"&lt;9")+SUMIFS(tbl_task8[S120],tbl_task8[[SubPLOs]:[SubPLOs]],"&gt;=8",tbl_task8[[SubPLOs]:[SubPLOs]],"&lt;9")+SUMIFS(tbl_task9[S120],tbl_task9[[SubPLOs]:[SubPLOs]],"&gt;=8",tbl_task9[[SubPLOs]:[SubPLOs]],"&lt;9")+SUMIFS(tbl_task10[S120],tbl_task10[[SubPLOs]:[SubPLOs]],"&gt;=8",tbl_task10[[SubPLOs]:[SubPLOs]],"&lt;9")</f>
        <v>0</v>
      </c>
      <c r="DV187" s="41">
        <f>SUMIFS(tbl_task1[S121],tbl_task1[[SubPLOs]:[SubPLOs]],"&gt;=8",tbl_task1[[SubPLOs]:[SubPLOs]],"&lt;9")+SUMIFS(tbl_task2[S121],tbl_task2[[SubPLOs]:[SubPLOs]],"&gt;=8",tbl_task2[[SubPLOs]:[SubPLOs]],"&lt;9")+SUMIFS(tbl_task3[S121],tbl_task3[[SubPLOs]:[SubPLOs]],"&gt;=8",tbl_task3[[SubPLOs]:[SubPLOs]],"&lt;9")+SUMIFS(tbl_task4[S121],tbl_task4[[SubPLOs]:[SubPLOs]],"&gt;=8",tbl_task4[[SubPLOs]:[SubPLOs]],"&lt;9")+SUMIFS(tbl_task5[S121],tbl_task5[[SubPLOs]:[SubPLOs]],"&gt;=8",tbl_task5[[SubPLOs]:[SubPLOs]],"&lt;9")+SUMIFS(tbl_task6[S121],tbl_task6[[SubPLOs]:[SubPLOs]],"&gt;=8",tbl_task6[[SubPLOs]:[SubPLOs]],"&lt;9")+SUMIFS(tbl_task7[S121],tbl_task7[[SubPLOs]:[SubPLOs]],"&gt;=8",tbl_task7[[SubPLOs]:[SubPLOs]],"&lt;9")+SUMIFS(tbl_task8[S121],tbl_task8[[SubPLOs]:[SubPLOs]],"&gt;=8",tbl_task8[[SubPLOs]:[SubPLOs]],"&lt;9")+SUMIFS(tbl_task9[S121],tbl_task9[[SubPLOs]:[SubPLOs]],"&gt;=8",tbl_task9[[SubPLOs]:[SubPLOs]],"&lt;9")+SUMIFS(tbl_task10[S121],tbl_task10[[SubPLOs]:[SubPLOs]],"&gt;=8",tbl_task10[[SubPLOs]:[SubPLOs]],"&lt;9")</f>
        <v>0</v>
      </c>
      <c r="DW187" s="41">
        <f>SUMIFS(tbl_task1[S122],tbl_task1[[SubPLOs]:[SubPLOs]],"&gt;=8",tbl_task1[[SubPLOs]:[SubPLOs]],"&lt;9")+SUMIFS(tbl_task2[S122],tbl_task2[[SubPLOs]:[SubPLOs]],"&gt;=8",tbl_task2[[SubPLOs]:[SubPLOs]],"&lt;9")+SUMIFS(tbl_task3[S122],tbl_task3[[SubPLOs]:[SubPLOs]],"&gt;=8",tbl_task3[[SubPLOs]:[SubPLOs]],"&lt;9")+SUMIFS(tbl_task4[S122],tbl_task4[[SubPLOs]:[SubPLOs]],"&gt;=8",tbl_task4[[SubPLOs]:[SubPLOs]],"&lt;9")+SUMIFS(tbl_task5[S122],tbl_task5[[SubPLOs]:[SubPLOs]],"&gt;=8",tbl_task5[[SubPLOs]:[SubPLOs]],"&lt;9")+SUMIFS(tbl_task6[S122],tbl_task6[[SubPLOs]:[SubPLOs]],"&gt;=8",tbl_task6[[SubPLOs]:[SubPLOs]],"&lt;9")+SUMIFS(tbl_task7[S122],tbl_task7[[SubPLOs]:[SubPLOs]],"&gt;=8",tbl_task7[[SubPLOs]:[SubPLOs]],"&lt;9")+SUMIFS(tbl_task8[S122],tbl_task8[[SubPLOs]:[SubPLOs]],"&gt;=8",tbl_task8[[SubPLOs]:[SubPLOs]],"&lt;9")+SUMIFS(tbl_task9[S122],tbl_task9[[SubPLOs]:[SubPLOs]],"&gt;=8",tbl_task9[[SubPLOs]:[SubPLOs]],"&lt;9")+SUMIFS(tbl_task10[S122],tbl_task10[[SubPLOs]:[SubPLOs]],"&gt;=8",tbl_task10[[SubPLOs]:[SubPLOs]],"&lt;9")</f>
        <v>0</v>
      </c>
      <c r="DX187" s="41">
        <f>SUMIFS(tbl_task1[S123],tbl_task1[[SubPLOs]:[SubPLOs]],"&gt;=8",tbl_task1[[SubPLOs]:[SubPLOs]],"&lt;9")+SUMIFS(tbl_task2[S123],tbl_task2[[SubPLOs]:[SubPLOs]],"&gt;=8",tbl_task2[[SubPLOs]:[SubPLOs]],"&lt;9")+SUMIFS(tbl_task3[S123],tbl_task3[[SubPLOs]:[SubPLOs]],"&gt;=8",tbl_task3[[SubPLOs]:[SubPLOs]],"&lt;9")+SUMIFS(tbl_task4[S123],tbl_task4[[SubPLOs]:[SubPLOs]],"&gt;=8",tbl_task4[[SubPLOs]:[SubPLOs]],"&lt;9")+SUMIFS(tbl_task5[S123],tbl_task5[[SubPLOs]:[SubPLOs]],"&gt;=8",tbl_task5[[SubPLOs]:[SubPLOs]],"&lt;9")+SUMIFS(tbl_task6[S123],tbl_task6[[SubPLOs]:[SubPLOs]],"&gt;=8",tbl_task6[[SubPLOs]:[SubPLOs]],"&lt;9")+SUMIFS(tbl_task7[S123],tbl_task7[[SubPLOs]:[SubPLOs]],"&gt;=8",tbl_task7[[SubPLOs]:[SubPLOs]],"&lt;9")+SUMIFS(tbl_task8[S123],tbl_task8[[SubPLOs]:[SubPLOs]],"&gt;=8",tbl_task8[[SubPLOs]:[SubPLOs]],"&lt;9")+SUMIFS(tbl_task9[S123],tbl_task9[[SubPLOs]:[SubPLOs]],"&gt;=8",tbl_task9[[SubPLOs]:[SubPLOs]],"&lt;9")+SUMIFS(tbl_task10[S123],tbl_task10[[SubPLOs]:[SubPLOs]],"&gt;=8",tbl_task10[[SubPLOs]:[SubPLOs]],"&lt;9")</f>
        <v>0</v>
      </c>
      <c r="DY187" s="41">
        <f>SUMIFS(tbl_task1[S124],tbl_task1[[SubPLOs]:[SubPLOs]],"&gt;=8",tbl_task1[[SubPLOs]:[SubPLOs]],"&lt;9")+SUMIFS(tbl_task2[S124],tbl_task2[[SubPLOs]:[SubPLOs]],"&gt;=8",tbl_task2[[SubPLOs]:[SubPLOs]],"&lt;9")+SUMIFS(tbl_task3[S124],tbl_task3[[SubPLOs]:[SubPLOs]],"&gt;=8",tbl_task3[[SubPLOs]:[SubPLOs]],"&lt;9")+SUMIFS(tbl_task4[S124],tbl_task4[[SubPLOs]:[SubPLOs]],"&gt;=8",tbl_task4[[SubPLOs]:[SubPLOs]],"&lt;9")+SUMIFS(tbl_task5[S124],tbl_task5[[SubPLOs]:[SubPLOs]],"&gt;=8",tbl_task5[[SubPLOs]:[SubPLOs]],"&lt;9")+SUMIFS(tbl_task6[S124],tbl_task6[[SubPLOs]:[SubPLOs]],"&gt;=8",tbl_task6[[SubPLOs]:[SubPLOs]],"&lt;9")+SUMIFS(tbl_task7[S124],tbl_task7[[SubPLOs]:[SubPLOs]],"&gt;=8",tbl_task7[[SubPLOs]:[SubPLOs]],"&lt;9")+SUMIFS(tbl_task8[S124],tbl_task8[[SubPLOs]:[SubPLOs]],"&gt;=8",tbl_task8[[SubPLOs]:[SubPLOs]],"&lt;9")+SUMIFS(tbl_task9[S124],tbl_task9[[SubPLOs]:[SubPLOs]],"&gt;=8",tbl_task9[[SubPLOs]:[SubPLOs]],"&lt;9")+SUMIFS(tbl_task10[S124],tbl_task10[[SubPLOs]:[SubPLOs]],"&gt;=8",tbl_task10[[SubPLOs]:[SubPLOs]],"&lt;9")</f>
        <v>0</v>
      </c>
      <c r="DZ187" s="41">
        <f>SUMIFS(tbl_task1[S125],tbl_task1[[SubPLOs]:[SubPLOs]],"&gt;=8",tbl_task1[[SubPLOs]:[SubPLOs]],"&lt;9")+SUMIFS(tbl_task2[S125],tbl_task2[[SubPLOs]:[SubPLOs]],"&gt;=8",tbl_task2[[SubPLOs]:[SubPLOs]],"&lt;9")+SUMIFS(tbl_task3[S125],tbl_task3[[SubPLOs]:[SubPLOs]],"&gt;=8",tbl_task3[[SubPLOs]:[SubPLOs]],"&lt;9")+SUMIFS(tbl_task4[S125],tbl_task4[[SubPLOs]:[SubPLOs]],"&gt;=8",tbl_task4[[SubPLOs]:[SubPLOs]],"&lt;9")+SUMIFS(tbl_task5[S125],tbl_task5[[SubPLOs]:[SubPLOs]],"&gt;=8",tbl_task5[[SubPLOs]:[SubPLOs]],"&lt;9")+SUMIFS(tbl_task6[S125],tbl_task6[[SubPLOs]:[SubPLOs]],"&gt;=8",tbl_task6[[SubPLOs]:[SubPLOs]],"&lt;9")+SUMIFS(tbl_task7[S125],tbl_task7[[SubPLOs]:[SubPLOs]],"&gt;=8",tbl_task7[[SubPLOs]:[SubPLOs]],"&lt;9")+SUMIFS(tbl_task8[S125],tbl_task8[[SubPLOs]:[SubPLOs]],"&gt;=8",tbl_task8[[SubPLOs]:[SubPLOs]],"&lt;9")+SUMIFS(tbl_task9[S125],tbl_task9[[SubPLOs]:[SubPLOs]],"&gt;=8",tbl_task9[[SubPLOs]:[SubPLOs]],"&lt;9")+SUMIFS(tbl_task10[S125],tbl_task10[[SubPLOs]:[SubPLOs]],"&gt;=8",tbl_task10[[SubPLOs]:[SubPLOs]],"&lt;9")</f>
        <v>0</v>
      </c>
      <c r="EA187" s="41">
        <f>SUMIFS(tbl_task1[S126],tbl_task1[[SubPLOs]:[SubPLOs]],"&gt;=8",tbl_task1[[SubPLOs]:[SubPLOs]],"&lt;9")+SUMIFS(tbl_task2[S126],tbl_task2[[SubPLOs]:[SubPLOs]],"&gt;=8",tbl_task2[[SubPLOs]:[SubPLOs]],"&lt;9")+SUMIFS(tbl_task3[S126],tbl_task3[[SubPLOs]:[SubPLOs]],"&gt;=8",tbl_task3[[SubPLOs]:[SubPLOs]],"&lt;9")+SUMIFS(tbl_task4[S126],tbl_task4[[SubPLOs]:[SubPLOs]],"&gt;=8",tbl_task4[[SubPLOs]:[SubPLOs]],"&lt;9")+SUMIFS(tbl_task5[S126],tbl_task5[[SubPLOs]:[SubPLOs]],"&gt;=8",tbl_task5[[SubPLOs]:[SubPLOs]],"&lt;9")+SUMIFS(tbl_task6[S126],tbl_task6[[SubPLOs]:[SubPLOs]],"&gt;=8",tbl_task6[[SubPLOs]:[SubPLOs]],"&lt;9")+SUMIFS(tbl_task7[S126],tbl_task7[[SubPLOs]:[SubPLOs]],"&gt;=8",tbl_task7[[SubPLOs]:[SubPLOs]],"&lt;9")+SUMIFS(tbl_task8[S126],tbl_task8[[SubPLOs]:[SubPLOs]],"&gt;=8",tbl_task8[[SubPLOs]:[SubPLOs]],"&lt;9")+SUMIFS(tbl_task9[S126],tbl_task9[[SubPLOs]:[SubPLOs]],"&gt;=8",tbl_task9[[SubPLOs]:[SubPLOs]],"&lt;9")+SUMIFS(tbl_task10[S126],tbl_task10[[SubPLOs]:[SubPLOs]],"&gt;=8",tbl_task10[[SubPLOs]:[SubPLOs]],"&lt;9")</f>
        <v>0</v>
      </c>
      <c r="EB187" s="41">
        <f>SUMIFS(tbl_task1[S127],tbl_task1[[SubPLOs]:[SubPLOs]],"&gt;=8",tbl_task1[[SubPLOs]:[SubPLOs]],"&lt;9")+SUMIFS(tbl_task2[S127],tbl_task2[[SubPLOs]:[SubPLOs]],"&gt;=8",tbl_task2[[SubPLOs]:[SubPLOs]],"&lt;9")+SUMIFS(tbl_task3[S127],tbl_task3[[SubPLOs]:[SubPLOs]],"&gt;=8",tbl_task3[[SubPLOs]:[SubPLOs]],"&lt;9")+SUMIFS(tbl_task4[S127],tbl_task4[[SubPLOs]:[SubPLOs]],"&gt;=8",tbl_task4[[SubPLOs]:[SubPLOs]],"&lt;9")+SUMIFS(tbl_task5[S127],tbl_task5[[SubPLOs]:[SubPLOs]],"&gt;=8",tbl_task5[[SubPLOs]:[SubPLOs]],"&lt;9")+SUMIFS(tbl_task6[S127],tbl_task6[[SubPLOs]:[SubPLOs]],"&gt;=8",tbl_task6[[SubPLOs]:[SubPLOs]],"&lt;9")+SUMIFS(tbl_task7[S127],tbl_task7[[SubPLOs]:[SubPLOs]],"&gt;=8",tbl_task7[[SubPLOs]:[SubPLOs]],"&lt;9")+SUMIFS(tbl_task8[S127],tbl_task8[[SubPLOs]:[SubPLOs]],"&gt;=8",tbl_task8[[SubPLOs]:[SubPLOs]],"&lt;9")+SUMIFS(tbl_task9[S127],tbl_task9[[SubPLOs]:[SubPLOs]],"&gt;=8",tbl_task9[[SubPLOs]:[SubPLOs]],"&lt;9")+SUMIFS(tbl_task10[S127],tbl_task10[[SubPLOs]:[SubPLOs]],"&gt;=8",tbl_task10[[SubPLOs]:[SubPLOs]],"&lt;9")</f>
        <v>0</v>
      </c>
      <c r="EC187" s="41">
        <f>SUMIFS(tbl_task1[S128],tbl_task1[[SubPLOs]:[SubPLOs]],"&gt;=8",tbl_task1[[SubPLOs]:[SubPLOs]],"&lt;9")+SUMIFS(tbl_task2[S128],tbl_task2[[SubPLOs]:[SubPLOs]],"&gt;=8",tbl_task2[[SubPLOs]:[SubPLOs]],"&lt;9")+SUMIFS(tbl_task3[S128],tbl_task3[[SubPLOs]:[SubPLOs]],"&gt;=8",tbl_task3[[SubPLOs]:[SubPLOs]],"&lt;9")+SUMIFS(tbl_task4[S128],tbl_task4[[SubPLOs]:[SubPLOs]],"&gt;=8",tbl_task4[[SubPLOs]:[SubPLOs]],"&lt;9")+SUMIFS(tbl_task5[S128],tbl_task5[[SubPLOs]:[SubPLOs]],"&gt;=8",tbl_task5[[SubPLOs]:[SubPLOs]],"&lt;9")+SUMIFS(tbl_task6[S128],tbl_task6[[SubPLOs]:[SubPLOs]],"&gt;=8",tbl_task6[[SubPLOs]:[SubPLOs]],"&lt;9")+SUMIFS(tbl_task7[S128],tbl_task7[[SubPLOs]:[SubPLOs]],"&gt;=8",tbl_task7[[SubPLOs]:[SubPLOs]],"&lt;9")+SUMIFS(tbl_task8[S128],tbl_task8[[SubPLOs]:[SubPLOs]],"&gt;=8",tbl_task8[[SubPLOs]:[SubPLOs]],"&lt;9")+SUMIFS(tbl_task9[S128],tbl_task9[[SubPLOs]:[SubPLOs]],"&gt;=8",tbl_task9[[SubPLOs]:[SubPLOs]],"&lt;9")+SUMIFS(tbl_task10[S128],tbl_task10[[SubPLOs]:[SubPLOs]],"&gt;=8",tbl_task10[[SubPLOs]:[SubPLOs]],"&lt;9")</f>
        <v>0</v>
      </c>
      <c r="ED187" s="41">
        <f>SUMIFS(tbl_task1[S129],tbl_task1[[SubPLOs]:[SubPLOs]],"&gt;=8",tbl_task1[[SubPLOs]:[SubPLOs]],"&lt;9")+SUMIFS(tbl_task2[S129],tbl_task2[[SubPLOs]:[SubPLOs]],"&gt;=8",tbl_task2[[SubPLOs]:[SubPLOs]],"&lt;9")+SUMIFS(tbl_task3[S129],tbl_task3[[SubPLOs]:[SubPLOs]],"&gt;=8",tbl_task3[[SubPLOs]:[SubPLOs]],"&lt;9")+SUMIFS(tbl_task4[S129],tbl_task4[[SubPLOs]:[SubPLOs]],"&gt;=8",tbl_task4[[SubPLOs]:[SubPLOs]],"&lt;9")+SUMIFS(tbl_task5[S129],tbl_task5[[SubPLOs]:[SubPLOs]],"&gt;=8",tbl_task5[[SubPLOs]:[SubPLOs]],"&lt;9")+SUMIFS(tbl_task6[S129],tbl_task6[[SubPLOs]:[SubPLOs]],"&gt;=8",tbl_task6[[SubPLOs]:[SubPLOs]],"&lt;9")+SUMIFS(tbl_task7[S129],tbl_task7[[SubPLOs]:[SubPLOs]],"&gt;=8",tbl_task7[[SubPLOs]:[SubPLOs]],"&lt;9")+SUMIFS(tbl_task8[S129],tbl_task8[[SubPLOs]:[SubPLOs]],"&gt;=8",tbl_task8[[SubPLOs]:[SubPLOs]],"&lt;9")+SUMIFS(tbl_task9[S129],tbl_task9[[SubPLOs]:[SubPLOs]],"&gt;=8",tbl_task9[[SubPLOs]:[SubPLOs]],"&lt;9")+SUMIFS(tbl_task10[S129],tbl_task10[[SubPLOs]:[SubPLOs]],"&gt;=8",tbl_task10[[SubPLOs]:[SubPLOs]],"&lt;9")</f>
        <v>0</v>
      </c>
      <c r="EE187" s="41">
        <f>SUMIFS(tbl_task1[S130],tbl_task1[[SubPLOs]:[SubPLOs]],"&gt;=8",tbl_task1[[SubPLOs]:[SubPLOs]],"&lt;9")+SUMIFS(tbl_task2[S130],tbl_task2[[SubPLOs]:[SubPLOs]],"&gt;=8",tbl_task2[[SubPLOs]:[SubPLOs]],"&lt;9")+SUMIFS(tbl_task3[S130],tbl_task3[[SubPLOs]:[SubPLOs]],"&gt;=8",tbl_task3[[SubPLOs]:[SubPLOs]],"&lt;9")+SUMIFS(tbl_task4[S130],tbl_task4[[SubPLOs]:[SubPLOs]],"&gt;=8",tbl_task4[[SubPLOs]:[SubPLOs]],"&lt;9")+SUMIFS(tbl_task5[S130],tbl_task5[[SubPLOs]:[SubPLOs]],"&gt;=8",tbl_task5[[SubPLOs]:[SubPLOs]],"&lt;9")+SUMIFS(tbl_task6[S130],tbl_task6[[SubPLOs]:[SubPLOs]],"&gt;=8",tbl_task6[[SubPLOs]:[SubPLOs]],"&lt;9")+SUMIFS(tbl_task7[S130],tbl_task7[[SubPLOs]:[SubPLOs]],"&gt;=8",tbl_task7[[SubPLOs]:[SubPLOs]],"&lt;9")+SUMIFS(tbl_task8[S130],tbl_task8[[SubPLOs]:[SubPLOs]],"&gt;=8",tbl_task8[[SubPLOs]:[SubPLOs]],"&lt;9")+SUMIFS(tbl_task9[S130],tbl_task9[[SubPLOs]:[SubPLOs]],"&gt;=8",tbl_task9[[SubPLOs]:[SubPLOs]],"&lt;9")+SUMIFS(tbl_task10[S130],tbl_task10[[SubPLOs]:[SubPLOs]],"&gt;=8",tbl_task10[[SubPLOs]:[SubPLOs]],"&lt;9")</f>
        <v>0</v>
      </c>
      <c r="EF187" s="41">
        <f>SUMIFS(tbl_task1[S131],tbl_task1[[SubPLOs]:[SubPLOs]],"&gt;=8",tbl_task1[[SubPLOs]:[SubPLOs]],"&lt;9")+SUMIFS(tbl_task2[S131],tbl_task2[[SubPLOs]:[SubPLOs]],"&gt;=8",tbl_task2[[SubPLOs]:[SubPLOs]],"&lt;9")+SUMIFS(tbl_task3[S131],tbl_task3[[SubPLOs]:[SubPLOs]],"&gt;=8",tbl_task3[[SubPLOs]:[SubPLOs]],"&lt;9")+SUMIFS(tbl_task4[S131],tbl_task4[[SubPLOs]:[SubPLOs]],"&gt;=8",tbl_task4[[SubPLOs]:[SubPLOs]],"&lt;9")+SUMIFS(tbl_task5[S131],tbl_task5[[SubPLOs]:[SubPLOs]],"&gt;=8",tbl_task5[[SubPLOs]:[SubPLOs]],"&lt;9")+SUMIFS(tbl_task6[S131],tbl_task6[[SubPLOs]:[SubPLOs]],"&gt;=8",tbl_task6[[SubPLOs]:[SubPLOs]],"&lt;9")+SUMIFS(tbl_task7[S131],tbl_task7[[SubPLOs]:[SubPLOs]],"&gt;=8",tbl_task7[[SubPLOs]:[SubPLOs]],"&lt;9")+SUMIFS(tbl_task8[S131],tbl_task8[[SubPLOs]:[SubPLOs]],"&gt;=8",tbl_task8[[SubPLOs]:[SubPLOs]],"&lt;9")+SUMIFS(tbl_task9[S131],tbl_task9[[SubPLOs]:[SubPLOs]],"&gt;=8",tbl_task9[[SubPLOs]:[SubPLOs]],"&lt;9")+SUMIFS(tbl_task10[S131],tbl_task10[[SubPLOs]:[SubPLOs]],"&gt;=8",tbl_task10[[SubPLOs]:[SubPLOs]],"&lt;9")</f>
        <v>0</v>
      </c>
      <c r="EG187" s="41">
        <f>SUMIFS(tbl_task1[S132],tbl_task1[[SubPLOs]:[SubPLOs]],"&gt;=8",tbl_task1[[SubPLOs]:[SubPLOs]],"&lt;9")+SUMIFS(tbl_task2[S132],tbl_task2[[SubPLOs]:[SubPLOs]],"&gt;=8",tbl_task2[[SubPLOs]:[SubPLOs]],"&lt;9")+SUMIFS(tbl_task3[S132],tbl_task3[[SubPLOs]:[SubPLOs]],"&gt;=8",tbl_task3[[SubPLOs]:[SubPLOs]],"&lt;9")+SUMIFS(tbl_task4[S132],tbl_task4[[SubPLOs]:[SubPLOs]],"&gt;=8",tbl_task4[[SubPLOs]:[SubPLOs]],"&lt;9")+SUMIFS(tbl_task5[S132],tbl_task5[[SubPLOs]:[SubPLOs]],"&gt;=8",tbl_task5[[SubPLOs]:[SubPLOs]],"&lt;9")+SUMIFS(tbl_task6[S132],tbl_task6[[SubPLOs]:[SubPLOs]],"&gt;=8",tbl_task6[[SubPLOs]:[SubPLOs]],"&lt;9")+SUMIFS(tbl_task7[S132],tbl_task7[[SubPLOs]:[SubPLOs]],"&gt;=8",tbl_task7[[SubPLOs]:[SubPLOs]],"&lt;9")+SUMIFS(tbl_task8[S132],tbl_task8[[SubPLOs]:[SubPLOs]],"&gt;=8",tbl_task8[[SubPLOs]:[SubPLOs]],"&lt;9")+SUMIFS(tbl_task9[S132],tbl_task9[[SubPLOs]:[SubPLOs]],"&gt;=8",tbl_task9[[SubPLOs]:[SubPLOs]],"&lt;9")+SUMIFS(tbl_task10[S132],tbl_task10[[SubPLOs]:[SubPLOs]],"&gt;=8",tbl_task10[[SubPLOs]:[SubPLOs]],"&lt;9")</f>
        <v>0</v>
      </c>
      <c r="EH187" s="41">
        <f>SUMIFS(tbl_task1[S133],tbl_task1[[SubPLOs]:[SubPLOs]],"&gt;=8",tbl_task1[[SubPLOs]:[SubPLOs]],"&lt;9")+SUMIFS(tbl_task2[S133],tbl_task2[[SubPLOs]:[SubPLOs]],"&gt;=8",tbl_task2[[SubPLOs]:[SubPLOs]],"&lt;9")+SUMIFS(tbl_task3[S133],tbl_task3[[SubPLOs]:[SubPLOs]],"&gt;=8",tbl_task3[[SubPLOs]:[SubPLOs]],"&lt;9")+SUMIFS(tbl_task4[S133],tbl_task4[[SubPLOs]:[SubPLOs]],"&gt;=8",tbl_task4[[SubPLOs]:[SubPLOs]],"&lt;9")+SUMIFS(tbl_task5[S133],tbl_task5[[SubPLOs]:[SubPLOs]],"&gt;=8",tbl_task5[[SubPLOs]:[SubPLOs]],"&lt;9")+SUMIFS(tbl_task6[S133],tbl_task6[[SubPLOs]:[SubPLOs]],"&gt;=8",tbl_task6[[SubPLOs]:[SubPLOs]],"&lt;9")+SUMIFS(tbl_task7[S133],tbl_task7[[SubPLOs]:[SubPLOs]],"&gt;=8",tbl_task7[[SubPLOs]:[SubPLOs]],"&lt;9")+SUMIFS(tbl_task8[S133],tbl_task8[[SubPLOs]:[SubPLOs]],"&gt;=8",tbl_task8[[SubPLOs]:[SubPLOs]],"&lt;9")+SUMIFS(tbl_task9[S133],tbl_task9[[SubPLOs]:[SubPLOs]],"&gt;=8",tbl_task9[[SubPLOs]:[SubPLOs]],"&lt;9")+SUMIFS(tbl_task10[S133],tbl_task10[[SubPLOs]:[SubPLOs]],"&gt;=8",tbl_task10[[SubPLOs]:[SubPLOs]],"&lt;9")</f>
        <v>0</v>
      </c>
      <c r="EI187" s="41">
        <f>SUMIFS(tbl_task1[S134],tbl_task1[[SubPLOs]:[SubPLOs]],"&gt;=8",tbl_task1[[SubPLOs]:[SubPLOs]],"&lt;9")+SUMIFS(tbl_task2[S134],tbl_task2[[SubPLOs]:[SubPLOs]],"&gt;=8",tbl_task2[[SubPLOs]:[SubPLOs]],"&lt;9")+SUMIFS(tbl_task3[S134],tbl_task3[[SubPLOs]:[SubPLOs]],"&gt;=8",tbl_task3[[SubPLOs]:[SubPLOs]],"&lt;9")+SUMIFS(tbl_task4[S134],tbl_task4[[SubPLOs]:[SubPLOs]],"&gt;=8",tbl_task4[[SubPLOs]:[SubPLOs]],"&lt;9")+SUMIFS(tbl_task5[S134],tbl_task5[[SubPLOs]:[SubPLOs]],"&gt;=8",tbl_task5[[SubPLOs]:[SubPLOs]],"&lt;9")+SUMIFS(tbl_task6[S134],tbl_task6[[SubPLOs]:[SubPLOs]],"&gt;=8",tbl_task6[[SubPLOs]:[SubPLOs]],"&lt;9")+SUMIFS(tbl_task7[S134],tbl_task7[[SubPLOs]:[SubPLOs]],"&gt;=8",tbl_task7[[SubPLOs]:[SubPLOs]],"&lt;9")+SUMIFS(tbl_task8[S134],tbl_task8[[SubPLOs]:[SubPLOs]],"&gt;=8",tbl_task8[[SubPLOs]:[SubPLOs]],"&lt;9")+SUMIFS(tbl_task9[S134],tbl_task9[[SubPLOs]:[SubPLOs]],"&gt;=8",tbl_task9[[SubPLOs]:[SubPLOs]],"&lt;9")+SUMIFS(tbl_task10[S134],tbl_task10[[SubPLOs]:[SubPLOs]],"&gt;=8",tbl_task10[[SubPLOs]:[SubPLOs]],"&lt;9")</f>
        <v>0</v>
      </c>
      <c r="EJ187" s="41">
        <f>SUMIFS(tbl_task1[S135],tbl_task1[[SubPLOs]:[SubPLOs]],"&gt;=8",tbl_task1[[SubPLOs]:[SubPLOs]],"&lt;9")+SUMIFS(tbl_task2[S135],tbl_task2[[SubPLOs]:[SubPLOs]],"&gt;=8",tbl_task2[[SubPLOs]:[SubPLOs]],"&lt;9")+SUMIFS(tbl_task3[S135],tbl_task3[[SubPLOs]:[SubPLOs]],"&gt;=8",tbl_task3[[SubPLOs]:[SubPLOs]],"&lt;9")+SUMIFS(tbl_task4[S135],tbl_task4[[SubPLOs]:[SubPLOs]],"&gt;=8",tbl_task4[[SubPLOs]:[SubPLOs]],"&lt;9")+SUMIFS(tbl_task5[S135],tbl_task5[[SubPLOs]:[SubPLOs]],"&gt;=8",tbl_task5[[SubPLOs]:[SubPLOs]],"&lt;9")+SUMIFS(tbl_task6[S135],tbl_task6[[SubPLOs]:[SubPLOs]],"&gt;=8",tbl_task6[[SubPLOs]:[SubPLOs]],"&lt;9")+SUMIFS(tbl_task7[S135],tbl_task7[[SubPLOs]:[SubPLOs]],"&gt;=8",tbl_task7[[SubPLOs]:[SubPLOs]],"&lt;9")+SUMIFS(tbl_task8[S135],tbl_task8[[SubPLOs]:[SubPLOs]],"&gt;=8",tbl_task8[[SubPLOs]:[SubPLOs]],"&lt;9")+SUMIFS(tbl_task9[S135],tbl_task9[[SubPLOs]:[SubPLOs]],"&gt;=8",tbl_task9[[SubPLOs]:[SubPLOs]],"&lt;9")+SUMIFS(tbl_task10[S135],tbl_task10[[SubPLOs]:[SubPLOs]],"&gt;=8",tbl_task10[[SubPLOs]:[SubPLOs]],"&lt;9")</f>
        <v>0</v>
      </c>
      <c r="EK187" s="41">
        <f>SUMIFS(tbl_task1[S136],tbl_task1[[SubPLOs]:[SubPLOs]],"&gt;=8",tbl_task1[[SubPLOs]:[SubPLOs]],"&lt;9")+SUMIFS(tbl_task2[S136],tbl_task2[[SubPLOs]:[SubPLOs]],"&gt;=8",tbl_task2[[SubPLOs]:[SubPLOs]],"&lt;9")+SUMIFS(tbl_task3[S136],tbl_task3[[SubPLOs]:[SubPLOs]],"&gt;=8",tbl_task3[[SubPLOs]:[SubPLOs]],"&lt;9")+SUMIFS(tbl_task4[S136],tbl_task4[[SubPLOs]:[SubPLOs]],"&gt;=8",tbl_task4[[SubPLOs]:[SubPLOs]],"&lt;9")+SUMIFS(tbl_task5[S136],tbl_task5[[SubPLOs]:[SubPLOs]],"&gt;=8",tbl_task5[[SubPLOs]:[SubPLOs]],"&lt;9")+SUMIFS(tbl_task6[S136],tbl_task6[[SubPLOs]:[SubPLOs]],"&gt;=8",tbl_task6[[SubPLOs]:[SubPLOs]],"&lt;9")+SUMIFS(tbl_task7[S136],tbl_task7[[SubPLOs]:[SubPLOs]],"&gt;=8",tbl_task7[[SubPLOs]:[SubPLOs]],"&lt;9")+SUMIFS(tbl_task8[S136],tbl_task8[[SubPLOs]:[SubPLOs]],"&gt;=8",tbl_task8[[SubPLOs]:[SubPLOs]],"&lt;9")+SUMIFS(tbl_task9[S136],tbl_task9[[SubPLOs]:[SubPLOs]],"&gt;=8",tbl_task9[[SubPLOs]:[SubPLOs]],"&lt;9")+SUMIFS(tbl_task10[S136],tbl_task10[[SubPLOs]:[SubPLOs]],"&gt;=8",tbl_task10[[SubPLOs]:[SubPLOs]],"&lt;9")</f>
        <v>0</v>
      </c>
      <c r="EL187" s="41">
        <f>SUMIFS(tbl_task1[S137],tbl_task1[[SubPLOs]:[SubPLOs]],"&gt;=8",tbl_task1[[SubPLOs]:[SubPLOs]],"&lt;9")+SUMIFS(tbl_task2[S137],tbl_task2[[SubPLOs]:[SubPLOs]],"&gt;=8",tbl_task2[[SubPLOs]:[SubPLOs]],"&lt;9")+SUMIFS(tbl_task3[S137],tbl_task3[[SubPLOs]:[SubPLOs]],"&gt;=8",tbl_task3[[SubPLOs]:[SubPLOs]],"&lt;9")+SUMIFS(tbl_task4[S137],tbl_task4[[SubPLOs]:[SubPLOs]],"&gt;=8",tbl_task4[[SubPLOs]:[SubPLOs]],"&lt;9")+SUMIFS(tbl_task5[S137],tbl_task5[[SubPLOs]:[SubPLOs]],"&gt;=8",tbl_task5[[SubPLOs]:[SubPLOs]],"&lt;9")+SUMIFS(tbl_task6[S137],tbl_task6[[SubPLOs]:[SubPLOs]],"&gt;=8",tbl_task6[[SubPLOs]:[SubPLOs]],"&lt;9")+SUMIFS(tbl_task7[S137],tbl_task7[[SubPLOs]:[SubPLOs]],"&gt;=8",tbl_task7[[SubPLOs]:[SubPLOs]],"&lt;9")+SUMIFS(tbl_task8[S137],tbl_task8[[SubPLOs]:[SubPLOs]],"&gt;=8",tbl_task8[[SubPLOs]:[SubPLOs]],"&lt;9")+SUMIFS(tbl_task9[S137],tbl_task9[[SubPLOs]:[SubPLOs]],"&gt;=8",tbl_task9[[SubPLOs]:[SubPLOs]],"&lt;9")+SUMIFS(tbl_task10[S137],tbl_task10[[SubPLOs]:[SubPLOs]],"&gt;=8",tbl_task10[[SubPLOs]:[SubPLOs]],"&lt;9")</f>
        <v>0</v>
      </c>
      <c r="EM187" s="41">
        <f>SUMIFS(tbl_task1[S138],tbl_task1[[SubPLOs]:[SubPLOs]],"&gt;=8",tbl_task1[[SubPLOs]:[SubPLOs]],"&lt;9")+SUMIFS(tbl_task2[S138],tbl_task2[[SubPLOs]:[SubPLOs]],"&gt;=8",tbl_task2[[SubPLOs]:[SubPLOs]],"&lt;9")+SUMIFS(tbl_task3[S138],tbl_task3[[SubPLOs]:[SubPLOs]],"&gt;=8",tbl_task3[[SubPLOs]:[SubPLOs]],"&lt;9")+SUMIFS(tbl_task4[S138],tbl_task4[[SubPLOs]:[SubPLOs]],"&gt;=8",tbl_task4[[SubPLOs]:[SubPLOs]],"&lt;9")+SUMIFS(tbl_task5[S138],tbl_task5[[SubPLOs]:[SubPLOs]],"&gt;=8",tbl_task5[[SubPLOs]:[SubPLOs]],"&lt;9")+SUMIFS(tbl_task6[S138],tbl_task6[[SubPLOs]:[SubPLOs]],"&gt;=8",tbl_task6[[SubPLOs]:[SubPLOs]],"&lt;9")+SUMIFS(tbl_task7[S138],tbl_task7[[SubPLOs]:[SubPLOs]],"&gt;=8",tbl_task7[[SubPLOs]:[SubPLOs]],"&lt;9")+SUMIFS(tbl_task8[S138],tbl_task8[[SubPLOs]:[SubPLOs]],"&gt;=8",tbl_task8[[SubPLOs]:[SubPLOs]],"&lt;9")+SUMIFS(tbl_task9[S138],tbl_task9[[SubPLOs]:[SubPLOs]],"&gt;=8",tbl_task9[[SubPLOs]:[SubPLOs]],"&lt;9")+SUMIFS(tbl_task10[S138],tbl_task10[[SubPLOs]:[SubPLOs]],"&gt;=8",tbl_task10[[SubPLOs]:[SubPLOs]],"&lt;9")</f>
        <v>0</v>
      </c>
      <c r="EN187" s="41">
        <f>SUMIFS(tbl_task1[S139],tbl_task1[[SubPLOs]:[SubPLOs]],"&gt;=8",tbl_task1[[SubPLOs]:[SubPLOs]],"&lt;9")+SUMIFS(tbl_task2[S139],tbl_task2[[SubPLOs]:[SubPLOs]],"&gt;=8",tbl_task2[[SubPLOs]:[SubPLOs]],"&lt;9")+SUMIFS(tbl_task3[S139],tbl_task3[[SubPLOs]:[SubPLOs]],"&gt;=8",tbl_task3[[SubPLOs]:[SubPLOs]],"&lt;9")+SUMIFS(tbl_task4[S139],tbl_task4[[SubPLOs]:[SubPLOs]],"&gt;=8",tbl_task4[[SubPLOs]:[SubPLOs]],"&lt;9")+SUMIFS(tbl_task5[S139],tbl_task5[[SubPLOs]:[SubPLOs]],"&gt;=8",tbl_task5[[SubPLOs]:[SubPLOs]],"&lt;9")+SUMIFS(tbl_task6[S139],tbl_task6[[SubPLOs]:[SubPLOs]],"&gt;=8",tbl_task6[[SubPLOs]:[SubPLOs]],"&lt;9")+SUMIFS(tbl_task7[S139],tbl_task7[[SubPLOs]:[SubPLOs]],"&gt;=8",tbl_task7[[SubPLOs]:[SubPLOs]],"&lt;9")+SUMIFS(tbl_task8[S139],tbl_task8[[SubPLOs]:[SubPLOs]],"&gt;=8",tbl_task8[[SubPLOs]:[SubPLOs]],"&lt;9")+SUMIFS(tbl_task9[S139],tbl_task9[[SubPLOs]:[SubPLOs]],"&gt;=8",tbl_task9[[SubPLOs]:[SubPLOs]],"&lt;9")+SUMIFS(tbl_task10[S139],tbl_task10[[SubPLOs]:[SubPLOs]],"&gt;=8",tbl_task10[[SubPLOs]:[SubPLOs]],"&lt;9")</f>
        <v>0</v>
      </c>
      <c r="EO187" s="41">
        <f>SUMIFS(tbl_task1[S140],tbl_task1[[SubPLOs]:[SubPLOs]],"&gt;=8",tbl_task1[[SubPLOs]:[SubPLOs]],"&lt;9")+SUMIFS(tbl_task2[S140],tbl_task2[[SubPLOs]:[SubPLOs]],"&gt;=8",tbl_task2[[SubPLOs]:[SubPLOs]],"&lt;9")+SUMIFS(tbl_task3[S140],tbl_task3[[SubPLOs]:[SubPLOs]],"&gt;=8",tbl_task3[[SubPLOs]:[SubPLOs]],"&lt;9")+SUMIFS(tbl_task4[S140],tbl_task4[[SubPLOs]:[SubPLOs]],"&gt;=8",tbl_task4[[SubPLOs]:[SubPLOs]],"&lt;9")+SUMIFS(tbl_task5[S140],tbl_task5[[SubPLOs]:[SubPLOs]],"&gt;=8",tbl_task5[[SubPLOs]:[SubPLOs]],"&lt;9")+SUMIFS(tbl_task6[S140],tbl_task6[[SubPLOs]:[SubPLOs]],"&gt;=8",tbl_task6[[SubPLOs]:[SubPLOs]],"&lt;9")+SUMIFS(tbl_task7[S140],tbl_task7[[SubPLOs]:[SubPLOs]],"&gt;=8",tbl_task7[[SubPLOs]:[SubPLOs]],"&lt;9")+SUMIFS(tbl_task8[S140],tbl_task8[[SubPLOs]:[SubPLOs]],"&gt;=8",tbl_task8[[SubPLOs]:[SubPLOs]],"&lt;9")+SUMIFS(tbl_task9[S140],tbl_task9[[SubPLOs]:[SubPLOs]],"&gt;=8",tbl_task9[[SubPLOs]:[SubPLOs]],"&lt;9")+SUMIFS(tbl_task10[S140],tbl_task10[[SubPLOs]:[SubPLOs]],"&gt;=8",tbl_task10[[SubPLOs]:[SubPLOs]],"&lt;9")</f>
        <v>0</v>
      </c>
      <c r="EP187" s="41">
        <f>SUMIFS(tbl_task1[S141],tbl_task1[[SubPLOs]:[SubPLOs]],"&gt;=8",tbl_task1[[SubPLOs]:[SubPLOs]],"&lt;9")+SUMIFS(tbl_task2[S141],tbl_task2[[SubPLOs]:[SubPLOs]],"&gt;=8",tbl_task2[[SubPLOs]:[SubPLOs]],"&lt;9")+SUMIFS(tbl_task3[S141],tbl_task3[[SubPLOs]:[SubPLOs]],"&gt;=8",tbl_task3[[SubPLOs]:[SubPLOs]],"&lt;9")+SUMIFS(tbl_task4[S141],tbl_task4[[SubPLOs]:[SubPLOs]],"&gt;=8",tbl_task4[[SubPLOs]:[SubPLOs]],"&lt;9")+SUMIFS(tbl_task5[S141],tbl_task5[[SubPLOs]:[SubPLOs]],"&gt;=8",tbl_task5[[SubPLOs]:[SubPLOs]],"&lt;9")+SUMIFS(tbl_task6[S141],tbl_task6[[SubPLOs]:[SubPLOs]],"&gt;=8",tbl_task6[[SubPLOs]:[SubPLOs]],"&lt;9")+SUMIFS(tbl_task7[S141],tbl_task7[[SubPLOs]:[SubPLOs]],"&gt;=8",tbl_task7[[SubPLOs]:[SubPLOs]],"&lt;9")+SUMIFS(tbl_task8[S141],tbl_task8[[SubPLOs]:[SubPLOs]],"&gt;=8",tbl_task8[[SubPLOs]:[SubPLOs]],"&lt;9")+SUMIFS(tbl_task9[S141],tbl_task9[[SubPLOs]:[SubPLOs]],"&gt;=8",tbl_task9[[SubPLOs]:[SubPLOs]],"&lt;9")+SUMIFS(tbl_task10[S141],tbl_task10[[SubPLOs]:[SubPLOs]],"&gt;=8",tbl_task10[[SubPLOs]:[SubPLOs]],"&lt;9")</f>
        <v>0</v>
      </c>
      <c r="EQ187" s="41">
        <f>SUMIFS(tbl_task1[S142],tbl_task1[[SubPLOs]:[SubPLOs]],"&gt;=8",tbl_task1[[SubPLOs]:[SubPLOs]],"&lt;9")+SUMIFS(tbl_task2[S142],tbl_task2[[SubPLOs]:[SubPLOs]],"&gt;=8",tbl_task2[[SubPLOs]:[SubPLOs]],"&lt;9")+SUMIFS(tbl_task3[S142],tbl_task3[[SubPLOs]:[SubPLOs]],"&gt;=8",tbl_task3[[SubPLOs]:[SubPLOs]],"&lt;9")+SUMIFS(tbl_task4[S142],tbl_task4[[SubPLOs]:[SubPLOs]],"&gt;=8",tbl_task4[[SubPLOs]:[SubPLOs]],"&lt;9")+SUMIFS(tbl_task5[S142],tbl_task5[[SubPLOs]:[SubPLOs]],"&gt;=8",tbl_task5[[SubPLOs]:[SubPLOs]],"&lt;9")+SUMIFS(tbl_task6[S142],tbl_task6[[SubPLOs]:[SubPLOs]],"&gt;=8",tbl_task6[[SubPLOs]:[SubPLOs]],"&lt;9")+SUMIFS(tbl_task7[S142],tbl_task7[[SubPLOs]:[SubPLOs]],"&gt;=8",tbl_task7[[SubPLOs]:[SubPLOs]],"&lt;9")+SUMIFS(tbl_task8[S142],tbl_task8[[SubPLOs]:[SubPLOs]],"&gt;=8",tbl_task8[[SubPLOs]:[SubPLOs]],"&lt;9")+SUMIFS(tbl_task9[S142],tbl_task9[[SubPLOs]:[SubPLOs]],"&gt;=8",tbl_task9[[SubPLOs]:[SubPLOs]],"&lt;9")+SUMIFS(tbl_task10[S142],tbl_task10[[SubPLOs]:[SubPLOs]],"&gt;=8",tbl_task10[[SubPLOs]:[SubPLOs]],"&lt;9")</f>
        <v>0</v>
      </c>
      <c r="ER187" s="41">
        <f>SUMIFS(tbl_task1[S143],tbl_task1[[SubPLOs]:[SubPLOs]],"&gt;=8",tbl_task1[[SubPLOs]:[SubPLOs]],"&lt;9")+SUMIFS(tbl_task2[S143],tbl_task2[[SubPLOs]:[SubPLOs]],"&gt;=8",tbl_task2[[SubPLOs]:[SubPLOs]],"&lt;9")+SUMIFS(tbl_task3[S143],tbl_task3[[SubPLOs]:[SubPLOs]],"&gt;=8",tbl_task3[[SubPLOs]:[SubPLOs]],"&lt;9")+SUMIFS(tbl_task4[S143],tbl_task4[[SubPLOs]:[SubPLOs]],"&gt;=8",tbl_task4[[SubPLOs]:[SubPLOs]],"&lt;9")+SUMIFS(tbl_task5[S143],tbl_task5[[SubPLOs]:[SubPLOs]],"&gt;=8",tbl_task5[[SubPLOs]:[SubPLOs]],"&lt;9")+SUMIFS(tbl_task6[S143],tbl_task6[[SubPLOs]:[SubPLOs]],"&gt;=8",tbl_task6[[SubPLOs]:[SubPLOs]],"&lt;9")+SUMIFS(tbl_task7[S143],tbl_task7[[SubPLOs]:[SubPLOs]],"&gt;=8",tbl_task7[[SubPLOs]:[SubPLOs]],"&lt;9")+SUMIFS(tbl_task8[S143],tbl_task8[[SubPLOs]:[SubPLOs]],"&gt;=8",tbl_task8[[SubPLOs]:[SubPLOs]],"&lt;9")+SUMIFS(tbl_task9[S143],tbl_task9[[SubPLOs]:[SubPLOs]],"&gt;=8",tbl_task9[[SubPLOs]:[SubPLOs]],"&lt;9")+SUMIFS(tbl_task10[S143],tbl_task10[[SubPLOs]:[SubPLOs]],"&gt;=8",tbl_task10[[SubPLOs]:[SubPLOs]],"&lt;9")</f>
        <v>0</v>
      </c>
      <c r="ES187" s="41">
        <f>SUMIFS(tbl_task1[S144],tbl_task1[[SubPLOs]:[SubPLOs]],"&gt;=8",tbl_task1[[SubPLOs]:[SubPLOs]],"&lt;9")+SUMIFS(tbl_task2[S144],tbl_task2[[SubPLOs]:[SubPLOs]],"&gt;=8",tbl_task2[[SubPLOs]:[SubPLOs]],"&lt;9")+SUMIFS(tbl_task3[S144],tbl_task3[[SubPLOs]:[SubPLOs]],"&gt;=8",tbl_task3[[SubPLOs]:[SubPLOs]],"&lt;9")+SUMIFS(tbl_task4[S144],tbl_task4[[SubPLOs]:[SubPLOs]],"&gt;=8",tbl_task4[[SubPLOs]:[SubPLOs]],"&lt;9")+SUMIFS(tbl_task5[S144],tbl_task5[[SubPLOs]:[SubPLOs]],"&gt;=8",tbl_task5[[SubPLOs]:[SubPLOs]],"&lt;9")+SUMIFS(tbl_task6[S144],tbl_task6[[SubPLOs]:[SubPLOs]],"&gt;=8",tbl_task6[[SubPLOs]:[SubPLOs]],"&lt;9")+SUMIFS(tbl_task7[S144],tbl_task7[[SubPLOs]:[SubPLOs]],"&gt;=8",tbl_task7[[SubPLOs]:[SubPLOs]],"&lt;9")+SUMIFS(tbl_task8[S144],tbl_task8[[SubPLOs]:[SubPLOs]],"&gt;=8",tbl_task8[[SubPLOs]:[SubPLOs]],"&lt;9")+SUMIFS(tbl_task9[S144],tbl_task9[[SubPLOs]:[SubPLOs]],"&gt;=8",tbl_task9[[SubPLOs]:[SubPLOs]],"&lt;9")+SUMIFS(tbl_task10[S144],tbl_task10[[SubPLOs]:[SubPLOs]],"&gt;=8",tbl_task10[[SubPLOs]:[SubPLOs]],"&lt;9")</f>
        <v>0</v>
      </c>
      <c r="ET187" s="41">
        <f>SUMIFS(tbl_task1[S145],tbl_task1[[SubPLOs]:[SubPLOs]],"&gt;=8",tbl_task1[[SubPLOs]:[SubPLOs]],"&lt;9")+SUMIFS(tbl_task2[S145],tbl_task2[[SubPLOs]:[SubPLOs]],"&gt;=8",tbl_task2[[SubPLOs]:[SubPLOs]],"&lt;9")+SUMIFS(tbl_task3[S145],tbl_task3[[SubPLOs]:[SubPLOs]],"&gt;=8",tbl_task3[[SubPLOs]:[SubPLOs]],"&lt;9")+SUMIFS(tbl_task4[S145],tbl_task4[[SubPLOs]:[SubPLOs]],"&gt;=8",tbl_task4[[SubPLOs]:[SubPLOs]],"&lt;9")+SUMIFS(tbl_task5[S145],tbl_task5[[SubPLOs]:[SubPLOs]],"&gt;=8",tbl_task5[[SubPLOs]:[SubPLOs]],"&lt;9")+SUMIFS(tbl_task6[S145],tbl_task6[[SubPLOs]:[SubPLOs]],"&gt;=8",tbl_task6[[SubPLOs]:[SubPLOs]],"&lt;9")+SUMIFS(tbl_task7[S145],tbl_task7[[SubPLOs]:[SubPLOs]],"&gt;=8",tbl_task7[[SubPLOs]:[SubPLOs]],"&lt;9")+SUMIFS(tbl_task8[S145],tbl_task8[[SubPLOs]:[SubPLOs]],"&gt;=8",tbl_task8[[SubPLOs]:[SubPLOs]],"&lt;9")+SUMIFS(tbl_task9[S145],tbl_task9[[SubPLOs]:[SubPLOs]],"&gt;=8",tbl_task9[[SubPLOs]:[SubPLOs]],"&lt;9")+SUMIFS(tbl_task10[S145],tbl_task10[[SubPLOs]:[SubPLOs]],"&gt;=8",tbl_task10[[SubPLOs]:[SubPLOs]],"&lt;9")</f>
        <v>0</v>
      </c>
      <c r="EU187" s="41">
        <f>SUMIFS(tbl_task1[S146],tbl_task1[[SubPLOs]:[SubPLOs]],"&gt;=8",tbl_task1[[SubPLOs]:[SubPLOs]],"&lt;9")+SUMIFS(tbl_task2[S146],tbl_task2[[SubPLOs]:[SubPLOs]],"&gt;=8",tbl_task2[[SubPLOs]:[SubPLOs]],"&lt;9")+SUMIFS(tbl_task3[S146],tbl_task3[[SubPLOs]:[SubPLOs]],"&gt;=8",tbl_task3[[SubPLOs]:[SubPLOs]],"&lt;9")+SUMIFS(tbl_task4[S146],tbl_task4[[SubPLOs]:[SubPLOs]],"&gt;=8",tbl_task4[[SubPLOs]:[SubPLOs]],"&lt;9")+SUMIFS(tbl_task5[S146],tbl_task5[[SubPLOs]:[SubPLOs]],"&gt;=8",tbl_task5[[SubPLOs]:[SubPLOs]],"&lt;9")+SUMIFS(tbl_task6[S146],tbl_task6[[SubPLOs]:[SubPLOs]],"&gt;=8",tbl_task6[[SubPLOs]:[SubPLOs]],"&lt;9")+SUMIFS(tbl_task7[S146],tbl_task7[[SubPLOs]:[SubPLOs]],"&gt;=8",tbl_task7[[SubPLOs]:[SubPLOs]],"&lt;9")+SUMIFS(tbl_task8[S146],tbl_task8[[SubPLOs]:[SubPLOs]],"&gt;=8",tbl_task8[[SubPLOs]:[SubPLOs]],"&lt;9")+SUMIFS(tbl_task9[S146],tbl_task9[[SubPLOs]:[SubPLOs]],"&gt;=8",tbl_task9[[SubPLOs]:[SubPLOs]],"&lt;9")+SUMIFS(tbl_task10[S146],tbl_task10[[SubPLOs]:[SubPLOs]],"&gt;=8",tbl_task10[[SubPLOs]:[SubPLOs]],"&lt;9")</f>
        <v>0</v>
      </c>
      <c r="EV187" s="41">
        <f>SUMIFS(tbl_task1[S147],tbl_task1[[SubPLOs]:[SubPLOs]],"&gt;=8",tbl_task1[[SubPLOs]:[SubPLOs]],"&lt;9")+SUMIFS(tbl_task2[S147],tbl_task2[[SubPLOs]:[SubPLOs]],"&gt;=8",tbl_task2[[SubPLOs]:[SubPLOs]],"&lt;9")+SUMIFS(tbl_task3[S147],tbl_task3[[SubPLOs]:[SubPLOs]],"&gt;=8",tbl_task3[[SubPLOs]:[SubPLOs]],"&lt;9")+SUMIFS(tbl_task4[S147],tbl_task4[[SubPLOs]:[SubPLOs]],"&gt;=8",tbl_task4[[SubPLOs]:[SubPLOs]],"&lt;9")+SUMIFS(tbl_task5[S147],tbl_task5[[SubPLOs]:[SubPLOs]],"&gt;=8",tbl_task5[[SubPLOs]:[SubPLOs]],"&lt;9")+SUMIFS(tbl_task6[S147],tbl_task6[[SubPLOs]:[SubPLOs]],"&gt;=8",tbl_task6[[SubPLOs]:[SubPLOs]],"&lt;9")+SUMIFS(tbl_task7[S147],tbl_task7[[SubPLOs]:[SubPLOs]],"&gt;=8",tbl_task7[[SubPLOs]:[SubPLOs]],"&lt;9")+SUMIFS(tbl_task8[S147],tbl_task8[[SubPLOs]:[SubPLOs]],"&gt;=8",tbl_task8[[SubPLOs]:[SubPLOs]],"&lt;9")+SUMIFS(tbl_task9[S147],tbl_task9[[SubPLOs]:[SubPLOs]],"&gt;=8",tbl_task9[[SubPLOs]:[SubPLOs]],"&lt;9")+SUMIFS(tbl_task10[S147],tbl_task10[[SubPLOs]:[SubPLOs]],"&gt;=8",tbl_task10[[SubPLOs]:[SubPLOs]],"&lt;9")</f>
        <v>0</v>
      </c>
      <c r="EW187" s="41">
        <f>SUMIFS(tbl_task1[S148],tbl_task1[[SubPLOs]:[SubPLOs]],"&gt;=8",tbl_task1[[SubPLOs]:[SubPLOs]],"&lt;9")+SUMIFS(tbl_task2[S148],tbl_task2[[SubPLOs]:[SubPLOs]],"&gt;=8",tbl_task2[[SubPLOs]:[SubPLOs]],"&lt;9")+SUMIFS(tbl_task3[S148],tbl_task3[[SubPLOs]:[SubPLOs]],"&gt;=8",tbl_task3[[SubPLOs]:[SubPLOs]],"&lt;9")+SUMIFS(tbl_task4[S148],tbl_task4[[SubPLOs]:[SubPLOs]],"&gt;=8",tbl_task4[[SubPLOs]:[SubPLOs]],"&lt;9")+SUMIFS(tbl_task5[S148],tbl_task5[[SubPLOs]:[SubPLOs]],"&gt;=8",tbl_task5[[SubPLOs]:[SubPLOs]],"&lt;9")+SUMIFS(tbl_task6[S148],tbl_task6[[SubPLOs]:[SubPLOs]],"&gt;=8",tbl_task6[[SubPLOs]:[SubPLOs]],"&lt;9")+SUMIFS(tbl_task7[S148],tbl_task7[[SubPLOs]:[SubPLOs]],"&gt;=8",tbl_task7[[SubPLOs]:[SubPLOs]],"&lt;9")+SUMIFS(tbl_task8[S148],tbl_task8[[SubPLOs]:[SubPLOs]],"&gt;=8",tbl_task8[[SubPLOs]:[SubPLOs]],"&lt;9")+SUMIFS(tbl_task9[S148],tbl_task9[[SubPLOs]:[SubPLOs]],"&gt;=8",tbl_task9[[SubPLOs]:[SubPLOs]],"&lt;9")+SUMIFS(tbl_task10[S148],tbl_task10[[SubPLOs]:[SubPLOs]],"&gt;=8",tbl_task10[[SubPLOs]:[SubPLOs]],"&lt;9")</f>
        <v>0</v>
      </c>
      <c r="EX187" s="41">
        <f>SUMIFS(tbl_task1[S149],tbl_task1[[SubPLOs]:[SubPLOs]],"&gt;=8",tbl_task1[[SubPLOs]:[SubPLOs]],"&lt;9")+SUMIFS(tbl_task2[S149],tbl_task2[[SubPLOs]:[SubPLOs]],"&gt;=8",tbl_task2[[SubPLOs]:[SubPLOs]],"&lt;9")+SUMIFS(tbl_task3[S149],tbl_task3[[SubPLOs]:[SubPLOs]],"&gt;=8",tbl_task3[[SubPLOs]:[SubPLOs]],"&lt;9")+SUMIFS(tbl_task4[S149],tbl_task4[[SubPLOs]:[SubPLOs]],"&gt;=8",tbl_task4[[SubPLOs]:[SubPLOs]],"&lt;9")+SUMIFS(tbl_task5[S149],tbl_task5[[SubPLOs]:[SubPLOs]],"&gt;=8",tbl_task5[[SubPLOs]:[SubPLOs]],"&lt;9")+SUMIFS(tbl_task6[S149],tbl_task6[[SubPLOs]:[SubPLOs]],"&gt;=8",tbl_task6[[SubPLOs]:[SubPLOs]],"&lt;9")+SUMIFS(tbl_task7[S149],tbl_task7[[SubPLOs]:[SubPLOs]],"&gt;=8",tbl_task7[[SubPLOs]:[SubPLOs]],"&lt;9")+SUMIFS(tbl_task8[S149],tbl_task8[[SubPLOs]:[SubPLOs]],"&gt;=8",tbl_task8[[SubPLOs]:[SubPLOs]],"&lt;9")+SUMIFS(tbl_task9[S149],tbl_task9[[SubPLOs]:[SubPLOs]],"&gt;=8",tbl_task9[[SubPLOs]:[SubPLOs]],"&lt;9")+SUMIFS(tbl_task10[S149],tbl_task10[[SubPLOs]:[SubPLOs]],"&gt;=8",tbl_task10[[SubPLOs]:[SubPLOs]],"&lt;9")</f>
        <v>0</v>
      </c>
      <c r="EY187" s="41">
        <f>SUMIFS(tbl_task1[S150],tbl_task1[[SubPLOs]:[SubPLOs]],"&gt;=8",tbl_task1[[SubPLOs]:[SubPLOs]],"&lt;9")+SUMIFS(tbl_task2[S150],tbl_task2[[SubPLOs]:[SubPLOs]],"&gt;=8",tbl_task2[[SubPLOs]:[SubPLOs]],"&lt;9")+SUMIFS(tbl_task3[S150],tbl_task3[[SubPLOs]:[SubPLOs]],"&gt;=8",tbl_task3[[SubPLOs]:[SubPLOs]],"&lt;9")+SUMIFS(tbl_task4[S150],tbl_task4[[SubPLOs]:[SubPLOs]],"&gt;=8",tbl_task4[[SubPLOs]:[SubPLOs]],"&lt;9")+SUMIFS(tbl_task5[S150],tbl_task5[[SubPLOs]:[SubPLOs]],"&gt;=8",tbl_task5[[SubPLOs]:[SubPLOs]],"&lt;9")+SUMIFS(tbl_task6[S150],tbl_task6[[SubPLOs]:[SubPLOs]],"&gt;=8",tbl_task6[[SubPLOs]:[SubPLOs]],"&lt;9")+SUMIFS(tbl_task7[S150],tbl_task7[[SubPLOs]:[SubPLOs]],"&gt;=8",tbl_task7[[SubPLOs]:[SubPLOs]],"&lt;9")+SUMIFS(tbl_task8[S150],tbl_task8[[SubPLOs]:[SubPLOs]],"&gt;=8",tbl_task8[[SubPLOs]:[SubPLOs]],"&lt;9")+SUMIFS(tbl_task9[S150],tbl_task9[[SubPLOs]:[SubPLOs]],"&gt;=8",tbl_task9[[SubPLOs]:[SubPLOs]],"&lt;9")+SUMIFS(tbl_task10[S150],tbl_task10[[SubPLOs]:[SubPLOs]],"&gt;=8",tbl_task10[[SubPLOs]:[SubPLOs]],"&lt;9")</f>
        <v>0</v>
      </c>
      <c r="EZ187" s="41">
        <f>SUMIFS(tbl_task1[S151],tbl_task1[[SubPLOs]:[SubPLOs]],"&gt;=8",tbl_task1[[SubPLOs]:[SubPLOs]],"&lt;9")+SUMIFS(tbl_task2[S151],tbl_task2[[SubPLOs]:[SubPLOs]],"&gt;=8",tbl_task2[[SubPLOs]:[SubPLOs]],"&lt;9")+SUMIFS(tbl_task3[S151],tbl_task3[[SubPLOs]:[SubPLOs]],"&gt;=8",tbl_task3[[SubPLOs]:[SubPLOs]],"&lt;9")+SUMIFS(tbl_task4[S151],tbl_task4[[SubPLOs]:[SubPLOs]],"&gt;=8",tbl_task4[[SubPLOs]:[SubPLOs]],"&lt;9")+SUMIFS(tbl_task5[S151],tbl_task5[[SubPLOs]:[SubPLOs]],"&gt;=8",tbl_task5[[SubPLOs]:[SubPLOs]],"&lt;9")+SUMIFS(tbl_task6[S151],tbl_task6[[SubPLOs]:[SubPLOs]],"&gt;=8",tbl_task6[[SubPLOs]:[SubPLOs]],"&lt;9")+SUMIFS(tbl_task7[S151],tbl_task7[[SubPLOs]:[SubPLOs]],"&gt;=8",tbl_task7[[SubPLOs]:[SubPLOs]],"&lt;9")+SUMIFS(tbl_task8[S151],tbl_task8[[SubPLOs]:[SubPLOs]],"&gt;=8",tbl_task8[[SubPLOs]:[SubPLOs]],"&lt;9")+SUMIFS(tbl_task9[S151],tbl_task9[[SubPLOs]:[SubPLOs]],"&gt;=8",tbl_task9[[SubPLOs]:[SubPLOs]],"&lt;9")+SUMIFS(tbl_task10[S151],tbl_task10[[SubPLOs]:[SubPLOs]],"&gt;=8",tbl_task10[[SubPLOs]:[SubPLOs]],"&lt;9")</f>
        <v>0</v>
      </c>
      <c r="FA187" s="41">
        <f>SUMIFS(tbl_task1[S152],tbl_task1[[SubPLOs]:[SubPLOs]],"&gt;=8",tbl_task1[[SubPLOs]:[SubPLOs]],"&lt;9")+SUMIFS(tbl_task2[S152],tbl_task2[[SubPLOs]:[SubPLOs]],"&gt;=8",tbl_task2[[SubPLOs]:[SubPLOs]],"&lt;9")+SUMIFS(tbl_task3[S152],tbl_task3[[SubPLOs]:[SubPLOs]],"&gt;=8",tbl_task3[[SubPLOs]:[SubPLOs]],"&lt;9")+SUMIFS(tbl_task4[S152],tbl_task4[[SubPLOs]:[SubPLOs]],"&gt;=8",tbl_task4[[SubPLOs]:[SubPLOs]],"&lt;9")+SUMIFS(tbl_task5[S152],tbl_task5[[SubPLOs]:[SubPLOs]],"&gt;=8",tbl_task5[[SubPLOs]:[SubPLOs]],"&lt;9")+SUMIFS(tbl_task6[S152],tbl_task6[[SubPLOs]:[SubPLOs]],"&gt;=8",tbl_task6[[SubPLOs]:[SubPLOs]],"&lt;9")+SUMIFS(tbl_task7[S152],tbl_task7[[SubPLOs]:[SubPLOs]],"&gt;=8",tbl_task7[[SubPLOs]:[SubPLOs]],"&lt;9")+SUMIFS(tbl_task8[S152],tbl_task8[[SubPLOs]:[SubPLOs]],"&gt;=8",tbl_task8[[SubPLOs]:[SubPLOs]],"&lt;9")+SUMIFS(tbl_task9[S152],tbl_task9[[SubPLOs]:[SubPLOs]],"&gt;=8",tbl_task9[[SubPLOs]:[SubPLOs]],"&lt;9")+SUMIFS(tbl_task10[S152],tbl_task10[[SubPLOs]:[SubPLOs]],"&gt;=8",tbl_task10[[SubPLOs]:[SubPLOs]],"&lt;9")</f>
        <v>0</v>
      </c>
      <c r="FB187" s="41">
        <f>SUMIFS(tbl_task1[S153],tbl_task1[[SubPLOs]:[SubPLOs]],"&gt;=8",tbl_task1[[SubPLOs]:[SubPLOs]],"&lt;9")+SUMIFS(tbl_task2[S153],tbl_task2[[SubPLOs]:[SubPLOs]],"&gt;=8",tbl_task2[[SubPLOs]:[SubPLOs]],"&lt;9")+SUMIFS(tbl_task3[S153],tbl_task3[[SubPLOs]:[SubPLOs]],"&gt;=8",tbl_task3[[SubPLOs]:[SubPLOs]],"&lt;9")+SUMIFS(tbl_task4[S153],tbl_task4[[SubPLOs]:[SubPLOs]],"&gt;=8",tbl_task4[[SubPLOs]:[SubPLOs]],"&lt;9")+SUMIFS(tbl_task5[S153],tbl_task5[[SubPLOs]:[SubPLOs]],"&gt;=8",tbl_task5[[SubPLOs]:[SubPLOs]],"&lt;9")+SUMIFS(tbl_task6[S153],tbl_task6[[SubPLOs]:[SubPLOs]],"&gt;=8",tbl_task6[[SubPLOs]:[SubPLOs]],"&lt;9")+SUMIFS(tbl_task7[S153],tbl_task7[[SubPLOs]:[SubPLOs]],"&gt;=8",tbl_task7[[SubPLOs]:[SubPLOs]],"&lt;9")+SUMIFS(tbl_task8[S153],tbl_task8[[SubPLOs]:[SubPLOs]],"&gt;=8",tbl_task8[[SubPLOs]:[SubPLOs]],"&lt;9")+SUMIFS(tbl_task9[S153],tbl_task9[[SubPLOs]:[SubPLOs]],"&gt;=8",tbl_task9[[SubPLOs]:[SubPLOs]],"&lt;9")+SUMIFS(tbl_task10[S153],tbl_task10[[SubPLOs]:[SubPLOs]],"&gt;=8",tbl_task10[[SubPLOs]:[SubPLOs]],"&lt;9")</f>
        <v>0</v>
      </c>
      <c r="FC187" s="41">
        <f>SUMIFS(tbl_task1[S154],tbl_task1[[SubPLOs]:[SubPLOs]],"&gt;=8",tbl_task1[[SubPLOs]:[SubPLOs]],"&lt;9")+SUMIFS(tbl_task2[S154],tbl_task2[[SubPLOs]:[SubPLOs]],"&gt;=8",tbl_task2[[SubPLOs]:[SubPLOs]],"&lt;9")+SUMIFS(tbl_task3[S154],tbl_task3[[SubPLOs]:[SubPLOs]],"&gt;=8",tbl_task3[[SubPLOs]:[SubPLOs]],"&lt;9")+SUMIFS(tbl_task4[S154],tbl_task4[[SubPLOs]:[SubPLOs]],"&gt;=8",tbl_task4[[SubPLOs]:[SubPLOs]],"&lt;9")+SUMIFS(tbl_task5[S154],tbl_task5[[SubPLOs]:[SubPLOs]],"&gt;=8",tbl_task5[[SubPLOs]:[SubPLOs]],"&lt;9")+SUMIFS(tbl_task6[S154],tbl_task6[[SubPLOs]:[SubPLOs]],"&gt;=8",tbl_task6[[SubPLOs]:[SubPLOs]],"&lt;9")+SUMIFS(tbl_task7[S154],tbl_task7[[SubPLOs]:[SubPLOs]],"&gt;=8",tbl_task7[[SubPLOs]:[SubPLOs]],"&lt;9")+SUMIFS(tbl_task8[S154],tbl_task8[[SubPLOs]:[SubPLOs]],"&gt;=8",tbl_task8[[SubPLOs]:[SubPLOs]],"&lt;9")+SUMIFS(tbl_task9[S154],tbl_task9[[SubPLOs]:[SubPLOs]],"&gt;=8",tbl_task9[[SubPLOs]:[SubPLOs]],"&lt;9")+SUMIFS(tbl_task10[S154],tbl_task10[[SubPLOs]:[SubPLOs]],"&gt;=8",tbl_task10[[SubPLOs]:[SubPLOs]],"&lt;9")</f>
        <v>0</v>
      </c>
      <c r="FD187" s="41">
        <f>SUMIFS(tbl_task1[S155],tbl_task1[[SubPLOs]:[SubPLOs]],"&gt;=8",tbl_task1[[SubPLOs]:[SubPLOs]],"&lt;9")+SUMIFS(tbl_task2[S155],tbl_task2[[SubPLOs]:[SubPLOs]],"&gt;=8",tbl_task2[[SubPLOs]:[SubPLOs]],"&lt;9")+SUMIFS(tbl_task3[S155],tbl_task3[[SubPLOs]:[SubPLOs]],"&gt;=8",tbl_task3[[SubPLOs]:[SubPLOs]],"&lt;9")+SUMIFS(tbl_task4[S155],tbl_task4[[SubPLOs]:[SubPLOs]],"&gt;=8",tbl_task4[[SubPLOs]:[SubPLOs]],"&lt;9")+SUMIFS(tbl_task5[S155],tbl_task5[[SubPLOs]:[SubPLOs]],"&gt;=8",tbl_task5[[SubPLOs]:[SubPLOs]],"&lt;9")+SUMIFS(tbl_task6[S155],tbl_task6[[SubPLOs]:[SubPLOs]],"&gt;=8",tbl_task6[[SubPLOs]:[SubPLOs]],"&lt;9")+SUMIFS(tbl_task7[S155],tbl_task7[[SubPLOs]:[SubPLOs]],"&gt;=8",tbl_task7[[SubPLOs]:[SubPLOs]],"&lt;9")+SUMIFS(tbl_task8[S155],tbl_task8[[SubPLOs]:[SubPLOs]],"&gt;=8",tbl_task8[[SubPLOs]:[SubPLOs]],"&lt;9")+SUMIFS(tbl_task9[S155],tbl_task9[[SubPLOs]:[SubPLOs]],"&gt;=8",tbl_task9[[SubPLOs]:[SubPLOs]],"&lt;9")+SUMIFS(tbl_task10[S155],tbl_task10[[SubPLOs]:[SubPLOs]],"&gt;=8",tbl_task10[[SubPLOs]:[SubPLOs]],"&lt;9")</f>
        <v>0</v>
      </c>
      <c r="FE187" s="41">
        <f>SUMIFS(tbl_task1[S156],tbl_task1[[SubPLOs]:[SubPLOs]],"&gt;=8",tbl_task1[[SubPLOs]:[SubPLOs]],"&lt;9")+SUMIFS(tbl_task2[S156],tbl_task2[[SubPLOs]:[SubPLOs]],"&gt;=8",tbl_task2[[SubPLOs]:[SubPLOs]],"&lt;9")+SUMIFS(tbl_task3[S156],tbl_task3[[SubPLOs]:[SubPLOs]],"&gt;=8",tbl_task3[[SubPLOs]:[SubPLOs]],"&lt;9")+SUMIFS(tbl_task4[S156],tbl_task4[[SubPLOs]:[SubPLOs]],"&gt;=8",tbl_task4[[SubPLOs]:[SubPLOs]],"&lt;9")+SUMIFS(tbl_task5[S156],tbl_task5[[SubPLOs]:[SubPLOs]],"&gt;=8",tbl_task5[[SubPLOs]:[SubPLOs]],"&lt;9")+SUMIFS(tbl_task6[S156],tbl_task6[[SubPLOs]:[SubPLOs]],"&gt;=8",tbl_task6[[SubPLOs]:[SubPLOs]],"&lt;9")+SUMIFS(tbl_task7[S156],tbl_task7[[SubPLOs]:[SubPLOs]],"&gt;=8",tbl_task7[[SubPLOs]:[SubPLOs]],"&lt;9")+SUMIFS(tbl_task8[S156],tbl_task8[[SubPLOs]:[SubPLOs]],"&gt;=8",tbl_task8[[SubPLOs]:[SubPLOs]],"&lt;9")+SUMIFS(tbl_task9[S156],tbl_task9[[SubPLOs]:[SubPLOs]],"&gt;=8",tbl_task9[[SubPLOs]:[SubPLOs]],"&lt;9")+SUMIFS(tbl_task10[S156],tbl_task10[[SubPLOs]:[SubPLOs]],"&gt;=8",tbl_task10[[SubPLOs]:[SubPLOs]],"&lt;9")</f>
        <v>0</v>
      </c>
      <c r="FF187" s="41">
        <f>SUMIFS(tbl_task1[S157],tbl_task1[[SubPLOs]:[SubPLOs]],"&gt;=8",tbl_task1[[SubPLOs]:[SubPLOs]],"&lt;9")+SUMIFS(tbl_task2[S157],tbl_task2[[SubPLOs]:[SubPLOs]],"&gt;=8",tbl_task2[[SubPLOs]:[SubPLOs]],"&lt;9")+SUMIFS(tbl_task3[S157],tbl_task3[[SubPLOs]:[SubPLOs]],"&gt;=8",tbl_task3[[SubPLOs]:[SubPLOs]],"&lt;9")+SUMIFS(tbl_task4[S157],tbl_task4[[SubPLOs]:[SubPLOs]],"&gt;=8",tbl_task4[[SubPLOs]:[SubPLOs]],"&lt;9")+SUMIFS(tbl_task5[S157],tbl_task5[[SubPLOs]:[SubPLOs]],"&gt;=8",tbl_task5[[SubPLOs]:[SubPLOs]],"&lt;9")+SUMIFS(tbl_task6[S157],tbl_task6[[SubPLOs]:[SubPLOs]],"&gt;=8",tbl_task6[[SubPLOs]:[SubPLOs]],"&lt;9")+SUMIFS(tbl_task7[S157],tbl_task7[[SubPLOs]:[SubPLOs]],"&gt;=8",tbl_task7[[SubPLOs]:[SubPLOs]],"&lt;9")+SUMIFS(tbl_task8[S157],tbl_task8[[SubPLOs]:[SubPLOs]],"&gt;=8",tbl_task8[[SubPLOs]:[SubPLOs]],"&lt;9")+SUMIFS(tbl_task9[S157],tbl_task9[[SubPLOs]:[SubPLOs]],"&gt;=8",tbl_task9[[SubPLOs]:[SubPLOs]],"&lt;9")+SUMIFS(tbl_task10[S157],tbl_task10[[SubPLOs]:[SubPLOs]],"&gt;=8",tbl_task10[[SubPLOs]:[SubPLOs]],"&lt;9")</f>
        <v>0</v>
      </c>
      <c r="FG187" s="41">
        <f>SUMIFS(tbl_task1[S158],tbl_task1[[SubPLOs]:[SubPLOs]],"&gt;=8",tbl_task1[[SubPLOs]:[SubPLOs]],"&lt;9")+SUMIFS(tbl_task2[S158],tbl_task2[[SubPLOs]:[SubPLOs]],"&gt;=8",tbl_task2[[SubPLOs]:[SubPLOs]],"&lt;9")+SUMIFS(tbl_task3[S158],tbl_task3[[SubPLOs]:[SubPLOs]],"&gt;=8",tbl_task3[[SubPLOs]:[SubPLOs]],"&lt;9")+SUMIFS(tbl_task4[S158],tbl_task4[[SubPLOs]:[SubPLOs]],"&gt;=8",tbl_task4[[SubPLOs]:[SubPLOs]],"&lt;9")+SUMIFS(tbl_task5[S158],tbl_task5[[SubPLOs]:[SubPLOs]],"&gt;=8",tbl_task5[[SubPLOs]:[SubPLOs]],"&lt;9")+SUMIFS(tbl_task6[S158],tbl_task6[[SubPLOs]:[SubPLOs]],"&gt;=8",tbl_task6[[SubPLOs]:[SubPLOs]],"&lt;9")+SUMIFS(tbl_task7[S158],tbl_task7[[SubPLOs]:[SubPLOs]],"&gt;=8",tbl_task7[[SubPLOs]:[SubPLOs]],"&lt;9")+SUMIFS(tbl_task8[S158],tbl_task8[[SubPLOs]:[SubPLOs]],"&gt;=8",tbl_task8[[SubPLOs]:[SubPLOs]],"&lt;9")+SUMIFS(tbl_task9[S158],tbl_task9[[SubPLOs]:[SubPLOs]],"&gt;=8",tbl_task9[[SubPLOs]:[SubPLOs]],"&lt;9")+SUMIFS(tbl_task10[S158],tbl_task10[[SubPLOs]:[SubPLOs]],"&gt;=8",tbl_task10[[SubPLOs]:[SubPLOs]],"&lt;9")</f>
        <v>0</v>
      </c>
      <c r="FH187" s="41">
        <f>SUMIFS(tbl_task1[S159],tbl_task1[[SubPLOs]:[SubPLOs]],"&gt;=8",tbl_task1[[SubPLOs]:[SubPLOs]],"&lt;9")+SUMIFS(tbl_task2[S159],tbl_task2[[SubPLOs]:[SubPLOs]],"&gt;=8",tbl_task2[[SubPLOs]:[SubPLOs]],"&lt;9")+SUMIFS(tbl_task3[S159],tbl_task3[[SubPLOs]:[SubPLOs]],"&gt;=8",tbl_task3[[SubPLOs]:[SubPLOs]],"&lt;9")+SUMIFS(tbl_task4[S159],tbl_task4[[SubPLOs]:[SubPLOs]],"&gt;=8",tbl_task4[[SubPLOs]:[SubPLOs]],"&lt;9")+SUMIFS(tbl_task5[S159],tbl_task5[[SubPLOs]:[SubPLOs]],"&gt;=8",tbl_task5[[SubPLOs]:[SubPLOs]],"&lt;9")+SUMIFS(tbl_task6[S159],tbl_task6[[SubPLOs]:[SubPLOs]],"&gt;=8",tbl_task6[[SubPLOs]:[SubPLOs]],"&lt;9")+SUMIFS(tbl_task7[S159],tbl_task7[[SubPLOs]:[SubPLOs]],"&gt;=8",tbl_task7[[SubPLOs]:[SubPLOs]],"&lt;9")+SUMIFS(tbl_task8[S159],tbl_task8[[SubPLOs]:[SubPLOs]],"&gt;=8",tbl_task8[[SubPLOs]:[SubPLOs]],"&lt;9")+SUMIFS(tbl_task9[S159],tbl_task9[[SubPLOs]:[SubPLOs]],"&gt;=8",tbl_task9[[SubPLOs]:[SubPLOs]],"&lt;9")+SUMIFS(tbl_task10[S159],tbl_task10[[SubPLOs]:[SubPLOs]],"&gt;=8",tbl_task10[[SubPLOs]:[SubPLOs]],"&lt;9")</f>
        <v>0</v>
      </c>
      <c r="FI187" s="41">
        <f>SUMIFS(tbl_task1[S160],tbl_task1[[SubPLOs]:[SubPLOs]],"&gt;=8",tbl_task1[[SubPLOs]:[SubPLOs]],"&lt;9")+SUMIFS(tbl_task2[S160],tbl_task2[[SubPLOs]:[SubPLOs]],"&gt;=8",tbl_task2[[SubPLOs]:[SubPLOs]],"&lt;9")+SUMIFS(tbl_task3[S160],tbl_task3[[SubPLOs]:[SubPLOs]],"&gt;=8",tbl_task3[[SubPLOs]:[SubPLOs]],"&lt;9")+SUMIFS(tbl_task4[S160],tbl_task4[[SubPLOs]:[SubPLOs]],"&gt;=8",tbl_task4[[SubPLOs]:[SubPLOs]],"&lt;9")+SUMIFS(tbl_task5[S160],tbl_task5[[SubPLOs]:[SubPLOs]],"&gt;=8",tbl_task5[[SubPLOs]:[SubPLOs]],"&lt;9")+SUMIFS(tbl_task6[S160],tbl_task6[[SubPLOs]:[SubPLOs]],"&gt;=8",tbl_task6[[SubPLOs]:[SubPLOs]],"&lt;9")+SUMIFS(tbl_task7[S160],tbl_task7[[SubPLOs]:[SubPLOs]],"&gt;=8",tbl_task7[[SubPLOs]:[SubPLOs]],"&lt;9")+SUMIFS(tbl_task8[S160],tbl_task8[[SubPLOs]:[SubPLOs]],"&gt;=8",tbl_task8[[SubPLOs]:[SubPLOs]],"&lt;9")+SUMIFS(tbl_task9[S160],tbl_task9[[SubPLOs]:[SubPLOs]],"&gt;=8",tbl_task9[[SubPLOs]:[SubPLOs]],"&lt;9")+SUMIFS(tbl_task10[S160],tbl_task10[[SubPLOs]:[SubPLOs]],"&gt;=8",tbl_task10[[SubPLOs]:[SubPLOs]],"&lt;9")</f>
        <v>0</v>
      </c>
      <c r="FJ187" s="41">
        <f>SUMIFS(tbl_task1[S161],tbl_task1[[SubPLOs]:[SubPLOs]],"&gt;=8",tbl_task1[[SubPLOs]:[SubPLOs]],"&lt;9")+SUMIFS(tbl_task2[S161],tbl_task2[[SubPLOs]:[SubPLOs]],"&gt;=8",tbl_task2[[SubPLOs]:[SubPLOs]],"&lt;9")+SUMIFS(tbl_task3[S161],tbl_task3[[SubPLOs]:[SubPLOs]],"&gt;=8",tbl_task3[[SubPLOs]:[SubPLOs]],"&lt;9")+SUMIFS(tbl_task4[S161],tbl_task4[[SubPLOs]:[SubPLOs]],"&gt;=8",tbl_task4[[SubPLOs]:[SubPLOs]],"&lt;9")+SUMIFS(tbl_task5[S161],tbl_task5[[SubPLOs]:[SubPLOs]],"&gt;=8",tbl_task5[[SubPLOs]:[SubPLOs]],"&lt;9")+SUMIFS(tbl_task6[S161],tbl_task6[[SubPLOs]:[SubPLOs]],"&gt;=8",tbl_task6[[SubPLOs]:[SubPLOs]],"&lt;9")+SUMIFS(tbl_task7[S161],tbl_task7[[SubPLOs]:[SubPLOs]],"&gt;=8",tbl_task7[[SubPLOs]:[SubPLOs]],"&lt;9")+SUMIFS(tbl_task8[S161],tbl_task8[[SubPLOs]:[SubPLOs]],"&gt;=8",tbl_task8[[SubPLOs]:[SubPLOs]],"&lt;9")+SUMIFS(tbl_task9[S161],tbl_task9[[SubPLOs]:[SubPLOs]],"&gt;=8",tbl_task9[[SubPLOs]:[SubPLOs]],"&lt;9")+SUMIFS(tbl_task10[S161],tbl_task10[[SubPLOs]:[SubPLOs]],"&gt;=8",tbl_task10[[SubPLOs]:[SubPLOs]],"&lt;9")</f>
        <v>0</v>
      </c>
      <c r="FK187" s="41">
        <f>SUMIFS(tbl_task1[S162],tbl_task1[[SubPLOs]:[SubPLOs]],"&gt;=8",tbl_task1[[SubPLOs]:[SubPLOs]],"&lt;9")+SUMIFS(tbl_task2[S162],tbl_task2[[SubPLOs]:[SubPLOs]],"&gt;=8",tbl_task2[[SubPLOs]:[SubPLOs]],"&lt;9")+SUMIFS(tbl_task3[S162],tbl_task3[[SubPLOs]:[SubPLOs]],"&gt;=8",tbl_task3[[SubPLOs]:[SubPLOs]],"&lt;9")+SUMIFS(tbl_task4[S162],tbl_task4[[SubPLOs]:[SubPLOs]],"&gt;=8",tbl_task4[[SubPLOs]:[SubPLOs]],"&lt;9")+SUMIFS(tbl_task5[S162],tbl_task5[[SubPLOs]:[SubPLOs]],"&gt;=8",tbl_task5[[SubPLOs]:[SubPLOs]],"&lt;9")+SUMIFS(tbl_task6[S162],tbl_task6[[SubPLOs]:[SubPLOs]],"&gt;=8",tbl_task6[[SubPLOs]:[SubPLOs]],"&lt;9")+SUMIFS(tbl_task7[S162],tbl_task7[[SubPLOs]:[SubPLOs]],"&gt;=8",tbl_task7[[SubPLOs]:[SubPLOs]],"&lt;9")+SUMIFS(tbl_task8[S162],tbl_task8[[SubPLOs]:[SubPLOs]],"&gt;=8",tbl_task8[[SubPLOs]:[SubPLOs]],"&lt;9")+SUMIFS(tbl_task9[S162],tbl_task9[[SubPLOs]:[SubPLOs]],"&gt;=8",tbl_task9[[SubPLOs]:[SubPLOs]],"&lt;9")+SUMIFS(tbl_task10[S162],tbl_task10[[SubPLOs]:[SubPLOs]],"&gt;=8",tbl_task10[[SubPLOs]:[SubPLOs]],"&lt;9")</f>
        <v>0</v>
      </c>
      <c r="FL187" s="41">
        <f>SUMIFS(tbl_task1[S163],tbl_task1[[SubPLOs]:[SubPLOs]],"&gt;=8",tbl_task1[[SubPLOs]:[SubPLOs]],"&lt;9")+SUMIFS(tbl_task2[S163],tbl_task2[[SubPLOs]:[SubPLOs]],"&gt;=8",tbl_task2[[SubPLOs]:[SubPLOs]],"&lt;9")+SUMIFS(tbl_task3[S163],tbl_task3[[SubPLOs]:[SubPLOs]],"&gt;=8",tbl_task3[[SubPLOs]:[SubPLOs]],"&lt;9")+SUMIFS(tbl_task4[S163],tbl_task4[[SubPLOs]:[SubPLOs]],"&gt;=8",tbl_task4[[SubPLOs]:[SubPLOs]],"&lt;9")+SUMIFS(tbl_task5[S163],tbl_task5[[SubPLOs]:[SubPLOs]],"&gt;=8",tbl_task5[[SubPLOs]:[SubPLOs]],"&lt;9")+SUMIFS(tbl_task6[S163],tbl_task6[[SubPLOs]:[SubPLOs]],"&gt;=8",tbl_task6[[SubPLOs]:[SubPLOs]],"&lt;9")+SUMIFS(tbl_task7[S163],tbl_task7[[SubPLOs]:[SubPLOs]],"&gt;=8",tbl_task7[[SubPLOs]:[SubPLOs]],"&lt;9")+SUMIFS(tbl_task8[S163],tbl_task8[[SubPLOs]:[SubPLOs]],"&gt;=8",tbl_task8[[SubPLOs]:[SubPLOs]],"&lt;9")+SUMIFS(tbl_task9[S163],tbl_task9[[SubPLOs]:[SubPLOs]],"&gt;=8",tbl_task9[[SubPLOs]:[SubPLOs]],"&lt;9")+SUMIFS(tbl_task10[S163],tbl_task10[[SubPLOs]:[SubPLOs]],"&gt;=8",tbl_task10[[SubPLOs]:[SubPLOs]],"&lt;9")</f>
        <v>0</v>
      </c>
      <c r="FM187" s="41">
        <f>SUMIFS(tbl_task1[S164],tbl_task1[[SubPLOs]:[SubPLOs]],"&gt;=8",tbl_task1[[SubPLOs]:[SubPLOs]],"&lt;9")+SUMIFS(tbl_task2[S164],tbl_task2[[SubPLOs]:[SubPLOs]],"&gt;=8",tbl_task2[[SubPLOs]:[SubPLOs]],"&lt;9")+SUMIFS(tbl_task3[S164],tbl_task3[[SubPLOs]:[SubPLOs]],"&gt;=8",tbl_task3[[SubPLOs]:[SubPLOs]],"&lt;9")+SUMIFS(tbl_task4[S164],tbl_task4[[SubPLOs]:[SubPLOs]],"&gt;=8",tbl_task4[[SubPLOs]:[SubPLOs]],"&lt;9")+SUMIFS(tbl_task5[S164],tbl_task5[[SubPLOs]:[SubPLOs]],"&gt;=8",tbl_task5[[SubPLOs]:[SubPLOs]],"&lt;9")+SUMIFS(tbl_task6[S164],tbl_task6[[SubPLOs]:[SubPLOs]],"&gt;=8",tbl_task6[[SubPLOs]:[SubPLOs]],"&lt;9")+SUMIFS(tbl_task7[S164],tbl_task7[[SubPLOs]:[SubPLOs]],"&gt;=8",tbl_task7[[SubPLOs]:[SubPLOs]],"&lt;9")+SUMIFS(tbl_task8[S164],tbl_task8[[SubPLOs]:[SubPLOs]],"&gt;=8",tbl_task8[[SubPLOs]:[SubPLOs]],"&lt;9")+SUMIFS(tbl_task9[S164],tbl_task9[[SubPLOs]:[SubPLOs]],"&gt;=8",tbl_task9[[SubPLOs]:[SubPLOs]],"&lt;9")+SUMIFS(tbl_task10[S164],tbl_task10[[SubPLOs]:[SubPLOs]],"&gt;=8",tbl_task10[[SubPLOs]:[SubPLOs]],"&lt;9")</f>
        <v>0</v>
      </c>
      <c r="FN187" s="41">
        <f>SUMIFS(tbl_task1[S165],tbl_task1[[SubPLOs]:[SubPLOs]],"&gt;=8",tbl_task1[[SubPLOs]:[SubPLOs]],"&lt;9")+SUMIFS(tbl_task2[S165],tbl_task2[[SubPLOs]:[SubPLOs]],"&gt;=8",tbl_task2[[SubPLOs]:[SubPLOs]],"&lt;9")+SUMIFS(tbl_task3[S165],tbl_task3[[SubPLOs]:[SubPLOs]],"&gt;=8",tbl_task3[[SubPLOs]:[SubPLOs]],"&lt;9")+SUMIFS(tbl_task4[S165],tbl_task4[[SubPLOs]:[SubPLOs]],"&gt;=8",tbl_task4[[SubPLOs]:[SubPLOs]],"&lt;9")+SUMIFS(tbl_task5[S165],tbl_task5[[SubPLOs]:[SubPLOs]],"&gt;=8",tbl_task5[[SubPLOs]:[SubPLOs]],"&lt;9")+SUMIFS(tbl_task6[S165],tbl_task6[[SubPLOs]:[SubPLOs]],"&gt;=8",tbl_task6[[SubPLOs]:[SubPLOs]],"&lt;9")+SUMIFS(tbl_task7[S165],tbl_task7[[SubPLOs]:[SubPLOs]],"&gt;=8",tbl_task7[[SubPLOs]:[SubPLOs]],"&lt;9")+SUMIFS(tbl_task8[S165],tbl_task8[[SubPLOs]:[SubPLOs]],"&gt;=8",tbl_task8[[SubPLOs]:[SubPLOs]],"&lt;9")+SUMIFS(tbl_task9[S165],tbl_task9[[SubPLOs]:[SubPLOs]],"&gt;=8",tbl_task9[[SubPLOs]:[SubPLOs]],"&lt;9")+SUMIFS(tbl_task10[S165],tbl_task10[[SubPLOs]:[SubPLOs]],"&gt;=8",tbl_task10[[SubPLOs]:[SubPLOs]],"&lt;9")</f>
        <v>0</v>
      </c>
    </row>
    <row r="188" spans="1:170" ht="106.2" customHeight="1" x14ac:dyDescent="0.25">
      <c r="A188" s="135">
        <v>9</v>
      </c>
      <c r="B188" s="5" t="s">
        <v>442</v>
      </c>
      <c r="C188" s="86">
        <f>COUNTIFS(tbl_task1[SubPLOs],"&gt;=9",tbl_task1[SubPLOs],"&lt;10")+COUNTIFS(tbl_task2[SubPLOs],"&gt;=9",tbl_task2[SubPLOs],"&lt;10")+COUNTIFS(tbl_task3[SubPLOs],"&gt;=9",tbl_task3[SubPLOs],"&lt;10")+COUNTIFS(tbl_task4[SubPLOs],"&gt;=9",tbl_task4[SubPLOs],"&lt;10")+COUNTIFS(tbl_task5[SubPLOs],"&gt;=9",tbl_task5[SubPLOs],"&lt;10")+COUNTIFS(tbl_task6[SubPLOs],"&gt;=9",tbl_task6[SubPLOs],"&lt;10")+COUNTIFS(tbl_task7[SubPLOs],"&gt;=9",tbl_task7[SubPLOs],"&lt;10")+COUNTIFS(tbl_task8[SubPLOs],"&gt;=9",tbl_task8[SubPLOs],"&lt;10")+COUNTIFS(tbl_task9[SubPLOs],"&gt;=9",tbl_task9[SubPLOs],"&lt;10")+COUNTIFS(tbl_task10[SubPLOs],"&gt;=9",tbl_task10[SubPLOs],"&lt;10")</f>
        <v>0</v>
      </c>
      <c r="D188" s="86">
        <f>SUMIFS(tbl_task1[คะแนนเต็ม],tbl_task1[SubPLOs],"&gt;=9",tbl_task1[SubPLOs],"&lt;10")+SUMIFS(tbl_task2[คะแนนเต็ม],tbl_task2[SubPLOs],"&gt;=9",tbl_task2[SubPLOs],"&lt;10")+SUMIFS(tbl_task3[คะแนนเต็ม],tbl_task3[SubPLOs],"&gt;=9",tbl_task3[SubPLOs],"&lt;10")+SUMIFS(tbl_task4[คะแนนเต็ม],tbl_task4[SubPLOs],"&gt;=9",tbl_task4[SubPLOs],"&lt;10")+SUMIFS(tbl_task5[คะแนนเต็ม],tbl_task5[SubPLOs],"&gt;=9",tbl_task5[SubPLOs],"&lt;10")+SUMIFS(tbl_task6[คะแนนเต็ม],tbl_task6[SubPLOs],"&gt;=9",tbl_task6[SubPLOs],"&lt;10")+SUMIFS(tbl_task7[คะแนนเต็ม],tbl_task7[SubPLOs],"&gt;=9",tbl_task7[SubPLOs],"&lt;10")+SUMIFS(tbl_task8[คะแนนเต็ม],tbl_task8[SubPLOs],"&gt;=9",tbl_task8[SubPLOs],"&lt;10")+SUMIFS(tbl_task9[คะแนนเต็ม],tbl_task9[SubPLOs],"&gt;=9",tbl_task9[SubPLOs],"&lt;10")+SUMIFS(tbl_task10[คะแนนเต็ม],tbl_task10[SubPLOs],"&gt;=9",tbl_task10[SubPLOs],"&lt;10")</f>
        <v>0</v>
      </c>
      <c r="E188" s="47">
        <f>SUMIFS(tbl_task1[%],tbl_task1[SubPLOs],"&gt;=9",tbl_task1[SubPLOs],"&lt;10")+SUMIFS(tbl_task2[%],tbl_task2[SubPLOs],"&gt;=9",tbl_task2[SubPLOs],"&lt;10")+SUMIFS(tbl_task3[%],tbl_task3[SubPLOs],"&gt;=9",tbl_task3[SubPLOs],"&lt;10")+SUMIFS(tbl_task4[%],tbl_task4[SubPLOs],"&gt;=9",tbl_task4[SubPLOs],"&lt;10")+SUMIFS(tbl_task5[%],tbl_task5[SubPLOs],"&gt;=9",tbl_task5[SubPLOs],"&lt;10")+SUMIFS(tbl_task6[%],tbl_task6[SubPLOs],"&gt;=9",tbl_task6[SubPLOs],"&lt;10")+SUMIFS(tbl_task7[%],tbl_task7[SubPLOs],"&gt;=9",tbl_task7[SubPLOs],"&lt;10")+SUMIFS(tbl_task8[%],tbl_task8[SubPLOs],"&gt;=9",tbl_task8[SubPLOs],"&lt;10")+SUMIFS(tbl_task9[%],tbl_task9[SubPLOs],"&gt;=9",tbl_task9[SubPLOs],"&lt;10")+SUMIFS(tbl_task10[%],tbl_task10[SubPLOs],"&gt;=9",tbl_task10[SubPLOs],"&lt;10")</f>
        <v>0</v>
      </c>
      <c r="F188" s="41">
        <f>SUMIFS(tbl_task1[S1],tbl_task1[[SubPLOs]:[SubPLOs]],"&gt;=9",tbl_task1[[SubPLOs]:[SubPLOs]],"&lt;10")+SUMIFS(tbl_task2[S1],tbl_task2[[SubPLOs]:[SubPLOs]],"&gt;=9",tbl_task2[[SubPLOs]:[SubPLOs]],"&lt;10")+SUMIFS(tbl_task3[S1],tbl_task3[[SubPLOs]:[SubPLOs]],"&gt;=9",tbl_task3[[SubPLOs]:[SubPLOs]],"&lt;10")+SUMIFS(tbl_task4[S1],tbl_task4[[SubPLOs]:[SubPLOs]],"&gt;=9",tbl_task4[[SubPLOs]:[SubPLOs]],"&lt;10")+SUMIFS(tbl_task5[S1],tbl_task5[[SubPLOs]:[SubPLOs]],"&gt;=9",tbl_task5[[SubPLOs]:[SubPLOs]],"&lt;10")+SUMIFS(tbl_task6[S1],tbl_task6[[SubPLOs]:[SubPLOs]],"&gt;=9",tbl_task6[[SubPLOs]:[SubPLOs]],"&lt;10")+SUMIFS(tbl_task7[S1],tbl_task7[[SubPLOs]:[SubPLOs]],"&gt;=9",tbl_task7[[SubPLOs]:[SubPLOs]],"&lt;10")+SUMIFS(tbl_task8[S1],tbl_task8[[SubPLOs]:[SubPLOs]],"&gt;=9",tbl_task8[[SubPLOs]:[SubPLOs]],"&lt;10")+SUMIFS(tbl_task9[S1],tbl_task9[[SubPLOs]:[SubPLOs]],"&gt;=9",tbl_task9[[SubPLOs]:[SubPLOs]],"&lt;10")+SUMIFS(tbl_task10[S1],tbl_task10[[SubPLOs]:[SubPLOs]],"&gt;=9",tbl_task10[[SubPLOs]:[SubPLOs]],"&lt;10")</f>
        <v>0</v>
      </c>
      <c r="G188" s="41">
        <f>SUMIFS(tbl_task1[S2],tbl_task1[[SubPLOs]:[SubPLOs]],"&gt;=9",tbl_task1[[SubPLOs]:[SubPLOs]],"&lt;10")+SUMIFS(tbl_task2[S2],tbl_task2[[SubPLOs]:[SubPLOs]],"&gt;=9",tbl_task2[[SubPLOs]:[SubPLOs]],"&lt;10")+SUMIFS(tbl_task3[S2],tbl_task3[[SubPLOs]:[SubPLOs]],"&gt;=9",tbl_task3[[SubPLOs]:[SubPLOs]],"&lt;10")+SUMIFS(tbl_task4[S2],tbl_task4[[SubPLOs]:[SubPLOs]],"&gt;=9",tbl_task4[[SubPLOs]:[SubPLOs]],"&lt;10")+SUMIFS(tbl_task5[S2],tbl_task5[[SubPLOs]:[SubPLOs]],"&gt;=9",tbl_task5[[SubPLOs]:[SubPLOs]],"&lt;10")+SUMIFS(tbl_task6[S2],tbl_task6[[SubPLOs]:[SubPLOs]],"&gt;=9",tbl_task6[[SubPLOs]:[SubPLOs]],"&lt;10")+SUMIFS(tbl_task7[S2],tbl_task7[[SubPLOs]:[SubPLOs]],"&gt;=9",tbl_task7[[SubPLOs]:[SubPLOs]],"&lt;10")+SUMIFS(tbl_task8[S2],tbl_task8[[SubPLOs]:[SubPLOs]],"&gt;=9",tbl_task8[[SubPLOs]:[SubPLOs]],"&lt;10")+SUMIFS(tbl_task9[S2],tbl_task9[[SubPLOs]:[SubPLOs]],"&gt;=9",tbl_task9[[SubPLOs]:[SubPLOs]],"&lt;10")+SUMIFS(tbl_task10[S2],tbl_task10[[SubPLOs]:[SubPLOs]],"&gt;=9",tbl_task10[[SubPLOs]:[SubPLOs]],"&lt;10")</f>
        <v>0</v>
      </c>
      <c r="H188" s="41">
        <f>SUMIFS(tbl_task1[S3],tbl_task1[[SubPLOs]:[SubPLOs]],"&gt;=9",tbl_task1[[SubPLOs]:[SubPLOs]],"&lt;10")+SUMIFS(tbl_task2[S3],tbl_task2[[SubPLOs]:[SubPLOs]],"&gt;=9",tbl_task2[[SubPLOs]:[SubPLOs]],"&lt;10")+SUMIFS(tbl_task3[S3],tbl_task3[[SubPLOs]:[SubPLOs]],"&gt;=9",tbl_task3[[SubPLOs]:[SubPLOs]],"&lt;10")+SUMIFS(tbl_task4[S3],tbl_task4[[SubPLOs]:[SubPLOs]],"&gt;=9",tbl_task4[[SubPLOs]:[SubPLOs]],"&lt;10")+SUMIFS(tbl_task5[S3],tbl_task5[[SubPLOs]:[SubPLOs]],"&gt;=9",tbl_task5[[SubPLOs]:[SubPLOs]],"&lt;10")+SUMIFS(tbl_task6[S3],tbl_task6[[SubPLOs]:[SubPLOs]],"&gt;=9",tbl_task6[[SubPLOs]:[SubPLOs]],"&lt;10")+SUMIFS(tbl_task7[S3],tbl_task7[[SubPLOs]:[SubPLOs]],"&gt;=9",tbl_task7[[SubPLOs]:[SubPLOs]],"&lt;10")+SUMIFS(tbl_task8[S3],tbl_task8[[SubPLOs]:[SubPLOs]],"&gt;=9",tbl_task8[[SubPLOs]:[SubPLOs]],"&lt;10")+SUMIFS(tbl_task9[S3],tbl_task9[[SubPLOs]:[SubPLOs]],"&gt;=9",tbl_task9[[SubPLOs]:[SubPLOs]],"&lt;10")+SUMIFS(tbl_task10[S3],tbl_task10[[SubPLOs]:[SubPLOs]],"&gt;=9",tbl_task10[[SubPLOs]:[SubPLOs]],"&lt;10")</f>
        <v>0</v>
      </c>
      <c r="I188" s="41">
        <f>SUMIFS(tbl_task1[S4],tbl_task1[[SubPLOs]:[SubPLOs]],"&gt;=9",tbl_task1[[SubPLOs]:[SubPLOs]],"&lt;10")+SUMIFS(tbl_task2[S4],tbl_task2[[SubPLOs]:[SubPLOs]],"&gt;=9",tbl_task2[[SubPLOs]:[SubPLOs]],"&lt;10")+SUMIFS(tbl_task3[S4],tbl_task3[[SubPLOs]:[SubPLOs]],"&gt;=9",tbl_task3[[SubPLOs]:[SubPLOs]],"&lt;10")+SUMIFS(tbl_task4[S4],tbl_task4[[SubPLOs]:[SubPLOs]],"&gt;=9",tbl_task4[[SubPLOs]:[SubPLOs]],"&lt;10")+SUMIFS(tbl_task5[S4],tbl_task5[[SubPLOs]:[SubPLOs]],"&gt;=9",tbl_task5[[SubPLOs]:[SubPLOs]],"&lt;10")+SUMIFS(tbl_task6[S4],tbl_task6[[SubPLOs]:[SubPLOs]],"&gt;=9",tbl_task6[[SubPLOs]:[SubPLOs]],"&lt;10")+SUMIFS(tbl_task7[S4],tbl_task7[[SubPLOs]:[SubPLOs]],"&gt;=9",tbl_task7[[SubPLOs]:[SubPLOs]],"&lt;10")+SUMIFS(tbl_task8[S4],tbl_task8[[SubPLOs]:[SubPLOs]],"&gt;=9",tbl_task8[[SubPLOs]:[SubPLOs]],"&lt;10")+SUMIFS(tbl_task9[S4],tbl_task9[[SubPLOs]:[SubPLOs]],"&gt;=9",tbl_task9[[SubPLOs]:[SubPLOs]],"&lt;10")+SUMIFS(tbl_task10[S4],tbl_task10[[SubPLOs]:[SubPLOs]],"&gt;=9",tbl_task10[[SubPLOs]:[SubPLOs]],"&lt;10")</f>
        <v>0</v>
      </c>
      <c r="J188" s="41">
        <f>SUMIFS(tbl_task1[S5],tbl_task1[[SubPLOs]:[SubPLOs]],"&gt;=9",tbl_task1[[SubPLOs]:[SubPLOs]],"&lt;10")+SUMIFS(tbl_task2[S5],tbl_task2[[SubPLOs]:[SubPLOs]],"&gt;=9",tbl_task2[[SubPLOs]:[SubPLOs]],"&lt;10")+SUMIFS(tbl_task3[S5],tbl_task3[[SubPLOs]:[SubPLOs]],"&gt;=9",tbl_task3[[SubPLOs]:[SubPLOs]],"&lt;10")+SUMIFS(tbl_task4[S5],tbl_task4[[SubPLOs]:[SubPLOs]],"&gt;=9",tbl_task4[[SubPLOs]:[SubPLOs]],"&lt;10")+SUMIFS(tbl_task5[S5],tbl_task5[[SubPLOs]:[SubPLOs]],"&gt;=9",tbl_task5[[SubPLOs]:[SubPLOs]],"&lt;10")+SUMIFS(tbl_task6[S5],tbl_task6[[SubPLOs]:[SubPLOs]],"&gt;=9",tbl_task6[[SubPLOs]:[SubPLOs]],"&lt;10")+SUMIFS(tbl_task7[S5],tbl_task7[[SubPLOs]:[SubPLOs]],"&gt;=9",tbl_task7[[SubPLOs]:[SubPLOs]],"&lt;10")+SUMIFS(tbl_task8[S5],tbl_task8[[SubPLOs]:[SubPLOs]],"&gt;=9",tbl_task8[[SubPLOs]:[SubPLOs]],"&lt;10")+SUMIFS(tbl_task9[S5],tbl_task9[[SubPLOs]:[SubPLOs]],"&gt;=9",tbl_task9[[SubPLOs]:[SubPLOs]],"&lt;10")+SUMIFS(tbl_task10[S5],tbl_task10[[SubPLOs]:[SubPLOs]],"&gt;=9",tbl_task10[[SubPLOs]:[SubPLOs]],"&lt;10")</f>
        <v>0</v>
      </c>
      <c r="K188" s="41">
        <f>SUMIFS(tbl_task1[S6],tbl_task1[[SubPLOs]:[SubPLOs]],"&gt;=9",tbl_task1[[SubPLOs]:[SubPLOs]],"&lt;10")+SUMIFS(tbl_task2[S6],tbl_task2[[SubPLOs]:[SubPLOs]],"&gt;=9",tbl_task2[[SubPLOs]:[SubPLOs]],"&lt;10")+SUMIFS(tbl_task3[S6],tbl_task3[[SubPLOs]:[SubPLOs]],"&gt;=9",tbl_task3[[SubPLOs]:[SubPLOs]],"&lt;10")+SUMIFS(tbl_task4[S6],tbl_task4[[SubPLOs]:[SubPLOs]],"&gt;=9",tbl_task4[[SubPLOs]:[SubPLOs]],"&lt;10")+SUMIFS(tbl_task5[S6],tbl_task5[[SubPLOs]:[SubPLOs]],"&gt;=9",tbl_task5[[SubPLOs]:[SubPLOs]],"&lt;10")+SUMIFS(tbl_task6[S6],tbl_task6[[SubPLOs]:[SubPLOs]],"&gt;=9",tbl_task6[[SubPLOs]:[SubPLOs]],"&lt;10")+SUMIFS(tbl_task7[S6],tbl_task7[[SubPLOs]:[SubPLOs]],"&gt;=9",tbl_task7[[SubPLOs]:[SubPLOs]],"&lt;10")+SUMIFS(tbl_task8[S6],tbl_task8[[SubPLOs]:[SubPLOs]],"&gt;=9",tbl_task8[[SubPLOs]:[SubPLOs]],"&lt;10")+SUMIFS(tbl_task9[S6],tbl_task9[[SubPLOs]:[SubPLOs]],"&gt;=9",tbl_task9[[SubPLOs]:[SubPLOs]],"&lt;10")+SUMIFS(tbl_task10[S6],tbl_task10[[SubPLOs]:[SubPLOs]],"&gt;=9",tbl_task10[[SubPLOs]:[SubPLOs]],"&lt;10")</f>
        <v>0</v>
      </c>
      <c r="L188" s="41">
        <f>SUMIFS(tbl_task1[S7],tbl_task1[[SubPLOs]:[SubPLOs]],"&gt;=9",tbl_task1[[SubPLOs]:[SubPLOs]],"&lt;10")+SUMIFS(tbl_task2[S7],tbl_task2[[SubPLOs]:[SubPLOs]],"&gt;=9",tbl_task2[[SubPLOs]:[SubPLOs]],"&lt;10")+SUMIFS(tbl_task3[S7],tbl_task3[[SubPLOs]:[SubPLOs]],"&gt;=9",tbl_task3[[SubPLOs]:[SubPLOs]],"&lt;10")+SUMIFS(tbl_task4[S7],tbl_task4[[SubPLOs]:[SubPLOs]],"&gt;=9",tbl_task4[[SubPLOs]:[SubPLOs]],"&lt;10")+SUMIFS(tbl_task5[S7],tbl_task5[[SubPLOs]:[SubPLOs]],"&gt;=9",tbl_task5[[SubPLOs]:[SubPLOs]],"&lt;10")+SUMIFS(tbl_task6[S7],tbl_task6[[SubPLOs]:[SubPLOs]],"&gt;=9",tbl_task6[[SubPLOs]:[SubPLOs]],"&lt;10")+SUMIFS(tbl_task7[S7],tbl_task7[[SubPLOs]:[SubPLOs]],"&gt;=9",tbl_task7[[SubPLOs]:[SubPLOs]],"&lt;10")+SUMIFS(tbl_task8[S7],tbl_task8[[SubPLOs]:[SubPLOs]],"&gt;=9",tbl_task8[[SubPLOs]:[SubPLOs]],"&lt;10")+SUMIFS(tbl_task9[S7],tbl_task9[[SubPLOs]:[SubPLOs]],"&gt;=9",tbl_task9[[SubPLOs]:[SubPLOs]],"&lt;10")+SUMIFS(tbl_task10[S7],tbl_task10[[SubPLOs]:[SubPLOs]],"&gt;=9",tbl_task10[[SubPLOs]:[SubPLOs]],"&lt;10")</f>
        <v>0</v>
      </c>
      <c r="M188" s="41">
        <f>SUMIFS(tbl_task1[S8],tbl_task1[[SubPLOs]:[SubPLOs]],"&gt;=9",tbl_task1[[SubPLOs]:[SubPLOs]],"&lt;10")+SUMIFS(tbl_task2[S8],tbl_task2[[SubPLOs]:[SubPLOs]],"&gt;=9",tbl_task2[[SubPLOs]:[SubPLOs]],"&lt;10")+SUMIFS(tbl_task3[S8],tbl_task3[[SubPLOs]:[SubPLOs]],"&gt;=9",tbl_task3[[SubPLOs]:[SubPLOs]],"&lt;10")+SUMIFS(tbl_task4[S8],tbl_task4[[SubPLOs]:[SubPLOs]],"&gt;=9",tbl_task4[[SubPLOs]:[SubPLOs]],"&lt;10")+SUMIFS(tbl_task5[S8],tbl_task5[[SubPLOs]:[SubPLOs]],"&gt;=9",tbl_task5[[SubPLOs]:[SubPLOs]],"&lt;10")+SUMIFS(tbl_task6[S8],tbl_task6[[SubPLOs]:[SubPLOs]],"&gt;=9",tbl_task6[[SubPLOs]:[SubPLOs]],"&lt;10")+SUMIFS(tbl_task7[S8],tbl_task7[[SubPLOs]:[SubPLOs]],"&gt;=9",tbl_task7[[SubPLOs]:[SubPLOs]],"&lt;10")+SUMIFS(tbl_task8[S8],tbl_task8[[SubPLOs]:[SubPLOs]],"&gt;=9",tbl_task8[[SubPLOs]:[SubPLOs]],"&lt;10")+SUMIFS(tbl_task9[S8],tbl_task9[[SubPLOs]:[SubPLOs]],"&gt;=9",tbl_task9[[SubPLOs]:[SubPLOs]],"&lt;10")+SUMIFS(tbl_task10[S8],tbl_task10[[SubPLOs]:[SubPLOs]],"&gt;=9",tbl_task10[[SubPLOs]:[SubPLOs]],"&lt;10")</f>
        <v>0</v>
      </c>
      <c r="N188" s="41">
        <f>SUMIFS(tbl_task1[S9],tbl_task1[[SubPLOs]:[SubPLOs]],"&gt;=9",tbl_task1[[SubPLOs]:[SubPLOs]],"&lt;10")+SUMIFS(tbl_task2[S9],tbl_task2[[SubPLOs]:[SubPLOs]],"&gt;=9",tbl_task2[[SubPLOs]:[SubPLOs]],"&lt;10")+SUMIFS(tbl_task3[S9],tbl_task3[[SubPLOs]:[SubPLOs]],"&gt;=9",tbl_task3[[SubPLOs]:[SubPLOs]],"&lt;10")+SUMIFS(tbl_task4[S9],tbl_task4[[SubPLOs]:[SubPLOs]],"&gt;=9",tbl_task4[[SubPLOs]:[SubPLOs]],"&lt;10")+SUMIFS(tbl_task5[S9],tbl_task5[[SubPLOs]:[SubPLOs]],"&gt;=9",tbl_task5[[SubPLOs]:[SubPLOs]],"&lt;10")+SUMIFS(tbl_task6[S9],tbl_task6[[SubPLOs]:[SubPLOs]],"&gt;=9",tbl_task6[[SubPLOs]:[SubPLOs]],"&lt;10")+SUMIFS(tbl_task7[S9],tbl_task7[[SubPLOs]:[SubPLOs]],"&gt;=9",tbl_task7[[SubPLOs]:[SubPLOs]],"&lt;10")+SUMIFS(tbl_task8[S9],tbl_task8[[SubPLOs]:[SubPLOs]],"&gt;=9",tbl_task8[[SubPLOs]:[SubPLOs]],"&lt;10")+SUMIFS(tbl_task9[S9],tbl_task9[[SubPLOs]:[SubPLOs]],"&gt;=9",tbl_task9[[SubPLOs]:[SubPLOs]],"&lt;10")+SUMIFS(tbl_task10[S9],tbl_task10[[SubPLOs]:[SubPLOs]],"&gt;=9",tbl_task10[[SubPLOs]:[SubPLOs]],"&lt;10")</f>
        <v>0</v>
      </c>
      <c r="O188" s="41">
        <f>SUMIFS(tbl_task1[S10],tbl_task1[[SubPLOs]:[SubPLOs]],"&gt;=9",tbl_task1[[SubPLOs]:[SubPLOs]],"&lt;10")+SUMIFS(tbl_task2[S10],tbl_task2[[SubPLOs]:[SubPLOs]],"&gt;=9",tbl_task2[[SubPLOs]:[SubPLOs]],"&lt;10")+SUMIFS(tbl_task3[S10],tbl_task3[[SubPLOs]:[SubPLOs]],"&gt;=9",tbl_task3[[SubPLOs]:[SubPLOs]],"&lt;10")+SUMIFS(tbl_task4[S10],tbl_task4[[SubPLOs]:[SubPLOs]],"&gt;=9",tbl_task4[[SubPLOs]:[SubPLOs]],"&lt;10")+SUMIFS(tbl_task5[S10],tbl_task5[[SubPLOs]:[SubPLOs]],"&gt;=9",tbl_task5[[SubPLOs]:[SubPLOs]],"&lt;10")+SUMIFS(tbl_task6[S10],tbl_task6[[SubPLOs]:[SubPLOs]],"&gt;=9",tbl_task6[[SubPLOs]:[SubPLOs]],"&lt;10")+SUMIFS(tbl_task7[S10],tbl_task7[[SubPLOs]:[SubPLOs]],"&gt;=9",tbl_task7[[SubPLOs]:[SubPLOs]],"&lt;10")+SUMIFS(tbl_task8[S10],tbl_task8[[SubPLOs]:[SubPLOs]],"&gt;=9",tbl_task8[[SubPLOs]:[SubPLOs]],"&lt;10")+SUMIFS(tbl_task9[S10],tbl_task9[[SubPLOs]:[SubPLOs]],"&gt;=9",tbl_task9[[SubPLOs]:[SubPLOs]],"&lt;10")+SUMIFS(tbl_task10[S10],tbl_task10[[SubPLOs]:[SubPLOs]],"&gt;=9",tbl_task10[[SubPLOs]:[SubPLOs]],"&lt;10")</f>
        <v>0</v>
      </c>
      <c r="P188" s="41">
        <f>SUMIFS(tbl_task1[S11],tbl_task1[[SubPLOs]:[SubPLOs]],"&gt;=9",tbl_task1[[SubPLOs]:[SubPLOs]],"&lt;10")+SUMIFS(tbl_task2[S11],tbl_task2[[SubPLOs]:[SubPLOs]],"&gt;=9",tbl_task2[[SubPLOs]:[SubPLOs]],"&lt;10")+SUMIFS(tbl_task3[S11],tbl_task3[[SubPLOs]:[SubPLOs]],"&gt;=9",tbl_task3[[SubPLOs]:[SubPLOs]],"&lt;10")+SUMIFS(tbl_task4[S11],tbl_task4[[SubPLOs]:[SubPLOs]],"&gt;=9",tbl_task4[[SubPLOs]:[SubPLOs]],"&lt;10")+SUMIFS(tbl_task5[S11],tbl_task5[[SubPLOs]:[SubPLOs]],"&gt;=9",tbl_task5[[SubPLOs]:[SubPLOs]],"&lt;10")+SUMIFS(tbl_task6[S11],tbl_task6[[SubPLOs]:[SubPLOs]],"&gt;=9",tbl_task6[[SubPLOs]:[SubPLOs]],"&lt;10")+SUMIFS(tbl_task7[S11],tbl_task7[[SubPLOs]:[SubPLOs]],"&gt;=9",tbl_task7[[SubPLOs]:[SubPLOs]],"&lt;10")+SUMIFS(tbl_task8[S11],tbl_task8[[SubPLOs]:[SubPLOs]],"&gt;=9",tbl_task8[[SubPLOs]:[SubPLOs]],"&lt;10")+SUMIFS(tbl_task9[S11],tbl_task9[[SubPLOs]:[SubPLOs]],"&gt;=9",tbl_task9[[SubPLOs]:[SubPLOs]],"&lt;10")+SUMIFS(tbl_task10[S11],tbl_task10[[SubPLOs]:[SubPLOs]],"&gt;=9",tbl_task10[[SubPLOs]:[SubPLOs]],"&lt;10")</f>
        <v>0</v>
      </c>
      <c r="Q188" s="41">
        <f>SUMIFS(tbl_task1[S12],tbl_task1[[SubPLOs]:[SubPLOs]],"&gt;=9",tbl_task1[[SubPLOs]:[SubPLOs]],"&lt;10")+SUMIFS(tbl_task2[S12],tbl_task2[[SubPLOs]:[SubPLOs]],"&gt;=9",tbl_task2[[SubPLOs]:[SubPLOs]],"&lt;10")+SUMIFS(tbl_task3[S12],tbl_task3[[SubPLOs]:[SubPLOs]],"&gt;=9",tbl_task3[[SubPLOs]:[SubPLOs]],"&lt;10")+SUMIFS(tbl_task4[S12],tbl_task4[[SubPLOs]:[SubPLOs]],"&gt;=9",tbl_task4[[SubPLOs]:[SubPLOs]],"&lt;10")+SUMIFS(tbl_task5[S12],tbl_task5[[SubPLOs]:[SubPLOs]],"&gt;=9",tbl_task5[[SubPLOs]:[SubPLOs]],"&lt;10")+SUMIFS(tbl_task6[S12],tbl_task6[[SubPLOs]:[SubPLOs]],"&gt;=9",tbl_task6[[SubPLOs]:[SubPLOs]],"&lt;10")+SUMIFS(tbl_task7[S12],tbl_task7[[SubPLOs]:[SubPLOs]],"&gt;=9",tbl_task7[[SubPLOs]:[SubPLOs]],"&lt;10")+SUMIFS(tbl_task8[S12],tbl_task8[[SubPLOs]:[SubPLOs]],"&gt;=9",tbl_task8[[SubPLOs]:[SubPLOs]],"&lt;10")+SUMIFS(tbl_task9[S12],tbl_task9[[SubPLOs]:[SubPLOs]],"&gt;=9",tbl_task9[[SubPLOs]:[SubPLOs]],"&lt;10")+SUMIFS(tbl_task10[S12],tbl_task10[[SubPLOs]:[SubPLOs]],"&gt;=9",tbl_task10[[SubPLOs]:[SubPLOs]],"&lt;10")</f>
        <v>0</v>
      </c>
      <c r="R188" s="41">
        <f>SUMIFS(tbl_task1[S13],tbl_task1[[SubPLOs]:[SubPLOs]],"&gt;=9",tbl_task1[[SubPLOs]:[SubPLOs]],"&lt;10")+SUMIFS(tbl_task2[S13],tbl_task2[[SubPLOs]:[SubPLOs]],"&gt;=9",tbl_task2[[SubPLOs]:[SubPLOs]],"&lt;10")+SUMIFS(tbl_task3[S13],tbl_task3[[SubPLOs]:[SubPLOs]],"&gt;=9",tbl_task3[[SubPLOs]:[SubPLOs]],"&lt;10")+SUMIFS(tbl_task4[S13],tbl_task4[[SubPLOs]:[SubPLOs]],"&gt;=9",tbl_task4[[SubPLOs]:[SubPLOs]],"&lt;10")+SUMIFS(tbl_task5[S13],tbl_task5[[SubPLOs]:[SubPLOs]],"&gt;=9",tbl_task5[[SubPLOs]:[SubPLOs]],"&lt;10")+SUMIFS(tbl_task6[S13],tbl_task6[[SubPLOs]:[SubPLOs]],"&gt;=9",tbl_task6[[SubPLOs]:[SubPLOs]],"&lt;10")+SUMIFS(tbl_task7[S13],tbl_task7[[SubPLOs]:[SubPLOs]],"&gt;=9",tbl_task7[[SubPLOs]:[SubPLOs]],"&lt;10")+SUMIFS(tbl_task8[S13],tbl_task8[[SubPLOs]:[SubPLOs]],"&gt;=9",tbl_task8[[SubPLOs]:[SubPLOs]],"&lt;10")+SUMIFS(tbl_task9[S13],tbl_task9[[SubPLOs]:[SubPLOs]],"&gt;=9",tbl_task9[[SubPLOs]:[SubPLOs]],"&lt;10")+SUMIFS(tbl_task10[S13],tbl_task10[[SubPLOs]:[SubPLOs]],"&gt;=9",tbl_task10[[SubPLOs]:[SubPLOs]],"&lt;10")</f>
        <v>0</v>
      </c>
      <c r="S188" s="41">
        <f>SUMIFS(tbl_task1[S14],tbl_task1[[SubPLOs]:[SubPLOs]],"&gt;=9",tbl_task1[[SubPLOs]:[SubPLOs]],"&lt;10")+SUMIFS(tbl_task2[S14],tbl_task2[[SubPLOs]:[SubPLOs]],"&gt;=9",tbl_task2[[SubPLOs]:[SubPLOs]],"&lt;10")+SUMIFS(tbl_task3[S14],tbl_task3[[SubPLOs]:[SubPLOs]],"&gt;=9",tbl_task3[[SubPLOs]:[SubPLOs]],"&lt;10")+SUMIFS(tbl_task4[S14],tbl_task4[[SubPLOs]:[SubPLOs]],"&gt;=9",tbl_task4[[SubPLOs]:[SubPLOs]],"&lt;10")+SUMIFS(tbl_task5[S14],tbl_task5[[SubPLOs]:[SubPLOs]],"&gt;=9",tbl_task5[[SubPLOs]:[SubPLOs]],"&lt;10")+SUMIFS(tbl_task6[S14],tbl_task6[[SubPLOs]:[SubPLOs]],"&gt;=9",tbl_task6[[SubPLOs]:[SubPLOs]],"&lt;10")+SUMIFS(tbl_task7[S14],tbl_task7[[SubPLOs]:[SubPLOs]],"&gt;=9",tbl_task7[[SubPLOs]:[SubPLOs]],"&lt;10")+SUMIFS(tbl_task8[S14],tbl_task8[[SubPLOs]:[SubPLOs]],"&gt;=9",tbl_task8[[SubPLOs]:[SubPLOs]],"&lt;10")+SUMIFS(tbl_task9[S14],tbl_task9[[SubPLOs]:[SubPLOs]],"&gt;=9",tbl_task9[[SubPLOs]:[SubPLOs]],"&lt;10")+SUMIFS(tbl_task10[S14],tbl_task10[[SubPLOs]:[SubPLOs]],"&gt;=9",tbl_task10[[SubPLOs]:[SubPLOs]],"&lt;10")</f>
        <v>0</v>
      </c>
      <c r="T188" s="41">
        <f>SUMIFS(tbl_task1[S15],tbl_task1[[SubPLOs]:[SubPLOs]],"&gt;=9",tbl_task1[[SubPLOs]:[SubPLOs]],"&lt;10")+SUMIFS(tbl_task2[S15],tbl_task2[[SubPLOs]:[SubPLOs]],"&gt;=9",tbl_task2[[SubPLOs]:[SubPLOs]],"&lt;10")+SUMIFS(tbl_task3[S15],tbl_task3[[SubPLOs]:[SubPLOs]],"&gt;=9",tbl_task3[[SubPLOs]:[SubPLOs]],"&lt;10")+SUMIFS(tbl_task4[S15],tbl_task4[[SubPLOs]:[SubPLOs]],"&gt;=9",tbl_task4[[SubPLOs]:[SubPLOs]],"&lt;10")+SUMIFS(tbl_task5[S15],tbl_task5[[SubPLOs]:[SubPLOs]],"&gt;=9",tbl_task5[[SubPLOs]:[SubPLOs]],"&lt;10")+SUMIFS(tbl_task6[S15],tbl_task6[[SubPLOs]:[SubPLOs]],"&gt;=9",tbl_task6[[SubPLOs]:[SubPLOs]],"&lt;10")+SUMIFS(tbl_task7[S15],tbl_task7[[SubPLOs]:[SubPLOs]],"&gt;=9",tbl_task7[[SubPLOs]:[SubPLOs]],"&lt;10")+SUMIFS(tbl_task8[S15],tbl_task8[[SubPLOs]:[SubPLOs]],"&gt;=9",tbl_task8[[SubPLOs]:[SubPLOs]],"&lt;10")+SUMIFS(tbl_task9[S15],tbl_task9[[SubPLOs]:[SubPLOs]],"&gt;=9",tbl_task9[[SubPLOs]:[SubPLOs]],"&lt;10")+SUMIFS(tbl_task10[S15],tbl_task10[[SubPLOs]:[SubPLOs]],"&gt;=9",tbl_task10[[SubPLOs]:[SubPLOs]],"&lt;10")</f>
        <v>0</v>
      </c>
      <c r="U188" s="41">
        <f>SUMIFS(tbl_task1[S16],tbl_task1[[SubPLOs]:[SubPLOs]],"&gt;=9",tbl_task1[[SubPLOs]:[SubPLOs]],"&lt;10")+SUMIFS(tbl_task2[S16],tbl_task2[[SubPLOs]:[SubPLOs]],"&gt;=9",tbl_task2[[SubPLOs]:[SubPLOs]],"&lt;10")+SUMIFS(tbl_task3[S16],tbl_task3[[SubPLOs]:[SubPLOs]],"&gt;=9",tbl_task3[[SubPLOs]:[SubPLOs]],"&lt;10")+SUMIFS(tbl_task4[S16],tbl_task4[[SubPLOs]:[SubPLOs]],"&gt;=9",tbl_task4[[SubPLOs]:[SubPLOs]],"&lt;10")+SUMIFS(tbl_task5[S16],tbl_task5[[SubPLOs]:[SubPLOs]],"&gt;=9",tbl_task5[[SubPLOs]:[SubPLOs]],"&lt;10")+SUMIFS(tbl_task6[S16],tbl_task6[[SubPLOs]:[SubPLOs]],"&gt;=9",tbl_task6[[SubPLOs]:[SubPLOs]],"&lt;10")+SUMIFS(tbl_task7[S16],tbl_task7[[SubPLOs]:[SubPLOs]],"&gt;=9",tbl_task7[[SubPLOs]:[SubPLOs]],"&lt;10")+SUMIFS(tbl_task8[S16],tbl_task8[[SubPLOs]:[SubPLOs]],"&gt;=9",tbl_task8[[SubPLOs]:[SubPLOs]],"&lt;10")+SUMIFS(tbl_task9[S16],tbl_task9[[SubPLOs]:[SubPLOs]],"&gt;=9",tbl_task9[[SubPLOs]:[SubPLOs]],"&lt;10")+SUMIFS(tbl_task10[S16],tbl_task10[[SubPLOs]:[SubPLOs]],"&gt;=9",tbl_task10[[SubPLOs]:[SubPLOs]],"&lt;10")</f>
        <v>0</v>
      </c>
      <c r="V188" s="41">
        <f>SUMIFS(tbl_task1[S17],tbl_task1[[SubPLOs]:[SubPLOs]],"&gt;=9",tbl_task1[[SubPLOs]:[SubPLOs]],"&lt;10")+SUMIFS(tbl_task2[S17],tbl_task2[[SubPLOs]:[SubPLOs]],"&gt;=9",tbl_task2[[SubPLOs]:[SubPLOs]],"&lt;10")+SUMIFS(tbl_task3[S17],tbl_task3[[SubPLOs]:[SubPLOs]],"&gt;=9",tbl_task3[[SubPLOs]:[SubPLOs]],"&lt;10")+SUMIFS(tbl_task4[S17],tbl_task4[[SubPLOs]:[SubPLOs]],"&gt;=9",tbl_task4[[SubPLOs]:[SubPLOs]],"&lt;10")+SUMIFS(tbl_task5[S17],tbl_task5[[SubPLOs]:[SubPLOs]],"&gt;=9",tbl_task5[[SubPLOs]:[SubPLOs]],"&lt;10")+SUMIFS(tbl_task6[S17],tbl_task6[[SubPLOs]:[SubPLOs]],"&gt;=9",tbl_task6[[SubPLOs]:[SubPLOs]],"&lt;10")+SUMIFS(tbl_task7[S17],tbl_task7[[SubPLOs]:[SubPLOs]],"&gt;=9",tbl_task7[[SubPLOs]:[SubPLOs]],"&lt;10")+SUMIFS(tbl_task8[S17],tbl_task8[[SubPLOs]:[SubPLOs]],"&gt;=9",tbl_task8[[SubPLOs]:[SubPLOs]],"&lt;10")+SUMIFS(tbl_task9[S17],tbl_task9[[SubPLOs]:[SubPLOs]],"&gt;=9",tbl_task9[[SubPLOs]:[SubPLOs]],"&lt;10")+SUMIFS(tbl_task10[S17],tbl_task10[[SubPLOs]:[SubPLOs]],"&gt;=9",tbl_task10[[SubPLOs]:[SubPLOs]],"&lt;10")</f>
        <v>0</v>
      </c>
      <c r="W188" s="41">
        <f>SUMIFS(tbl_task1[S18],tbl_task1[[SubPLOs]:[SubPLOs]],"&gt;=9",tbl_task1[[SubPLOs]:[SubPLOs]],"&lt;10")+SUMIFS(tbl_task2[S18],tbl_task2[[SubPLOs]:[SubPLOs]],"&gt;=9",tbl_task2[[SubPLOs]:[SubPLOs]],"&lt;10")+SUMIFS(tbl_task3[S18],tbl_task3[[SubPLOs]:[SubPLOs]],"&gt;=9",tbl_task3[[SubPLOs]:[SubPLOs]],"&lt;10")+SUMIFS(tbl_task4[S18],tbl_task4[[SubPLOs]:[SubPLOs]],"&gt;=9",tbl_task4[[SubPLOs]:[SubPLOs]],"&lt;10")+SUMIFS(tbl_task5[S18],tbl_task5[[SubPLOs]:[SubPLOs]],"&gt;=9",tbl_task5[[SubPLOs]:[SubPLOs]],"&lt;10")+SUMIFS(tbl_task6[S18],tbl_task6[[SubPLOs]:[SubPLOs]],"&gt;=9",tbl_task6[[SubPLOs]:[SubPLOs]],"&lt;10")+SUMIFS(tbl_task7[S18],tbl_task7[[SubPLOs]:[SubPLOs]],"&gt;=9",tbl_task7[[SubPLOs]:[SubPLOs]],"&lt;10")+SUMIFS(tbl_task8[S18],tbl_task8[[SubPLOs]:[SubPLOs]],"&gt;=9",tbl_task8[[SubPLOs]:[SubPLOs]],"&lt;10")+SUMIFS(tbl_task9[S18],tbl_task9[[SubPLOs]:[SubPLOs]],"&gt;=9",tbl_task9[[SubPLOs]:[SubPLOs]],"&lt;10")+SUMIFS(tbl_task10[S18],tbl_task10[[SubPLOs]:[SubPLOs]],"&gt;=9",tbl_task10[[SubPLOs]:[SubPLOs]],"&lt;10")</f>
        <v>0</v>
      </c>
      <c r="X188" s="41">
        <f>SUMIFS(tbl_task1[S19],tbl_task1[[SubPLOs]:[SubPLOs]],"&gt;=9",tbl_task1[[SubPLOs]:[SubPLOs]],"&lt;10")+SUMIFS(tbl_task2[S19],tbl_task2[[SubPLOs]:[SubPLOs]],"&gt;=9",tbl_task2[[SubPLOs]:[SubPLOs]],"&lt;10")+SUMIFS(tbl_task3[S19],tbl_task3[[SubPLOs]:[SubPLOs]],"&gt;=9",tbl_task3[[SubPLOs]:[SubPLOs]],"&lt;10")+SUMIFS(tbl_task4[S19],tbl_task4[[SubPLOs]:[SubPLOs]],"&gt;=9",tbl_task4[[SubPLOs]:[SubPLOs]],"&lt;10")+SUMIFS(tbl_task5[S19],tbl_task5[[SubPLOs]:[SubPLOs]],"&gt;=9",tbl_task5[[SubPLOs]:[SubPLOs]],"&lt;10")+SUMIFS(tbl_task6[S19],tbl_task6[[SubPLOs]:[SubPLOs]],"&gt;=9",tbl_task6[[SubPLOs]:[SubPLOs]],"&lt;10")+SUMIFS(tbl_task7[S19],tbl_task7[[SubPLOs]:[SubPLOs]],"&gt;=9",tbl_task7[[SubPLOs]:[SubPLOs]],"&lt;10")+SUMIFS(tbl_task8[S19],tbl_task8[[SubPLOs]:[SubPLOs]],"&gt;=9",tbl_task8[[SubPLOs]:[SubPLOs]],"&lt;10")+SUMIFS(tbl_task9[S19],tbl_task9[[SubPLOs]:[SubPLOs]],"&gt;=9",tbl_task9[[SubPLOs]:[SubPLOs]],"&lt;10")+SUMIFS(tbl_task10[S19],tbl_task10[[SubPLOs]:[SubPLOs]],"&gt;=9",tbl_task10[[SubPLOs]:[SubPLOs]],"&lt;10")</f>
        <v>0</v>
      </c>
      <c r="Y188" s="41">
        <f>SUMIFS(tbl_task1[S20],tbl_task1[[SubPLOs]:[SubPLOs]],"&gt;=9",tbl_task1[[SubPLOs]:[SubPLOs]],"&lt;10")+SUMIFS(tbl_task2[S20],tbl_task2[[SubPLOs]:[SubPLOs]],"&gt;=9",tbl_task2[[SubPLOs]:[SubPLOs]],"&lt;10")+SUMIFS(tbl_task3[S20],tbl_task3[[SubPLOs]:[SubPLOs]],"&gt;=9",tbl_task3[[SubPLOs]:[SubPLOs]],"&lt;10")+SUMIFS(tbl_task4[S20],tbl_task4[[SubPLOs]:[SubPLOs]],"&gt;=9",tbl_task4[[SubPLOs]:[SubPLOs]],"&lt;10")+SUMIFS(tbl_task5[S20],tbl_task5[[SubPLOs]:[SubPLOs]],"&gt;=9",tbl_task5[[SubPLOs]:[SubPLOs]],"&lt;10")+SUMIFS(tbl_task6[S20],tbl_task6[[SubPLOs]:[SubPLOs]],"&gt;=9",tbl_task6[[SubPLOs]:[SubPLOs]],"&lt;10")+SUMIFS(tbl_task7[S20],tbl_task7[[SubPLOs]:[SubPLOs]],"&gt;=9",tbl_task7[[SubPLOs]:[SubPLOs]],"&lt;10")+SUMIFS(tbl_task8[S20],tbl_task8[[SubPLOs]:[SubPLOs]],"&gt;=9",tbl_task8[[SubPLOs]:[SubPLOs]],"&lt;10")+SUMIFS(tbl_task9[S20],tbl_task9[[SubPLOs]:[SubPLOs]],"&gt;=9",tbl_task9[[SubPLOs]:[SubPLOs]],"&lt;10")+SUMIFS(tbl_task10[S20],tbl_task10[[SubPLOs]:[SubPLOs]],"&gt;=9",tbl_task10[[SubPLOs]:[SubPLOs]],"&lt;10")</f>
        <v>0</v>
      </c>
      <c r="Z188" s="41">
        <f>SUMIFS(tbl_task1[S21],tbl_task1[[SubPLOs]:[SubPLOs]],"&gt;=9",tbl_task1[[SubPLOs]:[SubPLOs]],"&lt;10")+SUMIFS(tbl_task2[S21],tbl_task2[[SubPLOs]:[SubPLOs]],"&gt;=9",tbl_task2[[SubPLOs]:[SubPLOs]],"&lt;10")+SUMIFS(tbl_task3[S21],tbl_task3[[SubPLOs]:[SubPLOs]],"&gt;=9",tbl_task3[[SubPLOs]:[SubPLOs]],"&lt;10")+SUMIFS(tbl_task4[S21],tbl_task4[[SubPLOs]:[SubPLOs]],"&gt;=9",tbl_task4[[SubPLOs]:[SubPLOs]],"&lt;10")+SUMIFS(tbl_task5[S21],tbl_task5[[SubPLOs]:[SubPLOs]],"&gt;=9",tbl_task5[[SubPLOs]:[SubPLOs]],"&lt;10")+SUMIFS(tbl_task6[S21],tbl_task6[[SubPLOs]:[SubPLOs]],"&gt;=9",tbl_task6[[SubPLOs]:[SubPLOs]],"&lt;10")+SUMIFS(tbl_task7[S21],tbl_task7[[SubPLOs]:[SubPLOs]],"&gt;=9",tbl_task7[[SubPLOs]:[SubPLOs]],"&lt;10")+SUMIFS(tbl_task8[S21],tbl_task8[[SubPLOs]:[SubPLOs]],"&gt;=9",tbl_task8[[SubPLOs]:[SubPLOs]],"&lt;10")+SUMIFS(tbl_task9[S21],tbl_task9[[SubPLOs]:[SubPLOs]],"&gt;=9",tbl_task9[[SubPLOs]:[SubPLOs]],"&lt;10")+SUMIFS(tbl_task10[S21],tbl_task10[[SubPLOs]:[SubPLOs]],"&gt;=9",tbl_task10[[SubPLOs]:[SubPLOs]],"&lt;10")</f>
        <v>0</v>
      </c>
      <c r="AA188" s="41">
        <f>SUMIFS(tbl_task1[S22],tbl_task1[[SubPLOs]:[SubPLOs]],"&gt;=9",tbl_task1[[SubPLOs]:[SubPLOs]],"&lt;10")+SUMIFS(tbl_task2[S22],tbl_task2[[SubPLOs]:[SubPLOs]],"&gt;=9",tbl_task2[[SubPLOs]:[SubPLOs]],"&lt;10")+SUMIFS(tbl_task3[S22],tbl_task3[[SubPLOs]:[SubPLOs]],"&gt;=9",tbl_task3[[SubPLOs]:[SubPLOs]],"&lt;10")+SUMIFS(tbl_task4[S22],tbl_task4[[SubPLOs]:[SubPLOs]],"&gt;=9",tbl_task4[[SubPLOs]:[SubPLOs]],"&lt;10")+SUMIFS(tbl_task5[S22],tbl_task5[[SubPLOs]:[SubPLOs]],"&gt;=9",tbl_task5[[SubPLOs]:[SubPLOs]],"&lt;10")+SUMIFS(tbl_task6[S22],tbl_task6[[SubPLOs]:[SubPLOs]],"&gt;=9",tbl_task6[[SubPLOs]:[SubPLOs]],"&lt;10")+SUMIFS(tbl_task7[S22],tbl_task7[[SubPLOs]:[SubPLOs]],"&gt;=9",tbl_task7[[SubPLOs]:[SubPLOs]],"&lt;10")+SUMIFS(tbl_task8[S22],tbl_task8[[SubPLOs]:[SubPLOs]],"&gt;=9",tbl_task8[[SubPLOs]:[SubPLOs]],"&lt;10")+SUMIFS(tbl_task9[S22],tbl_task9[[SubPLOs]:[SubPLOs]],"&gt;=9",tbl_task9[[SubPLOs]:[SubPLOs]],"&lt;10")+SUMIFS(tbl_task10[S22],tbl_task10[[SubPLOs]:[SubPLOs]],"&gt;=9",tbl_task10[[SubPLOs]:[SubPLOs]],"&lt;10")</f>
        <v>0</v>
      </c>
      <c r="AB188" s="41">
        <f>SUMIFS(tbl_task1[S23],tbl_task1[[SubPLOs]:[SubPLOs]],"&gt;=9",tbl_task1[[SubPLOs]:[SubPLOs]],"&lt;10")+SUMIFS(tbl_task2[S23],tbl_task2[[SubPLOs]:[SubPLOs]],"&gt;=9",tbl_task2[[SubPLOs]:[SubPLOs]],"&lt;10")+SUMIFS(tbl_task3[S23],tbl_task3[[SubPLOs]:[SubPLOs]],"&gt;=9",tbl_task3[[SubPLOs]:[SubPLOs]],"&lt;10")+SUMIFS(tbl_task4[S23],tbl_task4[[SubPLOs]:[SubPLOs]],"&gt;=9",tbl_task4[[SubPLOs]:[SubPLOs]],"&lt;10")+SUMIFS(tbl_task5[S23],tbl_task5[[SubPLOs]:[SubPLOs]],"&gt;=9",tbl_task5[[SubPLOs]:[SubPLOs]],"&lt;10")+SUMIFS(tbl_task6[S23],tbl_task6[[SubPLOs]:[SubPLOs]],"&gt;=9",tbl_task6[[SubPLOs]:[SubPLOs]],"&lt;10")+SUMIFS(tbl_task7[S23],tbl_task7[[SubPLOs]:[SubPLOs]],"&gt;=9",tbl_task7[[SubPLOs]:[SubPLOs]],"&lt;10")+SUMIFS(tbl_task8[S23],tbl_task8[[SubPLOs]:[SubPLOs]],"&gt;=9",tbl_task8[[SubPLOs]:[SubPLOs]],"&lt;10")+SUMIFS(tbl_task9[S23],tbl_task9[[SubPLOs]:[SubPLOs]],"&gt;=9",tbl_task9[[SubPLOs]:[SubPLOs]],"&lt;10")+SUMIFS(tbl_task10[S23],tbl_task10[[SubPLOs]:[SubPLOs]],"&gt;=9",tbl_task10[[SubPLOs]:[SubPLOs]],"&lt;10")</f>
        <v>0</v>
      </c>
      <c r="AC188" s="41">
        <f>SUMIFS(tbl_task1[S24],tbl_task1[[SubPLOs]:[SubPLOs]],"&gt;=9",tbl_task1[[SubPLOs]:[SubPLOs]],"&lt;10")+SUMIFS(tbl_task2[S24],tbl_task2[[SubPLOs]:[SubPLOs]],"&gt;=9",tbl_task2[[SubPLOs]:[SubPLOs]],"&lt;10")+SUMIFS(tbl_task3[S24],tbl_task3[[SubPLOs]:[SubPLOs]],"&gt;=9",tbl_task3[[SubPLOs]:[SubPLOs]],"&lt;10")+SUMIFS(tbl_task4[S24],tbl_task4[[SubPLOs]:[SubPLOs]],"&gt;=9",tbl_task4[[SubPLOs]:[SubPLOs]],"&lt;10")+SUMIFS(tbl_task5[S24],tbl_task5[[SubPLOs]:[SubPLOs]],"&gt;=9",tbl_task5[[SubPLOs]:[SubPLOs]],"&lt;10")+SUMIFS(tbl_task6[S24],tbl_task6[[SubPLOs]:[SubPLOs]],"&gt;=9",tbl_task6[[SubPLOs]:[SubPLOs]],"&lt;10")+SUMIFS(tbl_task7[S24],tbl_task7[[SubPLOs]:[SubPLOs]],"&gt;=9",tbl_task7[[SubPLOs]:[SubPLOs]],"&lt;10")+SUMIFS(tbl_task8[S24],tbl_task8[[SubPLOs]:[SubPLOs]],"&gt;=9",tbl_task8[[SubPLOs]:[SubPLOs]],"&lt;10")+SUMIFS(tbl_task9[S24],tbl_task9[[SubPLOs]:[SubPLOs]],"&gt;=9",tbl_task9[[SubPLOs]:[SubPLOs]],"&lt;10")+SUMIFS(tbl_task10[S24],tbl_task10[[SubPLOs]:[SubPLOs]],"&gt;=9",tbl_task10[[SubPLOs]:[SubPLOs]],"&lt;10")</f>
        <v>0</v>
      </c>
      <c r="AD188" s="41">
        <f>SUMIFS(tbl_task1[S25],tbl_task1[[SubPLOs]:[SubPLOs]],"&gt;=9",tbl_task1[[SubPLOs]:[SubPLOs]],"&lt;10")+SUMIFS(tbl_task2[S25],tbl_task2[[SubPLOs]:[SubPLOs]],"&gt;=9",tbl_task2[[SubPLOs]:[SubPLOs]],"&lt;10")+SUMIFS(tbl_task3[S25],tbl_task3[[SubPLOs]:[SubPLOs]],"&gt;=9",tbl_task3[[SubPLOs]:[SubPLOs]],"&lt;10")+SUMIFS(tbl_task4[S25],tbl_task4[[SubPLOs]:[SubPLOs]],"&gt;=9",tbl_task4[[SubPLOs]:[SubPLOs]],"&lt;10")+SUMIFS(tbl_task5[S25],tbl_task5[[SubPLOs]:[SubPLOs]],"&gt;=9",tbl_task5[[SubPLOs]:[SubPLOs]],"&lt;10")+SUMIFS(tbl_task6[S25],tbl_task6[[SubPLOs]:[SubPLOs]],"&gt;=9",tbl_task6[[SubPLOs]:[SubPLOs]],"&lt;10")+SUMIFS(tbl_task7[S25],tbl_task7[[SubPLOs]:[SubPLOs]],"&gt;=9",tbl_task7[[SubPLOs]:[SubPLOs]],"&lt;10")+SUMIFS(tbl_task8[S25],tbl_task8[[SubPLOs]:[SubPLOs]],"&gt;=9",tbl_task8[[SubPLOs]:[SubPLOs]],"&lt;10")+SUMIFS(tbl_task9[S25],tbl_task9[[SubPLOs]:[SubPLOs]],"&gt;=9",tbl_task9[[SubPLOs]:[SubPLOs]],"&lt;10")+SUMIFS(tbl_task10[S25],tbl_task10[[SubPLOs]:[SubPLOs]],"&gt;=9",tbl_task10[[SubPLOs]:[SubPLOs]],"&lt;10")</f>
        <v>0</v>
      </c>
      <c r="AE188" s="41">
        <f>SUMIFS(tbl_task1[S26],tbl_task1[[SubPLOs]:[SubPLOs]],"&gt;=9",tbl_task1[[SubPLOs]:[SubPLOs]],"&lt;10")+SUMIFS(tbl_task2[S26],tbl_task2[[SubPLOs]:[SubPLOs]],"&gt;=9",tbl_task2[[SubPLOs]:[SubPLOs]],"&lt;10")+SUMIFS(tbl_task3[S26],tbl_task3[[SubPLOs]:[SubPLOs]],"&gt;=9",tbl_task3[[SubPLOs]:[SubPLOs]],"&lt;10")+SUMIFS(tbl_task4[S26],tbl_task4[[SubPLOs]:[SubPLOs]],"&gt;=9",tbl_task4[[SubPLOs]:[SubPLOs]],"&lt;10")+SUMIFS(tbl_task5[S26],tbl_task5[[SubPLOs]:[SubPLOs]],"&gt;=9",tbl_task5[[SubPLOs]:[SubPLOs]],"&lt;10")+SUMIFS(tbl_task6[S26],tbl_task6[[SubPLOs]:[SubPLOs]],"&gt;=9",tbl_task6[[SubPLOs]:[SubPLOs]],"&lt;10")+SUMIFS(tbl_task7[S26],tbl_task7[[SubPLOs]:[SubPLOs]],"&gt;=9",tbl_task7[[SubPLOs]:[SubPLOs]],"&lt;10")+SUMIFS(tbl_task8[S26],tbl_task8[[SubPLOs]:[SubPLOs]],"&gt;=9",tbl_task8[[SubPLOs]:[SubPLOs]],"&lt;10")+SUMIFS(tbl_task9[S26],tbl_task9[[SubPLOs]:[SubPLOs]],"&gt;=9",tbl_task9[[SubPLOs]:[SubPLOs]],"&lt;10")+SUMIFS(tbl_task10[S26],tbl_task10[[SubPLOs]:[SubPLOs]],"&gt;=9",tbl_task10[[SubPLOs]:[SubPLOs]],"&lt;10")</f>
        <v>0</v>
      </c>
      <c r="AF188" s="41">
        <f>SUMIFS(tbl_task1[S27],tbl_task1[[SubPLOs]:[SubPLOs]],"&gt;=9",tbl_task1[[SubPLOs]:[SubPLOs]],"&lt;10")+SUMIFS(tbl_task2[S27],tbl_task2[[SubPLOs]:[SubPLOs]],"&gt;=9",tbl_task2[[SubPLOs]:[SubPLOs]],"&lt;10")+SUMIFS(tbl_task3[S27],tbl_task3[[SubPLOs]:[SubPLOs]],"&gt;=9",tbl_task3[[SubPLOs]:[SubPLOs]],"&lt;10")+SUMIFS(tbl_task4[S27],tbl_task4[[SubPLOs]:[SubPLOs]],"&gt;=9",tbl_task4[[SubPLOs]:[SubPLOs]],"&lt;10")+SUMIFS(tbl_task5[S27],tbl_task5[[SubPLOs]:[SubPLOs]],"&gt;=9",tbl_task5[[SubPLOs]:[SubPLOs]],"&lt;10")+SUMIFS(tbl_task6[S27],tbl_task6[[SubPLOs]:[SubPLOs]],"&gt;=9",tbl_task6[[SubPLOs]:[SubPLOs]],"&lt;10")+SUMIFS(tbl_task7[S27],tbl_task7[[SubPLOs]:[SubPLOs]],"&gt;=9",tbl_task7[[SubPLOs]:[SubPLOs]],"&lt;10")+SUMIFS(tbl_task8[S27],tbl_task8[[SubPLOs]:[SubPLOs]],"&gt;=9",tbl_task8[[SubPLOs]:[SubPLOs]],"&lt;10")+SUMIFS(tbl_task9[S27],tbl_task9[[SubPLOs]:[SubPLOs]],"&gt;=9",tbl_task9[[SubPLOs]:[SubPLOs]],"&lt;10")+SUMIFS(tbl_task10[S27],tbl_task10[[SubPLOs]:[SubPLOs]],"&gt;=9",tbl_task10[[SubPLOs]:[SubPLOs]],"&lt;10")</f>
        <v>0</v>
      </c>
      <c r="AG188" s="41">
        <f>SUMIFS(tbl_task1[S28],tbl_task1[[SubPLOs]:[SubPLOs]],"&gt;=9",tbl_task1[[SubPLOs]:[SubPLOs]],"&lt;10")+SUMIFS(tbl_task2[S28],tbl_task2[[SubPLOs]:[SubPLOs]],"&gt;=9",tbl_task2[[SubPLOs]:[SubPLOs]],"&lt;10")+SUMIFS(tbl_task3[S28],tbl_task3[[SubPLOs]:[SubPLOs]],"&gt;=9",tbl_task3[[SubPLOs]:[SubPLOs]],"&lt;10")+SUMIFS(tbl_task4[S28],tbl_task4[[SubPLOs]:[SubPLOs]],"&gt;=9",tbl_task4[[SubPLOs]:[SubPLOs]],"&lt;10")+SUMIFS(tbl_task5[S28],tbl_task5[[SubPLOs]:[SubPLOs]],"&gt;=9",tbl_task5[[SubPLOs]:[SubPLOs]],"&lt;10")+SUMIFS(tbl_task6[S28],tbl_task6[[SubPLOs]:[SubPLOs]],"&gt;=9",tbl_task6[[SubPLOs]:[SubPLOs]],"&lt;10")+SUMIFS(tbl_task7[S28],tbl_task7[[SubPLOs]:[SubPLOs]],"&gt;=9",tbl_task7[[SubPLOs]:[SubPLOs]],"&lt;10")+SUMIFS(tbl_task8[S28],tbl_task8[[SubPLOs]:[SubPLOs]],"&gt;=9",tbl_task8[[SubPLOs]:[SubPLOs]],"&lt;10")+SUMIFS(tbl_task9[S28],tbl_task9[[SubPLOs]:[SubPLOs]],"&gt;=9",tbl_task9[[SubPLOs]:[SubPLOs]],"&lt;10")+SUMIFS(tbl_task10[S28],tbl_task10[[SubPLOs]:[SubPLOs]],"&gt;=9",tbl_task10[[SubPLOs]:[SubPLOs]],"&lt;10")</f>
        <v>0</v>
      </c>
      <c r="AH188" s="41">
        <f>SUMIFS(tbl_task1[S29],tbl_task1[[SubPLOs]:[SubPLOs]],"&gt;=9",tbl_task1[[SubPLOs]:[SubPLOs]],"&lt;10")+SUMIFS(tbl_task2[S29],tbl_task2[[SubPLOs]:[SubPLOs]],"&gt;=9",tbl_task2[[SubPLOs]:[SubPLOs]],"&lt;10")+SUMIFS(tbl_task3[S29],tbl_task3[[SubPLOs]:[SubPLOs]],"&gt;=9",tbl_task3[[SubPLOs]:[SubPLOs]],"&lt;10")+SUMIFS(tbl_task4[S29],tbl_task4[[SubPLOs]:[SubPLOs]],"&gt;=9",tbl_task4[[SubPLOs]:[SubPLOs]],"&lt;10")+SUMIFS(tbl_task5[S29],tbl_task5[[SubPLOs]:[SubPLOs]],"&gt;=9",tbl_task5[[SubPLOs]:[SubPLOs]],"&lt;10")+SUMIFS(tbl_task6[S29],tbl_task6[[SubPLOs]:[SubPLOs]],"&gt;=9",tbl_task6[[SubPLOs]:[SubPLOs]],"&lt;10")+SUMIFS(tbl_task7[S29],tbl_task7[[SubPLOs]:[SubPLOs]],"&gt;=9",tbl_task7[[SubPLOs]:[SubPLOs]],"&lt;10")+SUMIFS(tbl_task8[S29],tbl_task8[[SubPLOs]:[SubPLOs]],"&gt;=9",tbl_task8[[SubPLOs]:[SubPLOs]],"&lt;10")+SUMIFS(tbl_task9[S29],tbl_task9[[SubPLOs]:[SubPLOs]],"&gt;=9",tbl_task9[[SubPLOs]:[SubPLOs]],"&lt;10")+SUMIFS(tbl_task10[S29],tbl_task10[[SubPLOs]:[SubPLOs]],"&gt;=9",tbl_task10[[SubPLOs]:[SubPLOs]],"&lt;10")</f>
        <v>0</v>
      </c>
      <c r="AI188" s="41">
        <f>SUMIFS(tbl_task1[S30],tbl_task1[[SubPLOs]:[SubPLOs]],"&gt;=9",tbl_task1[[SubPLOs]:[SubPLOs]],"&lt;10")+SUMIFS(tbl_task2[S30],tbl_task2[[SubPLOs]:[SubPLOs]],"&gt;=9",tbl_task2[[SubPLOs]:[SubPLOs]],"&lt;10")+SUMIFS(tbl_task3[S30],tbl_task3[[SubPLOs]:[SubPLOs]],"&gt;=9",tbl_task3[[SubPLOs]:[SubPLOs]],"&lt;10")+SUMIFS(tbl_task4[S30],tbl_task4[[SubPLOs]:[SubPLOs]],"&gt;=9",tbl_task4[[SubPLOs]:[SubPLOs]],"&lt;10")+SUMIFS(tbl_task5[S30],tbl_task5[[SubPLOs]:[SubPLOs]],"&gt;=9",tbl_task5[[SubPLOs]:[SubPLOs]],"&lt;10")+SUMIFS(tbl_task6[S30],tbl_task6[[SubPLOs]:[SubPLOs]],"&gt;=9",tbl_task6[[SubPLOs]:[SubPLOs]],"&lt;10")+SUMIFS(tbl_task7[S30],tbl_task7[[SubPLOs]:[SubPLOs]],"&gt;=9",tbl_task7[[SubPLOs]:[SubPLOs]],"&lt;10")+SUMIFS(tbl_task8[S30],tbl_task8[[SubPLOs]:[SubPLOs]],"&gt;=9",tbl_task8[[SubPLOs]:[SubPLOs]],"&lt;10")+SUMIFS(tbl_task9[S30],tbl_task9[[SubPLOs]:[SubPLOs]],"&gt;=9",tbl_task9[[SubPLOs]:[SubPLOs]],"&lt;10")+SUMIFS(tbl_task10[S30],tbl_task10[[SubPLOs]:[SubPLOs]],"&gt;=9",tbl_task10[[SubPLOs]:[SubPLOs]],"&lt;10")</f>
        <v>0</v>
      </c>
      <c r="AJ188" s="41">
        <f>SUMIFS(tbl_task1[S31],tbl_task1[[SubPLOs]:[SubPLOs]],"&gt;=9",tbl_task1[[SubPLOs]:[SubPLOs]],"&lt;10")+SUMIFS(tbl_task2[S31],tbl_task2[[SubPLOs]:[SubPLOs]],"&gt;=9",tbl_task2[[SubPLOs]:[SubPLOs]],"&lt;10")+SUMIFS(tbl_task3[S31],tbl_task3[[SubPLOs]:[SubPLOs]],"&gt;=9",tbl_task3[[SubPLOs]:[SubPLOs]],"&lt;10")+SUMIFS(tbl_task4[S31],tbl_task4[[SubPLOs]:[SubPLOs]],"&gt;=9",tbl_task4[[SubPLOs]:[SubPLOs]],"&lt;10")+SUMIFS(tbl_task5[S31],tbl_task5[[SubPLOs]:[SubPLOs]],"&gt;=9",tbl_task5[[SubPLOs]:[SubPLOs]],"&lt;10")+SUMIFS(tbl_task6[S31],tbl_task6[[SubPLOs]:[SubPLOs]],"&gt;=9",tbl_task6[[SubPLOs]:[SubPLOs]],"&lt;10")+SUMIFS(tbl_task7[S31],tbl_task7[[SubPLOs]:[SubPLOs]],"&gt;=9",tbl_task7[[SubPLOs]:[SubPLOs]],"&lt;10")+SUMIFS(tbl_task8[S31],tbl_task8[[SubPLOs]:[SubPLOs]],"&gt;=9",tbl_task8[[SubPLOs]:[SubPLOs]],"&lt;10")+SUMIFS(tbl_task9[S31],tbl_task9[[SubPLOs]:[SubPLOs]],"&gt;=9",tbl_task9[[SubPLOs]:[SubPLOs]],"&lt;10")+SUMIFS(tbl_task10[S31],tbl_task10[[SubPLOs]:[SubPLOs]],"&gt;=9",tbl_task10[[SubPLOs]:[SubPLOs]],"&lt;10")</f>
        <v>0</v>
      </c>
      <c r="AK188" s="41">
        <f>SUMIFS(tbl_task1[S32],tbl_task1[[SubPLOs]:[SubPLOs]],"&gt;=9",tbl_task1[[SubPLOs]:[SubPLOs]],"&lt;10")+SUMIFS(tbl_task2[S32],tbl_task2[[SubPLOs]:[SubPLOs]],"&gt;=9",tbl_task2[[SubPLOs]:[SubPLOs]],"&lt;10")+SUMIFS(tbl_task3[S32],tbl_task3[[SubPLOs]:[SubPLOs]],"&gt;=9",tbl_task3[[SubPLOs]:[SubPLOs]],"&lt;10")+SUMIFS(tbl_task4[S32],tbl_task4[[SubPLOs]:[SubPLOs]],"&gt;=9",tbl_task4[[SubPLOs]:[SubPLOs]],"&lt;10")+SUMIFS(tbl_task5[S32],tbl_task5[[SubPLOs]:[SubPLOs]],"&gt;=9",tbl_task5[[SubPLOs]:[SubPLOs]],"&lt;10")+SUMIFS(tbl_task6[S32],tbl_task6[[SubPLOs]:[SubPLOs]],"&gt;=9",tbl_task6[[SubPLOs]:[SubPLOs]],"&lt;10")+SUMIFS(tbl_task7[S32],tbl_task7[[SubPLOs]:[SubPLOs]],"&gt;=9",tbl_task7[[SubPLOs]:[SubPLOs]],"&lt;10")+SUMIFS(tbl_task8[S32],tbl_task8[[SubPLOs]:[SubPLOs]],"&gt;=9",tbl_task8[[SubPLOs]:[SubPLOs]],"&lt;10")+SUMIFS(tbl_task9[S32],tbl_task9[[SubPLOs]:[SubPLOs]],"&gt;=9",tbl_task9[[SubPLOs]:[SubPLOs]],"&lt;10")+SUMIFS(tbl_task10[S32],tbl_task10[[SubPLOs]:[SubPLOs]],"&gt;=9",tbl_task10[[SubPLOs]:[SubPLOs]],"&lt;10")</f>
        <v>0</v>
      </c>
      <c r="AL188" s="41">
        <f>SUMIFS(tbl_task1[S33],tbl_task1[[SubPLOs]:[SubPLOs]],"&gt;=9",tbl_task1[[SubPLOs]:[SubPLOs]],"&lt;10")+SUMIFS(tbl_task2[S33],tbl_task2[[SubPLOs]:[SubPLOs]],"&gt;=9",tbl_task2[[SubPLOs]:[SubPLOs]],"&lt;10")+SUMIFS(tbl_task3[S33],tbl_task3[[SubPLOs]:[SubPLOs]],"&gt;=9",tbl_task3[[SubPLOs]:[SubPLOs]],"&lt;10")+SUMIFS(tbl_task4[S33],tbl_task4[[SubPLOs]:[SubPLOs]],"&gt;=9",tbl_task4[[SubPLOs]:[SubPLOs]],"&lt;10")+SUMIFS(tbl_task5[S33],tbl_task5[[SubPLOs]:[SubPLOs]],"&gt;=9",tbl_task5[[SubPLOs]:[SubPLOs]],"&lt;10")+SUMIFS(tbl_task6[S33],tbl_task6[[SubPLOs]:[SubPLOs]],"&gt;=9",tbl_task6[[SubPLOs]:[SubPLOs]],"&lt;10")+SUMIFS(tbl_task7[S33],tbl_task7[[SubPLOs]:[SubPLOs]],"&gt;=9",tbl_task7[[SubPLOs]:[SubPLOs]],"&lt;10")+SUMIFS(tbl_task8[S33],tbl_task8[[SubPLOs]:[SubPLOs]],"&gt;=9",tbl_task8[[SubPLOs]:[SubPLOs]],"&lt;10")+SUMIFS(tbl_task9[S33],tbl_task9[[SubPLOs]:[SubPLOs]],"&gt;=9",tbl_task9[[SubPLOs]:[SubPLOs]],"&lt;10")+SUMIFS(tbl_task10[S33],tbl_task10[[SubPLOs]:[SubPLOs]],"&gt;=9",tbl_task10[[SubPLOs]:[SubPLOs]],"&lt;10")</f>
        <v>0</v>
      </c>
      <c r="AM188" s="41">
        <f>SUMIFS(tbl_task1[S34],tbl_task1[[SubPLOs]:[SubPLOs]],"&gt;=9",tbl_task1[[SubPLOs]:[SubPLOs]],"&lt;10")+SUMIFS(tbl_task2[S34],tbl_task2[[SubPLOs]:[SubPLOs]],"&gt;=9",tbl_task2[[SubPLOs]:[SubPLOs]],"&lt;10")+SUMIFS(tbl_task3[S34],tbl_task3[[SubPLOs]:[SubPLOs]],"&gt;=9",tbl_task3[[SubPLOs]:[SubPLOs]],"&lt;10")+SUMIFS(tbl_task4[S34],tbl_task4[[SubPLOs]:[SubPLOs]],"&gt;=9",tbl_task4[[SubPLOs]:[SubPLOs]],"&lt;10")+SUMIFS(tbl_task5[S34],tbl_task5[[SubPLOs]:[SubPLOs]],"&gt;=9",tbl_task5[[SubPLOs]:[SubPLOs]],"&lt;10")+SUMIFS(tbl_task6[S34],tbl_task6[[SubPLOs]:[SubPLOs]],"&gt;=9",tbl_task6[[SubPLOs]:[SubPLOs]],"&lt;10")+SUMIFS(tbl_task7[S34],tbl_task7[[SubPLOs]:[SubPLOs]],"&gt;=9",tbl_task7[[SubPLOs]:[SubPLOs]],"&lt;10")+SUMIFS(tbl_task8[S34],tbl_task8[[SubPLOs]:[SubPLOs]],"&gt;=9",tbl_task8[[SubPLOs]:[SubPLOs]],"&lt;10")+SUMIFS(tbl_task9[S34],tbl_task9[[SubPLOs]:[SubPLOs]],"&gt;=9",tbl_task9[[SubPLOs]:[SubPLOs]],"&lt;10")+SUMIFS(tbl_task10[S34],tbl_task10[[SubPLOs]:[SubPLOs]],"&gt;=9",tbl_task10[[SubPLOs]:[SubPLOs]],"&lt;10")</f>
        <v>0</v>
      </c>
      <c r="AN188" s="41">
        <f>SUMIFS(tbl_task1[S35],tbl_task1[[SubPLOs]:[SubPLOs]],"&gt;=9",tbl_task1[[SubPLOs]:[SubPLOs]],"&lt;10")+SUMIFS(tbl_task2[S35],tbl_task2[[SubPLOs]:[SubPLOs]],"&gt;=9",tbl_task2[[SubPLOs]:[SubPLOs]],"&lt;10")+SUMIFS(tbl_task3[S35],tbl_task3[[SubPLOs]:[SubPLOs]],"&gt;=9",tbl_task3[[SubPLOs]:[SubPLOs]],"&lt;10")+SUMIFS(tbl_task4[S35],tbl_task4[[SubPLOs]:[SubPLOs]],"&gt;=9",tbl_task4[[SubPLOs]:[SubPLOs]],"&lt;10")+SUMIFS(tbl_task5[S35],tbl_task5[[SubPLOs]:[SubPLOs]],"&gt;=9",tbl_task5[[SubPLOs]:[SubPLOs]],"&lt;10")+SUMIFS(tbl_task6[S35],tbl_task6[[SubPLOs]:[SubPLOs]],"&gt;=9",tbl_task6[[SubPLOs]:[SubPLOs]],"&lt;10")+SUMIFS(tbl_task7[S35],tbl_task7[[SubPLOs]:[SubPLOs]],"&gt;=9",tbl_task7[[SubPLOs]:[SubPLOs]],"&lt;10")+SUMIFS(tbl_task8[S35],tbl_task8[[SubPLOs]:[SubPLOs]],"&gt;=9",tbl_task8[[SubPLOs]:[SubPLOs]],"&lt;10")+SUMIFS(tbl_task9[S35],tbl_task9[[SubPLOs]:[SubPLOs]],"&gt;=9",tbl_task9[[SubPLOs]:[SubPLOs]],"&lt;10")+SUMIFS(tbl_task10[S35],tbl_task10[[SubPLOs]:[SubPLOs]],"&gt;=9",tbl_task10[[SubPLOs]:[SubPLOs]],"&lt;10")</f>
        <v>0</v>
      </c>
      <c r="AO188" s="41">
        <f>SUMIFS(tbl_task1[S36],tbl_task1[[SubPLOs]:[SubPLOs]],"&gt;=9",tbl_task1[[SubPLOs]:[SubPLOs]],"&lt;10")+SUMIFS(tbl_task2[S36],tbl_task2[[SubPLOs]:[SubPLOs]],"&gt;=9",tbl_task2[[SubPLOs]:[SubPLOs]],"&lt;10")+SUMIFS(tbl_task3[S36],tbl_task3[[SubPLOs]:[SubPLOs]],"&gt;=9",tbl_task3[[SubPLOs]:[SubPLOs]],"&lt;10")+SUMIFS(tbl_task4[S36],tbl_task4[[SubPLOs]:[SubPLOs]],"&gt;=9",tbl_task4[[SubPLOs]:[SubPLOs]],"&lt;10")+SUMIFS(tbl_task5[S36],tbl_task5[[SubPLOs]:[SubPLOs]],"&gt;=9",tbl_task5[[SubPLOs]:[SubPLOs]],"&lt;10")+SUMIFS(tbl_task6[S36],tbl_task6[[SubPLOs]:[SubPLOs]],"&gt;=9",tbl_task6[[SubPLOs]:[SubPLOs]],"&lt;10")+SUMIFS(tbl_task7[S36],tbl_task7[[SubPLOs]:[SubPLOs]],"&gt;=9",tbl_task7[[SubPLOs]:[SubPLOs]],"&lt;10")+SUMIFS(tbl_task8[S36],tbl_task8[[SubPLOs]:[SubPLOs]],"&gt;=9",tbl_task8[[SubPLOs]:[SubPLOs]],"&lt;10")+SUMIFS(tbl_task9[S36],tbl_task9[[SubPLOs]:[SubPLOs]],"&gt;=9",tbl_task9[[SubPLOs]:[SubPLOs]],"&lt;10")+SUMIFS(tbl_task10[S36],tbl_task10[[SubPLOs]:[SubPLOs]],"&gt;=9",tbl_task10[[SubPLOs]:[SubPLOs]],"&lt;10")</f>
        <v>0</v>
      </c>
      <c r="AP188" s="41">
        <f>SUMIFS(tbl_task1[S37],tbl_task1[[SubPLOs]:[SubPLOs]],"&gt;=9",tbl_task1[[SubPLOs]:[SubPLOs]],"&lt;10")+SUMIFS(tbl_task2[S37],tbl_task2[[SubPLOs]:[SubPLOs]],"&gt;=9",tbl_task2[[SubPLOs]:[SubPLOs]],"&lt;10")+SUMIFS(tbl_task3[S37],tbl_task3[[SubPLOs]:[SubPLOs]],"&gt;=9",tbl_task3[[SubPLOs]:[SubPLOs]],"&lt;10")+SUMIFS(tbl_task4[S37],tbl_task4[[SubPLOs]:[SubPLOs]],"&gt;=9",tbl_task4[[SubPLOs]:[SubPLOs]],"&lt;10")+SUMIFS(tbl_task5[S37],tbl_task5[[SubPLOs]:[SubPLOs]],"&gt;=9",tbl_task5[[SubPLOs]:[SubPLOs]],"&lt;10")+SUMIFS(tbl_task6[S37],tbl_task6[[SubPLOs]:[SubPLOs]],"&gt;=9",tbl_task6[[SubPLOs]:[SubPLOs]],"&lt;10")+SUMIFS(tbl_task7[S37],tbl_task7[[SubPLOs]:[SubPLOs]],"&gt;=9",tbl_task7[[SubPLOs]:[SubPLOs]],"&lt;10")+SUMIFS(tbl_task8[S37],tbl_task8[[SubPLOs]:[SubPLOs]],"&gt;=9",tbl_task8[[SubPLOs]:[SubPLOs]],"&lt;10")+SUMIFS(tbl_task9[S37],tbl_task9[[SubPLOs]:[SubPLOs]],"&gt;=9",tbl_task9[[SubPLOs]:[SubPLOs]],"&lt;10")+SUMIFS(tbl_task10[S37],tbl_task10[[SubPLOs]:[SubPLOs]],"&gt;=9",tbl_task10[[SubPLOs]:[SubPLOs]],"&lt;10")</f>
        <v>0</v>
      </c>
      <c r="AQ188" s="41">
        <f>SUMIFS(tbl_task1[S38],tbl_task1[[SubPLOs]:[SubPLOs]],"&gt;=9",tbl_task1[[SubPLOs]:[SubPLOs]],"&lt;10")+SUMIFS(tbl_task2[S38],tbl_task2[[SubPLOs]:[SubPLOs]],"&gt;=9",tbl_task2[[SubPLOs]:[SubPLOs]],"&lt;10")+SUMIFS(tbl_task3[S38],tbl_task3[[SubPLOs]:[SubPLOs]],"&gt;=9",tbl_task3[[SubPLOs]:[SubPLOs]],"&lt;10")+SUMIFS(tbl_task4[S38],tbl_task4[[SubPLOs]:[SubPLOs]],"&gt;=9",tbl_task4[[SubPLOs]:[SubPLOs]],"&lt;10")+SUMIFS(tbl_task5[S38],tbl_task5[[SubPLOs]:[SubPLOs]],"&gt;=9",tbl_task5[[SubPLOs]:[SubPLOs]],"&lt;10")+SUMIFS(tbl_task6[S38],tbl_task6[[SubPLOs]:[SubPLOs]],"&gt;=9",tbl_task6[[SubPLOs]:[SubPLOs]],"&lt;10")+SUMIFS(tbl_task7[S38],tbl_task7[[SubPLOs]:[SubPLOs]],"&gt;=9",tbl_task7[[SubPLOs]:[SubPLOs]],"&lt;10")+SUMIFS(tbl_task8[S38],tbl_task8[[SubPLOs]:[SubPLOs]],"&gt;=9",tbl_task8[[SubPLOs]:[SubPLOs]],"&lt;10")+SUMIFS(tbl_task9[S38],tbl_task9[[SubPLOs]:[SubPLOs]],"&gt;=9",tbl_task9[[SubPLOs]:[SubPLOs]],"&lt;10")+SUMIFS(tbl_task10[S38],tbl_task10[[SubPLOs]:[SubPLOs]],"&gt;=9",tbl_task10[[SubPLOs]:[SubPLOs]],"&lt;10")</f>
        <v>0</v>
      </c>
      <c r="AR188" s="41">
        <f>SUMIFS(tbl_task1[S39],tbl_task1[[SubPLOs]:[SubPLOs]],"&gt;=9",tbl_task1[[SubPLOs]:[SubPLOs]],"&lt;10")+SUMIFS(tbl_task2[S39],tbl_task2[[SubPLOs]:[SubPLOs]],"&gt;=9",tbl_task2[[SubPLOs]:[SubPLOs]],"&lt;10")+SUMIFS(tbl_task3[S39],tbl_task3[[SubPLOs]:[SubPLOs]],"&gt;=9",tbl_task3[[SubPLOs]:[SubPLOs]],"&lt;10")+SUMIFS(tbl_task4[S39],tbl_task4[[SubPLOs]:[SubPLOs]],"&gt;=9",tbl_task4[[SubPLOs]:[SubPLOs]],"&lt;10")+SUMIFS(tbl_task5[S39],tbl_task5[[SubPLOs]:[SubPLOs]],"&gt;=9",tbl_task5[[SubPLOs]:[SubPLOs]],"&lt;10")+SUMIFS(tbl_task6[S39],tbl_task6[[SubPLOs]:[SubPLOs]],"&gt;=9",tbl_task6[[SubPLOs]:[SubPLOs]],"&lt;10")+SUMIFS(tbl_task7[S39],tbl_task7[[SubPLOs]:[SubPLOs]],"&gt;=9",tbl_task7[[SubPLOs]:[SubPLOs]],"&lt;10")+SUMIFS(tbl_task8[S39],tbl_task8[[SubPLOs]:[SubPLOs]],"&gt;=9",tbl_task8[[SubPLOs]:[SubPLOs]],"&lt;10")+SUMIFS(tbl_task9[S39],tbl_task9[[SubPLOs]:[SubPLOs]],"&gt;=9",tbl_task9[[SubPLOs]:[SubPLOs]],"&lt;10")+SUMIFS(tbl_task10[S39],tbl_task10[[SubPLOs]:[SubPLOs]],"&gt;=9",tbl_task10[[SubPLOs]:[SubPLOs]],"&lt;10")</f>
        <v>0</v>
      </c>
      <c r="AS188" s="41">
        <f>SUMIFS(tbl_task1[S40],tbl_task1[[SubPLOs]:[SubPLOs]],"&gt;=9",tbl_task1[[SubPLOs]:[SubPLOs]],"&lt;10")+SUMIFS(tbl_task2[S40],tbl_task2[[SubPLOs]:[SubPLOs]],"&gt;=9",tbl_task2[[SubPLOs]:[SubPLOs]],"&lt;10")+SUMIFS(tbl_task3[S40],tbl_task3[[SubPLOs]:[SubPLOs]],"&gt;=9",tbl_task3[[SubPLOs]:[SubPLOs]],"&lt;10")+SUMIFS(tbl_task4[S40],tbl_task4[[SubPLOs]:[SubPLOs]],"&gt;=9",tbl_task4[[SubPLOs]:[SubPLOs]],"&lt;10")+SUMIFS(tbl_task5[S40],tbl_task5[[SubPLOs]:[SubPLOs]],"&gt;=9",tbl_task5[[SubPLOs]:[SubPLOs]],"&lt;10")+SUMIFS(tbl_task6[S40],tbl_task6[[SubPLOs]:[SubPLOs]],"&gt;=9",tbl_task6[[SubPLOs]:[SubPLOs]],"&lt;10")+SUMIFS(tbl_task7[S40],tbl_task7[[SubPLOs]:[SubPLOs]],"&gt;=9",tbl_task7[[SubPLOs]:[SubPLOs]],"&lt;10")+SUMIFS(tbl_task8[S40],tbl_task8[[SubPLOs]:[SubPLOs]],"&gt;=9",tbl_task8[[SubPLOs]:[SubPLOs]],"&lt;10")+SUMIFS(tbl_task9[S40],tbl_task9[[SubPLOs]:[SubPLOs]],"&gt;=9",tbl_task9[[SubPLOs]:[SubPLOs]],"&lt;10")+SUMIFS(tbl_task10[S40],tbl_task10[[SubPLOs]:[SubPLOs]],"&gt;=9",tbl_task10[[SubPLOs]:[SubPLOs]],"&lt;10")</f>
        <v>0</v>
      </c>
      <c r="AT188" s="41">
        <f>SUMIFS(tbl_task1[S41],tbl_task1[[SubPLOs]:[SubPLOs]],"&gt;=9",tbl_task1[[SubPLOs]:[SubPLOs]],"&lt;10")+SUMIFS(tbl_task2[S41],tbl_task2[[SubPLOs]:[SubPLOs]],"&gt;=9",tbl_task2[[SubPLOs]:[SubPLOs]],"&lt;10")+SUMIFS(tbl_task3[S41],tbl_task3[[SubPLOs]:[SubPLOs]],"&gt;=9",tbl_task3[[SubPLOs]:[SubPLOs]],"&lt;10")+SUMIFS(tbl_task4[S41],tbl_task4[[SubPLOs]:[SubPLOs]],"&gt;=9",tbl_task4[[SubPLOs]:[SubPLOs]],"&lt;10")+SUMIFS(tbl_task5[S41],tbl_task5[[SubPLOs]:[SubPLOs]],"&gt;=9",tbl_task5[[SubPLOs]:[SubPLOs]],"&lt;10")+SUMIFS(tbl_task6[S41],tbl_task6[[SubPLOs]:[SubPLOs]],"&gt;=9",tbl_task6[[SubPLOs]:[SubPLOs]],"&lt;10")+SUMIFS(tbl_task7[S41],tbl_task7[[SubPLOs]:[SubPLOs]],"&gt;=9",tbl_task7[[SubPLOs]:[SubPLOs]],"&lt;10")+SUMIFS(tbl_task8[S41],tbl_task8[[SubPLOs]:[SubPLOs]],"&gt;=9",tbl_task8[[SubPLOs]:[SubPLOs]],"&lt;10")+SUMIFS(tbl_task9[S41],tbl_task9[[SubPLOs]:[SubPLOs]],"&gt;=9",tbl_task9[[SubPLOs]:[SubPLOs]],"&lt;10")+SUMIFS(tbl_task10[S41],tbl_task10[[SubPLOs]:[SubPLOs]],"&gt;=9",tbl_task10[[SubPLOs]:[SubPLOs]],"&lt;10")</f>
        <v>0</v>
      </c>
      <c r="AU188" s="41">
        <f>SUMIFS(tbl_task1[S42],tbl_task1[[SubPLOs]:[SubPLOs]],"&gt;=9",tbl_task1[[SubPLOs]:[SubPLOs]],"&lt;10")+SUMIFS(tbl_task2[S42],tbl_task2[[SubPLOs]:[SubPLOs]],"&gt;=9",tbl_task2[[SubPLOs]:[SubPLOs]],"&lt;10")+SUMIFS(tbl_task3[S42],tbl_task3[[SubPLOs]:[SubPLOs]],"&gt;=9",tbl_task3[[SubPLOs]:[SubPLOs]],"&lt;10")+SUMIFS(tbl_task4[S42],tbl_task4[[SubPLOs]:[SubPLOs]],"&gt;=9",tbl_task4[[SubPLOs]:[SubPLOs]],"&lt;10")+SUMIFS(tbl_task5[S42],tbl_task5[[SubPLOs]:[SubPLOs]],"&gt;=9",tbl_task5[[SubPLOs]:[SubPLOs]],"&lt;10")+SUMIFS(tbl_task6[S42],tbl_task6[[SubPLOs]:[SubPLOs]],"&gt;=9",tbl_task6[[SubPLOs]:[SubPLOs]],"&lt;10")+SUMIFS(tbl_task7[S42],tbl_task7[[SubPLOs]:[SubPLOs]],"&gt;=9",tbl_task7[[SubPLOs]:[SubPLOs]],"&lt;10")+SUMIFS(tbl_task8[S42],tbl_task8[[SubPLOs]:[SubPLOs]],"&gt;=9",tbl_task8[[SubPLOs]:[SubPLOs]],"&lt;10")+SUMIFS(tbl_task9[S42],tbl_task9[[SubPLOs]:[SubPLOs]],"&gt;=9",tbl_task9[[SubPLOs]:[SubPLOs]],"&lt;10")+SUMIFS(tbl_task10[S42],tbl_task10[[SubPLOs]:[SubPLOs]],"&gt;=9",tbl_task10[[SubPLOs]:[SubPLOs]],"&lt;10")</f>
        <v>0</v>
      </c>
      <c r="AV188" s="41">
        <f>SUMIFS(tbl_task1[S43],tbl_task1[[SubPLOs]:[SubPLOs]],"&gt;=9",tbl_task1[[SubPLOs]:[SubPLOs]],"&lt;10")+SUMIFS(tbl_task2[S43],tbl_task2[[SubPLOs]:[SubPLOs]],"&gt;=9",tbl_task2[[SubPLOs]:[SubPLOs]],"&lt;10")+SUMIFS(tbl_task3[S43],tbl_task3[[SubPLOs]:[SubPLOs]],"&gt;=9",tbl_task3[[SubPLOs]:[SubPLOs]],"&lt;10")+SUMIFS(tbl_task4[S43],tbl_task4[[SubPLOs]:[SubPLOs]],"&gt;=9",tbl_task4[[SubPLOs]:[SubPLOs]],"&lt;10")+SUMIFS(tbl_task5[S43],tbl_task5[[SubPLOs]:[SubPLOs]],"&gt;=9",tbl_task5[[SubPLOs]:[SubPLOs]],"&lt;10")+SUMIFS(tbl_task6[S43],tbl_task6[[SubPLOs]:[SubPLOs]],"&gt;=9",tbl_task6[[SubPLOs]:[SubPLOs]],"&lt;10")+SUMIFS(tbl_task7[S43],tbl_task7[[SubPLOs]:[SubPLOs]],"&gt;=9",tbl_task7[[SubPLOs]:[SubPLOs]],"&lt;10")+SUMIFS(tbl_task8[S43],tbl_task8[[SubPLOs]:[SubPLOs]],"&gt;=9",tbl_task8[[SubPLOs]:[SubPLOs]],"&lt;10")+SUMIFS(tbl_task9[S43],tbl_task9[[SubPLOs]:[SubPLOs]],"&gt;=9",tbl_task9[[SubPLOs]:[SubPLOs]],"&lt;10")+SUMIFS(tbl_task10[S43],tbl_task10[[SubPLOs]:[SubPLOs]],"&gt;=9",tbl_task10[[SubPLOs]:[SubPLOs]],"&lt;10")</f>
        <v>0</v>
      </c>
      <c r="AW188" s="41">
        <f>SUMIFS(tbl_task1[S44],tbl_task1[[SubPLOs]:[SubPLOs]],"&gt;=9",tbl_task1[[SubPLOs]:[SubPLOs]],"&lt;10")+SUMIFS(tbl_task2[S44],tbl_task2[[SubPLOs]:[SubPLOs]],"&gt;=9",tbl_task2[[SubPLOs]:[SubPLOs]],"&lt;10")+SUMIFS(tbl_task3[S44],tbl_task3[[SubPLOs]:[SubPLOs]],"&gt;=9",tbl_task3[[SubPLOs]:[SubPLOs]],"&lt;10")+SUMIFS(tbl_task4[S44],tbl_task4[[SubPLOs]:[SubPLOs]],"&gt;=9",tbl_task4[[SubPLOs]:[SubPLOs]],"&lt;10")+SUMIFS(tbl_task5[S44],tbl_task5[[SubPLOs]:[SubPLOs]],"&gt;=9",tbl_task5[[SubPLOs]:[SubPLOs]],"&lt;10")+SUMIFS(tbl_task6[S44],tbl_task6[[SubPLOs]:[SubPLOs]],"&gt;=9",tbl_task6[[SubPLOs]:[SubPLOs]],"&lt;10")+SUMIFS(tbl_task7[S44],tbl_task7[[SubPLOs]:[SubPLOs]],"&gt;=9",tbl_task7[[SubPLOs]:[SubPLOs]],"&lt;10")+SUMIFS(tbl_task8[S44],tbl_task8[[SubPLOs]:[SubPLOs]],"&gt;=9",tbl_task8[[SubPLOs]:[SubPLOs]],"&lt;10")+SUMIFS(tbl_task9[S44],tbl_task9[[SubPLOs]:[SubPLOs]],"&gt;=9",tbl_task9[[SubPLOs]:[SubPLOs]],"&lt;10")+SUMIFS(tbl_task10[S44],tbl_task10[[SubPLOs]:[SubPLOs]],"&gt;=9",tbl_task10[[SubPLOs]:[SubPLOs]],"&lt;10")</f>
        <v>0</v>
      </c>
      <c r="AX188" s="41">
        <f>SUMIFS(tbl_task1[S45],tbl_task1[[SubPLOs]:[SubPLOs]],"&gt;=9",tbl_task1[[SubPLOs]:[SubPLOs]],"&lt;10")+SUMIFS(tbl_task2[S45],tbl_task2[[SubPLOs]:[SubPLOs]],"&gt;=9",tbl_task2[[SubPLOs]:[SubPLOs]],"&lt;10")+SUMIFS(tbl_task3[S45],tbl_task3[[SubPLOs]:[SubPLOs]],"&gt;=9",tbl_task3[[SubPLOs]:[SubPLOs]],"&lt;10")+SUMIFS(tbl_task4[S45],tbl_task4[[SubPLOs]:[SubPLOs]],"&gt;=9",tbl_task4[[SubPLOs]:[SubPLOs]],"&lt;10")+SUMIFS(tbl_task5[S45],tbl_task5[[SubPLOs]:[SubPLOs]],"&gt;=9",tbl_task5[[SubPLOs]:[SubPLOs]],"&lt;10")+SUMIFS(tbl_task6[S45],tbl_task6[[SubPLOs]:[SubPLOs]],"&gt;=9",tbl_task6[[SubPLOs]:[SubPLOs]],"&lt;10")+SUMIFS(tbl_task7[S45],tbl_task7[[SubPLOs]:[SubPLOs]],"&gt;=9",tbl_task7[[SubPLOs]:[SubPLOs]],"&lt;10")+SUMIFS(tbl_task8[S45],tbl_task8[[SubPLOs]:[SubPLOs]],"&gt;=9",tbl_task8[[SubPLOs]:[SubPLOs]],"&lt;10")+SUMIFS(tbl_task9[S45],tbl_task9[[SubPLOs]:[SubPLOs]],"&gt;=9",tbl_task9[[SubPLOs]:[SubPLOs]],"&lt;10")+SUMIFS(tbl_task10[S45],tbl_task10[[SubPLOs]:[SubPLOs]],"&gt;=9",tbl_task10[[SubPLOs]:[SubPLOs]],"&lt;10")</f>
        <v>0</v>
      </c>
      <c r="AY188" s="41">
        <f>SUMIFS(tbl_task1[S46],tbl_task1[[SubPLOs]:[SubPLOs]],"&gt;=9",tbl_task1[[SubPLOs]:[SubPLOs]],"&lt;10")+SUMIFS(tbl_task2[S46],tbl_task2[[SubPLOs]:[SubPLOs]],"&gt;=9",tbl_task2[[SubPLOs]:[SubPLOs]],"&lt;10")+SUMIFS(tbl_task3[S46],tbl_task3[[SubPLOs]:[SubPLOs]],"&gt;=9",tbl_task3[[SubPLOs]:[SubPLOs]],"&lt;10")+SUMIFS(tbl_task4[S46],tbl_task4[[SubPLOs]:[SubPLOs]],"&gt;=9",tbl_task4[[SubPLOs]:[SubPLOs]],"&lt;10")+SUMIFS(tbl_task5[S46],tbl_task5[[SubPLOs]:[SubPLOs]],"&gt;=9",tbl_task5[[SubPLOs]:[SubPLOs]],"&lt;10")+SUMIFS(tbl_task6[S46],tbl_task6[[SubPLOs]:[SubPLOs]],"&gt;=9",tbl_task6[[SubPLOs]:[SubPLOs]],"&lt;10")+SUMIFS(tbl_task7[S46],tbl_task7[[SubPLOs]:[SubPLOs]],"&gt;=9",tbl_task7[[SubPLOs]:[SubPLOs]],"&lt;10")+SUMIFS(tbl_task8[S46],tbl_task8[[SubPLOs]:[SubPLOs]],"&gt;=9",tbl_task8[[SubPLOs]:[SubPLOs]],"&lt;10")+SUMIFS(tbl_task9[S46],tbl_task9[[SubPLOs]:[SubPLOs]],"&gt;=9",tbl_task9[[SubPLOs]:[SubPLOs]],"&lt;10")+SUMIFS(tbl_task10[S46],tbl_task10[[SubPLOs]:[SubPLOs]],"&gt;=9",tbl_task10[[SubPLOs]:[SubPLOs]],"&lt;10")</f>
        <v>0</v>
      </c>
      <c r="AZ188" s="41">
        <f>SUMIFS(tbl_task1[S47],tbl_task1[[SubPLOs]:[SubPLOs]],"&gt;=9",tbl_task1[[SubPLOs]:[SubPLOs]],"&lt;10")+SUMIFS(tbl_task2[S47],tbl_task2[[SubPLOs]:[SubPLOs]],"&gt;=9",tbl_task2[[SubPLOs]:[SubPLOs]],"&lt;10")+SUMIFS(tbl_task3[S47],tbl_task3[[SubPLOs]:[SubPLOs]],"&gt;=9",tbl_task3[[SubPLOs]:[SubPLOs]],"&lt;10")+SUMIFS(tbl_task4[S47],tbl_task4[[SubPLOs]:[SubPLOs]],"&gt;=9",tbl_task4[[SubPLOs]:[SubPLOs]],"&lt;10")+SUMIFS(tbl_task5[S47],tbl_task5[[SubPLOs]:[SubPLOs]],"&gt;=9",tbl_task5[[SubPLOs]:[SubPLOs]],"&lt;10")+SUMIFS(tbl_task6[S47],tbl_task6[[SubPLOs]:[SubPLOs]],"&gt;=9",tbl_task6[[SubPLOs]:[SubPLOs]],"&lt;10")+SUMIFS(tbl_task7[S47],tbl_task7[[SubPLOs]:[SubPLOs]],"&gt;=9",tbl_task7[[SubPLOs]:[SubPLOs]],"&lt;10")+SUMIFS(tbl_task8[S47],tbl_task8[[SubPLOs]:[SubPLOs]],"&gt;=9",tbl_task8[[SubPLOs]:[SubPLOs]],"&lt;10")+SUMIFS(tbl_task9[S47],tbl_task9[[SubPLOs]:[SubPLOs]],"&gt;=9",tbl_task9[[SubPLOs]:[SubPLOs]],"&lt;10")+SUMIFS(tbl_task10[S47],tbl_task10[[SubPLOs]:[SubPLOs]],"&gt;=9",tbl_task10[[SubPLOs]:[SubPLOs]],"&lt;10")</f>
        <v>0</v>
      </c>
      <c r="BA188" s="41">
        <f>SUMIFS(tbl_task1[S48],tbl_task1[[SubPLOs]:[SubPLOs]],"&gt;=9",tbl_task1[[SubPLOs]:[SubPLOs]],"&lt;10")+SUMIFS(tbl_task2[S48],tbl_task2[[SubPLOs]:[SubPLOs]],"&gt;=9",tbl_task2[[SubPLOs]:[SubPLOs]],"&lt;10")+SUMIFS(tbl_task3[S48],tbl_task3[[SubPLOs]:[SubPLOs]],"&gt;=9",tbl_task3[[SubPLOs]:[SubPLOs]],"&lt;10")+SUMIFS(tbl_task4[S48],tbl_task4[[SubPLOs]:[SubPLOs]],"&gt;=9",tbl_task4[[SubPLOs]:[SubPLOs]],"&lt;10")+SUMIFS(tbl_task5[S48],tbl_task5[[SubPLOs]:[SubPLOs]],"&gt;=9",tbl_task5[[SubPLOs]:[SubPLOs]],"&lt;10")+SUMIFS(tbl_task6[S48],tbl_task6[[SubPLOs]:[SubPLOs]],"&gt;=9",tbl_task6[[SubPLOs]:[SubPLOs]],"&lt;10")+SUMIFS(tbl_task7[S48],tbl_task7[[SubPLOs]:[SubPLOs]],"&gt;=9",tbl_task7[[SubPLOs]:[SubPLOs]],"&lt;10")+SUMIFS(tbl_task8[S48],tbl_task8[[SubPLOs]:[SubPLOs]],"&gt;=9",tbl_task8[[SubPLOs]:[SubPLOs]],"&lt;10")+SUMIFS(tbl_task9[S48],tbl_task9[[SubPLOs]:[SubPLOs]],"&gt;=9",tbl_task9[[SubPLOs]:[SubPLOs]],"&lt;10")+SUMIFS(tbl_task10[S48],tbl_task10[[SubPLOs]:[SubPLOs]],"&gt;=9",tbl_task10[[SubPLOs]:[SubPLOs]],"&lt;10")</f>
        <v>0</v>
      </c>
      <c r="BB188" s="41">
        <f>SUMIFS(tbl_task1[S49],tbl_task1[[SubPLOs]:[SubPLOs]],"&gt;=9",tbl_task1[[SubPLOs]:[SubPLOs]],"&lt;10")+SUMIFS(tbl_task2[S49],tbl_task2[[SubPLOs]:[SubPLOs]],"&gt;=9",tbl_task2[[SubPLOs]:[SubPLOs]],"&lt;10")+SUMIFS(tbl_task3[S49],tbl_task3[[SubPLOs]:[SubPLOs]],"&gt;=9",tbl_task3[[SubPLOs]:[SubPLOs]],"&lt;10")+SUMIFS(tbl_task4[S49],tbl_task4[[SubPLOs]:[SubPLOs]],"&gt;=9",tbl_task4[[SubPLOs]:[SubPLOs]],"&lt;10")+SUMIFS(tbl_task5[S49],tbl_task5[[SubPLOs]:[SubPLOs]],"&gt;=9",tbl_task5[[SubPLOs]:[SubPLOs]],"&lt;10")+SUMIFS(tbl_task6[S49],tbl_task6[[SubPLOs]:[SubPLOs]],"&gt;=9",tbl_task6[[SubPLOs]:[SubPLOs]],"&lt;10")+SUMIFS(tbl_task7[S49],tbl_task7[[SubPLOs]:[SubPLOs]],"&gt;=9",tbl_task7[[SubPLOs]:[SubPLOs]],"&lt;10")+SUMIFS(tbl_task8[S49],tbl_task8[[SubPLOs]:[SubPLOs]],"&gt;=9",tbl_task8[[SubPLOs]:[SubPLOs]],"&lt;10")+SUMIFS(tbl_task9[S49],tbl_task9[[SubPLOs]:[SubPLOs]],"&gt;=9",tbl_task9[[SubPLOs]:[SubPLOs]],"&lt;10")+SUMIFS(tbl_task10[S49],tbl_task10[[SubPLOs]:[SubPLOs]],"&gt;=9",tbl_task10[[SubPLOs]:[SubPLOs]],"&lt;10")</f>
        <v>0</v>
      </c>
      <c r="BC188" s="41">
        <f>SUMIFS(tbl_task1[S50],tbl_task1[[SubPLOs]:[SubPLOs]],"&gt;=9",tbl_task1[[SubPLOs]:[SubPLOs]],"&lt;10")+SUMIFS(tbl_task2[S50],tbl_task2[[SubPLOs]:[SubPLOs]],"&gt;=9",tbl_task2[[SubPLOs]:[SubPLOs]],"&lt;10")+SUMIFS(tbl_task3[S50],tbl_task3[[SubPLOs]:[SubPLOs]],"&gt;=9",tbl_task3[[SubPLOs]:[SubPLOs]],"&lt;10")+SUMIFS(tbl_task4[S50],tbl_task4[[SubPLOs]:[SubPLOs]],"&gt;=9",tbl_task4[[SubPLOs]:[SubPLOs]],"&lt;10")+SUMIFS(tbl_task5[S50],tbl_task5[[SubPLOs]:[SubPLOs]],"&gt;=9",tbl_task5[[SubPLOs]:[SubPLOs]],"&lt;10")+SUMIFS(tbl_task6[S50],tbl_task6[[SubPLOs]:[SubPLOs]],"&gt;=9",tbl_task6[[SubPLOs]:[SubPLOs]],"&lt;10")+SUMIFS(tbl_task7[S50],tbl_task7[[SubPLOs]:[SubPLOs]],"&gt;=9",tbl_task7[[SubPLOs]:[SubPLOs]],"&lt;10")+SUMIFS(tbl_task8[S50],tbl_task8[[SubPLOs]:[SubPLOs]],"&gt;=9",tbl_task8[[SubPLOs]:[SubPLOs]],"&lt;10")+SUMIFS(tbl_task9[S50],tbl_task9[[SubPLOs]:[SubPLOs]],"&gt;=9",tbl_task9[[SubPLOs]:[SubPLOs]],"&lt;10")+SUMIFS(tbl_task10[S50],tbl_task10[[SubPLOs]:[SubPLOs]],"&gt;=9",tbl_task10[[SubPLOs]:[SubPLOs]],"&lt;10")</f>
        <v>0</v>
      </c>
      <c r="BD188" s="41">
        <f>SUMIFS(tbl_task1[S51],tbl_task1[[SubPLOs]:[SubPLOs]],"&gt;=9",tbl_task1[[SubPLOs]:[SubPLOs]],"&lt;10")+SUMIFS(tbl_task2[S51],tbl_task2[[SubPLOs]:[SubPLOs]],"&gt;=9",tbl_task2[[SubPLOs]:[SubPLOs]],"&lt;10")+SUMIFS(tbl_task3[S51],tbl_task3[[SubPLOs]:[SubPLOs]],"&gt;=9",tbl_task3[[SubPLOs]:[SubPLOs]],"&lt;10")+SUMIFS(tbl_task4[S51],tbl_task4[[SubPLOs]:[SubPLOs]],"&gt;=9",tbl_task4[[SubPLOs]:[SubPLOs]],"&lt;10")+SUMIFS(tbl_task5[S51],tbl_task5[[SubPLOs]:[SubPLOs]],"&gt;=9",tbl_task5[[SubPLOs]:[SubPLOs]],"&lt;10")+SUMIFS(tbl_task6[S51],tbl_task6[[SubPLOs]:[SubPLOs]],"&gt;=9",tbl_task6[[SubPLOs]:[SubPLOs]],"&lt;10")+SUMIFS(tbl_task7[S51],tbl_task7[[SubPLOs]:[SubPLOs]],"&gt;=9",tbl_task7[[SubPLOs]:[SubPLOs]],"&lt;10")+SUMIFS(tbl_task8[S51],tbl_task8[[SubPLOs]:[SubPLOs]],"&gt;=9",tbl_task8[[SubPLOs]:[SubPLOs]],"&lt;10")+SUMIFS(tbl_task9[S51],tbl_task9[[SubPLOs]:[SubPLOs]],"&gt;=9",tbl_task9[[SubPLOs]:[SubPLOs]],"&lt;10")+SUMIFS(tbl_task10[S51],tbl_task10[[SubPLOs]:[SubPLOs]],"&gt;=9",tbl_task10[[SubPLOs]:[SubPLOs]],"&lt;10")</f>
        <v>0</v>
      </c>
      <c r="BE188" s="41">
        <f>SUMIFS(tbl_task1[S52],tbl_task1[[SubPLOs]:[SubPLOs]],"&gt;=9",tbl_task1[[SubPLOs]:[SubPLOs]],"&lt;10")+SUMIFS(tbl_task2[S52],tbl_task2[[SubPLOs]:[SubPLOs]],"&gt;=9",tbl_task2[[SubPLOs]:[SubPLOs]],"&lt;10")+SUMIFS(tbl_task3[S52],tbl_task3[[SubPLOs]:[SubPLOs]],"&gt;=9",tbl_task3[[SubPLOs]:[SubPLOs]],"&lt;10")+SUMIFS(tbl_task4[S52],tbl_task4[[SubPLOs]:[SubPLOs]],"&gt;=9",tbl_task4[[SubPLOs]:[SubPLOs]],"&lt;10")+SUMIFS(tbl_task5[S52],tbl_task5[[SubPLOs]:[SubPLOs]],"&gt;=9",tbl_task5[[SubPLOs]:[SubPLOs]],"&lt;10")+SUMIFS(tbl_task6[S52],tbl_task6[[SubPLOs]:[SubPLOs]],"&gt;=9",tbl_task6[[SubPLOs]:[SubPLOs]],"&lt;10")+SUMIFS(tbl_task7[S52],tbl_task7[[SubPLOs]:[SubPLOs]],"&gt;=9",tbl_task7[[SubPLOs]:[SubPLOs]],"&lt;10")+SUMIFS(tbl_task8[S52],tbl_task8[[SubPLOs]:[SubPLOs]],"&gt;=9",tbl_task8[[SubPLOs]:[SubPLOs]],"&lt;10")+SUMIFS(tbl_task9[S52],tbl_task9[[SubPLOs]:[SubPLOs]],"&gt;=9",tbl_task9[[SubPLOs]:[SubPLOs]],"&lt;10")+SUMIFS(tbl_task10[S52],tbl_task10[[SubPLOs]:[SubPLOs]],"&gt;=9",tbl_task10[[SubPLOs]:[SubPLOs]],"&lt;10")</f>
        <v>0</v>
      </c>
      <c r="BF188" s="41">
        <f>SUMIFS(tbl_task1[S53],tbl_task1[[SubPLOs]:[SubPLOs]],"&gt;=9",tbl_task1[[SubPLOs]:[SubPLOs]],"&lt;10")+SUMIFS(tbl_task2[S53],tbl_task2[[SubPLOs]:[SubPLOs]],"&gt;=9",tbl_task2[[SubPLOs]:[SubPLOs]],"&lt;10")+SUMIFS(tbl_task3[S53],tbl_task3[[SubPLOs]:[SubPLOs]],"&gt;=9",tbl_task3[[SubPLOs]:[SubPLOs]],"&lt;10")+SUMIFS(tbl_task4[S53],tbl_task4[[SubPLOs]:[SubPLOs]],"&gt;=9",tbl_task4[[SubPLOs]:[SubPLOs]],"&lt;10")+SUMIFS(tbl_task5[S53],tbl_task5[[SubPLOs]:[SubPLOs]],"&gt;=9",tbl_task5[[SubPLOs]:[SubPLOs]],"&lt;10")+SUMIFS(tbl_task6[S53],tbl_task6[[SubPLOs]:[SubPLOs]],"&gt;=9",tbl_task6[[SubPLOs]:[SubPLOs]],"&lt;10")+SUMIFS(tbl_task7[S53],tbl_task7[[SubPLOs]:[SubPLOs]],"&gt;=9",tbl_task7[[SubPLOs]:[SubPLOs]],"&lt;10")+SUMIFS(tbl_task8[S53],tbl_task8[[SubPLOs]:[SubPLOs]],"&gt;=9",tbl_task8[[SubPLOs]:[SubPLOs]],"&lt;10")+SUMIFS(tbl_task9[S53],tbl_task9[[SubPLOs]:[SubPLOs]],"&gt;=9",tbl_task9[[SubPLOs]:[SubPLOs]],"&lt;10")+SUMIFS(tbl_task10[S53],tbl_task10[[SubPLOs]:[SubPLOs]],"&gt;=9",tbl_task10[[SubPLOs]:[SubPLOs]],"&lt;10")</f>
        <v>0</v>
      </c>
      <c r="BG188" s="41">
        <f>SUMIFS(tbl_task1[S54],tbl_task1[[SubPLOs]:[SubPLOs]],"&gt;=9",tbl_task1[[SubPLOs]:[SubPLOs]],"&lt;10")+SUMIFS(tbl_task2[S54],tbl_task2[[SubPLOs]:[SubPLOs]],"&gt;=9",tbl_task2[[SubPLOs]:[SubPLOs]],"&lt;10")+SUMIFS(tbl_task3[S54],tbl_task3[[SubPLOs]:[SubPLOs]],"&gt;=9",tbl_task3[[SubPLOs]:[SubPLOs]],"&lt;10")+SUMIFS(tbl_task4[S54],tbl_task4[[SubPLOs]:[SubPLOs]],"&gt;=9",tbl_task4[[SubPLOs]:[SubPLOs]],"&lt;10")+SUMIFS(tbl_task5[S54],tbl_task5[[SubPLOs]:[SubPLOs]],"&gt;=9",tbl_task5[[SubPLOs]:[SubPLOs]],"&lt;10")+SUMIFS(tbl_task6[S54],tbl_task6[[SubPLOs]:[SubPLOs]],"&gt;=9",tbl_task6[[SubPLOs]:[SubPLOs]],"&lt;10")+SUMIFS(tbl_task7[S54],tbl_task7[[SubPLOs]:[SubPLOs]],"&gt;=9",tbl_task7[[SubPLOs]:[SubPLOs]],"&lt;10")+SUMIFS(tbl_task8[S54],tbl_task8[[SubPLOs]:[SubPLOs]],"&gt;=9",tbl_task8[[SubPLOs]:[SubPLOs]],"&lt;10")+SUMIFS(tbl_task9[S54],tbl_task9[[SubPLOs]:[SubPLOs]],"&gt;=9",tbl_task9[[SubPLOs]:[SubPLOs]],"&lt;10")+SUMIFS(tbl_task10[S54],tbl_task10[[SubPLOs]:[SubPLOs]],"&gt;=9",tbl_task10[[SubPLOs]:[SubPLOs]],"&lt;10")</f>
        <v>0</v>
      </c>
      <c r="BH188" s="41">
        <f>SUMIFS(tbl_task1[S55],tbl_task1[[SubPLOs]:[SubPLOs]],"&gt;=9",tbl_task1[[SubPLOs]:[SubPLOs]],"&lt;10")+SUMIFS(tbl_task2[S55],tbl_task2[[SubPLOs]:[SubPLOs]],"&gt;=9",tbl_task2[[SubPLOs]:[SubPLOs]],"&lt;10")+SUMIFS(tbl_task3[S55],tbl_task3[[SubPLOs]:[SubPLOs]],"&gt;=9",tbl_task3[[SubPLOs]:[SubPLOs]],"&lt;10")+SUMIFS(tbl_task4[S55],tbl_task4[[SubPLOs]:[SubPLOs]],"&gt;=9",tbl_task4[[SubPLOs]:[SubPLOs]],"&lt;10")+SUMIFS(tbl_task5[S55],tbl_task5[[SubPLOs]:[SubPLOs]],"&gt;=9",tbl_task5[[SubPLOs]:[SubPLOs]],"&lt;10")+SUMIFS(tbl_task6[S55],tbl_task6[[SubPLOs]:[SubPLOs]],"&gt;=9",tbl_task6[[SubPLOs]:[SubPLOs]],"&lt;10")+SUMIFS(tbl_task7[S55],tbl_task7[[SubPLOs]:[SubPLOs]],"&gt;=9",tbl_task7[[SubPLOs]:[SubPLOs]],"&lt;10")+SUMIFS(tbl_task8[S55],tbl_task8[[SubPLOs]:[SubPLOs]],"&gt;=9",tbl_task8[[SubPLOs]:[SubPLOs]],"&lt;10")+SUMIFS(tbl_task9[S55],tbl_task9[[SubPLOs]:[SubPLOs]],"&gt;=9",tbl_task9[[SubPLOs]:[SubPLOs]],"&lt;10")+SUMIFS(tbl_task10[S55],tbl_task10[[SubPLOs]:[SubPLOs]],"&gt;=9",tbl_task10[[SubPLOs]:[SubPLOs]],"&lt;10")</f>
        <v>0</v>
      </c>
      <c r="BI188" s="41">
        <f>SUMIFS(tbl_task1[S56],tbl_task1[[SubPLOs]:[SubPLOs]],"&gt;=9",tbl_task1[[SubPLOs]:[SubPLOs]],"&lt;10")+SUMIFS(tbl_task2[S56],tbl_task2[[SubPLOs]:[SubPLOs]],"&gt;=9",tbl_task2[[SubPLOs]:[SubPLOs]],"&lt;10")+SUMIFS(tbl_task3[S56],tbl_task3[[SubPLOs]:[SubPLOs]],"&gt;=9",tbl_task3[[SubPLOs]:[SubPLOs]],"&lt;10")+SUMIFS(tbl_task4[S56],tbl_task4[[SubPLOs]:[SubPLOs]],"&gt;=9",tbl_task4[[SubPLOs]:[SubPLOs]],"&lt;10")+SUMIFS(tbl_task5[S56],tbl_task5[[SubPLOs]:[SubPLOs]],"&gt;=9",tbl_task5[[SubPLOs]:[SubPLOs]],"&lt;10")+SUMIFS(tbl_task6[S56],tbl_task6[[SubPLOs]:[SubPLOs]],"&gt;=9",tbl_task6[[SubPLOs]:[SubPLOs]],"&lt;10")+SUMIFS(tbl_task7[S56],tbl_task7[[SubPLOs]:[SubPLOs]],"&gt;=9",tbl_task7[[SubPLOs]:[SubPLOs]],"&lt;10")+SUMIFS(tbl_task8[S56],tbl_task8[[SubPLOs]:[SubPLOs]],"&gt;=9",tbl_task8[[SubPLOs]:[SubPLOs]],"&lt;10")+SUMIFS(tbl_task9[S56],tbl_task9[[SubPLOs]:[SubPLOs]],"&gt;=9",tbl_task9[[SubPLOs]:[SubPLOs]],"&lt;10")+SUMIFS(tbl_task10[S56],tbl_task10[[SubPLOs]:[SubPLOs]],"&gt;=9",tbl_task10[[SubPLOs]:[SubPLOs]],"&lt;10")</f>
        <v>0</v>
      </c>
      <c r="BJ188" s="41">
        <f>SUMIFS(tbl_task1[S57],tbl_task1[[SubPLOs]:[SubPLOs]],"&gt;=9",tbl_task1[[SubPLOs]:[SubPLOs]],"&lt;10")+SUMIFS(tbl_task2[S57],tbl_task2[[SubPLOs]:[SubPLOs]],"&gt;=9",tbl_task2[[SubPLOs]:[SubPLOs]],"&lt;10")+SUMIFS(tbl_task3[S57],tbl_task3[[SubPLOs]:[SubPLOs]],"&gt;=9",tbl_task3[[SubPLOs]:[SubPLOs]],"&lt;10")+SUMIFS(tbl_task4[S57],tbl_task4[[SubPLOs]:[SubPLOs]],"&gt;=9",tbl_task4[[SubPLOs]:[SubPLOs]],"&lt;10")+SUMIFS(tbl_task5[S57],tbl_task5[[SubPLOs]:[SubPLOs]],"&gt;=9",tbl_task5[[SubPLOs]:[SubPLOs]],"&lt;10")+SUMIFS(tbl_task6[S57],tbl_task6[[SubPLOs]:[SubPLOs]],"&gt;=9",tbl_task6[[SubPLOs]:[SubPLOs]],"&lt;10")+SUMIFS(tbl_task7[S57],tbl_task7[[SubPLOs]:[SubPLOs]],"&gt;=9",tbl_task7[[SubPLOs]:[SubPLOs]],"&lt;10")+SUMIFS(tbl_task8[S57],tbl_task8[[SubPLOs]:[SubPLOs]],"&gt;=9",tbl_task8[[SubPLOs]:[SubPLOs]],"&lt;10")+SUMIFS(tbl_task9[S57],tbl_task9[[SubPLOs]:[SubPLOs]],"&gt;=9",tbl_task9[[SubPLOs]:[SubPLOs]],"&lt;10")+SUMIFS(tbl_task10[S57],tbl_task10[[SubPLOs]:[SubPLOs]],"&gt;=9",tbl_task10[[SubPLOs]:[SubPLOs]],"&lt;10")</f>
        <v>0</v>
      </c>
      <c r="BK188" s="41">
        <f>SUMIFS(tbl_task1[S58],tbl_task1[[SubPLOs]:[SubPLOs]],"&gt;=9",tbl_task1[[SubPLOs]:[SubPLOs]],"&lt;10")+SUMIFS(tbl_task2[S58],tbl_task2[[SubPLOs]:[SubPLOs]],"&gt;=9",tbl_task2[[SubPLOs]:[SubPLOs]],"&lt;10")+SUMIFS(tbl_task3[S58],tbl_task3[[SubPLOs]:[SubPLOs]],"&gt;=9",tbl_task3[[SubPLOs]:[SubPLOs]],"&lt;10")+SUMIFS(tbl_task4[S58],tbl_task4[[SubPLOs]:[SubPLOs]],"&gt;=9",tbl_task4[[SubPLOs]:[SubPLOs]],"&lt;10")+SUMIFS(tbl_task5[S58],tbl_task5[[SubPLOs]:[SubPLOs]],"&gt;=9",tbl_task5[[SubPLOs]:[SubPLOs]],"&lt;10")+SUMIFS(tbl_task6[S58],tbl_task6[[SubPLOs]:[SubPLOs]],"&gt;=9",tbl_task6[[SubPLOs]:[SubPLOs]],"&lt;10")+SUMIFS(tbl_task7[S58],tbl_task7[[SubPLOs]:[SubPLOs]],"&gt;=9",tbl_task7[[SubPLOs]:[SubPLOs]],"&lt;10")+SUMIFS(tbl_task8[S58],tbl_task8[[SubPLOs]:[SubPLOs]],"&gt;=9",tbl_task8[[SubPLOs]:[SubPLOs]],"&lt;10")+SUMIFS(tbl_task9[S58],tbl_task9[[SubPLOs]:[SubPLOs]],"&gt;=9",tbl_task9[[SubPLOs]:[SubPLOs]],"&lt;10")+SUMIFS(tbl_task10[S58],tbl_task10[[SubPLOs]:[SubPLOs]],"&gt;=9",tbl_task10[[SubPLOs]:[SubPLOs]],"&lt;10")</f>
        <v>0</v>
      </c>
      <c r="BL188" s="41">
        <f>SUMIFS(tbl_task1[S59],tbl_task1[[SubPLOs]:[SubPLOs]],"&gt;=9",tbl_task1[[SubPLOs]:[SubPLOs]],"&lt;10")+SUMIFS(tbl_task2[S59],tbl_task2[[SubPLOs]:[SubPLOs]],"&gt;=9",tbl_task2[[SubPLOs]:[SubPLOs]],"&lt;10")+SUMIFS(tbl_task3[S59],tbl_task3[[SubPLOs]:[SubPLOs]],"&gt;=9",tbl_task3[[SubPLOs]:[SubPLOs]],"&lt;10")+SUMIFS(tbl_task4[S59],tbl_task4[[SubPLOs]:[SubPLOs]],"&gt;=9",tbl_task4[[SubPLOs]:[SubPLOs]],"&lt;10")+SUMIFS(tbl_task5[S59],tbl_task5[[SubPLOs]:[SubPLOs]],"&gt;=9",tbl_task5[[SubPLOs]:[SubPLOs]],"&lt;10")+SUMIFS(tbl_task6[S59],tbl_task6[[SubPLOs]:[SubPLOs]],"&gt;=9",tbl_task6[[SubPLOs]:[SubPLOs]],"&lt;10")+SUMIFS(tbl_task7[S59],tbl_task7[[SubPLOs]:[SubPLOs]],"&gt;=9",tbl_task7[[SubPLOs]:[SubPLOs]],"&lt;10")+SUMIFS(tbl_task8[S59],tbl_task8[[SubPLOs]:[SubPLOs]],"&gt;=9",tbl_task8[[SubPLOs]:[SubPLOs]],"&lt;10")+SUMIFS(tbl_task9[S59],tbl_task9[[SubPLOs]:[SubPLOs]],"&gt;=9",tbl_task9[[SubPLOs]:[SubPLOs]],"&lt;10")+SUMIFS(tbl_task10[S59],tbl_task10[[SubPLOs]:[SubPLOs]],"&gt;=9",tbl_task10[[SubPLOs]:[SubPLOs]],"&lt;10")</f>
        <v>0</v>
      </c>
      <c r="BM188" s="41">
        <f>SUMIFS(tbl_task1[S60],tbl_task1[[SubPLOs]:[SubPLOs]],"&gt;=9",tbl_task1[[SubPLOs]:[SubPLOs]],"&lt;10")+SUMIFS(tbl_task2[S60],tbl_task2[[SubPLOs]:[SubPLOs]],"&gt;=9",tbl_task2[[SubPLOs]:[SubPLOs]],"&lt;10")+SUMIFS(tbl_task3[S60],tbl_task3[[SubPLOs]:[SubPLOs]],"&gt;=9",tbl_task3[[SubPLOs]:[SubPLOs]],"&lt;10")+SUMIFS(tbl_task4[S60],tbl_task4[[SubPLOs]:[SubPLOs]],"&gt;=9",tbl_task4[[SubPLOs]:[SubPLOs]],"&lt;10")+SUMIFS(tbl_task5[S60],tbl_task5[[SubPLOs]:[SubPLOs]],"&gt;=9",tbl_task5[[SubPLOs]:[SubPLOs]],"&lt;10")+SUMIFS(tbl_task6[S60],tbl_task6[[SubPLOs]:[SubPLOs]],"&gt;=9",tbl_task6[[SubPLOs]:[SubPLOs]],"&lt;10")+SUMIFS(tbl_task7[S60],tbl_task7[[SubPLOs]:[SubPLOs]],"&gt;=9",tbl_task7[[SubPLOs]:[SubPLOs]],"&lt;10")+SUMIFS(tbl_task8[S60],tbl_task8[[SubPLOs]:[SubPLOs]],"&gt;=9",tbl_task8[[SubPLOs]:[SubPLOs]],"&lt;10")+SUMIFS(tbl_task9[S60],tbl_task9[[SubPLOs]:[SubPLOs]],"&gt;=9",tbl_task9[[SubPLOs]:[SubPLOs]],"&lt;10")+SUMIFS(tbl_task10[S60],tbl_task10[[SubPLOs]:[SubPLOs]],"&gt;=9",tbl_task10[[SubPLOs]:[SubPLOs]],"&lt;10")</f>
        <v>0</v>
      </c>
      <c r="BN188" s="41">
        <f>SUMIFS(tbl_task1[S61],tbl_task1[[SubPLOs]:[SubPLOs]],"&gt;=9",tbl_task1[[SubPLOs]:[SubPLOs]],"&lt;10")+SUMIFS(tbl_task2[S61],tbl_task2[[SubPLOs]:[SubPLOs]],"&gt;=9",tbl_task2[[SubPLOs]:[SubPLOs]],"&lt;10")+SUMIFS(tbl_task3[S61],tbl_task3[[SubPLOs]:[SubPLOs]],"&gt;=9",tbl_task3[[SubPLOs]:[SubPLOs]],"&lt;10")+SUMIFS(tbl_task4[S61],tbl_task4[[SubPLOs]:[SubPLOs]],"&gt;=9",tbl_task4[[SubPLOs]:[SubPLOs]],"&lt;10")+SUMIFS(tbl_task5[S61],tbl_task5[[SubPLOs]:[SubPLOs]],"&gt;=9",tbl_task5[[SubPLOs]:[SubPLOs]],"&lt;10")+SUMIFS(tbl_task6[S61],tbl_task6[[SubPLOs]:[SubPLOs]],"&gt;=9",tbl_task6[[SubPLOs]:[SubPLOs]],"&lt;10")+SUMIFS(tbl_task7[S61],tbl_task7[[SubPLOs]:[SubPLOs]],"&gt;=9",tbl_task7[[SubPLOs]:[SubPLOs]],"&lt;10")+SUMIFS(tbl_task8[S61],tbl_task8[[SubPLOs]:[SubPLOs]],"&gt;=9",tbl_task8[[SubPLOs]:[SubPLOs]],"&lt;10")+SUMIFS(tbl_task9[S61],tbl_task9[[SubPLOs]:[SubPLOs]],"&gt;=9",tbl_task9[[SubPLOs]:[SubPLOs]],"&lt;10")+SUMIFS(tbl_task10[S61],tbl_task10[[SubPLOs]:[SubPLOs]],"&gt;=9",tbl_task10[[SubPLOs]:[SubPLOs]],"&lt;10")</f>
        <v>0</v>
      </c>
      <c r="BO188" s="41">
        <f>SUMIFS(tbl_task1[S62],tbl_task1[[SubPLOs]:[SubPLOs]],"&gt;=9",tbl_task1[[SubPLOs]:[SubPLOs]],"&lt;10")+SUMIFS(tbl_task2[S62],tbl_task2[[SubPLOs]:[SubPLOs]],"&gt;=9",tbl_task2[[SubPLOs]:[SubPLOs]],"&lt;10")+SUMIFS(tbl_task3[S62],tbl_task3[[SubPLOs]:[SubPLOs]],"&gt;=9",tbl_task3[[SubPLOs]:[SubPLOs]],"&lt;10")+SUMIFS(tbl_task4[S62],tbl_task4[[SubPLOs]:[SubPLOs]],"&gt;=9",tbl_task4[[SubPLOs]:[SubPLOs]],"&lt;10")+SUMIFS(tbl_task5[S62],tbl_task5[[SubPLOs]:[SubPLOs]],"&gt;=9",tbl_task5[[SubPLOs]:[SubPLOs]],"&lt;10")+SUMIFS(tbl_task6[S62],tbl_task6[[SubPLOs]:[SubPLOs]],"&gt;=9",tbl_task6[[SubPLOs]:[SubPLOs]],"&lt;10")+SUMIFS(tbl_task7[S62],tbl_task7[[SubPLOs]:[SubPLOs]],"&gt;=9",tbl_task7[[SubPLOs]:[SubPLOs]],"&lt;10")+SUMIFS(tbl_task8[S62],tbl_task8[[SubPLOs]:[SubPLOs]],"&gt;=9",tbl_task8[[SubPLOs]:[SubPLOs]],"&lt;10")+SUMIFS(tbl_task9[S62],tbl_task9[[SubPLOs]:[SubPLOs]],"&gt;=9",tbl_task9[[SubPLOs]:[SubPLOs]],"&lt;10")+SUMIFS(tbl_task10[S62],tbl_task10[[SubPLOs]:[SubPLOs]],"&gt;=9",tbl_task10[[SubPLOs]:[SubPLOs]],"&lt;10")</f>
        <v>0</v>
      </c>
      <c r="BP188" s="41">
        <f>SUMIFS(tbl_task1[S63],tbl_task1[[SubPLOs]:[SubPLOs]],"&gt;=9",tbl_task1[[SubPLOs]:[SubPLOs]],"&lt;10")+SUMIFS(tbl_task2[S63],tbl_task2[[SubPLOs]:[SubPLOs]],"&gt;=9",tbl_task2[[SubPLOs]:[SubPLOs]],"&lt;10")+SUMIFS(tbl_task3[S63],tbl_task3[[SubPLOs]:[SubPLOs]],"&gt;=9",tbl_task3[[SubPLOs]:[SubPLOs]],"&lt;10")+SUMIFS(tbl_task4[S63],tbl_task4[[SubPLOs]:[SubPLOs]],"&gt;=9",tbl_task4[[SubPLOs]:[SubPLOs]],"&lt;10")+SUMIFS(tbl_task5[S63],tbl_task5[[SubPLOs]:[SubPLOs]],"&gt;=9",tbl_task5[[SubPLOs]:[SubPLOs]],"&lt;10")+SUMIFS(tbl_task6[S63],tbl_task6[[SubPLOs]:[SubPLOs]],"&gt;=9",tbl_task6[[SubPLOs]:[SubPLOs]],"&lt;10")+SUMIFS(tbl_task7[S63],tbl_task7[[SubPLOs]:[SubPLOs]],"&gt;=9",tbl_task7[[SubPLOs]:[SubPLOs]],"&lt;10")+SUMIFS(tbl_task8[S63],tbl_task8[[SubPLOs]:[SubPLOs]],"&gt;=9",tbl_task8[[SubPLOs]:[SubPLOs]],"&lt;10")+SUMIFS(tbl_task9[S63],tbl_task9[[SubPLOs]:[SubPLOs]],"&gt;=9",tbl_task9[[SubPLOs]:[SubPLOs]],"&lt;10")+SUMIFS(tbl_task10[S63],tbl_task10[[SubPLOs]:[SubPLOs]],"&gt;=9",tbl_task10[[SubPLOs]:[SubPLOs]],"&lt;10")</f>
        <v>0</v>
      </c>
      <c r="BQ188" s="41">
        <f>SUMIFS(tbl_task1[S64],tbl_task1[[SubPLOs]:[SubPLOs]],"&gt;=9",tbl_task1[[SubPLOs]:[SubPLOs]],"&lt;10")+SUMIFS(tbl_task2[S64],tbl_task2[[SubPLOs]:[SubPLOs]],"&gt;=9",tbl_task2[[SubPLOs]:[SubPLOs]],"&lt;10")+SUMIFS(tbl_task3[S64],tbl_task3[[SubPLOs]:[SubPLOs]],"&gt;=9",tbl_task3[[SubPLOs]:[SubPLOs]],"&lt;10")+SUMIFS(tbl_task4[S64],tbl_task4[[SubPLOs]:[SubPLOs]],"&gt;=9",tbl_task4[[SubPLOs]:[SubPLOs]],"&lt;10")+SUMIFS(tbl_task5[S64],tbl_task5[[SubPLOs]:[SubPLOs]],"&gt;=9",tbl_task5[[SubPLOs]:[SubPLOs]],"&lt;10")+SUMIFS(tbl_task6[S64],tbl_task6[[SubPLOs]:[SubPLOs]],"&gt;=9",tbl_task6[[SubPLOs]:[SubPLOs]],"&lt;10")+SUMIFS(tbl_task7[S64],tbl_task7[[SubPLOs]:[SubPLOs]],"&gt;=9",tbl_task7[[SubPLOs]:[SubPLOs]],"&lt;10")+SUMIFS(tbl_task8[S64],tbl_task8[[SubPLOs]:[SubPLOs]],"&gt;=9",tbl_task8[[SubPLOs]:[SubPLOs]],"&lt;10")+SUMIFS(tbl_task9[S64],tbl_task9[[SubPLOs]:[SubPLOs]],"&gt;=9",tbl_task9[[SubPLOs]:[SubPLOs]],"&lt;10")+SUMIFS(tbl_task10[S64],tbl_task10[[SubPLOs]:[SubPLOs]],"&gt;=9",tbl_task10[[SubPLOs]:[SubPLOs]],"&lt;10")</f>
        <v>0</v>
      </c>
      <c r="BR188" s="41">
        <f>SUMIFS(tbl_task1[S65],tbl_task1[[SubPLOs]:[SubPLOs]],"&gt;=9",tbl_task1[[SubPLOs]:[SubPLOs]],"&lt;10")+SUMIFS(tbl_task2[S65],tbl_task2[[SubPLOs]:[SubPLOs]],"&gt;=9",tbl_task2[[SubPLOs]:[SubPLOs]],"&lt;10")+SUMIFS(tbl_task3[S65],tbl_task3[[SubPLOs]:[SubPLOs]],"&gt;=9",tbl_task3[[SubPLOs]:[SubPLOs]],"&lt;10")+SUMIFS(tbl_task4[S65],tbl_task4[[SubPLOs]:[SubPLOs]],"&gt;=9",tbl_task4[[SubPLOs]:[SubPLOs]],"&lt;10")+SUMIFS(tbl_task5[S65],tbl_task5[[SubPLOs]:[SubPLOs]],"&gt;=9",tbl_task5[[SubPLOs]:[SubPLOs]],"&lt;10")+SUMIFS(tbl_task6[S65],tbl_task6[[SubPLOs]:[SubPLOs]],"&gt;=9",tbl_task6[[SubPLOs]:[SubPLOs]],"&lt;10")+SUMIFS(tbl_task7[S65],tbl_task7[[SubPLOs]:[SubPLOs]],"&gt;=9",tbl_task7[[SubPLOs]:[SubPLOs]],"&lt;10")+SUMIFS(tbl_task8[S65],tbl_task8[[SubPLOs]:[SubPLOs]],"&gt;=9",tbl_task8[[SubPLOs]:[SubPLOs]],"&lt;10")+SUMIFS(tbl_task9[S65],tbl_task9[[SubPLOs]:[SubPLOs]],"&gt;=9",tbl_task9[[SubPLOs]:[SubPLOs]],"&lt;10")+SUMIFS(tbl_task10[S65],tbl_task10[[SubPLOs]:[SubPLOs]],"&gt;=9",tbl_task10[[SubPLOs]:[SubPLOs]],"&lt;10")</f>
        <v>0</v>
      </c>
      <c r="BS188" s="41">
        <f>SUMIFS(tbl_task1[S66],tbl_task1[[SubPLOs]:[SubPLOs]],"&gt;=9",tbl_task1[[SubPLOs]:[SubPLOs]],"&lt;10")+SUMIFS(tbl_task2[S66],tbl_task2[[SubPLOs]:[SubPLOs]],"&gt;=9",tbl_task2[[SubPLOs]:[SubPLOs]],"&lt;10")+SUMIFS(tbl_task3[S66],tbl_task3[[SubPLOs]:[SubPLOs]],"&gt;=9",tbl_task3[[SubPLOs]:[SubPLOs]],"&lt;10")+SUMIFS(tbl_task4[S66],tbl_task4[[SubPLOs]:[SubPLOs]],"&gt;=9",tbl_task4[[SubPLOs]:[SubPLOs]],"&lt;10")+SUMIFS(tbl_task5[S66],tbl_task5[[SubPLOs]:[SubPLOs]],"&gt;=9",tbl_task5[[SubPLOs]:[SubPLOs]],"&lt;10")+SUMIFS(tbl_task6[S66],tbl_task6[[SubPLOs]:[SubPLOs]],"&gt;=9",tbl_task6[[SubPLOs]:[SubPLOs]],"&lt;10")+SUMIFS(tbl_task7[S66],tbl_task7[[SubPLOs]:[SubPLOs]],"&gt;=9",tbl_task7[[SubPLOs]:[SubPLOs]],"&lt;10")+SUMIFS(tbl_task8[S66],tbl_task8[[SubPLOs]:[SubPLOs]],"&gt;=9",tbl_task8[[SubPLOs]:[SubPLOs]],"&lt;10")+SUMIFS(tbl_task9[S66],tbl_task9[[SubPLOs]:[SubPLOs]],"&gt;=9",tbl_task9[[SubPLOs]:[SubPLOs]],"&lt;10")+SUMIFS(tbl_task10[S66],tbl_task10[[SubPLOs]:[SubPLOs]],"&gt;=9",tbl_task10[[SubPLOs]:[SubPLOs]],"&lt;10")</f>
        <v>0</v>
      </c>
      <c r="BT188" s="41">
        <f>SUMIFS(tbl_task1[S67],tbl_task1[[SubPLOs]:[SubPLOs]],"&gt;=9",tbl_task1[[SubPLOs]:[SubPLOs]],"&lt;10")+SUMIFS(tbl_task2[S67],tbl_task2[[SubPLOs]:[SubPLOs]],"&gt;=9",tbl_task2[[SubPLOs]:[SubPLOs]],"&lt;10")+SUMIFS(tbl_task3[S67],tbl_task3[[SubPLOs]:[SubPLOs]],"&gt;=9",tbl_task3[[SubPLOs]:[SubPLOs]],"&lt;10")+SUMIFS(tbl_task4[S67],tbl_task4[[SubPLOs]:[SubPLOs]],"&gt;=9",tbl_task4[[SubPLOs]:[SubPLOs]],"&lt;10")+SUMIFS(tbl_task5[S67],tbl_task5[[SubPLOs]:[SubPLOs]],"&gt;=9",tbl_task5[[SubPLOs]:[SubPLOs]],"&lt;10")+SUMIFS(tbl_task6[S67],tbl_task6[[SubPLOs]:[SubPLOs]],"&gt;=9",tbl_task6[[SubPLOs]:[SubPLOs]],"&lt;10")+SUMIFS(tbl_task7[S67],tbl_task7[[SubPLOs]:[SubPLOs]],"&gt;=9",tbl_task7[[SubPLOs]:[SubPLOs]],"&lt;10")+SUMIFS(tbl_task8[S67],tbl_task8[[SubPLOs]:[SubPLOs]],"&gt;=9",tbl_task8[[SubPLOs]:[SubPLOs]],"&lt;10")+SUMIFS(tbl_task9[S67],tbl_task9[[SubPLOs]:[SubPLOs]],"&gt;=9",tbl_task9[[SubPLOs]:[SubPLOs]],"&lt;10")+SUMIFS(tbl_task10[S67],tbl_task10[[SubPLOs]:[SubPLOs]],"&gt;=9",tbl_task10[[SubPLOs]:[SubPLOs]],"&lt;10")</f>
        <v>0</v>
      </c>
      <c r="BU188" s="41">
        <f>SUMIFS(tbl_task1[S68],tbl_task1[[SubPLOs]:[SubPLOs]],"&gt;=9",tbl_task1[[SubPLOs]:[SubPLOs]],"&lt;10")+SUMIFS(tbl_task2[S68],tbl_task2[[SubPLOs]:[SubPLOs]],"&gt;=9",tbl_task2[[SubPLOs]:[SubPLOs]],"&lt;10")+SUMIFS(tbl_task3[S68],tbl_task3[[SubPLOs]:[SubPLOs]],"&gt;=9",tbl_task3[[SubPLOs]:[SubPLOs]],"&lt;10")+SUMIFS(tbl_task4[S68],tbl_task4[[SubPLOs]:[SubPLOs]],"&gt;=9",tbl_task4[[SubPLOs]:[SubPLOs]],"&lt;10")+SUMIFS(tbl_task5[S68],tbl_task5[[SubPLOs]:[SubPLOs]],"&gt;=9",tbl_task5[[SubPLOs]:[SubPLOs]],"&lt;10")+SUMIFS(tbl_task6[S68],tbl_task6[[SubPLOs]:[SubPLOs]],"&gt;=9",tbl_task6[[SubPLOs]:[SubPLOs]],"&lt;10")+SUMIFS(tbl_task7[S68],tbl_task7[[SubPLOs]:[SubPLOs]],"&gt;=9",tbl_task7[[SubPLOs]:[SubPLOs]],"&lt;10")+SUMIFS(tbl_task8[S68],tbl_task8[[SubPLOs]:[SubPLOs]],"&gt;=9",tbl_task8[[SubPLOs]:[SubPLOs]],"&lt;10")+SUMIFS(tbl_task9[S68],tbl_task9[[SubPLOs]:[SubPLOs]],"&gt;=9",tbl_task9[[SubPLOs]:[SubPLOs]],"&lt;10")+SUMIFS(tbl_task10[S68],tbl_task10[[SubPLOs]:[SubPLOs]],"&gt;=9",tbl_task10[[SubPLOs]:[SubPLOs]],"&lt;10")</f>
        <v>0</v>
      </c>
      <c r="BV188" s="41">
        <f>SUMIFS(tbl_task1[S69],tbl_task1[[SubPLOs]:[SubPLOs]],"&gt;=9",tbl_task1[[SubPLOs]:[SubPLOs]],"&lt;10")+SUMIFS(tbl_task2[S69],tbl_task2[[SubPLOs]:[SubPLOs]],"&gt;=9",tbl_task2[[SubPLOs]:[SubPLOs]],"&lt;10")+SUMIFS(tbl_task3[S69],tbl_task3[[SubPLOs]:[SubPLOs]],"&gt;=9",tbl_task3[[SubPLOs]:[SubPLOs]],"&lt;10")+SUMIFS(tbl_task4[S69],tbl_task4[[SubPLOs]:[SubPLOs]],"&gt;=9",tbl_task4[[SubPLOs]:[SubPLOs]],"&lt;10")+SUMIFS(tbl_task5[S69],tbl_task5[[SubPLOs]:[SubPLOs]],"&gt;=9",tbl_task5[[SubPLOs]:[SubPLOs]],"&lt;10")+SUMIFS(tbl_task6[S69],tbl_task6[[SubPLOs]:[SubPLOs]],"&gt;=9",tbl_task6[[SubPLOs]:[SubPLOs]],"&lt;10")+SUMIFS(tbl_task7[S69],tbl_task7[[SubPLOs]:[SubPLOs]],"&gt;=9",tbl_task7[[SubPLOs]:[SubPLOs]],"&lt;10")+SUMIFS(tbl_task8[S69],tbl_task8[[SubPLOs]:[SubPLOs]],"&gt;=9",tbl_task8[[SubPLOs]:[SubPLOs]],"&lt;10")+SUMIFS(tbl_task9[S69],tbl_task9[[SubPLOs]:[SubPLOs]],"&gt;=9",tbl_task9[[SubPLOs]:[SubPLOs]],"&lt;10")+SUMIFS(tbl_task10[S69],tbl_task10[[SubPLOs]:[SubPLOs]],"&gt;=9",tbl_task10[[SubPLOs]:[SubPLOs]],"&lt;10")</f>
        <v>0</v>
      </c>
      <c r="BW188" s="41">
        <f>SUMIFS(tbl_task1[S70],tbl_task1[[SubPLOs]:[SubPLOs]],"&gt;=9",tbl_task1[[SubPLOs]:[SubPLOs]],"&lt;10")+SUMIFS(tbl_task2[S70],tbl_task2[[SubPLOs]:[SubPLOs]],"&gt;=9",tbl_task2[[SubPLOs]:[SubPLOs]],"&lt;10")+SUMIFS(tbl_task3[S70],tbl_task3[[SubPLOs]:[SubPLOs]],"&gt;=9",tbl_task3[[SubPLOs]:[SubPLOs]],"&lt;10")+SUMIFS(tbl_task4[S70],tbl_task4[[SubPLOs]:[SubPLOs]],"&gt;=9",tbl_task4[[SubPLOs]:[SubPLOs]],"&lt;10")+SUMIFS(tbl_task5[S70],tbl_task5[[SubPLOs]:[SubPLOs]],"&gt;=9",tbl_task5[[SubPLOs]:[SubPLOs]],"&lt;10")+SUMIFS(tbl_task6[S70],tbl_task6[[SubPLOs]:[SubPLOs]],"&gt;=9",tbl_task6[[SubPLOs]:[SubPLOs]],"&lt;10")+SUMIFS(tbl_task7[S70],tbl_task7[[SubPLOs]:[SubPLOs]],"&gt;=9",tbl_task7[[SubPLOs]:[SubPLOs]],"&lt;10")+SUMIFS(tbl_task8[S70],tbl_task8[[SubPLOs]:[SubPLOs]],"&gt;=9",tbl_task8[[SubPLOs]:[SubPLOs]],"&lt;10")+SUMIFS(tbl_task9[S70],tbl_task9[[SubPLOs]:[SubPLOs]],"&gt;=9",tbl_task9[[SubPLOs]:[SubPLOs]],"&lt;10")+SUMIFS(tbl_task10[S70],tbl_task10[[SubPLOs]:[SubPLOs]],"&gt;=9",tbl_task10[[SubPLOs]:[SubPLOs]],"&lt;10")</f>
        <v>0</v>
      </c>
      <c r="BX188" s="41">
        <f>SUMIFS(tbl_task1[S71],tbl_task1[[SubPLOs]:[SubPLOs]],"&gt;=9",tbl_task1[[SubPLOs]:[SubPLOs]],"&lt;10")+SUMIFS(tbl_task2[S71],tbl_task2[[SubPLOs]:[SubPLOs]],"&gt;=9",tbl_task2[[SubPLOs]:[SubPLOs]],"&lt;10")+SUMIFS(tbl_task3[S71],tbl_task3[[SubPLOs]:[SubPLOs]],"&gt;=9",tbl_task3[[SubPLOs]:[SubPLOs]],"&lt;10")+SUMIFS(tbl_task4[S71],tbl_task4[[SubPLOs]:[SubPLOs]],"&gt;=9",tbl_task4[[SubPLOs]:[SubPLOs]],"&lt;10")+SUMIFS(tbl_task5[S71],tbl_task5[[SubPLOs]:[SubPLOs]],"&gt;=9",tbl_task5[[SubPLOs]:[SubPLOs]],"&lt;10")+SUMIFS(tbl_task6[S71],tbl_task6[[SubPLOs]:[SubPLOs]],"&gt;=9",tbl_task6[[SubPLOs]:[SubPLOs]],"&lt;10")+SUMIFS(tbl_task7[S71],tbl_task7[[SubPLOs]:[SubPLOs]],"&gt;=9",tbl_task7[[SubPLOs]:[SubPLOs]],"&lt;10")+SUMIFS(tbl_task8[S71],tbl_task8[[SubPLOs]:[SubPLOs]],"&gt;=9",tbl_task8[[SubPLOs]:[SubPLOs]],"&lt;10")+SUMIFS(tbl_task9[S71],tbl_task9[[SubPLOs]:[SubPLOs]],"&gt;=9",tbl_task9[[SubPLOs]:[SubPLOs]],"&lt;10")+SUMIFS(tbl_task10[S71],tbl_task10[[SubPLOs]:[SubPLOs]],"&gt;=9",tbl_task10[[SubPLOs]:[SubPLOs]],"&lt;10")</f>
        <v>0</v>
      </c>
      <c r="BY188" s="41">
        <f>SUMIFS(tbl_task1[S72],tbl_task1[[SubPLOs]:[SubPLOs]],"&gt;=9",tbl_task1[[SubPLOs]:[SubPLOs]],"&lt;10")+SUMIFS(tbl_task2[S72],tbl_task2[[SubPLOs]:[SubPLOs]],"&gt;=9",tbl_task2[[SubPLOs]:[SubPLOs]],"&lt;10")+SUMIFS(tbl_task3[S72],tbl_task3[[SubPLOs]:[SubPLOs]],"&gt;=9",tbl_task3[[SubPLOs]:[SubPLOs]],"&lt;10")+SUMIFS(tbl_task4[S72],tbl_task4[[SubPLOs]:[SubPLOs]],"&gt;=9",tbl_task4[[SubPLOs]:[SubPLOs]],"&lt;10")+SUMIFS(tbl_task5[S72],tbl_task5[[SubPLOs]:[SubPLOs]],"&gt;=9",tbl_task5[[SubPLOs]:[SubPLOs]],"&lt;10")+SUMIFS(tbl_task6[S72],tbl_task6[[SubPLOs]:[SubPLOs]],"&gt;=9",tbl_task6[[SubPLOs]:[SubPLOs]],"&lt;10")+SUMIFS(tbl_task7[S72],tbl_task7[[SubPLOs]:[SubPLOs]],"&gt;=9",tbl_task7[[SubPLOs]:[SubPLOs]],"&lt;10")+SUMIFS(tbl_task8[S72],tbl_task8[[SubPLOs]:[SubPLOs]],"&gt;=9",tbl_task8[[SubPLOs]:[SubPLOs]],"&lt;10")+SUMIFS(tbl_task9[S72],tbl_task9[[SubPLOs]:[SubPLOs]],"&gt;=9",tbl_task9[[SubPLOs]:[SubPLOs]],"&lt;10")+SUMIFS(tbl_task10[S72],tbl_task10[[SubPLOs]:[SubPLOs]],"&gt;=9",tbl_task10[[SubPLOs]:[SubPLOs]],"&lt;10")</f>
        <v>0</v>
      </c>
      <c r="BZ188" s="41">
        <f>SUMIFS(tbl_task1[S73],tbl_task1[[SubPLOs]:[SubPLOs]],"&gt;=9",tbl_task1[[SubPLOs]:[SubPLOs]],"&lt;10")+SUMIFS(tbl_task2[S73],tbl_task2[[SubPLOs]:[SubPLOs]],"&gt;=9",tbl_task2[[SubPLOs]:[SubPLOs]],"&lt;10")+SUMIFS(tbl_task3[S73],tbl_task3[[SubPLOs]:[SubPLOs]],"&gt;=9",tbl_task3[[SubPLOs]:[SubPLOs]],"&lt;10")+SUMIFS(tbl_task4[S73],tbl_task4[[SubPLOs]:[SubPLOs]],"&gt;=9",tbl_task4[[SubPLOs]:[SubPLOs]],"&lt;10")+SUMIFS(tbl_task5[S73],tbl_task5[[SubPLOs]:[SubPLOs]],"&gt;=9",tbl_task5[[SubPLOs]:[SubPLOs]],"&lt;10")+SUMIFS(tbl_task6[S73],tbl_task6[[SubPLOs]:[SubPLOs]],"&gt;=9",tbl_task6[[SubPLOs]:[SubPLOs]],"&lt;10")+SUMIFS(tbl_task7[S73],tbl_task7[[SubPLOs]:[SubPLOs]],"&gt;=9",tbl_task7[[SubPLOs]:[SubPLOs]],"&lt;10")+SUMIFS(tbl_task8[S73],tbl_task8[[SubPLOs]:[SubPLOs]],"&gt;=9",tbl_task8[[SubPLOs]:[SubPLOs]],"&lt;10")+SUMIFS(tbl_task9[S73],tbl_task9[[SubPLOs]:[SubPLOs]],"&gt;=9",tbl_task9[[SubPLOs]:[SubPLOs]],"&lt;10")+SUMIFS(tbl_task10[S73],tbl_task10[[SubPLOs]:[SubPLOs]],"&gt;=9",tbl_task10[[SubPLOs]:[SubPLOs]],"&lt;10")</f>
        <v>0</v>
      </c>
      <c r="CA188" s="41">
        <f>SUMIFS(tbl_task1[S74],tbl_task1[[SubPLOs]:[SubPLOs]],"&gt;=9",tbl_task1[[SubPLOs]:[SubPLOs]],"&lt;10")+SUMIFS(tbl_task2[S74],tbl_task2[[SubPLOs]:[SubPLOs]],"&gt;=9",tbl_task2[[SubPLOs]:[SubPLOs]],"&lt;10")+SUMIFS(tbl_task3[S74],tbl_task3[[SubPLOs]:[SubPLOs]],"&gt;=9",tbl_task3[[SubPLOs]:[SubPLOs]],"&lt;10")+SUMIFS(tbl_task4[S74],tbl_task4[[SubPLOs]:[SubPLOs]],"&gt;=9",tbl_task4[[SubPLOs]:[SubPLOs]],"&lt;10")+SUMIFS(tbl_task5[S74],tbl_task5[[SubPLOs]:[SubPLOs]],"&gt;=9",tbl_task5[[SubPLOs]:[SubPLOs]],"&lt;10")+SUMIFS(tbl_task6[S74],tbl_task6[[SubPLOs]:[SubPLOs]],"&gt;=9",tbl_task6[[SubPLOs]:[SubPLOs]],"&lt;10")+SUMIFS(tbl_task7[S74],tbl_task7[[SubPLOs]:[SubPLOs]],"&gt;=9",tbl_task7[[SubPLOs]:[SubPLOs]],"&lt;10")+SUMIFS(tbl_task8[S74],tbl_task8[[SubPLOs]:[SubPLOs]],"&gt;=9",tbl_task8[[SubPLOs]:[SubPLOs]],"&lt;10")+SUMIFS(tbl_task9[S74],tbl_task9[[SubPLOs]:[SubPLOs]],"&gt;=9",tbl_task9[[SubPLOs]:[SubPLOs]],"&lt;10")+SUMIFS(tbl_task10[S74],tbl_task10[[SubPLOs]:[SubPLOs]],"&gt;=9",tbl_task10[[SubPLOs]:[SubPLOs]],"&lt;10")</f>
        <v>0</v>
      </c>
      <c r="CB188" s="41">
        <f>SUMIFS(tbl_task1[S75],tbl_task1[[SubPLOs]:[SubPLOs]],"&gt;=9",tbl_task1[[SubPLOs]:[SubPLOs]],"&lt;10")+SUMIFS(tbl_task2[S75],tbl_task2[[SubPLOs]:[SubPLOs]],"&gt;=9",tbl_task2[[SubPLOs]:[SubPLOs]],"&lt;10")+SUMIFS(tbl_task3[S75],tbl_task3[[SubPLOs]:[SubPLOs]],"&gt;=9",tbl_task3[[SubPLOs]:[SubPLOs]],"&lt;10")+SUMIFS(tbl_task4[S75],tbl_task4[[SubPLOs]:[SubPLOs]],"&gt;=9",tbl_task4[[SubPLOs]:[SubPLOs]],"&lt;10")+SUMIFS(tbl_task5[S75],tbl_task5[[SubPLOs]:[SubPLOs]],"&gt;=9",tbl_task5[[SubPLOs]:[SubPLOs]],"&lt;10")+SUMIFS(tbl_task6[S75],tbl_task6[[SubPLOs]:[SubPLOs]],"&gt;=9",tbl_task6[[SubPLOs]:[SubPLOs]],"&lt;10")+SUMIFS(tbl_task7[S75],tbl_task7[[SubPLOs]:[SubPLOs]],"&gt;=9",tbl_task7[[SubPLOs]:[SubPLOs]],"&lt;10")+SUMIFS(tbl_task8[S75],tbl_task8[[SubPLOs]:[SubPLOs]],"&gt;=9",tbl_task8[[SubPLOs]:[SubPLOs]],"&lt;10")+SUMIFS(tbl_task9[S75],tbl_task9[[SubPLOs]:[SubPLOs]],"&gt;=9",tbl_task9[[SubPLOs]:[SubPLOs]],"&lt;10")+SUMIFS(tbl_task10[S75],tbl_task10[[SubPLOs]:[SubPLOs]],"&gt;=9",tbl_task10[[SubPLOs]:[SubPLOs]],"&lt;10")</f>
        <v>0</v>
      </c>
      <c r="CC188" s="41">
        <f>SUMIFS(tbl_task1[S76],tbl_task1[[SubPLOs]:[SubPLOs]],"&gt;=9",tbl_task1[[SubPLOs]:[SubPLOs]],"&lt;10")+SUMIFS(tbl_task2[S76],tbl_task2[[SubPLOs]:[SubPLOs]],"&gt;=9",tbl_task2[[SubPLOs]:[SubPLOs]],"&lt;10")+SUMIFS(tbl_task3[S76],tbl_task3[[SubPLOs]:[SubPLOs]],"&gt;=9",tbl_task3[[SubPLOs]:[SubPLOs]],"&lt;10")+SUMIFS(tbl_task4[S76],tbl_task4[[SubPLOs]:[SubPLOs]],"&gt;=9",tbl_task4[[SubPLOs]:[SubPLOs]],"&lt;10")+SUMIFS(tbl_task5[S76],tbl_task5[[SubPLOs]:[SubPLOs]],"&gt;=9",tbl_task5[[SubPLOs]:[SubPLOs]],"&lt;10")+SUMIFS(tbl_task6[S76],tbl_task6[[SubPLOs]:[SubPLOs]],"&gt;=9",tbl_task6[[SubPLOs]:[SubPLOs]],"&lt;10")+SUMIFS(tbl_task7[S76],tbl_task7[[SubPLOs]:[SubPLOs]],"&gt;=9",tbl_task7[[SubPLOs]:[SubPLOs]],"&lt;10")+SUMIFS(tbl_task8[S76],tbl_task8[[SubPLOs]:[SubPLOs]],"&gt;=9",tbl_task8[[SubPLOs]:[SubPLOs]],"&lt;10")+SUMIFS(tbl_task9[S76],tbl_task9[[SubPLOs]:[SubPLOs]],"&gt;=9",tbl_task9[[SubPLOs]:[SubPLOs]],"&lt;10")+SUMIFS(tbl_task10[S76],tbl_task10[[SubPLOs]:[SubPLOs]],"&gt;=9",tbl_task10[[SubPLOs]:[SubPLOs]],"&lt;10")</f>
        <v>0</v>
      </c>
      <c r="CD188" s="41">
        <f>SUMIFS(tbl_task1[S77],tbl_task1[[SubPLOs]:[SubPLOs]],"&gt;=9",tbl_task1[[SubPLOs]:[SubPLOs]],"&lt;10")+SUMIFS(tbl_task2[S77],tbl_task2[[SubPLOs]:[SubPLOs]],"&gt;=9",tbl_task2[[SubPLOs]:[SubPLOs]],"&lt;10")+SUMIFS(tbl_task3[S77],tbl_task3[[SubPLOs]:[SubPLOs]],"&gt;=9",tbl_task3[[SubPLOs]:[SubPLOs]],"&lt;10")+SUMIFS(tbl_task4[S77],tbl_task4[[SubPLOs]:[SubPLOs]],"&gt;=9",tbl_task4[[SubPLOs]:[SubPLOs]],"&lt;10")+SUMIFS(tbl_task5[S77],tbl_task5[[SubPLOs]:[SubPLOs]],"&gt;=9",tbl_task5[[SubPLOs]:[SubPLOs]],"&lt;10")+SUMIFS(tbl_task6[S77],tbl_task6[[SubPLOs]:[SubPLOs]],"&gt;=9",tbl_task6[[SubPLOs]:[SubPLOs]],"&lt;10")+SUMIFS(tbl_task7[S77],tbl_task7[[SubPLOs]:[SubPLOs]],"&gt;=9",tbl_task7[[SubPLOs]:[SubPLOs]],"&lt;10")+SUMIFS(tbl_task8[S77],tbl_task8[[SubPLOs]:[SubPLOs]],"&gt;=9",tbl_task8[[SubPLOs]:[SubPLOs]],"&lt;10")+SUMIFS(tbl_task9[S77],tbl_task9[[SubPLOs]:[SubPLOs]],"&gt;=9",tbl_task9[[SubPLOs]:[SubPLOs]],"&lt;10")+SUMIFS(tbl_task10[S77],tbl_task10[[SubPLOs]:[SubPLOs]],"&gt;=9",tbl_task10[[SubPLOs]:[SubPLOs]],"&lt;10")</f>
        <v>0</v>
      </c>
      <c r="CE188" s="41">
        <f>SUMIFS(tbl_task1[S78],tbl_task1[[SubPLOs]:[SubPLOs]],"&gt;=9",tbl_task1[[SubPLOs]:[SubPLOs]],"&lt;10")+SUMIFS(tbl_task2[S78],tbl_task2[[SubPLOs]:[SubPLOs]],"&gt;=9",tbl_task2[[SubPLOs]:[SubPLOs]],"&lt;10")+SUMIFS(tbl_task3[S78],tbl_task3[[SubPLOs]:[SubPLOs]],"&gt;=9",tbl_task3[[SubPLOs]:[SubPLOs]],"&lt;10")+SUMIFS(tbl_task4[S78],tbl_task4[[SubPLOs]:[SubPLOs]],"&gt;=9",tbl_task4[[SubPLOs]:[SubPLOs]],"&lt;10")+SUMIFS(tbl_task5[S78],tbl_task5[[SubPLOs]:[SubPLOs]],"&gt;=9",tbl_task5[[SubPLOs]:[SubPLOs]],"&lt;10")+SUMIFS(tbl_task6[S78],tbl_task6[[SubPLOs]:[SubPLOs]],"&gt;=9",tbl_task6[[SubPLOs]:[SubPLOs]],"&lt;10")+SUMIFS(tbl_task7[S78],tbl_task7[[SubPLOs]:[SubPLOs]],"&gt;=9",tbl_task7[[SubPLOs]:[SubPLOs]],"&lt;10")+SUMIFS(tbl_task8[S78],tbl_task8[[SubPLOs]:[SubPLOs]],"&gt;=9",tbl_task8[[SubPLOs]:[SubPLOs]],"&lt;10")+SUMIFS(tbl_task9[S78],tbl_task9[[SubPLOs]:[SubPLOs]],"&gt;=9",tbl_task9[[SubPLOs]:[SubPLOs]],"&lt;10")+SUMIFS(tbl_task10[S78],tbl_task10[[SubPLOs]:[SubPLOs]],"&gt;=9",tbl_task10[[SubPLOs]:[SubPLOs]],"&lt;10")</f>
        <v>0</v>
      </c>
      <c r="CF188" s="41">
        <f>SUMIFS(tbl_task1[S79],tbl_task1[[SubPLOs]:[SubPLOs]],"&gt;=9",tbl_task1[[SubPLOs]:[SubPLOs]],"&lt;10")+SUMIFS(tbl_task2[S79],tbl_task2[[SubPLOs]:[SubPLOs]],"&gt;=9",tbl_task2[[SubPLOs]:[SubPLOs]],"&lt;10")+SUMIFS(tbl_task3[S79],tbl_task3[[SubPLOs]:[SubPLOs]],"&gt;=9",tbl_task3[[SubPLOs]:[SubPLOs]],"&lt;10")+SUMIFS(tbl_task4[S79],tbl_task4[[SubPLOs]:[SubPLOs]],"&gt;=9",tbl_task4[[SubPLOs]:[SubPLOs]],"&lt;10")+SUMIFS(tbl_task5[S79],tbl_task5[[SubPLOs]:[SubPLOs]],"&gt;=9",tbl_task5[[SubPLOs]:[SubPLOs]],"&lt;10")+SUMIFS(tbl_task6[S79],tbl_task6[[SubPLOs]:[SubPLOs]],"&gt;=9",tbl_task6[[SubPLOs]:[SubPLOs]],"&lt;10")+SUMIFS(tbl_task7[S79],tbl_task7[[SubPLOs]:[SubPLOs]],"&gt;=9",tbl_task7[[SubPLOs]:[SubPLOs]],"&lt;10")+SUMIFS(tbl_task8[S79],tbl_task8[[SubPLOs]:[SubPLOs]],"&gt;=9",tbl_task8[[SubPLOs]:[SubPLOs]],"&lt;10")+SUMIFS(tbl_task9[S79],tbl_task9[[SubPLOs]:[SubPLOs]],"&gt;=9",tbl_task9[[SubPLOs]:[SubPLOs]],"&lt;10")+SUMIFS(tbl_task10[S79],tbl_task10[[SubPLOs]:[SubPLOs]],"&gt;=9",tbl_task10[[SubPLOs]:[SubPLOs]],"&lt;10")</f>
        <v>0</v>
      </c>
      <c r="CG188" s="41">
        <f>SUMIFS(tbl_task1[S80],tbl_task1[[SubPLOs]:[SubPLOs]],"&gt;=9",tbl_task1[[SubPLOs]:[SubPLOs]],"&lt;10")+SUMIFS(tbl_task2[S80],tbl_task2[[SubPLOs]:[SubPLOs]],"&gt;=9",tbl_task2[[SubPLOs]:[SubPLOs]],"&lt;10")+SUMIFS(tbl_task3[S80],tbl_task3[[SubPLOs]:[SubPLOs]],"&gt;=9",tbl_task3[[SubPLOs]:[SubPLOs]],"&lt;10")+SUMIFS(tbl_task4[S80],tbl_task4[[SubPLOs]:[SubPLOs]],"&gt;=9",tbl_task4[[SubPLOs]:[SubPLOs]],"&lt;10")+SUMIFS(tbl_task5[S80],tbl_task5[[SubPLOs]:[SubPLOs]],"&gt;=9",tbl_task5[[SubPLOs]:[SubPLOs]],"&lt;10")+SUMIFS(tbl_task6[S80],tbl_task6[[SubPLOs]:[SubPLOs]],"&gt;=9",tbl_task6[[SubPLOs]:[SubPLOs]],"&lt;10")+SUMIFS(tbl_task7[S80],tbl_task7[[SubPLOs]:[SubPLOs]],"&gt;=9",tbl_task7[[SubPLOs]:[SubPLOs]],"&lt;10")+SUMIFS(tbl_task8[S80],tbl_task8[[SubPLOs]:[SubPLOs]],"&gt;=9",tbl_task8[[SubPLOs]:[SubPLOs]],"&lt;10")+SUMIFS(tbl_task9[S80],tbl_task9[[SubPLOs]:[SubPLOs]],"&gt;=9",tbl_task9[[SubPLOs]:[SubPLOs]],"&lt;10")+SUMIFS(tbl_task10[S80],tbl_task10[[SubPLOs]:[SubPLOs]],"&gt;=9",tbl_task10[[SubPLOs]:[SubPLOs]],"&lt;10")</f>
        <v>0</v>
      </c>
      <c r="CH188" s="41">
        <f>SUMIFS(tbl_task1[S81],tbl_task1[[SubPLOs]:[SubPLOs]],"&gt;=9",tbl_task1[[SubPLOs]:[SubPLOs]],"&lt;10")+SUMIFS(tbl_task2[S81],tbl_task2[[SubPLOs]:[SubPLOs]],"&gt;=9",tbl_task2[[SubPLOs]:[SubPLOs]],"&lt;10")+SUMIFS(tbl_task3[S81],tbl_task3[[SubPLOs]:[SubPLOs]],"&gt;=9",tbl_task3[[SubPLOs]:[SubPLOs]],"&lt;10")+SUMIFS(tbl_task4[S81],tbl_task4[[SubPLOs]:[SubPLOs]],"&gt;=9",tbl_task4[[SubPLOs]:[SubPLOs]],"&lt;10")+SUMIFS(tbl_task5[S81],tbl_task5[[SubPLOs]:[SubPLOs]],"&gt;=9",tbl_task5[[SubPLOs]:[SubPLOs]],"&lt;10")+SUMIFS(tbl_task6[S81],tbl_task6[[SubPLOs]:[SubPLOs]],"&gt;=9",tbl_task6[[SubPLOs]:[SubPLOs]],"&lt;10")+SUMIFS(tbl_task7[S81],tbl_task7[[SubPLOs]:[SubPLOs]],"&gt;=9",tbl_task7[[SubPLOs]:[SubPLOs]],"&lt;10")+SUMIFS(tbl_task8[S81],tbl_task8[[SubPLOs]:[SubPLOs]],"&gt;=9",tbl_task8[[SubPLOs]:[SubPLOs]],"&lt;10")+SUMIFS(tbl_task9[S81],tbl_task9[[SubPLOs]:[SubPLOs]],"&gt;=9",tbl_task9[[SubPLOs]:[SubPLOs]],"&lt;10")+SUMIFS(tbl_task10[S81],tbl_task10[[SubPLOs]:[SubPLOs]],"&gt;=9",tbl_task10[[SubPLOs]:[SubPLOs]],"&lt;10")</f>
        <v>0</v>
      </c>
      <c r="CI188" s="41">
        <f>SUMIFS(tbl_task1[S82],tbl_task1[[SubPLOs]:[SubPLOs]],"&gt;=9",tbl_task1[[SubPLOs]:[SubPLOs]],"&lt;10")+SUMIFS(tbl_task2[S82],tbl_task2[[SubPLOs]:[SubPLOs]],"&gt;=9",tbl_task2[[SubPLOs]:[SubPLOs]],"&lt;10")+SUMIFS(tbl_task3[S82],tbl_task3[[SubPLOs]:[SubPLOs]],"&gt;=9",tbl_task3[[SubPLOs]:[SubPLOs]],"&lt;10")+SUMIFS(tbl_task4[S82],tbl_task4[[SubPLOs]:[SubPLOs]],"&gt;=9",tbl_task4[[SubPLOs]:[SubPLOs]],"&lt;10")+SUMIFS(tbl_task5[S82],tbl_task5[[SubPLOs]:[SubPLOs]],"&gt;=9",tbl_task5[[SubPLOs]:[SubPLOs]],"&lt;10")+SUMIFS(tbl_task6[S82],tbl_task6[[SubPLOs]:[SubPLOs]],"&gt;=9",tbl_task6[[SubPLOs]:[SubPLOs]],"&lt;10")+SUMIFS(tbl_task7[S82],tbl_task7[[SubPLOs]:[SubPLOs]],"&gt;=9",tbl_task7[[SubPLOs]:[SubPLOs]],"&lt;10")+SUMIFS(tbl_task8[S82],tbl_task8[[SubPLOs]:[SubPLOs]],"&gt;=9",tbl_task8[[SubPLOs]:[SubPLOs]],"&lt;10")+SUMIFS(tbl_task9[S82],tbl_task9[[SubPLOs]:[SubPLOs]],"&gt;=9",tbl_task9[[SubPLOs]:[SubPLOs]],"&lt;10")+SUMIFS(tbl_task10[S82],tbl_task10[[SubPLOs]:[SubPLOs]],"&gt;=9",tbl_task10[[SubPLOs]:[SubPLOs]],"&lt;10")</f>
        <v>0</v>
      </c>
      <c r="CJ188" s="41">
        <f>SUMIFS(tbl_task1[S83],tbl_task1[[SubPLOs]:[SubPLOs]],"&gt;=9",tbl_task1[[SubPLOs]:[SubPLOs]],"&lt;10")+SUMIFS(tbl_task2[S83],tbl_task2[[SubPLOs]:[SubPLOs]],"&gt;=9",tbl_task2[[SubPLOs]:[SubPLOs]],"&lt;10")+SUMIFS(tbl_task3[S83],tbl_task3[[SubPLOs]:[SubPLOs]],"&gt;=9",tbl_task3[[SubPLOs]:[SubPLOs]],"&lt;10")+SUMIFS(tbl_task4[S83],tbl_task4[[SubPLOs]:[SubPLOs]],"&gt;=9",tbl_task4[[SubPLOs]:[SubPLOs]],"&lt;10")+SUMIFS(tbl_task5[S83],tbl_task5[[SubPLOs]:[SubPLOs]],"&gt;=9",tbl_task5[[SubPLOs]:[SubPLOs]],"&lt;10")+SUMIFS(tbl_task6[S83],tbl_task6[[SubPLOs]:[SubPLOs]],"&gt;=9",tbl_task6[[SubPLOs]:[SubPLOs]],"&lt;10")+SUMIFS(tbl_task7[S83],tbl_task7[[SubPLOs]:[SubPLOs]],"&gt;=9",tbl_task7[[SubPLOs]:[SubPLOs]],"&lt;10")+SUMIFS(tbl_task8[S83],tbl_task8[[SubPLOs]:[SubPLOs]],"&gt;=9",tbl_task8[[SubPLOs]:[SubPLOs]],"&lt;10")+SUMIFS(tbl_task9[S83],tbl_task9[[SubPLOs]:[SubPLOs]],"&gt;=9",tbl_task9[[SubPLOs]:[SubPLOs]],"&lt;10")+SUMIFS(tbl_task10[S83],tbl_task10[[SubPLOs]:[SubPLOs]],"&gt;=9",tbl_task10[[SubPLOs]:[SubPLOs]],"&lt;10")</f>
        <v>0</v>
      </c>
      <c r="CK188" s="41">
        <f>SUMIFS(tbl_task1[S84],tbl_task1[[SubPLOs]:[SubPLOs]],"&gt;=9",tbl_task1[[SubPLOs]:[SubPLOs]],"&lt;10")+SUMIFS(tbl_task2[S84],tbl_task2[[SubPLOs]:[SubPLOs]],"&gt;=9",tbl_task2[[SubPLOs]:[SubPLOs]],"&lt;10")+SUMIFS(tbl_task3[S84],tbl_task3[[SubPLOs]:[SubPLOs]],"&gt;=9",tbl_task3[[SubPLOs]:[SubPLOs]],"&lt;10")+SUMIFS(tbl_task4[S84],tbl_task4[[SubPLOs]:[SubPLOs]],"&gt;=9",tbl_task4[[SubPLOs]:[SubPLOs]],"&lt;10")+SUMIFS(tbl_task5[S84],tbl_task5[[SubPLOs]:[SubPLOs]],"&gt;=9",tbl_task5[[SubPLOs]:[SubPLOs]],"&lt;10")+SUMIFS(tbl_task6[S84],tbl_task6[[SubPLOs]:[SubPLOs]],"&gt;=9",tbl_task6[[SubPLOs]:[SubPLOs]],"&lt;10")+SUMIFS(tbl_task7[S84],tbl_task7[[SubPLOs]:[SubPLOs]],"&gt;=9",tbl_task7[[SubPLOs]:[SubPLOs]],"&lt;10")+SUMIFS(tbl_task8[S84],tbl_task8[[SubPLOs]:[SubPLOs]],"&gt;=9",tbl_task8[[SubPLOs]:[SubPLOs]],"&lt;10")+SUMIFS(tbl_task9[S84],tbl_task9[[SubPLOs]:[SubPLOs]],"&gt;=9",tbl_task9[[SubPLOs]:[SubPLOs]],"&lt;10")+SUMIFS(tbl_task10[S84],tbl_task10[[SubPLOs]:[SubPLOs]],"&gt;=9",tbl_task10[[SubPLOs]:[SubPLOs]],"&lt;10")</f>
        <v>0</v>
      </c>
      <c r="CL188" s="41">
        <f>SUMIFS(tbl_task1[S85],tbl_task1[[SubPLOs]:[SubPLOs]],"&gt;=9",tbl_task1[[SubPLOs]:[SubPLOs]],"&lt;10")+SUMIFS(tbl_task2[S85],tbl_task2[[SubPLOs]:[SubPLOs]],"&gt;=9",tbl_task2[[SubPLOs]:[SubPLOs]],"&lt;10")+SUMIFS(tbl_task3[S85],tbl_task3[[SubPLOs]:[SubPLOs]],"&gt;=9",tbl_task3[[SubPLOs]:[SubPLOs]],"&lt;10")+SUMIFS(tbl_task4[S85],tbl_task4[[SubPLOs]:[SubPLOs]],"&gt;=9",tbl_task4[[SubPLOs]:[SubPLOs]],"&lt;10")+SUMIFS(tbl_task5[S85],tbl_task5[[SubPLOs]:[SubPLOs]],"&gt;=9",tbl_task5[[SubPLOs]:[SubPLOs]],"&lt;10")+SUMIFS(tbl_task6[S85],tbl_task6[[SubPLOs]:[SubPLOs]],"&gt;=9",tbl_task6[[SubPLOs]:[SubPLOs]],"&lt;10")+SUMIFS(tbl_task7[S85],tbl_task7[[SubPLOs]:[SubPLOs]],"&gt;=9",tbl_task7[[SubPLOs]:[SubPLOs]],"&lt;10")+SUMIFS(tbl_task8[S85],tbl_task8[[SubPLOs]:[SubPLOs]],"&gt;=9",tbl_task8[[SubPLOs]:[SubPLOs]],"&lt;10")+SUMIFS(tbl_task9[S85],tbl_task9[[SubPLOs]:[SubPLOs]],"&gt;=9",tbl_task9[[SubPLOs]:[SubPLOs]],"&lt;10")+SUMIFS(tbl_task10[S85],tbl_task10[[SubPLOs]:[SubPLOs]],"&gt;=9",tbl_task10[[SubPLOs]:[SubPLOs]],"&lt;10")</f>
        <v>0</v>
      </c>
      <c r="CM188" s="41">
        <f>SUMIFS(tbl_task1[S86],tbl_task1[[SubPLOs]:[SubPLOs]],"&gt;=9",tbl_task1[[SubPLOs]:[SubPLOs]],"&lt;10")+SUMIFS(tbl_task2[S86],tbl_task2[[SubPLOs]:[SubPLOs]],"&gt;=9",tbl_task2[[SubPLOs]:[SubPLOs]],"&lt;10")+SUMIFS(tbl_task3[S86],tbl_task3[[SubPLOs]:[SubPLOs]],"&gt;=9",tbl_task3[[SubPLOs]:[SubPLOs]],"&lt;10")+SUMIFS(tbl_task4[S86],tbl_task4[[SubPLOs]:[SubPLOs]],"&gt;=9",tbl_task4[[SubPLOs]:[SubPLOs]],"&lt;10")+SUMIFS(tbl_task5[S86],tbl_task5[[SubPLOs]:[SubPLOs]],"&gt;=9",tbl_task5[[SubPLOs]:[SubPLOs]],"&lt;10")+SUMIFS(tbl_task6[S86],tbl_task6[[SubPLOs]:[SubPLOs]],"&gt;=9",tbl_task6[[SubPLOs]:[SubPLOs]],"&lt;10")+SUMIFS(tbl_task7[S86],tbl_task7[[SubPLOs]:[SubPLOs]],"&gt;=9",tbl_task7[[SubPLOs]:[SubPLOs]],"&lt;10")+SUMIFS(tbl_task8[S86],tbl_task8[[SubPLOs]:[SubPLOs]],"&gt;=9",tbl_task8[[SubPLOs]:[SubPLOs]],"&lt;10")+SUMIFS(tbl_task9[S86],tbl_task9[[SubPLOs]:[SubPLOs]],"&gt;=9",tbl_task9[[SubPLOs]:[SubPLOs]],"&lt;10")+SUMIFS(tbl_task10[S86],tbl_task10[[SubPLOs]:[SubPLOs]],"&gt;=9",tbl_task10[[SubPLOs]:[SubPLOs]],"&lt;10")</f>
        <v>0</v>
      </c>
      <c r="CN188" s="41">
        <f>SUMIFS(tbl_task1[S87],tbl_task1[[SubPLOs]:[SubPLOs]],"&gt;=9",tbl_task1[[SubPLOs]:[SubPLOs]],"&lt;10")+SUMIFS(tbl_task2[S87],tbl_task2[[SubPLOs]:[SubPLOs]],"&gt;=9",tbl_task2[[SubPLOs]:[SubPLOs]],"&lt;10")+SUMIFS(tbl_task3[S87],tbl_task3[[SubPLOs]:[SubPLOs]],"&gt;=9",tbl_task3[[SubPLOs]:[SubPLOs]],"&lt;10")+SUMIFS(tbl_task4[S87],tbl_task4[[SubPLOs]:[SubPLOs]],"&gt;=9",tbl_task4[[SubPLOs]:[SubPLOs]],"&lt;10")+SUMIFS(tbl_task5[S87],tbl_task5[[SubPLOs]:[SubPLOs]],"&gt;=9",tbl_task5[[SubPLOs]:[SubPLOs]],"&lt;10")+SUMIFS(tbl_task6[S87],tbl_task6[[SubPLOs]:[SubPLOs]],"&gt;=9",tbl_task6[[SubPLOs]:[SubPLOs]],"&lt;10")+SUMIFS(tbl_task7[S87],tbl_task7[[SubPLOs]:[SubPLOs]],"&gt;=9",tbl_task7[[SubPLOs]:[SubPLOs]],"&lt;10")+SUMIFS(tbl_task8[S87],tbl_task8[[SubPLOs]:[SubPLOs]],"&gt;=9",tbl_task8[[SubPLOs]:[SubPLOs]],"&lt;10")+SUMIFS(tbl_task9[S87],tbl_task9[[SubPLOs]:[SubPLOs]],"&gt;=9",tbl_task9[[SubPLOs]:[SubPLOs]],"&lt;10")+SUMIFS(tbl_task10[S87],tbl_task10[[SubPLOs]:[SubPLOs]],"&gt;=9",tbl_task10[[SubPLOs]:[SubPLOs]],"&lt;10")</f>
        <v>0</v>
      </c>
      <c r="CO188" s="41">
        <f>SUMIFS(tbl_task1[S88],tbl_task1[[SubPLOs]:[SubPLOs]],"&gt;=9",tbl_task1[[SubPLOs]:[SubPLOs]],"&lt;10")+SUMIFS(tbl_task2[S88],tbl_task2[[SubPLOs]:[SubPLOs]],"&gt;=9",tbl_task2[[SubPLOs]:[SubPLOs]],"&lt;10")+SUMIFS(tbl_task3[S88],tbl_task3[[SubPLOs]:[SubPLOs]],"&gt;=9",tbl_task3[[SubPLOs]:[SubPLOs]],"&lt;10")+SUMIFS(tbl_task4[S88],tbl_task4[[SubPLOs]:[SubPLOs]],"&gt;=9",tbl_task4[[SubPLOs]:[SubPLOs]],"&lt;10")+SUMIFS(tbl_task5[S88],tbl_task5[[SubPLOs]:[SubPLOs]],"&gt;=9",tbl_task5[[SubPLOs]:[SubPLOs]],"&lt;10")+SUMIFS(tbl_task6[S88],tbl_task6[[SubPLOs]:[SubPLOs]],"&gt;=9",tbl_task6[[SubPLOs]:[SubPLOs]],"&lt;10")+SUMIFS(tbl_task7[S88],tbl_task7[[SubPLOs]:[SubPLOs]],"&gt;=9",tbl_task7[[SubPLOs]:[SubPLOs]],"&lt;10")+SUMIFS(tbl_task8[S88],tbl_task8[[SubPLOs]:[SubPLOs]],"&gt;=9",tbl_task8[[SubPLOs]:[SubPLOs]],"&lt;10")+SUMIFS(tbl_task9[S88],tbl_task9[[SubPLOs]:[SubPLOs]],"&gt;=9",tbl_task9[[SubPLOs]:[SubPLOs]],"&lt;10")+SUMIFS(tbl_task10[S88],tbl_task10[[SubPLOs]:[SubPLOs]],"&gt;=9",tbl_task10[[SubPLOs]:[SubPLOs]],"&lt;10")</f>
        <v>0</v>
      </c>
      <c r="CP188" s="41">
        <f>SUMIFS(tbl_task1[S89],tbl_task1[[SubPLOs]:[SubPLOs]],"&gt;=9",tbl_task1[[SubPLOs]:[SubPLOs]],"&lt;10")+SUMIFS(tbl_task2[S89],tbl_task2[[SubPLOs]:[SubPLOs]],"&gt;=9",tbl_task2[[SubPLOs]:[SubPLOs]],"&lt;10")+SUMIFS(tbl_task3[S89],tbl_task3[[SubPLOs]:[SubPLOs]],"&gt;=9",tbl_task3[[SubPLOs]:[SubPLOs]],"&lt;10")+SUMIFS(tbl_task4[S89],tbl_task4[[SubPLOs]:[SubPLOs]],"&gt;=9",tbl_task4[[SubPLOs]:[SubPLOs]],"&lt;10")+SUMIFS(tbl_task5[S89],tbl_task5[[SubPLOs]:[SubPLOs]],"&gt;=9",tbl_task5[[SubPLOs]:[SubPLOs]],"&lt;10")+SUMIFS(tbl_task6[S89],tbl_task6[[SubPLOs]:[SubPLOs]],"&gt;=9",tbl_task6[[SubPLOs]:[SubPLOs]],"&lt;10")+SUMIFS(tbl_task7[S89],tbl_task7[[SubPLOs]:[SubPLOs]],"&gt;=9",tbl_task7[[SubPLOs]:[SubPLOs]],"&lt;10")+SUMIFS(tbl_task8[S89],tbl_task8[[SubPLOs]:[SubPLOs]],"&gt;=9",tbl_task8[[SubPLOs]:[SubPLOs]],"&lt;10")+SUMIFS(tbl_task9[S89],tbl_task9[[SubPLOs]:[SubPLOs]],"&gt;=9",tbl_task9[[SubPLOs]:[SubPLOs]],"&lt;10")+SUMIFS(tbl_task10[S89],tbl_task10[[SubPLOs]:[SubPLOs]],"&gt;=9",tbl_task10[[SubPLOs]:[SubPLOs]],"&lt;10")</f>
        <v>0</v>
      </c>
      <c r="CQ188" s="41">
        <f>SUMIFS(tbl_task1[S90],tbl_task1[[SubPLOs]:[SubPLOs]],"&gt;=9",tbl_task1[[SubPLOs]:[SubPLOs]],"&lt;10")+SUMIFS(tbl_task2[S90],tbl_task2[[SubPLOs]:[SubPLOs]],"&gt;=9",tbl_task2[[SubPLOs]:[SubPLOs]],"&lt;10")+SUMIFS(tbl_task3[S90],tbl_task3[[SubPLOs]:[SubPLOs]],"&gt;=9",tbl_task3[[SubPLOs]:[SubPLOs]],"&lt;10")+SUMIFS(tbl_task4[S90],tbl_task4[[SubPLOs]:[SubPLOs]],"&gt;=9",tbl_task4[[SubPLOs]:[SubPLOs]],"&lt;10")+SUMIFS(tbl_task5[S90],tbl_task5[[SubPLOs]:[SubPLOs]],"&gt;=9",tbl_task5[[SubPLOs]:[SubPLOs]],"&lt;10")+SUMIFS(tbl_task6[S90],tbl_task6[[SubPLOs]:[SubPLOs]],"&gt;=9",tbl_task6[[SubPLOs]:[SubPLOs]],"&lt;10")+SUMIFS(tbl_task7[S90],tbl_task7[[SubPLOs]:[SubPLOs]],"&gt;=9",tbl_task7[[SubPLOs]:[SubPLOs]],"&lt;10")+SUMIFS(tbl_task8[S90],tbl_task8[[SubPLOs]:[SubPLOs]],"&gt;=9",tbl_task8[[SubPLOs]:[SubPLOs]],"&lt;10")+SUMIFS(tbl_task9[S90],tbl_task9[[SubPLOs]:[SubPLOs]],"&gt;=9",tbl_task9[[SubPLOs]:[SubPLOs]],"&lt;10")+SUMIFS(tbl_task10[S90],tbl_task10[[SubPLOs]:[SubPLOs]],"&gt;=9",tbl_task10[[SubPLOs]:[SubPLOs]],"&lt;10")</f>
        <v>0</v>
      </c>
      <c r="CR188" s="41">
        <f>SUMIFS(tbl_task1[S91],tbl_task1[[SubPLOs]:[SubPLOs]],"&gt;=9",tbl_task1[[SubPLOs]:[SubPLOs]],"&lt;10")+SUMIFS(tbl_task2[S91],tbl_task2[[SubPLOs]:[SubPLOs]],"&gt;=9",tbl_task2[[SubPLOs]:[SubPLOs]],"&lt;10")+SUMIFS(tbl_task3[S91],tbl_task3[[SubPLOs]:[SubPLOs]],"&gt;=9",tbl_task3[[SubPLOs]:[SubPLOs]],"&lt;10")+SUMIFS(tbl_task4[S91],tbl_task4[[SubPLOs]:[SubPLOs]],"&gt;=9",tbl_task4[[SubPLOs]:[SubPLOs]],"&lt;10")+SUMIFS(tbl_task5[S91],tbl_task5[[SubPLOs]:[SubPLOs]],"&gt;=9",tbl_task5[[SubPLOs]:[SubPLOs]],"&lt;10")+SUMIFS(tbl_task6[S91],tbl_task6[[SubPLOs]:[SubPLOs]],"&gt;=9",tbl_task6[[SubPLOs]:[SubPLOs]],"&lt;10")+SUMIFS(tbl_task7[S91],tbl_task7[[SubPLOs]:[SubPLOs]],"&gt;=9",tbl_task7[[SubPLOs]:[SubPLOs]],"&lt;10")+SUMIFS(tbl_task8[S91],tbl_task8[[SubPLOs]:[SubPLOs]],"&gt;=9",tbl_task8[[SubPLOs]:[SubPLOs]],"&lt;10")+SUMIFS(tbl_task9[S91],tbl_task9[[SubPLOs]:[SubPLOs]],"&gt;=9",tbl_task9[[SubPLOs]:[SubPLOs]],"&lt;10")+SUMIFS(tbl_task10[S91],tbl_task10[[SubPLOs]:[SubPLOs]],"&gt;=9",tbl_task10[[SubPLOs]:[SubPLOs]],"&lt;10")</f>
        <v>0</v>
      </c>
      <c r="CS188" s="41">
        <f>SUMIFS(tbl_task1[S92],tbl_task1[[SubPLOs]:[SubPLOs]],"&gt;=9",tbl_task1[[SubPLOs]:[SubPLOs]],"&lt;10")+SUMIFS(tbl_task2[S92],tbl_task2[[SubPLOs]:[SubPLOs]],"&gt;=9",tbl_task2[[SubPLOs]:[SubPLOs]],"&lt;10")+SUMIFS(tbl_task3[S92],tbl_task3[[SubPLOs]:[SubPLOs]],"&gt;=9",tbl_task3[[SubPLOs]:[SubPLOs]],"&lt;10")+SUMIFS(tbl_task4[S92],tbl_task4[[SubPLOs]:[SubPLOs]],"&gt;=9",tbl_task4[[SubPLOs]:[SubPLOs]],"&lt;10")+SUMIFS(tbl_task5[S92],tbl_task5[[SubPLOs]:[SubPLOs]],"&gt;=9",tbl_task5[[SubPLOs]:[SubPLOs]],"&lt;10")+SUMIFS(tbl_task6[S92],tbl_task6[[SubPLOs]:[SubPLOs]],"&gt;=9",tbl_task6[[SubPLOs]:[SubPLOs]],"&lt;10")+SUMIFS(tbl_task7[S92],tbl_task7[[SubPLOs]:[SubPLOs]],"&gt;=9",tbl_task7[[SubPLOs]:[SubPLOs]],"&lt;10")+SUMIFS(tbl_task8[S92],tbl_task8[[SubPLOs]:[SubPLOs]],"&gt;=9",tbl_task8[[SubPLOs]:[SubPLOs]],"&lt;10")+SUMIFS(tbl_task9[S92],tbl_task9[[SubPLOs]:[SubPLOs]],"&gt;=9",tbl_task9[[SubPLOs]:[SubPLOs]],"&lt;10")+SUMIFS(tbl_task10[S92],tbl_task10[[SubPLOs]:[SubPLOs]],"&gt;=9",tbl_task10[[SubPLOs]:[SubPLOs]],"&lt;10")</f>
        <v>0</v>
      </c>
      <c r="CT188" s="41">
        <f>SUMIFS(tbl_task1[S93],tbl_task1[[SubPLOs]:[SubPLOs]],"&gt;=9",tbl_task1[[SubPLOs]:[SubPLOs]],"&lt;10")+SUMIFS(tbl_task2[S93],tbl_task2[[SubPLOs]:[SubPLOs]],"&gt;=9",tbl_task2[[SubPLOs]:[SubPLOs]],"&lt;10")+SUMIFS(tbl_task3[S93],tbl_task3[[SubPLOs]:[SubPLOs]],"&gt;=9",tbl_task3[[SubPLOs]:[SubPLOs]],"&lt;10")+SUMIFS(tbl_task4[S93],tbl_task4[[SubPLOs]:[SubPLOs]],"&gt;=9",tbl_task4[[SubPLOs]:[SubPLOs]],"&lt;10")+SUMIFS(tbl_task5[S93],tbl_task5[[SubPLOs]:[SubPLOs]],"&gt;=9",tbl_task5[[SubPLOs]:[SubPLOs]],"&lt;10")+SUMIFS(tbl_task6[S93],tbl_task6[[SubPLOs]:[SubPLOs]],"&gt;=9",tbl_task6[[SubPLOs]:[SubPLOs]],"&lt;10")+SUMIFS(tbl_task7[S93],tbl_task7[[SubPLOs]:[SubPLOs]],"&gt;=9",tbl_task7[[SubPLOs]:[SubPLOs]],"&lt;10")+SUMIFS(tbl_task8[S93],tbl_task8[[SubPLOs]:[SubPLOs]],"&gt;=9",tbl_task8[[SubPLOs]:[SubPLOs]],"&lt;10")+SUMIFS(tbl_task9[S93],tbl_task9[[SubPLOs]:[SubPLOs]],"&gt;=9",tbl_task9[[SubPLOs]:[SubPLOs]],"&lt;10")+SUMIFS(tbl_task10[S93],tbl_task10[[SubPLOs]:[SubPLOs]],"&gt;=9",tbl_task10[[SubPLOs]:[SubPLOs]],"&lt;10")</f>
        <v>0</v>
      </c>
      <c r="CU188" s="41">
        <f>SUMIFS(tbl_task1[S94],tbl_task1[[SubPLOs]:[SubPLOs]],"&gt;=9",tbl_task1[[SubPLOs]:[SubPLOs]],"&lt;10")+SUMIFS(tbl_task2[S94],tbl_task2[[SubPLOs]:[SubPLOs]],"&gt;=9",tbl_task2[[SubPLOs]:[SubPLOs]],"&lt;10")+SUMIFS(tbl_task3[S94],tbl_task3[[SubPLOs]:[SubPLOs]],"&gt;=9",tbl_task3[[SubPLOs]:[SubPLOs]],"&lt;10")+SUMIFS(tbl_task4[S94],tbl_task4[[SubPLOs]:[SubPLOs]],"&gt;=9",tbl_task4[[SubPLOs]:[SubPLOs]],"&lt;10")+SUMIFS(tbl_task5[S94],tbl_task5[[SubPLOs]:[SubPLOs]],"&gt;=9",tbl_task5[[SubPLOs]:[SubPLOs]],"&lt;10")+SUMIFS(tbl_task6[S94],tbl_task6[[SubPLOs]:[SubPLOs]],"&gt;=9",tbl_task6[[SubPLOs]:[SubPLOs]],"&lt;10")+SUMIFS(tbl_task7[S94],tbl_task7[[SubPLOs]:[SubPLOs]],"&gt;=9",tbl_task7[[SubPLOs]:[SubPLOs]],"&lt;10")+SUMIFS(tbl_task8[S94],tbl_task8[[SubPLOs]:[SubPLOs]],"&gt;=9",tbl_task8[[SubPLOs]:[SubPLOs]],"&lt;10")+SUMIFS(tbl_task9[S94],tbl_task9[[SubPLOs]:[SubPLOs]],"&gt;=9",tbl_task9[[SubPLOs]:[SubPLOs]],"&lt;10")+SUMIFS(tbl_task10[S94],tbl_task10[[SubPLOs]:[SubPLOs]],"&gt;=9",tbl_task10[[SubPLOs]:[SubPLOs]],"&lt;10")</f>
        <v>0</v>
      </c>
      <c r="CV188" s="41">
        <f>SUMIFS(tbl_task1[S95],tbl_task1[[SubPLOs]:[SubPLOs]],"&gt;=9",tbl_task1[[SubPLOs]:[SubPLOs]],"&lt;10")+SUMIFS(tbl_task2[S95],tbl_task2[[SubPLOs]:[SubPLOs]],"&gt;=9",tbl_task2[[SubPLOs]:[SubPLOs]],"&lt;10")+SUMIFS(tbl_task3[S95],tbl_task3[[SubPLOs]:[SubPLOs]],"&gt;=9",tbl_task3[[SubPLOs]:[SubPLOs]],"&lt;10")+SUMIFS(tbl_task4[S95],tbl_task4[[SubPLOs]:[SubPLOs]],"&gt;=9",tbl_task4[[SubPLOs]:[SubPLOs]],"&lt;10")+SUMIFS(tbl_task5[S95],tbl_task5[[SubPLOs]:[SubPLOs]],"&gt;=9",tbl_task5[[SubPLOs]:[SubPLOs]],"&lt;10")+SUMIFS(tbl_task6[S95],tbl_task6[[SubPLOs]:[SubPLOs]],"&gt;=9",tbl_task6[[SubPLOs]:[SubPLOs]],"&lt;10")+SUMIFS(tbl_task7[S95],tbl_task7[[SubPLOs]:[SubPLOs]],"&gt;=9",tbl_task7[[SubPLOs]:[SubPLOs]],"&lt;10")+SUMIFS(tbl_task8[S95],tbl_task8[[SubPLOs]:[SubPLOs]],"&gt;=9",tbl_task8[[SubPLOs]:[SubPLOs]],"&lt;10")+SUMIFS(tbl_task9[S95],tbl_task9[[SubPLOs]:[SubPLOs]],"&gt;=9",tbl_task9[[SubPLOs]:[SubPLOs]],"&lt;10")+SUMIFS(tbl_task10[S95],tbl_task10[[SubPLOs]:[SubPLOs]],"&gt;=9",tbl_task10[[SubPLOs]:[SubPLOs]],"&lt;10")</f>
        <v>0</v>
      </c>
      <c r="CW188" s="41">
        <f>SUMIFS(tbl_task1[S96],tbl_task1[[SubPLOs]:[SubPLOs]],"&gt;=9",tbl_task1[[SubPLOs]:[SubPLOs]],"&lt;10")+SUMIFS(tbl_task2[S96],tbl_task2[[SubPLOs]:[SubPLOs]],"&gt;=9",tbl_task2[[SubPLOs]:[SubPLOs]],"&lt;10")+SUMIFS(tbl_task3[S96],tbl_task3[[SubPLOs]:[SubPLOs]],"&gt;=9",tbl_task3[[SubPLOs]:[SubPLOs]],"&lt;10")+SUMIFS(tbl_task4[S96],tbl_task4[[SubPLOs]:[SubPLOs]],"&gt;=9",tbl_task4[[SubPLOs]:[SubPLOs]],"&lt;10")+SUMIFS(tbl_task5[S96],tbl_task5[[SubPLOs]:[SubPLOs]],"&gt;=9",tbl_task5[[SubPLOs]:[SubPLOs]],"&lt;10")+SUMIFS(tbl_task6[S96],tbl_task6[[SubPLOs]:[SubPLOs]],"&gt;=9",tbl_task6[[SubPLOs]:[SubPLOs]],"&lt;10")+SUMIFS(tbl_task7[S96],tbl_task7[[SubPLOs]:[SubPLOs]],"&gt;=9",tbl_task7[[SubPLOs]:[SubPLOs]],"&lt;10")+SUMIFS(tbl_task8[S96],tbl_task8[[SubPLOs]:[SubPLOs]],"&gt;=9",tbl_task8[[SubPLOs]:[SubPLOs]],"&lt;10")+SUMIFS(tbl_task9[S96],tbl_task9[[SubPLOs]:[SubPLOs]],"&gt;=9",tbl_task9[[SubPLOs]:[SubPLOs]],"&lt;10")+SUMIFS(tbl_task10[S96],tbl_task10[[SubPLOs]:[SubPLOs]],"&gt;=9",tbl_task10[[SubPLOs]:[SubPLOs]],"&lt;10")</f>
        <v>0</v>
      </c>
      <c r="CX188" s="41">
        <f>SUMIFS(tbl_task1[S97],tbl_task1[[SubPLOs]:[SubPLOs]],"&gt;=9",tbl_task1[[SubPLOs]:[SubPLOs]],"&lt;10")+SUMIFS(tbl_task2[S97],tbl_task2[[SubPLOs]:[SubPLOs]],"&gt;=9",tbl_task2[[SubPLOs]:[SubPLOs]],"&lt;10")+SUMIFS(tbl_task3[S97],tbl_task3[[SubPLOs]:[SubPLOs]],"&gt;=9",tbl_task3[[SubPLOs]:[SubPLOs]],"&lt;10")+SUMIFS(tbl_task4[S97],tbl_task4[[SubPLOs]:[SubPLOs]],"&gt;=9",tbl_task4[[SubPLOs]:[SubPLOs]],"&lt;10")+SUMIFS(tbl_task5[S97],tbl_task5[[SubPLOs]:[SubPLOs]],"&gt;=9",tbl_task5[[SubPLOs]:[SubPLOs]],"&lt;10")+SUMIFS(tbl_task6[S97],tbl_task6[[SubPLOs]:[SubPLOs]],"&gt;=9",tbl_task6[[SubPLOs]:[SubPLOs]],"&lt;10")+SUMIFS(tbl_task7[S97],tbl_task7[[SubPLOs]:[SubPLOs]],"&gt;=9",tbl_task7[[SubPLOs]:[SubPLOs]],"&lt;10")+SUMIFS(tbl_task8[S97],tbl_task8[[SubPLOs]:[SubPLOs]],"&gt;=9",tbl_task8[[SubPLOs]:[SubPLOs]],"&lt;10")+SUMIFS(tbl_task9[S97],tbl_task9[[SubPLOs]:[SubPLOs]],"&gt;=9",tbl_task9[[SubPLOs]:[SubPLOs]],"&lt;10")+SUMIFS(tbl_task10[S97],tbl_task10[[SubPLOs]:[SubPLOs]],"&gt;=9",tbl_task10[[SubPLOs]:[SubPLOs]],"&lt;10")</f>
        <v>0</v>
      </c>
      <c r="CY188" s="41">
        <f>SUMIFS(tbl_task1[S98],tbl_task1[[SubPLOs]:[SubPLOs]],"&gt;=9",tbl_task1[[SubPLOs]:[SubPLOs]],"&lt;10")+SUMIFS(tbl_task2[S98],tbl_task2[[SubPLOs]:[SubPLOs]],"&gt;=9",tbl_task2[[SubPLOs]:[SubPLOs]],"&lt;10")+SUMIFS(tbl_task3[S98],tbl_task3[[SubPLOs]:[SubPLOs]],"&gt;=9",tbl_task3[[SubPLOs]:[SubPLOs]],"&lt;10")+SUMIFS(tbl_task4[S98],tbl_task4[[SubPLOs]:[SubPLOs]],"&gt;=9",tbl_task4[[SubPLOs]:[SubPLOs]],"&lt;10")+SUMIFS(tbl_task5[S98],tbl_task5[[SubPLOs]:[SubPLOs]],"&gt;=9",tbl_task5[[SubPLOs]:[SubPLOs]],"&lt;10")+SUMIFS(tbl_task6[S98],tbl_task6[[SubPLOs]:[SubPLOs]],"&gt;=9",tbl_task6[[SubPLOs]:[SubPLOs]],"&lt;10")+SUMIFS(tbl_task7[S98],tbl_task7[[SubPLOs]:[SubPLOs]],"&gt;=9",tbl_task7[[SubPLOs]:[SubPLOs]],"&lt;10")+SUMIFS(tbl_task8[S98],tbl_task8[[SubPLOs]:[SubPLOs]],"&gt;=9",tbl_task8[[SubPLOs]:[SubPLOs]],"&lt;10")+SUMIFS(tbl_task9[S98],tbl_task9[[SubPLOs]:[SubPLOs]],"&gt;=9",tbl_task9[[SubPLOs]:[SubPLOs]],"&lt;10")+SUMIFS(tbl_task10[S98],tbl_task10[[SubPLOs]:[SubPLOs]],"&gt;=9",tbl_task10[[SubPLOs]:[SubPLOs]],"&lt;10")</f>
        <v>0</v>
      </c>
      <c r="CZ188" s="41">
        <f>SUMIFS(tbl_task1[S99],tbl_task1[[SubPLOs]:[SubPLOs]],"&gt;=9",tbl_task1[[SubPLOs]:[SubPLOs]],"&lt;10")+SUMIFS(tbl_task2[S99],tbl_task2[[SubPLOs]:[SubPLOs]],"&gt;=9",tbl_task2[[SubPLOs]:[SubPLOs]],"&lt;10")+SUMIFS(tbl_task3[S99],tbl_task3[[SubPLOs]:[SubPLOs]],"&gt;=9",tbl_task3[[SubPLOs]:[SubPLOs]],"&lt;10")+SUMIFS(tbl_task4[S99],tbl_task4[[SubPLOs]:[SubPLOs]],"&gt;=9",tbl_task4[[SubPLOs]:[SubPLOs]],"&lt;10")+SUMIFS(tbl_task5[S99],tbl_task5[[SubPLOs]:[SubPLOs]],"&gt;=9",tbl_task5[[SubPLOs]:[SubPLOs]],"&lt;10")+SUMIFS(tbl_task6[S99],tbl_task6[[SubPLOs]:[SubPLOs]],"&gt;=9",tbl_task6[[SubPLOs]:[SubPLOs]],"&lt;10")+SUMIFS(tbl_task7[S99],tbl_task7[[SubPLOs]:[SubPLOs]],"&gt;=9",tbl_task7[[SubPLOs]:[SubPLOs]],"&lt;10")+SUMIFS(tbl_task8[S99],tbl_task8[[SubPLOs]:[SubPLOs]],"&gt;=9",tbl_task8[[SubPLOs]:[SubPLOs]],"&lt;10")+SUMIFS(tbl_task9[S99],tbl_task9[[SubPLOs]:[SubPLOs]],"&gt;=9",tbl_task9[[SubPLOs]:[SubPLOs]],"&lt;10")+SUMIFS(tbl_task10[S99],tbl_task10[[SubPLOs]:[SubPLOs]],"&gt;=9",tbl_task10[[SubPLOs]:[SubPLOs]],"&lt;10")</f>
        <v>0</v>
      </c>
      <c r="DA188" s="41">
        <f>SUMIFS(tbl_task1[S100],tbl_task1[[SubPLOs]:[SubPLOs]],"&gt;=9",tbl_task1[[SubPLOs]:[SubPLOs]],"&lt;10")+SUMIFS(tbl_task2[S100],tbl_task2[[SubPLOs]:[SubPLOs]],"&gt;=9",tbl_task2[[SubPLOs]:[SubPLOs]],"&lt;10")+SUMIFS(tbl_task3[S100],tbl_task3[[SubPLOs]:[SubPLOs]],"&gt;=9",tbl_task3[[SubPLOs]:[SubPLOs]],"&lt;10")+SUMIFS(tbl_task4[S100],tbl_task4[[SubPLOs]:[SubPLOs]],"&gt;=9",tbl_task4[[SubPLOs]:[SubPLOs]],"&lt;10")+SUMIFS(tbl_task5[S100],tbl_task5[[SubPLOs]:[SubPLOs]],"&gt;=9",tbl_task5[[SubPLOs]:[SubPLOs]],"&lt;10")+SUMIFS(tbl_task6[S100],tbl_task6[[SubPLOs]:[SubPLOs]],"&gt;=9",tbl_task6[[SubPLOs]:[SubPLOs]],"&lt;10")+SUMIFS(tbl_task7[S100],tbl_task7[[SubPLOs]:[SubPLOs]],"&gt;=9",tbl_task7[[SubPLOs]:[SubPLOs]],"&lt;10")+SUMIFS(tbl_task8[S100],tbl_task8[[SubPLOs]:[SubPLOs]],"&gt;=9",tbl_task8[[SubPLOs]:[SubPLOs]],"&lt;10")+SUMIFS(tbl_task9[S100],tbl_task9[[SubPLOs]:[SubPLOs]],"&gt;=9",tbl_task9[[SubPLOs]:[SubPLOs]],"&lt;10")+SUMIFS(tbl_task10[S100],tbl_task10[[SubPLOs]:[SubPLOs]],"&gt;=9",tbl_task10[[SubPLOs]:[SubPLOs]],"&lt;10")</f>
        <v>0</v>
      </c>
      <c r="DB188" s="41">
        <f>SUMIFS(tbl_task1[S101],tbl_task1[[SubPLOs]:[SubPLOs]],"&gt;=9",tbl_task1[[SubPLOs]:[SubPLOs]],"&lt;10")+SUMIFS(tbl_task2[S101],tbl_task2[[SubPLOs]:[SubPLOs]],"&gt;=9",tbl_task2[[SubPLOs]:[SubPLOs]],"&lt;10")+SUMIFS(tbl_task3[S101],tbl_task3[[SubPLOs]:[SubPLOs]],"&gt;=9",tbl_task3[[SubPLOs]:[SubPLOs]],"&lt;10")+SUMIFS(tbl_task4[S101],tbl_task4[[SubPLOs]:[SubPLOs]],"&gt;=9",tbl_task4[[SubPLOs]:[SubPLOs]],"&lt;10")+SUMIFS(tbl_task5[S101],tbl_task5[[SubPLOs]:[SubPLOs]],"&gt;=9",tbl_task5[[SubPLOs]:[SubPLOs]],"&lt;10")+SUMIFS(tbl_task6[S101],tbl_task6[[SubPLOs]:[SubPLOs]],"&gt;=9",tbl_task6[[SubPLOs]:[SubPLOs]],"&lt;10")+SUMIFS(tbl_task7[S101],tbl_task7[[SubPLOs]:[SubPLOs]],"&gt;=9",tbl_task7[[SubPLOs]:[SubPLOs]],"&lt;10")+SUMIFS(tbl_task8[S101],tbl_task8[[SubPLOs]:[SubPLOs]],"&gt;=9",tbl_task8[[SubPLOs]:[SubPLOs]],"&lt;10")+SUMIFS(tbl_task9[S101],tbl_task9[[SubPLOs]:[SubPLOs]],"&gt;=9",tbl_task9[[SubPLOs]:[SubPLOs]],"&lt;10")+SUMIFS(tbl_task10[S101],tbl_task10[[SubPLOs]:[SubPLOs]],"&gt;=9",tbl_task10[[SubPLOs]:[SubPLOs]],"&lt;10")</f>
        <v>0</v>
      </c>
      <c r="DC188" s="41">
        <f>SUMIFS(tbl_task1[S102],tbl_task1[[SubPLOs]:[SubPLOs]],"&gt;=9",tbl_task1[[SubPLOs]:[SubPLOs]],"&lt;10")+SUMIFS(tbl_task2[S102],tbl_task2[[SubPLOs]:[SubPLOs]],"&gt;=9",tbl_task2[[SubPLOs]:[SubPLOs]],"&lt;10")+SUMIFS(tbl_task3[S102],tbl_task3[[SubPLOs]:[SubPLOs]],"&gt;=9",tbl_task3[[SubPLOs]:[SubPLOs]],"&lt;10")+SUMIFS(tbl_task4[S102],tbl_task4[[SubPLOs]:[SubPLOs]],"&gt;=9",tbl_task4[[SubPLOs]:[SubPLOs]],"&lt;10")+SUMIFS(tbl_task5[S102],tbl_task5[[SubPLOs]:[SubPLOs]],"&gt;=9",tbl_task5[[SubPLOs]:[SubPLOs]],"&lt;10")+SUMIFS(tbl_task6[S102],tbl_task6[[SubPLOs]:[SubPLOs]],"&gt;=9",tbl_task6[[SubPLOs]:[SubPLOs]],"&lt;10")+SUMIFS(tbl_task7[S102],tbl_task7[[SubPLOs]:[SubPLOs]],"&gt;=9",tbl_task7[[SubPLOs]:[SubPLOs]],"&lt;10")+SUMIFS(tbl_task8[S102],tbl_task8[[SubPLOs]:[SubPLOs]],"&gt;=9",tbl_task8[[SubPLOs]:[SubPLOs]],"&lt;10")+SUMIFS(tbl_task9[S102],tbl_task9[[SubPLOs]:[SubPLOs]],"&gt;=9",tbl_task9[[SubPLOs]:[SubPLOs]],"&lt;10")+SUMIFS(tbl_task10[S102],tbl_task10[[SubPLOs]:[SubPLOs]],"&gt;=9",tbl_task10[[SubPLOs]:[SubPLOs]],"&lt;10")</f>
        <v>0</v>
      </c>
      <c r="DD188" s="41">
        <f>SUMIFS(tbl_task1[S103],tbl_task1[[SubPLOs]:[SubPLOs]],"&gt;=9",tbl_task1[[SubPLOs]:[SubPLOs]],"&lt;10")+SUMIFS(tbl_task2[S103],tbl_task2[[SubPLOs]:[SubPLOs]],"&gt;=9",tbl_task2[[SubPLOs]:[SubPLOs]],"&lt;10")+SUMIFS(tbl_task3[S103],tbl_task3[[SubPLOs]:[SubPLOs]],"&gt;=9",tbl_task3[[SubPLOs]:[SubPLOs]],"&lt;10")+SUMIFS(tbl_task4[S103],tbl_task4[[SubPLOs]:[SubPLOs]],"&gt;=9",tbl_task4[[SubPLOs]:[SubPLOs]],"&lt;10")+SUMIFS(tbl_task5[S103],tbl_task5[[SubPLOs]:[SubPLOs]],"&gt;=9",tbl_task5[[SubPLOs]:[SubPLOs]],"&lt;10")+SUMIFS(tbl_task6[S103],tbl_task6[[SubPLOs]:[SubPLOs]],"&gt;=9",tbl_task6[[SubPLOs]:[SubPLOs]],"&lt;10")+SUMIFS(tbl_task7[S103],tbl_task7[[SubPLOs]:[SubPLOs]],"&gt;=9",tbl_task7[[SubPLOs]:[SubPLOs]],"&lt;10")+SUMIFS(tbl_task8[S103],tbl_task8[[SubPLOs]:[SubPLOs]],"&gt;=9",tbl_task8[[SubPLOs]:[SubPLOs]],"&lt;10")+SUMIFS(tbl_task9[S103],tbl_task9[[SubPLOs]:[SubPLOs]],"&gt;=9",tbl_task9[[SubPLOs]:[SubPLOs]],"&lt;10")+SUMIFS(tbl_task10[S103],tbl_task10[[SubPLOs]:[SubPLOs]],"&gt;=9",tbl_task10[[SubPLOs]:[SubPLOs]],"&lt;10")</f>
        <v>0</v>
      </c>
      <c r="DE188" s="41">
        <f>SUMIFS(tbl_task1[S104],tbl_task1[[SubPLOs]:[SubPLOs]],"&gt;=9",tbl_task1[[SubPLOs]:[SubPLOs]],"&lt;10")+SUMIFS(tbl_task2[S104],tbl_task2[[SubPLOs]:[SubPLOs]],"&gt;=9",tbl_task2[[SubPLOs]:[SubPLOs]],"&lt;10")+SUMIFS(tbl_task3[S104],tbl_task3[[SubPLOs]:[SubPLOs]],"&gt;=9",tbl_task3[[SubPLOs]:[SubPLOs]],"&lt;10")+SUMIFS(tbl_task4[S104],tbl_task4[[SubPLOs]:[SubPLOs]],"&gt;=9",tbl_task4[[SubPLOs]:[SubPLOs]],"&lt;10")+SUMIFS(tbl_task5[S104],tbl_task5[[SubPLOs]:[SubPLOs]],"&gt;=9",tbl_task5[[SubPLOs]:[SubPLOs]],"&lt;10")+SUMIFS(tbl_task6[S104],tbl_task6[[SubPLOs]:[SubPLOs]],"&gt;=9",tbl_task6[[SubPLOs]:[SubPLOs]],"&lt;10")+SUMIFS(tbl_task7[S104],tbl_task7[[SubPLOs]:[SubPLOs]],"&gt;=9",tbl_task7[[SubPLOs]:[SubPLOs]],"&lt;10")+SUMIFS(tbl_task8[S104],tbl_task8[[SubPLOs]:[SubPLOs]],"&gt;=9",tbl_task8[[SubPLOs]:[SubPLOs]],"&lt;10")+SUMIFS(tbl_task9[S104],tbl_task9[[SubPLOs]:[SubPLOs]],"&gt;=9",tbl_task9[[SubPLOs]:[SubPLOs]],"&lt;10")+SUMIFS(tbl_task10[S104],tbl_task10[[SubPLOs]:[SubPLOs]],"&gt;=9",tbl_task10[[SubPLOs]:[SubPLOs]],"&lt;10")</f>
        <v>0</v>
      </c>
      <c r="DF188" s="41">
        <f>SUMIFS(tbl_task1[S105],tbl_task1[[SubPLOs]:[SubPLOs]],"&gt;=9",tbl_task1[[SubPLOs]:[SubPLOs]],"&lt;10")+SUMIFS(tbl_task2[S105],tbl_task2[[SubPLOs]:[SubPLOs]],"&gt;=9",tbl_task2[[SubPLOs]:[SubPLOs]],"&lt;10")+SUMIFS(tbl_task3[S105],tbl_task3[[SubPLOs]:[SubPLOs]],"&gt;=9",tbl_task3[[SubPLOs]:[SubPLOs]],"&lt;10")+SUMIFS(tbl_task4[S105],tbl_task4[[SubPLOs]:[SubPLOs]],"&gt;=9",tbl_task4[[SubPLOs]:[SubPLOs]],"&lt;10")+SUMIFS(tbl_task5[S105],tbl_task5[[SubPLOs]:[SubPLOs]],"&gt;=9",tbl_task5[[SubPLOs]:[SubPLOs]],"&lt;10")+SUMIFS(tbl_task6[S105],tbl_task6[[SubPLOs]:[SubPLOs]],"&gt;=9",tbl_task6[[SubPLOs]:[SubPLOs]],"&lt;10")+SUMIFS(tbl_task7[S105],tbl_task7[[SubPLOs]:[SubPLOs]],"&gt;=9",tbl_task7[[SubPLOs]:[SubPLOs]],"&lt;10")+SUMIFS(tbl_task8[S105],tbl_task8[[SubPLOs]:[SubPLOs]],"&gt;=9",tbl_task8[[SubPLOs]:[SubPLOs]],"&lt;10")+SUMIFS(tbl_task9[S105],tbl_task9[[SubPLOs]:[SubPLOs]],"&gt;=9",tbl_task9[[SubPLOs]:[SubPLOs]],"&lt;10")+SUMIFS(tbl_task10[S105],tbl_task10[[SubPLOs]:[SubPLOs]],"&gt;=9",tbl_task10[[SubPLOs]:[SubPLOs]],"&lt;10")</f>
        <v>0</v>
      </c>
      <c r="DG188" s="41">
        <f>SUMIFS(tbl_task1[S106],tbl_task1[[SubPLOs]:[SubPLOs]],"&gt;=9",tbl_task1[[SubPLOs]:[SubPLOs]],"&lt;10")+SUMIFS(tbl_task2[S106],tbl_task2[[SubPLOs]:[SubPLOs]],"&gt;=9",tbl_task2[[SubPLOs]:[SubPLOs]],"&lt;10")+SUMIFS(tbl_task3[S106],tbl_task3[[SubPLOs]:[SubPLOs]],"&gt;=9",tbl_task3[[SubPLOs]:[SubPLOs]],"&lt;10")+SUMIFS(tbl_task4[S106],tbl_task4[[SubPLOs]:[SubPLOs]],"&gt;=9",tbl_task4[[SubPLOs]:[SubPLOs]],"&lt;10")+SUMIFS(tbl_task5[S106],tbl_task5[[SubPLOs]:[SubPLOs]],"&gt;=9",tbl_task5[[SubPLOs]:[SubPLOs]],"&lt;10")+SUMIFS(tbl_task6[S106],tbl_task6[[SubPLOs]:[SubPLOs]],"&gt;=9",tbl_task6[[SubPLOs]:[SubPLOs]],"&lt;10")+SUMIFS(tbl_task7[S106],tbl_task7[[SubPLOs]:[SubPLOs]],"&gt;=9",tbl_task7[[SubPLOs]:[SubPLOs]],"&lt;10")+SUMIFS(tbl_task8[S106],tbl_task8[[SubPLOs]:[SubPLOs]],"&gt;=9",tbl_task8[[SubPLOs]:[SubPLOs]],"&lt;10")+SUMIFS(tbl_task9[S106],tbl_task9[[SubPLOs]:[SubPLOs]],"&gt;=9",tbl_task9[[SubPLOs]:[SubPLOs]],"&lt;10")+SUMIFS(tbl_task10[S106],tbl_task10[[SubPLOs]:[SubPLOs]],"&gt;=9",tbl_task10[[SubPLOs]:[SubPLOs]],"&lt;10")</f>
        <v>0</v>
      </c>
      <c r="DH188" s="41">
        <f>SUMIFS(tbl_task1[S107],tbl_task1[[SubPLOs]:[SubPLOs]],"&gt;=9",tbl_task1[[SubPLOs]:[SubPLOs]],"&lt;10")+SUMIFS(tbl_task2[S107],tbl_task2[[SubPLOs]:[SubPLOs]],"&gt;=9",tbl_task2[[SubPLOs]:[SubPLOs]],"&lt;10")+SUMIFS(tbl_task3[S107],tbl_task3[[SubPLOs]:[SubPLOs]],"&gt;=9",tbl_task3[[SubPLOs]:[SubPLOs]],"&lt;10")+SUMIFS(tbl_task4[S107],tbl_task4[[SubPLOs]:[SubPLOs]],"&gt;=9",tbl_task4[[SubPLOs]:[SubPLOs]],"&lt;10")+SUMIFS(tbl_task5[S107],tbl_task5[[SubPLOs]:[SubPLOs]],"&gt;=9",tbl_task5[[SubPLOs]:[SubPLOs]],"&lt;10")+SUMIFS(tbl_task6[S107],tbl_task6[[SubPLOs]:[SubPLOs]],"&gt;=9",tbl_task6[[SubPLOs]:[SubPLOs]],"&lt;10")+SUMIFS(tbl_task7[S107],tbl_task7[[SubPLOs]:[SubPLOs]],"&gt;=9",tbl_task7[[SubPLOs]:[SubPLOs]],"&lt;10")+SUMIFS(tbl_task8[S107],tbl_task8[[SubPLOs]:[SubPLOs]],"&gt;=9",tbl_task8[[SubPLOs]:[SubPLOs]],"&lt;10")+SUMIFS(tbl_task9[S107],tbl_task9[[SubPLOs]:[SubPLOs]],"&gt;=9",tbl_task9[[SubPLOs]:[SubPLOs]],"&lt;10")+SUMIFS(tbl_task10[S107],tbl_task10[[SubPLOs]:[SubPLOs]],"&gt;=9",tbl_task10[[SubPLOs]:[SubPLOs]],"&lt;10")</f>
        <v>0</v>
      </c>
      <c r="DI188" s="41">
        <f>SUMIFS(tbl_task1[S108],tbl_task1[[SubPLOs]:[SubPLOs]],"&gt;=9",tbl_task1[[SubPLOs]:[SubPLOs]],"&lt;10")+SUMIFS(tbl_task2[S108],tbl_task2[[SubPLOs]:[SubPLOs]],"&gt;=9",tbl_task2[[SubPLOs]:[SubPLOs]],"&lt;10")+SUMIFS(tbl_task3[S108],tbl_task3[[SubPLOs]:[SubPLOs]],"&gt;=9",tbl_task3[[SubPLOs]:[SubPLOs]],"&lt;10")+SUMIFS(tbl_task4[S108],tbl_task4[[SubPLOs]:[SubPLOs]],"&gt;=9",tbl_task4[[SubPLOs]:[SubPLOs]],"&lt;10")+SUMIFS(tbl_task5[S108],tbl_task5[[SubPLOs]:[SubPLOs]],"&gt;=9",tbl_task5[[SubPLOs]:[SubPLOs]],"&lt;10")+SUMIFS(tbl_task6[S108],tbl_task6[[SubPLOs]:[SubPLOs]],"&gt;=9",tbl_task6[[SubPLOs]:[SubPLOs]],"&lt;10")+SUMIFS(tbl_task7[S108],tbl_task7[[SubPLOs]:[SubPLOs]],"&gt;=9",tbl_task7[[SubPLOs]:[SubPLOs]],"&lt;10")+SUMIFS(tbl_task8[S108],tbl_task8[[SubPLOs]:[SubPLOs]],"&gt;=9",tbl_task8[[SubPLOs]:[SubPLOs]],"&lt;10")+SUMIFS(tbl_task9[S108],tbl_task9[[SubPLOs]:[SubPLOs]],"&gt;=9",tbl_task9[[SubPLOs]:[SubPLOs]],"&lt;10")+SUMIFS(tbl_task10[S108],tbl_task10[[SubPLOs]:[SubPLOs]],"&gt;=9",tbl_task10[[SubPLOs]:[SubPLOs]],"&lt;10")</f>
        <v>0</v>
      </c>
      <c r="DJ188" s="41">
        <f>SUMIFS(tbl_task1[S109],tbl_task1[[SubPLOs]:[SubPLOs]],"&gt;=9",tbl_task1[[SubPLOs]:[SubPLOs]],"&lt;10")+SUMIFS(tbl_task2[S109],tbl_task2[[SubPLOs]:[SubPLOs]],"&gt;=9",tbl_task2[[SubPLOs]:[SubPLOs]],"&lt;10")+SUMIFS(tbl_task3[S109],tbl_task3[[SubPLOs]:[SubPLOs]],"&gt;=9",tbl_task3[[SubPLOs]:[SubPLOs]],"&lt;10")+SUMIFS(tbl_task4[S109],tbl_task4[[SubPLOs]:[SubPLOs]],"&gt;=9",tbl_task4[[SubPLOs]:[SubPLOs]],"&lt;10")+SUMIFS(tbl_task5[S109],tbl_task5[[SubPLOs]:[SubPLOs]],"&gt;=9",tbl_task5[[SubPLOs]:[SubPLOs]],"&lt;10")+SUMIFS(tbl_task6[S109],tbl_task6[[SubPLOs]:[SubPLOs]],"&gt;=9",tbl_task6[[SubPLOs]:[SubPLOs]],"&lt;10")+SUMIFS(tbl_task7[S109],tbl_task7[[SubPLOs]:[SubPLOs]],"&gt;=9",tbl_task7[[SubPLOs]:[SubPLOs]],"&lt;10")+SUMIFS(tbl_task8[S109],tbl_task8[[SubPLOs]:[SubPLOs]],"&gt;=9",tbl_task8[[SubPLOs]:[SubPLOs]],"&lt;10")+SUMIFS(tbl_task9[S109],tbl_task9[[SubPLOs]:[SubPLOs]],"&gt;=9",tbl_task9[[SubPLOs]:[SubPLOs]],"&lt;10")+SUMIFS(tbl_task10[S109],tbl_task10[[SubPLOs]:[SubPLOs]],"&gt;=9",tbl_task10[[SubPLOs]:[SubPLOs]],"&lt;10")</f>
        <v>0</v>
      </c>
      <c r="DK188" s="41">
        <f>SUMIFS(tbl_task1[S110],tbl_task1[[SubPLOs]:[SubPLOs]],"&gt;=9",tbl_task1[[SubPLOs]:[SubPLOs]],"&lt;10")+SUMIFS(tbl_task2[S110],tbl_task2[[SubPLOs]:[SubPLOs]],"&gt;=9",tbl_task2[[SubPLOs]:[SubPLOs]],"&lt;10")+SUMIFS(tbl_task3[S110],tbl_task3[[SubPLOs]:[SubPLOs]],"&gt;=9",tbl_task3[[SubPLOs]:[SubPLOs]],"&lt;10")+SUMIFS(tbl_task4[S110],tbl_task4[[SubPLOs]:[SubPLOs]],"&gt;=9",tbl_task4[[SubPLOs]:[SubPLOs]],"&lt;10")+SUMIFS(tbl_task5[S110],tbl_task5[[SubPLOs]:[SubPLOs]],"&gt;=9",tbl_task5[[SubPLOs]:[SubPLOs]],"&lt;10")+SUMIFS(tbl_task6[S110],tbl_task6[[SubPLOs]:[SubPLOs]],"&gt;=9",tbl_task6[[SubPLOs]:[SubPLOs]],"&lt;10")+SUMIFS(tbl_task7[S110],tbl_task7[[SubPLOs]:[SubPLOs]],"&gt;=9",tbl_task7[[SubPLOs]:[SubPLOs]],"&lt;10")+SUMIFS(tbl_task8[S110],tbl_task8[[SubPLOs]:[SubPLOs]],"&gt;=9",tbl_task8[[SubPLOs]:[SubPLOs]],"&lt;10")+SUMIFS(tbl_task9[S110],tbl_task9[[SubPLOs]:[SubPLOs]],"&gt;=9",tbl_task9[[SubPLOs]:[SubPLOs]],"&lt;10")+SUMIFS(tbl_task10[S110],tbl_task10[[SubPLOs]:[SubPLOs]],"&gt;=9",tbl_task10[[SubPLOs]:[SubPLOs]],"&lt;10")</f>
        <v>0</v>
      </c>
      <c r="DL188" s="41">
        <f>SUMIFS(tbl_task1[S111],tbl_task1[[SubPLOs]:[SubPLOs]],"&gt;=9",tbl_task1[[SubPLOs]:[SubPLOs]],"&lt;10")+SUMIFS(tbl_task2[S111],tbl_task2[[SubPLOs]:[SubPLOs]],"&gt;=9",tbl_task2[[SubPLOs]:[SubPLOs]],"&lt;10")+SUMIFS(tbl_task3[S111],tbl_task3[[SubPLOs]:[SubPLOs]],"&gt;=9",tbl_task3[[SubPLOs]:[SubPLOs]],"&lt;10")+SUMIFS(tbl_task4[S111],tbl_task4[[SubPLOs]:[SubPLOs]],"&gt;=9",tbl_task4[[SubPLOs]:[SubPLOs]],"&lt;10")+SUMIFS(tbl_task5[S111],tbl_task5[[SubPLOs]:[SubPLOs]],"&gt;=9",tbl_task5[[SubPLOs]:[SubPLOs]],"&lt;10")+SUMIFS(tbl_task6[S111],tbl_task6[[SubPLOs]:[SubPLOs]],"&gt;=9",tbl_task6[[SubPLOs]:[SubPLOs]],"&lt;10")+SUMIFS(tbl_task7[S111],tbl_task7[[SubPLOs]:[SubPLOs]],"&gt;=9",tbl_task7[[SubPLOs]:[SubPLOs]],"&lt;10")+SUMIFS(tbl_task8[S111],tbl_task8[[SubPLOs]:[SubPLOs]],"&gt;=9",tbl_task8[[SubPLOs]:[SubPLOs]],"&lt;10")+SUMIFS(tbl_task9[S111],tbl_task9[[SubPLOs]:[SubPLOs]],"&gt;=9",tbl_task9[[SubPLOs]:[SubPLOs]],"&lt;10")+SUMIFS(tbl_task10[S111],tbl_task10[[SubPLOs]:[SubPLOs]],"&gt;=9",tbl_task10[[SubPLOs]:[SubPLOs]],"&lt;10")</f>
        <v>0</v>
      </c>
      <c r="DM188" s="41">
        <f>SUMIFS(tbl_task1[S112],tbl_task1[[SubPLOs]:[SubPLOs]],"&gt;=9",tbl_task1[[SubPLOs]:[SubPLOs]],"&lt;10")+SUMIFS(tbl_task2[S112],tbl_task2[[SubPLOs]:[SubPLOs]],"&gt;=9",tbl_task2[[SubPLOs]:[SubPLOs]],"&lt;10")+SUMIFS(tbl_task3[S112],tbl_task3[[SubPLOs]:[SubPLOs]],"&gt;=9",tbl_task3[[SubPLOs]:[SubPLOs]],"&lt;10")+SUMIFS(tbl_task4[S112],tbl_task4[[SubPLOs]:[SubPLOs]],"&gt;=9",tbl_task4[[SubPLOs]:[SubPLOs]],"&lt;10")+SUMIFS(tbl_task5[S112],tbl_task5[[SubPLOs]:[SubPLOs]],"&gt;=9",tbl_task5[[SubPLOs]:[SubPLOs]],"&lt;10")+SUMIFS(tbl_task6[S112],tbl_task6[[SubPLOs]:[SubPLOs]],"&gt;=9",tbl_task6[[SubPLOs]:[SubPLOs]],"&lt;10")+SUMIFS(tbl_task7[S112],tbl_task7[[SubPLOs]:[SubPLOs]],"&gt;=9",tbl_task7[[SubPLOs]:[SubPLOs]],"&lt;10")+SUMIFS(tbl_task8[S112],tbl_task8[[SubPLOs]:[SubPLOs]],"&gt;=9",tbl_task8[[SubPLOs]:[SubPLOs]],"&lt;10")+SUMIFS(tbl_task9[S112],tbl_task9[[SubPLOs]:[SubPLOs]],"&gt;=9",tbl_task9[[SubPLOs]:[SubPLOs]],"&lt;10")+SUMIFS(tbl_task10[S112],tbl_task10[[SubPLOs]:[SubPLOs]],"&gt;=9",tbl_task10[[SubPLOs]:[SubPLOs]],"&lt;10")</f>
        <v>0</v>
      </c>
      <c r="DN188" s="41">
        <f>SUMIFS(tbl_task1[S113],tbl_task1[[SubPLOs]:[SubPLOs]],"&gt;=9",tbl_task1[[SubPLOs]:[SubPLOs]],"&lt;10")+SUMIFS(tbl_task2[S113],tbl_task2[[SubPLOs]:[SubPLOs]],"&gt;=9",tbl_task2[[SubPLOs]:[SubPLOs]],"&lt;10")+SUMIFS(tbl_task3[S113],tbl_task3[[SubPLOs]:[SubPLOs]],"&gt;=9",tbl_task3[[SubPLOs]:[SubPLOs]],"&lt;10")+SUMIFS(tbl_task4[S113],tbl_task4[[SubPLOs]:[SubPLOs]],"&gt;=9",tbl_task4[[SubPLOs]:[SubPLOs]],"&lt;10")+SUMIFS(tbl_task5[S113],tbl_task5[[SubPLOs]:[SubPLOs]],"&gt;=9",tbl_task5[[SubPLOs]:[SubPLOs]],"&lt;10")+SUMIFS(tbl_task6[S113],tbl_task6[[SubPLOs]:[SubPLOs]],"&gt;=9",tbl_task6[[SubPLOs]:[SubPLOs]],"&lt;10")+SUMIFS(tbl_task7[S113],tbl_task7[[SubPLOs]:[SubPLOs]],"&gt;=9",tbl_task7[[SubPLOs]:[SubPLOs]],"&lt;10")+SUMIFS(tbl_task8[S113],tbl_task8[[SubPLOs]:[SubPLOs]],"&gt;=9",tbl_task8[[SubPLOs]:[SubPLOs]],"&lt;10")+SUMIFS(tbl_task9[S113],tbl_task9[[SubPLOs]:[SubPLOs]],"&gt;=9",tbl_task9[[SubPLOs]:[SubPLOs]],"&lt;10")+SUMIFS(tbl_task10[S113],tbl_task10[[SubPLOs]:[SubPLOs]],"&gt;=9",tbl_task10[[SubPLOs]:[SubPLOs]],"&lt;10")</f>
        <v>0</v>
      </c>
      <c r="DO188" s="41">
        <f>SUMIFS(tbl_task1[S114],tbl_task1[[SubPLOs]:[SubPLOs]],"&gt;=9",tbl_task1[[SubPLOs]:[SubPLOs]],"&lt;10")+SUMIFS(tbl_task2[S114],tbl_task2[[SubPLOs]:[SubPLOs]],"&gt;=9",tbl_task2[[SubPLOs]:[SubPLOs]],"&lt;10")+SUMIFS(tbl_task3[S114],tbl_task3[[SubPLOs]:[SubPLOs]],"&gt;=9",tbl_task3[[SubPLOs]:[SubPLOs]],"&lt;10")+SUMIFS(tbl_task4[S114],tbl_task4[[SubPLOs]:[SubPLOs]],"&gt;=9",tbl_task4[[SubPLOs]:[SubPLOs]],"&lt;10")+SUMIFS(tbl_task5[S114],tbl_task5[[SubPLOs]:[SubPLOs]],"&gt;=9",tbl_task5[[SubPLOs]:[SubPLOs]],"&lt;10")+SUMIFS(tbl_task6[S114],tbl_task6[[SubPLOs]:[SubPLOs]],"&gt;=9",tbl_task6[[SubPLOs]:[SubPLOs]],"&lt;10")+SUMIFS(tbl_task7[S114],tbl_task7[[SubPLOs]:[SubPLOs]],"&gt;=9",tbl_task7[[SubPLOs]:[SubPLOs]],"&lt;10")+SUMIFS(tbl_task8[S114],tbl_task8[[SubPLOs]:[SubPLOs]],"&gt;=9",tbl_task8[[SubPLOs]:[SubPLOs]],"&lt;10")+SUMIFS(tbl_task9[S114],tbl_task9[[SubPLOs]:[SubPLOs]],"&gt;=9",tbl_task9[[SubPLOs]:[SubPLOs]],"&lt;10")+SUMIFS(tbl_task10[S114],tbl_task10[[SubPLOs]:[SubPLOs]],"&gt;=9",tbl_task10[[SubPLOs]:[SubPLOs]],"&lt;10")</f>
        <v>0</v>
      </c>
      <c r="DP188" s="41">
        <f>SUMIFS(tbl_task1[S115],tbl_task1[[SubPLOs]:[SubPLOs]],"&gt;=9",tbl_task1[[SubPLOs]:[SubPLOs]],"&lt;10")+SUMIFS(tbl_task2[S115],tbl_task2[[SubPLOs]:[SubPLOs]],"&gt;=9",tbl_task2[[SubPLOs]:[SubPLOs]],"&lt;10")+SUMIFS(tbl_task3[S115],tbl_task3[[SubPLOs]:[SubPLOs]],"&gt;=9",tbl_task3[[SubPLOs]:[SubPLOs]],"&lt;10")+SUMIFS(tbl_task4[S115],tbl_task4[[SubPLOs]:[SubPLOs]],"&gt;=9",tbl_task4[[SubPLOs]:[SubPLOs]],"&lt;10")+SUMIFS(tbl_task5[S115],tbl_task5[[SubPLOs]:[SubPLOs]],"&gt;=9",tbl_task5[[SubPLOs]:[SubPLOs]],"&lt;10")+SUMIFS(tbl_task6[S115],tbl_task6[[SubPLOs]:[SubPLOs]],"&gt;=9",tbl_task6[[SubPLOs]:[SubPLOs]],"&lt;10")+SUMIFS(tbl_task7[S115],tbl_task7[[SubPLOs]:[SubPLOs]],"&gt;=9",tbl_task7[[SubPLOs]:[SubPLOs]],"&lt;10")+SUMIFS(tbl_task8[S115],tbl_task8[[SubPLOs]:[SubPLOs]],"&gt;=9",tbl_task8[[SubPLOs]:[SubPLOs]],"&lt;10")+SUMIFS(tbl_task9[S115],tbl_task9[[SubPLOs]:[SubPLOs]],"&gt;=9",tbl_task9[[SubPLOs]:[SubPLOs]],"&lt;10")+SUMIFS(tbl_task10[S115],tbl_task10[[SubPLOs]:[SubPLOs]],"&gt;=9",tbl_task10[[SubPLOs]:[SubPLOs]],"&lt;10")</f>
        <v>0</v>
      </c>
      <c r="DQ188" s="41">
        <f>SUMIFS(tbl_task1[S116],tbl_task1[[SubPLOs]:[SubPLOs]],"&gt;=9",tbl_task1[[SubPLOs]:[SubPLOs]],"&lt;10")+SUMIFS(tbl_task2[S116],tbl_task2[[SubPLOs]:[SubPLOs]],"&gt;=9",tbl_task2[[SubPLOs]:[SubPLOs]],"&lt;10")+SUMIFS(tbl_task3[S116],tbl_task3[[SubPLOs]:[SubPLOs]],"&gt;=9",tbl_task3[[SubPLOs]:[SubPLOs]],"&lt;10")+SUMIFS(tbl_task4[S116],tbl_task4[[SubPLOs]:[SubPLOs]],"&gt;=9",tbl_task4[[SubPLOs]:[SubPLOs]],"&lt;10")+SUMIFS(tbl_task5[S116],tbl_task5[[SubPLOs]:[SubPLOs]],"&gt;=9",tbl_task5[[SubPLOs]:[SubPLOs]],"&lt;10")+SUMIFS(tbl_task6[S116],tbl_task6[[SubPLOs]:[SubPLOs]],"&gt;=9",tbl_task6[[SubPLOs]:[SubPLOs]],"&lt;10")+SUMIFS(tbl_task7[S116],tbl_task7[[SubPLOs]:[SubPLOs]],"&gt;=9",tbl_task7[[SubPLOs]:[SubPLOs]],"&lt;10")+SUMIFS(tbl_task8[S116],tbl_task8[[SubPLOs]:[SubPLOs]],"&gt;=9",tbl_task8[[SubPLOs]:[SubPLOs]],"&lt;10")+SUMIFS(tbl_task9[S116],tbl_task9[[SubPLOs]:[SubPLOs]],"&gt;=9",tbl_task9[[SubPLOs]:[SubPLOs]],"&lt;10")+SUMIFS(tbl_task10[S116],tbl_task10[[SubPLOs]:[SubPLOs]],"&gt;=9",tbl_task10[[SubPLOs]:[SubPLOs]],"&lt;10")</f>
        <v>0</v>
      </c>
      <c r="DR188" s="41">
        <f>SUMIFS(tbl_task1[S117],tbl_task1[[SubPLOs]:[SubPLOs]],"&gt;=9",tbl_task1[[SubPLOs]:[SubPLOs]],"&lt;10")+SUMIFS(tbl_task2[S117],tbl_task2[[SubPLOs]:[SubPLOs]],"&gt;=9",tbl_task2[[SubPLOs]:[SubPLOs]],"&lt;10")+SUMIFS(tbl_task3[S117],tbl_task3[[SubPLOs]:[SubPLOs]],"&gt;=9",tbl_task3[[SubPLOs]:[SubPLOs]],"&lt;10")+SUMIFS(tbl_task4[S117],tbl_task4[[SubPLOs]:[SubPLOs]],"&gt;=9",tbl_task4[[SubPLOs]:[SubPLOs]],"&lt;10")+SUMIFS(tbl_task5[S117],tbl_task5[[SubPLOs]:[SubPLOs]],"&gt;=9",tbl_task5[[SubPLOs]:[SubPLOs]],"&lt;10")+SUMIFS(tbl_task6[S117],tbl_task6[[SubPLOs]:[SubPLOs]],"&gt;=9",tbl_task6[[SubPLOs]:[SubPLOs]],"&lt;10")+SUMIFS(tbl_task7[S117],tbl_task7[[SubPLOs]:[SubPLOs]],"&gt;=9",tbl_task7[[SubPLOs]:[SubPLOs]],"&lt;10")+SUMIFS(tbl_task8[S117],tbl_task8[[SubPLOs]:[SubPLOs]],"&gt;=9",tbl_task8[[SubPLOs]:[SubPLOs]],"&lt;10")+SUMIFS(tbl_task9[S117],tbl_task9[[SubPLOs]:[SubPLOs]],"&gt;=9",tbl_task9[[SubPLOs]:[SubPLOs]],"&lt;10")+SUMIFS(tbl_task10[S117],tbl_task10[[SubPLOs]:[SubPLOs]],"&gt;=9",tbl_task10[[SubPLOs]:[SubPLOs]],"&lt;10")</f>
        <v>0</v>
      </c>
      <c r="DS188" s="41">
        <f>SUMIFS(tbl_task1[S118],tbl_task1[[SubPLOs]:[SubPLOs]],"&gt;=9",tbl_task1[[SubPLOs]:[SubPLOs]],"&lt;10")+SUMIFS(tbl_task2[S118],tbl_task2[[SubPLOs]:[SubPLOs]],"&gt;=9",tbl_task2[[SubPLOs]:[SubPLOs]],"&lt;10")+SUMIFS(tbl_task3[S118],tbl_task3[[SubPLOs]:[SubPLOs]],"&gt;=9",tbl_task3[[SubPLOs]:[SubPLOs]],"&lt;10")+SUMIFS(tbl_task4[S118],tbl_task4[[SubPLOs]:[SubPLOs]],"&gt;=9",tbl_task4[[SubPLOs]:[SubPLOs]],"&lt;10")+SUMIFS(tbl_task5[S118],tbl_task5[[SubPLOs]:[SubPLOs]],"&gt;=9",tbl_task5[[SubPLOs]:[SubPLOs]],"&lt;10")+SUMIFS(tbl_task6[S118],tbl_task6[[SubPLOs]:[SubPLOs]],"&gt;=9",tbl_task6[[SubPLOs]:[SubPLOs]],"&lt;10")+SUMIFS(tbl_task7[S118],tbl_task7[[SubPLOs]:[SubPLOs]],"&gt;=9",tbl_task7[[SubPLOs]:[SubPLOs]],"&lt;10")+SUMIFS(tbl_task8[S118],tbl_task8[[SubPLOs]:[SubPLOs]],"&gt;=9",tbl_task8[[SubPLOs]:[SubPLOs]],"&lt;10")+SUMIFS(tbl_task9[S118],tbl_task9[[SubPLOs]:[SubPLOs]],"&gt;=9",tbl_task9[[SubPLOs]:[SubPLOs]],"&lt;10")+SUMIFS(tbl_task10[S118],tbl_task10[[SubPLOs]:[SubPLOs]],"&gt;=9",tbl_task10[[SubPLOs]:[SubPLOs]],"&lt;10")</f>
        <v>0</v>
      </c>
      <c r="DT188" s="41">
        <f>SUMIFS(tbl_task1[S119],tbl_task1[[SubPLOs]:[SubPLOs]],"&gt;=9",tbl_task1[[SubPLOs]:[SubPLOs]],"&lt;10")+SUMIFS(tbl_task2[S119],tbl_task2[[SubPLOs]:[SubPLOs]],"&gt;=9",tbl_task2[[SubPLOs]:[SubPLOs]],"&lt;10")+SUMIFS(tbl_task3[S119],tbl_task3[[SubPLOs]:[SubPLOs]],"&gt;=9",tbl_task3[[SubPLOs]:[SubPLOs]],"&lt;10")+SUMIFS(tbl_task4[S119],tbl_task4[[SubPLOs]:[SubPLOs]],"&gt;=9",tbl_task4[[SubPLOs]:[SubPLOs]],"&lt;10")+SUMIFS(tbl_task5[S119],tbl_task5[[SubPLOs]:[SubPLOs]],"&gt;=9",tbl_task5[[SubPLOs]:[SubPLOs]],"&lt;10")+SUMIFS(tbl_task6[S119],tbl_task6[[SubPLOs]:[SubPLOs]],"&gt;=9",tbl_task6[[SubPLOs]:[SubPLOs]],"&lt;10")+SUMIFS(tbl_task7[S119],tbl_task7[[SubPLOs]:[SubPLOs]],"&gt;=9",tbl_task7[[SubPLOs]:[SubPLOs]],"&lt;10")+SUMIFS(tbl_task8[S119],tbl_task8[[SubPLOs]:[SubPLOs]],"&gt;=9",tbl_task8[[SubPLOs]:[SubPLOs]],"&lt;10")+SUMIFS(tbl_task9[S119],tbl_task9[[SubPLOs]:[SubPLOs]],"&gt;=9",tbl_task9[[SubPLOs]:[SubPLOs]],"&lt;10")+SUMIFS(tbl_task10[S119],tbl_task10[[SubPLOs]:[SubPLOs]],"&gt;=9",tbl_task10[[SubPLOs]:[SubPLOs]],"&lt;10")</f>
        <v>0</v>
      </c>
      <c r="DU188" s="41">
        <f>SUMIFS(tbl_task1[S120],tbl_task1[[SubPLOs]:[SubPLOs]],"&gt;=9",tbl_task1[[SubPLOs]:[SubPLOs]],"&lt;10")+SUMIFS(tbl_task2[S120],tbl_task2[[SubPLOs]:[SubPLOs]],"&gt;=9",tbl_task2[[SubPLOs]:[SubPLOs]],"&lt;10")+SUMIFS(tbl_task3[S120],tbl_task3[[SubPLOs]:[SubPLOs]],"&gt;=9",tbl_task3[[SubPLOs]:[SubPLOs]],"&lt;10")+SUMIFS(tbl_task4[S120],tbl_task4[[SubPLOs]:[SubPLOs]],"&gt;=9",tbl_task4[[SubPLOs]:[SubPLOs]],"&lt;10")+SUMIFS(tbl_task5[S120],tbl_task5[[SubPLOs]:[SubPLOs]],"&gt;=9",tbl_task5[[SubPLOs]:[SubPLOs]],"&lt;10")+SUMIFS(tbl_task6[S120],tbl_task6[[SubPLOs]:[SubPLOs]],"&gt;=9",tbl_task6[[SubPLOs]:[SubPLOs]],"&lt;10")+SUMIFS(tbl_task7[S120],tbl_task7[[SubPLOs]:[SubPLOs]],"&gt;=9",tbl_task7[[SubPLOs]:[SubPLOs]],"&lt;10")+SUMIFS(tbl_task8[S120],tbl_task8[[SubPLOs]:[SubPLOs]],"&gt;=9",tbl_task8[[SubPLOs]:[SubPLOs]],"&lt;10")+SUMIFS(tbl_task9[S120],tbl_task9[[SubPLOs]:[SubPLOs]],"&gt;=9",tbl_task9[[SubPLOs]:[SubPLOs]],"&lt;10")+SUMIFS(tbl_task10[S120],tbl_task10[[SubPLOs]:[SubPLOs]],"&gt;=9",tbl_task10[[SubPLOs]:[SubPLOs]],"&lt;10")</f>
        <v>0</v>
      </c>
      <c r="DV188" s="41">
        <f>SUMIFS(tbl_task1[S121],tbl_task1[[SubPLOs]:[SubPLOs]],"&gt;=9",tbl_task1[[SubPLOs]:[SubPLOs]],"&lt;10")+SUMIFS(tbl_task2[S121],tbl_task2[[SubPLOs]:[SubPLOs]],"&gt;=9",tbl_task2[[SubPLOs]:[SubPLOs]],"&lt;10")+SUMIFS(tbl_task3[S121],tbl_task3[[SubPLOs]:[SubPLOs]],"&gt;=9",tbl_task3[[SubPLOs]:[SubPLOs]],"&lt;10")+SUMIFS(tbl_task4[S121],tbl_task4[[SubPLOs]:[SubPLOs]],"&gt;=9",tbl_task4[[SubPLOs]:[SubPLOs]],"&lt;10")+SUMIFS(tbl_task5[S121],tbl_task5[[SubPLOs]:[SubPLOs]],"&gt;=9",tbl_task5[[SubPLOs]:[SubPLOs]],"&lt;10")+SUMIFS(tbl_task6[S121],tbl_task6[[SubPLOs]:[SubPLOs]],"&gt;=9",tbl_task6[[SubPLOs]:[SubPLOs]],"&lt;10")+SUMIFS(tbl_task7[S121],tbl_task7[[SubPLOs]:[SubPLOs]],"&gt;=9",tbl_task7[[SubPLOs]:[SubPLOs]],"&lt;10")+SUMIFS(tbl_task8[S121],tbl_task8[[SubPLOs]:[SubPLOs]],"&gt;=9",tbl_task8[[SubPLOs]:[SubPLOs]],"&lt;10")+SUMIFS(tbl_task9[S121],tbl_task9[[SubPLOs]:[SubPLOs]],"&gt;=9",tbl_task9[[SubPLOs]:[SubPLOs]],"&lt;10")+SUMIFS(tbl_task10[S121],tbl_task10[[SubPLOs]:[SubPLOs]],"&gt;=9",tbl_task10[[SubPLOs]:[SubPLOs]],"&lt;10")</f>
        <v>0</v>
      </c>
      <c r="DW188" s="41">
        <f>SUMIFS(tbl_task1[S122],tbl_task1[[SubPLOs]:[SubPLOs]],"&gt;=9",tbl_task1[[SubPLOs]:[SubPLOs]],"&lt;10")+SUMIFS(tbl_task2[S122],tbl_task2[[SubPLOs]:[SubPLOs]],"&gt;=9",tbl_task2[[SubPLOs]:[SubPLOs]],"&lt;10")+SUMIFS(tbl_task3[S122],tbl_task3[[SubPLOs]:[SubPLOs]],"&gt;=9",tbl_task3[[SubPLOs]:[SubPLOs]],"&lt;10")+SUMIFS(tbl_task4[S122],tbl_task4[[SubPLOs]:[SubPLOs]],"&gt;=9",tbl_task4[[SubPLOs]:[SubPLOs]],"&lt;10")+SUMIFS(tbl_task5[S122],tbl_task5[[SubPLOs]:[SubPLOs]],"&gt;=9",tbl_task5[[SubPLOs]:[SubPLOs]],"&lt;10")+SUMIFS(tbl_task6[S122],tbl_task6[[SubPLOs]:[SubPLOs]],"&gt;=9",tbl_task6[[SubPLOs]:[SubPLOs]],"&lt;10")+SUMIFS(tbl_task7[S122],tbl_task7[[SubPLOs]:[SubPLOs]],"&gt;=9",tbl_task7[[SubPLOs]:[SubPLOs]],"&lt;10")+SUMIFS(tbl_task8[S122],tbl_task8[[SubPLOs]:[SubPLOs]],"&gt;=9",tbl_task8[[SubPLOs]:[SubPLOs]],"&lt;10")+SUMIFS(tbl_task9[S122],tbl_task9[[SubPLOs]:[SubPLOs]],"&gt;=9",tbl_task9[[SubPLOs]:[SubPLOs]],"&lt;10")+SUMIFS(tbl_task10[S122],tbl_task10[[SubPLOs]:[SubPLOs]],"&gt;=9",tbl_task10[[SubPLOs]:[SubPLOs]],"&lt;10")</f>
        <v>0</v>
      </c>
      <c r="DX188" s="41">
        <f>SUMIFS(tbl_task1[S123],tbl_task1[[SubPLOs]:[SubPLOs]],"&gt;=9",tbl_task1[[SubPLOs]:[SubPLOs]],"&lt;10")+SUMIFS(tbl_task2[S123],tbl_task2[[SubPLOs]:[SubPLOs]],"&gt;=9",tbl_task2[[SubPLOs]:[SubPLOs]],"&lt;10")+SUMIFS(tbl_task3[S123],tbl_task3[[SubPLOs]:[SubPLOs]],"&gt;=9",tbl_task3[[SubPLOs]:[SubPLOs]],"&lt;10")+SUMIFS(tbl_task4[S123],tbl_task4[[SubPLOs]:[SubPLOs]],"&gt;=9",tbl_task4[[SubPLOs]:[SubPLOs]],"&lt;10")+SUMIFS(tbl_task5[S123],tbl_task5[[SubPLOs]:[SubPLOs]],"&gt;=9",tbl_task5[[SubPLOs]:[SubPLOs]],"&lt;10")+SUMIFS(tbl_task6[S123],tbl_task6[[SubPLOs]:[SubPLOs]],"&gt;=9",tbl_task6[[SubPLOs]:[SubPLOs]],"&lt;10")+SUMIFS(tbl_task7[S123],tbl_task7[[SubPLOs]:[SubPLOs]],"&gt;=9",tbl_task7[[SubPLOs]:[SubPLOs]],"&lt;10")+SUMIFS(tbl_task8[S123],tbl_task8[[SubPLOs]:[SubPLOs]],"&gt;=9",tbl_task8[[SubPLOs]:[SubPLOs]],"&lt;10")+SUMIFS(tbl_task9[S123],tbl_task9[[SubPLOs]:[SubPLOs]],"&gt;=9",tbl_task9[[SubPLOs]:[SubPLOs]],"&lt;10")+SUMIFS(tbl_task10[S123],tbl_task10[[SubPLOs]:[SubPLOs]],"&gt;=9",tbl_task10[[SubPLOs]:[SubPLOs]],"&lt;10")</f>
        <v>0</v>
      </c>
      <c r="DY188" s="41">
        <f>SUMIFS(tbl_task1[S124],tbl_task1[[SubPLOs]:[SubPLOs]],"&gt;=9",tbl_task1[[SubPLOs]:[SubPLOs]],"&lt;10")+SUMIFS(tbl_task2[S124],tbl_task2[[SubPLOs]:[SubPLOs]],"&gt;=9",tbl_task2[[SubPLOs]:[SubPLOs]],"&lt;10")+SUMIFS(tbl_task3[S124],tbl_task3[[SubPLOs]:[SubPLOs]],"&gt;=9",tbl_task3[[SubPLOs]:[SubPLOs]],"&lt;10")+SUMIFS(tbl_task4[S124],tbl_task4[[SubPLOs]:[SubPLOs]],"&gt;=9",tbl_task4[[SubPLOs]:[SubPLOs]],"&lt;10")+SUMIFS(tbl_task5[S124],tbl_task5[[SubPLOs]:[SubPLOs]],"&gt;=9",tbl_task5[[SubPLOs]:[SubPLOs]],"&lt;10")+SUMIFS(tbl_task6[S124],tbl_task6[[SubPLOs]:[SubPLOs]],"&gt;=9",tbl_task6[[SubPLOs]:[SubPLOs]],"&lt;10")+SUMIFS(tbl_task7[S124],tbl_task7[[SubPLOs]:[SubPLOs]],"&gt;=9",tbl_task7[[SubPLOs]:[SubPLOs]],"&lt;10")+SUMIFS(tbl_task8[S124],tbl_task8[[SubPLOs]:[SubPLOs]],"&gt;=9",tbl_task8[[SubPLOs]:[SubPLOs]],"&lt;10")+SUMIFS(tbl_task9[S124],tbl_task9[[SubPLOs]:[SubPLOs]],"&gt;=9",tbl_task9[[SubPLOs]:[SubPLOs]],"&lt;10")+SUMIFS(tbl_task10[S124],tbl_task10[[SubPLOs]:[SubPLOs]],"&gt;=9",tbl_task10[[SubPLOs]:[SubPLOs]],"&lt;10")</f>
        <v>0</v>
      </c>
      <c r="DZ188" s="41">
        <f>SUMIFS(tbl_task1[S125],tbl_task1[[SubPLOs]:[SubPLOs]],"&gt;=9",tbl_task1[[SubPLOs]:[SubPLOs]],"&lt;10")+SUMIFS(tbl_task2[S125],tbl_task2[[SubPLOs]:[SubPLOs]],"&gt;=9",tbl_task2[[SubPLOs]:[SubPLOs]],"&lt;10")+SUMIFS(tbl_task3[S125],tbl_task3[[SubPLOs]:[SubPLOs]],"&gt;=9",tbl_task3[[SubPLOs]:[SubPLOs]],"&lt;10")+SUMIFS(tbl_task4[S125],tbl_task4[[SubPLOs]:[SubPLOs]],"&gt;=9",tbl_task4[[SubPLOs]:[SubPLOs]],"&lt;10")+SUMIFS(tbl_task5[S125],tbl_task5[[SubPLOs]:[SubPLOs]],"&gt;=9",tbl_task5[[SubPLOs]:[SubPLOs]],"&lt;10")+SUMIFS(tbl_task6[S125],tbl_task6[[SubPLOs]:[SubPLOs]],"&gt;=9",tbl_task6[[SubPLOs]:[SubPLOs]],"&lt;10")+SUMIFS(tbl_task7[S125],tbl_task7[[SubPLOs]:[SubPLOs]],"&gt;=9",tbl_task7[[SubPLOs]:[SubPLOs]],"&lt;10")+SUMIFS(tbl_task8[S125],tbl_task8[[SubPLOs]:[SubPLOs]],"&gt;=9",tbl_task8[[SubPLOs]:[SubPLOs]],"&lt;10")+SUMIFS(tbl_task9[S125],tbl_task9[[SubPLOs]:[SubPLOs]],"&gt;=9",tbl_task9[[SubPLOs]:[SubPLOs]],"&lt;10")+SUMIFS(tbl_task10[S125],tbl_task10[[SubPLOs]:[SubPLOs]],"&gt;=9",tbl_task10[[SubPLOs]:[SubPLOs]],"&lt;10")</f>
        <v>0</v>
      </c>
      <c r="EA188" s="41">
        <f>SUMIFS(tbl_task1[S126],tbl_task1[[SubPLOs]:[SubPLOs]],"&gt;=9",tbl_task1[[SubPLOs]:[SubPLOs]],"&lt;10")+SUMIFS(tbl_task2[S126],tbl_task2[[SubPLOs]:[SubPLOs]],"&gt;=9",tbl_task2[[SubPLOs]:[SubPLOs]],"&lt;10")+SUMIFS(tbl_task3[S126],tbl_task3[[SubPLOs]:[SubPLOs]],"&gt;=9",tbl_task3[[SubPLOs]:[SubPLOs]],"&lt;10")+SUMIFS(tbl_task4[S126],tbl_task4[[SubPLOs]:[SubPLOs]],"&gt;=9",tbl_task4[[SubPLOs]:[SubPLOs]],"&lt;10")+SUMIFS(tbl_task5[S126],tbl_task5[[SubPLOs]:[SubPLOs]],"&gt;=9",tbl_task5[[SubPLOs]:[SubPLOs]],"&lt;10")+SUMIFS(tbl_task6[S126],tbl_task6[[SubPLOs]:[SubPLOs]],"&gt;=9",tbl_task6[[SubPLOs]:[SubPLOs]],"&lt;10")+SUMIFS(tbl_task7[S126],tbl_task7[[SubPLOs]:[SubPLOs]],"&gt;=9",tbl_task7[[SubPLOs]:[SubPLOs]],"&lt;10")+SUMIFS(tbl_task8[S126],tbl_task8[[SubPLOs]:[SubPLOs]],"&gt;=9",tbl_task8[[SubPLOs]:[SubPLOs]],"&lt;10")+SUMIFS(tbl_task9[S126],tbl_task9[[SubPLOs]:[SubPLOs]],"&gt;=9",tbl_task9[[SubPLOs]:[SubPLOs]],"&lt;10")+SUMIFS(tbl_task10[S126],tbl_task10[[SubPLOs]:[SubPLOs]],"&gt;=9",tbl_task10[[SubPLOs]:[SubPLOs]],"&lt;10")</f>
        <v>0</v>
      </c>
      <c r="EB188" s="41">
        <f>SUMIFS(tbl_task1[S127],tbl_task1[[SubPLOs]:[SubPLOs]],"&gt;=9",tbl_task1[[SubPLOs]:[SubPLOs]],"&lt;10")+SUMIFS(tbl_task2[S127],tbl_task2[[SubPLOs]:[SubPLOs]],"&gt;=9",tbl_task2[[SubPLOs]:[SubPLOs]],"&lt;10")+SUMIFS(tbl_task3[S127],tbl_task3[[SubPLOs]:[SubPLOs]],"&gt;=9",tbl_task3[[SubPLOs]:[SubPLOs]],"&lt;10")+SUMIFS(tbl_task4[S127],tbl_task4[[SubPLOs]:[SubPLOs]],"&gt;=9",tbl_task4[[SubPLOs]:[SubPLOs]],"&lt;10")+SUMIFS(tbl_task5[S127],tbl_task5[[SubPLOs]:[SubPLOs]],"&gt;=9",tbl_task5[[SubPLOs]:[SubPLOs]],"&lt;10")+SUMIFS(tbl_task6[S127],tbl_task6[[SubPLOs]:[SubPLOs]],"&gt;=9",tbl_task6[[SubPLOs]:[SubPLOs]],"&lt;10")+SUMIFS(tbl_task7[S127],tbl_task7[[SubPLOs]:[SubPLOs]],"&gt;=9",tbl_task7[[SubPLOs]:[SubPLOs]],"&lt;10")+SUMIFS(tbl_task8[S127],tbl_task8[[SubPLOs]:[SubPLOs]],"&gt;=9",tbl_task8[[SubPLOs]:[SubPLOs]],"&lt;10")+SUMIFS(tbl_task9[S127],tbl_task9[[SubPLOs]:[SubPLOs]],"&gt;=9",tbl_task9[[SubPLOs]:[SubPLOs]],"&lt;10")+SUMIFS(tbl_task10[S127],tbl_task10[[SubPLOs]:[SubPLOs]],"&gt;=9",tbl_task10[[SubPLOs]:[SubPLOs]],"&lt;10")</f>
        <v>0</v>
      </c>
      <c r="EC188" s="41">
        <f>SUMIFS(tbl_task1[S128],tbl_task1[[SubPLOs]:[SubPLOs]],"&gt;=9",tbl_task1[[SubPLOs]:[SubPLOs]],"&lt;10")+SUMIFS(tbl_task2[S128],tbl_task2[[SubPLOs]:[SubPLOs]],"&gt;=9",tbl_task2[[SubPLOs]:[SubPLOs]],"&lt;10")+SUMIFS(tbl_task3[S128],tbl_task3[[SubPLOs]:[SubPLOs]],"&gt;=9",tbl_task3[[SubPLOs]:[SubPLOs]],"&lt;10")+SUMIFS(tbl_task4[S128],tbl_task4[[SubPLOs]:[SubPLOs]],"&gt;=9",tbl_task4[[SubPLOs]:[SubPLOs]],"&lt;10")+SUMIFS(tbl_task5[S128],tbl_task5[[SubPLOs]:[SubPLOs]],"&gt;=9",tbl_task5[[SubPLOs]:[SubPLOs]],"&lt;10")+SUMIFS(tbl_task6[S128],tbl_task6[[SubPLOs]:[SubPLOs]],"&gt;=9",tbl_task6[[SubPLOs]:[SubPLOs]],"&lt;10")+SUMIFS(tbl_task7[S128],tbl_task7[[SubPLOs]:[SubPLOs]],"&gt;=9",tbl_task7[[SubPLOs]:[SubPLOs]],"&lt;10")+SUMIFS(tbl_task8[S128],tbl_task8[[SubPLOs]:[SubPLOs]],"&gt;=9",tbl_task8[[SubPLOs]:[SubPLOs]],"&lt;10")+SUMIFS(tbl_task9[S128],tbl_task9[[SubPLOs]:[SubPLOs]],"&gt;=9",tbl_task9[[SubPLOs]:[SubPLOs]],"&lt;10")+SUMIFS(tbl_task10[S128],tbl_task10[[SubPLOs]:[SubPLOs]],"&gt;=9",tbl_task10[[SubPLOs]:[SubPLOs]],"&lt;10")</f>
        <v>0</v>
      </c>
      <c r="ED188" s="41">
        <f>SUMIFS(tbl_task1[S129],tbl_task1[[SubPLOs]:[SubPLOs]],"&gt;=9",tbl_task1[[SubPLOs]:[SubPLOs]],"&lt;10")+SUMIFS(tbl_task2[S129],tbl_task2[[SubPLOs]:[SubPLOs]],"&gt;=9",tbl_task2[[SubPLOs]:[SubPLOs]],"&lt;10")+SUMIFS(tbl_task3[S129],tbl_task3[[SubPLOs]:[SubPLOs]],"&gt;=9",tbl_task3[[SubPLOs]:[SubPLOs]],"&lt;10")+SUMIFS(tbl_task4[S129],tbl_task4[[SubPLOs]:[SubPLOs]],"&gt;=9",tbl_task4[[SubPLOs]:[SubPLOs]],"&lt;10")+SUMIFS(tbl_task5[S129],tbl_task5[[SubPLOs]:[SubPLOs]],"&gt;=9",tbl_task5[[SubPLOs]:[SubPLOs]],"&lt;10")+SUMIFS(tbl_task6[S129],tbl_task6[[SubPLOs]:[SubPLOs]],"&gt;=9",tbl_task6[[SubPLOs]:[SubPLOs]],"&lt;10")+SUMIFS(tbl_task7[S129],tbl_task7[[SubPLOs]:[SubPLOs]],"&gt;=9",tbl_task7[[SubPLOs]:[SubPLOs]],"&lt;10")+SUMIFS(tbl_task8[S129],tbl_task8[[SubPLOs]:[SubPLOs]],"&gt;=9",tbl_task8[[SubPLOs]:[SubPLOs]],"&lt;10")+SUMIFS(tbl_task9[S129],tbl_task9[[SubPLOs]:[SubPLOs]],"&gt;=9",tbl_task9[[SubPLOs]:[SubPLOs]],"&lt;10")+SUMIFS(tbl_task10[S129],tbl_task10[[SubPLOs]:[SubPLOs]],"&gt;=9",tbl_task10[[SubPLOs]:[SubPLOs]],"&lt;10")</f>
        <v>0</v>
      </c>
      <c r="EE188" s="41">
        <f>SUMIFS(tbl_task1[S130],tbl_task1[[SubPLOs]:[SubPLOs]],"&gt;=9",tbl_task1[[SubPLOs]:[SubPLOs]],"&lt;10")+SUMIFS(tbl_task2[S130],tbl_task2[[SubPLOs]:[SubPLOs]],"&gt;=9",tbl_task2[[SubPLOs]:[SubPLOs]],"&lt;10")+SUMIFS(tbl_task3[S130],tbl_task3[[SubPLOs]:[SubPLOs]],"&gt;=9",tbl_task3[[SubPLOs]:[SubPLOs]],"&lt;10")+SUMIFS(tbl_task4[S130],tbl_task4[[SubPLOs]:[SubPLOs]],"&gt;=9",tbl_task4[[SubPLOs]:[SubPLOs]],"&lt;10")+SUMIFS(tbl_task5[S130],tbl_task5[[SubPLOs]:[SubPLOs]],"&gt;=9",tbl_task5[[SubPLOs]:[SubPLOs]],"&lt;10")+SUMIFS(tbl_task6[S130],tbl_task6[[SubPLOs]:[SubPLOs]],"&gt;=9",tbl_task6[[SubPLOs]:[SubPLOs]],"&lt;10")+SUMIFS(tbl_task7[S130],tbl_task7[[SubPLOs]:[SubPLOs]],"&gt;=9",tbl_task7[[SubPLOs]:[SubPLOs]],"&lt;10")+SUMIFS(tbl_task8[S130],tbl_task8[[SubPLOs]:[SubPLOs]],"&gt;=9",tbl_task8[[SubPLOs]:[SubPLOs]],"&lt;10")+SUMIFS(tbl_task9[S130],tbl_task9[[SubPLOs]:[SubPLOs]],"&gt;=9",tbl_task9[[SubPLOs]:[SubPLOs]],"&lt;10")+SUMIFS(tbl_task10[S130],tbl_task10[[SubPLOs]:[SubPLOs]],"&gt;=9",tbl_task10[[SubPLOs]:[SubPLOs]],"&lt;10")</f>
        <v>0</v>
      </c>
      <c r="EF188" s="41">
        <f>SUMIFS(tbl_task1[S131],tbl_task1[[SubPLOs]:[SubPLOs]],"&gt;=9",tbl_task1[[SubPLOs]:[SubPLOs]],"&lt;10")+SUMIFS(tbl_task2[S131],tbl_task2[[SubPLOs]:[SubPLOs]],"&gt;=9",tbl_task2[[SubPLOs]:[SubPLOs]],"&lt;10")+SUMIFS(tbl_task3[S131],tbl_task3[[SubPLOs]:[SubPLOs]],"&gt;=9",tbl_task3[[SubPLOs]:[SubPLOs]],"&lt;10")+SUMIFS(tbl_task4[S131],tbl_task4[[SubPLOs]:[SubPLOs]],"&gt;=9",tbl_task4[[SubPLOs]:[SubPLOs]],"&lt;10")+SUMIFS(tbl_task5[S131],tbl_task5[[SubPLOs]:[SubPLOs]],"&gt;=9",tbl_task5[[SubPLOs]:[SubPLOs]],"&lt;10")+SUMIFS(tbl_task6[S131],tbl_task6[[SubPLOs]:[SubPLOs]],"&gt;=9",tbl_task6[[SubPLOs]:[SubPLOs]],"&lt;10")+SUMIFS(tbl_task7[S131],tbl_task7[[SubPLOs]:[SubPLOs]],"&gt;=9",tbl_task7[[SubPLOs]:[SubPLOs]],"&lt;10")+SUMIFS(tbl_task8[S131],tbl_task8[[SubPLOs]:[SubPLOs]],"&gt;=9",tbl_task8[[SubPLOs]:[SubPLOs]],"&lt;10")+SUMIFS(tbl_task9[S131],tbl_task9[[SubPLOs]:[SubPLOs]],"&gt;=9",tbl_task9[[SubPLOs]:[SubPLOs]],"&lt;10")+SUMIFS(tbl_task10[S131],tbl_task10[[SubPLOs]:[SubPLOs]],"&gt;=9",tbl_task10[[SubPLOs]:[SubPLOs]],"&lt;10")</f>
        <v>0</v>
      </c>
      <c r="EG188" s="41">
        <f>SUMIFS(tbl_task1[S132],tbl_task1[[SubPLOs]:[SubPLOs]],"&gt;=9",tbl_task1[[SubPLOs]:[SubPLOs]],"&lt;10")+SUMIFS(tbl_task2[S132],tbl_task2[[SubPLOs]:[SubPLOs]],"&gt;=9",tbl_task2[[SubPLOs]:[SubPLOs]],"&lt;10")+SUMIFS(tbl_task3[S132],tbl_task3[[SubPLOs]:[SubPLOs]],"&gt;=9",tbl_task3[[SubPLOs]:[SubPLOs]],"&lt;10")+SUMIFS(tbl_task4[S132],tbl_task4[[SubPLOs]:[SubPLOs]],"&gt;=9",tbl_task4[[SubPLOs]:[SubPLOs]],"&lt;10")+SUMIFS(tbl_task5[S132],tbl_task5[[SubPLOs]:[SubPLOs]],"&gt;=9",tbl_task5[[SubPLOs]:[SubPLOs]],"&lt;10")+SUMIFS(tbl_task6[S132],tbl_task6[[SubPLOs]:[SubPLOs]],"&gt;=9",tbl_task6[[SubPLOs]:[SubPLOs]],"&lt;10")+SUMIFS(tbl_task7[S132],tbl_task7[[SubPLOs]:[SubPLOs]],"&gt;=9",tbl_task7[[SubPLOs]:[SubPLOs]],"&lt;10")+SUMIFS(tbl_task8[S132],tbl_task8[[SubPLOs]:[SubPLOs]],"&gt;=9",tbl_task8[[SubPLOs]:[SubPLOs]],"&lt;10")+SUMIFS(tbl_task9[S132],tbl_task9[[SubPLOs]:[SubPLOs]],"&gt;=9",tbl_task9[[SubPLOs]:[SubPLOs]],"&lt;10")+SUMIFS(tbl_task10[S132],tbl_task10[[SubPLOs]:[SubPLOs]],"&gt;=9",tbl_task10[[SubPLOs]:[SubPLOs]],"&lt;10")</f>
        <v>0</v>
      </c>
      <c r="EH188" s="41">
        <f>SUMIFS(tbl_task1[S133],tbl_task1[[SubPLOs]:[SubPLOs]],"&gt;=9",tbl_task1[[SubPLOs]:[SubPLOs]],"&lt;10")+SUMIFS(tbl_task2[S133],tbl_task2[[SubPLOs]:[SubPLOs]],"&gt;=9",tbl_task2[[SubPLOs]:[SubPLOs]],"&lt;10")+SUMIFS(tbl_task3[S133],tbl_task3[[SubPLOs]:[SubPLOs]],"&gt;=9",tbl_task3[[SubPLOs]:[SubPLOs]],"&lt;10")+SUMIFS(tbl_task4[S133],tbl_task4[[SubPLOs]:[SubPLOs]],"&gt;=9",tbl_task4[[SubPLOs]:[SubPLOs]],"&lt;10")+SUMIFS(tbl_task5[S133],tbl_task5[[SubPLOs]:[SubPLOs]],"&gt;=9",tbl_task5[[SubPLOs]:[SubPLOs]],"&lt;10")+SUMIFS(tbl_task6[S133],tbl_task6[[SubPLOs]:[SubPLOs]],"&gt;=9",tbl_task6[[SubPLOs]:[SubPLOs]],"&lt;10")+SUMIFS(tbl_task7[S133],tbl_task7[[SubPLOs]:[SubPLOs]],"&gt;=9",tbl_task7[[SubPLOs]:[SubPLOs]],"&lt;10")+SUMIFS(tbl_task8[S133],tbl_task8[[SubPLOs]:[SubPLOs]],"&gt;=9",tbl_task8[[SubPLOs]:[SubPLOs]],"&lt;10")+SUMIFS(tbl_task9[S133],tbl_task9[[SubPLOs]:[SubPLOs]],"&gt;=9",tbl_task9[[SubPLOs]:[SubPLOs]],"&lt;10")+SUMIFS(tbl_task10[S133],tbl_task10[[SubPLOs]:[SubPLOs]],"&gt;=9",tbl_task10[[SubPLOs]:[SubPLOs]],"&lt;10")</f>
        <v>0</v>
      </c>
      <c r="EI188" s="41">
        <f>SUMIFS(tbl_task1[S134],tbl_task1[[SubPLOs]:[SubPLOs]],"&gt;=9",tbl_task1[[SubPLOs]:[SubPLOs]],"&lt;10")+SUMIFS(tbl_task2[S134],tbl_task2[[SubPLOs]:[SubPLOs]],"&gt;=9",tbl_task2[[SubPLOs]:[SubPLOs]],"&lt;10")+SUMIFS(tbl_task3[S134],tbl_task3[[SubPLOs]:[SubPLOs]],"&gt;=9",tbl_task3[[SubPLOs]:[SubPLOs]],"&lt;10")+SUMIFS(tbl_task4[S134],tbl_task4[[SubPLOs]:[SubPLOs]],"&gt;=9",tbl_task4[[SubPLOs]:[SubPLOs]],"&lt;10")+SUMIFS(tbl_task5[S134],tbl_task5[[SubPLOs]:[SubPLOs]],"&gt;=9",tbl_task5[[SubPLOs]:[SubPLOs]],"&lt;10")+SUMIFS(tbl_task6[S134],tbl_task6[[SubPLOs]:[SubPLOs]],"&gt;=9",tbl_task6[[SubPLOs]:[SubPLOs]],"&lt;10")+SUMIFS(tbl_task7[S134],tbl_task7[[SubPLOs]:[SubPLOs]],"&gt;=9",tbl_task7[[SubPLOs]:[SubPLOs]],"&lt;10")+SUMIFS(tbl_task8[S134],tbl_task8[[SubPLOs]:[SubPLOs]],"&gt;=9",tbl_task8[[SubPLOs]:[SubPLOs]],"&lt;10")+SUMIFS(tbl_task9[S134],tbl_task9[[SubPLOs]:[SubPLOs]],"&gt;=9",tbl_task9[[SubPLOs]:[SubPLOs]],"&lt;10")+SUMIFS(tbl_task10[S134],tbl_task10[[SubPLOs]:[SubPLOs]],"&gt;=9",tbl_task10[[SubPLOs]:[SubPLOs]],"&lt;10")</f>
        <v>0</v>
      </c>
      <c r="EJ188" s="41">
        <f>SUMIFS(tbl_task1[S135],tbl_task1[[SubPLOs]:[SubPLOs]],"&gt;=9",tbl_task1[[SubPLOs]:[SubPLOs]],"&lt;10")+SUMIFS(tbl_task2[S135],tbl_task2[[SubPLOs]:[SubPLOs]],"&gt;=9",tbl_task2[[SubPLOs]:[SubPLOs]],"&lt;10")+SUMIFS(tbl_task3[S135],tbl_task3[[SubPLOs]:[SubPLOs]],"&gt;=9",tbl_task3[[SubPLOs]:[SubPLOs]],"&lt;10")+SUMIFS(tbl_task4[S135],tbl_task4[[SubPLOs]:[SubPLOs]],"&gt;=9",tbl_task4[[SubPLOs]:[SubPLOs]],"&lt;10")+SUMIFS(tbl_task5[S135],tbl_task5[[SubPLOs]:[SubPLOs]],"&gt;=9",tbl_task5[[SubPLOs]:[SubPLOs]],"&lt;10")+SUMIFS(tbl_task6[S135],tbl_task6[[SubPLOs]:[SubPLOs]],"&gt;=9",tbl_task6[[SubPLOs]:[SubPLOs]],"&lt;10")+SUMIFS(tbl_task7[S135],tbl_task7[[SubPLOs]:[SubPLOs]],"&gt;=9",tbl_task7[[SubPLOs]:[SubPLOs]],"&lt;10")+SUMIFS(tbl_task8[S135],tbl_task8[[SubPLOs]:[SubPLOs]],"&gt;=9",tbl_task8[[SubPLOs]:[SubPLOs]],"&lt;10")+SUMIFS(tbl_task9[S135],tbl_task9[[SubPLOs]:[SubPLOs]],"&gt;=9",tbl_task9[[SubPLOs]:[SubPLOs]],"&lt;10")+SUMIFS(tbl_task10[S135],tbl_task10[[SubPLOs]:[SubPLOs]],"&gt;=9",tbl_task10[[SubPLOs]:[SubPLOs]],"&lt;10")</f>
        <v>0</v>
      </c>
      <c r="EK188" s="41">
        <f>SUMIFS(tbl_task1[S136],tbl_task1[[SubPLOs]:[SubPLOs]],"&gt;=9",tbl_task1[[SubPLOs]:[SubPLOs]],"&lt;10")+SUMIFS(tbl_task2[S136],tbl_task2[[SubPLOs]:[SubPLOs]],"&gt;=9",tbl_task2[[SubPLOs]:[SubPLOs]],"&lt;10")+SUMIFS(tbl_task3[S136],tbl_task3[[SubPLOs]:[SubPLOs]],"&gt;=9",tbl_task3[[SubPLOs]:[SubPLOs]],"&lt;10")+SUMIFS(tbl_task4[S136],tbl_task4[[SubPLOs]:[SubPLOs]],"&gt;=9",tbl_task4[[SubPLOs]:[SubPLOs]],"&lt;10")+SUMIFS(tbl_task5[S136],tbl_task5[[SubPLOs]:[SubPLOs]],"&gt;=9",tbl_task5[[SubPLOs]:[SubPLOs]],"&lt;10")+SUMIFS(tbl_task6[S136],tbl_task6[[SubPLOs]:[SubPLOs]],"&gt;=9",tbl_task6[[SubPLOs]:[SubPLOs]],"&lt;10")+SUMIFS(tbl_task7[S136],tbl_task7[[SubPLOs]:[SubPLOs]],"&gt;=9",tbl_task7[[SubPLOs]:[SubPLOs]],"&lt;10")+SUMIFS(tbl_task8[S136],tbl_task8[[SubPLOs]:[SubPLOs]],"&gt;=9",tbl_task8[[SubPLOs]:[SubPLOs]],"&lt;10")+SUMIFS(tbl_task9[S136],tbl_task9[[SubPLOs]:[SubPLOs]],"&gt;=9",tbl_task9[[SubPLOs]:[SubPLOs]],"&lt;10")+SUMIFS(tbl_task10[S136],tbl_task10[[SubPLOs]:[SubPLOs]],"&gt;=9",tbl_task10[[SubPLOs]:[SubPLOs]],"&lt;10")</f>
        <v>0</v>
      </c>
      <c r="EL188" s="41">
        <f>SUMIFS(tbl_task1[S137],tbl_task1[[SubPLOs]:[SubPLOs]],"&gt;=9",tbl_task1[[SubPLOs]:[SubPLOs]],"&lt;10")+SUMIFS(tbl_task2[S137],tbl_task2[[SubPLOs]:[SubPLOs]],"&gt;=9",tbl_task2[[SubPLOs]:[SubPLOs]],"&lt;10")+SUMIFS(tbl_task3[S137],tbl_task3[[SubPLOs]:[SubPLOs]],"&gt;=9",tbl_task3[[SubPLOs]:[SubPLOs]],"&lt;10")+SUMIFS(tbl_task4[S137],tbl_task4[[SubPLOs]:[SubPLOs]],"&gt;=9",tbl_task4[[SubPLOs]:[SubPLOs]],"&lt;10")+SUMIFS(tbl_task5[S137],tbl_task5[[SubPLOs]:[SubPLOs]],"&gt;=9",tbl_task5[[SubPLOs]:[SubPLOs]],"&lt;10")+SUMIFS(tbl_task6[S137],tbl_task6[[SubPLOs]:[SubPLOs]],"&gt;=9",tbl_task6[[SubPLOs]:[SubPLOs]],"&lt;10")+SUMIFS(tbl_task7[S137],tbl_task7[[SubPLOs]:[SubPLOs]],"&gt;=9",tbl_task7[[SubPLOs]:[SubPLOs]],"&lt;10")+SUMIFS(tbl_task8[S137],tbl_task8[[SubPLOs]:[SubPLOs]],"&gt;=9",tbl_task8[[SubPLOs]:[SubPLOs]],"&lt;10")+SUMIFS(tbl_task9[S137],tbl_task9[[SubPLOs]:[SubPLOs]],"&gt;=9",tbl_task9[[SubPLOs]:[SubPLOs]],"&lt;10")+SUMIFS(tbl_task10[S137],tbl_task10[[SubPLOs]:[SubPLOs]],"&gt;=9",tbl_task10[[SubPLOs]:[SubPLOs]],"&lt;10")</f>
        <v>0</v>
      </c>
      <c r="EM188" s="41">
        <f>SUMIFS(tbl_task1[S138],tbl_task1[[SubPLOs]:[SubPLOs]],"&gt;=9",tbl_task1[[SubPLOs]:[SubPLOs]],"&lt;10")+SUMIFS(tbl_task2[S138],tbl_task2[[SubPLOs]:[SubPLOs]],"&gt;=9",tbl_task2[[SubPLOs]:[SubPLOs]],"&lt;10")+SUMIFS(tbl_task3[S138],tbl_task3[[SubPLOs]:[SubPLOs]],"&gt;=9",tbl_task3[[SubPLOs]:[SubPLOs]],"&lt;10")+SUMIFS(tbl_task4[S138],tbl_task4[[SubPLOs]:[SubPLOs]],"&gt;=9",tbl_task4[[SubPLOs]:[SubPLOs]],"&lt;10")+SUMIFS(tbl_task5[S138],tbl_task5[[SubPLOs]:[SubPLOs]],"&gt;=9",tbl_task5[[SubPLOs]:[SubPLOs]],"&lt;10")+SUMIFS(tbl_task6[S138],tbl_task6[[SubPLOs]:[SubPLOs]],"&gt;=9",tbl_task6[[SubPLOs]:[SubPLOs]],"&lt;10")+SUMIFS(tbl_task7[S138],tbl_task7[[SubPLOs]:[SubPLOs]],"&gt;=9",tbl_task7[[SubPLOs]:[SubPLOs]],"&lt;10")+SUMIFS(tbl_task8[S138],tbl_task8[[SubPLOs]:[SubPLOs]],"&gt;=9",tbl_task8[[SubPLOs]:[SubPLOs]],"&lt;10")+SUMIFS(tbl_task9[S138],tbl_task9[[SubPLOs]:[SubPLOs]],"&gt;=9",tbl_task9[[SubPLOs]:[SubPLOs]],"&lt;10")+SUMIFS(tbl_task10[S138],tbl_task10[[SubPLOs]:[SubPLOs]],"&gt;=9",tbl_task10[[SubPLOs]:[SubPLOs]],"&lt;10")</f>
        <v>0</v>
      </c>
      <c r="EN188" s="41">
        <f>SUMIFS(tbl_task1[S139],tbl_task1[[SubPLOs]:[SubPLOs]],"&gt;=9",tbl_task1[[SubPLOs]:[SubPLOs]],"&lt;10")+SUMIFS(tbl_task2[S139],tbl_task2[[SubPLOs]:[SubPLOs]],"&gt;=9",tbl_task2[[SubPLOs]:[SubPLOs]],"&lt;10")+SUMIFS(tbl_task3[S139],tbl_task3[[SubPLOs]:[SubPLOs]],"&gt;=9",tbl_task3[[SubPLOs]:[SubPLOs]],"&lt;10")+SUMIFS(tbl_task4[S139],tbl_task4[[SubPLOs]:[SubPLOs]],"&gt;=9",tbl_task4[[SubPLOs]:[SubPLOs]],"&lt;10")+SUMIFS(tbl_task5[S139],tbl_task5[[SubPLOs]:[SubPLOs]],"&gt;=9",tbl_task5[[SubPLOs]:[SubPLOs]],"&lt;10")+SUMIFS(tbl_task6[S139],tbl_task6[[SubPLOs]:[SubPLOs]],"&gt;=9",tbl_task6[[SubPLOs]:[SubPLOs]],"&lt;10")+SUMIFS(tbl_task7[S139],tbl_task7[[SubPLOs]:[SubPLOs]],"&gt;=9",tbl_task7[[SubPLOs]:[SubPLOs]],"&lt;10")+SUMIFS(tbl_task8[S139],tbl_task8[[SubPLOs]:[SubPLOs]],"&gt;=9",tbl_task8[[SubPLOs]:[SubPLOs]],"&lt;10")+SUMIFS(tbl_task9[S139],tbl_task9[[SubPLOs]:[SubPLOs]],"&gt;=9",tbl_task9[[SubPLOs]:[SubPLOs]],"&lt;10")+SUMIFS(tbl_task10[S139],tbl_task10[[SubPLOs]:[SubPLOs]],"&gt;=9",tbl_task10[[SubPLOs]:[SubPLOs]],"&lt;10")</f>
        <v>0</v>
      </c>
      <c r="EO188" s="41">
        <f>SUMIFS(tbl_task1[S140],tbl_task1[[SubPLOs]:[SubPLOs]],"&gt;=9",tbl_task1[[SubPLOs]:[SubPLOs]],"&lt;10")+SUMIFS(tbl_task2[S140],tbl_task2[[SubPLOs]:[SubPLOs]],"&gt;=9",tbl_task2[[SubPLOs]:[SubPLOs]],"&lt;10")+SUMIFS(tbl_task3[S140],tbl_task3[[SubPLOs]:[SubPLOs]],"&gt;=9",tbl_task3[[SubPLOs]:[SubPLOs]],"&lt;10")+SUMIFS(tbl_task4[S140],tbl_task4[[SubPLOs]:[SubPLOs]],"&gt;=9",tbl_task4[[SubPLOs]:[SubPLOs]],"&lt;10")+SUMIFS(tbl_task5[S140],tbl_task5[[SubPLOs]:[SubPLOs]],"&gt;=9",tbl_task5[[SubPLOs]:[SubPLOs]],"&lt;10")+SUMIFS(tbl_task6[S140],tbl_task6[[SubPLOs]:[SubPLOs]],"&gt;=9",tbl_task6[[SubPLOs]:[SubPLOs]],"&lt;10")+SUMIFS(tbl_task7[S140],tbl_task7[[SubPLOs]:[SubPLOs]],"&gt;=9",tbl_task7[[SubPLOs]:[SubPLOs]],"&lt;10")+SUMIFS(tbl_task8[S140],tbl_task8[[SubPLOs]:[SubPLOs]],"&gt;=9",tbl_task8[[SubPLOs]:[SubPLOs]],"&lt;10")+SUMIFS(tbl_task9[S140],tbl_task9[[SubPLOs]:[SubPLOs]],"&gt;=9",tbl_task9[[SubPLOs]:[SubPLOs]],"&lt;10")+SUMIFS(tbl_task10[S140],tbl_task10[[SubPLOs]:[SubPLOs]],"&gt;=9",tbl_task10[[SubPLOs]:[SubPLOs]],"&lt;10")</f>
        <v>0</v>
      </c>
      <c r="EP188" s="41">
        <f>SUMIFS(tbl_task1[S141],tbl_task1[[SubPLOs]:[SubPLOs]],"&gt;=9",tbl_task1[[SubPLOs]:[SubPLOs]],"&lt;10")+SUMIFS(tbl_task2[S141],tbl_task2[[SubPLOs]:[SubPLOs]],"&gt;=9",tbl_task2[[SubPLOs]:[SubPLOs]],"&lt;10")+SUMIFS(tbl_task3[S141],tbl_task3[[SubPLOs]:[SubPLOs]],"&gt;=9",tbl_task3[[SubPLOs]:[SubPLOs]],"&lt;10")+SUMIFS(tbl_task4[S141],tbl_task4[[SubPLOs]:[SubPLOs]],"&gt;=9",tbl_task4[[SubPLOs]:[SubPLOs]],"&lt;10")+SUMIFS(tbl_task5[S141],tbl_task5[[SubPLOs]:[SubPLOs]],"&gt;=9",tbl_task5[[SubPLOs]:[SubPLOs]],"&lt;10")+SUMIFS(tbl_task6[S141],tbl_task6[[SubPLOs]:[SubPLOs]],"&gt;=9",tbl_task6[[SubPLOs]:[SubPLOs]],"&lt;10")+SUMIFS(tbl_task7[S141],tbl_task7[[SubPLOs]:[SubPLOs]],"&gt;=9",tbl_task7[[SubPLOs]:[SubPLOs]],"&lt;10")+SUMIFS(tbl_task8[S141],tbl_task8[[SubPLOs]:[SubPLOs]],"&gt;=9",tbl_task8[[SubPLOs]:[SubPLOs]],"&lt;10")+SUMIFS(tbl_task9[S141],tbl_task9[[SubPLOs]:[SubPLOs]],"&gt;=9",tbl_task9[[SubPLOs]:[SubPLOs]],"&lt;10")+SUMIFS(tbl_task10[S141],tbl_task10[[SubPLOs]:[SubPLOs]],"&gt;=9",tbl_task10[[SubPLOs]:[SubPLOs]],"&lt;10")</f>
        <v>0</v>
      </c>
      <c r="EQ188" s="41">
        <f>SUMIFS(tbl_task1[S142],tbl_task1[[SubPLOs]:[SubPLOs]],"&gt;=9",tbl_task1[[SubPLOs]:[SubPLOs]],"&lt;10")+SUMIFS(tbl_task2[S142],tbl_task2[[SubPLOs]:[SubPLOs]],"&gt;=9",tbl_task2[[SubPLOs]:[SubPLOs]],"&lt;10")+SUMIFS(tbl_task3[S142],tbl_task3[[SubPLOs]:[SubPLOs]],"&gt;=9",tbl_task3[[SubPLOs]:[SubPLOs]],"&lt;10")+SUMIFS(tbl_task4[S142],tbl_task4[[SubPLOs]:[SubPLOs]],"&gt;=9",tbl_task4[[SubPLOs]:[SubPLOs]],"&lt;10")+SUMIFS(tbl_task5[S142],tbl_task5[[SubPLOs]:[SubPLOs]],"&gt;=9",tbl_task5[[SubPLOs]:[SubPLOs]],"&lt;10")+SUMIFS(tbl_task6[S142],tbl_task6[[SubPLOs]:[SubPLOs]],"&gt;=9",tbl_task6[[SubPLOs]:[SubPLOs]],"&lt;10")+SUMIFS(tbl_task7[S142],tbl_task7[[SubPLOs]:[SubPLOs]],"&gt;=9",tbl_task7[[SubPLOs]:[SubPLOs]],"&lt;10")+SUMIFS(tbl_task8[S142],tbl_task8[[SubPLOs]:[SubPLOs]],"&gt;=9",tbl_task8[[SubPLOs]:[SubPLOs]],"&lt;10")+SUMIFS(tbl_task9[S142],tbl_task9[[SubPLOs]:[SubPLOs]],"&gt;=9",tbl_task9[[SubPLOs]:[SubPLOs]],"&lt;10")+SUMIFS(tbl_task10[S142],tbl_task10[[SubPLOs]:[SubPLOs]],"&gt;=9",tbl_task10[[SubPLOs]:[SubPLOs]],"&lt;10")</f>
        <v>0</v>
      </c>
      <c r="ER188" s="41">
        <f>SUMIFS(tbl_task1[S143],tbl_task1[[SubPLOs]:[SubPLOs]],"&gt;=9",tbl_task1[[SubPLOs]:[SubPLOs]],"&lt;10")+SUMIFS(tbl_task2[S143],tbl_task2[[SubPLOs]:[SubPLOs]],"&gt;=9",tbl_task2[[SubPLOs]:[SubPLOs]],"&lt;10")+SUMIFS(tbl_task3[S143],tbl_task3[[SubPLOs]:[SubPLOs]],"&gt;=9",tbl_task3[[SubPLOs]:[SubPLOs]],"&lt;10")+SUMIFS(tbl_task4[S143],tbl_task4[[SubPLOs]:[SubPLOs]],"&gt;=9",tbl_task4[[SubPLOs]:[SubPLOs]],"&lt;10")+SUMIFS(tbl_task5[S143],tbl_task5[[SubPLOs]:[SubPLOs]],"&gt;=9",tbl_task5[[SubPLOs]:[SubPLOs]],"&lt;10")+SUMIFS(tbl_task6[S143],tbl_task6[[SubPLOs]:[SubPLOs]],"&gt;=9",tbl_task6[[SubPLOs]:[SubPLOs]],"&lt;10")+SUMIFS(tbl_task7[S143],tbl_task7[[SubPLOs]:[SubPLOs]],"&gt;=9",tbl_task7[[SubPLOs]:[SubPLOs]],"&lt;10")+SUMIFS(tbl_task8[S143],tbl_task8[[SubPLOs]:[SubPLOs]],"&gt;=9",tbl_task8[[SubPLOs]:[SubPLOs]],"&lt;10")+SUMIFS(tbl_task9[S143],tbl_task9[[SubPLOs]:[SubPLOs]],"&gt;=9",tbl_task9[[SubPLOs]:[SubPLOs]],"&lt;10")+SUMIFS(tbl_task10[S143],tbl_task10[[SubPLOs]:[SubPLOs]],"&gt;=9",tbl_task10[[SubPLOs]:[SubPLOs]],"&lt;10")</f>
        <v>0</v>
      </c>
      <c r="ES188" s="41">
        <f>SUMIFS(tbl_task1[S144],tbl_task1[[SubPLOs]:[SubPLOs]],"&gt;=9",tbl_task1[[SubPLOs]:[SubPLOs]],"&lt;10")+SUMIFS(tbl_task2[S144],tbl_task2[[SubPLOs]:[SubPLOs]],"&gt;=9",tbl_task2[[SubPLOs]:[SubPLOs]],"&lt;10")+SUMIFS(tbl_task3[S144],tbl_task3[[SubPLOs]:[SubPLOs]],"&gt;=9",tbl_task3[[SubPLOs]:[SubPLOs]],"&lt;10")+SUMIFS(tbl_task4[S144],tbl_task4[[SubPLOs]:[SubPLOs]],"&gt;=9",tbl_task4[[SubPLOs]:[SubPLOs]],"&lt;10")+SUMIFS(tbl_task5[S144],tbl_task5[[SubPLOs]:[SubPLOs]],"&gt;=9",tbl_task5[[SubPLOs]:[SubPLOs]],"&lt;10")+SUMIFS(tbl_task6[S144],tbl_task6[[SubPLOs]:[SubPLOs]],"&gt;=9",tbl_task6[[SubPLOs]:[SubPLOs]],"&lt;10")+SUMIFS(tbl_task7[S144],tbl_task7[[SubPLOs]:[SubPLOs]],"&gt;=9",tbl_task7[[SubPLOs]:[SubPLOs]],"&lt;10")+SUMIFS(tbl_task8[S144],tbl_task8[[SubPLOs]:[SubPLOs]],"&gt;=9",tbl_task8[[SubPLOs]:[SubPLOs]],"&lt;10")+SUMIFS(tbl_task9[S144],tbl_task9[[SubPLOs]:[SubPLOs]],"&gt;=9",tbl_task9[[SubPLOs]:[SubPLOs]],"&lt;10")+SUMIFS(tbl_task10[S144],tbl_task10[[SubPLOs]:[SubPLOs]],"&gt;=9",tbl_task10[[SubPLOs]:[SubPLOs]],"&lt;10")</f>
        <v>0</v>
      </c>
      <c r="ET188" s="41">
        <f>SUMIFS(tbl_task1[S145],tbl_task1[[SubPLOs]:[SubPLOs]],"&gt;=9",tbl_task1[[SubPLOs]:[SubPLOs]],"&lt;10")+SUMIFS(tbl_task2[S145],tbl_task2[[SubPLOs]:[SubPLOs]],"&gt;=9",tbl_task2[[SubPLOs]:[SubPLOs]],"&lt;10")+SUMIFS(tbl_task3[S145],tbl_task3[[SubPLOs]:[SubPLOs]],"&gt;=9",tbl_task3[[SubPLOs]:[SubPLOs]],"&lt;10")+SUMIFS(tbl_task4[S145],tbl_task4[[SubPLOs]:[SubPLOs]],"&gt;=9",tbl_task4[[SubPLOs]:[SubPLOs]],"&lt;10")+SUMIFS(tbl_task5[S145],tbl_task5[[SubPLOs]:[SubPLOs]],"&gt;=9",tbl_task5[[SubPLOs]:[SubPLOs]],"&lt;10")+SUMIFS(tbl_task6[S145],tbl_task6[[SubPLOs]:[SubPLOs]],"&gt;=9",tbl_task6[[SubPLOs]:[SubPLOs]],"&lt;10")+SUMIFS(tbl_task7[S145],tbl_task7[[SubPLOs]:[SubPLOs]],"&gt;=9",tbl_task7[[SubPLOs]:[SubPLOs]],"&lt;10")+SUMIFS(tbl_task8[S145],tbl_task8[[SubPLOs]:[SubPLOs]],"&gt;=9",tbl_task8[[SubPLOs]:[SubPLOs]],"&lt;10")+SUMIFS(tbl_task9[S145],tbl_task9[[SubPLOs]:[SubPLOs]],"&gt;=9",tbl_task9[[SubPLOs]:[SubPLOs]],"&lt;10")+SUMIFS(tbl_task10[S145],tbl_task10[[SubPLOs]:[SubPLOs]],"&gt;=9",tbl_task10[[SubPLOs]:[SubPLOs]],"&lt;10")</f>
        <v>0</v>
      </c>
      <c r="EU188" s="41">
        <f>SUMIFS(tbl_task1[S146],tbl_task1[[SubPLOs]:[SubPLOs]],"&gt;=9",tbl_task1[[SubPLOs]:[SubPLOs]],"&lt;10")+SUMIFS(tbl_task2[S146],tbl_task2[[SubPLOs]:[SubPLOs]],"&gt;=9",tbl_task2[[SubPLOs]:[SubPLOs]],"&lt;10")+SUMIFS(tbl_task3[S146],tbl_task3[[SubPLOs]:[SubPLOs]],"&gt;=9",tbl_task3[[SubPLOs]:[SubPLOs]],"&lt;10")+SUMIFS(tbl_task4[S146],tbl_task4[[SubPLOs]:[SubPLOs]],"&gt;=9",tbl_task4[[SubPLOs]:[SubPLOs]],"&lt;10")+SUMIFS(tbl_task5[S146],tbl_task5[[SubPLOs]:[SubPLOs]],"&gt;=9",tbl_task5[[SubPLOs]:[SubPLOs]],"&lt;10")+SUMIFS(tbl_task6[S146],tbl_task6[[SubPLOs]:[SubPLOs]],"&gt;=9",tbl_task6[[SubPLOs]:[SubPLOs]],"&lt;10")+SUMIFS(tbl_task7[S146],tbl_task7[[SubPLOs]:[SubPLOs]],"&gt;=9",tbl_task7[[SubPLOs]:[SubPLOs]],"&lt;10")+SUMIFS(tbl_task8[S146],tbl_task8[[SubPLOs]:[SubPLOs]],"&gt;=9",tbl_task8[[SubPLOs]:[SubPLOs]],"&lt;10")+SUMIFS(tbl_task9[S146],tbl_task9[[SubPLOs]:[SubPLOs]],"&gt;=9",tbl_task9[[SubPLOs]:[SubPLOs]],"&lt;10")+SUMIFS(tbl_task10[S146],tbl_task10[[SubPLOs]:[SubPLOs]],"&gt;=9",tbl_task10[[SubPLOs]:[SubPLOs]],"&lt;10")</f>
        <v>0</v>
      </c>
      <c r="EV188" s="41">
        <f>SUMIFS(tbl_task1[S147],tbl_task1[[SubPLOs]:[SubPLOs]],"&gt;=9",tbl_task1[[SubPLOs]:[SubPLOs]],"&lt;10")+SUMIFS(tbl_task2[S147],tbl_task2[[SubPLOs]:[SubPLOs]],"&gt;=9",tbl_task2[[SubPLOs]:[SubPLOs]],"&lt;10")+SUMIFS(tbl_task3[S147],tbl_task3[[SubPLOs]:[SubPLOs]],"&gt;=9",tbl_task3[[SubPLOs]:[SubPLOs]],"&lt;10")+SUMIFS(tbl_task4[S147],tbl_task4[[SubPLOs]:[SubPLOs]],"&gt;=9",tbl_task4[[SubPLOs]:[SubPLOs]],"&lt;10")+SUMIFS(tbl_task5[S147],tbl_task5[[SubPLOs]:[SubPLOs]],"&gt;=9",tbl_task5[[SubPLOs]:[SubPLOs]],"&lt;10")+SUMIFS(tbl_task6[S147],tbl_task6[[SubPLOs]:[SubPLOs]],"&gt;=9",tbl_task6[[SubPLOs]:[SubPLOs]],"&lt;10")+SUMIFS(tbl_task7[S147],tbl_task7[[SubPLOs]:[SubPLOs]],"&gt;=9",tbl_task7[[SubPLOs]:[SubPLOs]],"&lt;10")+SUMIFS(tbl_task8[S147],tbl_task8[[SubPLOs]:[SubPLOs]],"&gt;=9",tbl_task8[[SubPLOs]:[SubPLOs]],"&lt;10")+SUMIFS(tbl_task9[S147],tbl_task9[[SubPLOs]:[SubPLOs]],"&gt;=9",tbl_task9[[SubPLOs]:[SubPLOs]],"&lt;10")+SUMIFS(tbl_task10[S147],tbl_task10[[SubPLOs]:[SubPLOs]],"&gt;=9",tbl_task10[[SubPLOs]:[SubPLOs]],"&lt;10")</f>
        <v>0</v>
      </c>
      <c r="EW188" s="41">
        <f>SUMIFS(tbl_task1[S148],tbl_task1[[SubPLOs]:[SubPLOs]],"&gt;=9",tbl_task1[[SubPLOs]:[SubPLOs]],"&lt;10")+SUMIFS(tbl_task2[S148],tbl_task2[[SubPLOs]:[SubPLOs]],"&gt;=9",tbl_task2[[SubPLOs]:[SubPLOs]],"&lt;10")+SUMIFS(tbl_task3[S148],tbl_task3[[SubPLOs]:[SubPLOs]],"&gt;=9",tbl_task3[[SubPLOs]:[SubPLOs]],"&lt;10")+SUMIFS(tbl_task4[S148],tbl_task4[[SubPLOs]:[SubPLOs]],"&gt;=9",tbl_task4[[SubPLOs]:[SubPLOs]],"&lt;10")+SUMIFS(tbl_task5[S148],tbl_task5[[SubPLOs]:[SubPLOs]],"&gt;=9",tbl_task5[[SubPLOs]:[SubPLOs]],"&lt;10")+SUMIFS(tbl_task6[S148],tbl_task6[[SubPLOs]:[SubPLOs]],"&gt;=9",tbl_task6[[SubPLOs]:[SubPLOs]],"&lt;10")+SUMIFS(tbl_task7[S148],tbl_task7[[SubPLOs]:[SubPLOs]],"&gt;=9",tbl_task7[[SubPLOs]:[SubPLOs]],"&lt;10")+SUMIFS(tbl_task8[S148],tbl_task8[[SubPLOs]:[SubPLOs]],"&gt;=9",tbl_task8[[SubPLOs]:[SubPLOs]],"&lt;10")+SUMIFS(tbl_task9[S148],tbl_task9[[SubPLOs]:[SubPLOs]],"&gt;=9",tbl_task9[[SubPLOs]:[SubPLOs]],"&lt;10")+SUMIFS(tbl_task10[S148],tbl_task10[[SubPLOs]:[SubPLOs]],"&gt;=9",tbl_task10[[SubPLOs]:[SubPLOs]],"&lt;10")</f>
        <v>0</v>
      </c>
      <c r="EX188" s="41">
        <f>SUMIFS(tbl_task1[S149],tbl_task1[[SubPLOs]:[SubPLOs]],"&gt;=9",tbl_task1[[SubPLOs]:[SubPLOs]],"&lt;10")+SUMIFS(tbl_task2[S149],tbl_task2[[SubPLOs]:[SubPLOs]],"&gt;=9",tbl_task2[[SubPLOs]:[SubPLOs]],"&lt;10")+SUMIFS(tbl_task3[S149],tbl_task3[[SubPLOs]:[SubPLOs]],"&gt;=9",tbl_task3[[SubPLOs]:[SubPLOs]],"&lt;10")+SUMIFS(tbl_task4[S149],tbl_task4[[SubPLOs]:[SubPLOs]],"&gt;=9",tbl_task4[[SubPLOs]:[SubPLOs]],"&lt;10")+SUMIFS(tbl_task5[S149],tbl_task5[[SubPLOs]:[SubPLOs]],"&gt;=9",tbl_task5[[SubPLOs]:[SubPLOs]],"&lt;10")+SUMIFS(tbl_task6[S149],tbl_task6[[SubPLOs]:[SubPLOs]],"&gt;=9",tbl_task6[[SubPLOs]:[SubPLOs]],"&lt;10")+SUMIFS(tbl_task7[S149],tbl_task7[[SubPLOs]:[SubPLOs]],"&gt;=9",tbl_task7[[SubPLOs]:[SubPLOs]],"&lt;10")+SUMIFS(tbl_task8[S149],tbl_task8[[SubPLOs]:[SubPLOs]],"&gt;=9",tbl_task8[[SubPLOs]:[SubPLOs]],"&lt;10")+SUMIFS(tbl_task9[S149],tbl_task9[[SubPLOs]:[SubPLOs]],"&gt;=9",tbl_task9[[SubPLOs]:[SubPLOs]],"&lt;10")+SUMIFS(tbl_task10[S149],tbl_task10[[SubPLOs]:[SubPLOs]],"&gt;=9",tbl_task10[[SubPLOs]:[SubPLOs]],"&lt;10")</f>
        <v>0</v>
      </c>
      <c r="EY188" s="41">
        <f>SUMIFS(tbl_task1[S150],tbl_task1[[SubPLOs]:[SubPLOs]],"&gt;=9",tbl_task1[[SubPLOs]:[SubPLOs]],"&lt;10")+SUMIFS(tbl_task2[S150],tbl_task2[[SubPLOs]:[SubPLOs]],"&gt;=9",tbl_task2[[SubPLOs]:[SubPLOs]],"&lt;10")+SUMIFS(tbl_task3[S150],tbl_task3[[SubPLOs]:[SubPLOs]],"&gt;=9",tbl_task3[[SubPLOs]:[SubPLOs]],"&lt;10")+SUMIFS(tbl_task4[S150],tbl_task4[[SubPLOs]:[SubPLOs]],"&gt;=9",tbl_task4[[SubPLOs]:[SubPLOs]],"&lt;10")+SUMIFS(tbl_task5[S150],tbl_task5[[SubPLOs]:[SubPLOs]],"&gt;=9",tbl_task5[[SubPLOs]:[SubPLOs]],"&lt;10")+SUMIFS(tbl_task6[S150],tbl_task6[[SubPLOs]:[SubPLOs]],"&gt;=9",tbl_task6[[SubPLOs]:[SubPLOs]],"&lt;10")+SUMIFS(tbl_task7[S150],tbl_task7[[SubPLOs]:[SubPLOs]],"&gt;=9",tbl_task7[[SubPLOs]:[SubPLOs]],"&lt;10")+SUMIFS(tbl_task8[S150],tbl_task8[[SubPLOs]:[SubPLOs]],"&gt;=9",tbl_task8[[SubPLOs]:[SubPLOs]],"&lt;10")+SUMIFS(tbl_task9[S150],tbl_task9[[SubPLOs]:[SubPLOs]],"&gt;=9",tbl_task9[[SubPLOs]:[SubPLOs]],"&lt;10")+SUMIFS(tbl_task10[S150],tbl_task10[[SubPLOs]:[SubPLOs]],"&gt;=9",tbl_task10[[SubPLOs]:[SubPLOs]],"&lt;10")</f>
        <v>0</v>
      </c>
      <c r="EZ188" s="41">
        <f>SUMIFS(tbl_task1[S151],tbl_task1[[SubPLOs]:[SubPLOs]],"&gt;=9",tbl_task1[[SubPLOs]:[SubPLOs]],"&lt;10")+SUMIFS(tbl_task2[S151],tbl_task2[[SubPLOs]:[SubPLOs]],"&gt;=9",tbl_task2[[SubPLOs]:[SubPLOs]],"&lt;10")+SUMIFS(tbl_task3[S151],tbl_task3[[SubPLOs]:[SubPLOs]],"&gt;=9",tbl_task3[[SubPLOs]:[SubPLOs]],"&lt;10")+SUMIFS(tbl_task4[S151],tbl_task4[[SubPLOs]:[SubPLOs]],"&gt;=9",tbl_task4[[SubPLOs]:[SubPLOs]],"&lt;10")+SUMIFS(tbl_task5[S151],tbl_task5[[SubPLOs]:[SubPLOs]],"&gt;=9",tbl_task5[[SubPLOs]:[SubPLOs]],"&lt;10")+SUMIFS(tbl_task6[S151],tbl_task6[[SubPLOs]:[SubPLOs]],"&gt;=9",tbl_task6[[SubPLOs]:[SubPLOs]],"&lt;10")+SUMIFS(tbl_task7[S151],tbl_task7[[SubPLOs]:[SubPLOs]],"&gt;=9",tbl_task7[[SubPLOs]:[SubPLOs]],"&lt;10")+SUMIFS(tbl_task8[S151],tbl_task8[[SubPLOs]:[SubPLOs]],"&gt;=9",tbl_task8[[SubPLOs]:[SubPLOs]],"&lt;10")+SUMIFS(tbl_task9[S151],tbl_task9[[SubPLOs]:[SubPLOs]],"&gt;=9",tbl_task9[[SubPLOs]:[SubPLOs]],"&lt;10")+SUMIFS(tbl_task10[S151],tbl_task10[[SubPLOs]:[SubPLOs]],"&gt;=9",tbl_task10[[SubPLOs]:[SubPLOs]],"&lt;10")</f>
        <v>0</v>
      </c>
      <c r="FA188" s="41">
        <f>SUMIFS(tbl_task1[S152],tbl_task1[[SubPLOs]:[SubPLOs]],"&gt;=9",tbl_task1[[SubPLOs]:[SubPLOs]],"&lt;10")+SUMIFS(tbl_task2[S152],tbl_task2[[SubPLOs]:[SubPLOs]],"&gt;=9",tbl_task2[[SubPLOs]:[SubPLOs]],"&lt;10")+SUMIFS(tbl_task3[S152],tbl_task3[[SubPLOs]:[SubPLOs]],"&gt;=9",tbl_task3[[SubPLOs]:[SubPLOs]],"&lt;10")+SUMIFS(tbl_task4[S152],tbl_task4[[SubPLOs]:[SubPLOs]],"&gt;=9",tbl_task4[[SubPLOs]:[SubPLOs]],"&lt;10")+SUMIFS(tbl_task5[S152],tbl_task5[[SubPLOs]:[SubPLOs]],"&gt;=9",tbl_task5[[SubPLOs]:[SubPLOs]],"&lt;10")+SUMIFS(tbl_task6[S152],tbl_task6[[SubPLOs]:[SubPLOs]],"&gt;=9",tbl_task6[[SubPLOs]:[SubPLOs]],"&lt;10")+SUMIFS(tbl_task7[S152],tbl_task7[[SubPLOs]:[SubPLOs]],"&gt;=9",tbl_task7[[SubPLOs]:[SubPLOs]],"&lt;10")+SUMIFS(tbl_task8[S152],tbl_task8[[SubPLOs]:[SubPLOs]],"&gt;=9",tbl_task8[[SubPLOs]:[SubPLOs]],"&lt;10")+SUMIFS(tbl_task9[S152],tbl_task9[[SubPLOs]:[SubPLOs]],"&gt;=9",tbl_task9[[SubPLOs]:[SubPLOs]],"&lt;10")+SUMIFS(tbl_task10[S152],tbl_task10[[SubPLOs]:[SubPLOs]],"&gt;=9",tbl_task10[[SubPLOs]:[SubPLOs]],"&lt;10")</f>
        <v>0</v>
      </c>
      <c r="FB188" s="41">
        <f>SUMIFS(tbl_task1[S153],tbl_task1[[SubPLOs]:[SubPLOs]],"&gt;=9",tbl_task1[[SubPLOs]:[SubPLOs]],"&lt;10")+SUMIFS(tbl_task2[S153],tbl_task2[[SubPLOs]:[SubPLOs]],"&gt;=9",tbl_task2[[SubPLOs]:[SubPLOs]],"&lt;10")+SUMIFS(tbl_task3[S153],tbl_task3[[SubPLOs]:[SubPLOs]],"&gt;=9",tbl_task3[[SubPLOs]:[SubPLOs]],"&lt;10")+SUMIFS(tbl_task4[S153],tbl_task4[[SubPLOs]:[SubPLOs]],"&gt;=9",tbl_task4[[SubPLOs]:[SubPLOs]],"&lt;10")+SUMIFS(tbl_task5[S153],tbl_task5[[SubPLOs]:[SubPLOs]],"&gt;=9",tbl_task5[[SubPLOs]:[SubPLOs]],"&lt;10")+SUMIFS(tbl_task6[S153],tbl_task6[[SubPLOs]:[SubPLOs]],"&gt;=9",tbl_task6[[SubPLOs]:[SubPLOs]],"&lt;10")+SUMIFS(tbl_task7[S153],tbl_task7[[SubPLOs]:[SubPLOs]],"&gt;=9",tbl_task7[[SubPLOs]:[SubPLOs]],"&lt;10")+SUMIFS(tbl_task8[S153],tbl_task8[[SubPLOs]:[SubPLOs]],"&gt;=9",tbl_task8[[SubPLOs]:[SubPLOs]],"&lt;10")+SUMIFS(tbl_task9[S153],tbl_task9[[SubPLOs]:[SubPLOs]],"&gt;=9",tbl_task9[[SubPLOs]:[SubPLOs]],"&lt;10")+SUMIFS(tbl_task10[S153],tbl_task10[[SubPLOs]:[SubPLOs]],"&gt;=9",tbl_task10[[SubPLOs]:[SubPLOs]],"&lt;10")</f>
        <v>0</v>
      </c>
      <c r="FC188" s="41">
        <f>SUMIFS(tbl_task1[S154],tbl_task1[[SubPLOs]:[SubPLOs]],"&gt;=9",tbl_task1[[SubPLOs]:[SubPLOs]],"&lt;10")+SUMIFS(tbl_task2[S154],tbl_task2[[SubPLOs]:[SubPLOs]],"&gt;=9",tbl_task2[[SubPLOs]:[SubPLOs]],"&lt;10")+SUMIFS(tbl_task3[S154],tbl_task3[[SubPLOs]:[SubPLOs]],"&gt;=9",tbl_task3[[SubPLOs]:[SubPLOs]],"&lt;10")+SUMIFS(tbl_task4[S154],tbl_task4[[SubPLOs]:[SubPLOs]],"&gt;=9",tbl_task4[[SubPLOs]:[SubPLOs]],"&lt;10")+SUMIFS(tbl_task5[S154],tbl_task5[[SubPLOs]:[SubPLOs]],"&gt;=9",tbl_task5[[SubPLOs]:[SubPLOs]],"&lt;10")+SUMIFS(tbl_task6[S154],tbl_task6[[SubPLOs]:[SubPLOs]],"&gt;=9",tbl_task6[[SubPLOs]:[SubPLOs]],"&lt;10")+SUMIFS(tbl_task7[S154],tbl_task7[[SubPLOs]:[SubPLOs]],"&gt;=9",tbl_task7[[SubPLOs]:[SubPLOs]],"&lt;10")+SUMIFS(tbl_task8[S154],tbl_task8[[SubPLOs]:[SubPLOs]],"&gt;=9",tbl_task8[[SubPLOs]:[SubPLOs]],"&lt;10")+SUMIFS(tbl_task9[S154],tbl_task9[[SubPLOs]:[SubPLOs]],"&gt;=9",tbl_task9[[SubPLOs]:[SubPLOs]],"&lt;10")+SUMIFS(tbl_task10[S154],tbl_task10[[SubPLOs]:[SubPLOs]],"&gt;=9",tbl_task10[[SubPLOs]:[SubPLOs]],"&lt;10")</f>
        <v>0</v>
      </c>
      <c r="FD188" s="41">
        <f>SUMIFS(tbl_task1[S155],tbl_task1[[SubPLOs]:[SubPLOs]],"&gt;=9",tbl_task1[[SubPLOs]:[SubPLOs]],"&lt;10")+SUMIFS(tbl_task2[S155],tbl_task2[[SubPLOs]:[SubPLOs]],"&gt;=9",tbl_task2[[SubPLOs]:[SubPLOs]],"&lt;10")+SUMIFS(tbl_task3[S155],tbl_task3[[SubPLOs]:[SubPLOs]],"&gt;=9",tbl_task3[[SubPLOs]:[SubPLOs]],"&lt;10")+SUMIFS(tbl_task4[S155],tbl_task4[[SubPLOs]:[SubPLOs]],"&gt;=9",tbl_task4[[SubPLOs]:[SubPLOs]],"&lt;10")+SUMIFS(tbl_task5[S155],tbl_task5[[SubPLOs]:[SubPLOs]],"&gt;=9",tbl_task5[[SubPLOs]:[SubPLOs]],"&lt;10")+SUMIFS(tbl_task6[S155],tbl_task6[[SubPLOs]:[SubPLOs]],"&gt;=9",tbl_task6[[SubPLOs]:[SubPLOs]],"&lt;10")+SUMIFS(tbl_task7[S155],tbl_task7[[SubPLOs]:[SubPLOs]],"&gt;=9",tbl_task7[[SubPLOs]:[SubPLOs]],"&lt;10")+SUMIFS(tbl_task8[S155],tbl_task8[[SubPLOs]:[SubPLOs]],"&gt;=9",tbl_task8[[SubPLOs]:[SubPLOs]],"&lt;10")+SUMIFS(tbl_task9[S155],tbl_task9[[SubPLOs]:[SubPLOs]],"&gt;=9",tbl_task9[[SubPLOs]:[SubPLOs]],"&lt;10")+SUMIFS(tbl_task10[S155],tbl_task10[[SubPLOs]:[SubPLOs]],"&gt;=9",tbl_task10[[SubPLOs]:[SubPLOs]],"&lt;10")</f>
        <v>0</v>
      </c>
      <c r="FE188" s="41">
        <f>SUMIFS(tbl_task1[S156],tbl_task1[[SubPLOs]:[SubPLOs]],"&gt;=9",tbl_task1[[SubPLOs]:[SubPLOs]],"&lt;10")+SUMIFS(tbl_task2[S156],tbl_task2[[SubPLOs]:[SubPLOs]],"&gt;=9",tbl_task2[[SubPLOs]:[SubPLOs]],"&lt;10")+SUMIFS(tbl_task3[S156],tbl_task3[[SubPLOs]:[SubPLOs]],"&gt;=9",tbl_task3[[SubPLOs]:[SubPLOs]],"&lt;10")+SUMIFS(tbl_task4[S156],tbl_task4[[SubPLOs]:[SubPLOs]],"&gt;=9",tbl_task4[[SubPLOs]:[SubPLOs]],"&lt;10")+SUMIFS(tbl_task5[S156],tbl_task5[[SubPLOs]:[SubPLOs]],"&gt;=9",tbl_task5[[SubPLOs]:[SubPLOs]],"&lt;10")+SUMIFS(tbl_task6[S156],tbl_task6[[SubPLOs]:[SubPLOs]],"&gt;=9",tbl_task6[[SubPLOs]:[SubPLOs]],"&lt;10")+SUMIFS(tbl_task7[S156],tbl_task7[[SubPLOs]:[SubPLOs]],"&gt;=9",tbl_task7[[SubPLOs]:[SubPLOs]],"&lt;10")+SUMIFS(tbl_task8[S156],tbl_task8[[SubPLOs]:[SubPLOs]],"&gt;=9",tbl_task8[[SubPLOs]:[SubPLOs]],"&lt;10")+SUMIFS(tbl_task9[S156],tbl_task9[[SubPLOs]:[SubPLOs]],"&gt;=9",tbl_task9[[SubPLOs]:[SubPLOs]],"&lt;10")+SUMIFS(tbl_task10[S156],tbl_task10[[SubPLOs]:[SubPLOs]],"&gt;=9",tbl_task10[[SubPLOs]:[SubPLOs]],"&lt;10")</f>
        <v>0</v>
      </c>
      <c r="FF188" s="41">
        <f>SUMIFS(tbl_task1[S157],tbl_task1[[SubPLOs]:[SubPLOs]],"&gt;=9",tbl_task1[[SubPLOs]:[SubPLOs]],"&lt;10")+SUMIFS(tbl_task2[S157],tbl_task2[[SubPLOs]:[SubPLOs]],"&gt;=9",tbl_task2[[SubPLOs]:[SubPLOs]],"&lt;10")+SUMIFS(tbl_task3[S157],tbl_task3[[SubPLOs]:[SubPLOs]],"&gt;=9",tbl_task3[[SubPLOs]:[SubPLOs]],"&lt;10")+SUMIFS(tbl_task4[S157],tbl_task4[[SubPLOs]:[SubPLOs]],"&gt;=9",tbl_task4[[SubPLOs]:[SubPLOs]],"&lt;10")+SUMIFS(tbl_task5[S157],tbl_task5[[SubPLOs]:[SubPLOs]],"&gt;=9",tbl_task5[[SubPLOs]:[SubPLOs]],"&lt;10")+SUMIFS(tbl_task6[S157],tbl_task6[[SubPLOs]:[SubPLOs]],"&gt;=9",tbl_task6[[SubPLOs]:[SubPLOs]],"&lt;10")+SUMIFS(tbl_task7[S157],tbl_task7[[SubPLOs]:[SubPLOs]],"&gt;=9",tbl_task7[[SubPLOs]:[SubPLOs]],"&lt;10")+SUMIFS(tbl_task8[S157],tbl_task8[[SubPLOs]:[SubPLOs]],"&gt;=9",tbl_task8[[SubPLOs]:[SubPLOs]],"&lt;10")+SUMIFS(tbl_task9[S157],tbl_task9[[SubPLOs]:[SubPLOs]],"&gt;=9",tbl_task9[[SubPLOs]:[SubPLOs]],"&lt;10")+SUMIFS(tbl_task10[S157],tbl_task10[[SubPLOs]:[SubPLOs]],"&gt;=9",tbl_task10[[SubPLOs]:[SubPLOs]],"&lt;10")</f>
        <v>0</v>
      </c>
      <c r="FG188" s="41">
        <f>SUMIFS(tbl_task1[S158],tbl_task1[[SubPLOs]:[SubPLOs]],"&gt;=9",tbl_task1[[SubPLOs]:[SubPLOs]],"&lt;10")+SUMIFS(tbl_task2[S158],tbl_task2[[SubPLOs]:[SubPLOs]],"&gt;=9",tbl_task2[[SubPLOs]:[SubPLOs]],"&lt;10")+SUMIFS(tbl_task3[S158],tbl_task3[[SubPLOs]:[SubPLOs]],"&gt;=9",tbl_task3[[SubPLOs]:[SubPLOs]],"&lt;10")+SUMIFS(tbl_task4[S158],tbl_task4[[SubPLOs]:[SubPLOs]],"&gt;=9",tbl_task4[[SubPLOs]:[SubPLOs]],"&lt;10")+SUMIFS(tbl_task5[S158],tbl_task5[[SubPLOs]:[SubPLOs]],"&gt;=9",tbl_task5[[SubPLOs]:[SubPLOs]],"&lt;10")+SUMIFS(tbl_task6[S158],tbl_task6[[SubPLOs]:[SubPLOs]],"&gt;=9",tbl_task6[[SubPLOs]:[SubPLOs]],"&lt;10")+SUMIFS(tbl_task7[S158],tbl_task7[[SubPLOs]:[SubPLOs]],"&gt;=9",tbl_task7[[SubPLOs]:[SubPLOs]],"&lt;10")+SUMIFS(tbl_task8[S158],tbl_task8[[SubPLOs]:[SubPLOs]],"&gt;=9",tbl_task8[[SubPLOs]:[SubPLOs]],"&lt;10")+SUMIFS(tbl_task9[S158],tbl_task9[[SubPLOs]:[SubPLOs]],"&gt;=9",tbl_task9[[SubPLOs]:[SubPLOs]],"&lt;10")+SUMIFS(tbl_task10[S158],tbl_task10[[SubPLOs]:[SubPLOs]],"&gt;=9",tbl_task10[[SubPLOs]:[SubPLOs]],"&lt;10")</f>
        <v>0</v>
      </c>
      <c r="FH188" s="41">
        <f>SUMIFS(tbl_task1[S159],tbl_task1[[SubPLOs]:[SubPLOs]],"&gt;=9",tbl_task1[[SubPLOs]:[SubPLOs]],"&lt;10")+SUMIFS(tbl_task2[S159],tbl_task2[[SubPLOs]:[SubPLOs]],"&gt;=9",tbl_task2[[SubPLOs]:[SubPLOs]],"&lt;10")+SUMIFS(tbl_task3[S159],tbl_task3[[SubPLOs]:[SubPLOs]],"&gt;=9",tbl_task3[[SubPLOs]:[SubPLOs]],"&lt;10")+SUMIFS(tbl_task4[S159],tbl_task4[[SubPLOs]:[SubPLOs]],"&gt;=9",tbl_task4[[SubPLOs]:[SubPLOs]],"&lt;10")+SUMIFS(tbl_task5[S159],tbl_task5[[SubPLOs]:[SubPLOs]],"&gt;=9",tbl_task5[[SubPLOs]:[SubPLOs]],"&lt;10")+SUMIFS(tbl_task6[S159],tbl_task6[[SubPLOs]:[SubPLOs]],"&gt;=9",tbl_task6[[SubPLOs]:[SubPLOs]],"&lt;10")+SUMIFS(tbl_task7[S159],tbl_task7[[SubPLOs]:[SubPLOs]],"&gt;=9",tbl_task7[[SubPLOs]:[SubPLOs]],"&lt;10")+SUMIFS(tbl_task8[S159],tbl_task8[[SubPLOs]:[SubPLOs]],"&gt;=9",tbl_task8[[SubPLOs]:[SubPLOs]],"&lt;10")+SUMIFS(tbl_task9[S159],tbl_task9[[SubPLOs]:[SubPLOs]],"&gt;=9",tbl_task9[[SubPLOs]:[SubPLOs]],"&lt;10")+SUMIFS(tbl_task10[S159],tbl_task10[[SubPLOs]:[SubPLOs]],"&gt;=9",tbl_task10[[SubPLOs]:[SubPLOs]],"&lt;10")</f>
        <v>0</v>
      </c>
      <c r="FI188" s="41">
        <f>SUMIFS(tbl_task1[S160],tbl_task1[[SubPLOs]:[SubPLOs]],"&gt;=9",tbl_task1[[SubPLOs]:[SubPLOs]],"&lt;10")+SUMIFS(tbl_task2[S160],tbl_task2[[SubPLOs]:[SubPLOs]],"&gt;=9",tbl_task2[[SubPLOs]:[SubPLOs]],"&lt;10")+SUMIFS(tbl_task3[S160],tbl_task3[[SubPLOs]:[SubPLOs]],"&gt;=9",tbl_task3[[SubPLOs]:[SubPLOs]],"&lt;10")+SUMIFS(tbl_task4[S160],tbl_task4[[SubPLOs]:[SubPLOs]],"&gt;=9",tbl_task4[[SubPLOs]:[SubPLOs]],"&lt;10")+SUMIFS(tbl_task5[S160],tbl_task5[[SubPLOs]:[SubPLOs]],"&gt;=9",tbl_task5[[SubPLOs]:[SubPLOs]],"&lt;10")+SUMIFS(tbl_task6[S160],tbl_task6[[SubPLOs]:[SubPLOs]],"&gt;=9",tbl_task6[[SubPLOs]:[SubPLOs]],"&lt;10")+SUMIFS(tbl_task7[S160],tbl_task7[[SubPLOs]:[SubPLOs]],"&gt;=9",tbl_task7[[SubPLOs]:[SubPLOs]],"&lt;10")+SUMIFS(tbl_task8[S160],tbl_task8[[SubPLOs]:[SubPLOs]],"&gt;=9",tbl_task8[[SubPLOs]:[SubPLOs]],"&lt;10")+SUMIFS(tbl_task9[S160],tbl_task9[[SubPLOs]:[SubPLOs]],"&gt;=9",tbl_task9[[SubPLOs]:[SubPLOs]],"&lt;10")+SUMIFS(tbl_task10[S160],tbl_task10[[SubPLOs]:[SubPLOs]],"&gt;=9",tbl_task10[[SubPLOs]:[SubPLOs]],"&lt;10")</f>
        <v>0</v>
      </c>
      <c r="FJ188" s="41">
        <f>SUMIFS(tbl_task1[S161],tbl_task1[[SubPLOs]:[SubPLOs]],"&gt;=9",tbl_task1[[SubPLOs]:[SubPLOs]],"&lt;10")+SUMIFS(tbl_task2[S161],tbl_task2[[SubPLOs]:[SubPLOs]],"&gt;=9",tbl_task2[[SubPLOs]:[SubPLOs]],"&lt;10")+SUMIFS(tbl_task3[S161],tbl_task3[[SubPLOs]:[SubPLOs]],"&gt;=9",tbl_task3[[SubPLOs]:[SubPLOs]],"&lt;10")+SUMIFS(tbl_task4[S161],tbl_task4[[SubPLOs]:[SubPLOs]],"&gt;=9",tbl_task4[[SubPLOs]:[SubPLOs]],"&lt;10")+SUMIFS(tbl_task5[S161],tbl_task5[[SubPLOs]:[SubPLOs]],"&gt;=9",tbl_task5[[SubPLOs]:[SubPLOs]],"&lt;10")+SUMIFS(tbl_task6[S161],tbl_task6[[SubPLOs]:[SubPLOs]],"&gt;=9",tbl_task6[[SubPLOs]:[SubPLOs]],"&lt;10")+SUMIFS(tbl_task7[S161],tbl_task7[[SubPLOs]:[SubPLOs]],"&gt;=9",tbl_task7[[SubPLOs]:[SubPLOs]],"&lt;10")+SUMIFS(tbl_task8[S161],tbl_task8[[SubPLOs]:[SubPLOs]],"&gt;=9",tbl_task8[[SubPLOs]:[SubPLOs]],"&lt;10")+SUMIFS(tbl_task9[S161],tbl_task9[[SubPLOs]:[SubPLOs]],"&gt;=9",tbl_task9[[SubPLOs]:[SubPLOs]],"&lt;10")+SUMIFS(tbl_task10[S161],tbl_task10[[SubPLOs]:[SubPLOs]],"&gt;=9",tbl_task10[[SubPLOs]:[SubPLOs]],"&lt;10")</f>
        <v>0</v>
      </c>
      <c r="FK188" s="41">
        <f>SUMIFS(tbl_task1[S162],tbl_task1[[SubPLOs]:[SubPLOs]],"&gt;=9",tbl_task1[[SubPLOs]:[SubPLOs]],"&lt;10")+SUMIFS(tbl_task2[S162],tbl_task2[[SubPLOs]:[SubPLOs]],"&gt;=9",tbl_task2[[SubPLOs]:[SubPLOs]],"&lt;10")+SUMIFS(tbl_task3[S162],tbl_task3[[SubPLOs]:[SubPLOs]],"&gt;=9",tbl_task3[[SubPLOs]:[SubPLOs]],"&lt;10")+SUMIFS(tbl_task4[S162],tbl_task4[[SubPLOs]:[SubPLOs]],"&gt;=9",tbl_task4[[SubPLOs]:[SubPLOs]],"&lt;10")+SUMIFS(tbl_task5[S162],tbl_task5[[SubPLOs]:[SubPLOs]],"&gt;=9",tbl_task5[[SubPLOs]:[SubPLOs]],"&lt;10")+SUMIFS(tbl_task6[S162],tbl_task6[[SubPLOs]:[SubPLOs]],"&gt;=9",tbl_task6[[SubPLOs]:[SubPLOs]],"&lt;10")+SUMIFS(tbl_task7[S162],tbl_task7[[SubPLOs]:[SubPLOs]],"&gt;=9",tbl_task7[[SubPLOs]:[SubPLOs]],"&lt;10")+SUMIFS(tbl_task8[S162],tbl_task8[[SubPLOs]:[SubPLOs]],"&gt;=9",tbl_task8[[SubPLOs]:[SubPLOs]],"&lt;10")+SUMIFS(tbl_task9[S162],tbl_task9[[SubPLOs]:[SubPLOs]],"&gt;=9",tbl_task9[[SubPLOs]:[SubPLOs]],"&lt;10")+SUMIFS(tbl_task10[S162],tbl_task10[[SubPLOs]:[SubPLOs]],"&gt;=9",tbl_task10[[SubPLOs]:[SubPLOs]],"&lt;10")</f>
        <v>0</v>
      </c>
      <c r="FL188" s="41">
        <f>SUMIFS(tbl_task1[S163],tbl_task1[[SubPLOs]:[SubPLOs]],"&gt;=9",tbl_task1[[SubPLOs]:[SubPLOs]],"&lt;10")+SUMIFS(tbl_task2[S163],tbl_task2[[SubPLOs]:[SubPLOs]],"&gt;=9",tbl_task2[[SubPLOs]:[SubPLOs]],"&lt;10")+SUMIFS(tbl_task3[S163],tbl_task3[[SubPLOs]:[SubPLOs]],"&gt;=9",tbl_task3[[SubPLOs]:[SubPLOs]],"&lt;10")+SUMIFS(tbl_task4[S163],tbl_task4[[SubPLOs]:[SubPLOs]],"&gt;=9",tbl_task4[[SubPLOs]:[SubPLOs]],"&lt;10")+SUMIFS(tbl_task5[S163],tbl_task5[[SubPLOs]:[SubPLOs]],"&gt;=9",tbl_task5[[SubPLOs]:[SubPLOs]],"&lt;10")+SUMIFS(tbl_task6[S163],tbl_task6[[SubPLOs]:[SubPLOs]],"&gt;=9",tbl_task6[[SubPLOs]:[SubPLOs]],"&lt;10")+SUMIFS(tbl_task7[S163],tbl_task7[[SubPLOs]:[SubPLOs]],"&gt;=9",tbl_task7[[SubPLOs]:[SubPLOs]],"&lt;10")+SUMIFS(tbl_task8[S163],tbl_task8[[SubPLOs]:[SubPLOs]],"&gt;=9",tbl_task8[[SubPLOs]:[SubPLOs]],"&lt;10")+SUMIFS(tbl_task9[S163],tbl_task9[[SubPLOs]:[SubPLOs]],"&gt;=9",tbl_task9[[SubPLOs]:[SubPLOs]],"&lt;10")+SUMIFS(tbl_task10[S163],tbl_task10[[SubPLOs]:[SubPLOs]],"&gt;=9",tbl_task10[[SubPLOs]:[SubPLOs]],"&lt;10")</f>
        <v>0</v>
      </c>
      <c r="FM188" s="41">
        <f>SUMIFS(tbl_task1[S164],tbl_task1[[SubPLOs]:[SubPLOs]],"&gt;=9",tbl_task1[[SubPLOs]:[SubPLOs]],"&lt;10")+SUMIFS(tbl_task2[S164],tbl_task2[[SubPLOs]:[SubPLOs]],"&gt;=9",tbl_task2[[SubPLOs]:[SubPLOs]],"&lt;10")+SUMIFS(tbl_task3[S164],tbl_task3[[SubPLOs]:[SubPLOs]],"&gt;=9",tbl_task3[[SubPLOs]:[SubPLOs]],"&lt;10")+SUMIFS(tbl_task4[S164],tbl_task4[[SubPLOs]:[SubPLOs]],"&gt;=9",tbl_task4[[SubPLOs]:[SubPLOs]],"&lt;10")+SUMIFS(tbl_task5[S164],tbl_task5[[SubPLOs]:[SubPLOs]],"&gt;=9",tbl_task5[[SubPLOs]:[SubPLOs]],"&lt;10")+SUMIFS(tbl_task6[S164],tbl_task6[[SubPLOs]:[SubPLOs]],"&gt;=9",tbl_task6[[SubPLOs]:[SubPLOs]],"&lt;10")+SUMIFS(tbl_task7[S164],tbl_task7[[SubPLOs]:[SubPLOs]],"&gt;=9",tbl_task7[[SubPLOs]:[SubPLOs]],"&lt;10")+SUMIFS(tbl_task8[S164],tbl_task8[[SubPLOs]:[SubPLOs]],"&gt;=9",tbl_task8[[SubPLOs]:[SubPLOs]],"&lt;10")+SUMIFS(tbl_task9[S164],tbl_task9[[SubPLOs]:[SubPLOs]],"&gt;=9",tbl_task9[[SubPLOs]:[SubPLOs]],"&lt;10")+SUMIFS(tbl_task10[S164],tbl_task10[[SubPLOs]:[SubPLOs]],"&gt;=9",tbl_task10[[SubPLOs]:[SubPLOs]],"&lt;10")</f>
        <v>0</v>
      </c>
      <c r="FN188" s="41">
        <f>SUMIFS(tbl_task1[S165],tbl_task1[[SubPLOs]:[SubPLOs]],"&gt;=9",tbl_task1[[SubPLOs]:[SubPLOs]],"&lt;10")+SUMIFS(tbl_task2[S165],tbl_task2[[SubPLOs]:[SubPLOs]],"&gt;=9",tbl_task2[[SubPLOs]:[SubPLOs]],"&lt;10")+SUMIFS(tbl_task3[S165],tbl_task3[[SubPLOs]:[SubPLOs]],"&gt;=9",tbl_task3[[SubPLOs]:[SubPLOs]],"&lt;10")+SUMIFS(tbl_task4[S165],tbl_task4[[SubPLOs]:[SubPLOs]],"&gt;=9",tbl_task4[[SubPLOs]:[SubPLOs]],"&lt;10")+SUMIFS(tbl_task5[S165],tbl_task5[[SubPLOs]:[SubPLOs]],"&gt;=9",tbl_task5[[SubPLOs]:[SubPLOs]],"&lt;10")+SUMIFS(tbl_task6[S165],tbl_task6[[SubPLOs]:[SubPLOs]],"&gt;=9",tbl_task6[[SubPLOs]:[SubPLOs]],"&lt;10")+SUMIFS(tbl_task7[S165],tbl_task7[[SubPLOs]:[SubPLOs]],"&gt;=9",tbl_task7[[SubPLOs]:[SubPLOs]],"&lt;10")+SUMIFS(tbl_task8[S165],tbl_task8[[SubPLOs]:[SubPLOs]],"&gt;=9",tbl_task8[[SubPLOs]:[SubPLOs]],"&lt;10")+SUMIFS(tbl_task9[S165],tbl_task9[[SubPLOs]:[SubPLOs]],"&gt;=9",tbl_task9[[SubPLOs]:[SubPLOs]],"&lt;10")+SUMIFS(tbl_task10[S165],tbl_task10[[SubPLOs]:[SubPLOs]],"&gt;=9",tbl_task10[[SubPLOs]:[SubPLOs]],"&lt;10")</f>
        <v>0</v>
      </c>
    </row>
    <row r="189" spans="1:170" ht="64.2" customHeight="1" x14ac:dyDescent="0.25">
      <c r="A189" s="135">
        <v>10</v>
      </c>
      <c r="B189" s="5" t="s">
        <v>443</v>
      </c>
      <c r="C189" s="86">
        <f>COUNTIFS(tbl_task1[SubPLOs],"&gt;=10",tbl_task1[SubPLOs],"&lt;11")+COUNTIFS(tbl_task2[SubPLOs],"&gt;=10",tbl_task2[SubPLOs],"&lt;11")+COUNTIFS(tbl_task3[SubPLOs],"&gt;=10",tbl_task3[SubPLOs],"&lt;11")+COUNTIFS(tbl_task4[SubPLOs],"&gt;=10",tbl_task4[SubPLOs],"&lt;11")+COUNTIFS(tbl_task5[SubPLOs],"&gt;=10",tbl_task5[SubPLOs],"&lt;11")+COUNTIFS(tbl_task6[SubPLOs],"&gt;=10",tbl_task6[SubPLOs],"&lt;11")+COUNTIFS(tbl_task7[SubPLOs],"&gt;=10",tbl_task7[SubPLOs],"&lt;11")+COUNTIFS(tbl_task8[SubPLOs],"&gt;=10",tbl_task8[SubPLOs],"&lt;11")+COUNTIFS(tbl_task9[SubPLOs],"&gt;=10",tbl_task9[SubPLOs],"&lt;11")+COUNTIFS(tbl_task10[SubPLOs],"&gt;=10",tbl_task10[SubPLOs],"&lt;11")</f>
        <v>0</v>
      </c>
      <c r="D189" s="86">
        <f>SUMIFS(tbl_task1[คะแนนเต็ม],tbl_task1[SubPLOs],"&gt;=10",tbl_task1[SubPLOs],"&lt;11")+SUMIFS(tbl_task2[คะแนนเต็ม],tbl_task2[SubPLOs],"&gt;=10",tbl_task2[SubPLOs],"&lt;11")+SUMIFS(tbl_task3[คะแนนเต็ม],tbl_task3[SubPLOs],"&gt;=10",tbl_task3[SubPLOs],"&lt;11")+SUMIFS(tbl_task4[คะแนนเต็ม],tbl_task4[SubPLOs],"&gt;=10",tbl_task4[SubPLOs],"&lt;11")+SUMIFS(tbl_task5[คะแนนเต็ม],tbl_task5[SubPLOs],"&gt;=10",tbl_task5[SubPLOs],"&lt;11")+SUMIFS(tbl_task6[คะแนนเต็ม],tbl_task6[SubPLOs],"&gt;=10",tbl_task6[SubPLOs],"&lt;11")+SUMIFS(tbl_task7[คะแนนเต็ม],tbl_task7[SubPLOs],"&gt;=10",tbl_task7[SubPLOs],"&lt;11")+SUMIFS(tbl_task8[คะแนนเต็ม],tbl_task8[SubPLOs],"&gt;=10",tbl_task8[SubPLOs],"&lt;11")+SUMIFS(tbl_task9[คะแนนเต็ม],tbl_task9[SubPLOs],"&gt;=10",tbl_task9[SubPLOs],"&lt;11")+SUMIFS(tbl_task10[คะแนนเต็ม],tbl_task10[SubPLOs],"&gt;=10",tbl_task10[SubPLOs],"&lt;11")</f>
        <v>0</v>
      </c>
      <c r="E189" s="47">
        <f>SUMIFS(tbl_task1[%],tbl_task1[SubPLOs],"&gt;=10",tbl_task1[SubPLOs],"&lt;11")+SUMIFS(tbl_task2[%],tbl_task2[SubPLOs],"&gt;=10",tbl_task2[SubPLOs],"&lt;11")+SUMIFS(tbl_task3[%],tbl_task3[SubPLOs],"&gt;=10",tbl_task3[SubPLOs],"&lt;11")+SUMIFS(tbl_task4[%],tbl_task4[SubPLOs],"&gt;=10",tbl_task4[SubPLOs],"&lt;11")+SUMIFS(tbl_task5[%],tbl_task5[SubPLOs],"&gt;=10",tbl_task5[SubPLOs],"&lt;11")+SUMIFS(tbl_task6[%],tbl_task6[SubPLOs],"&gt;=10",tbl_task6[SubPLOs],"&lt;11")+SUMIFS(tbl_task7[%],tbl_task7[SubPLOs],"&gt;=10",tbl_task7[SubPLOs],"&lt;11")+SUMIFS(tbl_task8[%],tbl_task8[SubPLOs],"&gt;=10",tbl_task8[SubPLOs],"&lt;11")+SUMIFS(tbl_task9[%],tbl_task9[SubPLOs],"&gt;=10",tbl_task9[SubPLOs],"&lt;11")+SUMIFS(tbl_task10[%],tbl_task10[SubPLOs],"&gt;=10",tbl_task10[SubPLOs],"&lt;11")</f>
        <v>0</v>
      </c>
      <c r="F189" s="41">
        <f>SUMIFS(tbl_task1[S1],tbl_task1[[SubPLOs]:[SubPLOs]],"&gt;=10",tbl_task1[[SubPLOs]:[SubPLOs]],"&lt;11")+SUMIFS(tbl_task2[S1],tbl_task2[[SubPLOs]:[SubPLOs]],"&gt;=10",tbl_task2[[SubPLOs]:[SubPLOs]],"&lt;11")+SUMIFS(tbl_task3[S1],tbl_task3[[SubPLOs]:[SubPLOs]],"&gt;=10",tbl_task3[[SubPLOs]:[SubPLOs]],"&lt;11")+SUMIFS(tbl_task4[S1],tbl_task4[[SubPLOs]:[SubPLOs]],"&gt;=10",tbl_task4[[SubPLOs]:[SubPLOs]],"&lt;11")+SUMIFS(tbl_task5[S1],tbl_task5[[SubPLOs]:[SubPLOs]],"&gt;=10",tbl_task5[[SubPLOs]:[SubPLOs]],"&lt;11")+SUMIFS(tbl_task6[S1],tbl_task6[[SubPLOs]:[SubPLOs]],"&gt;=10",tbl_task6[[SubPLOs]:[SubPLOs]],"&lt;11")+SUMIFS(tbl_task7[S1],tbl_task7[[SubPLOs]:[SubPLOs]],"&gt;=10",tbl_task7[[SubPLOs]:[SubPLOs]],"&lt;11")+SUMIFS(tbl_task8[S1],tbl_task8[[SubPLOs]:[SubPLOs]],"&gt;=10",tbl_task8[[SubPLOs]:[SubPLOs]],"&lt;11")+SUMIFS(tbl_task9[S1],tbl_task9[[SubPLOs]:[SubPLOs]],"&gt;=10",tbl_task9[[SubPLOs]:[SubPLOs]],"&lt;11")+SUMIFS(tbl_task10[S1],tbl_task10[[SubPLOs]:[SubPLOs]],"&gt;=10",tbl_task10[[SubPLOs]:[SubPLOs]],"&lt;11")</f>
        <v>0</v>
      </c>
      <c r="G189" s="41">
        <f>SUMIFS(tbl_task1[S2],tbl_task1[[SubPLOs]:[SubPLOs]],"&gt;=10",tbl_task1[[SubPLOs]:[SubPLOs]],"&lt;11")+SUMIFS(tbl_task2[S2],tbl_task2[[SubPLOs]:[SubPLOs]],"&gt;=10",tbl_task2[[SubPLOs]:[SubPLOs]],"&lt;11")+SUMIFS(tbl_task3[S2],tbl_task3[[SubPLOs]:[SubPLOs]],"&gt;=10",tbl_task3[[SubPLOs]:[SubPLOs]],"&lt;11")+SUMIFS(tbl_task4[S2],tbl_task4[[SubPLOs]:[SubPLOs]],"&gt;=10",tbl_task4[[SubPLOs]:[SubPLOs]],"&lt;11")+SUMIFS(tbl_task5[S2],tbl_task5[[SubPLOs]:[SubPLOs]],"&gt;=10",tbl_task5[[SubPLOs]:[SubPLOs]],"&lt;11")+SUMIFS(tbl_task6[S2],tbl_task6[[SubPLOs]:[SubPLOs]],"&gt;=10",tbl_task6[[SubPLOs]:[SubPLOs]],"&lt;11")+SUMIFS(tbl_task7[S2],tbl_task7[[SubPLOs]:[SubPLOs]],"&gt;=10",tbl_task7[[SubPLOs]:[SubPLOs]],"&lt;11")+SUMIFS(tbl_task8[S2],tbl_task8[[SubPLOs]:[SubPLOs]],"&gt;=10",tbl_task8[[SubPLOs]:[SubPLOs]],"&lt;11")+SUMIFS(tbl_task9[S2],tbl_task9[[SubPLOs]:[SubPLOs]],"&gt;=10",tbl_task9[[SubPLOs]:[SubPLOs]],"&lt;11")+SUMIFS(tbl_task10[S2],tbl_task10[[SubPLOs]:[SubPLOs]],"&gt;=10",tbl_task10[[SubPLOs]:[SubPLOs]],"&lt;11")</f>
        <v>0</v>
      </c>
      <c r="H189" s="41">
        <f>SUMIFS(tbl_task1[S3],tbl_task1[[SubPLOs]:[SubPLOs]],"&gt;=10",tbl_task1[[SubPLOs]:[SubPLOs]],"&lt;11")+SUMIFS(tbl_task2[S3],tbl_task2[[SubPLOs]:[SubPLOs]],"&gt;=10",tbl_task2[[SubPLOs]:[SubPLOs]],"&lt;11")+SUMIFS(tbl_task3[S3],tbl_task3[[SubPLOs]:[SubPLOs]],"&gt;=10",tbl_task3[[SubPLOs]:[SubPLOs]],"&lt;11")+SUMIFS(tbl_task4[S3],tbl_task4[[SubPLOs]:[SubPLOs]],"&gt;=10",tbl_task4[[SubPLOs]:[SubPLOs]],"&lt;11")+SUMIFS(tbl_task5[S3],tbl_task5[[SubPLOs]:[SubPLOs]],"&gt;=10",tbl_task5[[SubPLOs]:[SubPLOs]],"&lt;11")+SUMIFS(tbl_task6[S3],tbl_task6[[SubPLOs]:[SubPLOs]],"&gt;=10",tbl_task6[[SubPLOs]:[SubPLOs]],"&lt;11")+SUMIFS(tbl_task7[S3],tbl_task7[[SubPLOs]:[SubPLOs]],"&gt;=10",tbl_task7[[SubPLOs]:[SubPLOs]],"&lt;11")+SUMIFS(tbl_task8[S3],tbl_task8[[SubPLOs]:[SubPLOs]],"&gt;=10",tbl_task8[[SubPLOs]:[SubPLOs]],"&lt;11")+SUMIFS(tbl_task9[S3],tbl_task9[[SubPLOs]:[SubPLOs]],"&gt;=10",tbl_task9[[SubPLOs]:[SubPLOs]],"&lt;11")+SUMIFS(tbl_task10[S3],tbl_task10[[SubPLOs]:[SubPLOs]],"&gt;=10",tbl_task10[[SubPLOs]:[SubPLOs]],"&lt;11")</f>
        <v>0</v>
      </c>
      <c r="I189" s="41">
        <f>SUMIFS(tbl_task1[S4],tbl_task1[[SubPLOs]:[SubPLOs]],"&gt;=10",tbl_task1[[SubPLOs]:[SubPLOs]],"&lt;11")+SUMIFS(tbl_task2[S4],tbl_task2[[SubPLOs]:[SubPLOs]],"&gt;=10",tbl_task2[[SubPLOs]:[SubPLOs]],"&lt;11")+SUMIFS(tbl_task3[S4],tbl_task3[[SubPLOs]:[SubPLOs]],"&gt;=10",tbl_task3[[SubPLOs]:[SubPLOs]],"&lt;11")+SUMIFS(tbl_task4[S4],tbl_task4[[SubPLOs]:[SubPLOs]],"&gt;=10",tbl_task4[[SubPLOs]:[SubPLOs]],"&lt;11")+SUMIFS(tbl_task5[S4],tbl_task5[[SubPLOs]:[SubPLOs]],"&gt;=10",tbl_task5[[SubPLOs]:[SubPLOs]],"&lt;11")+SUMIFS(tbl_task6[S4],tbl_task6[[SubPLOs]:[SubPLOs]],"&gt;=10",tbl_task6[[SubPLOs]:[SubPLOs]],"&lt;11")+SUMIFS(tbl_task7[S4],tbl_task7[[SubPLOs]:[SubPLOs]],"&gt;=10",tbl_task7[[SubPLOs]:[SubPLOs]],"&lt;11")+SUMIFS(tbl_task8[S4],tbl_task8[[SubPLOs]:[SubPLOs]],"&gt;=10",tbl_task8[[SubPLOs]:[SubPLOs]],"&lt;11")+SUMIFS(tbl_task9[S4],tbl_task9[[SubPLOs]:[SubPLOs]],"&gt;=10",tbl_task9[[SubPLOs]:[SubPLOs]],"&lt;11")+SUMIFS(tbl_task10[S4],tbl_task10[[SubPLOs]:[SubPLOs]],"&gt;=10",tbl_task10[[SubPLOs]:[SubPLOs]],"&lt;11")</f>
        <v>0</v>
      </c>
      <c r="J189" s="41">
        <f>SUMIFS(tbl_task1[S5],tbl_task1[[SubPLOs]:[SubPLOs]],"&gt;=10",tbl_task1[[SubPLOs]:[SubPLOs]],"&lt;11")+SUMIFS(tbl_task2[S5],tbl_task2[[SubPLOs]:[SubPLOs]],"&gt;=10",tbl_task2[[SubPLOs]:[SubPLOs]],"&lt;11")+SUMIFS(tbl_task3[S5],tbl_task3[[SubPLOs]:[SubPLOs]],"&gt;=10",tbl_task3[[SubPLOs]:[SubPLOs]],"&lt;11")+SUMIFS(tbl_task4[S5],tbl_task4[[SubPLOs]:[SubPLOs]],"&gt;=10",tbl_task4[[SubPLOs]:[SubPLOs]],"&lt;11")+SUMIFS(tbl_task5[S5],tbl_task5[[SubPLOs]:[SubPLOs]],"&gt;=10",tbl_task5[[SubPLOs]:[SubPLOs]],"&lt;11")+SUMIFS(tbl_task6[S5],tbl_task6[[SubPLOs]:[SubPLOs]],"&gt;=10",tbl_task6[[SubPLOs]:[SubPLOs]],"&lt;11")+SUMIFS(tbl_task7[S5],tbl_task7[[SubPLOs]:[SubPLOs]],"&gt;=10",tbl_task7[[SubPLOs]:[SubPLOs]],"&lt;11")+SUMIFS(tbl_task8[S5],tbl_task8[[SubPLOs]:[SubPLOs]],"&gt;=10",tbl_task8[[SubPLOs]:[SubPLOs]],"&lt;11")+SUMIFS(tbl_task9[S5],tbl_task9[[SubPLOs]:[SubPLOs]],"&gt;=10",tbl_task9[[SubPLOs]:[SubPLOs]],"&lt;11")+SUMIFS(tbl_task10[S5],tbl_task10[[SubPLOs]:[SubPLOs]],"&gt;=10",tbl_task10[[SubPLOs]:[SubPLOs]],"&lt;11")</f>
        <v>0</v>
      </c>
      <c r="K189" s="41">
        <f>SUMIFS(tbl_task1[S6],tbl_task1[[SubPLOs]:[SubPLOs]],"&gt;=10",tbl_task1[[SubPLOs]:[SubPLOs]],"&lt;11")+SUMIFS(tbl_task2[S6],tbl_task2[[SubPLOs]:[SubPLOs]],"&gt;=10",tbl_task2[[SubPLOs]:[SubPLOs]],"&lt;11")+SUMIFS(tbl_task3[S6],tbl_task3[[SubPLOs]:[SubPLOs]],"&gt;=10",tbl_task3[[SubPLOs]:[SubPLOs]],"&lt;11")+SUMIFS(tbl_task4[S6],tbl_task4[[SubPLOs]:[SubPLOs]],"&gt;=10",tbl_task4[[SubPLOs]:[SubPLOs]],"&lt;11")+SUMIFS(tbl_task5[S6],tbl_task5[[SubPLOs]:[SubPLOs]],"&gt;=10",tbl_task5[[SubPLOs]:[SubPLOs]],"&lt;11")+SUMIFS(tbl_task6[S6],tbl_task6[[SubPLOs]:[SubPLOs]],"&gt;=10",tbl_task6[[SubPLOs]:[SubPLOs]],"&lt;11")+SUMIFS(tbl_task7[S6],tbl_task7[[SubPLOs]:[SubPLOs]],"&gt;=10",tbl_task7[[SubPLOs]:[SubPLOs]],"&lt;11")+SUMIFS(tbl_task8[S6],tbl_task8[[SubPLOs]:[SubPLOs]],"&gt;=10",tbl_task8[[SubPLOs]:[SubPLOs]],"&lt;11")+SUMIFS(tbl_task9[S6],tbl_task9[[SubPLOs]:[SubPLOs]],"&gt;=10",tbl_task9[[SubPLOs]:[SubPLOs]],"&lt;11")+SUMIFS(tbl_task10[S6],tbl_task10[[SubPLOs]:[SubPLOs]],"&gt;=10",tbl_task10[[SubPLOs]:[SubPLOs]],"&lt;11")</f>
        <v>0</v>
      </c>
      <c r="L189" s="41">
        <f>SUMIFS(tbl_task1[S7],tbl_task1[[SubPLOs]:[SubPLOs]],"&gt;=10",tbl_task1[[SubPLOs]:[SubPLOs]],"&lt;11")+SUMIFS(tbl_task2[S7],tbl_task2[[SubPLOs]:[SubPLOs]],"&gt;=10",tbl_task2[[SubPLOs]:[SubPLOs]],"&lt;11")+SUMIFS(tbl_task3[S7],tbl_task3[[SubPLOs]:[SubPLOs]],"&gt;=10",tbl_task3[[SubPLOs]:[SubPLOs]],"&lt;11")+SUMIFS(tbl_task4[S7],tbl_task4[[SubPLOs]:[SubPLOs]],"&gt;=10",tbl_task4[[SubPLOs]:[SubPLOs]],"&lt;11")+SUMIFS(tbl_task5[S7],tbl_task5[[SubPLOs]:[SubPLOs]],"&gt;=10",tbl_task5[[SubPLOs]:[SubPLOs]],"&lt;11")+SUMIFS(tbl_task6[S7],tbl_task6[[SubPLOs]:[SubPLOs]],"&gt;=10",tbl_task6[[SubPLOs]:[SubPLOs]],"&lt;11")+SUMIFS(tbl_task7[S7],tbl_task7[[SubPLOs]:[SubPLOs]],"&gt;=10",tbl_task7[[SubPLOs]:[SubPLOs]],"&lt;11")+SUMIFS(tbl_task8[S7],tbl_task8[[SubPLOs]:[SubPLOs]],"&gt;=10",tbl_task8[[SubPLOs]:[SubPLOs]],"&lt;11")+SUMIFS(tbl_task9[S7],tbl_task9[[SubPLOs]:[SubPLOs]],"&gt;=10",tbl_task9[[SubPLOs]:[SubPLOs]],"&lt;11")+SUMIFS(tbl_task10[S7],tbl_task10[[SubPLOs]:[SubPLOs]],"&gt;=10",tbl_task10[[SubPLOs]:[SubPLOs]],"&lt;11")</f>
        <v>0</v>
      </c>
      <c r="M189" s="41">
        <f>SUMIFS(tbl_task1[S8],tbl_task1[[SubPLOs]:[SubPLOs]],"&gt;=10",tbl_task1[[SubPLOs]:[SubPLOs]],"&lt;11")+SUMIFS(tbl_task2[S8],tbl_task2[[SubPLOs]:[SubPLOs]],"&gt;=10",tbl_task2[[SubPLOs]:[SubPLOs]],"&lt;11")+SUMIFS(tbl_task3[S8],tbl_task3[[SubPLOs]:[SubPLOs]],"&gt;=10",tbl_task3[[SubPLOs]:[SubPLOs]],"&lt;11")+SUMIFS(tbl_task4[S8],tbl_task4[[SubPLOs]:[SubPLOs]],"&gt;=10",tbl_task4[[SubPLOs]:[SubPLOs]],"&lt;11")+SUMIFS(tbl_task5[S8],tbl_task5[[SubPLOs]:[SubPLOs]],"&gt;=10",tbl_task5[[SubPLOs]:[SubPLOs]],"&lt;11")+SUMIFS(tbl_task6[S8],tbl_task6[[SubPLOs]:[SubPLOs]],"&gt;=10",tbl_task6[[SubPLOs]:[SubPLOs]],"&lt;11")+SUMIFS(tbl_task7[S8],tbl_task7[[SubPLOs]:[SubPLOs]],"&gt;=10",tbl_task7[[SubPLOs]:[SubPLOs]],"&lt;11")+SUMIFS(tbl_task8[S8],tbl_task8[[SubPLOs]:[SubPLOs]],"&gt;=10",tbl_task8[[SubPLOs]:[SubPLOs]],"&lt;11")+SUMIFS(tbl_task9[S8],tbl_task9[[SubPLOs]:[SubPLOs]],"&gt;=10",tbl_task9[[SubPLOs]:[SubPLOs]],"&lt;11")+SUMIFS(tbl_task10[S8],tbl_task10[[SubPLOs]:[SubPLOs]],"&gt;=10",tbl_task10[[SubPLOs]:[SubPLOs]],"&lt;11")</f>
        <v>0</v>
      </c>
      <c r="N189" s="41">
        <f>SUMIFS(tbl_task1[S9],tbl_task1[[SubPLOs]:[SubPLOs]],"&gt;=10",tbl_task1[[SubPLOs]:[SubPLOs]],"&lt;11")+SUMIFS(tbl_task2[S9],tbl_task2[[SubPLOs]:[SubPLOs]],"&gt;=10",tbl_task2[[SubPLOs]:[SubPLOs]],"&lt;11")+SUMIFS(tbl_task3[S9],tbl_task3[[SubPLOs]:[SubPLOs]],"&gt;=10",tbl_task3[[SubPLOs]:[SubPLOs]],"&lt;11")+SUMIFS(tbl_task4[S9],tbl_task4[[SubPLOs]:[SubPLOs]],"&gt;=10",tbl_task4[[SubPLOs]:[SubPLOs]],"&lt;11")+SUMIFS(tbl_task5[S9],tbl_task5[[SubPLOs]:[SubPLOs]],"&gt;=10",tbl_task5[[SubPLOs]:[SubPLOs]],"&lt;11")+SUMIFS(tbl_task6[S9],tbl_task6[[SubPLOs]:[SubPLOs]],"&gt;=10",tbl_task6[[SubPLOs]:[SubPLOs]],"&lt;11")+SUMIFS(tbl_task7[S9],tbl_task7[[SubPLOs]:[SubPLOs]],"&gt;=10",tbl_task7[[SubPLOs]:[SubPLOs]],"&lt;11")+SUMIFS(tbl_task8[S9],tbl_task8[[SubPLOs]:[SubPLOs]],"&gt;=10",tbl_task8[[SubPLOs]:[SubPLOs]],"&lt;11")+SUMIFS(tbl_task9[S9],tbl_task9[[SubPLOs]:[SubPLOs]],"&gt;=10",tbl_task9[[SubPLOs]:[SubPLOs]],"&lt;11")+SUMIFS(tbl_task10[S9],tbl_task10[[SubPLOs]:[SubPLOs]],"&gt;=10",tbl_task10[[SubPLOs]:[SubPLOs]],"&lt;11")</f>
        <v>0</v>
      </c>
      <c r="O189" s="41">
        <f>SUMIFS(tbl_task1[S10],tbl_task1[[SubPLOs]:[SubPLOs]],"&gt;=10",tbl_task1[[SubPLOs]:[SubPLOs]],"&lt;11")+SUMIFS(tbl_task2[S10],tbl_task2[[SubPLOs]:[SubPLOs]],"&gt;=10",tbl_task2[[SubPLOs]:[SubPLOs]],"&lt;11")+SUMIFS(tbl_task3[S10],tbl_task3[[SubPLOs]:[SubPLOs]],"&gt;=10",tbl_task3[[SubPLOs]:[SubPLOs]],"&lt;11")+SUMIFS(tbl_task4[S10],tbl_task4[[SubPLOs]:[SubPLOs]],"&gt;=10",tbl_task4[[SubPLOs]:[SubPLOs]],"&lt;11")+SUMIFS(tbl_task5[S10],tbl_task5[[SubPLOs]:[SubPLOs]],"&gt;=10",tbl_task5[[SubPLOs]:[SubPLOs]],"&lt;11")+SUMIFS(tbl_task6[S10],tbl_task6[[SubPLOs]:[SubPLOs]],"&gt;=10",tbl_task6[[SubPLOs]:[SubPLOs]],"&lt;11")+SUMIFS(tbl_task7[S10],tbl_task7[[SubPLOs]:[SubPLOs]],"&gt;=10",tbl_task7[[SubPLOs]:[SubPLOs]],"&lt;11")+SUMIFS(tbl_task8[S10],tbl_task8[[SubPLOs]:[SubPLOs]],"&gt;=10",tbl_task8[[SubPLOs]:[SubPLOs]],"&lt;11")+SUMIFS(tbl_task9[S10],tbl_task9[[SubPLOs]:[SubPLOs]],"&gt;=10",tbl_task9[[SubPLOs]:[SubPLOs]],"&lt;11")+SUMIFS(tbl_task10[S10],tbl_task10[[SubPLOs]:[SubPLOs]],"&gt;=10",tbl_task10[[SubPLOs]:[SubPLOs]],"&lt;11")</f>
        <v>0</v>
      </c>
      <c r="P189" s="41">
        <f>SUMIFS(tbl_task1[S11],tbl_task1[[SubPLOs]:[SubPLOs]],"&gt;=10",tbl_task1[[SubPLOs]:[SubPLOs]],"&lt;11")+SUMIFS(tbl_task2[S11],tbl_task2[[SubPLOs]:[SubPLOs]],"&gt;=10",tbl_task2[[SubPLOs]:[SubPLOs]],"&lt;11")+SUMIFS(tbl_task3[S11],tbl_task3[[SubPLOs]:[SubPLOs]],"&gt;=10",tbl_task3[[SubPLOs]:[SubPLOs]],"&lt;11")+SUMIFS(tbl_task4[S11],tbl_task4[[SubPLOs]:[SubPLOs]],"&gt;=10",tbl_task4[[SubPLOs]:[SubPLOs]],"&lt;11")+SUMIFS(tbl_task5[S11],tbl_task5[[SubPLOs]:[SubPLOs]],"&gt;=10",tbl_task5[[SubPLOs]:[SubPLOs]],"&lt;11")+SUMIFS(tbl_task6[S11],tbl_task6[[SubPLOs]:[SubPLOs]],"&gt;=10",tbl_task6[[SubPLOs]:[SubPLOs]],"&lt;11")+SUMIFS(tbl_task7[S11],tbl_task7[[SubPLOs]:[SubPLOs]],"&gt;=10",tbl_task7[[SubPLOs]:[SubPLOs]],"&lt;11")+SUMIFS(tbl_task8[S11],tbl_task8[[SubPLOs]:[SubPLOs]],"&gt;=10",tbl_task8[[SubPLOs]:[SubPLOs]],"&lt;11")+SUMIFS(tbl_task9[S11],tbl_task9[[SubPLOs]:[SubPLOs]],"&gt;=10",tbl_task9[[SubPLOs]:[SubPLOs]],"&lt;11")+SUMIFS(tbl_task10[S11],tbl_task10[[SubPLOs]:[SubPLOs]],"&gt;=10",tbl_task10[[SubPLOs]:[SubPLOs]],"&lt;11")</f>
        <v>0</v>
      </c>
      <c r="Q189" s="41">
        <f>SUMIFS(tbl_task1[S12],tbl_task1[[SubPLOs]:[SubPLOs]],"&gt;=10",tbl_task1[[SubPLOs]:[SubPLOs]],"&lt;11")+SUMIFS(tbl_task2[S12],tbl_task2[[SubPLOs]:[SubPLOs]],"&gt;=10",tbl_task2[[SubPLOs]:[SubPLOs]],"&lt;11")+SUMIFS(tbl_task3[S12],tbl_task3[[SubPLOs]:[SubPLOs]],"&gt;=10",tbl_task3[[SubPLOs]:[SubPLOs]],"&lt;11")+SUMIFS(tbl_task4[S12],tbl_task4[[SubPLOs]:[SubPLOs]],"&gt;=10",tbl_task4[[SubPLOs]:[SubPLOs]],"&lt;11")+SUMIFS(tbl_task5[S12],tbl_task5[[SubPLOs]:[SubPLOs]],"&gt;=10",tbl_task5[[SubPLOs]:[SubPLOs]],"&lt;11")+SUMIFS(tbl_task6[S12],tbl_task6[[SubPLOs]:[SubPLOs]],"&gt;=10",tbl_task6[[SubPLOs]:[SubPLOs]],"&lt;11")+SUMIFS(tbl_task7[S12],tbl_task7[[SubPLOs]:[SubPLOs]],"&gt;=10",tbl_task7[[SubPLOs]:[SubPLOs]],"&lt;11")+SUMIFS(tbl_task8[S12],tbl_task8[[SubPLOs]:[SubPLOs]],"&gt;=10",tbl_task8[[SubPLOs]:[SubPLOs]],"&lt;11")+SUMIFS(tbl_task9[S12],tbl_task9[[SubPLOs]:[SubPLOs]],"&gt;=10",tbl_task9[[SubPLOs]:[SubPLOs]],"&lt;11")+SUMIFS(tbl_task10[S12],tbl_task10[[SubPLOs]:[SubPLOs]],"&gt;=10",tbl_task10[[SubPLOs]:[SubPLOs]],"&lt;11")</f>
        <v>0</v>
      </c>
      <c r="R189" s="41">
        <f>SUMIFS(tbl_task1[S13],tbl_task1[[SubPLOs]:[SubPLOs]],"&gt;=10",tbl_task1[[SubPLOs]:[SubPLOs]],"&lt;11")+SUMIFS(tbl_task2[S13],tbl_task2[[SubPLOs]:[SubPLOs]],"&gt;=10",tbl_task2[[SubPLOs]:[SubPLOs]],"&lt;11")+SUMIFS(tbl_task3[S13],tbl_task3[[SubPLOs]:[SubPLOs]],"&gt;=10",tbl_task3[[SubPLOs]:[SubPLOs]],"&lt;11")+SUMIFS(tbl_task4[S13],tbl_task4[[SubPLOs]:[SubPLOs]],"&gt;=10",tbl_task4[[SubPLOs]:[SubPLOs]],"&lt;11")+SUMIFS(tbl_task5[S13],tbl_task5[[SubPLOs]:[SubPLOs]],"&gt;=10",tbl_task5[[SubPLOs]:[SubPLOs]],"&lt;11")+SUMIFS(tbl_task6[S13],tbl_task6[[SubPLOs]:[SubPLOs]],"&gt;=10",tbl_task6[[SubPLOs]:[SubPLOs]],"&lt;11")+SUMIFS(tbl_task7[S13],tbl_task7[[SubPLOs]:[SubPLOs]],"&gt;=10",tbl_task7[[SubPLOs]:[SubPLOs]],"&lt;11")+SUMIFS(tbl_task8[S13],tbl_task8[[SubPLOs]:[SubPLOs]],"&gt;=10",tbl_task8[[SubPLOs]:[SubPLOs]],"&lt;11")+SUMIFS(tbl_task9[S13],tbl_task9[[SubPLOs]:[SubPLOs]],"&gt;=10",tbl_task9[[SubPLOs]:[SubPLOs]],"&lt;11")+SUMIFS(tbl_task10[S13],tbl_task10[[SubPLOs]:[SubPLOs]],"&gt;=10",tbl_task10[[SubPLOs]:[SubPLOs]],"&lt;11")</f>
        <v>0</v>
      </c>
      <c r="S189" s="41">
        <f>SUMIFS(tbl_task1[S14],tbl_task1[[SubPLOs]:[SubPLOs]],"&gt;=10",tbl_task1[[SubPLOs]:[SubPLOs]],"&lt;11")+SUMIFS(tbl_task2[S14],tbl_task2[[SubPLOs]:[SubPLOs]],"&gt;=10",tbl_task2[[SubPLOs]:[SubPLOs]],"&lt;11")+SUMIFS(tbl_task3[S14],tbl_task3[[SubPLOs]:[SubPLOs]],"&gt;=10",tbl_task3[[SubPLOs]:[SubPLOs]],"&lt;11")+SUMIFS(tbl_task4[S14],tbl_task4[[SubPLOs]:[SubPLOs]],"&gt;=10",tbl_task4[[SubPLOs]:[SubPLOs]],"&lt;11")+SUMIFS(tbl_task5[S14],tbl_task5[[SubPLOs]:[SubPLOs]],"&gt;=10",tbl_task5[[SubPLOs]:[SubPLOs]],"&lt;11")+SUMIFS(tbl_task6[S14],tbl_task6[[SubPLOs]:[SubPLOs]],"&gt;=10",tbl_task6[[SubPLOs]:[SubPLOs]],"&lt;11")+SUMIFS(tbl_task7[S14],tbl_task7[[SubPLOs]:[SubPLOs]],"&gt;=10",tbl_task7[[SubPLOs]:[SubPLOs]],"&lt;11")+SUMIFS(tbl_task8[S14],tbl_task8[[SubPLOs]:[SubPLOs]],"&gt;=10",tbl_task8[[SubPLOs]:[SubPLOs]],"&lt;11")+SUMIFS(tbl_task9[S14],tbl_task9[[SubPLOs]:[SubPLOs]],"&gt;=10",tbl_task9[[SubPLOs]:[SubPLOs]],"&lt;11")+SUMIFS(tbl_task10[S14],tbl_task10[[SubPLOs]:[SubPLOs]],"&gt;=10",tbl_task10[[SubPLOs]:[SubPLOs]],"&lt;11")</f>
        <v>0</v>
      </c>
      <c r="T189" s="41">
        <f>SUMIFS(tbl_task1[S15],tbl_task1[[SubPLOs]:[SubPLOs]],"&gt;=10",tbl_task1[[SubPLOs]:[SubPLOs]],"&lt;11")+SUMIFS(tbl_task2[S15],tbl_task2[[SubPLOs]:[SubPLOs]],"&gt;=10",tbl_task2[[SubPLOs]:[SubPLOs]],"&lt;11")+SUMIFS(tbl_task3[S15],tbl_task3[[SubPLOs]:[SubPLOs]],"&gt;=10",tbl_task3[[SubPLOs]:[SubPLOs]],"&lt;11")+SUMIFS(tbl_task4[S15],tbl_task4[[SubPLOs]:[SubPLOs]],"&gt;=10",tbl_task4[[SubPLOs]:[SubPLOs]],"&lt;11")+SUMIFS(tbl_task5[S15],tbl_task5[[SubPLOs]:[SubPLOs]],"&gt;=10",tbl_task5[[SubPLOs]:[SubPLOs]],"&lt;11")+SUMIFS(tbl_task6[S15],tbl_task6[[SubPLOs]:[SubPLOs]],"&gt;=10",tbl_task6[[SubPLOs]:[SubPLOs]],"&lt;11")+SUMIFS(tbl_task7[S15],tbl_task7[[SubPLOs]:[SubPLOs]],"&gt;=10",tbl_task7[[SubPLOs]:[SubPLOs]],"&lt;11")+SUMIFS(tbl_task8[S15],tbl_task8[[SubPLOs]:[SubPLOs]],"&gt;=10",tbl_task8[[SubPLOs]:[SubPLOs]],"&lt;11")+SUMIFS(tbl_task9[S15],tbl_task9[[SubPLOs]:[SubPLOs]],"&gt;=10",tbl_task9[[SubPLOs]:[SubPLOs]],"&lt;11")+SUMIFS(tbl_task10[S15],tbl_task10[[SubPLOs]:[SubPLOs]],"&gt;=10",tbl_task10[[SubPLOs]:[SubPLOs]],"&lt;11")</f>
        <v>0</v>
      </c>
      <c r="U189" s="41">
        <f>SUMIFS(tbl_task1[S16],tbl_task1[[SubPLOs]:[SubPLOs]],"&gt;=10",tbl_task1[[SubPLOs]:[SubPLOs]],"&lt;11")+SUMIFS(tbl_task2[S16],tbl_task2[[SubPLOs]:[SubPLOs]],"&gt;=10",tbl_task2[[SubPLOs]:[SubPLOs]],"&lt;11")+SUMIFS(tbl_task3[S16],tbl_task3[[SubPLOs]:[SubPLOs]],"&gt;=10",tbl_task3[[SubPLOs]:[SubPLOs]],"&lt;11")+SUMIFS(tbl_task4[S16],tbl_task4[[SubPLOs]:[SubPLOs]],"&gt;=10",tbl_task4[[SubPLOs]:[SubPLOs]],"&lt;11")+SUMIFS(tbl_task5[S16],tbl_task5[[SubPLOs]:[SubPLOs]],"&gt;=10",tbl_task5[[SubPLOs]:[SubPLOs]],"&lt;11")+SUMIFS(tbl_task6[S16],tbl_task6[[SubPLOs]:[SubPLOs]],"&gt;=10",tbl_task6[[SubPLOs]:[SubPLOs]],"&lt;11")+SUMIFS(tbl_task7[S16],tbl_task7[[SubPLOs]:[SubPLOs]],"&gt;=10",tbl_task7[[SubPLOs]:[SubPLOs]],"&lt;11")+SUMIFS(tbl_task8[S16],tbl_task8[[SubPLOs]:[SubPLOs]],"&gt;=10",tbl_task8[[SubPLOs]:[SubPLOs]],"&lt;11")+SUMIFS(tbl_task9[S16],tbl_task9[[SubPLOs]:[SubPLOs]],"&gt;=10",tbl_task9[[SubPLOs]:[SubPLOs]],"&lt;11")+SUMIFS(tbl_task10[S16],tbl_task10[[SubPLOs]:[SubPLOs]],"&gt;=10",tbl_task10[[SubPLOs]:[SubPLOs]],"&lt;11")</f>
        <v>0</v>
      </c>
      <c r="V189" s="41">
        <f>SUMIFS(tbl_task1[S17],tbl_task1[[SubPLOs]:[SubPLOs]],"&gt;=10",tbl_task1[[SubPLOs]:[SubPLOs]],"&lt;11")+SUMIFS(tbl_task2[S17],tbl_task2[[SubPLOs]:[SubPLOs]],"&gt;=10",tbl_task2[[SubPLOs]:[SubPLOs]],"&lt;11")+SUMIFS(tbl_task3[S17],tbl_task3[[SubPLOs]:[SubPLOs]],"&gt;=10",tbl_task3[[SubPLOs]:[SubPLOs]],"&lt;11")+SUMIFS(tbl_task4[S17],tbl_task4[[SubPLOs]:[SubPLOs]],"&gt;=10",tbl_task4[[SubPLOs]:[SubPLOs]],"&lt;11")+SUMIFS(tbl_task5[S17],tbl_task5[[SubPLOs]:[SubPLOs]],"&gt;=10",tbl_task5[[SubPLOs]:[SubPLOs]],"&lt;11")+SUMIFS(tbl_task6[S17],tbl_task6[[SubPLOs]:[SubPLOs]],"&gt;=10",tbl_task6[[SubPLOs]:[SubPLOs]],"&lt;11")+SUMIFS(tbl_task7[S17],tbl_task7[[SubPLOs]:[SubPLOs]],"&gt;=10",tbl_task7[[SubPLOs]:[SubPLOs]],"&lt;11")+SUMIFS(tbl_task8[S17],tbl_task8[[SubPLOs]:[SubPLOs]],"&gt;=10",tbl_task8[[SubPLOs]:[SubPLOs]],"&lt;11")+SUMIFS(tbl_task9[S17],tbl_task9[[SubPLOs]:[SubPLOs]],"&gt;=10",tbl_task9[[SubPLOs]:[SubPLOs]],"&lt;11")+SUMIFS(tbl_task10[S17],tbl_task10[[SubPLOs]:[SubPLOs]],"&gt;=10",tbl_task10[[SubPLOs]:[SubPLOs]],"&lt;11")</f>
        <v>0</v>
      </c>
      <c r="W189" s="41">
        <f>SUMIFS(tbl_task1[S18],tbl_task1[[SubPLOs]:[SubPLOs]],"&gt;=10",tbl_task1[[SubPLOs]:[SubPLOs]],"&lt;11")+SUMIFS(tbl_task2[S18],tbl_task2[[SubPLOs]:[SubPLOs]],"&gt;=10",tbl_task2[[SubPLOs]:[SubPLOs]],"&lt;11")+SUMIFS(tbl_task3[S18],tbl_task3[[SubPLOs]:[SubPLOs]],"&gt;=10",tbl_task3[[SubPLOs]:[SubPLOs]],"&lt;11")+SUMIFS(tbl_task4[S18],tbl_task4[[SubPLOs]:[SubPLOs]],"&gt;=10",tbl_task4[[SubPLOs]:[SubPLOs]],"&lt;11")+SUMIFS(tbl_task5[S18],tbl_task5[[SubPLOs]:[SubPLOs]],"&gt;=10",tbl_task5[[SubPLOs]:[SubPLOs]],"&lt;11")+SUMIFS(tbl_task6[S18],tbl_task6[[SubPLOs]:[SubPLOs]],"&gt;=10",tbl_task6[[SubPLOs]:[SubPLOs]],"&lt;11")+SUMIFS(tbl_task7[S18],tbl_task7[[SubPLOs]:[SubPLOs]],"&gt;=10",tbl_task7[[SubPLOs]:[SubPLOs]],"&lt;11")+SUMIFS(tbl_task8[S18],tbl_task8[[SubPLOs]:[SubPLOs]],"&gt;=10",tbl_task8[[SubPLOs]:[SubPLOs]],"&lt;11")+SUMIFS(tbl_task9[S18],tbl_task9[[SubPLOs]:[SubPLOs]],"&gt;=10",tbl_task9[[SubPLOs]:[SubPLOs]],"&lt;11")+SUMIFS(tbl_task10[S18],tbl_task10[[SubPLOs]:[SubPLOs]],"&gt;=10",tbl_task10[[SubPLOs]:[SubPLOs]],"&lt;11")</f>
        <v>0</v>
      </c>
      <c r="X189" s="41">
        <f>SUMIFS(tbl_task1[S19],tbl_task1[[SubPLOs]:[SubPLOs]],"&gt;=10",tbl_task1[[SubPLOs]:[SubPLOs]],"&lt;11")+SUMIFS(tbl_task2[S19],tbl_task2[[SubPLOs]:[SubPLOs]],"&gt;=10",tbl_task2[[SubPLOs]:[SubPLOs]],"&lt;11")+SUMIFS(tbl_task3[S19],tbl_task3[[SubPLOs]:[SubPLOs]],"&gt;=10",tbl_task3[[SubPLOs]:[SubPLOs]],"&lt;11")+SUMIFS(tbl_task4[S19],tbl_task4[[SubPLOs]:[SubPLOs]],"&gt;=10",tbl_task4[[SubPLOs]:[SubPLOs]],"&lt;11")+SUMIFS(tbl_task5[S19],tbl_task5[[SubPLOs]:[SubPLOs]],"&gt;=10",tbl_task5[[SubPLOs]:[SubPLOs]],"&lt;11")+SUMIFS(tbl_task6[S19],tbl_task6[[SubPLOs]:[SubPLOs]],"&gt;=10",tbl_task6[[SubPLOs]:[SubPLOs]],"&lt;11")+SUMIFS(tbl_task7[S19],tbl_task7[[SubPLOs]:[SubPLOs]],"&gt;=10",tbl_task7[[SubPLOs]:[SubPLOs]],"&lt;11")+SUMIFS(tbl_task8[S19],tbl_task8[[SubPLOs]:[SubPLOs]],"&gt;=10",tbl_task8[[SubPLOs]:[SubPLOs]],"&lt;11")+SUMIFS(tbl_task9[S19],tbl_task9[[SubPLOs]:[SubPLOs]],"&gt;=10",tbl_task9[[SubPLOs]:[SubPLOs]],"&lt;11")+SUMIFS(tbl_task10[S19],tbl_task10[[SubPLOs]:[SubPLOs]],"&gt;=10",tbl_task10[[SubPLOs]:[SubPLOs]],"&lt;11")</f>
        <v>0</v>
      </c>
      <c r="Y189" s="41">
        <f>SUMIFS(tbl_task1[S20],tbl_task1[[SubPLOs]:[SubPLOs]],"&gt;=10",tbl_task1[[SubPLOs]:[SubPLOs]],"&lt;11")+SUMIFS(tbl_task2[S20],tbl_task2[[SubPLOs]:[SubPLOs]],"&gt;=10",tbl_task2[[SubPLOs]:[SubPLOs]],"&lt;11")+SUMIFS(tbl_task3[S20],tbl_task3[[SubPLOs]:[SubPLOs]],"&gt;=10",tbl_task3[[SubPLOs]:[SubPLOs]],"&lt;11")+SUMIFS(tbl_task4[S20],tbl_task4[[SubPLOs]:[SubPLOs]],"&gt;=10",tbl_task4[[SubPLOs]:[SubPLOs]],"&lt;11")+SUMIFS(tbl_task5[S20],tbl_task5[[SubPLOs]:[SubPLOs]],"&gt;=10",tbl_task5[[SubPLOs]:[SubPLOs]],"&lt;11")+SUMIFS(tbl_task6[S20],tbl_task6[[SubPLOs]:[SubPLOs]],"&gt;=10",tbl_task6[[SubPLOs]:[SubPLOs]],"&lt;11")+SUMIFS(tbl_task7[S20],tbl_task7[[SubPLOs]:[SubPLOs]],"&gt;=10",tbl_task7[[SubPLOs]:[SubPLOs]],"&lt;11")+SUMIFS(tbl_task8[S20],tbl_task8[[SubPLOs]:[SubPLOs]],"&gt;=10",tbl_task8[[SubPLOs]:[SubPLOs]],"&lt;11")+SUMIFS(tbl_task9[S20],tbl_task9[[SubPLOs]:[SubPLOs]],"&gt;=10",tbl_task9[[SubPLOs]:[SubPLOs]],"&lt;11")+SUMIFS(tbl_task10[S20],tbl_task10[[SubPLOs]:[SubPLOs]],"&gt;=10",tbl_task10[[SubPLOs]:[SubPLOs]],"&lt;11")</f>
        <v>0</v>
      </c>
      <c r="Z189" s="41">
        <f>SUMIFS(tbl_task1[S21],tbl_task1[[SubPLOs]:[SubPLOs]],"&gt;=10",tbl_task1[[SubPLOs]:[SubPLOs]],"&lt;11")+SUMIFS(tbl_task2[S21],tbl_task2[[SubPLOs]:[SubPLOs]],"&gt;=10",tbl_task2[[SubPLOs]:[SubPLOs]],"&lt;11")+SUMIFS(tbl_task3[S21],tbl_task3[[SubPLOs]:[SubPLOs]],"&gt;=10",tbl_task3[[SubPLOs]:[SubPLOs]],"&lt;11")+SUMIFS(tbl_task4[S21],tbl_task4[[SubPLOs]:[SubPLOs]],"&gt;=10",tbl_task4[[SubPLOs]:[SubPLOs]],"&lt;11")+SUMIFS(tbl_task5[S21],tbl_task5[[SubPLOs]:[SubPLOs]],"&gt;=10",tbl_task5[[SubPLOs]:[SubPLOs]],"&lt;11")+SUMIFS(tbl_task6[S21],tbl_task6[[SubPLOs]:[SubPLOs]],"&gt;=10",tbl_task6[[SubPLOs]:[SubPLOs]],"&lt;11")+SUMIFS(tbl_task7[S21],tbl_task7[[SubPLOs]:[SubPLOs]],"&gt;=10",tbl_task7[[SubPLOs]:[SubPLOs]],"&lt;11")+SUMIFS(tbl_task8[S21],tbl_task8[[SubPLOs]:[SubPLOs]],"&gt;=10",tbl_task8[[SubPLOs]:[SubPLOs]],"&lt;11")+SUMIFS(tbl_task9[S21],tbl_task9[[SubPLOs]:[SubPLOs]],"&gt;=10",tbl_task9[[SubPLOs]:[SubPLOs]],"&lt;11")+SUMIFS(tbl_task10[S21],tbl_task10[[SubPLOs]:[SubPLOs]],"&gt;=10",tbl_task10[[SubPLOs]:[SubPLOs]],"&lt;11")</f>
        <v>0</v>
      </c>
      <c r="AA189" s="41">
        <f>SUMIFS(tbl_task1[S22],tbl_task1[[SubPLOs]:[SubPLOs]],"&gt;=10",tbl_task1[[SubPLOs]:[SubPLOs]],"&lt;11")+SUMIFS(tbl_task2[S22],tbl_task2[[SubPLOs]:[SubPLOs]],"&gt;=10",tbl_task2[[SubPLOs]:[SubPLOs]],"&lt;11")+SUMIFS(tbl_task3[S22],tbl_task3[[SubPLOs]:[SubPLOs]],"&gt;=10",tbl_task3[[SubPLOs]:[SubPLOs]],"&lt;11")+SUMIFS(tbl_task4[S22],tbl_task4[[SubPLOs]:[SubPLOs]],"&gt;=10",tbl_task4[[SubPLOs]:[SubPLOs]],"&lt;11")+SUMIFS(tbl_task5[S22],tbl_task5[[SubPLOs]:[SubPLOs]],"&gt;=10",tbl_task5[[SubPLOs]:[SubPLOs]],"&lt;11")+SUMIFS(tbl_task6[S22],tbl_task6[[SubPLOs]:[SubPLOs]],"&gt;=10",tbl_task6[[SubPLOs]:[SubPLOs]],"&lt;11")+SUMIFS(tbl_task7[S22],tbl_task7[[SubPLOs]:[SubPLOs]],"&gt;=10",tbl_task7[[SubPLOs]:[SubPLOs]],"&lt;11")+SUMIFS(tbl_task8[S22],tbl_task8[[SubPLOs]:[SubPLOs]],"&gt;=10",tbl_task8[[SubPLOs]:[SubPLOs]],"&lt;11")+SUMIFS(tbl_task9[S22],tbl_task9[[SubPLOs]:[SubPLOs]],"&gt;=10",tbl_task9[[SubPLOs]:[SubPLOs]],"&lt;11")+SUMIFS(tbl_task10[S22],tbl_task10[[SubPLOs]:[SubPLOs]],"&gt;=10",tbl_task10[[SubPLOs]:[SubPLOs]],"&lt;11")</f>
        <v>0</v>
      </c>
      <c r="AB189" s="41">
        <f>SUMIFS(tbl_task1[S23],tbl_task1[[SubPLOs]:[SubPLOs]],"&gt;=10",tbl_task1[[SubPLOs]:[SubPLOs]],"&lt;11")+SUMIFS(tbl_task2[S23],tbl_task2[[SubPLOs]:[SubPLOs]],"&gt;=10",tbl_task2[[SubPLOs]:[SubPLOs]],"&lt;11")+SUMIFS(tbl_task3[S23],tbl_task3[[SubPLOs]:[SubPLOs]],"&gt;=10",tbl_task3[[SubPLOs]:[SubPLOs]],"&lt;11")+SUMIFS(tbl_task4[S23],tbl_task4[[SubPLOs]:[SubPLOs]],"&gt;=10",tbl_task4[[SubPLOs]:[SubPLOs]],"&lt;11")+SUMIFS(tbl_task5[S23],tbl_task5[[SubPLOs]:[SubPLOs]],"&gt;=10",tbl_task5[[SubPLOs]:[SubPLOs]],"&lt;11")+SUMIFS(tbl_task6[S23],tbl_task6[[SubPLOs]:[SubPLOs]],"&gt;=10",tbl_task6[[SubPLOs]:[SubPLOs]],"&lt;11")+SUMIFS(tbl_task7[S23],tbl_task7[[SubPLOs]:[SubPLOs]],"&gt;=10",tbl_task7[[SubPLOs]:[SubPLOs]],"&lt;11")+SUMIFS(tbl_task8[S23],tbl_task8[[SubPLOs]:[SubPLOs]],"&gt;=10",tbl_task8[[SubPLOs]:[SubPLOs]],"&lt;11")+SUMIFS(tbl_task9[S23],tbl_task9[[SubPLOs]:[SubPLOs]],"&gt;=10",tbl_task9[[SubPLOs]:[SubPLOs]],"&lt;11")+SUMIFS(tbl_task10[S23],tbl_task10[[SubPLOs]:[SubPLOs]],"&gt;=10",tbl_task10[[SubPLOs]:[SubPLOs]],"&lt;11")</f>
        <v>0</v>
      </c>
      <c r="AC189" s="41">
        <f>SUMIFS(tbl_task1[S24],tbl_task1[[SubPLOs]:[SubPLOs]],"&gt;=10",tbl_task1[[SubPLOs]:[SubPLOs]],"&lt;11")+SUMIFS(tbl_task2[S24],tbl_task2[[SubPLOs]:[SubPLOs]],"&gt;=10",tbl_task2[[SubPLOs]:[SubPLOs]],"&lt;11")+SUMIFS(tbl_task3[S24],tbl_task3[[SubPLOs]:[SubPLOs]],"&gt;=10",tbl_task3[[SubPLOs]:[SubPLOs]],"&lt;11")+SUMIFS(tbl_task4[S24],tbl_task4[[SubPLOs]:[SubPLOs]],"&gt;=10",tbl_task4[[SubPLOs]:[SubPLOs]],"&lt;11")+SUMIFS(tbl_task5[S24],tbl_task5[[SubPLOs]:[SubPLOs]],"&gt;=10",tbl_task5[[SubPLOs]:[SubPLOs]],"&lt;11")+SUMIFS(tbl_task6[S24],tbl_task6[[SubPLOs]:[SubPLOs]],"&gt;=10",tbl_task6[[SubPLOs]:[SubPLOs]],"&lt;11")+SUMIFS(tbl_task7[S24],tbl_task7[[SubPLOs]:[SubPLOs]],"&gt;=10",tbl_task7[[SubPLOs]:[SubPLOs]],"&lt;11")+SUMIFS(tbl_task8[S24],tbl_task8[[SubPLOs]:[SubPLOs]],"&gt;=10",tbl_task8[[SubPLOs]:[SubPLOs]],"&lt;11")+SUMIFS(tbl_task9[S24],tbl_task9[[SubPLOs]:[SubPLOs]],"&gt;=10",tbl_task9[[SubPLOs]:[SubPLOs]],"&lt;11")+SUMIFS(tbl_task10[S24],tbl_task10[[SubPLOs]:[SubPLOs]],"&gt;=10",tbl_task10[[SubPLOs]:[SubPLOs]],"&lt;11")</f>
        <v>0</v>
      </c>
      <c r="AD189" s="41">
        <f>SUMIFS(tbl_task1[S25],tbl_task1[[SubPLOs]:[SubPLOs]],"&gt;=10",tbl_task1[[SubPLOs]:[SubPLOs]],"&lt;11")+SUMIFS(tbl_task2[S25],tbl_task2[[SubPLOs]:[SubPLOs]],"&gt;=10",tbl_task2[[SubPLOs]:[SubPLOs]],"&lt;11")+SUMIFS(tbl_task3[S25],tbl_task3[[SubPLOs]:[SubPLOs]],"&gt;=10",tbl_task3[[SubPLOs]:[SubPLOs]],"&lt;11")+SUMIFS(tbl_task4[S25],tbl_task4[[SubPLOs]:[SubPLOs]],"&gt;=10",tbl_task4[[SubPLOs]:[SubPLOs]],"&lt;11")+SUMIFS(tbl_task5[S25],tbl_task5[[SubPLOs]:[SubPLOs]],"&gt;=10",tbl_task5[[SubPLOs]:[SubPLOs]],"&lt;11")+SUMIFS(tbl_task6[S25],tbl_task6[[SubPLOs]:[SubPLOs]],"&gt;=10",tbl_task6[[SubPLOs]:[SubPLOs]],"&lt;11")+SUMIFS(tbl_task7[S25],tbl_task7[[SubPLOs]:[SubPLOs]],"&gt;=10",tbl_task7[[SubPLOs]:[SubPLOs]],"&lt;11")+SUMIFS(tbl_task8[S25],tbl_task8[[SubPLOs]:[SubPLOs]],"&gt;=10",tbl_task8[[SubPLOs]:[SubPLOs]],"&lt;11")+SUMIFS(tbl_task9[S25],tbl_task9[[SubPLOs]:[SubPLOs]],"&gt;=10",tbl_task9[[SubPLOs]:[SubPLOs]],"&lt;11")+SUMIFS(tbl_task10[S25],tbl_task10[[SubPLOs]:[SubPLOs]],"&gt;=10",tbl_task10[[SubPLOs]:[SubPLOs]],"&lt;11")</f>
        <v>0</v>
      </c>
      <c r="AE189" s="41">
        <f>SUMIFS(tbl_task1[S26],tbl_task1[[SubPLOs]:[SubPLOs]],"&gt;=10",tbl_task1[[SubPLOs]:[SubPLOs]],"&lt;11")+SUMIFS(tbl_task2[S26],tbl_task2[[SubPLOs]:[SubPLOs]],"&gt;=10",tbl_task2[[SubPLOs]:[SubPLOs]],"&lt;11")+SUMIFS(tbl_task3[S26],tbl_task3[[SubPLOs]:[SubPLOs]],"&gt;=10",tbl_task3[[SubPLOs]:[SubPLOs]],"&lt;11")+SUMIFS(tbl_task4[S26],tbl_task4[[SubPLOs]:[SubPLOs]],"&gt;=10",tbl_task4[[SubPLOs]:[SubPLOs]],"&lt;11")+SUMIFS(tbl_task5[S26],tbl_task5[[SubPLOs]:[SubPLOs]],"&gt;=10",tbl_task5[[SubPLOs]:[SubPLOs]],"&lt;11")+SUMIFS(tbl_task6[S26],tbl_task6[[SubPLOs]:[SubPLOs]],"&gt;=10",tbl_task6[[SubPLOs]:[SubPLOs]],"&lt;11")+SUMIFS(tbl_task7[S26],tbl_task7[[SubPLOs]:[SubPLOs]],"&gt;=10",tbl_task7[[SubPLOs]:[SubPLOs]],"&lt;11")+SUMIFS(tbl_task8[S26],tbl_task8[[SubPLOs]:[SubPLOs]],"&gt;=10",tbl_task8[[SubPLOs]:[SubPLOs]],"&lt;11")+SUMIFS(tbl_task9[S26],tbl_task9[[SubPLOs]:[SubPLOs]],"&gt;=10",tbl_task9[[SubPLOs]:[SubPLOs]],"&lt;11")+SUMIFS(tbl_task10[S26],tbl_task10[[SubPLOs]:[SubPLOs]],"&gt;=10",tbl_task10[[SubPLOs]:[SubPLOs]],"&lt;11")</f>
        <v>0</v>
      </c>
      <c r="AF189" s="41">
        <f>SUMIFS(tbl_task1[S27],tbl_task1[[SubPLOs]:[SubPLOs]],"&gt;=10",tbl_task1[[SubPLOs]:[SubPLOs]],"&lt;11")+SUMIFS(tbl_task2[S27],tbl_task2[[SubPLOs]:[SubPLOs]],"&gt;=10",tbl_task2[[SubPLOs]:[SubPLOs]],"&lt;11")+SUMIFS(tbl_task3[S27],tbl_task3[[SubPLOs]:[SubPLOs]],"&gt;=10",tbl_task3[[SubPLOs]:[SubPLOs]],"&lt;11")+SUMIFS(tbl_task4[S27],tbl_task4[[SubPLOs]:[SubPLOs]],"&gt;=10",tbl_task4[[SubPLOs]:[SubPLOs]],"&lt;11")+SUMIFS(tbl_task5[S27],tbl_task5[[SubPLOs]:[SubPLOs]],"&gt;=10",tbl_task5[[SubPLOs]:[SubPLOs]],"&lt;11")+SUMIFS(tbl_task6[S27],tbl_task6[[SubPLOs]:[SubPLOs]],"&gt;=10",tbl_task6[[SubPLOs]:[SubPLOs]],"&lt;11")+SUMIFS(tbl_task7[S27],tbl_task7[[SubPLOs]:[SubPLOs]],"&gt;=10",tbl_task7[[SubPLOs]:[SubPLOs]],"&lt;11")+SUMIFS(tbl_task8[S27],tbl_task8[[SubPLOs]:[SubPLOs]],"&gt;=10",tbl_task8[[SubPLOs]:[SubPLOs]],"&lt;11")+SUMIFS(tbl_task9[S27],tbl_task9[[SubPLOs]:[SubPLOs]],"&gt;=10",tbl_task9[[SubPLOs]:[SubPLOs]],"&lt;11")+SUMIFS(tbl_task10[S27],tbl_task10[[SubPLOs]:[SubPLOs]],"&gt;=10",tbl_task10[[SubPLOs]:[SubPLOs]],"&lt;11")</f>
        <v>0</v>
      </c>
      <c r="AG189" s="41">
        <f>SUMIFS(tbl_task1[S28],tbl_task1[[SubPLOs]:[SubPLOs]],"&gt;=10",tbl_task1[[SubPLOs]:[SubPLOs]],"&lt;11")+SUMIFS(tbl_task2[S28],tbl_task2[[SubPLOs]:[SubPLOs]],"&gt;=10",tbl_task2[[SubPLOs]:[SubPLOs]],"&lt;11")+SUMIFS(tbl_task3[S28],tbl_task3[[SubPLOs]:[SubPLOs]],"&gt;=10",tbl_task3[[SubPLOs]:[SubPLOs]],"&lt;11")+SUMIFS(tbl_task4[S28],tbl_task4[[SubPLOs]:[SubPLOs]],"&gt;=10",tbl_task4[[SubPLOs]:[SubPLOs]],"&lt;11")+SUMIFS(tbl_task5[S28],tbl_task5[[SubPLOs]:[SubPLOs]],"&gt;=10",tbl_task5[[SubPLOs]:[SubPLOs]],"&lt;11")+SUMIFS(tbl_task6[S28],tbl_task6[[SubPLOs]:[SubPLOs]],"&gt;=10",tbl_task6[[SubPLOs]:[SubPLOs]],"&lt;11")+SUMIFS(tbl_task7[S28],tbl_task7[[SubPLOs]:[SubPLOs]],"&gt;=10",tbl_task7[[SubPLOs]:[SubPLOs]],"&lt;11")+SUMIFS(tbl_task8[S28],tbl_task8[[SubPLOs]:[SubPLOs]],"&gt;=10",tbl_task8[[SubPLOs]:[SubPLOs]],"&lt;11")+SUMIFS(tbl_task9[S28],tbl_task9[[SubPLOs]:[SubPLOs]],"&gt;=10",tbl_task9[[SubPLOs]:[SubPLOs]],"&lt;11")+SUMIFS(tbl_task10[S28],tbl_task10[[SubPLOs]:[SubPLOs]],"&gt;=10",tbl_task10[[SubPLOs]:[SubPLOs]],"&lt;11")</f>
        <v>0</v>
      </c>
      <c r="AH189" s="41">
        <f>SUMIFS(tbl_task1[S29],tbl_task1[[SubPLOs]:[SubPLOs]],"&gt;=10",tbl_task1[[SubPLOs]:[SubPLOs]],"&lt;11")+SUMIFS(tbl_task2[S29],tbl_task2[[SubPLOs]:[SubPLOs]],"&gt;=10",tbl_task2[[SubPLOs]:[SubPLOs]],"&lt;11")+SUMIFS(tbl_task3[S29],tbl_task3[[SubPLOs]:[SubPLOs]],"&gt;=10",tbl_task3[[SubPLOs]:[SubPLOs]],"&lt;11")+SUMIFS(tbl_task4[S29],tbl_task4[[SubPLOs]:[SubPLOs]],"&gt;=10",tbl_task4[[SubPLOs]:[SubPLOs]],"&lt;11")+SUMIFS(tbl_task5[S29],tbl_task5[[SubPLOs]:[SubPLOs]],"&gt;=10",tbl_task5[[SubPLOs]:[SubPLOs]],"&lt;11")+SUMIFS(tbl_task6[S29],tbl_task6[[SubPLOs]:[SubPLOs]],"&gt;=10",tbl_task6[[SubPLOs]:[SubPLOs]],"&lt;11")+SUMIFS(tbl_task7[S29],tbl_task7[[SubPLOs]:[SubPLOs]],"&gt;=10",tbl_task7[[SubPLOs]:[SubPLOs]],"&lt;11")+SUMIFS(tbl_task8[S29],tbl_task8[[SubPLOs]:[SubPLOs]],"&gt;=10",tbl_task8[[SubPLOs]:[SubPLOs]],"&lt;11")+SUMIFS(tbl_task9[S29],tbl_task9[[SubPLOs]:[SubPLOs]],"&gt;=10",tbl_task9[[SubPLOs]:[SubPLOs]],"&lt;11")+SUMIFS(tbl_task10[S29],tbl_task10[[SubPLOs]:[SubPLOs]],"&gt;=10",tbl_task10[[SubPLOs]:[SubPLOs]],"&lt;11")</f>
        <v>0</v>
      </c>
      <c r="AI189" s="41">
        <f>SUMIFS(tbl_task1[S30],tbl_task1[[SubPLOs]:[SubPLOs]],"&gt;=10",tbl_task1[[SubPLOs]:[SubPLOs]],"&lt;11")+SUMIFS(tbl_task2[S30],tbl_task2[[SubPLOs]:[SubPLOs]],"&gt;=10",tbl_task2[[SubPLOs]:[SubPLOs]],"&lt;11")+SUMIFS(tbl_task3[S30],tbl_task3[[SubPLOs]:[SubPLOs]],"&gt;=10",tbl_task3[[SubPLOs]:[SubPLOs]],"&lt;11")+SUMIFS(tbl_task4[S30],tbl_task4[[SubPLOs]:[SubPLOs]],"&gt;=10",tbl_task4[[SubPLOs]:[SubPLOs]],"&lt;11")+SUMIFS(tbl_task5[S30],tbl_task5[[SubPLOs]:[SubPLOs]],"&gt;=10",tbl_task5[[SubPLOs]:[SubPLOs]],"&lt;11")+SUMIFS(tbl_task6[S30],tbl_task6[[SubPLOs]:[SubPLOs]],"&gt;=10",tbl_task6[[SubPLOs]:[SubPLOs]],"&lt;11")+SUMIFS(tbl_task7[S30],tbl_task7[[SubPLOs]:[SubPLOs]],"&gt;=10",tbl_task7[[SubPLOs]:[SubPLOs]],"&lt;11")+SUMIFS(tbl_task8[S30],tbl_task8[[SubPLOs]:[SubPLOs]],"&gt;=10",tbl_task8[[SubPLOs]:[SubPLOs]],"&lt;11")+SUMIFS(tbl_task9[S30],tbl_task9[[SubPLOs]:[SubPLOs]],"&gt;=10",tbl_task9[[SubPLOs]:[SubPLOs]],"&lt;11")+SUMIFS(tbl_task10[S30],tbl_task10[[SubPLOs]:[SubPLOs]],"&gt;=10",tbl_task10[[SubPLOs]:[SubPLOs]],"&lt;11")</f>
        <v>0</v>
      </c>
      <c r="AJ189" s="41">
        <f>SUMIFS(tbl_task1[S31],tbl_task1[[SubPLOs]:[SubPLOs]],"&gt;=10",tbl_task1[[SubPLOs]:[SubPLOs]],"&lt;11")+SUMIFS(tbl_task2[S31],tbl_task2[[SubPLOs]:[SubPLOs]],"&gt;=10",tbl_task2[[SubPLOs]:[SubPLOs]],"&lt;11")+SUMIFS(tbl_task3[S31],tbl_task3[[SubPLOs]:[SubPLOs]],"&gt;=10",tbl_task3[[SubPLOs]:[SubPLOs]],"&lt;11")+SUMIFS(tbl_task4[S31],tbl_task4[[SubPLOs]:[SubPLOs]],"&gt;=10",tbl_task4[[SubPLOs]:[SubPLOs]],"&lt;11")+SUMIFS(tbl_task5[S31],tbl_task5[[SubPLOs]:[SubPLOs]],"&gt;=10",tbl_task5[[SubPLOs]:[SubPLOs]],"&lt;11")+SUMIFS(tbl_task6[S31],tbl_task6[[SubPLOs]:[SubPLOs]],"&gt;=10",tbl_task6[[SubPLOs]:[SubPLOs]],"&lt;11")+SUMIFS(tbl_task7[S31],tbl_task7[[SubPLOs]:[SubPLOs]],"&gt;=10",tbl_task7[[SubPLOs]:[SubPLOs]],"&lt;11")+SUMIFS(tbl_task8[S31],tbl_task8[[SubPLOs]:[SubPLOs]],"&gt;=10",tbl_task8[[SubPLOs]:[SubPLOs]],"&lt;11")+SUMIFS(tbl_task9[S31],tbl_task9[[SubPLOs]:[SubPLOs]],"&gt;=10",tbl_task9[[SubPLOs]:[SubPLOs]],"&lt;11")+SUMIFS(tbl_task10[S31],tbl_task10[[SubPLOs]:[SubPLOs]],"&gt;=10",tbl_task10[[SubPLOs]:[SubPLOs]],"&lt;11")</f>
        <v>0</v>
      </c>
      <c r="AK189" s="41">
        <f>SUMIFS(tbl_task1[S32],tbl_task1[[SubPLOs]:[SubPLOs]],"&gt;=10",tbl_task1[[SubPLOs]:[SubPLOs]],"&lt;11")+SUMIFS(tbl_task2[S32],tbl_task2[[SubPLOs]:[SubPLOs]],"&gt;=10",tbl_task2[[SubPLOs]:[SubPLOs]],"&lt;11")+SUMIFS(tbl_task3[S32],tbl_task3[[SubPLOs]:[SubPLOs]],"&gt;=10",tbl_task3[[SubPLOs]:[SubPLOs]],"&lt;11")+SUMIFS(tbl_task4[S32],tbl_task4[[SubPLOs]:[SubPLOs]],"&gt;=10",tbl_task4[[SubPLOs]:[SubPLOs]],"&lt;11")+SUMIFS(tbl_task5[S32],tbl_task5[[SubPLOs]:[SubPLOs]],"&gt;=10",tbl_task5[[SubPLOs]:[SubPLOs]],"&lt;11")+SUMIFS(tbl_task6[S32],tbl_task6[[SubPLOs]:[SubPLOs]],"&gt;=10",tbl_task6[[SubPLOs]:[SubPLOs]],"&lt;11")+SUMIFS(tbl_task7[S32],tbl_task7[[SubPLOs]:[SubPLOs]],"&gt;=10",tbl_task7[[SubPLOs]:[SubPLOs]],"&lt;11")+SUMIFS(tbl_task8[S32],tbl_task8[[SubPLOs]:[SubPLOs]],"&gt;=10",tbl_task8[[SubPLOs]:[SubPLOs]],"&lt;11")+SUMIFS(tbl_task9[S32],tbl_task9[[SubPLOs]:[SubPLOs]],"&gt;=10",tbl_task9[[SubPLOs]:[SubPLOs]],"&lt;11")+SUMIFS(tbl_task10[S32],tbl_task10[[SubPLOs]:[SubPLOs]],"&gt;=10",tbl_task10[[SubPLOs]:[SubPLOs]],"&lt;11")</f>
        <v>0</v>
      </c>
      <c r="AL189" s="41">
        <f>SUMIFS(tbl_task1[S33],tbl_task1[[SubPLOs]:[SubPLOs]],"&gt;=10",tbl_task1[[SubPLOs]:[SubPLOs]],"&lt;11")+SUMIFS(tbl_task2[S33],tbl_task2[[SubPLOs]:[SubPLOs]],"&gt;=10",tbl_task2[[SubPLOs]:[SubPLOs]],"&lt;11")+SUMIFS(tbl_task3[S33],tbl_task3[[SubPLOs]:[SubPLOs]],"&gt;=10",tbl_task3[[SubPLOs]:[SubPLOs]],"&lt;11")+SUMIFS(tbl_task4[S33],tbl_task4[[SubPLOs]:[SubPLOs]],"&gt;=10",tbl_task4[[SubPLOs]:[SubPLOs]],"&lt;11")+SUMIFS(tbl_task5[S33],tbl_task5[[SubPLOs]:[SubPLOs]],"&gt;=10",tbl_task5[[SubPLOs]:[SubPLOs]],"&lt;11")+SUMIFS(tbl_task6[S33],tbl_task6[[SubPLOs]:[SubPLOs]],"&gt;=10",tbl_task6[[SubPLOs]:[SubPLOs]],"&lt;11")+SUMIFS(tbl_task7[S33],tbl_task7[[SubPLOs]:[SubPLOs]],"&gt;=10",tbl_task7[[SubPLOs]:[SubPLOs]],"&lt;11")+SUMIFS(tbl_task8[S33],tbl_task8[[SubPLOs]:[SubPLOs]],"&gt;=10",tbl_task8[[SubPLOs]:[SubPLOs]],"&lt;11")+SUMIFS(tbl_task9[S33],tbl_task9[[SubPLOs]:[SubPLOs]],"&gt;=10",tbl_task9[[SubPLOs]:[SubPLOs]],"&lt;11")+SUMIFS(tbl_task10[S33],tbl_task10[[SubPLOs]:[SubPLOs]],"&gt;=10",tbl_task10[[SubPLOs]:[SubPLOs]],"&lt;11")</f>
        <v>0</v>
      </c>
      <c r="AM189" s="41">
        <f>SUMIFS(tbl_task1[S34],tbl_task1[[SubPLOs]:[SubPLOs]],"&gt;=10",tbl_task1[[SubPLOs]:[SubPLOs]],"&lt;11")+SUMIFS(tbl_task2[S34],tbl_task2[[SubPLOs]:[SubPLOs]],"&gt;=10",tbl_task2[[SubPLOs]:[SubPLOs]],"&lt;11")+SUMIFS(tbl_task3[S34],tbl_task3[[SubPLOs]:[SubPLOs]],"&gt;=10",tbl_task3[[SubPLOs]:[SubPLOs]],"&lt;11")+SUMIFS(tbl_task4[S34],tbl_task4[[SubPLOs]:[SubPLOs]],"&gt;=10",tbl_task4[[SubPLOs]:[SubPLOs]],"&lt;11")+SUMIFS(tbl_task5[S34],tbl_task5[[SubPLOs]:[SubPLOs]],"&gt;=10",tbl_task5[[SubPLOs]:[SubPLOs]],"&lt;11")+SUMIFS(tbl_task6[S34],tbl_task6[[SubPLOs]:[SubPLOs]],"&gt;=10",tbl_task6[[SubPLOs]:[SubPLOs]],"&lt;11")+SUMIFS(tbl_task7[S34],tbl_task7[[SubPLOs]:[SubPLOs]],"&gt;=10",tbl_task7[[SubPLOs]:[SubPLOs]],"&lt;11")+SUMIFS(tbl_task8[S34],tbl_task8[[SubPLOs]:[SubPLOs]],"&gt;=10",tbl_task8[[SubPLOs]:[SubPLOs]],"&lt;11")+SUMIFS(tbl_task9[S34],tbl_task9[[SubPLOs]:[SubPLOs]],"&gt;=10",tbl_task9[[SubPLOs]:[SubPLOs]],"&lt;11")+SUMIFS(tbl_task10[S34],tbl_task10[[SubPLOs]:[SubPLOs]],"&gt;=10",tbl_task10[[SubPLOs]:[SubPLOs]],"&lt;11")</f>
        <v>0</v>
      </c>
      <c r="AN189" s="41">
        <f>SUMIFS(tbl_task1[S35],tbl_task1[[SubPLOs]:[SubPLOs]],"&gt;=10",tbl_task1[[SubPLOs]:[SubPLOs]],"&lt;11")+SUMIFS(tbl_task2[S35],tbl_task2[[SubPLOs]:[SubPLOs]],"&gt;=10",tbl_task2[[SubPLOs]:[SubPLOs]],"&lt;11")+SUMIFS(tbl_task3[S35],tbl_task3[[SubPLOs]:[SubPLOs]],"&gt;=10",tbl_task3[[SubPLOs]:[SubPLOs]],"&lt;11")+SUMIFS(tbl_task4[S35],tbl_task4[[SubPLOs]:[SubPLOs]],"&gt;=10",tbl_task4[[SubPLOs]:[SubPLOs]],"&lt;11")+SUMIFS(tbl_task5[S35],tbl_task5[[SubPLOs]:[SubPLOs]],"&gt;=10",tbl_task5[[SubPLOs]:[SubPLOs]],"&lt;11")+SUMIFS(tbl_task6[S35],tbl_task6[[SubPLOs]:[SubPLOs]],"&gt;=10",tbl_task6[[SubPLOs]:[SubPLOs]],"&lt;11")+SUMIFS(tbl_task7[S35],tbl_task7[[SubPLOs]:[SubPLOs]],"&gt;=10",tbl_task7[[SubPLOs]:[SubPLOs]],"&lt;11")+SUMIFS(tbl_task8[S35],tbl_task8[[SubPLOs]:[SubPLOs]],"&gt;=10",tbl_task8[[SubPLOs]:[SubPLOs]],"&lt;11")+SUMIFS(tbl_task9[S35],tbl_task9[[SubPLOs]:[SubPLOs]],"&gt;=10",tbl_task9[[SubPLOs]:[SubPLOs]],"&lt;11")+SUMIFS(tbl_task10[S35],tbl_task10[[SubPLOs]:[SubPLOs]],"&gt;=10",tbl_task10[[SubPLOs]:[SubPLOs]],"&lt;11")</f>
        <v>0</v>
      </c>
      <c r="AO189" s="41">
        <f>SUMIFS(tbl_task1[S36],tbl_task1[[SubPLOs]:[SubPLOs]],"&gt;=10",tbl_task1[[SubPLOs]:[SubPLOs]],"&lt;11")+SUMIFS(tbl_task2[S36],tbl_task2[[SubPLOs]:[SubPLOs]],"&gt;=10",tbl_task2[[SubPLOs]:[SubPLOs]],"&lt;11")+SUMIFS(tbl_task3[S36],tbl_task3[[SubPLOs]:[SubPLOs]],"&gt;=10",tbl_task3[[SubPLOs]:[SubPLOs]],"&lt;11")+SUMIFS(tbl_task4[S36],tbl_task4[[SubPLOs]:[SubPLOs]],"&gt;=10",tbl_task4[[SubPLOs]:[SubPLOs]],"&lt;11")+SUMIFS(tbl_task5[S36],tbl_task5[[SubPLOs]:[SubPLOs]],"&gt;=10",tbl_task5[[SubPLOs]:[SubPLOs]],"&lt;11")+SUMIFS(tbl_task6[S36],tbl_task6[[SubPLOs]:[SubPLOs]],"&gt;=10",tbl_task6[[SubPLOs]:[SubPLOs]],"&lt;11")+SUMIFS(tbl_task7[S36],tbl_task7[[SubPLOs]:[SubPLOs]],"&gt;=10",tbl_task7[[SubPLOs]:[SubPLOs]],"&lt;11")+SUMIFS(tbl_task8[S36],tbl_task8[[SubPLOs]:[SubPLOs]],"&gt;=10",tbl_task8[[SubPLOs]:[SubPLOs]],"&lt;11")+SUMIFS(tbl_task9[S36],tbl_task9[[SubPLOs]:[SubPLOs]],"&gt;=10",tbl_task9[[SubPLOs]:[SubPLOs]],"&lt;11")+SUMIFS(tbl_task10[S36],tbl_task10[[SubPLOs]:[SubPLOs]],"&gt;=10",tbl_task10[[SubPLOs]:[SubPLOs]],"&lt;11")</f>
        <v>0</v>
      </c>
      <c r="AP189" s="41">
        <f>SUMIFS(tbl_task1[S37],tbl_task1[[SubPLOs]:[SubPLOs]],"&gt;=10",tbl_task1[[SubPLOs]:[SubPLOs]],"&lt;11")+SUMIFS(tbl_task2[S37],tbl_task2[[SubPLOs]:[SubPLOs]],"&gt;=10",tbl_task2[[SubPLOs]:[SubPLOs]],"&lt;11")+SUMIFS(tbl_task3[S37],tbl_task3[[SubPLOs]:[SubPLOs]],"&gt;=10",tbl_task3[[SubPLOs]:[SubPLOs]],"&lt;11")+SUMIFS(tbl_task4[S37],tbl_task4[[SubPLOs]:[SubPLOs]],"&gt;=10",tbl_task4[[SubPLOs]:[SubPLOs]],"&lt;11")+SUMIFS(tbl_task5[S37],tbl_task5[[SubPLOs]:[SubPLOs]],"&gt;=10",tbl_task5[[SubPLOs]:[SubPLOs]],"&lt;11")+SUMIFS(tbl_task6[S37],tbl_task6[[SubPLOs]:[SubPLOs]],"&gt;=10",tbl_task6[[SubPLOs]:[SubPLOs]],"&lt;11")+SUMIFS(tbl_task7[S37],tbl_task7[[SubPLOs]:[SubPLOs]],"&gt;=10",tbl_task7[[SubPLOs]:[SubPLOs]],"&lt;11")+SUMIFS(tbl_task8[S37],tbl_task8[[SubPLOs]:[SubPLOs]],"&gt;=10",tbl_task8[[SubPLOs]:[SubPLOs]],"&lt;11")+SUMIFS(tbl_task9[S37],tbl_task9[[SubPLOs]:[SubPLOs]],"&gt;=10",tbl_task9[[SubPLOs]:[SubPLOs]],"&lt;11")+SUMIFS(tbl_task10[S37],tbl_task10[[SubPLOs]:[SubPLOs]],"&gt;=10",tbl_task10[[SubPLOs]:[SubPLOs]],"&lt;11")</f>
        <v>0</v>
      </c>
      <c r="AQ189" s="41">
        <f>SUMIFS(tbl_task1[S38],tbl_task1[[SubPLOs]:[SubPLOs]],"&gt;=10",tbl_task1[[SubPLOs]:[SubPLOs]],"&lt;11")+SUMIFS(tbl_task2[S38],tbl_task2[[SubPLOs]:[SubPLOs]],"&gt;=10",tbl_task2[[SubPLOs]:[SubPLOs]],"&lt;11")+SUMIFS(tbl_task3[S38],tbl_task3[[SubPLOs]:[SubPLOs]],"&gt;=10",tbl_task3[[SubPLOs]:[SubPLOs]],"&lt;11")+SUMIFS(tbl_task4[S38],tbl_task4[[SubPLOs]:[SubPLOs]],"&gt;=10",tbl_task4[[SubPLOs]:[SubPLOs]],"&lt;11")+SUMIFS(tbl_task5[S38],tbl_task5[[SubPLOs]:[SubPLOs]],"&gt;=10",tbl_task5[[SubPLOs]:[SubPLOs]],"&lt;11")+SUMIFS(tbl_task6[S38],tbl_task6[[SubPLOs]:[SubPLOs]],"&gt;=10",tbl_task6[[SubPLOs]:[SubPLOs]],"&lt;11")+SUMIFS(tbl_task7[S38],tbl_task7[[SubPLOs]:[SubPLOs]],"&gt;=10",tbl_task7[[SubPLOs]:[SubPLOs]],"&lt;11")+SUMIFS(tbl_task8[S38],tbl_task8[[SubPLOs]:[SubPLOs]],"&gt;=10",tbl_task8[[SubPLOs]:[SubPLOs]],"&lt;11")+SUMIFS(tbl_task9[S38],tbl_task9[[SubPLOs]:[SubPLOs]],"&gt;=10",tbl_task9[[SubPLOs]:[SubPLOs]],"&lt;11")+SUMIFS(tbl_task10[S38],tbl_task10[[SubPLOs]:[SubPLOs]],"&gt;=10",tbl_task10[[SubPLOs]:[SubPLOs]],"&lt;11")</f>
        <v>0</v>
      </c>
      <c r="AR189" s="41">
        <f>SUMIFS(tbl_task1[S39],tbl_task1[[SubPLOs]:[SubPLOs]],"&gt;=10",tbl_task1[[SubPLOs]:[SubPLOs]],"&lt;11")+SUMIFS(tbl_task2[S39],tbl_task2[[SubPLOs]:[SubPLOs]],"&gt;=10",tbl_task2[[SubPLOs]:[SubPLOs]],"&lt;11")+SUMIFS(tbl_task3[S39],tbl_task3[[SubPLOs]:[SubPLOs]],"&gt;=10",tbl_task3[[SubPLOs]:[SubPLOs]],"&lt;11")+SUMIFS(tbl_task4[S39],tbl_task4[[SubPLOs]:[SubPLOs]],"&gt;=10",tbl_task4[[SubPLOs]:[SubPLOs]],"&lt;11")+SUMIFS(tbl_task5[S39],tbl_task5[[SubPLOs]:[SubPLOs]],"&gt;=10",tbl_task5[[SubPLOs]:[SubPLOs]],"&lt;11")+SUMIFS(tbl_task6[S39],tbl_task6[[SubPLOs]:[SubPLOs]],"&gt;=10",tbl_task6[[SubPLOs]:[SubPLOs]],"&lt;11")+SUMIFS(tbl_task7[S39],tbl_task7[[SubPLOs]:[SubPLOs]],"&gt;=10",tbl_task7[[SubPLOs]:[SubPLOs]],"&lt;11")+SUMIFS(tbl_task8[S39],tbl_task8[[SubPLOs]:[SubPLOs]],"&gt;=10",tbl_task8[[SubPLOs]:[SubPLOs]],"&lt;11")+SUMIFS(tbl_task9[S39],tbl_task9[[SubPLOs]:[SubPLOs]],"&gt;=10",tbl_task9[[SubPLOs]:[SubPLOs]],"&lt;11")+SUMIFS(tbl_task10[S39],tbl_task10[[SubPLOs]:[SubPLOs]],"&gt;=10",tbl_task10[[SubPLOs]:[SubPLOs]],"&lt;11")</f>
        <v>0</v>
      </c>
      <c r="AS189" s="41">
        <f>SUMIFS(tbl_task1[S40],tbl_task1[[SubPLOs]:[SubPLOs]],"&gt;=10",tbl_task1[[SubPLOs]:[SubPLOs]],"&lt;11")+SUMIFS(tbl_task2[S40],tbl_task2[[SubPLOs]:[SubPLOs]],"&gt;=10",tbl_task2[[SubPLOs]:[SubPLOs]],"&lt;11")+SUMIFS(tbl_task3[S40],tbl_task3[[SubPLOs]:[SubPLOs]],"&gt;=10",tbl_task3[[SubPLOs]:[SubPLOs]],"&lt;11")+SUMIFS(tbl_task4[S40],tbl_task4[[SubPLOs]:[SubPLOs]],"&gt;=10",tbl_task4[[SubPLOs]:[SubPLOs]],"&lt;11")+SUMIFS(tbl_task5[S40],tbl_task5[[SubPLOs]:[SubPLOs]],"&gt;=10",tbl_task5[[SubPLOs]:[SubPLOs]],"&lt;11")+SUMIFS(tbl_task6[S40],tbl_task6[[SubPLOs]:[SubPLOs]],"&gt;=10",tbl_task6[[SubPLOs]:[SubPLOs]],"&lt;11")+SUMIFS(tbl_task7[S40],tbl_task7[[SubPLOs]:[SubPLOs]],"&gt;=10",tbl_task7[[SubPLOs]:[SubPLOs]],"&lt;11")+SUMIFS(tbl_task8[S40],tbl_task8[[SubPLOs]:[SubPLOs]],"&gt;=10",tbl_task8[[SubPLOs]:[SubPLOs]],"&lt;11")+SUMIFS(tbl_task9[S40],tbl_task9[[SubPLOs]:[SubPLOs]],"&gt;=10",tbl_task9[[SubPLOs]:[SubPLOs]],"&lt;11")+SUMIFS(tbl_task10[S40],tbl_task10[[SubPLOs]:[SubPLOs]],"&gt;=10",tbl_task10[[SubPLOs]:[SubPLOs]],"&lt;11")</f>
        <v>0</v>
      </c>
      <c r="AT189" s="41">
        <f>SUMIFS(tbl_task1[S41],tbl_task1[[SubPLOs]:[SubPLOs]],"&gt;=10",tbl_task1[[SubPLOs]:[SubPLOs]],"&lt;11")+SUMIFS(tbl_task2[S41],tbl_task2[[SubPLOs]:[SubPLOs]],"&gt;=10",tbl_task2[[SubPLOs]:[SubPLOs]],"&lt;11")+SUMIFS(tbl_task3[S41],tbl_task3[[SubPLOs]:[SubPLOs]],"&gt;=10",tbl_task3[[SubPLOs]:[SubPLOs]],"&lt;11")+SUMIFS(tbl_task4[S41],tbl_task4[[SubPLOs]:[SubPLOs]],"&gt;=10",tbl_task4[[SubPLOs]:[SubPLOs]],"&lt;11")+SUMIFS(tbl_task5[S41],tbl_task5[[SubPLOs]:[SubPLOs]],"&gt;=10",tbl_task5[[SubPLOs]:[SubPLOs]],"&lt;11")+SUMIFS(tbl_task6[S41],tbl_task6[[SubPLOs]:[SubPLOs]],"&gt;=10",tbl_task6[[SubPLOs]:[SubPLOs]],"&lt;11")+SUMIFS(tbl_task7[S41],tbl_task7[[SubPLOs]:[SubPLOs]],"&gt;=10",tbl_task7[[SubPLOs]:[SubPLOs]],"&lt;11")+SUMIFS(tbl_task8[S41],tbl_task8[[SubPLOs]:[SubPLOs]],"&gt;=10",tbl_task8[[SubPLOs]:[SubPLOs]],"&lt;11")+SUMIFS(tbl_task9[S41],tbl_task9[[SubPLOs]:[SubPLOs]],"&gt;=10",tbl_task9[[SubPLOs]:[SubPLOs]],"&lt;11")+SUMIFS(tbl_task10[S41],tbl_task10[[SubPLOs]:[SubPLOs]],"&gt;=10",tbl_task10[[SubPLOs]:[SubPLOs]],"&lt;11")</f>
        <v>0</v>
      </c>
      <c r="AU189" s="41">
        <f>SUMIFS(tbl_task1[S42],tbl_task1[[SubPLOs]:[SubPLOs]],"&gt;=10",tbl_task1[[SubPLOs]:[SubPLOs]],"&lt;11")+SUMIFS(tbl_task2[S42],tbl_task2[[SubPLOs]:[SubPLOs]],"&gt;=10",tbl_task2[[SubPLOs]:[SubPLOs]],"&lt;11")+SUMIFS(tbl_task3[S42],tbl_task3[[SubPLOs]:[SubPLOs]],"&gt;=10",tbl_task3[[SubPLOs]:[SubPLOs]],"&lt;11")+SUMIFS(tbl_task4[S42],tbl_task4[[SubPLOs]:[SubPLOs]],"&gt;=10",tbl_task4[[SubPLOs]:[SubPLOs]],"&lt;11")+SUMIFS(tbl_task5[S42],tbl_task5[[SubPLOs]:[SubPLOs]],"&gt;=10",tbl_task5[[SubPLOs]:[SubPLOs]],"&lt;11")+SUMIFS(tbl_task6[S42],tbl_task6[[SubPLOs]:[SubPLOs]],"&gt;=10",tbl_task6[[SubPLOs]:[SubPLOs]],"&lt;11")+SUMIFS(tbl_task7[S42],tbl_task7[[SubPLOs]:[SubPLOs]],"&gt;=10",tbl_task7[[SubPLOs]:[SubPLOs]],"&lt;11")+SUMIFS(tbl_task8[S42],tbl_task8[[SubPLOs]:[SubPLOs]],"&gt;=10",tbl_task8[[SubPLOs]:[SubPLOs]],"&lt;11")+SUMIFS(tbl_task9[S42],tbl_task9[[SubPLOs]:[SubPLOs]],"&gt;=10",tbl_task9[[SubPLOs]:[SubPLOs]],"&lt;11")+SUMIFS(tbl_task10[S42],tbl_task10[[SubPLOs]:[SubPLOs]],"&gt;=10",tbl_task10[[SubPLOs]:[SubPLOs]],"&lt;11")</f>
        <v>0</v>
      </c>
      <c r="AV189" s="41">
        <f>SUMIFS(tbl_task1[S43],tbl_task1[[SubPLOs]:[SubPLOs]],"&gt;=10",tbl_task1[[SubPLOs]:[SubPLOs]],"&lt;11")+SUMIFS(tbl_task2[S43],tbl_task2[[SubPLOs]:[SubPLOs]],"&gt;=10",tbl_task2[[SubPLOs]:[SubPLOs]],"&lt;11")+SUMIFS(tbl_task3[S43],tbl_task3[[SubPLOs]:[SubPLOs]],"&gt;=10",tbl_task3[[SubPLOs]:[SubPLOs]],"&lt;11")+SUMIFS(tbl_task4[S43],tbl_task4[[SubPLOs]:[SubPLOs]],"&gt;=10",tbl_task4[[SubPLOs]:[SubPLOs]],"&lt;11")+SUMIFS(tbl_task5[S43],tbl_task5[[SubPLOs]:[SubPLOs]],"&gt;=10",tbl_task5[[SubPLOs]:[SubPLOs]],"&lt;11")+SUMIFS(tbl_task6[S43],tbl_task6[[SubPLOs]:[SubPLOs]],"&gt;=10",tbl_task6[[SubPLOs]:[SubPLOs]],"&lt;11")+SUMIFS(tbl_task7[S43],tbl_task7[[SubPLOs]:[SubPLOs]],"&gt;=10",tbl_task7[[SubPLOs]:[SubPLOs]],"&lt;11")+SUMIFS(tbl_task8[S43],tbl_task8[[SubPLOs]:[SubPLOs]],"&gt;=10",tbl_task8[[SubPLOs]:[SubPLOs]],"&lt;11")+SUMIFS(tbl_task9[S43],tbl_task9[[SubPLOs]:[SubPLOs]],"&gt;=10",tbl_task9[[SubPLOs]:[SubPLOs]],"&lt;11")+SUMIFS(tbl_task10[S43],tbl_task10[[SubPLOs]:[SubPLOs]],"&gt;=10",tbl_task10[[SubPLOs]:[SubPLOs]],"&lt;11")</f>
        <v>0</v>
      </c>
      <c r="AW189" s="41">
        <f>SUMIFS(tbl_task1[S44],tbl_task1[[SubPLOs]:[SubPLOs]],"&gt;=10",tbl_task1[[SubPLOs]:[SubPLOs]],"&lt;11")+SUMIFS(tbl_task2[S44],tbl_task2[[SubPLOs]:[SubPLOs]],"&gt;=10",tbl_task2[[SubPLOs]:[SubPLOs]],"&lt;11")+SUMIFS(tbl_task3[S44],tbl_task3[[SubPLOs]:[SubPLOs]],"&gt;=10",tbl_task3[[SubPLOs]:[SubPLOs]],"&lt;11")+SUMIFS(tbl_task4[S44],tbl_task4[[SubPLOs]:[SubPLOs]],"&gt;=10",tbl_task4[[SubPLOs]:[SubPLOs]],"&lt;11")+SUMIFS(tbl_task5[S44],tbl_task5[[SubPLOs]:[SubPLOs]],"&gt;=10",tbl_task5[[SubPLOs]:[SubPLOs]],"&lt;11")+SUMIFS(tbl_task6[S44],tbl_task6[[SubPLOs]:[SubPLOs]],"&gt;=10",tbl_task6[[SubPLOs]:[SubPLOs]],"&lt;11")+SUMIFS(tbl_task7[S44],tbl_task7[[SubPLOs]:[SubPLOs]],"&gt;=10",tbl_task7[[SubPLOs]:[SubPLOs]],"&lt;11")+SUMIFS(tbl_task8[S44],tbl_task8[[SubPLOs]:[SubPLOs]],"&gt;=10",tbl_task8[[SubPLOs]:[SubPLOs]],"&lt;11")+SUMIFS(tbl_task9[S44],tbl_task9[[SubPLOs]:[SubPLOs]],"&gt;=10",tbl_task9[[SubPLOs]:[SubPLOs]],"&lt;11")+SUMIFS(tbl_task10[S44],tbl_task10[[SubPLOs]:[SubPLOs]],"&gt;=10",tbl_task10[[SubPLOs]:[SubPLOs]],"&lt;11")</f>
        <v>0</v>
      </c>
      <c r="AX189" s="41">
        <f>SUMIFS(tbl_task1[S45],tbl_task1[[SubPLOs]:[SubPLOs]],"&gt;=10",tbl_task1[[SubPLOs]:[SubPLOs]],"&lt;11")+SUMIFS(tbl_task2[S45],tbl_task2[[SubPLOs]:[SubPLOs]],"&gt;=10",tbl_task2[[SubPLOs]:[SubPLOs]],"&lt;11")+SUMIFS(tbl_task3[S45],tbl_task3[[SubPLOs]:[SubPLOs]],"&gt;=10",tbl_task3[[SubPLOs]:[SubPLOs]],"&lt;11")+SUMIFS(tbl_task4[S45],tbl_task4[[SubPLOs]:[SubPLOs]],"&gt;=10",tbl_task4[[SubPLOs]:[SubPLOs]],"&lt;11")+SUMIFS(tbl_task5[S45],tbl_task5[[SubPLOs]:[SubPLOs]],"&gt;=10",tbl_task5[[SubPLOs]:[SubPLOs]],"&lt;11")+SUMIFS(tbl_task6[S45],tbl_task6[[SubPLOs]:[SubPLOs]],"&gt;=10",tbl_task6[[SubPLOs]:[SubPLOs]],"&lt;11")+SUMIFS(tbl_task7[S45],tbl_task7[[SubPLOs]:[SubPLOs]],"&gt;=10",tbl_task7[[SubPLOs]:[SubPLOs]],"&lt;11")+SUMIFS(tbl_task8[S45],tbl_task8[[SubPLOs]:[SubPLOs]],"&gt;=10",tbl_task8[[SubPLOs]:[SubPLOs]],"&lt;11")+SUMIFS(tbl_task9[S45],tbl_task9[[SubPLOs]:[SubPLOs]],"&gt;=10",tbl_task9[[SubPLOs]:[SubPLOs]],"&lt;11")+SUMIFS(tbl_task10[S45],tbl_task10[[SubPLOs]:[SubPLOs]],"&gt;=10",tbl_task10[[SubPLOs]:[SubPLOs]],"&lt;11")</f>
        <v>0</v>
      </c>
      <c r="AY189" s="41">
        <f>SUMIFS(tbl_task1[S46],tbl_task1[[SubPLOs]:[SubPLOs]],"&gt;=10",tbl_task1[[SubPLOs]:[SubPLOs]],"&lt;11")+SUMIFS(tbl_task2[S46],tbl_task2[[SubPLOs]:[SubPLOs]],"&gt;=10",tbl_task2[[SubPLOs]:[SubPLOs]],"&lt;11")+SUMIFS(tbl_task3[S46],tbl_task3[[SubPLOs]:[SubPLOs]],"&gt;=10",tbl_task3[[SubPLOs]:[SubPLOs]],"&lt;11")+SUMIFS(tbl_task4[S46],tbl_task4[[SubPLOs]:[SubPLOs]],"&gt;=10",tbl_task4[[SubPLOs]:[SubPLOs]],"&lt;11")+SUMIFS(tbl_task5[S46],tbl_task5[[SubPLOs]:[SubPLOs]],"&gt;=10",tbl_task5[[SubPLOs]:[SubPLOs]],"&lt;11")+SUMIFS(tbl_task6[S46],tbl_task6[[SubPLOs]:[SubPLOs]],"&gt;=10",tbl_task6[[SubPLOs]:[SubPLOs]],"&lt;11")+SUMIFS(tbl_task7[S46],tbl_task7[[SubPLOs]:[SubPLOs]],"&gt;=10",tbl_task7[[SubPLOs]:[SubPLOs]],"&lt;11")+SUMIFS(tbl_task8[S46],tbl_task8[[SubPLOs]:[SubPLOs]],"&gt;=10",tbl_task8[[SubPLOs]:[SubPLOs]],"&lt;11")+SUMIFS(tbl_task9[S46],tbl_task9[[SubPLOs]:[SubPLOs]],"&gt;=10",tbl_task9[[SubPLOs]:[SubPLOs]],"&lt;11")+SUMIFS(tbl_task10[S46],tbl_task10[[SubPLOs]:[SubPLOs]],"&gt;=10",tbl_task10[[SubPLOs]:[SubPLOs]],"&lt;11")</f>
        <v>0</v>
      </c>
      <c r="AZ189" s="41">
        <f>SUMIFS(tbl_task1[S47],tbl_task1[[SubPLOs]:[SubPLOs]],"&gt;=10",tbl_task1[[SubPLOs]:[SubPLOs]],"&lt;11")+SUMIFS(tbl_task2[S47],tbl_task2[[SubPLOs]:[SubPLOs]],"&gt;=10",tbl_task2[[SubPLOs]:[SubPLOs]],"&lt;11")+SUMIFS(tbl_task3[S47],tbl_task3[[SubPLOs]:[SubPLOs]],"&gt;=10",tbl_task3[[SubPLOs]:[SubPLOs]],"&lt;11")+SUMIFS(tbl_task4[S47],tbl_task4[[SubPLOs]:[SubPLOs]],"&gt;=10",tbl_task4[[SubPLOs]:[SubPLOs]],"&lt;11")+SUMIFS(tbl_task5[S47],tbl_task5[[SubPLOs]:[SubPLOs]],"&gt;=10",tbl_task5[[SubPLOs]:[SubPLOs]],"&lt;11")+SUMIFS(tbl_task6[S47],tbl_task6[[SubPLOs]:[SubPLOs]],"&gt;=10",tbl_task6[[SubPLOs]:[SubPLOs]],"&lt;11")+SUMIFS(tbl_task7[S47],tbl_task7[[SubPLOs]:[SubPLOs]],"&gt;=10",tbl_task7[[SubPLOs]:[SubPLOs]],"&lt;11")+SUMIFS(tbl_task8[S47],tbl_task8[[SubPLOs]:[SubPLOs]],"&gt;=10",tbl_task8[[SubPLOs]:[SubPLOs]],"&lt;11")+SUMIFS(tbl_task9[S47],tbl_task9[[SubPLOs]:[SubPLOs]],"&gt;=10",tbl_task9[[SubPLOs]:[SubPLOs]],"&lt;11")+SUMIFS(tbl_task10[S47],tbl_task10[[SubPLOs]:[SubPLOs]],"&gt;=10",tbl_task10[[SubPLOs]:[SubPLOs]],"&lt;11")</f>
        <v>0</v>
      </c>
      <c r="BA189" s="41">
        <f>SUMIFS(tbl_task1[S48],tbl_task1[[SubPLOs]:[SubPLOs]],"&gt;=10",tbl_task1[[SubPLOs]:[SubPLOs]],"&lt;11")+SUMIFS(tbl_task2[S48],tbl_task2[[SubPLOs]:[SubPLOs]],"&gt;=10",tbl_task2[[SubPLOs]:[SubPLOs]],"&lt;11")+SUMIFS(tbl_task3[S48],tbl_task3[[SubPLOs]:[SubPLOs]],"&gt;=10",tbl_task3[[SubPLOs]:[SubPLOs]],"&lt;11")+SUMIFS(tbl_task4[S48],tbl_task4[[SubPLOs]:[SubPLOs]],"&gt;=10",tbl_task4[[SubPLOs]:[SubPLOs]],"&lt;11")+SUMIFS(tbl_task5[S48],tbl_task5[[SubPLOs]:[SubPLOs]],"&gt;=10",tbl_task5[[SubPLOs]:[SubPLOs]],"&lt;11")+SUMIFS(tbl_task6[S48],tbl_task6[[SubPLOs]:[SubPLOs]],"&gt;=10",tbl_task6[[SubPLOs]:[SubPLOs]],"&lt;11")+SUMIFS(tbl_task7[S48],tbl_task7[[SubPLOs]:[SubPLOs]],"&gt;=10",tbl_task7[[SubPLOs]:[SubPLOs]],"&lt;11")+SUMIFS(tbl_task8[S48],tbl_task8[[SubPLOs]:[SubPLOs]],"&gt;=10",tbl_task8[[SubPLOs]:[SubPLOs]],"&lt;11")+SUMIFS(tbl_task9[S48],tbl_task9[[SubPLOs]:[SubPLOs]],"&gt;=10",tbl_task9[[SubPLOs]:[SubPLOs]],"&lt;11")+SUMIFS(tbl_task10[S48],tbl_task10[[SubPLOs]:[SubPLOs]],"&gt;=10",tbl_task10[[SubPLOs]:[SubPLOs]],"&lt;11")</f>
        <v>0</v>
      </c>
      <c r="BB189" s="41">
        <f>SUMIFS(tbl_task1[S49],tbl_task1[[SubPLOs]:[SubPLOs]],"&gt;=10",tbl_task1[[SubPLOs]:[SubPLOs]],"&lt;11")+SUMIFS(tbl_task2[S49],tbl_task2[[SubPLOs]:[SubPLOs]],"&gt;=10",tbl_task2[[SubPLOs]:[SubPLOs]],"&lt;11")+SUMIFS(tbl_task3[S49],tbl_task3[[SubPLOs]:[SubPLOs]],"&gt;=10",tbl_task3[[SubPLOs]:[SubPLOs]],"&lt;11")+SUMIFS(tbl_task4[S49],tbl_task4[[SubPLOs]:[SubPLOs]],"&gt;=10",tbl_task4[[SubPLOs]:[SubPLOs]],"&lt;11")+SUMIFS(tbl_task5[S49],tbl_task5[[SubPLOs]:[SubPLOs]],"&gt;=10",tbl_task5[[SubPLOs]:[SubPLOs]],"&lt;11")+SUMIFS(tbl_task6[S49],tbl_task6[[SubPLOs]:[SubPLOs]],"&gt;=10",tbl_task6[[SubPLOs]:[SubPLOs]],"&lt;11")+SUMIFS(tbl_task7[S49],tbl_task7[[SubPLOs]:[SubPLOs]],"&gt;=10",tbl_task7[[SubPLOs]:[SubPLOs]],"&lt;11")+SUMIFS(tbl_task8[S49],tbl_task8[[SubPLOs]:[SubPLOs]],"&gt;=10",tbl_task8[[SubPLOs]:[SubPLOs]],"&lt;11")+SUMIFS(tbl_task9[S49],tbl_task9[[SubPLOs]:[SubPLOs]],"&gt;=10",tbl_task9[[SubPLOs]:[SubPLOs]],"&lt;11")+SUMIFS(tbl_task10[S49],tbl_task10[[SubPLOs]:[SubPLOs]],"&gt;=10",tbl_task10[[SubPLOs]:[SubPLOs]],"&lt;11")</f>
        <v>0</v>
      </c>
      <c r="BC189" s="41">
        <f>SUMIFS(tbl_task1[S50],tbl_task1[[SubPLOs]:[SubPLOs]],"&gt;=10",tbl_task1[[SubPLOs]:[SubPLOs]],"&lt;11")+SUMIFS(tbl_task2[S50],tbl_task2[[SubPLOs]:[SubPLOs]],"&gt;=10",tbl_task2[[SubPLOs]:[SubPLOs]],"&lt;11")+SUMIFS(tbl_task3[S50],tbl_task3[[SubPLOs]:[SubPLOs]],"&gt;=10",tbl_task3[[SubPLOs]:[SubPLOs]],"&lt;11")+SUMIFS(tbl_task4[S50],tbl_task4[[SubPLOs]:[SubPLOs]],"&gt;=10",tbl_task4[[SubPLOs]:[SubPLOs]],"&lt;11")+SUMIFS(tbl_task5[S50],tbl_task5[[SubPLOs]:[SubPLOs]],"&gt;=10",tbl_task5[[SubPLOs]:[SubPLOs]],"&lt;11")+SUMIFS(tbl_task6[S50],tbl_task6[[SubPLOs]:[SubPLOs]],"&gt;=10",tbl_task6[[SubPLOs]:[SubPLOs]],"&lt;11")+SUMIFS(tbl_task7[S50],tbl_task7[[SubPLOs]:[SubPLOs]],"&gt;=10",tbl_task7[[SubPLOs]:[SubPLOs]],"&lt;11")+SUMIFS(tbl_task8[S50],tbl_task8[[SubPLOs]:[SubPLOs]],"&gt;=10",tbl_task8[[SubPLOs]:[SubPLOs]],"&lt;11")+SUMIFS(tbl_task9[S50],tbl_task9[[SubPLOs]:[SubPLOs]],"&gt;=10",tbl_task9[[SubPLOs]:[SubPLOs]],"&lt;11")+SUMIFS(tbl_task10[S50],tbl_task10[[SubPLOs]:[SubPLOs]],"&gt;=10",tbl_task10[[SubPLOs]:[SubPLOs]],"&lt;11")</f>
        <v>0</v>
      </c>
      <c r="BD189" s="41">
        <f>SUMIFS(tbl_task1[S51],tbl_task1[[SubPLOs]:[SubPLOs]],"&gt;=10",tbl_task1[[SubPLOs]:[SubPLOs]],"&lt;11")+SUMIFS(tbl_task2[S51],tbl_task2[[SubPLOs]:[SubPLOs]],"&gt;=10",tbl_task2[[SubPLOs]:[SubPLOs]],"&lt;11")+SUMIFS(tbl_task3[S51],tbl_task3[[SubPLOs]:[SubPLOs]],"&gt;=10",tbl_task3[[SubPLOs]:[SubPLOs]],"&lt;11")+SUMIFS(tbl_task4[S51],tbl_task4[[SubPLOs]:[SubPLOs]],"&gt;=10",tbl_task4[[SubPLOs]:[SubPLOs]],"&lt;11")+SUMIFS(tbl_task5[S51],tbl_task5[[SubPLOs]:[SubPLOs]],"&gt;=10",tbl_task5[[SubPLOs]:[SubPLOs]],"&lt;11")+SUMIFS(tbl_task6[S51],tbl_task6[[SubPLOs]:[SubPLOs]],"&gt;=10",tbl_task6[[SubPLOs]:[SubPLOs]],"&lt;11")+SUMIFS(tbl_task7[S51],tbl_task7[[SubPLOs]:[SubPLOs]],"&gt;=10",tbl_task7[[SubPLOs]:[SubPLOs]],"&lt;11")+SUMIFS(tbl_task8[S51],tbl_task8[[SubPLOs]:[SubPLOs]],"&gt;=10",tbl_task8[[SubPLOs]:[SubPLOs]],"&lt;11")+SUMIFS(tbl_task9[S51],tbl_task9[[SubPLOs]:[SubPLOs]],"&gt;=10",tbl_task9[[SubPLOs]:[SubPLOs]],"&lt;11")+SUMIFS(tbl_task10[S51],tbl_task10[[SubPLOs]:[SubPLOs]],"&gt;=10",tbl_task10[[SubPLOs]:[SubPLOs]],"&lt;11")</f>
        <v>0</v>
      </c>
      <c r="BE189" s="41">
        <f>SUMIFS(tbl_task1[S52],tbl_task1[[SubPLOs]:[SubPLOs]],"&gt;=10",tbl_task1[[SubPLOs]:[SubPLOs]],"&lt;11")+SUMIFS(tbl_task2[S52],tbl_task2[[SubPLOs]:[SubPLOs]],"&gt;=10",tbl_task2[[SubPLOs]:[SubPLOs]],"&lt;11")+SUMIFS(tbl_task3[S52],tbl_task3[[SubPLOs]:[SubPLOs]],"&gt;=10",tbl_task3[[SubPLOs]:[SubPLOs]],"&lt;11")+SUMIFS(tbl_task4[S52],tbl_task4[[SubPLOs]:[SubPLOs]],"&gt;=10",tbl_task4[[SubPLOs]:[SubPLOs]],"&lt;11")+SUMIFS(tbl_task5[S52],tbl_task5[[SubPLOs]:[SubPLOs]],"&gt;=10",tbl_task5[[SubPLOs]:[SubPLOs]],"&lt;11")+SUMIFS(tbl_task6[S52],tbl_task6[[SubPLOs]:[SubPLOs]],"&gt;=10",tbl_task6[[SubPLOs]:[SubPLOs]],"&lt;11")+SUMIFS(tbl_task7[S52],tbl_task7[[SubPLOs]:[SubPLOs]],"&gt;=10",tbl_task7[[SubPLOs]:[SubPLOs]],"&lt;11")+SUMIFS(tbl_task8[S52],tbl_task8[[SubPLOs]:[SubPLOs]],"&gt;=10",tbl_task8[[SubPLOs]:[SubPLOs]],"&lt;11")+SUMIFS(tbl_task9[S52],tbl_task9[[SubPLOs]:[SubPLOs]],"&gt;=10",tbl_task9[[SubPLOs]:[SubPLOs]],"&lt;11")+SUMIFS(tbl_task10[S52],tbl_task10[[SubPLOs]:[SubPLOs]],"&gt;=10",tbl_task10[[SubPLOs]:[SubPLOs]],"&lt;11")</f>
        <v>0</v>
      </c>
      <c r="BF189" s="41">
        <f>SUMIFS(tbl_task1[S53],tbl_task1[[SubPLOs]:[SubPLOs]],"&gt;=10",tbl_task1[[SubPLOs]:[SubPLOs]],"&lt;11")+SUMIFS(tbl_task2[S53],tbl_task2[[SubPLOs]:[SubPLOs]],"&gt;=10",tbl_task2[[SubPLOs]:[SubPLOs]],"&lt;11")+SUMIFS(tbl_task3[S53],tbl_task3[[SubPLOs]:[SubPLOs]],"&gt;=10",tbl_task3[[SubPLOs]:[SubPLOs]],"&lt;11")+SUMIFS(tbl_task4[S53],tbl_task4[[SubPLOs]:[SubPLOs]],"&gt;=10",tbl_task4[[SubPLOs]:[SubPLOs]],"&lt;11")+SUMIFS(tbl_task5[S53],tbl_task5[[SubPLOs]:[SubPLOs]],"&gt;=10",tbl_task5[[SubPLOs]:[SubPLOs]],"&lt;11")+SUMIFS(tbl_task6[S53],tbl_task6[[SubPLOs]:[SubPLOs]],"&gt;=10",tbl_task6[[SubPLOs]:[SubPLOs]],"&lt;11")+SUMIFS(tbl_task7[S53],tbl_task7[[SubPLOs]:[SubPLOs]],"&gt;=10",tbl_task7[[SubPLOs]:[SubPLOs]],"&lt;11")+SUMIFS(tbl_task8[S53],tbl_task8[[SubPLOs]:[SubPLOs]],"&gt;=10",tbl_task8[[SubPLOs]:[SubPLOs]],"&lt;11")+SUMIFS(tbl_task9[S53],tbl_task9[[SubPLOs]:[SubPLOs]],"&gt;=10",tbl_task9[[SubPLOs]:[SubPLOs]],"&lt;11")+SUMIFS(tbl_task10[S53],tbl_task10[[SubPLOs]:[SubPLOs]],"&gt;=10",tbl_task10[[SubPLOs]:[SubPLOs]],"&lt;11")</f>
        <v>0</v>
      </c>
      <c r="BG189" s="41">
        <f>SUMIFS(tbl_task1[S54],tbl_task1[[SubPLOs]:[SubPLOs]],"&gt;=10",tbl_task1[[SubPLOs]:[SubPLOs]],"&lt;11")+SUMIFS(tbl_task2[S54],tbl_task2[[SubPLOs]:[SubPLOs]],"&gt;=10",tbl_task2[[SubPLOs]:[SubPLOs]],"&lt;11")+SUMIFS(tbl_task3[S54],tbl_task3[[SubPLOs]:[SubPLOs]],"&gt;=10",tbl_task3[[SubPLOs]:[SubPLOs]],"&lt;11")+SUMIFS(tbl_task4[S54],tbl_task4[[SubPLOs]:[SubPLOs]],"&gt;=10",tbl_task4[[SubPLOs]:[SubPLOs]],"&lt;11")+SUMIFS(tbl_task5[S54],tbl_task5[[SubPLOs]:[SubPLOs]],"&gt;=10",tbl_task5[[SubPLOs]:[SubPLOs]],"&lt;11")+SUMIFS(tbl_task6[S54],tbl_task6[[SubPLOs]:[SubPLOs]],"&gt;=10",tbl_task6[[SubPLOs]:[SubPLOs]],"&lt;11")+SUMIFS(tbl_task7[S54],tbl_task7[[SubPLOs]:[SubPLOs]],"&gt;=10",tbl_task7[[SubPLOs]:[SubPLOs]],"&lt;11")+SUMIFS(tbl_task8[S54],tbl_task8[[SubPLOs]:[SubPLOs]],"&gt;=10",tbl_task8[[SubPLOs]:[SubPLOs]],"&lt;11")+SUMIFS(tbl_task9[S54],tbl_task9[[SubPLOs]:[SubPLOs]],"&gt;=10",tbl_task9[[SubPLOs]:[SubPLOs]],"&lt;11")+SUMIFS(tbl_task10[S54],tbl_task10[[SubPLOs]:[SubPLOs]],"&gt;=10",tbl_task10[[SubPLOs]:[SubPLOs]],"&lt;11")</f>
        <v>0</v>
      </c>
      <c r="BH189" s="41">
        <f>SUMIFS(tbl_task1[S55],tbl_task1[[SubPLOs]:[SubPLOs]],"&gt;=10",tbl_task1[[SubPLOs]:[SubPLOs]],"&lt;11")+SUMIFS(tbl_task2[S55],tbl_task2[[SubPLOs]:[SubPLOs]],"&gt;=10",tbl_task2[[SubPLOs]:[SubPLOs]],"&lt;11")+SUMIFS(tbl_task3[S55],tbl_task3[[SubPLOs]:[SubPLOs]],"&gt;=10",tbl_task3[[SubPLOs]:[SubPLOs]],"&lt;11")+SUMIFS(tbl_task4[S55],tbl_task4[[SubPLOs]:[SubPLOs]],"&gt;=10",tbl_task4[[SubPLOs]:[SubPLOs]],"&lt;11")+SUMIFS(tbl_task5[S55],tbl_task5[[SubPLOs]:[SubPLOs]],"&gt;=10",tbl_task5[[SubPLOs]:[SubPLOs]],"&lt;11")+SUMIFS(tbl_task6[S55],tbl_task6[[SubPLOs]:[SubPLOs]],"&gt;=10",tbl_task6[[SubPLOs]:[SubPLOs]],"&lt;11")+SUMIFS(tbl_task7[S55],tbl_task7[[SubPLOs]:[SubPLOs]],"&gt;=10",tbl_task7[[SubPLOs]:[SubPLOs]],"&lt;11")+SUMIFS(tbl_task8[S55],tbl_task8[[SubPLOs]:[SubPLOs]],"&gt;=10",tbl_task8[[SubPLOs]:[SubPLOs]],"&lt;11")+SUMIFS(tbl_task9[S55],tbl_task9[[SubPLOs]:[SubPLOs]],"&gt;=10",tbl_task9[[SubPLOs]:[SubPLOs]],"&lt;11")+SUMIFS(tbl_task10[S55],tbl_task10[[SubPLOs]:[SubPLOs]],"&gt;=10",tbl_task10[[SubPLOs]:[SubPLOs]],"&lt;11")</f>
        <v>0</v>
      </c>
      <c r="BI189" s="41">
        <f>SUMIFS(tbl_task1[S56],tbl_task1[[SubPLOs]:[SubPLOs]],"&gt;=10",tbl_task1[[SubPLOs]:[SubPLOs]],"&lt;11")+SUMIFS(tbl_task2[S56],tbl_task2[[SubPLOs]:[SubPLOs]],"&gt;=10",tbl_task2[[SubPLOs]:[SubPLOs]],"&lt;11")+SUMIFS(tbl_task3[S56],tbl_task3[[SubPLOs]:[SubPLOs]],"&gt;=10",tbl_task3[[SubPLOs]:[SubPLOs]],"&lt;11")+SUMIFS(tbl_task4[S56],tbl_task4[[SubPLOs]:[SubPLOs]],"&gt;=10",tbl_task4[[SubPLOs]:[SubPLOs]],"&lt;11")+SUMIFS(tbl_task5[S56],tbl_task5[[SubPLOs]:[SubPLOs]],"&gt;=10",tbl_task5[[SubPLOs]:[SubPLOs]],"&lt;11")+SUMIFS(tbl_task6[S56],tbl_task6[[SubPLOs]:[SubPLOs]],"&gt;=10",tbl_task6[[SubPLOs]:[SubPLOs]],"&lt;11")+SUMIFS(tbl_task7[S56],tbl_task7[[SubPLOs]:[SubPLOs]],"&gt;=10",tbl_task7[[SubPLOs]:[SubPLOs]],"&lt;11")+SUMIFS(tbl_task8[S56],tbl_task8[[SubPLOs]:[SubPLOs]],"&gt;=10",tbl_task8[[SubPLOs]:[SubPLOs]],"&lt;11")+SUMIFS(tbl_task9[S56],tbl_task9[[SubPLOs]:[SubPLOs]],"&gt;=10",tbl_task9[[SubPLOs]:[SubPLOs]],"&lt;11")+SUMIFS(tbl_task10[S56],tbl_task10[[SubPLOs]:[SubPLOs]],"&gt;=10",tbl_task10[[SubPLOs]:[SubPLOs]],"&lt;11")</f>
        <v>0</v>
      </c>
      <c r="BJ189" s="41">
        <f>SUMIFS(tbl_task1[S57],tbl_task1[[SubPLOs]:[SubPLOs]],"&gt;=10",tbl_task1[[SubPLOs]:[SubPLOs]],"&lt;11")+SUMIFS(tbl_task2[S57],tbl_task2[[SubPLOs]:[SubPLOs]],"&gt;=10",tbl_task2[[SubPLOs]:[SubPLOs]],"&lt;11")+SUMIFS(tbl_task3[S57],tbl_task3[[SubPLOs]:[SubPLOs]],"&gt;=10",tbl_task3[[SubPLOs]:[SubPLOs]],"&lt;11")+SUMIFS(tbl_task4[S57],tbl_task4[[SubPLOs]:[SubPLOs]],"&gt;=10",tbl_task4[[SubPLOs]:[SubPLOs]],"&lt;11")+SUMIFS(tbl_task5[S57],tbl_task5[[SubPLOs]:[SubPLOs]],"&gt;=10",tbl_task5[[SubPLOs]:[SubPLOs]],"&lt;11")+SUMIFS(tbl_task6[S57],tbl_task6[[SubPLOs]:[SubPLOs]],"&gt;=10",tbl_task6[[SubPLOs]:[SubPLOs]],"&lt;11")+SUMIFS(tbl_task7[S57],tbl_task7[[SubPLOs]:[SubPLOs]],"&gt;=10",tbl_task7[[SubPLOs]:[SubPLOs]],"&lt;11")+SUMIFS(tbl_task8[S57],tbl_task8[[SubPLOs]:[SubPLOs]],"&gt;=10",tbl_task8[[SubPLOs]:[SubPLOs]],"&lt;11")+SUMIFS(tbl_task9[S57],tbl_task9[[SubPLOs]:[SubPLOs]],"&gt;=10",tbl_task9[[SubPLOs]:[SubPLOs]],"&lt;11")+SUMIFS(tbl_task10[S57],tbl_task10[[SubPLOs]:[SubPLOs]],"&gt;=10",tbl_task10[[SubPLOs]:[SubPLOs]],"&lt;11")</f>
        <v>0</v>
      </c>
      <c r="BK189" s="41">
        <f>SUMIFS(tbl_task1[S58],tbl_task1[[SubPLOs]:[SubPLOs]],"&gt;=10",tbl_task1[[SubPLOs]:[SubPLOs]],"&lt;11")+SUMIFS(tbl_task2[S58],tbl_task2[[SubPLOs]:[SubPLOs]],"&gt;=10",tbl_task2[[SubPLOs]:[SubPLOs]],"&lt;11")+SUMIFS(tbl_task3[S58],tbl_task3[[SubPLOs]:[SubPLOs]],"&gt;=10",tbl_task3[[SubPLOs]:[SubPLOs]],"&lt;11")+SUMIFS(tbl_task4[S58],tbl_task4[[SubPLOs]:[SubPLOs]],"&gt;=10",tbl_task4[[SubPLOs]:[SubPLOs]],"&lt;11")+SUMIFS(tbl_task5[S58],tbl_task5[[SubPLOs]:[SubPLOs]],"&gt;=10",tbl_task5[[SubPLOs]:[SubPLOs]],"&lt;11")+SUMIFS(tbl_task6[S58],tbl_task6[[SubPLOs]:[SubPLOs]],"&gt;=10",tbl_task6[[SubPLOs]:[SubPLOs]],"&lt;11")+SUMIFS(tbl_task7[S58],tbl_task7[[SubPLOs]:[SubPLOs]],"&gt;=10",tbl_task7[[SubPLOs]:[SubPLOs]],"&lt;11")+SUMIFS(tbl_task8[S58],tbl_task8[[SubPLOs]:[SubPLOs]],"&gt;=10",tbl_task8[[SubPLOs]:[SubPLOs]],"&lt;11")+SUMIFS(tbl_task9[S58],tbl_task9[[SubPLOs]:[SubPLOs]],"&gt;=10",tbl_task9[[SubPLOs]:[SubPLOs]],"&lt;11")+SUMIFS(tbl_task10[S58],tbl_task10[[SubPLOs]:[SubPLOs]],"&gt;=10",tbl_task10[[SubPLOs]:[SubPLOs]],"&lt;11")</f>
        <v>0</v>
      </c>
      <c r="BL189" s="41">
        <f>SUMIFS(tbl_task1[S59],tbl_task1[[SubPLOs]:[SubPLOs]],"&gt;=10",tbl_task1[[SubPLOs]:[SubPLOs]],"&lt;11")+SUMIFS(tbl_task2[S59],tbl_task2[[SubPLOs]:[SubPLOs]],"&gt;=10",tbl_task2[[SubPLOs]:[SubPLOs]],"&lt;11")+SUMIFS(tbl_task3[S59],tbl_task3[[SubPLOs]:[SubPLOs]],"&gt;=10",tbl_task3[[SubPLOs]:[SubPLOs]],"&lt;11")+SUMIFS(tbl_task4[S59],tbl_task4[[SubPLOs]:[SubPLOs]],"&gt;=10",tbl_task4[[SubPLOs]:[SubPLOs]],"&lt;11")+SUMIFS(tbl_task5[S59],tbl_task5[[SubPLOs]:[SubPLOs]],"&gt;=10",tbl_task5[[SubPLOs]:[SubPLOs]],"&lt;11")+SUMIFS(tbl_task6[S59],tbl_task6[[SubPLOs]:[SubPLOs]],"&gt;=10",tbl_task6[[SubPLOs]:[SubPLOs]],"&lt;11")+SUMIFS(tbl_task7[S59],tbl_task7[[SubPLOs]:[SubPLOs]],"&gt;=10",tbl_task7[[SubPLOs]:[SubPLOs]],"&lt;11")+SUMIFS(tbl_task8[S59],tbl_task8[[SubPLOs]:[SubPLOs]],"&gt;=10",tbl_task8[[SubPLOs]:[SubPLOs]],"&lt;11")+SUMIFS(tbl_task9[S59],tbl_task9[[SubPLOs]:[SubPLOs]],"&gt;=10",tbl_task9[[SubPLOs]:[SubPLOs]],"&lt;11")+SUMIFS(tbl_task10[S59],tbl_task10[[SubPLOs]:[SubPLOs]],"&gt;=10",tbl_task10[[SubPLOs]:[SubPLOs]],"&lt;11")</f>
        <v>0</v>
      </c>
      <c r="BM189" s="41">
        <f>SUMIFS(tbl_task1[S60],tbl_task1[[SubPLOs]:[SubPLOs]],"&gt;=10",tbl_task1[[SubPLOs]:[SubPLOs]],"&lt;11")+SUMIFS(tbl_task2[S60],tbl_task2[[SubPLOs]:[SubPLOs]],"&gt;=10",tbl_task2[[SubPLOs]:[SubPLOs]],"&lt;11")+SUMIFS(tbl_task3[S60],tbl_task3[[SubPLOs]:[SubPLOs]],"&gt;=10",tbl_task3[[SubPLOs]:[SubPLOs]],"&lt;11")+SUMIFS(tbl_task4[S60],tbl_task4[[SubPLOs]:[SubPLOs]],"&gt;=10",tbl_task4[[SubPLOs]:[SubPLOs]],"&lt;11")+SUMIFS(tbl_task5[S60],tbl_task5[[SubPLOs]:[SubPLOs]],"&gt;=10",tbl_task5[[SubPLOs]:[SubPLOs]],"&lt;11")+SUMIFS(tbl_task6[S60],tbl_task6[[SubPLOs]:[SubPLOs]],"&gt;=10",tbl_task6[[SubPLOs]:[SubPLOs]],"&lt;11")+SUMIFS(tbl_task7[S60],tbl_task7[[SubPLOs]:[SubPLOs]],"&gt;=10",tbl_task7[[SubPLOs]:[SubPLOs]],"&lt;11")+SUMIFS(tbl_task8[S60],tbl_task8[[SubPLOs]:[SubPLOs]],"&gt;=10",tbl_task8[[SubPLOs]:[SubPLOs]],"&lt;11")+SUMIFS(tbl_task9[S60],tbl_task9[[SubPLOs]:[SubPLOs]],"&gt;=10",tbl_task9[[SubPLOs]:[SubPLOs]],"&lt;11")+SUMIFS(tbl_task10[S60],tbl_task10[[SubPLOs]:[SubPLOs]],"&gt;=10",tbl_task10[[SubPLOs]:[SubPLOs]],"&lt;11")</f>
        <v>0</v>
      </c>
      <c r="BN189" s="41">
        <f>SUMIFS(tbl_task1[S61],tbl_task1[[SubPLOs]:[SubPLOs]],"&gt;=10",tbl_task1[[SubPLOs]:[SubPLOs]],"&lt;11")+SUMIFS(tbl_task2[S61],tbl_task2[[SubPLOs]:[SubPLOs]],"&gt;=10",tbl_task2[[SubPLOs]:[SubPLOs]],"&lt;11")+SUMIFS(tbl_task3[S61],tbl_task3[[SubPLOs]:[SubPLOs]],"&gt;=10",tbl_task3[[SubPLOs]:[SubPLOs]],"&lt;11")+SUMIFS(tbl_task4[S61],tbl_task4[[SubPLOs]:[SubPLOs]],"&gt;=10",tbl_task4[[SubPLOs]:[SubPLOs]],"&lt;11")+SUMIFS(tbl_task5[S61],tbl_task5[[SubPLOs]:[SubPLOs]],"&gt;=10",tbl_task5[[SubPLOs]:[SubPLOs]],"&lt;11")+SUMIFS(tbl_task6[S61],tbl_task6[[SubPLOs]:[SubPLOs]],"&gt;=10",tbl_task6[[SubPLOs]:[SubPLOs]],"&lt;11")+SUMIFS(tbl_task7[S61],tbl_task7[[SubPLOs]:[SubPLOs]],"&gt;=10",tbl_task7[[SubPLOs]:[SubPLOs]],"&lt;11")+SUMIFS(tbl_task8[S61],tbl_task8[[SubPLOs]:[SubPLOs]],"&gt;=10",tbl_task8[[SubPLOs]:[SubPLOs]],"&lt;11")+SUMIFS(tbl_task9[S61],tbl_task9[[SubPLOs]:[SubPLOs]],"&gt;=10",tbl_task9[[SubPLOs]:[SubPLOs]],"&lt;11")+SUMIFS(tbl_task10[S61],tbl_task10[[SubPLOs]:[SubPLOs]],"&gt;=10",tbl_task10[[SubPLOs]:[SubPLOs]],"&lt;11")</f>
        <v>0</v>
      </c>
      <c r="BO189" s="41">
        <f>SUMIFS(tbl_task1[S62],tbl_task1[[SubPLOs]:[SubPLOs]],"&gt;=10",tbl_task1[[SubPLOs]:[SubPLOs]],"&lt;11")+SUMIFS(tbl_task2[S62],tbl_task2[[SubPLOs]:[SubPLOs]],"&gt;=10",tbl_task2[[SubPLOs]:[SubPLOs]],"&lt;11")+SUMIFS(tbl_task3[S62],tbl_task3[[SubPLOs]:[SubPLOs]],"&gt;=10",tbl_task3[[SubPLOs]:[SubPLOs]],"&lt;11")+SUMIFS(tbl_task4[S62],tbl_task4[[SubPLOs]:[SubPLOs]],"&gt;=10",tbl_task4[[SubPLOs]:[SubPLOs]],"&lt;11")+SUMIFS(tbl_task5[S62],tbl_task5[[SubPLOs]:[SubPLOs]],"&gt;=10",tbl_task5[[SubPLOs]:[SubPLOs]],"&lt;11")+SUMIFS(tbl_task6[S62],tbl_task6[[SubPLOs]:[SubPLOs]],"&gt;=10",tbl_task6[[SubPLOs]:[SubPLOs]],"&lt;11")+SUMIFS(tbl_task7[S62],tbl_task7[[SubPLOs]:[SubPLOs]],"&gt;=10",tbl_task7[[SubPLOs]:[SubPLOs]],"&lt;11")+SUMIFS(tbl_task8[S62],tbl_task8[[SubPLOs]:[SubPLOs]],"&gt;=10",tbl_task8[[SubPLOs]:[SubPLOs]],"&lt;11")+SUMIFS(tbl_task9[S62],tbl_task9[[SubPLOs]:[SubPLOs]],"&gt;=10",tbl_task9[[SubPLOs]:[SubPLOs]],"&lt;11")+SUMIFS(tbl_task10[S62],tbl_task10[[SubPLOs]:[SubPLOs]],"&gt;=10",tbl_task10[[SubPLOs]:[SubPLOs]],"&lt;11")</f>
        <v>0</v>
      </c>
      <c r="BP189" s="41">
        <f>SUMIFS(tbl_task1[S63],tbl_task1[[SubPLOs]:[SubPLOs]],"&gt;=10",tbl_task1[[SubPLOs]:[SubPLOs]],"&lt;11")+SUMIFS(tbl_task2[S63],tbl_task2[[SubPLOs]:[SubPLOs]],"&gt;=10",tbl_task2[[SubPLOs]:[SubPLOs]],"&lt;11")+SUMIFS(tbl_task3[S63],tbl_task3[[SubPLOs]:[SubPLOs]],"&gt;=10",tbl_task3[[SubPLOs]:[SubPLOs]],"&lt;11")+SUMIFS(tbl_task4[S63],tbl_task4[[SubPLOs]:[SubPLOs]],"&gt;=10",tbl_task4[[SubPLOs]:[SubPLOs]],"&lt;11")+SUMIFS(tbl_task5[S63],tbl_task5[[SubPLOs]:[SubPLOs]],"&gt;=10",tbl_task5[[SubPLOs]:[SubPLOs]],"&lt;11")+SUMIFS(tbl_task6[S63],tbl_task6[[SubPLOs]:[SubPLOs]],"&gt;=10",tbl_task6[[SubPLOs]:[SubPLOs]],"&lt;11")+SUMIFS(tbl_task7[S63],tbl_task7[[SubPLOs]:[SubPLOs]],"&gt;=10",tbl_task7[[SubPLOs]:[SubPLOs]],"&lt;11")+SUMIFS(tbl_task8[S63],tbl_task8[[SubPLOs]:[SubPLOs]],"&gt;=10",tbl_task8[[SubPLOs]:[SubPLOs]],"&lt;11")+SUMIFS(tbl_task9[S63],tbl_task9[[SubPLOs]:[SubPLOs]],"&gt;=10",tbl_task9[[SubPLOs]:[SubPLOs]],"&lt;11")+SUMIFS(tbl_task10[S63],tbl_task10[[SubPLOs]:[SubPLOs]],"&gt;=10",tbl_task10[[SubPLOs]:[SubPLOs]],"&lt;11")</f>
        <v>0</v>
      </c>
      <c r="BQ189" s="41">
        <f>SUMIFS(tbl_task1[S64],tbl_task1[[SubPLOs]:[SubPLOs]],"&gt;=10",tbl_task1[[SubPLOs]:[SubPLOs]],"&lt;11")+SUMIFS(tbl_task2[S64],tbl_task2[[SubPLOs]:[SubPLOs]],"&gt;=10",tbl_task2[[SubPLOs]:[SubPLOs]],"&lt;11")+SUMIFS(tbl_task3[S64],tbl_task3[[SubPLOs]:[SubPLOs]],"&gt;=10",tbl_task3[[SubPLOs]:[SubPLOs]],"&lt;11")+SUMIFS(tbl_task4[S64],tbl_task4[[SubPLOs]:[SubPLOs]],"&gt;=10",tbl_task4[[SubPLOs]:[SubPLOs]],"&lt;11")+SUMIFS(tbl_task5[S64],tbl_task5[[SubPLOs]:[SubPLOs]],"&gt;=10",tbl_task5[[SubPLOs]:[SubPLOs]],"&lt;11")+SUMIFS(tbl_task6[S64],tbl_task6[[SubPLOs]:[SubPLOs]],"&gt;=10",tbl_task6[[SubPLOs]:[SubPLOs]],"&lt;11")+SUMIFS(tbl_task7[S64],tbl_task7[[SubPLOs]:[SubPLOs]],"&gt;=10",tbl_task7[[SubPLOs]:[SubPLOs]],"&lt;11")+SUMIFS(tbl_task8[S64],tbl_task8[[SubPLOs]:[SubPLOs]],"&gt;=10",tbl_task8[[SubPLOs]:[SubPLOs]],"&lt;11")+SUMIFS(tbl_task9[S64],tbl_task9[[SubPLOs]:[SubPLOs]],"&gt;=10",tbl_task9[[SubPLOs]:[SubPLOs]],"&lt;11")+SUMIFS(tbl_task10[S64],tbl_task10[[SubPLOs]:[SubPLOs]],"&gt;=10",tbl_task10[[SubPLOs]:[SubPLOs]],"&lt;11")</f>
        <v>0</v>
      </c>
      <c r="BR189" s="41">
        <f>SUMIFS(tbl_task1[S65],tbl_task1[[SubPLOs]:[SubPLOs]],"&gt;=10",tbl_task1[[SubPLOs]:[SubPLOs]],"&lt;11")+SUMIFS(tbl_task2[S65],tbl_task2[[SubPLOs]:[SubPLOs]],"&gt;=10",tbl_task2[[SubPLOs]:[SubPLOs]],"&lt;11")+SUMIFS(tbl_task3[S65],tbl_task3[[SubPLOs]:[SubPLOs]],"&gt;=10",tbl_task3[[SubPLOs]:[SubPLOs]],"&lt;11")+SUMIFS(tbl_task4[S65],tbl_task4[[SubPLOs]:[SubPLOs]],"&gt;=10",tbl_task4[[SubPLOs]:[SubPLOs]],"&lt;11")+SUMIFS(tbl_task5[S65],tbl_task5[[SubPLOs]:[SubPLOs]],"&gt;=10",tbl_task5[[SubPLOs]:[SubPLOs]],"&lt;11")+SUMIFS(tbl_task6[S65],tbl_task6[[SubPLOs]:[SubPLOs]],"&gt;=10",tbl_task6[[SubPLOs]:[SubPLOs]],"&lt;11")+SUMIFS(tbl_task7[S65],tbl_task7[[SubPLOs]:[SubPLOs]],"&gt;=10",tbl_task7[[SubPLOs]:[SubPLOs]],"&lt;11")+SUMIFS(tbl_task8[S65],tbl_task8[[SubPLOs]:[SubPLOs]],"&gt;=10",tbl_task8[[SubPLOs]:[SubPLOs]],"&lt;11")+SUMIFS(tbl_task9[S65],tbl_task9[[SubPLOs]:[SubPLOs]],"&gt;=10",tbl_task9[[SubPLOs]:[SubPLOs]],"&lt;11")+SUMIFS(tbl_task10[S65],tbl_task10[[SubPLOs]:[SubPLOs]],"&gt;=10",tbl_task10[[SubPLOs]:[SubPLOs]],"&lt;11")</f>
        <v>0</v>
      </c>
      <c r="BS189" s="41">
        <f>SUMIFS(tbl_task1[S66],tbl_task1[[SubPLOs]:[SubPLOs]],"&gt;=10",tbl_task1[[SubPLOs]:[SubPLOs]],"&lt;11")+SUMIFS(tbl_task2[S66],tbl_task2[[SubPLOs]:[SubPLOs]],"&gt;=10",tbl_task2[[SubPLOs]:[SubPLOs]],"&lt;11")+SUMIFS(tbl_task3[S66],tbl_task3[[SubPLOs]:[SubPLOs]],"&gt;=10",tbl_task3[[SubPLOs]:[SubPLOs]],"&lt;11")+SUMIFS(tbl_task4[S66],tbl_task4[[SubPLOs]:[SubPLOs]],"&gt;=10",tbl_task4[[SubPLOs]:[SubPLOs]],"&lt;11")+SUMIFS(tbl_task5[S66],tbl_task5[[SubPLOs]:[SubPLOs]],"&gt;=10",tbl_task5[[SubPLOs]:[SubPLOs]],"&lt;11")+SUMIFS(tbl_task6[S66],tbl_task6[[SubPLOs]:[SubPLOs]],"&gt;=10",tbl_task6[[SubPLOs]:[SubPLOs]],"&lt;11")+SUMIFS(tbl_task7[S66],tbl_task7[[SubPLOs]:[SubPLOs]],"&gt;=10",tbl_task7[[SubPLOs]:[SubPLOs]],"&lt;11")+SUMIFS(tbl_task8[S66],tbl_task8[[SubPLOs]:[SubPLOs]],"&gt;=10",tbl_task8[[SubPLOs]:[SubPLOs]],"&lt;11")+SUMIFS(tbl_task9[S66],tbl_task9[[SubPLOs]:[SubPLOs]],"&gt;=10",tbl_task9[[SubPLOs]:[SubPLOs]],"&lt;11")+SUMIFS(tbl_task10[S66],tbl_task10[[SubPLOs]:[SubPLOs]],"&gt;=10",tbl_task10[[SubPLOs]:[SubPLOs]],"&lt;11")</f>
        <v>0</v>
      </c>
      <c r="BT189" s="41">
        <f>SUMIFS(tbl_task1[S67],tbl_task1[[SubPLOs]:[SubPLOs]],"&gt;=10",tbl_task1[[SubPLOs]:[SubPLOs]],"&lt;11")+SUMIFS(tbl_task2[S67],tbl_task2[[SubPLOs]:[SubPLOs]],"&gt;=10",tbl_task2[[SubPLOs]:[SubPLOs]],"&lt;11")+SUMIFS(tbl_task3[S67],tbl_task3[[SubPLOs]:[SubPLOs]],"&gt;=10",tbl_task3[[SubPLOs]:[SubPLOs]],"&lt;11")+SUMIFS(tbl_task4[S67],tbl_task4[[SubPLOs]:[SubPLOs]],"&gt;=10",tbl_task4[[SubPLOs]:[SubPLOs]],"&lt;11")+SUMIFS(tbl_task5[S67],tbl_task5[[SubPLOs]:[SubPLOs]],"&gt;=10",tbl_task5[[SubPLOs]:[SubPLOs]],"&lt;11")+SUMIFS(tbl_task6[S67],tbl_task6[[SubPLOs]:[SubPLOs]],"&gt;=10",tbl_task6[[SubPLOs]:[SubPLOs]],"&lt;11")+SUMIFS(tbl_task7[S67],tbl_task7[[SubPLOs]:[SubPLOs]],"&gt;=10",tbl_task7[[SubPLOs]:[SubPLOs]],"&lt;11")+SUMIFS(tbl_task8[S67],tbl_task8[[SubPLOs]:[SubPLOs]],"&gt;=10",tbl_task8[[SubPLOs]:[SubPLOs]],"&lt;11")+SUMIFS(tbl_task9[S67],tbl_task9[[SubPLOs]:[SubPLOs]],"&gt;=10",tbl_task9[[SubPLOs]:[SubPLOs]],"&lt;11")+SUMIFS(tbl_task10[S67],tbl_task10[[SubPLOs]:[SubPLOs]],"&gt;=10",tbl_task10[[SubPLOs]:[SubPLOs]],"&lt;11")</f>
        <v>0</v>
      </c>
      <c r="BU189" s="41">
        <f>SUMIFS(tbl_task1[S68],tbl_task1[[SubPLOs]:[SubPLOs]],"&gt;=10",tbl_task1[[SubPLOs]:[SubPLOs]],"&lt;11")+SUMIFS(tbl_task2[S68],tbl_task2[[SubPLOs]:[SubPLOs]],"&gt;=10",tbl_task2[[SubPLOs]:[SubPLOs]],"&lt;11")+SUMIFS(tbl_task3[S68],tbl_task3[[SubPLOs]:[SubPLOs]],"&gt;=10",tbl_task3[[SubPLOs]:[SubPLOs]],"&lt;11")+SUMIFS(tbl_task4[S68],tbl_task4[[SubPLOs]:[SubPLOs]],"&gt;=10",tbl_task4[[SubPLOs]:[SubPLOs]],"&lt;11")+SUMIFS(tbl_task5[S68],tbl_task5[[SubPLOs]:[SubPLOs]],"&gt;=10",tbl_task5[[SubPLOs]:[SubPLOs]],"&lt;11")+SUMIFS(tbl_task6[S68],tbl_task6[[SubPLOs]:[SubPLOs]],"&gt;=10",tbl_task6[[SubPLOs]:[SubPLOs]],"&lt;11")+SUMIFS(tbl_task7[S68],tbl_task7[[SubPLOs]:[SubPLOs]],"&gt;=10",tbl_task7[[SubPLOs]:[SubPLOs]],"&lt;11")+SUMIFS(tbl_task8[S68],tbl_task8[[SubPLOs]:[SubPLOs]],"&gt;=10",tbl_task8[[SubPLOs]:[SubPLOs]],"&lt;11")+SUMIFS(tbl_task9[S68],tbl_task9[[SubPLOs]:[SubPLOs]],"&gt;=10",tbl_task9[[SubPLOs]:[SubPLOs]],"&lt;11")+SUMIFS(tbl_task10[S68],tbl_task10[[SubPLOs]:[SubPLOs]],"&gt;=10",tbl_task10[[SubPLOs]:[SubPLOs]],"&lt;11")</f>
        <v>0</v>
      </c>
      <c r="BV189" s="41">
        <f>SUMIFS(tbl_task1[S69],tbl_task1[[SubPLOs]:[SubPLOs]],"&gt;=10",tbl_task1[[SubPLOs]:[SubPLOs]],"&lt;11")+SUMIFS(tbl_task2[S69],tbl_task2[[SubPLOs]:[SubPLOs]],"&gt;=10",tbl_task2[[SubPLOs]:[SubPLOs]],"&lt;11")+SUMIFS(tbl_task3[S69],tbl_task3[[SubPLOs]:[SubPLOs]],"&gt;=10",tbl_task3[[SubPLOs]:[SubPLOs]],"&lt;11")+SUMIFS(tbl_task4[S69],tbl_task4[[SubPLOs]:[SubPLOs]],"&gt;=10",tbl_task4[[SubPLOs]:[SubPLOs]],"&lt;11")+SUMIFS(tbl_task5[S69],tbl_task5[[SubPLOs]:[SubPLOs]],"&gt;=10",tbl_task5[[SubPLOs]:[SubPLOs]],"&lt;11")+SUMIFS(tbl_task6[S69],tbl_task6[[SubPLOs]:[SubPLOs]],"&gt;=10",tbl_task6[[SubPLOs]:[SubPLOs]],"&lt;11")+SUMIFS(tbl_task7[S69],tbl_task7[[SubPLOs]:[SubPLOs]],"&gt;=10",tbl_task7[[SubPLOs]:[SubPLOs]],"&lt;11")+SUMIFS(tbl_task8[S69],tbl_task8[[SubPLOs]:[SubPLOs]],"&gt;=10",tbl_task8[[SubPLOs]:[SubPLOs]],"&lt;11")+SUMIFS(tbl_task9[S69],tbl_task9[[SubPLOs]:[SubPLOs]],"&gt;=10",tbl_task9[[SubPLOs]:[SubPLOs]],"&lt;11")+SUMIFS(tbl_task10[S69],tbl_task10[[SubPLOs]:[SubPLOs]],"&gt;=10",tbl_task10[[SubPLOs]:[SubPLOs]],"&lt;11")</f>
        <v>0</v>
      </c>
      <c r="BW189" s="41">
        <f>SUMIFS(tbl_task1[S70],tbl_task1[[SubPLOs]:[SubPLOs]],"&gt;=10",tbl_task1[[SubPLOs]:[SubPLOs]],"&lt;11")+SUMIFS(tbl_task2[S70],tbl_task2[[SubPLOs]:[SubPLOs]],"&gt;=10",tbl_task2[[SubPLOs]:[SubPLOs]],"&lt;11")+SUMIFS(tbl_task3[S70],tbl_task3[[SubPLOs]:[SubPLOs]],"&gt;=10",tbl_task3[[SubPLOs]:[SubPLOs]],"&lt;11")+SUMIFS(tbl_task4[S70],tbl_task4[[SubPLOs]:[SubPLOs]],"&gt;=10",tbl_task4[[SubPLOs]:[SubPLOs]],"&lt;11")+SUMIFS(tbl_task5[S70],tbl_task5[[SubPLOs]:[SubPLOs]],"&gt;=10",tbl_task5[[SubPLOs]:[SubPLOs]],"&lt;11")+SUMIFS(tbl_task6[S70],tbl_task6[[SubPLOs]:[SubPLOs]],"&gt;=10",tbl_task6[[SubPLOs]:[SubPLOs]],"&lt;11")+SUMIFS(tbl_task7[S70],tbl_task7[[SubPLOs]:[SubPLOs]],"&gt;=10",tbl_task7[[SubPLOs]:[SubPLOs]],"&lt;11")+SUMIFS(tbl_task8[S70],tbl_task8[[SubPLOs]:[SubPLOs]],"&gt;=10",tbl_task8[[SubPLOs]:[SubPLOs]],"&lt;11")+SUMIFS(tbl_task9[S70],tbl_task9[[SubPLOs]:[SubPLOs]],"&gt;=10",tbl_task9[[SubPLOs]:[SubPLOs]],"&lt;11")+SUMIFS(tbl_task10[S70],tbl_task10[[SubPLOs]:[SubPLOs]],"&gt;=10",tbl_task10[[SubPLOs]:[SubPLOs]],"&lt;11")</f>
        <v>0</v>
      </c>
      <c r="BX189" s="41">
        <f>SUMIFS(tbl_task1[S71],tbl_task1[[SubPLOs]:[SubPLOs]],"&gt;=10",tbl_task1[[SubPLOs]:[SubPLOs]],"&lt;11")+SUMIFS(tbl_task2[S71],tbl_task2[[SubPLOs]:[SubPLOs]],"&gt;=10",tbl_task2[[SubPLOs]:[SubPLOs]],"&lt;11")+SUMIFS(tbl_task3[S71],tbl_task3[[SubPLOs]:[SubPLOs]],"&gt;=10",tbl_task3[[SubPLOs]:[SubPLOs]],"&lt;11")+SUMIFS(tbl_task4[S71],tbl_task4[[SubPLOs]:[SubPLOs]],"&gt;=10",tbl_task4[[SubPLOs]:[SubPLOs]],"&lt;11")+SUMIFS(tbl_task5[S71],tbl_task5[[SubPLOs]:[SubPLOs]],"&gt;=10",tbl_task5[[SubPLOs]:[SubPLOs]],"&lt;11")+SUMIFS(tbl_task6[S71],tbl_task6[[SubPLOs]:[SubPLOs]],"&gt;=10",tbl_task6[[SubPLOs]:[SubPLOs]],"&lt;11")+SUMIFS(tbl_task7[S71],tbl_task7[[SubPLOs]:[SubPLOs]],"&gt;=10",tbl_task7[[SubPLOs]:[SubPLOs]],"&lt;11")+SUMIFS(tbl_task8[S71],tbl_task8[[SubPLOs]:[SubPLOs]],"&gt;=10",tbl_task8[[SubPLOs]:[SubPLOs]],"&lt;11")+SUMIFS(tbl_task9[S71],tbl_task9[[SubPLOs]:[SubPLOs]],"&gt;=10",tbl_task9[[SubPLOs]:[SubPLOs]],"&lt;11")+SUMIFS(tbl_task10[S71],tbl_task10[[SubPLOs]:[SubPLOs]],"&gt;=10",tbl_task10[[SubPLOs]:[SubPLOs]],"&lt;11")</f>
        <v>0</v>
      </c>
      <c r="BY189" s="41">
        <f>SUMIFS(tbl_task1[S72],tbl_task1[[SubPLOs]:[SubPLOs]],"&gt;=10",tbl_task1[[SubPLOs]:[SubPLOs]],"&lt;11")+SUMIFS(tbl_task2[S72],tbl_task2[[SubPLOs]:[SubPLOs]],"&gt;=10",tbl_task2[[SubPLOs]:[SubPLOs]],"&lt;11")+SUMIFS(tbl_task3[S72],tbl_task3[[SubPLOs]:[SubPLOs]],"&gt;=10",tbl_task3[[SubPLOs]:[SubPLOs]],"&lt;11")+SUMIFS(tbl_task4[S72],tbl_task4[[SubPLOs]:[SubPLOs]],"&gt;=10",tbl_task4[[SubPLOs]:[SubPLOs]],"&lt;11")+SUMIFS(tbl_task5[S72],tbl_task5[[SubPLOs]:[SubPLOs]],"&gt;=10",tbl_task5[[SubPLOs]:[SubPLOs]],"&lt;11")+SUMIFS(tbl_task6[S72],tbl_task6[[SubPLOs]:[SubPLOs]],"&gt;=10",tbl_task6[[SubPLOs]:[SubPLOs]],"&lt;11")+SUMIFS(tbl_task7[S72],tbl_task7[[SubPLOs]:[SubPLOs]],"&gt;=10",tbl_task7[[SubPLOs]:[SubPLOs]],"&lt;11")+SUMIFS(tbl_task8[S72],tbl_task8[[SubPLOs]:[SubPLOs]],"&gt;=10",tbl_task8[[SubPLOs]:[SubPLOs]],"&lt;11")+SUMIFS(tbl_task9[S72],tbl_task9[[SubPLOs]:[SubPLOs]],"&gt;=10",tbl_task9[[SubPLOs]:[SubPLOs]],"&lt;11")+SUMIFS(tbl_task10[S72],tbl_task10[[SubPLOs]:[SubPLOs]],"&gt;=10",tbl_task10[[SubPLOs]:[SubPLOs]],"&lt;11")</f>
        <v>0</v>
      </c>
      <c r="BZ189" s="41">
        <f>SUMIFS(tbl_task1[S73],tbl_task1[[SubPLOs]:[SubPLOs]],"&gt;=10",tbl_task1[[SubPLOs]:[SubPLOs]],"&lt;11")+SUMIFS(tbl_task2[S73],tbl_task2[[SubPLOs]:[SubPLOs]],"&gt;=10",tbl_task2[[SubPLOs]:[SubPLOs]],"&lt;11")+SUMIFS(tbl_task3[S73],tbl_task3[[SubPLOs]:[SubPLOs]],"&gt;=10",tbl_task3[[SubPLOs]:[SubPLOs]],"&lt;11")+SUMIFS(tbl_task4[S73],tbl_task4[[SubPLOs]:[SubPLOs]],"&gt;=10",tbl_task4[[SubPLOs]:[SubPLOs]],"&lt;11")+SUMIFS(tbl_task5[S73],tbl_task5[[SubPLOs]:[SubPLOs]],"&gt;=10",tbl_task5[[SubPLOs]:[SubPLOs]],"&lt;11")+SUMIFS(tbl_task6[S73],tbl_task6[[SubPLOs]:[SubPLOs]],"&gt;=10",tbl_task6[[SubPLOs]:[SubPLOs]],"&lt;11")+SUMIFS(tbl_task7[S73],tbl_task7[[SubPLOs]:[SubPLOs]],"&gt;=10",tbl_task7[[SubPLOs]:[SubPLOs]],"&lt;11")+SUMIFS(tbl_task8[S73],tbl_task8[[SubPLOs]:[SubPLOs]],"&gt;=10",tbl_task8[[SubPLOs]:[SubPLOs]],"&lt;11")+SUMIFS(tbl_task9[S73],tbl_task9[[SubPLOs]:[SubPLOs]],"&gt;=10",tbl_task9[[SubPLOs]:[SubPLOs]],"&lt;11")+SUMIFS(tbl_task10[S73],tbl_task10[[SubPLOs]:[SubPLOs]],"&gt;=10",tbl_task10[[SubPLOs]:[SubPLOs]],"&lt;11")</f>
        <v>0</v>
      </c>
      <c r="CA189" s="41">
        <f>SUMIFS(tbl_task1[S74],tbl_task1[[SubPLOs]:[SubPLOs]],"&gt;=10",tbl_task1[[SubPLOs]:[SubPLOs]],"&lt;11")+SUMIFS(tbl_task2[S74],tbl_task2[[SubPLOs]:[SubPLOs]],"&gt;=10",tbl_task2[[SubPLOs]:[SubPLOs]],"&lt;11")+SUMIFS(tbl_task3[S74],tbl_task3[[SubPLOs]:[SubPLOs]],"&gt;=10",tbl_task3[[SubPLOs]:[SubPLOs]],"&lt;11")+SUMIFS(tbl_task4[S74],tbl_task4[[SubPLOs]:[SubPLOs]],"&gt;=10",tbl_task4[[SubPLOs]:[SubPLOs]],"&lt;11")+SUMIFS(tbl_task5[S74],tbl_task5[[SubPLOs]:[SubPLOs]],"&gt;=10",tbl_task5[[SubPLOs]:[SubPLOs]],"&lt;11")+SUMIFS(tbl_task6[S74],tbl_task6[[SubPLOs]:[SubPLOs]],"&gt;=10",tbl_task6[[SubPLOs]:[SubPLOs]],"&lt;11")+SUMIFS(tbl_task7[S74],tbl_task7[[SubPLOs]:[SubPLOs]],"&gt;=10",tbl_task7[[SubPLOs]:[SubPLOs]],"&lt;11")+SUMIFS(tbl_task8[S74],tbl_task8[[SubPLOs]:[SubPLOs]],"&gt;=10",tbl_task8[[SubPLOs]:[SubPLOs]],"&lt;11")+SUMIFS(tbl_task9[S74],tbl_task9[[SubPLOs]:[SubPLOs]],"&gt;=10",tbl_task9[[SubPLOs]:[SubPLOs]],"&lt;11")+SUMIFS(tbl_task10[S74],tbl_task10[[SubPLOs]:[SubPLOs]],"&gt;=10",tbl_task10[[SubPLOs]:[SubPLOs]],"&lt;11")</f>
        <v>0</v>
      </c>
      <c r="CB189" s="41">
        <f>SUMIFS(tbl_task1[S75],tbl_task1[[SubPLOs]:[SubPLOs]],"&gt;=10",tbl_task1[[SubPLOs]:[SubPLOs]],"&lt;11")+SUMIFS(tbl_task2[S75],tbl_task2[[SubPLOs]:[SubPLOs]],"&gt;=10",tbl_task2[[SubPLOs]:[SubPLOs]],"&lt;11")+SUMIFS(tbl_task3[S75],tbl_task3[[SubPLOs]:[SubPLOs]],"&gt;=10",tbl_task3[[SubPLOs]:[SubPLOs]],"&lt;11")+SUMIFS(tbl_task4[S75],tbl_task4[[SubPLOs]:[SubPLOs]],"&gt;=10",tbl_task4[[SubPLOs]:[SubPLOs]],"&lt;11")+SUMIFS(tbl_task5[S75],tbl_task5[[SubPLOs]:[SubPLOs]],"&gt;=10",tbl_task5[[SubPLOs]:[SubPLOs]],"&lt;11")+SUMIFS(tbl_task6[S75],tbl_task6[[SubPLOs]:[SubPLOs]],"&gt;=10",tbl_task6[[SubPLOs]:[SubPLOs]],"&lt;11")+SUMIFS(tbl_task7[S75],tbl_task7[[SubPLOs]:[SubPLOs]],"&gt;=10",tbl_task7[[SubPLOs]:[SubPLOs]],"&lt;11")+SUMIFS(tbl_task8[S75],tbl_task8[[SubPLOs]:[SubPLOs]],"&gt;=10",tbl_task8[[SubPLOs]:[SubPLOs]],"&lt;11")+SUMIFS(tbl_task9[S75],tbl_task9[[SubPLOs]:[SubPLOs]],"&gt;=10",tbl_task9[[SubPLOs]:[SubPLOs]],"&lt;11")+SUMIFS(tbl_task10[S75],tbl_task10[[SubPLOs]:[SubPLOs]],"&gt;=10",tbl_task10[[SubPLOs]:[SubPLOs]],"&lt;11")</f>
        <v>0</v>
      </c>
      <c r="CC189" s="41">
        <f>SUMIFS(tbl_task1[S76],tbl_task1[[SubPLOs]:[SubPLOs]],"&gt;=10",tbl_task1[[SubPLOs]:[SubPLOs]],"&lt;11")+SUMIFS(tbl_task2[S76],tbl_task2[[SubPLOs]:[SubPLOs]],"&gt;=10",tbl_task2[[SubPLOs]:[SubPLOs]],"&lt;11")+SUMIFS(tbl_task3[S76],tbl_task3[[SubPLOs]:[SubPLOs]],"&gt;=10",tbl_task3[[SubPLOs]:[SubPLOs]],"&lt;11")+SUMIFS(tbl_task4[S76],tbl_task4[[SubPLOs]:[SubPLOs]],"&gt;=10",tbl_task4[[SubPLOs]:[SubPLOs]],"&lt;11")+SUMIFS(tbl_task5[S76],tbl_task5[[SubPLOs]:[SubPLOs]],"&gt;=10",tbl_task5[[SubPLOs]:[SubPLOs]],"&lt;11")+SUMIFS(tbl_task6[S76],tbl_task6[[SubPLOs]:[SubPLOs]],"&gt;=10",tbl_task6[[SubPLOs]:[SubPLOs]],"&lt;11")+SUMIFS(tbl_task7[S76],tbl_task7[[SubPLOs]:[SubPLOs]],"&gt;=10",tbl_task7[[SubPLOs]:[SubPLOs]],"&lt;11")+SUMIFS(tbl_task8[S76],tbl_task8[[SubPLOs]:[SubPLOs]],"&gt;=10",tbl_task8[[SubPLOs]:[SubPLOs]],"&lt;11")+SUMIFS(tbl_task9[S76],tbl_task9[[SubPLOs]:[SubPLOs]],"&gt;=10",tbl_task9[[SubPLOs]:[SubPLOs]],"&lt;11")+SUMIFS(tbl_task10[S76],tbl_task10[[SubPLOs]:[SubPLOs]],"&gt;=10",tbl_task10[[SubPLOs]:[SubPLOs]],"&lt;11")</f>
        <v>0</v>
      </c>
      <c r="CD189" s="41">
        <f>SUMIFS(tbl_task1[S77],tbl_task1[[SubPLOs]:[SubPLOs]],"&gt;=10",tbl_task1[[SubPLOs]:[SubPLOs]],"&lt;11")+SUMIFS(tbl_task2[S77],tbl_task2[[SubPLOs]:[SubPLOs]],"&gt;=10",tbl_task2[[SubPLOs]:[SubPLOs]],"&lt;11")+SUMIFS(tbl_task3[S77],tbl_task3[[SubPLOs]:[SubPLOs]],"&gt;=10",tbl_task3[[SubPLOs]:[SubPLOs]],"&lt;11")+SUMIFS(tbl_task4[S77],tbl_task4[[SubPLOs]:[SubPLOs]],"&gt;=10",tbl_task4[[SubPLOs]:[SubPLOs]],"&lt;11")+SUMIFS(tbl_task5[S77],tbl_task5[[SubPLOs]:[SubPLOs]],"&gt;=10",tbl_task5[[SubPLOs]:[SubPLOs]],"&lt;11")+SUMIFS(tbl_task6[S77],tbl_task6[[SubPLOs]:[SubPLOs]],"&gt;=10",tbl_task6[[SubPLOs]:[SubPLOs]],"&lt;11")+SUMIFS(tbl_task7[S77],tbl_task7[[SubPLOs]:[SubPLOs]],"&gt;=10",tbl_task7[[SubPLOs]:[SubPLOs]],"&lt;11")+SUMIFS(tbl_task8[S77],tbl_task8[[SubPLOs]:[SubPLOs]],"&gt;=10",tbl_task8[[SubPLOs]:[SubPLOs]],"&lt;11")+SUMIFS(tbl_task9[S77],tbl_task9[[SubPLOs]:[SubPLOs]],"&gt;=10",tbl_task9[[SubPLOs]:[SubPLOs]],"&lt;11")+SUMIFS(tbl_task10[S77],tbl_task10[[SubPLOs]:[SubPLOs]],"&gt;=10",tbl_task10[[SubPLOs]:[SubPLOs]],"&lt;11")</f>
        <v>0</v>
      </c>
      <c r="CE189" s="41">
        <f>SUMIFS(tbl_task1[S78],tbl_task1[[SubPLOs]:[SubPLOs]],"&gt;=10",tbl_task1[[SubPLOs]:[SubPLOs]],"&lt;11")+SUMIFS(tbl_task2[S78],tbl_task2[[SubPLOs]:[SubPLOs]],"&gt;=10",tbl_task2[[SubPLOs]:[SubPLOs]],"&lt;11")+SUMIFS(tbl_task3[S78],tbl_task3[[SubPLOs]:[SubPLOs]],"&gt;=10",tbl_task3[[SubPLOs]:[SubPLOs]],"&lt;11")+SUMIFS(tbl_task4[S78],tbl_task4[[SubPLOs]:[SubPLOs]],"&gt;=10",tbl_task4[[SubPLOs]:[SubPLOs]],"&lt;11")+SUMIFS(tbl_task5[S78],tbl_task5[[SubPLOs]:[SubPLOs]],"&gt;=10",tbl_task5[[SubPLOs]:[SubPLOs]],"&lt;11")+SUMIFS(tbl_task6[S78],tbl_task6[[SubPLOs]:[SubPLOs]],"&gt;=10",tbl_task6[[SubPLOs]:[SubPLOs]],"&lt;11")+SUMIFS(tbl_task7[S78],tbl_task7[[SubPLOs]:[SubPLOs]],"&gt;=10",tbl_task7[[SubPLOs]:[SubPLOs]],"&lt;11")+SUMIFS(tbl_task8[S78],tbl_task8[[SubPLOs]:[SubPLOs]],"&gt;=10",tbl_task8[[SubPLOs]:[SubPLOs]],"&lt;11")+SUMIFS(tbl_task9[S78],tbl_task9[[SubPLOs]:[SubPLOs]],"&gt;=10",tbl_task9[[SubPLOs]:[SubPLOs]],"&lt;11")+SUMIFS(tbl_task10[S78],tbl_task10[[SubPLOs]:[SubPLOs]],"&gt;=10",tbl_task10[[SubPLOs]:[SubPLOs]],"&lt;11")</f>
        <v>0</v>
      </c>
      <c r="CF189" s="41">
        <f>SUMIFS(tbl_task1[S79],tbl_task1[[SubPLOs]:[SubPLOs]],"&gt;=10",tbl_task1[[SubPLOs]:[SubPLOs]],"&lt;11")+SUMIFS(tbl_task2[S79],tbl_task2[[SubPLOs]:[SubPLOs]],"&gt;=10",tbl_task2[[SubPLOs]:[SubPLOs]],"&lt;11")+SUMIFS(tbl_task3[S79],tbl_task3[[SubPLOs]:[SubPLOs]],"&gt;=10",tbl_task3[[SubPLOs]:[SubPLOs]],"&lt;11")+SUMIFS(tbl_task4[S79],tbl_task4[[SubPLOs]:[SubPLOs]],"&gt;=10",tbl_task4[[SubPLOs]:[SubPLOs]],"&lt;11")+SUMIFS(tbl_task5[S79],tbl_task5[[SubPLOs]:[SubPLOs]],"&gt;=10",tbl_task5[[SubPLOs]:[SubPLOs]],"&lt;11")+SUMIFS(tbl_task6[S79],tbl_task6[[SubPLOs]:[SubPLOs]],"&gt;=10",tbl_task6[[SubPLOs]:[SubPLOs]],"&lt;11")+SUMIFS(tbl_task7[S79],tbl_task7[[SubPLOs]:[SubPLOs]],"&gt;=10",tbl_task7[[SubPLOs]:[SubPLOs]],"&lt;11")+SUMIFS(tbl_task8[S79],tbl_task8[[SubPLOs]:[SubPLOs]],"&gt;=10",tbl_task8[[SubPLOs]:[SubPLOs]],"&lt;11")+SUMIFS(tbl_task9[S79],tbl_task9[[SubPLOs]:[SubPLOs]],"&gt;=10",tbl_task9[[SubPLOs]:[SubPLOs]],"&lt;11")+SUMIFS(tbl_task10[S79],tbl_task10[[SubPLOs]:[SubPLOs]],"&gt;=10",tbl_task10[[SubPLOs]:[SubPLOs]],"&lt;11")</f>
        <v>0</v>
      </c>
      <c r="CG189" s="41">
        <f>SUMIFS(tbl_task1[S80],tbl_task1[[SubPLOs]:[SubPLOs]],"&gt;=10",tbl_task1[[SubPLOs]:[SubPLOs]],"&lt;11")+SUMIFS(tbl_task2[S80],tbl_task2[[SubPLOs]:[SubPLOs]],"&gt;=10",tbl_task2[[SubPLOs]:[SubPLOs]],"&lt;11")+SUMIFS(tbl_task3[S80],tbl_task3[[SubPLOs]:[SubPLOs]],"&gt;=10",tbl_task3[[SubPLOs]:[SubPLOs]],"&lt;11")+SUMIFS(tbl_task4[S80],tbl_task4[[SubPLOs]:[SubPLOs]],"&gt;=10",tbl_task4[[SubPLOs]:[SubPLOs]],"&lt;11")+SUMIFS(tbl_task5[S80],tbl_task5[[SubPLOs]:[SubPLOs]],"&gt;=10",tbl_task5[[SubPLOs]:[SubPLOs]],"&lt;11")+SUMIFS(tbl_task6[S80],tbl_task6[[SubPLOs]:[SubPLOs]],"&gt;=10",tbl_task6[[SubPLOs]:[SubPLOs]],"&lt;11")+SUMIFS(tbl_task7[S80],tbl_task7[[SubPLOs]:[SubPLOs]],"&gt;=10",tbl_task7[[SubPLOs]:[SubPLOs]],"&lt;11")+SUMIFS(tbl_task8[S80],tbl_task8[[SubPLOs]:[SubPLOs]],"&gt;=10",tbl_task8[[SubPLOs]:[SubPLOs]],"&lt;11")+SUMIFS(tbl_task9[S80],tbl_task9[[SubPLOs]:[SubPLOs]],"&gt;=10",tbl_task9[[SubPLOs]:[SubPLOs]],"&lt;11")+SUMIFS(tbl_task10[S80],tbl_task10[[SubPLOs]:[SubPLOs]],"&gt;=10",tbl_task10[[SubPLOs]:[SubPLOs]],"&lt;11")</f>
        <v>0</v>
      </c>
      <c r="CH189" s="41">
        <f>SUMIFS(tbl_task1[S81],tbl_task1[[SubPLOs]:[SubPLOs]],"&gt;=10",tbl_task1[[SubPLOs]:[SubPLOs]],"&lt;11")+SUMIFS(tbl_task2[S81],tbl_task2[[SubPLOs]:[SubPLOs]],"&gt;=10",tbl_task2[[SubPLOs]:[SubPLOs]],"&lt;11")+SUMIFS(tbl_task3[S81],tbl_task3[[SubPLOs]:[SubPLOs]],"&gt;=10",tbl_task3[[SubPLOs]:[SubPLOs]],"&lt;11")+SUMIFS(tbl_task4[S81],tbl_task4[[SubPLOs]:[SubPLOs]],"&gt;=10",tbl_task4[[SubPLOs]:[SubPLOs]],"&lt;11")+SUMIFS(tbl_task5[S81],tbl_task5[[SubPLOs]:[SubPLOs]],"&gt;=10",tbl_task5[[SubPLOs]:[SubPLOs]],"&lt;11")+SUMIFS(tbl_task6[S81],tbl_task6[[SubPLOs]:[SubPLOs]],"&gt;=10",tbl_task6[[SubPLOs]:[SubPLOs]],"&lt;11")+SUMIFS(tbl_task7[S81],tbl_task7[[SubPLOs]:[SubPLOs]],"&gt;=10",tbl_task7[[SubPLOs]:[SubPLOs]],"&lt;11")+SUMIFS(tbl_task8[S81],tbl_task8[[SubPLOs]:[SubPLOs]],"&gt;=10",tbl_task8[[SubPLOs]:[SubPLOs]],"&lt;11")+SUMIFS(tbl_task9[S81],tbl_task9[[SubPLOs]:[SubPLOs]],"&gt;=10",tbl_task9[[SubPLOs]:[SubPLOs]],"&lt;11")+SUMIFS(tbl_task10[S81],tbl_task10[[SubPLOs]:[SubPLOs]],"&gt;=10",tbl_task10[[SubPLOs]:[SubPLOs]],"&lt;11")</f>
        <v>0</v>
      </c>
      <c r="CI189" s="41">
        <f>SUMIFS(tbl_task1[S82],tbl_task1[[SubPLOs]:[SubPLOs]],"&gt;=10",tbl_task1[[SubPLOs]:[SubPLOs]],"&lt;11")+SUMIFS(tbl_task2[S82],tbl_task2[[SubPLOs]:[SubPLOs]],"&gt;=10",tbl_task2[[SubPLOs]:[SubPLOs]],"&lt;11")+SUMIFS(tbl_task3[S82],tbl_task3[[SubPLOs]:[SubPLOs]],"&gt;=10",tbl_task3[[SubPLOs]:[SubPLOs]],"&lt;11")+SUMIFS(tbl_task4[S82],tbl_task4[[SubPLOs]:[SubPLOs]],"&gt;=10",tbl_task4[[SubPLOs]:[SubPLOs]],"&lt;11")+SUMIFS(tbl_task5[S82],tbl_task5[[SubPLOs]:[SubPLOs]],"&gt;=10",tbl_task5[[SubPLOs]:[SubPLOs]],"&lt;11")+SUMIFS(tbl_task6[S82],tbl_task6[[SubPLOs]:[SubPLOs]],"&gt;=10",tbl_task6[[SubPLOs]:[SubPLOs]],"&lt;11")+SUMIFS(tbl_task7[S82],tbl_task7[[SubPLOs]:[SubPLOs]],"&gt;=10",tbl_task7[[SubPLOs]:[SubPLOs]],"&lt;11")+SUMIFS(tbl_task8[S82],tbl_task8[[SubPLOs]:[SubPLOs]],"&gt;=10",tbl_task8[[SubPLOs]:[SubPLOs]],"&lt;11")+SUMIFS(tbl_task9[S82],tbl_task9[[SubPLOs]:[SubPLOs]],"&gt;=10",tbl_task9[[SubPLOs]:[SubPLOs]],"&lt;11")+SUMIFS(tbl_task10[S82],tbl_task10[[SubPLOs]:[SubPLOs]],"&gt;=10",tbl_task10[[SubPLOs]:[SubPLOs]],"&lt;11")</f>
        <v>0</v>
      </c>
      <c r="CJ189" s="41">
        <f>SUMIFS(tbl_task1[S83],tbl_task1[[SubPLOs]:[SubPLOs]],"&gt;=10",tbl_task1[[SubPLOs]:[SubPLOs]],"&lt;11")+SUMIFS(tbl_task2[S83],tbl_task2[[SubPLOs]:[SubPLOs]],"&gt;=10",tbl_task2[[SubPLOs]:[SubPLOs]],"&lt;11")+SUMIFS(tbl_task3[S83],tbl_task3[[SubPLOs]:[SubPLOs]],"&gt;=10",tbl_task3[[SubPLOs]:[SubPLOs]],"&lt;11")+SUMIFS(tbl_task4[S83],tbl_task4[[SubPLOs]:[SubPLOs]],"&gt;=10",tbl_task4[[SubPLOs]:[SubPLOs]],"&lt;11")+SUMIFS(tbl_task5[S83],tbl_task5[[SubPLOs]:[SubPLOs]],"&gt;=10",tbl_task5[[SubPLOs]:[SubPLOs]],"&lt;11")+SUMIFS(tbl_task6[S83],tbl_task6[[SubPLOs]:[SubPLOs]],"&gt;=10",tbl_task6[[SubPLOs]:[SubPLOs]],"&lt;11")+SUMIFS(tbl_task7[S83],tbl_task7[[SubPLOs]:[SubPLOs]],"&gt;=10",tbl_task7[[SubPLOs]:[SubPLOs]],"&lt;11")+SUMIFS(tbl_task8[S83],tbl_task8[[SubPLOs]:[SubPLOs]],"&gt;=10",tbl_task8[[SubPLOs]:[SubPLOs]],"&lt;11")+SUMIFS(tbl_task9[S83],tbl_task9[[SubPLOs]:[SubPLOs]],"&gt;=10",tbl_task9[[SubPLOs]:[SubPLOs]],"&lt;11")+SUMIFS(tbl_task10[S83],tbl_task10[[SubPLOs]:[SubPLOs]],"&gt;=10",tbl_task10[[SubPLOs]:[SubPLOs]],"&lt;11")</f>
        <v>0</v>
      </c>
      <c r="CK189" s="41">
        <f>SUMIFS(tbl_task1[S84],tbl_task1[[SubPLOs]:[SubPLOs]],"&gt;=10",tbl_task1[[SubPLOs]:[SubPLOs]],"&lt;11")+SUMIFS(tbl_task2[S84],tbl_task2[[SubPLOs]:[SubPLOs]],"&gt;=10",tbl_task2[[SubPLOs]:[SubPLOs]],"&lt;11")+SUMIFS(tbl_task3[S84],tbl_task3[[SubPLOs]:[SubPLOs]],"&gt;=10",tbl_task3[[SubPLOs]:[SubPLOs]],"&lt;11")+SUMIFS(tbl_task4[S84],tbl_task4[[SubPLOs]:[SubPLOs]],"&gt;=10",tbl_task4[[SubPLOs]:[SubPLOs]],"&lt;11")+SUMIFS(tbl_task5[S84],tbl_task5[[SubPLOs]:[SubPLOs]],"&gt;=10",tbl_task5[[SubPLOs]:[SubPLOs]],"&lt;11")+SUMIFS(tbl_task6[S84],tbl_task6[[SubPLOs]:[SubPLOs]],"&gt;=10",tbl_task6[[SubPLOs]:[SubPLOs]],"&lt;11")+SUMIFS(tbl_task7[S84],tbl_task7[[SubPLOs]:[SubPLOs]],"&gt;=10",tbl_task7[[SubPLOs]:[SubPLOs]],"&lt;11")+SUMIFS(tbl_task8[S84],tbl_task8[[SubPLOs]:[SubPLOs]],"&gt;=10",tbl_task8[[SubPLOs]:[SubPLOs]],"&lt;11")+SUMIFS(tbl_task9[S84],tbl_task9[[SubPLOs]:[SubPLOs]],"&gt;=10",tbl_task9[[SubPLOs]:[SubPLOs]],"&lt;11")+SUMIFS(tbl_task10[S84],tbl_task10[[SubPLOs]:[SubPLOs]],"&gt;=10",tbl_task10[[SubPLOs]:[SubPLOs]],"&lt;11")</f>
        <v>0</v>
      </c>
      <c r="CL189" s="41">
        <f>SUMIFS(tbl_task1[S85],tbl_task1[[SubPLOs]:[SubPLOs]],"&gt;=10",tbl_task1[[SubPLOs]:[SubPLOs]],"&lt;11")+SUMIFS(tbl_task2[S85],tbl_task2[[SubPLOs]:[SubPLOs]],"&gt;=10",tbl_task2[[SubPLOs]:[SubPLOs]],"&lt;11")+SUMIFS(tbl_task3[S85],tbl_task3[[SubPLOs]:[SubPLOs]],"&gt;=10",tbl_task3[[SubPLOs]:[SubPLOs]],"&lt;11")+SUMIFS(tbl_task4[S85],tbl_task4[[SubPLOs]:[SubPLOs]],"&gt;=10",tbl_task4[[SubPLOs]:[SubPLOs]],"&lt;11")+SUMIFS(tbl_task5[S85],tbl_task5[[SubPLOs]:[SubPLOs]],"&gt;=10",tbl_task5[[SubPLOs]:[SubPLOs]],"&lt;11")+SUMIFS(tbl_task6[S85],tbl_task6[[SubPLOs]:[SubPLOs]],"&gt;=10",tbl_task6[[SubPLOs]:[SubPLOs]],"&lt;11")+SUMIFS(tbl_task7[S85],tbl_task7[[SubPLOs]:[SubPLOs]],"&gt;=10",tbl_task7[[SubPLOs]:[SubPLOs]],"&lt;11")+SUMIFS(tbl_task8[S85],tbl_task8[[SubPLOs]:[SubPLOs]],"&gt;=10",tbl_task8[[SubPLOs]:[SubPLOs]],"&lt;11")+SUMIFS(tbl_task9[S85],tbl_task9[[SubPLOs]:[SubPLOs]],"&gt;=10",tbl_task9[[SubPLOs]:[SubPLOs]],"&lt;11")+SUMIFS(tbl_task10[S85],tbl_task10[[SubPLOs]:[SubPLOs]],"&gt;=10",tbl_task10[[SubPLOs]:[SubPLOs]],"&lt;11")</f>
        <v>0</v>
      </c>
      <c r="CM189" s="41">
        <f>SUMIFS(tbl_task1[S86],tbl_task1[[SubPLOs]:[SubPLOs]],"&gt;=10",tbl_task1[[SubPLOs]:[SubPLOs]],"&lt;11")+SUMIFS(tbl_task2[S86],tbl_task2[[SubPLOs]:[SubPLOs]],"&gt;=10",tbl_task2[[SubPLOs]:[SubPLOs]],"&lt;11")+SUMIFS(tbl_task3[S86],tbl_task3[[SubPLOs]:[SubPLOs]],"&gt;=10",tbl_task3[[SubPLOs]:[SubPLOs]],"&lt;11")+SUMIFS(tbl_task4[S86],tbl_task4[[SubPLOs]:[SubPLOs]],"&gt;=10",tbl_task4[[SubPLOs]:[SubPLOs]],"&lt;11")+SUMIFS(tbl_task5[S86],tbl_task5[[SubPLOs]:[SubPLOs]],"&gt;=10",tbl_task5[[SubPLOs]:[SubPLOs]],"&lt;11")+SUMIFS(tbl_task6[S86],tbl_task6[[SubPLOs]:[SubPLOs]],"&gt;=10",tbl_task6[[SubPLOs]:[SubPLOs]],"&lt;11")+SUMIFS(tbl_task7[S86],tbl_task7[[SubPLOs]:[SubPLOs]],"&gt;=10",tbl_task7[[SubPLOs]:[SubPLOs]],"&lt;11")+SUMIFS(tbl_task8[S86],tbl_task8[[SubPLOs]:[SubPLOs]],"&gt;=10",tbl_task8[[SubPLOs]:[SubPLOs]],"&lt;11")+SUMIFS(tbl_task9[S86],tbl_task9[[SubPLOs]:[SubPLOs]],"&gt;=10",tbl_task9[[SubPLOs]:[SubPLOs]],"&lt;11")+SUMIFS(tbl_task10[S86],tbl_task10[[SubPLOs]:[SubPLOs]],"&gt;=10",tbl_task10[[SubPLOs]:[SubPLOs]],"&lt;11")</f>
        <v>0</v>
      </c>
      <c r="CN189" s="41">
        <f>SUMIFS(tbl_task1[S87],tbl_task1[[SubPLOs]:[SubPLOs]],"&gt;=10",tbl_task1[[SubPLOs]:[SubPLOs]],"&lt;11")+SUMIFS(tbl_task2[S87],tbl_task2[[SubPLOs]:[SubPLOs]],"&gt;=10",tbl_task2[[SubPLOs]:[SubPLOs]],"&lt;11")+SUMIFS(tbl_task3[S87],tbl_task3[[SubPLOs]:[SubPLOs]],"&gt;=10",tbl_task3[[SubPLOs]:[SubPLOs]],"&lt;11")+SUMIFS(tbl_task4[S87],tbl_task4[[SubPLOs]:[SubPLOs]],"&gt;=10",tbl_task4[[SubPLOs]:[SubPLOs]],"&lt;11")+SUMIFS(tbl_task5[S87],tbl_task5[[SubPLOs]:[SubPLOs]],"&gt;=10",tbl_task5[[SubPLOs]:[SubPLOs]],"&lt;11")+SUMIFS(tbl_task6[S87],tbl_task6[[SubPLOs]:[SubPLOs]],"&gt;=10",tbl_task6[[SubPLOs]:[SubPLOs]],"&lt;11")+SUMIFS(tbl_task7[S87],tbl_task7[[SubPLOs]:[SubPLOs]],"&gt;=10",tbl_task7[[SubPLOs]:[SubPLOs]],"&lt;11")+SUMIFS(tbl_task8[S87],tbl_task8[[SubPLOs]:[SubPLOs]],"&gt;=10",tbl_task8[[SubPLOs]:[SubPLOs]],"&lt;11")+SUMIFS(tbl_task9[S87],tbl_task9[[SubPLOs]:[SubPLOs]],"&gt;=10",tbl_task9[[SubPLOs]:[SubPLOs]],"&lt;11")+SUMIFS(tbl_task10[S87],tbl_task10[[SubPLOs]:[SubPLOs]],"&gt;=10",tbl_task10[[SubPLOs]:[SubPLOs]],"&lt;11")</f>
        <v>0</v>
      </c>
      <c r="CO189" s="41">
        <f>SUMIFS(tbl_task1[S88],tbl_task1[[SubPLOs]:[SubPLOs]],"&gt;=10",tbl_task1[[SubPLOs]:[SubPLOs]],"&lt;11")+SUMIFS(tbl_task2[S88],tbl_task2[[SubPLOs]:[SubPLOs]],"&gt;=10",tbl_task2[[SubPLOs]:[SubPLOs]],"&lt;11")+SUMIFS(tbl_task3[S88],tbl_task3[[SubPLOs]:[SubPLOs]],"&gt;=10",tbl_task3[[SubPLOs]:[SubPLOs]],"&lt;11")+SUMIFS(tbl_task4[S88],tbl_task4[[SubPLOs]:[SubPLOs]],"&gt;=10",tbl_task4[[SubPLOs]:[SubPLOs]],"&lt;11")+SUMIFS(tbl_task5[S88],tbl_task5[[SubPLOs]:[SubPLOs]],"&gt;=10",tbl_task5[[SubPLOs]:[SubPLOs]],"&lt;11")+SUMIFS(tbl_task6[S88],tbl_task6[[SubPLOs]:[SubPLOs]],"&gt;=10",tbl_task6[[SubPLOs]:[SubPLOs]],"&lt;11")+SUMIFS(tbl_task7[S88],tbl_task7[[SubPLOs]:[SubPLOs]],"&gt;=10",tbl_task7[[SubPLOs]:[SubPLOs]],"&lt;11")+SUMIFS(tbl_task8[S88],tbl_task8[[SubPLOs]:[SubPLOs]],"&gt;=10",tbl_task8[[SubPLOs]:[SubPLOs]],"&lt;11")+SUMIFS(tbl_task9[S88],tbl_task9[[SubPLOs]:[SubPLOs]],"&gt;=10",tbl_task9[[SubPLOs]:[SubPLOs]],"&lt;11")+SUMIFS(tbl_task10[S88],tbl_task10[[SubPLOs]:[SubPLOs]],"&gt;=10",tbl_task10[[SubPLOs]:[SubPLOs]],"&lt;11")</f>
        <v>0</v>
      </c>
      <c r="CP189" s="41">
        <f>SUMIFS(tbl_task1[S89],tbl_task1[[SubPLOs]:[SubPLOs]],"&gt;=10",tbl_task1[[SubPLOs]:[SubPLOs]],"&lt;11")+SUMIFS(tbl_task2[S89],tbl_task2[[SubPLOs]:[SubPLOs]],"&gt;=10",tbl_task2[[SubPLOs]:[SubPLOs]],"&lt;11")+SUMIFS(tbl_task3[S89],tbl_task3[[SubPLOs]:[SubPLOs]],"&gt;=10",tbl_task3[[SubPLOs]:[SubPLOs]],"&lt;11")+SUMIFS(tbl_task4[S89],tbl_task4[[SubPLOs]:[SubPLOs]],"&gt;=10",tbl_task4[[SubPLOs]:[SubPLOs]],"&lt;11")+SUMIFS(tbl_task5[S89],tbl_task5[[SubPLOs]:[SubPLOs]],"&gt;=10",tbl_task5[[SubPLOs]:[SubPLOs]],"&lt;11")+SUMIFS(tbl_task6[S89],tbl_task6[[SubPLOs]:[SubPLOs]],"&gt;=10",tbl_task6[[SubPLOs]:[SubPLOs]],"&lt;11")+SUMIFS(tbl_task7[S89],tbl_task7[[SubPLOs]:[SubPLOs]],"&gt;=10",tbl_task7[[SubPLOs]:[SubPLOs]],"&lt;11")+SUMIFS(tbl_task8[S89],tbl_task8[[SubPLOs]:[SubPLOs]],"&gt;=10",tbl_task8[[SubPLOs]:[SubPLOs]],"&lt;11")+SUMIFS(tbl_task9[S89],tbl_task9[[SubPLOs]:[SubPLOs]],"&gt;=10",tbl_task9[[SubPLOs]:[SubPLOs]],"&lt;11")+SUMIFS(tbl_task10[S89],tbl_task10[[SubPLOs]:[SubPLOs]],"&gt;=10",tbl_task10[[SubPLOs]:[SubPLOs]],"&lt;11")</f>
        <v>0</v>
      </c>
      <c r="CQ189" s="41">
        <f>SUMIFS(tbl_task1[S90],tbl_task1[[SubPLOs]:[SubPLOs]],"&gt;=10",tbl_task1[[SubPLOs]:[SubPLOs]],"&lt;11")+SUMIFS(tbl_task2[S90],tbl_task2[[SubPLOs]:[SubPLOs]],"&gt;=10",tbl_task2[[SubPLOs]:[SubPLOs]],"&lt;11")+SUMIFS(tbl_task3[S90],tbl_task3[[SubPLOs]:[SubPLOs]],"&gt;=10",tbl_task3[[SubPLOs]:[SubPLOs]],"&lt;11")+SUMIFS(tbl_task4[S90],tbl_task4[[SubPLOs]:[SubPLOs]],"&gt;=10",tbl_task4[[SubPLOs]:[SubPLOs]],"&lt;11")+SUMIFS(tbl_task5[S90],tbl_task5[[SubPLOs]:[SubPLOs]],"&gt;=10",tbl_task5[[SubPLOs]:[SubPLOs]],"&lt;11")+SUMIFS(tbl_task6[S90],tbl_task6[[SubPLOs]:[SubPLOs]],"&gt;=10",tbl_task6[[SubPLOs]:[SubPLOs]],"&lt;11")+SUMIFS(tbl_task7[S90],tbl_task7[[SubPLOs]:[SubPLOs]],"&gt;=10",tbl_task7[[SubPLOs]:[SubPLOs]],"&lt;11")+SUMIFS(tbl_task8[S90],tbl_task8[[SubPLOs]:[SubPLOs]],"&gt;=10",tbl_task8[[SubPLOs]:[SubPLOs]],"&lt;11")+SUMIFS(tbl_task9[S90],tbl_task9[[SubPLOs]:[SubPLOs]],"&gt;=10",tbl_task9[[SubPLOs]:[SubPLOs]],"&lt;11")+SUMIFS(tbl_task10[S90],tbl_task10[[SubPLOs]:[SubPLOs]],"&gt;=10",tbl_task10[[SubPLOs]:[SubPLOs]],"&lt;11")</f>
        <v>0</v>
      </c>
      <c r="CR189" s="41">
        <f>SUMIFS(tbl_task1[S91],tbl_task1[[SubPLOs]:[SubPLOs]],"&gt;=10",tbl_task1[[SubPLOs]:[SubPLOs]],"&lt;11")+SUMIFS(tbl_task2[S91],tbl_task2[[SubPLOs]:[SubPLOs]],"&gt;=10",tbl_task2[[SubPLOs]:[SubPLOs]],"&lt;11")+SUMIFS(tbl_task3[S91],tbl_task3[[SubPLOs]:[SubPLOs]],"&gt;=10",tbl_task3[[SubPLOs]:[SubPLOs]],"&lt;11")+SUMIFS(tbl_task4[S91],tbl_task4[[SubPLOs]:[SubPLOs]],"&gt;=10",tbl_task4[[SubPLOs]:[SubPLOs]],"&lt;11")+SUMIFS(tbl_task5[S91],tbl_task5[[SubPLOs]:[SubPLOs]],"&gt;=10",tbl_task5[[SubPLOs]:[SubPLOs]],"&lt;11")+SUMIFS(tbl_task6[S91],tbl_task6[[SubPLOs]:[SubPLOs]],"&gt;=10",tbl_task6[[SubPLOs]:[SubPLOs]],"&lt;11")+SUMIFS(tbl_task7[S91],tbl_task7[[SubPLOs]:[SubPLOs]],"&gt;=10",tbl_task7[[SubPLOs]:[SubPLOs]],"&lt;11")+SUMIFS(tbl_task8[S91],tbl_task8[[SubPLOs]:[SubPLOs]],"&gt;=10",tbl_task8[[SubPLOs]:[SubPLOs]],"&lt;11")+SUMIFS(tbl_task9[S91],tbl_task9[[SubPLOs]:[SubPLOs]],"&gt;=10",tbl_task9[[SubPLOs]:[SubPLOs]],"&lt;11")+SUMIFS(tbl_task10[S91],tbl_task10[[SubPLOs]:[SubPLOs]],"&gt;=10",tbl_task10[[SubPLOs]:[SubPLOs]],"&lt;11")</f>
        <v>0</v>
      </c>
      <c r="CS189" s="41">
        <f>SUMIFS(tbl_task1[S92],tbl_task1[[SubPLOs]:[SubPLOs]],"&gt;=10",tbl_task1[[SubPLOs]:[SubPLOs]],"&lt;11")+SUMIFS(tbl_task2[S92],tbl_task2[[SubPLOs]:[SubPLOs]],"&gt;=10",tbl_task2[[SubPLOs]:[SubPLOs]],"&lt;11")+SUMIFS(tbl_task3[S92],tbl_task3[[SubPLOs]:[SubPLOs]],"&gt;=10",tbl_task3[[SubPLOs]:[SubPLOs]],"&lt;11")+SUMIFS(tbl_task4[S92],tbl_task4[[SubPLOs]:[SubPLOs]],"&gt;=10",tbl_task4[[SubPLOs]:[SubPLOs]],"&lt;11")+SUMIFS(tbl_task5[S92],tbl_task5[[SubPLOs]:[SubPLOs]],"&gt;=10",tbl_task5[[SubPLOs]:[SubPLOs]],"&lt;11")+SUMIFS(tbl_task6[S92],tbl_task6[[SubPLOs]:[SubPLOs]],"&gt;=10",tbl_task6[[SubPLOs]:[SubPLOs]],"&lt;11")+SUMIFS(tbl_task7[S92],tbl_task7[[SubPLOs]:[SubPLOs]],"&gt;=10",tbl_task7[[SubPLOs]:[SubPLOs]],"&lt;11")+SUMIFS(tbl_task8[S92],tbl_task8[[SubPLOs]:[SubPLOs]],"&gt;=10",tbl_task8[[SubPLOs]:[SubPLOs]],"&lt;11")+SUMIFS(tbl_task9[S92],tbl_task9[[SubPLOs]:[SubPLOs]],"&gt;=10",tbl_task9[[SubPLOs]:[SubPLOs]],"&lt;11")+SUMIFS(tbl_task10[S92],tbl_task10[[SubPLOs]:[SubPLOs]],"&gt;=10",tbl_task10[[SubPLOs]:[SubPLOs]],"&lt;11")</f>
        <v>0</v>
      </c>
      <c r="CT189" s="41">
        <f>SUMIFS(tbl_task1[S93],tbl_task1[[SubPLOs]:[SubPLOs]],"&gt;=10",tbl_task1[[SubPLOs]:[SubPLOs]],"&lt;11")+SUMIFS(tbl_task2[S93],tbl_task2[[SubPLOs]:[SubPLOs]],"&gt;=10",tbl_task2[[SubPLOs]:[SubPLOs]],"&lt;11")+SUMIFS(tbl_task3[S93],tbl_task3[[SubPLOs]:[SubPLOs]],"&gt;=10",tbl_task3[[SubPLOs]:[SubPLOs]],"&lt;11")+SUMIFS(tbl_task4[S93],tbl_task4[[SubPLOs]:[SubPLOs]],"&gt;=10",tbl_task4[[SubPLOs]:[SubPLOs]],"&lt;11")+SUMIFS(tbl_task5[S93],tbl_task5[[SubPLOs]:[SubPLOs]],"&gt;=10",tbl_task5[[SubPLOs]:[SubPLOs]],"&lt;11")+SUMIFS(tbl_task6[S93],tbl_task6[[SubPLOs]:[SubPLOs]],"&gt;=10",tbl_task6[[SubPLOs]:[SubPLOs]],"&lt;11")+SUMIFS(tbl_task7[S93],tbl_task7[[SubPLOs]:[SubPLOs]],"&gt;=10",tbl_task7[[SubPLOs]:[SubPLOs]],"&lt;11")+SUMIFS(tbl_task8[S93],tbl_task8[[SubPLOs]:[SubPLOs]],"&gt;=10",tbl_task8[[SubPLOs]:[SubPLOs]],"&lt;11")+SUMIFS(tbl_task9[S93],tbl_task9[[SubPLOs]:[SubPLOs]],"&gt;=10",tbl_task9[[SubPLOs]:[SubPLOs]],"&lt;11")+SUMIFS(tbl_task10[S93],tbl_task10[[SubPLOs]:[SubPLOs]],"&gt;=10",tbl_task10[[SubPLOs]:[SubPLOs]],"&lt;11")</f>
        <v>0</v>
      </c>
      <c r="CU189" s="41">
        <f>SUMIFS(tbl_task1[S94],tbl_task1[[SubPLOs]:[SubPLOs]],"&gt;=10",tbl_task1[[SubPLOs]:[SubPLOs]],"&lt;11")+SUMIFS(tbl_task2[S94],tbl_task2[[SubPLOs]:[SubPLOs]],"&gt;=10",tbl_task2[[SubPLOs]:[SubPLOs]],"&lt;11")+SUMIFS(tbl_task3[S94],tbl_task3[[SubPLOs]:[SubPLOs]],"&gt;=10",tbl_task3[[SubPLOs]:[SubPLOs]],"&lt;11")+SUMIFS(tbl_task4[S94],tbl_task4[[SubPLOs]:[SubPLOs]],"&gt;=10",tbl_task4[[SubPLOs]:[SubPLOs]],"&lt;11")+SUMIFS(tbl_task5[S94],tbl_task5[[SubPLOs]:[SubPLOs]],"&gt;=10",tbl_task5[[SubPLOs]:[SubPLOs]],"&lt;11")+SUMIFS(tbl_task6[S94],tbl_task6[[SubPLOs]:[SubPLOs]],"&gt;=10",tbl_task6[[SubPLOs]:[SubPLOs]],"&lt;11")+SUMIFS(tbl_task7[S94],tbl_task7[[SubPLOs]:[SubPLOs]],"&gt;=10",tbl_task7[[SubPLOs]:[SubPLOs]],"&lt;11")+SUMIFS(tbl_task8[S94],tbl_task8[[SubPLOs]:[SubPLOs]],"&gt;=10",tbl_task8[[SubPLOs]:[SubPLOs]],"&lt;11")+SUMIFS(tbl_task9[S94],tbl_task9[[SubPLOs]:[SubPLOs]],"&gt;=10",tbl_task9[[SubPLOs]:[SubPLOs]],"&lt;11")+SUMIFS(tbl_task10[S94],tbl_task10[[SubPLOs]:[SubPLOs]],"&gt;=10",tbl_task10[[SubPLOs]:[SubPLOs]],"&lt;11")</f>
        <v>0</v>
      </c>
      <c r="CV189" s="41">
        <f>SUMIFS(tbl_task1[S95],tbl_task1[[SubPLOs]:[SubPLOs]],"&gt;=10",tbl_task1[[SubPLOs]:[SubPLOs]],"&lt;11")+SUMIFS(tbl_task2[S95],tbl_task2[[SubPLOs]:[SubPLOs]],"&gt;=10",tbl_task2[[SubPLOs]:[SubPLOs]],"&lt;11")+SUMIFS(tbl_task3[S95],tbl_task3[[SubPLOs]:[SubPLOs]],"&gt;=10",tbl_task3[[SubPLOs]:[SubPLOs]],"&lt;11")+SUMIFS(tbl_task4[S95],tbl_task4[[SubPLOs]:[SubPLOs]],"&gt;=10",tbl_task4[[SubPLOs]:[SubPLOs]],"&lt;11")+SUMIFS(tbl_task5[S95],tbl_task5[[SubPLOs]:[SubPLOs]],"&gt;=10",tbl_task5[[SubPLOs]:[SubPLOs]],"&lt;11")+SUMIFS(tbl_task6[S95],tbl_task6[[SubPLOs]:[SubPLOs]],"&gt;=10",tbl_task6[[SubPLOs]:[SubPLOs]],"&lt;11")+SUMIFS(tbl_task7[S95],tbl_task7[[SubPLOs]:[SubPLOs]],"&gt;=10",tbl_task7[[SubPLOs]:[SubPLOs]],"&lt;11")+SUMIFS(tbl_task8[S95],tbl_task8[[SubPLOs]:[SubPLOs]],"&gt;=10",tbl_task8[[SubPLOs]:[SubPLOs]],"&lt;11")+SUMIFS(tbl_task9[S95],tbl_task9[[SubPLOs]:[SubPLOs]],"&gt;=10",tbl_task9[[SubPLOs]:[SubPLOs]],"&lt;11")+SUMIFS(tbl_task10[S95],tbl_task10[[SubPLOs]:[SubPLOs]],"&gt;=10",tbl_task10[[SubPLOs]:[SubPLOs]],"&lt;11")</f>
        <v>0</v>
      </c>
      <c r="CW189" s="41">
        <f>SUMIFS(tbl_task1[S96],tbl_task1[[SubPLOs]:[SubPLOs]],"&gt;=10",tbl_task1[[SubPLOs]:[SubPLOs]],"&lt;11")+SUMIFS(tbl_task2[S96],tbl_task2[[SubPLOs]:[SubPLOs]],"&gt;=10",tbl_task2[[SubPLOs]:[SubPLOs]],"&lt;11")+SUMIFS(tbl_task3[S96],tbl_task3[[SubPLOs]:[SubPLOs]],"&gt;=10",tbl_task3[[SubPLOs]:[SubPLOs]],"&lt;11")+SUMIFS(tbl_task4[S96],tbl_task4[[SubPLOs]:[SubPLOs]],"&gt;=10",tbl_task4[[SubPLOs]:[SubPLOs]],"&lt;11")+SUMIFS(tbl_task5[S96],tbl_task5[[SubPLOs]:[SubPLOs]],"&gt;=10",tbl_task5[[SubPLOs]:[SubPLOs]],"&lt;11")+SUMIFS(tbl_task6[S96],tbl_task6[[SubPLOs]:[SubPLOs]],"&gt;=10",tbl_task6[[SubPLOs]:[SubPLOs]],"&lt;11")+SUMIFS(tbl_task7[S96],tbl_task7[[SubPLOs]:[SubPLOs]],"&gt;=10",tbl_task7[[SubPLOs]:[SubPLOs]],"&lt;11")+SUMIFS(tbl_task8[S96],tbl_task8[[SubPLOs]:[SubPLOs]],"&gt;=10",tbl_task8[[SubPLOs]:[SubPLOs]],"&lt;11")+SUMIFS(tbl_task9[S96],tbl_task9[[SubPLOs]:[SubPLOs]],"&gt;=10",tbl_task9[[SubPLOs]:[SubPLOs]],"&lt;11")+SUMIFS(tbl_task10[S96],tbl_task10[[SubPLOs]:[SubPLOs]],"&gt;=10",tbl_task10[[SubPLOs]:[SubPLOs]],"&lt;11")</f>
        <v>0</v>
      </c>
      <c r="CX189" s="41">
        <f>SUMIFS(tbl_task1[S97],tbl_task1[[SubPLOs]:[SubPLOs]],"&gt;=10",tbl_task1[[SubPLOs]:[SubPLOs]],"&lt;11")+SUMIFS(tbl_task2[S97],tbl_task2[[SubPLOs]:[SubPLOs]],"&gt;=10",tbl_task2[[SubPLOs]:[SubPLOs]],"&lt;11")+SUMIFS(tbl_task3[S97],tbl_task3[[SubPLOs]:[SubPLOs]],"&gt;=10",tbl_task3[[SubPLOs]:[SubPLOs]],"&lt;11")+SUMIFS(tbl_task4[S97],tbl_task4[[SubPLOs]:[SubPLOs]],"&gt;=10",tbl_task4[[SubPLOs]:[SubPLOs]],"&lt;11")+SUMIFS(tbl_task5[S97],tbl_task5[[SubPLOs]:[SubPLOs]],"&gt;=10",tbl_task5[[SubPLOs]:[SubPLOs]],"&lt;11")+SUMIFS(tbl_task6[S97],tbl_task6[[SubPLOs]:[SubPLOs]],"&gt;=10",tbl_task6[[SubPLOs]:[SubPLOs]],"&lt;11")+SUMIFS(tbl_task7[S97],tbl_task7[[SubPLOs]:[SubPLOs]],"&gt;=10",tbl_task7[[SubPLOs]:[SubPLOs]],"&lt;11")+SUMIFS(tbl_task8[S97],tbl_task8[[SubPLOs]:[SubPLOs]],"&gt;=10",tbl_task8[[SubPLOs]:[SubPLOs]],"&lt;11")+SUMIFS(tbl_task9[S97],tbl_task9[[SubPLOs]:[SubPLOs]],"&gt;=10",tbl_task9[[SubPLOs]:[SubPLOs]],"&lt;11")+SUMIFS(tbl_task10[S97],tbl_task10[[SubPLOs]:[SubPLOs]],"&gt;=10",tbl_task10[[SubPLOs]:[SubPLOs]],"&lt;11")</f>
        <v>0</v>
      </c>
      <c r="CY189" s="41">
        <f>SUMIFS(tbl_task1[S98],tbl_task1[[SubPLOs]:[SubPLOs]],"&gt;=10",tbl_task1[[SubPLOs]:[SubPLOs]],"&lt;11")+SUMIFS(tbl_task2[S98],tbl_task2[[SubPLOs]:[SubPLOs]],"&gt;=10",tbl_task2[[SubPLOs]:[SubPLOs]],"&lt;11")+SUMIFS(tbl_task3[S98],tbl_task3[[SubPLOs]:[SubPLOs]],"&gt;=10",tbl_task3[[SubPLOs]:[SubPLOs]],"&lt;11")+SUMIFS(tbl_task4[S98],tbl_task4[[SubPLOs]:[SubPLOs]],"&gt;=10",tbl_task4[[SubPLOs]:[SubPLOs]],"&lt;11")+SUMIFS(tbl_task5[S98],tbl_task5[[SubPLOs]:[SubPLOs]],"&gt;=10",tbl_task5[[SubPLOs]:[SubPLOs]],"&lt;11")+SUMIFS(tbl_task6[S98],tbl_task6[[SubPLOs]:[SubPLOs]],"&gt;=10",tbl_task6[[SubPLOs]:[SubPLOs]],"&lt;11")+SUMIFS(tbl_task7[S98],tbl_task7[[SubPLOs]:[SubPLOs]],"&gt;=10",tbl_task7[[SubPLOs]:[SubPLOs]],"&lt;11")+SUMIFS(tbl_task8[S98],tbl_task8[[SubPLOs]:[SubPLOs]],"&gt;=10",tbl_task8[[SubPLOs]:[SubPLOs]],"&lt;11")+SUMIFS(tbl_task9[S98],tbl_task9[[SubPLOs]:[SubPLOs]],"&gt;=10",tbl_task9[[SubPLOs]:[SubPLOs]],"&lt;11")+SUMIFS(tbl_task10[S98],tbl_task10[[SubPLOs]:[SubPLOs]],"&gt;=10",tbl_task10[[SubPLOs]:[SubPLOs]],"&lt;11")</f>
        <v>0</v>
      </c>
      <c r="CZ189" s="41">
        <f>SUMIFS(tbl_task1[S99],tbl_task1[[SubPLOs]:[SubPLOs]],"&gt;=10",tbl_task1[[SubPLOs]:[SubPLOs]],"&lt;11")+SUMIFS(tbl_task2[S99],tbl_task2[[SubPLOs]:[SubPLOs]],"&gt;=10",tbl_task2[[SubPLOs]:[SubPLOs]],"&lt;11")+SUMIFS(tbl_task3[S99],tbl_task3[[SubPLOs]:[SubPLOs]],"&gt;=10",tbl_task3[[SubPLOs]:[SubPLOs]],"&lt;11")+SUMIFS(tbl_task4[S99],tbl_task4[[SubPLOs]:[SubPLOs]],"&gt;=10",tbl_task4[[SubPLOs]:[SubPLOs]],"&lt;11")+SUMIFS(tbl_task5[S99],tbl_task5[[SubPLOs]:[SubPLOs]],"&gt;=10",tbl_task5[[SubPLOs]:[SubPLOs]],"&lt;11")+SUMIFS(tbl_task6[S99],tbl_task6[[SubPLOs]:[SubPLOs]],"&gt;=10",tbl_task6[[SubPLOs]:[SubPLOs]],"&lt;11")+SUMIFS(tbl_task7[S99],tbl_task7[[SubPLOs]:[SubPLOs]],"&gt;=10",tbl_task7[[SubPLOs]:[SubPLOs]],"&lt;11")+SUMIFS(tbl_task8[S99],tbl_task8[[SubPLOs]:[SubPLOs]],"&gt;=10",tbl_task8[[SubPLOs]:[SubPLOs]],"&lt;11")+SUMIFS(tbl_task9[S99],tbl_task9[[SubPLOs]:[SubPLOs]],"&gt;=10",tbl_task9[[SubPLOs]:[SubPLOs]],"&lt;11")+SUMIFS(tbl_task10[S99],tbl_task10[[SubPLOs]:[SubPLOs]],"&gt;=10",tbl_task10[[SubPLOs]:[SubPLOs]],"&lt;11")</f>
        <v>0</v>
      </c>
      <c r="DA189" s="41">
        <f>SUMIFS(tbl_task1[S100],tbl_task1[[SubPLOs]:[SubPLOs]],"&gt;=10",tbl_task1[[SubPLOs]:[SubPLOs]],"&lt;11")+SUMIFS(tbl_task2[S100],tbl_task2[[SubPLOs]:[SubPLOs]],"&gt;=10",tbl_task2[[SubPLOs]:[SubPLOs]],"&lt;11")+SUMIFS(tbl_task3[S100],tbl_task3[[SubPLOs]:[SubPLOs]],"&gt;=10",tbl_task3[[SubPLOs]:[SubPLOs]],"&lt;11")+SUMIFS(tbl_task4[S100],tbl_task4[[SubPLOs]:[SubPLOs]],"&gt;=10",tbl_task4[[SubPLOs]:[SubPLOs]],"&lt;11")+SUMIFS(tbl_task5[S100],tbl_task5[[SubPLOs]:[SubPLOs]],"&gt;=10",tbl_task5[[SubPLOs]:[SubPLOs]],"&lt;11")+SUMIFS(tbl_task6[S100],tbl_task6[[SubPLOs]:[SubPLOs]],"&gt;=10",tbl_task6[[SubPLOs]:[SubPLOs]],"&lt;11")+SUMIFS(tbl_task7[S100],tbl_task7[[SubPLOs]:[SubPLOs]],"&gt;=10",tbl_task7[[SubPLOs]:[SubPLOs]],"&lt;11")+SUMIFS(tbl_task8[S100],tbl_task8[[SubPLOs]:[SubPLOs]],"&gt;=10",tbl_task8[[SubPLOs]:[SubPLOs]],"&lt;11")+SUMIFS(tbl_task9[S100],tbl_task9[[SubPLOs]:[SubPLOs]],"&gt;=10",tbl_task9[[SubPLOs]:[SubPLOs]],"&lt;11")+SUMIFS(tbl_task10[S100],tbl_task10[[SubPLOs]:[SubPLOs]],"&gt;=10",tbl_task10[[SubPLOs]:[SubPLOs]],"&lt;11")</f>
        <v>0</v>
      </c>
      <c r="DB189" s="41">
        <f>SUMIFS(tbl_task1[S101],tbl_task1[[SubPLOs]:[SubPLOs]],"&gt;=10",tbl_task1[[SubPLOs]:[SubPLOs]],"&lt;11")+SUMIFS(tbl_task2[S101],tbl_task2[[SubPLOs]:[SubPLOs]],"&gt;=10",tbl_task2[[SubPLOs]:[SubPLOs]],"&lt;11")+SUMIFS(tbl_task3[S101],tbl_task3[[SubPLOs]:[SubPLOs]],"&gt;=10",tbl_task3[[SubPLOs]:[SubPLOs]],"&lt;11")+SUMIFS(tbl_task4[S101],tbl_task4[[SubPLOs]:[SubPLOs]],"&gt;=10",tbl_task4[[SubPLOs]:[SubPLOs]],"&lt;11")+SUMIFS(tbl_task5[S101],tbl_task5[[SubPLOs]:[SubPLOs]],"&gt;=10",tbl_task5[[SubPLOs]:[SubPLOs]],"&lt;11")+SUMIFS(tbl_task6[S101],tbl_task6[[SubPLOs]:[SubPLOs]],"&gt;=10",tbl_task6[[SubPLOs]:[SubPLOs]],"&lt;11")+SUMIFS(tbl_task7[S101],tbl_task7[[SubPLOs]:[SubPLOs]],"&gt;=10",tbl_task7[[SubPLOs]:[SubPLOs]],"&lt;11")+SUMIFS(tbl_task8[S101],tbl_task8[[SubPLOs]:[SubPLOs]],"&gt;=10",tbl_task8[[SubPLOs]:[SubPLOs]],"&lt;11")+SUMIFS(tbl_task9[S101],tbl_task9[[SubPLOs]:[SubPLOs]],"&gt;=10",tbl_task9[[SubPLOs]:[SubPLOs]],"&lt;11")+SUMIFS(tbl_task10[S101],tbl_task10[[SubPLOs]:[SubPLOs]],"&gt;=10",tbl_task10[[SubPLOs]:[SubPLOs]],"&lt;11")</f>
        <v>0</v>
      </c>
      <c r="DC189" s="41">
        <f>SUMIFS(tbl_task1[S102],tbl_task1[[SubPLOs]:[SubPLOs]],"&gt;=10",tbl_task1[[SubPLOs]:[SubPLOs]],"&lt;11")+SUMIFS(tbl_task2[S102],tbl_task2[[SubPLOs]:[SubPLOs]],"&gt;=10",tbl_task2[[SubPLOs]:[SubPLOs]],"&lt;11")+SUMIFS(tbl_task3[S102],tbl_task3[[SubPLOs]:[SubPLOs]],"&gt;=10",tbl_task3[[SubPLOs]:[SubPLOs]],"&lt;11")+SUMIFS(tbl_task4[S102],tbl_task4[[SubPLOs]:[SubPLOs]],"&gt;=10",tbl_task4[[SubPLOs]:[SubPLOs]],"&lt;11")+SUMIFS(tbl_task5[S102],tbl_task5[[SubPLOs]:[SubPLOs]],"&gt;=10",tbl_task5[[SubPLOs]:[SubPLOs]],"&lt;11")+SUMIFS(tbl_task6[S102],tbl_task6[[SubPLOs]:[SubPLOs]],"&gt;=10",tbl_task6[[SubPLOs]:[SubPLOs]],"&lt;11")+SUMIFS(tbl_task7[S102],tbl_task7[[SubPLOs]:[SubPLOs]],"&gt;=10",tbl_task7[[SubPLOs]:[SubPLOs]],"&lt;11")+SUMIFS(tbl_task8[S102],tbl_task8[[SubPLOs]:[SubPLOs]],"&gt;=10",tbl_task8[[SubPLOs]:[SubPLOs]],"&lt;11")+SUMIFS(tbl_task9[S102],tbl_task9[[SubPLOs]:[SubPLOs]],"&gt;=10",tbl_task9[[SubPLOs]:[SubPLOs]],"&lt;11")+SUMIFS(tbl_task10[S102],tbl_task10[[SubPLOs]:[SubPLOs]],"&gt;=10",tbl_task10[[SubPLOs]:[SubPLOs]],"&lt;11")</f>
        <v>0</v>
      </c>
      <c r="DD189" s="41">
        <f>SUMIFS(tbl_task1[S103],tbl_task1[[SubPLOs]:[SubPLOs]],"&gt;=10",tbl_task1[[SubPLOs]:[SubPLOs]],"&lt;11")+SUMIFS(tbl_task2[S103],tbl_task2[[SubPLOs]:[SubPLOs]],"&gt;=10",tbl_task2[[SubPLOs]:[SubPLOs]],"&lt;11")+SUMIFS(tbl_task3[S103],tbl_task3[[SubPLOs]:[SubPLOs]],"&gt;=10",tbl_task3[[SubPLOs]:[SubPLOs]],"&lt;11")+SUMIFS(tbl_task4[S103],tbl_task4[[SubPLOs]:[SubPLOs]],"&gt;=10",tbl_task4[[SubPLOs]:[SubPLOs]],"&lt;11")+SUMIFS(tbl_task5[S103],tbl_task5[[SubPLOs]:[SubPLOs]],"&gt;=10",tbl_task5[[SubPLOs]:[SubPLOs]],"&lt;11")+SUMIFS(tbl_task6[S103],tbl_task6[[SubPLOs]:[SubPLOs]],"&gt;=10",tbl_task6[[SubPLOs]:[SubPLOs]],"&lt;11")+SUMIFS(tbl_task7[S103],tbl_task7[[SubPLOs]:[SubPLOs]],"&gt;=10",tbl_task7[[SubPLOs]:[SubPLOs]],"&lt;11")+SUMIFS(tbl_task8[S103],tbl_task8[[SubPLOs]:[SubPLOs]],"&gt;=10",tbl_task8[[SubPLOs]:[SubPLOs]],"&lt;11")+SUMIFS(tbl_task9[S103],tbl_task9[[SubPLOs]:[SubPLOs]],"&gt;=10",tbl_task9[[SubPLOs]:[SubPLOs]],"&lt;11")+SUMIFS(tbl_task10[S103],tbl_task10[[SubPLOs]:[SubPLOs]],"&gt;=10",tbl_task10[[SubPLOs]:[SubPLOs]],"&lt;11")</f>
        <v>0</v>
      </c>
      <c r="DE189" s="41">
        <f>SUMIFS(tbl_task1[S104],tbl_task1[[SubPLOs]:[SubPLOs]],"&gt;=10",tbl_task1[[SubPLOs]:[SubPLOs]],"&lt;11")+SUMIFS(tbl_task2[S104],tbl_task2[[SubPLOs]:[SubPLOs]],"&gt;=10",tbl_task2[[SubPLOs]:[SubPLOs]],"&lt;11")+SUMIFS(tbl_task3[S104],tbl_task3[[SubPLOs]:[SubPLOs]],"&gt;=10",tbl_task3[[SubPLOs]:[SubPLOs]],"&lt;11")+SUMIFS(tbl_task4[S104],tbl_task4[[SubPLOs]:[SubPLOs]],"&gt;=10",tbl_task4[[SubPLOs]:[SubPLOs]],"&lt;11")+SUMIFS(tbl_task5[S104],tbl_task5[[SubPLOs]:[SubPLOs]],"&gt;=10",tbl_task5[[SubPLOs]:[SubPLOs]],"&lt;11")+SUMIFS(tbl_task6[S104],tbl_task6[[SubPLOs]:[SubPLOs]],"&gt;=10",tbl_task6[[SubPLOs]:[SubPLOs]],"&lt;11")+SUMIFS(tbl_task7[S104],tbl_task7[[SubPLOs]:[SubPLOs]],"&gt;=10",tbl_task7[[SubPLOs]:[SubPLOs]],"&lt;11")+SUMIFS(tbl_task8[S104],tbl_task8[[SubPLOs]:[SubPLOs]],"&gt;=10",tbl_task8[[SubPLOs]:[SubPLOs]],"&lt;11")+SUMIFS(tbl_task9[S104],tbl_task9[[SubPLOs]:[SubPLOs]],"&gt;=10",tbl_task9[[SubPLOs]:[SubPLOs]],"&lt;11")+SUMIFS(tbl_task10[S104],tbl_task10[[SubPLOs]:[SubPLOs]],"&gt;=10",tbl_task10[[SubPLOs]:[SubPLOs]],"&lt;11")</f>
        <v>0</v>
      </c>
      <c r="DF189" s="41">
        <f>SUMIFS(tbl_task1[S105],tbl_task1[[SubPLOs]:[SubPLOs]],"&gt;=10",tbl_task1[[SubPLOs]:[SubPLOs]],"&lt;11")+SUMIFS(tbl_task2[S105],tbl_task2[[SubPLOs]:[SubPLOs]],"&gt;=10",tbl_task2[[SubPLOs]:[SubPLOs]],"&lt;11")+SUMIFS(tbl_task3[S105],tbl_task3[[SubPLOs]:[SubPLOs]],"&gt;=10",tbl_task3[[SubPLOs]:[SubPLOs]],"&lt;11")+SUMIFS(tbl_task4[S105],tbl_task4[[SubPLOs]:[SubPLOs]],"&gt;=10",tbl_task4[[SubPLOs]:[SubPLOs]],"&lt;11")+SUMIFS(tbl_task5[S105],tbl_task5[[SubPLOs]:[SubPLOs]],"&gt;=10",tbl_task5[[SubPLOs]:[SubPLOs]],"&lt;11")+SUMIFS(tbl_task6[S105],tbl_task6[[SubPLOs]:[SubPLOs]],"&gt;=10",tbl_task6[[SubPLOs]:[SubPLOs]],"&lt;11")+SUMIFS(tbl_task7[S105],tbl_task7[[SubPLOs]:[SubPLOs]],"&gt;=10",tbl_task7[[SubPLOs]:[SubPLOs]],"&lt;11")+SUMIFS(tbl_task8[S105],tbl_task8[[SubPLOs]:[SubPLOs]],"&gt;=10",tbl_task8[[SubPLOs]:[SubPLOs]],"&lt;11")+SUMIFS(tbl_task9[S105],tbl_task9[[SubPLOs]:[SubPLOs]],"&gt;=10",tbl_task9[[SubPLOs]:[SubPLOs]],"&lt;11")+SUMIFS(tbl_task10[S105],tbl_task10[[SubPLOs]:[SubPLOs]],"&gt;=10",tbl_task10[[SubPLOs]:[SubPLOs]],"&lt;11")</f>
        <v>0</v>
      </c>
      <c r="DG189" s="41">
        <f>SUMIFS(tbl_task1[S106],tbl_task1[[SubPLOs]:[SubPLOs]],"&gt;=10",tbl_task1[[SubPLOs]:[SubPLOs]],"&lt;11")+SUMIFS(tbl_task2[S106],tbl_task2[[SubPLOs]:[SubPLOs]],"&gt;=10",tbl_task2[[SubPLOs]:[SubPLOs]],"&lt;11")+SUMIFS(tbl_task3[S106],tbl_task3[[SubPLOs]:[SubPLOs]],"&gt;=10",tbl_task3[[SubPLOs]:[SubPLOs]],"&lt;11")+SUMIFS(tbl_task4[S106],tbl_task4[[SubPLOs]:[SubPLOs]],"&gt;=10",tbl_task4[[SubPLOs]:[SubPLOs]],"&lt;11")+SUMIFS(tbl_task5[S106],tbl_task5[[SubPLOs]:[SubPLOs]],"&gt;=10",tbl_task5[[SubPLOs]:[SubPLOs]],"&lt;11")+SUMIFS(tbl_task6[S106],tbl_task6[[SubPLOs]:[SubPLOs]],"&gt;=10",tbl_task6[[SubPLOs]:[SubPLOs]],"&lt;11")+SUMIFS(tbl_task7[S106],tbl_task7[[SubPLOs]:[SubPLOs]],"&gt;=10",tbl_task7[[SubPLOs]:[SubPLOs]],"&lt;11")+SUMIFS(tbl_task8[S106],tbl_task8[[SubPLOs]:[SubPLOs]],"&gt;=10",tbl_task8[[SubPLOs]:[SubPLOs]],"&lt;11")+SUMIFS(tbl_task9[S106],tbl_task9[[SubPLOs]:[SubPLOs]],"&gt;=10",tbl_task9[[SubPLOs]:[SubPLOs]],"&lt;11")+SUMIFS(tbl_task10[S106],tbl_task10[[SubPLOs]:[SubPLOs]],"&gt;=10",tbl_task10[[SubPLOs]:[SubPLOs]],"&lt;11")</f>
        <v>0</v>
      </c>
      <c r="DH189" s="41">
        <f>SUMIFS(tbl_task1[S107],tbl_task1[[SubPLOs]:[SubPLOs]],"&gt;=10",tbl_task1[[SubPLOs]:[SubPLOs]],"&lt;11")+SUMIFS(tbl_task2[S107],tbl_task2[[SubPLOs]:[SubPLOs]],"&gt;=10",tbl_task2[[SubPLOs]:[SubPLOs]],"&lt;11")+SUMIFS(tbl_task3[S107],tbl_task3[[SubPLOs]:[SubPLOs]],"&gt;=10",tbl_task3[[SubPLOs]:[SubPLOs]],"&lt;11")+SUMIFS(tbl_task4[S107],tbl_task4[[SubPLOs]:[SubPLOs]],"&gt;=10",tbl_task4[[SubPLOs]:[SubPLOs]],"&lt;11")+SUMIFS(tbl_task5[S107],tbl_task5[[SubPLOs]:[SubPLOs]],"&gt;=10",tbl_task5[[SubPLOs]:[SubPLOs]],"&lt;11")+SUMIFS(tbl_task6[S107],tbl_task6[[SubPLOs]:[SubPLOs]],"&gt;=10",tbl_task6[[SubPLOs]:[SubPLOs]],"&lt;11")+SUMIFS(tbl_task7[S107],tbl_task7[[SubPLOs]:[SubPLOs]],"&gt;=10",tbl_task7[[SubPLOs]:[SubPLOs]],"&lt;11")+SUMIFS(tbl_task8[S107],tbl_task8[[SubPLOs]:[SubPLOs]],"&gt;=10",tbl_task8[[SubPLOs]:[SubPLOs]],"&lt;11")+SUMIFS(tbl_task9[S107],tbl_task9[[SubPLOs]:[SubPLOs]],"&gt;=10",tbl_task9[[SubPLOs]:[SubPLOs]],"&lt;11")+SUMIFS(tbl_task10[S107],tbl_task10[[SubPLOs]:[SubPLOs]],"&gt;=10",tbl_task10[[SubPLOs]:[SubPLOs]],"&lt;11")</f>
        <v>0</v>
      </c>
      <c r="DI189" s="41">
        <f>SUMIFS(tbl_task1[S108],tbl_task1[[SubPLOs]:[SubPLOs]],"&gt;=10",tbl_task1[[SubPLOs]:[SubPLOs]],"&lt;11")+SUMIFS(tbl_task2[S108],tbl_task2[[SubPLOs]:[SubPLOs]],"&gt;=10",tbl_task2[[SubPLOs]:[SubPLOs]],"&lt;11")+SUMIFS(tbl_task3[S108],tbl_task3[[SubPLOs]:[SubPLOs]],"&gt;=10",tbl_task3[[SubPLOs]:[SubPLOs]],"&lt;11")+SUMIFS(tbl_task4[S108],tbl_task4[[SubPLOs]:[SubPLOs]],"&gt;=10",tbl_task4[[SubPLOs]:[SubPLOs]],"&lt;11")+SUMIFS(tbl_task5[S108],tbl_task5[[SubPLOs]:[SubPLOs]],"&gt;=10",tbl_task5[[SubPLOs]:[SubPLOs]],"&lt;11")+SUMIFS(tbl_task6[S108],tbl_task6[[SubPLOs]:[SubPLOs]],"&gt;=10",tbl_task6[[SubPLOs]:[SubPLOs]],"&lt;11")+SUMIFS(tbl_task7[S108],tbl_task7[[SubPLOs]:[SubPLOs]],"&gt;=10",tbl_task7[[SubPLOs]:[SubPLOs]],"&lt;11")+SUMIFS(tbl_task8[S108],tbl_task8[[SubPLOs]:[SubPLOs]],"&gt;=10",tbl_task8[[SubPLOs]:[SubPLOs]],"&lt;11")+SUMIFS(tbl_task9[S108],tbl_task9[[SubPLOs]:[SubPLOs]],"&gt;=10",tbl_task9[[SubPLOs]:[SubPLOs]],"&lt;11")+SUMIFS(tbl_task10[S108],tbl_task10[[SubPLOs]:[SubPLOs]],"&gt;=10",tbl_task10[[SubPLOs]:[SubPLOs]],"&lt;11")</f>
        <v>0</v>
      </c>
      <c r="DJ189" s="41">
        <f>SUMIFS(tbl_task1[S109],tbl_task1[[SubPLOs]:[SubPLOs]],"&gt;=10",tbl_task1[[SubPLOs]:[SubPLOs]],"&lt;11")+SUMIFS(tbl_task2[S109],tbl_task2[[SubPLOs]:[SubPLOs]],"&gt;=10",tbl_task2[[SubPLOs]:[SubPLOs]],"&lt;11")+SUMIFS(tbl_task3[S109],tbl_task3[[SubPLOs]:[SubPLOs]],"&gt;=10",tbl_task3[[SubPLOs]:[SubPLOs]],"&lt;11")+SUMIFS(tbl_task4[S109],tbl_task4[[SubPLOs]:[SubPLOs]],"&gt;=10",tbl_task4[[SubPLOs]:[SubPLOs]],"&lt;11")+SUMIFS(tbl_task5[S109],tbl_task5[[SubPLOs]:[SubPLOs]],"&gt;=10",tbl_task5[[SubPLOs]:[SubPLOs]],"&lt;11")+SUMIFS(tbl_task6[S109],tbl_task6[[SubPLOs]:[SubPLOs]],"&gt;=10",tbl_task6[[SubPLOs]:[SubPLOs]],"&lt;11")+SUMIFS(tbl_task7[S109],tbl_task7[[SubPLOs]:[SubPLOs]],"&gt;=10",tbl_task7[[SubPLOs]:[SubPLOs]],"&lt;11")+SUMIFS(tbl_task8[S109],tbl_task8[[SubPLOs]:[SubPLOs]],"&gt;=10",tbl_task8[[SubPLOs]:[SubPLOs]],"&lt;11")+SUMIFS(tbl_task9[S109],tbl_task9[[SubPLOs]:[SubPLOs]],"&gt;=10",tbl_task9[[SubPLOs]:[SubPLOs]],"&lt;11")+SUMIFS(tbl_task10[S109],tbl_task10[[SubPLOs]:[SubPLOs]],"&gt;=10",tbl_task10[[SubPLOs]:[SubPLOs]],"&lt;11")</f>
        <v>0</v>
      </c>
      <c r="DK189" s="41">
        <f>SUMIFS(tbl_task1[S110],tbl_task1[[SubPLOs]:[SubPLOs]],"&gt;=10",tbl_task1[[SubPLOs]:[SubPLOs]],"&lt;11")+SUMIFS(tbl_task2[S110],tbl_task2[[SubPLOs]:[SubPLOs]],"&gt;=10",tbl_task2[[SubPLOs]:[SubPLOs]],"&lt;11")+SUMIFS(tbl_task3[S110],tbl_task3[[SubPLOs]:[SubPLOs]],"&gt;=10",tbl_task3[[SubPLOs]:[SubPLOs]],"&lt;11")+SUMIFS(tbl_task4[S110],tbl_task4[[SubPLOs]:[SubPLOs]],"&gt;=10",tbl_task4[[SubPLOs]:[SubPLOs]],"&lt;11")+SUMIFS(tbl_task5[S110],tbl_task5[[SubPLOs]:[SubPLOs]],"&gt;=10",tbl_task5[[SubPLOs]:[SubPLOs]],"&lt;11")+SUMIFS(tbl_task6[S110],tbl_task6[[SubPLOs]:[SubPLOs]],"&gt;=10",tbl_task6[[SubPLOs]:[SubPLOs]],"&lt;11")+SUMIFS(tbl_task7[S110],tbl_task7[[SubPLOs]:[SubPLOs]],"&gt;=10",tbl_task7[[SubPLOs]:[SubPLOs]],"&lt;11")+SUMIFS(tbl_task8[S110],tbl_task8[[SubPLOs]:[SubPLOs]],"&gt;=10",tbl_task8[[SubPLOs]:[SubPLOs]],"&lt;11")+SUMIFS(tbl_task9[S110],tbl_task9[[SubPLOs]:[SubPLOs]],"&gt;=10",tbl_task9[[SubPLOs]:[SubPLOs]],"&lt;11")+SUMIFS(tbl_task10[S110],tbl_task10[[SubPLOs]:[SubPLOs]],"&gt;=10",tbl_task10[[SubPLOs]:[SubPLOs]],"&lt;11")</f>
        <v>0</v>
      </c>
      <c r="DL189" s="41">
        <f>SUMIFS(tbl_task1[S111],tbl_task1[[SubPLOs]:[SubPLOs]],"&gt;=10",tbl_task1[[SubPLOs]:[SubPLOs]],"&lt;11")+SUMIFS(tbl_task2[S111],tbl_task2[[SubPLOs]:[SubPLOs]],"&gt;=10",tbl_task2[[SubPLOs]:[SubPLOs]],"&lt;11")+SUMIFS(tbl_task3[S111],tbl_task3[[SubPLOs]:[SubPLOs]],"&gt;=10",tbl_task3[[SubPLOs]:[SubPLOs]],"&lt;11")+SUMIFS(tbl_task4[S111],tbl_task4[[SubPLOs]:[SubPLOs]],"&gt;=10",tbl_task4[[SubPLOs]:[SubPLOs]],"&lt;11")+SUMIFS(tbl_task5[S111],tbl_task5[[SubPLOs]:[SubPLOs]],"&gt;=10",tbl_task5[[SubPLOs]:[SubPLOs]],"&lt;11")+SUMIFS(tbl_task6[S111],tbl_task6[[SubPLOs]:[SubPLOs]],"&gt;=10",tbl_task6[[SubPLOs]:[SubPLOs]],"&lt;11")+SUMIFS(tbl_task7[S111],tbl_task7[[SubPLOs]:[SubPLOs]],"&gt;=10",tbl_task7[[SubPLOs]:[SubPLOs]],"&lt;11")+SUMIFS(tbl_task8[S111],tbl_task8[[SubPLOs]:[SubPLOs]],"&gt;=10",tbl_task8[[SubPLOs]:[SubPLOs]],"&lt;11")+SUMIFS(tbl_task9[S111],tbl_task9[[SubPLOs]:[SubPLOs]],"&gt;=10",tbl_task9[[SubPLOs]:[SubPLOs]],"&lt;11")+SUMIFS(tbl_task10[S111],tbl_task10[[SubPLOs]:[SubPLOs]],"&gt;=10",tbl_task10[[SubPLOs]:[SubPLOs]],"&lt;11")</f>
        <v>0</v>
      </c>
      <c r="DM189" s="41">
        <f>SUMIFS(tbl_task1[S112],tbl_task1[[SubPLOs]:[SubPLOs]],"&gt;=10",tbl_task1[[SubPLOs]:[SubPLOs]],"&lt;11")+SUMIFS(tbl_task2[S112],tbl_task2[[SubPLOs]:[SubPLOs]],"&gt;=10",tbl_task2[[SubPLOs]:[SubPLOs]],"&lt;11")+SUMIFS(tbl_task3[S112],tbl_task3[[SubPLOs]:[SubPLOs]],"&gt;=10",tbl_task3[[SubPLOs]:[SubPLOs]],"&lt;11")+SUMIFS(tbl_task4[S112],tbl_task4[[SubPLOs]:[SubPLOs]],"&gt;=10",tbl_task4[[SubPLOs]:[SubPLOs]],"&lt;11")+SUMIFS(tbl_task5[S112],tbl_task5[[SubPLOs]:[SubPLOs]],"&gt;=10",tbl_task5[[SubPLOs]:[SubPLOs]],"&lt;11")+SUMIFS(tbl_task6[S112],tbl_task6[[SubPLOs]:[SubPLOs]],"&gt;=10",tbl_task6[[SubPLOs]:[SubPLOs]],"&lt;11")+SUMIFS(tbl_task7[S112],tbl_task7[[SubPLOs]:[SubPLOs]],"&gt;=10",tbl_task7[[SubPLOs]:[SubPLOs]],"&lt;11")+SUMIFS(tbl_task8[S112],tbl_task8[[SubPLOs]:[SubPLOs]],"&gt;=10",tbl_task8[[SubPLOs]:[SubPLOs]],"&lt;11")+SUMIFS(tbl_task9[S112],tbl_task9[[SubPLOs]:[SubPLOs]],"&gt;=10",tbl_task9[[SubPLOs]:[SubPLOs]],"&lt;11")+SUMIFS(tbl_task10[S112],tbl_task10[[SubPLOs]:[SubPLOs]],"&gt;=10",tbl_task10[[SubPLOs]:[SubPLOs]],"&lt;11")</f>
        <v>0</v>
      </c>
      <c r="DN189" s="41">
        <f>SUMIFS(tbl_task1[S113],tbl_task1[[SubPLOs]:[SubPLOs]],"&gt;=10",tbl_task1[[SubPLOs]:[SubPLOs]],"&lt;11")+SUMIFS(tbl_task2[S113],tbl_task2[[SubPLOs]:[SubPLOs]],"&gt;=10",tbl_task2[[SubPLOs]:[SubPLOs]],"&lt;11")+SUMIFS(tbl_task3[S113],tbl_task3[[SubPLOs]:[SubPLOs]],"&gt;=10",tbl_task3[[SubPLOs]:[SubPLOs]],"&lt;11")+SUMIFS(tbl_task4[S113],tbl_task4[[SubPLOs]:[SubPLOs]],"&gt;=10",tbl_task4[[SubPLOs]:[SubPLOs]],"&lt;11")+SUMIFS(tbl_task5[S113],tbl_task5[[SubPLOs]:[SubPLOs]],"&gt;=10",tbl_task5[[SubPLOs]:[SubPLOs]],"&lt;11")+SUMIFS(tbl_task6[S113],tbl_task6[[SubPLOs]:[SubPLOs]],"&gt;=10",tbl_task6[[SubPLOs]:[SubPLOs]],"&lt;11")+SUMIFS(tbl_task7[S113],tbl_task7[[SubPLOs]:[SubPLOs]],"&gt;=10",tbl_task7[[SubPLOs]:[SubPLOs]],"&lt;11")+SUMIFS(tbl_task8[S113],tbl_task8[[SubPLOs]:[SubPLOs]],"&gt;=10",tbl_task8[[SubPLOs]:[SubPLOs]],"&lt;11")+SUMIFS(tbl_task9[S113],tbl_task9[[SubPLOs]:[SubPLOs]],"&gt;=10",tbl_task9[[SubPLOs]:[SubPLOs]],"&lt;11")+SUMIFS(tbl_task10[S113],tbl_task10[[SubPLOs]:[SubPLOs]],"&gt;=10",tbl_task10[[SubPLOs]:[SubPLOs]],"&lt;11")</f>
        <v>0</v>
      </c>
      <c r="DO189" s="41">
        <f>SUMIFS(tbl_task1[S114],tbl_task1[[SubPLOs]:[SubPLOs]],"&gt;=10",tbl_task1[[SubPLOs]:[SubPLOs]],"&lt;11")+SUMIFS(tbl_task2[S114],tbl_task2[[SubPLOs]:[SubPLOs]],"&gt;=10",tbl_task2[[SubPLOs]:[SubPLOs]],"&lt;11")+SUMIFS(tbl_task3[S114],tbl_task3[[SubPLOs]:[SubPLOs]],"&gt;=10",tbl_task3[[SubPLOs]:[SubPLOs]],"&lt;11")+SUMIFS(tbl_task4[S114],tbl_task4[[SubPLOs]:[SubPLOs]],"&gt;=10",tbl_task4[[SubPLOs]:[SubPLOs]],"&lt;11")+SUMIFS(tbl_task5[S114],tbl_task5[[SubPLOs]:[SubPLOs]],"&gt;=10",tbl_task5[[SubPLOs]:[SubPLOs]],"&lt;11")+SUMIFS(tbl_task6[S114],tbl_task6[[SubPLOs]:[SubPLOs]],"&gt;=10",tbl_task6[[SubPLOs]:[SubPLOs]],"&lt;11")+SUMIFS(tbl_task7[S114],tbl_task7[[SubPLOs]:[SubPLOs]],"&gt;=10",tbl_task7[[SubPLOs]:[SubPLOs]],"&lt;11")+SUMIFS(tbl_task8[S114],tbl_task8[[SubPLOs]:[SubPLOs]],"&gt;=10",tbl_task8[[SubPLOs]:[SubPLOs]],"&lt;11")+SUMIFS(tbl_task9[S114],tbl_task9[[SubPLOs]:[SubPLOs]],"&gt;=10",tbl_task9[[SubPLOs]:[SubPLOs]],"&lt;11")+SUMIFS(tbl_task10[S114],tbl_task10[[SubPLOs]:[SubPLOs]],"&gt;=10",tbl_task10[[SubPLOs]:[SubPLOs]],"&lt;11")</f>
        <v>0</v>
      </c>
      <c r="DP189" s="41">
        <f>SUMIFS(tbl_task1[S115],tbl_task1[[SubPLOs]:[SubPLOs]],"&gt;=10",tbl_task1[[SubPLOs]:[SubPLOs]],"&lt;11")+SUMIFS(tbl_task2[S115],tbl_task2[[SubPLOs]:[SubPLOs]],"&gt;=10",tbl_task2[[SubPLOs]:[SubPLOs]],"&lt;11")+SUMIFS(tbl_task3[S115],tbl_task3[[SubPLOs]:[SubPLOs]],"&gt;=10",tbl_task3[[SubPLOs]:[SubPLOs]],"&lt;11")+SUMIFS(tbl_task4[S115],tbl_task4[[SubPLOs]:[SubPLOs]],"&gt;=10",tbl_task4[[SubPLOs]:[SubPLOs]],"&lt;11")+SUMIFS(tbl_task5[S115],tbl_task5[[SubPLOs]:[SubPLOs]],"&gt;=10",tbl_task5[[SubPLOs]:[SubPLOs]],"&lt;11")+SUMIFS(tbl_task6[S115],tbl_task6[[SubPLOs]:[SubPLOs]],"&gt;=10",tbl_task6[[SubPLOs]:[SubPLOs]],"&lt;11")+SUMIFS(tbl_task7[S115],tbl_task7[[SubPLOs]:[SubPLOs]],"&gt;=10",tbl_task7[[SubPLOs]:[SubPLOs]],"&lt;11")+SUMIFS(tbl_task8[S115],tbl_task8[[SubPLOs]:[SubPLOs]],"&gt;=10",tbl_task8[[SubPLOs]:[SubPLOs]],"&lt;11")+SUMIFS(tbl_task9[S115],tbl_task9[[SubPLOs]:[SubPLOs]],"&gt;=10",tbl_task9[[SubPLOs]:[SubPLOs]],"&lt;11")+SUMIFS(tbl_task10[S115],tbl_task10[[SubPLOs]:[SubPLOs]],"&gt;=10",tbl_task10[[SubPLOs]:[SubPLOs]],"&lt;11")</f>
        <v>0</v>
      </c>
      <c r="DQ189" s="41">
        <f>SUMIFS(tbl_task1[S116],tbl_task1[[SubPLOs]:[SubPLOs]],"&gt;=10",tbl_task1[[SubPLOs]:[SubPLOs]],"&lt;11")+SUMIFS(tbl_task2[S116],tbl_task2[[SubPLOs]:[SubPLOs]],"&gt;=10",tbl_task2[[SubPLOs]:[SubPLOs]],"&lt;11")+SUMIFS(tbl_task3[S116],tbl_task3[[SubPLOs]:[SubPLOs]],"&gt;=10",tbl_task3[[SubPLOs]:[SubPLOs]],"&lt;11")+SUMIFS(tbl_task4[S116],tbl_task4[[SubPLOs]:[SubPLOs]],"&gt;=10",tbl_task4[[SubPLOs]:[SubPLOs]],"&lt;11")+SUMIFS(tbl_task5[S116],tbl_task5[[SubPLOs]:[SubPLOs]],"&gt;=10",tbl_task5[[SubPLOs]:[SubPLOs]],"&lt;11")+SUMIFS(tbl_task6[S116],tbl_task6[[SubPLOs]:[SubPLOs]],"&gt;=10",tbl_task6[[SubPLOs]:[SubPLOs]],"&lt;11")+SUMIFS(tbl_task7[S116],tbl_task7[[SubPLOs]:[SubPLOs]],"&gt;=10",tbl_task7[[SubPLOs]:[SubPLOs]],"&lt;11")+SUMIFS(tbl_task8[S116],tbl_task8[[SubPLOs]:[SubPLOs]],"&gt;=10",tbl_task8[[SubPLOs]:[SubPLOs]],"&lt;11")+SUMIFS(tbl_task9[S116],tbl_task9[[SubPLOs]:[SubPLOs]],"&gt;=10",tbl_task9[[SubPLOs]:[SubPLOs]],"&lt;11")+SUMIFS(tbl_task10[S116],tbl_task10[[SubPLOs]:[SubPLOs]],"&gt;=10",tbl_task10[[SubPLOs]:[SubPLOs]],"&lt;11")</f>
        <v>0</v>
      </c>
      <c r="DR189" s="41">
        <f>SUMIFS(tbl_task1[S117],tbl_task1[[SubPLOs]:[SubPLOs]],"&gt;=10",tbl_task1[[SubPLOs]:[SubPLOs]],"&lt;11")+SUMIFS(tbl_task2[S117],tbl_task2[[SubPLOs]:[SubPLOs]],"&gt;=10",tbl_task2[[SubPLOs]:[SubPLOs]],"&lt;11")+SUMIFS(tbl_task3[S117],tbl_task3[[SubPLOs]:[SubPLOs]],"&gt;=10",tbl_task3[[SubPLOs]:[SubPLOs]],"&lt;11")+SUMIFS(tbl_task4[S117],tbl_task4[[SubPLOs]:[SubPLOs]],"&gt;=10",tbl_task4[[SubPLOs]:[SubPLOs]],"&lt;11")+SUMIFS(tbl_task5[S117],tbl_task5[[SubPLOs]:[SubPLOs]],"&gt;=10",tbl_task5[[SubPLOs]:[SubPLOs]],"&lt;11")+SUMIFS(tbl_task6[S117],tbl_task6[[SubPLOs]:[SubPLOs]],"&gt;=10",tbl_task6[[SubPLOs]:[SubPLOs]],"&lt;11")+SUMIFS(tbl_task7[S117],tbl_task7[[SubPLOs]:[SubPLOs]],"&gt;=10",tbl_task7[[SubPLOs]:[SubPLOs]],"&lt;11")+SUMIFS(tbl_task8[S117],tbl_task8[[SubPLOs]:[SubPLOs]],"&gt;=10",tbl_task8[[SubPLOs]:[SubPLOs]],"&lt;11")+SUMIFS(tbl_task9[S117],tbl_task9[[SubPLOs]:[SubPLOs]],"&gt;=10",tbl_task9[[SubPLOs]:[SubPLOs]],"&lt;11")+SUMIFS(tbl_task10[S117],tbl_task10[[SubPLOs]:[SubPLOs]],"&gt;=10",tbl_task10[[SubPLOs]:[SubPLOs]],"&lt;11")</f>
        <v>0</v>
      </c>
      <c r="DS189" s="41">
        <f>SUMIFS(tbl_task1[S118],tbl_task1[[SubPLOs]:[SubPLOs]],"&gt;=10",tbl_task1[[SubPLOs]:[SubPLOs]],"&lt;11")+SUMIFS(tbl_task2[S118],tbl_task2[[SubPLOs]:[SubPLOs]],"&gt;=10",tbl_task2[[SubPLOs]:[SubPLOs]],"&lt;11")+SUMIFS(tbl_task3[S118],tbl_task3[[SubPLOs]:[SubPLOs]],"&gt;=10",tbl_task3[[SubPLOs]:[SubPLOs]],"&lt;11")+SUMIFS(tbl_task4[S118],tbl_task4[[SubPLOs]:[SubPLOs]],"&gt;=10",tbl_task4[[SubPLOs]:[SubPLOs]],"&lt;11")+SUMIFS(tbl_task5[S118],tbl_task5[[SubPLOs]:[SubPLOs]],"&gt;=10",tbl_task5[[SubPLOs]:[SubPLOs]],"&lt;11")+SUMIFS(tbl_task6[S118],tbl_task6[[SubPLOs]:[SubPLOs]],"&gt;=10",tbl_task6[[SubPLOs]:[SubPLOs]],"&lt;11")+SUMIFS(tbl_task7[S118],tbl_task7[[SubPLOs]:[SubPLOs]],"&gt;=10",tbl_task7[[SubPLOs]:[SubPLOs]],"&lt;11")+SUMIFS(tbl_task8[S118],tbl_task8[[SubPLOs]:[SubPLOs]],"&gt;=10",tbl_task8[[SubPLOs]:[SubPLOs]],"&lt;11")+SUMIFS(tbl_task9[S118],tbl_task9[[SubPLOs]:[SubPLOs]],"&gt;=10",tbl_task9[[SubPLOs]:[SubPLOs]],"&lt;11")+SUMIFS(tbl_task10[S118],tbl_task10[[SubPLOs]:[SubPLOs]],"&gt;=10",tbl_task10[[SubPLOs]:[SubPLOs]],"&lt;11")</f>
        <v>0</v>
      </c>
      <c r="DT189" s="41">
        <f>SUMIFS(tbl_task1[S119],tbl_task1[[SubPLOs]:[SubPLOs]],"&gt;=10",tbl_task1[[SubPLOs]:[SubPLOs]],"&lt;11")+SUMIFS(tbl_task2[S119],tbl_task2[[SubPLOs]:[SubPLOs]],"&gt;=10",tbl_task2[[SubPLOs]:[SubPLOs]],"&lt;11")+SUMIFS(tbl_task3[S119],tbl_task3[[SubPLOs]:[SubPLOs]],"&gt;=10",tbl_task3[[SubPLOs]:[SubPLOs]],"&lt;11")+SUMIFS(tbl_task4[S119],tbl_task4[[SubPLOs]:[SubPLOs]],"&gt;=10",tbl_task4[[SubPLOs]:[SubPLOs]],"&lt;11")+SUMIFS(tbl_task5[S119],tbl_task5[[SubPLOs]:[SubPLOs]],"&gt;=10",tbl_task5[[SubPLOs]:[SubPLOs]],"&lt;11")+SUMIFS(tbl_task6[S119],tbl_task6[[SubPLOs]:[SubPLOs]],"&gt;=10",tbl_task6[[SubPLOs]:[SubPLOs]],"&lt;11")+SUMIFS(tbl_task7[S119],tbl_task7[[SubPLOs]:[SubPLOs]],"&gt;=10",tbl_task7[[SubPLOs]:[SubPLOs]],"&lt;11")+SUMIFS(tbl_task8[S119],tbl_task8[[SubPLOs]:[SubPLOs]],"&gt;=10",tbl_task8[[SubPLOs]:[SubPLOs]],"&lt;11")+SUMIFS(tbl_task9[S119],tbl_task9[[SubPLOs]:[SubPLOs]],"&gt;=10",tbl_task9[[SubPLOs]:[SubPLOs]],"&lt;11")+SUMIFS(tbl_task10[S119],tbl_task10[[SubPLOs]:[SubPLOs]],"&gt;=10",tbl_task10[[SubPLOs]:[SubPLOs]],"&lt;11")</f>
        <v>0</v>
      </c>
      <c r="DU189" s="41">
        <f>SUMIFS(tbl_task1[S120],tbl_task1[[SubPLOs]:[SubPLOs]],"&gt;=10",tbl_task1[[SubPLOs]:[SubPLOs]],"&lt;11")+SUMIFS(tbl_task2[S120],tbl_task2[[SubPLOs]:[SubPLOs]],"&gt;=10",tbl_task2[[SubPLOs]:[SubPLOs]],"&lt;11")+SUMIFS(tbl_task3[S120],tbl_task3[[SubPLOs]:[SubPLOs]],"&gt;=10",tbl_task3[[SubPLOs]:[SubPLOs]],"&lt;11")+SUMIFS(tbl_task4[S120],tbl_task4[[SubPLOs]:[SubPLOs]],"&gt;=10",tbl_task4[[SubPLOs]:[SubPLOs]],"&lt;11")+SUMIFS(tbl_task5[S120],tbl_task5[[SubPLOs]:[SubPLOs]],"&gt;=10",tbl_task5[[SubPLOs]:[SubPLOs]],"&lt;11")+SUMIFS(tbl_task6[S120],tbl_task6[[SubPLOs]:[SubPLOs]],"&gt;=10",tbl_task6[[SubPLOs]:[SubPLOs]],"&lt;11")+SUMIFS(tbl_task7[S120],tbl_task7[[SubPLOs]:[SubPLOs]],"&gt;=10",tbl_task7[[SubPLOs]:[SubPLOs]],"&lt;11")+SUMIFS(tbl_task8[S120],tbl_task8[[SubPLOs]:[SubPLOs]],"&gt;=10",tbl_task8[[SubPLOs]:[SubPLOs]],"&lt;11")+SUMIFS(tbl_task9[S120],tbl_task9[[SubPLOs]:[SubPLOs]],"&gt;=10",tbl_task9[[SubPLOs]:[SubPLOs]],"&lt;11")+SUMIFS(tbl_task10[S120],tbl_task10[[SubPLOs]:[SubPLOs]],"&gt;=10",tbl_task10[[SubPLOs]:[SubPLOs]],"&lt;11")</f>
        <v>0</v>
      </c>
      <c r="DV189" s="41">
        <f>SUMIFS(tbl_task1[S121],tbl_task1[[SubPLOs]:[SubPLOs]],"&gt;=10",tbl_task1[[SubPLOs]:[SubPLOs]],"&lt;11")+SUMIFS(tbl_task2[S121],tbl_task2[[SubPLOs]:[SubPLOs]],"&gt;=10",tbl_task2[[SubPLOs]:[SubPLOs]],"&lt;11")+SUMIFS(tbl_task3[S121],tbl_task3[[SubPLOs]:[SubPLOs]],"&gt;=10",tbl_task3[[SubPLOs]:[SubPLOs]],"&lt;11")+SUMIFS(tbl_task4[S121],tbl_task4[[SubPLOs]:[SubPLOs]],"&gt;=10",tbl_task4[[SubPLOs]:[SubPLOs]],"&lt;11")+SUMIFS(tbl_task5[S121],tbl_task5[[SubPLOs]:[SubPLOs]],"&gt;=10",tbl_task5[[SubPLOs]:[SubPLOs]],"&lt;11")+SUMIFS(tbl_task6[S121],tbl_task6[[SubPLOs]:[SubPLOs]],"&gt;=10",tbl_task6[[SubPLOs]:[SubPLOs]],"&lt;11")+SUMIFS(tbl_task7[S121],tbl_task7[[SubPLOs]:[SubPLOs]],"&gt;=10",tbl_task7[[SubPLOs]:[SubPLOs]],"&lt;11")+SUMIFS(tbl_task8[S121],tbl_task8[[SubPLOs]:[SubPLOs]],"&gt;=10",tbl_task8[[SubPLOs]:[SubPLOs]],"&lt;11")+SUMIFS(tbl_task9[S121],tbl_task9[[SubPLOs]:[SubPLOs]],"&gt;=10",tbl_task9[[SubPLOs]:[SubPLOs]],"&lt;11")+SUMIFS(tbl_task10[S121],tbl_task10[[SubPLOs]:[SubPLOs]],"&gt;=10",tbl_task10[[SubPLOs]:[SubPLOs]],"&lt;11")</f>
        <v>0</v>
      </c>
      <c r="DW189" s="41">
        <f>SUMIFS(tbl_task1[S122],tbl_task1[[SubPLOs]:[SubPLOs]],"&gt;=10",tbl_task1[[SubPLOs]:[SubPLOs]],"&lt;11")+SUMIFS(tbl_task2[S122],tbl_task2[[SubPLOs]:[SubPLOs]],"&gt;=10",tbl_task2[[SubPLOs]:[SubPLOs]],"&lt;11")+SUMIFS(tbl_task3[S122],tbl_task3[[SubPLOs]:[SubPLOs]],"&gt;=10",tbl_task3[[SubPLOs]:[SubPLOs]],"&lt;11")+SUMIFS(tbl_task4[S122],tbl_task4[[SubPLOs]:[SubPLOs]],"&gt;=10",tbl_task4[[SubPLOs]:[SubPLOs]],"&lt;11")+SUMIFS(tbl_task5[S122],tbl_task5[[SubPLOs]:[SubPLOs]],"&gt;=10",tbl_task5[[SubPLOs]:[SubPLOs]],"&lt;11")+SUMIFS(tbl_task6[S122],tbl_task6[[SubPLOs]:[SubPLOs]],"&gt;=10",tbl_task6[[SubPLOs]:[SubPLOs]],"&lt;11")+SUMIFS(tbl_task7[S122],tbl_task7[[SubPLOs]:[SubPLOs]],"&gt;=10",tbl_task7[[SubPLOs]:[SubPLOs]],"&lt;11")+SUMIFS(tbl_task8[S122],tbl_task8[[SubPLOs]:[SubPLOs]],"&gt;=10",tbl_task8[[SubPLOs]:[SubPLOs]],"&lt;11")+SUMIFS(tbl_task9[S122],tbl_task9[[SubPLOs]:[SubPLOs]],"&gt;=10",tbl_task9[[SubPLOs]:[SubPLOs]],"&lt;11")+SUMIFS(tbl_task10[S122],tbl_task10[[SubPLOs]:[SubPLOs]],"&gt;=10",tbl_task10[[SubPLOs]:[SubPLOs]],"&lt;11")</f>
        <v>0</v>
      </c>
      <c r="DX189" s="41">
        <f>SUMIFS(tbl_task1[S123],tbl_task1[[SubPLOs]:[SubPLOs]],"&gt;=10",tbl_task1[[SubPLOs]:[SubPLOs]],"&lt;11")+SUMIFS(tbl_task2[S123],tbl_task2[[SubPLOs]:[SubPLOs]],"&gt;=10",tbl_task2[[SubPLOs]:[SubPLOs]],"&lt;11")+SUMIFS(tbl_task3[S123],tbl_task3[[SubPLOs]:[SubPLOs]],"&gt;=10",tbl_task3[[SubPLOs]:[SubPLOs]],"&lt;11")+SUMIFS(tbl_task4[S123],tbl_task4[[SubPLOs]:[SubPLOs]],"&gt;=10",tbl_task4[[SubPLOs]:[SubPLOs]],"&lt;11")+SUMIFS(tbl_task5[S123],tbl_task5[[SubPLOs]:[SubPLOs]],"&gt;=10",tbl_task5[[SubPLOs]:[SubPLOs]],"&lt;11")+SUMIFS(tbl_task6[S123],tbl_task6[[SubPLOs]:[SubPLOs]],"&gt;=10",tbl_task6[[SubPLOs]:[SubPLOs]],"&lt;11")+SUMIFS(tbl_task7[S123],tbl_task7[[SubPLOs]:[SubPLOs]],"&gt;=10",tbl_task7[[SubPLOs]:[SubPLOs]],"&lt;11")+SUMIFS(tbl_task8[S123],tbl_task8[[SubPLOs]:[SubPLOs]],"&gt;=10",tbl_task8[[SubPLOs]:[SubPLOs]],"&lt;11")+SUMIFS(tbl_task9[S123],tbl_task9[[SubPLOs]:[SubPLOs]],"&gt;=10",tbl_task9[[SubPLOs]:[SubPLOs]],"&lt;11")+SUMIFS(tbl_task10[S123],tbl_task10[[SubPLOs]:[SubPLOs]],"&gt;=10",tbl_task10[[SubPLOs]:[SubPLOs]],"&lt;11")</f>
        <v>0</v>
      </c>
      <c r="DY189" s="41">
        <f>SUMIFS(tbl_task1[S124],tbl_task1[[SubPLOs]:[SubPLOs]],"&gt;=10",tbl_task1[[SubPLOs]:[SubPLOs]],"&lt;11")+SUMIFS(tbl_task2[S124],tbl_task2[[SubPLOs]:[SubPLOs]],"&gt;=10",tbl_task2[[SubPLOs]:[SubPLOs]],"&lt;11")+SUMIFS(tbl_task3[S124],tbl_task3[[SubPLOs]:[SubPLOs]],"&gt;=10",tbl_task3[[SubPLOs]:[SubPLOs]],"&lt;11")+SUMIFS(tbl_task4[S124],tbl_task4[[SubPLOs]:[SubPLOs]],"&gt;=10",tbl_task4[[SubPLOs]:[SubPLOs]],"&lt;11")+SUMIFS(tbl_task5[S124],tbl_task5[[SubPLOs]:[SubPLOs]],"&gt;=10",tbl_task5[[SubPLOs]:[SubPLOs]],"&lt;11")+SUMIFS(tbl_task6[S124],tbl_task6[[SubPLOs]:[SubPLOs]],"&gt;=10",tbl_task6[[SubPLOs]:[SubPLOs]],"&lt;11")+SUMIFS(tbl_task7[S124],tbl_task7[[SubPLOs]:[SubPLOs]],"&gt;=10",tbl_task7[[SubPLOs]:[SubPLOs]],"&lt;11")+SUMIFS(tbl_task8[S124],tbl_task8[[SubPLOs]:[SubPLOs]],"&gt;=10",tbl_task8[[SubPLOs]:[SubPLOs]],"&lt;11")+SUMIFS(tbl_task9[S124],tbl_task9[[SubPLOs]:[SubPLOs]],"&gt;=10",tbl_task9[[SubPLOs]:[SubPLOs]],"&lt;11")+SUMIFS(tbl_task10[S124],tbl_task10[[SubPLOs]:[SubPLOs]],"&gt;=10",tbl_task10[[SubPLOs]:[SubPLOs]],"&lt;11")</f>
        <v>0</v>
      </c>
      <c r="DZ189" s="41">
        <f>SUMIFS(tbl_task1[S125],tbl_task1[[SubPLOs]:[SubPLOs]],"&gt;=10",tbl_task1[[SubPLOs]:[SubPLOs]],"&lt;11")+SUMIFS(tbl_task2[S125],tbl_task2[[SubPLOs]:[SubPLOs]],"&gt;=10",tbl_task2[[SubPLOs]:[SubPLOs]],"&lt;11")+SUMIFS(tbl_task3[S125],tbl_task3[[SubPLOs]:[SubPLOs]],"&gt;=10",tbl_task3[[SubPLOs]:[SubPLOs]],"&lt;11")+SUMIFS(tbl_task4[S125],tbl_task4[[SubPLOs]:[SubPLOs]],"&gt;=10",tbl_task4[[SubPLOs]:[SubPLOs]],"&lt;11")+SUMIFS(tbl_task5[S125],tbl_task5[[SubPLOs]:[SubPLOs]],"&gt;=10",tbl_task5[[SubPLOs]:[SubPLOs]],"&lt;11")+SUMIFS(tbl_task6[S125],tbl_task6[[SubPLOs]:[SubPLOs]],"&gt;=10",tbl_task6[[SubPLOs]:[SubPLOs]],"&lt;11")+SUMIFS(tbl_task7[S125],tbl_task7[[SubPLOs]:[SubPLOs]],"&gt;=10",tbl_task7[[SubPLOs]:[SubPLOs]],"&lt;11")+SUMIFS(tbl_task8[S125],tbl_task8[[SubPLOs]:[SubPLOs]],"&gt;=10",tbl_task8[[SubPLOs]:[SubPLOs]],"&lt;11")+SUMIFS(tbl_task9[S125],tbl_task9[[SubPLOs]:[SubPLOs]],"&gt;=10",tbl_task9[[SubPLOs]:[SubPLOs]],"&lt;11")+SUMIFS(tbl_task10[S125],tbl_task10[[SubPLOs]:[SubPLOs]],"&gt;=10",tbl_task10[[SubPLOs]:[SubPLOs]],"&lt;11")</f>
        <v>0</v>
      </c>
      <c r="EA189" s="41">
        <f>SUMIFS(tbl_task1[S126],tbl_task1[[SubPLOs]:[SubPLOs]],"&gt;=10",tbl_task1[[SubPLOs]:[SubPLOs]],"&lt;11")+SUMIFS(tbl_task2[S126],tbl_task2[[SubPLOs]:[SubPLOs]],"&gt;=10",tbl_task2[[SubPLOs]:[SubPLOs]],"&lt;11")+SUMIFS(tbl_task3[S126],tbl_task3[[SubPLOs]:[SubPLOs]],"&gt;=10",tbl_task3[[SubPLOs]:[SubPLOs]],"&lt;11")+SUMIFS(tbl_task4[S126],tbl_task4[[SubPLOs]:[SubPLOs]],"&gt;=10",tbl_task4[[SubPLOs]:[SubPLOs]],"&lt;11")+SUMIFS(tbl_task5[S126],tbl_task5[[SubPLOs]:[SubPLOs]],"&gt;=10",tbl_task5[[SubPLOs]:[SubPLOs]],"&lt;11")+SUMIFS(tbl_task6[S126],tbl_task6[[SubPLOs]:[SubPLOs]],"&gt;=10",tbl_task6[[SubPLOs]:[SubPLOs]],"&lt;11")+SUMIFS(tbl_task7[S126],tbl_task7[[SubPLOs]:[SubPLOs]],"&gt;=10",tbl_task7[[SubPLOs]:[SubPLOs]],"&lt;11")+SUMIFS(tbl_task8[S126],tbl_task8[[SubPLOs]:[SubPLOs]],"&gt;=10",tbl_task8[[SubPLOs]:[SubPLOs]],"&lt;11")+SUMIFS(tbl_task9[S126],tbl_task9[[SubPLOs]:[SubPLOs]],"&gt;=10",tbl_task9[[SubPLOs]:[SubPLOs]],"&lt;11")+SUMIFS(tbl_task10[S126],tbl_task10[[SubPLOs]:[SubPLOs]],"&gt;=10",tbl_task10[[SubPLOs]:[SubPLOs]],"&lt;11")</f>
        <v>0</v>
      </c>
      <c r="EB189" s="41">
        <f>SUMIFS(tbl_task1[S127],tbl_task1[[SubPLOs]:[SubPLOs]],"&gt;=10",tbl_task1[[SubPLOs]:[SubPLOs]],"&lt;11")+SUMIFS(tbl_task2[S127],tbl_task2[[SubPLOs]:[SubPLOs]],"&gt;=10",tbl_task2[[SubPLOs]:[SubPLOs]],"&lt;11")+SUMIFS(tbl_task3[S127],tbl_task3[[SubPLOs]:[SubPLOs]],"&gt;=10",tbl_task3[[SubPLOs]:[SubPLOs]],"&lt;11")+SUMIFS(tbl_task4[S127],tbl_task4[[SubPLOs]:[SubPLOs]],"&gt;=10",tbl_task4[[SubPLOs]:[SubPLOs]],"&lt;11")+SUMIFS(tbl_task5[S127],tbl_task5[[SubPLOs]:[SubPLOs]],"&gt;=10",tbl_task5[[SubPLOs]:[SubPLOs]],"&lt;11")+SUMIFS(tbl_task6[S127],tbl_task6[[SubPLOs]:[SubPLOs]],"&gt;=10",tbl_task6[[SubPLOs]:[SubPLOs]],"&lt;11")+SUMIFS(tbl_task7[S127],tbl_task7[[SubPLOs]:[SubPLOs]],"&gt;=10",tbl_task7[[SubPLOs]:[SubPLOs]],"&lt;11")+SUMIFS(tbl_task8[S127],tbl_task8[[SubPLOs]:[SubPLOs]],"&gt;=10",tbl_task8[[SubPLOs]:[SubPLOs]],"&lt;11")+SUMIFS(tbl_task9[S127],tbl_task9[[SubPLOs]:[SubPLOs]],"&gt;=10",tbl_task9[[SubPLOs]:[SubPLOs]],"&lt;11")+SUMIFS(tbl_task10[S127],tbl_task10[[SubPLOs]:[SubPLOs]],"&gt;=10",tbl_task10[[SubPLOs]:[SubPLOs]],"&lt;11")</f>
        <v>0</v>
      </c>
      <c r="EC189" s="41">
        <f>SUMIFS(tbl_task1[S128],tbl_task1[[SubPLOs]:[SubPLOs]],"&gt;=10",tbl_task1[[SubPLOs]:[SubPLOs]],"&lt;11")+SUMIFS(tbl_task2[S128],tbl_task2[[SubPLOs]:[SubPLOs]],"&gt;=10",tbl_task2[[SubPLOs]:[SubPLOs]],"&lt;11")+SUMIFS(tbl_task3[S128],tbl_task3[[SubPLOs]:[SubPLOs]],"&gt;=10",tbl_task3[[SubPLOs]:[SubPLOs]],"&lt;11")+SUMIFS(tbl_task4[S128],tbl_task4[[SubPLOs]:[SubPLOs]],"&gt;=10",tbl_task4[[SubPLOs]:[SubPLOs]],"&lt;11")+SUMIFS(tbl_task5[S128],tbl_task5[[SubPLOs]:[SubPLOs]],"&gt;=10",tbl_task5[[SubPLOs]:[SubPLOs]],"&lt;11")+SUMIFS(tbl_task6[S128],tbl_task6[[SubPLOs]:[SubPLOs]],"&gt;=10",tbl_task6[[SubPLOs]:[SubPLOs]],"&lt;11")+SUMIFS(tbl_task7[S128],tbl_task7[[SubPLOs]:[SubPLOs]],"&gt;=10",tbl_task7[[SubPLOs]:[SubPLOs]],"&lt;11")+SUMIFS(tbl_task8[S128],tbl_task8[[SubPLOs]:[SubPLOs]],"&gt;=10",tbl_task8[[SubPLOs]:[SubPLOs]],"&lt;11")+SUMIFS(tbl_task9[S128],tbl_task9[[SubPLOs]:[SubPLOs]],"&gt;=10",tbl_task9[[SubPLOs]:[SubPLOs]],"&lt;11")+SUMIFS(tbl_task10[S128],tbl_task10[[SubPLOs]:[SubPLOs]],"&gt;=10",tbl_task10[[SubPLOs]:[SubPLOs]],"&lt;11")</f>
        <v>0</v>
      </c>
      <c r="ED189" s="41">
        <f>SUMIFS(tbl_task1[S129],tbl_task1[[SubPLOs]:[SubPLOs]],"&gt;=10",tbl_task1[[SubPLOs]:[SubPLOs]],"&lt;11")+SUMIFS(tbl_task2[S129],tbl_task2[[SubPLOs]:[SubPLOs]],"&gt;=10",tbl_task2[[SubPLOs]:[SubPLOs]],"&lt;11")+SUMIFS(tbl_task3[S129],tbl_task3[[SubPLOs]:[SubPLOs]],"&gt;=10",tbl_task3[[SubPLOs]:[SubPLOs]],"&lt;11")+SUMIFS(tbl_task4[S129],tbl_task4[[SubPLOs]:[SubPLOs]],"&gt;=10",tbl_task4[[SubPLOs]:[SubPLOs]],"&lt;11")+SUMIFS(tbl_task5[S129],tbl_task5[[SubPLOs]:[SubPLOs]],"&gt;=10",tbl_task5[[SubPLOs]:[SubPLOs]],"&lt;11")+SUMIFS(tbl_task6[S129],tbl_task6[[SubPLOs]:[SubPLOs]],"&gt;=10",tbl_task6[[SubPLOs]:[SubPLOs]],"&lt;11")+SUMIFS(tbl_task7[S129],tbl_task7[[SubPLOs]:[SubPLOs]],"&gt;=10",tbl_task7[[SubPLOs]:[SubPLOs]],"&lt;11")+SUMIFS(tbl_task8[S129],tbl_task8[[SubPLOs]:[SubPLOs]],"&gt;=10",tbl_task8[[SubPLOs]:[SubPLOs]],"&lt;11")+SUMIFS(tbl_task9[S129],tbl_task9[[SubPLOs]:[SubPLOs]],"&gt;=10",tbl_task9[[SubPLOs]:[SubPLOs]],"&lt;11")+SUMIFS(tbl_task10[S129],tbl_task10[[SubPLOs]:[SubPLOs]],"&gt;=10",tbl_task10[[SubPLOs]:[SubPLOs]],"&lt;11")</f>
        <v>0</v>
      </c>
      <c r="EE189" s="41">
        <f>SUMIFS(tbl_task1[S130],tbl_task1[[SubPLOs]:[SubPLOs]],"&gt;=10",tbl_task1[[SubPLOs]:[SubPLOs]],"&lt;11")+SUMIFS(tbl_task2[S130],tbl_task2[[SubPLOs]:[SubPLOs]],"&gt;=10",tbl_task2[[SubPLOs]:[SubPLOs]],"&lt;11")+SUMIFS(tbl_task3[S130],tbl_task3[[SubPLOs]:[SubPLOs]],"&gt;=10",tbl_task3[[SubPLOs]:[SubPLOs]],"&lt;11")+SUMIFS(tbl_task4[S130],tbl_task4[[SubPLOs]:[SubPLOs]],"&gt;=10",tbl_task4[[SubPLOs]:[SubPLOs]],"&lt;11")+SUMIFS(tbl_task5[S130],tbl_task5[[SubPLOs]:[SubPLOs]],"&gt;=10",tbl_task5[[SubPLOs]:[SubPLOs]],"&lt;11")+SUMIFS(tbl_task6[S130],tbl_task6[[SubPLOs]:[SubPLOs]],"&gt;=10",tbl_task6[[SubPLOs]:[SubPLOs]],"&lt;11")+SUMIFS(tbl_task7[S130],tbl_task7[[SubPLOs]:[SubPLOs]],"&gt;=10",tbl_task7[[SubPLOs]:[SubPLOs]],"&lt;11")+SUMIFS(tbl_task8[S130],tbl_task8[[SubPLOs]:[SubPLOs]],"&gt;=10",tbl_task8[[SubPLOs]:[SubPLOs]],"&lt;11")+SUMIFS(tbl_task9[S130],tbl_task9[[SubPLOs]:[SubPLOs]],"&gt;=10",tbl_task9[[SubPLOs]:[SubPLOs]],"&lt;11")+SUMIFS(tbl_task10[S130],tbl_task10[[SubPLOs]:[SubPLOs]],"&gt;=10",tbl_task10[[SubPLOs]:[SubPLOs]],"&lt;11")</f>
        <v>0</v>
      </c>
      <c r="EF189" s="41">
        <f>SUMIFS(tbl_task1[S131],tbl_task1[[SubPLOs]:[SubPLOs]],"&gt;=10",tbl_task1[[SubPLOs]:[SubPLOs]],"&lt;11")+SUMIFS(tbl_task2[S131],tbl_task2[[SubPLOs]:[SubPLOs]],"&gt;=10",tbl_task2[[SubPLOs]:[SubPLOs]],"&lt;11")+SUMIFS(tbl_task3[S131],tbl_task3[[SubPLOs]:[SubPLOs]],"&gt;=10",tbl_task3[[SubPLOs]:[SubPLOs]],"&lt;11")+SUMIFS(tbl_task4[S131],tbl_task4[[SubPLOs]:[SubPLOs]],"&gt;=10",tbl_task4[[SubPLOs]:[SubPLOs]],"&lt;11")+SUMIFS(tbl_task5[S131],tbl_task5[[SubPLOs]:[SubPLOs]],"&gt;=10",tbl_task5[[SubPLOs]:[SubPLOs]],"&lt;11")+SUMIFS(tbl_task6[S131],tbl_task6[[SubPLOs]:[SubPLOs]],"&gt;=10",tbl_task6[[SubPLOs]:[SubPLOs]],"&lt;11")+SUMIFS(tbl_task7[S131],tbl_task7[[SubPLOs]:[SubPLOs]],"&gt;=10",tbl_task7[[SubPLOs]:[SubPLOs]],"&lt;11")+SUMIFS(tbl_task8[S131],tbl_task8[[SubPLOs]:[SubPLOs]],"&gt;=10",tbl_task8[[SubPLOs]:[SubPLOs]],"&lt;11")+SUMIFS(tbl_task9[S131],tbl_task9[[SubPLOs]:[SubPLOs]],"&gt;=10",tbl_task9[[SubPLOs]:[SubPLOs]],"&lt;11")+SUMIFS(tbl_task10[S131],tbl_task10[[SubPLOs]:[SubPLOs]],"&gt;=10",tbl_task10[[SubPLOs]:[SubPLOs]],"&lt;11")</f>
        <v>0</v>
      </c>
      <c r="EG189" s="41">
        <f>SUMIFS(tbl_task1[S132],tbl_task1[[SubPLOs]:[SubPLOs]],"&gt;=10",tbl_task1[[SubPLOs]:[SubPLOs]],"&lt;11")+SUMIFS(tbl_task2[S132],tbl_task2[[SubPLOs]:[SubPLOs]],"&gt;=10",tbl_task2[[SubPLOs]:[SubPLOs]],"&lt;11")+SUMIFS(tbl_task3[S132],tbl_task3[[SubPLOs]:[SubPLOs]],"&gt;=10",tbl_task3[[SubPLOs]:[SubPLOs]],"&lt;11")+SUMIFS(tbl_task4[S132],tbl_task4[[SubPLOs]:[SubPLOs]],"&gt;=10",tbl_task4[[SubPLOs]:[SubPLOs]],"&lt;11")+SUMIFS(tbl_task5[S132],tbl_task5[[SubPLOs]:[SubPLOs]],"&gt;=10",tbl_task5[[SubPLOs]:[SubPLOs]],"&lt;11")+SUMIFS(tbl_task6[S132],tbl_task6[[SubPLOs]:[SubPLOs]],"&gt;=10",tbl_task6[[SubPLOs]:[SubPLOs]],"&lt;11")+SUMIFS(tbl_task7[S132],tbl_task7[[SubPLOs]:[SubPLOs]],"&gt;=10",tbl_task7[[SubPLOs]:[SubPLOs]],"&lt;11")+SUMIFS(tbl_task8[S132],tbl_task8[[SubPLOs]:[SubPLOs]],"&gt;=10",tbl_task8[[SubPLOs]:[SubPLOs]],"&lt;11")+SUMIFS(tbl_task9[S132],tbl_task9[[SubPLOs]:[SubPLOs]],"&gt;=10",tbl_task9[[SubPLOs]:[SubPLOs]],"&lt;11")+SUMIFS(tbl_task10[S132],tbl_task10[[SubPLOs]:[SubPLOs]],"&gt;=10",tbl_task10[[SubPLOs]:[SubPLOs]],"&lt;11")</f>
        <v>0</v>
      </c>
      <c r="EH189" s="41">
        <f>SUMIFS(tbl_task1[S133],tbl_task1[[SubPLOs]:[SubPLOs]],"&gt;=10",tbl_task1[[SubPLOs]:[SubPLOs]],"&lt;11")+SUMIFS(tbl_task2[S133],tbl_task2[[SubPLOs]:[SubPLOs]],"&gt;=10",tbl_task2[[SubPLOs]:[SubPLOs]],"&lt;11")+SUMIFS(tbl_task3[S133],tbl_task3[[SubPLOs]:[SubPLOs]],"&gt;=10",tbl_task3[[SubPLOs]:[SubPLOs]],"&lt;11")+SUMIFS(tbl_task4[S133],tbl_task4[[SubPLOs]:[SubPLOs]],"&gt;=10",tbl_task4[[SubPLOs]:[SubPLOs]],"&lt;11")+SUMIFS(tbl_task5[S133],tbl_task5[[SubPLOs]:[SubPLOs]],"&gt;=10",tbl_task5[[SubPLOs]:[SubPLOs]],"&lt;11")+SUMIFS(tbl_task6[S133],tbl_task6[[SubPLOs]:[SubPLOs]],"&gt;=10",tbl_task6[[SubPLOs]:[SubPLOs]],"&lt;11")+SUMIFS(tbl_task7[S133],tbl_task7[[SubPLOs]:[SubPLOs]],"&gt;=10",tbl_task7[[SubPLOs]:[SubPLOs]],"&lt;11")+SUMIFS(tbl_task8[S133],tbl_task8[[SubPLOs]:[SubPLOs]],"&gt;=10",tbl_task8[[SubPLOs]:[SubPLOs]],"&lt;11")+SUMIFS(tbl_task9[S133],tbl_task9[[SubPLOs]:[SubPLOs]],"&gt;=10",tbl_task9[[SubPLOs]:[SubPLOs]],"&lt;11")+SUMIFS(tbl_task10[S133],tbl_task10[[SubPLOs]:[SubPLOs]],"&gt;=10",tbl_task10[[SubPLOs]:[SubPLOs]],"&lt;11")</f>
        <v>0</v>
      </c>
      <c r="EI189" s="41">
        <f>SUMIFS(tbl_task1[S134],tbl_task1[[SubPLOs]:[SubPLOs]],"&gt;=10",tbl_task1[[SubPLOs]:[SubPLOs]],"&lt;11")+SUMIFS(tbl_task2[S134],tbl_task2[[SubPLOs]:[SubPLOs]],"&gt;=10",tbl_task2[[SubPLOs]:[SubPLOs]],"&lt;11")+SUMIFS(tbl_task3[S134],tbl_task3[[SubPLOs]:[SubPLOs]],"&gt;=10",tbl_task3[[SubPLOs]:[SubPLOs]],"&lt;11")+SUMIFS(tbl_task4[S134],tbl_task4[[SubPLOs]:[SubPLOs]],"&gt;=10",tbl_task4[[SubPLOs]:[SubPLOs]],"&lt;11")+SUMIFS(tbl_task5[S134],tbl_task5[[SubPLOs]:[SubPLOs]],"&gt;=10",tbl_task5[[SubPLOs]:[SubPLOs]],"&lt;11")+SUMIFS(tbl_task6[S134],tbl_task6[[SubPLOs]:[SubPLOs]],"&gt;=10",tbl_task6[[SubPLOs]:[SubPLOs]],"&lt;11")+SUMIFS(tbl_task7[S134],tbl_task7[[SubPLOs]:[SubPLOs]],"&gt;=10",tbl_task7[[SubPLOs]:[SubPLOs]],"&lt;11")+SUMIFS(tbl_task8[S134],tbl_task8[[SubPLOs]:[SubPLOs]],"&gt;=10",tbl_task8[[SubPLOs]:[SubPLOs]],"&lt;11")+SUMIFS(tbl_task9[S134],tbl_task9[[SubPLOs]:[SubPLOs]],"&gt;=10",tbl_task9[[SubPLOs]:[SubPLOs]],"&lt;11")+SUMIFS(tbl_task10[S134],tbl_task10[[SubPLOs]:[SubPLOs]],"&gt;=10",tbl_task10[[SubPLOs]:[SubPLOs]],"&lt;11")</f>
        <v>0</v>
      </c>
      <c r="EJ189" s="41">
        <f>SUMIFS(tbl_task1[S135],tbl_task1[[SubPLOs]:[SubPLOs]],"&gt;=10",tbl_task1[[SubPLOs]:[SubPLOs]],"&lt;11")+SUMIFS(tbl_task2[S135],tbl_task2[[SubPLOs]:[SubPLOs]],"&gt;=10",tbl_task2[[SubPLOs]:[SubPLOs]],"&lt;11")+SUMIFS(tbl_task3[S135],tbl_task3[[SubPLOs]:[SubPLOs]],"&gt;=10",tbl_task3[[SubPLOs]:[SubPLOs]],"&lt;11")+SUMIFS(tbl_task4[S135],tbl_task4[[SubPLOs]:[SubPLOs]],"&gt;=10",tbl_task4[[SubPLOs]:[SubPLOs]],"&lt;11")+SUMIFS(tbl_task5[S135],tbl_task5[[SubPLOs]:[SubPLOs]],"&gt;=10",tbl_task5[[SubPLOs]:[SubPLOs]],"&lt;11")+SUMIFS(tbl_task6[S135],tbl_task6[[SubPLOs]:[SubPLOs]],"&gt;=10",tbl_task6[[SubPLOs]:[SubPLOs]],"&lt;11")+SUMIFS(tbl_task7[S135],tbl_task7[[SubPLOs]:[SubPLOs]],"&gt;=10",tbl_task7[[SubPLOs]:[SubPLOs]],"&lt;11")+SUMIFS(tbl_task8[S135],tbl_task8[[SubPLOs]:[SubPLOs]],"&gt;=10",tbl_task8[[SubPLOs]:[SubPLOs]],"&lt;11")+SUMIFS(tbl_task9[S135],tbl_task9[[SubPLOs]:[SubPLOs]],"&gt;=10",tbl_task9[[SubPLOs]:[SubPLOs]],"&lt;11")+SUMIFS(tbl_task10[S135],tbl_task10[[SubPLOs]:[SubPLOs]],"&gt;=10",tbl_task10[[SubPLOs]:[SubPLOs]],"&lt;11")</f>
        <v>0</v>
      </c>
      <c r="EK189" s="41">
        <f>SUMIFS(tbl_task1[S136],tbl_task1[[SubPLOs]:[SubPLOs]],"&gt;=10",tbl_task1[[SubPLOs]:[SubPLOs]],"&lt;11")+SUMIFS(tbl_task2[S136],tbl_task2[[SubPLOs]:[SubPLOs]],"&gt;=10",tbl_task2[[SubPLOs]:[SubPLOs]],"&lt;11")+SUMIFS(tbl_task3[S136],tbl_task3[[SubPLOs]:[SubPLOs]],"&gt;=10",tbl_task3[[SubPLOs]:[SubPLOs]],"&lt;11")+SUMIFS(tbl_task4[S136],tbl_task4[[SubPLOs]:[SubPLOs]],"&gt;=10",tbl_task4[[SubPLOs]:[SubPLOs]],"&lt;11")+SUMIFS(tbl_task5[S136],tbl_task5[[SubPLOs]:[SubPLOs]],"&gt;=10",tbl_task5[[SubPLOs]:[SubPLOs]],"&lt;11")+SUMIFS(tbl_task6[S136],tbl_task6[[SubPLOs]:[SubPLOs]],"&gt;=10",tbl_task6[[SubPLOs]:[SubPLOs]],"&lt;11")+SUMIFS(tbl_task7[S136],tbl_task7[[SubPLOs]:[SubPLOs]],"&gt;=10",tbl_task7[[SubPLOs]:[SubPLOs]],"&lt;11")+SUMIFS(tbl_task8[S136],tbl_task8[[SubPLOs]:[SubPLOs]],"&gt;=10",tbl_task8[[SubPLOs]:[SubPLOs]],"&lt;11")+SUMIFS(tbl_task9[S136],tbl_task9[[SubPLOs]:[SubPLOs]],"&gt;=10",tbl_task9[[SubPLOs]:[SubPLOs]],"&lt;11")+SUMIFS(tbl_task10[S136],tbl_task10[[SubPLOs]:[SubPLOs]],"&gt;=10",tbl_task10[[SubPLOs]:[SubPLOs]],"&lt;11")</f>
        <v>0</v>
      </c>
      <c r="EL189" s="41">
        <f>SUMIFS(tbl_task1[S137],tbl_task1[[SubPLOs]:[SubPLOs]],"&gt;=10",tbl_task1[[SubPLOs]:[SubPLOs]],"&lt;11")+SUMIFS(tbl_task2[S137],tbl_task2[[SubPLOs]:[SubPLOs]],"&gt;=10",tbl_task2[[SubPLOs]:[SubPLOs]],"&lt;11")+SUMIFS(tbl_task3[S137],tbl_task3[[SubPLOs]:[SubPLOs]],"&gt;=10",tbl_task3[[SubPLOs]:[SubPLOs]],"&lt;11")+SUMIFS(tbl_task4[S137],tbl_task4[[SubPLOs]:[SubPLOs]],"&gt;=10",tbl_task4[[SubPLOs]:[SubPLOs]],"&lt;11")+SUMIFS(tbl_task5[S137],tbl_task5[[SubPLOs]:[SubPLOs]],"&gt;=10",tbl_task5[[SubPLOs]:[SubPLOs]],"&lt;11")+SUMIFS(tbl_task6[S137],tbl_task6[[SubPLOs]:[SubPLOs]],"&gt;=10",tbl_task6[[SubPLOs]:[SubPLOs]],"&lt;11")+SUMIFS(tbl_task7[S137],tbl_task7[[SubPLOs]:[SubPLOs]],"&gt;=10",tbl_task7[[SubPLOs]:[SubPLOs]],"&lt;11")+SUMIFS(tbl_task8[S137],tbl_task8[[SubPLOs]:[SubPLOs]],"&gt;=10",tbl_task8[[SubPLOs]:[SubPLOs]],"&lt;11")+SUMIFS(tbl_task9[S137],tbl_task9[[SubPLOs]:[SubPLOs]],"&gt;=10",tbl_task9[[SubPLOs]:[SubPLOs]],"&lt;11")+SUMIFS(tbl_task10[S137],tbl_task10[[SubPLOs]:[SubPLOs]],"&gt;=10",tbl_task10[[SubPLOs]:[SubPLOs]],"&lt;11")</f>
        <v>0</v>
      </c>
      <c r="EM189" s="41">
        <f>SUMIFS(tbl_task1[S138],tbl_task1[[SubPLOs]:[SubPLOs]],"&gt;=10",tbl_task1[[SubPLOs]:[SubPLOs]],"&lt;11")+SUMIFS(tbl_task2[S138],tbl_task2[[SubPLOs]:[SubPLOs]],"&gt;=10",tbl_task2[[SubPLOs]:[SubPLOs]],"&lt;11")+SUMIFS(tbl_task3[S138],tbl_task3[[SubPLOs]:[SubPLOs]],"&gt;=10",tbl_task3[[SubPLOs]:[SubPLOs]],"&lt;11")+SUMIFS(tbl_task4[S138],tbl_task4[[SubPLOs]:[SubPLOs]],"&gt;=10",tbl_task4[[SubPLOs]:[SubPLOs]],"&lt;11")+SUMIFS(tbl_task5[S138],tbl_task5[[SubPLOs]:[SubPLOs]],"&gt;=10",tbl_task5[[SubPLOs]:[SubPLOs]],"&lt;11")+SUMIFS(tbl_task6[S138],tbl_task6[[SubPLOs]:[SubPLOs]],"&gt;=10",tbl_task6[[SubPLOs]:[SubPLOs]],"&lt;11")+SUMIFS(tbl_task7[S138],tbl_task7[[SubPLOs]:[SubPLOs]],"&gt;=10",tbl_task7[[SubPLOs]:[SubPLOs]],"&lt;11")+SUMIFS(tbl_task8[S138],tbl_task8[[SubPLOs]:[SubPLOs]],"&gt;=10",tbl_task8[[SubPLOs]:[SubPLOs]],"&lt;11")+SUMIFS(tbl_task9[S138],tbl_task9[[SubPLOs]:[SubPLOs]],"&gt;=10",tbl_task9[[SubPLOs]:[SubPLOs]],"&lt;11")+SUMIFS(tbl_task10[S138],tbl_task10[[SubPLOs]:[SubPLOs]],"&gt;=10",tbl_task10[[SubPLOs]:[SubPLOs]],"&lt;11")</f>
        <v>0</v>
      </c>
      <c r="EN189" s="41">
        <f>SUMIFS(tbl_task1[S139],tbl_task1[[SubPLOs]:[SubPLOs]],"&gt;=10",tbl_task1[[SubPLOs]:[SubPLOs]],"&lt;11")+SUMIFS(tbl_task2[S139],tbl_task2[[SubPLOs]:[SubPLOs]],"&gt;=10",tbl_task2[[SubPLOs]:[SubPLOs]],"&lt;11")+SUMIFS(tbl_task3[S139],tbl_task3[[SubPLOs]:[SubPLOs]],"&gt;=10",tbl_task3[[SubPLOs]:[SubPLOs]],"&lt;11")+SUMIFS(tbl_task4[S139],tbl_task4[[SubPLOs]:[SubPLOs]],"&gt;=10",tbl_task4[[SubPLOs]:[SubPLOs]],"&lt;11")+SUMIFS(tbl_task5[S139],tbl_task5[[SubPLOs]:[SubPLOs]],"&gt;=10",tbl_task5[[SubPLOs]:[SubPLOs]],"&lt;11")+SUMIFS(tbl_task6[S139],tbl_task6[[SubPLOs]:[SubPLOs]],"&gt;=10",tbl_task6[[SubPLOs]:[SubPLOs]],"&lt;11")+SUMIFS(tbl_task7[S139],tbl_task7[[SubPLOs]:[SubPLOs]],"&gt;=10",tbl_task7[[SubPLOs]:[SubPLOs]],"&lt;11")+SUMIFS(tbl_task8[S139],tbl_task8[[SubPLOs]:[SubPLOs]],"&gt;=10",tbl_task8[[SubPLOs]:[SubPLOs]],"&lt;11")+SUMIFS(tbl_task9[S139],tbl_task9[[SubPLOs]:[SubPLOs]],"&gt;=10",tbl_task9[[SubPLOs]:[SubPLOs]],"&lt;11")+SUMIFS(tbl_task10[S139],tbl_task10[[SubPLOs]:[SubPLOs]],"&gt;=10",tbl_task10[[SubPLOs]:[SubPLOs]],"&lt;11")</f>
        <v>0</v>
      </c>
      <c r="EO189" s="41">
        <f>SUMIFS(tbl_task1[S140],tbl_task1[[SubPLOs]:[SubPLOs]],"&gt;=10",tbl_task1[[SubPLOs]:[SubPLOs]],"&lt;11")+SUMIFS(tbl_task2[S140],tbl_task2[[SubPLOs]:[SubPLOs]],"&gt;=10",tbl_task2[[SubPLOs]:[SubPLOs]],"&lt;11")+SUMIFS(tbl_task3[S140],tbl_task3[[SubPLOs]:[SubPLOs]],"&gt;=10",tbl_task3[[SubPLOs]:[SubPLOs]],"&lt;11")+SUMIFS(tbl_task4[S140],tbl_task4[[SubPLOs]:[SubPLOs]],"&gt;=10",tbl_task4[[SubPLOs]:[SubPLOs]],"&lt;11")+SUMIFS(tbl_task5[S140],tbl_task5[[SubPLOs]:[SubPLOs]],"&gt;=10",tbl_task5[[SubPLOs]:[SubPLOs]],"&lt;11")+SUMIFS(tbl_task6[S140],tbl_task6[[SubPLOs]:[SubPLOs]],"&gt;=10",tbl_task6[[SubPLOs]:[SubPLOs]],"&lt;11")+SUMIFS(tbl_task7[S140],tbl_task7[[SubPLOs]:[SubPLOs]],"&gt;=10",tbl_task7[[SubPLOs]:[SubPLOs]],"&lt;11")+SUMIFS(tbl_task8[S140],tbl_task8[[SubPLOs]:[SubPLOs]],"&gt;=10",tbl_task8[[SubPLOs]:[SubPLOs]],"&lt;11")+SUMIFS(tbl_task9[S140],tbl_task9[[SubPLOs]:[SubPLOs]],"&gt;=10",tbl_task9[[SubPLOs]:[SubPLOs]],"&lt;11")+SUMIFS(tbl_task10[S140],tbl_task10[[SubPLOs]:[SubPLOs]],"&gt;=10",tbl_task10[[SubPLOs]:[SubPLOs]],"&lt;11")</f>
        <v>0</v>
      </c>
      <c r="EP189" s="41">
        <f>SUMIFS(tbl_task1[S141],tbl_task1[[SubPLOs]:[SubPLOs]],"&gt;=10",tbl_task1[[SubPLOs]:[SubPLOs]],"&lt;11")+SUMIFS(tbl_task2[S141],tbl_task2[[SubPLOs]:[SubPLOs]],"&gt;=10",tbl_task2[[SubPLOs]:[SubPLOs]],"&lt;11")+SUMIFS(tbl_task3[S141],tbl_task3[[SubPLOs]:[SubPLOs]],"&gt;=10",tbl_task3[[SubPLOs]:[SubPLOs]],"&lt;11")+SUMIFS(tbl_task4[S141],tbl_task4[[SubPLOs]:[SubPLOs]],"&gt;=10",tbl_task4[[SubPLOs]:[SubPLOs]],"&lt;11")+SUMIFS(tbl_task5[S141],tbl_task5[[SubPLOs]:[SubPLOs]],"&gt;=10",tbl_task5[[SubPLOs]:[SubPLOs]],"&lt;11")+SUMIFS(tbl_task6[S141],tbl_task6[[SubPLOs]:[SubPLOs]],"&gt;=10",tbl_task6[[SubPLOs]:[SubPLOs]],"&lt;11")+SUMIFS(tbl_task7[S141],tbl_task7[[SubPLOs]:[SubPLOs]],"&gt;=10",tbl_task7[[SubPLOs]:[SubPLOs]],"&lt;11")+SUMIFS(tbl_task8[S141],tbl_task8[[SubPLOs]:[SubPLOs]],"&gt;=10",tbl_task8[[SubPLOs]:[SubPLOs]],"&lt;11")+SUMIFS(tbl_task9[S141],tbl_task9[[SubPLOs]:[SubPLOs]],"&gt;=10",tbl_task9[[SubPLOs]:[SubPLOs]],"&lt;11")+SUMIFS(tbl_task10[S141],tbl_task10[[SubPLOs]:[SubPLOs]],"&gt;=10",tbl_task10[[SubPLOs]:[SubPLOs]],"&lt;11")</f>
        <v>0</v>
      </c>
      <c r="EQ189" s="41">
        <f>SUMIFS(tbl_task1[S142],tbl_task1[[SubPLOs]:[SubPLOs]],"&gt;=10",tbl_task1[[SubPLOs]:[SubPLOs]],"&lt;11")+SUMIFS(tbl_task2[S142],tbl_task2[[SubPLOs]:[SubPLOs]],"&gt;=10",tbl_task2[[SubPLOs]:[SubPLOs]],"&lt;11")+SUMIFS(tbl_task3[S142],tbl_task3[[SubPLOs]:[SubPLOs]],"&gt;=10",tbl_task3[[SubPLOs]:[SubPLOs]],"&lt;11")+SUMIFS(tbl_task4[S142],tbl_task4[[SubPLOs]:[SubPLOs]],"&gt;=10",tbl_task4[[SubPLOs]:[SubPLOs]],"&lt;11")+SUMIFS(tbl_task5[S142],tbl_task5[[SubPLOs]:[SubPLOs]],"&gt;=10",tbl_task5[[SubPLOs]:[SubPLOs]],"&lt;11")+SUMIFS(tbl_task6[S142],tbl_task6[[SubPLOs]:[SubPLOs]],"&gt;=10",tbl_task6[[SubPLOs]:[SubPLOs]],"&lt;11")+SUMIFS(tbl_task7[S142],tbl_task7[[SubPLOs]:[SubPLOs]],"&gt;=10",tbl_task7[[SubPLOs]:[SubPLOs]],"&lt;11")+SUMIFS(tbl_task8[S142],tbl_task8[[SubPLOs]:[SubPLOs]],"&gt;=10",tbl_task8[[SubPLOs]:[SubPLOs]],"&lt;11")+SUMIFS(tbl_task9[S142],tbl_task9[[SubPLOs]:[SubPLOs]],"&gt;=10",tbl_task9[[SubPLOs]:[SubPLOs]],"&lt;11")+SUMIFS(tbl_task10[S142],tbl_task10[[SubPLOs]:[SubPLOs]],"&gt;=10",tbl_task10[[SubPLOs]:[SubPLOs]],"&lt;11")</f>
        <v>0</v>
      </c>
      <c r="ER189" s="41">
        <f>SUMIFS(tbl_task1[S143],tbl_task1[[SubPLOs]:[SubPLOs]],"&gt;=10",tbl_task1[[SubPLOs]:[SubPLOs]],"&lt;11")+SUMIFS(tbl_task2[S143],tbl_task2[[SubPLOs]:[SubPLOs]],"&gt;=10",tbl_task2[[SubPLOs]:[SubPLOs]],"&lt;11")+SUMIFS(tbl_task3[S143],tbl_task3[[SubPLOs]:[SubPLOs]],"&gt;=10",tbl_task3[[SubPLOs]:[SubPLOs]],"&lt;11")+SUMIFS(tbl_task4[S143],tbl_task4[[SubPLOs]:[SubPLOs]],"&gt;=10",tbl_task4[[SubPLOs]:[SubPLOs]],"&lt;11")+SUMIFS(tbl_task5[S143],tbl_task5[[SubPLOs]:[SubPLOs]],"&gt;=10",tbl_task5[[SubPLOs]:[SubPLOs]],"&lt;11")+SUMIFS(tbl_task6[S143],tbl_task6[[SubPLOs]:[SubPLOs]],"&gt;=10",tbl_task6[[SubPLOs]:[SubPLOs]],"&lt;11")+SUMIFS(tbl_task7[S143],tbl_task7[[SubPLOs]:[SubPLOs]],"&gt;=10",tbl_task7[[SubPLOs]:[SubPLOs]],"&lt;11")+SUMIFS(tbl_task8[S143],tbl_task8[[SubPLOs]:[SubPLOs]],"&gt;=10",tbl_task8[[SubPLOs]:[SubPLOs]],"&lt;11")+SUMIFS(tbl_task9[S143],tbl_task9[[SubPLOs]:[SubPLOs]],"&gt;=10",tbl_task9[[SubPLOs]:[SubPLOs]],"&lt;11")+SUMIFS(tbl_task10[S143],tbl_task10[[SubPLOs]:[SubPLOs]],"&gt;=10",tbl_task10[[SubPLOs]:[SubPLOs]],"&lt;11")</f>
        <v>0</v>
      </c>
      <c r="ES189" s="41">
        <f>SUMIFS(tbl_task1[S144],tbl_task1[[SubPLOs]:[SubPLOs]],"&gt;=10",tbl_task1[[SubPLOs]:[SubPLOs]],"&lt;11")+SUMIFS(tbl_task2[S144],tbl_task2[[SubPLOs]:[SubPLOs]],"&gt;=10",tbl_task2[[SubPLOs]:[SubPLOs]],"&lt;11")+SUMIFS(tbl_task3[S144],tbl_task3[[SubPLOs]:[SubPLOs]],"&gt;=10",tbl_task3[[SubPLOs]:[SubPLOs]],"&lt;11")+SUMIFS(tbl_task4[S144],tbl_task4[[SubPLOs]:[SubPLOs]],"&gt;=10",tbl_task4[[SubPLOs]:[SubPLOs]],"&lt;11")+SUMIFS(tbl_task5[S144],tbl_task5[[SubPLOs]:[SubPLOs]],"&gt;=10",tbl_task5[[SubPLOs]:[SubPLOs]],"&lt;11")+SUMIFS(tbl_task6[S144],tbl_task6[[SubPLOs]:[SubPLOs]],"&gt;=10",tbl_task6[[SubPLOs]:[SubPLOs]],"&lt;11")+SUMIFS(tbl_task7[S144],tbl_task7[[SubPLOs]:[SubPLOs]],"&gt;=10",tbl_task7[[SubPLOs]:[SubPLOs]],"&lt;11")+SUMIFS(tbl_task8[S144],tbl_task8[[SubPLOs]:[SubPLOs]],"&gt;=10",tbl_task8[[SubPLOs]:[SubPLOs]],"&lt;11")+SUMIFS(tbl_task9[S144],tbl_task9[[SubPLOs]:[SubPLOs]],"&gt;=10",tbl_task9[[SubPLOs]:[SubPLOs]],"&lt;11")+SUMIFS(tbl_task10[S144],tbl_task10[[SubPLOs]:[SubPLOs]],"&gt;=10",tbl_task10[[SubPLOs]:[SubPLOs]],"&lt;11")</f>
        <v>0</v>
      </c>
      <c r="ET189" s="41">
        <f>SUMIFS(tbl_task1[S145],tbl_task1[[SubPLOs]:[SubPLOs]],"&gt;=10",tbl_task1[[SubPLOs]:[SubPLOs]],"&lt;11")+SUMIFS(tbl_task2[S145],tbl_task2[[SubPLOs]:[SubPLOs]],"&gt;=10",tbl_task2[[SubPLOs]:[SubPLOs]],"&lt;11")+SUMIFS(tbl_task3[S145],tbl_task3[[SubPLOs]:[SubPLOs]],"&gt;=10",tbl_task3[[SubPLOs]:[SubPLOs]],"&lt;11")+SUMIFS(tbl_task4[S145],tbl_task4[[SubPLOs]:[SubPLOs]],"&gt;=10",tbl_task4[[SubPLOs]:[SubPLOs]],"&lt;11")+SUMIFS(tbl_task5[S145],tbl_task5[[SubPLOs]:[SubPLOs]],"&gt;=10",tbl_task5[[SubPLOs]:[SubPLOs]],"&lt;11")+SUMIFS(tbl_task6[S145],tbl_task6[[SubPLOs]:[SubPLOs]],"&gt;=10",tbl_task6[[SubPLOs]:[SubPLOs]],"&lt;11")+SUMIFS(tbl_task7[S145],tbl_task7[[SubPLOs]:[SubPLOs]],"&gt;=10",tbl_task7[[SubPLOs]:[SubPLOs]],"&lt;11")+SUMIFS(tbl_task8[S145],tbl_task8[[SubPLOs]:[SubPLOs]],"&gt;=10",tbl_task8[[SubPLOs]:[SubPLOs]],"&lt;11")+SUMIFS(tbl_task9[S145],tbl_task9[[SubPLOs]:[SubPLOs]],"&gt;=10",tbl_task9[[SubPLOs]:[SubPLOs]],"&lt;11")+SUMIFS(tbl_task10[S145],tbl_task10[[SubPLOs]:[SubPLOs]],"&gt;=10",tbl_task10[[SubPLOs]:[SubPLOs]],"&lt;11")</f>
        <v>0</v>
      </c>
      <c r="EU189" s="41">
        <f>SUMIFS(tbl_task1[S146],tbl_task1[[SubPLOs]:[SubPLOs]],"&gt;=10",tbl_task1[[SubPLOs]:[SubPLOs]],"&lt;11")+SUMIFS(tbl_task2[S146],tbl_task2[[SubPLOs]:[SubPLOs]],"&gt;=10",tbl_task2[[SubPLOs]:[SubPLOs]],"&lt;11")+SUMIFS(tbl_task3[S146],tbl_task3[[SubPLOs]:[SubPLOs]],"&gt;=10",tbl_task3[[SubPLOs]:[SubPLOs]],"&lt;11")+SUMIFS(tbl_task4[S146],tbl_task4[[SubPLOs]:[SubPLOs]],"&gt;=10",tbl_task4[[SubPLOs]:[SubPLOs]],"&lt;11")+SUMIFS(tbl_task5[S146],tbl_task5[[SubPLOs]:[SubPLOs]],"&gt;=10",tbl_task5[[SubPLOs]:[SubPLOs]],"&lt;11")+SUMIFS(tbl_task6[S146],tbl_task6[[SubPLOs]:[SubPLOs]],"&gt;=10",tbl_task6[[SubPLOs]:[SubPLOs]],"&lt;11")+SUMIFS(tbl_task7[S146],tbl_task7[[SubPLOs]:[SubPLOs]],"&gt;=10",tbl_task7[[SubPLOs]:[SubPLOs]],"&lt;11")+SUMIFS(tbl_task8[S146],tbl_task8[[SubPLOs]:[SubPLOs]],"&gt;=10",tbl_task8[[SubPLOs]:[SubPLOs]],"&lt;11")+SUMIFS(tbl_task9[S146],tbl_task9[[SubPLOs]:[SubPLOs]],"&gt;=10",tbl_task9[[SubPLOs]:[SubPLOs]],"&lt;11")+SUMIFS(tbl_task10[S146],tbl_task10[[SubPLOs]:[SubPLOs]],"&gt;=10",tbl_task10[[SubPLOs]:[SubPLOs]],"&lt;11")</f>
        <v>0</v>
      </c>
      <c r="EV189" s="41">
        <f>SUMIFS(tbl_task1[S147],tbl_task1[[SubPLOs]:[SubPLOs]],"&gt;=10",tbl_task1[[SubPLOs]:[SubPLOs]],"&lt;11")+SUMIFS(tbl_task2[S147],tbl_task2[[SubPLOs]:[SubPLOs]],"&gt;=10",tbl_task2[[SubPLOs]:[SubPLOs]],"&lt;11")+SUMIFS(tbl_task3[S147],tbl_task3[[SubPLOs]:[SubPLOs]],"&gt;=10",tbl_task3[[SubPLOs]:[SubPLOs]],"&lt;11")+SUMIFS(tbl_task4[S147],tbl_task4[[SubPLOs]:[SubPLOs]],"&gt;=10",tbl_task4[[SubPLOs]:[SubPLOs]],"&lt;11")+SUMIFS(tbl_task5[S147],tbl_task5[[SubPLOs]:[SubPLOs]],"&gt;=10",tbl_task5[[SubPLOs]:[SubPLOs]],"&lt;11")+SUMIFS(tbl_task6[S147],tbl_task6[[SubPLOs]:[SubPLOs]],"&gt;=10",tbl_task6[[SubPLOs]:[SubPLOs]],"&lt;11")+SUMIFS(tbl_task7[S147],tbl_task7[[SubPLOs]:[SubPLOs]],"&gt;=10",tbl_task7[[SubPLOs]:[SubPLOs]],"&lt;11")+SUMIFS(tbl_task8[S147],tbl_task8[[SubPLOs]:[SubPLOs]],"&gt;=10",tbl_task8[[SubPLOs]:[SubPLOs]],"&lt;11")+SUMIFS(tbl_task9[S147],tbl_task9[[SubPLOs]:[SubPLOs]],"&gt;=10",tbl_task9[[SubPLOs]:[SubPLOs]],"&lt;11")+SUMIFS(tbl_task10[S147],tbl_task10[[SubPLOs]:[SubPLOs]],"&gt;=10",tbl_task10[[SubPLOs]:[SubPLOs]],"&lt;11")</f>
        <v>0</v>
      </c>
      <c r="EW189" s="41">
        <f>SUMIFS(tbl_task1[S148],tbl_task1[[SubPLOs]:[SubPLOs]],"&gt;=10",tbl_task1[[SubPLOs]:[SubPLOs]],"&lt;11")+SUMIFS(tbl_task2[S148],tbl_task2[[SubPLOs]:[SubPLOs]],"&gt;=10",tbl_task2[[SubPLOs]:[SubPLOs]],"&lt;11")+SUMIFS(tbl_task3[S148],tbl_task3[[SubPLOs]:[SubPLOs]],"&gt;=10",tbl_task3[[SubPLOs]:[SubPLOs]],"&lt;11")+SUMIFS(tbl_task4[S148],tbl_task4[[SubPLOs]:[SubPLOs]],"&gt;=10",tbl_task4[[SubPLOs]:[SubPLOs]],"&lt;11")+SUMIFS(tbl_task5[S148],tbl_task5[[SubPLOs]:[SubPLOs]],"&gt;=10",tbl_task5[[SubPLOs]:[SubPLOs]],"&lt;11")+SUMIFS(tbl_task6[S148],tbl_task6[[SubPLOs]:[SubPLOs]],"&gt;=10",tbl_task6[[SubPLOs]:[SubPLOs]],"&lt;11")+SUMIFS(tbl_task7[S148],tbl_task7[[SubPLOs]:[SubPLOs]],"&gt;=10",tbl_task7[[SubPLOs]:[SubPLOs]],"&lt;11")+SUMIFS(tbl_task8[S148],tbl_task8[[SubPLOs]:[SubPLOs]],"&gt;=10",tbl_task8[[SubPLOs]:[SubPLOs]],"&lt;11")+SUMIFS(tbl_task9[S148],tbl_task9[[SubPLOs]:[SubPLOs]],"&gt;=10",tbl_task9[[SubPLOs]:[SubPLOs]],"&lt;11")+SUMIFS(tbl_task10[S148],tbl_task10[[SubPLOs]:[SubPLOs]],"&gt;=10",tbl_task10[[SubPLOs]:[SubPLOs]],"&lt;11")</f>
        <v>0</v>
      </c>
      <c r="EX189" s="41">
        <f>SUMIFS(tbl_task1[S149],tbl_task1[[SubPLOs]:[SubPLOs]],"&gt;=10",tbl_task1[[SubPLOs]:[SubPLOs]],"&lt;11")+SUMIFS(tbl_task2[S149],tbl_task2[[SubPLOs]:[SubPLOs]],"&gt;=10",tbl_task2[[SubPLOs]:[SubPLOs]],"&lt;11")+SUMIFS(tbl_task3[S149],tbl_task3[[SubPLOs]:[SubPLOs]],"&gt;=10",tbl_task3[[SubPLOs]:[SubPLOs]],"&lt;11")+SUMIFS(tbl_task4[S149],tbl_task4[[SubPLOs]:[SubPLOs]],"&gt;=10",tbl_task4[[SubPLOs]:[SubPLOs]],"&lt;11")+SUMIFS(tbl_task5[S149],tbl_task5[[SubPLOs]:[SubPLOs]],"&gt;=10",tbl_task5[[SubPLOs]:[SubPLOs]],"&lt;11")+SUMIFS(tbl_task6[S149],tbl_task6[[SubPLOs]:[SubPLOs]],"&gt;=10",tbl_task6[[SubPLOs]:[SubPLOs]],"&lt;11")+SUMIFS(tbl_task7[S149],tbl_task7[[SubPLOs]:[SubPLOs]],"&gt;=10",tbl_task7[[SubPLOs]:[SubPLOs]],"&lt;11")+SUMIFS(tbl_task8[S149],tbl_task8[[SubPLOs]:[SubPLOs]],"&gt;=10",tbl_task8[[SubPLOs]:[SubPLOs]],"&lt;11")+SUMIFS(tbl_task9[S149],tbl_task9[[SubPLOs]:[SubPLOs]],"&gt;=10",tbl_task9[[SubPLOs]:[SubPLOs]],"&lt;11")+SUMIFS(tbl_task10[S149],tbl_task10[[SubPLOs]:[SubPLOs]],"&gt;=10",tbl_task10[[SubPLOs]:[SubPLOs]],"&lt;11")</f>
        <v>0</v>
      </c>
      <c r="EY189" s="41">
        <f>SUMIFS(tbl_task1[S150],tbl_task1[[SubPLOs]:[SubPLOs]],"&gt;=10",tbl_task1[[SubPLOs]:[SubPLOs]],"&lt;11")+SUMIFS(tbl_task2[S150],tbl_task2[[SubPLOs]:[SubPLOs]],"&gt;=10",tbl_task2[[SubPLOs]:[SubPLOs]],"&lt;11")+SUMIFS(tbl_task3[S150],tbl_task3[[SubPLOs]:[SubPLOs]],"&gt;=10",tbl_task3[[SubPLOs]:[SubPLOs]],"&lt;11")+SUMIFS(tbl_task4[S150],tbl_task4[[SubPLOs]:[SubPLOs]],"&gt;=10",tbl_task4[[SubPLOs]:[SubPLOs]],"&lt;11")+SUMIFS(tbl_task5[S150],tbl_task5[[SubPLOs]:[SubPLOs]],"&gt;=10",tbl_task5[[SubPLOs]:[SubPLOs]],"&lt;11")+SUMIFS(tbl_task6[S150],tbl_task6[[SubPLOs]:[SubPLOs]],"&gt;=10",tbl_task6[[SubPLOs]:[SubPLOs]],"&lt;11")+SUMIFS(tbl_task7[S150],tbl_task7[[SubPLOs]:[SubPLOs]],"&gt;=10",tbl_task7[[SubPLOs]:[SubPLOs]],"&lt;11")+SUMIFS(tbl_task8[S150],tbl_task8[[SubPLOs]:[SubPLOs]],"&gt;=10",tbl_task8[[SubPLOs]:[SubPLOs]],"&lt;11")+SUMIFS(tbl_task9[S150],tbl_task9[[SubPLOs]:[SubPLOs]],"&gt;=10",tbl_task9[[SubPLOs]:[SubPLOs]],"&lt;11")+SUMIFS(tbl_task10[S150],tbl_task10[[SubPLOs]:[SubPLOs]],"&gt;=10",tbl_task10[[SubPLOs]:[SubPLOs]],"&lt;11")</f>
        <v>0</v>
      </c>
      <c r="EZ189" s="41">
        <f>SUMIFS(tbl_task1[S151],tbl_task1[[SubPLOs]:[SubPLOs]],"&gt;=10",tbl_task1[[SubPLOs]:[SubPLOs]],"&lt;11")+SUMIFS(tbl_task2[S151],tbl_task2[[SubPLOs]:[SubPLOs]],"&gt;=10",tbl_task2[[SubPLOs]:[SubPLOs]],"&lt;11")+SUMIFS(tbl_task3[S151],tbl_task3[[SubPLOs]:[SubPLOs]],"&gt;=10",tbl_task3[[SubPLOs]:[SubPLOs]],"&lt;11")+SUMIFS(tbl_task4[S151],tbl_task4[[SubPLOs]:[SubPLOs]],"&gt;=10",tbl_task4[[SubPLOs]:[SubPLOs]],"&lt;11")+SUMIFS(tbl_task5[S151],tbl_task5[[SubPLOs]:[SubPLOs]],"&gt;=10",tbl_task5[[SubPLOs]:[SubPLOs]],"&lt;11")+SUMIFS(tbl_task6[S151],tbl_task6[[SubPLOs]:[SubPLOs]],"&gt;=10",tbl_task6[[SubPLOs]:[SubPLOs]],"&lt;11")+SUMIFS(tbl_task7[S151],tbl_task7[[SubPLOs]:[SubPLOs]],"&gt;=10",tbl_task7[[SubPLOs]:[SubPLOs]],"&lt;11")+SUMIFS(tbl_task8[S151],tbl_task8[[SubPLOs]:[SubPLOs]],"&gt;=10",tbl_task8[[SubPLOs]:[SubPLOs]],"&lt;11")+SUMIFS(tbl_task9[S151],tbl_task9[[SubPLOs]:[SubPLOs]],"&gt;=10",tbl_task9[[SubPLOs]:[SubPLOs]],"&lt;11")+SUMIFS(tbl_task10[S151],tbl_task10[[SubPLOs]:[SubPLOs]],"&gt;=10",tbl_task10[[SubPLOs]:[SubPLOs]],"&lt;11")</f>
        <v>0</v>
      </c>
      <c r="FA189" s="41">
        <f>SUMIFS(tbl_task1[S152],tbl_task1[[SubPLOs]:[SubPLOs]],"&gt;=10",tbl_task1[[SubPLOs]:[SubPLOs]],"&lt;11")+SUMIFS(tbl_task2[S152],tbl_task2[[SubPLOs]:[SubPLOs]],"&gt;=10",tbl_task2[[SubPLOs]:[SubPLOs]],"&lt;11")+SUMIFS(tbl_task3[S152],tbl_task3[[SubPLOs]:[SubPLOs]],"&gt;=10",tbl_task3[[SubPLOs]:[SubPLOs]],"&lt;11")+SUMIFS(tbl_task4[S152],tbl_task4[[SubPLOs]:[SubPLOs]],"&gt;=10",tbl_task4[[SubPLOs]:[SubPLOs]],"&lt;11")+SUMIFS(tbl_task5[S152],tbl_task5[[SubPLOs]:[SubPLOs]],"&gt;=10",tbl_task5[[SubPLOs]:[SubPLOs]],"&lt;11")+SUMIFS(tbl_task6[S152],tbl_task6[[SubPLOs]:[SubPLOs]],"&gt;=10",tbl_task6[[SubPLOs]:[SubPLOs]],"&lt;11")+SUMIFS(tbl_task7[S152],tbl_task7[[SubPLOs]:[SubPLOs]],"&gt;=10",tbl_task7[[SubPLOs]:[SubPLOs]],"&lt;11")+SUMIFS(tbl_task8[S152],tbl_task8[[SubPLOs]:[SubPLOs]],"&gt;=10",tbl_task8[[SubPLOs]:[SubPLOs]],"&lt;11")+SUMIFS(tbl_task9[S152],tbl_task9[[SubPLOs]:[SubPLOs]],"&gt;=10",tbl_task9[[SubPLOs]:[SubPLOs]],"&lt;11")+SUMIFS(tbl_task10[S152],tbl_task10[[SubPLOs]:[SubPLOs]],"&gt;=10",tbl_task10[[SubPLOs]:[SubPLOs]],"&lt;11")</f>
        <v>0</v>
      </c>
      <c r="FB189" s="41">
        <f>SUMIFS(tbl_task1[S153],tbl_task1[[SubPLOs]:[SubPLOs]],"&gt;=10",tbl_task1[[SubPLOs]:[SubPLOs]],"&lt;11")+SUMIFS(tbl_task2[S153],tbl_task2[[SubPLOs]:[SubPLOs]],"&gt;=10",tbl_task2[[SubPLOs]:[SubPLOs]],"&lt;11")+SUMIFS(tbl_task3[S153],tbl_task3[[SubPLOs]:[SubPLOs]],"&gt;=10",tbl_task3[[SubPLOs]:[SubPLOs]],"&lt;11")+SUMIFS(tbl_task4[S153],tbl_task4[[SubPLOs]:[SubPLOs]],"&gt;=10",tbl_task4[[SubPLOs]:[SubPLOs]],"&lt;11")+SUMIFS(tbl_task5[S153],tbl_task5[[SubPLOs]:[SubPLOs]],"&gt;=10",tbl_task5[[SubPLOs]:[SubPLOs]],"&lt;11")+SUMIFS(tbl_task6[S153],tbl_task6[[SubPLOs]:[SubPLOs]],"&gt;=10",tbl_task6[[SubPLOs]:[SubPLOs]],"&lt;11")+SUMIFS(tbl_task7[S153],tbl_task7[[SubPLOs]:[SubPLOs]],"&gt;=10",tbl_task7[[SubPLOs]:[SubPLOs]],"&lt;11")+SUMIFS(tbl_task8[S153],tbl_task8[[SubPLOs]:[SubPLOs]],"&gt;=10",tbl_task8[[SubPLOs]:[SubPLOs]],"&lt;11")+SUMIFS(tbl_task9[S153],tbl_task9[[SubPLOs]:[SubPLOs]],"&gt;=10",tbl_task9[[SubPLOs]:[SubPLOs]],"&lt;11")+SUMIFS(tbl_task10[S153],tbl_task10[[SubPLOs]:[SubPLOs]],"&gt;=10",tbl_task10[[SubPLOs]:[SubPLOs]],"&lt;11")</f>
        <v>0</v>
      </c>
      <c r="FC189" s="41">
        <f>SUMIFS(tbl_task1[S154],tbl_task1[[SubPLOs]:[SubPLOs]],"&gt;=10",tbl_task1[[SubPLOs]:[SubPLOs]],"&lt;11")+SUMIFS(tbl_task2[S154],tbl_task2[[SubPLOs]:[SubPLOs]],"&gt;=10",tbl_task2[[SubPLOs]:[SubPLOs]],"&lt;11")+SUMIFS(tbl_task3[S154],tbl_task3[[SubPLOs]:[SubPLOs]],"&gt;=10",tbl_task3[[SubPLOs]:[SubPLOs]],"&lt;11")+SUMIFS(tbl_task4[S154],tbl_task4[[SubPLOs]:[SubPLOs]],"&gt;=10",tbl_task4[[SubPLOs]:[SubPLOs]],"&lt;11")+SUMIFS(tbl_task5[S154],tbl_task5[[SubPLOs]:[SubPLOs]],"&gt;=10",tbl_task5[[SubPLOs]:[SubPLOs]],"&lt;11")+SUMIFS(tbl_task6[S154],tbl_task6[[SubPLOs]:[SubPLOs]],"&gt;=10",tbl_task6[[SubPLOs]:[SubPLOs]],"&lt;11")+SUMIFS(tbl_task7[S154],tbl_task7[[SubPLOs]:[SubPLOs]],"&gt;=10",tbl_task7[[SubPLOs]:[SubPLOs]],"&lt;11")+SUMIFS(tbl_task8[S154],tbl_task8[[SubPLOs]:[SubPLOs]],"&gt;=10",tbl_task8[[SubPLOs]:[SubPLOs]],"&lt;11")+SUMIFS(tbl_task9[S154],tbl_task9[[SubPLOs]:[SubPLOs]],"&gt;=10",tbl_task9[[SubPLOs]:[SubPLOs]],"&lt;11")+SUMIFS(tbl_task10[S154],tbl_task10[[SubPLOs]:[SubPLOs]],"&gt;=10",tbl_task10[[SubPLOs]:[SubPLOs]],"&lt;11")</f>
        <v>0</v>
      </c>
      <c r="FD189" s="41">
        <f>SUMIFS(tbl_task1[S155],tbl_task1[[SubPLOs]:[SubPLOs]],"&gt;=10",tbl_task1[[SubPLOs]:[SubPLOs]],"&lt;11")+SUMIFS(tbl_task2[S155],tbl_task2[[SubPLOs]:[SubPLOs]],"&gt;=10",tbl_task2[[SubPLOs]:[SubPLOs]],"&lt;11")+SUMIFS(tbl_task3[S155],tbl_task3[[SubPLOs]:[SubPLOs]],"&gt;=10",tbl_task3[[SubPLOs]:[SubPLOs]],"&lt;11")+SUMIFS(tbl_task4[S155],tbl_task4[[SubPLOs]:[SubPLOs]],"&gt;=10",tbl_task4[[SubPLOs]:[SubPLOs]],"&lt;11")+SUMIFS(tbl_task5[S155],tbl_task5[[SubPLOs]:[SubPLOs]],"&gt;=10",tbl_task5[[SubPLOs]:[SubPLOs]],"&lt;11")+SUMIFS(tbl_task6[S155],tbl_task6[[SubPLOs]:[SubPLOs]],"&gt;=10",tbl_task6[[SubPLOs]:[SubPLOs]],"&lt;11")+SUMIFS(tbl_task7[S155],tbl_task7[[SubPLOs]:[SubPLOs]],"&gt;=10",tbl_task7[[SubPLOs]:[SubPLOs]],"&lt;11")+SUMIFS(tbl_task8[S155],tbl_task8[[SubPLOs]:[SubPLOs]],"&gt;=10",tbl_task8[[SubPLOs]:[SubPLOs]],"&lt;11")+SUMIFS(tbl_task9[S155],tbl_task9[[SubPLOs]:[SubPLOs]],"&gt;=10",tbl_task9[[SubPLOs]:[SubPLOs]],"&lt;11")+SUMIFS(tbl_task10[S155],tbl_task10[[SubPLOs]:[SubPLOs]],"&gt;=10",tbl_task10[[SubPLOs]:[SubPLOs]],"&lt;11")</f>
        <v>0</v>
      </c>
      <c r="FE189" s="41">
        <f>SUMIFS(tbl_task1[S156],tbl_task1[[SubPLOs]:[SubPLOs]],"&gt;=10",tbl_task1[[SubPLOs]:[SubPLOs]],"&lt;11")+SUMIFS(tbl_task2[S156],tbl_task2[[SubPLOs]:[SubPLOs]],"&gt;=10",tbl_task2[[SubPLOs]:[SubPLOs]],"&lt;11")+SUMIFS(tbl_task3[S156],tbl_task3[[SubPLOs]:[SubPLOs]],"&gt;=10",tbl_task3[[SubPLOs]:[SubPLOs]],"&lt;11")+SUMIFS(tbl_task4[S156],tbl_task4[[SubPLOs]:[SubPLOs]],"&gt;=10",tbl_task4[[SubPLOs]:[SubPLOs]],"&lt;11")+SUMIFS(tbl_task5[S156],tbl_task5[[SubPLOs]:[SubPLOs]],"&gt;=10",tbl_task5[[SubPLOs]:[SubPLOs]],"&lt;11")+SUMIFS(tbl_task6[S156],tbl_task6[[SubPLOs]:[SubPLOs]],"&gt;=10",tbl_task6[[SubPLOs]:[SubPLOs]],"&lt;11")+SUMIFS(tbl_task7[S156],tbl_task7[[SubPLOs]:[SubPLOs]],"&gt;=10",tbl_task7[[SubPLOs]:[SubPLOs]],"&lt;11")+SUMIFS(tbl_task8[S156],tbl_task8[[SubPLOs]:[SubPLOs]],"&gt;=10",tbl_task8[[SubPLOs]:[SubPLOs]],"&lt;11")+SUMIFS(tbl_task9[S156],tbl_task9[[SubPLOs]:[SubPLOs]],"&gt;=10",tbl_task9[[SubPLOs]:[SubPLOs]],"&lt;11")+SUMIFS(tbl_task10[S156],tbl_task10[[SubPLOs]:[SubPLOs]],"&gt;=10",tbl_task10[[SubPLOs]:[SubPLOs]],"&lt;11")</f>
        <v>0</v>
      </c>
      <c r="FF189" s="41">
        <f>SUMIFS(tbl_task1[S157],tbl_task1[[SubPLOs]:[SubPLOs]],"&gt;=10",tbl_task1[[SubPLOs]:[SubPLOs]],"&lt;11")+SUMIFS(tbl_task2[S157],tbl_task2[[SubPLOs]:[SubPLOs]],"&gt;=10",tbl_task2[[SubPLOs]:[SubPLOs]],"&lt;11")+SUMIFS(tbl_task3[S157],tbl_task3[[SubPLOs]:[SubPLOs]],"&gt;=10",tbl_task3[[SubPLOs]:[SubPLOs]],"&lt;11")+SUMIFS(tbl_task4[S157],tbl_task4[[SubPLOs]:[SubPLOs]],"&gt;=10",tbl_task4[[SubPLOs]:[SubPLOs]],"&lt;11")+SUMIFS(tbl_task5[S157],tbl_task5[[SubPLOs]:[SubPLOs]],"&gt;=10",tbl_task5[[SubPLOs]:[SubPLOs]],"&lt;11")+SUMIFS(tbl_task6[S157],tbl_task6[[SubPLOs]:[SubPLOs]],"&gt;=10",tbl_task6[[SubPLOs]:[SubPLOs]],"&lt;11")+SUMIFS(tbl_task7[S157],tbl_task7[[SubPLOs]:[SubPLOs]],"&gt;=10",tbl_task7[[SubPLOs]:[SubPLOs]],"&lt;11")+SUMIFS(tbl_task8[S157],tbl_task8[[SubPLOs]:[SubPLOs]],"&gt;=10",tbl_task8[[SubPLOs]:[SubPLOs]],"&lt;11")+SUMIFS(tbl_task9[S157],tbl_task9[[SubPLOs]:[SubPLOs]],"&gt;=10",tbl_task9[[SubPLOs]:[SubPLOs]],"&lt;11")+SUMIFS(tbl_task10[S157],tbl_task10[[SubPLOs]:[SubPLOs]],"&gt;=10",tbl_task10[[SubPLOs]:[SubPLOs]],"&lt;11")</f>
        <v>0</v>
      </c>
      <c r="FG189" s="41">
        <f>SUMIFS(tbl_task1[S158],tbl_task1[[SubPLOs]:[SubPLOs]],"&gt;=10",tbl_task1[[SubPLOs]:[SubPLOs]],"&lt;11")+SUMIFS(tbl_task2[S158],tbl_task2[[SubPLOs]:[SubPLOs]],"&gt;=10",tbl_task2[[SubPLOs]:[SubPLOs]],"&lt;11")+SUMIFS(tbl_task3[S158],tbl_task3[[SubPLOs]:[SubPLOs]],"&gt;=10",tbl_task3[[SubPLOs]:[SubPLOs]],"&lt;11")+SUMIFS(tbl_task4[S158],tbl_task4[[SubPLOs]:[SubPLOs]],"&gt;=10",tbl_task4[[SubPLOs]:[SubPLOs]],"&lt;11")+SUMIFS(tbl_task5[S158],tbl_task5[[SubPLOs]:[SubPLOs]],"&gt;=10",tbl_task5[[SubPLOs]:[SubPLOs]],"&lt;11")+SUMIFS(tbl_task6[S158],tbl_task6[[SubPLOs]:[SubPLOs]],"&gt;=10",tbl_task6[[SubPLOs]:[SubPLOs]],"&lt;11")+SUMIFS(tbl_task7[S158],tbl_task7[[SubPLOs]:[SubPLOs]],"&gt;=10",tbl_task7[[SubPLOs]:[SubPLOs]],"&lt;11")+SUMIFS(tbl_task8[S158],tbl_task8[[SubPLOs]:[SubPLOs]],"&gt;=10",tbl_task8[[SubPLOs]:[SubPLOs]],"&lt;11")+SUMIFS(tbl_task9[S158],tbl_task9[[SubPLOs]:[SubPLOs]],"&gt;=10",tbl_task9[[SubPLOs]:[SubPLOs]],"&lt;11")+SUMIFS(tbl_task10[S158],tbl_task10[[SubPLOs]:[SubPLOs]],"&gt;=10",tbl_task10[[SubPLOs]:[SubPLOs]],"&lt;11")</f>
        <v>0</v>
      </c>
      <c r="FH189" s="41">
        <f>SUMIFS(tbl_task1[S159],tbl_task1[[SubPLOs]:[SubPLOs]],"&gt;=10",tbl_task1[[SubPLOs]:[SubPLOs]],"&lt;11")+SUMIFS(tbl_task2[S159],tbl_task2[[SubPLOs]:[SubPLOs]],"&gt;=10",tbl_task2[[SubPLOs]:[SubPLOs]],"&lt;11")+SUMIFS(tbl_task3[S159],tbl_task3[[SubPLOs]:[SubPLOs]],"&gt;=10",tbl_task3[[SubPLOs]:[SubPLOs]],"&lt;11")+SUMIFS(tbl_task4[S159],tbl_task4[[SubPLOs]:[SubPLOs]],"&gt;=10",tbl_task4[[SubPLOs]:[SubPLOs]],"&lt;11")+SUMIFS(tbl_task5[S159],tbl_task5[[SubPLOs]:[SubPLOs]],"&gt;=10",tbl_task5[[SubPLOs]:[SubPLOs]],"&lt;11")+SUMIFS(tbl_task6[S159],tbl_task6[[SubPLOs]:[SubPLOs]],"&gt;=10",tbl_task6[[SubPLOs]:[SubPLOs]],"&lt;11")+SUMIFS(tbl_task7[S159],tbl_task7[[SubPLOs]:[SubPLOs]],"&gt;=10",tbl_task7[[SubPLOs]:[SubPLOs]],"&lt;11")+SUMIFS(tbl_task8[S159],tbl_task8[[SubPLOs]:[SubPLOs]],"&gt;=10",tbl_task8[[SubPLOs]:[SubPLOs]],"&lt;11")+SUMIFS(tbl_task9[S159],tbl_task9[[SubPLOs]:[SubPLOs]],"&gt;=10",tbl_task9[[SubPLOs]:[SubPLOs]],"&lt;11")+SUMIFS(tbl_task10[S159],tbl_task10[[SubPLOs]:[SubPLOs]],"&gt;=10",tbl_task10[[SubPLOs]:[SubPLOs]],"&lt;11")</f>
        <v>0</v>
      </c>
      <c r="FI189" s="41">
        <f>SUMIFS(tbl_task1[S160],tbl_task1[[SubPLOs]:[SubPLOs]],"&gt;=10",tbl_task1[[SubPLOs]:[SubPLOs]],"&lt;11")+SUMIFS(tbl_task2[S160],tbl_task2[[SubPLOs]:[SubPLOs]],"&gt;=10",tbl_task2[[SubPLOs]:[SubPLOs]],"&lt;11")+SUMIFS(tbl_task3[S160],tbl_task3[[SubPLOs]:[SubPLOs]],"&gt;=10",tbl_task3[[SubPLOs]:[SubPLOs]],"&lt;11")+SUMIFS(tbl_task4[S160],tbl_task4[[SubPLOs]:[SubPLOs]],"&gt;=10",tbl_task4[[SubPLOs]:[SubPLOs]],"&lt;11")+SUMIFS(tbl_task5[S160],tbl_task5[[SubPLOs]:[SubPLOs]],"&gt;=10",tbl_task5[[SubPLOs]:[SubPLOs]],"&lt;11")+SUMIFS(tbl_task6[S160],tbl_task6[[SubPLOs]:[SubPLOs]],"&gt;=10",tbl_task6[[SubPLOs]:[SubPLOs]],"&lt;11")+SUMIFS(tbl_task7[S160],tbl_task7[[SubPLOs]:[SubPLOs]],"&gt;=10",tbl_task7[[SubPLOs]:[SubPLOs]],"&lt;11")+SUMIFS(tbl_task8[S160],tbl_task8[[SubPLOs]:[SubPLOs]],"&gt;=10",tbl_task8[[SubPLOs]:[SubPLOs]],"&lt;11")+SUMIFS(tbl_task9[S160],tbl_task9[[SubPLOs]:[SubPLOs]],"&gt;=10",tbl_task9[[SubPLOs]:[SubPLOs]],"&lt;11")+SUMIFS(tbl_task10[S160],tbl_task10[[SubPLOs]:[SubPLOs]],"&gt;=10",tbl_task10[[SubPLOs]:[SubPLOs]],"&lt;11")</f>
        <v>0</v>
      </c>
      <c r="FJ189" s="41">
        <f>SUMIFS(tbl_task1[S161],tbl_task1[[SubPLOs]:[SubPLOs]],"&gt;=10",tbl_task1[[SubPLOs]:[SubPLOs]],"&lt;11")+SUMIFS(tbl_task2[S161],tbl_task2[[SubPLOs]:[SubPLOs]],"&gt;=10",tbl_task2[[SubPLOs]:[SubPLOs]],"&lt;11")+SUMIFS(tbl_task3[S161],tbl_task3[[SubPLOs]:[SubPLOs]],"&gt;=10",tbl_task3[[SubPLOs]:[SubPLOs]],"&lt;11")+SUMIFS(tbl_task4[S161],tbl_task4[[SubPLOs]:[SubPLOs]],"&gt;=10",tbl_task4[[SubPLOs]:[SubPLOs]],"&lt;11")+SUMIFS(tbl_task5[S161],tbl_task5[[SubPLOs]:[SubPLOs]],"&gt;=10",tbl_task5[[SubPLOs]:[SubPLOs]],"&lt;11")+SUMIFS(tbl_task6[S161],tbl_task6[[SubPLOs]:[SubPLOs]],"&gt;=10",tbl_task6[[SubPLOs]:[SubPLOs]],"&lt;11")+SUMIFS(tbl_task7[S161],tbl_task7[[SubPLOs]:[SubPLOs]],"&gt;=10",tbl_task7[[SubPLOs]:[SubPLOs]],"&lt;11")+SUMIFS(tbl_task8[S161],tbl_task8[[SubPLOs]:[SubPLOs]],"&gt;=10",tbl_task8[[SubPLOs]:[SubPLOs]],"&lt;11")+SUMIFS(tbl_task9[S161],tbl_task9[[SubPLOs]:[SubPLOs]],"&gt;=10",tbl_task9[[SubPLOs]:[SubPLOs]],"&lt;11")+SUMIFS(tbl_task10[S161],tbl_task10[[SubPLOs]:[SubPLOs]],"&gt;=10",tbl_task10[[SubPLOs]:[SubPLOs]],"&lt;11")</f>
        <v>0</v>
      </c>
      <c r="FK189" s="41">
        <f>SUMIFS(tbl_task1[S162],tbl_task1[[SubPLOs]:[SubPLOs]],"&gt;=10",tbl_task1[[SubPLOs]:[SubPLOs]],"&lt;11")+SUMIFS(tbl_task2[S162],tbl_task2[[SubPLOs]:[SubPLOs]],"&gt;=10",tbl_task2[[SubPLOs]:[SubPLOs]],"&lt;11")+SUMIFS(tbl_task3[S162],tbl_task3[[SubPLOs]:[SubPLOs]],"&gt;=10",tbl_task3[[SubPLOs]:[SubPLOs]],"&lt;11")+SUMIFS(tbl_task4[S162],tbl_task4[[SubPLOs]:[SubPLOs]],"&gt;=10",tbl_task4[[SubPLOs]:[SubPLOs]],"&lt;11")+SUMIFS(tbl_task5[S162],tbl_task5[[SubPLOs]:[SubPLOs]],"&gt;=10",tbl_task5[[SubPLOs]:[SubPLOs]],"&lt;11")+SUMIFS(tbl_task6[S162],tbl_task6[[SubPLOs]:[SubPLOs]],"&gt;=10",tbl_task6[[SubPLOs]:[SubPLOs]],"&lt;11")+SUMIFS(tbl_task7[S162],tbl_task7[[SubPLOs]:[SubPLOs]],"&gt;=10",tbl_task7[[SubPLOs]:[SubPLOs]],"&lt;11")+SUMIFS(tbl_task8[S162],tbl_task8[[SubPLOs]:[SubPLOs]],"&gt;=10",tbl_task8[[SubPLOs]:[SubPLOs]],"&lt;11")+SUMIFS(tbl_task9[S162],tbl_task9[[SubPLOs]:[SubPLOs]],"&gt;=10",tbl_task9[[SubPLOs]:[SubPLOs]],"&lt;11")+SUMIFS(tbl_task10[S162],tbl_task10[[SubPLOs]:[SubPLOs]],"&gt;=10",tbl_task10[[SubPLOs]:[SubPLOs]],"&lt;11")</f>
        <v>0</v>
      </c>
      <c r="FL189" s="41">
        <f>SUMIFS(tbl_task1[S163],tbl_task1[[SubPLOs]:[SubPLOs]],"&gt;=10",tbl_task1[[SubPLOs]:[SubPLOs]],"&lt;11")+SUMIFS(tbl_task2[S163],tbl_task2[[SubPLOs]:[SubPLOs]],"&gt;=10",tbl_task2[[SubPLOs]:[SubPLOs]],"&lt;11")+SUMIFS(tbl_task3[S163],tbl_task3[[SubPLOs]:[SubPLOs]],"&gt;=10",tbl_task3[[SubPLOs]:[SubPLOs]],"&lt;11")+SUMIFS(tbl_task4[S163],tbl_task4[[SubPLOs]:[SubPLOs]],"&gt;=10",tbl_task4[[SubPLOs]:[SubPLOs]],"&lt;11")+SUMIFS(tbl_task5[S163],tbl_task5[[SubPLOs]:[SubPLOs]],"&gt;=10",tbl_task5[[SubPLOs]:[SubPLOs]],"&lt;11")+SUMIFS(tbl_task6[S163],tbl_task6[[SubPLOs]:[SubPLOs]],"&gt;=10",tbl_task6[[SubPLOs]:[SubPLOs]],"&lt;11")+SUMIFS(tbl_task7[S163],tbl_task7[[SubPLOs]:[SubPLOs]],"&gt;=10",tbl_task7[[SubPLOs]:[SubPLOs]],"&lt;11")+SUMIFS(tbl_task8[S163],tbl_task8[[SubPLOs]:[SubPLOs]],"&gt;=10",tbl_task8[[SubPLOs]:[SubPLOs]],"&lt;11")+SUMIFS(tbl_task9[S163],tbl_task9[[SubPLOs]:[SubPLOs]],"&gt;=10",tbl_task9[[SubPLOs]:[SubPLOs]],"&lt;11")+SUMIFS(tbl_task10[S163],tbl_task10[[SubPLOs]:[SubPLOs]],"&gt;=10",tbl_task10[[SubPLOs]:[SubPLOs]],"&lt;11")</f>
        <v>0</v>
      </c>
      <c r="FM189" s="41">
        <f>SUMIFS(tbl_task1[S164],tbl_task1[[SubPLOs]:[SubPLOs]],"&gt;=10",tbl_task1[[SubPLOs]:[SubPLOs]],"&lt;11")+SUMIFS(tbl_task2[S164],tbl_task2[[SubPLOs]:[SubPLOs]],"&gt;=10",tbl_task2[[SubPLOs]:[SubPLOs]],"&lt;11")+SUMIFS(tbl_task3[S164],tbl_task3[[SubPLOs]:[SubPLOs]],"&gt;=10",tbl_task3[[SubPLOs]:[SubPLOs]],"&lt;11")+SUMIFS(tbl_task4[S164],tbl_task4[[SubPLOs]:[SubPLOs]],"&gt;=10",tbl_task4[[SubPLOs]:[SubPLOs]],"&lt;11")+SUMIFS(tbl_task5[S164],tbl_task5[[SubPLOs]:[SubPLOs]],"&gt;=10",tbl_task5[[SubPLOs]:[SubPLOs]],"&lt;11")+SUMIFS(tbl_task6[S164],tbl_task6[[SubPLOs]:[SubPLOs]],"&gt;=10",tbl_task6[[SubPLOs]:[SubPLOs]],"&lt;11")+SUMIFS(tbl_task7[S164],tbl_task7[[SubPLOs]:[SubPLOs]],"&gt;=10",tbl_task7[[SubPLOs]:[SubPLOs]],"&lt;11")+SUMIFS(tbl_task8[S164],tbl_task8[[SubPLOs]:[SubPLOs]],"&gt;=10",tbl_task8[[SubPLOs]:[SubPLOs]],"&lt;11")+SUMIFS(tbl_task9[S164],tbl_task9[[SubPLOs]:[SubPLOs]],"&gt;=10",tbl_task9[[SubPLOs]:[SubPLOs]],"&lt;11")+SUMIFS(tbl_task10[S164],tbl_task10[[SubPLOs]:[SubPLOs]],"&gt;=10",tbl_task10[[SubPLOs]:[SubPLOs]],"&lt;11")</f>
        <v>0</v>
      </c>
      <c r="FN189" s="41">
        <f>SUMIFS(tbl_task1[S165],tbl_task1[[SubPLOs]:[SubPLOs]],"&gt;=10",tbl_task1[[SubPLOs]:[SubPLOs]],"&lt;11")+SUMIFS(tbl_task2[S165],tbl_task2[[SubPLOs]:[SubPLOs]],"&gt;=10",tbl_task2[[SubPLOs]:[SubPLOs]],"&lt;11")+SUMIFS(tbl_task3[S165],tbl_task3[[SubPLOs]:[SubPLOs]],"&gt;=10",tbl_task3[[SubPLOs]:[SubPLOs]],"&lt;11")+SUMIFS(tbl_task4[S165],tbl_task4[[SubPLOs]:[SubPLOs]],"&gt;=10",tbl_task4[[SubPLOs]:[SubPLOs]],"&lt;11")+SUMIFS(tbl_task5[S165],tbl_task5[[SubPLOs]:[SubPLOs]],"&gt;=10",tbl_task5[[SubPLOs]:[SubPLOs]],"&lt;11")+SUMIFS(tbl_task6[S165],tbl_task6[[SubPLOs]:[SubPLOs]],"&gt;=10",tbl_task6[[SubPLOs]:[SubPLOs]],"&lt;11")+SUMIFS(tbl_task7[S165],tbl_task7[[SubPLOs]:[SubPLOs]],"&gt;=10",tbl_task7[[SubPLOs]:[SubPLOs]],"&lt;11")+SUMIFS(tbl_task8[S165],tbl_task8[[SubPLOs]:[SubPLOs]],"&gt;=10",tbl_task8[[SubPLOs]:[SubPLOs]],"&lt;11")+SUMIFS(tbl_task9[S165],tbl_task9[[SubPLOs]:[SubPLOs]],"&gt;=10",tbl_task9[[SubPLOs]:[SubPLOs]],"&lt;11")+SUMIFS(tbl_task10[S165],tbl_task10[[SubPLOs]:[SubPLOs]],"&gt;=10",tbl_task10[[SubPLOs]:[SubPLOs]],"&lt;11")</f>
        <v>0</v>
      </c>
    </row>
    <row r="190" spans="1:170" s="34" customFormat="1" x14ac:dyDescent="0.25">
      <c r="A190" s="125"/>
      <c r="B190" s="126" t="s">
        <v>11</v>
      </c>
      <c r="C190" s="127">
        <f>SUM(C180:C189)</f>
        <v>0</v>
      </c>
      <c r="D190" s="128">
        <f>SUM(D180:D189)</f>
        <v>0</v>
      </c>
      <c r="E190" s="128">
        <f>SUM(E180:E189)</f>
        <v>0</v>
      </c>
      <c r="F190" s="128">
        <f t="shared" ref="F190:BQ190" si="57">SUM(F180:F189)</f>
        <v>0</v>
      </c>
      <c r="G190" s="128">
        <f t="shared" si="57"/>
        <v>0</v>
      </c>
      <c r="H190" s="128">
        <f t="shared" si="57"/>
        <v>0</v>
      </c>
      <c r="I190" s="128">
        <f t="shared" si="57"/>
        <v>0</v>
      </c>
      <c r="J190" s="128">
        <f t="shared" si="57"/>
        <v>0</v>
      </c>
      <c r="K190" s="128">
        <f t="shared" si="57"/>
        <v>0</v>
      </c>
      <c r="L190" s="128">
        <f t="shared" si="57"/>
        <v>0</v>
      </c>
      <c r="M190" s="128">
        <f t="shared" si="57"/>
        <v>0</v>
      </c>
      <c r="N190" s="128">
        <f t="shared" si="57"/>
        <v>0</v>
      </c>
      <c r="O190" s="128">
        <f t="shared" si="57"/>
        <v>0</v>
      </c>
      <c r="P190" s="128">
        <f t="shared" si="57"/>
        <v>0</v>
      </c>
      <c r="Q190" s="128">
        <f t="shared" si="57"/>
        <v>0</v>
      </c>
      <c r="R190" s="128">
        <f t="shared" si="57"/>
        <v>0</v>
      </c>
      <c r="S190" s="128">
        <f t="shared" si="57"/>
        <v>0</v>
      </c>
      <c r="T190" s="128">
        <f t="shared" si="57"/>
        <v>0</v>
      </c>
      <c r="U190" s="128">
        <f t="shared" si="57"/>
        <v>0</v>
      </c>
      <c r="V190" s="128">
        <f t="shared" si="57"/>
        <v>0</v>
      </c>
      <c r="W190" s="128">
        <f t="shared" si="57"/>
        <v>0</v>
      </c>
      <c r="X190" s="128">
        <f t="shared" si="57"/>
        <v>0</v>
      </c>
      <c r="Y190" s="128">
        <f t="shared" si="57"/>
        <v>0</v>
      </c>
      <c r="Z190" s="128">
        <f t="shared" si="57"/>
        <v>0</v>
      </c>
      <c r="AA190" s="128">
        <f t="shared" si="57"/>
        <v>0</v>
      </c>
      <c r="AB190" s="128">
        <f t="shared" si="57"/>
        <v>0</v>
      </c>
      <c r="AC190" s="128">
        <f t="shared" si="57"/>
        <v>0</v>
      </c>
      <c r="AD190" s="128">
        <f t="shared" si="57"/>
        <v>0</v>
      </c>
      <c r="AE190" s="128">
        <f t="shared" si="57"/>
        <v>0</v>
      </c>
      <c r="AF190" s="128">
        <f t="shared" si="57"/>
        <v>0</v>
      </c>
      <c r="AG190" s="128">
        <f t="shared" si="57"/>
        <v>0</v>
      </c>
      <c r="AH190" s="128">
        <f t="shared" si="57"/>
        <v>0</v>
      </c>
      <c r="AI190" s="128">
        <f t="shared" si="57"/>
        <v>0</v>
      </c>
      <c r="AJ190" s="128">
        <f t="shared" si="57"/>
        <v>0</v>
      </c>
      <c r="AK190" s="128">
        <f t="shared" si="57"/>
        <v>0</v>
      </c>
      <c r="AL190" s="128">
        <f t="shared" si="57"/>
        <v>0</v>
      </c>
      <c r="AM190" s="128">
        <f t="shared" si="57"/>
        <v>0</v>
      </c>
      <c r="AN190" s="128">
        <f t="shared" si="57"/>
        <v>0</v>
      </c>
      <c r="AO190" s="128">
        <f t="shared" si="57"/>
        <v>0</v>
      </c>
      <c r="AP190" s="128">
        <f t="shared" si="57"/>
        <v>0</v>
      </c>
      <c r="AQ190" s="128">
        <f t="shared" si="57"/>
        <v>0</v>
      </c>
      <c r="AR190" s="128">
        <f t="shared" si="57"/>
        <v>0</v>
      </c>
      <c r="AS190" s="128">
        <f t="shared" si="57"/>
        <v>0</v>
      </c>
      <c r="AT190" s="128">
        <f t="shared" si="57"/>
        <v>0</v>
      </c>
      <c r="AU190" s="128">
        <f t="shared" si="57"/>
        <v>0</v>
      </c>
      <c r="AV190" s="128">
        <f t="shared" si="57"/>
        <v>0</v>
      </c>
      <c r="AW190" s="128">
        <f t="shared" si="57"/>
        <v>0</v>
      </c>
      <c r="AX190" s="128">
        <f t="shared" si="57"/>
        <v>0</v>
      </c>
      <c r="AY190" s="128">
        <f t="shared" si="57"/>
        <v>0</v>
      </c>
      <c r="AZ190" s="128">
        <f t="shared" si="57"/>
        <v>0</v>
      </c>
      <c r="BA190" s="128">
        <f t="shared" si="57"/>
        <v>0</v>
      </c>
      <c r="BB190" s="128">
        <f t="shared" si="57"/>
        <v>0</v>
      </c>
      <c r="BC190" s="128">
        <f t="shared" si="57"/>
        <v>0</v>
      </c>
      <c r="BD190" s="128">
        <f t="shared" si="57"/>
        <v>0</v>
      </c>
      <c r="BE190" s="128">
        <f t="shared" si="57"/>
        <v>0</v>
      </c>
      <c r="BF190" s="128">
        <f t="shared" si="57"/>
        <v>0</v>
      </c>
      <c r="BG190" s="128">
        <f t="shared" si="57"/>
        <v>0</v>
      </c>
      <c r="BH190" s="128">
        <f t="shared" si="57"/>
        <v>0</v>
      </c>
      <c r="BI190" s="128">
        <f t="shared" si="57"/>
        <v>0</v>
      </c>
      <c r="BJ190" s="128">
        <f t="shared" si="57"/>
        <v>0</v>
      </c>
      <c r="BK190" s="128">
        <f t="shared" si="57"/>
        <v>0</v>
      </c>
      <c r="BL190" s="128">
        <f t="shared" si="57"/>
        <v>0</v>
      </c>
      <c r="BM190" s="128">
        <f t="shared" si="57"/>
        <v>0</v>
      </c>
      <c r="BN190" s="128">
        <f t="shared" si="57"/>
        <v>0</v>
      </c>
      <c r="BO190" s="128">
        <f t="shared" si="57"/>
        <v>0</v>
      </c>
      <c r="BP190" s="128">
        <f t="shared" si="57"/>
        <v>0</v>
      </c>
      <c r="BQ190" s="128">
        <f t="shared" si="57"/>
        <v>0</v>
      </c>
      <c r="BR190" s="128">
        <f t="shared" ref="BR190:EC190" si="58">SUM(BR180:BR189)</f>
        <v>0</v>
      </c>
      <c r="BS190" s="128">
        <f t="shared" si="58"/>
        <v>0</v>
      </c>
      <c r="BT190" s="128">
        <f t="shared" si="58"/>
        <v>0</v>
      </c>
      <c r="BU190" s="128">
        <f t="shared" si="58"/>
        <v>0</v>
      </c>
      <c r="BV190" s="128">
        <f t="shared" si="58"/>
        <v>0</v>
      </c>
      <c r="BW190" s="128">
        <f t="shared" si="58"/>
        <v>0</v>
      </c>
      <c r="BX190" s="128">
        <f t="shared" si="58"/>
        <v>0</v>
      </c>
      <c r="BY190" s="128">
        <f t="shared" si="58"/>
        <v>0</v>
      </c>
      <c r="BZ190" s="128">
        <f t="shared" si="58"/>
        <v>0</v>
      </c>
      <c r="CA190" s="128">
        <f t="shared" si="58"/>
        <v>0</v>
      </c>
      <c r="CB190" s="128">
        <f t="shared" si="58"/>
        <v>0</v>
      </c>
      <c r="CC190" s="128">
        <f t="shared" si="58"/>
        <v>0</v>
      </c>
      <c r="CD190" s="128">
        <f t="shared" si="58"/>
        <v>0</v>
      </c>
      <c r="CE190" s="128">
        <f t="shared" si="58"/>
        <v>0</v>
      </c>
      <c r="CF190" s="128">
        <f t="shared" si="58"/>
        <v>0</v>
      </c>
      <c r="CG190" s="128">
        <f t="shared" si="58"/>
        <v>0</v>
      </c>
      <c r="CH190" s="128">
        <f t="shared" si="58"/>
        <v>0</v>
      </c>
      <c r="CI190" s="128">
        <f t="shared" si="58"/>
        <v>0</v>
      </c>
      <c r="CJ190" s="128">
        <f t="shared" si="58"/>
        <v>0</v>
      </c>
      <c r="CK190" s="128">
        <f t="shared" si="58"/>
        <v>0</v>
      </c>
      <c r="CL190" s="128">
        <f t="shared" si="58"/>
        <v>0</v>
      </c>
      <c r="CM190" s="128">
        <f t="shared" si="58"/>
        <v>0</v>
      </c>
      <c r="CN190" s="128">
        <f t="shared" si="58"/>
        <v>0</v>
      </c>
      <c r="CO190" s="128">
        <f t="shared" si="58"/>
        <v>0</v>
      </c>
      <c r="CP190" s="128">
        <f t="shared" si="58"/>
        <v>0</v>
      </c>
      <c r="CQ190" s="128">
        <f t="shared" si="58"/>
        <v>0</v>
      </c>
      <c r="CR190" s="128">
        <f t="shared" si="58"/>
        <v>0</v>
      </c>
      <c r="CS190" s="128">
        <f t="shared" si="58"/>
        <v>0</v>
      </c>
      <c r="CT190" s="128">
        <f t="shared" si="58"/>
        <v>0</v>
      </c>
      <c r="CU190" s="128">
        <f t="shared" si="58"/>
        <v>0</v>
      </c>
      <c r="CV190" s="128">
        <f t="shared" si="58"/>
        <v>0</v>
      </c>
      <c r="CW190" s="128">
        <f t="shared" si="58"/>
        <v>0</v>
      </c>
      <c r="CX190" s="128">
        <f t="shared" si="58"/>
        <v>0</v>
      </c>
      <c r="CY190" s="128">
        <f t="shared" si="58"/>
        <v>0</v>
      </c>
      <c r="CZ190" s="128">
        <f t="shared" si="58"/>
        <v>0</v>
      </c>
      <c r="DA190" s="128">
        <f t="shared" si="58"/>
        <v>0</v>
      </c>
      <c r="DB190" s="128">
        <f t="shared" si="58"/>
        <v>0</v>
      </c>
      <c r="DC190" s="128">
        <f t="shared" si="58"/>
        <v>0</v>
      </c>
      <c r="DD190" s="128">
        <f t="shared" si="58"/>
        <v>0</v>
      </c>
      <c r="DE190" s="128">
        <f t="shared" si="58"/>
        <v>0</v>
      </c>
      <c r="DF190" s="128">
        <f t="shared" si="58"/>
        <v>0</v>
      </c>
      <c r="DG190" s="128">
        <f t="shared" si="58"/>
        <v>0</v>
      </c>
      <c r="DH190" s="128">
        <f t="shared" si="58"/>
        <v>0</v>
      </c>
      <c r="DI190" s="128">
        <f t="shared" si="58"/>
        <v>0</v>
      </c>
      <c r="DJ190" s="128">
        <f t="shared" si="58"/>
        <v>0</v>
      </c>
      <c r="DK190" s="128">
        <f t="shared" si="58"/>
        <v>0</v>
      </c>
      <c r="DL190" s="128">
        <f t="shared" si="58"/>
        <v>0</v>
      </c>
      <c r="DM190" s="128">
        <f t="shared" si="58"/>
        <v>0</v>
      </c>
      <c r="DN190" s="128">
        <f t="shared" si="58"/>
        <v>0</v>
      </c>
      <c r="DO190" s="128">
        <f t="shared" si="58"/>
        <v>0</v>
      </c>
      <c r="DP190" s="128">
        <f t="shared" si="58"/>
        <v>0</v>
      </c>
      <c r="DQ190" s="128">
        <f t="shared" si="58"/>
        <v>0</v>
      </c>
      <c r="DR190" s="128">
        <f t="shared" si="58"/>
        <v>0</v>
      </c>
      <c r="DS190" s="128">
        <f t="shared" si="58"/>
        <v>0</v>
      </c>
      <c r="DT190" s="128">
        <f t="shared" si="58"/>
        <v>0</v>
      </c>
      <c r="DU190" s="128">
        <f t="shared" si="58"/>
        <v>0</v>
      </c>
      <c r="DV190" s="128">
        <f t="shared" si="58"/>
        <v>0</v>
      </c>
      <c r="DW190" s="128">
        <f t="shared" si="58"/>
        <v>0</v>
      </c>
      <c r="DX190" s="128">
        <f t="shared" si="58"/>
        <v>0</v>
      </c>
      <c r="DY190" s="128">
        <f t="shared" si="58"/>
        <v>0</v>
      </c>
      <c r="DZ190" s="128">
        <f t="shared" si="58"/>
        <v>0</v>
      </c>
      <c r="EA190" s="128">
        <f t="shared" si="58"/>
        <v>0</v>
      </c>
      <c r="EB190" s="128">
        <f t="shared" si="58"/>
        <v>0</v>
      </c>
      <c r="EC190" s="128">
        <f t="shared" si="58"/>
        <v>0</v>
      </c>
      <c r="ED190" s="128">
        <f t="shared" ref="ED190:FN190" si="59">SUM(ED180:ED189)</f>
        <v>0</v>
      </c>
      <c r="EE190" s="128">
        <f t="shared" si="59"/>
        <v>0</v>
      </c>
      <c r="EF190" s="128">
        <f t="shared" si="59"/>
        <v>0</v>
      </c>
      <c r="EG190" s="128">
        <f t="shared" si="59"/>
        <v>0</v>
      </c>
      <c r="EH190" s="128">
        <f t="shared" si="59"/>
        <v>0</v>
      </c>
      <c r="EI190" s="128">
        <f t="shared" si="59"/>
        <v>0</v>
      </c>
      <c r="EJ190" s="128">
        <f t="shared" si="59"/>
        <v>0</v>
      </c>
      <c r="EK190" s="128">
        <f t="shared" si="59"/>
        <v>0</v>
      </c>
      <c r="EL190" s="128">
        <f t="shared" si="59"/>
        <v>0</v>
      </c>
      <c r="EM190" s="128">
        <f t="shared" si="59"/>
        <v>0</v>
      </c>
      <c r="EN190" s="128">
        <f t="shared" si="59"/>
        <v>0</v>
      </c>
      <c r="EO190" s="128">
        <f t="shared" si="59"/>
        <v>0</v>
      </c>
      <c r="EP190" s="128">
        <f t="shared" si="59"/>
        <v>0</v>
      </c>
      <c r="EQ190" s="128">
        <f t="shared" si="59"/>
        <v>0</v>
      </c>
      <c r="ER190" s="128">
        <f t="shared" si="59"/>
        <v>0</v>
      </c>
      <c r="ES190" s="128">
        <f t="shared" si="59"/>
        <v>0</v>
      </c>
      <c r="ET190" s="128">
        <f t="shared" si="59"/>
        <v>0</v>
      </c>
      <c r="EU190" s="128">
        <f t="shared" si="59"/>
        <v>0</v>
      </c>
      <c r="EV190" s="128">
        <f t="shared" si="59"/>
        <v>0</v>
      </c>
      <c r="EW190" s="128">
        <f t="shared" si="59"/>
        <v>0</v>
      </c>
      <c r="EX190" s="128">
        <f t="shared" si="59"/>
        <v>0</v>
      </c>
      <c r="EY190" s="128">
        <f t="shared" si="59"/>
        <v>0</v>
      </c>
      <c r="EZ190" s="128">
        <f t="shared" si="59"/>
        <v>0</v>
      </c>
      <c r="FA190" s="128">
        <f t="shared" si="59"/>
        <v>0</v>
      </c>
      <c r="FB190" s="128">
        <f t="shared" si="59"/>
        <v>0</v>
      </c>
      <c r="FC190" s="128">
        <f t="shared" si="59"/>
        <v>0</v>
      </c>
      <c r="FD190" s="128">
        <f t="shared" si="59"/>
        <v>0</v>
      </c>
      <c r="FE190" s="128">
        <f t="shared" si="59"/>
        <v>0</v>
      </c>
      <c r="FF190" s="128">
        <f t="shared" si="59"/>
        <v>0</v>
      </c>
      <c r="FG190" s="128">
        <f t="shared" si="59"/>
        <v>0</v>
      </c>
      <c r="FH190" s="128">
        <f t="shared" si="59"/>
        <v>0</v>
      </c>
      <c r="FI190" s="128">
        <f t="shared" si="59"/>
        <v>0</v>
      </c>
      <c r="FJ190" s="128">
        <f t="shared" si="59"/>
        <v>0</v>
      </c>
      <c r="FK190" s="128">
        <f t="shared" si="59"/>
        <v>0</v>
      </c>
      <c r="FL190" s="128">
        <f t="shared" si="59"/>
        <v>0</v>
      </c>
      <c r="FM190" s="128">
        <f t="shared" si="59"/>
        <v>0</v>
      </c>
      <c r="FN190" s="128">
        <f t="shared" si="59"/>
        <v>0</v>
      </c>
    </row>
  </sheetData>
  <mergeCells count="7">
    <mergeCell ref="A1:U1"/>
    <mergeCell ref="A2:C2"/>
    <mergeCell ref="B5:C5"/>
    <mergeCell ref="A9:A10"/>
    <mergeCell ref="B9:B10"/>
    <mergeCell ref="O9:O10"/>
    <mergeCell ref="A4:B4"/>
  </mergeCells>
  <hyperlinks>
    <hyperlink ref="D8" location="Task1!A1" display="Task1"/>
    <hyperlink ref="E8" location="Task2!A1" display="Task2"/>
    <hyperlink ref="F8" location="Task3!A1" display="Task3"/>
    <hyperlink ref="G8" location="Task4!A1" display="Task4"/>
    <hyperlink ref="H8" location="Task5!A1" display="Task5"/>
    <hyperlink ref="I8" location="Task6!A1" display="Task6"/>
    <hyperlink ref="J8" location="Task7!A1" display="Task7"/>
    <hyperlink ref="K8" location="Task8!A1" display="Task8"/>
    <hyperlink ref="L8" location="Task9!A1" display="Task9"/>
    <hyperlink ref="M8" location="Task10!A1" display="Task10"/>
  </hyperlinks>
  <printOptions horizontalCentered="1"/>
  <pageMargins left="0.39370078740157483" right="0.39370078740157483" top="0.39370078740157483" bottom="0.39370078740157483" header="0.31496062992125984" footer="0.31496062992125984"/>
  <pageSetup paperSize="9" scale="10" fitToHeight="0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W44"/>
  <sheetViews>
    <sheetView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B34" sqref="B34"/>
    </sheetView>
  </sheetViews>
  <sheetFormatPr defaultColWidth="9.09765625" defaultRowHeight="21" x14ac:dyDescent="0.25"/>
  <cols>
    <col min="1" max="1" width="5.69921875" style="3" customWidth="1"/>
    <col min="2" max="2" width="27.09765625" style="1" customWidth="1"/>
    <col min="3" max="3" width="28.3984375" style="2" customWidth="1"/>
    <col min="4" max="4" width="10.09765625" style="101" customWidth="1"/>
    <col min="5" max="5" width="11" style="3" customWidth="1"/>
    <col min="6" max="290" width="6.69921875" style="3" customWidth="1"/>
    <col min="291" max="335" width="6.69921875" style="3" hidden="1" customWidth="1"/>
    <col min="336" max="16384" width="9.09765625" style="3"/>
  </cols>
  <sheetData>
    <row r="1" spans="1:335" s="110" customFormat="1" ht="27.75" customHeight="1" x14ac:dyDescent="0.25">
      <c r="A1" s="120" t="s">
        <v>264</v>
      </c>
      <c r="B1" s="119" t="s">
        <v>308</v>
      </c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</row>
    <row r="2" spans="1:335" s="111" customFormat="1" ht="13.5" customHeight="1" x14ac:dyDescent="0.25">
      <c r="A2" s="112"/>
      <c r="B2" s="112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4"/>
    </row>
    <row r="3" spans="1:335" s="32" customFormat="1" x14ac:dyDescent="0.6">
      <c r="A3" s="28" t="s">
        <v>137</v>
      </c>
      <c r="B3" s="29" t="s">
        <v>452</v>
      </c>
      <c r="C3" s="30" t="s">
        <v>453</v>
      </c>
      <c r="D3" s="104" t="s">
        <v>306</v>
      </c>
      <c r="E3" s="105" t="s">
        <v>307</v>
      </c>
      <c r="F3" s="31" t="s">
        <v>2</v>
      </c>
      <c r="G3" s="31" t="s">
        <v>0</v>
      </c>
      <c r="H3" s="31" t="s">
        <v>1</v>
      </c>
      <c r="I3" s="31" t="s">
        <v>4</v>
      </c>
      <c r="J3" s="31" t="s">
        <v>138</v>
      </c>
      <c r="K3" s="31" t="s">
        <v>139</v>
      </c>
      <c r="L3" s="31" t="s">
        <v>140</v>
      </c>
      <c r="M3" s="31" t="s">
        <v>141</v>
      </c>
      <c r="N3" s="31" t="s">
        <v>142</v>
      </c>
      <c r="O3" s="31" t="s">
        <v>143</v>
      </c>
      <c r="P3" s="31" t="s">
        <v>144</v>
      </c>
      <c r="Q3" s="31" t="s">
        <v>145</v>
      </c>
      <c r="R3" s="31" t="s">
        <v>146</v>
      </c>
      <c r="S3" s="31" t="s">
        <v>147</v>
      </c>
      <c r="T3" s="31" t="s">
        <v>148</v>
      </c>
      <c r="U3" s="31" t="s">
        <v>149</v>
      </c>
      <c r="V3" s="31" t="s">
        <v>150</v>
      </c>
      <c r="W3" s="31" t="s">
        <v>151</v>
      </c>
      <c r="X3" s="31" t="s">
        <v>152</v>
      </c>
      <c r="Y3" s="31" t="s">
        <v>153</v>
      </c>
      <c r="Z3" s="31" t="s">
        <v>154</v>
      </c>
      <c r="AA3" s="31" t="s">
        <v>155</v>
      </c>
      <c r="AB3" s="31" t="s">
        <v>156</v>
      </c>
      <c r="AC3" s="31" t="s">
        <v>157</v>
      </c>
      <c r="AD3" s="31" t="s">
        <v>158</v>
      </c>
      <c r="AE3" s="31" t="s">
        <v>159</v>
      </c>
      <c r="AF3" s="31" t="s">
        <v>160</v>
      </c>
      <c r="AG3" s="31" t="s">
        <v>161</v>
      </c>
      <c r="AH3" s="31" t="s">
        <v>162</v>
      </c>
      <c r="AI3" s="31" t="s">
        <v>163</v>
      </c>
      <c r="AJ3" s="31" t="s">
        <v>164</v>
      </c>
      <c r="AK3" s="31" t="s">
        <v>165</v>
      </c>
      <c r="AL3" s="31" t="s">
        <v>166</v>
      </c>
      <c r="AM3" s="31" t="s">
        <v>167</v>
      </c>
      <c r="AN3" s="31" t="s">
        <v>168</v>
      </c>
      <c r="AO3" s="31" t="s">
        <v>169</v>
      </c>
      <c r="AP3" s="31" t="s">
        <v>170</v>
      </c>
      <c r="AQ3" s="31" t="s">
        <v>171</v>
      </c>
      <c r="AR3" s="31" t="s">
        <v>172</v>
      </c>
      <c r="AS3" s="31" t="s">
        <v>173</v>
      </c>
      <c r="AT3" s="31" t="s">
        <v>174</v>
      </c>
      <c r="AU3" s="31" t="s">
        <v>175</v>
      </c>
      <c r="AV3" s="31" t="s">
        <v>176</v>
      </c>
      <c r="AW3" s="31" t="s">
        <v>177</v>
      </c>
      <c r="AX3" s="31" t="s">
        <v>178</v>
      </c>
      <c r="AY3" s="31" t="s">
        <v>179</v>
      </c>
      <c r="AZ3" s="31" t="s">
        <v>180</v>
      </c>
      <c r="BA3" s="31" t="s">
        <v>181</v>
      </c>
      <c r="BB3" s="31" t="s">
        <v>182</v>
      </c>
      <c r="BC3" s="31" t="s">
        <v>183</v>
      </c>
      <c r="BD3" s="31" t="s">
        <v>184</v>
      </c>
      <c r="BE3" s="31" t="s">
        <v>185</v>
      </c>
      <c r="BF3" s="31" t="s">
        <v>186</v>
      </c>
      <c r="BG3" s="31" t="s">
        <v>187</v>
      </c>
      <c r="BH3" s="31" t="s">
        <v>188</v>
      </c>
      <c r="BI3" s="31" t="s">
        <v>189</v>
      </c>
      <c r="BJ3" s="31" t="s">
        <v>190</v>
      </c>
      <c r="BK3" s="31" t="s">
        <v>191</v>
      </c>
      <c r="BL3" s="31" t="s">
        <v>192</v>
      </c>
      <c r="BM3" s="31" t="s">
        <v>193</v>
      </c>
      <c r="BN3" s="31" t="s">
        <v>194</v>
      </c>
      <c r="BO3" s="31" t="s">
        <v>195</v>
      </c>
      <c r="BP3" s="31" t="s">
        <v>196</v>
      </c>
      <c r="BQ3" s="31" t="s">
        <v>197</v>
      </c>
      <c r="BR3" s="31" t="s">
        <v>198</v>
      </c>
      <c r="BS3" s="31" t="s">
        <v>199</v>
      </c>
      <c r="BT3" s="31" t="s">
        <v>200</v>
      </c>
      <c r="BU3" s="31" t="s">
        <v>201</v>
      </c>
      <c r="BV3" s="31" t="s">
        <v>202</v>
      </c>
      <c r="BW3" s="31" t="s">
        <v>203</v>
      </c>
      <c r="BX3" s="31" t="s">
        <v>204</v>
      </c>
      <c r="BY3" s="31" t="s">
        <v>205</v>
      </c>
      <c r="BZ3" s="31" t="s">
        <v>206</v>
      </c>
      <c r="CA3" s="31" t="s">
        <v>207</v>
      </c>
      <c r="CB3" s="31" t="s">
        <v>208</v>
      </c>
      <c r="CC3" s="31" t="s">
        <v>209</v>
      </c>
      <c r="CD3" s="31" t="s">
        <v>210</v>
      </c>
      <c r="CE3" s="31" t="s">
        <v>211</v>
      </c>
      <c r="CF3" s="31" t="s">
        <v>212</v>
      </c>
      <c r="CG3" s="31" t="s">
        <v>213</v>
      </c>
      <c r="CH3" s="31" t="s">
        <v>214</v>
      </c>
      <c r="CI3" s="31" t="s">
        <v>215</v>
      </c>
      <c r="CJ3" s="31" t="s">
        <v>216</v>
      </c>
      <c r="CK3" s="31" t="s">
        <v>217</v>
      </c>
      <c r="CL3" s="31" t="s">
        <v>218</v>
      </c>
      <c r="CM3" s="31" t="s">
        <v>219</v>
      </c>
      <c r="CN3" s="31" t="s">
        <v>220</v>
      </c>
      <c r="CO3" s="31" t="s">
        <v>221</v>
      </c>
      <c r="CP3" s="31" t="s">
        <v>222</v>
      </c>
      <c r="CQ3" s="31" t="s">
        <v>223</v>
      </c>
      <c r="CR3" s="31" t="s">
        <v>224</v>
      </c>
      <c r="CS3" s="31" t="s">
        <v>225</v>
      </c>
      <c r="CT3" s="31" t="s">
        <v>226</v>
      </c>
      <c r="CU3" s="31" t="s">
        <v>227</v>
      </c>
      <c r="CV3" s="31" t="s">
        <v>228</v>
      </c>
      <c r="CW3" s="31" t="s">
        <v>229</v>
      </c>
      <c r="CX3" s="31" t="s">
        <v>230</v>
      </c>
      <c r="CY3" s="31" t="s">
        <v>231</v>
      </c>
      <c r="CZ3" s="31" t="s">
        <v>232</v>
      </c>
      <c r="DA3" s="31" t="s">
        <v>233</v>
      </c>
      <c r="DB3" s="31" t="s">
        <v>234</v>
      </c>
      <c r="DC3" s="31" t="s">
        <v>235</v>
      </c>
      <c r="DD3" s="31" t="s">
        <v>236</v>
      </c>
      <c r="DE3" s="31" t="s">
        <v>237</v>
      </c>
      <c r="DF3" s="31" t="s">
        <v>238</v>
      </c>
      <c r="DG3" s="31" t="s">
        <v>239</v>
      </c>
      <c r="DH3" s="31" t="s">
        <v>240</v>
      </c>
      <c r="DI3" s="31" t="s">
        <v>241</v>
      </c>
      <c r="DJ3" s="31" t="s">
        <v>242</v>
      </c>
      <c r="DK3" s="31" t="s">
        <v>243</v>
      </c>
      <c r="DL3" s="31" t="s">
        <v>244</v>
      </c>
      <c r="DM3" s="31" t="s">
        <v>245</v>
      </c>
      <c r="DN3" s="31" t="s">
        <v>246</v>
      </c>
      <c r="DO3" s="31" t="s">
        <v>247</v>
      </c>
      <c r="DP3" s="31" t="s">
        <v>248</v>
      </c>
      <c r="DQ3" s="31" t="s">
        <v>309</v>
      </c>
      <c r="DR3" s="31" t="s">
        <v>310</v>
      </c>
      <c r="DS3" s="31" t="s">
        <v>311</v>
      </c>
      <c r="DT3" s="31" t="s">
        <v>312</v>
      </c>
      <c r="DU3" s="31" t="s">
        <v>313</v>
      </c>
      <c r="DV3" s="31" t="s">
        <v>314</v>
      </c>
      <c r="DW3" s="31" t="s">
        <v>315</v>
      </c>
      <c r="DX3" s="31" t="s">
        <v>316</v>
      </c>
      <c r="DY3" s="31" t="s">
        <v>317</v>
      </c>
      <c r="DZ3" s="31" t="s">
        <v>318</v>
      </c>
      <c r="EA3" s="31" t="s">
        <v>319</v>
      </c>
      <c r="EB3" s="31" t="s">
        <v>320</v>
      </c>
      <c r="EC3" s="31" t="s">
        <v>321</v>
      </c>
      <c r="ED3" s="31" t="s">
        <v>322</v>
      </c>
      <c r="EE3" s="31" t="s">
        <v>323</v>
      </c>
      <c r="EF3" s="31" t="s">
        <v>324</v>
      </c>
      <c r="EG3" s="31" t="s">
        <v>325</v>
      </c>
      <c r="EH3" s="31" t="s">
        <v>326</v>
      </c>
      <c r="EI3" s="31" t="s">
        <v>327</v>
      </c>
      <c r="EJ3" s="31" t="s">
        <v>328</v>
      </c>
      <c r="EK3" s="31" t="s">
        <v>329</v>
      </c>
      <c r="EL3" s="31" t="s">
        <v>330</v>
      </c>
      <c r="EM3" s="31" t="s">
        <v>331</v>
      </c>
      <c r="EN3" s="31" t="s">
        <v>332</v>
      </c>
      <c r="EO3" s="31" t="s">
        <v>333</v>
      </c>
      <c r="EP3" s="31" t="s">
        <v>334</v>
      </c>
      <c r="EQ3" s="31" t="s">
        <v>335</v>
      </c>
      <c r="ER3" s="31" t="s">
        <v>336</v>
      </c>
      <c r="ES3" s="31" t="s">
        <v>337</v>
      </c>
      <c r="ET3" s="31" t="s">
        <v>338</v>
      </c>
      <c r="EU3" s="31" t="s">
        <v>339</v>
      </c>
      <c r="EV3" s="31" t="s">
        <v>340</v>
      </c>
      <c r="EW3" s="31" t="s">
        <v>341</v>
      </c>
      <c r="EX3" s="31" t="s">
        <v>342</v>
      </c>
      <c r="EY3" s="31" t="s">
        <v>343</v>
      </c>
      <c r="EZ3" s="31" t="s">
        <v>344</v>
      </c>
      <c r="FA3" s="31" t="s">
        <v>345</v>
      </c>
      <c r="FB3" s="31" t="s">
        <v>346</v>
      </c>
      <c r="FC3" s="31" t="s">
        <v>347</v>
      </c>
      <c r="FD3" s="31" t="s">
        <v>348</v>
      </c>
      <c r="FE3" s="31" t="s">
        <v>349</v>
      </c>
      <c r="FF3" s="31" t="s">
        <v>350</v>
      </c>
      <c r="FG3" s="31" t="s">
        <v>351</v>
      </c>
      <c r="FH3" s="31" t="s">
        <v>352</v>
      </c>
      <c r="FI3" s="31" t="s">
        <v>353</v>
      </c>
      <c r="FJ3" s="31" t="s">
        <v>354</v>
      </c>
      <c r="FK3" s="31" t="s">
        <v>355</v>
      </c>
      <c r="FL3" s="31" t="s">
        <v>356</v>
      </c>
      <c r="FM3" s="31" t="s">
        <v>357</v>
      </c>
      <c r="FN3" s="31" t="s">
        <v>358</v>
      </c>
      <c r="FO3" s="123" t="s">
        <v>22</v>
      </c>
      <c r="FP3" s="123" t="s">
        <v>23</v>
      </c>
      <c r="FQ3" s="123" t="s">
        <v>24</v>
      </c>
      <c r="FR3" s="123" t="s">
        <v>25</v>
      </c>
      <c r="FS3" s="123" t="s">
        <v>26</v>
      </c>
      <c r="FT3" s="123" t="s">
        <v>27</v>
      </c>
      <c r="FU3" s="123" t="s">
        <v>28</v>
      </c>
      <c r="FV3" s="123" t="s">
        <v>29</v>
      </c>
      <c r="FW3" s="123" t="s">
        <v>30</v>
      </c>
      <c r="FX3" s="123" t="s">
        <v>31</v>
      </c>
      <c r="FY3" s="123" t="s">
        <v>32</v>
      </c>
      <c r="FZ3" s="123" t="s">
        <v>33</v>
      </c>
      <c r="GA3" s="123" t="s">
        <v>34</v>
      </c>
      <c r="GB3" s="123" t="s">
        <v>35</v>
      </c>
      <c r="GC3" s="123" t="s">
        <v>36</v>
      </c>
      <c r="GD3" s="123" t="s">
        <v>37</v>
      </c>
      <c r="GE3" s="123" t="s">
        <v>38</v>
      </c>
      <c r="GF3" s="123" t="s">
        <v>39</v>
      </c>
      <c r="GG3" s="123" t="s">
        <v>40</v>
      </c>
      <c r="GH3" s="123" t="s">
        <v>41</v>
      </c>
      <c r="GI3" s="123" t="s">
        <v>42</v>
      </c>
      <c r="GJ3" s="123" t="s">
        <v>43</v>
      </c>
      <c r="GK3" s="123" t="s">
        <v>44</v>
      </c>
      <c r="GL3" s="123" t="s">
        <v>45</v>
      </c>
      <c r="GM3" s="123" t="s">
        <v>46</v>
      </c>
      <c r="GN3" s="123" t="s">
        <v>47</v>
      </c>
      <c r="GO3" s="123" t="s">
        <v>48</v>
      </c>
      <c r="GP3" s="123" t="s">
        <v>49</v>
      </c>
      <c r="GQ3" s="123" t="s">
        <v>50</v>
      </c>
      <c r="GR3" s="123" t="s">
        <v>51</v>
      </c>
      <c r="GS3" s="123" t="s">
        <v>52</v>
      </c>
      <c r="GT3" s="123" t="s">
        <v>53</v>
      </c>
      <c r="GU3" s="123" t="s">
        <v>54</v>
      </c>
      <c r="GV3" s="123" t="s">
        <v>55</v>
      </c>
      <c r="GW3" s="123" t="s">
        <v>56</v>
      </c>
      <c r="GX3" s="123" t="s">
        <v>57</v>
      </c>
      <c r="GY3" s="123" t="s">
        <v>58</v>
      </c>
      <c r="GZ3" s="123" t="s">
        <v>59</v>
      </c>
      <c r="HA3" s="123" t="s">
        <v>60</v>
      </c>
      <c r="HB3" s="123" t="s">
        <v>61</v>
      </c>
      <c r="HC3" s="123" t="s">
        <v>62</v>
      </c>
      <c r="HD3" s="123" t="s">
        <v>63</v>
      </c>
      <c r="HE3" s="123" t="s">
        <v>64</v>
      </c>
      <c r="HF3" s="123" t="s">
        <v>65</v>
      </c>
      <c r="HG3" s="123" t="s">
        <v>66</v>
      </c>
      <c r="HH3" s="123" t="s">
        <v>67</v>
      </c>
      <c r="HI3" s="123" t="s">
        <v>68</v>
      </c>
      <c r="HJ3" s="123" t="s">
        <v>69</v>
      </c>
      <c r="HK3" s="123" t="s">
        <v>70</v>
      </c>
      <c r="HL3" s="123" t="s">
        <v>71</v>
      </c>
      <c r="HM3" s="123" t="s">
        <v>72</v>
      </c>
      <c r="HN3" s="123" t="s">
        <v>73</v>
      </c>
      <c r="HO3" s="123" t="s">
        <v>74</v>
      </c>
      <c r="HP3" s="123" t="s">
        <v>75</v>
      </c>
      <c r="HQ3" s="123" t="s">
        <v>76</v>
      </c>
      <c r="HR3" s="123" t="s">
        <v>77</v>
      </c>
      <c r="HS3" s="123" t="s">
        <v>78</v>
      </c>
      <c r="HT3" s="123" t="s">
        <v>79</v>
      </c>
      <c r="HU3" s="123" t="s">
        <v>80</v>
      </c>
      <c r="HV3" s="123" t="s">
        <v>81</v>
      </c>
      <c r="HW3" s="123" t="s">
        <v>82</v>
      </c>
      <c r="HX3" s="123" t="s">
        <v>83</v>
      </c>
      <c r="HY3" s="123" t="s">
        <v>84</v>
      </c>
      <c r="HZ3" s="123" t="s">
        <v>85</v>
      </c>
      <c r="IA3" s="123" t="s">
        <v>86</v>
      </c>
      <c r="IB3" s="123" t="s">
        <v>87</v>
      </c>
      <c r="IC3" s="123" t="s">
        <v>88</v>
      </c>
      <c r="ID3" s="123" t="s">
        <v>89</v>
      </c>
      <c r="IE3" s="123" t="s">
        <v>90</v>
      </c>
      <c r="IF3" s="123" t="s">
        <v>91</v>
      </c>
      <c r="IG3" s="123" t="s">
        <v>92</v>
      </c>
      <c r="IH3" s="123" t="s">
        <v>93</v>
      </c>
      <c r="II3" s="123" t="s">
        <v>94</v>
      </c>
      <c r="IJ3" s="123" t="s">
        <v>95</v>
      </c>
      <c r="IK3" s="123" t="s">
        <v>96</v>
      </c>
      <c r="IL3" s="123" t="s">
        <v>97</v>
      </c>
      <c r="IM3" s="123" t="s">
        <v>98</v>
      </c>
      <c r="IN3" s="123" t="s">
        <v>99</v>
      </c>
      <c r="IO3" s="123" t="s">
        <v>100</v>
      </c>
      <c r="IP3" s="123" t="s">
        <v>101</v>
      </c>
      <c r="IQ3" s="123" t="s">
        <v>102</v>
      </c>
      <c r="IR3" s="123" t="s">
        <v>103</v>
      </c>
      <c r="IS3" s="123" t="s">
        <v>104</v>
      </c>
      <c r="IT3" s="123" t="s">
        <v>105</v>
      </c>
      <c r="IU3" s="123" t="s">
        <v>106</v>
      </c>
      <c r="IV3" s="123" t="s">
        <v>107</v>
      </c>
      <c r="IW3" s="123" t="s">
        <v>108</v>
      </c>
      <c r="IX3" s="123" t="s">
        <v>109</v>
      </c>
      <c r="IY3" s="123" t="s">
        <v>110</v>
      </c>
      <c r="IZ3" s="123" t="s">
        <v>111</v>
      </c>
      <c r="JA3" s="123" t="s">
        <v>112</v>
      </c>
      <c r="JB3" s="123" t="s">
        <v>113</v>
      </c>
      <c r="JC3" s="123" t="s">
        <v>114</v>
      </c>
      <c r="JD3" s="123" t="s">
        <v>115</v>
      </c>
      <c r="JE3" s="123" t="s">
        <v>116</v>
      </c>
      <c r="JF3" s="123" t="s">
        <v>117</v>
      </c>
      <c r="JG3" s="123" t="s">
        <v>118</v>
      </c>
      <c r="JH3" s="123" t="s">
        <v>119</v>
      </c>
      <c r="JI3" s="123" t="s">
        <v>120</v>
      </c>
      <c r="JJ3" s="123" t="s">
        <v>121</v>
      </c>
      <c r="JK3" s="123" t="s">
        <v>122</v>
      </c>
      <c r="JL3" s="123" t="s">
        <v>123</v>
      </c>
      <c r="JM3" s="123" t="s">
        <v>124</v>
      </c>
      <c r="JN3" s="123" t="s">
        <v>125</v>
      </c>
      <c r="JO3" s="123" t="s">
        <v>126</v>
      </c>
      <c r="JP3" s="123" t="s">
        <v>127</v>
      </c>
      <c r="JQ3" s="123" t="s">
        <v>128</v>
      </c>
      <c r="JR3" s="123" t="s">
        <v>129</v>
      </c>
      <c r="JS3" s="123" t="s">
        <v>130</v>
      </c>
      <c r="JT3" s="123" t="s">
        <v>131</v>
      </c>
      <c r="JU3" s="123" t="s">
        <v>132</v>
      </c>
      <c r="JV3" s="123" t="s">
        <v>133</v>
      </c>
      <c r="JW3" s="123" t="s">
        <v>134</v>
      </c>
      <c r="JX3" s="123" t="s">
        <v>135</v>
      </c>
      <c r="JY3" s="123" t="s">
        <v>136</v>
      </c>
      <c r="JZ3" s="123" t="s">
        <v>359</v>
      </c>
      <c r="KA3" s="123" t="s">
        <v>360</v>
      </c>
      <c r="KB3" s="123" t="s">
        <v>361</v>
      </c>
      <c r="KC3" s="123" t="s">
        <v>362</v>
      </c>
      <c r="KD3" s="123" t="s">
        <v>363</v>
      </c>
      <c r="KE3" s="123" t="s">
        <v>364</v>
      </c>
      <c r="KF3" s="123" t="s">
        <v>365</v>
      </c>
      <c r="KG3" s="123" t="s">
        <v>366</v>
      </c>
      <c r="KH3" s="123" t="s">
        <v>367</v>
      </c>
      <c r="KI3" s="123" t="s">
        <v>368</v>
      </c>
      <c r="KJ3" s="123" t="s">
        <v>369</v>
      </c>
      <c r="KK3" s="123" t="s">
        <v>370</v>
      </c>
      <c r="KL3" s="123" t="s">
        <v>371</v>
      </c>
      <c r="KM3" s="123" t="s">
        <v>372</v>
      </c>
      <c r="KN3" s="123" t="s">
        <v>373</v>
      </c>
      <c r="KO3" s="123" t="s">
        <v>374</v>
      </c>
      <c r="KP3" s="123" t="s">
        <v>375</v>
      </c>
      <c r="KQ3" s="123" t="s">
        <v>376</v>
      </c>
      <c r="KR3" s="123" t="s">
        <v>377</v>
      </c>
      <c r="KS3" s="123" t="s">
        <v>378</v>
      </c>
      <c r="KT3" s="123" t="s">
        <v>379</v>
      </c>
      <c r="KU3" s="123" t="s">
        <v>380</v>
      </c>
      <c r="KV3" s="123" t="s">
        <v>381</v>
      </c>
      <c r="KW3" s="123" t="s">
        <v>382</v>
      </c>
      <c r="KX3" s="123" t="s">
        <v>383</v>
      </c>
      <c r="KY3" s="123" t="s">
        <v>384</v>
      </c>
      <c r="KZ3" s="123" t="s">
        <v>385</v>
      </c>
      <c r="LA3" s="123" t="s">
        <v>386</v>
      </c>
      <c r="LB3" s="123" t="s">
        <v>387</v>
      </c>
      <c r="LC3" s="123" t="s">
        <v>388</v>
      </c>
      <c r="LD3" s="123" t="s">
        <v>389</v>
      </c>
      <c r="LE3" s="123" t="s">
        <v>390</v>
      </c>
      <c r="LF3" s="123" t="s">
        <v>391</v>
      </c>
      <c r="LG3" s="123" t="s">
        <v>392</v>
      </c>
      <c r="LH3" s="123" t="s">
        <v>393</v>
      </c>
      <c r="LI3" s="123" t="s">
        <v>394</v>
      </c>
      <c r="LJ3" s="123" t="s">
        <v>395</v>
      </c>
      <c r="LK3" s="123" t="s">
        <v>396</v>
      </c>
      <c r="LL3" s="123" t="s">
        <v>397</v>
      </c>
      <c r="LM3" s="123" t="s">
        <v>398</v>
      </c>
      <c r="LN3" s="123" t="s">
        <v>399</v>
      </c>
      <c r="LO3" s="123" t="s">
        <v>400</v>
      </c>
      <c r="LP3" s="123" t="s">
        <v>401</v>
      </c>
      <c r="LQ3" s="123" t="s">
        <v>402</v>
      </c>
      <c r="LR3" s="123" t="s">
        <v>403</v>
      </c>
      <c r="LS3" s="123" t="s">
        <v>404</v>
      </c>
      <c r="LT3" s="123" t="s">
        <v>405</v>
      </c>
      <c r="LU3" s="123" t="s">
        <v>406</v>
      </c>
      <c r="LV3" s="123" t="s">
        <v>407</v>
      </c>
      <c r="LW3" s="123" t="s">
        <v>408</v>
      </c>
    </row>
    <row r="4" spans="1:335" ht="23.4" customHeight="1" x14ac:dyDescent="0.25">
      <c r="A4" s="24">
        <v>1</v>
      </c>
      <c r="B4" s="20"/>
      <c r="C4" s="5" t="str">
        <f>IF(ISBLANK(B4),"",VLOOKUP(B4,tbl_PLOs[],2,0))</f>
        <v/>
      </c>
      <c r="D4" s="102"/>
      <c r="E4" s="10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22"/>
      <c r="FO4" s="121" t="str">
        <f>IF(ISBLANK(tbl_task1[[คะแนนเต็ม]:[คะแนนเต็ม]]),"",(tbl_task1[1]/tbl_task1[[คะแนนเต็ม]:[คะแนนเต็ม]])*tbl_task1[[%]:[%]])</f>
        <v/>
      </c>
      <c r="FP4" s="121" t="str">
        <f>IF(ISBLANK(tbl_task1[[คะแนนเต็ม]:[คะแนนเต็ม]]),"",(tbl_task1[2]/tbl_task1[[คะแนนเต็ม]:[คะแนนเต็ม]])*tbl_task1[[%]:[%]])</f>
        <v/>
      </c>
      <c r="FQ4" s="121" t="str">
        <f>IF(ISBLANK(tbl_task1[[คะแนนเต็ม]:[คะแนนเต็ม]]),"",(tbl_task1[3]/tbl_task1[[คะแนนเต็ม]:[คะแนนเต็ม]])*tbl_task1[[%]:[%]])</f>
        <v/>
      </c>
      <c r="FR4" s="121" t="str">
        <f>IF(ISBLANK(tbl_task1[[คะแนนเต็ม]:[คะแนนเต็ม]]),"",(tbl_task1[4]/tbl_task1[[คะแนนเต็ม]:[คะแนนเต็ม]])*tbl_task1[[%]:[%]])</f>
        <v/>
      </c>
      <c r="FS4" s="121" t="str">
        <f>IF(ISBLANK(tbl_task1[[คะแนนเต็ม]:[คะแนนเต็ม]]),"",(tbl_task1[5]/tbl_task1[[คะแนนเต็ม]:[คะแนนเต็ม]])*tbl_task1[[%]:[%]])</f>
        <v/>
      </c>
      <c r="FT4" s="121" t="str">
        <f>IF(ISBLANK(tbl_task1[[คะแนนเต็ม]:[คะแนนเต็ม]]),"",(tbl_task1[6]/tbl_task1[[คะแนนเต็ม]:[คะแนนเต็ม]])*tbl_task1[[%]:[%]])</f>
        <v/>
      </c>
      <c r="FU4" s="121" t="str">
        <f>IF(ISBLANK(tbl_task1[[คะแนนเต็ม]:[คะแนนเต็ม]]),"",(tbl_task1[7]/tbl_task1[[คะแนนเต็ม]:[คะแนนเต็ม]])*tbl_task1[[%]:[%]])</f>
        <v/>
      </c>
      <c r="FV4" s="121" t="str">
        <f>IF(ISBLANK(tbl_task1[[คะแนนเต็ม]:[คะแนนเต็ม]]),"",(tbl_task1[8]/tbl_task1[[คะแนนเต็ม]:[คะแนนเต็ม]])*tbl_task1[[%]:[%]])</f>
        <v/>
      </c>
      <c r="FW4" s="121" t="str">
        <f>IF(ISBLANK(tbl_task1[[คะแนนเต็ม]:[คะแนนเต็ม]]),"",(tbl_task1[9]/tbl_task1[[คะแนนเต็ม]:[คะแนนเต็ม]])*tbl_task1[[%]:[%]])</f>
        <v/>
      </c>
      <c r="FX4" s="121" t="str">
        <f>IF(ISBLANK(tbl_task1[[คะแนนเต็ม]:[คะแนนเต็ม]]),"",(tbl_task1[10]/tbl_task1[[คะแนนเต็ม]:[คะแนนเต็ม]])*tbl_task1[[%]:[%]])</f>
        <v/>
      </c>
      <c r="FY4" s="121" t="str">
        <f>IF(ISBLANK(tbl_task1[[คะแนนเต็ม]:[คะแนนเต็ม]]),"",(tbl_task1[11]/tbl_task1[[คะแนนเต็ม]:[คะแนนเต็ม]])*tbl_task1[[%]:[%]])</f>
        <v/>
      </c>
      <c r="FZ4" s="121" t="str">
        <f>IF(ISBLANK(tbl_task1[[คะแนนเต็ม]:[คะแนนเต็ม]]),"",(tbl_task1[12]/tbl_task1[[คะแนนเต็ม]:[คะแนนเต็ม]])*tbl_task1[[%]:[%]])</f>
        <v/>
      </c>
      <c r="GA4" s="121" t="str">
        <f>IF(ISBLANK(tbl_task1[[คะแนนเต็ม]:[คะแนนเต็ม]]),"",(tbl_task1[13]/tbl_task1[[คะแนนเต็ม]:[คะแนนเต็ม]])*tbl_task1[[%]:[%]])</f>
        <v/>
      </c>
      <c r="GB4" s="121" t="str">
        <f>IF(ISBLANK(tbl_task1[[คะแนนเต็ม]:[คะแนนเต็ม]]),"",(tbl_task1[14]/tbl_task1[[คะแนนเต็ม]:[คะแนนเต็ม]])*tbl_task1[[%]:[%]])</f>
        <v/>
      </c>
      <c r="GC4" s="121" t="str">
        <f>IF(ISBLANK(tbl_task1[[คะแนนเต็ม]:[คะแนนเต็ม]]),"",(tbl_task1[15]/tbl_task1[[คะแนนเต็ม]:[คะแนนเต็ม]])*tbl_task1[[%]:[%]])</f>
        <v/>
      </c>
      <c r="GD4" s="121" t="str">
        <f>IF(ISBLANK(tbl_task1[[คะแนนเต็ม]:[คะแนนเต็ม]]),"",(tbl_task1[16]/tbl_task1[[คะแนนเต็ม]:[คะแนนเต็ม]])*tbl_task1[[%]:[%]])</f>
        <v/>
      </c>
      <c r="GE4" s="121" t="str">
        <f>IF(ISBLANK(tbl_task1[[คะแนนเต็ม]:[คะแนนเต็ม]]),"",(tbl_task1[17]/tbl_task1[[คะแนนเต็ม]:[คะแนนเต็ม]])*tbl_task1[[%]:[%]])</f>
        <v/>
      </c>
      <c r="GF4" s="121" t="str">
        <f>IF(ISBLANK(tbl_task1[[คะแนนเต็ม]:[คะแนนเต็ม]]),"",(tbl_task1[18]/tbl_task1[[คะแนนเต็ม]:[คะแนนเต็ม]])*tbl_task1[[%]:[%]])</f>
        <v/>
      </c>
      <c r="GG4" s="121" t="str">
        <f>IF(ISBLANK(tbl_task1[[คะแนนเต็ม]:[คะแนนเต็ม]]),"",(tbl_task1[19]/tbl_task1[[คะแนนเต็ม]:[คะแนนเต็ม]])*tbl_task1[[%]:[%]])</f>
        <v/>
      </c>
      <c r="GH4" s="121" t="str">
        <f>IF(ISBLANK(tbl_task1[[คะแนนเต็ม]:[คะแนนเต็ม]]),"",(tbl_task1[20]/tbl_task1[[คะแนนเต็ม]:[คะแนนเต็ม]])*tbl_task1[[%]:[%]])</f>
        <v/>
      </c>
      <c r="GI4" s="121" t="str">
        <f>IF(ISBLANK(tbl_task1[[คะแนนเต็ม]:[คะแนนเต็ม]]),"",(tbl_task1[21]/tbl_task1[[คะแนนเต็ม]:[คะแนนเต็ม]])*tbl_task1[[%]:[%]])</f>
        <v/>
      </c>
      <c r="GJ4" s="121" t="str">
        <f>IF(ISBLANK(tbl_task1[[คะแนนเต็ม]:[คะแนนเต็ม]]),"",(tbl_task1[22]/tbl_task1[[คะแนนเต็ม]:[คะแนนเต็ม]])*tbl_task1[[%]:[%]])</f>
        <v/>
      </c>
      <c r="GK4" s="121" t="str">
        <f>IF(ISBLANK(tbl_task1[[คะแนนเต็ม]:[คะแนนเต็ม]]),"",(tbl_task1[23]/tbl_task1[[คะแนนเต็ม]:[คะแนนเต็ม]])*tbl_task1[[%]:[%]])</f>
        <v/>
      </c>
      <c r="GL4" s="121" t="str">
        <f>IF(ISBLANK(tbl_task1[[คะแนนเต็ม]:[คะแนนเต็ม]]),"",(tbl_task1[24]/tbl_task1[[คะแนนเต็ม]:[คะแนนเต็ม]])*tbl_task1[[%]:[%]])</f>
        <v/>
      </c>
      <c r="GM4" s="121" t="str">
        <f>IF(ISBLANK(tbl_task1[[คะแนนเต็ม]:[คะแนนเต็ม]]),"",(tbl_task1[25]/tbl_task1[[คะแนนเต็ม]:[คะแนนเต็ม]])*tbl_task1[[%]:[%]])</f>
        <v/>
      </c>
      <c r="GN4" s="121" t="str">
        <f>IF(ISBLANK(tbl_task1[[คะแนนเต็ม]:[คะแนนเต็ม]]),"",(tbl_task1[26]/tbl_task1[[คะแนนเต็ม]:[คะแนนเต็ม]])*tbl_task1[[%]:[%]])</f>
        <v/>
      </c>
      <c r="GO4" s="121" t="str">
        <f>IF(ISBLANK(tbl_task1[[คะแนนเต็ม]:[คะแนนเต็ม]]),"",(tbl_task1[27]/tbl_task1[[คะแนนเต็ม]:[คะแนนเต็ม]])*tbl_task1[[%]:[%]])</f>
        <v/>
      </c>
      <c r="GP4" s="121" t="str">
        <f>IF(ISBLANK(tbl_task1[[คะแนนเต็ม]:[คะแนนเต็ม]]),"",(tbl_task1[28]/tbl_task1[[คะแนนเต็ม]:[คะแนนเต็ม]])*tbl_task1[[%]:[%]])</f>
        <v/>
      </c>
      <c r="GQ4" s="121" t="str">
        <f>IF(ISBLANK(tbl_task1[[คะแนนเต็ม]:[คะแนนเต็ม]]),"",(tbl_task1[29]/tbl_task1[[คะแนนเต็ม]:[คะแนนเต็ม]])*tbl_task1[[%]:[%]])</f>
        <v/>
      </c>
      <c r="GR4" s="121" t="str">
        <f>IF(ISBLANK(tbl_task1[[คะแนนเต็ม]:[คะแนนเต็ม]]),"",(tbl_task1[30]/tbl_task1[[คะแนนเต็ม]:[คะแนนเต็ม]])*tbl_task1[[%]:[%]])</f>
        <v/>
      </c>
      <c r="GS4" s="121" t="str">
        <f>IF(ISBLANK(tbl_task1[[คะแนนเต็ม]:[คะแนนเต็ม]]),"",(tbl_task1[31]/tbl_task1[[คะแนนเต็ม]:[คะแนนเต็ม]])*tbl_task1[[%]:[%]])</f>
        <v/>
      </c>
      <c r="GT4" s="121" t="str">
        <f>IF(ISBLANK(tbl_task1[[คะแนนเต็ม]:[คะแนนเต็ม]]),"",(tbl_task1[32]/tbl_task1[[คะแนนเต็ม]:[คะแนนเต็ม]])*tbl_task1[[%]:[%]])</f>
        <v/>
      </c>
      <c r="GU4" s="121" t="str">
        <f>IF(ISBLANK(tbl_task1[[คะแนนเต็ม]:[คะแนนเต็ม]]),"",(tbl_task1[33]/tbl_task1[[คะแนนเต็ม]:[คะแนนเต็ม]])*tbl_task1[[%]:[%]])</f>
        <v/>
      </c>
      <c r="GV4" s="121" t="str">
        <f>IF(ISBLANK(tbl_task1[[คะแนนเต็ม]:[คะแนนเต็ม]]),"",(tbl_task1[34]/tbl_task1[[คะแนนเต็ม]:[คะแนนเต็ม]])*tbl_task1[[%]:[%]])</f>
        <v/>
      </c>
      <c r="GW4" s="121" t="str">
        <f>IF(ISBLANK(tbl_task1[[คะแนนเต็ม]:[คะแนนเต็ม]]),"",(tbl_task1[35]/tbl_task1[[คะแนนเต็ม]:[คะแนนเต็ม]])*tbl_task1[[%]:[%]])</f>
        <v/>
      </c>
      <c r="GX4" s="121" t="str">
        <f>IF(ISBLANK(tbl_task1[[คะแนนเต็ม]:[คะแนนเต็ม]]),"",(tbl_task1[36]/tbl_task1[[คะแนนเต็ม]:[คะแนนเต็ม]])*tbl_task1[[%]:[%]])</f>
        <v/>
      </c>
      <c r="GY4" s="121" t="str">
        <f>IF(ISBLANK(tbl_task1[[คะแนนเต็ม]:[คะแนนเต็ม]]),"",(tbl_task1[37]/tbl_task1[[คะแนนเต็ม]:[คะแนนเต็ม]])*tbl_task1[[%]:[%]])</f>
        <v/>
      </c>
      <c r="GZ4" s="121" t="str">
        <f>IF(ISBLANK(tbl_task1[[คะแนนเต็ม]:[คะแนนเต็ม]]),"",(tbl_task1[38]/tbl_task1[[คะแนนเต็ม]:[คะแนนเต็ม]])*tbl_task1[[%]:[%]])</f>
        <v/>
      </c>
      <c r="HA4" s="121" t="str">
        <f>IF(ISBLANK(tbl_task1[[คะแนนเต็ม]:[คะแนนเต็ม]]),"",(tbl_task1[39]/tbl_task1[[คะแนนเต็ม]:[คะแนนเต็ม]])*tbl_task1[[%]:[%]])</f>
        <v/>
      </c>
      <c r="HB4" s="121" t="str">
        <f>IF(ISBLANK(tbl_task1[[คะแนนเต็ม]:[คะแนนเต็ม]]),"",(tbl_task1[40]/tbl_task1[[คะแนนเต็ม]:[คะแนนเต็ม]])*tbl_task1[[%]:[%]])</f>
        <v/>
      </c>
      <c r="HC4" s="121" t="str">
        <f>IF(ISBLANK(tbl_task1[[คะแนนเต็ม]:[คะแนนเต็ม]]),"",(tbl_task1[41]/tbl_task1[[คะแนนเต็ม]:[คะแนนเต็ม]])*tbl_task1[[%]:[%]])</f>
        <v/>
      </c>
      <c r="HD4" s="121" t="str">
        <f>IF(ISBLANK(tbl_task1[[คะแนนเต็ม]:[คะแนนเต็ม]]),"",(tbl_task1[42]/tbl_task1[[คะแนนเต็ม]:[คะแนนเต็ม]])*tbl_task1[[%]:[%]])</f>
        <v/>
      </c>
      <c r="HE4" s="121" t="str">
        <f>IF(ISBLANK(tbl_task1[[คะแนนเต็ม]:[คะแนนเต็ม]]),"",(tbl_task1[43]/tbl_task1[[คะแนนเต็ม]:[คะแนนเต็ม]])*tbl_task1[[%]:[%]])</f>
        <v/>
      </c>
      <c r="HF4" s="121" t="str">
        <f>IF(ISBLANK(tbl_task1[[คะแนนเต็ม]:[คะแนนเต็ม]]),"",(tbl_task1[44]/tbl_task1[[คะแนนเต็ม]:[คะแนนเต็ม]])*tbl_task1[[%]:[%]])</f>
        <v/>
      </c>
      <c r="HG4" s="121" t="str">
        <f>IF(ISBLANK(tbl_task1[[คะแนนเต็ม]:[คะแนนเต็ม]]),"",(tbl_task1[45]/tbl_task1[[คะแนนเต็ม]:[คะแนนเต็ม]])*tbl_task1[[%]:[%]])</f>
        <v/>
      </c>
      <c r="HH4" s="121" t="str">
        <f>IF(ISBLANK(tbl_task1[[คะแนนเต็ม]:[คะแนนเต็ม]]),"",(tbl_task1[46]/tbl_task1[[คะแนนเต็ม]:[คะแนนเต็ม]])*tbl_task1[[%]:[%]])</f>
        <v/>
      </c>
      <c r="HI4" s="121" t="str">
        <f>IF(ISBLANK(tbl_task1[[คะแนนเต็ม]:[คะแนนเต็ม]]),"",(tbl_task1[47]/tbl_task1[[คะแนนเต็ม]:[คะแนนเต็ม]])*tbl_task1[[%]:[%]])</f>
        <v/>
      </c>
      <c r="HJ4" s="121" t="str">
        <f>IF(ISBLANK(tbl_task1[[คะแนนเต็ม]:[คะแนนเต็ม]]),"",(tbl_task1[48]/tbl_task1[[คะแนนเต็ม]:[คะแนนเต็ม]])*tbl_task1[[%]:[%]])</f>
        <v/>
      </c>
      <c r="HK4" s="121" t="str">
        <f>IF(ISBLANK(tbl_task1[[คะแนนเต็ม]:[คะแนนเต็ม]]),"",(tbl_task1[49]/tbl_task1[[คะแนนเต็ม]:[คะแนนเต็ม]])*tbl_task1[[%]:[%]])</f>
        <v/>
      </c>
      <c r="HL4" s="121" t="str">
        <f>IF(ISBLANK(tbl_task1[[คะแนนเต็ม]:[คะแนนเต็ม]]),"",(tbl_task1[50]/tbl_task1[[คะแนนเต็ม]:[คะแนนเต็ม]])*tbl_task1[[%]:[%]])</f>
        <v/>
      </c>
      <c r="HM4" s="121" t="str">
        <f>IF(ISBLANK(tbl_task1[[คะแนนเต็ม]:[คะแนนเต็ม]]),"",(tbl_task1[51]/tbl_task1[[คะแนนเต็ม]:[คะแนนเต็ม]])*tbl_task1[[%]:[%]])</f>
        <v/>
      </c>
      <c r="HN4" s="121" t="str">
        <f>IF(ISBLANK(tbl_task1[[คะแนนเต็ม]:[คะแนนเต็ม]]),"",(tbl_task1[52]/tbl_task1[[คะแนนเต็ม]:[คะแนนเต็ม]])*tbl_task1[[%]:[%]])</f>
        <v/>
      </c>
      <c r="HO4" s="121" t="str">
        <f>IF(ISBLANK(tbl_task1[[คะแนนเต็ม]:[คะแนนเต็ม]]),"",(tbl_task1[53]/tbl_task1[[คะแนนเต็ม]:[คะแนนเต็ม]])*tbl_task1[[%]:[%]])</f>
        <v/>
      </c>
      <c r="HP4" s="121" t="str">
        <f>IF(ISBLANK(tbl_task1[[คะแนนเต็ม]:[คะแนนเต็ม]]),"",(tbl_task1[54]/tbl_task1[[คะแนนเต็ม]:[คะแนนเต็ม]])*tbl_task1[[%]:[%]])</f>
        <v/>
      </c>
      <c r="HQ4" s="121" t="str">
        <f>IF(ISBLANK(tbl_task1[[คะแนนเต็ม]:[คะแนนเต็ม]]),"",(tbl_task1[55]/tbl_task1[[คะแนนเต็ม]:[คะแนนเต็ม]])*tbl_task1[[%]:[%]])</f>
        <v/>
      </c>
      <c r="HR4" s="121" t="str">
        <f>IF(ISBLANK(tbl_task1[[คะแนนเต็ม]:[คะแนนเต็ม]]),"",(tbl_task1[56]/tbl_task1[[คะแนนเต็ม]:[คะแนนเต็ม]])*tbl_task1[[%]:[%]])</f>
        <v/>
      </c>
      <c r="HS4" s="121" t="str">
        <f>IF(ISBLANK(tbl_task1[[คะแนนเต็ม]:[คะแนนเต็ม]]),"",(tbl_task1[57]/tbl_task1[[คะแนนเต็ม]:[คะแนนเต็ม]])*tbl_task1[[%]:[%]])</f>
        <v/>
      </c>
      <c r="HT4" s="121" t="str">
        <f>IF(ISBLANK(tbl_task1[[คะแนนเต็ม]:[คะแนนเต็ม]]),"",(tbl_task1[58]/tbl_task1[[คะแนนเต็ม]:[คะแนนเต็ม]])*tbl_task1[[%]:[%]])</f>
        <v/>
      </c>
      <c r="HU4" s="121" t="str">
        <f>IF(ISBLANK(tbl_task1[[คะแนนเต็ม]:[คะแนนเต็ม]]),"",(tbl_task1[59]/tbl_task1[[คะแนนเต็ม]:[คะแนนเต็ม]])*tbl_task1[[%]:[%]])</f>
        <v/>
      </c>
      <c r="HV4" s="121" t="str">
        <f>IF(ISBLANK(tbl_task1[[คะแนนเต็ม]:[คะแนนเต็ม]]),"",(tbl_task1[60]/tbl_task1[[คะแนนเต็ม]:[คะแนนเต็ม]])*tbl_task1[[%]:[%]])</f>
        <v/>
      </c>
      <c r="HW4" s="121" t="str">
        <f>IF(ISBLANK(tbl_task1[[คะแนนเต็ม]:[คะแนนเต็ม]]),"",(tbl_task1[61]/tbl_task1[[คะแนนเต็ม]:[คะแนนเต็ม]])*tbl_task1[[%]:[%]])</f>
        <v/>
      </c>
      <c r="HX4" s="121" t="str">
        <f>IF(ISBLANK(tbl_task1[[คะแนนเต็ม]:[คะแนนเต็ม]]),"",(tbl_task1[62]/tbl_task1[[คะแนนเต็ม]:[คะแนนเต็ม]])*tbl_task1[[%]:[%]])</f>
        <v/>
      </c>
      <c r="HY4" s="121" t="str">
        <f>IF(ISBLANK(tbl_task1[[คะแนนเต็ม]:[คะแนนเต็ม]]),"",(tbl_task1[63]/tbl_task1[[คะแนนเต็ม]:[คะแนนเต็ม]])*tbl_task1[[%]:[%]])</f>
        <v/>
      </c>
      <c r="HZ4" s="121" t="str">
        <f>IF(ISBLANK(tbl_task1[[คะแนนเต็ม]:[คะแนนเต็ม]]),"",(tbl_task1[64]/tbl_task1[[คะแนนเต็ม]:[คะแนนเต็ม]])*tbl_task1[[%]:[%]])</f>
        <v/>
      </c>
      <c r="IA4" s="121" t="str">
        <f>IF(ISBLANK(tbl_task1[[คะแนนเต็ม]:[คะแนนเต็ม]]),"",(tbl_task1[65]/tbl_task1[[คะแนนเต็ม]:[คะแนนเต็ม]])*tbl_task1[[%]:[%]])</f>
        <v/>
      </c>
      <c r="IB4" s="121" t="str">
        <f>IF(ISBLANK(tbl_task1[[คะแนนเต็ม]:[คะแนนเต็ม]]),"",(tbl_task1[66]/tbl_task1[[คะแนนเต็ม]:[คะแนนเต็ม]])*tbl_task1[[%]:[%]])</f>
        <v/>
      </c>
      <c r="IC4" s="121" t="str">
        <f>IF(ISBLANK(tbl_task1[[คะแนนเต็ม]:[คะแนนเต็ม]]),"",(tbl_task1[67]/tbl_task1[[คะแนนเต็ม]:[คะแนนเต็ม]])*tbl_task1[[%]:[%]])</f>
        <v/>
      </c>
      <c r="ID4" s="121" t="str">
        <f>IF(ISBLANK(tbl_task1[[คะแนนเต็ม]:[คะแนนเต็ม]]),"",(tbl_task1[68]/tbl_task1[[คะแนนเต็ม]:[คะแนนเต็ม]])*tbl_task1[[%]:[%]])</f>
        <v/>
      </c>
      <c r="IE4" s="121" t="str">
        <f>IF(ISBLANK(tbl_task1[[คะแนนเต็ม]:[คะแนนเต็ม]]),"",(tbl_task1[69]/tbl_task1[[คะแนนเต็ม]:[คะแนนเต็ม]])*tbl_task1[[%]:[%]])</f>
        <v/>
      </c>
      <c r="IF4" s="121" t="str">
        <f>IF(ISBLANK(tbl_task1[[คะแนนเต็ม]:[คะแนนเต็ม]]),"",(tbl_task1[70]/tbl_task1[[คะแนนเต็ม]:[คะแนนเต็ม]])*tbl_task1[[%]:[%]])</f>
        <v/>
      </c>
      <c r="IG4" s="121" t="str">
        <f>IF(ISBLANK(tbl_task1[[คะแนนเต็ม]:[คะแนนเต็ม]]),"",(tbl_task1[71]/tbl_task1[[คะแนนเต็ม]:[คะแนนเต็ม]])*tbl_task1[[%]:[%]])</f>
        <v/>
      </c>
      <c r="IH4" s="121" t="str">
        <f>IF(ISBLANK(tbl_task1[[คะแนนเต็ม]:[คะแนนเต็ม]]),"",(tbl_task1[72]/tbl_task1[[คะแนนเต็ม]:[คะแนนเต็ม]])*tbl_task1[[%]:[%]])</f>
        <v/>
      </c>
      <c r="II4" s="121" t="str">
        <f>IF(ISBLANK(tbl_task1[[คะแนนเต็ม]:[คะแนนเต็ม]]),"",(tbl_task1[73]/tbl_task1[[คะแนนเต็ม]:[คะแนนเต็ม]])*tbl_task1[[%]:[%]])</f>
        <v/>
      </c>
      <c r="IJ4" s="121" t="str">
        <f>IF(ISBLANK(tbl_task1[[คะแนนเต็ม]:[คะแนนเต็ม]]),"",(tbl_task1[74]/tbl_task1[[คะแนนเต็ม]:[คะแนนเต็ม]])*tbl_task1[[%]:[%]])</f>
        <v/>
      </c>
      <c r="IK4" s="121" t="str">
        <f>IF(ISBLANK(tbl_task1[[คะแนนเต็ม]:[คะแนนเต็ม]]),"",(tbl_task1[75]/tbl_task1[[คะแนนเต็ม]:[คะแนนเต็ม]])*tbl_task1[[%]:[%]])</f>
        <v/>
      </c>
      <c r="IL4" s="121" t="str">
        <f>IF(ISBLANK(tbl_task1[[คะแนนเต็ม]:[คะแนนเต็ม]]),"",(tbl_task1[76]/tbl_task1[[คะแนนเต็ม]:[คะแนนเต็ม]])*tbl_task1[[%]:[%]])</f>
        <v/>
      </c>
      <c r="IM4" s="121" t="str">
        <f>IF(ISBLANK(tbl_task1[[คะแนนเต็ม]:[คะแนนเต็ม]]),"",(tbl_task1[77]/tbl_task1[[คะแนนเต็ม]:[คะแนนเต็ม]])*tbl_task1[[%]:[%]])</f>
        <v/>
      </c>
      <c r="IN4" s="121" t="str">
        <f>IF(ISBLANK(tbl_task1[[คะแนนเต็ม]:[คะแนนเต็ม]]),"",(tbl_task1[78]/tbl_task1[[คะแนนเต็ม]:[คะแนนเต็ม]])*tbl_task1[[%]:[%]])</f>
        <v/>
      </c>
      <c r="IO4" s="121" t="str">
        <f>IF(ISBLANK(tbl_task1[[คะแนนเต็ม]:[คะแนนเต็ม]]),"",(tbl_task1[79]/tbl_task1[[คะแนนเต็ม]:[คะแนนเต็ม]])*tbl_task1[[%]:[%]])</f>
        <v/>
      </c>
      <c r="IP4" s="121" t="str">
        <f>IF(ISBLANK(tbl_task1[[คะแนนเต็ม]:[คะแนนเต็ม]]),"",(tbl_task1[80]/tbl_task1[[คะแนนเต็ม]:[คะแนนเต็ม]])*tbl_task1[[%]:[%]])</f>
        <v/>
      </c>
      <c r="IQ4" s="121" t="str">
        <f>IF(ISBLANK(tbl_task1[[คะแนนเต็ม]:[คะแนนเต็ม]]),"",(tbl_task1[81]/tbl_task1[[คะแนนเต็ม]:[คะแนนเต็ม]])*tbl_task1[[%]:[%]])</f>
        <v/>
      </c>
      <c r="IR4" s="121" t="str">
        <f>IF(ISBLANK(tbl_task1[[คะแนนเต็ม]:[คะแนนเต็ม]]),"",(tbl_task1[82]/tbl_task1[[คะแนนเต็ม]:[คะแนนเต็ม]])*tbl_task1[[%]:[%]])</f>
        <v/>
      </c>
      <c r="IS4" s="121" t="str">
        <f>IF(ISBLANK(tbl_task1[[คะแนนเต็ม]:[คะแนนเต็ม]]),"",(tbl_task1[83]/tbl_task1[[คะแนนเต็ม]:[คะแนนเต็ม]])*tbl_task1[[%]:[%]])</f>
        <v/>
      </c>
      <c r="IT4" s="121" t="str">
        <f>IF(ISBLANK(tbl_task1[[คะแนนเต็ม]:[คะแนนเต็ม]]),"",(tbl_task1[84]/tbl_task1[[คะแนนเต็ม]:[คะแนนเต็ม]])*tbl_task1[[%]:[%]])</f>
        <v/>
      </c>
      <c r="IU4" s="121" t="str">
        <f>IF(ISBLANK(tbl_task1[[คะแนนเต็ม]:[คะแนนเต็ม]]),"",(tbl_task1[85]/tbl_task1[[คะแนนเต็ม]:[คะแนนเต็ม]])*tbl_task1[[%]:[%]])</f>
        <v/>
      </c>
      <c r="IV4" s="121" t="str">
        <f>IF(ISBLANK(tbl_task1[[คะแนนเต็ม]:[คะแนนเต็ม]]),"",(tbl_task1[86]/tbl_task1[[คะแนนเต็ม]:[คะแนนเต็ม]])*tbl_task1[[%]:[%]])</f>
        <v/>
      </c>
      <c r="IW4" s="121" t="str">
        <f>IF(ISBLANK(tbl_task1[[คะแนนเต็ม]:[คะแนนเต็ม]]),"",(tbl_task1[87]/tbl_task1[[คะแนนเต็ม]:[คะแนนเต็ม]])*tbl_task1[[%]:[%]])</f>
        <v/>
      </c>
      <c r="IX4" s="121" t="str">
        <f>IF(ISBLANK(tbl_task1[[คะแนนเต็ม]:[คะแนนเต็ม]]),"",(tbl_task1[88]/tbl_task1[[คะแนนเต็ม]:[คะแนนเต็ม]])*tbl_task1[[%]:[%]])</f>
        <v/>
      </c>
      <c r="IY4" s="121" t="str">
        <f>IF(ISBLANK(tbl_task1[[คะแนนเต็ม]:[คะแนนเต็ม]]),"",(tbl_task1[89]/tbl_task1[[คะแนนเต็ม]:[คะแนนเต็ม]])*tbl_task1[[%]:[%]])</f>
        <v/>
      </c>
      <c r="IZ4" s="121" t="str">
        <f>IF(ISBLANK(tbl_task1[[คะแนนเต็ม]:[คะแนนเต็ม]]),"",(tbl_task1[90]/tbl_task1[[คะแนนเต็ม]:[คะแนนเต็ม]])*tbl_task1[[%]:[%]])</f>
        <v/>
      </c>
      <c r="JA4" s="121" t="str">
        <f>IF(ISBLANK(tbl_task1[[คะแนนเต็ม]:[คะแนนเต็ม]]),"",(tbl_task1[91]/tbl_task1[[คะแนนเต็ม]:[คะแนนเต็ม]])*tbl_task1[[%]:[%]])</f>
        <v/>
      </c>
      <c r="JB4" s="121" t="str">
        <f>IF(ISBLANK(tbl_task1[[คะแนนเต็ม]:[คะแนนเต็ม]]),"",(tbl_task1[92]/tbl_task1[[คะแนนเต็ม]:[คะแนนเต็ม]])*tbl_task1[[%]:[%]])</f>
        <v/>
      </c>
      <c r="JC4" s="121" t="str">
        <f>IF(ISBLANK(tbl_task1[[คะแนนเต็ม]:[คะแนนเต็ม]]),"",(tbl_task1[93]/tbl_task1[[คะแนนเต็ม]:[คะแนนเต็ม]])*tbl_task1[[%]:[%]])</f>
        <v/>
      </c>
      <c r="JD4" s="121" t="str">
        <f>IF(ISBLANK(tbl_task1[[คะแนนเต็ม]:[คะแนนเต็ม]]),"",(tbl_task1[94]/tbl_task1[[คะแนนเต็ม]:[คะแนนเต็ม]])*tbl_task1[[%]:[%]])</f>
        <v/>
      </c>
      <c r="JE4" s="121" t="str">
        <f>IF(ISBLANK(tbl_task1[[คะแนนเต็ม]:[คะแนนเต็ม]]),"",(tbl_task1[95]/tbl_task1[[คะแนนเต็ม]:[คะแนนเต็ม]])*tbl_task1[[%]:[%]])</f>
        <v/>
      </c>
      <c r="JF4" s="121" t="str">
        <f>IF(ISBLANK(tbl_task1[[คะแนนเต็ม]:[คะแนนเต็ม]]),"",(tbl_task1[96]/tbl_task1[[คะแนนเต็ม]:[คะแนนเต็ม]])*tbl_task1[[%]:[%]])</f>
        <v/>
      </c>
      <c r="JG4" s="121" t="str">
        <f>IF(ISBLANK(tbl_task1[[คะแนนเต็ม]:[คะแนนเต็ม]]),"",(tbl_task1[97]/tbl_task1[[คะแนนเต็ม]:[คะแนนเต็ม]])*tbl_task1[[%]:[%]])</f>
        <v/>
      </c>
      <c r="JH4" s="121" t="str">
        <f>IF(ISBLANK(tbl_task1[[คะแนนเต็ม]:[คะแนนเต็ม]]),"",(tbl_task1[98]/tbl_task1[[คะแนนเต็ม]:[คะแนนเต็ม]])*tbl_task1[[%]:[%]])</f>
        <v/>
      </c>
      <c r="JI4" s="121" t="str">
        <f>IF(ISBLANK(tbl_task1[[คะแนนเต็ม]:[คะแนนเต็ม]]),"",(tbl_task1[99]/tbl_task1[[คะแนนเต็ม]:[คะแนนเต็ม]])*tbl_task1[[%]:[%]])</f>
        <v/>
      </c>
      <c r="JJ4" s="121" t="str">
        <f>IF(ISBLANK(tbl_task1[[คะแนนเต็ม]:[คะแนนเต็ม]]),"",(tbl_task1[100]/tbl_task1[[คะแนนเต็ม]:[คะแนนเต็ม]])*tbl_task1[[%]:[%]])</f>
        <v/>
      </c>
      <c r="JK4" s="121" t="str">
        <f>IF(ISBLANK(tbl_task1[[คะแนนเต็ม]:[คะแนนเต็ม]]),"",(tbl_task1[101]/tbl_task1[[คะแนนเต็ม]:[คะแนนเต็ม]])*tbl_task1[[%]:[%]])</f>
        <v/>
      </c>
      <c r="JL4" s="121" t="str">
        <f>IF(ISBLANK(tbl_task1[[คะแนนเต็ม]:[คะแนนเต็ม]]),"",(tbl_task1[102]/tbl_task1[[คะแนนเต็ม]:[คะแนนเต็ม]])*tbl_task1[[%]:[%]])</f>
        <v/>
      </c>
      <c r="JM4" s="121" t="str">
        <f>IF(ISBLANK(tbl_task1[[คะแนนเต็ม]:[คะแนนเต็ม]]),"",(tbl_task1[103]/tbl_task1[[คะแนนเต็ม]:[คะแนนเต็ม]])*tbl_task1[[%]:[%]])</f>
        <v/>
      </c>
      <c r="JN4" s="121" t="str">
        <f>IF(ISBLANK(tbl_task1[[คะแนนเต็ม]:[คะแนนเต็ม]]),"",(tbl_task1[104]/tbl_task1[[คะแนนเต็ม]:[คะแนนเต็ม]])*tbl_task1[[%]:[%]])</f>
        <v/>
      </c>
      <c r="JO4" s="121" t="str">
        <f>IF(ISBLANK(tbl_task1[[คะแนนเต็ม]:[คะแนนเต็ม]]),"",(tbl_task1[105]/tbl_task1[[คะแนนเต็ม]:[คะแนนเต็ม]])*tbl_task1[[%]:[%]])</f>
        <v/>
      </c>
      <c r="JP4" s="121" t="str">
        <f>IF(ISBLANK(tbl_task1[[คะแนนเต็ม]:[คะแนนเต็ม]]),"",(tbl_task1[106]/tbl_task1[[คะแนนเต็ม]:[คะแนนเต็ม]])*tbl_task1[[%]:[%]])</f>
        <v/>
      </c>
      <c r="JQ4" s="121" t="str">
        <f>IF(ISBLANK(tbl_task1[[คะแนนเต็ม]:[คะแนนเต็ม]]),"",(tbl_task1[107]/tbl_task1[[คะแนนเต็ม]:[คะแนนเต็ม]])*tbl_task1[[%]:[%]])</f>
        <v/>
      </c>
      <c r="JR4" s="121" t="str">
        <f>IF(ISBLANK(tbl_task1[[คะแนนเต็ม]:[คะแนนเต็ม]]),"",(tbl_task1[108]/tbl_task1[[คะแนนเต็ม]:[คะแนนเต็ม]])*tbl_task1[[%]:[%]])</f>
        <v/>
      </c>
      <c r="JS4" s="121" t="str">
        <f>IF(ISBLANK(tbl_task1[[คะแนนเต็ม]:[คะแนนเต็ม]]),"",(tbl_task1[109]/tbl_task1[[คะแนนเต็ม]:[คะแนนเต็ม]])*tbl_task1[[%]:[%]])</f>
        <v/>
      </c>
      <c r="JT4" s="121" t="str">
        <f>IF(ISBLANK(tbl_task1[[คะแนนเต็ม]:[คะแนนเต็ม]]),"",(tbl_task1[110]/tbl_task1[[คะแนนเต็ม]:[คะแนนเต็ม]])*tbl_task1[[%]:[%]])</f>
        <v/>
      </c>
      <c r="JU4" s="121" t="str">
        <f>IF(ISBLANK(tbl_task1[[คะแนนเต็ม]:[คะแนนเต็ม]]),"",(tbl_task1[111]/tbl_task1[[คะแนนเต็ม]:[คะแนนเต็ม]])*tbl_task1[[%]:[%]])</f>
        <v/>
      </c>
      <c r="JV4" s="121" t="str">
        <f>IF(ISBLANK(tbl_task1[[คะแนนเต็ม]:[คะแนนเต็ม]]),"",(tbl_task1[112]/tbl_task1[[คะแนนเต็ม]:[คะแนนเต็ม]])*tbl_task1[[%]:[%]])</f>
        <v/>
      </c>
      <c r="JW4" s="121" t="str">
        <f>IF(ISBLANK(tbl_task1[[คะแนนเต็ม]:[คะแนนเต็ม]]),"",(tbl_task1[113]/tbl_task1[[คะแนนเต็ม]:[คะแนนเต็ม]])*tbl_task1[[%]:[%]])</f>
        <v/>
      </c>
      <c r="JX4" s="121" t="str">
        <f>IF(ISBLANK(tbl_task1[[คะแนนเต็ม]:[คะแนนเต็ม]]),"",(tbl_task1[114]/tbl_task1[[คะแนนเต็ม]:[คะแนนเต็ม]])*tbl_task1[[%]:[%]])</f>
        <v/>
      </c>
      <c r="JY4" s="121" t="str">
        <f>IF(ISBLANK(tbl_task1[[คะแนนเต็ม]:[คะแนนเต็ม]]),"",(tbl_task1[115]/tbl_task1[[คะแนนเต็ม]:[คะแนนเต็ม]])*tbl_task1[[%]:[%]])</f>
        <v/>
      </c>
      <c r="JZ4" s="121" t="str">
        <f>IF(ISBLANK(tbl_task1[[คะแนนเต็ม]:[คะแนนเต็ม]]),"",(tbl_task1[116]/tbl_task1[[คะแนนเต็ม]:[คะแนนเต็ม]])*tbl_task1[[%]:[%]])</f>
        <v/>
      </c>
      <c r="KA4" s="121" t="str">
        <f>IF(ISBLANK(tbl_task1[[คะแนนเต็ม]:[คะแนนเต็ม]]),"",(tbl_task1[117]/tbl_task1[[คะแนนเต็ม]:[คะแนนเต็ม]])*tbl_task1[[%]:[%]])</f>
        <v/>
      </c>
      <c r="KB4" s="121" t="str">
        <f>IF(ISBLANK(tbl_task1[[คะแนนเต็ม]:[คะแนนเต็ม]]),"",(tbl_task1[118]/tbl_task1[[คะแนนเต็ม]:[คะแนนเต็ม]])*tbl_task1[[%]:[%]])</f>
        <v/>
      </c>
      <c r="KC4" s="121" t="str">
        <f>IF(ISBLANK(tbl_task1[[คะแนนเต็ม]:[คะแนนเต็ม]]),"",(tbl_task1[119]/tbl_task1[[คะแนนเต็ม]:[คะแนนเต็ม]])*tbl_task1[[%]:[%]])</f>
        <v/>
      </c>
      <c r="KD4" s="121" t="str">
        <f>IF(ISBLANK(tbl_task1[[คะแนนเต็ม]:[คะแนนเต็ม]]),"",(tbl_task1[120]/tbl_task1[[คะแนนเต็ม]:[คะแนนเต็ม]])*tbl_task1[[%]:[%]])</f>
        <v/>
      </c>
      <c r="KE4" s="121" t="str">
        <f>IF(ISBLANK(tbl_task1[[คะแนนเต็ม]:[คะแนนเต็ม]]),"",(tbl_task1[121]/tbl_task1[[คะแนนเต็ม]:[คะแนนเต็ม]])*tbl_task1[[%]:[%]])</f>
        <v/>
      </c>
      <c r="KF4" s="121" t="str">
        <f>IF(ISBLANK(tbl_task1[[คะแนนเต็ม]:[คะแนนเต็ม]]),"",(tbl_task1[122]/tbl_task1[[คะแนนเต็ม]:[คะแนนเต็ม]])*tbl_task1[[%]:[%]])</f>
        <v/>
      </c>
      <c r="KG4" s="121" t="str">
        <f>IF(ISBLANK(tbl_task1[[คะแนนเต็ม]:[คะแนนเต็ม]]),"",(tbl_task1[123]/tbl_task1[[คะแนนเต็ม]:[คะแนนเต็ม]])*tbl_task1[[%]:[%]])</f>
        <v/>
      </c>
      <c r="KH4" s="121" t="str">
        <f>IF(ISBLANK(tbl_task1[[คะแนนเต็ม]:[คะแนนเต็ม]]),"",(tbl_task1[124]/tbl_task1[[คะแนนเต็ม]:[คะแนนเต็ม]])*tbl_task1[[%]:[%]])</f>
        <v/>
      </c>
      <c r="KI4" s="121" t="str">
        <f>IF(ISBLANK(tbl_task1[[คะแนนเต็ม]:[คะแนนเต็ม]]),"",(tbl_task1[125]/tbl_task1[[คะแนนเต็ม]:[คะแนนเต็ม]])*tbl_task1[[%]:[%]])</f>
        <v/>
      </c>
      <c r="KJ4" s="121" t="str">
        <f>IF(ISBLANK(tbl_task1[[คะแนนเต็ม]:[คะแนนเต็ม]]),"",(tbl_task1[126]/tbl_task1[[คะแนนเต็ม]:[คะแนนเต็ม]])*tbl_task1[[%]:[%]])</f>
        <v/>
      </c>
      <c r="KK4" s="121" t="str">
        <f>IF(ISBLANK(tbl_task1[[คะแนนเต็ม]:[คะแนนเต็ม]]),"",(tbl_task1[127]/tbl_task1[[คะแนนเต็ม]:[คะแนนเต็ม]])*tbl_task1[[%]:[%]])</f>
        <v/>
      </c>
      <c r="KL4" s="121" t="str">
        <f>IF(ISBLANK(tbl_task1[[คะแนนเต็ม]:[คะแนนเต็ม]]),"",(tbl_task1[128]/tbl_task1[[คะแนนเต็ม]:[คะแนนเต็ม]])*tbl_task1[[%]:[%]])</f>
        <v/>
      </c>
      <c r="KM4" s="121" t="str">
        <f>IF(ISBLANK(tbl_task1[[คะแนนเต็ม]:[คะแนนเต็ม]]),"",(tbl_task1[129]/tbl_task1[[คะแนนเต็ม]:[คะแนนเต็ม]])*tbl_task1[[%]:[%]])</f>
        <v/>
      </c>
      <c r="KN4" s="121" t="str">
        <f>IF(ISBLANK(tbl_task1[[คะแนนเต็ม]:[คะแนนเต็ม]]),"",(tbl_task1[130]/tbl_task1[[คะแนนเต็ม]:[คะแนนเต็ม]])*tbl_task1[[%]:[%]])</f>
        <v/>
      </c>
      <c r="KO4" s="121" t="str">
        <f>IF(ISBLANK(tbl_task1[[คะแนนเต็ม]:[คะแนนเต็ม]]),"",(tbl_task1[131]/tbl_task1[[คะแนนเต็ม]:[คะแนนเต็ม]])*tbl_task1[[%]:[%]])</f>
        <v/>
      </c>
      <c r="KP4" s="121" t="str">
        <f>IF(ISBLANK(tbl_task1[[คะแนนเต็ม]:[คะแนนเต็ม]]),"",(tbl_task1[132]/tbl_task1[[คะแนนเต็ม]:[คะแนนเต็ม]])*tbl_task1[[%]:[%]])</f>
        <v/>
      </c>
      <c r="KQ4" s="121" t="str">
        <f>IF(ISBLANK(tbl_task1[[คะแนนเต็ม]:[คะแนนเต็ม]]),"",(tbl_task1[133]/tbl_task1[[คะแนนเต็ม]:[คะแนนเต็ม]])*tbl_task1[[%]:[%]])</f>
        <v/>
      </c>
      <c r="KR4" s="121" t="str">
        <f>IF(ISBLANK(tbl_task1[[คะแนนเต็ม]:[คะแนนเต็ม]]),"",(tbl_task1[134]/tbl_task1[[คะแนนเต็ม]:[คะแนนเต็ม]])*tbl_task1[[%]:[%]])</f>
        <v/>
      </c>
      <c r="KS4" s="121" t="str">
        <f>IF(ISBLANK(tbl_task1[[คะแนนเต็ม]:[คะแนนเต็ม]]),"",(tbl_task1[135]/tbl_task1[[คะแนนเต็ม]:[คะแนนเต็ม]])*tbl_task1[[%]:[%]])</f>
        <v/>
      </c>
      <c r="KT4" s="121" t="str">
        <f>IF(ISBLANK(tbl_task1[[คะแนนเต็ม]:[คะแนนเต็ม]]),"",(tbl_task1[136]/tbl_task1[[คะแนนเต็ม]:[คะแนนเต็ม]])*tbl_task1[[%]:[%]])</f>
        <v/>
      </c>
      <c r="KU4" s="121" t="str">
        <f>IF(ISBLANK(tbl_task1[[คะแนนเต็ม]:[คะแนนเต็ม]]),"",(tbl_task1[137]/tbl_task1[[คะแนนเต็ม]:[คะแนนเต็ม]])*tbl_task1[[%]:[%]])</f>
        <v/>
      </c>
      <c r="KV4" s="121" t="str">
        <f>IF(ISBLANK(tbl_task1[[คะแนนเต็ม]:[คะแนนเต็ม]]),"",(tbl_task1[138]/tbl_task1[[คะแนนเต็ม]:[คะแนนเต็ม]])*tbl_task1[[%]:[%]])</f>
        <v/>
      </c>
      <c r="KW4" s="121" t="str">
        <f>IF(ISBLANK(tbl_task1[[คะแนนเต็ม]:[คะแนนเต็ม]]),"",(tbl_task1[139]/tbl_task1[[คะแนนเต็ม]:[คะแนนเต็ม]])*tbl_task1[[%]:[%]])</f>
        <v/>
      </c>
      <c r="KX4" s="121" t="str">
        <f>IF(ISBLANK(tbl_task1[[คะแนนเต็ม]:[คะแนนเต็ม]]),"",(tbl_task1[140]/tbl_task1[[คะแนนเต็ม]:[คะแนนเต็ม]])*tbl_task1[[%]:[%]])</f>
        <v/>
      </c>
      <c r="KY4" s="121" t="str">
        <f>IF(ISBLANK(tbl_task1[[คะแนนเต็ม]:[คะแนนเต็ม]]),"",(tbl_task1[141]/tbl_task1[[คะแนนเต็ม]:[คะแนนเต็ม]])*tbl_task1[[%]:[%]])</f>
        <v/>
      </c>
      <c r="KZ4" s="121" t="str">
        <f>IF(ISBLANK(tbl_task1[[คะแนนเต็ม]:[คะแนนเต็ม]]),"",(tbl_task1[142]/tbl_task1[[คะแนนเต็ม]:[คะแนนเต็ม]])*tbl_task1[[%]:[%]])</f>
        <v/>
      </c>
      <c r="LA4" s="121" t="str">
        <f>IF(ISBLANK(tbl_task1[[คะแนนเต็ม]:[คะแนนเต็ม]]),"",(tbl_task1[143]/tbl_task1[[คะแนนเต็ม]:[คะแนนเต็ม]])*tbl_task1[[%]:[%]])</f>
        <v/>
      </c>
      <c r="LB4" s="121" t="str">
        <f>IF(ISBLANK(tbl_task1[[คะแนนเต็ม]:[คะแนนเต็ม]]),"",(tbl_task1[144]/tbl_task1[[คะแนนเต็ม]:[คะแนนเต็ม]])*tbl_task1[[%]:[%]])</f>
        <v/>
      </c>
      <c r="LC4" s="121" t="str">
        <f>IF(ISBLANK(tbl_task1[[คะแนนเต็ม]:[คะแนนเต็ม]]),"",(tbl_task1[145]/tbl_task1[[คะแนนเต็ม]:[คะแนนเต็ม]])*tbl_task1[[%]:[%]])</f>
        <v/>
      </c>
      <c r="LD4" s="121" t="str">
        <f>IF(ISBLANK(tbl_task1[[คะแนนเต็ม]:[คะแนนเต็ม]]),"",(tbl_task1[146]/tbl_task1[[คะแนนเต็ม]:[คะแนนเต็ม]])*tbl_task1[[%]:[%]])</f>
        <v/>
      </c>
      <c r="LE4" s="121" t="str">
        <f>IF(ISBLANK(tbl_task1[[คะแนนเต็ม]:[คะแนนเต็ม]]),"",(tbl_task1[147]/tbl_task1[[คะแนนเต็ม]:[คะแนนเต็ม]])*tbl_task1[[%]:[%]])</f>
        <v/>
      </c>
      <c r="LF4" s="121" t="str">
        <f>IF(ISBLANK(tbl_task1[[คะแนนเต็ม]:[คะแนนเต็ม]]),"",(tbl_task1[148]/tbl_task1[[คะแนนเต็ม]:[คะแนนเต็ม]])*tbl_task1[[%]:[%]])</f>
        <v/>
      </c>
      <c r="LG4" s="121" t="str">
        <f>IF(ISBLANK(tbl_task1[[คะแนนเต็ม]:[คะแนนเต็ม]]),"",(tbl_task1[149]/tbl_task1[[คะแนนเต็ม]:[คะแนนเต็ม]])*tbl_task1[[%]:[%]])</f>
        <v/>
      </c>
      <c r="LH4" s="121" t="str">
        <f>IF(ISBLANK(tbl_task1[[คะแนนเต็ม]:[คะแนนเต็ม]]),"",(tbl_task1[150]/tbl_task1[[คะแนนเต็ม]:[คะแนนเต็ม]])*tbl_task1[[%]:[%]])</f>
        <v/>
      </c>
      <c r="LI4" s="121" t="str">
        <f>IF(ISBLANK(tbl_task1[[คะแนนเต็ม]:[คะแนนเต็ม]]),"",(tbl_task1[151]/tbl_task1[[คะแนนเต็ม]:[คะแนนเต็ม]])*tbl_task1[[%]:[%]])</f>
        <v/>
      </c>
      <c r="LJ4" s="121" t="str">
        <f>IF(ISBLANK(tbl_task1[[คะแนนเต็ม]:[คะแนนเต็ม]]),"",(tbl_task1[152]/tbl_task1[[คะแนนเต็ม]:[คะแนนเต็ม]])*tbl_task1[[%]:[%]])</f>
        <v/>
      </c>
      <c r="LK4" s="121" t="str">
        <f>IF(ISBLANK(tbl_task1[[คะแนนเต็ม]:[คะแนนเต็ม]]),"",(tbl_task1[153]/tbl_task1[[คะแนนเต็ม]:[คะแนนเต็ม]])*tbl_task1[[%]:[%]])</f>
        <v/>
      </c>
      <c r="LL4" s="121" t="str">
        <f>IF(ISBLANK(tbl_task1[[คะแนนเต็ม]:[คะแนนเต็ม]]),"",(tbl_task1[154]/tbl_task1[[คะแนนเต็ม]:[คะแนนเต็ม]])*tbl_task1[[%]:[%]])</f>
        <v/>
      </c>
      <c r="LM4" s="121" t="str">
        <f>IF(ISBLANK(tbl_task1[[คะแนนเต็ม]:[คะแนนเต็ม]]),"",(tbl_task1[155]/tbl_task1[[คะแนนเต็ม]:[คะแนนเต็ม]])*tbl_task1[[%]:[%]])</f>
        <v/>
      </c>
      <c r="LN4" s="121" t="str">
        <f>IF(ISBLANK(tbl_task1[[คะแนนเต็ม]:[คะแนนเต็ม]]),"",(tbl_task1[156]/tbl_task1[[คะแนนเต็ม]:[คะแนนเต็ม]])*tbl_task1[[%]:[%]])</f>
        <v/>
      </c>
      <c r="LO4" s="121" t="str">
        <f>IF(ISBLANK(tbl_task1[[คะแนนเต็ม]:[คะแนนเต็ม]]),"",(tbl_task1[157]/tbl_task1[[คะแนนเต็ม]:[คะแนนเต็ม]])*tbl_task1[[%]:[%]])</f>
        <v/>
      </c>
      <c r="LP4" s="121" t="str">
        <f>IF(ISBLANK(tbl_task1[[คะแนนเต็ม]:[คะแนนเต็ม]]),"",(tbl_task1[158]/tbl_task1[[คะแนนเต็ม]:[คะแนนเต็ม]])*tbl_task1[[%]:[%]])</f>
        <v/>
      </c>
      <c r="LQ4" s="121" t="str">
        <f>IF(ISBLANK(tbl_task1[[คะแนนเต็ม]:[คะแนนเต็ม]]),"",(tbl_task1[159]/tbl_task1[[คะแนนเต็ม]:[คะแนนเต็ม]])*tbl_task1[[%]:[%]])</f>
        <v/>
      </c>
      <c r="LR4" s="121" t="str">
        <f>IF(ISBLANK(tbl_task1[[คะแนนเต็ม]:[คะแนนเต็ม]]),"",(tbl_task1[160]/tbl_task1[[คะแนนเต็ม]:[คะแนนเต็ม]])*tbl_task1[[%]:[%]])</f>
        <v/>
      </c>
      <c r="LS4" s="121" t="str">
        <f>IF(ISBLANK(tbl_task1[[คะแนนเต็ม]:[คะแนนเต็ม]]),"",(tbl_task1[161]/tbl_task1[[คะแนนเต็ม]:[คะแนนเต็ม]])*tbl_task1[[%]:[%]])</f>
        <v/>
      </c>
      <c r="LT4" s="121" t="str">
        <f>IF(ISBLANK(tbl_task1[[คะแนนเต็ม]:[คะแนนเต็ม]]),"",(tbl_task1[162]/tbl_task1[[คะแนนเต็ม]:[คะแนนเต็ม]])*tbl_task1[[%]:[%]])</f>
        <v/>
      </c>
      <c r="LU4" s="121" t="str">
        <f>IF(ISBLANK(tbl_task1[[คะแนนเต็ม]:[คะแนนเต็ม]]),"",(tbl_task1[163]/tbl_task1[[คะแนนเต็ม]:[คะแนนเต็ม]])*tbl_task1[[%]:[%]])</f>
        <v/>
      </c>
      <c r="LV4" s="121" t="str">
        <f>IF(ISBLANK(tbl_task1[[คะแนนเต็ม]:[คะแนนเต็ม]]),"",(tbl_task1[164]/tbl_task1[[คะแนนเต็ม]:[คะแนนเต็ม]])*tbl_task1[[%]:[%]])</f>
        <v/>
      </c>
      <c r="LW4" s="121" t="str">
        <f>IF(ISBLANK(tbl_task1[[คะแนนเต็ม]:[คะแนนเต็ม]]),"",(tbl_task1[165]/tbl_task1[[คะแนนเต็ม]:[คะแนนเต็ม]])*tbl_task1[[%]:[%]])</f>
        <v/>
      </c>
    </row>
    <row r="5" spans="1:335" ht="23.25" customHeight="1" x14ac:dyDescent="0.25">
      <c r="A5" s="24">
        <v>2</v>
      </c>
      <c r="B5" s="20"/>
      <c r="C5" s="5" t="str">
        <f>IF(ISBLANK(B5),"",VLOOKUP(B5,tbl_PLOs[],2,0))</f>
        <v/>
      </c>
      <c r="D5" s="102"/>
      <c r="E5" s="10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22"/>
      <c r="FO5" s="121" t="str">
        <f>IF(ISBLANK(tbl_task1[[คะแนนเต็ม]:[คะแนนเต็ม]]),"",(tbl_task1[1]/tbl_task1[[คะแนนเต็ม]:[คะแนนเต็ม]])*tbl_task1[[%]:[%]])</f>
        <v/>
      </c>
      <c r="FP5" s="121" t="str">
        <f>IF(ISBLANK(tbl_task1[[คะแนนเต็ม]:[คะแนนเต็ม]]),"",(tbl_task1[2]/tbl_task1[[คะแนนเต็ม]:[คะแนนเต็ม]])*tbl_task1[[%]:[%]])</f>
        <v/>
      </c>
      <c r="FQ5" s="121" t="str">
        <f>IF(ISBLANK(tbl_task1[[คะแนนเต็ม]:[คะแนนเต็ม]]),"",(tbl_task1[3]/tbl_task1[[คะแนนเต็ม]:[คะแนนเต็ม]])*tbl_task1[[%]:[%]])</f>
        <v/>
      </c>
      <c r="FR5" s="121" t="str">
        <f>IF(ISBLANK(tbl_task1[[คะแนนเต็ม]:[คะแนนเต็ม]]),"",(tbl_task1[4]/tbl_task1[[คะแนนเต็ม]:[คะแนนเต็ม]])*tbl_task1[[%]:[%]])</f>
        <v/>
      </c>
      <c r="FS5" s="121" t="str">
        <f>IF(ISBLANK(tbl_task1[[คะแนนเต็ม]:[คะแนนเต็ม]]),"",(tbl_task1[5]/tbl_task1[[คะแนนเต็ม]:[คะแนนเต็ม]])*tbl_task1[[%]:[%]])</f>
        <v/>
      </c>
      <c r="FT5" s="121" t="str">
        <f>IF(ISBLANK(tbl_task1[[คะแนนเต็ม]:[คะแนนเต็ม]]),"",(tbl_task1[6]/tbl_task1[[คะแนนเต็ม]:[คะแนนเต็ม]])*tbl_task1[[%]:[%]])</f>
        <v/>
      </c>
      <c r="FU5" s="121" t="str">
        <f>IF(ISBLANK(tbl_task1[[คะแนนเต็ม]:[คะแนนเต็ม]]),"",(tbl_task1[7]/tbl_task1[[คะแนนเต็ม]:[คะแนนเต็ม]])*tbl_task1[[%]:[%]])</f>
        <v/>
      </c>
      <c r="FV5" s="121" t="str">
        <f>IF(ISBLANK(tbl_task1[[คะแนนเต็ม]:[คะแนนเต็ม]]),"",(tbl_task1[8]/tbl_task1[[คะแนนเต็ม]:[คะแนนเต็ม]])*tbl_task1[[%]:[%]])</f>
        <v/>
      </c>
      <c r="FW5" s="121" t="str">
        <f>IF(ISBLANK(tbl_task1[[คะแนนเต็ม]:[คะแนนเต็ม]]),"",(tbl_task1[9]/tbl_task1[[คะแนนเต็ม]:[คะแนนเต็ม]])*tbl_task1[[%]:[%]])</f>
        <v/>
      </c>
      <c r="FX5" s="121" t="str">
        <f>IF(ISBLANK(tbl_task1[[คะแนนเต็ม]:[คะแนนเต็ม]]),"",(tbl_task1[10]/tbl_task1[[คะแนนเต็ม]:[คะแนนเต็ม]])*tbl_task1[[%]:[%]])</f>
        <v/>
      </c>
      <c r="FY5" s="121" t="str">
        <f>IF(ISBLANK(tbl_task1[[คะแนนเต็ม]:[คะแนนเต็ม]]),"",(tbl_task1[11]/tbl_task1[[คะแนนเต็ม]:[คะแนนเต็ม]])*tbl_task1[[%]:[%]])</f>
        <v/>
      </c>
      <c r="FZ5" s="121" t="str">
        <f>IF(ISBLANK(tbl_task1[[คะแนนเต็ม]:[คะแนนเต็ม]]),"",(tbl_task1[12]/tbl_task1[[คะแนนเต็ม]:[คะแนนเต็ม]])*tbl_task1[[%]:[%]])</f>
        <v/>
      </c>
      <c r="GA5" s="121" t="str">
        <f>IF(ISBLANK(tbl_task1[[คะแนนเต็ม]:[คะแนนเต็ม]]),"",(tbl_task1[13]/tbl_task1[[คะแนนเต็ม]:[คะแนนเต็ม]])*tbl_task1[[%]:[%]])</f>
        <v/>
      </c>
      <c r="GB5" s="121" t="str">
        <f>IF(ISBLANK(tbl_task1[[คะแนนเต็ม]:[คะแนนเต็ม]]),"",(tbl_task1[14]/tbl_task1[[คะแนนเต็ม]:[คะแนนเต็ม]])*tbl_task1[[%]:[%]])</f>
        <v/>
      </c>
      <c r="GC5" s="121" t="str">
        <f>IF(ISBLANK(tbl_task1[[คะแนนเต็ม]:[คะแนนเต็ม]]),"",(tbl_task1[15]/tbl_task1[[คะแนนเต็ม]:[คะแนนเต็ม]])*tbl_task1[[%]:[%]])</f>
        <v/>
      </c>
      <c r="GD5" s="121" t="str">
        <f>IF(ISBLANK(tbl_task1[[คะแนนเต็ม]:[คะแนนเต็ม]]),"",(tbl_task1[16]/tbl_task1[[คะแนนเต็ม]:[คะแนนเต็ม]])*tbl_task1[[%]:[%]])</f>
        <v/>
      </c>
      <c r="GE5" s="121" t="str">
        <f>IF(ISBLANK(tbl_task1[[คะแนนเต็ม]:[คะแนนเต็ม]]),"",(tbl_task1[17]/tbl_task1[[คะแนนเต็ม]:[คะแนนเต็ม]])*tbl_task1[[%]:[%]])</f>
        <v/>
      </c>
      <c r="GF5" s="121" t="str">
        <f>IF(ISBLANK(tbl_task1[[คะแนนเต็ม]:[คะแนนเต็ม]]),"",(tbl_task1[18]/tbl_task1[[คะแนนเต็ม]:[คะแนนเต็ม]])*tbl_task1[[%]:[%]])</f>
        <v/>
      </c>
      <c r="GG5" s="121" t="str">
        <f>IF(ISBLANK(tbl_task1[[คะแนนเต็ม]:[คะแนนเต็ม]]),"",(tbl_task1[19]/tbl_task1[[คะแนนเต็ม]:[คะแนนเต็ม]])*tbl_task1[[%]:[%]])</f>
        <v/>
      </c>
      <c r="GH5" s="121" t="str">
        <f>IF(ISBLANK(tbl_task1[[คะแนนเต็ม]:[คะแนนเต็ม]]),"",(tbl_task1[20]/tbl_task1[[คะแนนเต็ม]:[คะแนนเต็ม]])*tbl_task1[[%]:[%]])</f>
        <v/>
      </c>
      <c r="GI5" s="121" t="str">
        <f>IF(ISBLANK(tbl_task1[[คะแนนเต็ม]:[คะแนนเต็ม]]),"",(tbl_task1[21]/tbl_task1[[คะแนนเต็ม]:[คะแนนเต็ม]])*tbl_task1[[%]:[%]])</f>
        <v/>
      </c>
      <c r="GJ5" s="121" t="str">
        <f>IF(ISBLANK(tbl_task1[[คะแนนเต็ม]:[คะแนนเต็ม]]),"",(tbl_task1[22]/tbl_task1[[คะแนนเต็ม]:[คะแนนเต็ม]])*tbl_task1[[%]:[%]])</f>
        <v/>
      </c>
      <c r="GK5" s="121" t="str">
        <f>IF(ISBLANK(tbl_task1[[คะแนนเต็ม]:[คะแนนเต็ม]]),"",(tbl_task1[23]/tbl_task1[[คะแนนเต็ม]:[คะแนนเต็ม]])*tbl_task1[[%]:[%]])</f>
        <v/>
      </c>
      <c r="GL5" s="121" t="str">
        <f>IF(ISBLANK(tbl_task1[[คะแนนเต็ม]:[คะแนนเต็ม]]),"",(tbl_task1[24]/tbl_task1[[คะแนนเต็ม]:[คะแนนเต็ม]])*tbl_task1[[%]:[%]])</f>
        <v/>
      </c>
      <c r="GM5" s="121" t="str">
        <f>IF(ISBLANK(tbl_task1[[คะแนนเต็ม]:[คะแนนเต็ม]]),"",(tbl_task1[25]/tbl_task1[[คะแนนเต็ม]:[คะแนนเต็ม]])*tbl_task1[[%]:[%]])</f>
        <v/>
      </c>
      <c r="GN5" s="121" t="str">
        <f>IF(ISBLANK(tbl_task1[[คะแนนเต็ม]:[คะแนนเต็ม]]),"",(tbl_task1[26]/tbl_task1[[คะแนนเต็ม]:[คะแนนเต็ม]])*tbl_task1[[%]:[%]])</f>
        <v/>
      </c>
      <c r="GO5" s="121" t="str">
        <f>IF(ISBLANK(tbl_task1[[คะแนนเต็ม]:[คะแนนเต็ม]]),"",(tbl_task1[27]/tbl_task1[[คะแนนเต็ม]:[คะแนนเต็ม]])*tbl_task1[[%]:[%]])</f>
        <v/>
      </c>
      <c r="GP5" s="121" t="str">
        <f>IF(ISBLANK(tbl_task1[[คะแนนเต็ม]:[คะแนนเต็ม]]),"",(tbl_task1[28]/tbl_task1[[คะแนนเต็ม]:[คะแนนเต็ม]])*tbl_task1[[%]:[%]])</f>
        <v/>
      </c>
      <c r="GQ5" s="121" t="str">
        <f>IF(ISBLANK(tbl_task1[[คะแนนเต็ม]:[คะแนนเต็ม]]),"",(tbl_task1[29]/tbl_task1[[คะแนนเต็ม]:[คะแนนเต็ม]])*tbl_task1[[%]:[%]])</f>
        <v/>
      </c>
      <c r="GR5" s="121" t="str">
        <f>IF(ISBLANK(tbl_task1[[คะแนนเต็ม]:[คะแนนเต็ม]]),"",(tbl_task1[30]/tbl_task1[[คะแนนเต็ม]:[คะแนนเต็ม]])*tbl_task1[[%]:[%]])</f>
        <v/>
      </c>
      <c r="GS5" s="121" t="str">
        <f>IF(ISBLANK(tbl_task1[[คะแนนเต็ม]:[คะแนนเต็ม]]),"",(tbl_task1[31]/tbl_task1[[คะแนนเต็ม]:[คะแนนเต็ม]])*tbl_task1[[%]:[%]])</f>
        <v/>
      </c>
      <c r="GT5" s="121" t="str">
        <f>IF(ISBLANK(tbl_task1[[คะแนนเต็ม]:[คะแนนเต็ม]]),"",(tbl_task1[32]/tbl_task1[[คะแนนเต็ม]:[คะแนนเต็ม]])*tbl_task1[[%]:[%]])</f>
        <v/>
      </c>
      <c r="GU5" s="121" t="str">
        <f>IF(ISBLANK(tbl_task1[[คะแนนเต็ม]:[คะแนนเต็ม]]),"",(tbl_task1[33]/tbl_task1[[คะแนนเต็ม]:[คะแนนเต็ม]])*tbl_task1[[%]:[%]])</f>
        <v/>
      </c>
      <c r="GV5" s="121" t="str">
        <f>IF(ISBLANK(tbl_task1[[คะแนนเต็ม]:[คะแนนเต็ม]]),"",(tbl_task1[34]/tbl_task1[[คะแนนเต็ม]:[คะแนนเต็ม]])*tbl_task1[[%]:[%]])</f>
        <v/>
      </c>
      <c r="GW5" s="121" t="str">
        <f>IF(ISBLANK(tbl_task1[[คะแนนเต็ม]:[คะแนนเต็ม]]),"",(tbl_task1[35]/tbl_task1[[คะแนนเต็ม]:[คะแนนเต็ม]])*tbl_task1[[%]:[%]])</f>
        <v/>
      </c>
      <c r="GX5" s="121" t="str">
        <f>IF(ISBLANK(tbl_task1[[คะแนนเต็ม]:[คะแนนเต็ม]]),"",(tbl_task1[36]/tbl_task1[[คะแนนเต็ม]:[คะแนนเต็ม]])*tbl_task1[[%]:[%]])</f>
        <v/>
      </c>
      <c r="GY5" s="121" t="str">
        <f>IF(ISBLANK(tbl_task1[[คะแนนเต็ม]:[คะแนนเต็ม]]),"",(tbl_task1[37]/tbl_task1[[คะแนนเต็ม]:[คะแนนเต็ม]])*tbl_task1[[%]:[%]])</f>
        <v/>
      </c>
      <c r="GZ5" s="121" t="str">
        <f>IF(ISBLANK(tbl_task1[[คะแนนเต็ม]:[คะแนนเต็ม]]),"",(tbl_task1[38]/tbl_task1[[คะแนนเต็ม]:[คะแนนเต็ม]])*tbl_task1[[%]:[%]])</f>
        <v/>
      </c>
      <c r="HA5" s="121" t="str">
        <f>IF(ISBLANK(tbl_task1[[คะแนนเต็ม]:[คะแนนเต็ม]]),"",(tbl_task1[39]/tbl_task1[[คะแนนเต็ม]:[คะแนนเต็ม]])*tbl_task1[[%]:[%]])</f>
        <v/>
      </c>
      <c r="HB5" s="121" t="str">
        <f>IF(ISBLANK(tbl_task1[[คะแนนเต็ม]:[คะแนนเต็ม]]),"",(tbl_task1[40]/tbl_task1[[คะแนนเต็ม]:[คะแนนเต็ม]])*tbl_task1[[%]:[%]])</f>
        <v/>
      </c>
      <c r="HC5" s="121" t="str">
        <f>IF(ISBLANK(tbl_task1[[คะแนนเต็ม]:[คะแนนเต็ม]]),"",(tbl_task1[41]/tbl_task1[[คะแนนเต็ม]:[คะแนนเต็ม]])*tbl_task1[[%]:[%]])</f>
        <v/>
      </c>
      <c r="HD5" s="121" t="str">
        <f>IF(ISBLANK(tbl_task1[[คะแนนเต็ม]:[คะแนนเต็ม]]),"",(tbl_task1[42]/tbl_task1[[คะแนนเต็ม]:[คะแนนเต็ม]])*tbl_task1[[%]:[%]])</f>
        <v/>
      </c>
      <c r="HE5" s="121" t="str">
        <f>IF(ISBLANK(tbl_task1[[คะแนนเต็ม]:[คะแนนเต็ม]]),"",(tbl_task1[43]/tbl_task1[[คะแนนเต็ม]:[คะแนนเต็ม]])*tbl_task1[[%]:[%]])</f>
        <v/>
      </c>
      <c r="HF5" s="121" t="str">
        <f>IF(ISBLANK(tbl_task1[[คะแนนเต็ม]:[คะแนนเต็ม]]),"",(tbl_task1[44]/tbl_task1[[คะแนนเต็ม]:[คะแนนเต็ม]])*tbl_task1[[%]:[%]])</f>
        <v/>
      </c>
      <c r="HG5" s="121" t="str">
        <f>IF(ISBLANK(tbl_task1[[คะแนนเต็ม]:[คะแนนเต็ม]]),"",(tbl_task1[45]/tbl_task1[[คะแนนเต็ม]:[คะแนนเต็ม]])*tbl_task1[[%]:[%]])</f>
        <v/>
      </c>
      <c r="HH5" s="121" t="str">
        <f>IF(ISBLANK(tbl_task1[[คะแนนเต็ม]:[คะแนนเต็ม]]),"",(tbl_task1[46]/tbl_task1[[คะแนนเต็ม]:[คะแนนเต็ม]])*tbl_task1[[%]:[%]])</f>
        <v/>
      </c>
      <c r="HI5" s="121" t="str">
        <f>IF(ISBLANK(tbl_task1[[คะแนนเต็ม]:[คะแนนเต็ม]]),"",(tbl_task1[47]/tbl_task1[[คะแนนเต็ม]:[คะแนนเต็ม]])*tbl_task1[[%]:[%]])</f>
        <v/>
      </c>
      <c r="HJ5" s="121" t="str">
        <f>IF(ISBLANK(tbl_task1[[คะแนนเต็ม]:[คะแนนเต็ม]]),"",(tbl_task1[48]/tbl_task1[[คะแนนเต็ม]:[คะแนนเต็ม]])*tbl_task1[[%]:[%]])</f>
        <v/>
      </c>
      <c r="HK5" s="121" t="str">
        <f>IF(ISBLANK(tbl_task1[[คะแนนเต็ม]:[คะแนนเต็ม]]),"",(tbl_task1[49]/tbl_task1[[คะแนนเต็ม]:[คะแนนเต็ม]])*tbl_task1[[%]:[%]])</f>
        <v/>
      </c>
      <c r="HL5" s="121" t="str">
        <f>IF(ISBLANK(tbl_task1[[คะแนนเต็ม]:[คะแนนเต็ม]]),"",(tbl_task1[50]/tbl_task1[[คะแนนเต็ม]:[คะแนนเต็ม]])*tbl_task1[[%]:[%]])</f>
        <v/>
      </c>
      <c r="HM5" s="121" t="str">
        <f>IF(ISBLANK(tbl_task1[[คะแนนเต็ม]:[คะแนนเต็ม]]),"",(tbl_task1[51]/tbl_task1[[คะแนนเต็ม]:[คะแนนเต็ม]])*tbl_task1[[%]:[%]])</f>
        <v/>
      </c>
      <c r="HN5" s="121" t="str">
        <f>IF(ISBLANK(tbl_task1[[คะแนนเต็ม]:[คะแนนเต็ม]]),"",(tbl_task1[52]/tbl_task1[[คะแนนเต็ม]:[คะแนนเต็ม]])*tbl_task1[[%]:[%]])</f>
        <v/>
      </c>
      <c r="HO5" s="121" t="str">
        <f>IF(ISBLANK(tbl_task1[[คะแนนเต็ม]:[คะแนนเต็ม]]),"",(tbl_task1[53]/tbl_task1[[คะแนนเต็ม]:[คะแนนเต็ม]])*tbl_task1[[%]:[%]])</f>
        <v/>
      </c>
      <c r="HP5" s="121" t="str">
        <f>IF(ISBLANK(tbl_task1[[คะแนนเต็ม]:[คะแนนเต็ม]]),"",(tbl_task1[54]/tbl_task1[[คะแนนเต็ม]:[คะแนนเต็ม]])*tbl_task1[[%]:[%]])</f>
        <v/>
      </c>
      <c r="HQ5" s="121" t="str">
        <f>IF(ISBLANK(tbl_task1[[คะแนนเต็ม]:[คะแนนเต็ม]]),"",(tbl_task1[55]/tbl_task1[[คะแนนเต็ม]:[คะแนนเต็ม]])*tbl_task1[[%]:[%]])</f>
        <v/>
      </c>
      <c r="HR5" s="121" t="str">
        <f>IF(ISBLANK(tbl_task1[[คะแนนเต็ม]:[คะแนนเต็ม]]),"",(tbl_task1[56]/tbl_task1[[คะแนนเต็ม]:[คะแนนเต็ม]])*tbl_task1[[%]:[%]])</f>
        <v/>
      </c>
      <c r="HS5" s="121" t="str">
        <f>IF(ISBLANK(tbl_task1[[คะแนนเต็ม]:[คะแนนเต็ม]]),"",(tbl_task1[57]/tbl_task1[[คะแนนเต็ม]:[คะแนนเต็ม]])*tbl_task1[[%]:[%]])</f>
        <v/>
      </c>
      <c r="HT5" s="121" t="str">
        <f>IF(ISBLANK(tbl_task1[[คะแนนเต็ม]:[คะแนนเต็ม]]),"",(tbl_task1[58]/tbl_task1[[คะแนนเต็ม]:[คะแนนเต็ม]])*tbl_task1[[%]:[%]])</f>
        <v/>
      </c>
      <c r="HU5" s="121" t="str">
        <f>IF(ISBLANK(tbl_task1[[คะแนนเต็ม]:[คะแนนเต็ม]]),"",(tbl_task1[59]/tbl_task1[[คะแนนเต็ม]:[คะแนนเต็ม]])*tbl_task1[[%]:[%]])</f>
        <v/>
      </c>
      <c r="HV5" s="121" t="str">
        <f>IF(ISBLANK(tbl_task1[[คะแนนเต็ม]:[คะแนนเต็ม]]),"",(tbl_task1[60]/tbl_task1[[คะแนนเต็ม]:[คะแนนเต็ม]])*tbl_task1[[%]:[%]])</f>
        <v/>
      </c>
      <c r="HW5" s="121" t="str">
        <f>IF(ISBLANK(tbl_task1[[คะแนนเต็ม]:[คะแนนเต็ม]]),"",(tbl_task1[61]/tbl_task1[[คะแนนเต็ม]:[คะแนนเต็ม]])*tbl_task1[[%]:[%]])</f>
        <v/>
      </c>
      <c r="HX5" s="121" t="str">
        <f>IF(ISBLANK(tbl_task1[[คะแนนเต็ม]:[คะแนนเต็ม]]),"",(tbl_task1[62]/tbl_task1[[คะแนนเต็ม]:[คะแนนเต็ม]])*tbl_task1[[%]:[%]])</f>
        <v/>
      </c>
      <c r="HY5" s="121" t="str">
        <f>IF(ISBLANK(tbl_task1[[คะแนนเต็ม]:[คะแนนเต็ม]]),"",(tbl_task1[63]/tbl_task1[[คะแนนเต็ม]:[คะแนนเต็ม]])*tbl_task1[[%]:[%]])</f>
        <v/>
      </c>
      <c r="HZ5" s="121" t="str">
        <f>IF(ISBLANK(tbl_task1[[คะแนนเต็ม]:[คะแนนเต็ม]]),"",(tbl_task1[64]/tbl_task1[[คะแนนเต็ม]:[คะแนนเต็ม]])*tbl_task1[[%]:[%]])</f>
        <v/>
      </c>
      <c r="IA5" s="121" t="str">
        <f>IF(ISBLANK(tbl_task1[[คะแนนเต็ม]:[คะแนนเต็ม]]),"",(tbl_task1[65]/tbl_task1[[คะแนนเต็ม]:[คะแนนเต็ม]])*tbl_task1[[%]:[%]])</f>
        <v/>
      </c>
      <c r="IB5" s="121" t="str">
        <f>IF(ISBLANK(tbl_task1[[คะแนนเต็ม]:[คะแนนเต็ม]]),"",(tbl_task1[66]/tbl_task1[[คะแนนเต็ม]:[คะแนนเต็ม]])*tbl_task1[[%]:[%]])</f>
        <v/>
      </c>
      <c r="IC5" s="121" t="str">
        <f>IF(ISBLANK(tbl_task1[[คะแนนเต็ม]:[คะแนนเต็ม]]),"",(tbl_task1[67]/tbl_task1[[คะแนนเต็ม]:[คะแนนเต็ม]])*tbl_task1[[%]:[%]])</f>
        <v/>
      </c>
      <c r="ID5" s="121" t="str">
        <f>IF(ISBLANK(tbl_task1[[คะแนนเต็ม]:[คะแนนเต็ม]]),"",(tbl_task1[68]/tbl_task1[[คะแนนเต็ม]:[คะแนนเต็ม]])*tbl_task1[[%]:[%]])</f>
        <v/>
      </c>
      <c r="IE5" s="121" t="str">
        <f>IF(ISBLANK(tbl_task1[[คะแนนเต็ม]:[คะแนนเต็ม]]),"",(tbl_task1[69]/tbl_task1[[คะแนนเต็ม]:[คะแนนเต็ม]])*tbl_task1[[%]:[%]])</f>
        <v/>
      </c>
      <c r="IF5" s="121" t="str">
        <f>IF(ISBLANK(tbl_task1[[คะแนนเต็ม]:[คะแนนเต็ม]]),"",(tbl_task1[70]/tbl_task1[[คะแนนเต็ม]:[คะแนนเต็ม]])*tbl_task1[[%]:[%]])</f>
        <v/>
      </c>
      <c r="IG5" s="121" t="str">
        <f>IF(ISBLANK(tbl_task1[[คะแนนเต็ม]:[คะแนนเต็ม]]),"",(tbl_task1[71]/tbl_task1[[คะแนนเต็ม]:[คะแนนเต็ม]])*tbl_task1[[%]:[%]])</f>
        <v/>
      </c>
      <c r="IH5" s="121" t="str">
        <f>IF(ISBLANK(tbl_task1[[คะแนนเต็ม]:[คะแนนเต็ม]]),"",(tbl_task1[72]/tbl_task1[[คะแนนเต็ม]:[คะแนนเต็ม]])*tbl_task1[[%]:[%]])</f>
        <v/>
      </c>
      <c r="II5" s="121" t="str">
        <f>IF(ISBLANK(tbl_task1[[คะแนนเต็ม]:[คะแนนเต็ม]]),"",(tbl_task1[73]/tbl_task1[[คะแนนเต็ม]:[คะแนนเต็ม]])*tbl_task1[[%]:[%]])</f>
        <v/>
      </c>
      <c r="IJ5" s="121" t="str">
        <f>IF(ISBLANK(tbl_task1[[คะแนนเต็ม]:[คะแนนเต็ม]]),"",(tbl_task1[74]/tbl_task1[[คะแนนเต็ม]:[คะแนนเต็ม]])*tbl_task1[[%]:[%]])</f>
        <v/>
      </c>
      <c r="IK5" s="121" t="str">
        <f>IF(ISBLANK(tbl_task1[[คะแนนเต็ม]:[คะแนนเต็ม]]),"",(tbl_task1[75]/tbl_task1[[คะแนนเต็ม]:[คะแนนเต็ม]])*tbl_task1[[%]:[%]])</f>
        <v/>
      </c>
      <c r="IL5" s="121" t="str">
        <f>IF(ISBLANK(tbl_task1[[คะแนนเต็ม]:[คะแนนเต็ม]]),"",(tbl_task1[76]/tbl_task1[[คะแนนเต็ม]:[คะแนนเต็ม]])*tbl_task1[[%]:[%]])</f>
        <v/>
      </c>
      <c r="IM5" s="121" t="str">
        <f>IF(ISBLANK(tbl_task1[[คะแนนเต็ม]:[คะแนนเต็ม]]),"",(tbl_task1[77]/tbl_task1[[คะแนนเต็ม]:[คะแนนเต็ม]])*tbl_task1[[%]:[%]])</f>
        <v/>
      </c>
      <c r="IN5" s="121" t="str">
        <f>IF(ISBLANK(tbl_task1[[คะแนนเต็ม]:[คะแนนเต็ม]]),"",(tbl_task1[78]/tbl_task1[[คะแนนเต็ม]:[คะแนนเต็ม]])*tbl_task1[[%]:[%]])</f>
        <v/>
      </c>
      <c r="IO5" s="121" t="str">
        <f>IF(ISBLANK(tbl_task1[[คะแนนเต็ม]:[คะแนนเต็ม]]),"",(tbl_task1[79]/tbl_task1[[คะแนนเต็ม]:[คะแนนเต็ม]])*tbl_task1[[%]:[%]])</f>
        <v/>
      </c>
      <c r="IP5" s="121" t="str">
        <f>IF(ISBLANK(tbl_task1[[คะแนนเต็ม]:[คะแนนเต็ม]]),"",(tbl_task1[80]/tbl_task1[[คะแนนเต็ม]:[คะแนนเต็ม]])*tbl_task1[[%]:[%]])</f>
        <v/>
      </c>
      <c r="IQ5" s="121" t="str">
        <f>IF(ISBLANK(tbl_task1[[คะแนนเต็ม]:[คะแนนเต็ม]]),"",(tbl_task1[81]/tbl_task1[[คะแนนเต็ม]:[คะแนนเต็ม]])*tbl_task1[[%]:[%]])</f>
        <v/>
      </c>
      <c r="IR5" s="121" t="str">
        <f>IF(ISBLANK(tbl_task1[[คะแนนเต็ม]:[คะแนนเต็ม]]),"",(tbl_task1[82]/tbl_task1[[คะแนนเต็ม]:[คะแนนเต็ม]])*tbl_task1[[%]:[%]])</f>
        <v/>
      </c>
      <c r="IS5" s="121" t="str">
        <f>IF(ISBLANK(tbl_task1[[คะแนนเต็ม]:[คะแนนเต็ม]]),"",(tbl_task1[83]/tbl_task1[[คะแนนเต็ม]:[คะแนนเต็ม]])*tbl_task1[[%]:[%]])</f>
        <v/>
      </c>
      <c r="IT5" s="121" t="str">
        <f>IF(ISBLANK(tbl_task1[[คะแนนเต็ม]:[คะแนนเต็ม]]),"",(tbl_task1[84]/tbl_task1[[คะแนนเต็ม]:[คะแนนเต็ม]])*tbl_task1[[%]:[%]])</f>
        <v/>
      </c>
      <c r="IU5" s="121" t="str">
        <f>IF(ISBLANK(tbl_task1[[คะแนนเต็ม]:[คะแนนเต็ม]]),"",(tbl_task1[85]/tbl_task1[[คะแนนเต็ม]:[คะแนนเต็ม]])*tbl_task1[[%]:[%]])</f>
        <v/>
      </c>
      <c r="IV5" s="121" t="str">
        <f>IF(ISBLANK(tbl_task1[[คะแนนเต็ม]:[คะแนนเต็ม]]),"",(tbl_task1[86]/tbl_task1[[คะแนนเต็ม]:[คะแนนเต็ม]])*tbl_task1[[%]:[%]])</f>
        <v/>
      </c>
      <c r="IW5" s="121" t="str">
        <f>IF(ISBLANK(tbl_task1[[คะแนนเต็ม]:[คะแนนเต็ม]]),"",(tbl_task1[87]/tbl_task1[[คะแนนเต็ม]:[คะแนนเต็ม]])*tbl_task1[[%]:[%]])</f>
        <v/>
      </c>
      <c r="IX5" s="121" t="str">
        <f>IF(ISBLANK(tbl_task1[[คะแนนเต็ม]:[คะแนนเต็ม]]),"",(tbl_task1[88]/tbl_task1[[คะแนนเต็ม]:[คะแนนเต็ม]])*tbl_task1[[%]:[%]])</f>
        <v/>
      </c>
      <c r="IY5" s="121" t="str">
        <f>IF(ISBLANK(tbl_task1[[คะแนนเต็ม]:[คะแนนเต็ม]]),"",(tbl_task1[89]/tbl_task1[[คะแนนเต็ม]:[คะแนนเต็ม]])*tbl_task1[[%]:[%]])</f>
        <v/>
      </c>
      <c r="IZ5" s="121" t="str">
        <f>IF(ISBLANK(tbl_task1[[คะแนนเต็ม]:[คะแนนเต็ม]]),"",(tbl_task1[90]/tbl_task1[[คะแนนเต็ม]:[คะแนนเต็ม]])*tbl_task1[[%]:[%]])</f>
        <v/>
      </c>
      <c r="JA5" s="121" t="str">
        <f>IF(ISBLANK(tbl_task1[[คะแนนเต็ม]:[คะแนนเต็ม]]),"",(tbl_task1[91]/tbl_task1[[คะแนนเต็ม]:[คะแนนเต็ม]])*tbl_task1[[%]:[%]])</f>
        <v/>
      </c>
      <c r="JB5" s="121" t="str">
        <f>IF(ISBLANK(tbl_task1[[คะแนนเต็ม]:[คะแนนเต็ม]]),"",(tbl_task1[92]/tbl_task1[[คะแนนเต็ม]:[คะแนนเต็ม]])*tbl_task1[[%]:[%]])</f>
        <v/>
      </c>
      <c r="JC5" s="121" t="str">
        <f>IF(ISBLANK(tbl_task1[[คะแนนเต็ม]:[คะแนนเต็ม]]),"",(tbl_task1[93]/tbl_task1[[คะแนนเต็ม]:[คะแนนเต็ม]])*tbl_task1[[%]:[%]])</f>
        <v/>
      </c>
      <c r="JD5" s="121" t="str">
        <f>IF(ISBLANK(tbl_task1[[คะแนนเต็ม]:[คะแนนเต็ม]]),"",(tbl_task1[94]/tbl_task1[[คะแนนเต็ม]:[คะแนนเต็ม]])*tbl_task1[[%]:[%]])</f>
        <v/>
      </c>
      <c r="JE5" s="121" t="str">
        <f>IF(ISBLANK(tbl_task1[[คะแนนเต็ม]:[คะแนนเต็ม]]),"",(tbl_task1[95]/tbl_task1[[คะแนนเต็ม]:[คะแนนเต็ม]])*tbl_task1[[%]:[%]])</f>
        <v/>
      </c>
      <c r="JF5" s="121" t="str">
        <f>IF(ISBLANK(tbl_task1[[คะแนนเต็ม]:[คะแนนเต็ม]]),"",(tbl_task1[96]/tbl_task1[[คะแนนเต็ม]:[คะแนนเต็ม]])*tbl_task1[[%]:[%]])</f>
        <v/>
      </c>
      <c r="JG5" s="121" t="str">
        <f>IF(ISBLANK(tbl_task1[[คะแนนเต็ม]:[คะแนนเต็ม]]),"",(tbl_task1[97]/tbl_task1[[คะแนนเต็ม]:[คะแนนเต็ม]])*tbl_task1[[%]:[%]])</f>
        <v/>
      </c>
      <c r="JH5" s="121" t="str">
        <f>IF(ISBLANK(tbl_task1[[คะแนนเต็ม]:[คะแนนเต็ม]]),"",(tbl_task1[98]/tbl_task1[[คะแนนเต็ม]:[คะแนนเต็ม]])*tbl_task1[[%]:[%]])</f>
        <v/>
      </c>
      <c r="JI5" s="121" t="str">
        <f>IF(ISBLANK(tbl_task1[[คะแนนเต็ม]:[คะแนนเต็ม]]),"",(tbl_task1[99]/tbl_task1[[คะแนนเต็ม]:[คะแนนเต็ม]])*tbl_task1[[%]:[%]])</f>
        <v/>
      </c>
      <c r="JJ5" s="121" t="str">
        <f>IF(ISBLANK(tbl_task1[[คะแนนเต็ม]:[คะแนนเต็ม]]),"",(tbl_task1[100]/tbl_task1[[คะแนนเต็ม]:[คะแนนเต็ม]])*tbl_task1[[%]:[%]])</f>
        <v/>
      </c>
      <c r="JK5" s="121" t="str">
        <f>IF(ISBLANK(tbl_task1[[คะแนนเต็ม]:[คะแนนเต็ม]]),"",(tbl_task1[101]/tbl_task1[[คะแนนเต็ม]:[คะแนนเต็ม]])*tbl_task1[[%]:[%]])</f>
        <v/>
      </c>
      <c r="JL5" s="121" t="str">
        <f>IF(ISBLANK(tbl_task1[[คะแนนเต็ม]:[คะแนนเต็ม]]),"",(tbl_task1[102]/tbl_task1[[คะแนนเต็ม]:[คะแนนเต็ม]])*tbl_task1[[%]:[%]])</f>
        <v/>
      </c>
      <c r="JM5" s="121" t="str">
        <f>IF(ISBLANK(tbl_task1[[คะแนนเต็ม]:[คะแนนเต็ม]]),"",(tbl_task1[103]/tbl_task1[[คะแนนเต็ม]:[คะแนนเต็ม]])*tbl_task1[[%]:[%]])</f>
        <v/>
      </c>
      <c r="JN5" s="121" t="str">
        <f>IF(ISBLANK(tbl_task1[[คะแนนเต็ม]:[คะแนนเต็ม]]),"",(tbl_task1[104]/tbl_task1[[คะแนนเต็ม]:[คะแนนเต็ม]])*tbl_task1[[%]:[%]])</f>
        <v/>
      </c>
      <c r="JO5" s="121" t="str">
        <f>IF(ISBLANK(tbl_task1[[คะแนนเต็ม]:[คะแนนเต็ม]]),"",(tbl_task1[105]/tbl_task1[[คะแนนเต็ม]:[คะแนนเต็ม]])*tbl_task1[[%]:[%]])</f>
        <v/>
      </c>
      <c r="JP5" s="121" t="str">
        <f>IF(ISBLANK(tbl_task1[[คะแนนเต็ม]:[คะแนนเต็ม]]),"",(tbl_task1[106]/tbl_task1[[คะแนนเต็ม]:[คะแนนเต็ม]])*tbl_task1[[%]:[%]])</f>
        <v/>
      </c>
      <c r="JQ5" s="121" t="str">
        <f>IF(ISBLANK(tbl_task1[[คะแนนเต็ม]:[คะแนนเต็ม]]),"",(tbl_task1[107]/tbl_task1[[คะแนนเต็ม]:[คะแนนเต็ม]])*tbl_task1[[%]:[%]])</f>
        <v/>
      </c>
      <c r="JR5" s="121" t="str">
        <f>IF(ISBLANK(tbl_task1[[คะแนนเต็ม]:[คะแนนเต็ม]]),"",(tbl_task1[108]/tbl_task1[[คะแนนเต็ม]:[คะแนนเต็ม]])*tbl_task1[[%]:[%]])</f>
        <v/>
      </c>
      <c r="JS5" s="121" t="str">
        <f>IF(ISBLANK(tbl_task1[[คะแนนเต็ม]:[คะแนนเต็ม]]),"",(tbl_task1[109]/tbl_task1[[คะแนนเต็ม]:[คะแนนเต็ม]])*tbl_task1[[%]:[%]])</f>
        <v/>
      </c>
      <c r="JT5" s="121" t="str">
        <f>IF(ISBLANK(tbl_task1[[คะแนนเต็ม]:[คะแนนเต็ม]]),"",(tbl_task1[110]/tbl_task1[[คะแนนเต็ม]:[คะแนนเต็ม]])*tbl_task1[[%]:[%]])</f>
        <v/>
      </c>
      <c r="JU5" s="121" t="str">
        <f>IF(ISBLANK(tbl_task1[[คะแนนเต็ม]:[คะแนนเต็ม]]),"",(tbl_task1[111]/tbl_task1[[คะแนนเต็ม]:[คะแนนเต็ม]])*tbl_task1[[%]:[%]])</f>
        <v/>
      </c>
      <c r="JV5" s="121" t="str">
        <f>IF(ISBLANK(tbl_task1[[คะแนนเต็ม]:[คะแนนเต็ม]]),"",(tbl_task1[112]/tbl_task1[[คะแนนเต็ม]:[คะแนนเต็ม]])*tbl_task1[[%]:[%]])</f>
        <v/>
      </c>
      <c r="JW5" s="121" t="str">
        <f>IF(ISBLANK(tbl_task1[[คะแนนเต็ม]:[คะแนนเต็ม]]),"",(tbl_task1[113]/tbl_task1[[คะแนนเต็ม]:[คะแนนเต็ม]])*tbl_task1[[%]:[%]])</f>
        <v/>
      </c>
      <c r="JX5" s="121" t="str">
        <f>IF(ISBLANK(tbl_task1[[คะแนนเต็ม]:[คะแนนเต็ม]]),"",(tbl_task1[114]/tbl_task1[[คะแนนเต็ม]:[คะแนนเต็ม]])*tbl_task1[[%]:[%]])</f>
        <v/>
      </c>
      <c r="JY5" s="121" t="str">
        <f>IF(ISBLANK(tbl_task1[[คะแนนเต็ม]:[คะแนนเต็ม]]),"",(tbl_task1[115]/tbl_task1[[คะแนนเต็ม]:[คะแนนเต็ม]])*tbl_task1[[%]:[%]])</f>
        <v/>
      </c>
      <c r="JZ5" s="121" t="str">
        <f>IF(ISBLANK(tbl_task1[[คะแนนเต็ม]:[คะแนนเต็ม]]),"",(tbl_task1[116]/tbl_task1[[คะแนนเต็ม]:[คะแนนเต็ม]])*tbl_task1[[%]:[%]])</f>
        <v/>
      </c>
      <c r="KA5" s="121" t="str">
        <f>IF(ISBLANK(tbl_task1[[คะแนนเต็ม]:[คะแนนเต็ม]]),"",(tbl_task1[117]/tbl_task1[[คะแนนเต็ม]:[คะแนนเต็ม]])*tbl_task1[[%]:[%]])</f>
        <v/>
      </c>
      <c r="KB5" s="121" t="str">
        <f>IF(ISBLANK(tbl_task1[[คะแนนเต็ม]:[คะแนนเต็ม]]),"",(tbl_task1[118]/tbl_task1[[คะแนนเต็ม]:[คะแนนเต็ม]])*tbl_task1[[%]:[%]])</f>
        <v/>
      </c>
      <c r="KC5" s="121" t="str">
        <f>IF(ISBLANK(tbl_task1[[คะแนนเต็ม]:[คะแนนเต็ม]]),"",(tbl_task1[119]/tbl_task1[[คะแนนเต็ม]:[คะแนนเต็ม]])*tbl_task1[[%]:[%]])</f>
        <v/>
      </c>
      <c r="KD5" s="121" t="str">
        <f>IF(ISBLANK(tbl_task1[[คะแนนเต็ม]:[คะแนนเต็ม]]),"",(tbl_task1[120]/tbl_task1[[คะแนนเต็ม]:[คะแนนเต็ม]])*tbl_task1[[%]:[%]])</f>
        <v/>
      </c>
      <c r="KE5" s="121" t="str">
        <f>IF(ISBLANK(tbl_task1[[คะแนนเต็ม]:[คะแนนเต็ม]]),"",(tbl_task1[121]/tbl_task1[[คะแนนเต็ม]:[คะแนนเต็ม]])*tbl_task1[[%]:[%]])</f>
        <v/>
      </c>
      <c r="KF5" s="121" t="str">
        <f>IF(ISBLANK(tbl_task1[[คะแนนเต็ม]:[คะแนนเต็ม]]),"",(tbl_task1[122]/tbl_task1[[คะแนนเต็ม]:[คะแนนเต็ม]])*tbl_task1[[%]:[%]])</f>
        <v/>
      </c>
      <c r="KG5" s="121" t="str">
        <f>IF(ISBLANK(tbl_task1[[คะแนนเต็ม]:[คะแนนเต็ม]]),"",(tbl_task1[123]/tbl_task1[[คะแนนเต็ม]:[คะแนนเต็ม]])*tbl_task1[[%]:[%]])</f>
        <v/>
      </c>
      <c r="KH5" s="121" t="str">
        <f>IF(ISBLANK(tbl_task1[[คะแนนเต็ม]:[คะแนนเต็ม]]),"",(tbl_task1[124]/tbl_task1[[คะแนนเต็ม]:[คะแนนเต็ม]])*tbl_task1[[%]:[%]])</f>
        <v/>
      </c>
      <c r="KI5" s="121" t="str">
        <f>IF(ISBLANK(tbl_task1[[คะแนนเต็ม]:[คะแนนเต็ม]]),"",(tbl_task1[125]/tbl_task1[[คะแนนเต็ม]:[คะแนนเต็ม]])*tbl_task1[[%]:[%]])</f>
        <v/>
      </c>
      <c r="KJ5" s="121" t="str">
        <f>IF(ISBLANK(tbl_task1[[คะแนนเต็ม]:[คะแนนเต็ม]]),"",(tbl_task1[126]/tbl_task1[[คะแนนเต็ม]:[คะแนนเต็ม]])*tbl_task1[[%]:[%]])</f>
        <v/>
      </c>
      <c r="KK5" s="121" t="str">
        <f>IF(ISBLANK(tbl_task1[[คะแนนเต็ม]:[คะแนนเต็ม]]),"",(tbl_task1[127]/tbl_task1[[คะแนนเต็ม]:[คะแนนเต็ม]])*tbl_task1[[%]:[%]])</f>
        <v/>
      </c>
      <c r="KL5" s="121" t="str">
        <f>IF(ISBLANK(tbl_task1[[คะแนนเต็ม]:[คะแนนเต็ม]]),"",(tbl_task1[128]/tbl_task1[[คะแนนเต็ม]:[คะแนนเต็ม]])*tbl_task1[[%]:[%]])</f>
        <v/>
      </c>
      <c r="KM5" s="121" t="str">
        <f>IF(ISBLANK(tbl_task1[[คะแนนเต็ม]:[คะแนนเต็ม]]),"",(tbl_task1[129]/tbl_task1[[คะแนนเต็ม]:[คะแนนเต็ม]])*tbl_task1[[%]:[%]])</f>
        <v/>
      </c>
      <c r="KN5" s="121" t="str">
        <f>IF(ISBLANK(tbl_task1[[คะแนนเต็ม]:[คะแนนเต็ม]]),"",(tbl_task1[130]/tbl_task1[[คะแนนเต็ม]:[คะแนนเต็ม]])*tbl_task1[[%]:[%]])</f>
        <v/>
      </c>
      <c r="KO5" s="121" t="str">
        <f>IF(ISBLANK(tbl_task1[[คะแนนเต็ม]:[คะแนนเต็ม]]),"",(tbl_task1[131]/tbl_task1[[คะแนนเต็ม]:[คะแนนเต็ม]])*tbl_task1[[%]:[%]])</f>
        <v/>
      </c>
      <c r="KP5" s="121" t="str">
        <f>IF(ISBLANK(tbl_task1[[คะแนนเต็ม]:[คะแนนเต็ม]]),"",(tbl_task1[132]/tbl_task1[[คะแนนเต็ม]:[คะแนนเต็ม]])*tbl_task1[[%]:[%]])</f>
        <v/>
      </c>
      <c r="KQ5" s="121" t="str">
        <f>IF(ISBLANK(tbl_task1[[คะแนนเต็ม]:[คะแนนเต็ม]]),"",(tbl_task1[133]/tbl_task1[[คะแนนเต็ม]:[คะแนนเต็ม]])*tbl_task1[[%]:[%]])</f>
        <v/>
      </c>
      <c r="KR5" s="121" t="str">
        <f>IF(ISBLANK(tbl_task1[[คะแนนเต็ม]:[คะแนนเต็ม]]),"",(tbl_task1[134]/tbl_task1[[คะแนนเต็ม]:[คะแนนเต็ม]])*tbl_task1[[%]:[%]])</f>
        <v/>
      </c>
      <c r="KS5" s="121" t="str">
        <f>IF(ISBLANK(tbl_task1[[คะแนนเต็ม]:[คะแนนเต็ม]]),"",(tbl_task1[135]/tbl_task1[[คะแนนเต็ม]:[คะแนนเต็ม]])*tbl_task1[[%]:[%]])</f>
        <v/>
      </c>
      <c r="KT5" s="121" t="str">
        <f>IF(ISBLANK(tbl_task1[[คะแนนเต็ม]:[คะแนนเต็ม]]),"",(tbl_task1[136]/tbl_task1[[คะแนนเต็ม]:[คะแนนเต็ม]])*tbl_task1[[%]:[%]])</f>
        <v/>
      </c>
      <c r="KU5" s="121" t="str">
        <f>IF(ISBLANK(tbl_task1[[คะแนนเต็ม]:[คะแนนเต็ม]]),"",(tbl_task1[137]/tbl_task1[[คะแนนเต็ม]:[คะแนนเต็ม]])*tbl_task1[[%]:[%]])</f>
        <v/>
      </c>
      <c r="KV5" s="121" t="str">
        <f>IF(ISBLANK(tbl_task1[[คะแนนเต็ม]:[คะแนนเต็ม]]),"",(tbl_task1[138]/tbl_task1[[คะแนนเต็ม]:[คะแนนเต็ม]])*tbl_task1[[%]:[%]])</f>
        <v/>
      </c>
      <c r="KW5" s="121" t="str">
        <f>IF(ISBLANK(tbl_task1[[คะแนนเต็ม]:[คะแนนเต็ม]]),"",(tbl_task1[139]/tbl_task1[[คะแนนเต็ม]:[คะแนนเต็ม]])*tbl_task1[[%]:[%]])</f>
        <v/>
      </c>
      <c r="KX5" s="121" t="str">
        <f>IF(ISBLANK(tbl_task1[[คะแนนเต็ม]:[คะแนนเต็ม]]),"",(tbl_task1[140]/tbl_task1[[คะแนนเต็ม]:[คะแนนเต็ม]])*tbl_task1[[%]:[%]])</f>
        <v/>
      </c>
      <c r="KY5" s="121" t="str">
        <f>IF(ISBLANK(tbl_task1[[คะแนนเต็ม]:[คะแนนเต็ม]]),"",(tbl_task1[141]/tbl_task1[[คะแนนเต็ม]:[คะแนนเต็ม]])*tbl_task1[[%]:[%]])</f>
        <v/>
      </c>
      <c r="KZ5" s="121" t="str">
        <f>IF(ISBLANK(tbl_task1[[คะแนนเต็ม]:[คะแนนเต็ม]]),"",(tbl_task1[142]/tbl_task1[[คะแนนเต็ม]:[คะแนนเต็ม]])*tbl_task1[[%]:[%]])</f>
        <v/>
      </c>
      <c r="LA5" s="121" t="str">
        <f>IF(ISBLANK(tbl_task1[[คะแนนเต็ม]:[คะแนนเต็ม]]),"",(tbl_task1[143]/tbl_task1[[คะแนนเต็ม]:[คะแนนเต็ม]])*tbl_task1[[%]:[%]])</f>
        <v/>
      </c>
      <c r="LB5" s="121" t="str">
        <f>IF(ISBLANK(tbl_task1[[คะแนนเต็ม]:[คะแนนเต็ม]]),"",(tbl_task1[144]/tbl_task1[[คะแนนเต็ม]:[คะแนนเต็ม]])*tbl_task1[[%]:[%]])</f>
        <v/>
      </c>
      <c r="LC5" s="121" t="str">
        <f>IF(ISBLANK(tbl_task1[[คะแนนเต็ม]:[คะแนนเต็ม]]),"",(tbl_task1[145]/tbl_task1[[คะแนนเต็ม]:[คะแนนเต็ม]])*tbl_task1[[%]:[%]])</f>
        <v/>
      </c>
      <c r="LD5" s="121" t="str">
        <f>IF(ISBLANK(tbl_task1[[คะแนนเต็ม]:[คะแนนเต็ม]]),"",(tbl_task1[146]/tbl_task1[[คะแนนเต็ม]:[คะแนนเต็ม]])*tbl_task1[[%]:[%]])</f>
        <v/>
      </c>
      <c r="LE5" s="121" t="str">
        <f>IF(ISBLANK(tbl_task1[[คะแนนเต็ม]:[คะแนนเต็ม]]),"",(tbl_task1[147]/tbl_task1[[คะแนนเต็ม]:[คะแนนเต็ม]])*tbl_task1[[%]:[%]])</f>
        <v/>
      </c>
      <c r="LF5" s="121" t="str">
        <f>IF(ISBLANK(tbl_task1[[คะแนนเต็ม]:[คะแนนเต็ม]]),"",(tbl_task1[148]/tbl_task1[[คะแนนเต็ม]:[คะแนนเต็ม]])*tbl_task1[[%]:[%]])</f>
        <v/>
      </c>
      <c r="LG5" s="121" t="str">
        <f>IF(ISBLANK(tbl_task1[[คะแนนเต็ม]:[คะแนนเต็ม]]),"",(tbl_task1[149]/tbl_task1[[คะแนนเต็ม]:[คะแนนเต็ม]])*tbl_task1[[%]:[%]])</f>
        <v/>
      </c>
      <c r="LH5" s="121" t="str">
        <f>IF(ISBLANK(tbl_task1[[คะแนนเต็ม]:[คะแนนเต็ม]]),"",(tbl_task1[150]/tbl_task1[[คะแนนเต็ม]:[คะแนนเต็ม]])*tbl_task1[[%]:[%]])</f>
        <v/>
      </c>
      <c r="LI5" s="121" t="str">
        <f>IF(ISBLANK(tbl_task1[[คะแนนเต็ม]:[คะแนนเต็ม]]),"",(tbl_task1[151]/tbl_task1[[คะแนนเต็ม]:[คะแนนเต็ม]])*tbl_task1[[%]:[%]])</f>
        <v/>
      </c>
      <c r="LJ5" s="121" t="str">
        <f>IF(ISBLANK(tbl_task1[[คะแนนเต็ม]:[คะแนนเต็ม]]),"",(tbl_task1[152]/tbl_task1[[คะแนนเต็ม]:[คะแนนเต็ม]])*tbl_task1[[%]:[%]])</f>
        <v/>
      </c>
      <c r="LK5" s="121" t="str">
        <f>IF(ISBLANK(tbl_task1[[คะแนนเต็ม]:[คะแนนเต็ม]]),"",(tbl_task1[153]/tbl_task1[[คะแนนเต็ม]:[คะแนนเต็ม]])*tbl_task1[[%]:[%]])</f>
        <v/>
      </c>
      <c r="LL5" s="121" t="str">
        <f>IF(ISBLANK(tbl_task1[[คะแนนเต็ม]:[คะแนนเต็ม]]),"",(tbl_task1[154]/tbl_task1[[คะแนนเต็ม]:[คะแนนเต็ม]])*tbl_task1[[%]:[%]])</f>
        <v/>
      </c>
      <c r="LM5" s="121" t="str">
        <f>IF(ISBLANK(tbl_task1[[คะแนนเต็ม]:[คะแนนเต็ม]]),"",(tbl_task1[155]/tbl_task1[[คะแนนเต็ม]:[คะแนนเต็ม]])*tbl_task1[[%]:[%]])</f>
        <v/>
      </c>
      <c r="LN5" s="121" t="str">
        <f>IF(ISBLANK(tbl_task1[[คะแนนเต็ม]:[คะแนนเต็ม]]),"",(tbl_task1[156]/tbl_task1[[คะแนนเต็ม]:[คะแนนเต็ม]])*tbl_task1[[%]:[%]])</f>
        <v/>
      </c>
      <c r="LO5" s="121" t="str">
        <f>IF(ISBLANK(tbl_task1[[คะแนนเต็ม]:[คะแนนเต็ม]]),"",(tbl_task1[157]/tbl_task1[[คะแนนเต็ม]:[คะแนนเต็ม]])*tbl_task1[[%]:[%]])</f>
        <v/>
      </c>
      <c r="LP5" s="121" t="str">
        <f>IF(ISBLANK(tbl_task1[[คะแนนเต็ม]:[คะแนนเต็ม]]),"",(tbl_task1[158]/tbl_task1[[คะแนนเต็ม]:[คะแนนเต็ม]])*tbl_task1[[%]:[%]])</f>
        <v/>
      </c>
      <c r="LQ5" s="121" t="str">
        <f>IF(ISBLANK(tbl_task1[[คะแนนเต็ม]:[คะแนนเต็ม]]),"",(tbl_task1[159]/tbl_task1[[คะแนนเต็ม]:[คะแนนเต็ม]])*tbl_task1[[%]:[%]])</f>
        <v/>
      </c>
      <c r="LR5" s="121" t="str">
        <f>IF(ISBLANK(tbl_task1[[คะแนนเต็ม]:[คะแนนเต็ม]]),"",(tbl_task1[160]/tbl_task1[[คะแนนเต็ม]:[คะแนนเต็ม]])*tbl_task1[[%]:[%]])</f>
        <v/>
      </c>
      <c r="LS5" s="121" t="str">
        <f>IF(ISBLANK(tbl_task1[[คะแนนเต็ม]:[คะแนนเต็ม]]),"",(tbl_task1[161]/tbl_task1[[คะแนนเต็ม]:[คะแนนเต็ม]])*tbl_task1[[%]:[%]])</f>
        <v/>
      </c>
      <c r="LT5" s="121" t="str">
        <f>IF(ISBLANK(tbl_task1[[คะแนนเต็ม]:[คะแนนเต็ม]]),"",(tbl_task1[162]/tbl_task1[[คะแนนเต็ม]:[คะแนนเต็ม]])*tbl_task1[[%]:[%]])</f>
        <v/>
      </c>
      <c r="LU5" s="121" t="str">
        <f>IF(ISBLANK(tbl_task1[[คะแนนเต็ม]:[คะแนนเต็ม]]),"",(tbl_task1[163]/tbl_task1[[คะแนนเต็ม]:[คะแนนเต็ม]])*tbl_task1[[%]:[%]])</f>
        <v/>
      </c>
      <c r="LV5" s="121" t="str">
        <f>IF(ISBLANK(tbl_task1[[คะแนนเต็ม]:[คะแนนเต็ม]]),"",(tbl_task1[164]/tbl_task1[[คะแนนเต็ม]:[คะแนนเต็ม]])*tbl_task1[[%]:[%]])</f>
        <v/>
      </c>
      <c r="LW5" s="121" t="str">
        <f>IF(ISBLANK(tbl_task1[[คะแนนเต็ม]:[คะแนนเต็ม]]),"",(tbl_task1[165]/tbl_task1[[คะแนนเต็ม]:[คะแนนเต็ม]])*tbl_task1[[%]:[%]])</f>
        <v/>
      </c>
    </row>
    <row r="6" spans="1:335" ht="24.75" customHeight="1" x14ac:dyDescent="0.25">
      <c r="A6" s="24">
        <v>3</v>
      </c>
      <c r="B6" s="20"/>
      <c r="C6" s="5" t="str">
        <f>IF(ISBLANK(B6),"",VLOOKUP(B6,tbl_PLOs[],2,0))</f>
        <v/>
      </c>
      <c r="D6" s="102"/>
      <c r="E6" s="10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22"/>
      <c r="FO6" s="121" t="str">
        <f>IF(ISBLANK(tbl_task1[[คะแนนเต็ม]:[คะแนนเต็ม]]),"",(tbl_task1[1]/tbl_task1[[คะแนนเต็ม]:[คะแนนเต็ม]])*tbl_task1[[%]:[%]])</f>
        <v/>
      </c>
      <c r="FP6" s="121" t="str">
        <f>IF(ISBLANK(tbl_task1[[คะแนนเต็ม]:[คะแนนเต็ม]]),"",(tbl_task1[2]/tbl_task1[[คะแนนเต็ม]:[คะแนนเต็ม]])*tbl_task1[[%]:[%]])</f>
        <v/>
      </c>
      <c r="FQ6" s="121" t="str">
        <f>IF(ISBLANK(tbl_task1[[คะแนนเต็ม]:[คะแนนเต็ม]]),"",(tbl_task1[3]/tbl_task1[[คะแนนเต็ม]:[คะแนนเต็ม]])*tbl_task1[[%]:[%]])</f>
        <v/>
      </c>
      <c r="FR6" s="121" t="str">
        <f>IF(ISBLANK(tbl_task1[[คะแนนเต็ม]:[คะแนนเต็ม]]),"",(tbl_task1[4]/tbl_task1[[คะแนนเต็ม]:[คะแนนเต็ม]])*tbl_task1[[%]:[%]])</f>
        <v/>
      </c>
      <c r="FS6" s="121" t="str">
        <f>IF(ISBLANK(tbl_task1[[คะแนนเต็ม]:[คะแนนเต็ม]]),"",(tbl_task1[5]/tbl_task1[[คะแนนเต็ม]:[คะแนนเต็ม]])*tbl_task1[[%]:[%]])</f>
        <v/>
      </c>
      <c r="FT6" s="121" t="str">
        <f>IF(ISBLANK(tbl_task1[[คะแนนเต็ม]:[คะแนนเต็ม]]),"",(tbl_task1[6]/tbl_task1[[คะแนนเต็ม]:[คะแนนเต็ม]])*tbl_task1[[%]:[%]])</f>
        <v/>
      </c>
      <c r="FU6" s="121" t="str">
        <f>IF(ISBLANK(tbl_task1[[คะแนนเต็ม]:[คะแนนเต็ม]]),"",(tbl_task1[7]/tbl_task1[[คะแนนเต็ม]:[คะแนนเต็ม]])*tbl_task1[[%]:[%]])</f>
        <v/>
      </c>
      <c r="FV6" s="121" t="str">
        <f>IF(ISBLANK(tbl_task1[[คะแนนเต็ม]:[คะแนนเต็ม]]),"",(tbl_task1[8]/tbl_task1[[คะแนนเต็ม]:[คะแนนเต็ม]])*tbl_task1[[%]:[%]])</f>
        <v/>
      </c>
      <c r="FW6" s="121" t="str">
        <f>IF(ISBLANK(tbl_task1[[คะแนนเต็ม]:[คะแนนเต็ม]]),"",(tbl_task1[9]/tbl_task1[[คะแนนเต็ม]:[คะแนนเต็ม]])*tbl_task1[[%]:[%]])</f>
        <v/>
      </c>
      <c r="FX6" s="121" t="str">
        <f>IF(ISBLANK(tbl_task1[[คะแนนเต็ม]:[คะแนนเต็ม]]),"",(tbl_task1[10]/tbl_task1[[คะแนนเต็ม]:[คะแนนเต็ม]])*tbl_task1[[%]:[%]])</f>
        <v/>
      </c>
      <c r="FY6" s="121" t="str">
        <f>IF(ISBLANK(tbl_task1[[คะแนนเต็ม]:[คะแนนเต็ม]]),"",(tbl_task1[11]/tbl_task1[[คะแนนเต็ม]:[คะแนนเต็ม]])*tbl_task1[[%]:[%]])</f>
        <v/>
      </c>
      <c r="FZ6" s="121" t="str">
        <f>IF(ISBLANK(tbl_task1[[คะแนนเต็ม]:[คะแนนเต็ม]]),"",(tbl_task1[12]/tbl_task1[[คะแนนเต็ม]:[คะแนนเต็ม]])*tbl_task1[[%]:[%]])</f>
        <v/>
      </c>
      <c r="GA6" s="121" t="str">
        <f>IF(ISBLANK(tbl_task1[[คะแนนเต็ม]:[คะแนนเต็ม]]),"",(tbl_task1[13]/tbl_task1[[คะแนนเต็ม]:[คะแนนเต็ม]])*tbl_task1[[%]:[%]])</f>
        <v/>
      </c>
      <c r="GB6" s="121" t="str">
        <f>IF(ISBLANK(tbl_task1[[คะแนนเต็ม]:[คะแนนเต็ม]]),"",(tbl_task1[14]/tbl_task1[[คะแนนเต็ม]:[คะแนนเต็ม]])*tbl_task1[[%]:[%]])</f>
        <v/>
      </c>
      <c r="GC6" s="121" t="str">
        <f>IF(ISBLANK(tbl_task1[[คะแนนเต็ม]:[คะแนนเต็ม]]),"",(tbl_task1[15]/tbl_task1[[คะแนนเต็ม]:[คะแนนเต็ม]])*tbl_task1[[%]:[%]])</f>
        <v/>
      </c>
      <c r="GD6" s="121" t="str">
        <f>IF(ISBLANK(tbl_task1[[คะแนนเต็ม]:[คะแนนเต็ม]]),"",(tbl_task1[16]/tbl_task1[[คะแนนเต็ม]:[คะแนนเต็ม]])*tbl_task1[[%]:[%]])</f>
        <v/>
      </c>
      <c r="GE6" s="121" t="str">
        <f>IF(ISBLANK(tbl_task1[[คะแนนเต็ม]:[คะแนนเต็ม]]),"",(tbl_task1[17]/tbl_task1[[คะแนนเต็ม]:[คะแนนเต็ม]])*tbl_task1[[%]:[%]])</f>
        <v/>
      </c>
      <c r="GF6" s="121" t="str">
        <f>IF(ISBLANK(tbl_task1[[คะแนนเต็ม]:[คะแนนเต็ม]]),"",(tbl_task1[18]/tbl_task1[[คะแนนเต็ม]:[คะแนนเต็ม]])*tbl_task1[[%]:[%]])</f>
        <v/>
      </c>
      <c r="GG6" s="121" t="str">
        <f>IF(ISBLANK(tbl_task1[[คะแนนเต็ม]:[คะแนนเต็ม]]),"",(tbl_task1[19]/tbl_task1[[คะแนนเต็ม]:[คะแนนเต็ม]])*tbl_task1[[%]:[%]])</f>
        <v/>
      </c>
      <c r="GH6" s="121" t="str">
        <f>IF(ISBLANK(tbl_task1[[คะแนนเต็ม]:[คะแนนเต็ม]]),"",(tbl_task1[20]/tbl_task1[[คะแนนเต็ม]:[คะแนนเต็ม]])*tbl_task1[[%]:[%]])</f>
        <v/>
      </c>
      <c r="GI6" s="121" t="str">
        <f>IF(ISBLANK(tbl_task1[[คะแนนเต็ม]:[คะแนนเต็ม]]),"",(tbl_task1[21]/tbl_task1[[คะแนนเต็ม]:[คะแนนเต็ม]])*tbl_task1[[%]:[%]])</f>
        <v/>
      </c>
      <c r="GJ6" s="121" t="str">
        <f>IF(ISBLANK(tbl_task1[[คะแนนเต็ม]:[คะแนนเต็ม]]),"",(tbl_task1[22]/tbl_task1[[คะแนนเต็ม]:[คะแนนเต็ม]])*tbl_task1[[%]:[%]])</f>
        <v/>
      </c>
      <c r="GK6" s="121" t="str">
        <f>IF(ISBLANK(tbl_task1[[คะแนนเต็ม]:[คะแนนเต็ม]]),"",(tbl_task1[23]/tbl_task1[[คะแนนเต็ม]:[คะแนนเต็ม]])*tbl_task1[[%]:[%]])</f>
        <v/>
      </c>
      <c r="GL6" s="121" t="str">
        <f>IF(ISBLANK(tbl_task1[[คะแนนเต็ม]:[คะแนนเต็ม]]),"",(tbl_task1[24]/tbl_task1[[คะแนนเต็ม]:[คะแนนเต็ม]])*tbl_task1[[%]:[%]])</f>
        <v/>
      </c>
      <c r="GM6" s="121" t="str">
        <f>IF(ISBLANK(tbl_task1[[คะแนนเต็ม]:[คะแนนเต็ม]]),"",(tbl_task1[25]/tbl_task1[[คะแนนเต็ม]:[คะแนนเต็ม]])*tbl_task1[[%]:[%]])</f>
        <v/>
      </c>
      <c r="GN6" s="121" t="str">
        <f>IF(ISBLANK(tbl_task1[[คะแนนเต็ม]:[คะแนนเต็ม]]),"",(tbl_task1[26]/tbl_task1[[คะแนนเต็ม]:[คะแนนเต็ม]])*tbl_task1[[%]:[%]])</f>
        <v/>
      </c>
      <c r="GO6" s="121" t="str">
        <f>IF(ISBLANK(tbl_task1[[คะแนนเต็ม]:[คะแนนเต็ม]]),"",(tbl_task1[27]/tbl_task1[[คะแนนเต็ม]:[คะแนนเต็ม]])*tbl_task1[[%]:[%]])</f>
        <v/>
      </c>
      <c r="GP6" s="121" t="str">
        <f>IF(ISBLANK(tbl_task1[[คะแนนเต็ม]:[คะแนนเต็ม]]),"",(tbl_task1[28]/tbl_task1[[คะแนนเต็ม]:[คะแนนเต็ม]])*tbl_task1[[%]:[%]])</f>
        <v/>
      </c>
      <c r="GQ6" s="121" t="str">
        <f>IF(ISBLANK(tbl_task1[[คะแนนเต็ม]:[คะแนนเต็ม]]),"",(tbl_task1[29]/tbl_task1[[คะแนนเต็ม]:[คะแนนเต็ม]])*tbl_task1[[%]:[%]])</f>
        <v/>
      </c>
      <c r="GR6" s="121" t="str">
        <f>IF(ISBLANK(tbl_task1[[คะแนนเต็ม]:[คะแนนเต็ม]]),"",(tbl_task1[30]/tbl_task1[[คะแนนเต็ม]:[คะแนนเต็ม]])*tbl_task1[[%]:[%]])</f>
        <v/>
      </c>
      <c r="GS6" s="121" t="str">
        <f>IF(ISBLANK(tbl_task1[[คะแนนเต็ม]:[คะแนนเต็ม]]),"",(tbl_task1[31]/tbl_task1[[คะแนนเต็ม]:[คะแนนเต็ม]])*tbl_task1[[%]:[%]])</f>
        <v/>
      </c>
      <c r="GT6" s="121" t="str">
        <f>IF(ISBLANK(tbl_task1[[คะแนนเต็ม]:[คะแนนเต็ม]]),"",(tbl_task1[32]/tbl_task1[[คะแนนเต็ม]:[คะแนนเต็ม]])*tbl_task1[[%]:[%]])</f>
        <v/>
      </c>
      <c r="GU6" s="121" t="str">
        <f>IF(ISBLANK(tbl_task1[[คะแนนเต็ม]:[คะแนนเต็ม]]),"",(tbl_task1[33]/tbl_task1[[คะแนนเต็ม]:[คะแนนเต็ม]])*tbl_task1[[%]:[%]])</f>
        <v/>
      </c>
      <c r="GV6" s="121" t="str">
        <f>IF(ISBLANK(tbl_task1[[คะแนนเต็ม]:[คะแนนเต็ม]]),"",(tbl_task1[34]/tbl_task1[[คะแนนเต็ม]:[คะแนนเต็ม]])*tbl_task1[[%]:[%]])</f>
        <v/>
      </c>
      <c r="GW6" s="121" t="str">
        <f>IF(ISBLANK(tbl_task1[[คะแนนเต็ม]:[คะแนนเต็ม]]),"",(tbl_task1[35]/tbl_task1[[คะแนนเต็ม]:[คะแนนเต็ม]])*tbl_task1[[%]:[%]])</f>
        <v/>
      </c>
      <c r="GX6" s="121" t="str">
        <f>IF(ISBLANK(tbl_task1[[คะแนนเต็ม]:[คะแนนเต็ม]]),"",(tbl_task1[36]/tbl_task1[[คะแนนเต็ม]:[คะแนนเต็ม]])*tbl_task1[[%]:[%]])</f>
        <v/>
      </c>
      <c r="GY6" s="121" t="str">
        <f>IF(ISBLANK(tbl_task1[[คะแนนเต็ม]:[คะแนนเต็ม]]),"",(tbl_task1[37]/tbl_task1[[คะแนนเต็ม]:[คะแนนเต็ม]])*tbl_task1[[%]:[%]])</f>
        <v/>
      </c>
      <c r="GZ6" s="121" t="str">
        <f>IF(ISBLANK(tbl_task1[[คะแนนเต็ม]:[คะแนนเต็ม]]),"",(tbl_task1[38]/tbl_task1[[คะแนนเต็ม]:[คะแนนเต็ม]])*tbl_task1[[%]:[%]])</f>
        <v/>
      </c>
      <c r="HA6" s="121" t="str">
        <f>IF(ISBLANK(tbl_task1[[คะแนนเต็ม]:[คะแนนเต็ม]]),"",(tbl_task1[39]/tbl_task1[[คะแนนเต็ม]:[คะแนนเต็ม]])*tbl_task1[[%]:[%]])</f>
        <v/>
      </c>
      <c r="HB6" s="121" t="str">
        <f>IF(ISBLANK(tbl_task1[[คะแนนเต็ม]:[คะแนนเต็ม]]),"",(tbl_task1[40]/tbl_task1[[คะแนนเต็ม]:[คะแนนเต็ม]])*tbl_task1[[%]:[%]])</f>
        <v/>
      </c>
      <c r="HC6" s="121" t="str">
        <f>IF(ISBLANK(tbl_task1[[คะแนนเต็ม]:[คะแนนเต็ม]]),"",(tbl_task1[41]/tbl_task1[[คะแนนเต็ม]:[คะแนนเต็ม]])*tbl_task1[[%]:[%]])</f>
        <v/>
      </c>
      <c r="HD6" s="121" t="str">
        <f>IF(ISBLANK(tbl_task1[[คะแนนเต็ม]:[คะแนนเต็ม]]),"",(tbl_task1[42]/tbl_task1[[คะแนนเต็ม]:[คะแนนเต็ม]])*tbl_task1[[%]:[%]])</f>
        <v/>
      </c>
      <c r="HE6" s="121" t="str">
        <f>IF(ISBLANK(tbl_task1[[คะแนนเต็ม]:[คะแนนเต็ม]]),"",(tbl_task1[43]/tbl_task1[[คะแนนเต็ม]:[คะแนนเต็ม]])*tbl_task1[[%]:[%]])</f>
        <v/>
      </c>
      <c r="HF6" s="121" t="str">
        <f>IF(ISBLANK(tbl_task1[[คะแนนเต็ม]:[คะแนนเต็ม]]),"",(tbl_task1[44]/tbl_task1[[คะแนนเต็ม]:[คะแนนเต็ม]])*tbl_task1[[%]:[%]])</f>
        <v/>
      </c>
      <c r="HG6" s="121" t="str">
        <f>IF(ISBLANK(tbl_task1[[คะแนนเต็ม]:[คะแนนเต็ม]]),"",(tbl_task1[45]/tbl_task1[[คะแนนเต็ม]:[คะแนนเต็ม]])*tbl_task1[[%]:[%]])</f>
        <v/>
      </c>
      <c r="HH6" s="121" t="str">
        <f>IF(ISBLANK(tbl_task1[[คะแนนเต็ม]:[คะแนนเต็ม]]),"",(tbl_task1[46]/tbl_task1[[คะแนนเต็ม]:[คะแนนเต็ม]])*tbl_task1[[%]:[%]])</f>
        <v/>
      </c>
      <c r="HI6" s="121" t="str">
        <f>IF(ISBLANK(tbl_task1[[คะแนนเต็ม]:[คะแนนเต็ม]]),"",(tbl_task1[47]/tbl_task1[[คะแนนเต็ม]:[คะแนนเต็ม]])*tbl_task1[[%]:[%]])</f>
        <v/>
      </c>
      <c r="HJ6" s="121" t="str">
        <f>IF(ISBLANK(tbl_task1[[คะแนนเต็ม]:[คะแนนเต็ม]]),"",(tbl_task1[48]/tbl_task1[[คะแนนเต็ม]:[คะแนนเต็ม]])*tbl_task1[[%]:[%]])</f>
        <v/>
      </c>
      <c r="HK6" s="121" t="str">
        <f>IF(ISBLANK(tbl_task1[[คะแนนเต็ม]:[คะแนนเต็ม]]),"",(tbl_task1[49]/tbl_task1[[คะแนนเต็ม]:[คะแนนเต็ม]])*tbl_task1[[%]:[%]])</f>
        <v/>
      </c>
      <c r="HL6" s="121" t="str">
        <f>IF(ISBLANK(tbl_task1[[คะแนนเต็ม]:[คะแนนเต็ม]]),"",(tbl_task1[50]/tbl_task1[[คะแนนเต็ม]:[คะแนนเต็ม]])*tbl_task1[[%]:[%]])</f>
        <v/>
      </c>
      <c r="HM6" s="121" t="str">
        <f>IF(ISBLANK(tbl_task1[[คะแนนเต็ม]:[คะแนนเต็ม]]),"",(tbl_task1[51]/tbl_task1[[คะแนนเต็ม]:[คะแนนเต็ม]])*tbl_task1[[%]:[%]])</f>
        <v/>
      </c>
      <c r="HN6" s="121" t="str">
        <f>IF(ISBLANK(tbl_task1[[คะแนนเต็ม]:[คะแนนเต็ม]]),"",(tbl_task1[52]/tbl_task1[[คะแนนเต็ม]:[คะแนนเต็ม]])*tbl_task1[[%]:[%]])</f>
        <v/>
      </c>
      <c r="HO6" s="121" t="str">
        <f>IF(ISBLANK(tbl_task1[[คะแนนเต็ม]:[คะแนนเต็ม]]),"",(tbl_task1[53]/tbl_task1[[คะแนนเต็ม]:[คะแนนเต็ม]])*tbl_task1[[%]:[%]])</f>
        <v/>
      </c>
      <c r="HP6" s="121" t="str">
        <f>IF(ISBLANK(tbl_task1[[คะแนนเต็ม]:[คะแนนเต็ม]]),"",(tbl_task1[54]/tbl_task1[[คะแนนเต็ม]:[คะแนนเต็ม]])*tbl_task1[[%]:[%]])</f>
        <v/>
      </c>
      <c r="HQ6" s="121" t="str">
        <f>IF(ISBLANK(tbl_task1[[คะแนนเต็ม]:[คะแนนเต็ม]]),"",(tbl_task1[55]/tbl_task1[[คะแนนเต็ม]:[คะแนนเต็ม]])*tbl_task1[[%]:[%]])</f>
        <v/>
      </c>
      <c r="HR6" s="121" t="str">
        <f>IF(ISBLANK(tbl_task1[[คะแนนเต็ม]:[คะแนนเต็ม]]),"",(tbl_task1[56]/tbl_task1[[คะแนนเต็ม]:[คะแนนเต็ม]])*tbl_task1[[%]:[%]])</f>
        <v/>
      </c>
      <c r="HS6" s="121" t="str">
        <f>IF(ISBLANK(tbl_task1[[คะแนนเต็ม]:[คะแนนเต็ม]]),"",(tbl_task1[57]/tbl_task1[[คะแนนเต็ม]:[คะแนนเต็ม]])*tbl_task1[[%]:[%]])</f>
        <v/>
      </c>
      <c r="HT6" s="121" t="str">
        <f>IF(ISBLANK(tbl_task1[[คะแนนเต็ม]:[คะแนนเต็ม]]),"",(tbl_task1[58]/tbl_task1[[คะแนนเต็ม]:[คะแนนเต็ม]])*tbl_task1[[%]:[%]])</f>
        <v/>
      </c>
      <c r="HU6" s="121" t="str">
        <f>IF(ISBLANK(tbl_task1[[คะแนนเต็ม]:[คะแนนเต็ม]]),"",(tbl_task1[59]/tbl_task1[[คะแนนเต็ม]:[คะแนนเต็ม]])*tbl_task1[[%]:[%]])</f>
        <v/>
      </c>
      <c r="HV6" s="121" t="str">
        <f>IF(ISBLANK(tbl_task1[[คะแนนเต็ม]:[คะแนนเต็ม]]),"",(tbl_task1[60]/tbl_task1[[คะแนนเต็ม]:[คะแนนเต็ม]])*tbl_task1[[%]:[%]])</f>
        <v/>
      </c>
      <c r="HW6" s="121" t="str">
        <f>IF(ISBLANK(tbl_task1[[คะแนนเต็ม]:[คะแนนเต็ม]]),"",(tbl_task1[61]/tbl_task1[[คะแนนเต็ม]:[คะแนนเต็ม]])*tbl_task1[[%]:[%]])</f>
        <v/>
      </c>
      <c r="HX6" s="121" t="str">
        <f>IF(ISBLANK(tbl_task1[[คะแนนเต็ม]:[คะแนนเต็ม]]),"",(tbl_task1[62]/tbl_task1[[คะแนนเต็ม]:[คะแนนเต็ม]])*tbl_task1[[%]:[%]])</f>
        <v/>
      </c>
      <c r="HY6" s="121" t="str">
        <f>IF(ISBLANK(tbl_task1[[คะแนนเต็ม]:[คะแนนเต็ม]]),"",(tbl_task1[63]/tbl_task1[[คะแนนเต็ม]:[คะแนนเต็ม]])*tbl_task1[[%]:[%]])</f>
        <v/>
      </c>
      <c r="HZ6" s="121" t="str">
        <f>IF(ISBLANK(tbl_task1[[คะแนนเต็ม]:[คะแนนเต็ม]]),"",(tbl_task1[64]/tbl_task1[[คะแนนเต็ม]:[คะแนนเต็ม]])*tbl_task1[[%]:[%]])</f>
        <v/>
      </c>
      <c r="IA6" s="121" t="str">
        <f>IF(ISBLANK(tbl_task1[[คะแนนเต็ม]:[คะแนนเต็ม]]),"",(tbl_task1[65]/tbl_task1[[คะแนนเต็ม]:[คะแนนเต็ม]])*tbl_task1[[%]:[%]])</f>
        <v/>
      </c>
      <c r="IB6" s="121" t="str">
        <f>IF(ISBLANK(tbl_task1[[คะแนนเต็ม]:[คะแนนเต็ม]]),"",(tbl_task1[66]/tbl_task1[[คะแนนเต็ม]:[คะแนนเต็ม]])*tbl_task1[[%]:[%]])</f>
        <v/>
      </c>
      <c r="IC6" s="121" t="str">
        <f>IF(ISBLANK(tbl_task1[[คะแนนเต็ม]:[คะแนนเต็ม]]),"",(tbl_task1[67]/tbl_task1[[คะแนนเต็ม]:[คะแนนเต็ม]])*tbl_task1[[%]:[%]])</f>
        <v/>
      </c>
      <c r="ID6" s="121" t="str">
        <f>IF(ISBLANK(tbl_task1[[คะแนนเต็ม]:[คะแนนเต็ม]]),"",(tbl_task1[68]/tbl_task1[[คะแนนเต็ม]:[คะแนนเต็ม]])*tbl_task1[[%]:[%]])</f>
        <v/>
      </c>
      <c r="IE6" s="121" t="str">
        <f>IF(ISBLANK(tbl_task1[[คะแนนเต็ม]:[คะแนนเต็ม]]),"",(tbl_task1[69]/tbl_task1[[คะแนนเต็ม]:[คะแนนเต็ม]])*tbl_task1[[%]:[%]])</f>
        <v/>
      </c>
      <c r="IF6" s="121" t="str">
        <f>IF(ISBLANK(tbl_task1[[คะแนนเต็ม]:[คะแนนเต็ม]]),"",(tbl_task1[70]/tbl_task1[[คะแนนเต็ม]:[คะแนนเต็ม]])*tbl_task1[[%]:[%]])</f>
        <v/>
      </c>
      <c r="IG6" s="121" t="str">
        <f>IF(ISBLANK(tbl_task1[[คะแนนเต็ม]:[คะแนนเต็ม]]),"",(tbl_task1[71]/tbl_task1[[คะแนนเต็ม]:[คะแนนเต็ม]])*tbl_task1[[%]:[%]])</f>
        <v/>
      </c>
      <c r="IH6" s="121" t="str">
        <f>IF(ISBLANK(tbl_task1[[คะแนนเต็ม]:[คะแนนเต็ม]]),"",(tbl_task1[72]/tbl_task1[[คะแนนเต็ม]:[คะแนนเต็ม]])*tbl_task1[[%]:[%]])</f>
        <v/>
      </c>
      <c r="II6" s="121" t="str">
        <f>IF(ISBLANK(tbl_task1[[คะแนนเต็ม]:[คะแนนเต็ม]]),"",(tbl_task1[73]/tbl_task1[[คะแนนเต็ม]:[คะแนนเต็ม]])*tbl_task1[[%]:[%]])</f>
        <v/>
      </c>
      <c r="IJ6" s="121" t="str">
        <f>IF(ISBLANK(tbl_task1[[คะแนนเต็ม]:[คะแนนเต็ม]]),"",(tbl_task1[74]/tbl_task1[[คะแนนเต็ม]:[คะแนนเต็ม]])*tbl_task1[[%]:[%]])</f>
        <v/>
      </c>
      <c r="IK6" s="121" t="str">
        <f>IF(ISBLANK(tbl_task1[[คะแนนเต็ม]:[คะแนนเต็ม]]),"",(tbl_task1[75]/tbl_task1[[คะแนนเต็ม]:[คะแนนเต็ม]])*tbl_task1[[%]:[%]])</f>
        <v/>
      </c>
      <c r="IL6" s="121" t="str">
        <f>IF(ISBLANK(tbl_task1[[คะแนนเต็ม]:[คะแนนเต็ม]]),"",(tbl_task1[76]/tbl_task1[[คะแนนเต็ม]:[คะแนนเต็ม]])*tbl_task1[[%]:[%]])</f>
        <v/>
      </c>
      <c r="IM6" s="121" t="str">
        <f>IF(ISBLANK(tbl_task1[[คะแนนเต็ม]:[คะแนนเต็ม]]),"",(tbl_task1[77]/tbl_task1[[คะแนนเต็ม]:[คะแนนเต็ม]])*tbl_task1[[%]:[%]])</f>
        <v/>
      </c>
      <c r="IN6" s="121" t="str">
        <f>IF(ISBLANK(tbl_task1[[คะแนนเต็ม]:[คะแนนเต็ม]]),"",(tbl_task1[78]/tbl_task1[[คะแนนเต็ม]:[คะแนนเต็ม]])*tbl_task1[[%]:[%]])</f>
        <v/>
      </c>
      <c r="IO6" s="121" t="str">
        <f>IF(ISBLANK(tbl_task1[[คะแนนเต็ม]:[คะแนนเต็ม]]),"",(tbl_task1[79]/tbl_task1[[คะแนนเต็ม]:[คะแนนเต็ม]])*tbl_task1[[%]:[%]])</f>
        <v/>
      </c>
      <c r="IP6" s="121" t="str">
        <f>IF(ISBLANK(tbl_task1[[คะแนนเต็ม]:[คะแนนเต็ม]]),"",(tbl_task1[80]/tbl_task1[[คะแนนเต็ม]:[คะแนนเต็ม]])*tbl_task1[[%]:[%]])</f>
        <v/>
      </c>
      <c r="IQ6" s="121" t="str">
        <f>IF(ISBLANK(tbl_task1[[คะแนนเต็ม]:[คะแนนเต็ม]]),"",(tbl_task1[81]/tbl_task1[[คะแนนเต็ม]:[คะแนนเต็ม]])*tbl_task1[[%]:[%]])</f>
        <v/>
      </c>
      <c r="IR6" s="121" t="str">
        <f>IF(ISBLANK(tbl_task1[[คะแนนเต็ม]:[คะแนนเต็ม]]),"",(tbl_task1[82]/tbl_task1[[คะแนนเต็ม]:[คะแนนเต็ม]])*tbl_task1[[%]:[%]])</f>
        <v/>
      </c>
      <c r="IS6" s="121" t="str">
        <f>IF(ISBLANK(tbl_task1[[คะแนนเต็ม]:[คะแนนเต็ม]]),"",(tbl_task1[83]/tbl_task1[[คะแนนเต็ม]:[คะแนนเต็ม]])*tbl_task1[[%]:[%]])</f>
        <v/>
      </c>
      <c r="IT6" s="121" t="str">
        <f>IF(ISBLANK(tbl_task1[[คะแนนเต็ม]:[คะแนนเต็ม]]),"",(tbl_task1[84]/tbl_task1[[คะแนนเต็ม]:[คะแนนเต็ม]])*tbl_task1[[%]:[%]])</f>
        <v/>
      </c>
      <c r="IU6" s="121" t="str">
        <f>IF(ISBLANK(tbl_task1[[คะแนนเต็ม]:[คะแนนเต็ม]]),"",(tbl_task1[85]/tbl_task1[[คะแนนเต็ม]:[คะแนนเต็ม]])*tbl_task1[[%]:[%]])</f>
        <v/>
      </c>
      <c r="IV6" s="121" t="str">
        <f>IF(ISBLANK(tbl_task1[[คะแนนเต็ม]:[คะแนนเต็ม]]),"",(tbl_task1[86]/tbl_task1[[คะแนนเต็ม]:[คะแนนเต็ม]])*tbl_task1[[%]:[%]])</f>
        <v/>
      </c>
      <c r="IW6" s="121" t="str">
        <f>IF(ISBLANK(tbl_task1[[คะแนนเต็ม]:[คะแนนเต็ม]]),"",(tbl_task1[87]/tbl_task1[[คะแนนเต็ม]:[คะแนนเต็ม]])*tbl_task1[[%]:[%]])</f>
        <v/>
      </c>
      <c r="IX6" s="121" t="str">
        <f>IF(ISBLANK(tbl_task1[[คะแนนเต็ม]:[คะแนนเต็ม]]),"",(tbl_task1[88]/tbl_task1[[คะแนนเต็ม]:[คะแนนเต็ม]])*tbl_task1[[%]:[%]])</f>
        <v/>
      </c>
      <c r="IY6" s="121" t="str">
        <f>IF(ISBLANK(tbl_task1[[คะแนนเต็ม]:[คะแนนเต็ม]]),"",(tbl_task1[89]/tbl_task1[[คะแนนเต็ม]:[คะแนนเต็ม]])*tbl_task1[[%]:[%]])</f>
        <v/>
      </c>
      <c r="IZ6" s="121" t="str">
        <f>IF(ISBLANK(tbl_task1[[คะแนนเต็ม]:[คะแนนเต็ม]]),"",(tbl_task1[90]/tbl_task1[[คะแนนเต็ม]:[คะแนนเต็ม]])*tbl_task1[[%]:[%]])</f>
        <v/>
      </c>
      <c r="JA6" s="121" t="str">
        <f>IF(ISBLANK(tbl_task1[[คะแนนเต็ม]:[คะแนนเต็ม]]),"",(tbl_task1[91]/tbl_task1[[คะแนนเต็ม]:[คะแนนเต็ม]])*tbl_task1[[%]:[%]])</f>
        <v/>
      </c>
      <c r="JB6" s="121" t="str">
        <f>IF(ISBLANK(tbl_task1[[คะแนนเต็ม]:[คะแนนเต็ม]]),"",(tbl_task1[92]/tbl_task1[[คะแนนเต็ม]:[คะแนนเต็ม]])*tbl_task1[[%]:[%]])</f>
        <v/>
      </c>
      <c r="JC6" s="121" t="str">
        <f>IF(ISBLANK(tbl_task1[[คะแนนเต็ม]:[คะแนนเต็ม]]),"",(tbl_task1[93]/tbl_task1[[คะแนนเต็ม]:[คะแนนเต็ม]])*tbl_task1[[%]:[%]])</f>
        <v/>
      </c>
      <c r="JD6" s="121" t="str">
        <f>IF(ISBLANK(tbl_task1[[คะแนนเต็ม]:[คะแนนเต็ม]]),"",(tbl_task1[94]/tbl_task1[[คะแนนเต็ม]:[คะแนนเต็ม]])*tbl_task1[[%]:[%]])</f>
        <v/>
      </c>
      <c r="JE6" s="121" t="str">
        <f>IF(ISBLANK(tbl_task1[[คะแนนเต็ม]:[คะแนนเต็ม]]),"",(tbl_task1[95]/tbl_task1[[คะแนนเต็ม]:[คะแนนเต็ม]])*tbl_task1[[%]:[%]])</f>
        <v/>
      </c>
      <c r="JF6" s="121" t="str">
        <f>IF(ISBLANK(tbl_task1[[คะแนนเต็ม]:[คะแนนเต็ม]]),"",(tbl_task1[96]/tbl_task1[[คะแนนเต็ม]:[คะแนนเต็ม]])*tbl_task1[[%]:[%]])</f>
        <v/>
      </c>
      <c r="JG6" s="121" t="str">
        <f>IF(ISBLANK(tbl_task1[[คะแนนเต็ม]:[คะแนนเต็ม]]),"",(tbl_task1[97]/tbl_task1[[คะแนนเต็ม]:[คะแนนเต็ม]])*tbl_task1[[%]:[%]])</f>
        <v/>
      </c>
      <c r="JH6" s="121" t="str">
        <f>IF(ISBLANK(tbl_task1[[คะแนนเต็ม]:[คะแนนเต็ม]]),"",(tbl_task1[98]/tbl_task1[[คะแนนเต็ม]:[คะแนนเต็ม]])*tbl_task1[[%]:[%]])</f>
        <v/>
      </c>
      <c r="JI6" s="121" t="str">
        <f>IF(ISBLANK(tbl_task1[[คะแนนเต็ม]:[คะแนนเต็ม]]),"",(tbl_task1[99]/tbl_task1[[คะแนนเต็ม]:[คะแนนเต็ม]])*tbl_task1[[%]:[%]])</f>
        <v/>
      </c>
      <c r="JJ6" s="121" t="str">
        <f>IF(ISBLANK(tbl_task1[[คะแนนเต็ม]:[คะแนนเต็ม]]),"",(tbl_task1[100]/tbl_task1[[คะแนนเต็ม]:[คะแนนเต็ม]])*tbl_task1[[%]:[%]])</f>
        <v/>
      </c>
      <c r="JK6" s="121" t="str">
        <f>IF(ISBLANK(tbl_task1[[คะแนนเต็ม]:[คะแนนเต็ม]]),"",(tbl_task1[101]/tbl_task1[[คะแนนเต็ม]:[คะแนนเต็ม]])*tbl_task1[[%]:[%]])</f>
        <v/>
      </c>
      <c r="JL6" s="121" t="str">
        <f>IF(ISBLANK(tbl_task1[[คะแนนเต็ม]:[คะแนนเต็ม]]),"",(tbl_task1[102]/tbl_task1[[คะแนนเต็ม]:[คะแนนเต็ม]])*tbl_task1[[%]:[%]])</f>
        <v/>
      </c>
      <c r="JM6" s="121" t="str">
        <f>IF(ISBLANK(tbl_task1[[คะแนนเต็ม]:[คะแนนเต็ม]]),"",(tbl_task1[103]/tbl_task1[[คะแนนเต็ม]:[คะแนนเต็ม]])*tbl_task1[[%]:[%]])</f>
        <v/>
      </c>
      <c r="JN6" s="121" t="str">
        <f>IF(ISBLANK(tbl_task1[[คะแนนเต็ม]:[คะแนนเต็ม]]),"",(tbl_task1[104]/tbl_task1[[คะแนนเต็ม]:[คะแนนเต็ม]])*tbl_task1[[%]:[%]])</f>
        <v/>
      </c>
      <c r="JO6" s="121" t="str">
        <f>IF(ISBLANK(tbl_task1[[คะแนนเต็ม]:[คะแนนเต็ม]]),"",(tbl_task1[105]/tbl_task1[[คะแนนเต็ม]:[คะแนนเต็ม]])*tbl_task1[[%]:[%]])</f>
        <v/>
      </c>
      <c r="JP6" s="121" t="str">
        <f>IF(ISBLANK(tbl_task1[[คะแนนเต็ม]:[คะแนนเต็ม]]),"",(tbl_task1[106]/tbl_task1[[คะแนนเต็ม]:[คะแนนเต็ม]])*tbl_task1[[%]:[%]])</f>
        <v/>
      </c>
      <c r="JQ6" s="121" t="str">
        <f>IF(ISBLANK(tbl_task1[[คะแนนเต็ม]:[คะแนนเต็ม]]),"",(tbl_task1[107]/tbl_task1[[คะแนนเต็ม]:[คะแนนเต็ม]])*tbl_task1[[%]:[%]])</f>
        <v/>
      </c>
      <c r="JR6" s="121" t="str">
        <f>IF(ISBLANK(tbl_task1[[คะแนนเต็ม]:[คะแนนเต็ม]]),"",(tbl_task1[108]/tbl_task1[[คะแนนเต็ม]:[คะแนนเต็ม]])*tbl_task1[[%]:[%]])</f>
        <v/>
      </c>
      <c r="JS6" s="121" t="str">
        <f>IF(ISBLANK(tbl_task1[[คะแนนเต็ม]:[คะแนนเต็ม]]),"",(tbl_task1[109]/tbl_task1[[คะแนนเต็ม]:[คะแนนเต็ม]])*tbl_task1[[%]:[%]])</f>
        <v/>
      </c>
      <c r="JT6" s="121" t="str">
        <f>IF(ISBLANK(tbl_task1[[คะแนนเต็ม]:[คะแนนเต็ม]]),"",(tbl_task1[110]/tbl_task1[[คะแนนเต็ม]:[คะแนนเต็ม]])*tbl_task1[[%]:[%]])</f>
        <v/>
      </c>
      <c r="JU6" s="121" t="str">
        <f>IF(ISBLANK(tbl_task1[[คะแนนเต็ม]:[คะแนนเต็ม]]),"",(tbl_task1[111]/tbl_task1[[คะแนนเต็ม]:[คะแนนเต็ม]])*tbl_task1[[%]:[%]])</f>
        <v/>
      </c>
      <c r="JV6" s="121" t="str">
        <f>IF(ISBLANK(tbl_task1[[คะแนนเต็ม]:[คะแนนเต็ม]]),"",(tbl_task1[112]/tbl_task1[[คะแนนเต็ม]:[คะแนนเต็ม]])*tbl_task1[[%]:[%]])</f>
        <v/>
      </c>
      <c r="JW6" s="121" t="str">
        <f>IF(ISBLANK(tbl_task1[[คะแนนเต็ม]:[คะแนนเต็ม]]),"",(tbl_task1[113]/tbl_task1[[คะแนนเต็ม]:[คะแนนเต็ม]])*tbl_task1[[%]:[%]])</f>
        <v/>
      </c>
      <c r="JX6" s="121" t="str">
        <f>IF(ISBLANK(tbl_task1[[คะแนนเต็ม]:[คะแนนเต็ม]]),"",(tbl_task1[114]/tbl_task1[[คะแนนเต็ม]:[คะแนนเต็ม]])*tbl_task1[[%]:[%]])</f>
        <v/>
      </c>
      <c r="JY6" s="121" t="str">
        <f>IF(ISBLANK(tbl_task1[[คะแนนเต็ม]:[คะแนนเต็ม]]),"",(tbl_task1[115]/tbl_task1[[คะแนนเต็ม]:[คะแนนเต็ม]])*tbl_task1[[%]:[%]])</f>
        <v/>
      </c>
      <c r="JZ6" s="121" t="str">
        <f>IF(ISBLANK(tbl_task1[[คะแนนเต็ม]:[คะแนนเต็ม]]),"",(tbl_task1[116]/tbl_task1[[คะแนนเต็ม]:[คะแนนเต็ม]])*tbl_task1[[%]:[%]])</f>
        <v/>
      </c>
      <c r="KA6" s="121" t="str">
        <f>IF(ISBLANK(tbl_task1[[คะแนนเต็ม]:[คะแนนเต็ม]]),"",(tbl_task1[117]/tbl_task1[[คะแนนเต็ม]:[คะแนนเต็ม]])*tbl_task1[[%]:[%]])</f>
        <v/>
      </c>
      <c r="KB6" s="121" t="str">
        <f>IF(ISBLANK(tbl_task1[[คะแนนเต็ม]:[คะแนนเต็ม]]),"",(tbl_task1[118]/tbl_task1[[คะแนนเต็ม]:[คะแนนเต็ม]])*tbl_task1[[%]:[%]])</f>
        <v/>
      </c>
      <c r="KC6" s="121" t="str">
        <f>IF(ISBLANK(tbl_task1[[คะแนนเต็ม]:[คะแนนเต็ม]]),"",(tbl_task1[119]/tbl_task1[[คะแนนเต็ม]:[คะแนนเต็ม]])*tbl_task1[[%]:[%]])</f>
        <v/>
      </c>
      <c r="KD6" s="121" t="str">
        <f>IF(ISBLANK(tbl_task1[[คะแนนเต็ม]:[คะแนนเต็ม]]),"",(tbl_task1[120]/tbl_task1[[คะแนนเต็ม]:[คะแนนเต็ม]])*tbl_task1[[%]:[%]])</f>
        <v/>
      </c>
      <c r="KE6" s="121" t="str">
        <f>IF(ISBLANK(tbl_task1[[คะแนนเต็ม]:[คะแนนเต็ม]]),"",(tbl_task1[121]/tbl_task1[[คะแนนเต็ม]:[คะแนนเต็ม]])*tbl_task1[[%]:[%]])</f>
        <v/>
      </c>
      <c r="KF6" s="121" t="str">
        <f>IF(ISBLANK(tbl_task1[[คะแนนเต็ม]:[คะแนนเต็ม]]),"",(tbl_task1[122]/tbl_task1[[คะแนนเต็ม]:[คะแนนเต็ม]])*tbl_task1[[%]:[%]])</f>
        <v/>
      </c>
      <c r="KG6" s="121" t="str">
        <f>IF(ISBLANK(tbl_task1[[คะแนนเต็ม]:[คะแนนเต็ม]]),"",(tbl_task1[123]/tbl_task1[[คะแนนเต็ม]:[คะแนนเต็ม]])*tbl_task1[[%]:[%]])</f>
        <v/>
      </c>
      <c r="KH6" s="121" t="str">
        <f>IF(ISBLANK(tbl_task1[[คะแนนเต็ม]:[คะแนนเต็ม]]),"",(tbl_task1[124]/tbl_task1[[คะแนนเต็ม]:[คะแนนเต็ม]])*tbl_task1[[%]:[%]])</f>
        <v/>
      </c>
      <c r="KI6" s="121" t="str">
        <f>IF(ISBLANK(tbl_task1[[คะแนนเต็ม]:[คะแนนเต็ม]]),"",(tbl_task1[125]/tbl_task1[[คะแนนเต็ม]:[คะแนนเต็ม]])*tbl_task1[[%]:[%]])</f>
        <v/>
      </c>
      <c r="KJ6" s="121" t="str">
        <f>IF(ISBLANK(tbl_task1[[คะแนนเต็ม]:[คะแนนเต็ม]]),"",(tbl_task1[126]/tbl_task1[[คะแนนเต็ม]:[คะแนนเต็ม]])*tbl_task1[[%]:[%]])</f>
        <v/>
      </c>
      <c r="KK6" s="121" t="str">
        <f>IF(ISBLANK(tbl_task1[[คะแนนเต็ม]:[คะแนนเต็ม]]),"",(tbl_task1[127]/tbl_task1[[คะแนนเต็ม]:[คะแนนเต็ม]])*tbl_task1[[%]:[%]])</f>
        <v/>
      </c>
      <c r="KL6" s="121" t="str">
        <f>IF(ISBLANK(tbl_task1[[คะแนนเต็ม]:[คะแนนเต็ม]]),"",(tbl_task1[128]/tbl_task1[[คะแนนเต็ม]:[คะแนนเต็ม]])*tbl_task1[[%]:[%]])</f>
        <v/>
      </c>
      <c r="KM6" s="121" t="str">
        <f>IF(ISBLANK(tbl_task1[[คะแนนเต็ม]:[คะแนนเต็ม]]),"",(tbl_task1[129]/tbl_task1[[คะแนนเต็ม]:[คะแนนเต็ม]])*tbl_task1[[%]:[%]])</f>
        <v/>
      </c>
      <c r="KN6" s="121" t="str">
        <f>IF(ISBLANK(tbl_task1[[คะแนนเต็ม]:[คะแนนเต็ม]]),"",(tbl_task1[130]/tbl_task1[[คะแนนเต็ม]:[คะแนนเต็ม]])*tbl_task1[[%]:[%]])</f>
        <v/>
      </c>
      <c r="KO6" s="121" t="str">
        <f>IF(ISBLANK(tbl_task1[[คะแนนเต็ม]:[คะแนนเต็ม]]),"",(tbl_task1[131]/tbl_task1[[คะแนนเต็ม]:[คะแนนเต็ม]])*tbl_task1[[%]:[%]])</f>
        <v/>
      </c>
      <c r="KP6" s="121" t="str">
        <f>IF(ISBLANK(tbl_task1[[คะแนนเต็ม]:[คะแนนเต็ม]]),"",(tbl_task1[132]/tbl_task1[[คะแนนเต็ม]:[คะแนนเต็ม]])*tbl_task1[[%]:[%]])</f>
        <v/>
      </c>
      <c r="KQ6" s="121" t="str">
        <f>IF(ISBLANK(tbl_task1[[คะแนนเต็ม]:[คะแนนเต็ม]]),"",(tbl_task1[133]/tbl_task1[[คะแนนเต็ม]:[คะแนนเต็ม]])*tbl_task1[[%]:[%]])</f>
        <v/>
      </c>
      <c r="KR6" s="121" t="str">
        <f>IF(ISBLANK(tbl_task1[[คะแนนเต็ม]:[คะแนนเต็ม]]),"",(tbl_task1[134]/tbl_task1[[คะแนนเต็ม]:[คะแนนเต็ม]])*tbl_task1[[%]:[%]])</f>
        <v/>
      </c>
      <c r="KS6" s="121" t="str">
        <f>IF(ISBLANK(tbl_task1[[คะแนนเต็ม]:[คะแนนเต็ม]]),"",(tbl_task1[135]/tbl_task1[[คะแนนเต็ม]:[คะแนนเต็ม]])*tbl_task1[[%]:[%]])</f>
        <v/>
      </c>
      <c r="KT6" s="121" t="str">
        <f>IF(ISBLANK(tbl_task1[[คะแนนเต็ม]:[คะแนนเต็ม]]),"",(tbl_task1[136]/tbl_task1[[คะแนนเต็ม]:[คะแนนเต็ม]])*tbl_task1[[%]:[%]])</f>
        <v/>
      </c>
      <c r="KU6" s="121" t="str">
        <f>IF(ISBLANK(tbl_task1[[คะแนนเต็ม]:[คะแนนเต็ม]]),"",(tbl_task1[137]/tbl_task1[[คะแนนเต็ม]:[คะแนนเต็ม]])*tbl_task1[[%]:[%]])</f>
        <v/>
      </c>
      <c r="KV6" s="121" t="str">
        <f>IF(ISBLANK(tbl_task1[[คะแนนเต็ม]:[คะแนนเต็ม]]),"",(tbl_task1[138]/tbl_task1[[คะแนนเต็ม]:[คะแนนเต็ม]])*tbl_task1[[%]:[%]])</f>
        <v/>
      </c>
      <c r="KW6" s="121" t="str">
        <f>IF(ISBLANK(tbl_task1[[คะแนนเต็ม]:[คะแนนเต็ม]]),"",(tbl_task1[139]/tbl_task1[[คะแนนเต็ม]:[คะแนนเต็ม]])*tbl_task1[[%]:[%]])</f>
        <v/>
      </c>
      <c r="KX6" s="121" t="str">
        <f>IF(ISBLANK(tbl_task1[[คะแนนเต็ม]:[คะแนนเต็ม]]),"",(tbl_task1[140]/tbl_task1[[คะแนนเต็ม]:[คะแนนเต็ม]])*tbl_task1[[%]:[%]])</f>
        <v/>
      </c>
      <c r="KY6" s="121" t="str">
        <f>IF(ISBLANK(tbl_task1[[คะแนนเต็ม]:[คะแนนเต็ม]]),"",(tbl_task1[141]/tbl_task1[[คะแนนเต็ม]:[คะแนนเต็ม]])*tbl_task1[[%]:[%]])</f>
        <v/>
      </c>
      <c r="KZ6" s="121" t="str">
        <f>IF(ISBLANK(tbl_task1[[คะแนนเต็ม]:[คะแนนเต็ม]]),"",(tbl_task1[142]/tbl_task1[[คะแนนเต็ม]:[คะแนนเต็ม]])*tbl_task1[[%]:[%]])</f>
        <v/>
      </c>
      <c r="LA6" s="121" t="str">
        <f>IF(ISBLANK(tbl_task1[[คะแนนเต็ม]:[คะแนนเต็ม]]),"",(tbl_task1[143]/tbl_task1[[คะแนนเต็ม]:[คะแนนเต็ม]])*tbl_task1[[%]:[%]])</f>
        <v/>
      </c>
      <c r="LB6" s="121" t="str">
        <f>IF(ISBLANK(tbl_task1[[คะแนนเต็ม]:[คะแนนเต็ม]]),"",(tbl_task1[144]/tbl_task1[[คะแนนเต็ม]:[คะแนนเต็ม]])*tbl_task1[[%]:[%]])</f>
        <v/>
      </c>
      <c r="LC6" s="121" t="str">
        <f>IF(ISBLANK(tbl_task1[[คะแนนเต็ม]:[คะแนนเต็ม]]),"",(tbl_task1[145]/tbl_task1[[คะแนนเต็ม]:[คะแนนเต็ม]])*tbl_task1[[%]:[%]])</f>
        <v/>
      </c>
      <c r="LD6" s="121" t="str">
        <f>IF(ISBLANK(tbl_task1[[คะแนนเต็ม]:[คะแนนเต็ม]]),"",(tbl_task1[146]/tbl_task1[[คะแนนเต็ม]:[คะแนนเต็ม]])*tbl_task1[[%]:[%]])</f>
        <v/>
      </c>
      <c r="LE6" s="121" t="str">
        <f>IF(ISBLANK(tbl_task1[[คะแนนเต็ม]:[คะแนนเต็ม]]),"",(tbl_task1[147]/tbl_task1[[คะแนนเต็ม]:[คะแนนเต็ม]])*tbl_task1[[%]:[%]])</f>
        <v/>
      </c>
      <c r="LF6" s="121" t="str">
        <f>IF(ISBLANK(tbl_task1[[คะแนนเต็ม]:[คะแนนเต็ม]]),"",(tbl_task1[148]/tbl_task1[[คะแนนเต็ม]:[คะแนนเต็ม]])*tbl_task1[[%]:[%]])</f>
        <v/>
      </c>
      <c r="LG6" s="121" t="str">
        <f>IF(ISBLANK(tbl_task1[[คะแนนเต็ม]:[คะแนนเต็ม]]),"",(tbl_task1[149]/tbl_task1[[คะแนนเต็ม]:[คะแนนเต็ม]])*tbl_task1[[%]:[%]])</f>
        <v/>
      </c>
      <c r="LH6" s="121" t="str">
        <f>IF(ISBLANK(tbl_task1[[คะแนนเต็ม]:[คะแนนเต็ม]]),"",(tbl_task1[150]/tbl_task1[[คะแนนเต็ม]:[คะแนนเต็ม]])*tbl_task1[[%]:[%]])</f>
        <v/>
      </c>
      <c r="LI6" s="121" t="str">
        <f>IF(ISBLANK(tbl_task1[[คะแนนเต็ม]:[คะแนนเต็ม]]),"",(tbl_task1[151]/tbl_task1[[คะแนนเต็ม]:[คะแนนเต็ม]])*tbl_task1[[%]:[%]])</f>
        <v/>
      </c>
      <c r="LJ6" s="121" t="str">
        <f>IF(ISBLANK(tbl_task1[[คะแนนเต็ม]:[คะแนนเต็ม]]),"",(tbl_task1[152]/tbl_task1[[คะแนนเต็ม]:[คะแนนเต็ม]])*tbl_task1[[%]:[%]])</f>
        <v/>
      </c>
      <c r="LK6" s="121" t="str">
        <f>IF(ISBLANK(tbl_task1[[คะแนนเต็ม]:[คะแนนเต็ม]]),"",(tbl_task1[153]/tbl_task1[[คะแนนเต็ม]:[คะแนนเต็ม]])*tbl_task1[[%]:[%]])</f>
        <v/>
      </c>
      <c r="LL6" s="121" t="str">
        <f>IF(ISBLANK(tbl_task1[[คะแนนเต็ม]:[คะแนนเต็ม]]),"",(tbl_task1[154]/tbl_task1[[คะแนนเต็ม]:[คะแนนเต็ม]])*tbl_task1[[%]:[%]])</f>
        <v/>
      </c>
      <c r="LM6" s="121" t="str">
        <f>IF(ISBLANK(tbl_task1[[คะแนนเต็ม]:[คะแนนเต็ม]]),"",(tbl_task1[155]/tbl_task1[[คะแนนเต็ม]:[คะแนนเต็ม]])*tbl_task1[[%]:[%]])</f>
        <v/>
      </c>
      <c r="LN6" s="121" t="str">
        <f>IF(ISBLANK(tbl_task1[[คะแนนเต็ม]:[คะแนนเต็ม]]),"",(tbl_task1[156]/tbl_task1[[คะแนนเต็ม]:[คะแนนเต็ม]])*tbl_task1[[%]:[%]])</f>
        <v/>
      </c>
      <c r="LO6" s="121" t="str">
        <f>IF(ISBLANK(tbl_task1[[คะแนนเต็ม]:[คะแนนเต็ม]]),"",(tbl_task1[157]/tbl_task1[[คะแนนเต็ม]:[คะแนนเต็ม]])*tbl_task1[[%]:[%]])</f>
        <v/>
      </c>
      <c r="LP6" s="121" t="str">
        <f>IF(ISBLANK(tbl_task1[[คะแนนเต็ม]:[คะแนนเต็ม]]),"",(tbl_task1[158]/tbl_task1[[คะแนนเต็ม]:[คะแนนเต็ม]])*tbl_task1[[%]:[%]])</f>
        <v/>
      </c>
      <c r="LQ6" s="121" t="str">
        <f>IF(ISBLANK(tbl_task1[[คะแนนเต็ม]:[คะแนนเต็ม]]),"",(tbl_task1[159]/tbl_task1[[คะแนนเต็ม]:[คะแนนเต็ม]])*tbl_task1[[%]:[%]])</f>
        <v/>
      </c>
      <c r="LR6" s="121" t="str">
        <f>IF(ISBLANK(tbl_task1[[คะแนนเต็ม]:[คะแนนเต็ม]]),"",(tbl_task1[160]/tbl_task1[[คะแนนเต็ม]:[คะแนนเต็ม]])*tbl_task1[[%]:[%]])</f>
        <v/>
      </c>
      <c r="LS6" s="121" t="str">
        <f>IF(ISBLANK(tbl_task1[[คะแนนเต็ม]:[คะแนนเต็ม]]),"",(tbl_task1[161]/tbl_task1[[คะแนนเต็ม]:[คะแนนเต็ม]])*tbl_task1[[%]:[%]])</f>
        <v/>
      </c>
      <c r="LT6" s="121" t="str">
        <f>IF(ISBLANK(tbl_task1[[คะแนนเต็ม]:[คะแนนเต็ม]]),"",(tbl_task1[162]/tbl_task1[[คะแนนเต็ม]:[คะแนนเต็ม]])*tbl_task1[[%]:[%]])</f>
        <v/>
      </c>
      <c r="LU6" s="121" t="str">
        <f>IF(ISBLANK(tbl_task1[[คะแนนเต็ม]:[คะแนนเต็ม]]),"",(tbl_task1[163]/tbl_task1[[คะแนนเต็ม]:[คะแนนเต็ม]])*tbl_task1[[%]:[%]])</f>
        <v/>
      </c>
      <c r="LV6" s="121" t="str">
        <f>IF(ISBLANK(tbl_task1[[คะแนนเต็ม]:[คะแนนเต็ม]]),"",(tbl_task1[164]/tbl_task1[[คะแนนเต็ม]:[คะแนนเต็ม]])*tbl_task1[[%]:[%]])</f>
        <v/>
      </c>
      <c r="LW6" s="121" t="str">
        <f>IF(ISBLANK(tbl_task1[[คะแนนเต็ม]:[คะแนนเต็ม]]),"",(tbl_task1[165]/tbl_task1[[คะแนนเต็ม]:[คะแนนเต็ม]])*tbl_task1[[%]:[%]])</f>
        <v/>
      </c>
    </row>
    <row r="7" spans="1:335" ht="22.5" customHeight="1" x14ac:dyDescent="0.25">
      <c r="A7" s="24">
        <v>4</v>
      </c>
      <c r="B7" s="33"/>
      <c r="C7" s="5" t="str">
        <f>IF(ISBLANK(B7),"",VLOOKUP(B7,tbl_PLOs[],2,0))</f>
        <v/>
      </c>
      <c r="D7" s="102"/>
      <c r="E7" s="10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22"/>
      <c r="FO7" s="121" t="str">
        <f>IF(ISBLANK(tbl_task1[[คะแนนเต็ม]:[คะแนนเต็ม]]),"",(tbl_task1[1]/tbl_task1[[คะแนนเต็ม]:[คะแนนเต็ม]])*tbl_task1[[%]:[%]])</f>
        <v/>
      </c>
      <c r="FP7" s="121" t="str">
        <f>IF(ISBLANK(tbl_task1[[คะแนนเต็ม]:[คะแนนเต็ม]]),"",(tbl_task1[2]/tbl_task1[[คะแนนเต็ม]:[คะแนนเต็ม]])*tbl_task1[[%]:[%]])</f>
        <v/>
      </c>
      <c r="FQ7" s="121" t="str">
        <f>IF(ISBLANK(tbl_task1[[คะแนนเต็ม]:[คะแนนเต็ม]]),"",(tbl_task1[3]/tbl_task1[[คะแนนเต็ม]:[คะแนนเต็ม]])*tbl_task1[[%]:[%]])</f>
        <v/>
      </c>
      <c r="FR7" s="121" t="str">
        <f>IF(ISBLANK(tbl_task1[[คะแนนเต็ม]:[คะแนนเต็ม]]),"",(tbl_task1[4]/tbl_task1[[คะแนนเต็ม]:[คะแนนเต็ม]])*tbl_task1[[%]:[%]])</f>
        <v/>
      </c>
      <c r="FS7" s="121" t="str">
        <f>IF(ISBLANK(tbl_task1[[คะแนนเต็ม]:[คะแนนเต็ม]]),"",(tbl_task1[5]/tbl_task1[[คะแนนเต็ม]:[คะแนนเต็ม]])*tbl_task1[[%]:[%]])</f>
        <v/>
      </c>
      <c r="FT7" s="121" t="str">
        <f>IF(ISBLANK(tbl_task1[[คะแนนเต็ม]:[คะแนนเต็ม]]),"",(tbl_task1[6]/tbl_task1[[คะแนนเต็ม]:[คะแนนเต็ม]])*tbl_task1[[%]:[%]])</f>
        <v/>
      </c>
      <c r="FU7" s="121" t="str">
        <f>IF(ISBLANK(tbl_task1[[คะแนนเต็ม]:[คะแนนเต็ม]]),"",(tbl_task1[7]/tbl_task1[[คะแนนเต็ม]:[คะแนนเต็ม]])*tbl_task1[[%]:[%]])</f>
        <v/>
      </c>
      <c r="FV7" s="121" t="str">
        <f>IF(ISBLANK(tbl_task1[[คะแนนเต็ม]:[คะแนนเต็ม]]),"",(tbl_task1[8]/tbl_task1[[คะแนนเต็ม]:[คะแนนเต็ม]])*tbl_task1[[%]:[%]])</f>
        <v/>
      </c>
      <c r="FW7" s="121" t="str">
        <f>IF(ISBLANK(tbl_task1[[คะแนนเต็ม]:[คะแนนเต็ม]]),"",(tbl_task1[9]/tbl_task1[[คะแนนเต็ม]:[คะแนนเต็ม]])*tbl_task1[[%]:[%]])</f>
        <v/>
      </c>
      <c r="FX7" s="121" t="str">
        <f>IF(ISBLANK(tbl_task1[[คะแนนเต็ม]:[คะแนนเต็ม]]),"",(tbl_task1[10]/tbl_task1[[คะแนนเต็ม]:[คะแนนเต็ม]])*tbl_task1[[%]:[%]])</f>
        <v/>
      </c>
      <c r="FY7" s="121" t="str">
        <f>IF(ISBLANK(tbl_task1[[คะแนนเต็ม]:[คะแนนเต็ม]]),"",(tbl_task1[11]/tbl_task1[[คะแนนเต็ม]:[คะแนนเต็ม]])*tbl_task1[[%]:[%]])</f>
        <v/>
      </c>
      <c r="FZ7" s="121" t="str">
        <f>IF(ISBLANK(tbl_task1[[คะแนนเต็ม]:[คะแนนเต็ม]]),"",(tbl_task1[12]/tbl_task1[[คะแนนเต็ม]:[คะแนนเต็ม]])*tbl_task1[[%]:[%]])</f>
        <v/>
      </c>
      <c r="GA7" s="121" t="str">
        <f>IF(ISBLANK(tbl_task1[[คะแนนเต็ม]:[คะแนนเต็ม]]),"",(tbl_task1[13]/tbl_task1[[คะแนนเต็ม]:[คะแนนเต็ม]])*tbl_task1[[%]:[%]])</f>
        <v/>
      </c>
      <c r="GB7" s="121" t="str">
        <f>IF(ISBLANK(tbl_task1[[คะแนนเต็ม]:[คะแนนเต็ม]]),"",(tbl_task1[14]/tbl_task1[[คะแนนเต็ม]:[คะแนนเต็ม]])*tbl_task1[[%]:[%]])</f>
        <v/>
      </c>
      <c r="GC7" s="121" t="str">
        <f>IF(ISBLANK(tbl_task1[[คะแนนเต็ม]:[คะแนนเต็ม]]),"",(tbl_task1[15]/tbl_task1[[คะแนนเต็ม]:[คะแนนเต็ม]])*tbl_task1[[%]:[%]])</f>
        <v/>
      </c>
      <c r="GD7" s="121" t="str">
        <f>IF(ISBLANK(tbl_task1[[คะแนนเต็ม]:[คะแนนเต็ม]]),"",(tbl_task1[16]/tbl_task1[[คะแนนเต็ม]:[คะแนนเต็ม]])*tbl_task1[[%]:[%]])</f>
        <v/>
      </c>
      <c r="GE7" s="121" t="str">
        <f>IF(ISBLANK(tbl_task1[[คะแนนเต็ม]:[คะแนนเต็ม]]),"",(tbl_task1[17]/tbl_task1[[คะแนนเต็ม]:[คะแนนเต็ม]])*tbl_task1[[%]:[%]])</f>
        <v/>
      </c>
      <c r="GF7" s="121" t="str">
        <f>IF(ISBLANK(tbl_task1[[คะแนนเต็ม]:[คะแนนเต็ม]]),"",(tbl_task1[18]/tbl_task1[[คะแนนเต็ม]:[คะแนนเต็ม]])*tbl_task1[[%]:[%]])</f>
        <v/>
      </c>
      <c r="GG7" s="121" t="str">
        <f>IF(ISBLANK(tbl_task1[[คะแนนเต็ม]:[คะแนนเต็ม]]),"",(tbl_task1[19]/tbl_task1[[คะแนนเต็ม]:[คะแนนเต็ม]])*tbl_task1[[%]:[%]])</f>
        <v/>
      </c>
      <c r="GH7" s="121" t="str">
        <f>IF(ISBLANK(tbl_task1[[คะแนนเต็ม]:[คะแนนเต็ม]]),"",(tbl_task1[20]/tbl_task1[[คะแนนเต็ม]:[คะแนนเต็ม]])*tbl_task1[[%]:[%]])</f>
        <v/>
      </c>
      <c r="GI7" s="121" t="str">
        <f>IF(ISBLANK(tbl_task1[[คะแนนเต็ม]:[คะแนนเต็ม]]),"",(tbl_task1[21]/tbl_task1[[คะแนนเต็ม]:[คะแนนเต็ม]])*tbl_task1[[%]:[%]])</f>
        <v/>
      </c>
      <c r="GJ7" s="121" t="str">
        <f>IF(ISBLANK(tbl_task1[[คะแนนเต็ม]:[คะแนนเต็ม]]),"",(tbl_task1[22]/tbl_task1[[คะแนนเต็ม]:[คะแนนเต็ม]])*tbl_task1[[%]:[%]])</f>
        <v/>
      </c>
      <c r="GK7" s="121" t="str">
        <f>IF(ISBLANK(tbl_task1[[คะแนนเต็ม]:[คะแนนเต็ม]]),"",(tbl_task1[23]/tbl_task1[[คะแนนเต็ม]:[คะแนนเต็ม]])*tbl_task1[[%]:[%]])</f>
        <v/>
      </c>
      <c r="GL7" s="121" t="str">
        <f>IF(ISBLANK(tbl_task1[[คะแนนเต็ม]:[คะแนนเต็ม]]),"",(tbl_task1[24]/tbl_task1[[คะแนนเต็ม]:[คะแนนเต็ม]])*tbl_task1[[%]:[%]])</f>
        <v/>
      </c>
      <c r="GM7" s="121" t="str">
        <f>IF(ISBLANK(tbl_task1[[คะแนนเต็ม]:[คะแนนเต็ม]]),"",(tbl_task1[25]/tbl_task1[[คะแนนเต็ม]:[คะแนนเต็ม]])*tbl_task1[[%]:[%]])</f>
        <v/>
      </c>
      <c r="GN7" s="121" t="str">
        <f>IF(ISBLANK(tbl_task1[[คะแนนเต็ม]:[คะแนนเต็ม]]),"",(tbl_task1[26]/tbl_task1[[คะแนนเต็ม]:[คะแนนเต็ม]])*tbl_task1[[%]:[%]])</f>
        <v/>
      </c>
      <c r="GO7" s="121" t="str">
        <f>IF(ISBLANK(tbl_task1[[คะแนนเต็ม]:[คะแนนเต็ม]]),"",(tbl_task1[27]/tbl_task1[[คะแนนเต็ม]:[คะแนนเต็ม]])*tbl_task1[[%]:[%]])</f>
        <v/>
      </c>
      <c r="GP7" s="121" t="str">
        <f>IF(ISBLANK(tbl_task1[[คะแนนเต็ม]:[คะแนนเต็ม]]),"",(tbl_task1[28]/tbl_task1[[คะแนนเต็ม]:[คะแนนเต็ม]])*tbl_task1[[%]:[%]])</f>
        <v/>
      </c>
      <c r="GQ7" s="121" t="str">
        <f>IF(ISBLANK(tbl_task1[[คะแนนเต็ม]:[คะแนนเต็ม]]),"",(tbl_task1[29]/tbl_task1[[คะแนนเต็ม]:[คะแนนเต็ม]])*tbl_task1[[%]:[%]])</f>
        <v/>
      </c>
      <c r="GR7" s="121" t="str">
        <f>IF(ISBLANK(tbl_task1[[คะแนนเต็ม]:[คะแนนเต็ม]]),"",(tbl_task1[30]/tbl_task1[[คะแนนเต็ม]:[คะแนนเต็ม]])*tbl_task1[[%]:[%]])</f>
        <v/>
      </c>
      <c r="GS7" s="121" t="str">
        <f>IF(ISBLANK(tbl_task1[[คะแนนเต็ม]:[คะแนนเต็ม]]),"",(tbl_task1[31]/tbl_task1[[คะแนนเต็ม]:[คะแนนเต็ม]])*tbl_task1[[%]:[%]])</f>
        <v/>
      </c>
      <c r="GT7" s="121" t="str">
        <f>IF(ISBLANK(tbl_task1[[คะแนนเต็ม]:[คะแนนเต็ม]]),"",(tbl_task1[32]/tbl_task1[[คะแนนเต็ม]:[คะแนนเต็ม]])*tbl_task1[[%]:[%]])</f>
        <v/>
      </c>
      <c r="GU7" s="121" t="str">
        <f>IF(ISBLANK(tbl_task1[[คะแนนเต็ม]:[คะแนนเต็ม]]),"",(tbl_task1[33]/tbl_task1[[คะแนนเต็ม]:[คะแนนเต็ม]])*tbl_task1[[%]:[%]])</f>
        <v/>
      </c>
      <c r="GV7" s="121" t="str">
        <f>IF(ISBLANK(tbl_task1[[คะแนนเต็ม]:[คะแนนเต็ม]]),"",(tbl_task1[34]/tbl_task1[[คะแนนเต็ม]:[คะแนนเต็ม]])*tbl_task1[[%]:[%]])</f>
        <v/>
      </c>
      <c r="GW7" s="121" t="str">
        <f>IF(ISBLANK(tbl_task1[[คะแนนเต็ม]:[คะแนนเต็ม]]),"",(tbl_task1[35]/tbl_task1[[คะแนนเต็ม]:[คะแนนเต็ม]])*tbl_task1[[%]:[%]])</f>
        <v/>
      </c>
      <c r="GX7" s="121" t="str">
        <f>IF(ISBLANK(tbl_task1[[คะแนนเต็ม]:[คะแนนเต็ม]]),"",(tbl_task1[36]/tbl_task1[[คะแนนเต็ม]:[คะแนนเต็ม]])*tbl_task1[[%]:[%]])</f>
        <v/>
      </c>
      <c r="GY7" s="121" t="str">
        <f>IF(ISBLANK(tbl_task1[[คะแนนเต็ม]:[คะแนนเต็ม]]),"",(tbl_task1[37]/tbl_task1[[คะแนนเต็ม]:[คะแนนเต็ม]])*tbl_task1[[%]:[%]])</f>
        <v/>
      </c>
      <c r="GZ7" s="121" t="str">
        <f>IF(ISBLANK(tbl_task1[[คะแนนเต็ม]:[คะแนนเต็ม]]),"",(tbl_task1[38]/tbl_task1[[คะแนนเต็ม]:[คะแนนเต็ม]])*tbl_task1[[%]:[%]])</f>
        <v/>
      </c>
      <c r="HA7" s="121" t="str">
        <f>IF(ISBLANK(tbl_task1[[คะแนนเต็ม]:[คะแนนเต็ม]]),"",(tbl_task1[39]/tbl_task1[[คะแนนเต็ม]:[คะแนนเต็ม]])*tbl_task1[[%]:[%]])</f>
        <v/>
      </c>
      <c r="HB7" s="121" t="str">
        <f>IF(ISBLANK(tbl_task1[[คะแนนเต็ม]:[คะแนนเต็ม]]),"",(tbl_task1[40]/tbl_task1[[คะแนนเต็ม]:[คะแนนเต็ม]])*tbl_task1[[%]:[%]])</f>
        <v/>
      </c>
      <c r="HC7" s="121" t="str">
        <f>IF(ISBLANK(tbl_task1[[คะแนนเต็ม]:[คะแนนเต็ม]]),"",(tbl_task1[41]/tbl_task1[[คะแนนเต็ม]:[คะแนนเต็ม]])*tbl_task1[[%]:[%]])</f>
        <v/>
      </c>
      <c r="HD7" s="121" t="str">
        <f>IF(ISBLANK(tbl_task1[[คะแนนเต็ม]:[คะแนนเต็ม]]),"",(tbl_task1[42]/tbl_task1[[คะแนนเต็ม]:[คะแนนเต็ม]])*tbl_task1[[%]:[%]])</f>
        <v/>
      </c>
      <c r="HE7" s="121" t="str">
        <f>IF(ISBLANK(tbl_task1[[คะแนนเต็ม]:[คะแนนเต็ม]]),"",(tbl_task1[43]/tbl_task1[[คะแนนเต็ม]:[คะแนนเต็ม]])*tbl_task1[[%]:[%]])</f>
        <v/>
      </c>
      <c r="HF7" s="121" t="str">
        <f>IF(ISBLANK(tbl_task1[[คะแนนเต็ม]:[คะแนนเต็ม]]),"",(tbl_task1[44]/tbl_task1[[คะแนนเต็ม]:[คะแนนเต็ม]])*tbl_task1[[%]:[%]])</f>
        <v/>
      </c>
      <c r="HG7" s="121" t="str">
        <f>IF(ISBLANK(tbl_task1[[คะแนนเต็ม]:[คะแนนเต็ม]]),"",(tbl_task1[45]/tbl_task1[[คะแนนเต็ม]:[คะแนนเต็ม]])*tbl_task1[[%]:[%]])</f>
        <v/>
      </c>
      <c r="HH7" s="121" t="str">
        <f>IF(ISBLANK(tbl_task1[[คะแนนเต็ม]:[คะแนนเต็ม]]),"",(tbl_task1[46]/tbl_task1[[คะแนนเต็ม]:[คะแนนเต็ม]])*tbl_task1[[%]:[%]])</f>
        <v/>
      </c>
      <c r="HI7" s="121" t="str">
        <f>IF(ISBLANK(tbl_task1[[คะแนนเต็ม]:[คะแนนเต็ม]]),"",(tbl_task1[47]/tbl_task1[[คะแนนเต็ม]:[คะแนนเต็ม]])*tbl_task1[[%]:[%]])</f>
        <v/>
      </c>
      <c r="HJ7" s="121" t="str">
        <f>IF(ISBLANK(tbl_task1[[คะแนนเต็ม]:[คะแนนเต็ม]]),"",(tbl_task1[48]/tbl_task1[[คะแนนเต็ม]:[คะแนนเต็ม]])*tbl_task1[[%]:[%]])</f>
        <v/>
      </c>
      <c r="HK7" s="121" t="str">
        <f>IF(ISBLANK(tbl_task1[[คะแนนเต็ม]:[คะแนนเต็ม]]),"",(tbl_task1[49]/tbl_task1[[คะแนนเต็ม]:[คะแนนเต็ม]])*tbl_task1[[%]:[%]])</f>
        <v/>
      </c>
      <c r="HL7" s="121" t="str">
        <f>IF(ISBLANK(tbl_task1[[คะแนนเต็ม]:[คะแนนเต็ม]]),"",(tbl_task1[50]/tbl_task1[[คะแนนเต็ม]:[คะแนนเต็ม]])*tbl_task1[[%]:[%]])</f>
        <v/>
      </c>
      <c r="HM7" s="121" t="str">
        <f>IF(ISBLANK(tbl_task1[[คะแนนเต็ม]:[คะแนนเต็ม]]),"",(tbl_task1[51]/tbl_task1[[คะแนนเต็ม]:[คะแนนเต็ม]])*tbl_task1[[%]:[%]])</f>
        <v/>
      </c>
      <c r="HN7" s="121" t="str">
        <f>IF(ISBLANK(tbl_task1[[คะแนนเต็ม]:[คะแนนเต็ม]]),"",(tbl_task1[52]/tbl_task1[[คะแนนเต็ม]:[คะแนนเต็ม]])*tbl_task1[[%]:[%]])</f>
        <v/>
      </c>
      <c r="HO7" s="121" t="str">
        <f>IF(ISBLANK(tbl_task1[[คะแนนเต็ม]:[คะแนนเต็ม]]),"",(tbl_task1[53]/tbl_task1[[คะแนนเต็ม]:[คะแนนเต็ม]])*tbl_task1[[%]:[%]])</f>
        <v/>
      </c>
      <c r="HP7" s="121" t="str">
        <f>IF(ISBLANK(tbl_task1[[คะแนนเต็ม]:[คะแนนเต็ม]]),"",(tbl_task1[54]/tbl_task1[[คะแนนเต็ม]:[คะแนนเต็ม]])*tbl_task1[[%]:[%]])</f>
        <v/>
      </c>
      <c r="HQ7" s="121" t="str">
        <f>IF(ISBLANK(tbl_task1[[คะแนนเต็ม]:[คะแนนเต็ม]]),"",(tbl_task1[55]/tbl_task1[[คะแนนเต็ม]:[คะแนนเต็ม]])*tbl_task1[[%]:[%]])</f>
        <v/>
      </c>
      <c r="HR7" s="121" t="str">
        <f>IF(ISBLANK(tbl_task1[[คะแนนเต็ม]:[คะแนนเต็ม]]),"",(tbl_task1[56]/tbl_task1[[คะแนนเต็ม]:[คะแนนเต็ม]])*tbl_task1[[%]:[%]])</f>
        <v/>
      </c>
      <c r="HS7" s="121" t="str">
        <f>IF(ISBLANK(tbl_task1[[คะแนนเต็ม]:[คะแนนเต็ม]]),"",(tbl_task1[57]/tbl_task1[[คะแนนเต็ม]:[คะแนนเต็ม]])*tbl_task1[[%]:[%]])</f>
        <v/>
      </c>
      <c r="HT7" s="121" t="str">
        <f>IF(ISBLANK(tbl_task1[[คะแนนเต็ม]:[คะแนนเต็ม]]),"",(tbl_task1[58]/tbl_task1[[คะแนนเต็ม]:[คะแนนเต็ม]])*tbl_task1[[%]:[%]])</f>
        <v/>
      </c>
      <c r="HU7" s="121" t="str">
        <f>IF(ISBLANK(tbl_task1[[คะแนนเต็ม]:[คะแนนเต็ม]]),"",(tbl_task1[59]/tbl_task1[[คะแนนเต็ม]:[คะแนนเต็ม]])*tbl_task1[[%]:[%]])</f>
        <v/>
      </c>
      <c r="HV7" s="121" t="str">
        <f>IF(ISBLANK(tbl_task1[[คะแนนเต็ม]:[คะแนนเต็ม]]),"",(tbl_task1[60]/tbl_task1[[คะแนนเต็ม]:[คะแนนเต็ม]])*tbl_task1[[%]:[%]])</f>
        <v/>
      </c>
      <c r="HW7" s="121" t="str">
        <f>IF(ISBLANK(tbl_task1[[คะแนนเต็ม]:[คะแนนเต็ม]]),"",(tbl_task1[61]/tbl_task1[[คะแนนเต็ม]:[คะแนนเต็ม]])*tbl_task1[[%]:[%]])</f>
        <v/>
      </c>
      <c r="HX7" s="121" t="str">
        <f>IF(ISBLANK(tbl_task1[[คะแนนเต็ม]:[คะแนนเต็ม]]),"",(tbl_task1[62]/tbl_task1[[คะแนนเต็ม]:[คะแนนเต็ม]])*tbl_task1[[%]:[%]])</f>
        <v/>
      </c>
      <c r="HY7" s="121" t="str">
        <f>IF(ISBLANK(tbl_task1[[คะแนนเต็ม]:[คะแนนเต็ม]]),"",(tbl_task1[63]/tbl_task1[[คะแนนเต็ม]:[คะแนนเต็ม]])*tbl_task1[[%]:[%]])</f>
        <v/>
      </c>
      <c r="HZ7" s="121" t="str">
        <f>IF(ISBLANK(tbl_task1[[คะแนนเต็ม]:[คะแนนเต็ม]]),"",(tbl_task1[64]/tbl_task1[[คะแนนเต็ม]:[คะแนนเต็ม]])*tbl_task1[[%]:[%]])</f>
        <v/>
      </c>
      <c r="IA7" s="121" t="str">
        <f>IF(ISBLANK(tbl_task1[[คะแนนเต็ม]:[คะแนนเต็ม]]),"",(tbl_task1[65]/tbl_task1[[คะแนนเต็ม]:[คะแนนเต็ม]])*tbl_task1[[%]:[%]])</f>
        <v/>
      </c>
      <c r="IB7" s="121" t="str">
        <f>IF(ISBLANK(tbl_task1[[คะแนนเต็ม]:[คะแนนเต็ม]]),"",(tbl_task1[66]/tbl_task1[[คะแนนเต็ม]:[คะแนนเต็ม]])*tbl_task1[[%]:[%]])</f>
        <v/>
      </c>
      <c r="IC7" s="121" t="str">
        <f>IF(ISBLANK(tbl_task1[[คะแนนเต็ม]:[คะแนนเต็ม]]),"",(tbl_task1[67]/tbl_task1[[คะแนนเต็ม]:[คะแนนเต็ม]])*tbl_task1[[%]:[%]])</f>
        <v/>
      </c>
      <c r="ID7" s="121" t="str">
        <f>IF(ISBLANK(tbl_task1[[คะแนนเต็ม]:[คะแนนเต็ม]]),"",(tbl_task1[68]/tbl_task1[[คะแนนเต็ม]:[คะแนนเต็ม]])*tbl_task1[[%]:[%]])</f>
        <v/>
      </c>
      <c r="IE7" s="121" t="str">
        <f>IF(ISBLANK(tbl_task1[[คะแนนเต็ม]:[คะแนนเต็ม]]),"",(tbl_task1[69]/tbl_task1[[คะแนนเต็ม]:[คะแนนเต็ม]])*tbl_task1[[%]:[%]])</f>
        <v/>
      </c>
      <c r="IF7" s="121" t="str">
        <f>IF(ISBLANK(tbl_task1[[คะแนนเต็ม]:[คะแนนเต็ม]]),"",(tbl_task1[70]/tbl_task1[[คะแนนเต็ม]:[คะแนนเต็ม]])*tbl_task1[[%]:[%]])</f>
        <v/>
      </c>
      <c r="IG7" s="121" t="str">
        <f>IF(ISBLANK(tbl_task1[[คะแนนเต็ม]:[คะแนนเต็ม]]),"",(tbl_task1[71]/tbl_task1[[คะแนนเต็ม]:[คะแนนเต็ม]])*tbl_task1[[%]:[%]])</f>
        <v/>
      </c>
      <c r="IH7" s="121" t="str">
        <f>IF(ISBLANK(tbl_task1[[คะแนนเต็ม]:[คะแนนเต็ม]]),"",(tbl_task1[72]/tbl_task1[[คะแนนเต็ม]:[คะแนนเต็ม]])*tbl_task1[[%]:[%]])</f>
        <v/>
      </c>
      <c r="II7" s="121" t="str">
        <f>IF(ISBLANK(tbl_task1[[คะแนนเต็ม]:[คะแนนเต็ม]]),"",(tbl_task1[73]/tbl_task1[[คะแนนเต็ม]:[คะแนนเต็ม]])*tbl_task1[[%]:[%]])</f>
        <v/>
      </c>
      <c r="IJ7" s="121" t="str">
        <f>IF(ISBLANK(tbl_task1[[คะแนนเต็ม]:[คะแนนเต็ม]]),"",(tbl_task1[74]/tbl_task1[[คะแนนเต็ม]:[คะแนนเต็ม]])*tbl_task1[[%]:[%]])</f>
        <v/>
      </c>
      <c r="IK7" s="121" t="str">
        <f>IF(ISBLANK(tbl_task1[[คะแนนเต็ม]:[คะแนนเต็ม]]),"",(tbl_task1[75]/tbl_task1[[คะแนนเต็ม]:[คะแนนเต็ม]])*tbl_task1[[%]:[%]])</f>
        <v/>
      </c>
      <c r="IL7" s="121" t="str">
        <f>IF(ISBLANK(tbl_task1[[คะแนนเต็ม]:[คะแนนเต็ม]]),"",(tbl_task1[76]/tbl_task1[[คะแนนเต็ม]:[คะแนนเต็ม]])*tbl_task1[[%]:[%]])</f>
        <v/>
      </c>
      <c r="IM7" s="121" t="str">
        <f>IF(ISBLANK(tbl_task1[[คะแนนเต็ม]:[คะแนนเต็ม]]),"",(tbl_task1[77]/tbl_task1[[คะแนนเต็ม]:[คะแนนเต็ม]])*tbl_task1[[%]:[%]])</f>
        <v/>
      </c>
      <c r="IN7" s="121" t="str">
        <f>IF(ISBLANK(tbl_task1[[คะแนนเต็ม]:[คะแนนเต็ม]]),"",(tbl_task1[78]/tbl_task1[[คะแนนเต็ม]:[คะแนนเต็ม]])*tbl_task1[[%]:[%]])</f>
        <v/>
      </c>
      <c r="IO7" s="121" t="str">
        <f>IF(ISBLANK(tbl_task1[[คะแนนเต็ม]:[คะแนนเต็ม]]),"",(tbl_task1[79]/tbl_task1[[คะแนนเต็ม]:[คะแนนเต็ม]])*tbl_task1[[%]:[%]])</f>
        <v/>
      </c>
      <c r="IP7" s="121" t="str">
        <f>IF(ISBLANK(tbl_task1[[คะแนนเต็ม]:[คะแนนเต็ม]]),"",(tbl_task1[80]/tbl_task1[[คะแนนเต็ม]:[คะแนนเต็ม]])*tbl_task1[[%]:[%]])</f>
        <v/>
      </c>
      <c r="IQ7" s="121" t="str">
        <f>IF(ISBLANK(tbl_task1[[คะแนนเต็ม]:[คะแนนเต็ม]]),"",(tbl_task1[81]/tbl_task1[[คะแนนเต็ม]:[คะแนนเต็ม]])*tbl_task1[[%]:[%]])</f>
        <v/>
      </c>
      <c r="IR7" s="121" t="str">
        <f>IF(ISBLANK(tbl_task1[[คะแนนเต็ม]:[คะแนนเต็ม]]),"",(tbl_task1[82]/tbl_task1[[คะแนนเต็ม]:[คะแนนเต็ม]])*tbl_task1[[%]:[%]])</f>
        <v/>
      </c>
      <c r="IS7" s="121" t="str">
        <f>IF(ISBLANK(tbl_task1[[คะแนนเต็ม]:[คะแนนเต็ม]]),"",(tbl_task1[83]/tbl_task1[[คะแนนเต็ม]:[คะแนนเต็ม]])*tbl_task1[[%]:[%]])</f>
        <v/>
      </c>
      <c r="IT7" s="121" t="str">
        <f>IF(ISBLANK(tbl_task1[[คะแนนเต็ม]:[คะแนนเต็ม]]),"",(tbl_task1[84]/tbl_task1[[คะแนนเต็ม]:[คะแนนเต็ม]])*tbl_task1[[%]:[%]])</f>
        <v/>
      </c>
      <c r="IU7" s="121" t="str">
        <f>IF(ISBLANK(tbl_task1[[คะแนนเต็ม]:[คะแนนเต็ม]]),"",(tbl_task1[85]/tbl_task1[[คะแนนเต็ม]:[คะแนนเต็ม]])*tbl_task1[[%]:[%]])</f>
        <v/>
      </c>
      <c r="IV7" s="121" t="str">
        <f>IF(ISBLANK(tbl_task1[[คะแนนเต็ม]:[คะแนนเต็ม]]),"",(tbl_task1[86]/tbl_task1[[คะแนนเต็ม]:[คะแนนเต็ม]])*tbl_task1[[%]:[%]])</f>
        <v/>
      </c>
      <c r="IW7" s="121" t="str">
        <f>IF(ISBLANK(tbl_task1[[คะแนนเต็ม]:[คะแนนเต็ม]]),"",(tbl_task1[87]/tbl_task1[[คะแนนเต็ม]:[คะแนนเต็ม]])*tbl_task1[[%]:[%]])</f>
        <v/>
      </c>
      <c r="IX7" s="121" t="str">
        <f>IF(ISBLANK(tbl_task1[[คะแนนเต็ม]:[คะแนนเต็ม]]),"",(tbl_task1[88]/tbl_task1[[คะแนนเต็ม]:[คะแนนเต็ม]])*tbl_task1[[%]:[%]])</f>
        <v/>
      </c>
      <c r="IY7" s="121" t="str">
        <f>IF(ISBLANK(tbl_task1[[คะแนนเต็ม]:[คะแนนเต็ม]]),"",(tbl_task1[89]/tbl_task1[[คะแนนเต็ม]:[คะแนนเต็ม]])*tbl_task1[[%]:[%]])</f>
        <v/>
      </c>
      <c r="IZ7" s="121" t="str">
        <f>IF(ISBLANK(tbl_task1[[คะแนนเต็ม]:[คะแนนเต็ม]]),"",(tbl_task1[90]/tbl_task1[[คะแนนเต็ม]:[คะแนนเต็ม]])*tbl_task1[[%]:[%]])</f>
        <v/>
      </c>
      <c r="JA7" s="121" t="str">
        <f>IF(ISBLANK(tbl_task1[[คะแนนเต็ม]:[คะแนนเต็ม]]),"",(tbl_task1[91]/tbl_task1[[คะแนนเต็ม]:[คะแนนเต็ม]])*tbl_task1[[%]:[%]])</f>
        <v/>
      </c>
      <c r="JB7" s="121" t="str">
        <f>IF(ISBLANK(tbl_task1[[คะแนนเต็ม]:[คะแนนเต็ม]]),"",(tbl_task1[92]/tbl_task1[[คะแนนเต็ม]:[คะแนนเต็ม]])*tbl_task1[[%]:[%]])</f>
        <v/>
      </c>
      <c r="JC7" s="121" t="str">
        <f>IF(ISBLANK(tbl_task1[[คะแนนเต็ม]:[คะแนนเต็ม]]),"",(tbl_task1[93]/tbl_task1[[คะแนนเต็ม]:[คะแนนเต็ม]])*tbl_task1[[%]:[%]])</f>
        <v/>
      </c>
      <c r="JD7" s="121" t="str">
        <f>IF(ISBLANK(tbl_task1[[คะแนนเต็ม]:[คะแนนเต็ม]]),"",(tbl_task1[94]/tbl_task1[[คะแนนเต็ม]:[คะแนนเต็ม]])*tbl_task1[[%]:[%]])</f>
        <v/>
      </c>
      <c r="JE7" s="121" t="str">
        <f>IF(ISBLANK(tbl_task1[[คะแนนเต็ม]:[คะแนนเต็ม]]),"",(tbl_task1[95]/tbl_task1[[คะแนนเต็ม]:[คะแนนเต็ม]])*tbl_task1[[%]:[%]])</f>
        <v/>
      </c>
      <c r="JF7" s="121" t="str">
        <f>IF(ISBLANK(tbl_task1[[คะแนนเต็ม]:[คะแนนเต็ม]]),"",(tbl_task1[96]/tbl_task1[[คะแนนเต็ม]:[คะแนนเต็ม]])*tbl_task1[[%]:[%]])</f>
        <v/>
      </c>
      <c r="JG7" s="121" t="str">
        <f>IF(ISBLANK(tbl_task1[[คะแนนเต็ม]:[คะแนนเต็ม]]),"",(tbl_task1[97]/tbl_task1[[คะแนนเต็ม]:[คะแนนเต็ม]])*tbl_task1[[%]:[%]])</f>
        <v/>
      </c>
      <c r="JH7" s="121" t="str">
        <f>IF(ISBLANK(tbl_task1[[คะแนนเต็ม]:[คะแนนเต็ม]]),"",(tbl_task1[98]/tbl_task1[[คะแนนเต็ม]:[คะแนนเต็ม]])*tbl_task1[[%]:[%]])</f>
        <v/>
      </c>
      <c r="JI7" s="121" t="str">
        <f>IF(ISBLANK(tbl_task1[[คะแนนเต็ม]:[คะแนนเต็ม]]),"",(tbl_task1[99]/tbl_task1[[คะแนนเต็ม]:[คะแนนเต็ม]])*tbl_task1[[%]:[%]])</f>
        <v/>
      </c>
      <c r="JJ7" s="121" t="str">
        <f>IF(ISBLANK(tbl_task1[[คะแนนเต็ม]:[คะแนนเต็ม]]),"",(tbl_task1[100]/tbl_task1[[คะแนนเต็ม]:[คะแนนเต็ม]])*tbl_task1[[%]:[%]])</f>
        <v/>
      </c>
      <c r="JK7" s="121" t="str">
        <f>IF(ISBLANK(tbl_task1[[คะแนนเต็ม]:[คะแนนเต็ม]]),"",(tbl_task1[101]/tbl_task1[[คะแนนเต็ม]:[คะแนนเต็ม]])*tbl_task1[[%]:[%]])</f>
        <v/>
      </c>
      <c r="JL7" s="121" t="str">
        <f>IF(ISBLANK(tbl_task1[[คะแนนเต็ม]:[คะแนนเต็ม]]),"",(tbl_task1[102]/tbl_task1[[คะแนนเต็ม]:[คะแนนเต็ม]])*tbl_task1[[%]:[%]])</f>
        <v/>
      </c>
      <c r="JM7" s="121" t="str">
        <f>IF(ISBLANK(tbl_task1[[คะแนนเต็ม]:[คะแนนเต็ม]]),"",(tbl_task1[103]/tbl_task1[[คะแนนเต็ม]:[คะแนนเต็ม]])*tbl_task1[[%]:[%]])</f>
        <v/>
      </c>
      <c r="JN7" s="121" t="str">
        <f>IF(ISBLANK(tbl_task1[[คะแนนเต็ม]:[คะแนนเต็ม]]),"",(tbl_task1[104]/tbl_task1[[คะแนนเต็ม]:[คะแนนเต็ม]])*tbl_task1[[%]:[%]])</f>
        <v/>
      </c>
      <c r="JO7" s="121" t="str">
        <f>IF(ISBLANK(tbl_task1[[คะแนนเต็ม]:[คะแนนเต็ม]]),"",(tbl_task1[105]/tbl_task1[[คะแนนเต็ม]:[คะแนนเต็ม]])*tbl_task1[[%]:[%]])</f>
        <v/>
      </c>
      <c r="JP7" s="121" t="str">
        <f>IF(ISBLANK(tbl_task1[[คะแนนเต็ม]:[คะแนนเต็ม]]),"",(tbl_task1[106]/tbl_task1[[คะแนนเต็ม]:[คะแนนเต็ม]])*tbl_task1[[%]:[%]])</f>
        <v/>
      </c>
      <c r="JQ7" s="121" t="str">
        <f>IF(ISBLANK(tbl_task1[[คะแนนเต็ม]:[คะแนนเต็ม]]),"",(tbl_task1[107]/tbl_task1[[คะแนนเต็ม]:[คะแนนเต็ม]])*tbl_task1[[%]:[%]])</f>
        <v/>
      </c>
      <c r="JR7" s="121" t="str">
        <f>IF(ISBLANK(tbl_task1[[คะแนนเต็ม]:[คะแนนเต็ม]]),"",(tbl_task1[108]/tbl_task1[[คะแนนเต็ม]:[คะแนนเต็ม]])*tbl_task1[[%]:[%]])</f>
        <v/>
      </c>
      <c r="JS7" s="121" t="str">
        <f>IF(ISBLANK(tbl_task1[[คะแนนเต็ม]:[คะแนนเต็ม]]),"",(tbl_task1[109]/tbl_task1[[คะแนนเต็ม]:[คะแนนเต็ม]])*tbl_task1[[%]:[%]])</f>
        <v/>
      </c>
      <c r="JT7" s="121" t="str">
        <f>IF(ISBLANK(tbl_task1[[คะแนนเต็ม]:[คะแนนเต็ม]]),"",(tbl_task1[110]/tbl_task1[[คะแนนเต็ม]:[คะแนนเต็ม]])*tbl_task1[[%]:[%]])</f>
        <v/>
      </c>
      <c r="JU7" s="121" t="str">
        <f>IF(ISBLANK(tbl_task1[[คะแนนเต็ม]:[คะแนนเต็ม]]),"",(tbl_task1[111]/tbl_task1[[คะแนนเต็ม]:[คะแนนเต็ม]])*tbl_task1[[%]:[%]])</f>
        <v/>
      </c>
      <c r="JV7" s="121" t="str">
        <f>IF(ISBLANK(tbl_task1[[คะแนนเต็ม]:[คะแนนเต็ม]]),"",(tbl_task1[112]/tbl_task1[[คะแนนเต็ม]:[คะแนนเต็ม]])*tbl_task1[[%]:[%]])</f>
        <v/>
      </c>
      <c r="JW7" s="121" t="str">
        <f>IF(ISBLANK(tbl_task1[[คะแนนเต็ม]:[คะแนนเต็ม]]),"",(tbl_task1[113]/tbl_task1[[คะแนนเต็ม]:[คะแนนเต็ม]])*tbl_task1[[%]:[%]])</f>
        <v/>
      </c>
      <c r="JX7" s="121" t="str">
        <f>IF(ISBLANK(tbl_task1[[คะแนนเต็ม]:[คะแนนเต็ม]]),"",(tbl_task1[114]/tbl_task1[[คะแนนเต็ม]:[คะแนนเต็ม]])*tbl_task1[[%]:[%]])</f>
        <v/>
      </c>
      <c r="JY7" s="121" t="str">
        <f>IF(ISBLANK(tbl_task1[[คะแนนเต็ม]:[คะแนนเต็ม]]),"",(tbl_task1[115]/tbl_task1[[คะแนนเต็ม]:[คะแนนเต็ม]])*tbl_task1[[%]:[%]])</f>
        <v/>
      </c>
      <c r="JZ7" s="121" t="str">
        <f>IF(ISBLANK(tbl_task1[[คะแนนเต็ม]:[คะแนนเต็ม]]),"",(tbl_task1[116]/tbl_task1[[คะแนนเต็ม]:[คะแนนเต็ม]])*tbl_task1[[%]:[%]])</f>
        <v/>
      </c>
      <c r="KA7" s="121" t="str">
        <f>IF(ISBLANK(tbl_task1[[คะแนนเต็ม]:[คะแนนเต็ม]]),"",(tbl_task1[117]/tbl_task1[[คะแนนเต็ม]:[คะแนนเต็ม]])*tbl_task1[[%]:[%]])</f>
        <v/>
      </c>
      <c r="KB7" s="121" t="str">
        <f>IF(ISBLANK(tbl_task1[[คะแนนเต็ม]:[คะแนนเต็ม]]),"",(tbl_task1[118]/tbl_task1[[คะแนนเต็ม]:[คะแนนเต็ม]])*tbl_task1[[%]:[%]])</f>
        <v/>
      </c>
      <c r="KC7" s="121" t="str">
        <f>IF(ISBLANK(tbl_task1[[คะแนนเต็ม]:[คะแนนเต็ม]]),"",(tbl_task1[119]/tbl_task1[[คะแนนเต็ม]:[คะแนนเต็ม]])*tbl_task1[[%]:[%]])</f>
        <v/>
      </c>
      <c r="KD7" s="121" t="str">
        <f>IF(ISBLANK(tbl_task1[[คะแนนเต็ม]:[คะแนนเต็ม]]),"",(tbl_task1[120]/tbl_task1[[คะแนนเต็ม]:[คะแนนเต็ม]])*tbl_task1[[%]:[%]])</f>
        <v/>
      </c>
      <c r="KE7" s="121" t="str">
        <f>IF(ISBLANK(tbl_task1[[คะแนนเต็ม]:[คะแนนเต็ม]]),"",(tbl_task1[121]/tbl_task1[[คะแนนเต็ม]:[คะแนนเต็ม]])*tbl_task1[[%]:[%]])</f>
        <v/>
      </c>
      <c r="KF7" s="121" t="str">
        <f>IF(ISBLANK(tbl_task1[[คะแนนเต็ม]:[คะแนนเต็ม]]),"",(tbl_task1[122]/tbl_task1[[คะแนนเต็ม]:[คะแนนเต็ม]])*tbl_task1[[%]:[%]])</f>
        <v/>
      </c>
      <c r="KG7" s="121" t="str">
        <f>IF(ISBLANK(tbl_task1[[คะแนนเต็ม]:[คะแนนเต็ม]]),"",(tbl_task1[123]/tbl_task1[[คะแนนเต็ม]:[คะแนนเต็ม]])*tbl_task1[[%]:[%]])</f>
        <v/>
      </c>
      <c r="KH7" s="121" t="str">
        <f>IF(ISBLANK(tbl_task1[[คะแนนเต็ม]:[คะแนนเต็ม]]),"",(tbl_task1[124]/tbl_task1[[คะแนนเต็ม]:[คะแนนเต็ม]])*tbl_task1[[%]:[%]])</f>
        <v/>
      </c>
      <c r="KI7" s="121" t="str">
        <f>IF(ISBLANK(tbl_task1[[คะแนนเต็ม]:[คะแนนเต็ม]]),"",(tbl_task1[125]/tbl_task1[[คะแนนเต็ม]:[คะแนนเต็ม]])*tbl_task1[[%]:[%]])</f>
        <v/>
      </c>
      <c r="KJ7" s="121" t="str">
        <f>IF(ISBLANK(tbl_task1[[คะแนนเต็ม]:[คะแนนเต็ม]]),"",(tbl_task1[126]/tbl_task1[[คะแนนเต็ม]:[คะแนนเต็ม]])*tbl_task1[[%]:[%]])</f>
        <v/>
      </c>
      <c r="KK7" s="121" t="str">
        <f>IF(ISBLANK(tbl_task1[[คะแนนเต็ม]:[คะแนนเต็ม]]),"",(tbl_task1[127]/tbl_task1[[คะแนนเต็ม]:[คะแนนเต็ม]])*tbl_task1[[%]:[%]])</f>
        <v/>
      </c>
      <c r="KL7" s="121" t="str">
        <f>IF(ISBLANK(tbl_task1[[คะแนนเต็ม]:[คะแนนเต็ม]]),"",(tbl_task1[128]/tbl_task1[[คะแนนเต็ม]:[คะแนนเต็ม]])*tbl_task1[[%]:[%]])</f>
        <v/>
      </c>
      <c r="KM7" s="121" t="str">
        <f>IF(ISBLANK(tbl_task1[[คะแนนเต็ม]:[คะแนนเต็ม]]),"",(tbl_task1[129]/tbl_task1[[คะแนนเต็ม]:[คะแนนเต็ม]])*tbl_task1[[%]:[%]])</f>
        <v/>
      </c>
      <c r="KN7" s="121" t="str">
        <f>IF(ISBLANK(tbl_task1[[คะแนนเต็ม]:[คะแนนเต็ม]]),"",(tbl_task1[130]/tbl_task1[[คะแนนเต็ม]:[คะแนนเต็ม]])*tbl_task1[[%]:[%]])</f>
        <v/>
      </c>
      <c r="KO7" s="121" t="str">
        <f>IF(ISBLANK(tbl_task1[[คะแนนเต็ม]:[คะแนนเต็ม]]),"",(tbl_task1[131]/tbl_task1[[คะแนนเต็ม]:[คะแนนเต็ม]])*tbl_task1[[%]:[%]])</f>
        <v/>
      </c>
      <c r="KP7" s="121" t="str">
        <f>IF(ISBLANK(tbl_task1[[คะแนนเต็ม]:[คะแนนเต็ม]]),"",(tbl_task1[132]/tbl_task1[[คะแนนเต็ม]:[คะแนนเต็ม]])*tbl_task1[[%]:[%]])</f>
        <v/>
      </c>
      <c r="KQ7" s="121" t="str">
        <f>IF(ISBLANK(tbl_task1[[คะแนนเต็ม]:[คะแนนเต็ม]]),"",(tbl_task1[133]/tbl_task1[[คะแนนเต็ม]:[คะแนนเต็ม]])*tbl_task1[[%]:[%]])</f>
        <v/>
      </c>
      <c r="KR7" s="121" t="str">
        <f>IF(ISBLANK(tbl_task1[[คะแนนเต็ม]:[คะแนนเต็ม]]),"",(tbl_task1[134]/tbl_task1[[คะแนนเต็ม]:[คะแนนเต็ม]])*tbl_task1[[%]:[%]])</f>
        <v/>
      </c>
      <c r="KS7" s="121" t="str">
        <f>IF(ISBLANK(tbl_task1[[คะแนนเต็ม]:[คะแนนเต็ม]]),"",(tbl_task1[135]/tbl_task1[[คะแนนเต็ม]:[คะแนนเต็ม]])*tbl_task1[[%]:[%]])</f>
        <v/>
      </c>
      <c r="KT7" s="121" t="str">
        <f>IF(ISBLANK(tbl_task1[[คะแนนเต็ม]:[คะแนนเต็ม]]),"",(tbl_task1[136]/tbl_task1[[คะแนนเต็ม]:[คะแนนเต็ม]])*tbl_task1[[%]:[%]])</f>
        <v/>
      </c>
      <c r="KU7" s="121" t="str">
        <f>IF(ISBLANK(tbl_task1[[คะแนนเต็ม]:[คะแนนเต็ม]]),"",(tbl_task1[137]/tbl_task1[[คะแนนเต็ม]:[คะแนนเต็ม]])*tbl_task1[[%]:[%]])</f>
        <v/>
      </c>
      <c r="KV7" s="121" t="str">
        <f>IF(ISBLANK(tbl_task1[[คะแนนเต็ม]:[คะแนนเต็ม]]),"",(tbl_task1[138]/tbl_task1[[คะแนนเต็ม]:[คะแนนเต็ม]])*tbl_task1[[%]:[%]])</f>
        <v/>
      </c>
      <c r="KW7" s="121" t="str">
        <f>IF(ISBLANK(tbl_task1[[คะแนนเต็ม]:[คะแนนเต็ม]]),"",(tbl_task1[139]/tbl_task1[[คะแนนเต็ม]:[คะแนนเต็ม]])*tbl_task1[[%]:[%]])</f>
        <v/>
      </c>
      <c r="KX7" s="121" t="str">
        <f>IF(ISBLANK(tbl_task1[[คะแนนเต็ม]:[คะแนนเต็ม]]),"",(tbl_task1[140]/tbl_task1[[คะแนนเต็ม]:[คะแนนเต็ม]])*tbl_task1[[%]:[%]])</f>
        <v/>
      </c>
      <c r="KY7" s="121" t="str">
        <f>IF(ISBLANK(tbl_task1[[คะแนนเต็ม]:[คะแนนเต็ม]]),"",(tbl_task1[141]/tbl_task1[[คะแนนเต็ม]:[คะแนนเต็ม]])*tbl_task1[[%]:[%]])</f>
        <v/>
      </c>
      <c r="KZ7" s="121" t="str">
        <f>IF(ISBLANK(tbl_task1[[คะแนนเต็ม]:[คะแนนเต็ม]]),"",(tbl_task1[142]/tbl_task1[[คะแนนเต็ม]:[คะแนนเต็ม]])*tbl_task1[[%]:[%]])</f>
        <v/>
      </c>
      <c r="LA7" s="121" t="str">
        <f>IF(ISBLANK(tbl_task1[[คะแนนเต็ม]:[คะแนนเต็ม]]),"",(tbl_task1[143]/tbl_task1[[คะแนนเต็ม]:[คะแนนเต็ม]])*tbl_task1[[%]:[%]])</f>
        <v/>
      </c>
      <c r="LB7" s="121" t="str">
        <f>IF(ISBLANK(tbl_task1[[คะแนนเต็ม]:[คะแนนเต็ม]]),"",(tbl_task1[144]/tbl_task1[[คะแนนเต็ม]:[คะแนนเต็ม]])*tbl_task1[[%]:[%]])</f>
        <v/>
      </c>
      <c r="LC7" s="121" t="str">
        <f>IF(ISBLANK(tbl_task1[[คะแนนเต็ม]:[คะแนนเต็ม]]),"",(tbl_task1[145]/tbl_task1[[คะแนนเต็ม]:[คะแนนเต็ม]])*tbl_task1[[%]:[%]])</f>
        <v/>
      </c>
      <c r="LD7" s="121" t="str">
        <f>IF(ISBLANK(tbl_task1[[คะแนนเต็ม]:[คะแนนเต็ม]]),"",(tbl_task1[146]/tbl_task1[[คะแนนเต็ม]:[คะแนนเต็ม]])*tbl_task1[[%]:[%]])</f>
        <v/>
      </c>
      <c r="LE7" s="121" t="str">
        <f>IF(ISBLANK(tbl_task1[[คะแนนเต็ม]:[คะแนนเต็ม]]),"",(tbl_task1[147]/tbl_task1[[คะแนนเต็ม]:[คะแนนเต็ม]])*tbl_task1[[%]:[%]])</f>
        <v/>
      </c>
      <c r="LF7" s="121" t="str">
        <f>IF(ISBLANK(tbl_task1[[คะแนนเต็ม]:[คะแนนเต็ม]]),"",(tbl_task1[148]/tbl_task1[[คะแนนเต็ม]:[คะแนนเต็ม]])*tbl_task1[[%]:[%]])</f>
        <v/>
      </c>
      <c r="LG7" s="121" t="str">
        <f>IF(ISBLANK(tbl_task1[[คะแนนเต็ม]:[คะแนนเต็ม]]),"",(tbl_task1[149]/tbl_task1[[คะแนนเต็ม]:[คะแนนเต็ม]])*tbl_task1[[%]:[%]])</f>
        <v/>
      </c>
      <c r="LH7" s="121" t="str">
        <f>IF(ISBLANK(tbl_task1[[คะแนนเต็ม]:[คะแนนเต็ม]]),"",(tbl_task1[150]/tbl_task1[[คะแนนเต็ม]:[คะแนนเต็ม]])*tbl_task1[[%]:[%]])</f>
        <v/>
      </c>
      <c r="LI7" s="121" t="str">
        <f>IF(ISBLANK(tbl_task1[[คะแนนเต็ม]:[คะแนนเต็ม]]),"",(tbl_task1[151]/tbl_task1[[คะแนนเต็ม]:[คะแนนเต็ม]])*tbl_task1[[%]:[%]])</f>
        <v/>
      </c>
      <c r="LJ7" s="121" t="str">
        <f>IF(ISBLANK(tbl_task1[[คะแนนเต็ม]:[คะแนนเต็ม]]),"",(tbl_task1[152]/tbl_task1[[คะแนนเต็ม]:[คะแนนเต็ม]])*tbl_task1[[%]:[%]])</f>
        <v/>
      </c>
      <c r="LK7" s="121" t="str">
        <f>IF(ISBLANK(tbl_task1[[คะแนนเต็ม]:[คะแนนเต็ม]]),"",(tbl_task1[153]/tbl_task1[[คะแนนเต็ม]:[คะแนนเต็ม]])*tbl_task1[[%]:[%]])</f>
        <v/>
      </c>
      <c r="LL7" s="121" t="str">
        <f>IF(ISBLANK(tbl_task1[[คะแนนเต็ม]:[คะแนนเต็ม]]),"",(tbl_task1[154]/tbl_task1[[คะแนนเต็ม]:[คะแนนเต็ม]])*tbl_task1[[%]:[%]])</f>
        <v/>
      </c>
      <c r="LM7" s="121" t="str">
        <f>IF(ISBLANK(tbl_task1[[คะแนนเต็ม]:[คะแนนเต็ม]]),"",(tbl_task1[155]/tbl_task1[[คะแนนเต็ม]:[คะแนนเต็ม]])*tbl_task1[[%]:[%]])</f>
        <v/>
      </c>
      <c r="LN7" s="121" t="str">
        <f>IF(ISBLANK(tbl_task1[[คะแนนเต็ม]:[คะแนนเต็ม]]),"",(tbl_task1[156]/tbl_task1[[คะแนนเต็ม]:[คะแนนเต็ม]])*tbl_task1[[%]:[%]])</f>
        <v/>
      </c>
      <c r="LO7" s="121" t="str">
        <f>IF(ISBLANK(tbl_task1[[คะแนนเต็ม]:[คะแนนเต็ม]]),"",(tbl_task1[157]/tbl_task1[[คะแนนเต็ม]:[คะแนนเต็ม]])*tbl_task1[[%]:[%]])</f>
        <v/>
      </c>
      <c r="LP7" s="121" t="str">
        <f>IF(ISBLANK(tbl_task1[[คะแนนเต็ม]:[คะแนนเต็ม]]),"",(tbl_task1[158]/tbl_task1[[คะแนนเต็ม]:[คะแนนเต็ม]])*tbl_task1[[%]:[%]])</f>
        <v/>
      </c>
      <c r="LQ7" s="121" t="str">
        <f>IF(ISBLANK(tbl_task1[[คะแนนเต็ม]:[คะแนนเต็ม]]),"",(tbl_task1[159]/tbl_task1[[คะแนนเต็ม]:[คะแนนเต็ม]])*tbl_task1[[%]:[%]])</f>
        <v/>
      </c>
      <c r="LR7" s="121" t="str">
        <f>IF(ISBLANK(tbl_task1[[คะแนนเต็ม]:[คะแนนเต็ม]]),"",(tbl_task1[160]/tbl_task1[[คะแนนเต็ม]:[คะแนนเต็ม]])*tbl_task1[[%]:[%]])</f>
        <v/>
      </c>
      <c r="LS7" s="121" t="str">
        <f>IF(ISBLANK(tbl_task1[[คะแนนเต็ม]:[คะแนนเต็ม]]),"",(tbl_task1[161]/tbl_task1[[คะแนนเต็ม]:[คะแนนเต็ม]])*tbl_task1[[%]:[%]])</f>
        <v/>
      </c>
      <c r="LT7" s="121" t="str">
        <f>IF(ISBLANK(tbl_task1[[คะแนนเต็ม]:[คะแนนเต็ม]]),"",(tbl_task1[162]/tbl_task1[[คะแนนเต็ม]:[คะแนนเต็ม]])*tbl_task1[[%]:[%]])</f>
        <v/>
      </c>
      <c r="LU7" s="121" t="str">
        <f>IF(ISBLANK(tbl_task1[[คะแนนเต็ม]:[คะแนนเต็ม]]),"",(tbl_task1[163]/tbl_task1[[คะแนนเต็ม]:[คะแนนเต็ม]])*tbl_task1[[%]:[%]])</f>
        <v/>
      </c>
      <c r="LV7" s="121" t="str">
        <f>IF(ISBLANK(tbl_task1[[คะแนนเต็ม]:[คะแนนเต็ม]]),"",(tbl_task1[164]/tbl_task1[[คะแนนเต็ม]:[คะแนนเต็ม]])*tbl_task1[[%]:[%]])</f>
        <v/>
      </c>
      <c r="LW7" s="121" t="str">
        <f>IF(ISBLANK(tbl_task1[[คะแนนเต็ม]:[คะแนนเต็ม]]),"",(tbl_task1[165]/tbl_task1[[คะแนนเต็ม]:[คะแนนเต็ม]])*tbl_task1[[%]:[%]])</f>
        <v/>
      </c>
    </row>
    <row r="8" spans="1:335" ht="24.75" customHeight="1" x14ac:dyDescent="0.25">
      <c r="A8" s="24">
        <v>5</v>
      </c>
      <c r="B8" s="33"/>
      <c r="C8" s="5" t="str">
        <f>IF(ISBLANK(B8),"",VLOOKUP(B8,tbl_PLOs[],2,0))</f>
        <v/>
      </c>
      <c r="D8" s="102"/>
      <c r="E8" s="10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22"/>
      <c r="FO8" s="121" t="str">
        <f>IF(ISBLANK(tbl_task1[[คะแนนเต็ม]:[คะแนนเต็ม]]),"",(tbl_task1[1]/tbl_task1[[คะแนนเต็ม]:[คะแนนเต็ม]])*tbl_task1[[%]:[%]])</f>
        <v/>
      </c>
      <c r="FP8" s="121" t="str">
        <f>IF(ISBLANK(tbl_task1[[คะแนนเต็ม]:[คะแนนเต็ม]]),"",(tbl_task1[2]/tbl_task1[[คะแนนเต็ม]:[คะแนนเต็ม]])*tbl_task1[[%]:[%]])</f>
        <v/>
      </c>
      <c r="FQ8" s="121" t="str">
        <f>IF(ISBLANK(tbl_task1[[คะแนนเต็ม]:[คะแนนเต็ม]]),"",(tbl_task1[3]/tbl_task1[[คะแนนเต็ม]:[คะแนนเต็ม]])*tbl_task1[[%]:[%]])</f>
        <v/>
      </c>
      <c r="FR8" s="121" t="str">
        <f>IF(ISBLANK(tbl_task1[[คะแนนเต็ม]:[คะแนนเต็ม]]),"",(tbl_task1[4]/tbl_task1[[คะแนนเต็ม]:[คะแนนเต็ม]])*tbl_task1[[%]:[%]])</f>
        <v/>
      </c>
      <c r="FS8" s="121" t="str">
        <f>IF(ISBLANK(tbl_task1[[คะแนนเต็ม]:[คะแนนเต็ม]]),"",(tbl_task1[5]/tbl_task1[[คะแนนเต็ม]:[คะแนนเต็ม]])*tbl_task1[[%]:[%]])</f>
        <v/>
      </c>
      <c r="FT8" s="121" t="str">
        <f>IF(ISBLANK(tbl_task1[[คะแนนเต็ม]:[คะแนนเต็ม]]),"",(tbl_task1[6]/tbl_task1[[คะแนนเต็ม]:[คะแนนเต็ม]])*tbl_task1[[%]:[%]])</f>
        <v/>
      </c>
      <c r="FU8" s="121" t="str">
        <f>IF(ISBLANK(tbl_task1[[คะแนนเต็ม]:[คะแนนเต็ม]]),"",(tbl_task1[7]/tbl_task1[[คะแนนเต็ม]:[คะแนนเต็ม]])*tbl_task1[[%]:[%]])</f>
        <v/>
      </c>
      <c r="FV8" s="121" t="str">
        <f>IF(ISBLANK(tbl_task1[[คะแนนเต็ม]:[คะแนนเต็ม]]),"",(tbl_task1[8]/tbl_task1[[คะแนนเต็ม]:[คะแนนเต็ม]])*tbl_task1[[%]:[%]])</f>
        <v/>
      </c>
      <c r="FW8" s="121" t="str">
        <f>IF(ISBLANK(tbl_task1[[คะแนนเต็ม]:[คะแนนเต็ม]]),"",(tbl_task1[9]/tbl_task1[[คะแนนเต็ม]:[คะแนนเต็ม]])*tbl_task1[[%]:[%]])</f>
        <v/>
      </c>
      <c r="FX8" s="121" t="str">
        <f>IF(ISBLANK(tbl_task1[[คะแนนเต็ม]:[คะแนนเต็ม]]),"",(tbl_task1[10]/tbl_task1[[คะแนนเต็ม]:[คะแนนเต็ม]])*tbl_task1[[%]:[%]])</f>
        <v/>
      </c>
      <c r="FY8" s="121" t="str">
        <f>IF(ISBLANK(tbl_task1[[คะแนนเต็ม]:[คะแนนเต็ม]]),"",(tbl_task1[11]/tbl_task1[[คะแนนเต็ม]:[คะแนนเต็ม]])*tbl_task1[[%]:[%]])</f>
        <v/>
      </c>
      <c r="FZ8" s="121" t="str">
        <f>IF(ISBLANK(tbl_task1[[คะแนนเต็ม]:[คะแนนเต็ม]]),"",(tbl_task1[12]/tbl_task1[[คะแนนเต็ม]:[คะแนนเต็ม]])*tbl_task1[[%]:[%]])</f>
        <v/>
      </c>
      <c r="GA8" s="121" t="str">
        <f>IF(ISBLANK(tbl_task1[[คะแนนเต็ม]:[คะแนนเต็ม]]),"",(tbl_task1[13]/tbl_task1[[คะแนนเต็ม]:[คะแนนเต็ม]])*tbl_task1[[%]:[%]])</f>
        <v/>
      </c>
      <c r="GB8" s="121" t="str">
        <f>IF(ISBLANK(tbl_task1[[คะแนนเต็ม]:[คะแนนเต็ม]]),"",(tbl_task1[14]/tbl_task1[[คะแนนเต็ม]:[คะแนนเต็ม]])*tbl_task1[[%]:[%]])</f>
        <v/>
      </c>
      <c r="GC8" s="121" t="str">
        <f>IF(ISBLANK(tbl_task1[[คะแนนเต็ม]:[คะแนนเต็ม]]),"",(tbl_task1[15]/tbl_task1[[คะแนนเต็ม]:[คะแนนเต็ม]])*tbl_task1[[%]:[%]])</f>
        <v/>
      </c>
      <c r="GD8" s="121" t="str">
        <f>IF(ISBLANK(tbl_task1[[คะแนนเต็ม]:[คะแนนเต็ม]]),"",(tbl_task1[16]/tbl_task1[[คะแนนเต็ม]:[คะแนนเต็ม]])*tbl_task1[[%]:[%]])</f>
        <v/>
      </c>
      <c r="GE8" s="121" t="str">
        <f>IF(ISBLANK(tbl_task1[[คะแนนเต็ม]:[คะแนนเต็ม]]),"",(tbl_task1[17]/tbl_task1[[คะแนนเต็ม]:[คะแนนเต็ม]])*tbl_task1[[%]:[%]])</f>
        <v/>
      </c>
      <c r="GF8" s="121" t="str">
        <f>IF(ISBLANK(tbl_task1[[คะแนนเต็ม]:[คะแนนเต็ม]]),"",(tbl_task1[18]/tbl_task1[[คะแนนเต็ม]:[คะแนนเต็ม]])*tbl_task1[[%]:[%]])</f>
        <v/>
      </c>
      <c r="GG8" s="121" t="str">
        <f>IF(ISBLANK(tbl_task1[[คะแนนเต็ม]:[คะแนนเต็ม]]),"",(tbl_task1[19]/tbl_task1[[คะแนนเต็ม]:[คะแนนเต็ม]])*tbl_task1[[%]:[%]])</f>
        <v/>
      </c>
      <c r="GH8" s="121" t="str">
        <f>IF(ISBLANK(tbl_task1[[คะแนนเต็ม]:[คะแนนเต็ม]]),"",(tbl_task1[20]/tbl_task1[[คะแนนเต็ม]:[คะแนนเต็ม]])*tbl_task1[[%]:[%]])</f>
        <v/>
      </c>
      <c r="GI8" s="121" t="str">
        <f>IF(ISBLANK(tbl_task1[[คะแนนเต็ม]:[คะแนนเต็ม]]),"",(tbl_task1[21]/tbl_task1[[คะแนนเต็ม]:[คะแนนเต็ม]])*tbl_task1[[%]:[%]])</f>
        <v/>
      </c>
      <c r="GJ8" s="121" t="str">
        <f>IF(ISBLANK(tbl_task1[[คะแนนเต็ม]:[คะแนนเต็ม]]),"",(tbl_task1[22]/tbl_task1[[คะแนนเต็ม]:[คะแนนเต็ม]])*tbl_task1[[%]:[%]])</f>
        <v/>
      </c>
      <c r="GK8" s="121" t="str">
        <f>IF(ISBLANK(tbl_task1[[คะแนนเต็ม]:[คะแนนเต็ม]]),"",(tbl_task1[23]/tbl_task1[[คะแนนเต็ม]:[คะแนนเต็ม]])*tbl_task1[[%]:[%]])</f>
        <v/>
      </c>
      <c r="GL8" s="121" t="str">
        <f>IF(ISBLANK(tbl_task1[[คะแนนเต็ม]:[คะแนนเต็ม]]),"",(tbl_task1[24]/tbl_task1[[คะแนนเต็ม]:[คะแนนเต็ม]])*tbl_task1[[%]:[%]])</f>
        <v/>
      </c>
      <c r="GM8" s="121" t="str">
        <f>IF(ISBLANK(tbl_task1[[คะแนนเต็ม]:[คะแนนเต็ม]]),"",(tbl_task1[25]/tbl_task1[[คะแนนเต็ม]:[คะแนนเต็ม]])*tbl_task1[[%]:[%]])</f>
        <v/>
      </c>
      <c r="GN8" s="121" t="str">
        <f>IF(ISBLANK(tbl_task1[[คะแนนเต็ม]:[คะแนนเต็ม]]),"",(tbl_task1[26]/tbl_task1[[คะแนนเต็ม]:[คะแนนเต็ม]])*tbl_task1[[%]:[%]])</f>
        <v/>
      </c>
      <c r="GO8" s="121" t="str">
        <f>IF(ISBLANK(tbl_task1[[คะแนนเต็ม]:[คะแนนเต็ม]]),"",(tbl_task1[27]/tbl_task1[[คะแนนเต็ม]:[คะแนนเต็ม]])*tbl_task1[[%]:[%]])</f>
        <v/>
      </c>
      <c r="GP8" s="121" t="str">
        <f>IF(ISBLANK(tbl_task1[[คะแนนเต็ม]:[คะแนนเต็ม]]),"",(tbl_task1[28]/tbl_task1[[คะแนนเต็ม]:[คะแนนเต็ม]])*tbl_task1[[%]:[%]])</f>
        <v/>
      </c>
      <c r="GQ8" s="121" t="str">
        <f>IF(ISBLANK(tbl_task1[[คะแนนเต็ม]:[คะแนนเต็ม]]),"",(tbl_task1[29]/tbl_task1[[คะแนนเต็ม]:[คะแนนเต็ม]])*tbl_task1[[%]:[%]])</f>
        <v/>
      </c>
      <c r="GR8" s="121" t="str">
        <f>IF(ISBLANK(tbl_task1[[คะแนนเต็ม]:[คะแนนเต็ม]]),"",(tbl_task1[30]/tbl_task1[[คะแนนเต็ม]:[คะแนนเต็ม]])*tbl_task1[[%]:[%]])</f>
        <v/>
      </c>
      <c r="GS8" s="121" t="str">
        <f>IF(ISBLANK(tbl_task1[[คะแนนเต็ม]:[คะแนนเต็ม]]),"",(tbl_task1[31]/tbl_task1[[คะแนนเต็ม]:[คะแนนเต็ม]])*tbl_task1[[%]:[%]])</f>
        <v/>
      </c>
      <c r="GT8" s="121" t="str">
        <f>IF(ISBLANK(tbl_task1[[คะแนนเต็ม]:[คะแนนเต็ม]]),"",(tbl_task1[32]/tbl_task1[[คะแนนเต็ม]:[คะแนนเต็ม]])*tbl_task1[[%]:[%]])</f>
        <v/>
      </c>
      <c r="GU8" s="121" t="str">
        <f>IF(ISBLANK(tbl_task1[[คะแนนเต็ม]:[คะแนนเต็ม]]),"",(tbl_task1[33]/tbl_task1[[คะแนนเต็ม]:[คะแนนเต็ม]])*tbl_task1[[%]:[%]])</f>
        <v/>
      </c>
      <c r="GV8" s="121" t="str">
        <f>IF(ISBLANK(tbl_task1[[คะแนนเต็ม]:[คะแนนเต็ม]]),"",(tbl_task1[34]/tbl_task1[[คะแนนเต็ม]:[คะแนนเต็ม]])*tbl_task1[[%]:[%]])</f>
        <v/>
      </c>
      <c r="GW8" s="121" t="str">
        <f>IF(ISBLANK(tbl_task1[[คะแนนเต็ม]:[คะแนนเต็ม]]),"",(tbl_task1[35]/tbl_task1[[คะแนนเต็ม]:[คะแนนเต็ม]])*tbl_task1[[%]:[%]])</f>
        <v/>
      </c>
      <c r="GX8" s="121" t="str">
        <f>IF(ISBLANK(tbl_task1[[คะแนนเต็ม]:[คะแนนเต็ม]]),"",(tbl_task1[36]/tbl_task1[[คะแนนเต็ม]:[คะแนนเต็ม]])*tbl_task1[[%]:[%]])</f>
        <v/>
      </c>
      <c r="GY8" s="121" t="str">
        <f>IF(ISBLANK(tbl_task1[[คะแนนเต็ม]:[คะแนนเต็ม]]),"",(tbl_task1[37]/tbl_task1[[คะแนนเต็ม]:[คะแนนเต็ม]])*tbl_task1[[%]:[%]])</f>
        <v/>
      </c>
      <c r="GZ8" s="121" t="str">
        <f>IF(ISBLANK(tbl_task1[[คะแนนเต็ม]:[คะแนนเต็ม]]),"",(tbl_task1[38]/tbl_task1[[คะแนนเต็ม]:[คะแนนเต็ม]])*tbl_task1[[%]:[%]])</f>
        <v/>
      </c>
      <c r="HA8" s="121" t="str">
        <f>IF(ISBLANK(tbl_task1[[คะแนนเต็ม]:[คะแนนเต็ม]]),"",(tbl_task1[39]/tbl_task1[[คะแนนเต็ม]:[คะแนนเต็ม]])*tbl_task1[[%]:[%]])</f>
        <v/>
      </c>
      <c r="HB8" s="121" t="str">
        <f>IF(ISBLANK(tbl_task1[[คะแนนเต็ม]:[คะแนนเต็ม]]),"",(tbl_task1[40]/tbl_task1[[คะแนนเต็ม]:[คะแนนเต็ม]])*tbl_task1[[%]:[%]])</f>
        <v/>
      </c>
      <c r="HC8" s="121" t="str">
        <f>IF(ISBLANK(tbl_task1[[คะแนนเต็ม]:[คะแนนเต็ม]]),"",(tbl_task1[41]/tbl_task1[[คะแนนเต็ม]:[คะแนนเต็ม]])*tbl_task1[[%]:[%]])</f>
        <v/>
      </c>
      <c r="HD8" s="121" t="str">
        <f>IF(ISBLANK(tbl_task1[[คะแนนเต็ม]:[คะแนนเต็ม]]),"",(tbl_task1[42]/tbl_task1[[คะแนนเต็ม]:[คะแนนเต็ม]])*tbl_task1[[%]:[%]])</f>
        <v/>
      </c>
      <c r="HE8" s="121" t="str">
        <f>IF(ISBLANK(tbl_task1[[คะแนนเต็ม]:[คะแนนเต็ม]]),"",(tbl_task1[43]/tbl_task1[[คะแนนเต็ม]:[คะแนนเต็ม]])*tbl_task1[[%]:[%]])</f>
        <v/>
      </c>
      <c r="HF8" s="121" t="str">
        <f>IF(ISBLANK(tbl_task1[[คะแนนเต็ม]:[คะแนนเต็ม]]),"",(tbl_task1[44]/tbl_task1[[คะแนนเต็ม]:[คะแนนเต็ม]])*tbl_task1[[%]:[%]])</f>
        <v/>
      </c>
      <c r="HG8" s="121" t="str">
        <f>IF(ISBLANK(tbl_task1[[คะแนนเต็ม]:[คะแนนเต็ม]]),"",(tbl_task1[45]/tbl_task1[[คะแนนเต็ม]:[คะแนนเต็ม]])*tbl_task1[[%]:[%]])</f>
        <v/>
      </c>
      <c r="HH8" s="121" t="str">
        <f>IF(ISBLANK(tbl_task1[[คะแนนเต็ม]:[คะแนนเต็ม]]),"",(tbl_task1[46]/tbl_task1[[คะแนนเต็ม]:[คะแนนเต็ม]])*tbl_task1[[%]:[%]])</f>
        <v/>
      </c>
      <c r="HI8" s="121" t="str">
        <f>IF(ISBLANK(tbl_task1[[คะแนนเต็ม]:[คะแนนเต็ม]]),"",(tbl_task1[47]/tbl_task1[[คะแนนเต็ม]:[คะแนนเต็ม]])*tbl_task1[[%]:[%]])</f>
        <v/>
      </c>
      <c r="HJ8" s="121" t="str">
        <f>IF(ISBLANK(tbl_task1[[คะแนนเต็ม]:[คะแนนเต็ม]]),"",(tbl_task1[48]/tbl_task1[[คะแนนเต็ม]:[คะแนนเต็ม]])*tbl_task1[[%]:[%]])</f>
        <v/>
      </c>
      <c r="HK8" s="121" t="str">
        <f>IF(ISBLANK(tbl_task1[[คะแนนเต็ม]:[คะแนนเต็ม]]),"",(tbl_task1[49]/tbl_task1[[คะแนนเต็ม]:[คะแนนเต็ม]])*tbl_task1[[%]:[%]])</f>
        <v/>
      </c>
      <c r="HL8" s="121" t="str">
        <f>IF(ISBLANK(tbl_task1[[คะแนนเต็ม]:[คะแนนเต็ม]]),"",(tbl_task1[50]/tbl_task1[[คะแนนเต็ม]:[คะแนนเต็ม]])*tbl_task1[[%]:[%]])</f>
        <v/>
      </c>
      <c r="HM8" s="121" t="str">
        <f>IF(ISBLANK(tbl_task1[[คะแนนเต็ม]:[คะแนนเต็ม]]),"",(tbl_task1[51]/tbl_task1[[คะแนนเต็ม]:[คะแนนเต็ม]])*tbl_task1[[%]:[%]])</f>
        <v/>
      </c>
      <c r="HN8" s="121" t="str">
        <f>IF(ISBLANK(tbl_task1[[คะแนนเต็ม]:[คะแนนเต็ม]]),"",(tbl_task1[52]/tbl_task1[[คะแนนเต็ม]:[คะแนนเต็ม]])*tbl_task1[[%]:[%]])</f>
        <v/>
      </c>
      <c r="HO8" s="121" t="str">
        <f>IF(ISBLANK(tbl_task1[[คะแนนเต็ม]:[คะแนนเต็ม]]),"",(tbl_task1[53]/tbl_task1[[คะแนนเต็ม]:[คะแนนเต็ม]])*tbl_task1[[%]:[%]])</f>
        <v/>
      </c>
      <c r="HP8" s="121" t="str">
        <f>IF(ISBLANK(tbl_task1[[คะแนนเต็ม]:[คะแนนเต็ม]]),"",(tbl_task1[54]/tbl_task1[[คะแนนเต็ม]:[คะแนนเต็ม]])*tbl_task1[[%]:[%]])</f>
        <v/>
      </c>
      <c r="HQ8" s="121" t="str">
        <f>IF(ISBLANK(tbl_task1[[คะแนนเต็ม]:[คะแนนเต็ม]]),"",(tbl_task1[55]/tbl_task1[[คะแนนเต็ม]:[คะแนนเต็ม]])*tbl_task1[[%]:[%]])</f>
        <v/>
      </c>
      <c r="HR8" s="121" t="str">
        <f>IF(ISBLANK(tbl_task1[[คะแนนเต็ม]:[คะแนนเต็ม]]),"",(tbl_task1[56]/tbl_task1[[คะแนนเต็ม]:[คะแนนเต็ม]])*tbl_task1[[%]:[%]])</f>
        <v/>
      </c>
      <c r="HS8" s="121" t="str">
        <f>IF(ISBLANK(tbl_task1[[คะแนนเต็ม]:[คะแนนเต็ม]]),"",(tbl_task1[57]/tbl_task1[[คะแนนเต็ม]:[คะแนนเต็ม]])*tbl_task1[[%]:[%]])</f>
        <v/>
      </c>
      <c r="HT8" s="121" t="str">
        <f>IF(ISBLANK(tbl_task1[[คะแนนเต็ม]:[คะแนนเต็ม]]),"",(tbl_task1[58]/tbl_task1[[คะแนนเต็ม]:[คะแนนเต็ม]])*tbl_task1[[%]:[%]])</f>
        <v/>
      </c>
      <c r="HU8" s="121" t="str">
        <f>IF(ISBLANK(tbl_task1[[คะแนนเต็ม]:[คะแนนเต็ม]]),"",(tbl_task1[59]/tbl_task1[[คะแนนเต็ม]:[คะแนนเต็ม]])*tbl_task1[[%]:[%]])</f>
        <v/>
      </c>
      <c r="HV8" s="121" t="str">
        <f>IF(ISBLANK(tbl_task1[[คะแนนเต็ม]:[คะแนนเต็ม]]),"",(tbl_task1[60]/tbl_task1[[คะแนนเต็ม]:[คะแนนเต็ม]])*tbl_task1[[%]:[%]])</f>
        <v/>
      </c>
      <c r="HW8" s="121" t="str">
        <f>IF(ISBLANK(tbl_task1[[คะแนนเต็ม]:[คะแนนเต็ม]]),"",(tbl_task1[61]/tbl_task1[[คะแนนเต็ม]:[คะแนนเต็ม]])*tbl_task1[[%]:[%]])</f>
        <v/>
      </c>
      <c r="HX8" s="121" t="str">
        <f>IF(ISBLANK(tbl_task1[[คะแนนเต็ม]:[คะแนนเต็ม]]),"",(tbl_task1[62]/tbl_task1[[คะแนนเต็ม]:[คะแนนเต็ม]])*tbl_task1[[%]:[%]])</f>
        <v/>
      </c>
      <c r="HY8" s="121" t="str">
        <f>IF(ISBLANK(tbl_task1[[คะแนนเต็ม]:[คะแนนเต็ม]]),"",(tbl_task1[63]/tbl_task1[[คะแนนเต็ม]:[คะแนนเต็ม]])*tbl_task1[[%]:[%]])</f>
        <v/>
      </c>
      <c r="HZ8" s="121" t="str">
        <f>IF(ISBLANK(tbl_task1[[คะแนนเต็ม]:[คะแนนเต็ม]]),"",(tbl_task1[64]/tbl_task1[[คะแนนเต็ม]:[คะแนนเต็ม]])*tbl_task1[[%]:[%]])</f>
        <v/>
      </c>
      <c r="IA8" s="121" t="str">
        <f>IF(ISBLANK(tbl_task1[[คะแนนเต็ม]:[คะแนนเต็ม]]),"",(tbl_task1[65]/tbl_task1[[คะแนนเต็ม]:[คะแนนเต็ม]])*tbl_task1[[%]:[%]])</f>
        <v/>
      </c>
      <c r="IB8" s="121" t="str">
        <f>IF(ISBLANK(tbl_task1[[คะแนนเต็ม]:[คะแนนเต็ม]]),"",(tbl_task1[66]/tbl_task1[[คะแนนเต็ม]:[คะแนนเต็ม]])*tbl_task1[[%]:[%]])</f>
        <v/>
      </c>
      <c r="IC8" s="121" t="str">
        <f>IF(ISBLANK(tbl_task1[[คะแนนเต็ม]:[คะแนนเต็ม]]),"",(tbl_task1[67]/tbl_task1[[คะแนนเต็ม]:[คะแนนเต็ม]])*tbl_task1[[%]:[%]])</f>
        <v/>
      </c>
      <c r="ID8" s="121" t="str">
        <f>IF(ISBLANK(tbl_task1[[คะแนนเต็ม]:[คะแนนเต็ม]]),"",(tbl_task1[68]/tbl_task1[[คะแนนเต็ม]:[คะแนนเต็ม]])*tbl_task1[[%]:[%]])</f>
        <v/>
      </c>
      <c r="IE8" s="121" t="str">
        <f>IF(ISBLANK(tbl_task1[[คะแนนเต็ม]:[คะแนนเต็ม]]),"",(tbl_task1[69]/tbl_task1[[คะแนนเต็ม]:[คะแนนเต็ม]])*tbl_task1[[%]:[%]])</f>
        <v/>
      </c>
      <c r="IF8" s="121" t="str">
        <f>IF(ISBLANK(tbl_task1[[คะแนนเต็ม]:[คะแนนเต็ม]]),"",(tbl_task1[70]/tbl_task1[[คะแนนเต็ม]:[คะแนนเต็ม]])*tbl_task1[[%]:[%]])</f>
        <v/>
      </c>
      <c r="IG8" s="121" t="str">
        <f>IF(ISBLANK(tbl_task1[[คะแนนเต็ม]:[คะแนนเต็ม]]),"",(tbl_task1[71]/tbl_task1[[คะแนนเต็ม]:[คะแนนเต็ม]])*tbl_task1[[%]:[%]])</f>
        <v/>
      </c>
      <c r="IH8" s="121" t="str">
        <f>IF(ISBLANK(tbl_task1[[คะแนนเต็ม]:[คะแนนเต็ม]]),"",(tbl_task1[72]/tbl_task1[[คะแนนเต็ม]:[คะแนนเต็ม]])*tbl_task1[[%]:[%]])</f>
        <v/>
      </c>
      <c r="II8" s="121" t="str">
        <f>IF(ISBLANK(tbl_task1[[คะแนนเต็ม]:[คะแนนเต็ม]]),"",(tbl_task1[73]/tbl_task1[[คะแนนเต็ม]:[คะแนนเต็ม]])*tbl_task1[[%]:[%]])</f>
        <v/>
      </c>
      <c r="IJ8" s="121" t="str">
        <f>IF(ISBLANK(tbl_task1[[คะแนนเต็ม]:[คะแนนเต็ม]]),"",(tbl_task1[74]/tbl_task1[[คะแนนเต็ม]:[คะแนนเต็ม]])*tbl_task1[[%]:[%]])</f>
        <v/>
      </c>
      <c r="IK8" s="121" t="str">
        <f>IF(ISBLANK(tbl_task1[[คะแนนเต็ม]:[คะแนนเต็ม]]),"",(tbl_task1[75]/tbl_task1[[คะแนนเต็ม]:[คะแนนเต็ม]])*tbl_task1[[%]:[%]])</f>
        <v/>
      </c>
      <c r="IL8" s="121" t="str">
        <f>IF(ISBLANK(tbl_task1[[คะแนนเต็ม]:[คะแนนเต็ม]]),"",(tbl_task1[76]/tbl_task1[[คะแนนเต็ม]:[คะแนนเต็ม]])*tbl_task1[[%]:[%]])</f>
        <v/>
      </c>
      <c r="IM8" s="121" t="str">
        <f>IF(ISBLANK(tbl_task1[[คะแนนเต็ม]:[คะแนนเต็ม]]),"",(tbl_task1[77]/tbl_task1[[คะแนนเต็ม]:[คะแนนเต็ม]])*tbl_task1[[%]:[%]])</f>
        <v/>
      </c>
      <c r="IN8" s="121" t="str">
        <f>IF(ISBLANK(tbl_task1[[คะแนนเต็ม]:[คะแนนเต็ม]]),"",(tbl_task1[78]/tbl_task1[[คะแนนเต็ม]:[คะแนนเต็ม]])*tbl_task1[[%]:[%]])</f>
        <v/>
      </c>
      <c r="IO8" s="121" t="str">
        <f>IF(ISBLANK(tbl_task1[[คะแนนเต็ม]:[คะแนนเต็ม]]),"",(tbl_task1[79]/tbl_task1[[คะแนนเต็ม]:[คะแนนเต็ม]])*tbl_task1[[%]:[%]])</f>
        <v/>
      </c>
      <c r="IP8" s="121" t="str">
        <f>IF(ISBLANK(tbl_task1[[คะแนนเต็ม]:[คะแนนเต็ม]]),"",(tbl_task1[80]/tbl_task1[[คะแนนเต็ม]:[คะแนนเต็ม]])*tbl_task1[[%]:[%]])</f>
        <v/>
      </c>
      <c r="IQ8" s="121" t="str">
        <f>IF(ISBLANK(tbl_task1[[คะแนนเต็ม]:[คะแนนเต็ม]]),"",(tbl_task1[81]/tbl_task1[[คะแนนเต็ม]:[คะแนนเต็ม]])*tbl_task1[[%]:[%]])</f>
        <v/>
      </c>
      <c r="IR8" s="121" t="str">
        <f>IF(ISBLANK(tbl_task1[[คะแนนเต็ม]:[คะแนนเต็ม]]),"",(tbl_task1[82]/tbl_task1[[คะแนนเต็ม]:[คะแนนเต็ม]])*tbl_task1[[%]:[%]])</f>
        <v/>
      </c>
      <c r="IS8" s="121" t="str">
        <f>IF(ISBLANK(tbl_task1[[คะแนนเต็ม]:[คะแนนเต็ม]]),"",(tbl_task1[83]/tbl_task1[[คะแนนเต็ม]:[คะแนนเต็ม]])*tbl_task1[[%]:[%]])</f>
        <v/>
      </c>
      <c r="IT8" s="121" t="str">
        <f>IF(ISBLANK(tbl_task1[[คะแนนเต็ม]:[คะแนนเต็ม]]),"",(tbl_task1[84]/tbl_task1[[คะแนนเต็ม]:[คะแนนเต็ม]])*tbl_task1[[%]:[%]])</f>
        <v/>
      </c>
      <c r="IU8" s="121" t="str">
        <f>IF(ISBLANK(tbl_task1[[คะแนนเต็ม]:[คะแนนเต็ม]]),"",(tbl_task1[85]/tbl_task1[[คะแนนเต็ม]:[คะแนนเต็ม]])*tbl_task1[[%]:[%]])</f>
        <v/>
      </c>
      <c r="IV8" s="121" t="str">
        <f>IF(ISBLANK(tbl_task1[[คะแนนเต็ม]:[คะแนนเต็ม]]),"",(tbl_task1[86]/tbl_task1[[คะแนนเต็ม]:[คะแนนเต็ม]])*tbl_task1[[%]:[%]])</f>
        <v/>
      </c>
      <c r="IW8" s="121" t="str">
        <f>IF(ISBLANK(tbl_task1[[คะแนนเต็ม]:[คะแนนเต็ม]]),"",(tbl_task1[87]/tbl_task1[[คะแนนเต็ม]:[คะแนนเต็ม]])*tbl_task1[[%]:[%]])</f>
        <v/>
      </c>
      <c r="IX8" s="121" t="str">
        <f>IF(ISBLANK(tbl_task1[[คะแนนเต็ม]:[คะแนนเต็ม]]),"",(tbl_task1[88]/tbl_task1[[คะแนนเต็ม]:[คะแนนเต็ม]])*tbl_task1[[%]:[%]])</f>
        <v/>
      </c>
      <c r="IY8" s="121" t="str">
        <f>IF(ISBLANK(tbl_task1[[คะแนนเต็ม]:[คะแนนเต็ม]]),"",(tbl_task1[89]/tbl_task1[[คะแนนเต็ม]:[คะแนนเต็ม]])*tbl_task1[[%]:[%]])</f>
        <v/>
      </c>
      <c r="IZ8" s="121" t="str">
        <f>IF(ISBLANK(tbl_task1[[คะแนนเต็ม]:[คะแนนเต็ม]]),"",(tbl_task1[90]/tbl_task1[[คะแนนเต็ม]:[คะแนนเต็ม]])*tbl_task1[[%]:[%]])</f>
        <v/>
      </c>
      <c r="JA8" s="121" t="str">
        <f>IF(ISBLANK(tbl_task1[[คะแนนเต็ม]:[คะแนนเต็ม]]),"",(tbl_task1[91]/tbl_task1[[คะแนนเต็ม]:[คะแนนเต็ม]])*tbl_task1[[%]:[%]])</f>
        <v/>
      </c>
      <c r="JB8" s="121" t="str">
        <f>IF(ISBLANK(tbl_task1[[คะแนนเต็ม]:[คะแนนเต็ม]]),"",(tbl_task1[92]/tbl_task1[[คะแนนเต็ม]:[คะแนนเต็ม]])*tbl_task1[[%]:[%]])</f>
        <v/>
      </c>
      <c r="JC8" s="121" t="str">
        <f>IF(ISBLANK(tbl_task1[[คะแนนเต็ม]:[คะแนนเต็ม]]),"",(tbl_task1[93]/tbl_task1[[คะแนนเต็ม]:[คะแนนเต็ม]])*tbl_task1[[%]:[%]])</f>
        <v/>
      </c>
      <c r="JD8" s="121" t="str">
        <f>IF(ISBLANK(tbl_task1[[คะแนนเต็ม]:[คะแนนเต็ม]]),"",(tbl_task1[94]/tbl_task1[[คะแนนเต็ม]:[คะแนนเต็ม]])*tbl_task1[[%]:[%]])</f>
        <v/>
      </c>
      <c r="JE8" s="121" t="str">
        <f>IF(ISBLANK(tbl_task1[[คะแนนเต็ม]:[คะแนนเต็ม]]),"",(tbl_task1[95]/tbl_task1[[คะแนนเต็ม]:[คะแนนเต็ม]])*tbl_task1[[%]:[%]])</f>
        <v/>
      </c>
      <c r="JF8" s="121" t="str">
        <f>IF(ISBLANK(tbl_task1[[คะแนนเต็ม]:[คะแนนเต็ม]]),"",(tbl_task1[96]/tbl_task1[[คะแนนเต็ม]:[คะแนนเต็ม]])*tbl_task1[[%]:[%]])</f>
        <v/>
      </c>
      <c r="JG8" s="121" t="str">
        <f>IF(ISBLANK(tbl_task1[[คะแนนเต็ม]:[คะแนนเต็ม]]),"",(tbl_task1[97]/tbl_task1[[คะแนนเต็ม]:[คะแนนเต็ม]])*tbl_task1[[%]:[%]])</f>
        <v/>
      </c>
      <c r="JH8" s="121" t="str">
        <f>IF(ISBLANK(tbl_task1[[คะแนนเต็ม]:[คะแนนเต็ม]]),"",(tbl_task1[98]/tbl_task1[[คะแนนเต็ม]:[คะแนนเต็ม]])*tbl_task1[[%]:[%]])</f>
        <v/>
      </c>
      <c r="JI8" s="121" t="str">
        <f>IF(ISBLANK(tbl_task1[[คะแนนเต็ม]:[คะแนนเต็ม]]),"",(tbl_task1[99]/tbl_task1[[คะแนนเต็ม]:[คะแนนเต็ม]])*tbl_task1[[%]:[%]])</f>
        <v/>
      </c>
      <c r="JJ8" s="121" t="str">
        <f>IF(ISBLANK(tbl_task1[[คะแนนเต็ม]:[คะแนนเต็ม]]),"",(tbl_task1[100]/tbl_task1[[คะแนนเต็ม]:[คะแนนเต็ม]])*tbl_task1[[%]:[%]])</f>
        <v/>
      </c>
      <c r="JK8" s="121" t="str">
        <f>IF(ISBLANK(tbl_task1[[คะแนนเต็ม]:[คะแนนเต็ม]]),"",(tbl_task1[101]/tbl_task1[[คะแนนเต็ม]:[คะแนนเต็ม]])*tbl_task1[[%]:[%]])</f>
        <v/>
      </c>
      <c r="JL8" s="121" t="str">
        <f>IF(ISBLANK(tbl_task1[[คะแนนเต็ม]:[คะแนนเต็ม]]),"",(tbl_task1[102]/tbl_task1[[คะแนนเต็ม]:[คะแนนเต็ม]])*tbl_task1[[%]:[%]])</f>
        <v/>
      </c>
      <c r="JM8" s="121" t="str">
        <f>IF(ISBLANK(tbl_task1[[คะแนนเต็ม]:[คะแนนเต็ม]]),"",(tbl_task1[103]/tbl_task1[[คะแนนเต็ม]:[คะแนนเต็ม]])*tbl_task1[[%]:[%]])</f>
        <v/>
      </c>
      <c r="JN8" s="121" t="str">
        <f>IF(ISBLANK(tbl_task1[[คะแนนเต็ม]:[คะแนนเต็ม]]),"",(tbl_task1[104]/tbl_task1[[คะแนนเต็ม]:[คะแนนเต็ม]])*tbl_task1[[%]:[%]])</f>
        <v/>
      </c>
      <c r="JO8" s="121" t="str">
        <f>IF(ISBLANK(tbl_task1[[คะแนนเต็ม]:[คะแนนเต็ม]]),"",(tbl_task1[105]/tbl_task1[[คะแนนเต็ม]:[คะแนนเต็ม]])*tbl_task1[[%]:[%]])</f>
        <v/>
      </c>
      <c r="JP8" s="121" t="str">
        <f>IF(ISBLANK(tbl_task1[[คะแนนเต็ม]:[คะแนนเต็ม]]),"",(tbl_task1[106]/tbl_task1[[คะแนนเต็ม]:[คะแนนเต็ม]])*tbl_task1[[%]:[%]])</f>
        <v/>
      </c>
      <c r="JQ8" s="121" t="str">
        <f>IF(ISBLANK(tbl_task1[[คะแนนเต็ม]:[คะแนนเต็ม]]),"",(tbl_task1[107]/tbl_task1[[คะแนนเต็ม]:[คะแนนเต็ม]])*tbl_task1[[%]:[%]])</f>
        <v/>
      </c>
      <c r="JR8" s="121" t="str">
        <f>IF(ISBLANK(tbl_task1[[คะแนนเต็ม]:[คะแนนเต็ม]]),"",(tbl_task1[108]/tbl_task1[[คะแนนเต็ม]:[คะแนนเต็ม]])*tbl_task1[[%]:[%]])</f>
        <v/>
      </c>
      <c r="JS8" s="121" t="str">
        <f>IF(ISBLANK(tbl_task1[[คะแนนเต็ม]:[คะแนนเต็ม]]),"",(tbl_task1[109]/tbl_task1[[คะแนนเต็ม]:[คะแนนเต็ม]])*tbl_task1[[%]:[%]])</f>
        <v/>
      </c>
      <c r="JT8" s="121" t="str">
        <f>IF(ISBLANK(tbl_task1[[คะแนนเต็ม]:[คะแนนเต็ม]]),"",(tbl_task1[110]/tbl_task1[[คะแนนเต็ม]:[คะแนนเต็ม]])*tbl_task1[[%]:[%]])</f>
        <v/>
      </c>
      <c r="JU8" s="121" t="str">
        <f>IF(ISBLANK(tbl_task1[[คะแนนเต็ม]:[คะแนนเต็ม]]),"",(tbl_task1[111]/tbl_task1[[คะแนนเต็ม]:[คะแนนเต็ม]])*tbl_task1[[%]:[%]])</f>
        <v/>
      </c>
      <c r="JV8" s="121" t="str">
        <f>IF(ISBLANK(tbl_task1[[คะแนนเต็ม]:[คะแนนเต็ม]]),"",(tbl_task1[112]/tbl_task1[[คะแนนเต็ม]:[คะแนนเต็ม]])*tbl_task1[[%]:[%]])</f>
        <v/>
      </c>
      <c r="JW8" s="121" t="str">
        <f>IF(ISBLANK(tbl_task1[[คะแนนเต็ม]:[คะแนนเต็ม]]),"",(tbl_task1[113]/tbl_task1[[คะแนนเต็ม]:[คะแนนเต็ม]])*tbl_task1[[%]:[%]])</f>
        <v/>
      </c>
      <c r="JX8" s="121" t="str">
        <f>IF(ISBLANK(tbl_task1[[คะแนนเต็ม]:[คะแนนเต็ม]]),"",(tbl_task1[114]/tbl_task1[[คะแนนเต็ม]:[คะแนนเต็ม]])*tbl_task1[[%]:[%]])</f>
        <v/>
      </c>
      <c r="JY8" s="121" t="str">
        <f>IF(ISBLANK(tbl_task1[[คะแนนเต็ม]:[คะแนนเต็ม]]),"",(tbl_task1[115]/tbl_task1[[คะแนนเต็ม]:[คะแนนเต็ม]])*tbl_task1[[%]:[%]])</f>
        <v/>
      </c>
      <c r="JZ8" s="121" t="str">
        <f>IF(ISBLANK(tbl_task1[[คะแนนเต็ม]:[คะแนนเต็ม]]),"",(tbl_task1[116]/tbl_task1[[คะแนนเต็ม]:[คะแนนเต็ม]])*tbl_task1[[%]:[%]])</f>
        <v/>
      </c>
      <c r="KA8" s="121" t="str">
        <f>IF(ISBLANK(tbl_task1[[คะแนนเต็ม]:[คะแนนเต็ม]]),"",(tbl_task1[117]/tbl_task1[[คะแนนเต็ม]:[คะแนนเต็ม]])*tbl_task1[[%]:[%]])</f>
        <v/>
      </c>
      <c r="KB8" s="121" t="str">
        <f>IF(ISBLANK(tbl_task1[[คะแนนเต็ม]:[คะแนนเต็ม]]),"",(tbl_task1[118]/tbl_task1[[คะแนนเต็ม]:[คะแนนเต็ม]])*tbl_task1[[%]:[%]])</f>
        <v/>
      </c>
      <c r="KC8" s="121" t="str">
        <f>IF(ISBLANK(tbl_task1[[คะแนนเต็ม]:[คะแนนเต็ม]]),"",(tbl_task1[119]/tbl_task1[[คะแนนเต็ม]:[คะแนนเต็ม]])*tbl_task1[[%]:[%]])</f>
        <v/>
      </c>
      <c r="KD8" s="121" t="str">
        <f>IF(ISBLANK(tbl_task1[[คะแนนเต็ม]:[คะแนนเต็ม]]),"",(tbl_task1[120]/tbl_task1[[คะแนนเต็ม]:[คะแนนเต็ม]])*tbl_task1[[%]:[%]])</f>
        <v/>
      </c>
      <c r="KE8" s="121" t="str">
        <f>IF(ISBLANK(tbl_task1[[คะแนนเต็ม]:[คะแนนเต็ม]]),"",(tbl_task1[121]/tbl_task1[[คะแนนเต็ม]:[คะแนนเต็ม]])*tbl_task1[[%]:[%]])</f>
        <v/>
      </c>
      <c r="KF8" s="121" t="str">
        <f>IF(ISBLANK(tbl_task1[[คะแนนเต็ม]:[คะแนนเต็ม]]),"",(tbl_task1[122]/tbl_task1[[คะแนนเต็ม]:[คะแนนเต็ม]])*tbl_task1[[%]:[%]])</f>
        <v/>
      </c>
      <c r="KG8" s="121" t="str">
        <f>IF(ISBLANK(tbl_task1[[คะแนนเต็ม]:[คะแนนเต็ม]]),"",(tbl_task1[123]/tbl_task1[[คะแนนเต็ม]:[คะแนนเต็ม]])*tbl_task1[[%]:[%]])</f>
        <v/>
      </c>
      <c r="KH8" s="121" t="str">
        <f>IF(ISBLANK(tbl_task1[[คะแนนเต็ม]:[คะแนนเต็ม]]),"",(tbl_task1[124]/tbl_task1[[คะแนนเต็ม]:[คะแนนเต็ม]])*tbl_task1[[%]:[%]])</f>
        <v/>
      </c>
      <c r="KI8" s="121" t="str">
        <f>IF(ISBLANK(tbl_task1[[คะแนนเต็ม]:[คะแนนเต็ม]]),"",(tbl_task1[125]/tbl_task1[[คะแนนเต็ม]:[คะแนนเต็ม]])*tbl_task1[[%]:[%]])</f>
        <v/>
      </c>
      <c r="KJ8" s="121" t="str">
        <f>IF(ISBLANK(tbl_task1[[คะแนนเต็ม]:[คะแนนเต็ม]]),"",(tbl_task1[126]/tbl_task1[[คะแนนเต็ม]:[คะแนนเต็ม]])*tbl_task1[[%]:[%]])</f>
        <v/>
      </c>
      <c r="KK8" s="121" t="str">
        <f>IF(ISBLANK(tbl_task1[[คะแนนเต็ม]:[คะแนนเต็ม]]),"",(tbl_task1[127]/tbl_task1[[คะแนนเต็ม]:[คะแนนเต็ม]])*tbl_task1[[%]:[%]])</f>
        <v/>
      </c>
      <c r="KL8" s="121" t="str">
        <f>IF(ISBLANK(tbl_task1[[คะแนนเต็ม]:[คะแนนเต็ม]]),"",(tbl_task1[128]/tbl_task1[[คะแนนเต็ม]:[คะแนนเต็ม]])*tbl_task1[[%]:[%]])</f>
        <v/>
      </c>
      <c r="KM8" s="121" t="str">
        <f>IF(ISBLANK(tbl_task1[[คะแนนเต็ม]:[คะแนนเต็ม]]),"",(tbl_task1[129]/tbl_task1[[คะแนนเต็ม]:[คะแนนเต็ม]])*tbl_task1[[%]:[%]])</f>
        <v/>
      </c>
      <c r="KN8" s="121" t="str">
        <f>IF(ISBLANK(tbl_task1[[คะแนนเต็ม]:[คะแนนเต็ม]]),"",(tbl_task1[130]/tbl_task1[[คะแนนเต็ม]:[คะแนนเต็ม]])*tbl_task1[[%]:[%]])</f>
        <v/>
      </c>
      <c r="KO8" s="121" t="str">
        <f>IF(ISBLANK(tbl_task1[[คะแนนเต็ม]:[คะแนนเต็ม]]),"",(tbl_task1[131]/tbl_task1[[คะแนนเต็ม]:[คะแนนเต็ม]])*tbl_task1[[%]:[%]])</f>
        <v/>
      </c>
      <c r="KP8" s="121" t="str">
        <f>IF(ISBLANK(tbl_task1[[คะแนนเต็ม]:[คะแนนเต็ม]]),"",(tbl_task1[132]/tbl_task1[[คะแนนเต็ม]:[คะแนนเต็ม]])*tbl_task1[[%]:[%]])</f>
        <v/>
      </c>
      <c r="KQ8" s="121" t="str">
        <f>IF(ISBLANK(tbl_task1[[คะแนนเต็ม]:[คะแนนเต็ม]]),"",(tbl_task1[133]/tbl_task1[[คะแนนเต็ม]:[คะแนนเต็ม]])*tbl_task1[[%]:[%]])</f>
        <v/>
      </c>
      <c r="KR8" s="121" t="str">
        <f>IF(ISBLANK(tbl_task1[[คะแนนเต็ม]:[คะแนนเต็ม]]),"",(tbl_task1[134]/tbl_task1[[คะแนนเต็ม]:[คะแนนเต็ม]])*tbl_task1[[%]:[%]])</f>
        <v/>
      </c>
      <c r="KS8" s="121" t="str">
        <f>IF(ISBLANK(tbl_task1[[คะแนนเต็ม]:[คะแนนเต็ม]]),"",(tbl_task1[135]/tbl_task1[[คะแนนเต็ม]:[คะแนนเต็ม]])*tbl_task1[[%]:[%]])</f>
        <v/>
      </c>
      <c r="KT8" s="121" t="str">
        <f>IF(ISBLANK(tbl_task1[[คะแนนเต็ม]:[คะแนนเต็ม]]),"",(tbl_task1[136]/tbl_task1[[คะแนนเต็ม]:[คะแนนเต็ม]])*tbl_task1[[%]:[%]])</f>
        <v/>
      </c>
      <c r="KU8" s="121" t="str">
        <f>IF(ISBLANK(tbl_task1[[คะแนนเต็ม]:[คะแนนเต็ม]]),"",(tbl_task1[137]/tbl_task1[[คะแนนเต็ม]:[คะแนนเต็ม]])*tbl_task1[[%]:[%]])</f>
        <v/>
      </c>
      <c r="KV8" s="121" t="str">
        <f>IF(ISBLANK(tbl_task1[[คะแนนเต็ม]:[คะแนนเต็ม]]),"",(tbl_task1[138]/tbl_task1[[คะแนนเต็ม]:[คะแนนเต็ม]])*tbl_task1[[%]:[%]])</f>
        <v/>
      </c>
      <c r="KW8" s="121" t="str">
        <f>IF(ISBLANK(tbl_task1[[คะแนนเต็ม]:[คะแนนเต็ม]]),"",(tbl_task1[139]/tbl_task1[[คะแนนเต็ม]:[คะแนนเต็ม]])*tbl_task1[[%]:[%]])</f>
        <v/>
      </c>
      <c r="KX8" s="121" t="str">
        <f>IF(ISBLANK(tbl_task1[[คะแนนเต็ม]:[คะแนนเต็ม]]),"",(tbl_task1[140]/tbl_task1[[คะแนนเต็ม]:[คะแนนเต็ม]])*tbl_task1[[%]:[%]])</f>
        <v/>
      </c>
      <c r="KY8" s="121" t="str">
        <f>IF(ISBLANK(tbl_task1[[คะแนนเต็ม]:[คะแนนเต็ม]]),"",(tbl_task1[141]/tbl_task1[[คะแนนเต็ม]:[คะแนนเต็ม]])*tbl_task1[[%]:[%]])</f>
        <v/>
      </c>
      <c r="KZ8" s="121" t="str">
        <f>IF(ISBLANK(tbl_task1[[คะแนนเต็ม]:[คะแนนเต็ม]]),"",(tbl_task1[142]/tbl_task1[[คะแนนเต็ม]:[คะแนนเต็ม]])*tbl_task1[[%]:[%]])</f>
        <v/>
      </c>
      <c r="LA8" s="121" t="str">
        <f>IF(ISBLANK(tbl_task1[[คะแนนเต็ม]:[คะแนนเต็ม]]),"",(tbl_task1[143]/tbl_task1[[คะแนนเต็ม]:[คะแนนเต็ม]])*tbl_task1[[%]:[%]])</f>
        <v/>
      </c>
      <c r="LB8" s="121" t="str">
        <f>IF(ISBLANK(tbl_task1[[คะแนนเต็ม]:[คะแนนเต็ม]]),"",(tbl_task1[144]/tbl_task1[[คะแนนเต็ม]:[คะแนนเต็ม]])*tbl_task1[[%]:[%]])</f>
        <v/>
      </c>
      <c r="LC8" s="121" t="str">
        <f>IF(ISBLANK(tbl_task1[[คะแนนเต็ม]:[คะแนนเต็ม]]),"",(tbl_task1[145]/tbl_task1[[คะแนนเต็ม]:[คะแนนเต็ม]])*tbl_task1[[%]:[%]])</f>
        <v/>
      </c>
      <c r="LD8" s="121" t="str">
        <f>IF(ISBLANK(tbl_task1[[คะแนนเต็ม]:[คะแนนเต็ม]]),"",(tbl_task1[146]/tbl_task1[[คะแนนเต็ม]:[คะแนนเต็ม]])*tbl_task1[[%]:[%]])</f>
        <v/>
      </c>
      <c r="LE8" s="121" t="str">
        <f>IF(ISBLANK(tbl_task1[[คะแนนเต็ม]:[คะแนนเต็ม]]),"",(tbl_task1[147]/tbl_task1[[คะแนนเต็ม]:[คะแนนเต็ม]])*tbl_task1[[%]:[%]])</f>
        <v/>
      </c>
      <c r="LF8" s="121" t="str">
        <f>IF(ISBLANK(tbl_task1[[คะแนนเต็ม]:[คะแนนเต็ม]]),"",(tbl_task1[148]/tbl_task1[[คะแนนเต็ม]:[คะแนนเต็ม]])*tbl_task1[[%]:[%]])</f>
        <v/>
      </c>
      <c r="LG8" s="121" t="str">
        <f>IF(ISBLANK(tbl_task1[[คะแนนเต็ม]:[คะแนนเต็ม]]),"",(tbl_task1[149]/tbl_task1[[คะแนนเต็ม]:[คะแนนเต็ม]])*tbl_task1[[%]:[%]])</f>
        <v/>
      </c>
      <c r="LH8" s="121" t="str">
        <f>IF(ISBLANK(tbl_task1[[คะแนนเต็ม]:[คะแนนเต็ม]]),"",(tbl_task1[150]/tbl_task1[[คะแนนเต็ม]:[คะแนนเต็ม]])*tbl_task1[[%]:[%]])</f>
        <v/>
      </c>
      <c r="LI8" s="121" t="str">
        <f>IF(ISBLANK(tbl_task1[[คะแนนเต็ม]:[คะแนนเต็ม]]),"",(tbl_task1[151]/tbl_task1[[คะแนนเต็ม]:[คะแนนเต็ม]])*tbl_task1[[%]:[%]])</f>
        <v/>
      </c>
      <c r="LJ8" s="121" t="str">
        <f>IF(ISBLANK(tbl_task1[[คะแนนเต็ม]:[คะแนนเต็ม]]),"",(tbl_task1[152]/tbl_task1[[คะแนนเต็ม]:[คะแนนเต็ม]])*tbl_task1[[%]:[%]])</f>
        <v/>
      </c>
      <c r="LK8" s="121" t="str">
        <f>IF(ISBLANK(tbl_task1[[คะแนนเต็ม]:[คะแนนเต็ม]]),"",(tbl_task1[153]/tbl_task1[[คะแนนเต็ม]:[คะแนนเต็ม]])*tbl_task1[[%]:[%]])</f>
        <v/>
      </c>
      <c r="LL8" s="121" t="str">
        <f>IF(ISBLANK(tbl_task1[[คะแนนเต็ม]:[คะแนนเต็ม]]),"",(tbl_task1[154]/tbl_task1[[คะแนนเต็ม]:[คะแนนเต็ม]])*tbl_task1[[%]:[%]])</f>
        <v/>
      </c>
      <c r="LM8" s="121" t="str">
        <f>IF(ISBLANK(tbl_task1[[คะแนนเต็ม]:[คะแนนเต็ม]]),"",(tbl_task1[155]/tbl_task1[[คะแนนเต็ม]:[คะแนนเต็ม]])*tbl_task1[[%]:[%]])</f>
        <v/>
      </c>
      <c r="LN8" s="121" t="str">
        <f>IF(ISBLANK(tbl_task1[[คะแนนเต็ม]:[คะแนนเต็ม]]),"",(tbl_task1[156]/tbl_task1[[คะแนนเต็ม]:[คะแนนเต็ม]])*tbl_task1[[%]:[%]])</f>
        <v/>
      </c>
      <c r="LO8" s="121" t="str">
        <f>IF(ISBLANK(tbl_task1[[คะแนนเต็ม]:[คะแนนเต็ม]]),"",(tbl_task1[157]/tbl_task1[[คะแนนเต็ม]:[คะแนนเต็ม]])*tbl_task1[[%]:[%]])</f>
        <v/>
      </c>
      <c r="LP8" s="121" t="str">
        <f>IF(ISBLANK(tbl_task1[[คะแนนเต็ม]:[คะแนนเต็ม]]),"",(tbl_task1[158]/tbl_task1[[คะแนนเต็ม]:[คะแนนเต็ม]])*tbl_task1[[%]:[%]])</f>
        <v/>
      </c>
      <c r="LQ8" s="121" t="str">
        <f>IF(ISBLANK(tbl_task1[[คะแนนเต็ม]:[คะแนนเต็ม]]),"",(tbl_task1[159]/tbl_task1[[คะแนนเต็ม]:[คะแนนเต็ม]])*tbl_task1[[%]:[%]])</f>
        <v/>
      </c>
      <c r="LR8" s="121" t="str">
        <f>IF(ISBLANK(tbl_task1[[คะแนนเต็ม]:[คะแนนเต็ม]]),"",(tbl_task1[160]/tbl_task1[[คะแนนเต็ม]:[คะแนนเต็ม]])*tbl_task1[[%]:[%]])</f>
        <v/>
      </c>
      <c r="LS8" s="121" t="str">
        <f>IF(ISBLANK(tbl_task1[[คะแนนเต็ม]:[คะแนนเต็ม]]),"",(tbl_task1[161]/tbl_task1[[คะแนนเต็ม]:[คะแนนเต็ม]])*tbl_task1[[%]:[%]])</f>
        <v/>
      </c>
      <c r="LT8" s="121" t="str">
        <f>IF(ISBLANK(tbl_task1[[คะแนนเต็ม]:[คะแนนเต็ม]]),"",(tbl_task1[162]/tbl_task1[[คะแนนเต็ม]:[คะแนนเต็ม]])*tbl_task1[[%]:[%]])</f>
        <v/>
      </c>
      <c r="LU8" s="121" t="str">
        <f>IF(ISBLANK(tbl_task1[[คะแนนเต็ม]:[คะแนนเต็ม]]),"",(tbl_task1[163]/tbl_task1[[คะแนนเต็ม]:[คะแนนเต็ม]])*tbl_task1[[%]:[%]])</f>
        <v/>
      </c>
      <c r="LV8" s="121" t="str">
        <f>IF(ISBLANK(tbl_task1[[คะแนนเต็ม]:[คะแนนเต็ม]]),"",(tbl_task1[164]/tbl_task1[[คะแนนเต็ม]:[คะแนนเต็ม]])*tbl_task1[[%]:[%]])</f>
        <v/>
      </c>
      <c r="LW8" s="121" t="str">
        <f>IF(ISBLANK(tbl_task1[[คะแนนเต็ม]:[คะแนนเต็ม]]),"",(tbl_task1[165]/tbl_task1[[คะแนนเต็ม]:[คะแนนเต็ม]])*tbl_task1[[%]:[%]])</f>
        <v/>
      </c>
    </row>
    <row r="9" spans="1:335" x14ac:dyDescent="0.25">
      <c r="A9" s="24">
        <v>6</v>
      </c>
      <c r="B9" s="20"/>
      <c r="C9" s="5" t="str">
        <f>IF(ISBLANK(B9),"",VLOOKUP(B9,tbl_PLOs[],2,0))</f>
        <v/>
      </c>
      <c r="D9" s="102"/>
      <c r="E9" s="106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22"/>
      <c r="FO9" s="121" t="str">
        <f>IF(ISBLANK(tbl_task1[[คะแนนเต็ม]:[คะแนนเต็ม]]),"",(tbl_task1[1]/tbl_task1[[คะแนนเต็ม]:[คะแนนเต็ม]])*tbl_task1[[%]:[%]])</f>
        <v/>
      </c>
      <c r="FP9" s="121" t="str">
        <f>IF(ISBLANK(tbl_task1[[คะแนนเต็ม]:[คะแนนเต็ม]]),"",(tbl_task1[2]/tbl_task1[[คะแนนเต็ม]:[คะแนนเต็ม]])*tbl_task1[[%]:[%]])</f>
        <v/>
      </c>
      <c r="FQ9" s="121" t="str">
        <f>IF(ISBLANK(tbl_task1[[คะแนนเต็ม]:[คะแนนเต็ม]]),"",(tbl_task1[3]/tbl_task1[[คะแนนเต็ม]:[คะแนนเต็ม]])*tbl_task1[[%]:[%]])</f>
        <v/>
      </c>
      <c r="FR9" s="121" t="str">
        <f>IF(ISBLANK(tbl_task1[[คะแนนเต็ม]:[คะแนนเต็ม]]),"",(tbl_task1[4]/tbl_task1[[คะแนนเต็ม]:[คะแนนเต็ม]])*tbl_task1[[%]:[%]])</f>
        <v/>
      </c>
      <c r="FS9" s="121" t="str">
        <f>IF(ISBLANK(tbl_task1[[คะแนนเต็ม]:[คะแนนเต็ม]]),"",(tbl_task1[5]/tbl_task1[[คะแนนเต็ม]:[คะแนนเต็ม]])*tbl_task1[[%]:[%]])</f>
        <v/>
      </c>
      <c r="FT9" s="121" t="str">
        <f>IF(ISBLANK(tbl_task1[[คะแนนเต็ม]:[คะแนนเต็ม]]),"",(tbl_task1[6]/tbl_task1[[คะแนนเต็ม]:[คะแนนเต็ม]])*tbl_task1[[%]:[%]])</f>
        <v/>
      </c>
      <c r="FU9" s="121" t="str">
        <f>IF(ISBLANK(tbl_task1[[คะแนนเต็ม]:[คะแนนเต็ม]]),"",(tbl_task1[7]/tbl_task1[[คะแนนเต็ม]:[คะแนนเต็ม]])*tbl_task1[[%]:[%]])</f>
        <v/>
      </c>
      <c r="FV9" s="121" t="str">
        <f>IF(ISBLANK(tbl_task1[[คะแนนเต็ม]:[คะแนนเต็ม]]),"",(tbl_task1[8]/tbl_task1[[คะแนนเต็ม]:[คะแนนเต็ม]])*tbl_task1[[%]:[%]])</f>
        <v/>
      </c>
      <c r="FW9" s="121" t="str">
        <f>IF(ISBLANK(tbl_task1[[คะแนนเต็ม]:[คะแนนเต็ม]]),"",(tbl_task1[9]/tbl_task1[[คะแนนเต็ม]:[คะแนนเต็ม]])*tbl_task1[[%]:[%]])</f>
        <v/>
      </c>
      <c r="FX9" s="121" t="str">
        <f>IF(ISBLANK(tbl_task1[[คะแนนเต็ม]:[คะแนนเต็ม]]),"",(tbl_task1[10]/tbl_task1[[คะแนนเต็ม]:[คะแนนเต็ม]])*tbl_task1[[%]:[%]])</f>
        <v/>
      </c>
      <c r="FY9" s="121" t="str">
        <f>IF(ISBLANK(tbl_task1[[คะแนนเต็ม]:[คะแนนเต็ม]]),"",(tbl_task1[11]/tbl_task1[[คะแนนเต็ม]:[คะแนนเต็ม]])*tbl_task1[[%]:[%]])</f>
        <v/>
      </c>
      <c r="FZ9" s="121" t="str">
        <f>IF(ISBLANK(tbl_task1[[คะแนนเต็ม]:[คะแนนเต็ม]]),"",(tbl_task1[12]/tbl_task1[[คะแนนเต็ม]:[คะแนนเต็ม]])*tbl_task1[[%]:[%]])</f>
        <v/>
      </c>
      <c r="GA9" s="121" t="str">
        <f>IF(ISBLANK(tbl_task1[[คะแนนเต็ม]:[คะแนนเต็ม]]),"",(tbl_task1[13]/tbl_task1[[คะแนนเต็ม]:[คะแนนเต็ม]])*tbl_task1[[%]:[%]])</f>
        <v/>
      </c>
      <c r="GB9" s="121" t="str">
        <f>IF(ISBLANK(tbl_task1[[คะแนนเต็ม]:[คะแนนเต็ม]]),"",(tbl_task1[14]/tbl_task1[[คะแนนเต็ม]:[คะแนนเต็ม]])*tbl_task1[[%]:[%]])</f>
        <v/>
      </c>
      <c r="GC9" s="121" t="str">
        <f>IF(ISBLANK(tbl_task1[[คะแนนเต็ม]:[คะแนนเต็ม]]),"",(tbl_task1[15]/tbl_task1[[คะแนนเต็ม]:[คะแนนเต็ม]])*tbl_task1[[%]:[%]])</f>
        <v/>
      </c>
      <c r="GD9" s="121" t="str">
        <f>IF(ISBLANK(tbl_task1[[คะแนนเต็ม]:[คะแนนเต็ม]]),"",(tbl_task1[16]/tbl_task1[[คะแนนเต็ม]:[คะแนนเต็ม]])*tbl_task1[[%]:[%]])</f>
        <v/>
      </c>
      <c r="GE9" s="121" t="str">
        <f>IF(ISBLANK(tbl_task1[[คะแนนเต็ม]:[คะแนนเต็ม]]),"",(tbl_task1[17]/tbl_task1[[คะแนนเต็ม]:[คะแนนเต็ม]])*tbl_task1[[%]:[%]])</f>
        <v/>
      </c>
      <c r="GF9" s="121" t="str">
        <f>IF(ISBLANK(tbl_task1[[คะแนนเต็ม]:[คะแนนเต็ม]]),"",(tbl_task1[18]/tbl_task1[[คะแนนเต็ม]:[คะแนนเต็ม]])*tbl_task1[[%]:[%]])</f>
        <v/>
      </c>
      <c r="GG9" s="121" t="str">
        <f>IF(ISBLANK(tbl_task1[[คะแนนเต็ม]:[คะแนนเต็ม]]),"",(tbl_task1[19]/tbl_task1[[คะแนนเต็ม]:[คะแนนเต็ม]])*tbl_task1[[%]:[%]])</f>
        <v/>
      </c>
      <c r="GH9" s="121" t="str">
        <f>IF(ISBLANK(tbl_task1[[คะแนนเต็ม]:[คะแนนเต็ม]]),"",(tbl_task1[20]/tbl_task1[[คะแนนเต็ม]:[คะแนนเต็ม]])*tbl_task1[[%]:[%]])</f>
        <v/>
      </c>
      <c r="GI9" s="121" t="str">
        <f>IF(ISBLANK(tbl_task1[[คะแนนเต็ม]:[คะแนนเต็ม]]),"",(tbl_task1[21]/tbl_task1[[คะแนนเต็ม]:[คะแนนเต็ม]])*tbl_task1[[%]:[%]])</f>
        <v/>
      </c>
      <c r="GJ9" s="121" t="str">
        <f>IF(ISBLANK(tbl_task1[[คะแนนเต็ม]:[คะแนนเต็ม]]),"",(tbl_task1[22]/tbl_task1[[คะแนนเต็ม]:[คะแนนเต็ม]])*tbl_task1[[%]:[%]])</f>
        <v/>
      </c>
      <c r="GK9" s="121" t="str">
        <f>IF(ISBLANK(tbl_task1[[คะแนนเต็ม]:[คะแนนเต็ม]]),"",(tbl_task1[23]/tbl_task1[[คะแนนเต็ม]:[คะแนนเต็ม]])*tbl_task1[[%]:[%]])</f>
        <v/>
      </c>
      <c r="GL9" s="121" t="str">
        <f>IF(ISBLANK(tbl_task1[[คะแนนเต็ม]:[คะแนนเต็ม]]),"",(tbl_task1[24]/tbl_task1[[คะแนนเต็ม]:[คะแนนเต็ม]])*tbl_task1[[%]:[%]])</f>
        <v/>
      </c>
      <c r="GM9" s="121" t="str">
        <f>IF(ISBLANK(tbl_task1[[คะแนนเต็ม]:[คะแนนเต็ม]]),"",(tbl_task1[25]/tbl_task1[[คะแนนเต็ม]:[คะแนนเต็ม]])*tbl_task1[[%]:[%]])</f>
        <v/>
      </c>
      <c r="GN9" s="121" t="str">
        <f>IF(ISBLANK(tbl_task1[[คะแนนเต็ม]:[คะแนนเต็ม]]),"",(tbl_task1[26]/tbl_task1[[คะแนนเต็ม]:[คะแนนเต็ม]])*tbl_task1[[%]:[%]])</f>
        <v/>
      </c>
      <c r="GO9" s="121" t="str">
        <f>IF(ISBLANK(tbl_task1[[คะแนนเต็ม]:[คะแนนเต็ม]]),"",(tbl_task1[27]/tbl_task1[[คะแนนเต็ม]:[คะแนนเต็ม]])*tbl_task1[[%]:[%]])</f>
        <v/>
      </c>
      <c r="GP9" s="121" t="str">
        <f>IF(ISBLANK(tbl_task1[[คะแนนเต็ม]:[คะแนนเต็ม]]),"",(tbl_task1[28]/tbl_task1[[คะแนนเต็ม]:[คะแนนเต็ม]])*tbl_task1[[%]:[%]])</f>
        <v/>
      </c>
      <c r="GQ9" s="121" t="str">
        <f>IF(ISBLANK(tbl_task1[[คะแนนเต็ม]:[คะแนนเต็ม]]),"",(tbl_task1[29]/tbl_task1[[คะแนนเต็ม]:[คะแนนเต็ม]])*tbl_task1[[%]:[%]])</f>
        <v/>
      </c>
      <c r="GR9" s="121" t="str">
        <f>IF(ISBLANK(tbl_task1[[คะแนนเต็ม]:[คะแนนเต็ม]]),"",(tbl_task1[30]/tbl_task1[[คะแนนเต็ม]:[คะแนนเต็ม]])*tbl_task1[[%]:[%]])</f>
        <v/>
      </c>
      <c r="GS9" s="121" t="str">
        <f>IF(ISBLANK(tbl_task1[[คะแนนเต็ม]:[คะแนนเต็ม]]),"",(tbl_task1[31]/tbl_task1[[คะแนนเต็ม]:[คะแนนเต็ม]])*tbl_task1[[%]:[%]])</f>
        <v/>
      </c>
      <c r="GT9" s="121" t="str">
        <f>IF(ISBLANK(tbl_task1[[คะแนนเต็ม]:[คะแนนเต็ม]]),"",(tbl_task1[32]/tbl_task1[[คะแนนเต็ม]:[คะแนนเต็ม]])*tbl_task1[[%]:[%]])</f>
        <v/>
      </c>
      <c r="GU9" s="121" t="str">
        <f>IF(ISBLANK(tbl_task1[[คะแนนเต็ม]:[คะแนนเต็ม]]),"",(tbl_task1[33]/tbl_task1[[คะแนนเต็ม]:[คะแนนเต็ม]])*tbl_task1[[%]:[%]])</f>
        <v/>
      </c>
      <c r="GV9" s="121" t="str">
        <f>IF(ISBLANK(tbl_task1[[คะแนนเต็ม]:[คะแนนเต็ม]]),"",(tbl_task1[34]/tbl_task1[[คะแนนเต็ม]:[คะแนนเต็ม]])*tbl_task1[[%]:[%]])</f>
        <v/>
      </c>
      <c r="GW9" s="121" t="str">
        <f>IF(ISBLANK(tbl_task1[[คะแนนเต็ม]:[คะแนนเต็ม]]),"",(tbl_task1[35]/tbl_task1[[คะแนนเต็ม]:[คะแนนเต็ม]])*tbl_task1[[%]:[%]])</f>
        <v/>
      </c>
      <c r="GX9" s="121" t="str">
        <f>IF(ISBLANK(tbl_task1[[คะแนนเต็ม]:[คะแนนเต็ม]]),"",(tbl_task1[36]/tbl_task1[[คะแนนเต็ม]:[คะแนนเต็ม]])*tbl_task1[[%]:[%]])</f>
        <v/>
      </c>
      <c r="GY9" s="121" t="str">
        <f>IF(ISBLANK(tbl_task1[[คะแนนเต็ม]:[คะแนนเต็ม]]),"",(tbl_task1[37]/tbl_task1[[คะแนนเต็ม]:[คะแนนเต็ม]])*tbl_task1[[%]:[%]])</f>
        <v/>
      </c>
      <c r="GZ9" s="121" t="str">
        <f>IF(ISBLANK(tbl_task1[[คะแนนเต็ม]:[คะแนนเต็ม]]),"",(tbl_task1[38]/tbl_task1[[คะแนนเต็ม]:[คะแนนเต็ม]])*tbl_task1[[%]:[%]])</f>
        <v/>
      </c>
      <c r="HA9" s="121" t="str">
        <f>IF(ISBLANK(tbl_task1[[คะแนนเต็ม]:[คะแนนเต็ม]]),"",(tbl_task1[39]/tbl_task1[[คะแนนเต็ม]:[คะแนนเต็ม]])*tbl_task1[[%]:[%]])</f>
        <v/>
      </c>
      <c r="HB9" s="121" t="str">
        <f>IF(ISBLANK(tbl_task1[[คะแนนเต็ม]:[คะแนนเต็ม]]),"",(tbl_task1[40]/tbl_task1[[คะแนนเต็ม]:[คะแนนเต็ม]])*tbl_task1[[%]:[%]])</f>
        <v/>
      </c>
      <c r="HC9" s="121" t="str">
        <f>IF(ISBLANK(tbl_task1[[คะแนนเต็ม]:[คะแนนเต็ม]]),"",(tbl_task1[41]/tbl_task1[[คะแนนเต็ม]:[คะแนนเต็ม]])*tbl_task1[[%]:[%]])</f>
        <v/>
      </c>
      <c r="HD9" s="121" t="str">
        <f>IF(ISBLANK(tbl_task1[[คะแนนเต็ม]:[คะแนนเต็ม]]),"",(tbl_task1[42]/tbl_task1[[คะแนนเต็ม]:[คะแนนเต็ม]])*tbl_task1[[%]:[%]])</f>
        <v/>
      </c>
      <c r="HE9" s="121" t="str">
        <f>IF(ISBLANK(tbl_task1[[คะแนนเต็ม]:[คะแนนเต็ม]]),"",(tbl_task1[43]/tbl_task1[[คะแนนเต็ม]:[คะแนนเต็ม]])*tbl_task1[[%]:[%]])</f>
        <v/>
      </c>
      <c r="HF9" s="121" t="str">
        <f>IF(ISBLANK(tbl_task1[[คะแนนเต็ม]:[คะแนนเต็ม]]),"",(tbl_task1[44]/tbl_task1[[คะแนนเต็ม]:[คะแนนเต็ม]])*tbl_task1[[%]:[%]])</f>
        <v/>
      </c>
      <c r="HG9" s="121" t="str">
        <f>IF(ISBLANK(tbl_task1[[คะแนนเต็ม]:[คะแนนเต็ม]]),"",(tbl_task1[45]/tbl_task1[[คะแนนเต็ม]:[คะแนนเต็ม]])*tbl_task1[[%]:[%]])</f>
        <v/>
      </c>
      <c r="HH9" s="121" t="str">
        <f>IF(ISBLANK(tbl_task1[[คะแนนเต็ม]:[คะแนนเต็ม]]),"",(tbl_task1[46]/tbl_task1[[คะแนนเต็ม]:[คะแนนเต็ม]])*tbl_task1[[%]:[%]])</f>
        <v/>
      </c>
      <c r="HI9" s="121" t="str">
        <f>IF(ISBLANK(tbl_task1[[คะแนนเต็ม]:[คะแนนเต็ม]]),"",(tbl_task1[47]/tbl_task1[[คะแนนเต็ม]:[คะแนนเต็ม]])*tbl_task1[[%]:[%]])</f>
        <v/>
      </c>
      <c r="HJ9" s="121" t="str">
        <f>IF(ISBLANK(tbl_task1[[คะแนนเต็ม]:[คะแนนเต็ม]]),"",(tbl_task1[48]/tbl_task1[[คะแนนเต็ม]:[คะแนนเต็ม]])*tbl_task1[[%]:[%]])</f>
        <v/>
      </c>
      <c r="HK9" s="121" t="str">
        <f>IF(ISBLANK(tbl_task1[[คะแนนเต็ม]:[คะแนนเต็ม]]),"",(tbl_task1[49]/tbl_task1[[คะแนนเต็ม]:[คะแนนเต็ม]])*tbl_task1[[%]:[%]])</f>
        <v/>
      </c>
      <c r="HL9" s="121" t="str">
        <f>IF(ISBLANK(tbl_task1[[คะแนนเต็ม]:[คะแนนเต็ม]]),"",(tbl_task1[50]/tbl_task1[[คะแนนเต็ม]:[คะแนนเต็ม]])*tbl_task1[[%]:[%]])</f>
        <v/>
      </c>
      <c r="HM9" s="121" t="str">
        <f>IF(ISBLANK(tbl_task1[[คะแนนเต็ม]:[คะแนนเต็ม]]),"",(tbl_task1[51]/tbl_task1[[คะแนนเต็ม]:[คะแนนเต็ม]])*tbl_task1[[%]:[%]])</f>
        <v/>
      </c>
      <c r="HN9" s="121" t="str">
        <f>IF(ISBLANK(tbl_task1[[คะแนนเต็ม]:[คะแนนเต็ม]]),"",(tbl_task1[52]/tbl_task1[[คะแนนเต็ม]:[คะแนนเต็ม]])*tbl_task1[[%]:[%]])</f>
        <v/>
      </c>
      <c r="HO9" s="121" t="str">
        <f>IF(ISBLANK(tbl_task1[[คะแนนเต็ม]:[คะแนนเต็ม]]),"",(tbl_task1[53]/tbl_task1[[คะแนนเต็ม]:[คะแนนเต็ม]])*tbl_task1[[%]:[%]])</f>
        <v/>
      </c>
      <c r="HP9" s="121" t="str">
        <f>IF(ISBLANK(tbl_task1[[คะแนนเต็ม]:[คะแนนเต็ม]]),"",(tbl_task1[54]/tbl_task1[[คะแนนเต็ม]:[คะแนนเต็ม]])*tbl_task1[[%]:[%]])</f>
        <v/>
      </c>
      <c r="HQ9" s="121" t="str">
        <f>IF(ISBLANK(tbl_task1[[คะแนนเต็ม]:[คะแนนเต็ม]]),"",(tbl_task1[55]/tbl_task1[[คะแนนเต็ม]:[คะแนนเต็ม]])*tbl_task1[[%]:[%]])</f>
        <v/>
      </c>
      <c r="HR9" s="121" t="str">
        <f>IF(ISBLANK(tbl_task1[[คะแนนเต็ม]:[คะแนนเต็ม]]),"",(tbl_task1[56]/tbl_task1[[คะแนนเต็ม]:[คะแนนเต็ม]])*tbl_task1[[%]:[%]])</f>
        <v/>
      </c>
      <c r="HS9" s="121" t="str">
        <f>IF(ISBLANK(tbl_task1[[คะแนนเต็ม]:[คะแนนเต็ม]]),"",(tbl_task1[57]/tbl_task1[[คะแนนเต็ม]:[คะแนนเต็ม]])*tbl_task1[[%]:[%]])</f>
        <v/>
      </c>
      <c r="HT9" s="121" t="str">
        <f>IF(ISBLANK(tbl_task1[[คะแนนเต็ม]:[คะแนนเต็ม]]),"",(tbl_task1[58]/tbl_task1[[คะแนนเต็ม]:[คะแนนเต็ม]])*tbl_task1[[%]:[%]])</f>
        <v/>
      </c>
      <c r="HU9" s="121" t="str">
        <f>IF(ISBLANK(tbl_task1[[คะแนนเต็ม]:[คะแนนเต็ม]]),"",(tbl_task1[59]/tbl_task1[[คะแนนเต็ม]:[คะแนนเต็ม]])*tbl_task1[[%]:[%]])</f>
        <v/>
      </c>
      <c r="HV9" s="121" t="str">
        <f>IF(ISBLANK(tbl_task1[[คะแนนเต็ม]:[คะแนนเต็ม]]),"",(tbl_task1[60]/tbl_task1[[คะแนนเต็ม]:[คะแนนเต็ม]])*tbl_task1[[%]:[%]])</f>
        <v/>
      </c>
      <c r="HW9" s="121" t="str">
        <f>IF(ISBLANK(tbl_task1[[คะแนนเต็ม]:[คะแนนเต็ม]]),"",(tbl_task1[61]/tbl_task1[[คะแนนเต็ม]:[คะแนนเต็ม]])*tbl_task1[[%]:[%]])</f>
        <v/>
      </c>
      <c r="HX9" s="121" t="str">
        <f>IF(ISBLANK(tbl_task1[[คะแนนเต็ม]:[คะแนนเต็ม]]),"",(tbl_task1[62]/tbl_task1[[คะแนนเต็ม]:[คะแนนเต็ม]])*tbl_task1[[%]:[%]])</f>
        <v/>
      </c>
      <c r="HY9" s="121" t="str">
        <f>IF(ISBLANK(tbl_task1[[คะแนนเต็ม]:[คะแนนเต็ม]]),"",(tbl_task1[63]/tbl_task1[[คะแนนเต็ม]:[คะแนนเต็ม]])*tbl_task1[[%]:[%]])</f>
        <v/>
      </c>
      <c r="HZ9" s="121" t="str">
        <f>IF(ISBLANK(tbl_task1[[คะแนนเต็ม]:[คะแนนเต็ม]]),"",(tbl_task1[64]/tbl_task1[[คะแนนเต็ม]:[คะแนนเต็ม]])*tbl_task1[[%]:[%]])</f>
        <v/>
      </c>
      <c r="IA9" s="121" t="str">
        <f>IF(ISBLANK(tbl_task1[[คะแนนเต็ม]:[คะแนนเต็ม]]),"",(tbl_task1[65]/tbl_task1[[คะแนนเต็ม]:[คะแนนเต็ม]])*tbl_task1[[%]:[%]])</f>
        <v/>
      </c>
      <c r="IB9" s="121" t="str">
        <f>IF(ISBLANK(tbl_task1[[คะแนนเต็ม]:[คะแนนเต็ม]]),"",(tbl_task1[66]/tbl_task1[[คะแนนเต็ม]:[คะแนนเต็ม]])*tbl_task1[[%]:[%]])</f>
        <v/>
      </c>
      <c r="IC9" s="121" t="str">
        <f>IF(ISBLANK(tbl_task1[[คะแนนเต็ม]:[คะแนนเต็ม]]),"",(tbl_task1[67]/tbl_task1[[คะแนนเต็ม]:[คะแนนเต็ม]])*tbl_task1[[%]:[%]])</f>
        <v/>
      </c>
      <c r="ID9" s="121" t="str">
        <f>IF(ISBLANK(tbl_task1[[คะแนนเต็ม]:[คะแนนเต็ม]]),"",(tbl_task1[68]/tbl_task1[[คะแนนเต็ม]:[คะแนนเต็ม]])*tbl_task1[[%]:[%]])</f>
        <v/>
      </c>
      <c r="IE9" s="121" t="str">
        <f>IF(ISBLANK(tbl_task1[[คะแนนเต็ม]:[คะแนนเต็ม]]),"",(tbl_task1[69]/tbl_task1[[คะแนนเต็ม]:[คะแนนเต็ม]])*tbl_task1[[%]:[%]])</f>
        <v/>
      </c>
      <c r="IF9" s="121" t="str">
        <f>IF(ISBLANK(tbl_task1[[คะแนนเต็ม]:[คะแนนเต็ม]]),"",(tbl_task1[70]/tbl_task1[[คะแนนเต็ม]:[คะแนนเต็ม]])*tbl_task1[[%]:[%]])</f>
        <v/>
      </c>
      <c r="IG9" s="121" t="str">
        <f>IF(ISBLANK(tbl_task1[[คะแนนเต็ม]:[คะแนนเต็ม]]),"",(tbl_task1[71]/tbl_task1[[คะแนนเต็ม]:[คะแนนเต็ม]])*tbl_task1[[%]:[%]])</f>
        <v/>
      </c>
      <c r="IH9" s="121" t="str">
        <f>IF(ISBLANK(tbl_task1[[คะแนนเต็ม]:[คะแนนเต็ม]]),"",(tbl_task1[72]/tbl_task1[[คะแนนเต็ม]:[คะแนนเต็ม]])*tbl_task1[[%]:[%]])</f>
        <v/>
      </c>
      <c r="II9" s="121" t="str">
        <f>IF(ISBLANK(tbl_task1[[คะแนนเต็ม]:[คะแนนเต็ม]]),"",(tbl_task1[73]/tbl_task1[[คะแนนเต็ม]:[คะแนนเต็ม]])*tbl_task1[[%]:[%]])</f>
        <v/>
      </c>
      <c r="IJ9" s="121" t="str">
        <f>IF(ISBLANK(tbl_task1[[คะแนนเต็ม]:[คะแนนเต็ม]]),"",(tbl_task1[74]/tbl_task1[[คะแนนเต็ม]:[คะแนนเต็ม]])*tbl_task1[[%]:[%]])</f>
        <v/>
      </c>
      <c r="IK9" s="121" t="str">
        <f>IF(ISBLANK(tbl_task1[[คะแนนเต็ม]:[คะแนนเต็ม]]),"",(tbl_task1[75]/tbl_task1[[คะแนนเต็ม]:[คะแนนเต็ม]])*tbl_task1[[%]:[%]])</f>
        <v/>
      </c>
      <c r="IL9" s="121" t="str">
        <f>IF(ISBLANK(tbl_task1[[คะแนนเต็ม]:[คะแนนเต็ม]]),"",(tbl_task1[76]/tbl_task1[[คะแนนเต็ม]:[คะแนนเต็ม]])*tbl_task1[[%]:[%]])</f>
        <v/>
      </c>
      <c r="IM9" s="121" t="str">
        <f>IF(ISBLANK(tbl_task1[[คะแนนเต็ม]:[คะแนนเต็ม]]),"",(tbl_task1[77]/tbl_task1[[คะแนนเต็ม]:[คะแนนเต็ม]])*tbl_task1[[%]:[%]])</f>
        <v/>
      </c>
      <c r="IN9" s="121" t="str">
        <f>IF(ISBLANK(tbl_task1[[คะแนนเต็ม]:[คะแนนเต็ม]]),"",(tbl_task1[78]/tbl_task1[[คะแนนเต็ม]:[คะแนนเต็ม]])*tbl_task1[[%]:[%]])</f>
        <v/>
      </c>
      <c r="IO9" s="121" t="str">
        <f>IF(ISBLANK(tbl_task1[[คะแนนเต็ม]:[คะแนนเต็ม]]),"",(tbl_task1[79]/tbl_task1[[คะแนนเต็ม]:[คะแนนเต็ม]])*tbl_task1[[%]:[%]])</f>
        <v/>
      </c>
      <c r="IP9" s="121" t="str">
        <f>IF(ISBLANK(tbl_task1[[คะแนนเต็ม]:[คะแนนเต็ม]]),"",(tbl_task1[80]/tbl_task1[[คะแนนเต็ม]:[คะแนนเต็ม]])*tbl_task1[[%]:[%]])</f>
        <v/>
      </c>
      <c r="IQ9" s="121" t="str">
        <f>IF(ISBLANK(tbl_task1[[คะแนนเต็ม]:[คะแนนเต็ม]]),"",(tbl_task1[81]/tbl_task1[[คะแนนเต็ม]:[คะแนนเต็ม]])*tbl_task1[[%]:[%]])</f>
        <v/>
      </c>
      <c r="IR9" s="121" t="str">
        <f>IF(ISBLANK(tbl_task1[[คะแนนเต็ม]:[คะแนนเต็ม]]),"",(tbl_task1[82]/tbl_task1[[คะแนนเต็ม]:[คะแนนเต็ม]])*tbl_task1[[%]:[%]])</f>
        <v/>
      </c>
      <c r="IS9" s="121" t="str">
        <f>IF(ISBLANK(tbl_task1[[คะแนนเต็ม]:[คะแนนเต็ม]]),"",(tbl_task1[83]/tbl_task1[[คะแนนเต็ม]:[คะแนนเต็ม]])*tbl_task1[[%]:[%]])</f>
        <v/>
      </c>
      <c r="IT9" s="121" t="str">
        <f>IF(ISBLANK(tbl_task1[[คะแนนเต็ม]:[คะแนนเต็ม]]),"",(tbl_task1[84]/tbl_task1[[คะแนนเต็ม]:[คะแนนเต็ม]])*tbl_task1[[%]:[%]])</f>
        <v/>
      </c>
      <c r="IU9" s="121" t="str">
        <f>IF(ISBLANK(tbl_task1[[คะแนนเต็ม]:[คะแนนเต็ม]]),"",(tbl_task1[85]/tbl_task1[[คะแนนเต็ม]:[คะแนนเต็ม]])*tbl_task1[[%]:[%]])</f>
        <v/>
      </c>
      <c r="IV9" s="121" t="str">
        <f>IF(ISBLANK(tbl_task1[[คะแนนเต็ม]:[คะแนนเต็ม]]),"",(tbl_task1[86]/tbl_task1[[คะแนนเต็ม]:[คะแนนเต็ม]])*tbl_task1[[%]:[%]])</f>
        <v/>
      </c>
      <c r="IW9" s="121" t="str">
        <f>IF(ISBLANK(tbl_task1[[คะแนนเต็ม]:[คะแนนเต็ม]]),"",(tbl_task1[87]/tbl_task1[[คะแนนเต็ม]:[คะแนนเต็ม]])*tbl_task1[[%]:[%]])</f>
        <v/>
      </c>
      <c r="IX9" s="121" t="str">
        <f>IF(ISBLANK(tbl_task1[[คะแนนเต็ม]:[คะแนนเต็ม]]),"",(tbl_task1[88]/tbl_task1[[คะแนนเต็ม]:[คะแนนเต็ม]])*tbl_task1[[%]:[%]])</f>
        <v/>
      </c>
      <c r="IY9" s="121" t="str">
        <f>IF(ISBLANK(tbl_task1[[คะแนนเต็ม]:[คะแนนเต็ม]]),"",(tbl_task1[89]/tbl_task1[[คะแนนเต็ม]:[คะแนนเต็ม]])*tbl_task1[[%]:[%]])</f>
        <v/>
      </c>
      <c r="IZ9" s="121" t="str">
        <f>IF(ISBLANK(tbl_task1[[คะแนนเต็ม]:[คะแนนเต็ม]]),"",(tbl_task1[90]/tbl_task1[[คะแนนเต็ม]:[คะแนนเต็ม]])*tbl_task1[[%]:[%]])</f>
        <v/>
      </c>
      <c r="JA9" s="121" t="str">
        <f>IF(ISBLANK(tbl_task1[[คะแนนเต็ม]:[คะแนนเต็ม]]),"",(tbl_task1[91]/tbl_task1[[คะแนนเต็ม]:[คะแนนเต็ม]])*tbl_task1[[%]:[%]])</f>
        <v/>
      </c>
      <c r="JB9" s="121" t="str">
        <f>IF(ISBLANK(tbl_task1[[คะแนนเต็ม]:[คะแนนเต็ม]]),"",(tbl_task1[92]/tbl_task1[[คะแนนเต็ม]:[คะแนนเต็ม]])*tbl_task1[[%]:[%]])</f>
        <v/>
      </c>
      <c r="JC9" s="121" t="str">
        <f>IF(ISBLANK(tbl_task1[[คะแนนเต็ม]:[คะแนนเต็ม]]),"",(tbl_task1[93]/tbl_task1[[คะแนนเต็ม]:[คะแนนเต็ม]])*tbl_task1[[%]:[%]])</f>
        <v/>
      </c>
      <c r="JD9" s="121" t="str">
        <f>IF(ISBLANK(tbl_task1[[คะแนนเต็ม]:[คะแนนเต็ม]]),"",(tbl_task1[94]/tbl_task1[[คะแนนเต็ม]:[คะแนนเต็ม]])*tbl_task1[[%]:[%]])</f>
        <v/>
      </c>
      <c r="JE9" s="121" t="str">
        <f>IF(ISBLANK(tbl_task1[[คะแนนเต็ม]:[คะแนนเต็ม]]),"",(tbl_task1[95]/tbl_task1[[คะแนนเต็ม]:[คะแนนเต็ม]])*tbl_task1[[%]:[%]])</f>
        <v/>
      </c>
      <c r="JF9" s="121" t="str">
        <f>IF(ISBLANK(tbl_task1[[คะแนนเต็ม]:[คะแนนเต็ม]]),"",(tbl_task1[96]/tbl_task1[[คะแนนเต็ม]:[คะแนนเต็ม]])*tbl_task1[[%]:[%]])</f>
        <v/>
      </c>
      <c r="JG9" s="121" t="str">
        <f>IF(ISBLANK(tbl_task1[[คะแนนเต็ม]:[คะแนนเต็ม]]),"",(tbl_task1[97]/tbl_task1[[คะแนนเต็ม]:[คะแนนเต็ม]])*tbl_task1[[%]:[%]])</f>
        <v/>
      </c>
      <c r="JH9" s="121" t="str">
        <f>IF(ISBLANK(tbl_task1[[คะแนนเต็ม]:[คะแนนเต็ม]]),"",(tbl_task1[98]/tbl_task1[[คะแนนเต็ม]:[คะแนนเต็ม]])*tbl_task1[[%]:[%]])</f>
        <v/>
      </c>
      <c r="JI9" s="121" t="str">
        <f>IF(ISBLANK(tbl_task1[[คะแนนเต็ม]:[คะแนนเต็ม]]),"",(tbl_task1[99]/tbl_task1[[คะแนนเต็ม]:[คะแนนเต็ม]])*tbl_task1[[%]:[%]])</f>
        <v/>
      </c>
      <c r="JJ9" s="121" t="str">
        <f>IF(ISBLANK(tbl_task1[[คะแนนเต็ม]:[คะแนนเต็ม]]),"",(tbl_task1[100]/tbl_task1[[คะแนนเต็ม]:[คะแนนเต็ม]])*tbl_task1[[%]:[%]])</f>
        <v/>
      </c>
      <c r="JK9" s="121" t="str">
        <f>IF(ISBLANK(tbl_task1[[คะแนนเต็ม]:[คะแนนเต็ม]]),"",(tbl_task1[101]/tbl_task1[[คะแนนเต็ม]:[คะแนนเต็ม]])*tbl_task1[[%]:[%]])</f>
        <v/>
      </c>
      <c r="JL9" s="121" t="str">
        <f>IF(ISBLANK(tbl_task1[[คะแนนเต็ม]:[คะแนนเต็ม]]),"",(tbl_task1[102]/tbl_task1[[คะแนนเต็ม]:[คะแนนเต็ม]])*tbl_task1[[%]:[%]])</f>
        <v/>
      </c>
      <c r="JM9" s="121" t="str">
        <f>IF(ISBLANK(tbl_task1[[คะแนนเต็ม]:[คะแนนเต็ม]]),"",(tbl_task1[103]/tbl_task1[[คะแนนเต็ม]:[คะแนนเต็ม]])*tbl_task1[[%]:[%]])</f>
        <v/>
      </c>
      <c r="JN9" s="121" t="str">
        <f>IF(ISBLANK(tbl_task1[[คะแนนเต็ม]:[คะแนนเต็ม]]),"",(tbl_task1[104]/tbl_task1[[คะแนนเต็ม]:[คะแนนเต็ม]])*tbl_task1[[%]:[%]])</f>
        <v/>
      </c>
      <c r="JO9" s="121" t="str">
        <f>IF(ISBLANK(tbl_task1[[คะแนนเต็ม]:[คะแนนเต็ม]]),"",(tbl_task1[105]/tbl_task1[[คะแนนเต็ม]:[คะแนนเต็ม]])*tbl_task1[[%]:[%]])</f>
        <v/>
      </c>
      <c r="JP9" s="121" t="str">
        <f>IF(ISBLANK(tbl_task1[[คะแนนเต็ม]:[คะแนนเต็ม]]),"",(tbl_task1[106]/tbl_task1[[คะแนนเต็ม]:[คะแนนเต็ม]])*tbl_task1[[%]:[%]])</f>
        <v/>
      </c>
      <c r="JQ9" s="121" t="str">
        <f>IF(ISBLANK(tbl_task1[[คะแนนเต็ม]:[คะแนนเต็ม]]),"",(tbl_task1[107]/tbl_task1[[คะแนนเต็ม]:[คะแนนเต็ม]])*tbl_task1[[%]:[%]])</f>
        <v/>
      </c>
      <c r="JR9" s="121" t="str">
        <f>IF(ISBLANK(tbl_task1[[คะแนนเต็ม]:[คะแนนเต็ม]]),"",(tbl_task1[108]/tbl_task1[[คะแนนเต็ม]:[คะแนนเต็ม]])*tbl_task1[[%]:[%]])</f>
        <v/>
      </c>
      <c r="JS9" s="121" t="str">
        <f>IF(ISBLANK(tbl_task1[[คะแนนเต็ม]:[คะแนนเต็ม]]),"",(tbl_task1[109]/tbl_task1[[คะแนนเต็ม]:[คะแนนเต็ม]])*tbl_task1[[%]:[%]])</f>
        <v/>
      </c>
      <c r="JT9" s="121" t="str">
        <f>IF(ISBLANK(tbl_task1[[คะแนนเต็ม]:[คะแนนเต็ม]]),"",(tbl_task1[110]/tbl_task1[[คะแนนเต็ม]:[คะแนนเต็ม]])*tbl_task1[[%]:[%]])</f>
        <v/>
      </c>
      <c r="JU9" s="121" t="str">
        <f>IF(ISBLANK(tbl_task1[[คะแนนเต็ม]:[คะแนนเต็ม]]),"",(tbl_task1[111]/tbl_task1[[คะแนนเต็ม]:[คะแนนเต็ม]])*tbl_task1[[%]:[%]])</f>
        <v/>
      </c>
      <c r="JV9" s="121" t="str">
        <f>IF(ISBLANK(tbl_task1[[คะแนนเต็ม]:[คะแนนเต็ม]]),"",(tbl_task1[112]/tbl_task1[[คะแนนเต็ม]:[คะแนนเต็ม]])*tbl_task1[[%]:[%]])</f>
        <v/>
      </c>
      <c r="JW9" s="121" t="str">
        <f>IF(ISBLANK(tbl_task1[[คะแนนเต็ม]:[คะแนนเต็ม]]),"",(tbl_task1[113]/tbl_task1[[คะแนนเต็ม]:[คะแนนเต็ม]])*tbl_task1[[%]:[%]])</f>
        <v/>
      </c>
      <c r="JX9" s="121" t="str">
        <f>IF(ISBLANK(tbl_task1[[คะแนนเต็ม]:[คะแนนเต็ม]]),"",(tbl_task1[114]/tbl_task1[[คะแนนเต็ม]:[คะแนนเต็ม]])*tbl_task1[[%]:[%]])</f>
        <v/>
      </c>
      <c r="JY9" s="121" t="str">
        <f>IF(ISBLANK(tbl_task1[[คะแนนเต็ม]:[คะแนนเต็ม]]),"",(tbl_task1[115]/tbl_task1[[คะแนนเต็ม]:[คะแนนเต็ม]])*tbl_task1[[%]:[%]])</f>
        <v/>
      </c>
      <c r="JZ9" s="121" t="str">
        <f>IF(ISBLANK(tbl_task1[[คะแนนเต็ม]:[คะแนนเต็ม]]),"",(tbl_task1[116]/tbl_task1[[คะแนนเต็ม]:[คะแนนเต็ม]])*tbl_task1[[%]:[%]])</f>
        <v/>
      </c>
      <c r="KA9" s="121" t="str">
        <f>IF(ISBLANK(tbl_task1[[คะแนนเต็ม]:[คะแนนเต็ม]]),"",(tbl_task1[117]/tbl_task1[[คะแนนเต็ม]:[คะแนนเต็ม]])*tbl_task1[[%]:[%]])</f>
        <v/>
      </c>
      <c r="KB9" s="121" t="str">
        <f>IF(ISBLANK(tbl_task1[[คะแนนเต็ม]:[คะแนนเต็ม]]),"",(tbl_task1[118]/tbl_task1[[คะแนนเต็ม]:[คะแนนเต็ม]])*tbl_task1[[%]:[%]])</f>
        <v/>
      </c>
      <c r="KC9" s="121" t="str">
        <f>IF(ISBLANK(tbl_task1[[คะแนนเต็ม]:[คะแนนเต็ม]]),"",(tbl_task1[119]/tbl_task1[[คะแนนเต็ม]:[คะแนนเต็ม]])*tbl_task1[[%]:[%]])</f>
        <v/>
      </c>
      <c r="KD9" s="121" t="str">
        <f>IF(ISBLANK(tbl_task1[[คะแนนเต็ม]:[คะแนนเต็ม]]),"",(tbl_task1[120]/tbl_task1[[คะแนนเต็ม]:[คะแนนเต็ม]])*tbl_task1[[%]:[%]])</f>
        <v/>
      </c>
      <c r="KE9" s="121" t="str">
        <f>IF(ISBLANK(tbl_task1[[คะแนนเต็ม]:[คะแนนเต็ม]]),"",(tbl_task1[121]/tbl_task1[[คะแนนเต็ม]:[คะแนนเต็ม]])*tbl_task1[[%]:[%]])</f>
        <v/>
      </c>
      <c r="KF9" s="121" t="str">
        <f>IF(ISBLANK(tbl_task1[[คะแนนเต็ม]:[คะแนนเต็ม]]),"",(tbl_task1[122]/tbl_task1[[คะแนนเต็ม]:[คะแนนเต็ม]])*tbl_task1[[%]:[%]])</f>
        <v/>
      </c>
      <c r="KG9" s="121" t="str">
        <f>IF(ISBLANK(tbl_task1[[คะแนนเต็ม]:[คะแนนเต็ม]]),"",(tbl_task1[123]/tbl_task1[[คะแนนเต็ม]:[คะแนนเต็ม]])*tbl_task1[[%]:[%]])</f>
        <v/>
      </c>
      <c r="KH9" s="121" t="str">
        <f>IF(ISBLANK(tbl_task1[[คะแนนเต็ม]:[คะแนนเต็ม]]),"",(tbl_task1[124]/tbl_task1[[คะแนนเต็ม]:[คะแนนเต็ม]])*tbl_task1[[%]:[%]])</f>
        <v/>
      </c>
      <c r="KI9" s="121" t="str">
        <f>IF(ISBLANK(tbl_task1[[คะแนนเต็ม]:[คะแนนเต็ม]]),"",(tbl_task1[125]/tbl_task1[[คะแนนเต็ม]:[คะแนนเต็ม]])*tbl_task1[[%]:[%]])</f>
        <v/>
      </c>
      <c r="KJ9" s="121" t="str">
        <f>IF(ISBLANK(tbl_task1[[คะแนนเต็ม]:[คะแนนเต็ม]]),"",(tbl_task1[126]/tbl_task1[[คะแนนเต็ม]:[คะแนนเต็ม]])*tbl_task1[[%]:[%]])</f>
        <v/>
      </c>
      <c r="KK9" s="121" t="str">
        <f>IF(ISBLANK(tbl_task1[[คะแนนเต็ม]:[คะแนนเต็ม]]),"",(tbl_task1[127]/tbl_task1[[คะแนนเต็ม]:[คะแนนเต็ม]])*tbl_task1[[%]:[%]])</f>
        <v/>
      </c>
      <c r="KL9" s="121" t="str">
        <f>IF(ISBLANK(tbl_task1[[คะแนนเต็ม]:[คะแนนเต็ม]]),"",(tbl_task1[128]/tbl_task1[[คะแนนเต็ม]:[คะแนนเต็ม]])*tbl_task1[[%]:[%]])</f>
        <v/>
      </c>
      <c r="KM9" s="121" t="str">
        <f>IF(ISBLANK(tbl_task1[[คะแนนเต็ม]:[คะแนนเต็ม]]),"",(tbl_task1[129]/tbl_task1[[คะแนนเต็ม]:[คะแนนเต็ม]])*tbl_task1[[%]:[%]])</f>
        <v/>
      </c>
      <c r="KN9" s="121" t="str">
        <f>IF(ISBLANK(tbl_task1[[คะแนนเต็ม]:[คะแนนเต็ม]]),"",(tbl_task1[130]/tbl_task1[[คะแนนเต็ม]:[คะแนนเต็ม]])*tbl_task1[[%]:[%]])</f>
        <v/>
      </c>
      <c r="KO9" s="121" t="str">
        <f>IF(ISBLANK(tbl_task1[[คะแนนเต็ม]:[คะแนนเต็ม]]),"",(tbl_task1[131]/tbl_task1[[คะแนนเต็ม]:[คะแนนเต็ม]])*tbl_task1[[%]:[%]])</f>
        <v/>
      </c>
      <c r="KP9" s="121" t="str">
        <f>IF(ISBLANK(tbl_task1[[คะแนนเต็ม]:[คะแนนเต็ม]]),"",(tbl_task1[132]/tbl_task1[[คะแนนเต็ม]:[คะแนนเต็ม]])*tbl_task1[[%]:[%]])</f>
        <v/>
      </c>
      <c r="KQ9" s="121" t="str">
        <f>IF(ISBLANK(tbl_task1[[คะแนนเต็ม]:[คะแนนเต็ม]]),"",(tbl_task1[133]/tbl_task1[[คะแนนเต็ม]:[คะแนนเต็ม]])*tbl_task1[[%]:[%]])</f>
        <v/>
      </c>
      <c r="KR9" s="121" t="str">
        <f>IF(ISBLANK(tbl_task1[[คะแนนเต็ม]:[คะแนนเต็ม]]),"",(tbl_task1[134]/tbl_task1[[คะแนนเต็ม]:[คะแนนเต็ม]])*tbl_task1[[%]:[%]])</f>
        <v/>
      </c>
      <c r="KS9" s="121" t="str">
        <f>IF(ISBLANK(tbl_task1[[คะแนนเต็ม]:[คะแนนเต็ม]]),"",(tbl_task1[135]/tbl_task1[[คะแนนเต็ม]:[คะแนนเต็ม]])*tbl_task1[[%]:[%]])</f>
        <v/>
      </c>
      <c r="KT9" s="121" t="str">
        <f>IF(ISBLANK(tbl_task1[[คะแนนเต็ม]:[คะแนนเต็ม]]),"",(tbl_task1[136]/tbl_task1[[คะแนนเต็ม]:[คะแนนเต็ม]])*tbl_task1[[%]:[%]])</f>
        <v/>
      </c>
      <c r="KU9" s="121" t="str">
        <f>IF(ISBLANK(tbl_task1[[คะแนนเต็ม]:[คะแนนเต็ม]]),"",(tbl_task1[137]/tbl_task1[[คะแนนเต็ม]:[คะแนนเต็ม]])*tbl_task1[[%]:[%]])</f>
        <v/>
      </c>
      <c r="KV9" s="121" t="str">
        <f>IF(ISBLANK(tbl_task1[[คะแนนเต็ม]:[คะแนนเต็ม]]),"",(tbl_task1[138]/tbl_task1[[คะแนนเต็ม]:[คะแนนเต็ม]])*tbl_task1[[%]:[%]])</f>
        <v/>
      </c>
      <c r="KW9" s="121" t="str">
        <f>IF(ISBLANK(tbl_task1[[คะแนนเต็ม]:[คะแนนเต็ม]]),"",(tbl_task1[139]/tbl_task1[[คะแนนเต็ม]:[คะแนนเต็ม]])*tbl_task1[[%]:[%]])</f>
        <v/>
      </c>
      <c r="KX9" s="121" t="str">
        <f>IF(ISBLANK(tbl_task1[[คะแนนเต็ม]:[คะแนนเต็ม]]),"",(tbl_task1[140]/tbl_task1[[คะแนนเต็ม]:[คะแนนเต็ม]])*tbl_task1[[%]:[%]])</f>
        <v/>
      </c>
      <c r="KY9" s="121" t="str">
        <f>IF(ISBLANK(tbl_task1[[คะแนนเต็ม]:[คะแนนเต็ม]]),"",(tbl_task1[141]/tbl_task1[[คะแนนเต็ม]:[คะแนนเต็ม]])*tbl_task1[[%]:[%]])</f>
        <v/>
      </c>
      <c r="KZ9" s="121" t="str">
        <f>IF(ISBLANK(tbl_task1[[คะแนนเต็ม]:[คะแนนเต็ม]]),"",(tbl_task1[142]/tbl_task1[[คะแนนเต็ม]:[คะแนนเต็ม]])*tbl_task1[[%]:[%]])</f>
        <v/>
      </c>
      <c r="LA9" s="121" t="str">
        <f>IF(ISBLANK(tbl_task1[[คะแนนเต็ม]:[คะแนนเต็ม]]),"",(tbl_task1[143]/tbl_task1[[คะแนนเต็ม]:[คะแนนเต็ม]])*tbl_task1[[%]:[%]])</f>
        <v/>
      </c>
      <c r="LB9" s="121" t="str">
        <f>IF(ISBLANK(tbl_task1[[คะแนนเต็ม]:[คะแนนเต็ม]]),"",(tbl_task1[144]/tbl_task1[[คะแนนเต็ม]:[คะแนนเต็ม]])*tbl_task1[[%]:[%]])</f>
        <v/>
      </c>
      <c r="LC9" s="121" t="str">
        <f>IF(ISBLANK(tbl_task1[[คะแนนเต็ม]:[คะแนนเต็ม]]),"",(tbl_task1[145]/tbl_task1[[คะแนนเต็ม]:[คะแนนเต็ม]])*tbl_task1[[%]:[%]])</f>
        <v/>
      </c>
      <c r="LD9" s="121" t="str">
        <f>IF(ISBLANK(tbl_task1[[คะแนนเต็ม]:[คะแนนเต็ม]]),"",(tbl_task1[146]/tbl_task1[[คะแนนเต็ม]:[คะแนนเต็ม]])*tbl_task1[[%]:[%]])</f>
        <v/>
      </c>
      <c r="LE9" s="121" t="str">
        <f>IF(ISBLANK(tbl_task1[[คะแนนเต็ม]:[คะแนนเต็ม]]),"",(tbl_task1[147]/tbl_task1[[คะแนนเต็ม]:[คะแนนเต็ม]])*tbl_task1[[%]:[%]])</f>
        <v/>
      </c>
      <c r="LF9" s="121" t="str">
        <f>IF(ISBLANK(tbl_task1[[คะแนนเต็ม]:[คะแนนเต็ม]]),"",(tbl_task1[148]/tbl_task1[[คะแนนเต็ม]:[คะแนนเต็ม]])*tbl_task1[[%]:[%]])</f>
        <v/>
      </c>
      <c r="LG9" s="121" t="str">
        <f>IF(ISBLANK(tbl_task1[[คะแนนเต็ม]:[คะแนนเต็ม]]),"",(tbl_task1[149]/tbl_task1[[คะแนนเต็ม]:[คะแนนเต็ม]])*tbl_task1[[%]:[%]])</f>
        <v/>
      </c>
      <c r="LH9" s="121" t="str">
        <f>IF(ISBLANK(tbl_task1[[คะแนนเต็ม]:[คะแนนเต็ม]]),"",(tbl_task1[150]/tbl_task1[[คะแนนเต็ม]:[คะแนนเต็ม]])*tbl_task1[[%]:[%]])</f>
        <v/>
      </c>
      <c r="LI9" s="121" t="str">
        <f>IF(ISBLANK(tbl_task1[[คะแนนเต็ม]:[คะแนนเต็ม]]),"",(tbl_task1[151]/tbl_task1[[คะแนนเต็ม]:[คะแนนเต็ม]])*tbl_task1[[%]:[%]])</f>
        <v/>
      </c>
      <c r="LJ9" s="121" t="str">
        <f>IF(ISBLANK(tbl_task1[[คะแนนเต็ม]:[คะแนนเต็ม]]),"",(tbl_task1[152]/tbl_task1[[คะแนนเต็ม]:[คะแนนเต็ม]])*tbl_task1[[%]:[%]])</f>
        <v/>
      </c>
      <c r="LK9" s="121" t="str">
        <f>IF(ISBLANK(tbl_task1[[คะแนนเต็ม]:[คะแนนเต็ม]]),"",(tbl_task1[153]/tbl_task1[[คะแนนเต็ม]:[คะแนนเต็ม]])*tbl_task1[[%]:[%]])</f>
        <v/>
      </c>
      <c r="LL9" s="121" t="str">
        <f>IF(ISBLANK(tbl_task1[[คะแนนเต็ม]:[คะแนนเต็ม]]),"",(tbl_task1[154]/tbl_task1[[คะแนนเต็ม]:[คะแนนเต็ม]])*tbl_task1[[%]:[%]])</f>
        <v/>
      </c>
      <c r="LM9" s="121" t="str">
        <f>IF(ISBLANK(tbl_task1[[คะแนนเต็ม]:[คะแนนเต็ม]]),"",(tbl_task1[155]/tbl_task1[[คะแนนเต็ม]:[คะแนนเต็ม]])*tbl_task1[[%]:[%]])</f>
        <v/>
      </c>
      <c r="LN9" s="121" t="str">
        <f>IF(ISBLANK(tbl_task1[[คะแนนเต็ม]:[คะแนนเต็ม]]),"",(tbl_task1[156]/tbl_task1[[คะแนนเต็ม]:[คะแนนเต็ม]])*tbl_task1[[%]:[%]])</f>
        <v/>
      </c>
      <c r="LO9" s="121" t="str">
        <f>IF(ISBLANK(tbl_task1[[คะแนนเต็ม]:[คะแนนเต็ม]]),"",(tbl_task1[157]/tbl_task1[[คะแนนเต็ม]:[คะแนนเต็ม]])*tbl_task1[[%]:[%]])</f>
        <v/>
      </c>
      <c r="LP9" s="121" t="str">
        <f>IF(ISBLANK(tbl_task1[[คะแนนเต็ม]:[คะแนนเต็ม]]),"",(tbl_task1[158]/tbl_task1[[คะแนนเต็ม]:[คะแนนเต็ม]])*tbl_task1[[%]:[%]])</f>
        <v/>
      </c>
      <c r="LQ9" s="121" t="str">
        <f>IF(ISBLANK(tbl_task1[[คะแนนเต็ม]:[คะแนนเต็ม]]),"",(tbl_task1[159]/tbl_task1[[คะแนนเต็ม]:[คะแนนเต็ม]])*tbl_task1[[%]:[%]])</f>
        <v/>
      </c>
      <c r="LR9" s="121" t="str">
        <f>IF(ISBLANK(tbl_task1[[คะแนนเต็ม]:[คะแนนเต็ม]]),"",(tbl_task1[160]/tbl_task1[[คะแนนเต็ม]:[คะแนนเต็ม]])*tbl_task1[[%]:[%]])</f>
        <v/>
      </c>
      <c r="LS9" s="121" t="str">
        <f>IF(ISBLANK(tbl_task1[[คะแนนเต็ม]:[คะแนนเต็ม]]),"",(tbl_task1[161]/tbl_task1[[คะแนนเต็ม]:[คะแนนเต็ม]])*tbl_task1[[%]:[%]])</f>
        <v/>
      </c>
      <c r="LT9" s="121" t="str">
        <f>IF(ISBLANK(tbl_task1[[คะแนนเต็ม]:[คะแนนเต็ม]]),"",(tbl_task1[162]/tbl_task1[[คะแนนเต็ม]:[คะแนนเต็ม]])*tbl_task1[[%]:[%]])</f>
        <v/>
      </c>
      <c r="LU9" s="121" t="str">
        <f>IF(ISBLANK(tbl_task1[[คะแนนเต็ม]:[คะแนนเต็ม]]),"",(tbl_task1[163]/tbl_task1[[คะแนนเต็ม]:[คะแนนเต็ม]])*tbl_task1[[%]:[%]])</f>
        <v/>
      </c>
      <c r="LV9" s="121" t="str">
        <f>IF(ISBLANK(tbl_task1[[คะแนนเต็ม]:[คะแนนเต็ม]]),"",(tbl_task1[164]/tbl_task1[[คะแนนเต็ม]:[คะแนนเต็ม]])*tbl_task1[[%]:[%]])</f>
        <v/>
      </c>
      <c r="LW9" s="121" t="str">
        <f>IF(ISBLANK(tbl_task1[[คะแนนเต็ม]:[คะแนนเต็ม]]),"",(tbl_task1[165]/tbl_task1[[คะแนนเต็ม]:[คะแนนเต็ม]])*tbl_task1[[%]:[%]])</f>
        <v/>
      </c>
    </row>
    <row r="10" spans="1:335" ht="24" customHeight="1" x14ac:dyDescent="0.25">
      <c r="A10" s="24">
        <v>7</v>
      </c>
      <c r="B10" s="20"/>
      <c r="C10" s="5" t="str">
        <f>IF(ISBLANK(B10),"",VLOOKUP(B10,tbl_PLOs[],2,0))</f>
        <v/>
      </c>
      <c r="D10" s="102"/>
      <c r="E10" s="106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22"/>
      <c r="FO10" s="121" t="str">
        <f>IF(ISBLANK(tbl_task1[[คะแนนเต็ม]:[คะแนนเต็ม]]),"",(tbl_task1[1]/tbl_task1[[คะแนนเต็ม]:[คะแนนเต็ม]])*tbl_task1[[%]:[%]])</f>
        <v/>
      </c>
      <c r="FP10" s="121" t="str">
        <f>IF(ISBLANK(tbl_task1[[คะแนนเต็ม]:[คะแนนเต็ม]]),"",(tbl_task1[2]/tbl_task1[[คะแนนเต็ม]:[คะแนนเต็ม]])*tbl_task1[[%]:[%]])</f>
        <v/>
      </c>
      <c r="FQ10" s="121" t="str">
        <f>IF(ISBLANK(tbl_task1[[คะแนนเต็ม]:[คะแนนเต็ม]]),"",(tbl_task1[3]/tbl_task1[[คะแนนเต็ม]:[คะแนนเต็ม]])*tbl_task1[[%]:[%]])</f>
        <v/>
      </c>
      <c r="FR10" s="121" t="str">
        <f>IF(ISBLANK(tbl_task1[[คะแนนเต็ม]:[คะแนนเต็ม]]),"",(tbl_task1[4]/tbl_task1[[คะแนนเต็ม]:[คะแนนเต็ม]])*tbl_task1[[%]:[%]])</f>
        <v/>
      </c>
      <c r="FS10" s="121" t="str">
        <f>IF(ISBLANK(tbl_task1[[คะแนนเต็ม]:[คะแนนเต็ม]]),"",(tbl_task1[5]/tbl_task1[[คะแนนเต็ม]:[คะแนนเต็ม]])*tbl_task1[[%]:[%]])</f>
        <v/>
      </c>
      <c r="FT10" s="121" t="str">
        <f>IF(ISBLANK(tbl_task1[[คะแนนเต็ม]:[คะแนนเต็ม]]),"",(tbl_task1[6]/tbl_task1[[คะแนนเต็ม]:[คะแนนเต็ม]])*tbl_task1[[%]:[%]])</f>
        <v/>
      </c>
      <c r="FU10" s="121" t="str">
        <f>IF(ISBLANK(tbl_task1[[คะแนนเต็ม]:[คะแนนเต็ม]]),"",(tbl_task1[7]/tbl_task1[[คะแนนเต็ม]:[คะแนนเต็ม]])*tbl_task1[[%]:[%]])</f>
        <v/>
      </c>
      <c r="FV10" s="121" t="str">
        <f>IF(ISBLANK(tbl_task1[[คะแนนเต็ม]:[คะแนนเต็ม]]),"",(tbl_task1[8]/tbl_task1[[คะแนนเต็ม]:[คะแนนเต็ม]])*tbl_task1[[%]:[%]])</f>
        <v/>
      </c>
      <c r="FW10" s="121" t="str">
        <f>IF(ISBLANK(tbl_task1[[คะแนนเต็ม]:[คะแนนเต็ม]]),"",(tbl_task1[9]/tbl_task1[[คะแนนเต็ม]:[คะแนนเต็ม]])*tbl_task1[[%]:[%]])</f>
        <v/>
      </c>
      <c r="FX10" s="121" t="str">
        <f>IF(ISBLANK(tbl_task1[[คะแนนเต็ม]:[คะแนนเต็ม]]),"",(tbl_task1[10]/tbl_task1[[คะแนนเต็ม]:[คะแนนเต็ม]])*tbl_task1[[%]:[%]])</f>
        <v/>
      </c>
      <c r="FY10" s="121" t="str">
        <f>IF(ISBLANK(tbl_task1[[คะแนนเต็ม]:[คะแนนเต็ม]]),"",(tbl_task1[11]/tbl_task1[[คะแนนเต็ม]:[คะแนนเต็ม]])*tbl_task1[[%]:[%]])</f>
        <v/>
      </c>
      <c r="FZ10" s="121" t="str">
        <f>IF(ISBLANK(tbl_task1[[คะแนนเต็ม]:[คะแนนเต็ม]]),"",(tbl_task1[12]/tbl_task1[[คะแนนเต็ม]:[คะแนนเต็ม]])*tbl_task1[[%]:[%]])</f>
        <v/>
      </c>
      <c r="GA10" s="121" t="str">
        <f>IF(ISBLANK(tbl_task1[[คะแนนเต็ม]:[คะแนนเต็ม]]),"",(tbl_task1[13]/tbl_task1[[คะแนนเต็ม]:[คะแนนเต็ม]])*tbl_task1[[%]:[%]])</f>
        <v/>
      </c>
      <c r="GB10" s="121" t="str">
        <f>IF(ISBLANK(tbl_task1[[คะแนนเต็ม]:[คะแนนเต็ม]]),"",(tbl_task1[14]/tbl_task1[[คะแนนเต็ม]:[คะแนนเต็ม]])*tbl_task1[[%]:[%]])</f>
        <v/>
      </c>
      <c r="GC10" s="121" t="str">
        <f>IF(ISBLANK(tbl_task1[[คะแนนเต็ม]:[คะแนนเต็ม]]),"",(tbl_task1[15]/tbl_task1[[คะแนนเต็ม]:[คะแนนเต็ม]])*tbl_task1[[%]:[%]])</f>
        <v/>
      </c>
      <c r="GD10" s="121" t="str">
        <f>IF(ISBLANK(tbl_task1[[คะแนนเต็ม]:[คะแนนเต็ม]]),"",(tbl_task1[16]/tbl_task1[[คะแนนเต็ม]:[คะแนนเต็ม]])*tbl_task1[[%]:[%]])</f>
        <v/>
      </c>
      <c r="GE10" s="121" t="str">
        <f>IF(ISBLANK(tbl_task1[[คะแนนเต็ม]:[คะแนนเต็ม]]),"",(tbl_task1[17]/tbl_task1[[คะแนนเต็ม]:[คะแนนเต็ม]])*tbl_task1[[%]:[%]])</f>
        <v/>
      </c>
      <c r="GF10" s="121" t="str">
        <f>IF(ISBLANK(tbl_task1[[คะแนนเต็ม]:[คะแนนเต็ม]]),"",(tbl_task1[18]/tbl_task1[[คะแนนเต็ม]:[คะแนนเต็ม]])*tbl_task1[[%]:[%]])</f>
        <v/>
      </c>
      <c r="GG10" s="121" t="str">
        <f>IF(ISBLANK(tbl_task1[[คะแนนเต็ม]:[คะแนนเต็ม]]),"",(tbl_task1[19]/tbl_task1[[คะแนนเต็ม]:[คะแนนเต็ม]])*tbl_task1[[%]:[%]])</f>
        <v/>
      </c>
      <c r="GH10" s="121" t="str">
        <f>IF(ISBLANK(tbl_task1[[คะแนนเต็ม]:[คะแนนเต็ม]]),"",(tbl_task1[20]/tbl_task1[[คะแนนเต็ม]:[คะแนนเต็ม]])*tbl_task1[[%]:[%]])</f>
        <v/>
      </c>
      <c r="GI10" s="121" t="str">
        <f>IF(ISBLANK(tbl_task1[[คะแนนเต็ม]:[คะแนนเต็ม]]),"",(tbl_task1[21]/tbl_task1[[คะแนนเต็ม]:[คะแนนเต็ม]])*tbl_task1[[%]:[%]])</f>
        <v/>
      </c>
      <c r="GJ10" s="121" t="str">
        <f>IF(ISBLANK(tbl_task1[[คะแนนเต็ม]:[คะแนนเต็ม]]),"",(tbl_task1[22]/tbl_task1[[คะแนนเต็ม]:[คะแนนเต็ม]])*tbl_task1[[%]:[%]])</f>
        <v/>
      </c>
      <c r="GK10" s="121" t="str">
        <f>IF(ISBLANK(tbl_task1[[คะแนนเต็ม]:[คะแนนเต็ม]]),"",(tbl_task1[23]/tbl_task1[[คะแนนเต็ม]:[คะแนนเต็ม]])*tbl_task1[[%]:[%]])</f>
        <v/>
      </c>
      <c r="GL10" s="121" t="str">
        <f>IF(ISBLANK(tbl_task1[[คะแนนเต็ม]:[คะแนนเต็ม]]),"",(tbl_task1[24]/tbl_task1[[คะแนนเต็ม]:[คะแนนเต็ม]])*tbl_task1[[%]:[%]])</f>
        <v/>
      </c>
      <c r="GM10" s="121" t="str">
        <f>IF(ISBLANK(tbl_task1[[คะแนนเต็ม]:[คะแนนเต็ม]]),"",(tbl_task1[25]/tbl_task1[[คะแนนเต็ม]:[คะแนนเต็ม]])*tbl_task1[[%]:[%]])</f>
        <v/>
      </c>
      <c r="GN10" s="121" t="str">
        <f>IF(ISBLANK(tbl_task1[[คะแนนเต็ม]:[คะแนนเต็ม]]),"",(tbl_task1[26]/tbl_task1[[คะแนนเต็ม]:[คะแนนเต็ม]])*tbl_task1[[%]:[%]])</f>
        <v/>
      </c>
      <c r="GO10" s="121" t="str">
        <f>IF(ISBLANK(tbl_task1[[คะแนนเต็ม]:[คะแนนเต็ม]]),"",(tbl_task1[27]/tbl_task1[[คะแนนเต็ม]:[คะแนนเต็ม]])*tbl_task1[[%]:[%]])</f>
        <v/>
      </c>
      <c r="GP10" s="121" t="str">
        <f>IF(ISBLANK(tbl_task1[[คะแนนเต็ม]:[คะแนนเต็ม]]),"",(tbl_task1[28]/tbl_task1[[คะแนนเต็ม]:[คะแนนเต็ม]])*tbl_task1[[%]:[%]])</f>
        <v/>
      </c>
      <c r="GQ10" s="121" t="str">
        <f>IF(ISBLANK(tbl_task1[[คะแนนเต็ม]:[คะแนนเต็ม]]),"",(tbl_task1[29]/tbl_task1[[คะแนนเต็ม]:[คะแนนเต็ม]])*tbl_task1[[%]:[%]])</f>
        <v/>
      </c>
      <c r="GR10" s="121" t="str">
        <f>IF(ISBLANK(tbl_task1[[คะแนนเต็ม]:[คะแนนเต็ม]]),"",(tbl_task1[30]/tbl_task1[[คะแนนเต็ม]:[คะแนนเต็ม]])*tbl_task1[[%]:[%]])</f>
        <v/>
      </c>
      <c r="GS10" s="121" t="str">
        <f>IF(ISBLANK(tbl_task1[[คะแนนเต็ม]:[คะแนนเต็ม]]),"",(tbl_task1[31]/tbl_task1[[คะแนนเต็ม]:[คะแนนเต็ม]])*tbl_task1[[%]:[%]])</f>
        <v/>
      </c>
      <c r="GT10" s="121" t="str">
        <f>IF(ISBLANK(tbl_task1[[คะแนนเต็ม]:[คะแนนเต็ม]]),"",(tbl_task1[32]/tbl_task1[[คะแนนเต็ม]:[คะแนนเต็ม]])*tbl_task1[[%]:[%]])</f>
        <v/>
      </c>
      <c r="GU10" s="121" t="str">
        <f>IF(ISBLANK(tbl_task1[[คะแนนเต็ม]:[คะแนนเต็ม]]),"",(tbl_task1[33]/tbl_task1[[คะแนนเต็ม]:[คะแนนเต็ม]])*tbl_task1[[%]:[%]])</f>
        <v/>
      </c>
      <c r="GV10" s="121" t="str">
        <f>IF(ISBLANK(tbl_task1[[คะแนนเต็ม]:[คะแนนเต็ม]]),"",(tbl_task1[34]/tbl_task1[[คะแนนเต็ม]:[คะแนนเต็ม]])*tbl_task1[[%]:[%]])</f>
        <v/>
      </c>
      <c r="GW10" s="121" t="str">
        <f>IF(ISBLANK(tbl_task1[[คะแนนเต็ม]:[คะแนนเต็ม]]),"",(tbl_task1[35]/tbl_task1[[คะแนนเต็ม]:[คะแนนเต็ม]])*tbl_task1[[%]:[%]])</f>
        <v/>
      </c>
      <c r="GX10" s="121" t="str">
        <f>IF(ISBLANK(tbl_task1[[คะแนนเต็ม]:[คะแนนเต็ม]]),"",(tbl_task1[36]/tbl_task1[[คะแนนเต็ม]:[คะแนนเต็ม]])*tbl_task1[[%]:[%]])</f>
        <v/>
      </c>
      <c r="GY10" s="121" t="str">
        <f>IF(ISBLANK(tbl_task1[[คะแนนเต็ม]:[คะแนนเต็ม]]),"",(tbl_task1[37]/tbl_task1[[คะแนนเต็ม]:[คะแนนเต็ม]])*tbl_task1[[%]:[%]])</f>
        <v/>
      </c>
      <c r="GZ10" s="121" t="str">
        <f>IF(ISBLANK(tbl_task1[[คะแนนเต็ม]:[คะแนนเต็ม]]),"",(tbl_task1[38]/tbl_task1[[คะแนนเต็ม]:[คะแนนเต็ม]])*tbl_task1[[%]:[%]])</f>
        <v/>
      </c>
      <c r="HA10" s="121" t="str">
        <f>IF(ISBLANK(tbl_task1[[คะแนนเต็ม]:[คะแนนเต็ม]]),"",(tbl_task1[39]/tbl_task1[[คะแนนเต็ม]:[คะแนนเต็ม]])*tbl_task1[[%]:[%]])</f>
        <v/>
      </c>
      <c r="HB10" s="121" t="str">
        <f>IF(ISBLANK(tbl_task1[[คะแนนเต็ม]:[คะแนนเต็ม]]),"",(tbl_task1[40]/tbl_task1[[คะแนนเต็ม]:[คะแนนเต็ม]])*tbl_task1[[%]:[%]])</f>
        <v/>
      </c>
      <c r="HC10" s="121" t="str">
        <f>IF(ISBLANK(tbl_task1[[คะแนนเต็ม]:[คะแนนเต็ม]]),"",(tbl_task1[41]/tbl_task1[[คะแนนเต็ม]:[คะแนนเต็ม]])*tbl_task1[[%]:[%]])</f>
        <v/>
      </c>
      <c r="HD10" s="121" t="str">
        <f>IF(ISBLANK(tbl_task1[[คะแนนเต็ม]:[คะแนนเต็ม]]),"",(tbl_task1[42]/tbl_task1[[คะแนนเต็ม]:[คะแนนเต็ม]])*tbl_task1[[%]:[%]])</f>
        <v/>
      </c>
      <c r="HE10" s="121" t="str">
        <f>IF(ISBLANK(tbl_task1[[คะแนนเต็ม]:[คะแนนเต็ม]]),"",(tbl_task1[43]/tbl_task1[[คะแนนเต็ม]:[คะแนนเต็ม]])*tbl_task1[[%]:[%]])</f>
        <v/>
      </c>
      <c r="HF10" s="121" t="str">
        <f>IF(ISBLANK(tbl_task1[[คะแนนเต็ม]:[คะแนนเต็ม]]),"",(tbl_task1[44]/tbl_task1[[คะแนนเต็ม]:[คะแนนเต็ม]])*tbl_task1[[%]:[%]])</f>
        <v/>
      </c>
      <c r="HG10" s="121" t="str">
        <f>IF(ISBLANK(tbl_task1[[คะแนนเต็ม]:[คะแนนเต็ม]]),"",(tbl_task1[45]/tbl_task1[[คะแนนเต็ม]:[คะแนนเต็ม]])*tbl_task1[[%]:[%]])</f>
        <v/>
      </c>
      <c r="HH10" s="121" t="str">
        <f>IF(ISBLANK(tbl_task1[[คะแนนเต็ม]:[คะแนนเต็ม]]),"",(tbl_task1[46]/tbl_task1[[คะแนนเต็ม]:[คะแนนเต็ม]])*tbl_task1[[%]:[%]])</f>
        <v/>
      </c>
      <c r="HI10" s="121" t="str">
        <f>IF(ISBLANK(tbl_task1[[คะแนนเต็ม]:[คะแนนเต็ม]]),"",(tbl_task1[47]/tbl_task1[[คะแนนเต็ม]:[คะแนนเต็ม]])*tbl_task1[[%]:[%]])</f>
        <v/>
      </c>
      <c r="HJ10" s="121" t="str">
        <f>IF(ISBLANK(tbl_task1[[คะแนนเต็ม]:[คะแนนเต็ม]]),"",(tbl_task1[48]/tbl_task1[[คะแนนเต็ม]:[คะแนนเต็ม]])*tbl_task1[[%]:[%]])</f>
        <v/>
      </c>
      <c r="HK10" s="121" t="str">
        <f>IF(ISBLANK(tbl_task1[[คะแนนเต็ม]:[คะแนนเต็ม]]),"",(tbl_task1[49]/tbl_task1[[คะแนนเต็ม]:[คะแนนเต็ม]])*tbl_task1[[%]:[%]])</f>
        <v/>
      </c>
      <c r="HL10" s="121" t="str">
        <f>IF(ISBLANK(tbl_task1[[คะแนนเต็ม]:[คะแนนเต็ม]]),"",(tbl_task1[50]/tbl_task1[[คะแนนเต็ม]:[คะแนนเต็ม]])*tbl_task1[[%]:[%]])</f>
        <v/>
      </c>
      <c r="HM10" s="121" t="str">
        <f>IF(ISBLANK(tbl_task1[[คะแนนเต็ม]:[คะแนนเต็ม]]),"",(tbl_task1[51]/tbl_task1[[คะแนนเต็ม]:[คะแนนเต็ม]])*tbl_task1[[%]:[%]])</f>
        <v/>
      </c>
      <c r="HN10" s="121" t="str">
        <f>IF(ISBLANK(tbl_task1[[คะแนนเต็ม]:[คะแนนเต็ม]]),"",(tbl_task1[52]/tbl_task1[[คะแนนเต็ม]:[คะแนนเต็ม]])*tbl_task1[[%]:[%]])</f>
        <v/>
      </c>
      <c r="HO10" s="121" t="str">
        <f>IF(ISBLANK(tbl_task1[[คะแนนเต็ม]:[คะแนนเต็ม]]),"",(tbl_task1[53]/tbl_task1[[คะแนนเต็ม]:[คะแนนเต็ม]])*tbl_task1[[%]:[%]])</f>
        <v/>
      </c>
      <c r="HP10" s="121" t="str">
        <f>IF(ISBLANK(tbl_task1[[คะแนนเต็ม]:[คะแนนเต็ม]]),"",(tbl_task1[54]/tbl_task1[[คะแนนเต็ม]:[คะแนนเต็ม]])*tbl_task1[[%]:[%]])</f>
        <v/>
      </c>
      <c r="HQ10" s="121" t="str">
        <f>IF(ISBLANK(tbl_task1[[คะแนนเต็ม]:[คะแนนเต็ม]]),"",(tbl_task1[55]/tbl_task1[[คะแนนเต็ม]:[คะแนนเต็ม]])*tbl_task1[[%]:[%]])</f>
        <v/>
      </c>
      <c r="HR10" s="121" t="str">
        <f>IF(ISBLANK(tbl_task1[[คะแนนเต็ม]:[คะแนนเต็ม]]),"",(tbl_task1[56]/tbl_task1[[คะแนนเต็ม]:[คะแนนเต็ม]])*tbl_task1[[%]:[%]])</f>
        <v/>
      </c>
      <c r="HS10" s="121" t="str">
        <f>IF(ISBLANK(tbl_task1[[คะแนนเต็ม]:[คะแนนเต็ม]]),"",(tbl_task1[57]/tbl_task1[[คะแนนเต็ม]:[คะแนนเต็ม]])*tbl_task1[[%]:[%]])</f>
        <v/>
      </c>
      <c r="HT10" s="121" t="str">
        <f>IF(ISBLANK(tbl_task1[[คะแนนเต็ม]:[คะแนนเต็ม]]),"",(tbl_task1[58]/tbl_task1[[คะแนนเต็ม]:[คะแนนเต็ม]])*tbl_task1[[%]:[%]])</f>
        <v/>
      </c>
      <c r="HU10" s="121" t="str">
        <f>IF(ISBLANK(tbl_task1[[คะแนนเต็ม]:[คะแนนเต็ม]]),"",(tbl_task1[59]/tbl_task1[[คะแนนเต็ม]:[คะแนนเต็ม]])*tbl_task1[[%]:[%]])</f>
        <v/>
      </c>
      <c r="HV10" s="121" t="str">
        <f>IF(ISBLANK(tbl_task1[[คะแนนเต็ม]:[คะแนนเต็ม]]),"",(tbl_task1[60]/tbl_task1[[คะแนนเต็ม]:[คะแนนเต็ม]])*tbl_task1[[%]:[%]])</f>
        <v/>
      </c>
      <c r="HW10" s="121" t="str">
        <f>IF(ISBLANK(tbl_task1[[คะแนนเต็ม]:[คะแนนเต็ม]]),"",(tbl_task1[61]/tbl_task1[[คะแนนเต็ม]:[คะแนนเต็ม]])*tbl_task1[[%]:[%]])</f>
        <v/>
      </c>
      <c r="HX10" s="121" t="str">
        <f>IF(ISBLANK(tbl_task1[[คะแนนเต็ม]:[คะแนนเต็ม]]),"",(tbl_task1[62]/tbl_task1[[คะแนนเต็ม]:[คะแนนเต็ม]])*tbl_task1[[%]:[%]])</f>
        <v/>
      </c>
      <c r="HY10" s="121" t="str">
        <f>IF(ISBLANK(tbl_task1[[คะแนนเต็ม]:[คะแนนเต็ม]]),"",(tbl_task1[63]/tbl_task1[[คะแนนเต็ม]:[คะแนนเต็ม]])*tbl_task1[[%]:[%]])</f>
        <v/>
      </c>
      <c r="HZ10" s="121" t="str">
        <f>IF(ISBLANK(tbl_task1[[คะแนนเต็ม]:[คะแนนเต็ม]]),"",(tbl_task1[64]/tbl_task1[[คะแนนเต็ม]:[คะแนนเต็ม]])*tbl_task1[[%]:[%]])</f>
        <v/>
      </c>
      <c r="IA10" s="121" t="str">
        <f>IF(ISBLANK(tbl_task1[[คะแนนเต็ม]:[คะแนนเต็ม]]),"",(tbl_task1[65]/tbl_task1[[คะแนนเต็ม]:[คะแนนเต็ม]])*tbl_task1[[%]:[%]])</f>
        <v/>
      </c>
      <c r="IB10" s="121" t="str">
        <f>IF(ISBLANK(tbl_task1[[คะแนนเต็ม]:[คะแนนเต็ม]]),"",(tbl_task1[66]/tbl_task1[[คะแนนเต็ม]:[คะแนนเต็ม]])*tbl_task1[[%]:[%]])</f>
        <v/>
      </c>
      <c r="IC10" s="121" t="str">
        <f>IF(ISBLANK(tbl_task1[[คะแนนเต็ม]:[คะแนนเต็ม]]),"",(tbl_task1[67]/tbl_task1[[คะแนนเต็ม]:[คะแนนเต็ม]])*tbl_task1[[%]:[%]])</f>
        <v/>
      </c>
      <c r="ID10" s="121" t="str">
        <f>IF(ISBLANK(tbl_task1[[คะแนนเต็ม]:[คะแนนเต็ม]]),"",(tbl_task1[68]/tbl_task1[[คะแนนเต็ม]:[คะแนนเต็ม]])*tbl_task1[[%]:[%]])</f>
        <v/>
      </c>
      <c r="IE10" s="121" t="str">
        <f>IF(ISBLANK(tbl_task1[[คะแนนเต็ม]:[คะแนนเต็ม]]),"",(tbl_task1[69]/tbl_task1[[คะแนนเต็ม]:[คะแนนเต็ม]])*tbl_task1[[%]:[%]])</f>
        <v/>
      </c>
      <c r="IF10" s="121" t="str">
        <f>IF(ISBLANK(tbl_task1[[คะแนนเต็ม]:[คะแนนเต็ม]]),"",(tbl_task1[70]/tbl_task1[[คะแนนเต็ม]:[คะแนนเต็ม]])*tbl_task1[[%]:[%]])</f>
        <v/>
      </c>
      <c r="IG10" s="121" t="str">
        <f>IF(ISBLANK(tbl_task1[[คะแนนเต็ม]:[คะแนนเต็ม]]),"",(tbl_task1[71]/tbl_task1[[คะแนนเต็ม]:[คะแนนเต็ม]])*tbl_task1[[%]:[%]])</f>
        <v/>
      </c>
      <c r="IH10" s="121" t="str">
        <f>IF(ISBLANK(tbl_task1[[คะแนนเต็ม]:[คะแนนเต็ม]]),"",(tbl_task1[72]/tbl_task1[[คะแนนเต็ม]:[คะแนนเต็ม]])*tbl_task1[[%]:[%]])</f>
        <v/>
      </c>
      <c r="II10" s="121" t="str">
        <f>IF(ISBLANK(tbl_task1[[คะแนนเต็ม]:[คะแนนเต็ม]]),"",(tbl_task1[73]/tbl_task1[[คะแนนเต็ม]:[คะแนนเต็ม]])*tbl_task1[[%]:[%]])</f>
        <v/>
      </c>
      <c r="IJ10" s="121" t="str">
        <f>IF(ISBLANK(tbl_task1[[คะแนนเต็ม]:[คะแนนเต็ม]]),"",(tbl_task1[74]/tbl_task1[[คะแนนเต็ม]:[คะแนนเต็ม]])*tbl_task1[[%]:[%]])</f>
        <v/>
      </c>
      <c r="IK10" s="121" t="str">
        <f>IF(ISBLANK(tbl_task1[[คะแนนเต็ม]:[คะแนนเต็ม]]),"",(tbl_task1[75]/tbl_task1[[คะแนนเต็ม]:[คะแนนเต็ม]])*tbl_task1[[%]:[%]])</f>
        <v/>
      </c>
      <c r="IL10" s="121" t="str">
        <f>IF(ISBLANK(tbl_task1[[คะแนนเต็ม]:[คะแนนเต็ม]]),"",(tbl_task1[76]/tbl_task1[[คะแนนเต็ม]:[คะแนนเต็ม]])*tbl_task1[[%]:[%]])</f>
        <v/>
      </c>
      <c r="IM10" s="121" t="str">
        <f>IF(ISBLANK(tbl_task1[[คะแนนเต็ม]:[คะแนนเต็ม]]),"",(tbl_task1[77]/tbl_task1[[คะแนนเต็ม]:[คะแนนเต็ม]])*tbl_task1[[%]:[%]])</f>
        <v/>
      </c>
      <c r="IN10" s="121" t="str">
        <f>IF(ISBLANK(tbl_task1[[คะแนนเต็ม]:[คะแนนเต็ม]]),"",(tbl_task1[78]/tbl_task1[[คะแนนเต็ม]:[คะแนนเต็ม]])*tbl_task1[[%]:[%]])</f>
        <v/>
      </c>
      <c r="IO10" s="121" t="str">
        <f>IF(ISBLANK(tbl_task1[[คะแนนเต็ม]:[คะแนนเต็ม]]),"",(tbl_task1[79]/tbl_task1[[คะแนนเต็ม]:[คะแนนเต็ม]])*tbl_task1[[%]:[%]])</f>
        <v/>
      </c>
      <c r="IP10" s="121" t="str">
        <f>IF(ISBLANK(tbl_task1[[คะแนนเต็ม]:[คะแนนเต็ม]]),"",(tbl_task1[80]/tbl_task1[[คะแนนเต็ม]:[คะแนนเต็ม]])*tbl_task1[[%]:[%]])</f>
        <v/>
      </c>
      <c r="IQ10" s="121" t="str">
        <f>IF(ISBLANK(tbl_task1[[คะแนนเต็ม]:[คะแนนเต็ม]]),"",(tbl_task1[81]/tbl_task1[[คะแนนเต็ม]:[คะแนนเต็ม]])*tbl_task1[[%]:[%]])</f>
        <v/>
      </c>
      <c r="IR10" s="121" t="str">
        <f>IF(ISBLANK(tbl_task1[[คะแนนเต็ม]:[คะแนนเต็ม]]),"",(tbl_task1[82]/tbl_task1[[คะแนนเต็ม]:[คะแนนเต็ม]])*tbl_task1[[%]:[%]])</f>
        <v/>
      </c>
      <c r="IS10" s="121" t="str">
        <f>IF(ISBLANK(tbl_task1[[คะแนนเต็ม]:[คะแนนเต็ม]]),"",(tbl_task1[83]/tbl_task1[[คะแนนเต็ม]:[คะแนนเต็ม]])*tbl_task1[[%]:[%]])</f>
        <v/>
      </c>
      <c r="IT10" s="121" t="str">
        <f>IF(ISBLANK(tbl_task1[[คะแนนเต็ม]:[คะแนนเต็ม]]),"",(tbl_task1[84]/tbl_task1[[คะแนนเต็ม]:[คะแนนเต็ม]])*tbl_task1[[%]:[%]])</f>
        <v/>
      </c>
      <c r="IU10" s="121" t="str">
        <f>IF(ISBLANK(tbl_task1[[คะแนนเต็ม]:[คะแนนเต็ม]]),"",(tbl_task1[85]/tbl_task1[[คะแนนเต็ม]:[คะแนนเต็ม]])*tbl_task1[[%]:[%]])</f>
        <v/>
      </c>
      <c r="IV10" s="121" t="str">
        <f>IF(ISBLANK(tbl_task1[[คะแนนเต็ม]:[คะแนนเต็ม]]),"",(tbl_task1[86]/tbl_task1[[คะแนนเต็ม]:[คะแนนเต็ม]])*tbl_task1[[%]:[%]])</f>
        <v/>
      </c>
      <c r="IW10" s="121" t="str">
        <f>IF(ISBLANK(tbl_task1[[คะแนนเต็ม]:[คะแนนเต็ม]]),"",(tbl_task1[87]/tbl_task1[[คะแนนเต็ม]:[คะแนนเต็ม]])*tbl_task1[[%]:[%]])</f>
        <v/>
      </c>
      <c r="IX10" s="121" t="str">
        <f>IF(ISBLANK(tbl_task1[[คะแนนเต็ม]:[คะแนนเต็ม]]),"",(tbl_task1[88]/tbl_task1[[คะแนนเต็ม]:[คะแนนเต็ม]])*tbl_task1[[%]:[%]])</f>
        <v/>
      </c>
      <c r="IY10" s="121" t="str">
        <f>IF(ISBLANK(tbl_task1[[คะแนนเต็ม]:[คะแนนเต็ม]]),"",(tbl_task1[89]/tbl_task1[[คะแนนเต็ม]:[คะแนนเต็ม]])*tbl_task1[[%]:[%]])</f>
        <v/>
      </c>
      <c r="IZ10" s="121" t="str">
        <f>IF(ISBLANK(tbl_task1[[คะแนนเต็ม]:[คะแนนเต็ม]]),"",(tbl_task1[90]/tbl_task1[[คะแนนเต็ม]:[คะแนนเต็ม]])*tbl_task1[[%]:[%]])</f>
        <v/>
      </c>
      <c r="JA10" s="121" t="str">
        <f>IF(ISBLANK(tbl_task1[[คะแนนเต็ม]:[คะแนนเต็ม]]),"",(tbl_task1[91]/tbl_task1[[คะแนนเต็ม]:[คะแนนเต็ม]])*tbl_task1[[%]:[%]])</f>
        <v/>
      </c>
      <c r="JB10" s="121" t="str">
        <f>IF(ISBLANK(tbl_task1[[คะแนนเต็ม]:[คะแนนเต็ม]]),"",(tbl_task1[92]/tbl_task1[[คะแนนเต็ม]:[คะแนนเต็ม]])*tbl_task1[[%]:[%]])</f>
        <v/>
      </c>
      <c r="JC10" s="121" t="str">
        <f>IF(ISBLANK(tbl_task1[[คะแนนเต็ม]:[คะแนนเต็ม]]),"",(tbl_task1[93]/tbl_task1[[คะแนนเต็ม]:[คะแนนเต็ม]])*tbl_task1[[%]:[%]])</f>
        <v/>
      </c>
      <c r="JD10" s="121" t="str">
        <f>IF(ISBLANK(tbl_task1[[คะแนนเต็ม]:[คะแนนเต็ม]]),"",(tbl_task1[94]/tbl_task1[[คะแนนเต็ม]:[คะแนนเต็ม]])*tbl_task1[[%]:[%]])</f>
        <v/>
      </c>
      <c r="JE10" s="121" t="str">
        <f>IF(ISBLANK(tbl_task1[[คะแนนเต็ม]:[คะแนนเต็ม]]),"",(tbl_task1[95]/tbl_task1[[คะแนนเต็ม]:[คะแนนเต็ม]])*tbl_task1[[%]:[%]])</f>
        <v/>
      </c>
      <c r="JF10" s="121" t="str">
        <f>IF(ISBLANK(tbl_task1[[คะแนนเต็ม]:[คะแนนเต็ม]]),"",(tbl_task1[96]/tbl_task1[[คะแนนเต็ม]:[คะแนนเต็ม]])*tbl_task1[[%]:[%]])</f>
        <v/>
      </c>
      <c r="JG10" s="121" t="str">
        <f>IF(ISBLANK(tbl_task1[[คะแนนเต็ม]:[คะแนนเต็ม]]),"",(tbl_task1[97]/tbl_task1[[คะแนนเต็ม]:[คะแนนเต็ม]])*tbl_task1[[%]:[%]])</f>
        <v/>
      </c>
      <c r="JH10" s="121" t="str">
        <f>IF(ISBLANK(tbl_task1[[คะแนนเต็ม]:[คะแนนเต็ม]]),"",(tbl_task1[98]/tbl_task1[[คะแนนเต็ม]:[คะแนนเต็ม]])*tbl_task1[[%]:[%]])</f>
        <v/>
      </c>
      <c r="JI10" s="121" t="str">
        <f>IF(ISBLANK(tbl_task1[[คะแนนเต็ม]:[คะแนนเต็ม]]),"",(tbl_task1[99]/tbl_task1[[คะแนนเต็ม]:[คะแนนเต็ม]])*tbl_task1[[%]:[%]])</f>
        <v/>
      </c>
      <c r="JJ10" s="121" t="str">
        <f>IF(ISBLANK(tbl_task1[[คะแนนเต็ม]:[คะแนนเต็ม]]),"",(tbl_task1[100]/tbl_task1[[คะแนนเต็ม]:[คะแนนเต็ม]])*tbl_task1[[%]:[%]])</f>
        <v/>
      </c>
      <c r="JK10" s="121" t="str">
        <f>IF(ISBLANK(tbl_task1[[คะแนนเต็ม]:[คะแนนเต็ม]]),"",(tbl_task1[101]/tbl_task1[[คะแนนเต็ม]:[คะแนนเต็ม]])*tbl_task1[[%]:[%]])</f>
        <v/>
      </c>
      <c r="JL10" s="121" t="str">
        <f>IF(ISBLANK(tbl_task1[[คะแนนเต็ม]:[คะแนนเต็ม]]),"",(tbl_task1[102]/tbl_task1[[คะแนนเต็ม]:[คะแนนเต็ม]])*tbl_task1[[%]:[%]])</f>
        <v/>
      </c>
      <c r="JM10" s="121" t="str">
        <f>IF(ISBLANK(tbl_task1[[คะแนนเต็ม]:[คะแนนเต็ม]]),"",(tbl_task1[103]/tbl_task1[[คะแนนเต็ม]:[คะแนนเต็ม]])*tbl_task1[[%]:[%]])</f>
        <v/>
      </c>
      <c r="JN10" s="121" t="str">
        <f>IF(ISBLANK(tbl_task1[[คะแนนเต็ม]:[คะแนนเต็ม]]),"",(tbl_task1[104]/tbl_task1[[คะแนนเต็ม]:[คะแนนเต็ม]])*tbl_task1[[%]:[%]])</f>
        <v/>
      </c>
      <c r="JO10" s="121" t="str">
        <f>IF(ISBLANK(tbl_task1[[คะแนนเต็ม]:[คะแนนเต็ม]]),"",(tbl_task1[105]/tbl_task1[[คะแนนเต็ม]:[คะแนนเต็ม]])*tbl_task1[[%]:[%]])</f>
        <v/>
      </c>
      <c r="JP10" s="121" t="str">
        <f>IF(ISBLANK(tbl_task1[[คะแนนเต็ม]:[คะแนนเต็ม]]),"",(tbl_task1[106]/tbl_task1[[คะแนนเต็ม]:[คะแนนเต็ม]])*tbl_task1[[%]:[%]])</f>
        <v/>
      </c>
      <c r="JQ10" s="121" t="str">
        <f>IF(ISBLANK(tbl_task1[[คะแนนเต็ม]:[คะแนนเต็ม]]),"",(tbl_task1[107]/tbl_task1[[คะแนนเต็ม]:[คะแนนเต็ม]])*tbl_task1[[%]:[%]])</f>
        <v/>
      </c>
      <c r="JR10" s="121" t="str">
        <f>IF(ISBLANK(tbl_task1[[คะแนนเต็ม]:[คะแนนเต็ม]]),"",(tbl_task1[108]/tbl_task1[[คะแนนเต็ม]:[คะแนนเต็ม]])*tbl_task1[[%]:[%]])</f>
        <v/>
      </c>
      <c r="JS10" s="121" t="str">
        <f>IF(ISBLANK(tbl_task1[[คะแนนเต็ม]:[คะแนนเต็ม]]),"",(tbl_task1[109]/tbl_task1[[คะแนนเต็ม]:[คะแนนเต็ม]])*tbl_task1[[%]:[%]])</f>
        <v/>
      </c>
      <c r="JT10" s="121" t="str">
        <f>IF(ISBLANK(tbl_task1[[คะแนนเต็ม]:[คะแนนเต็ม]]),"",(tbl_task1[110]/tbl_task1[[คะแนนเต็ม]:[คะแนนเต็ม]])*tbl_task1[[%]:[%]])</f>
        <v/>
      </c>
      <c r="JU10" s="121" t="str">
        <f>IF(ISBLANK(tbl_task1[[คะแนนเต็ม]:[คะแนนเต็ม]]),"",(tbl_task1[111]/tbl_task1[[คะแนนเต็ม]:[คะแนนเต็ม]])*tbl_task1[[%]:[%]])</f>
        <v/>
      </c>
      <c r="JV10" s="121" t="str">
        <f>IF(ISBLANK(tbl_task1[[คะแนนเต็ม]:[คะแนนเต็ม]]),"",(tbl_task1[112]/tbl_task1[[คะแนนเต็ม]:[คะแนนเต็ม]])*tbl_task1[[%]:[%]])</f>
        <v/>
      </c>
      <c r="JW10" s="121" t="str">
        <f>IF(ISBLANK(tbl_task1[[คะแนนเต็ม]:[คะแนนเต็ม]]),"",(tbl_task1[113]/tbl_task1[[คะแนนเต็ม]:[คะแนนเต็ม]])*tbl_task1[[%]:[%]])</f>
        <v/>
      </c>
      <c r="JX10" s="121" t="str">
        <f>IF(ISBLANK(tbl_task1[[คะแนนเต็ม]:[คะแนนเต็ม]]),"",(tbl_task1[114]/tbl_task1[[คะแนนเต็ม]:[คะแนนเต็ม]])*tbl_task1[[%]:[%]])</f>
        <v/>
      </c>
      <c r="JY10" s="121" t="str">
        <f>IF(ISBLANK(tbl_task1[[คะแนนเต็ม]:[คะแนนเต็ม]]),"",(tbl_task1[115]/tbl_task1[[คะแนนเต็ม]:[คะแนนเต็ม]])*tbl_task1[[%]:[%]])</f>
        <v/>
      </c>
      <c r="JZ10" s="121" t="str">
        <f>IF(ISBLANK(tbl_task1[[คะแนนเต็ม]:[คะแนนเต็ม]]),"",(tbl_task1[116]/tbl_task1[[คะแนนเต็ม]:[คะแนนเต็ม]])*tbl_task1[[%]:[%]])</f>
        <v/>
      </c>
      <c r="KA10" s="121" t="str">
        <f>IF(ISBLANK(tbl_task1[[คะแนนเต็ม]:[คะแนนเต็ม]]),"",(tbl_task1[117]/tbl_task1[[คะแนนเต็ม]:[คะแนนเต็ม]])*tbl_task1[[%]:[%]])</f>
        <v/>
      </c>
      <c r="KB10" s="121" t="str">
        <f>IF(ISBLANK(tbl_task1[[คะแนนเต็ม]:[คะแนนเต็ม]]),"",(tbl_task1[118]/tbl_task1[[คะแนนเต็ม]:[คะแนนเต็ม]])*tbl_task1[[%]:[%]])</f>
        <v/>
      </c>
      <c r="KC10" s="121" t="str">
        <f>IF(ISBLANK(tbl_task1[[คะแนนเต็ม]:[คะแนนเต็ม]]),"",(tbl_task1[119]/tbl_task1[[คะแนนเต็ม]:[คะแนนเต็ม]])*tbl_task1[[%]:[%]])</f>
        <v/>
      </c>
      <c r="KD10" s="121" t="str">
        <f>IF(ISBLANK(tbl_task1[[คะแนนเต็ม]:[คะแนนเต็ม]]),"",(tbl_task1[120]/tbl_task1[[คะแนนเต็ม]:[คะแนนเต็ม]])*tbl_task1[[%]:[%]])</f>
        <v/>
      </c>
      <c r="KE10" s="121" t="str">
        <f>IF(ISBLANK(tbl_task1[[คะแนนเต็ม]:[คะแนนเต็ม]]),"",(tbl_task1[121]/tbl_task1[[คะแนนเต็ม]:[คะแนนเต็ม]])*tbl_task1[[%]:[%]])</f>
        <v/>
      </c>
      <c r="KF10" s="121" t="str">
        <f>IF(ISBLANK(tbl_task1[[คะแนนเต็ม]:[คะแนนเต็ม]]),"",(tbl_task1[122]/tbl_task1[[คะแนนเต็ม]:[คะแนนเต็ม]])*tbl_task1[[%]:[%]])</f>
        <v/>
      </c>
      <c r="KG10" s="121" t="str">
        <f>IF(ISBLANK(tbl_task1[[คะแนนเต็ม]:[คะแนนเต็ม]]),"",(tbl_task1[123]/tbl_task1[[คะแนนเต็ม]:[คะแนนเต็ม]])*tbl_task1[[%]:[%]])</f>
        <v/>
      </c>
      <c r="KH10" s="121" t="str">
        <f>IF(ISBLANK(tbl_task1[[คะแนนเต็ม]:[คะแนนเต็ม]]),"",(tbl_task1[124]/tbl_task1[[คะแนนเต็ม]:[คะแนนเต็ม]])*tbl_task1[[%]:[%]])</f>
        <v/>
      </c>
      <c r="KI10" s="121" t="str">
        <f>IF(ISBLANK(tbl_task1[[คะแนนเต็ม]:[คะแนนเต็ม]]),"",(tbl_task1[125]/tbl_task1[[คะแนนเต็ม]:[คะแนนเต็ม]])*tbl_task1[[%]:[%]])</f>
        <v/>
      </c>
      <c r="KJ10" s="121" t="str">
        <f>IF(ISBLANK(tbl_task1[[คะแนนเต็ม]:[คะแนนเต็ม]]),"",(tbl_task1[126]/tbl_task1[[คะแนนเต็ม]:[คะแนนเต็ม]])*tbl_task1[[%]:[%]])</f>
        <v/>
      </c>
      <c r="KK10" s="121" t="str">
        <f>IF(ISBLANK(tbl_task1[[คะแนนเต็ม]:[คะแนนเต็ม]]),"",(tbl_task1[127]/tbl_task1[[คะแนนเต็ม]:[คะแนนเต็ม]])*tbl_task1[[%]:[%]])</f>
        <v/>
      </c>
      <c r="KL10" s="121" t="str">
        <f>IF(ISBLANK(tbl_task1[[คะแนนเต็ม]:[คะแนนเต็ม]]),"",(tbl_task1[128]/tbl_task1[[คะแนนเต็ม]:[คะแนนเต็ม]])*tbl_task1[[%]:[%]])</f>
        <v/>
      </c>
      <c r="KM10" s="121" t="str">
        <f>IF(ISBLANK(tbl_task1[[คะแนนเต็ม]:[คะแนนเต็ม]]),"",(tbl_task1[129]/tbl_task1[[คะแนนเต็ม]:[คะแนนเต็ม]])*tbl_task1[[%]:[%]])</f>
        <v/>
      </c>
      <c r="KN10" s="121" t="str">
        <f>IF(ISBLANK(tbl_task1[[คะแนนเต็ม]:[คะแนนเต็ม]]),"",(tbl_task1[130]/tbl_task1[[คะแนนเต็ม]:[คะแนนเต็ม]])*tbl_task1[[%]:[%]])</f>
        <v/>
      </c>
      <c r="KO10" s="121" t="str">
        <f>IF(ISBLANK(tbl_task1[[คะแนนเต็ม]:[คะแนนเต็ม]]),"",(tbl_task1[131]/tbl_task1[[คะแนนเต็ม]:[คะแนนเต็ม]])*tbl_task1[[%]:[%]])</f>
        <v/>
      </c>
      <c r="KP10" s="121" t="str">
        <f>IF(ISBLANK(tbl_task1[[คะแนนเต็ม]:[คะแนนเต็ม]]),"",(tbl_task1[132]/tbl_task1[[คะแนนเต็ม]:[คะแนนเต็ม]])*tbl_task1[[%]:[%]])</f>
        <v/>
      </c>
      <c r="KQ10" s="121" t="str">
        <f>IF(ISBLANK(tbl_task1[[คะแนนเต็ม]:[คะแนนเต็ม]]),"",(tbl_task1[133]/tbl_task1[[คะแนนเต็ม]:[คะแนนเต็ม]])*tbl_task1[[%]:[%]])</f>
        <v/>
      </c>
      <c r="KR10" s="121" t="str">
        <f>IF(ISBLANK(tbl_task1[[คะแนนเต็ม]:[คะแนนเต็ม]]),"",(tbl_task1[134]/tbl_task1[[คะแนนเต็ม]:[คะแนนเต็ม]])*tbl_task1[[%]:[%]])</f>
        <v/>
      </c>
      <c r="KS10" s="121" t="str">
        <f>IF(ISBLANK(tbl_task1[[คะแนนเต็ม]:[คะแนนเต็ม]]),"",(tbl_task1[135]/tbl_task1[[คะแนนเต็ม]:[คะแนนเต็ม]])*tbl_task1[[%]:[%]])</f>
        <v/>
      </c>
      <c r="KT10" s="121" t="str">
        <f>IF(ISBLANK(tbl_task1[[คะแนนเต็ม]:[คะแนนเต็ม]]),"",(tbl_task1[136]/tbl_task1[[คะแนนเต็ม]:[คะแนนเต็ม]])*tbl_task1[[%]:[%]])</f>
        <v/>
      </c>
      <c r="KU10" s="121" t="str">
        <f>IF(ISBLANK(tbl_task1[[คะแนนเต็ม]:[คะแนนเต็ม]]),"",(tbl_task1[137]/tbl_task1[[คะแนนเต็ม]:[คะแนนเต็ม]])*tbl_task1[[%]:[%]])</f>
        <v/>
      </c>
      <c r="KV10" s="121" t="str">
        <f>IF(ISBLANK(tbl_task1[[คะแนนเต็ม]:[คะแนนเต็ม]]),"",(tbl_task1[138]/tbl_task1[[คะแนนเต็ม]:[คะแนนเต็ม]])*tbl_task1[[%]:[%]])</f>
        <v/>
      </c>
      <c r="KW10" s="121" t="str">
        <f>IF(ISBLANK(tbl_task1[[คะแนนเต็ม]:[คะแนนเต็ม]]),"",(tbl_task1[139]/tbl_task1[[คะแนนเต็ม]:[คะแนนเต็ม]])*tbl_task1[[%]:[%]])</f>
        <v/>
      </c>
      <c r="KX10" s="121" t="str">
        <f>IF(ISBLANK(tbl_task1[[คะแนนเต็ม]:[คะแนนเต็ม]]),"",(tbl_task1[140]/tbl_task1[[คะแนนเต็ม]:[คะแนนเต็ม]])*tbl_task1[[%]:[%]])</f>
        <v/>
      </c>
      <c r="KY10" s="121" t="str">
        <f>IF(ISBLANK(tbl_task1[[คะแนนเต็ม]:[คะแนนเต็ม]]),"",(tbl_task1[141]/tbl_task1[[คะแนนเต็ม]:[คะแนนเต็ม]])*tbl_task1[[%]:[%]])</f>
        <v/>
      </c>
      <c r="KZ10" s="121" t="str">
        <f>IF(ISBLANK(tbl_task1[[คะแนนเต็ม]:[คะแนนเต็ม]]),"",(tbl_task1[142]/tbl_task1[[คะแนนเต็ม]:[คะแนนเต็ม]])*tbl_task1[[%]:[%]])</f>
        <v/>
      </c>
      <c r="LA10" s="121" t="str">
        <f>IF(ISBLANK(tbl_task1[[คะแนนเต็ม]:[คะแนนเต็ม]]),"",(tbl_task1[143]/tbl_task1[[คะแนนเต็ม]:[คะแนนเต็ม]])*tbl_task1[[%]:[%]])</f>
        <v/>
      </c>
      <c r="LB10" s="121" t="str">
        <f>IF(ISBLANK(tbl_task1[[คะแนนเต็ม]:[คะแนนเต็ม]]),"",(tbl_task1[144]/tbl_task1[[คะแนนเต็ม]:[คะแนนเต็ม]])*tbl_task1[[%]:[%]])</f>
        <v/>
      </c>
      <c r="LC10" s="121" t="str">
        <f>IF(ISBLANK(tbl_task1[[คะแนนเต็ม]:[คะแนนเต็ม]]),"",(tbl_task1[145]/tbl_task1[[คะแนนเต็ม]:[คะแนนเต็ม]])*tbl_task1[[%]:[%]])</f>
        <v/>
      </c>
      <c r="LD10" s="121" t="str">
        <f>IF(ISBLANK(tbl_task1[[คะแนนเต็ม]:[คะแนนเต็ม]]),"",(tbl_task1[146]/tbl_task1[[คะแนนเต็ม]:[คะแนนเต็ม]])*tbl_task1[[%]:[%]])</f>
        <v/>
      </c>
      <c r="LE10" s="121" t="str">
        <f>IF(ISBLANK(tbl_task1[[คะแนนเต็ม]:[คะแนนเต็ม]]),"",(tbl_task1[147]/tbl_task1[[คะแนนเต็ม]:[คะแนนเต็ม]])*tbl_task1[[%]:[%]])</f>
        <v/>
      </c>
      <c r="LF10" s="121" t="str">
        <f>IF(ISBLANK(tbl_task1[[คะแนนเต็ม]:[คะแนนเต็ม]]),"",(tbl_task1[148]/tbl_task1[[คะแนนเต็ม]:[คะแนนเต็ม]])*tbl_task1[[%]:[%]])</f>
        <v/>
      </c>
      <c r="LG10" s="121" t="str">
        <f>IF(ISBLANK(tbl_task1[[คะแนนเต็ม]:[คะแนนเต็ม]]),"",(tbl_task1[149]/tbl_task1[[คะแนนเต็ม]:[คะแนนเต็ม]])*tbl_task1[[%]:[%]])</f>
        <v/>
      </c>
      <c r="LH10" s="121" t="str">
        <f>IF(ISBLANK(tbl_task1[[คะแนนเต็ม]:[คะแนนเต็ม]]),"",(tbl_task1[150]/tbl_task1[[คะแนนเต็ม]:[คะแนนเต็ม]])*tbl_task1[[%]:[%]])</f>
        <v/>
      </c>
      <c r="LI10" s="121" t="str">
        <f>IF(ISBLANK(tbl_task1[[คะแนนเต็ม]:[คะแนนเต็ม]]),"",(tbl_task1[151]/tbl_task1[[คะแนนเต็ม]:[คะแนนเต็ม]])*tbl_task1[[%]:[%]])</f>
        <v/>
      </c>
      <c r="LJ10" s="121" t="str">
        <f>IF(ISBLANK(tbl_task1[[คะแนนเต็ม]:[คะแนนเต็ม]]),"",(tbl_task1[152]/tbl_task1[[คะแนนเต็ม]:[คะแนนเต็ม]])*tbl_task1[[%]:[%]])</f>
        <v/>
      </c>
      <c r="LK10" s="121" t="str">
        <f>IF(ISBLANK(tbl_task1[[คะแนนเต็ม]:[คะแนนเต็ม]]),"",(tbl_task1[153]/tbl_task1[[คะแนนเต็ม]:[คะแนนเต็ม]])*tbl_task1[[%]:[%]])</f>
        <v/>
      </c>
      <c r="LL10" s="121" t="str">
        <f>IF(ISBLANK(tbl_task1[[คะแนนเต็ม]:[คะแนนเต็ม]]),"",(tbl_task1[154]/tbl_task1[[คะแนนเต็ม]:[คะแนนเต็ม]])*tbl_task1[[%]:[%]])</f>
        <v/>
      </c>
      <c r="LM10" s="121" t="str">
        <f>IF(ISBLANK(tbl_task1[[คะแนนเต็ม]:[คะแนนเต็ม]]),"",(tbl_task1[155]/tbl_task1[[คะแนนเต็ม]:[คะแนนเต็ม]])*tbl_task1[[%]:[%]])</f>
        <v/>
      </c>
      <c r="LN10" s="121" t="str">
        <f>IF(ISBLANK(tbl_task1[[คะแนนเต็ม]:[คะแนนเต็ม]]),"",(tbl_task1[156]/tbl_task1[[คะแนนเต็ม]:[คะแนนเต็ม]])*tbl_task1[[%]:[%]])</f>
        <v/>
      </c>
      <c r="LO10" s="121" t="str">
        <f>IF(ISBLANK(tbl_task1[[คะแนนเต็ม]:[คะแนนเต็ม]]),"",(tbl_task1[157]/tbl_task1[[คะแนนเต็ม]:[คะแนนเต็ม]])*tbl_task1[[%]:[%]])</f>
        <v/>
      </c>
      <c r="LP10" s="121" t="str">
        <f>IF(ISBLANK(tbl_task1[[คะแนนเต็ม]:[คะแนนเต็ม]]),"",(tbl_task1[158]/tbl_task1[[คะแนนเต็ม]:[คะแนนเต็ม]])*tbl_task1[[%]:[%]])</f>
        <v/>
      </c>
      <c r="LQ10" s="121" t="str">
        <f>IF(ISBLANK(tbl_task1[[คะแนนเต็ม]:[คะแนนเต็ม]]),"",(tbl_task1[159]/tbl_task1[[คะแนนเต็ม]:[คะแนนเต็ม]])*tbl_task1[[%]:[%]])</f>
        <v/>
      </c>
      <c r="LR10" s="121" t="str">
        <f>IF(ISBLANK(tbl_task1[[คะแนนเต็ม]:[คะแนนเต็ม]]),"",(tbl_task1[160]/tbl_task1[[คะแนนเต็ม]:[คะแนนเต็ม]])*tbl_task1[[%]:[%]])</f>
        <v/>
      </c>
      <c r="LS10" s="121" t="str">
        <f>IF(ISBLANK(tbl_task1[[คะแนนเต็ม]:[คะแนนเต็ม]]),"",(tbl_task1[161]/tbl_task1[[คะแนนเต็ม]:[คะแนนเต็ม]])*tbl_task1[[%]:[%]])</f>
        <v/>
      </c>
      <c r="LT10" s="121" t="str">
        <f>IF(ISBLANK(tbl_task1[[คะแนนเต็ม]:[คะแนนเต็ม]]),"",(tbl_task1[162]/tbl_task1[[คะแนนเต็ม]:[คะแนนเต็ม]])*tbl_task1[[%]:[%]])</f>
        <v/>
      </c>
      <c r="LU10" s="121" t="str">
        <f>IF(ISBLANK(tbl_task1[[คะแนนเต็ม]:[คะแนนเต็ม]]),"",(tbl_task1[163]/tbl_task1[[คะแนนเต็ม]:[คะแนนเต็ม]])*tbl_task1[[%]:[%]])</f>
        <v/>
      </c>
      <c r="LV10" s="121" t="str">
        <f>IF(ISBLANK(tbl_task1[[คะแนนเต็ม]:[คะแนนเต็ม]]),"",(tbl_task1[164]/tbl_task1[[คะแนนเต็ม]:[คะแนนเต็ม]])*tbl_task1[[%]:[%]])</f>
        <v/>
      </c>
      <c r="LW10" s="121" t="str">
        <f>IF(ISBLANK(tbl_task1[[คะแนนเต็ม]:[คะแนนเต็ม]]),"",(tbl_task1[165]/tbl_task1[[คะแนนเต็ม]:[คะแนนเต็ม]])*tbl_task1[[%]:[%]])</f>
        <v/>
      </c>
    </row>
    <row r="11" spans="1:335" ht="24" customHeight="1" x14ac:dyDescent="0.25">
      <c r="A11" s="24">
        <v>8</v>
      </c>
      <c r="B11" s="20"/>
      <c r="C11" s="5" t="str">
        <f>IF(ISBLANK(B11),"",VLOOKUP(B11,tbl_PLOs[],2,0))</f>
        <v/>
      </c>
      <c r="D11" s="102"/>
      <c r="E11" s="106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22"/>
      <c r="FO11" s="121" t="str">
        <f>IF(ISBLANK(tbl_task1[[คะแนนเต็ม]:[คะแนนเต็ม]]),"",(tbl_task1[1]/tbl_task1[[คะแนนเต็ม]:[คะแนนเต็ม]])*tbl_task1[[%]:[%]])</f>
        <v/>
      </c>
      <c r="FP11" s="121" t="str">
        <f>IF(ISBLANK(tbl_task1[[คะแนนเต็ม]:[คะแนนเต็ม]]),"",(tbl_task1[2]/tbl_task1[[คะแนนเต็ม]:[คะแนนเต็ม]])*tbl_task1[[%]:[%]])</f>
        <v/>
      </c>
      <c r="FQ11" s="121" t="str">
        <f>IF(ISBLANK(tbl_task1[[คะแนนเต็ม]:[คะแนนเต็ม]]),"",(tbl_task1[3]/tbl_task1[[คะแนนเต็ม]:[คะแนนเต็ม]])*tbl_task1[[%]:[%]])</f>
        <v/>
      </c>
      <c r="FR11" s="121" t="str">
        <f>IF(ISBLANK(tbl_task1[[คะแนนเต็ม]:[คะแนนเต็ม]]),"",(tbl_task1[4]/tbl_task1[[คะแนนเต็ม]:[คะแนนเต็ม]])*tbl_task1[[%]:[%]])</f>
        <v/>
      </c>
      <c r="FS11" s="121" t="str">
        <f>IF(ISBLANK(tbl_task1[[คะแนนเต็ม]:[คะแนนเต็ม]]),"",(tbl_task1[5]/tbl_task1[[คะแนนเต็ม]:[คะแนนเต็ม]])*tbl_task1[[%]:[%]])</f>
        <v/>
      </c>
      <c r="FT11" s="121" t="str">
        <f>IF(ISBLANK(tbl_task1[[คะแนนเต็ม]:[คะแนนเต็ม]]),"",(tbl_task1[6]/tbl_task1[[คะแนนเต็ม]:[คะแนนเต็ม]])*tbl_task1[[%]:[%]])</f>
        <v/>
      </c>
      <c r="FU11" s="121" t="str">
        <f>IF(ISBLANK(tbl_task1[[คะแนนเต็ม]:[คะแนนเต็ม]]),"",(tbl_task1[7]/tbl_task1[[คะแนนเต็ม]:[คะแนนเต็ม]])*tbl_task1[[%]:[%]])</f>
        <v/>
      </c>
      <c r="FV11" s="121" t="str">
        <f>IF(ISBLANK(tbl_task1[[คะแนนเต็ม]:[คะแนนเต็ม]]),"",(tbl_task1[8]/tbl_task1[[คะแนนเต็ม]:[คะแนนเต็ม]])*tbl_task1[[%]:[%]])</f>
        <v/>
      </c>
      <c r="FW11" s="121" t="str">
        <f>IF(ISBLANK(tbl_task1[[คะแนนเต็ม]:[คะแนนเต็ม]]),"",(tbl_task1[9]/tbl_task1[[คะแนนเต็ม]:[คะแนนเต็ม]])*tbl_task1[[%]:[%]])</f>
        <v/>
      </c>
      <c r="FX11" s="121" t="str">
        <f>IF(ISBLANK(tbl_task1[[คะแนนเต็ม]:[คะแนนเต็ม]]),"",(tbl_task1[10]/tbl_task1[[คะแนนเต็ม]:[คะแนนเต็ม]])*tbl_task1[[%]:[%]])</f>
        <v/>
      </c>
      <c r="FY11" s="121" t="str">
        <f>IF(ISBLANK(tbl_task1[[คะแนนเต็ม]:[คะแนนเต็ม]]),"",(tbl_task1[11]/tbl_task1[[คะแนนเต็ม]:[คะแนนเต็ม]])*tbl_task1[[%]:[%]])</f>
        <v/>
      </c>
      <c r="FZ11" s="121" t="str">
        <f>IF(ISBLANK(tbl_task1[[คะแนนเต็ม]:[คะแนนเต็ม]]),"",(tbl_task1[12]/tbl_task1[[คะแนนเต็ม]:[คะแนนเต็ม]])*tbl_task1[[%]:[%]])</f>
        <v/>
      </c>
      <c r="GA11" s="121" t="str">
        <f>IF(ISBLANK(tbl_task1[[คะแนนเต็ม]:[คะแนนเต็ม]]),"",(tbl_task1[13]/tbl_task1[[คะแนนเต็ม]:[คะแนนเต็ม]])*tbl_task1[[%]:[%]])</f>
        <v/>
      </c>
      <c r="GB11" s="121" t="str">
        <f>IF(ISBLANK(tbl_task1[[คะแนนเต็ม]:[คะแนนเต็ม]]),"",(tbl_task1[14]/tbl_task1[[คะแนนเต็ม]:[คะแนนเต็ม]])*tbl_task1[[%]:[%]])</f>
        <v/>
      </c>
      <c r="GC11" s="121" t="str">
        <f>IF(ISBLANK(tbl_task1[[คะแนนเต็ม]:[คะแนนเต็ม]]),"",(tbl_task1[15]/tbl_task1[[คะแนนเต็ม]:[คะแนนเต็ม]])*tbl_task1[[%]:[%]])</f>
        <v/>
      </c>
      <c r="GD11" s="121" t="str">
        <f>IF(ISBLANK(tbl_task1[[คะแนนเต็ม]:[คะแนนเต็ม]]),"",(tbl_task1[16]/tbl_task1[[คะแนนเต็ม]:[คะแนนเต็ม]])*tbl_task1[[%]:[%]])</f>
        <v/>
      </c>
      <c r="GE11" s="121" t="str">
        <f>IF(ISBLANK(tbl_task1[[คะแนนเต็ม]:[คะแนนเต็ม]]),"",(tbl_task1[17]/tbl_task1[[คะแนนเต็ม]:[คะแนนเต็ม]])*tbl_task1[[%]:[%]])</f>
        <v/>
      </c>
      <c r="GF11" s="121" t="str">
        <f>IF(ISBLANK(tbl_task1[[คะแนนเต็ม]:[คะแนนเต็ม]]),"",(tbl_task1[18]/tbl_task1[[คะแนนเต็ม]:[คะแนนเต็ม]])*tbl_task1[[%]:[%]])</f>
        <v/>
      </c>
      <c r="GG11" s="121" t="str">
        <f>IF(ISBLANK(tbl_task1[[คะแนนเต็ม]:[คะแนนเต็ม]]),"",(tbl_task1[19]/tbl_task1[[คะแนนเต็ม]:[คะแนนเต็ม]])*tbl_task1[[%]:[%]])</f>
        <v/>
      </c>
      <c r="GH11" s="121" t="str">
        <f>IF(ISBLANK(tbl_task1[[คะแนนเต็ม]:[คะแนนเต็ม]]),"",(tbl_task1[20]/tbl_task1[[คะแนนเต็ม]:[คะแนนเต็ม]])*tbl_task1[[%]:[%]])</f>
        <v/>
      </c>
      <c r="GI11" s="121" t="str">
        <f>IF(ISBLANK(tbl_task1[[คะแนนเต็ม]:[คะแนนเต็ม]]),"",(tbl_task1[21]/tbl_task1[[คะแนนเต็ม]:[คะแนนเต็ม]])*tbl_task1[[%]:[%]])</f>
        <v/>
      </c>
      <c r="GJ11" s="121" t="str">
        <f>IF(ISBLANK(tbl_task1[[คะแนนเต็ม]:[คะแนนเต็ม]]),"",(tbl_task1[22]/tbl_task1[[คะแนนเต็ม]:[คะแนนเต็ม]])*tbl_task1[[%]:[%]])</f>
        <v/>
      </c>
      <c r="GK11" s="121" t="str">
        <f>IF(ISBLANK(tbl_task1[[คะแนนเต็ม]:[คะแนนเต็ม]]),"",(tbl_task1[23]/tbl_task1[[คะแนนเต็ม]:[คะแนนเต็ม]])*tbl_task1[[%]:[%]])</f>
        <v/>
      </c>
      <c r="GL11" s="121" t="str">
        <f>IF(ISBLANK(tbl_task1[[คะแนนเต็ม]:[คะแนนเต็ม]]),"",(tbl_task1[24]/tbl_task1[[คะแนนเต็ม]:[คะแนนเต็ม]])*tbl_task1[[%]:[%]])</f>
        <v/>
      </c>
      <c r="GM11" s="121" t="str">
        <f>IF(ISBLANK(tbl_task1[[คะแนนเต็ม]:[คะแนนเต็ม]]),"",(tbl_task1[25]/tbl_task1[[คะแนนเต็ม]:[คะแนนเต็ม]])*tbl_task1[[%]:[%]])</f>
        <v/>
      </c>
      <c r="GN11" s="121" t="str">
        <f>IF(ISBLANK(tbl_task1[[คะแนนเต็ม]:[คะแนนเต็ม]]),"",(tbl_task1[26]/tbl_task1[[คะแนนเต็ม]:[คะแนนเต็ม]])*tbl_task1[[%]:[%]])</f>
        <v/>
      </c>
      <c r="GO11" s="121" t="str">
        <f>IF(ISBLANK(tbl_task1[[คะแนนเต็ม]:[คะแนนเต็ม]]),"",(tbl_task1[27]/tbl_task1[[คะแนนเต็ม]:[คะแนนเต็ม]])*tbl_task1[[%]:[%]])</f>
        <v/>
      </c>
      <c r="GP11" s="121" t="str">
        <f>IF(ISBLANK(tbl_task1[[คะแนนเต็ม]:[คะแนนเต็ม]]),"",(tbl_task1[28]/tbl_task1[[คะแนนเต็ม]:[คะแนนเต็ม]])*tbl_task1[[%]:[%]])</f>
        <v/>
      </c>
      <c r="GQ11" s="121" t="str">
        <f>IF(ISBLANK(tbl_task1[[คะแนนเต็ม]:[คะแนนเต็ม]]),"",(tbl_task1[29]/tbl_task1[[คะแนนเต็ม]:[คะแนนเต็ม]])*tbl_task1[[%]:[%]])</f>
        <v/>
      </c>
      <c r="GR11" s="121" t="str">
        <f>IF(ISBLANK(tbl_task1[[คะแนนเต็ม]:[คะแนนเต็ม]]),"",(tbl_task1[30]/tbl_task1[[คะแนนเต็ม]:[คะแนนเต็ม]])*tbl_task1[[%]:[%]])</f>
        <v/>
      </c>
      <c r="GS11" s="121" t="str">
        <f>IF(ISBLANK(tbl_task1[[คะแนนเต็ม]:[คะแนนเต็ม]]),"",(tbl_task1[31]/tbl_task1[[คะแนนเต็ม]:[คะแนนเต็ม]])*tbl_task1[[%]:[%]])</f>
        <v/>
      </c>
      <c r="GT11" s="121" t="str">
        <f>IF(ISBLANK(tbl_task1[[คะแนนเต็ม]:[คะแนนเต็ม]]),"",(tbl_task1[32]/tbl_task1[[คะแนนเต็ม]:[คะแนนเต็ม]])*tbl_task1[[%]:[%]])</f>
        <v/>
      </c>
      <c r="GU11" s="121" t="str">
        <f>IF(ISBLANK(tbl_task1[[คะแนนเต็ม]:[คะแนนเต็ม]]),"",(tbl_task1[33]/tbl_task1[[คะแนนเต็ม]:[คะแนนเต็ม]])*tbl_task1[[%]:[%]])</f>
        <v/>
      </c>
      <c r="GV11" s="121" t="str">
        <f>IF(ISBLANK(tbl_task1[[คะแนนเต็ม]:[คะแนนเต็ม]]),"",(tbl_task1[34]/tbl_task1[[คะแนนเต็ม]:[คะแนนเต็ม]])*tbl_task1[[%]:[%]])</f>
        <v/>
      </c>
      <c r="GW11" s="121" t="str">
        <f>IF(ISBLANK(tbl_task1[[คะแนนเต็ม]:[คะแนนเต็ม]]),"",(tbl_task1[35]/tbl_task1[[คะแนนเต็ม]:[คะแนนเต็ม]])*tbl_task1[[%]:[%]])</f>
        <v/>
      </c>
      <c r="GX11" s="121" t="str">
        <f>IF(ISBLANK(tbl_task1[[คะแนนเต็ม]:[คะแนนเต็ม]]),"",(tbl_task1[36]/tbl_task1[[คะแนนเต็ม]:[คะแนนเต็ม]])*tbl_task1[[%]:[%]])</f>
        <v/>
      </c>
      <c r="GY11" s="121" t="str">
        <f>IF(ISBLANK(tbl_task1[[คะแนนเต็ม]:[คะแนนเต็ม]]),"",(tbl_task1[37]/tbl_task1[[คะแนนเต็ม]:[คะแนนเต็ม]])*tbl_task1[[%]:[%]])</f>
        <v/>
      </c>
      <c r="GZ11" s="121" t="str">
        <f>IF(ISBLANK(tbl_task1[[คะแนนเต็ม]:[คะแนนเต็ม]]),"",(tbl_task1[38]/tbl_task1[[คะแนนเต็ม]:[คะแนนเต็ม]])*tbl_task1[[%]:[%]])</f>
        <v/>
      </c>
      <c r="HA11" s="121" t="str">
        <f>IF(ISBLANK(tbl_task1[[คะแนนเต็ม]:[คะแนนเต็ม]]),"",(tbl_task1[39]/tbl_task1[[คะแนนเต็ม]:[คะแนนเต็ม]])*tbl_task1[[%]:[%]])</f>
        <v/>
      </c>
      <c r="HB11" s="121" t="str">
        <f>IF(ISBLANK(tbl_task1[[คะแนนเต็ม]:[คะแนนเต็ม]]),"",(tbl_task1[40]/tbl_task1[[คะแนนเต็ม]:[คะแนนเต็ม]])*tbl_task1[[%]:[%]])</f>
        <v/>
      </c>
      <c r="HC11" s="121" t="str">
        <f>IF(ISBLANK(tbl_task1[[คะแนนเต็ม]:[คะแนนเต็ม]]),"",(tbl_task1[41]/tbl_task1[[คะแนนเต็ม]:[คะแนนเต็ม]])*tbl_task1[[%]:[%]])</f>
        <v/>
      </c>
      <c r="HD11" s="121" t="str">
        <f>IF(ISBLANK(tbl_task1[[คะแนนเต็ม]:[คะแนนเต็ม]]),"",(tbl_task1[42]/tbl_task1[[คะแนนเต็ม]:[คะแนนเต็ม]])*tbl_task1[[%]:[%]])</f>
        <v/>
      </c>
      <c r="HE11" s="121" t="str">
        <f>IF(ISBLANK(tbl_task1[[คะแนนเต็ม]:[คะแนนเต็ม]]),"",(tbl_task1[43]/tbl_task1[[คะแนนเต็ม]:[คะแนนเต็ม]])*tbl_task1[[%]:[%]])</f>
        <v/>
      </c>
      <c r="HF11" s="121" t="str">
        <f>IF(ISBLANK(tbl_task1[[คะแนนเต็ม]:[คะแนนเต็ม]]),"",(tbl_task1[44]/tbl_task1[[คะแนนเต็ม]:[คะแนนเต็ม]])*tbl_task1[[%]:[%]])</f>
        <v/>
      </c>
      <c r="HG11" s="121" t="str">
        <f>IF(ISBLANK(tbl_task1[[คะแนนเต็ม]:[คะแนนเต็ม]]),"",(tbl_task1[45]/tbl_task1[[คะแนนเต็ม]:[คะแนนเต็ม]])*tbl_task1[[%]:[%]])</f>
        <v/>
      </c>
      <c r="HH11" s="121" t="str">
        <f>IF(ISBLANK(tbl_task1[[คะแนนเต็ม]:[คะแนนเต็ม]]),"",(tbl_task1[46]/tbl_task1[[คะแนนเต็ม]:[คะแนนเต็ม]])*tbl_task1[[%]:[%]])</f>
        <v/>
      </c>
      <c r="HI11" s="121" t="str">
        <f>IF(ISBLANK(tbl_task1[[คะแนนเต็ม]:[คะแนนเต็ม]]),"",(tbl_task1[47]/tbl_task1[[คะแนนเต็ม]:[คะแนนเต็ม]])*tbl_task1[[%]:[%]])</f>
        <v/>
      </c>
      <c r="HJ11" s="121" t="str">
        <f>IF(ISBLANK(tbl_task1[[คะแนนเต็ม]:[คะแนนเต็ม]]),"",(tbl_task1[48]/tbl_task1[[คะแนนเต็ม]:[คะแนนเต็ม]])*tbl_task1[[%]:[%]])</f>
        <v/>
      </c>
      <c r="HK11" s="121" t="str">
        <f>IF(ISBLANK(tbl_task1[[คะแนนเต็ม]:[คะแนนเต็ม]]),"",(tbl_task1[49]/tbl_task1[[คะแนนเต็ม]:[คะแนนเต็ม]])*tbl_task1[[%]:[%]])</f>
        <v/>
      </c>
      <c r="HL11" s="121" t="str">
        <f>IF(ISBLANK(tbl_task1[[คะแนนเต็ม]:[คะแนนเต็ม]]),"",(tbl_task1[50]/tbl_task1[[คะแนนเต็ม]:[คะแนนเต็ม]])*tbl_task1[[%]:[%]])</f>
        <v/>
      </c>
      <c r="HM11" s="121" t="str">
        <f>IF(ISBLANK(tbl_task1[[คะแนนเต็ม]:[คะแนนเต็ม]]),"",(tbl_task1[51]/tbl_task1[[คะแนนเต็ม]:[คะแนนเต็ม]])*tbl_task1[[%]:[%]])</f>
        <v/>
      </c>
      <c r="HN11" s="121" t="str">
        <f>IF(ISBLANK(tbl_task1[[คะแนนเต็ม]:[คะแนนเต็ม]]),"",(tbl_task1[52]/tbl_task1[[คะแนนเต็ม]:[คะแนนเต็ม]])*tbl_task1[[%]:[%]])</f>
        <v/>
      </c>
      <c r="HO11" s="121" t="str">
        <f>IF(ISBLANK(tbl_task1[[คะแนนเต็ม]:[คะแนนเต็ม]]),"",(tbl_task1[53]/tbl_task1[[คะแนนเต็ม]:[คะแนนเต็ม]])*tbl_task1[[%]:[%]])</f>
        <v/>
      </c>
      <c r="HP11" s="121" t="str">
        <f>IF(ISBLANK(tbl_task1[[คะแนนเต็ม]:[คะแนนเต็ม]]),"",(tbl_task1[54]/tbl_task1[[คะแนนเต็ม]:[คะแนนเต็ม]])*tbl_task1[[%]:[%]])</f>
        <v/>
      </c>
      <c r="HQ11" s="121" t="str">
        <f>IF(ISBLANK(tbl_task1[[คะแนนเต็ม]:[คะแนนเต็ม]]),"",(tbl_task1[55]/tbl_task1[[คะแนนเต็ม]:[คะแนนเต็ม]])*tbl_task1[[%]:[%]])</f>
        <v/>
      </c>
      <c r="HR11" s="121" t="str">
        <f>IF(ISBLANK(tbl_task1[[คะแนนเต็ม]:[คะแนนเต็ม]]),"",(tbl_task1[56]/tbl_task1[[คะแนนเต็ม]:[คะแนนเต็ม]])*tbl_task1[[%]:[%]])</f>
        <v/>
      </c>
      <c r="HS11" s="121" t="str">
        <f>IF(ISBLANK(tbl_task1[[คะแนนเต็ม]:[คะแนนเต็ม]]),"",(tbl_task1[57]/tbl_task1[[คะแนนเต็ม]:[คะแนนเต็ม]])*tbl_task1[[%]:[%]])</f>
        <v/>
      </c>
      <c r="HT11" s="121" t="str">
        <f>IF(ISBLANK(tbl_task1[[คะแนนเต็ม]:[คะแนนเต็ม]]),"",(tbl_task1[58]/tbl_task1[[คะแนนเต็ม]:[คะแนนเต็ม]])*tbl_task1[[%]:[%]])</f>
        <v/>
      </c>
      <c r="HU11" s="121" t="str">
        <f>IF(ISBLANK(tbl_task1[[คะแนนเต็ม]:[คะแนนเต็ม]]),"",(tbl_task1[59]/tbl_task1[[คะแนนเต็ม]:[คะแนนเต็ม]])*tbl_task1[[%]:[%]])</f>
        <v/>
      </c>
      <c r="HV11" s="121" t="str">
        <f>IF(ISBLANK(tbl_task1[[คะแนนเต็ม]:[คะแนนเต็ม]]),"",(tbl_task1[60]/tbl_task1[[คะแนนเต็ม]:[คะแนนเต็ม]])*tbl_task1[[%]:[%]])</f>
        <v/>
      </c>
      <c r="HW11" s="121" t="str">
        <f>IF(ISBLANK(tbl_task1[[คะแนนเต็ม]:[คะแนนเต็ม]]),"",(tbl_task1[61]/tbl_task1[[คะแนนเต็ม]:[คะแนนเต็ม]])*tbl_task1[[%]:[%]])</f>
        <v/>
      </c>
      <c r="HX11" s="121" t="str">
        <f>IF(ISBLANK(tbl_task1[[คะแนนเต็ม]:[คะแนนเต็ม]]),"",(tbl_task1[62]/tbl_task1[[คะแนนเต็ม]:[คะแนนเต็ม]])*tbl_task1[[%]:[%]])</f>
        <v/>
      </c>
      <c r="HY11" s="121" t="str">
        <f>IF(ISBLANK(tbl_task1[[คะแนนเต็ม]:[คะแนนเต็ม]]),"",(tbl_task1[63]/tbl_task1[[คะแนนเต็ม]:[คะแนนเต็ม]])*tbl_task1[[%]:[%]])</f>
        <v/>
      </c>
      <c r="HZ11" s="121" t="str">
        <f>IF(ISBLANK(tbl_task1[[คะแนนเต็ม]:[คะแนนเต็ม]]),"",(tbl_task1[64]/tbl_task1[[คะแนนเต็ม]:[คะแนนเต็ม]])*tbl_task1[[%]:[%]])</f>
        <v/>
      </c>
      <c r="IA11" s="121" t="str">
        <f>IF(ISBLANK(tbl_task1[[คะแนนเต็ม]:[คะแนนเต็ม]]),"",(tbl_task1[65]/tbl_task1[[คะแนนเต็ม]:[คะแนนเต็ม]])*tbl_task1[[%]:[%]])</f>
        <v/>
      </c>
      <c r="IB11" s="121" t="str">
        <f>IF(ISBLANK(tbl_task1[[คะแนนเต็ม]:[คะแนนเต็ม]]),"",(tbl_task1[66]/tbl_task1[[คะแนนเต็ม]:[คะแนนเต็ม]])*tbl_task1[[%]:[%]])</f>
        <v/>
      </c>
      <c r="IC11" s="121" t="str">
        <f>IF(ISBLANK(tbl_task1[[คะแนนเต็ม]:[คะแนนเต็ม]]),"",(tbl_task1[67]/tbl_task1[[คะแนนเต็ม]:[คะแนนเต็ม]])*tbl_task1[[%]:[%]])</f>
        <v/>
      </c>
      <c r="ID11" s="121" t="str">
        <f>IF(ISBLANK(tbl_task1[[คะแนนเต็ม]:[คะแนนเต็ม]]),"",(tbl_task1[68]/tbl_task1[[คะแนนเต็ม]:[คะแนนเต็ม]])*tbl_task1[[%]:[%]])</f>
        <v/>
      </c>
      <c r="IE11" s="121" t="str">
        <f>IF(ISBLANK(tbl_task1[[คะแนนเต็ม]:[คะแนนเต็ม]]),"",(tbl_task1[69]/tbl_task1[[คะแนนเต็ม]:[คะแนนเต็ม]])*tbl_task1[[%]:[%]])</f>
        <v/>
      </c>
      <c r="IF11" s="121" t="str">
        <f>IF(ISBLANK(tbl_task1[[คะแนนเต็ม]:[คะแนนเต็ม]]),"",(tbl_task1[70]/tbl_task1[[คะแนนเต็ม]:[คะแนนเต็ม]])*tbl_task1[[%]:[%]])</f>
        <v/>
      </c>
      <c r="IG11" s="121" t="str">
        <f>IF(ISBLANK(tbl_task1[[คะแนนเต็ม]:[คะแนนเต็ม]]),"",(tbl_task1[71]/tbl_task1[[คะแนนเต็ม]:[คะแนนเต็ม]])*tbl_task1[[%]:[%]])</f>
        <v/>
      </c>
      <c r="IH11" s="121" t="str">
        <f>IF(ISBLANK(tbl_task1[[คะแนนเต็ม]:[คะแนนเต็ม]]),"",(tbl_task1[72]/tbl_task1[[คะแนนเต็ม]:[คะแนนเต็ม]])*tbl_task1[[%]:[%]])</f>
        <v/>
      </c>
      <c r="II11" s="121" t="str">
        <f>IF(ISBLANK(tbl_task1[[คะแนนเต็ม]:[คะแนนเต็ม]]),"",(tbl_task1[73]/tbl_task1[[คะแนนเต็ม]:[คะแนนเต็ม]])*tbl_task1[[%]:[%]])</f>
        <v/>
      </c>
      <c r="IJ11" s="121" t="str">
        <f>IF(ISBLANK(tbl_task1[[คะแนนเต็ม]:[คะแนนเต็ม]]),"",(tbl_task1[74]/tbl_task1[[คะแนนเต็ม]:[คะแนนเต็ม]])*tbl_task1[[%]:[%]])</f>
        <v/>
      </c>
      <c r="IK11" s="121" t="str">
        <f>IF(ISBLANK(tbl_task1[[คะแนนเต็ม]:[คะแนนเต็ม]]),"",(tbl_task1[75]/tbl_task1[[คะแนนเต็ม]:[คะแนนเต็ม]])*tbl_task1[[%]:[%]])</f>
        <v/>
      </c>
      <c r="IL11" s="121" t="str">
        <f>IF(ISBLANK(tbl_task1[[คะแนนเต็ม]:[คะแนนเต็ม]]),"",(tbl_task1[76]/tbl_task1[[คะแนนเต็ม]:[คะแนนเต็ม]])*tbl_task1[[%]:[%]])</f>
        <v/>
      </c>
      <c r="IM11" s="121" t="str">
        <f>IF(ISBLANK(tbl_task1[[คะแนนเต็ม]:[คะแนนเต็ม]]),"",(tbl_task1[77]/tbl_task1[[คะแนนเต็ม]:[คะแนนเต็ม]])*tbl_task1[[%]:[%]])</f>
        <v/>
      </c>
      <c r="IN11" s="121" t="str">
        <f>IF(ISBLANK(tbl_task1[[คะแนนเต็ม]:[คะแนนเต็ม]]),"",(tbl_task1[78]/tbl_task1[[คะแนนเต็ม]:[คะแนนเต็ม]])*tbl_task1[[%]:[%]])</f>
        <v/>
      </c>
      <c r="IO11" s="121" t="str">
        <f>IF(ISBLANK(tbl_task1[[คะแนนเต็ม]:[คะแนนเต็ม]]),"",(tbl_task1[79]/tbl_task1[[คะแนนเต็ม]:[คะแนนเต็ม]])*tbl_task1[[%]:[%]])</f>
        <v/>
      </c>
      <c r="IP11" s="121" t="str">
        <f>IF(ISBLANK(tbl_task1[[คะแนนเต็ม]:[คะแนนเต็ม]]),"",(tbl_task1[80]/tbl_task1[[คะแนนเต็ม]:[คะแนนเต็ม]])*tbl_task1[[%]:[%]])</f>
        <v/>
      </c>
      <c r="IQ11" s="121" t="str">
        <f>IF(ISBLANK(tbl_task1[[คะแนนเต็ม]:[คะแนนเต็ม]]),"",(tbl_task1[81]/tbl_task1[[คะแนนเต็ม]:[คะแนนเต็ม]])*tbl_task1[[%]:[%]])</f>
        <v/>
      </c>
      <c r="IR11" s="121" t="str">
        <f>IF(ISBLANK(tbl_task1[[คะแนนเต็ม]:[คะแนนเต็ม]]),"",(tbl_task1[82]/tbl_task1[[คะแนนเต็ม]:[คะแนนเต็ม]])*tbl_task1[[%]:[%]])</f>
        <v/>
      </c>
      <c r="IS11" s="121" t="str">
        <f>IF(ISBLANK(tbl_task1[[คะแนนเต็ม]:[คะแนนเต็ม]]),"",(tbl_task1[83]/tbl_task1[[คะแนนเต็ม]:[คะแนนเต็ม]])*tbl_task1[[%]:[%]])</f>
        <v/>
      </c>
      <c r="IT11" s="121" t="str">
        <f>IF(ISBLANK(tbl_task1[[คะแนนเต็ม]:[คะแนนเต็ม]]),"",(tbl_task1[84]/tbl_task1[[คะแนนเต็ม]:[คะแนนเต็ม]])*tbl_task1[[%]:[%]])</f>
        <v/>
      </c>
      <c r="IU11" s="121" t="str">
        <f>IF(ISBLANK(tbl_task1[[คะแนนเต็ม]:[คะแนนเต็ม]]),"",(tbl_task1[85]/tbl_task1[[คะแนนเต็ม]:[คะแนนเต็ม]])*tbl_task1[[%]:[%]])</f>
        <v/>
      </c>
      <c r="IV11" s="121" t="str">
        <f>IF(ISBLANK(tbl_task1[[คะแนนเต็ม]:[คะแนนเต็ม]]),"",(tbl_task1[86]/tbl_task1[[คะแนนเต็ม]:[คะแนนเต็ม]])*tbl_task1[[%]:[%]])</f>
        <v/>
      </c>
      <c r="IW11" s="121" t="str">
        <f>IF(ISBLANK(tbl_task1[[คะแนนเต็ม]:[คะแนนเต็ม]]),"",(tbl_task1[87]/tbl_task1[[คะแนนเต็ม]:[คะแนนเต็ม]])*tbl_task1[[%]:[%]])</f>
        <v/>
      </c>
      <c r="IX11" s="121" t="str">
        <f>IF(ISBLANK(tbl_task1[[คะแนนเต็ม]:[คะแนนเต็ม]]),"",(tbl_task1[88]/tbl_task1[[คะแนนเต็ม]:[คะแนนเต็ม]])*tbl_task1[[%]:[%]])</f>
        <v/>
      </c>
      <c r="IY11" s="121" t="str">
        <f>IF(ISBLANK(tbl_task1[[คะแนนเต็ม]:[คะแนนเต็ม]]),"",(tbl_task1[89]/tbl_task1[[คะแนนเต็ม]:[คะแนนเต็ม]])*tbl_task1[[%]:[%]])</f>
        <v/>
      </c>
      <c r="IZ11" s="121" t="str">
        <f>IF(ISBLANK(tbl_task1[[คะแนนเต็ม]:[คะแนนเต็ม]]),"",(tbl_task1[90]/tbl_task1[[คะแนนเต็ม]:[คะแนนเต็ม]])*tbl_task1[[%]:[%]])</f>
        <v/>
      </c>
      <c r="JA11" s="121" t="str">
        <f>IF(ISBLANK(tbl_task1[[คะแนนเต็ม]:[คะแนนเต็ม]]),"",(tbl_task1[91]/tbl_task1[[คะแนนเต็ม]:[คะแนนเต็ม]])*tbl_task1[[%]:[%]])</f>
        <v/>
      </c>
      <c r="JB11" s="121" t="str">
        <f>IF(ISBLANK(tbl_task1[[คะแนนเต็ม]:[คะแนนเต็ม]]),"",(tbl_task1[92]/tbl_task1[[คะแนนเต็ม]:[คะแนนเต็ม]])*tbl_task1[[%]:[%]])</f>
        <v/>
      </c>
      <c r="JC11" s="121" t="str">
        <f>IF(ISBLANK(tbl_task1[[คะแนนเต็ม]:[คะแนนเต็ม]]),"",(tbl_task1[93]/tbl_task1[[คะแนนเต็ม]:[คะแนนเต็ม]])*tbl_task1[[%]:[%]])</f>
        <v/>
      </c>
      <c r="JD11" s="121" t="str">
        <f>IF(ISBLANK(tbl_task1[[คะแนนเต็ม]:[คะแนนเต็ม]]),"",(tbl_task1[94]/tbl_task1[[คะแนนเต็ม]:[คะแนนเต็ม]])*tbl_task1[[%]:[%]])</f>
        <v/>
      </c>
      <c r="JE11" s="121" t="str">
        <f>IF(ISBLANK(tbl_task1[[คะแนนเต็ม]:[คะแนนเต็ม]]),"",(tbl_task1[95]/tbl_task1[[คะแนนเต็ม]:[คะแนนเต็ม]])*tbl_task1[[%]:[%]])</f>
        <v/>
      </c>
      <c r="JF11" s="121" t="str">
        <f>IF(ISBLANK(tbl_task1[[คะแนนเต็ม]:[คะแนนเต็ม]]),"",(tbl_task1[96]/tbl_task1[[คะแนนเต็ม]:[คะแนนเต็ม]])*tbl_task1[[%]:[%]])</f>
        <v/>
      </c>
      <c r="JG11" s="121" t="str">
        <f>IF(ISBLANK(tbl_task1[[คะแนนเต็ม]:[คะแนนเต็ม]]),"",(tbl_task1[97]/tbl_task1[[คะแนนเต็ม]:[คะแนนเต็ม]])*tbl_task1[[%]:[%]])</f>
        <v/>
      </c>
      <c r="JH11" s="121" t="str">
        <f>IF(ISBLANK(tbl_task1[[คะแนนเต็ม]:[คะแนนเต็ม]]),"",(tbl_task1[98]/tbl_task1[[คะแนนเต็ม]:[คะแนนเต็ม]])*tbl_task1[[%]:[%]])</f>
        <v/>
      </c>
      <c r="JI11" s="121" t="str">
        <f>IF(ISBLANK(tbl_task1[[คะแนนเต็ม]:[คะแนนเต็ม]]),"",(tbl_task1[99]/tbl_task1[[คะแนนเต็ม]:[คะแนนเต็ม]])*tbl_task1[[%]:[%]])</f>
        <v/>
      </c>
      <c r="JJ11" s="121" t="str">
        <f>IF(ISBLANK(tbl_task1[[คะแนนเต็ม]:[คะแนนเต็ม]]),"",(tbl_task1[100]/tbl_task1[[คะแนนเต็ม]:[คะแนนเต็ม]])*tbl_task1[[%]:[%]])</f>
        <v/>
      </c>
      <c r="JK11" s="121" t="str">
        <f>IF(ISBLANK(tbl_task1[[คะแนนเต็ม]:[คะแนนเต็ม]]),"",(tbl_task1[101]/tbl_task1[[คะแนนเต็ม]:[คะแนนเต็ม]])*tbl_task1[[%]:[%]])</f>
        <v/>
      </c>
      <c r="JL11" s="121" t="str">
        <f>IF(ISBLANK(tbl_task1[[คะแนนเต็ม]:[คะแนนเต็ม]]),"",(tbl_task1[102]/tbl_task1[[คะแนนเต็ม]:[คะแนนเต็ม]])*tbl_task1[[%]:[%]])</f>
        <v/>
      </c>
      <c r="JM11" s="121" t="str">
        <f>IF(ISBLANK(tbl_task1[[คะแนนเต็ม]:[คะแนนเต็ม]]),"",(tbl_task1[103]/tbl_task1[[คะแนนเต็ม]:[คะแนนเต็ม]])*tbl_task1[[%]:[%]])</f>
        <v/>
      </c>
      <c r="JN11" s="121" t="str">
        <f>IF(ISBLANK(tbl_task1[[คะแนนเต็ม]:[คะแนนเต็ม]]),"",(tbl_task1[104]/tbl_task1[[คะแนนเต็ม]:[คะแนนเต็ม]])*tbl_task1[[%]:[%]])</f>
        <v/>
      </c>
      <c r="JO11" s="121" t="str">
        <f>IF(ISBLANK(tbl_task1[[คะแนนเต็ม]:[คะแนนเต็ม]]),"",(tbl_task1[105]/tbl_task1[[คะแนนเต็ม]:[คะแนนเต็ม]])*tbl_task1[[%]:[%]])</f>
        <v/>
      </c>
      <c r="JP11" s="121" t="str">
        <f>IF(ISBLANK(tbl_task1[[คะแนนเต็ม]:[คะแนนเต็ม]]),"",(tbl_task1[106]/tbl_task1[[คะแนนเต็ม]:[คะแนนเต็ม]])*tbl_task1[[%]:[%]])</f>
        <v/>
      </c>
      <c r="JQ11" s="121" t="str">
        <f>IF(ISBLANK(tbl_task1[[คะแนนเต็ม]:[คะแนนเต็ม]]),"",(tbl_task1[107]/tbl_task1[[คะแนนเต็ม]:[คะแนนเต็ม]])*tbl_task1[[%]:[%]])</f>
        <v/>
      </c>
      <c r="JR11" s="121" t="str">
        <f>IF(ISBLANK(tbl_task1[[คะแนนเต็ม]:[คะแนนเต็ม]]),"",(tbl_task1[108]/tbl_task1[[คะแนนเต็ม]:[คะแนนเต็ม]])*tbl_task1[[%]:[%]])</f>
        <v/>
      </c>
      <c r="JS11" s="121" t="str">
        <f>IF(ISBLANK(tbl_task1[[คะแนนเต็ม]:[คะแนนเต็ม]]),"",(tbl_task1[109]/tbl_task1[[คะแนนเต็ม]:[คะแนนเต็ม]])*tbl_task1[[%]:[%]])</f>
        <v/>
      </c>
      <c r="JT11" s="121" t="str">
        <f>IF(ISBLANK(tbl_task1[[คะแนนเต็ม]:[คะแนนเต็ม]]),"",(tbl_task1[110]/tbl_task1[[คะแนนเต็ม]:[คะแนนเต็ม]])*tbl_task1[[%]:[%]])</f>
        <v/>
      </c>
      <c r="JU11" s="121" t="str">
        <f>IF(ISBLANK(tbl_task1[[คะแนนเต็ม]:[คะแนนเต็ม]]),"",(tbl_task1[111]/tbl_task1[[คะแนนเต็ม]:[คะแนนเต็ม]])*tbl_task1[[%]:[%]])</f>
        <v/>
      </c>
      <c r="JV11" s="121" t="str">
        <f>IF(ISBLANK(tbl_task1[[คะแนนเต็ม]:[คะแนนเต็ม]]),"",(tbl_task1[112]/tbl_task1[[คะแนนเต็ม]:[คะแนนเต็ม]])*tbl_task1[[%]:[%]])</f>
        <v/>
      </c>
      <c r="JW11" s="121" t="str">
        <f>IF(ISBLANK(tbl_task1[[คะแนนเต็ม]:[คะแนนเต็ม]]),"",(tbl_task1[113]/tbl_task1[[คะแนนเต็ม]:[คะแนนเต็ม]])*tbl_task1[[%]:[%]])</f>
        <v/>
      </c>
      <c r="JX11" s="121" t="str">
        <f>IF(ISBLANK(tbl_task1[[คะแนนเต็ม]:[คะแนนเต็ม]]),"",(tbl_task1[114]/tbl_task1[[คะแนนเต็ม]:[คะแนนเต็ม]])*tbl_task1[[%]:[%]])</f>
        <v/>
      </c>
      <c r="JY11" s="121" t="str">
        <f>IF(ISBLANK(tbl_task1[[คะแนนเต็ม]:[คะแนนเต็ม]]),"",(tbl_task1[115]/tbl_task1[[คะแนนเต็ม]:[คะแนนเต็ม]])*tbl_task1[[%]:[%]])</f>
        <v/>
      </c>
      <c r="JZ11" s="121" t="str">
        <f>IF(ISBLANK(tbl_task1[[คะแนนเต็ม]:[คะแนนเต็ม]]),"",(tbl_task1[116]/tbl_task1[[คะแนนเต็ม]:[คะแนนเต็ม]])*tbl_task1[[%]:[%]])</f>
        <v/>
      </c>
      <c r="KA11" s="121" t="str">
        <f>IF(ISBLANK(tbl_task1[[คะแนนเต็ม]:[คะแนนเต็ม]]),"",(tbl_task1[117]/tbl_task1[[คะแนนเต็ม]:[คะแนนเต็ม]])*tbl_task1[[%]:[%]])</f>
        <v/>
      </c>
      <c r="KB11" s="121" t="str">
        <f>IF(ISBLANK(tbl_task1[[คะแนนเต็ม]:[คะแนนเต็ม]]),"",(tbl_task1[118]/tbl_task1[[คะแนนเต็ม]:[คะแนนเต็ม]])*tbl_task1[[%]:[%]])</f>
        <v/>
      </c>
      <c r="KC11" s="121" t="str">
        <f>IF(ISBLANK(tbl_task1[[คะแนนเต็ม]:[คะแนนเต็ม]]),"",(tbl_task1[119]/tbl_task1[[คะแนนเต็ม]:[คะแนนเต็ม]])*tbl_task1[[%]:[%]])</f>
        <v/>
      </c>
      <c r="KD11" s="121" t="str">
        <f>IF(ISBLANK(tbl_task1[[คะแนนเต็ม]:[คะแนนเต็ม]]),"",(tbl_task1[120]/tbl_task1[[คะแนนเต็ม]:[คะแนนเต็ม]])*tbl_task1[[%]:[%]])</f>
        <v/>
      </c>
      <c r="KE11" s="121" t="str">
        <f>IF(ISBLANK(tbl_task1[[คะแนนเต็ม]:[คะแนนเต็ม]]),"",(tbl_task1[121]/tbl_task1[[คะแนนเต็ม]:[คะแนนเต็ม]])*tbl_task1[[%]:[%]])</f>
        <v/>
      </c>
      <c r="KF11" s="121" t="str">
        <f>IF(ISBLANK(tbl_task1[[คะแนนเต็ม]:[คะแนนเต็ม]]),"",(tbl_task1[122]/tbl_task1[[คะแนนเต็ม]:[คะแนนเต็ม]])*tbl_task1[[%]:[%]])</f>
        <v/>
      </c>
      <c r="KG11" s="121" t="str">
        <f>IF(ISBLANK(tbl_task1[[คะแนนเต็ม]:[คะแนนเต็ม]]),"",(tbl_task1[123]/tbl_task1[[คะแนนเต็ม]:[คะแนนเต็ม]])*tbl_task1[[%]:[%]])</f>
        <v/>
      </c>
      <c r="KH11" s="121" t="str">
        <f>IF(ISBLANK(tbl_task1[[คะแนนเต็ม]:[คะแนนเต็ม]]),"",(tbl_task1[124]/tbl_task1[[คะแนนเต็ม]:[คะแนนเต็ม]])*tbl_task1[[%]:[%]])</f>
        <v/>
      </c>
      <c r="KI11" s="121" t="str">
        <f>IF(ISBLANK(tbl_task1[[คะแนนเต็ม]:[คะแนนเต็ม]]),"",(tbl_task1[125]/tbl_task1[[คะแนนเต็ม]:[คะแนนเต็ม]])*tbl_task1[[%]:[%]])</f>
        <v/>
      </c>
      <c r="KJ11" s="121" t="str">
        <f>IF(ISBLANK(tbl_task1[[คะแนนเต็ม]:[คะแนนเต็ม]]),"",(tbl_task1[126]/tbl_task1[[คะแนนเต็ม]:[คะแนนเต็ม]])*tbl_task1[[%]:[%]])</f>
        <v/>
      </c>
      <c r="KK11" s="121" t="str">
        <f>IF(ISBLANK(tbl_task1[[คะแนนเต็ม]:[คะแนนเต็ม]]),"",(tbl_task1[127]/tbl_task1[[คะแนนเต็ม]:[คะแนนเต็ม]])*tbl_task1[[%]:[%]])</f>
        <v/>
      </c>
      <c r="KL11" s="121" t="str">
        <f>IF(ISBLANK(tbl_task1[[คะแนนเต็ม]:[คะแนนเต็ม]]),"",(tbl_task1[128]/tbl_task1[[คะแนนเต็ม]:[คะแนนเต็ม]])*tbl_task1[[%]:[%]])</f>
        <v/>
      </c>
      <c r="KM11" s="121" t="str">
        <f>IF(ISBLANK(tbl_task1[[คะแนนเต็ม]:[คะแนนเต็ม]]),"",(tbl_task1[129]/tbl_task1[[คะแนนเต็ม]:[คะแนนเต็ม]])*tbl_task1[[%]:[%]])</f>
        <v/>
      </c>
      <c r="KN11" s="121" t="str">
        <f>IF(ISBLANK(tbl_task1[[คะแนนเต็ม]:[คะแนนเต็ม]]),"",(tbl_task1[130]/tbl_task1[[คะแนนเต็ม]:[คะแนนเต็ม]])*tbl_task1[[%]:[%]])</f>
        <v/>
      </c>
      <c r="KO11" s="121" t="str">
        <f>IF(ISBLANK(tbl_task1[[คะแนนเต็ม]:[คะแนนเต็ม]]),"",(tbl_task1[131]/tbl_task1[[คะแนนเต็ม]:[คะแนนเต็ม]])*tbl_task1[[%]:[%]])</f>
        <v/>
      </c>
      <c r="KP11" s="121" t="str">
        <f>IF(ISBLANK(tbl_task1[[คะแนนเต็ม]:[คะแนนเต็ม]]),"",(tbl_task1[132]/tbl_task1[[คะแนนเต็ม]:[คะแนนเต็ม]])*tbl_task1[[%]:[%]])</f>
        <v/>
      </c>
      <c r="KQ11" s="121" t="str">
        <f>IF(ISBLANK(tbl_task1[[คะแนนเต็ม]:[คะแนนเต็ม]]),"",(tbl_task1[133]/tbl_task1[[คะแนนเต็ม]:[คะแนนเต็ม]])*tbl_task1[[%]:[%]])</f>
        <v/>
      </c>
      <c r="KR11" s="121" t="str">
        <f>IF(ISBLANK(tbl_task1[[คะแนนเต็ม]:[คะแนนเต็ม]]),"",(tbl_task1[134]/tbl_task1[[คะแนนเต็ม]:[คะแนนเต็ม]])*tbl_task1[[%]:[%]])</f>
        <v/>
      </c>
      <c r="KS11" s="121" t="str">
        <f>IF(ISBLANK(tbl_task1[[คะแนนเต็ม]:[คะแนนเต็ม]]),"",(tbl_task1[135]/tbl_task1[[คะแนนเต็ม]:[คะแนนเต็ม]])*tbl_task1[[%]:[%]])</f>
        <v/>
      </c>
      <c r="KT11" s="121" t="str">
        <f>IF(ISBLANK(tbl_task1[[คะแนนเต็ม]:[คะแนนเต็ม]]),"",(tbl_task1[136]/tbl_task1[[คะแนนเต็ม]:[คะแนนเต็ม]])*tbl_task1[[%]:[%]])</f>
        <v/>
      </c>
      <c r="KU11" s="121" t="str">
        <f>IF(ISBLANK(tbl_task1[[คะแนนเต็ม]:[คะแนนเต็ม]]),"",(tbl_task1[137]/tbl_task1[[คะแนนเต็ม]:[คะแนนเต็ม]])*tbl_task1[[%]:[%]])</f>
        <v/>
      </c>
      <c r="KV11" s="121" t="str">
        <f>IF(ISBLANK(tbl_task1[[คะแนนเต็ม]:[คะแนนเต็ม]]),"",(tbl_task1[138]/tbl_task1[[คะแนนเต็ม]:[คะแนนเต็ม]])*tbl_task1[[%]:[%]])</f>
        <v/>
      </c>
      <c r="KW11" s="121" t="str">
        <f>IF(ISBLANK(tbl_task1[[คะแนนเต็ม]:[คะแนนเต็ม]]),"",(tbl_task1[139]/tbl_task1[[คะแนนเต็ม]:[คะแนนเต็ม]])*tbl_task1[[%]:[%]])</f>
        <v/>
      </c>
      <c r="KX11" s="121" t="str">
        <f>IF(ISBLANK(tbl_task1[[คะแนนเต็ม]:[คะแนนเต็ม]]),"",(tbl_task1[140]/tbl_task1[[คะแนนเต็ม]:[คะแนนเต็ม]])*tbl_task1[[%]:[%]])</f>
        <v/>
      </c>
      <c r="KY11" s="121" t="str">
        <f>IF(ISBLANK(tbl_task1[[คะแนนเต็ม]:[คะแนนเต็ม]]),"",(tbl_task1[141]/tbl_task1[[คะแนนเต็ม]:[คะแนนเต็ม]])*tbl_task1[[%]:[%]])</f>
        <v/>
      </c>
      <c r="KZ11" s="121" t="str">
        <f>IF(ISBLANK(tbl_task1[[คะแนนเต็ม]:[คะแนนเต็ม]]),"",(tbl_task1[142]/tbl_task1[[คะแนนเต็ม]:[คะแนนเต็ม]])*tbl_task1[[%]:[%]])</f>
        <v/>
      </c>
      <c r="LA11" s="121" t="str">
        <f>IF(ISBLANK(tbl_task1[[คะแนนเต็ม]:[คะแนนเต็ม]]),"",(tbl_task1[143]/tbl_task1[[คะแนนเต็ม]:[คะแนนเต็ม]])*tbl_task1[[%]:[%]])</f>
        <v/>
      </c>
      <c r="LB11" s="121" t="str">
        <f>IF(ISBLANK(tbl_task1[[คะแนนเต็ม]:[คะแนนเต็ม]]),"",(tbl_task1[144]/tbl_task1[[คะแนนเต็ม]:[คะแนนเต็ม]])*tbl_task1[[%]:[%]])</f>
        <v/>
      </c>
      <c r="LC11" s="121" t="str">
        <f>IF(ISBLANK(tbl_task1[[คะแนนเต็ม]:[คะแนนเต็ม]]),"",(tbl_task1[145]/tbl_task1[[คะแนนเต็ม]:[คะแนนเต็ม]])*tbl_task1[[%]:[%]])</f>
        <v/>
      </c>
      <c r="LD11" s="121" t="str">
        <f>IF(ISBLANK(tbl_task1[[คะแนนเต็ม]:[คะแนนเต็ม]]),"",(tbl_task1[146]/tbl_task1[[คะแนนเต็ม]:[คะแนนเต็ม]])*tbl_task1[[%]:[%]])</f>
        <v/>
      </c>
      <c r="LE11" s="121" t="str">
        <f>IF(ISBLANK(tbl_task1[[คะแนนเต็ม]:[คะแนนเต็ม]]),"",(tbl_task1[147]/tbl_task1[[คะแนนเต็ม]:[คะแนนเต็ม]])*tbl_task1[[%]:[%]])</f>
        <v/>
      </c>
      <c r="LF11" s="121" t="str">
        <f>IF(ISBLANK(tbl_task1[[คะแนนเต็ม]:[คะแนนเต็ม]]),"",(tbl_task1[148]/tbl_task1[[คะแนนเต็ม]:[คะแนนเต็ม]])*tbl_task1[[%]:[%]])</f>
        <v/>
      </c>
      <c r="LG11" s="121" t="str">
        <f>IF(ISBLANK(tbl_task1[[คะแนนเต็ม]:[คะแนนเต็ม]]),"",(tbl_task1[149]/tbl_task1[[คะแนนเต็ม]:[คะแนนเต็ม]])*tbl_task1[[%]:[%]])</f>
        <v/>
      </c>
      <c r="LH11" s="121" t="str">
        <f>IF(ISBLANK(tbl_task1[[คะแนนเต็ม]:[คะแนนเต็ม]]),"",(tbl_task1[150]/tbl_task1[[คะแนนเต็ม]:[คะแนนเต็ม]])*tbl_task1[[%]:[%]])</f>
        <v/>
      </c>
      <c r="LI11" s="121" t="str">
        <f>IF(ISBLANK(tbl_task1[[คะแนนเต็ม]:[คะแนนเต็ม]]),"",(tbl_task1[151]/tbl_task1[[คะแนนเต็ม]:[คะแนนเต็ม]])*tbl_task1[[%]:[%]])</f>
        <v/>
      </c>
      <c r="LJ11" s="121" t="str">
        <f>IF(ISBLANK(tbl_task1[[คะแนนเต็ม]:[คะแนนเต็ม]]),"",(tbl_task1[152]/tbl_task1[[คะแนนเต็ม]:[คะแนนเต็ม]])*tbl_task1[[%]:[%]])</f>
        <v/>
      </c>
      <c r="LK11" s="121" t="str">
        <f>IF(ISBLANK(tbl_task1[[คะแนนเต็ม]:[คะแนนเต็ม]]),"",(tbl_task1[153]/tbl_task1[[คะแนนเต็ม]:[คะแนนเต็ม]])*tbl_task1[[%]:[%]])</f>
        <v/>
      </c>
      <c r="LL11" s="121" t="str">
        <f>IF(ISBLANK(tbl_task1[[คะแนนเต็ม]:[คะแนนเต็ม]]),"",(tbl_task1[154]/tbl_task1[[คะแนนเต็ม]:[คะแนนเต็ม]])*tbl_task1[[%]:[%]])</f>
        <v/>
      </c>
      <c r="LM11" s="121" t="str">
        <f>IF(ISBLANK(tbl_task1[[คะแนนเต็ม]:[คะแนนเต็ม]]),"",(tbl_task1[155]/tbl_task1[[คะแนนเต็ม]:[คะแนนเต็ม]])*tbl_task1[[%]:[%]])</f>
        <v/>
      </c>
      <c r="LN11" s="121" t="str">
        <f>IF(ISBLANK(tbl_task1[[คะแนนเต็ม]:[คะแนนเต็ม]]),"",(tbl_task1[156]/tbl_task1[[คะแนนเต็ม]:[คะแนนเต็ม]])*tbl_task1[[%]:[%]])</f>
        <v/>
      </c>
      <c r="LO11" s="121" t="str">
        <f>IF(ISBLANK(tbl_task1[[คะแนนเต็ม]:[คะแนนเต็ม]]),"",(tbl_task1[157]/tbl_task1[[คะแนนเต็ม]:[คะแนนเต็ม]])*tbl_task1[[%]:[%]])</f>
        <v/>
      </c>
      <c r="LP11" s="121" t="str">
        <f>IF(ISBLANK(tbl_task1[[คะแนนเต็ม]:[คะแนนเต็ม]]),"",(tbl_task1[158]/tbl_task1[[คะแนนเต็ม]:[คะแนนเต็ม]])*tbl_task1[[%]:[%]])</f>
        <v/>
      </c>
      <c r="LQ11" s="121" t="str">
        <f>IF(ISBLANK(tbl_task1[[คะแนนเต็ม]:[คะแนนเต็ม]]),"",(tbl_task1[159]/tbl_task1[[คะแนนเต็ม]:[คะแนนเต็ม]])*tbl_task1[[%]:[%]])</f>
        <v/>
      </c>
      <c r="LR11" s="121" t="str">
        <f>IF(ISBLANK(tbl_task1[[คะแนนเต็ม]:[คะแนนเต็ม]]),"",(tbl_task1[160]/tbl_task1[[คะแนนเต็ม]:[คะแนนเต็ม]])*tbl_task1[[%]:[%]])</f>
        <v/>
      </c>
      <c r="LS11" s="121" t="str">
        <f>IF(ISBLANK(tbl_task1[[คะแนนเต็ม]:[คะแนนเต็ม]]),"",(tbl_task1[161]/tbl_task1[[คะแนนเต็ม]:[คะแนนเต็ม]])*tbl_task1[[%]:[%]])</f>
        <v/>
      </c>
      <c r="LT11" s="121" t="str">
        <f>IF(ISBLANK(tbl_task1[[คะแนนเต็ม]:[คะแนนเต็ม]]),"",(tbl_task1[162]/tbl_task1[[คะแนนเต็ม]:[คะแนนเต็ม]])*tbl_task1[[%]:[%]])</f>
        <v/>
      </c>
      <c r="LU11" s="121" t="str">
        <f>IF(ISBLANK(tbl_task1[[คะแนนเต็ม]:[คะแนนเต็ม]]),"",(tbl_task1[163]/tbl_task1[[คะแนนเต็ม]:[คะแนนเต็ม]])*tbl_task1[[%]:[%]])</f>
        <v/>
      </c>
      <c r="LV11" s="121" t="str">
        <f>IF(ISBLANK(tbl_task1[[คะแนนเต็ม]:[คะแนนเต็ม]]),"",(tbl_task1[164]/tbl_task1[[คะแนนเต็ม]:[คะแนนเต็ม]])*tbl_task1[[%]:[%]])</f>
        <v/>
      </c>
      <c r="LW11" s="121" t="str">
        <f>IF(ISBLANK(tbl_task1[[คะแนนเต็ม]:[คะแนนเต็ม]]),"",(tbl_task1[165]/tbl_task1[[คะแนนเต็ม]:[คะแนนเต็ม]])*tbl_task1[[%]:[%]])</f>
        <v/>
      </c>
    </row>
    <row r="12" spans="1:335" ht="24" customHeight="1" x14ac:dyDescent="0.25">
      <c r="A12" s="24">
        <v>9</v>
      </c>
      <c r="B12" s="20"/>
      <c r="C12" s="5" t="str">
        <f>IF(ISBLANK(B12),"",VLOOKUP(B12,tbl_PLOs[],2,0))</f>
        <v/>
      </c>
      <c r="D12" s="102"/>
      <c r="E12" s="106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22"/>
      <c r="FO12" s="121" t="str">
        <f>IF(ISBLANK(tbl_task1[[คะแนนเต็ม]:[คะแนนเต็ม]]),"",(tbl_task1[1]/tbl_task1[[คะแนนเต็ม]:[คะแนนเต็ม]])*tbl_task1[[%]:[%]])</f>
        <v/>
      </c>
      <c r="FP12" s="121" t="str">
        <f>IF(ISBLANK(tbl_task1[[คะแนนเต็ม]:[คะแนนเต็ม]]),"",(tbl_task1[2]/tbl_task1[[คะแนนเต็ม]:[คะแนนเต็ม]])*tbl_task1[[%]:[%]])</f>
        <v/>
      </c>
      <c r="FQ12" s="121" t="str">
        <f>IF(ISBLANK(tbl_task1[[คะแนนเต็ม]:[คะแนนเต็ม]]),"",(tbl_task1[3]/tbl_task1[[คะแนนเต็ม]:[คะแนนเต็ม]])*tbl_task1[[%]:[%]])</f>
        <v/>
      </c>
      <c r="FR12" s="121" t="str">
        <f>IF(ISBLANK(tbl_task1[[คะแนนเต็ม]:[คะแนนเต็ม]]),"",(tbl_task1[4]/tbl_task1[[คะแนนเต็ม]:[คะแนนเต็ม]])*tbl_task1[[%]:[%]])</f>
        <v/>
      </c>
      <c r="FS12" s="121" t="str">
        <f>IF(ISBLANK(tbl_task1[[คะแนนเต็ม]:[คะแนนเต็ม]]),"",(tbl_task1[5]/tbl_task1[[คะแนนเต็ม]:[คะแนนเต็ม]])*tbl_task1[[%]:[%]])</f>
        <v/>
      </c>
      <c r="FT12" s="121" t="str">
        <f>IF(ISBLANK(tbl_task1[[คะแนนเต็ม]:[คะแนนเต็ม]]),"",(tbl_task1[6]/tbl_task1[[คะแนนเต็ม]:[คะแนนเต็ม]])*tbl_task1[[%]:[%]])</f>
        <v/>
      </c>
      <c r="FU12" s="121" t="str">
        <f>IF(ISBLANK(tbl_task1[[คะแนนเต็ม]:[คะแนนเต็ม]]),"",(tbl_task1[7]/tbl_task1[[คะแนนเต็ม]:[คะแนนเต็ม]])*tbl_task1[[%]:[%]])</f>
        <v/>
      </c>
      <c r="FV12" s="121" t="str">
        <f>IF(ISBLANK(tbl_task1[[คะแนนเต็ม]:[คะแนนเต็ม]]),"",(tbl_task1[8]/tbl_task1[[คะแนนเต็ม]:[คะแนนเต็ม]])*tbl_task1[[%]:[%]])</f>
        <v/>
      </c>
      <c r="FW12" s="121" t="str">
        <f>IF(ISBLANK(tbl_task1[[คะแนนเต็ม]:[คะแนนเต็ม]]),"",(tbl_task1[9]/tbl_task1[[คะแนนเต็ม]:[คะแนนเต็ม]])*tbl_task1[[%]:[%]])</f>
        <v/>
      </c>
      <c r="FX12" s="121" t="str">
        <f>IF(ISBLANK(tbl_task1[[คะแนนเต็ม]:[คะแนนเต็ม]]),"",(tbl_task1[10]/tbl_task1[[คะแนนเต็ม]:[คะแนนเต็ม]])*tbl_task1[[%]:[%]])</f>
        <v/>
      </c>
      <c r="FY12" s="121" t="str">
        <f>IF(ISBLANK(tbl_task1[[คะแนนเต็ม]:[คะแนนเต็ม]]),"",(tbl_task1[11]/tbl_task1[[คะแนนเต็ม]:[คะแนนเต็ม]])*tbl_task1[[%]:[%]])</f>
        <v/>
      </c>
      <c r="FZ12" s="121" t="str">
        <f>IF(ISBLANK(tbl_task1[[คะแนนเต็ม]:[คะแนนเต็ม]]),"",(tbl_task1[12]/tbl_task1[[คะแนนเต็ม]:[คะแนนเต็ม]])*tbl_task1[[%]:[%]])</f>
        <v/>
      </c>
      <c r="GA12" s="121" t="str">
        <f>IF(ISBLANK(tbl_task1[[คะแนนเต็ม]:[คะแนนเต็ม]]),"",(tbl_task1[13]/tbl_task1[[คะแนนเต็ม]:[คะแนนเต็ม]])*tbl_task1[[%]:[%]])</f>
        <v/>
      </c>
      <c r="GB12" s="121" t="str">
        <f>IF(ISBLANK(tbl_task1[[คะแนนเต็ม]:[คะแนนเต็ม]]),"",(tbl_task1[14]/tbl_task1[[คะแนนเต็ม]:[คะแนนเต็ม]])*tbl_task1[[%]:[%]])</f>
        <v/>
      </c>
      <c r="GC12" s="121" t="str">
        <f>IF(ISBLANK(tbl_task1[[คะแนนเต็ม]:[คะแนนเต็ม]]),"",(tbl_task1[15]/tbl_task1[[คะแนนเต็ม]:[คะแนนเต็ม]])*tbl_task1[[%]:[%]])</f>
        <v/>
      </c>
      <c r="GD12" s="121" t="str">
        <f>IF(ISBLANK(tbl_task1[[คะแนนเต็ม]:[คะแนนเต็ม]]),"",(tbl_task1[16]/tbl_task1[[คะแนนเต็ม]:[คะแนนเต็ม]])*tbl_task1[[%]:[%]])</f>
        <v/>
      </c>
      <c r="GE12" s="121" t="str">
        <f>IF(ISBLANK(tbl_task1[[คะแนนเต็ม]:[คะแนนเต็ม]]),"",(tbl_task1[17]/tbl_task1[[คะแนนเต็ม]:[คะแนนเต็ม]])*tbl_task1[[%]:[%]])</f>
        <v/>
      </c>
      <c r="GF12" s="121" t="str">
        <f>IF(ISBLANK(tbl_task1[[คะแนนเต็ม]:[คะแนนเต็ม]]),"",(tbl_task1[18]/tbl_task1[[คะแนนเต็ม]:[คะแนนเต็ม]])*tbl_task1[[%]:[%]])</f>
        <v/>
      </c>
      <c r="GG12" s="121" t="str">
        <f>IF(ISBLANK(tbl_task1[[คะแนนเต็ม]:[คะแนนเต็ม]]),"",(tbl_task1[19]/tbl_task1[[คะแนนเต็ม]:[คะแนนเต็ม]])*tbl_task1[[%]:[%]])</f>
        <v/>
      </c>
      <c r="GH12" s="121" t="str">
        <f>IF(ISBLANK(tbl_task1[[คะแนนเต็ม]:[คะแนนเต็ม]]),"",(tbl_task1[20]/tbl_task1[[คะแนนเต็ม]:[คะแนนเต็ม]])*tbl_task1[[%]:[%]])</f>
        <v/>
      </c>
      <c r="GI12" s="121" t="str">
        <f>IF(ISBLANK(tbl_task1[[คะแนนเต็ม]:[คะแนนเต็ม]]),"",(tbl_task1[21]/tbl_task1[[คะแนนเต็ม]:[คะแนนเต็ม]])*tbl_task1[[%]:[%]])</f>
        <v/>
      </c>
      <c r="GJ12" s="121" t="str">
        <f>IF(ISBLANK(tbl_task1[[คะแนนเต็ม]:[คะแนนเต็ม]]),"",(tbl_task1[22]/tbl_task1[[คะแนนเต็ม]:[คะแนนเต็ม]])*tbl_task1[[%]:[%]])</f>
        <v/>
      </c>
      <c r="GK12" s="121" t="str">
        <f>IF(ISBLANK(tbl_task1[[คะแนนเต็ม]:[คะแนนเต็ม]]),"",(tbl_task1[23]/tbl_task1[[คะแนนเต็ม]:[คะแนนเต็ม]])*tbl_task1[[%]:[%]])</f>
        <v/>
      </c>
      <c r="GL12" s="121" t="str">
        <f>IF(ISBLANK(tbl_task1[[คะแนนเต็ม]:[คะแนนเต็ม]]),"",(tbl_task1[24]/tbl_task1[[คะแนนเต็ม]:[คะแนนเต็ม]])*tbl_task1[[%]:[%]])</f>
        <v/>
      </c>
      <c r="GM12" s="121" t="str">
        <f>IF(ISBLANK(tbl_task1[[คะแนนเต็ม]:[คะแนนเต็ม]]),"",(tbl_task1[25]/tbl_task1[[คะแนนเต็ม]:[คะแนนเต็ม]])*tbl_task1[[%]:[%]])</f>
        <v/>
      </c>
      <c r="GN12" s="121" t="str">
        <f>IF(ISBLANK(tbl_task1[[คะแนนเต็ม]:[คะแนนเต็ม]]),"",(tbl_task1[26]/tbl_task1[[คะแนนเต็ม]:[คะแนนเต็ม]])*tbl_task1[[%]:[%]])</f>
        <v/>
      </c>
      <c r="GO12" s="121" t="str">
        <f>IF(ISBLANK(tbl_task1[[คะแนนเต็ม]:[คะแนนเต็ม]]),"",(tbl_task1[27]/tbl_task1[[คะแนนเต็ม]:[คะแนนเต็ม]])*tbl_task1[[%]:[%]])</f>
        <v/>
      </c>
      <c r="GP12" s="121" t="str">
        <f>IF(ISBLANK(tbl_task1[[คะแนนเต็ม]:[คะแนนเต็ม]]),"",(tbl_task1[28]/tbl_task1[[คะแนนเต็ม]:[คะแนนเต็ม]])*tbl_task1[[%]:[%]])</f>
        <v/>
      </c>
      <c r="GQ12" s="121" t="str">
        <f>IF(ISBLANK(tbl_task1[[คะแนนเต็ม]:[คะแนนเต็ม]]),"",(tbl_task1[29]/tbl_task1[[คะแนนเต็ม]:[คะแนนเต็ม]])*tbl_task1[[%]:[%]])</f>
        <v/>
      </c>
      <c r="GR12" s="121" t="str">
        <f>IF(ISBLANK(tbl_task1[[คะแนนเต็ม]:[คะแนนเต็ม]]),"",(tbl_task1[30]/tbl_task1[[คะแนนเต็ม]:[คะแนนเต็ม]])*tbl_task1[[%]:[%]])</f>
        <v/>
      </c>
      <c r="GS12" s="121" t="str">
        <f>IF(ISBLANK(tbl_task1[[คะแนนเต็ม]:[คะแนนเต็ม]]),"",(tbl_task1[31]/tbl_task1[[คะแนนเต็ม]:[คะแนนเต็ม]])*tbl_task1[[%]:[%]])</f>
        <v/>
      </c>
      <c r="GT12" s="121" t="str">
        <f>IF(ISBLANK(tbl_task1[[คะแนนเต็ม]:[คะแนนเต็ม]]),"",(tbl_task1[32]/tbl_task1[[คะแนนเต็ม]:[คะแนนเต็ม]])*tbl_task1[[%]:[%]])</f>
        <v/>
      </c>
      <c r="GU12" s="121" t="str">
        <f>IF(ISBLANK(tbl_task1[[คะแนนเต็ม]:[คะแนนเต็ม]]),"",(tbl_task1[33]/tbl_task1[[คะแนนเต็ม]:[คะแนนเต็ม]])*tbl_task1[[%]:[%]])</f>
        <v/>
      </c>
      <c r="GV12" s="121" t="str">
        <f>IF(ISBLANK(tbl_task1[[คะแนนเต็ม]:[คะแนนเต็ม]]),"",(tbl_task1[34]/tbl_task1[[คะแนนเต็ม]:[คะแนนเต็ม]])*tbl_task1[[%]:[%]])</f>
        <v/>
      </c>
      <c r="GW12" s="121" t="str">
        <f>IF(ISBLANK(tbl_task1[[คะแนนเต็ม]:[คะแนนเต็ม]]),"",(tbl_task1[35]/tbl_task1[[คะแนนเต็ม]:[คะแนนเต็ม]])*tbl_task1[[%]:[%]])</f>
        <v/>
      </c>
      <c r="GX12" s="121" t="str">
        <f>IF(ISBLANK(tbl_task1[[คะแนนเต็ม]:[คะแนนเต็ม]]),"",(tbl_task1[36]/tbl_task1[[คะแนนเต็ม]:[คะแนนเต็ม]])*tbl_task1[[%]:[%]])</f>
        <v/>
      </c>
      <c r="GY12" s="121" t="str">
        <f>IF(ISBLANK(tbl_task1[[คะแนนเต็ม]:[คะแนนเต็ม]]),"",(tbl_task1[37]/tbl_task1[[คะแนนเต็ม]:[คะแนนเต็ม]])*tbl_task1[[%]:[%]])</f>
        <v/>
      </c>
      <c r="GZ12" s="121" t="str">
        <f>IF(ISBLANK(tbl_task1[[คะแนนเต็ม]:[คะแนนเต็ม]]),"",(tbl_task1[38]/tbl_task1[[คะแนนเต็ม]:[คะแนนเต็ม]])*tbl_task1[[%]:[%]])</f>
        <v/>
      </c>
      <c r="HA12" s="121" t="str">
        <f>IF(ISBLANK(tbl_task1[[คะแนนเต็ม]:[คะแนนเต็ม]]),"",(tbl_task1[39]/tbl_task1[[คะแนนเต็ม]:[คะแนนเต็ม]])*tbl_task1[[%]:[%]])</f>
        <v/>
      </c>
      <c r="HB12" s="121" t="str">
        <f>IF(ISBLANK(tbl_task1[[คะแนนเต็ม]:[คะแนนเต็ม]]),"",(tbl_task1[40]/tbl_task1[[คะแนนเต็ม]:[คะแนนเต็ม]])*tbl_task1[[%]:[%]])</f>
        <v/>
      </c>
      <c r="HC12" s="121" t="str">
        <f>IF(ISBLANK(tbl_task1[[คะแนนเต็ม]:[คะแนนเต็ม]]),"",(tbl_task1[41]/tbl_task1[[คะแนนเต็ม]:[คะแนนเต็ม]])*tbl_task1[[%]:[%]])</f>
        <v/>
      </c>
      <c r="HD12" s="121" t="str">
        <f>IF(ISBLANK(tbl_task1[[คะแนนเต็ม]:[คะแนนเต็ม]]),"",(tbl_task1[42]/tbl_task1[[คะแนนเต็ม]:[คะแนนเต็ม]])*tbl_task1[[%]:[%]])</f>
        <v/>
      </c>
      <c r="HE12" s="121" t="str">
        <f>IF(ISBLANK(tbl_task1[[คะแนนเต็ม]:[คะแนนเต็ม]]),"",(tbl_task1[43]/tbl_task1[[คะแนนเต็ม]:[คะแนนเต็ม]])*tbl_task1[[%]:[%]])</f>
        <v/>
      </c>
      <c r="HF12" s="121" t="str">
        <f>IF(ISBLANK(tbl_task1[[คะแนนเต็ม]:[คะแนนเต็ม]]),"",(tbl_task1[44]/tbl_task1[[คะแนนเต็ม]:[คะแนนเต็ม]])*tbl_task1[[%]:[%]])</f>
        <v/>
      </c>
      <c r="HG12" s="121" t="str">
        <f>IF(ISBLANK(tbl_task1[[คะแนนเต็ม]:[คะแนนเต็ม]]),"",(tbl_task1[45]/tbl_task1[[คะแนนเต็ม]:[คะแนนเต็ม]])*tbl_task1[[%]:[%]])</f>
        <v/>
      </c>
      <c r="HH12" s="121" t="str">
        <f>IF(ISBLANK(tbl_task1[[คะแนนเต็ม]:[คะแนนเต็ม]]),"",(tbl_task1[46]/tbl_task1[[คะแนนเต็ม]:[คะแนนเต็ม]])*tbl_task1[[%]:[%]])</f>
        <v/>
      </c>
      <c r="HI12" s="121" t="str">
        <f>IF(ISBLANK(tbl_task1[[คะแนนเต็ม]:[คะแนนเต็ม]]),"",(tbl_task1[47]/tbl_task1[[คะแนนเต็ม]:[คะแนนเต็ม]])*tbl_task1[[%]:[%]])</f>
        <v/>
      </c>
      <c r="HJ12" s="121" t="str">
        <f>IF(ISBLANK(tbl_task1[[คะแนนเต็ม]:[คะแนนเต็ม]]),"",(tbl_task1[48]/tbl_task1[[คะแนนเต็ม]:[คะแนนเต็ม]])*tbl_task1[[%]:[%]])</f>
        <v/>
      </c>
      <c r="HK12" s="121" t="str">
        <f>IF(ISBLANK(tbl_task1[[คะแนนเต็ม]:[คะแนนเต็ม]]),"",(tbl_task1[49]/tbl_task1[[คะแนนเต็ม]:[คะแนนเต็ม]])*tbl_task1[[%]:[%]])</f>
        <v/>
      </c>
      <c r="HL12" s="121" t="str">
        <f>IF(ISBLANK(tbl_task1[[คะแนนเต็ม]:[คะแนนเต็ม]]),"",(tbl_task1[50]/tbl_task1[[คะแนนเต็ม]:[คะแนนเต็ม]])*tbl_task1[[%]:[%]])</f>
        <v/>
      </c>
      <c r="HM12" s="121" t="str">
        <f>IF(ISBLANK(tbl_task1[[คะแนนเต็ม]:[คะแนนเต็ม]]),"",(tbl_task1[51]/tbl_task1[[คะแนนเต็ม]:[คะแนนเต็ม]])*tbl_task1[[%]:[%]])</f>
        <v/>
      </c>
      <c r="HN12" s="121" t="str">
        <f>IF(ISBLANK(tbl_task1[[คะแนนเต็ม]:[คะแนนเต็ม]]),"",(tbl_task1[52]/tbl_task1[[คะแนนเต็ม]:[คะแนนเต็ม]])*tbl_task1[[%]:[%]])</f>
        <v/>
      </c>
      <c r="HO12" s="121" t="str">
        <f>IF(ISBLANK(tbl_task1[[คะแนนเต็ม]:[คะแนนเต็ม]]),"",(tbl_task1[53]/tbl_task1[[คะแนนเต็ม]:[คะแนนเต็ม]])*tbl_task1[[%]:[%]])</f>
        <v/>
      </c>
      <c r="HP12" s="121" t="str">
        <f>IF(ISBLANK(tbl_task1[[คะแนนเต็ม]:[คะแนนเต็ม]]),"",(tbl_task1[54]/tbl_task1[[คะแนนเต็ม]:[คะแนนเต็ม]])*tbl_task1[[%]:[%]])</f>
        <v/>
      </c>
      <c r="HQ12" s="121" t="str">
        <f>IF(ISBLANK(tbl_task1[[คะแนนเต็ม]:[คะแนนเต็ม]]),"",(tbl_task1[55]/tbl_task1[[คะแนนเต็ม]:[คะแนนเต็ม]])*tbl_task1[[%]:[%]])</f>
        <v/>
      </c>
      <c r="HR12" s="121" t="str">
        <f>IF(ISBLANK(tbl_task1[[คะแนนเต็ม]:[คะแนนเต็ม]]),"",(tbl_task1[56]/tbl_task1[[คะแนนเต็ม]:[คะแนนเต็ม]])*tbl_task1[[%]:[%]])</f>
        <v/>
      </c>
      <c r="HS12" s="121" t="str">
        <f>IF(ISBLANK(tbl_task1[[คะแนนเต็ม]:[คะแนนเต็ม]]),"",(tbl_task1[57]/tbl_task1[[คะแนนเต็ม]:[คะแนนเต็ม]])*tbl_task1[[%]:[%]])</f>
        <v/>
      </c>
      <c r="HT12" s="121" t="str">
        <f>IF(ISBLANK(tbl_task1[[คะแนนเต็ม]:[คะแนนเต็ม]]),"",(tbl_task1[58]/tbl_task1[[คะแนนเต็ม]:[คะแนนเต็ม]])*tbl_task1[[%]:[%]])</f>
        <v/>
      </c>
      <c r="HU12" s="121" t="str">
        <f>IF(ISBLANK(tbl_task1[[คะแนนเต็ม]:[คะแนนเต็ม]]),"",(tbl_task1[59]/tbl_task1[[คะแนนเต็ม]:[คะแนนเต็ม]])*tbl_task1[[%]:[%]])</f>
        <v/>
      </c>
      <c r="HV12" s="121" t="str">
        <f>IF(ISBLANK(tbl_task1[[คะแนนเต็ม]:[คะแนนเต็ม]]),"",(tbl_task1[60]/tbl_task1[[คะแนนเต็ม]:[คะแนนเต็ม]])*tbl_task1[[%]:[%]])</f>
        <v/>
      </c>
      <c r="HW12" s="121" t="str">
        <f>IF(ISBLANK(tbl_task1[[คะแนนเต็ม]:[คะแนนเต็ม]]),"",(tbl_task1[61]/tbl_task1[[คะแนนเต็ม]:[คะแนนเต็ม]])*tbl_task1[[%]:[%]])</f>
        <v/>
      </c>
      <c r="HX12" s="121" t="str">
        <f>IF(ISBLANK(tbl_task1[[คะแนนเต็ม]:[คะแนนเต็ม]]),"",(tbl_task1[62]/tbl_task1[[คะแนนเต็ม]:[คะแนนเต็ม]])*tbl_task1[[%]:[%]])</f>
        <v/>
      </c>
      <c r="HY12" s="121" t="str">
        <f>IF(ISBLANK(tbl_task1[[คะแนนเต็ม]:[คะแนนเต็ม]]),"",(tbl_task1[63]/tbl_task1[[คะแนนเต็ม]:[คะแนนเต็ม]])*tbl_task1[[%]:[%]])</f>
        <v/>
      </c>
      <c r="HZ12" s="121" t="str">
        <f>IF(ISBLANK(tbl_task1[[คะแนนเต็ม]:[คะแนนเต็ม]]),"",(tbl_task1[64]/tbl_task1[[คะแนนเต็ม]:[คะแนนเต็ม]])*tbl_task1[[%]:[%]])</f>
        <v/>
      </c>
      <c r="IA12" s="121" t="str">
        <f>IF(ISBLANK(tbl_task1[[คะแนนเต็ม]:[คะแนนเต็ม]]),"",(tbl_task1[65]/tbl_task1[[คะแนนเต็ม]:[คะแนนเต็ม]])*tbl_task1[[%]:[%]])</f>
        <v/>
      </c>
      <c r="IB12" s="121" t="str">
        <f>IF(ISBLANK(tbl_task1[[คะแนนเต็ม]:[คะแนนเต็ม]]),"",(tbl_task1[66]/tbl_task1[[คะแนนเต็ม]:[คะแนนเต็ม]])*tbl_task1[[%]:[%]])</f>
        <v/>
      </c>
      <c r="IC12" s="121" t="str">
        <f>IF(ISBLANK(tbl_task1[[คะแนนเต็ม]:[คะแนนเต็ม]]),"",(tbl_task1[67]/tbl_task1[[คะแนนเต็ม]:[คะแนนเต็ม]])*tbl_task1[[%]:[%]])</f>
        <v/>
      </c>
      <c r="ID12" s="121" t="str">
        <f>IF(ISBLANK(tbl_task1[[คะแนนเต็ม]:[คะแนนเต็ม]]),"",(tbl_task1[68]/tbl_task1[[คะแนนเต็ม]:[คะแนนเต็ม]])*tbl_task1[[%]:[%]])</f>
        <v/>
      </c>
      <c r="IE12" s="121" t="str">
        <f>IF(ISBLANK(tbl_task1[[คะแนนเต็ม]:[คะแนนเต็ม]]),"",(tbl_task1[69]/tbl_task1[[คะแนนเต็ม]:[คะแนนเต็ม]])*tbl_task1[[%]:[%]])</f>
        <v/>
      </c>
      <c r="IF12" s="121" t="str">
        <f>IF(ISBLANK(tbl_task1[[คะแนนเต็ม]:[คะแนนเต็ม]]),"",(tbl_task1[70]/tbl_task1[[คะแนนเต็ม]:[คะแนนเต็ม]])*tbl_task1[[%]:[%]])</f>
        <v/>
      </c>
      <c r="IG12" s="121" t="str">
        <f>IF(ISBLANK(tbl_task1[[คะแนนเต็ม]:[คะแนนเต็ม]]),"",(tbl_task1[71]/tbl_task1[[คะแนนเต็ม]:[คะแนนเต็ม]])*tbl_task1[[%]:[%]])</f>
        <v/>
      </c>
      <c r="IH12" s="121" t="str">
        <f>IF(ISBLANK(tbl_task1[[คะแนนเต็ม]:[คะแนนเต็ม]]),"",(tbl_task1[72]/tbl_task1[[คะแนนเต็ม]:[คะแนนเต็ม]])*tbl_task1[[%]:[%]])</f>
        <v/>
      </c>
      <c r="II12" s="121" t="str">
        <f>IF(ISBLANK(tbl_task1[[คะแนนเต็ม]:[คะแนนเต็ม]]),"",(tbl_task1[73]/tbl_task1[[คะแนนเต็ม]:[คะแนนเต็ม]])*tbl_task1[[%]:[%]])</f>
        <v/>
      </c>
      <c r="IJ12" s="121" t="str">
        <f>IF(ISBLANK(tbl_task1[[คะแนนเต็ม]:[คะแนนเต็ม]]),"",(tbl_task1[74]/tbl_task1[[คะแนนเต็ม]:[คะแนนเต็ม]])*tbl_task1[[%]:[%]])</f>
        <v/>
      </c>
      <c r="IK12" s="121" t="str">
        <f>IF(ISBLANK(tbl_task1[[คะแนนเต็ม]:[คะแนนเต็ม]]),"",(tbl_task1[75]/tbl_task1[[คะแนนเต็ม]:[คะแนนเต็ม]])*tbl_task1[[%]:[%]])</f>
        <v/>
      </c>
      <c r="IL12" s="121" t="str">
        <f>IF(ISBLANK(tbl_task1[[คะแนนเต็ม]:[คะแนนเต็ม]]),"",(tbl_task1[76]/tbl_task1[[คะแนนเต็ม]:[คะแนนเต็ม]])*tbl_task1[[%]:[%]])</f>
        <v/>
      </c>
      <c r="IM12" s="121" t="str">
        <f>IF(ISBLANK(tbl_task1[[คะแนนเต็ม]:[คะแนนเต็ม]]),"",(tbl_task1[77]/tbl_task1[[คะแนนเต็ม]:[คะแนนเต็ม]])*tbl_task1[[%]:[%]])</f>
        <v/>
      </c>
      <c r="IN12" s="121" t="str">
        <f>IF(ISBLANK(tbl_task1[[คะแนนเต็ม]:[คะแนนเต็ม]]),"",(tbl_task1[78]/tbl_task1[[คะแนนเต็ม]:[คะแนนเต็ม]])*tbl_task1[[%]:[%]])</f>
        <v/>
      </c>
      <c r="IO12" s="121" t="str">
        <f>IF(ISBLANK(tbl_task1[[คะแนนเต็ม]:[คะแนนเต็ม]]),"",(tbl_task1[79]/tbl_task1[[คะแนนเต็ม]:[คะแนนเต็ม]])*tbl_task1[[%]:[%]])</f>
        <v/>
      </c>
      <c r="IP12" s="121" t="str">
        <f>IF(ISBLANK(tbl_task1[[คะแนนเต็ม]:[คะแนนเต็ม]]),"",(tbl_task1[80]/tbl_task1[[คะแนนเต็ม]:[คะแนนเต็ม]])*tbl_task1[[%]:[%]])</f>
        <v/>
      </c>
      <c r="IQ12" s="121" t="str">
        <f>IF(ISBLANK(tbl_task1[[คะแนนเต็ม]:[คะแนนเต็ม]]),"",(tbl_task1[81]/tbl_task1[[คะแนนเต็ม]:[คะแนนเต็ม]])*tbl_task1[[%]:[%]])</f>
        <v/>
      </c>
      <c r="IR12" s="121" t="str">
        <f>IF(ISBLANK(tbl_task1[[คะแนนเต็ม]:[คะแนนเต็ม]]),"",(tbl_task1[82]/tbl_task1[[คะแนนเต็ม]:[คะแนนเต็ม]])*tbl_task1[[%]:[%]])</f>
        <v/>
      </c>
      <c r="IS12" s="121" t="str">
        <f>IF(ISBLANK(tbl_task1[[คะแนนเต็ม]:[คะแนนเต็ม]]),"",(tbl_task1[83]/tbl_task1[[คะแนนเต็ม]:[คะแนนเต็ม]])*tbl_task1[[%]:[%]])</f>
        <v/>
      </c>
      <c r="IT12" s="121" t="str">
        <f>IF(ISBLANK(tbl_task1[[คะแนนเต็ม]:[คะแนนเต็ม]]),"",(tbl_task1[84]/tbl_task1[[คะแนนเต็ม]:[คะแนนเต็ม]])*tbl_task1[[%]:[%]])</f>
        <v/>
      </c>
      <c r="IU12" s="121" t="str">
        <f>IF(ISBLANK(tbl_task1[[คะแนนเต็ม]:[คะแนนเต็ม]]),"",(tbl_task1[85]/tbl_task1[[คะแนนเต็ม]:[คะแนนเต็ม]])*tbl_task1[[%]:[%]])</f>
        <v/>
      </c>
      <c r="IV12" s="121" t="str">
        <f>IF(ISBLANK(tbl_task1[[คะแนนเต็ม]:[คะแนนเต็ม]]),"",(tbl_task1[86]/tbl_task1[[คะแนนเต็ม]:[คะแนนเต็ม]])*tbl_task1[[%]:[%]])</f>
        <v/>
      </c>
      <c r="IW12" s="121" t="str">
        <f>IF(ISBLANK(tbl_task1[[คะแนนเต็ม]:[คะแนนเต็ม]]),"",(tbl_task1[87]/tbl_task1[[คะแนนเต็ม]:[คะแนนเต็ม]])*tbl_task1[[%]:[%]])</f>
        <v/>
      </c>
      <c r="IX12" s="121" t="str">
        <f>IF(ISBLANK(tbl_task1[[คะแนนเต็ม]:[คะแนนเต็ม]]),"",(tbl_task1[88]/tbl_task1[[คะแนนเต็ม]:[คะแนนเต็ม]])*tbl_task1[[%]:[%]])</f>
        <v/>
      </c>
      <c r="IY12" s="121" t="str">
        <f>IF(ISBLANK(tbl_task1[[คะแนนเต็ม]:[คะแนนเต็ม]]),"",(tbl_task1[89]/tbl_task1[[คะแนนเต็ม]:[คะแนนเต็ม]])*tbl_task1[[%]:[%]])</f>
        <v/>
      </c>
      <c r="IZ12" s="121" t="str">
        <f>IF(ISBLANK(tbl_task1[[คะแนนเต็ม]:[คะแนนเต็ม]]),"",(tbl_task1[90]/tbl_task1[[คะแนนเต็ม]:[คะแนนเต็ม]])*tbl_task1[[%]:[%]])</f>
        <v/>
      </c>
      <c r="JA12" s="121" t="str">
        <f>IF(ISBLANK(tbl_task1[[คะแนนเต็ม]:[คะแนนเต็ม]]),"",(tbl_task1[91]/tbl_task1[[คะแนนเต็ม]:[คะแนนเต็ม]])*tbl_task1[[%]:[%]])</f>
        <v/>
      </c>
      <c r="JB12" s="121" t="str">
        <f>IF(ISBLANK(tbl_task1[[คะแนนเต็ม]:[คะแนนเต็ม]]),"",(tbl_task1[92]/tbl_task1[[คะแนนเต็ม]:[คะแนนเต็ม]])*tbl_task1[[%]:[%]])</f>
        <v/>
      </c>
      <c r="JC12" s="121" t="str">
        <f>IF(ISBLANK(tbl_task1[[คะแนนเต็ม]:[คะแนนเต็ม]]),"",(tbl_task1[93]/tbl_task1[[คะแนนเต็ม]:[คะแนนเต็ม]])*tbl_task1[[%]:[%]])</f>
        <v/>
      </c>
      <c r="JD12" s="121" t="str">
        <f>IF(ISBLANK(tbl_task1[[คะแนนเต็ม]:[คะแนนเต็ม]]),"",(tbl_task1[94]/tbl_task1[[คะแนนเต็ม]:[คะแนนเต็ม]])*tbl_task1[[%]:[%]])</f>
        <v/>
      </c>
      <c r="JE12" s="121" t="str">
        <f>IF(ISBLANK(tbl_task1[[คะแนนเต็ม]:[คะแนนเต็ม]]),"",(tbl_task1[95]/tbl_task1[[คะแนนเต็ม]:[คะแนนเต็ม]])*tbl_task1[[%]:[%]])</f>
        <v/>
      </c>
      <c r="JF12" s="121" t="str">
        <f>IF(ISBLANK(tbl_task1[[คะแนนเต็ม]:[คะแนนเต็ม]]),"",(tbl_task1[96]/tbl_task1[[คะแนนเต็ม]:[คะแนนเต็ม]])*tbl_task1[[%]:[%]])</f>
        <v/>
      </c>
      <c r="JG12" s="121" t="str">
        <f>IF(ISBLANK(tbl_task1[[คะแนนเต็ม]:[คะแนนเต็ม]]),"",(tbl_task1[97]/tbl_task1[[คะแนนเต็ม]:[คะแนนเต็ม]])*tbl_task1[[%]:[%]])</f>
        <v/>
      </c>
      <c r="JH12" s="121" t="str">
        <f>IF(ISBLANK(tbl_task1[[คะแนนเต็ม]:[คะแนนเต็ม]]),"",(tbl_task1[98]/tbl_task1[[คะแนนเต็ม]:[คะแนนเต็ม]])*tbl_task1[[%]:[%]])</f>
        <v/>
      </c>
      <c r="JI12" s="121" t="str">
        <f>IF(ISBLANK(tbl_task1[[คะแนนเต็ม]:[คะแนนเต็ม]]),"",(tbl_task1[99]/tbl_task1[[คะแนนเต็ม]:[คะแนนเต็ม]])*tbl_task1[[%]:[%]])</f>
        <v/>
      </c>
      <c r="JJ12" s="121" t="str">
        <f>IF(ISBLANK(tbl_task1[[คะแนนเต็ม]:[คะแนนเต็ม]]),"",(tbl_task1[100]/tbl_task1[[คะแนนเต็ม]:[คะแนนเต็ม]])*tbl_task1[[%]:[%]])</f>
        <v/>
      </c>
      <c r="JK12" s="121" t="str">
        <f>IF(ISBLANK(tbl_task1[[คะแนนเต็ม]:[คะแนนเต็ม]]),"",(tbl_task1[101]/tbl_task1[[คะแนนเต็ม]:[คะแนนเต็ม]])*tbl_task1[[%]:[%]])</f>
        <v/>
      </c>
      <c r="JL12" s="121" t="str">
        <f>IF(ISBLANK(tbl_task1[[คะแนนเต็ม]:[คะแนนเต็ม]]),"",(tbl_task1[102]/tbl_task1[[คะแนนเต็ม]:[คะแนนเต็ม]])*tbl_task1[[%]:[%]])</f>
        <v/>
      </c>
      <c r="JM12" s="121" t="str">
        <f>IF(ISBLANK(tbl_task1[[คะแนนเต็ม]:[คะแนนเต็ม]]),"",(tbl_task1[103]/tbl_task1[[คะแนนเต็ม]:[คะแนนเต็ม]])*tbl_task1[[%]:[%]])</f>
        <v/>
      </c>
      <c r="JN12" s="121" t="str">
        <f>IF(ISBLANK(tbl_task1[[คะแนนเต็ม]:[คะแนนเต็ม]]),"",(tbl_task1[104]/tbl_task1[[คะแนนเต็ม]:[คะแนนเต็ม]])*tbl_task1[[%]:[%]])</f>
        <v/>
      </c>
      <c r="JO12" s="121" t="str">
        <f>IF(ISBLANK(tbl_task1[[คะแนนเต็ม]:[คะแนนเต็ม]]),"",(tbl_task1[105]/tbl_task1[[คะแนนเต็ม]:[คะแนนเต็ม]])*tbl_task1[[%]:[%]])</f>
        <v/>
      </c>
      <c r="JP12" s="121" t="str">
        <f>IF(ISBLANK(tbl_task1[[คะแนนเต็ม]:[คะแนนเต็ม]]),"",(tbl_task1[106]/tbl_task1[[คะแนนเต็ม]:[คะแนนเต็ม]])*tbl_task1[[%]:[%]])</f>
        <v/>
      </c>
      <c r="JQ12" s="121" t="str">
        <f>IF(ISBLANK(tbl_task1[[คะแนนเต็ม]:[คะแนนเต็ม]]),"",(tbl_task1[107]/tbl_task1[[คะแนนเต็ม]:[คะแนนเต็ม]])*tbl_task1[[%]:[%]])</f>
        <v/>
      </c>
      <c r="JR12" s="121" t="str">
        <f>IF(ISBLANK(tbl_task1[[คะแนนเต็ม]:[คะแนนเต็ม]]),"",(tbl_task1[108]/tbl_task1[[คะแนนเต็ม]:[คะแนนเต็ม]])*tbl_task1[[%]:[%]])</f>
        <v/>
      </c>
      <c r="JS12" s="121" t="str">
        <f>IF(ISBLANK(tbl_task1[[คะแนนเต็ม]:[คะแนนเต็ม]]),"",(tbl_task1[109]/tbl_task1[[คะแนนเต็ม]:[คะแนนเต็ม]])*tbl_task1[[%]:[%]])</f>
        <v/>
      </c>
      <c r="JT12" s="121" t="str">
        <f>IF(ISBLANK(tbl_task1[[คะแนนเต็ม]:[คะแนนเต็ม]]),"",(tbl_task1[110]/tbl_task1[[คะแนนเต็ม]:[คะแนนเต็ม]])*tbl_task1[[%]:[%]])</f>
        <v/>
      </c>
      <c r="JU12" s="121" t="str">
        <f>IF(ISBLANK(tbl_task1[[คะแนนเต็ม]:[คะแนนเต็ม]]),"",(tbl_task1[111]/tbl_task1[[คะแนนเต็ม]:[คะแนนเต็ม]])*tbl_task1[[%]:[%]])</f>
        <v/>
      </c>
      <c r="JV12" s="121" t="str">
        <f>IF(ISBLANK(tbl_task1[[คะแนนเต็ม]:[คะแนนเต็ม]]),"",(tbl_task1[112]/tbl_task1[[คะแนนเต็ม]:[คะแนนเต็ม]])*tbl_task1[[%]:[%]])</f>
        <v/>
      </c>
      <c r="JW12" s="121" t="str">
        <f>IF(ISBLANK(tbl_task1[[คะแนนเต็ม]:[คะแนนเต็ม]]),"",(tbl_task1[113]/tbl_task1[[คะแนนเต็ม]:[คะแนนเต็ม]])*tbl_task1[[%]:[%]])</f>
        <v/>
      </c>
      <c r="JX12" s="121" t="str">
        <f>IF(ISBLANK(tbl_task1[[คะแนนเต็ม]:[คะแนนเต็ม]]),"",(tbl_task1[114]/tbl_task1[[คะแนนเต็ม]:[คะแนนเต็ม]])*tbl_task1[[%]:[%]])</f>
        <v/>
      </c>
      <c r="JY12" s="121" t="str">
        <f>IF(ISBLANK(tbl_task1[[คะแนนเต็ม]:[คะแนนเต็ม]]),"",(tbl_task1[115]/tbl_task1[[คะแนนเต็ม]:[คะแนนเต็ม]])*tbl_task1[[%]:[%]])</f>
        <v/>
      </c>
      <c r="JZ12" s="121" t="str">
        <f>IF(ISBLANK(tbl_task1[[คะแนนเต็ม]:[คะแนนเต็ม]]),"",(tbl_task1[116]/tbl_task1[[คะแนนเต็ม]:[คะแนนเต็ม]])*tbl_task1[[%]:[%]])</f>
        <v/>
      </c>
      <c r="KA12" s="121" t="str">
        <f>IF(ISBLANK(tbl_task1[[คะแนนเต็ม]:[คะแนนเต็ม]]),"",(tbl_task1[117]/tbl_task1[[คะแนนเต็ม]:[คะแนนเต็ม]])*tbl_task1[[%]:[%]])</f>
        <v/>
      </c>
      <c r="KB12" s="121" t="str">
        <f>IF(ISBLANK(tbl_task1[[คะแนนเต็ม]:[คะแนนเต็ม]]),"",(tbl_task1[118]/tbl_task1[[คะแนนเต็ม]:[คะแนนเต็ม]])*tbl_task1[[%]:[%]])</f>
        <v/>
      </c>
      <c r="KC12" s="121" t="str">
        <f>IF(ISBLANK(tbl_task1[[คะแนนเต็ม]:[คะแนนเต็ม]]),"",(tbl_task1[119]/tbl_task1[[คะแนนเต็ม]:[คะแนนเต็ม]])*tbl_task1[[%]:[%]])</f>
        <v/>
      </c>
      <c r="KD12" s="121" t="str">
        <f>IF(ISBLANK(tbl_task1[[คะแนนเต็ม]:[คะแนนเต็ม]]),"",(tbl_task1[120]/tbl_task1[[คะแนนเต็ม]:[คะแนนเต็ม]])*tbl_task1[[%]:[%]])</f>
        <v/>
      </c>
      <c r="KE12" s="121" t="str">
        <f>IF(ISBLANK(tbl_task1[[คะแนนเต็ม]:[คะแนนเต็ม]]),"",(tbl_task1[121]/tbl_task1[[คะแนนเต็ม]:[คะแนนเต็ม]])*tbl_task1[[%]:[%]])</f>
        <v/>
      </c>
      <c r="KF12" s="121" t="str">
        <f>IF(ISBLANK(tbl_task1[[คะแนนเต็ม]:[คะแนนเต็ม]]),"",(tbl_task1[122]/tbl_task1[[คะแนนเต็ม]:[คะแนนเต็ม]])*tbl_task1[[%]:[%]])</f>
        <v/>
      </c>
      <c r="KG12" s="121" t="str">
        <f>IF(ISBLANK(tbl_task1[[คะแนนเต็ม]:[คะแนนเต็ม]]),"",(tbl_task1[123]/tbl_task1[[คะแนนเต็ม]:[คะแนนเต็ม]])*tbl_task1[[%]:[%]])</f>
        <v/>
      </c>
      <c r="KH12" s="121" t="str">
        <f>IF(ISBLANK(tbl_task1[[คะแนนเต็ม]:[คะแนนเต็ม]]),"",(tbl_task1[124]/tbl_task1[[คะแนนเต็ม]:[คะแนนเต็ม]])*tbl_task1[[%]:[%]])</f>
        <v/>
      </c>
      <c r="KI12" s="121" t="str">
        <f>IF(ISBLANK(tbl_task1[[คะแนนเต็ม]:[คะแนนเต็ม]]),"",(tbl_task1[125]/tbl_task1[[คะแนนเต็ม]:[คะแนนเต็ม]])*tbl_task1[[%]:[%]])</f>
        <v/>
      </c>
      <c r="KJ12" s="121" t="str">
        <f>IF(ISBLANK(tbl_task1[[คะแนนเต็ม]:[คะแนนเต็ม]]),"",(tbl_task1[126]/tbl_task1[[คะแนนเต็ม]:[คะแนนเต็ม]])*tbl_task1[[%]:[%]])</f>
        <v/>
      </c>
      <c r="KK12" s="121" t="str">
        <f>IF(ISBLANK(tbl_task1[[คะแนนเต็ม]:[คะแนนเต็ม]]),"",(tbl_task1[127]/tbl_task1[[คะแนนเต็ม]:[คะแนนเต็ม]])*tbl_task1[[%]:[%]])</f>
        <v/>
      </c>
      <c r="KL12" s="121" t="str">
        <f>IF(ISBLANK(tbl_task1[[คะแนนเต็ม]:[คะแนนเต็ม]]),"",(tbl_task1[128]/tbl_task1[[คะแนนเต็ม]:[คะแนนเต็ม]])*tbl_task1[[%]:[%]])</f>
        <v/>
      </c>
      <c r="KM12" s="121" t="str">
        <f>IF(ISBLANK(tbl_task1[[คะแนนเต็ม]:[คะแนนเต็ม]]),"",(tbl_task1[129]/tbl_task1[[คะแนนเต็ม]:[คะแนนเต็ม]])*tbl_task1[[%]:[%]])</f>
        <v/>
      </c>
      <c r="KN12" s="121" t="str">
        <f>IF(ISBLANK(tbl_task1[[คะแนนเต็ม]:[คะแนนเต็ม]]),"",(tbl_task1[130]/tbl_task1[[คะแนนเต็ม]:[คะแนนเต็ม]])*tbl_task1[[%]:[%]])</f>
        <v/>
      </c>
      <c r="KO12" s="121" t="str">
        <f>IF(ISBLANK(tbl_task1[[คะแนนเต็ม]:[คะแนนเต็ม]]),"",(tbl_task1[131]/tbl_task1[[คะแนนเต็ม]:[คะแนนเต็ม]])*tbl_task1[[%]:[%]])</f>
        <v/>
      </c>
      <c r="KP12" s="121" t="str">
        <f>IF(ISBLANK(tbl_task1[[คะแนนเต็ม]:[คะแนนเต็ม]]),"",(tbl_task1[132]/tbl_task1[[คะแนนเต็ม]:[คะแนนเต็ม]])*tbl_task1[[%]:[%]])</f>
        <v/>
      </c>
      <c r="KQ12" s="121" t="str">
        <f>IF(ISBLANK(tbl_task1[[คะแนนเต็ม]:[คะแนนเต็ม]]),"",(tbl_task1[133]/tbl_task1[[คะแนนเต็ม]:[คะแนนเต็ม]])*tbl_task1[[%]:[%]])</f>
        <v/>
      </c>
      <c r="KR12" s="121" t="str">
        <f>IF(ISBLANK(tbl_task1[[คะแนนเต็ม]:[คะแนนเต็ม]]),"",(tbl_task1[134]/tbl_task1[[คะแนนเต็ม]:[คะแนนเต็ม]])*tbl_task1[[%]:[%]])</f>
        <v/>
      </c>
      <c r="KS12" s="121" t="str">
        <f>IF(ISBLANK(tbl_task1[[คะแนนเต็ม]:[คะแนนเต็ม]]),"",(tbl_task1[135]/tbl_task1[[คะแนนเต็ม]:[คะแนนเต็ม]])*tbl_task1[[%]:[%]])</f>
        <v/>
      </c>
      <c r="KT12" s="121" t="str">
        <f>IF(ISBLANK(tbl_task1[[คะแนนเต็ม]:[คะแนนเต็ม]]),"",(tbl_task1[136]/tbl_task1[[คะแนนเต็ม]:[คะแนนเต็ม]])*tbl_task1[[%]:[%]])</f>
        <v/>
      </c>
      <c r="KU12" s="121" t="str">
        <f>IF(ISBLANK(tbl_task1[[คะแนนเต็ม]:[คะแนนเต็ม]]),"",(tbl_task1[137]/tbl_task1[[คะแนนเต็ม]:[คะแนนเต็ม]])*tbl_task1[[%]:[%]])</f>
        <v/>
      </c>
      <c r="KV12" s="121" t="str">
        <f>IF(ISBLANK(tbl_task1[[คะแนนเต็ม]:[คะแนนเต็ม]]),"",(tbl_task1[138]/tbl_task1[[คะแนนเต็ม]:[คะแนนเต็ม]])*tbl_task1[[%]:[%]])</f>
        <v/>
      </c>
      <c r="KW12" s="121" t="str">
        <f>IF(ISBLANK(tbl_task1[[คะแนนเต็ม]:[คะแนนเต็ม]]),"",(tbl_task1[139]/tbl_task1[[คะแนนเต็ม]:[คะแนนเต็ม]])*tbl_task1[[%]:[%]])</f>
        <v/>
      </c>
      <c r="KX12" s="121" t="str">
        <f>IF(ISBLANK(tbl_task1[[คะแนนเต็ม]:[คะแนนเต็ม]]),"",(tbl_task1[140]/tbl_task1[[คะแนนเต็ม]:[คะแนนเต็ม]])*tbl_task1[[%]:[%]])</f>
        <v/>
      </c>
      <c r="KY12" s="121" t="str">
        <f>IF(ISBLANK(tbl_task1[[คะแนนเต็ม]:[คะแนนเต็ม]]),"",(tbl_task1[141]/tbl_task1[[คะแนนเต็ม]:[คะแนนเต็ม]])*tbl_task1[[%]:[%]])</f>
        <v/>
      </c>
      <c r="KZ12" s="121" t="str">
        <f>IF(ISBLANK(tbl_task1[[คะแนนเต็ม]:[คะแนนเต็ม]]),"",(tbl_task1[142]/tbl_task1[[คะแนนเต็ม]:[คะแนนเต็ม]])*tbl_task1[[%]:[%]])</f>
        <v/>
      </c>
      <c r="LA12" s="121" t="str">
        <f>IF(ISBLANK(tbl_task1[[คะแนนเต็ม]:[คะแนนเต็ม]]),"",(tbl_task1[143]/tbl_task1[[คะแนนเต็ม]:[คะแนนเต็ม]])*tbl_task1[[%]:[%]])</f>
        <v/>
      </c>
      <c r="LB12" s="121" t="str">
        <f>IF(ISBLANK(tbl_task1[[คะแนนเต็ม]:[คะแนนเต็ม]]),"",(tbl_task1[144]/tbl_task1[[คะแนนเต็ม]:[คะแนนเต็ม]])*tbl_task1[[%]:[%]])</f>
        <v/>
      </c>
      <c r="LC12" s="121" t="str">
        <f>IF(ISBLANK(tbl_task1[[คะแนนเต็ม]:[คะแนนเต็ม]]),"",(tbl_task1[145]/tbl_task1[[คะแนนเต็ม]:[คะแนนเต็ม]])*tbl_task1[[%]:[%]])</f>
        <v/>
      </c>
      <c r="LD12" s="121" t="str">
        <f>IF(ISBLANK(tbl_task1[[คะแนนเต็ม]:[คะแนนเต็ม]]),"",(tbl_task1[146]/tbl_task1[[คะแนนเต็ม]:[คะแนนเต็ม]])*tbl_task1[[%]:[%]])</f>
        <v/>
      </c>
      <c r="LE12" s="121" t="str">
        <f>IF(ISBLANK(tbl_task1[[คะแนนเต็ม]:[คะแนนเต็ม]]),"",(tbl_task1[147]/tbl_task1[[คะแนนเต็ม]:[คะแนนเต็ม]])*tbl_task1[[%]:[%]])</f>
        <v/>
      </c>
      <c r="LF12" s="121" t="str">
        <f>IF(ISBLANK(tbl_task1[[คะแนนเต็ม]:[คะแนนเต็ม]]),"",(tbl_task1[148]/tbl_task1[[คะแนนเต็ม]:[คะแนนเต็ม]])*tbl_task1[[%]:[%]])</f>
        <v/>
      </c>
      <c r="LG12" s="121" t="str">
        <f>IF(ISBLANK(tbl_task1[[คะแนนเต็ม]:[คะแนนเต็ม]]),"",(tbl_task1[149]/tbl_task1[[คะแนนเต็ม]:[คะแนนเต็ม]])*tbl_task1[[%]:[%]])</f>
        <v/>
      </c>
      <c r="LH12" s="121" t="str">
        <f>IF(ISBLANK(tbl_task1[[คะแนนเต็ม]:[คะแนนเต็ม]]),"",(tbl_task1[150]/tbl_task1[[คะแนนเต็ม]:[คะแนนเต็ม]])*tbl_task1[[%]:[%]])</f>
        <v/>
      </c>
      <c r="LI12" s="121" t="str">
        <f>IF(ISBLANK(tbl_task1[[คะแนนเต็ม]:[คะแนนเต็ม]]),"",(tbl_task1[151]/tbl_task1[[คะแนนเต็ม]:[คะแนนเต็ม]])*tbl_task1[[%]:[%]])</f>
        <v/>
      </c>
      <c r="LJ12" s="121" t="str">
        <f>IF(ISBLANK(tbl_task1[[คะแนนเต็ม]:[คะแนนเต็ม]]),"",(tbl_task1[152]/tbl_task1[[คะแนนเต็ม]:[คะแนนเต็ม]])*tbl_task1[[%]:[%]])</f>
        <v/>
      </c>
      <c r="LK12" s="121" t="str">
        <f>IF(ISBLANK(tbl_task1[[คะแนนเต็ม]:[คะแนนเต็ม]]),"",(tbl_task1[153]/tbl_task1[[คะแนนเต็ม]:[คะแนนเต็ม]])*tbl_task1[[%]:[%]])</f>
        <v/>
      </c>
      <c r="LL12" s="121" t="str">
        <f>IF(ISBLANK(tbl_task1[[คะแนนเต็ม]:[คะแนนเต็ม]]),"",(tbl_task1[154]/tbl_task1[[คะแนนเต็ม]:[คะแนนเต็ม]])*tbl_task1[[%]:[%]])</f>
        <v/>
      </c>
      <c r="LM12" s="121" t="str">
        <f>IF(ISBLANK(tbl_task1[[คะแนนเต็ม]:[คะแนนเต็ม]]),"",(tbl_task1[155]/tbl_task1[[คะแนนเต็ม]:[คะแนนเต็ม]])*tbl_task1[[%]:[%]])</f>
        <v/>
      </c>
      <c r="LN12" s="121" t="str">
        <f>IF(ISBLANK(tbl_task1[[คะแนนเต็ม]:[คะแนนเต็ม]]),"",(tbl_task1[156]/tbl_task1[[คะแนนเต็ม]:[คะแนนเต็ม]])*tbl_task1[[%]:[%]])</f>
        <v/>
      </c>
      <c r="LO12" s="121" t="str">
        <f>IF(ISBLANK(tbl_task1[[คะแนนเต็ม]:[คะแนนเต็ม]]),"",(tbl_task1[157]/tbl_task1[[คะแนนเต็ม]:[คะแนนเต็ม]])*tbl_task1[[%]:[%]])</f>
        <v/>
      </c>
      <c r="LP12" s="121" t="str">
        <f>IF(ISBLANK(tbl_task1[[คะแนนเต็ม]:[คะแนนเต็ม]]),"",(tbl_task1[158]/tbl_task1[[คะแนนเต็ม]:[คะแนนเต็ม]])*tbl_task1[[%]:[%]])</f>
        <v/>
      </c>
      <c r="LQ12" s="121" t="str">
        <f>IF(ISBLANK(tbl_task1[[คะแนนเต็ม]:[คะแนนเต็ม]]),"",(tbl_task1[159]/tbl_task1[[คะแนนเต็ม]:[คะแนนเต็ม]])*tbl_task1[[%]:[%]])</f>
        <v/>
      </c>
      <c r="LR12" s="121" t="str">
        <f>IF(ISBLANK(tbl_task1[[คะแนนเต็ม]:[คะแนนเต็ม]]),"",(tbl_task1[160]/tbl_task1[[คะแนนเต็ม]:[คะแนนเต็ม]])*tbl_task1[[%]:[%]])</f>
        <v/>
      </c>
      <c r="LS12" s="121" t="str">
        <f>IF(ISBLANK(tbl_task1[[คะแนนเต็ม]:[คะแนนเต็ม]]),"",(tbl_task1[161]/tbl_task1[[คะแนนเต็ม]:[คะแนนเต็ม]])*tbl_task1[[%]:[%]])</f>
        <v/>
      </c>
      <c r="LT12" s="121" t="str">
        <f>IF(ISBLANK(tbl_task1[[คะแนนเต็ม]:[คะแนนเต็ม]]),"",(tbl_task1[162]/tbl_task1[[คะแนนเต็ม]:[คะแนนเต็ม]])*tbl_task1[[%]:[%]])</f>
        <v/>
      </c>
      <c r="LU12" s="121" t="str">
        <f>IF(ISBLANK(tbl_task1[[คะแนนเต็ม]:[คะแนนเต็ม]]),"",(tbl_task1[163]/tbl_task1[[คะแนนเต็ม]:[คะแนนเต็ม]])*tbl_task1[[%]:[%]])</f>
        <v/>
      </c>
      <c r="LV12" s="121" t="str">
        <f>IF(ISBLANK(tbl_task1[[คะแนนเต็ม]:[คะแนนเต็ม]]),"",(tbl_task1[164]/tbl_task1[[คะแนนเต็ม]:[คะแนนเต็ม]])*tbl_task1[[%]:[%]])</f>
        <v/>
      </c>
      <c r="LW12" s="121" t="str">
        <f>IF(ISBLANK(tbl_task1[[คะแนนเต็ม]:[คะแนนเต็ม]]),"",(tbl_task1[165]/tbl_task1[[คะแนนเต็ม]:[คะแนนเต็ม]])*tbl_task1[[%]:[%]])</f>
        <v/>
      </c>
    </row>
    <row r="13" spans="1:335" ht="24" customHeight="1" x14ac:dyDescent="0.25">
      <c r="A13" s="24">
        <v>10</v>
      </c>
      <c r="B13" s="20"/>
      <c r="C13" s="5" t="str">
        <f>IF(ISBLANK(B13),"",VLOOKUP(B13,tbl_PLOs[],2,0))</f>
        <v/>
      </c>
      <c r="D13" s="102"/>
      <c r="E13" s="106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22"/>
      <c r="FO13" s="121" t="str">
        <f>IF(ISBLANK(tbl_task1[[คะแนนเต็ม]:[คะแนนเต็ม]]),"",(tbl_task1[1]/tbl_task1[[คะแนนเต็ม]:[คะแนนเต็ม]])*tbl_task1[[%]:[%]])</f>
        <v/>
      </c>
      <c r="FP13" s="121" t="str">
        <f>IF(ISBLANK(tbl_task1[[คะแนนเต็ม]:[คะแนนเต็ม]]),"",(tbl_task1[2]/tbl_task1[[คะแนนเต็ม]:[คะแนนเต็ม]])*tbl_task1[[%]:[%]])</f>
        <v/>
      </c>
      <c r="FQ13" s="121" t="str">
        <f>IF(ISBLANK(tbl_task1[[คะแนนเต็ม]:[คะแนนเต็ม]]),"",(tbl_task1[3]/tbl_task1[[คะแนนเต็ม]:[คะแนนเต็ม]])*tbl_task1[[%]:[%]])</f>
        <v/>
      </c>
      <c r="FR13" s="121" t="str">
        <f>IF(ISBLANK(tbl_task1[[คะแนนเต็ม]:[คะแนนเต็ม]]),"",(tbl_task1[4]/tbl_task1[[คะแนนเต็ม]:[คะแนนเต็ม]])*tbl_task1[[%]:[%]])</f>
        <v/>
      </c>
      <c r="FS13" s="121" t="str">
        <f>IF(ISBLANK(tbl_task1[[คะแนนเต็ม]:[คะแนนเต็ม]]),"",(tbl_task1[5]/tbl_task1[[คะแนนเต็ม]:[คะแนนเต็ม]])*tbl_task1[[%]:[%]])</f>
        <v/>
      </c>
      <c r="FT13" s="121" t="str">
        <f>IF(ISBLANK(tbl_task1[[คะแนนเต็ม]:[คะแนนเต็ม]]),"",(tbl_task1[6]/tbl_task1[[คะแนนเต็ม]:[คะแนนเต็ม]])*tbl_task1[[%]:[%]])</f>
        <v/>
      </c>
      <c r="FU13" s="121" t="str">
        <f>IF(ISBLANK(tbl_task1[[คะแนนเต็ม]:[คะแนนเต็ม]]),"",(tbl_task1[7]/tbl_task1[[คะแนนเต็ม]:[คะแนนเต็ม]])*tbl_task1[[%]:[%]])</f>
        <v/>
      </c>
      <c r="FV13" s="121" t="str">
        <f>IF(ISBLANK(tbl_task1[[คะแนนเต็ม]:[คะแนนเต็ม]]),"",(tbl_task1[8]/tbl_task1[[คะแนนเต็ม]:[คะแนนเต็ม]])*tbl_task1[[%]:[%]])</f>
        <v/>
      </c>
      <c r="FW13" s="121" t="str">
        <f>IF(ISBLANK(tbl_task1[[คะแนนเต็ม]:[คะแนนเต็ม]]),"",(tbl_task1[9]/tbl_task1[[คะแนนเต็ม]:[คะแนนเต็ม]])*tbl_task1[[%]:[%]])</f>
        <v/>
      </c>
      <c r="FX13" s="121" t="str">
        <f>IF(ISBLANK(tbl_task1[[คะแนนเต็ม]:[คะแนนเต็ม]]),"",(tbl_task1[10]/tbl_task1[[คะแนนเต็ม]:[คะแนนเต็ม]])*tbl_task1[[%]:[%]])</f>
        <v/>
      </c>
      <c r="FY13" s="121" t="str">
        <f>IF(ISBLANK(tbl_task1[[คะแนนเต็ม]:[คะแนนเต็ม]]),"",(tbl_task1[11]/tbl_task1[[คะแนนเต็ม]:[คะแนนเต็ม]])*tbl_task1[[%]:[%]])</f>
        <v/>
      </c>
      <c r="FZ13" s="121" t="str">
        <f>IF(ISBLANK(tbl_task1[[คะแนนเต็ม]:[คะแนนเต็ม]]),"",(tbl_task1[12]/tbl_task1[[คะแนนเต็ม]:[คะแนนเต็ม]])*tbl_task1[[%]:[%]])</f>
        <v/>
      </c>
      <c r="GA13" s="121" t="str">
        <f>IF(ISBLANK(tbl_task1[[คะแนนเต็ม]:[คะแนนเต็ม]]),"",(tbl_task1[13]/tbl_task1[[คะแนนเต็ม]:[คะแนนเต็ม]])*tbl_task1[[%]:[%]])</f>
        <v/>
      </c>
      <c r="GB13" s="121" t="str">
        <f>IF(ISBLANK(tbl_task1[[คะแนนเต็ม]:[คะแนนเต็ม]]),"",(tbl_task1[14]/tbl_task1[[คะแนนเต็ม]:[คะแนนเต็ม]])*tbl_task1[[%]:[%]])</f>
        <v/>
      </c>
      <c r="GC13" s="121" t="str">
        <f>IF(ISBLANK(tbl_task1[[คะแนนเต็ม]:[คะแนนเต็ม]]),"",(tbl_task1[15]/tbl_task1[[คะแนนเต็ม]:[คะแนนเต็ม]])*tbl_task1[[%]:[%]])</f>
        <v/>
      </c>
      <c r="GD13" s="121" t="str">
        <f>IF(ISBLANK(tbl_task1[[คะแนนเต็ม]:[คะแนนเต็ม]]),"",(tbl_task1[16]/tbl_task1[[คะแนนเต็ม]:[คะแนนเต็ม]])*tbl_task1[[%]:[%]])</f>
        <v/>
      </c>
      <c r="GE13" s="121" t="str">
        <f>IF(ISBLANK(tbl_task1[[คะแนนเต็ม]:[คะแนนเต็ม]]),"",(tbl_task1[17]/tbl_task1[[คะแนนเต็ม]:[คะแนนเต็ม]])*tbl_task1[[%]:[%]])</f>
        <v/>
      </c>
      <c r="GF13" s="121" t="str">
        <f>IF(ISBLANK(tbl_task1[[คะแนนเต็ม]:[คะแนนเต็ม]]),"",(tbl_task1[18]/tbl_task1[[คะแนนเต็ม]:[คะแนนเต็ม]])*tbl_task1[[%]:[%]])</f>
        <v/>
      </c>
      <c r="GG13" s="121" t="str">
        <f>IF(ISBLANK(tbl_task1[[คะแนนเต็ม]:[คะแนนเต็ม]]),"",(tbl_task1[19]/tbl_task1[[คะแนนเต็ม]:[คะแนนเต็ม]])*tbl_task1[[%]:[%]])</f>
        <v/>
      </c>
      <c r="GH13" s="121" t="str">
        <f>IF(ISBLANK(tbl_task1[[คะแนนเต็ม]:[คะแนนเต็ม]]),"",(tbl_task1[20]/tbl_task1[[คะแนนเต็ม]:[คะแนนเต็ม]])*tbl_task1[[%]:[%]])</f>
        <v/>
      </c>
      <c r="GI13" s="121" t="str">
        <f>IF(ISBLANK(tbl_task1[[คะแนนเต็ม]:[คะแนนเต็ม]]),"",(tbl_task1[21]/tbl_task1[[คะแนนเต็ม]:[คะแนนเต็ม]])*tbl_task1[[%]:[%]])</f>
        <v/>
      </c>
      <c r="GJ13" s="121" t="str">
        <f>IF(ISBLANK(tbl_task1[[คะแนนเต็ม]:[คะแนนเต็ม]]),"",(tbl_task1[22]/tbl_task1[[คะแนนเต็ม]:[คะแนนเต็ม]])*tbl_task1[[%]:[%]])</f>
        <v/>
      </c>
      <c r="GK13" s="121" t="str">
        <f>IF(ISBLANK(tbl_task1[[คะแนนเต็ม]:[คะแนนเต็ม]]),"",(tbl_task1[23]/tbl_task1[[คะแนนเต็ม]:[คะแนนเต็ม]])*tbl_task1[[%]:[%]])</f>
        <v/>
      </c>
      <c r="GL13" s="121" t="str">
        <f>IF(ISBLANK(tbl_task1[[คะแนนเต็ม]:[คะแนนเต็ม]]),"",(tbl_task1[24]/tbl_task1[[คะแนนเต็ม]:[คะแนนเต็ม]])*tbl_task1[[%]:[%]])</f>
        <v/>
      </c>
      <c r="GM13" s="121" t="str">
        <f>IF(ISBLANK(tbl_task1[[คะแนนเต็ม]:[คะแนนเต็ม]]),"",(tbl_task1[25]/tbl_task1[[คะแนนเต็ม]:[คะแนนเต็ม]])*tbl_task1[[%]:[%]])</f>
        <v/>
      </c>
      <c r="GN13" s="121" t="str">
        <f>IF(ISBLANK(tbl_task1[[คะแนนเต็ม]:[คะแนนเต็ม]]),"",(tbl_task1[26]/tbl_task1[[คะแนนเต็ม]:[คะแนนเต็ม]])*tbl_task1[[%]:[%]])</f>
        <v/>
      </c>
      <c r="GO13" s="121" t="str">
        <f>IF(ISBLANK(tbl_task1[[คะแนนเต็ม]:[คะแนนเต็ม]]),"",(tbl_task1[27]/tbl_task1[[คะแนนเต็ม]:[คะแนนเต็ม]])*tbl_task1[[%]:[%]])</f>
        <v/>
      </c>
      <c r="GP13" s="121" t="str">
        <f>IF(ISBLANK(tbl_task1[[คะแนนเต็ม]:[คะแนนเต็ม]]),"",(tbl_task1[28]/tbl_task1[[คะแนนเต็ม]:[คะแนนเต็ม]])*tbl_task1[[%]:[%]])</f>
        <v/>
      </c>
      <c r="GQ13" s="121" t="str">
        <f>IF(ISBLANK(tbl_task1[[คะแนนเต็ม]:[คะแนนเต็ม]]),"",(tbl_task1[29]/tbl_task1[[คะแนนเต็ม]:[คะแนนเต็ม]])*tbl_task1[[%]:[%]])</f>
        <v/>
      </c>
      <c r="GR13" s="121" t="str">
        <f>IF(ISBLANK(tbl_task1[[คะแนนเต็ม]:[คะแนนเต็ม]]),"",(tbl_task1[30]/tbl_task1[[คะแนนเต็ม]:[คะแนนเต็ม]])*tbl_task1[[%]:[%]])</f>
        <v/>
      </c>
      <c r="GS13" s="121" t="str">
        <f>IF(ISBLANK(tbl_task1[[คะแนนเต็ม]:[คะแนนเต็ม]]),"",(tbl_task1[31]/tbl_task1[[คะแนนเต็ม]:[คะแนนเต็ม]])*tbl_task1[[%]:[%]])</f>
        <v/>
      </c>
      <c r="GT13" s="121" t="str">
        <f>IF(ISBLANK(tbl_task1[[คะแนนเต็ม]:[คะแนนเต็ม]]),"",(tbl_task1[32]/tbl_task1[[คะแนนเต็ม]:[คะแนนเต็ม]])*tbl_task1[[%]:[%]])</f>
        <v/>
      </c>
      <c r="GU13" s="121" t="str">
        <f>IF(ISBLANK(tbl_task1[[คะแนนเต็ม]:[คะแนนเต็ม]]),"",(tbl_task1[33]/tbl_task1[[คะแนนเต็ม]:[คะแนนเต็ม]])*tbl_task1[[%]:[%]])</f>
        <v/>
      </c>
      <c r="GV13" s="121" t="str">
        <f>IF(ISBLANK(tbl_task1[[คะแนนเต็ม]:[คะแนนเต็ม]]),"",(tbl_task1[34]/tbl_task1[[คะแนนเต็ม]:[คะแนนเต็ม]])*tbl_task1[[%]:[%]])</f>
        <v/>
      </c>
      <c r="GW13" s="121" t="str">
        <f>IF(ISBLANK(tbl_task1[[คะแนนเต็ม]:[คะแนนเต็ม]]),"",(tbl_task1[35]/tbl_task1[[คะแนนเต็ม]:[คะแนนเต็ม]])*tbl_task1[[%]:[%]])</f>
        <v/>
      </c>
      <c r="GX13" s="121" t="str">
        <f>IF(ISBLANK(tbl_task1[[คะแนนเต็ม]:[คะแนนเต็ม]]),"",(tbl_task1[36]/tbl_task1[[คะแนนเต็ม]:[คะแนนเต็ม]])*tbl_task1[[%]:[%]])</f>
        <v/>
      </c>
      <c r="GY13" s="121" t="str">
        <f>IF(ISBLANK(tbl_task1[[คะแนนเต็ม]:[คะแนนเต็ม]]),"",(tbl_task1[37]/tbl_task1[[คะแนนเต็ม]:[คะแนนเต็ม]])*tbl_task1[[%]:[%]])</f>
        <v/>
      </c>
      <c r="GZ13" s="121" t="str">
        <f>IF(ISBLANK(tbl_task1[[คะแนนเต็ม]:[คะแนนเต็ม]]),"",(tbl_task1[38]/tbl_task1[[คะแนนเต็ม]:[คะแนนเต็ม]])*tbl_task1[[%]:[%]])</f>
        <v/>
      </c>
      <c r="HA13" s="121" t="str">
        <f>IF(ISBLANK(tbl_task1[[คะแนนเต็ม]:[คะแนนเต็ม]]),"",(tbl_task1[39]/tbl_task1[[คะแนนเต็ม]:[คะแนนเต็ม]])*tbl_task1[[%]:[%]])</f>
        <v/>
      </c>
      <c r="HB13" s="121" t="str">
        <f>IF(ISBLANK(tbl_task1[[คะแนนเต็ม]:[คะแนนเต็ม]]),"",(tbl_task1[40]/tbl_task1[[คะแนนเต็ม]:[คะแนนเต็ม]])*tbl_task1[[%]:[%]])</f>
        <v/>
      </c>
      <c r="HC13" s="121" t="str">
        <f>IF(ISBLANK(tbl_task1[[คะแนนเต็ม]:[คะแนนเต็ม]]),"",(tbl_task1[41]/tbl_task1[[คะแนนเต็ม]:[คะแนนเต็ม]])*tbl_task1[[%]:[%]])</f>
        <v/>
      </c>
      <c r="HD13" s="121" t="str">
        <f>IF(ISBLANK(tbl_task1[[คะแนนเต็ม]:[คะแนนเต็ม]]),"",(tbl_task1[42]/tbl_task1[[คะแนนเต็ม]:[คะแนนเต็ม]])*tbl_task1[[%]:[%]])</f>
        <v/>
      </c>
      <c r="HE13" s="121" t="str">
        <f>IF(ISBLANK(tbl_task1[[คะแนนเต็ม]:[คะแนนเต็ม]]),"",(tbl_task1[43]/tbl_task1[[คะแนนเต็ม]:[คะแนนเต็ม]])*tbl_task1[[%]:[%]])</f>
        <v/>
      </c>
      <c r="HF13" s="121" t="str">
        <f>IF(ISBLANK(tbl_task1[[คะแนนเต็ม]:[คะแนนเต็ม]]),"",(tbl_task1[44]/tbl_task1[[คะแนนเต็ม]:[คะแนนเต็ม]])*tbl_task1[[%]:[%]])</f>
        <v/>
      </c>
      <c r="HG13" s="121" t="str">
        <f>IF(ISBLANK(tbl_task1[[คะแนนเต็ม]:[คะแนนเต็ม]]),"",(tbl_task1[45]/tbl_task1[[คะแนนเต็ม]:[คะแนนเต็ม]])*tbl_task1[[%]:[%]])</f>
        <v/>
      </c>
      <c r="HH13" s="121" t="str">
        <f>IF(ISBLANK(tbl_task1[[คะแนนเต็ม]:[คะแนนเต็ม]]),"",(tbl_task1[46]/tbl_task1[[คะแนนเต็ม]:[คะแนนเต็ม]])*tbl_task1[[%]:[%]])</f>
        <v/>
      </c>
      <c r="HI13" s="121" t="str">
        <f>IF(ISBLANK(tbl_task1[[คะแนนเต็ม]:[คะแนนเต็ม]]),"",(tbl_task1[47]/tbl_task1[[คะแนนเต็ม]:[คะแนนเต็ม]])*tbl_task1[[%]:[%]])</f>
        <v/>
      </c>
      <c r="HJ13" s="121" t="str">
        <f>IF(ISBLANK(tbl_task1[[คะแนนเต็ม]:[คะแนนเต็ม]]),"",(tbl_task1[48]/tbl_task1[[คะแนนเต็ม]:[คะแนนเต็ม]])*tbl_task1[[%]:[%]])</f>
        <v/>
      </c>
      <c r="HK13" s="121" t="str">
        <f>IF(ISBLANK(tbl_task1[[คะแนนเต็ม]:[คะแนนเต็ม]]),"",(tbl_task1[49]/tbl_task1[[คะแนนเต็ม]:[คะแนนเต็ม]])*tbl_task1[[%]:[%]])</f>
        <v/>
      </c>
      <c r="HL13" s="121" t="str">
        <f>IF(ISBLANK(tbl_task1[[คะแนนเต็ม]:[คะแนนเต็ม]]),"",(tbl_task1[50]/tbl_task1[[คะแนนเต็ม]:[คะแนนเต็ม]])*tbl_task1[[%]:[%]])</f>
        <v/>
      </c>
      <c r="HM13" s="121" t="str">
        <f>IF(ISBLANK(tbl_task1[[คะแนนเต็ม]:[คะแนนเต็ม]]),"",(tbl_task1[51]/tbl_task1[[คะแนนเต็ม]:[คะแนนเต็ม]])*tbl_task1[[%]:[%]])</f>
        <v/>
      </c>
      <c r="HN13" s="121" t="str">
        <f>IF(ISBLANK(tbl_task1[[คะแนนเต็ม]:[คะแนนเต็ม]]),"",(tbl_task1[52]/tbl_task1[[คะแนนเต็ม]:[คะแนนเต็ม]])*tbl_task1[[%]:[%]])</f>
        <v/>
      </c>
      <c r="HO13" s="121" t="str">
        <f>IF(ISBLANK(tbl_task1[[คะแนนเต็ม]:[คะแนนเต็ม]]),"",(tbl_task1[53]/tbl_task1[[คะแนนเต็ม]:[คะแนนเต็ม]])*tbl_task1[[%]:[%]])</f>
        <v/>
      </c>
      <c r="HP13" s="121" t="str">
        <f>IF(ISBLANK(tbl_task1[[คะแนนเต็ม]:[คะแนนเต็ม]]),"",(tbl_task1[54]/tbl_task1[[คะแนนเต็ม]:[คะแนนเต็ม]])*tbl_task1[[%]:[%]])</f>
        <v/>
      </c>
      <c r="HQ13" s="121" t="str">
        <f>IF(ISBLANK(tbl_task1[[คะแนนเต็ม]:[คะแนนเต็ม]]),"",(tbl_task1[55]/tbl_task1[[คะแนนเต็ม]:[คะแนนเต็ม]])*tbl_task1[[%]:[%]])</f>
        <v/>
      </c>
      <c r="HR13" s="121" t="str">
        <f>IF(ISBLANK(tbl_task1[[คะแนนเต็ม]:[คะแนนเต็ม]]),"",(tbl_task1[56]/tbl_task1[[คะแนนเต็ม]:[คะแนนเต็ม]])*tbl_task1[[%]:[%]])</f>
        <v/>
      </c>
      <c r="HS13" s="121" t="str">
        <f>IF(ISBLANK(tbl_task1[[คะแนนเต็ม]:[คะแนนเต็ม]]),"",(tbl_task1[57]/tbl_task1[[คะแนนเต็ม]:[คะแนนเต็ม]])*tbl_task1[[%]:[%]])</f>
        <v/>
      </c>
      <c r="HT13" s="121" t="str">
        <f>IF(ISBLANK(tbl_task1[[คะแนนเต็ม]:[คะแนนเต็ม]]),"",(tbl_task1[58]/tbl_task1[[คะแนนเต็ม]:[คะแนนเต็ม]])*tbl_task1[[%]:[%]])</f>
        <v/>
      </c>
      <c r="HU13" s="121" t="str">
        <f>IF(ISBLANK(tbl_task1[[คะแนนเต็ม]:[คะแนนเต็ม]]),"",(tbl_task1[59]/tbl_task1[[คะแนนเต็ม]:[คะแนนเต็ม]])*tbl_task1[[%]:[%]])</f>
        <v/>
      </c>
      <c r="HV13" s="121" t="str">
        <f>IF(ISBLANK(tbl_task1[[คะแนนเต็ม]:[คะแนนเต็ม]]),"",(tbl_task1[60]/tbl_task1[[คะแนนเต็ม]:[คะแนนเต็ม]])*tbl_task1[[%]:[%]])</f>
        <v/>
      </c>
      <c r="HW13" s="121" t="str">
        <f>IF(ISBLANK(tbl_task1[[คะแนนเต็ม]:[คะแนนเต็ม]]),"",(tbl_task1[61]/tbl_task1[[คะแนนเต็ม]:[คะแนนเต็ม]])*tbl_task1[[%]:[%]])</f>
        <v/>
      </c>
      <c r="HX13" s="121" t="str">
        <f>IF(ISBLANK(tbl_task1[[คะแนนเต็ม]:[คะแนนเต็ม]]),"",(tbl_task1[62]/tbl_task1[[คะแนนเต็ม]:[คะแนนเต็ม]])*tbl_task1[[%]:[%]])</f>
        <v/>
      </c>
      <c r="HY13" s="121" t="str">
        <f>IF(ISBLANK(tbl_task1[[คะแนนเต็ม]:[คะแนนเต็ม]]),"",(tbl_task1[63]/tbl_task1[[คะแนนเต็ม]:[คะแนนเต็ม]])*tbl_task1[[%]:[%]])</f>
        <v/>
      </c>
      <c r="HZ13" s="121" t="str">
        <f>IF(ISBLANK(tbl_task1[[คะแนนเต็ม]:[คะแนนเต็ม]]),"",(tbl_task1[64]/tbl_task1[[คะแนนเต็ม]:[คะแนนเต็ม]])*tbl_task1[[%]:[%]])</f>
        <v/>
      </c>
      <c r="IA13" s="121" t="str">
        <f>IF(ISBLANK(tbl_task1[[คะแนนเต็ม]:[คะแนนเต็ม]]),"",(tbl_task1[65]/tbl_task1[[คะแนนเต็ม]:[คะแนนเต็ม]])*tbl_task1[[%]:[%]])</f>
        <v/>
      </c>
      <c r="IB13" s="121" t="str">
        <f>IF(ISBLANK(tbl_task1[[คะแนนเต็ม]:[คะแนนเต็ม]]),"",(tbl_task1[66]/tbl_task1[[คะแนนเต็ม]:[คะแนนเต็ม]])*tbl_task1[[%]:[%]])</f>
        <v/>
      </c>
      <c r="IC13" s="121" t="str">
        <f>IF(ISBLANK(tbl_task1[[คะแนนเต็ม]:[คะแนนเต็ม]]),"",(tbl_task1[67]/tbl_task1[[คะแนนเต็ม]:[คะแนนเต็ม]])*tbl_task1[[%]:[%]])</f>
        <v/>
      </c>
      <c r="ID13" s="121" t="str">
        <f>IF(ISBLANK(tbl_task1[[คะแนนเต็ม]:[คะแนนเต็ม]]),"",(tbl_task1[68]/tbl_task1[[คะแนนเต็ม]:[คะแนนเต็ม]])*tbl_task1[[%]:[%]])</f>
        <v/>
      </c>
      <c r="IE13" s="121" t="str">
        <f>IF(ISBLANK(tbl_task1[[คะแนนเต็ม]:[คะแนนเต็ม]]),"",(tbl_task1[69]/tbl_task1[[คะแนนเต็ม]:[คะแนนเต็ม]])*tbl_task1[[%]:[%]])</f>
        <v/>
      </c>
      <c r="IF13" s="121" t="str">
        <f>IF(ISBLANK(tbl_task1[[คะแนนเต็ม]:[คะแนนเต็ม]]),"",(tbl_task1[70]/tbl_task1[[คะแนนเต็ม]:[คะแนนเต็ม]])*tbl_task1[[%]:[%]])</f>
        <v/>
      </c>
      <c r="IG13" s="121" t="str">
        <f>IF(ISBLANK(tbl_task1[[คะแนนเต็ม]:[คะแนนเต็ม]]),"",(tbl_task1[71]/tbl_task1[[คะแนนเต็ม]:[คะแนนเต็ม]])*tbl_task1[[%]:[%]])</f>
        <v/>
      </c>
      <c r="IH13" s="121" t="str">
        <f>IF(ISBLANK(tbl_task1[[คะแนนเต็ม]:[คะแนนเต็ม]]),"",(tbl_task1[72]/tbl_task1[[คะแนนเต็ม]:[คะแนนเต็ม]])*tbl_task1[[%]:[%]])</f>
        <v/>
      </c>
      <c r="II13" s="121" t="str">
        <f>IF(ISBLANK(tbl_task1[[คะแนนเต็ม]:[คะแนนเต็ม]]),"",(tbl_task1[73]/tbl_task1[[คะแนนเต็ม]:[คะแนนเต็ม]])*tbl_task1[[%]:[%]])</f>
        <v/>
      </c>
      <c r="IJ13" s="121" t="str">
        <f>IF(ISBLANK(tbl_task1[[คะแนนเต็ม]:[คะแนนเต็ม]]),"",(tbl_task1[74]/tbl_task1[[คะแนนเต็ม]:[คะแนนเต็ม]])*tbl_task1[[%]:[%]])</f>
        <v/>
      </c>
      <c r="IK13" s="121" t="str">
        <f>IF(ISBLANK(tbl_task1[[คะแนนเต็ม]:[คะแนนเต็ม]]),"",(tbl_task1[75]/tbl_task1[[คะแนนเต็ม]:[คะแนนเต็ม]])*tbl_task1[[%]:[%]])</f>
        <v/>
      </c>
      <c r="IL13" s="121" t="str">
        <f>IF(ISBLANK(tbl_task1[[คะแนนเต็ม]:[คะแนนเต็ม]]),"",(tbl_task1[76]/tbl_task1[[คะแนนเต็ม]:[คะแนนเต็ม]])*tbl_task1[[%]:[%]])</f>
        <v/>
      </c>
      <c r="IM13" s="121" t="str">
        <f>IF(ISBLANK(tbl_task1[[คะแนนเต็ม]:[คะแนนเต็ม]]),"",(tbl_task1[77]/tbl_task1[[คะแนนเต็ม]:[คะแนนเต็ม]])*tbl_task1[[%]:[%]])</f>
        <v/>
      </c>
      <c r="IN13" s="121" t="str">
        <f>IF(ISBLANK(tbl_task1[[คะแนนเต็ม]:[คะแนนเต็ม]]),"",(tbl_task1[78]/tbl_task1[[คะแนนเต็ม]:[คะแนนเต็ม]])*tbl_task1[[%]:[%]])</f>
        <v/>
      </c>
      <c r="IO13" s="121" t="str">
        <f>IF(ISBLANK(tbl_task1[[คะแนนเต็ม]:[คะแนนเต็ม]]),"",(tbl_task1[79]/tbl_task1[[คะแนนเต็ม]:[คะแนนเต็ม]])*tbl_task1[[%]:[%]])</f>
        <v/>
      </c>
      <c r="IP13" s="121" t="str">
        <f>IF(ISBLANK(tbl_task1[[คะแนนเต็ม]:[คะแนนเต็ม]]),"",(tbl_task1[80]/tbl_task1[[คะแนนเต็ม]:[คะแนนเต็ม]])*tbl_task1[[%]:[%]])</f>
        <v/>
      </c>
      <c r="IQ13" s="121" t="str">
        <f>IF(ISBLANK(tbl_task1[[คะแนนเต็ม]:[คะแนนเต็ม]]),"",(tbl_task1[81]/tbl_task1[[คะแนนเต็ม]:[คะแนนเต็ม]])*tbl_task1[[%]:[%]])</f>
        <v/>
      </c>
      <c r="IR13" s="121" t="str">
        <f>IF(ISBLANK(tbl_task1[[คะแนนเต็ม]:[คะแนนเต็ม]]),"",(tbl_task1[82]/tbl_task1[[คะแนนเต็ม]:[คะแนนเต็ม]])*tbl_task1[[%]:[%]])</f>
        <v/>
      </c>
      <c r="IS13" s="121" t="str">
        <f>IF(ISBLANK(tbl_task1[[คะแนนเต็ม]:[คะแนนเต็ม]]),"",(tbl_task1[83]/tbl_task1[[คะแนนเต็ม]:[คะแนนเต็ม]])*tbl_task1[[%]:[%]])</f>
        <v/>
      </c>
      <c r="IT13" s="121" t="str">
        <f>IF(ISBLANK(tbl_task1[[คะแนนเต็ม]:[คะแนนเต็ม]]),"",(tbl_task1[84]/tbl_task1[[คะแนนเต็ม]:[คะแนนเต็ม]])*tbl_task1[[%]:[%]])</f>
        <v/>
      </c>
      <c r="IU13" s="121" t="str">
        <f>IF(ISBLANK(tbl_task1[[คะแนนเต็ม]:[คะแนนเต็ม]]),"",(tbl_task1[85]/tbl_task1[[คะแนนเต็ม]:[คะแนนเต็ม]])*tbl_task1[[%]:[%]])</f>
        <v/>
      </c>
      <c r="IV13" s="121" t="str">
        <f>IF(ISBLANK(tbl_task1[[คะแนนเต็ม]:[คะแนนเต็ม]]),"",(tbl_task1[86]/tbl_task1[[คะแนนเต็ม]:[คะแนนเต็ม]])*tbl_task1[[%]:[%]])</f>
        <v/>
      </c>
      <c r="IW13" s="121" t="str">
        <f>IF(ISBLANK(tbl_task1[[คะแนนเต็ม]:[คะแนนเต็ม]]),"",(tbl_task1[87]/tbl_task1[[คะแนนเต็ม]:[คะแนนเต็ม]])*tbl_task1[[%]:[%]])</f>
        <v/>
      </c>
      <c r="IX13" s="121" t="str">
        <f>IF(ISBLANK(tbl_task1[[คะแนนเต็ม]:[คะแนนเต็ม]]),"",(tbl_task1[88]/tbl_task1[[คะแนนเต็ม]:[คะแนนเต็ม]])*tbl_task1[[%]:[%]])</f>
        <v/>
      </c>
      <c r="IY13" s="121" t="str">
        <f>IF(ISBLANK(tbl_task1[[คะแนนเต็ม]:[คะแนนเต็ม]]),"",(tbl_task1[89]/tbl_task1[[คะแนนเต็ม]:[คะแนนเต็ม]])*tbl_task1[[%]:[%]])</f>
        <v/>
      </c>
      <c r="IZ13" s="121" t="str">
        <f>IF(ISBLANK(tbl_task1[[คะแนนเต็ม]:[คะแนนเต็ม]]),"",(tbl_task1[90]/tbl_task1[[คะแนนเต็ม]:[คะแนนเต็ม]])*tbl_task1[[%]:[%]])</f>
        <v/>
      </c>
      <c r="JA13" s="121" t="str">
        <f>IF(ISBLANK(tbl_task1[[คะแนนเต็ม]:[คะแนนเต็ม]]),"",(tbl_task1[91]/tbl_task1[[คะแนนเต็ม]:[คะแนนเต็ม]])*tbl_task1[[%]:[%]])</f>
        <v/>
      </c>
      <c r="JB13" s="121" t="str">
        <f>IF(ISBLANK(tbl_task1[[คะแนนเต็ม]:[คะแนนเต็ม]]),"",(tbl_task1[92]/tbl_task1[[คะแนนเต็ม]:[คะแนนเต็ม]])*tbl_task1[[%]:[%]])</f>
        <v/>
      </c>
      <c r="JC13" s="121" t="str">
        <f>IF(ISBLANK(tbl_task1[[คะแนนเต็ม]:[คะแนนเต็ม]]),"",(tbl_task1[93]/tbl_task1[[คะแนนเต็ม]:[คะแนนเต็ม]])*tbl_task1[[%]:[%]])</f>
        <v/>
      </c>
      <c r="JD13" s="121" t="str">
        <f>IF(ISBLANK(tbl_task1[[คะแนนเต็ม]:[คะแนนเต็ม]]),"",(tbl_task1[94]/tbl_task1[[คะแนนเต็ม]:[คะแนนเต็ม]])*tbl_task1[[%]:[%]])</f>
        <v/>
      </c>
      <c r="JE13" s="121" t="str">
        <f>IF(ISBLANK(tbl_task1[[คะแนนเต็ม]:[คะแนนเต็ม]]),"",(tbl_task1[95]/tbl_task1[[คะแนนเต็ม]:[คะแนนเต็ม]])*tbl_task1[[%]:[%]])</f>
        <v/>
      </c>
      <c r="JF13" s="121" t="str">
        <f>IF(ISBLANK(tbl_task1[[คะแนนเต็ม]:[คะแนนเต็ม]]),"",(tbl_task1[96]/tbl_task1[[คะแนนเต็ม]:[คะแนนเต็ม]])*tbl_task1[[%]:[%]])</f>
        <v/>
      </c>
      <c r="JG13" s="121" t="str">
        <f>IF(ISBLANK(tbl_task1[[คะแนนเต็ม]:[คะแนนเต็ม]]),"",(tbl_task1[97]/tbl_task1[[คะแนนเต็ม]:[คะแนนเต็ม]])*tbl_task1[[%]:[%]])</f>
        <v/>
      </c>
      <c r="JH13" s="121" t="str">
        <f>IF(ISBLANK(tbl_task1[[คะแนนเต็ม]:[คะแนนเต็ม]]),"",(tbl_task1[98]/tbl_task1[[คะแนนเต็ม]:[คะแนนเต็ม]])*tbl_task1[[%]:[%]])</f>
        <v/>
      </c>
      <c r="JI13" s="121" t="str">
        <f>IF(ISBLANK(tbl_task1[[คะแนนเต็ม]:[คะแนนเต็ม]]),"",(tbl_task1[99]/tbl_task1[[คะแนนเต็ม]:[คะแนนเต็ม]])*tbl_task1[[%]:[%]])</f>
        <v/>
      </c>
      <c r="JJ13" s="121" t="str">
        <f>IF(ISBLANK(tbl_task1[[คะแนนเต็ม]:[คะแนนเต็ม]]),"",(tbl_task1[100]/tbl_task1[[คะแนนเต็ม]:[คะแนนเต็ม]])*tbl_task1[[%]:[%]])</f>
        <v/>
      </c>
      <c r="JK13" s="121" t="str">
        <f>IF(ISBLANK(tbl_task1[[คะแนนเต็ม]:[คะแนนเต็ม]]),"",(tbl_task1[101]/tbl_task1[[คะแนนเต็ม]:[คะแนนเต็ม]])*tbl_task1[[%]:[%]])</f>
        <v/>
      </c>
      <c r="JL13" s="121" t="str">
        <f>IF(ISBLANK(tbl_task1[[คะแนนเต็ม]:[คะแนนเต็ม]]),"",(tbl_task1[102]/tbl_task1[[คะแนนเต็ม]:[คะแนนเต็ม]])*tbl_task1[[%]:[%]])</f>
        <v/>
      </c>
      <c r="JM13" s="121" t="str">
        <f>IF(ISBLANK(tbl_task1[[คะแนนเต็ม]:[คะแนนเต็ม]]),"",(tbl_task1[103]/tbl_task1[[คะแนนเต็ม]:[คะแนนเต็ม]])*tbl_task1[[%]:[%]])</f>
        <v/>
      </c>
      <c r="JN13" s="121" t="str">
        <f>IF(ISBLANK(tbl_task1[[คะแนนเต็ม]:[คะแนนเต็ม]]),"",(tbl_task1[104]/tbl_task1[[คะแนนเต็ม]:[คะแนนเต็ม]])*tbl_task1[[%]:[%]])</f>
        <v/>
      </c>
      <c r="JO13" s="121" t="str">
        <f>IF(ISBLANK(tbl_task1[[คะแนนเต็ม]:[คะแนนเต็ม]]),"",(tbl_task1[105]/tbl_task1[[คะแนนเต็ม]:[คะแนนเต็ม]])*tbl_task1[[%]:[%]])</f>
        <v/>
      </c>
      <c r="JP13" s="121" t="str">
        <f>IF(ISBLANK(tbl_task1[[คะแนนเต็ม]:[คะแนนเต็ม]]),"",(tbl_task1[106]/tbl_task1[[คะแนนเต็ม]:[คะแนนเต็ม]])*tbl_task1[[%]:[%]])</f>
        <v/>
      </c>
      <c r="JQ13" s="121" t="str">
        <f>IF(ISBLANK(tbl_task1[[คะแนนเต็ม]:[คะแนนเต็ม]]),"",(tbl_task1[107]/tbl_task1[[คะแนนเต็ม]:[คะแนนเต็ม]])*tbl_task1[[%]:[%]])</f>
        <v/>
      </c>
      <c r="JR13" s="121" t="str">
        <f>IF(ISBLANK(tbl_task1[[คะแนนเต็ม]:[คะแนนเต็ม]]),"",(tbl_task1[108]/tbl_task1[[คะแนนเต็ม]:[คะแนนเต็ม]])*tbl_task1[[%]:[%]])</f>
        <v/>
      </c>
      <c r="JS13" s="121" t="str">
        <f>IF(ISBLANK(tbl_task1[[คะแนนเต็ม]:[คะแนนเต็ม]]),"",(tbl_task1[109]/tbl_task1[[คะแนนเต็ม]:[คะแนนเต็ม]])*tbl_task1[[%]:[%]])</f>
        <v/>
      </c>
      <c r="JT13" s="121" t="str">
        <f>IF(ISBLANK(tbl_task1[[คะแนนเต็ม]:[คะแนนเต็ม]]),"",(tbl_task1[110]/tbl_task1[[คะแนนเต็ม]:[คะแนนเต็ม]])*tbl_task1[[%]:[%]])</f>
        <v/>
      </c>
      <c r="JU13" s="121" t="str">
        <f>IF(ISBLANK(tbl_task1[[คะแนนเต็ม]:[คะแนนเต็ม]]),"",(tbl_task1[111]/tbl_task1[[คะแนนเต็ม]:[คะแนนเต็ม]])*tbl_task1[[%]:[%]])</f>
        <v/>
      </c>
      <c r="JV13" s="121" t="str">
        <f>IF(ISBLANK(tbl_task1[[คะแนนเต็ม]:[คะแนนเต็ม]]),"",(tbl_task1[112]/tbl_task1[[คะแนนเต็ม]:[คะแนนเต็ม]])*tbl_task1[[%]:[%]])</f>
        <v/>
      </c>
      <c r="JW13" s="121" t="str">
        <f>IF(ISBLANK(tbl_task1[[คะแนนเต็ม]:[คะแนนเต็ม]]),"",(tbl_task1[113]/tbl_task1[[คะแนนเต็ม]:[คะแนนเต็ม]])*tbl_task1[[%]:[%]])</f>
        <v/>
      </c>
      <c r="JX13" s="121" t="str">
        <f>IF(ISBLANK(tbl_task1[[คะแนนเต็ม]:[คะแนนเต็ม]]),"",(tbl_task1[114]/tbl_task1[[คะแนนเต็ม]:[คะแนนเต็ม]])*tbl_task1[[%]:[%]])</f>
        <v/>
      </c>
      <c r="JY13" s="121" t="str">
        <f>IF(ISBLANK(tbl_task1[[คะแนนเต็ม]:[คะแนนเต็ม]]),"",(tbl_task1[115]/tbl_task1[[คะแนนเต็ม]:[คะแนนเต็ม]])*tbl_task1[[%]:[%]])</f>
        <v/>
      </c>
      <c r="JZ13" s="121" t="str">
        <f>IF(ISBLANK(tbl_task1[[คะแนนเต็ม]:[คะแนนเต็ม]]),"",(tbl_task1[116]/tbl_task1[[คะแนนเต็ม]:[คะแนนเต็ม]])*tbl_task1[[%]:[%]])</f>
        <v/>
      </c>
      <c r="KA13" s="121" t="str">
        <f>IF(ISBLANK(tbl_task1[[คะแนนเต็ม]:[คะแนนเต็ม]]),"",(tbl_task1[117]/tbl_task1[[คะแนนเต็ม]:[คะแนนเต็ม]])*tbl_task1[[%]:[%]])</f>
        <v/>
      </c>
      <c r="KB13" s="121" t="str">
        <f>IF(ISBLANK(tbl_task1[[คะแนนเต็ม]:[คะแนนเต็ม]]),"",(tbl_task1[118]/tbl_task1[[คะแนนเต็ม]:[คะแนนเต็ม]])*tbl_task1[[%]:[%]])</f>
        <v/>
      </c>
      <c r="KC13" s="121" t="str">
        <f>IF(ISBLANK(tbl_task1[[คะแนนเต็ม]:[คะแนนเต็ม]]),"",(tbl_task1[119]/tbl_task1[[คะแนนเต็ม]:[คะแนนเต็ม]])*tbl_task1[[%]:[%]])</f>
        <v/>
      </c>
      <c r="KD13" s="121" t="str">
        <f>IF(ISBLANK(tbl_task1[[คะแนนเต็ม]:[คะแนนเต็ม]]),"",(tbl_task1[120]/tbl_task1[[คะแนนเต็ม]:[คะแนนเต็ม]])*tbl_task1[[%]:[%]])</f>
        <v/>
      </c>
      <c r="KE13" s="121" t="str">
        <f>IF(ISBLANK(tbl_task1[[คะแนนเต็ม]:[คะแนนเต็ม]]),"",(tbl_task1[121]/tbl_task1[[คะแนนเต็ม]:[คะแนนเต็ม]])*tbl_task1[[%]:[%]])</f>
        <v/>
      </c>
      <c r="KF13" s="121" t="str">
        <f>IF(ISBLANK(tbl_task1[[คะแนนเต็ม]:[คะแนนเต็ม]]),"",(tbl_task1[122]/tbl_task1[[คะแนนเต็ม]:[คะแนนเต็ม]])*tbl_task1[[%]:[%]])</f>
        <v/>
      </c>
      <c r="KG13" s="121" t="str">
        <f>IF(ISBLANK(tbl_task1[[คะแนนเต็ม]:[คะแนนเต็ม]]),"",(tbl_task1[123]/tbl_task1[[คะแนนเต็ม]:[คะแนนเต็ม]])*tbl_task1[[%]:[%]])</f>
        <v/>
      </c>
      <c r="KH13" s="121" t="str">
        <f>IF(ISBLANK(tbl_task1[[คะแนนเต็ม]:[คะแนนเต็ม]]),"",(tbl_task1[124]/tbl_task1[[คะแนนเต็ม]:[คะแนนเต็ม]])*tbl_task1[[%]:[%]])</f>
        <v/>
      </c>
      <c r="KI13" s="121" t="str">
        <f>IF(ISBLANK(tbl_task1[[คะแนนเต็ม]:[คะแนนเต็ม]]),"",(tbl_task1[125]/tbl_task1[[คะแนนเต็ม]:[คะแนนเต็ม]])*tbl_task1[[%]:[%]])</f>
        <v/>
      </c>
      <c r="KJ13" s="121" t="str">
        <f>IF(ISBLANK(tbl_task1[[คะแนนเต็ม]:[คะแนนเต็ม]]),"",(tbl_task1[126]/tbl_task1[[คะแนนเต็ม]:[คะแนนเต็ม]])*tbl_task1[[%]:[%]])</f>
        <v/>
      </c>
      <c r="KK13" s="121" t="str">
        <f>IF(ISBLANK(tbl_task1[[คะแนนเต็ม]:[คะแนนเต็ม]]),"",(tbl_task1[127]/tbl_task1[[คะแนนเต็ม]:[คะแนนเต็ม]])*tbl_task1[[%]:[%]])</f>
        <v/>
      </c>
      <c r="KL13" s="121" t="str">
        <f>IF(ISBLANK(tbl_task1[[คะแนนเต็ม]:[คะแนนเต็ม]]),"",(tbl_task1[128]/tbl_task1[[คะแนนเต็ม]:[คะแนนเต็ม]])*tbl_task1[[%]:[%]])</f>
        <v/>
      </c>
      <c r="KM13" s="121" t="str">
        <f>IF(ISBLANK(tbl_task1[[คะแนนเต็ม]:[คะแนนเต็ม]]),"",(tbl_task1[129]/tbl_task1[[คะแนนเต็ม]:[คะแนนเต็ม]])*tbl_task1[[%]:[%]])</f>
        <v/>
      </c>
      <c r="KN13" s="121" t="str">
        <f>IF(ISBLANK(tbl_task1[[คะแนนเต็ม]:[คะแนนเต็ม]]),"",(tbl_task1[130]/tbl_task1[[คะแนนเต็ม]:[คะแนนเต็ม]])*tbl_task1[[%]:[%]])</f>
        <v/>
      </c>
      <c r="KO13" s="121" t="str">
        <f>IF(ISBLANK(tbl_task1[[คะแนนเต็ม]:[คะแนนเต็ม]]),"",(tbl_task1[131]/tbl_task1[[คะแนนเต็ม]:[คะแนนเต็ม]])*tbl_task1[[%]:[%]])</f>
        <v/>
      </c>
      <c r="KP13" s="121" t="str">
        <f>IF(ISBLANK(tbl_task1[[คะแนนเต็ม]:[คะแนนเต็ม]]),"",(tbl_task1[132]/tbl_task1[[คะแนนเต็ม]:[คะแนนเต็ม]])*tbl_task1[[%]:[%]])</f>
        <v/>
      </c>
      <c r="KQ13" s="121" t="str">
        <f>IF(ISBLANK(tbl_task1[[คะแนนเต็ม]:[คะแนนเต็ม]]),"",(tbl_task1[133]/tbl_task1[[คะแนนเต็ม]:[คะแนนเต็ม]])*tbl_task1[[%]:[%]])</f>
        <v/>
      </c>
      <c r="KR13" s="121" t="str">
        <f>IF(ISBLANK(tbl_task1[[คะแนนเต็ม]:[คะแนนเต็ม]]),"",(tbl_task1[134]/tbl_task1[[คะแนนเต็ม]:[คะแนนเต็ม]])*tbl_task1[[%]:[%]])</f>
        <v/>
      </c>
      <c r="KS13" s="121" t="str">
        <f>IF(ISBLANK(tbl_task1[[คะแนนเต็ม]:[คะแนนเต็ม]]),"",(tbl_task1[135]/tbl_task1[[คะแนนเต็ม]:[คะแนนเต็ม]])*tbl_task1[[%]:[%]])</f>
        <v/>
      </c>
      <c r="KT13" s="121" t="str">
        <f>IF(ISBLANK(tbl_task1[[คะแนนเต็ม]:[คะแนนเต็ม]]),"",(tbl_task1[136]/tbl_task1[[คะแนนเต็ม]:[คะแนนเต็ม]])*tbl_task1[[%]:[%]])</f>
        <v/>
      </c>
      <c r="KU13" s="121" t="str">
        <f>IF(ISBLANK(tbl_task1[[คะแนนเต็ม]:[คะแนนเต็ม]]),"",(tbl_task1[137]/tbl_task1[[คะแนนเต็ม]:[คะแนนเต็ม]])*tbl_task1[[%]:[%]])</f>
        <v/>
      </c>
      <c r="KV13" s="121" t="str">
        <f>IF(ISBLANK(tbl_task1[[คะแนนเต็ม]:[คะแนนเต็ม]]),"",(tbl_task1[138]/tbl_task1[[คะแนนเต็ม]:[คะแนนเต็ม]])*tbl_task1[[%]:[%]])</f>
        <v/>
      </c>
      <c r="KW13" s="121" t="str">
        <f>IF(ISBLANK(tbl_task1[[คะแนนเต็ม]:[คะแนนเต็ม]]),"",(tbl_task1[139]/tbl_task1[[คะแนนเต็ม]:[คะแนนเต็ม]])*tbl_task1[[%]:[%]])</f>
        <v/>
      </c>
      <c r="KX13" s="121" t="str">
        <f>IF(ISBLANK(tbl_task1[[คะแนนเต็ม]:[คะแนนเต็ม]]),"",(tbl_task1[140]/tbl_task1[[คะแนนเต็ม]:[คะแนนเต็ม]])*tbl_task1[[%]:[%]])</f>
        <v/>
      </c>
      <c r="KY13" s="121" t="str">
        <f>IF(ISBLANK(tbl_task1[[คะแนนเต็ม]:[คะแนนเต็ม]]),"",(tbl_task1[141]/tbl_task1[[คะแนนเต็ม]:[คะแนนเต็ม]])*tbl_task1[[%]:[%]])</f>
        <v/>
      </c>
      <c r="KZ13" s="121" t="str">
        <f>IF(ISBLANK(tbl_task1[[คะแนนเต็ม]:[คะแนนเต็ม]]),"",(tbl_task1[142]/tbl_task1[[คะแนนเต็ม]:[คะแนนเต็ม]])*tbl_task1[[%]:[%]])</f>
        <v/>
      </c>
      <c r="LA13" s="121" t="str">
        <f>IF(ISBLANK(tbl_task1[[คะแนนเต็ม]:[คะแนนเต็ม]]),"",(tbl_task1[143]/tbl_task1[[คะแนนเต็ม]:[คะแนนเต็ม]])*tbl_task1[[%]:[%]])</f>
        <v/>
      </c>
      <c r="LB13" s="121" t="str">
        <f>IF(ISBLANK(tbl_task1[[คะแนนเต็ม]:[คะแนนเต็ม]]),"",(tbl_task1[144]/tbl_task1[[คะแนนเต็ม]:[คะแนนเต็ม]])*tbl_task1[[%]:[%]])</f>
        <v/>
      </c>
      <c r="LC13" s="121" t="str">
        <f>IF(ISBLANK(tbl_task1[[คะแนนเต็ม]:[คะแนนเต็ม]]),"",(tbl_task1[145]/tbl_task1[[คะแนนเต็ม]:[คะแนนเต็ม]])*tbl_task1[[%]:[%]])</f>
        <v/>
      </c>
      <c r="LD13" s="121" t="str">
        <f>IF(ISBLANK(tbl_task1[[คะแนนเต็ม]:[คะแนนเต็ม]]),"",(tbl_task1[146]/tbl_task1[[คะแนนเต็ม]:[คะแนนเต็ม]])*tbl_task1[[%]:[%]])</f>
        <v/>
      </c>
      <c r="LE13" s="121" t="str">
        <f>IF(ISBLANK(tbl_task1[[คะแนนเต็ม]:[คะแนนเต็ม]]),"",(tbl_task1[147]/tbl_task1[[คะแนนเต็ม]:[คะแนนเต็ม]])*tbl_task1[[%]:[%]])</f>
        <v/>
      </c>
      <c r="LF13" s="121" t="str">
        <f>IF(ISBLANK(tbl_task1[[คะแนนเต็ม]:[คะแนนเต็ม]]),"",(tbl_task1[148]/tbl_task1[[คะแนนเต็ม]:[คะแนนเต็ม]])*tbl_task1[[%]:[%]])</f>
        <v/>
      </c>
      <c r="LG13" s="121" t="str">
        <f>IF(ISBLANK(tbl_task1[[คะแนนเต็ม]:[คะแนนเต็ม]]),"",(tbl_task1[149]/tbl_task1[[คะแนนเต็ม]:[คะแนนเต็ม]])*tbl_task1[[%]:[%]])</f>
        <v/>
      </c>
      <c r="LH13" s="121" t="str">
        <f>IF(ISBLANK(tbl_task1[[คะแนนเต็ม]:[คะแนนเต็ม]]),"",(tbl_task1[150]/tbl_task1[[คะแนนเต็ม]:[คะแนนเต็ม]])*tbl_task1[[%]:[%]])</f>
        <v/>
      </c>
      <c r="LI13" s="121" t="str">
        <f>IF(ISBLANK(tbl_task1[[คะแนนเต็ม]:[คะแนนเต็ม]]),"",(tbl_task1[151]/tbl_task1[[คะแนนเต็ม]:[คะแนนเต็ม]])*tbl_task1[[%]:[%]])</f>
        <v/>
      </c>
      <c r="LJ13" s="121" t="str">
        <f>IF(ISBLANK(tbl_task1[[คะแนนเต็ม]:[คะแนนเต็ม]]),"",(tbl_task1[152]/tbl_task1[[คะแนนเต็ม]:[คะแนนเต็ม]])*tbl_task1[[%]:[%]])</f>
        <v/>
      </c>
      <c r="LK13" s="121" t="str">
        <f>IF(ISBLANK(tbl_task1[[คะแนนเต็ม]:[คะแนนเต็ม]]),"",(tbl_task1[153]/tbl_task1[[คะแนนเต็ม]:[คะแนนเต็ม]])*tbl_task1[[%]:[%]])</f>
        <v/>
      </c>
      <c r="LL13" s="121" t="str">
        <f>IF(ISBLANK(tbl_task1[[คะแนนเต็ม]:[คะแนนเต็ม]]),"",(tbl_task1[154]/tbl_task1[[คะแนนเต็ม]:[คะแนนเต็ม]])*tbl_task1[[%]:[%]])</f>
        <v/>
      </c>
      <c r="LM13" s="121" t="str">
        <f>IF(ISBLANK(tbl_task1[[คะแนนเต็ม]:[คะแนนเต็ม]]),"",(tbl_task1[155]/tbl_task1[[คะแนนเต็ม]:[คะแนนเต็ม]])*tbl_task1[[%]:[%]])</f>
        <v/>
      </c>
      <c r="LN13" s="121" t="str">
        <f>IF(ISBLANK(tbl_task1[[คะแนนเต็ม]:[คะแนนเต็ม]]),"",(tbl_task1[156]/tbl_task1[[คะแนนเต็ม]:[คะแนนเต็ม]])*tbl_task1[[%]:[%]])</f>
        <v/>
      </c>
      <c r="LO13" s="121" t="str">
        <f>IF(ISBLANK(tbl_task1[[คะแนนเต็ม]:[คะแนนเต็ม]]),"",(tbl_task1[157]/tbl_task1[[คะแนนเต็ม]:[คะแนนเต็ม]])*tbl_task1[[%]:[%]])</f>
        <v/>
      </c>
      <c r="LP13" s="121" t="str">
        <f>IF(ISBLANK(tbl_task1[[คะแนนเต็ม]:[คะแนนเต็ม]]),"",(tbl_task1[158]/tbl_task1[[คะแนนเต็ม]:[คะแนนเต็ม]])*tbl_task1[[%]:[%]])</f>
        <v/>
      </c>
      <c r="LQ13" s="121" t="str">
        <f>IF(ISBLANK(tbl_task1[[คะแนนเต็ม]:[คะแนนเต็ม]]),"",(tbl_task1[159]/tbl_task1[[คะแนนเต็ม]:[คะแนนเต็ม]])*tbl_task1[[%]:[%]])</f>
        <v/>
      </c>
      <c r="LR13" s="121" t="str">
        <f>IF(ISBLANK(tbl_task1[[คะแนนเต็ม]:[คะแนนเต็ม]]),"",(tbl_task1[160]/tbl_task1[[คะแนนเต็ม]:[คะแนนเต็ม]])*tbl_task1[[%]:[%]])</f>
        <v/>
      </c>
      <c r="LS13" s="121" t="str">
        <f>IF(ISBLANK(tbl_task1[[คะแนนเต็ม]:[คะแนนเต็ม]]),"",(tbl_task1[161]/tbl_task1[[คะแนนเต็ม]:[คะแนนเต็ม]])*tbl_task1[[%]:[%]])</f>
        <v/>
      </c>
      <c r="LT13" s="121" t="str">
        <f>IF(ISBLANK(tbl_task1[[คะแนนเต็ม]:[คะแนนเต็ม]]),"",(tbl_task1[162]/tbl_task1[[คะแนนเต็ม]:[คะแนนเต็ม]])*tbl_task1[[%]:[%]])</f>
        <v/>
      </c>
      <c r="LU13" s="121" t="str">
        <f>IF(ISBLANK(tbl_task1[[คะแนนเต็ม]:[คะแนนเต็ม]]),"",(tbl_task1[163]/tbl_task1[[คะแนนเต็ม]:[คะแนนเต็ม]])*tbl_task1[[%]:[%]])</f>
        <v/>
      </c>
      <c r="LV13" s="121" t="str">
        <f>IF(ISBLANK(tbl_task1[[คะแนนเต็ม]:[คะแนนเต็ม]]),"",(tbl_task1[164]/tbl_task1[[คะแนนเต็ม]:[คะแนนเต็ม]])*tbl_task1[[%]:[%]])</f>
        <v/>
      </c>
      <c r="LW13" s="121" t="str">
        <f>IF(ISBLANK(tbl_task1[[คะแนนเต็ม]:[คะแนนเต็ม]]),"",(tbl_task1[165]/tbl_task1[[คะแนนเต็ม]:[คะแนนเต็ม]])*tbl_task1[[%]:[%]])</f>
        <v/>
      </c>
    </row>
    <row r="14" spans="1:335" ht="24" customHeight="1" x14ac:dyDescent="0.25">
      <c r="A14" s="24">
        <v>11</v>
      </c>
      <c r="B14" s="20"/>
      <c r="C14" s="5" t="str">
        <f>IF(ISBLANK(B14),"",VLOOKUP(B14,tbl_PLOs[],2,0))</f>
        <v/>
      </c>
      <c r="D14" s="102"/>
      <c r="E14" s="106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21" t="str">
        <f>IF(ISBLANK(tbl_task1[[คะแนนเต็ม]:[คะแนนเต็ม]]),"",(tbl_task1[1]/tbl_task1[[คะแนนเต็ม]:[คะแนนเต็ม]])*tbl_task1[[%]:[%]])</f>
        <v/>
      </c>
      <c r="FP14" s="121" t="str">
        <f>IF(ISBLANK(tbl_task1[[คะแนนเต็ม]:[คะแนนเต็ม]]),"",(tbl_task1[2]/tbl_task1[[คะแนนเต็ม]:[คะแนนเต็ม]])*tbl_task1[[%]:[%]])</f>
        <v/>
      </c>
      <c r="FQ14" s="121" t="str">
        <f>IF(ISBLANK(tbl_task1[[คะแนนเต็ม]:[คะแนนเต็ม]]),"",(tbl_task1[3]/tbl_task1[[คะแนนเต็ม]:[คะแนนเต็ม]])*tbl_task1[[%]:[%]])</f>
        <v/>
      </c>
      <c r="FR14" s="121" t="str">
        <f>IF(ISBLANK(tbl_task1[[คะแนนเต็ม]:[คะแนนเต็ม]]),"",(tbl_task1[4]/tbl_task1[[คะแนนเต็ม]:[คะแนนเต็ม]])*tbl_task1[[%]:[%]])</f>
        <v/>
      </c>
      <c r="FS14" s="121" t="str">
        <f>IF(ISBLANK(tbl_task1[[คะแนนเต็ม]:[คะแนนเต็ม]]),"",(tbl_task1[5]/tbl_task1[[คะแนนเต็ม]:[คะแนนเต็ม]])*tbl_task1[[%]:[%]])</f>
        <v/>
      </c>
      <c r="FT14" s="121" t="str">
        <f>IF(ISBLANK(tbl_task1[[คะแนนเต็ม]:[คะแนนเต็ม]]),"",(tbl_task1[6]/tbl_task1[[คะแนนเต็ม]:[คะแนนเต็ม]])*tbl_task1[[%]:[%]])</f>
        <v/>
      </c>
      <c r="FU14" s="121" t="str">
        <f>IF(ISBLANK(tbl_task1[[คะแนนเต็ม]:[คะแนนเต็ม]]),"",(tbl_task1[7]/tbl_task1[[คะแนนเต็ม]:[คะแนนเต็ม]])*tbl_task1[[%]:[%]])</f>
        <v/>
      </c>
      <c r="FV14" s="121" t="str">
        <f>IF(ISBLANK(tbl_task1[[คะแนนเต็ม]:[คะแนนเต็ม]]),"",(tbl_task1[8]/tbl_task1[[คะแนนเต็ม]:[คะแนนเต็ม]])*tbl_task1[[%]:[%]])</f>
        <v/>
      </c>
      <c r="FW14" s="121" t="str">
        <f>IF(ISBLANK(tbl_task1[[คะแนนเต็ม]:[คะแนนเต็ม]]),"",(tbl_task1[9]/tbl_task1[[คะแนนเต็ม]:[คะแนนเต็ม]])*tbl_task1[[%]:[%]])</f>
        <v/>
      </c>
      <c r="FX14" s="121" t="str">
        <f>IF(ISBLANK(tbl_task1[[คะแนนเต็ม]:[คะแนนเต็ม]]),"",(tbl_task1[10]/tbl_task1[[คะแนนเต็ม]:[คะแนนเต็ม]])*tbl_task1[[%]:[%]])</f>
        <v/>
      </c>
      <c r="FY14" s="121" t="str">
        <f>IF(ISBLANK(tbl_task1[[คะแนนเต็ม]:[คะแนนเต็ม]]),"",(tbl_task1[11]/tbl_task1[[คะแนนเต็ม]:[คะแนนเต็ม]])*tbl_task1[[%]:[%]])</f>
        <v/>
      </c>
      <c r="FZ14" s="121" t="str">
        <f>IF(ISBLANK(tbl_task1[[คะแนนเต็ม]:[คะแนนเต็ม]]),"",(tbl_task1[12]/tbl_task1[[คะแนนเต็ม]:[คะแนนเต็ม]])*tbl_task1[[%]:[%]])</f>
        <v/>
      </c>
      <c r="GA14" s="121" t="str">
        <f>IF(ISBLANK(tbl_task1[[คะแนนเต็ม]:[คะแนนเต็ม]]),"",(tbl_task1[13]/tbl_task1[[คะแนนเต็ม]:[คะแนนเต็ม]])*tbl_task1[[%]:[%]])</f>
        <v/>
      </c>
      <c r="GB14" s="121" t="str">
        <f>IF(ISBLANK(tbl_task1[[คะแนนเต็ม]:[คะแนนเต็ม]]),"",(tbl_task1[14]/tbl_task1[[คะแนนเต็ม]:[คะแนนเต็ม]])*tbl_task1[[%]:[%]])</f>
        <v/>
      </c>
      <c r="GC14" s="121" t="str">
        <f>IF(ISBLANK(tbl_task1[[คะแนนเต็ม]:[คะแนนเต็ม]]),"",(tbl_task1[15]/tbl_task1[[คะแนนเต็ม]:[คะแนนเต็ม]])*tbl_task1[[%]:[%]])</f>
        <v/>
      </c>
      <c r="GD14" s="121" t="str">
        <f>IF(ISBLANK(tbl_task1[[คะแนนเต็ม]:[คะแนนเต็ม]]),"",(tbl_task1[16]/tbl_task1[[คะแนนเต็ม]:[คะแนนเต็ม]])*tbl_task1[[%]:[%]])</f>
        <v/>
      </c>
      <c r="GE14" s="121" t="str">
        <f>IF(ISBLANK(tbl_task1[[คะแนนเต็ม]:[คะแนนเต็ม]]),"",(tbl_task1[17]/tbl_task1[[คะแนนเต็ม]:[คะแนนเต็ม]])*tbl_task1[[%]:[%]])</f>
        <v/>
      </c>
      <c r="GF14" s="121" t="str">
        <f>IF(ISBLANK(tbl_task1[[คะแนนเต็ม]:[คะแนนเต็ม]]),"",(tbl_task1[18]/tbl_task1[[คะแนนเต็ม]:[คะแนนเต็ม]])*tbl_task1[[%]:[%]])</f>
        <v/>
      </c>
      <c r="GG14" s="121" t="str">
        <f>IF(ISBLANK(tbl_task1[[คะแนนเต็ม]:[คะแนนเต็ม]]),"",(tbl_task1[19]/tbl_task1[[คะแนนเต็ม]:[คะแนนเต็ม]])*tbl_task1[[%]:[%]])</f>
        <v/>
      </c>
      <c r="GH14" s="121" t="str">
        <f>IF(ISBLANK(tbl_task1[[คะแนนเต็ม]:[คะแนนเต็ม]]),"",(tbl_task1[20]/tbl_task1[[คะแนนเต็ม]:[คะแนนเต็ม]])*tbl_task1[[%]:[%]])</f>
        <v/>
      </c>
      <c r="GI14" s="121" t="str">
        <f>IF(ISBLANK(tbl_task1[[คะแนนเต็ม]:[คะแนนเต็ม]]),"",(tbl_task1[21]/tbl_task1[[คะแนนเต็ม]:[คะแนนเต็ม]])*tbl_task1[[%]:[%]])</f>
        <v/>
      </c>
      <c r="GJ14" s="121" t="str">
        <f>IF(ISBLANK(tbl_task1[[คะแนนเต็ม]:[คะแนนเต็ม]]),"",(tbl_task1[22]/tbl_task1[[คะแนนเต็ม]:[คะแนนเต็ม]])*tbl_task1[[%]:[%]])</f>
        <v/>
      </c>
      <c r="GK14" s="121" t="str">
        <f>IF(ISBLANK(tbl_task1[[คะแนนเต็ม]:[คะแนนเต็ม]]),"",(tbl_task1[23]/tbl_task1[[คะแนนเต็ม]:[คะแนนเต็ม]])*tbl_task1[[%]:[%]])</f>
        <v/>
      </c>
      <c r="GL14" s="121" t="str">
        <f>IF(ISBLANK(tbl_task1[[คะแนนเต็ม]:[คะแนนเต็ม]]),"",(tbl_task1[24]/tbl_task1[[คะแนนเต็ม]:[คะแนนเต็ม]])*tbl_task1[[%]:[%]])</f>
        <v/>
      </c>
      <c r="GM14" s="121" t="str">
        <f>IF(ISBLANK(tbl_task1[[คะแนนเต็ม]:[คะแนนเต็ม]]),"",(tbl_task1[25]/tbl_task1[[คะแนนเต็ม]:[คะแนนเต็ม]])*tbl_task1[[%]:[%]])</f>
        <v/>
      </c>
      <c r="GN14" s="121" t="str">
        <f>IF(ISBLANK(tbl_task1[[คะแนนเต็ม]:[คะแนนเต็ม]]),"",(tbl_task1[26]/tbl_task1[[คะแนนเต็ม]:[คะแนนเต็ม]])*tbl_task1[[%]:[%]])</f>
        <v/>
      </c>
      <c r="GO14" s="121" t="str">
        <f>IF(ISBLANK(tbl_task1[[คะแนนเต็ม]:[คะแนนเต็ม]]),"",(tbl_task1[27]/tbl_task1[[คะแนนเต็ม]:[คะแนนเต็ม]])*tbl_task1[[%]:[%]])</f>
        <v/>
      </c>
      <c r="GP14" s="121" t="str">
        <f>IF(ISBLANK(tbl_task1[[คะแนนเต็ม]:[คะแนนเต็ม]]),"",(tbl_task1[28]/tbl_task1[[คะแนนเต็ม]:[คะแนนเต็ม]])*tbl_task1[[%]:[%]])</f>
        <v/>
      </c>
      <c r="GQ14" s="121" t="str">
        <f>IF(ISBLANK(tbl_task1[[คะแนนเต็ม]:[คะแนนเต็ม]]),"",(tbl_task1[29]/tbl_task1[[คะแนนเต็ม]:[คะแนนเต็ม]])*tbl_task1[[%]:[%]])</f>
        <v/>
      </c>
      <c r="GR14" s="121" t="str">
        <f>IF(ISBLANK(tbl_task1[[คะแนนเต็ม]:[คะแนนเต็ม]]),"",(tbl_task1[30]/tbl_task1[[คะแนนเต็ม]:[คะแนนเต็ม]])*tbl_task1[[%]:[%]])</f>
        <v/>
      </c>
      <c r="GS14" s="121" t="str">
        <f>IF(ISBLANK(tbl_task1[[คะแนนเต็ม]:[คะแนนเต็ม]]),"",(tbl_task1[31]/tbl_task1[[คะแนนเต็ม]:[คะแนนเต็ม]])*tbl_task1[[%]:[%]])</f>
        <v/>
      </c>
      <c r="GT14" s="121" t="str">
        <f>IF(ISBLANK(tbl_task1[[คะแนนเต็ม]:[คะแนนเต็ม]]),"",(tbl_task1[32]/tbl_task1[[คะแนนเต็ม]:[คะแนนเต็ม]])*tbl_task1[[%]:[%]])</f>
        <v/>
      </c>
      <c r="GU14" s="121" t="str">
        <f>IF(ISBLANK(tbl_task1[[คะแนนเต็ม]:[คะแนนเต็ม]]),"",(tbl_task1[33]/tbl_task1[[คะแนนเต็ม]:[คะแนนเต็ม]])*tbl_task1[[%]:[%]])</f>
        <v/>
      </c>
      <c r="GV14" s="121" t="str">
        <f>IF(ISBLANK(tbl_task1[[คะแนนเต็ม]:[คะแนนเต็ม]]),"",(tbl_task1[34]/tbl_task1[[คะแนนเต็ม]:[คะแนนเต็ม]])*tbl_task1[[%]:[%]])</f>
        <v/>
      </c>
      <c r="GW14" s="121" t="str">
        <f>IF(ISBLANK(tbl_task1[[คะแนนเต็ม]:[คะแนนเต็ม]]),"",(tbl_task1[35]/tbl_task1[[คะแนนเต็ม]:[คะแนนเต็ม]])*tbl_task1[[%]:[%]])</f>
        <v/>
      </c>
      <c r="GX14" s="121" t="str">
        <f>IF(ISBLANK(tbl_task1[[คะแนนเต็ม]:[คะแนนเต็ม]]),"",(tbl_task1[36]/tbl_task1[[คะแนนเต็ม]:[คะแนนเต็ม]])*tbl_task1[[%]:[%]])</f>
        <v/>
      </c>
      <c r="GY14" s="121" t="str">
        <f>IF(ISBLANK(tbl_task1[[คะแนนเต็ม]:[คะแนนเต็ม]]),"",(tbl_task1[37]/tbl_task1[[คะแนนเต็ม]:[คะแนนเต็ม]])*tbl_task1[[%]:[%]])</f>
        <v/>
      </c>
      <c r="GZ14" s="121" t="str">
        <f>IF(ISBLANK(tbl_task1[[คะแนนเต็ม]:[คะแนนเต็ม]]),"",(tbl_task1[38]/tbl_task1[[คะแนนเต็ม]:[คะแนนเต็ม]])*tbl_task1[[%]:[%]])</f>
        <v/>
      </c>
      <c r="HA14" s="121" t="str">
        <f>IF(ISBLANK(tbl_task1[[คะแนนเต็ม]:[คะแนนเต็ม]]),"",(tbl_task1[39]/tbl_task1[[คะแนนเต็ม]:[คะแนนเต็ม]])*tbl_task1[[%]:[%]])</f>
        <v/>
      </c>
      <c r="HB14" s="121" t="str">
        <f>IF(ISBLANK(tbl_task1[[คะแนนเต็ม]:[คะแนนเต็ม]]),"",(tbl_task1[40]/tbl_task1[[คะแนนเต็ม]:[คะแนนเต็ม]])*tbl_task1[[%]:[%]])</f>
        <v/>
      </c>
      <c r="HC14" s="121" t="str">
        <f>IF(ISBLANK(tbl_task1[[คะแนนเต็ม]:[คะแนนเต็ม]]),"",(tbl_task1[41]/tbl_task1[[คะแนนเต็ม]:[คะแนนเต็ม]])*tbl_task1[[%]:[%]])</f>
        <v/>
      </c>
      <c r="HD14" s="121" t="str">
        <f>IF(ISBLANK(tbl_task1[[คะแนนเต็ม]:[คะแนนเต็ม]]),"",(tbl_task1[42]/tbl_task1[[คะแนนเต็ม]:[คะแนนเต็ม]])*tbl_task1[[%]:[%]])</f>
        <v/>
      </c>
      <c r="HE14" s="121" t="str">
        <f>IF(ISBLANK(tbl_task1[[คะแนนเต็ม]:[คะแนนเต็ม]]),"",(tbl_task1[43]/tbl_task1[[คะแนนเต็ม]:[คะแนนเต็ม]])*tbl_task1[[%]:[%]])</f>
        <v/>
      </c>
      <c r="HF14" s="121" t="str">
        <f>IF(ISBLANK(tbl_task1[[คะแนนเต็ม]:[คะแนนเต็ม]]),"",(tbl_task1[44]/tbl_task1[[คะแนนเต็ม]:[คะแนนเต็ม]])*tbl_task1[[%]:[%]])</f>
        <v/>
      </c>
      <c r="HG14" s="121" t="str">
        <f>IF(ISBLANK(tbl_task1[[คะแนนเต็ม]:[คะแนนเต็ม]]),"",(tbl_task1[45]/tbl_task1[[คะแนนเต็ม]:[คะแนนเต็ม]])*tbl_task1[[%]:[%]])</f>
        <v/>
      </c>
      <c r="HH14" s="121" t="str">
        <f>IF(ISBLANK(tbl_task1[[คะแนนเต็ม]:[คะแนนเต็ม]]),"",(tbl_task1[46]/tbl_task1[[คะแนนเต็ม]:[คะแนนเต็ม]])*tbl_task1[[%]:[%]])</f>
        <v/>
      </c>
      <c r="HI14" s="121" t="str">
        <f>IF(ISBLANK(tbl_task1[[คะแนนเต็ม]:[คะแนนเต็ม]]),"",(tbl_task1[47]/tbl_task1[[คะแนนเต็ม]:[คะแนนเต็ม]])*tbl_task1[[%]:[%]])</f>
        <v/>
      </c>
      <c r="HJ14" s="121" t="str">
        <f>IF(ISBLANK(tbl_task1[[คะแนนเต็ม]:[คะแนนเต็ม]]),"",(tbl_task1[48]/tbl_task1[[คะแนนเต็ม]:[คะแนนเต็ม]])*tbl_task1[[%]:[%]])</f>
        <v/>
      </c>
      <c r="HK14" s="121" t="str">
        <f>IF(ISBLANK(tbl_task1[[คะแนนเต็ม]:[คะแนนเต็ม]]),"",(tbl_task1[49]/tbl_task1[[คะแนนเต็ม]:[คะแนนเต็ม]])*tbl_task1[[%]:[%]])</f>
        <v/>
      </c>
      <c r="HL14" s="121" t="str">
        <f>IF(ISBLANK(tbl_task1[[คะแนนเต็ม]:[คะแนนเต็ม]]),"",(tbl_task1[50]/tbl_task1[[คะแนนเต็ม]:[คะแนนเต็ม]])*tbl_task1[[%]:[%]])</f>
        <v/>
      </c>
      <c r="HM14" s="121" t="str">
        <f>IF(ISBLANK(tbl_task1[[คะแนนเต็ม]:[คะแนนเต็ม]]),"",(tbl_task1[51]/tbl_task1[[คะแนนเต็ม]:[คะแนนเต็ม]])*tbl_task1[[%]:[%]])</f>
        <v/>
      </c>
      <c r="HN14" s="121" t="str">
        <f>IF(ISBLANK(tbl_task1[[คะแนนเต็ม]:[คะแนนเต็ม]]),"",(tbl_task1[52]/tbl_task1[[คะแนนเต็ม]:[คะแนนเต็ม]])*tbl_task1[[%]:[%]])</f>
        <v/>
      </c>
      <c r="HO14" s="121" t="str">
        <f>IF(ISBLANK(tbl_task1[[คะแนนเต็ม]:[คะแนนเต็ม]]),"",(tbl_task1[53]/tbl_task1[[คะแนนเต็ม]:[คะแนนเต็ม]])*tbl_task1[[%]:[%]])</f>
        <v/>
      </c>
      <c r="HP14" s="121" t="str">
        <f>IF(ISBLANK(tbl_task1[[คะแนนเต็ม]:[คะแนนเต็ม]]),"",(tbl_task1[54]/tbl_task1[[คะแนนเต็ม]:[คะแนนเต็ม]])*tbl_task1[[%]:[%]])</f>
        <v/>
      </c>
      <c r="HQ14" s="121" t="str">
        <f>IF(ISBLANK(tbl_task1[[คะแนนเต็ม]:[คะแนนเต็ม]]),"",(tbl_task1[55]/tbl_task1[[คะแนนเต็ม]:[คะแนนเต็ม]])*tbl_task1[[%]:[%]])</f>
        <v/>
      </c>
      <c r="HR14" s="121" t="str">
        <f>IF(ISBLANK(tbl_task1[[คะแนนเต็ม]:[คะแนนเต็ม]]),"",(tbl_task1[56]/tbl_task1[[คะแนนเต็ม]:[คะแนนเต็ม]])*tbl_task1[[%]:[%]])</f>
        <v/>
      </c>
      <c r="HS14" s="121" t="str">
        <f>IF(ISBLANK(tbl_task1[[คะแนนเต็ม]:[คะแนนเต็ม]]),"",(tbl_task1[57]/tbl_task1[[คะแนนเต็ม]:[คะแนนเต็ม]])*tbl_task1[[%]:[%]])</f>
        <v/>
      </c>
      <c r="HT14" s="121" t="str">
        <f>IF(ISBLANK(tbl_task1[[คะแนนเต็ม]:[คะแนนเต็ม]]),"",(tbl_task1[58]/tbl_task1[[คะแนนเต็ม]:[คะแนนเต็ม]])*tbl_task1[[%]:[%]])</f>
        <v/>
      </c>
      <c r="HU14" s="121" t="str">
        <f>IF(ISBLANK(tbl_task1[[คะแนนเต็ม]:[คะแนนเต็ม]]),"",(tbl_task1[59]/tbl_task1[[คะแนนเต็ม]:[คะแนนเต็ม]])*tbl_task1[[%]:[%]])</f>
        <v/>
      </c>
      <c r="HV14" s="121" t="str">
        <f>IF(ISBLANK(tbl_task1[[คะแนนเต็ม]:[คะแนนเต็ม]]),"",(tbl_task1[60]/tbl_task1[[คะแนนเต็ม]:[คะแนนเต็ม]])*tbl_task1[[%]:[%]])</f>
        <v/>
      </c>
      <c r="HW14" s="121" t="str">
        <f>IF(ISBLANK(tbl_task1[[คะแนนเต็ม]:[คะแนนเต็ม]]),"",(tbl_task1[61]/tbl_task1[[คะแนนเต็ม]:[คะแนนเต็ม]])*tbl_task1[[%]:[%]])</f>
        <v/>
      </c>
      <c r="HX14" s="121" t="str">
        <f>IF(ISBLANK(tbl_task1[[คะแนนเต็ม]:[คะแนนเต็ม]]),"",(tbl_task1[62]/tbl_task1[[คะแนนเต็ม]:[คะแนนเต็ม]])*tbl_task1[[%]:[%]])</f>
        <v/>
      </c>
      <c r="HY14" s="121" t="str">
        <f>IF(ISBLANK(tbl_task1[[คะแนนเต็ม]:[คะแนนเต็ม]]),"",(tbl_task1[63]/tbl_task1[[คะแนนเต็ม]:[คะแนนเต็ม]])*tbl_task1[[%]:[%]])</f>
        <v/>
      </c>
      <c r="HZ14" s="121" t="str">
        <f>IF(ISBLANK(tbl_task1[[คะแนนเต็ม]:[คะแนนเต็ม]]),"",(tbl_task1[64]/tbl_task1[[คะแนนเต็ม]:[คะแนนเต็ม]])*tbl_task1[[%]:[%]])</f>
        <v/>
      </c>
      <c r="IA14" s="121" t="str">
        <f>IF(ISBLANK(tbl_task1[[คะแนนเต็ม]:[คะแนนเต็ม]]),"",(tbl_task1[65]/tbl_task1[[คะแนนเต็ม]:[คะแนนเต็ม]])*tbl_task1[[%]:[%]])</f>
        <v/>
      </c>
      <c r="IB14" s="121" t="str">
        <f>IF(ISBLANK(tbl_task1[[คะแนนเต็ม]:[คะแนนเต็ม]]),"",(tbl_task1[66]/tbl_task1[[คะแนนเต็ม]:[คะแนนเต็ม]])*tbl_task1[[%]:[%]])</f>
        <v/>
      </c>
      <c r="IC14" s="121" t="str">
        <f>IF(ISBLANK(tbl_task1[[คะแนนเต็ม]:[คะแนนเต็ม]]),"",(tbl_task1[67]/tbl_task1[[คะแนนเต็ม]:[คะแนนเต็ม]])*tbl_task1[[%]:[%]])</f>
        <v/>
      </c>
      <c r="ID14" s="121" t="str">
        <f>IF(ISBLANK(tbl_task1[[คะแนนเต็ม]:[คะแนนเต็ม]]),"",(tbl_task1[68]/tbl_task1[[คะแนนเต็ม]:[คะแนนเต็ม]])*tbl_task1[[%]:[%]])</f>
        <v/>
      </c>
      <c r="IE14" s="121" t="str">
        <f>IF(ISBLANK(tbl_task1[[คะแนนเต็ม]:[คะแนนเต็ม]]),"",(tbl_task1[69]/tbl_task1[[คะแนนเต็ม]:[คะแนนเต็ม]])*tbl_task1[[%]:[%]])</f>
        <v/>
      </c>
      <c r="IF14" s="121" t="str">
        <f>IF(ISBLANK(tbl_task1[[คะแนนเต็ม]:[คะแนนเต็ม]]),"",(tbl_task1[70]/tbl_task1[[คะแนนเต็ม]:[คะแนนเต็ม]])*tbl_task1[[%]:[%]])</f>
        <v/>
      </c>
      <c r="IG14" s="121" t="str">
        <f>IF(ISBLANK(tbl_task1[[คะแนนเต็ม]:[คะแนนเต็ม]]),"",(tbl_task1[71]/tbl_task1[[คะแนนเต็ม]:[คะแนนเต็ม]])*tbl_task1[[%]:[%]])</f>
        <v/>
      </c>
      <c r="IH14" s="121" t="str">
        <f>IF(ISBLANK(tbl_task1[[คะแนนเต็ม]:[คะแนนเต็ม]]),"",(tbl_task1[72]/tbl_task1[[คะแนนเต็ม]:[คะแนนเต็ม]])*tbl_task1[[%]:[%]])</f>
        <v/>
      </c>
      <c r="II14" s="121" t="str">
        <f>IF(ISBLANK(tbl_task1[[คะแนนเต็ม]:[คะแนนเต็ม]]),"",(tbl_task1[73]/tbl_task1[[คะแนนเต็ม]:[คะแนนเต็ม]])*tbl_task1[[%]:[%]])</f>
        <v/>
      </c>
      <c r="IJ14" s="121" t="str">
        <f>IF(ISBLANK(tbl_task1[[คะแนนเต็ม]:[คะแนนเต็ม]]),"",(tbl_task1[74]/tbl_task1[[คะแนนเต็ม]:[คะแนนเต็ม]])*tbl_task1[[%]:[%]])</f>
        <v/>
      </c>
      <c r="IK14" s="121" t="str">
        <f>IF(ISBLANK(tbl_task1[[คะแนนเต็ม]:[คะแนนเต็ม]]),"",(tbl_task1[75]/tbl_task1[[คะแนนเต็ม]:[คะแนนเต็ม]])*tbl_task1[[%]:[%]])</f>
        <v/>
      </c>
      <c r="IL14" s="121" t="str">
        <f>IF(ISBLANK(tbl_task1[[คะแนนเต็ม]:[คะแนนเต็ม]]),"",(tbl_task1[76]/tbl_task1[[คะแนนเต็ม]:[คะแนนเต็ม]])*tbl_task1[[%]:[%]])</f>
        <v/>
      </c>
      <c r="IM14" s="121" t="str">
        <f>IF(ISBLANK(tbl_task1[[คะแนนเต็ม]:[คะแนนเต็ม]]),"",(tbl_task1[77]/tbl_task1[[คะแนนเต็ม]:[คะแนนเต็ม]])*tbl_task1[[%]:[%]])</f>
        <v/>
      </c>
      <c r="IN14" s="121" t="str">
        <f>IF(ISBLANK(tbl_task1[[คะแนนเต็ม]:[คะแนนเต็ม]]),"",(tbl_task1[78]/tbl_task1[[คะแนนเต็ม]:[คะแนนเต็ม]])*tbl_task1[[%]:[%]])</f>
        <v/>
      </c>
      <c r="IO14" s="121" t="str">
        <f>IF(ISBLANK(tbl_task1[[คะแนนเต็ม]:[คะแนนเต็ม]]),"",(tbl_task1[79]/tbl_task1[[คะแนนเต็ม]:[คะแนนเต็ม]])*tbl_task1[[%]:[%]])</f>
        <v/>
      </c>
      <c r="IP14" s="121" t="str">
        <f>IF(ISBLANK(tbl_task1[[คะแนนเต็ม]:[คะแนนเต็ม]]),"",(tbl_task1[80]/tbl_task1[[คะแนนเต็ม]:[คะแนนเต็ม]])*tbl_task1[[%]:[%]])</f>
        <v/>
      </c>
      <c r="IQ14" s="121" t="str">
        <f>IF(ISBLANK(tbl_task1[[คะแนนเต็ม]:[คะแนนเต็ม]]),"",(tbl_task1[81]/tbl_task1[[คะแนนเต็ม]:[คะแนนเต็ม]])*tbl_task1[[%]:[%]])</f>
        <v/>
      </c>
      <c r="IR14" s="121" t="str">
        <f>IF(ISBLANK(tbl_task1[[คะแนนเต็ม]:[คะแนนเต็ม]]),"",(tbl_task1[82]/tbl_task1[[คะแนนเต็ม]:[คะแนนเต็ม]])*tbl_task1[[%]:[%]])</f>
        <v/>
      </c>
      <c r="IS14" s="121" t="str">
        <f>IF(ISBLANK(tbl_task1[[คะแนนเต็ม]:[คะแนนเต็ม]]),"",(tbl_task1[83]/tbl_task1[[คะแนนเต็ม]:[คะแนนเต็ม]])*tbl_task1[[%]:[%]])</f>
        <v/>
      </c>
      <c r="IT14" s="121" t="str">
        <f>IF(ISBLANK(tbl_task1[[คะแนนเต็ม]:[คะแนนเต็ม]]),"",(tbl_task1[84]/tbl_task1[[คะแนนเต็ม]:[คะแนนเต็ม]])*tbl_task1[[%]:[%]])</f>
        <v/>
      </c>
      <c r="IU14" s="121" t="str">
        <f>IF(ISBLANK(tbl_task1[[คะแนนเต็ม]:[คะแนนเต็ม]]),"",(tbl_task1[85]/tbl_task1[[คะแนนเต็ม]:[คะแนนเต็ม]])*tbl_task1[[%]:[%]])</f>
        <v/>
      </c>
      <c r="IV14" s="121" t="str">
        <f>IF(ISBLANK(tbl_task1[[คะแนนเต็ม]:[คะแนนเต็ม]]),"",(tbl_task1[86]/tbl_task1[[คะแนนเต็ม]:[คะแนนเต็ม]])*tbl_task1[[%]:[%]])</f>
        <v/>
      </c>
      <c r="IW14" s="121" t="str">
        <f>IF(ISBLANK(tbl_task1[[คะแนนเต็ม]:[คะแนนเต็ม]]),"",(tbl_task1[87]/tbl_task1[[คะแนนเต็ม]:[คะแนนเต็ม]])*tbl_task1[[%]:[%]])</f>
        <v/>
      </c>
      <c r="IX14" s="121" t="str">
        <f>IF(ISBLANK(tbl_task1[[คะแนนเต็ม]:[คะแนนเต็ม]]),"",(tbl_task1[88]/tbl_task1[[คะแนนเต็ม]:[คะแนนเต็ม]])*tbl_task1[[%]:[%]])</f>
        <v/>
      </c>
      <c r="IY14" s="121" t="str">
        <f>IF(ISBLANK(tbl_task1[[คะแนนเต็ม]:[คะแนนเต็ม]]),"",(tbl_task1[89]/tbl_task1[[คะแนนเต็ม]:[คะแนนเต็ม]])*tbl_task1[[%]:[%]])</f>
        <v/>
      </c>
      <c r="IZ14" s="121" t="str">
        <f>IF(ISBLANK(tbl_task1[[คะแนนเต็ม]:[คะแนนเต็ม]]),"",(tbl_task1[90]/tbl_task1[[คะแนนเต็ม]:[คะแนนเต็ม]])*tbl_task1[[%]:[%]])</f>
        <v/>
      </c>
      <c r="JA14" s="121" t="str">
        <f>IF(ISBLANK(tbl_task1[[คะแนนเต็ม]:[คะแนนเต็ม]]),"",(tbl_task1[91]/tbl_task1[[คะแนนเต็ม]:[คะแนนเต็ม]])*tbl_task1[[%]:[%]])</f>
        <v/>
      </c>
      <c r="JB14" s="121" t="str">
        <f>IF(ISBLANK(tbl_task1[[คะแนนเต็ม]:[คะแนนเต็ม]]),"",(tbl_task1[92]/tbl_task1[[คะแนนเต็ม]:[คะแนนเต็ม]])*tbl_task1[[%]:[%]])</f>
        <v/>
      </c>
      <c r="JC14" s="121" t="str">
        <f>IF(ISBLANK(tbl_task1[[คะแนนเต็ม]:[คะแนนเต็ม]]),"",(tbl_task1[93]/tbl_task1[[คะแนนเต็ม]:[คะแนนเต็ม]])*tbl_task1[[%]:[%]])</f>
        <v/>
      </c>
      <c r="JD14" s="121" t="str">
        <f>IF(ISBLANK(tbl_task1[[คะแนนเต็ม]:[คะแนนเต็ม]]),"",(tbl_task1[94]/tbl_task1[[คะแนนเต็ม]:[คะแนนเต็ม]])*tbl_task1[[%]:[%]])</f>
        <v/>
      </c>
      <c r="JE14" s="121" t="str">
        <f>IF(ISBLANK(tbl_task1[[คะแนนเต็ม]:[คะแนนเต็ม]]),"",(tbl_task1[95]/tbl_task1[[คะแนนเต็ม]:[คะแนนเต็ม]])*tbl_task1[[%]:[%]])</f>
        <v/>
      </c>
      <c r="JF14" s="121" t="str">
        <f>IF(ISBLANK(tbl_task1[[คะแนนเต็ม]:[คะแนนเต็ม]]),"",(tbl_task1[96]/tbl_task1[[คะแนนเต็ม]:[คะแนนเต็ม]])*tbl_task1[[%]:[%]])</f>
        <v/>
      </c>
      <c r="JG14" s="121" t="str">
        <f>IF(ISBLANK(tbl_task1[[คะแนนเต็ม]:[คะแนนเต็ม]]),"",(tbl_task1[97]/tbl_task1[[คะแนนเต็ม]:[คะแนนเต็ม]])*tbl_task1[[%]:[%]])</f>
        <v/>
      </c>
      <c r="JH14" s="121" t="str">
        <f>IF(ISBLANK(tbl_task1[[คะแนนเต็ม]:[คะแนนเต็ม]]),"",(tbl_task1[98]/tbl_task1[[คะแนนเต็ม]:[คะแนนเต็ม]])*tbl_task1[[%]:[%]])</f>
        <v/>
      </c>
      <c r="JI14" s="121" t="str">
        <f>IF(ISBLANK(tbl_task1[[คะแนนเต็ม]:[คะแนนเต็ม]]),"",(tbl_task1[99]/tbl_task1[[คะแนนเต็ม]:[คะแนนเต็ม]])*tbl_task1[[%]:[%]])</f>
        <v/>
      </c>
      <c r="JJ14" s="121" t="str">
        <f>IF(ISBLANK(tbl_task1[[คะแนนเต็ม]:[คะแนนเต็ม]]),"",(tbl_task1[100]/tbl_task1[[คะแนนเต็ม]:[คะแนนเต็ม]])*tbl_task1[[%]:[%]])</f>
        <v/>
      </c>
      <c r="JK14" s="121" t="str">
        <f>IF(ISBLANK(tbl_task1[[คะแนนเต็ม]:[คะแนนเต็ม]]),"",(tbl_task1[101]/tbl_task1[[คะแนนเต็ม]:[คะแนนเต็ม]])*tbl_task1[[%]:[%]])</f>
        <v/>
      </c>
      <c r="JL14" s="121" t="str">
        <f>IF(ISBLANK(tbl_task1[[คะแนนเต็ม]:[คะแนนเต็ม]]),"",(tbl_task1[102]/tbl_task1[[คะแนนเต็ม]:[คะแนนเต็ม]])*tbl_task1[[%]:[%]])</f>
        <v/>
      </c>
      <c r="JM14" s="121" t="str">
        <f>IF(ISBLANK(tbl_task1[[คะแนนเต็ม]:[คะแนนเต็ม]]),"",(tbl_task1[103]/tbl_task1[[คะแนนเต็ม]:[คะแนนเต็ม]])*tbl_task1[[%]:[%]])</f>
        <v/>
      </c>
      <c r="JN14" s="121" t="str">
        <f>IF(ISBLANK(tbl_task1[[คะแนนเต็ม]:[คะแนนเต็ม]]),"",(tbl_task1[104]/tbl_task1[[คะแนนเต็ม]:[คะแนนเต็ม]])*tbl_task1[[%]:[%]])</f>
        <v/>
      </c>
      <c r="JO14" s="121" t="str">
        <f>IF(ISBLANK(tbl_task1[[คะแนนเต็ม]:[คะแนนเต็ม]]),"",(tbl_task1[105]/tbl_task1[[คะแนนเต็ม]:[คะแนนเต็ม]])*tbl_task1[[%]:[%]])</f>
        <v/>
      </c>
      <c r="JP14" s="121" t="str">
        <f>IF(ISBLANK(tbl_task1[[คะแนนเต็ม]:[คะแนนเต็ม]]),"",(tbl_task1[106]/tbl_task1[[คะแนนเต็ม]:[คะแนนเต็ม]])*tbl_task1[[%]:[%]])</f>
        <v/>
      </c>
      <c r="JQ14" s="121" t="str">
        <f>IF(ISBLANK(tbl_task1[[คะแนนเต็ม]:[คะแนนเต็ม]]),"",(tbl_task1[107]/tbl_task1[[คะแนนเต็ม]:[คะแนนเต็ม]])*tbl_task1[[%]:[%]])</f>
        <v/>
      </c>
      <c r="JR14" s="121" t="str">
        <f>IF(ISBLANK(tbl_task1[[คะแนนเต็ม]:[คะแนนเต็ม]]),"",(tbl_task1[108]/tbl_task1[[คะแนนเต็ม]:[คะแนนเต็ม]])*tbl_task1[[%]:[%]])</f>
        <v/>
      </c>
      <c r="JS14" s="121" t="str">
        <f>IF(ISBLANK(tbl_task1[[คะแนนเต็ม]:[คะแนนเต็ม]]),"",(tbl_task1[109]/tbl_task1[[คะแนนเต็ม]:[คะแนนเต็ม]])*tbl_task1[[%]:[%]])</f>
        <v/>
      </c>
      <c r="JT14" s="121" t="str">
        <f>IF(ISBLANK(tbl_task1[[คะแนนเต็ม]:[คะแนนเต็ม]]),"",(tbl_task1[110]/tbl_task1[[คะแนนเต็ม]:[คะแนนเต็ม]])*tbl_task1[[%]:[%]])</f>
        <v/>
      </c>
      <c r="JU14" s="121" t="str">
        <f>IF(ISBLANK(tbl_task1[[คะแนนเต็ม]:[คะแนนเต็ม]]),"",(tbl_task1[111]/tbl_task1[[คะแนนเต็ม]:[คะแนนเต็ม]])*tbl_task1[[%]:[%]])</f>
        <v/>
      </c>
      <c r="JV14" s="121" t="str">
        <f>IF(ISBLANK(tbl_task1[[คะแนนเต็ม]:[คะแนนเต็ม]]),"",(tbl_task1[112]/tbl_task1[[คะแนนเต็ม]:[คะแนนเต็ม]])*tbl_task1[[%]:[%]])</f>
        <v/>
      </c>
      <c r="JW14" s="121" t="str">
        <f>IF(ISBLANK(tbl_task1[[คะแนนเต็ม]:[คะแนนเต็ม]]),"",(tbl_task1[113]/tbl_task1[[คะแนนเต็ม]:[คะแนนเต็ม]])*tbl_task1[[%]:[%]])</f>
        <v/>
      </c>
      <c r="JX14" s="121" t="str">
        <f>IF(ISBLANK(tbl_task1[[คะแนนเต็ม]:[คะแนนเต็ม]]),"",(tbl_task1[114]/tbl_task1[[คะแนนเต็ม]:[คะแนนเต็ม]])*tbl_task1[[%]:[%]])</f>
        <v/>
      </c>
      <c r="JY14" s="121" t="str">
        <f>IF(ISBLANK(tbl_task1[[คะแนนเต็ม]:[คะแนนเต็ม]]),"",(tbl_task1[115]/tbl_task1[[คะแนนเต็ม]:[คะแนนเต็ม]])*tbl_task1[[%]:[%]])</f>
        <v/>
      </c>
      <c r="JZ14" s="121" t="str">
        <f>IF(ISBLANK(tbl_task1[[คะแนนเต็ม]:[คะแนนเต็ม]]),"",(tbl_task1[116]/tbl_task1[[คะแนนเต็ม]:[คะแนนเต็ม]])*tbl_task1[[%]:[%]])</f>
        <v/>
      </c>
      <c r="KA14" s="121" t="str">
        <f>IF(ISBLANK(tbl_task1[[คะแนนเต็ม]:[คะแนนเต็ม]]),"",(tbl_task1[117]/tbl_task1[[คะแนนเต็ม]:[คะแนนเต็ม]])*tbl_task1[[%]:[%]])</f>
        <v/>
      </c>
      <c r="KB14" s="121" t="str">
        <f>IF(ISBLANK(tbl_task1[[คะแนนเต็ม]:[คะแนนเต็ม]]),"",(tbl_task1[118]/tbl_task1[[คะแนนเต็ม]:[คะแนนเต็ม]])*tbl_task1[[%]:[%]])</f>
        <v/>
      </c>
      <c r="KC14" s="121" t="str">
        <f>IF(ISBLANK(tbl_task1[[คะแนนเต็ม]:[คะแนนเต็ม]]),"",(tbl_task1[119]/tbl_task1[[คะแนนเต็ม]:[คะแนนเต็ม]])*tbl_task1[[%]:[%]])</f>
        <v/>
      </c>
      <c r="KD14" s="121" t="str">
        <f>IF(ISBLANK(tbl_task1[[คะแนนเต็ม]:[คะแนนเต็ม]]),"",(tbl_task1[120]/tbl_task1[[คะแนนเต็ม]:[คะแนนเต็ม]])*tbl_task1[[%]:[%]])</f>
        <v/>
      </c>
      <c r="KE14" s="121" t="str">
        <f>IF(ISBLANK(tbl_task1[[คะแนนเต็ม]:[คะแนนเต็ม]]),"",(tbl_task1[121]/tbl_task1[[คะแนนเต็ม]:[คะแนนเต็ม]])*tbl_task1[[%]:[%]])</f>
        <v/>
      </c>
      <c r="KF14" s="121" t="str">
        <f>IF(ISBLANK(tbl_task1[[คะแนนเต็ม]:[คะแนนเต็ม]]),"",(tbl_task1[122]/tbl_task1[[คะแนนเต็ม]:[คะแนนเต็ม]])*tbl_task1[[%]:[%]])</f>
        <v/>
      </c>
      <c r="KG14" s="121" t="str">
        <f>IF(ISBLANK(tbl_task1[[คะแนนเต็ม]:[คะแนนเต็ม]]),"",(tbl_task1[123]/tbl_task1[[คะแนนเต็ม]:[คะแนนเต็ม]])*tbl_task1[[%]:[%]])</f>
        <v/>
      </c>
      <c r="KH14" s="121" t="str">
        <f>IF(ISBLANK(tbl_task1[[คะแนนเต็ม]:[คะแนนเต็ม]]),"",(tbl_task1[124]/tbl_task1[[คะแนนเต็ม]:[คะแนนเต็ม]])*tbl_task1[[%]:[%]])</f>
        <v/>
      </c>
      <c r="KI14" s="121" t="str">
        <f>IF(ISBLANK(tbl_task1[[คะแนนเต็ม]:[คะแนนเต็ม]]),"",(tbl_task1[125]/tbl_task1[[คะแนนเต็ม]:[คะแนนเต็ม]])*tbl_task1[[%]:[%]])</f>
        <v/>
      </c>
      <c r="KJ14" s="121" t="str">
        <f>IF(ISBLANK(tbl_task1[[คะแนนเต็ม]:[คะแนนเต็ม]]),"",(tbl_task1[126]/tbl_task1[[คะแนนเต็ม]:[คะแนนเต็ม]])*tbl_task1[[%]:[%]])</f>
        <v/>
      </c>
      <c r="KK14" s="121" t="str">
        <f>IF(ISBLANK(tbl_task1[[คะแนนเต็ม]:[คะแนนเต็ม]]),"",(tbl_task1[127]/tbl_task1[[คะแนนเต็ม]:[คะแนนเต็ม]])*tbl_task1[[%]:[%]])</f>
        <v/>
      </c>
      <c r="KL14" s="121" t="str">
        <f>IF(ISBLANK(tbl_task1[[คะแนนเต็ม]:[คะแนนเต็ม]]),"",(tbl_task1[128]/tbl_task1[[คะแนนเต็ม]:[คะแนนเต็ม]])*tbl_task1[[%]:[%]])</f>
        <v/>
      </c>
      <c r="KM14" s="121" t="str">
        <f>IF(ISBLANK(tbl_task1[[คะแนนเต็ม]:[คะแนนเต็ม]]),"",(tbl_task1[129]/tbl_task1[[คะแนนเต็ม]:[คะแนนเต็ม]])*tbl_task1[[%]:[%]])</f>
        <v/>
      </c>
      <c r="KN14" s="121" t="str">
        <f>IF(ISBLANK(tbl_task1[[คะแนนเต็ม]:[คะแนนเต็ม]]),"",(tbl_task1[130]/tbl_task1[[คะแนนเต็ม]:[คะแนนเต็ม]])*tbl_task1[[%]:[%]])</f>
        <v/>
      </c>
      <c r="KO14" s="121" t="str">
        <f>IF(ISBLANK(tbl_task1[[คะแนนเต็ม]:[คะแนนเต็ม]]),"",(tbl_task1[131]/tbl_task1[[คะแนนเต็ม]:[คะแนนเต็ม]])*tbl_task1[[%]:[%]])</f>
        <v/>
      </c>
      <c r="KP14" s="121" t="str">
        <f>IF(ISBLANK(tbl_task1[[คะแนนเต็ม]:[คะแนนเต็ม]]),"",(tbl_task1[132]/tbl_task1[[คะแนนเต็ม]:[คะแนนเต็ม]])*tbl_task1[[%]:[%]])</f>
        <v/>
      </c>
      <c r="KQ14" s="121" t="str">
        <f>IF(ISBLANK(tbl_task1[[คะแนนเต็ม]:[คะแนนเต็ม]]),"",(tbl_task1[133]/tbl_task1[[คะแนนเต็ม]:[คะแนนเต็ม]])*tbl_task1[[%]:[%]])</f>
        <v/>
      </c>
      <c r="KR14" s="121" t="str">
        <f>IF(ISBLANK(tbl_task1[[คะแนนเต็ม]:[คะแนนเต็ม]]),"",(tbl_task1[134]/tbl_task1[[คะแนนเต็ม]:[คะแนนเต็ม]])*tbl_task1[[%]:[%]])</f>
        <v/>
      </c>
      <c r="KS14" s="121" t="str">
        <f>IF(ISBLANK(tbl_task1[[คะแนนเต็ม]:[คะแนนเต็ม]]),"",(tbl_task1[135]/tbl_task1[[คะแนนเต็ม]:[คะแนนเต็ม]])*tbl_task1[[%]:[%]])</f>
        <v/>
      </c>
      <c r="KT14" s="121" t="str">
        <f>IF(ISBLANK(tbl_task1[[คะแนนเต็ม]:[คะแนนเต็ม]]),"",(tbl_task1[136]/tbl_task1[[คะแนนเต็ม]:[คะแนนเต็ม]])*tbl_task1[[%]:[%]])</f>
        <v/>
      </c>
      <c r="KU14" s="121" t="str">
        <f>IF(ISBLANK(tbl_task1[[คะแนนเต็ม]:[คะแนนเต็ม]]),"",(tbl_task1[137]/tbl_task1[[คะแนนเต็ม]:[คะแนนเต็ม]])*tbl_task1[[%]:[%]])</f>
        <v/>
      </c>
      <c r="KV14" s="121" t="str">
        <f>IF(ISBLANK(tbl_task1[[คะแนนเต็ม]:[คะแนนเต็ม]]),"",(tbl_task1[138]/tbl_task1[[คะแนนเต็ม]:[คะแนนเต็ม]])*tbl_task1[[%]:[%]])</f>
        <v/>
      </c>
      <c r="KW14" s="121" t="str">
        <f>IF(ISBLANK(tbl_task1[[คะแนนเต็ม]:[คะแนนเต็ม]]),"",(tbl_task1[139]/tbl_task1[[คะแนนเต็ม]:[คะแนนเต็ม]])*tbl_task1[[%]:[%]])</f>
        <v/>
      </c>
      <c r="KX14" s="121" t="str">
        <f>IF(ISBLANK(tbl_task1[[คะแนนเต็ม]:[คะแนนเต็ม]]),"",(tbl_task1[140]/tbl_task1[[คะแนนเต็ม]:[คะแนนเต็ม]])*tbl_task1[[%]:[%]])</f>
        <v/>
      </c>
      <c r="KY14" s="121" t="str">
        <f>IF(ISBLANK(tbl_task1[[คะแนนเต็ม]:[คะแนนเต็ม]]),"",(tbl_task1[141]/tbl_task1[[คะแนนเต็ม]:[คะแนนเต็ม]])*tbl_task1[[%]:[%]])</f>
        <v/>
      </c>
      <c r="KZ14" s="121" t="str">
        <f>IF(ISBLANK(tbl_task1[[คะแนนเต็ม]:[คะแนนเต็ม]]),"",(tbl_task1[142]/tbl_task1[[คะแนนเต็ม]:[คะแนนเต็ม]])*tbl_task1[[%]:[%]])</f>
        <v/>
      </c>
      <c r="LA14" s="121" t="str">
        <f>IF(ISBLANK(tbl_task1[[คะแนนเต็ม]:[คะแนนเต็ม]]),"",(tbl_task1[143]/tbl_task1[[คะแนนเต็ม]:[คะแนนเต็ม]])*tbl_task1[[%]:[%]])</f>
        <v/>
      </c>
      <c r="LB14" s="121" t="str">
        <f>IF(ISBLANK(tbl_task1[[คะแนนเต็ม]:[คะแนนเต็ม]]),"",(tbl_task1[144]/tbl_task1[[คะแนนเต็ม]:[คะแนนเต็ม]])*tbl_task1[[%]:[%]])</f>
        <v/>
      </c>
      <c r="LC14" s="121" t="str">
        <f>IF(ISBLANK(tbl_task1[[คะแนนเต็ม]:[คะแนนเต็ม]]),"",(tbl_task1[145]/tbl_task1[[คะแนนเต็ม]:[คะแนนเต็ม]])*tbl_task1[[%]:[%]])</f>
        <v/>
      </c>
      <c r="LD14" s="121" t="str">
        <f>IF(ISBLANK(tbl_task1[[คะแนนเต็ม]:[คะแนนเต็ม]]),"",(tbl_task1[146]/tbl_task1[[คะแนนเต็ม]:[คะแนนเต็ม]])*tbl_task1[[%]:[%]])</f>
        <v/>
      </c>
      <c r="LE14" s="121" t="str">
        <f>IF(ISBLANK(tbl_task1[[คะแนนเต็ม]:[คะแนนเต็ม]]),"",(tbl_task1[147]/tbl_task1[[คะแนนเต็ม]:[คะแนนเต็ม]])*tbl_task1[[%]:[%]])</f>
        <v/>
      </c>
      <c r="LF14" s="121" t="str">
        <f>IF(ISBLANK(tbl_task1[[คะแนนเต็ม]:[คะแนนเต็ม]]),"",(tbl_task1[148]/tbl_task1[[คะแนนเต็ม]:[คะแนนเต็ม]])*tbl_task1[[%]:[%]])</f>
        <v/>
      </c>
      <c r="LG14" s="121" t="str">
        <f>IF(ISBLANK(tbl_task1[[คะแนนเต็ม]:[คะแนนเต็ม]]),"",(tbl_task1[149]/tbl_task1[[คะแนนเต็ม]:[คะแนนเต็ม]])*tbl_task1[[%]:[%]])</f>
        <v/>
      </c>
      <c r="LH14" s="121" t="str">
        <f>IF(ISBLANK(tbl_task1[[คะแนนเต็ม]:[คะแนนเต็ม]]),"",(tbl_task1[150]/tbl_task1[[คะแนนเต็ม]:[คะแนนเต็ม]])*tbl_task1[[%]:[%]])</f>
        <v/>
      </c>
      <c r="LI14" s="121" t="str">
        <f>IF(ISBLANK(tbl_task1[[คะแนนเต็ม]:[คะแนนเต็ม]]),"",(tbl_task1[151]/tbl_task1[[คะแนนเต็ม]:[คะแนนเต็ม]])*tbl_task1[[%]:[%]])</f>
        <v/>
      </c>
      <c r="LJ14" s="121" t="str">
        <f>IF(ISBLANK(tbl_task1[[คะแนนเต็ม]:[คะแนนเต็ม]]),"",(tbl_task1[152]/tbl_task1[[คะแนนเต็ม]:[คะแนนเต็ม]])*tbl_task1[[%]:[%]])</f>
        <v/>
      </c>
      <c r="LK14" s="121" t="str">
        <f>IF(ISBLANK(tbl_task1[[คะแนนเต็ม]:[คะแนนเต็ม]]),"",(tbl_task1[153]/tbl_task1[[คะแนนเต็ม]:[คะแนนเต็ม]])*tbl_task1[[%]:[%]])</f>
        <v/>
      </c>
      <c r="LL14" s="121" t="str">
        <f>IF(ISBLANK(tbl_task1[[คะแนนเต็ม]:[คะแนนเต็ม]]),"",(tbl_task1[154]/tbl_task1[[คะแนนเต็ม]:[คะแนนเต็ม]])*tbl_task1[[%]:[%]])</f>
        <v/>
      </c>
      <c r="LM14" s="121" t="str">
        <f>IF(ISBLANK(tbl_task1[[คะแนนเต็ม]:[คะแนนเต็ม]]),"",(tbl_task1[155]/tbl_task1[[คะแนนเต็ม]:[คะแนนเต็ม]])*tbl_task1[[%]:[%]])</f>
        <v/>
      </c>
      <c r="LN14" s="121" t="str">
        <f>IF(ISBLANK(tbl_task1[[คะแนนเต็ม]:[คะแนนเต็ม]]),"",(tbl_task1[156]/tbl_task1[[คะแนนเต็ม]:[คะแนนเต็ม]])*tbl_task1[[%]:[%]])</f>
        <v/>
      </c>
      <c r="LO14" s="121" t="str">
        <f>IF(ISBLANK(tbl_task1[[คะแนนเต็ม]:[คะแนนเต็ม]]),"",(tbl_task1[157]/tbl_task1[[คะแนนเต็ม]:[คะแนนเต็ม]])*tbl_task1[[%]:[%]])</f>
        <v/>
      </c>
      <c r="LP14" s="121" t="str">
        <f>IF(ISBLANK(tbl_task1[[คะแนนเต็ม]:[คะแนนเต็ม]]),"",(tbl_task1[158]/tbl_task1[[คะแนนเต็ม]:[คะแนนเต็ม]])*tbl_task1[[%]:[%]])</f>
        <v/>
      </c>
      <c r="LQ14" s="121" t="str">
        <f>IF(ISBLANK(tbl_task1[[คะแนนเต็ม]:[คะแนนเต็ม]]),"",(tbl_task1[159]/tbl_task1[[คะแนนเต็ม]:[คะแนนเต็ม]])*tbl_task1[[%]:[%]])</f>
        <v/>
      </c>
      <c r="LR14" s="121" t="str">
        <f>IF(ISBLANK(tbl_task1[[คะแนนเต็ม]:[คะแนนเต็ม]]),"",(tbl_task1[160]/tbl_task1[[คะแนนเต็ม]:[คะแนนเต็ม]])*tbl_task1[[%]:[%]])</f>
        <v/>
      </c>
      <c r="LS14" s="121" t="str">
        <f>IF(ISBLANK(tbl_task1[[คะแนนเต็ม]:[คะแนนเต็ม]]),"",(tbl_task1[161]/tbl_task1[[คะแนนเต็ม]:[คะแนนเต็ม]])*tbl_task1[[%]:[%]])</f>
        <v/>
      </c>
      <c r="LT14" s="121" t="str">
        <f>IF(ISBLANK(tbl_task1[[คะแนนเต็ม]:[คะแนนเต็ม]]),"",(tbl_task1[162]/tbl_task1[[คะแนนเต็ม]:[คะแนนเต็ม]])*tbl_task1[[%]:[%]])</f>
        <v/>
      </c>
      <c r="LU14" s="121" t="str">
        <f>IF(ISBLANK(tbl_task1[[คะแนนเต็ม]:[คะแนนเต็ม]]),"",(tbl_task1[163]/tbl_task1[[คะแนนเต็ม]:[คะแนนเต็ม]])*tbl_task1[[%]:[%]])</f>
        <v/>
      </c>
      <c r="LV14" s="121" t="str">
        <f>IF(ISBLANK(tbl_task1[[คะแนนเต็ม]:[คะแนนเต็ม]]),"",(tbl_task1[164]/tbl_task1[[คะแนนเต็ม]:[คะแนนเต็ม]])*tbl_task1[[%]:[%]])</f>
        <v/>
      </c>
      <c r="LW14" s="121" t="str">
        <f>IF(ISBLANK(tbl_task1[[คะแนนเต็ม]:[คะแนนเต็ม]]),"",(tbl_task1[165]/tbl_task1[[คะแนนเต็ม]:[คะแนนเต็ม]])*tbl_task1[[%]:[%]])</f>
        <v/>
      </c>
    </row>
    <row r="15" spans="1:335" ht="24" customHeight="1" x14ac:dyDescent="0.25">
      <c r="A15" s="24">
        <v>12</v>
      </c>
      <c r="B15" s="20"/>
      <c r="C15" s="5" t="str">
        <f>IF(ISBLANK(B15),"",VLOOKUP(B15,tbl_PLOs[],2,0))</f>
        <v/>
      </c>
      <c r="D15" s="102"/>
      <c r="E15" s="106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121" t="str">
        <f>IF(ISBLANK(tbl_task1[[คะแนนเต็ม]:[คะแนนเต็ม]]),"",(tbl_task1[1]/tbl_task1[[คะแนนเต็ม]:[คะแนนเต็ม]])*tbl_task1[[%]:[%]])</f>
        <v/>
      </c>
      <c r="FP15" s="121" t="str">
        <f>IF(ISBLANK(tbl_task1[[คะแนนเต็ม]:[คะแนนเต็ม]]),"",(tbl_task1[2]/tbl_task1[[คะแนนเต็ม]:[คะแนนเต็ม]])*tbl_task1[[%]:[%]])</f>
        <v/>
      </c>
      <c r="FQ15" s="121" t="str">
        <f>IF(ISBLANK(tbl_task1[[คะแนนเต็ม]:[คะแนนเต็ม]]),"",(tbl_task1[3]/tbl_task1[[คะแนนเต็ม]:[คะแนนเต็ม]])*tbl_task1[[%]:[%]])</f>
        <v/>
      </c>
      <c r="FR15" s="121" t="str">
        <f>IF(ISBLANK(tbl_task1[[คะแนนเต็ม]:[คะแนนเต็ม]]),"",(tbl_task1[4]/tbl_task1[[คะแนนเต็ม]:[คะแนนเต็ม]])*tbl_task1[[%]:[%]])</f>
        <v/>
      </c>
      <c r="FS15" s="121" t="str">
        <f>IF(ISBLANK(tbl_task1[[คะแนนเต็ม]:[คะแนนเต็ม]]),"",(tbl_task1[5]/tbl_task1[[คะแนนเต็ม]:[คะแนนเต็ม]])*tbl_task1[[%]:[%]])</f>
        <v/>
      </c>
      <c r="FT15" s="121" t="str">
        <f>IF(ISBLANK(tbl_task1[[คะแนนเต็ม]:[คะแนนเต็ม]]),"",(tbl_task1[6]/tbl_task1[[คะแนนเต็ม]:[คะแนนเต็ม]])*tbl_task1[[%]:[%]])</f>
        <v/>
      </c>
      <c r="FU15" s="121" t="str">
        <f>IF(ISBLANK(tbl_task1[[คะแนนเต็ม]:[คะแนนเต็ม]]),"",(tbl_task1[7]/tbl_task1[[คะแนนเต็ม]:[คะแนนเต็ม]])*tbl_task1[[%]:[%]])</f>
        <v/>
      </c>
      <c r="FV15" s="121" t="str">
        <f>IF(ISBLANK(tbl_task1[[คะแนนเต็ม]:[คะแนนเต็ม]]),"",(tbl_task1[8]/tbl_task1[[คะแนนเต็ม]:[คะแนนเต็ม]])*tbl_task1[[%]:[%]])</f>
        <v/>
      </c>
      <c r="FW15" s="121" t="str">
        <f>IF(ISBLANK(tbl_task1[[คะแนนเต็ม]:[คะแนนเต็ม]]),"",(tbl_task1[9]/tbl_task1[[คะแนนเต็ม]:[คะแนนเต็ม]])*tbl_task1[[%]:[%]])</f>
        <v/>
      </c>
      <c r="FX15" s="121" t="str">
        <f>IF(ISBLANK(tbl_task1[[คะแนนเต็ม]:[คะแนนเต็ม]]),"",(tbl_task1[10]/tbl_task1[[คะแนนเต็ม]:[คะแนนเต็ม]])*tbl_task1[[%]:[%]])</f>
        <v/>
      </c>
      <c r="FY15" s="121" t="str">
        <f>IF(ISBLANK(tbl_task1[[คะแนนเต็ม]:[คะแนนเต็ม]]),"",(tbl_task1[11]/tbl_task1[[คะแนนเต็ม]:[คะแนนเต็ม]])*tbl_task1[[%]:[%]])</f>
        <v/>
      </c>
      <c r="FZ15" s="121" t="str">
        <f>IF(ISBLANK(tbl_task1[[คะแนนเต็ม]:[คะแนนเต็ม]]),"",(tbl_task1[12]/tbl_task1[[คะแนนเต็ม]:[คะแนนเต็ม]])*tbl_task1[[%]:[%]])</f>
        <v/>
      </c>
      <c r="GA15" s="121" t="str">
        <f>IF(ISBLANK(tbl_task1[[คะแนนเต็ม]:[คะแนนเต็ม]]),"",(tbl_task1[13]/tbl_task1[[คะแนนเต็ม]:[คะแนนเต็ม]])*tbl_task1[[%]:[%]])</f>
        <v/>
      </c>
      <c r="GB15" s="121" t="str">
        <f>IF(ISBLANK(tbl_task1[[คะแนนเต็ม]:[คะแนนเต็ม]]),"",(tbl_task1[14]/tbl_task1[[คะแนนเต็ม]:[คะแนนเต็ม]])*tbl_task1[[%]:[%]])</f>
        <v/>
      </c>
      <c r="GC15" s="121" t="str">
        <f>IF(ISBLANK(tbl_task1[[คะแนนเต็ม]:[คะแนนเต็ม]]),"",(tbl_task1[15]/tbl_task1[[คะแนนเต็ม]:[คะแนนเต็ม]])*tbl_task1[[%]:[%]])</f>
        <v/>
      </c>
      <c r="GD15" s="121" t="str">
        <f>IF(ISBLANK(tbl_task1[[คะแนนเต็ม]:[คะแนนเต็ม]]),"",(tbl_task1[16]/tbl_task1[[คะแนนเต็ม]:[คะแนนเต็ม]])*tbl_task1[[%]:[%]])</f>
        <v/>
      </c>
      <c r="GE15" s="121" t="str">
        <f>IF(ISBLANK(tbl_task1[[คะแนนเต็ม]:[คะแนนเต็ม]]),"",(tbl_task1[17]/tbl_task1[[คะแนนเต็ม]:[คะแนนเต็ม]])*tbl_task1[[%]:[%]])</f>
        <v/>
      </c>
      <c r="GF15" s="121" t="str">
        <f>IF(ISBLANK(tbl_task1[[คะแนนเต็ม]:[คะแนนเต็ม]]),"",(tbl_task1[18]/tbl_task1[[คะแนนเต็ม]:[คะแนนเต็ม]])*tbl_task1[[%]:[%]])</f>
        <v/>
      </c>
      <c r="GG15" s="121" t="str">
        <f>IF(ISBLANK(tbl_task1[[คะแนนเต็ม]:[คะแนนเต็ม]]),"",(tbl_task1[19]/tbl_task1[[คะแนนเต็ม]:[คะแนนเต็ม]])*tbl_task1[[%]:[%]])</f>
        <v/>
      </c>
      <c r="GH15" s="121" t="str">
        <f>IF(ISBLANK(tbl_task1[[คะแนนเต็ม]:[คะแนนเต็ม]]),"",(tbl_task1[20]/tbl_task1[[คะแนนเต็ม]:[คะแนนเต็ม]])*tbl_task1[[%]:[%]])</f>
        <v/>
      </c>
      <c r="GI15" s="121" t="str">
        <f>IF(ISBLANK(tbl_task1[[คะแนนเต็ม]:[คะแนนเต็ม]]),"",(tbl_task1[21]/tbl_task1[[คะแนนเต็ม]:[คะแนนเต็ม]])*tbl_task1[[%]:[%]])</f>
        <v/>
      </c>
      <c r="GJ15" s="121" t="str">
        <f>IF(ISBLANK(tbl_task1[[คะแนนเต็ม]:[คะแนนเต็ม]]),"",(tbl_task1[22]/tbl_task1[[คะแนนเต็ม]:[คะแนนเต็ม]])*tbl_task1[[%]:[%]])</f>
        <v/>
      </c>
      <c r="GK15" s="121" t="str">
        <f>IF(ISBLANK(tbl_task1[[คะแนนเต็ม]:[คะแนนเต็ม]]),"",(tbl_task1[23]/tbl_task1[[คะแนนเต็ม]:[คะแนนเต็ม]])*tbl_task1[[%]:[%]])</f>
        <v/>
      </c>
      <c r="GL15" s="121" t="str">
        <f>IF(ISBLANK(tbl_task1[[คะแนนเต็ม]:[คะแนนเต็ม]]),"",(tbl_task1[24]/tbl_task1[[คะแนนเต็ม]:[คะแนนเต็ม]])*tbl_task1[[%]:[%]])</f>
        <v/>
      </c>
      <c r="GM15" s="121" t="str">
        <f>IF(ISBLANK(tbl_task1[[คะแนนเต็ม]:[คะแนนเต็ม]]),"",(tbl_task1[25]/tbl_task1[[คะแนนเต็ม]:[คะแนนเต็ม]])*tbl_task1[[%]:[%]])</f>
        <v/>
      </c>
      <c r="GN15" s="121" t="str">
        <f>IF(ISBLANK(tbl_task1[[คะแนนเต็ม]:[คะแนนเต็ม]]),"",(tbl_task1[26]/tbl_task1[[คะแนนเต็ม]:[คะแนนเต็ม]])*tbl_task1[[%]:[%]])</f>
        <v/>
      </c>
      <c r="GO15" s="121" t="str">
        <f>IF(ISBLANK(tbl_task1[[คะแนนเต็ม]:[คะแนนเต็ม]]),"",(tbl_task1[27]/tbl_task1[[คะแนนเต็ม]:[คะแนนเต็ม]])*tbl_task1[[%]:[%]])</f>
        <v/>
      </c>
      <c r="GP15" s="121" t="str">
        <f>IF(ISBLANK(tbl_task1[[คะแนนเต็ม]:[คะแนนเต็ม]]),"",(tbl_task1[28]/tbl_task1[[คะแนนเต็ม]:[คะแนนเต็ม]])*tbl_task1[[%]:[%]])</f>
        <v/>
      </c>
      <c r="GQ15" s="121" t="str">
        <f>IF(ISBLANK(tbl_task1[[คะแนนเต็ม]:[คะแนนเต็ม]]),"",(tbl_task1[29]/tbl_task1[[คะแนนเต็ม]:[คะแนนเต็ม]])*tbl_task1[[%]:[%]])</f>
        <v/>
      </c>
      <c r="GR15" s="121" t="str">
        <f>IF(ISBLANK(tbl_task1[[คะแนนเต็ม]:[คะแนนเต็ม]]),"",(tbl_task1[30]/tbl_task1[[คะแนนเต็ม]:[คะแนนเต็ม]])*tbl_task1[[%]:[%]])</f>
        <v/>
      </c>
      <c r="GS15" s="121" t="str">
        <f>IF(ISBLANK(tbl_task1[[คะแนนเต็ม]:[คะแนนเต็ม]]),"",(tbl_task1[31]/tbl_task1[[คะแนนเต็ม]:[คะแนนเต็ม]])*tbl_task1[[%]:[%]])</f>
        <v/>
      </c>
      <c r="GT15" s="121" t="str">
        <f>IF(ISBLANK(tbl_task1[[คะแนนเต็ม]:[คะแนนเต็ม]]),"",(tbl_task1[32]/tbl_task1[[คะแนนเต็ม]:[คะแนนเต็ม]])*tbl_task1[[%]:[%]])</f>
        <v/>
      </c>
      <c r="GU15" s="121" t="str">
        <f>IF(ISBLANK(tbl_task1[[คะแนนเต็ม]:[คะแนนเต็ม]]),"",(tbl_task1[33]/tbl_task1[[คะแนนเต็ม]:[คะแนนเต็ม]])*tbl_task1[[%]:[%]])</f>
        <v/>
      </c>
      <c r="GV15" s="121" t="str">
        <f>IF(ISBLANK(tbl_task1[[คะแนนเต็ม]:[คะแนนเต็ม]]),"",(tbl_task1[34]/tbl_task1[[คะแนนเต็ม]:[คะแนนเต็ม]])*tbl_task1[[%]:[%]])</f>
        <v/>
      </c>
      <c r="GW15" s="121" t="str">
        <f>IF(ISBLANK(tbl_task1[[คะแนนเต็ม]:[คะแนนเต็ม]]),"",(tbl_task1[35]/tbl_task1[[คะแนนเต็ม]:[คะแนนเต็ม]])*tbl_task1[[%]:[%]])</f>
        <v/>
      </c>
      <c r="GX15" s="121" t="str">
        <f>IF(ISBLANK(tbl_task1[[คะแนนเต็ม]:[คะแนนเต็ม]]),"",(tbl_task1[36]/tbl_task1[[คะแนนเต็ม]:[คะแนนเต็ม]])*tbl_task1[[%]:[%]])</f>
        <v/>
      </c>
      <c r="GY15" s="121" t="str">
        <f>IF(ISBLANK(tbl_task1[[คะแนนเต็ม]:[คะแนนเต็ม]]),"",(tbl_task1[37]/tbl_task1[[คะแนนเต็ม]:[คะแนนเต็ม]])*tbl_task1[[%]:[%]])</f>
        <v/>
      </c>
      <c r="GZ15" s="121" t="str">
        <f>IF(ISBLANK(tbl_task1[[คะแนนเต็ม]:[คะแนนเต็ม]]),"",(tbl_task1[38]/tbl_task1[[คะแนนเต็ม]:[คะแนนเต็ม]])*tbl_task1[[%]:[%]])</f>
        <v/>
      </c>
      <c r="HA15" s="121" t="str">
        <f>IF(ISBLANK(tbl_task1[[คะแนนเต็ม]:[คะแนนเต็ม]]),"",(tbl_task1[39]/tbl_task1[[คะแนนเต็ม]:[คะแนนเต็ม]])*tbl_task1[[%]:[%]])</f>
        <v/>
      </c>
      <c r="HB15" s="121" t="str">
        <f>IF(ISBLANK(tbl_task1[[คะแนนเต็ม]:[คะแนนเต็ม]]),"",(tbl_task1[40]/tbl_task1[[คะแนนเต็ม]:[คะแนนเต็ม]])*tbl_task1[[%]:[%]])</f>
        <v/>
      </c>
      <c r="HC15" s="121" t="str">
        <f>IF(ISBLANK(tbl_task1[[คะแนนเต็ม]:[คะแนนเต็ม]]),"",(tbl_task1[41]/tbl_task1[[คะแนนเต็ม]:[คะแนนเต็ม]])*tbl_task1[[%]:[%]])</f>
        <v/>
      </c>
      <c r="HD15" s="121" t="str">
        <f>IF(ISBLANK(tbl_task1[[คะแนนเต็ม]:[คะแนนเต็ม]]),"",(tbl_task1[42]/tbl_task1[[คะแนนเต็ม]:[คะแนนเต็ม]])*tbl_task1[[%]:[%]])</f>
        <v/>
      </c>
      <c r="HE15" s="121" t="str">
        <f>IF(ISBLANK(tbl_task1[[คะแนนเต็ม]:[คะแนนเต็ม]]),"",(tbl_task1[43]/tbl_task1[[คะแนนเต็ม]:[คะแนนเต็ม]])*tbl_task1[[%]:[%]])</f>
        <v/>
      </c>
      <c r="HF15" s="121" t="str">
        <f>IF(ISBLANK(tbl_task1[[คะแนนเต็ม]:[คะแนนเต็ม]]),"",(tbl_task1[44]/tbl_task1[[คะแนนเต็ม]:[คะแนนเต็ม]])*tbl_task1[[%]:[%]])</f>
        <v/>
      </c>
      <c r="HG15" s="121" t="str">
        <f>IF(ISBLANK(tbl_task1[[คะแนนเต็ม]:[คะแนนเต็ม]]),"",(tbl_task1[45]/tbl_task1[[คะแนนเต็ม]:[คะแนนเต็ม]])*tbl_task1[[%]:[%]])</f>
        <v/>
      </c>
      <c r="HH15" s="121" t="str">
        <f>IF(ISBLANK(tbl_task1[[คะแนนเต็ม]:[คะแนนเต็ม]]),"",(tbl_task1[46]/tbl_task1[[คะแนนเต็ม]:[คะแนนเต็ม]])*tbl_task1[[%]:[%]])</f>
        <v/>
      </c>
      <c r="HI15" s="121" t="str">
        <f>IF(ISBLANK(tbl_task1[[คะแนนเต็ม]:[คะแนนเต็ม]]),"",(tbl_task1[47]/tbl_task1[[คะแนนเต็ม]:[คะแนนเต็ม]])*tbl_task1[[%]:[%]])</f>
        <v/>
      </c>
      <c r="HJ15" s="121" t="str">
        <f>IF(ISBLANK(tbl_task1[[คะแนนเต็ม]:[คะแนนเต็ม]]),"",(tbl_task1[48]/tbl_task1[[คะแนนเต็ม]:[คะแนนเต็ม]])*tbl_task1[[%]:[%]])</f>
        <v/>
      </c>
      <c r="HK15" s="121" t="str">
        <f>IF(ISBLANK(tbl_task1[[คะแนนเต็ม]:[คะแนนเต็ม]]),"",(tbl_task1[49]/tbl_task1[[คะแนนเต็ม]:[คะแนนเต็ม]])*tbl_task1[[%]:[%]])</f>
        <v/>
      </c>
      <c r="HL15" s="121" t="str">
        <f>IF(ISBLANK(tbl_task1[[คะแนนเต็ม]:[คะแนนเต็ม]]),"",(tbl_task1[50]/tbl_task1[[คะแนนเต็ม]:[คะแนนเต็ม]])*tbl_task1[[%]:[%]])</f>
        <v/>
      </c>
      <c r="HM15" s="121" t="str">
        <f>IF(ISBLANK(tbl_task1[[คะแนนเต็ม]:[คะแนนเต็ม]]),"",(tbl_task1[51]/tbl_task1[[คะแนนเต็ม]:[คะแนนเต็ม]])*tbl_task1[[%]:[%]])</f>
        <v/>
      </c>
      <c r="HN15" s="121" t="str">
        <f>IF(ISBLANK(tbl_task1[[คะแนนเต็ม]:[คะแนนเต็ม]]),"",(tbl_task1[52]/tbl_task1[[คะแนนเต็ม]:[คะแนนเต็ม]])*tbl_task1[[%]:[%]])</f>
        <v/>
      </c>
      <c r="HO15" s="121" t="str">
        <f>IF(ISBLANK(tbl_task1[[คะแนนเต็ม]:[คะแนนเต็ม]]),"",(tbl_task1[53]/tbl_task1[[คะแนนเต็ม]:[คะแนนเต็ม]])*tbl_task1[[%]:[%]])</f>
        <v/>
      </c>
      <c r="HP15" s="121" t="str">
        <f>IF(ISBLANK(tbl_task1[[คะแนนเต็ม]:[คะแนนเต็ม]]),"",(tbl_task1[54]/tbl_task1[[คะแนนเต็ม]:[คะแนนเต็ม]])*tbl_task1[[%]:[%]])</f>
        <v/>
      </c>
      <c r="HQ15" s="121" t="str">
        <f>IF(ISBLANK(tbl_task1[[คะแนนเต็ม]:[คะแนนเต็ม]]),"",(tbl_task1[55]/tbl_task1[[คะแนนเต็ม]:[คะแนนเต็ม]])*tbl_task1[[%]:[%]])</f>
        <v/>
      </c>
      <c r="HR15" s="121" t="str">
        <f>IF(ISBLANK(tbl_task1[[คะแนนเต็ม]:[คะแนนเต็ม]]),"",(tbl_task1[56]/tbl_task1[[คะแนนเต็ม]:[คะแนนเต็ม]])*tbl_task1[[%]:[%]])</f>
        <v/>
      </c>
      <c r="HS15" s="121" t="str">
        <f>IF(ISBLANK(tbl_task1[[คะแนนเต็ม]:[คะแนนเต็ม]]),"",(tbl_task1[57]/tbl_task1[[คะแนนเต็ม]:[คะแนนเต็ม]])*tbl_task1[[%]:[%]])</f>
        <v/>
      </c>
      <c r="HT15" s="121" t="str">
        <f>IF(ISBLANK(tbl_task1[[คะแนนเต็ม]:[คะแนนเต็ม]]),"",(tbl_task1[58]/tbl_task1[[คะแนนเต็ม]:[คะแนนเต็ม]])*tbl_task1[[%]:[%]])</f>
        <v/>
      </c>
      <c r="HU15" s="121" t="str">
        <f>IF(ISBLANK(tbl_task1[[คะแนนเต็ม]:[คะแนนเต็ม]]),"",(tbl_task1[59]/tbl_task1[[คะแนนเต็ม]:[คะแนนเต็ม]])*tbl_task1[[%]:[%]])</f>
        <v/>
      </c>
      <c r="HV15" s="121" t="str">
        <f>IF(ISBLANK(tbl_task1[[คะแนนเต็ม]:[คะแนนเต็ม]]),"",(tbl_task1[60]/tbl_task1[[คะแนนเต็ม]:[คะแนนเต็ม]])*tbl_task1[[%]:[%]])</f>
        <v/>
      </c>
      <c r="HW15" s="121" t="str">
        <f>IF(ISBLANK(tbl_task1[[คะแนนเต็ม]:[คะแนนเต็ม]]),"",(tbl_task1[61]/tbl_task1[[คะแนนเต็ม]:[คะแนนเต็ม]])*tbl_task1[[%]:[%]])</f>
        <v/>
      </c>
      <c r="HX15" s="121" t="str">
        <f>IF(ISBLANK(tbl_task1[[คะแนนเต็ม]:[คะแนนเต็ม]]),"",(tbl_task1[62]/tbl_task1[[คะแนนเต็ม]:[คะแนนเต็ม]])*tbl_task1[[%]:[%]])</f>
        <v/>
      </c>
      <c r="HY15" s="121" t="str">
        <f>IF(ISBLANK(tbl_task1[[คะแนนเต็ม]:[คะแนนเต็ม]]),"",(tbl_task1[63]/tbl_task1[[คะแนนเต็ม]:[คะแนนเต็ม]])*tbl_task1[[%]:[%]])</f>
        <v/>
      </c>
      <c r="HZ15" s="121" t="str">
        <f>IF(ISBLANK(tbl_task1[[คะแนนเต็ม]:[คะแนนเต็ม]]),"",(tbl_task1[64]/tbl_task1[[คะแนนเต็ม]:[คะแนนเต็ม]])*tbl_task1[[%]:[%]])</f>
        <v/>
      </c>
      <c r="IA15" s="121" t="str">
        <f>IF(ISBLANK(tbl_task1[[คะแนนเต็ม]:[คะแนนเต็ม]]),"",(tbl_task1[65]/tbl_task1[[คะแนนเต็ม]:[คะแนนเต็ม]])*tbl_task1[[%]:[%]])</f>
        <v/>
      </c>
      <c r="IB15" s="121" t="str">
        <f>IF(ISBLANK(tbl_task1[[คะแนนเต็ม]:[คะแนนเต็ม]]),"",(tbl_task1[66]/tbl_task1[[คะแนนเต็ม]:[คะแนนเต็ม]])*tbl_task1[[%]:[%]])</f>
        <v/>
      </c>
      <c r="IC15" s="121" t="str">
        <f>IF(ISBLANK(tbl_task1[[คะแนนเต็ม]:[คะแนนเต็ม]]),"",(tbl_task1[67]/tbl_task1[[คะแนนเต็ม]:[คะแนนเต็ม]])*tbl_task1[[%]:[%]])</f>
        <v/>
      </c>
      <c r="ID15" s="121" t="str">
        <f>IF(ISBLANK(tbl_task1[[คะแนนเต็ม]:[คะแนนเต็ม]]),"",(tbl_task1[68]/tbl_task1[[คะแนนเต็ม]:[คะแนนเต็ม]])*tbl_task1[[%]:[%]])</f>
        <v/>
      </c>
      <c r="IE15" s="121" t="str">
        <f>IF(ISBLANK(tbl_task1[[คะแนนเต็ม]:[คะแนนเต็ม]]),"",(tbl_task1[69]/tbl_task1[[คะแนนเต็ม]:[คะแนนเต็ม]])*tbl_task1[[%]:[%]])</f>
        <v/>
      </c>
      <c r="IF15" s="121" t="str">
        <f>IF(ISBLANK(tbl_task1[[คะแนนเต็ม]:[คะแนนเต็ม]]),"",(tbl_task1[70]/tbl_task1[[คะแนนเต็ม]:[คะแนนเต็ม]])*tbl_task1[[%]:[%]])</f>
        <v/>
      </c>
      <c r="IG15" s="121" t="str">
        <f>IF(ISBLANK(tbl_task1[[คะแนนเต็ม]:[คะแนนเต็ม]]),"",(tbl_task1[71]/tbl_task1[[คะแนนเต็ม]:[คะแนนเต็ม]])*tbl_task1[[%]:[%]])</f>
        <v/>
      </c>
      <c r="IH15" s="121" t="str">
        <f>IF(ISBLANK(tbl_task1[[คะแนนเต็ม]:[คะแนนเต็ม]]),"",(tbl_task1[72]/tbl_task1[[คะแนนเต็ม]:[คะแนนเต็ม]])*tbl_task1[[%]:[%]])</f>
        <v/>
      </c>
      <c r="II15" s="121" t="str">
        <f>IF(ISBLANK(tbl_task1[[คะแนนเต็ม]:[คะแนนเต็ม]]),"",(tbl_task1[73]/tbl_task1[[คะแนนเต็ม]:[คะแนนเต็ม]])*tbl_task1[[%]:[%]])</f>
        <v/>
      </c>
      <c r="IJ15" s="121" t="str">
        <f>IF(ISBLANK(tbl_task1[[คะแนนเต็ม]:[คะแนนเต็ม]]),"",(tbl_task1[74]/tbl_task1[[คะแนนเต็ม]:[คะแนนเต็ม]])*tbl_task1[[%]:[%]])</f>
        <v/>
      </c>
      <c r="IK15" s="121" t="str">
        <f>IF(ISBLANK(tbl_task1[[คะแนนเต็ม]:[คะแนนเต็ม]]),"",(tbl_task1[75]/tbl_task1[[คะแนนเต็ม]:[คะแนนเต็ม]])*tbl_task1[[%]:[%]])</f>
        <v/>
      </c>
      <c r="IL15" s="121" t="str">
        <f>IF(ISBLANK(tbl_task1[[คะแนนเต็ม]:[คะแนนเต็ม]]),"",(tbl_task1[76]/tbl_task1[[คะแนนเต็ม]:[คะแนนเต็ม]])*tbl_task1[[%]:[%]])</f>
        <v/>
      </c>
      <c r="IM15" s="121" t="str">
        <f>IF(ISBLANK(tbl_task1[[คะแนนเต็ม]:[คะแนนเต็ม]]),"",(tbl_task1[77]/tbl_task1[[คะแนนเต็ม]:[คะแนนเต็ม]])*tbl_task1[[%]:[%]])</f>
        <v/>
      </c>
      <c r="IN15" s="121" t="str">
        <f>IF(ISBLANK(tbl_task1[[คะแนนเต็ม]:[คะแนนเต็ม]]),"",(tbl_task1[78]/tbl_task1[[คะแนนเต็ม]:[คะแนนเต็ม]])*tbl_task1[[%]:[%]])</f>
        <v/>
      </c>
      <c r="IO15" s="121" t="str">
        <f>IF(ISBLANK(tbl_task1[[คะแนนเต็ม]:[คะแนนเต็ม]]),"",(tbl_task1[79]/tbl_task1[[คะแนนเต็ม]:[คะแนนเต็ม]])*tbl_task1[[%]:[%]])</f>
        <v/>
      </c>
      <c r="IP15" s="121" t="str">
        <f>IF(ISBLANK(tbl_task1[[คะแนนเต็ม]:[คะแนนเต็ม]]),"",(tbl_task1[80]/tbl_task1[[คะแนนเต็ม]:[คะแนนเต็ม]])*tbl_task1[[%]:[%]])</f>
        <v/>
      </c>
      <c r="IQ15" s="121" t="str">
        <f>IF(ISBLANK(tbl_task1[[คะแนนเต็ม]:[คะแนนเต็ม]]),"",(tbl_task1[81]/tbl_task1[[คะแนนเต็ม]:[คะแนนเต็ม]])*tbl_task1[[%]:[%]])</f>
        <v/>
      </c>
      <c r="IR15" s="121" t="str">
        <f>IF(ISBLANK(tbl_task1[[คะแนนเต็ม]:[คะแนนเต็ม]]),"",(tbl_task1[82]/tbl_task1[[คะแนนเต็ม]:[คะแนนเต็ม]])*tbl_task1[[%]:[%]])</f>
        <v/>
      </c>
      <c r="IS15" s="121" t="str">
        <f>IF(ISBLANK(tbl_task1[[คะแนนเต็ม]:[คะแนนเต็ม]]),"",(tbl_task1[83]/tbl_task1[[คะแนนเต็ม]:[คะแนนเต็ม]])*tbl_task1[[%]:[%]])</f>
        <v/>
      </c>
      <c r="IT15" s="121" t="str">
        <f>IF(ISBLANK(tbl_task1[[คะแนนเต็ม]:[คะแนนเต็ม]]),"",(tbl_task1[84]/tbl_task1[[คะแนนเต็ม]:[คะแนนเต็ม]])*tbl_task1[[%]:[%]])</f>
        <v/>
      </c>
      <c r="IU15" s="121" t="str">
        <f>IF(ISBLANK(tbl_task1[[คะแนนเต็ม]:[คะแนนเต็ม]]),"",(tbl_task1[85]/tbl_task1[[คะแนนเต็ม]:[คะแนนเต็ม]])*tbl_task1[[%]:[%]])</f>
        <v/>
      </c>
      <c r="IV15" s="121" t="str">
        <f>IF(ISBLANK(tbl_task1[[คะแนนเต็ม]:[คะแนนเต็ม]]),"",(tbl_task1[86]/tbl_task1[[คะแนนเต็ม]:[คะแนนเต็ม]])*tbl_task1[[%]:[%]])</f>
        <v/>
      </c>
      <c r="IW15" s="121" t="str">
        <f>IF(ISBLANK(tbl_task1[[คะแนนเต็ม]:[คะแนนเต็ม]]),"",(tbl_task1[87]/tbl_task1[[คะแนนเต็ม]:[คะแนนเต็ม]])*tbl_task1[[%]:[%]])</f>
        <v/>
      </c>
      <c r="IX15" s="121" t="str">
        <f>IF(ISBLANK(tbl_task1[[คะแนนเต็ม]:[คะแนนเต็ม]]),"",(tbl_task1[88]/tbl_task1[[คะแนนเต็ม]:[คะแนนเต็ม]])*tbl_task1[[%]:[%]])</f>
        <v/>
      </c>
      <c r="IY15" s="121" t="str">
        <f>IF(ISBLANK(tbl_task1[[คะแนนเต็ม]:[คะแนนเต็ม]]),"",(tbl_task1[89]/tbl_task1[[คะแนนเต็ม]:[คะแนนเต็ม]])*tbl_task1[[%]:[%]])</f>
        <v/>
      </c>
      <c r="IZ15" s="121" t="str">
        <f>IF(ISBLANK(tbl_task1[[คะแนนเต็ม]:[คะแนนเต็ม]]),"",(tbl_task1[90]/tbl_task1[[คะแนนเต็ม]:[คะแนนเต็ม]])*tbl_task1[[%]:[%]])</f>
        <v/>
      </c>
      <c r="JA15" s="121" t="str">
        <f>IF(ISBLANK(tbl_task1[[คะแนนเต็ม]:[คะแนนเต็ม]]),"",(tbl_task1[91]/tbl_task1[[คะแนนเต็ม]:[คะแนนเต็ม]])*tbl_task1[[%]:[%]])</f>
        <v/>
      </c>
      <c r="JB15" s="121" t="str">
        <f>IF(ISBLANK(tbl_task1[[คะแนนเต็ม]:[คะแนนเต็ม]]),"",(tbl_task1[92]/tbl_task1[[คะแนนเต็ม]:[คะแนนเต็ม]])*tbl_task1[[%]:[%]])</f>
        <v/>
      </c>
      <c r="JC15" s="121" t="str">
        <f>IF(ISBLANK(tbl_task1[[คะแนนเต็ม]:[คะแนนเต็ม]]),"",(tbl_task1[93]/tbl_task1[[คะแนนเต็ม]:[คะแนนเต็ม]])*tbl_task1[[%]:[%]])</f>
        <v/>
      </c>
      <c r="JD15" s="121" t="str">
        <f>IF(ISBLANK(tbl_task1[[คะแนนเต็ม]:[คะแนนเต็ม]]),"",(tbl_task1[94]/tbl_task1[[คะแนนเต็ม]:[คะแนนเต็ม]])*tbl_task1[[%]:[%]])</f>
        <v/>
      </c>
      <c r="JE15" s="121" t="str">
        <f>IF(ISBLANK(tbl_task1[[คะแนนเต็ม]:[คะแนนเต็ม]]),"",(tbl_task1[95]/tbl_task1[[คะแนนเต็ม]:[คะแนนเต็ม]])*tbl_task1[[%]:[%]])</f>
        <v/>
      </c>
      <c r="JF15" s="121" t="str">
        <f>IF(ISBLANK(tbl_task1[[คะแนนเต็ม]:[คะแนนเต็ม]]),"",(tbl_task1[96]/tbl_task1[[คะแนนเต็ม]:[คะแนนเต็ม]])*tbl_task1[[%]:[%]])</f>
        <v/>
      </c>
      <c r="JG15" s="121" t="str">
        <f>IF(ISBLANK(tbl_task1[[คะแนนเต็ม]:[คะแนนเต็ม]]),"",(tbl_task1[97]/tbl_task1[[คะแนนเต็ม]:[คะแนนเต็ม]])*tbl_task1[[%]:[%]])</f>
        <v/>
      </c>
      <c r="JH15" s="121" t="str">
        <f>IF(ISBLANK(tbl_task1[[คะแนนเต็ม]:[คะแนนเต็ม]]),"",(tbl_task1[98]/tbl_task1[[คะแนนเต็ม]:[คะแนนเต็ม]])*tbl_task1[[%]:[%]])</f>
        <v/>
      </c>
      <c r="JI15" s="121" t="str">
        <f>IF(ISBLANK(tbl_task1[[คะแนนเต็ม]:[คะแนนเต็ม]]),"",(tbl_task1[99]/tbl_task1[[คะแนนเต็ม]:[คะแนนเต็ม]])*tbl_task1[[%]:[%]])</f>
        <v/>
      </c>
      <c r="JJ15" s="121" t="str">
        <f>IF(ISBLANK(tbl_task1[[คะแนนเต็ม]:[คะแนนเต็ม]]),"",(tbl_task1[100]/tbl_task1[[คะแนนเต็ม]:[คะแนนเต็ม]])*tbl_task1[[%]:[%]])</f>
        <v/>
      </c>
      <c r="JK15" s="121" t="str">
        <f>IF(ISBLANK(tbl_task1[[คะแนนเต็ม]:[คะแนนเต็ม]]),"",(tbl_task1[101]/tbl_task1[[คะแนนเต็ม]:[คะแนนเต็ม]])*tbl_task1[[%]:[%]])</f>
        <v/>
      </c>
      <c r="JL15" s="121" t="str">
        <f>IF(ISBLANK(tbl_task1[[คะแนนเต็ม]:[คะแนนเต็ม]]),"",(tbl_task1[102]/tbl_task1[[คะแนนเต็ม]:[คะแนนเต็ม]])*tbl_task1[[%]:[%]])</f>
        <v/>
      </c>
      <c r="JM15" s="121" t="str">
        <f>IF(ISBLANK(tbl_task1[[คะแนนเต็ม]:[คะแนนเต็ม]]),"",(tbl_task1[103]/tbl_task1[[คะแนนเต็ม]:[คะแนนเต็ม]])*tbl_task1[[%]:[%]])</f>
        <v/>
      </c>
      <c r="JN15" s="121" t="str">
        <f>IF(ISBLANK(tbl_task1[[คะแนนเต็ม]:[คะแนนเต็ม]]),"",(tbl_task1[104]/tbl_task1[[คะแนนเต็ม]:[คะแนนเต็ม]])*tbl_task1[[%]:[%]])</f>
        <v/>
      </c>
      <c r="JO15" s="121" t="str">
        <f>IF(ISBLANK(tbl_task1[[คะแนนเต็ม]:[คะแนนเต็ม]]),"",(tbl_task1[105]/tbl_task1[[คะแนนเต็ม]:[คะแนนเต็ม]])*tbl_task1[[%]:[%]])</f>
        <v/>
      </c>
      <c r="JP15" s="121" t="str">
        <f>IF(ISBLANK(tbl_task1[[คะแนนเต็ม]:[คะแนนเต็ม]]),"",(tbl_task1[106]/tbl_task1[[คะแนนเต็ม]:[คะแนนเต็ม]])*tbl_task1[[%]:[%]])</f>
        <v/>
      </c>
      <c r="JQ15" s="121" t="str">
        <f>IF(ISBLANK(tbl_task1[[คะแนนเต็ม]:[คะแนนเต็ม]]),"",(tbl_task1[107]/tbl_task1[[คะแนนเต็ม]:[คะแนนเต็ม]])*tbl_task1[[%]:[%]])</f>
        <v/>
      </c>
      <c r="JR15" s="121" t="str">
        <f>IF(ISBLANK(tbl_task1[[คะแนนเต็ม]:[คะแนนเต็ม]]),"",(tbl_task1[108]/tbl_task1[[คะแนนเต็ม]:[คะแนนเต็ม]])*tbl_task1[[%]:[%]])</f>
        <v/>
      </c>
      <c r="JS15" s="121" t="str">
        <f>IF(ISBLANK(tbl_task1[[คะแนนเต็ม]:[คะแนนเต็ม]]),"",(tbl_task1[109]/tbl_task1[[คะแนนเต็ม]:[คะแนนเต็ม]])*tbl_task1[[%]:[%]])</f>
        <v/>
      </c>
      <c r="JT15" s="121" t="str">
        <f>IF(ISBLANK(tbl_task1[[คะแนนเต็ม]:[คะแนนเต็ม]]),"",(tbl_task1[110]/tbl_task1[[คะแนนเต็ม]:[คะแนนเต็ม]])*tbl_task1[[%]:[%]])</f>
        <v/>
      </c>
      <c r="JU15" s="121" t="str">
        <f>IF(ISBLANK(tbl_task1[[คะแนนเต็ม]:[คะแนนเต็ม]]),"",(tbl_task1[111]/tbl_task1[[คะแนนเต็ม]:[คะแนนเต็ม]])*tbl_task1[[%]:[%]])</f>
        <v/>
      </c>
      <c r="JV15" s="121" t="str">
        <f>IF(ISBLANK(tbl_task1[[คะแนนเต็ม]:[คะแนนเต็ม]]),"",(tbl_task1[112]/tbl_task1[[คะแนนเต็ม]:[คะแนนเต็ม]])*tbl_task1[[%]:[%]])</f>
        <v/>
      </c>
      <c r="JW15" s="121" t="str">
        <f>IF(ISBLANK(tbl_task1[[คะแนนเต็ม]:[คะแนนเต็ม]]),"",(tbl_task1[113]/tbl_task1[[คะแนนเต็ม]:[คะแนนเต็ม]])*tbl_task1[[%]:[%]])</f>
        <v/>
      </c>
      <c r="JX15" s="121" t="str">
        <f>IF(ISBLANK(tbl_task1[[คะแนนเต็ม]:[คะแนนเต็ม]]),"",(tbl_task1[114]/tbl_task1[[คะแนนเต็ม]:[คะแนนเต็ม]])*tbl_task1[[%]:[%]])</f>
        <v/>
      </c>
      <c r="JY15" s="121" t="str">
        <f>IF(ISBLANK(tbl_task1[[คะแนนเต็ม]:[คะแนนเต็ม]]),"",(tbl_task1[115]/tbl_task1[[คะแนนเต็ม]:[คะแนนเต็ม]])*tbl_task1[[%]:[%]])</f>
        <v/>
      </c>
      <c r="JZ15" s="121" t="str">
        <f>IF(ISBLANK(tbl_task1[[คะแนนเต็ม]:[คะแนนเต็ม]]),"",(tbl_task1[116]/tbl_task1[[คะแนนเต็ม]:[คะแนนเต็ม]])*tbl_task1[[%]:[%]])</f>
        <v/>
      </c>
      <c r="KA15" s="121" t="str">
        <f>IF(ISBLANK(tbl_task1[[คะแนนเต็ม]:[คะแนนเต็ม]]),"",(tbl_task1[117]/tbl_task1[[คะแนนเต็ม]:[คะแนนเต็ม]])*tbl_task1[[%]:[%]])</f>
        <v/>
      </c>
      <c r="KB15" s="121" t="str">
        <f>IF(ISBLANK(tbl_task1[[คะแนนเต็ม]:[คะแนนเต็ม]]),"",(tbl_task1[118]/tbl_task1[[คะแนนเต็ม]:[คะแนนเต็ม]])*tbl_task1[[%]:[%]])</f>
        <v/>
      </c>
      <c r="KC15" s="121" t="str">
        <f>IF(ISBLANK(tbl_task1[[คะแนนเต็ม]:[คะแนนเต็ม]]),"",(tbl_task1[119]/tbl_task1[[คะแนนเต็ม]:[คะแนนเต็ม]])*tbl_task1[[%]:[%]])</f>
        <v/>
      </c>
      <c r="KD15" s="121" t="str">
        <f>IF(ISBLANK(tbl_task1[[คะแนนเต็ม]:[คะแนนเต็ม]]),"",(tbl_task1[120]/tbl_task1[[คะแนนเต็ม]:[คะแนนเต็ม]])*tbl_task1[[%]:[%]])</f>
        <v/>
      </c>
      <c r="KE15" s="121" t="str">
        <f>IF(ISBLANK(tbl_task1[[คะแนนเต็ม]:[คะแนนเต็ม]]),"",(tbl_task1[121]/tbl_task1[[คะแนนเต็ม]:[คะแนนเต็ม]])*tbl_task1[[%]:[%]])</f>
        <v/>
      </c>
      <c r="KF15" s="121" t="str">
        <f>IF(ISBLANK(tbl_task1[[คะแนนเต็ม]:[คะแนนเต็ม]]),"",(tbl_task1[122]/tbl_task1[[คะแนนเต็ม]:[คะแนนเต็ม]])*tbl_task1[[%]:[%]])</f>
        <v/>
      </c>
      <c r="KG15" s="121" t="str">
        <f>IF(ISBLANK(tbl_task1[[คะแนนเต็ม]:[คะแนนเต็ม]]),"",(tbl_task1[123]/tbl_task1[[คะแนนเต็ม]:[คะแนนเต็ม]])*tbl_task1[[%]:[%]])</f>
        <v/>
      </c>
      <c r="KH15" s="121" t="str">
        <f>IF(ISBLANK(tbl_task1[[คะแนนเต็ม]:[คะแนนเต็ม]]),"",(tbl_task1[124]/tbl_task1[[คะแนนเต็ม]:[คะแนนเต็ม]])*tbl_task1[[%]:[%]])</f>
        <v/>
      </c>
      <c r="KI15" s="121" t="str">
        <f>IF(ISBLANK(tbl_task1[[คะแนนเต็ม]:[คะแนนเต็ม]]),"",(tbl_task1[125]/tbl_task1[[คะแนนเต็ม]:[คะแนนเต็ม]])*tbl_task1[[%]:[%]])</f>
        <v/>
      </c>
      <c r="KJ15" s="121" t="str">
        <f>IF(ISBLANK(tbl_task1[[คะแนนเต็ม]:[คะแนนเต็ม]]),"",(tbl_task1[126]/tbl_task1[[คะแนนเต็ม]:[คะแนนเต็ม]])*tbl_task1[[%]:[%]])</f>
        <v/>
      </c>
      <c r="KK15" s="121" t="str">
        <f>IF(ISBLANK(tbl_task1[[คะแนนเต็ม]:[คะแนนเต็ม]]),"",(tbl_task1[127]/tbl_task1[[คะแนนเต็ม]:[คะแนนเต็ม]])*tbl_task1[[%]:[%]])</f>
        <v/>
      </c>
      <c r="KL15" s="121" t="str">
        <f>IF(ISBLANK(tbl_task1[[คะแนนเต็ม]:[คะแนนเต็ม]]),"",(tbl_task1[128]/tbl_task1[[คะแนนเต็ม]:[คะแนนเต็ม]])*tbl_task1[[%]:[%]])</f>
        <v/>
      </c>
      <c r="KM15" s="121" t="str">
        <f>IF(ISBLANK(tbl_task1[[คะแนนเต็ม]:[คะแนนเต็ม]]),"",(tbl_task1[129]/tbl_task1[[คะแนนเต็ม]:[คะแนนเต็ม]])*tbl_task1[[%]:[%]])</f>
        <v/>
      </c>
      <c r="KN15" s="121" t="str">
        <f>IF(ISBLANK(tbl_task1[[คะแนนเต็ม]:[คะแนนเต็ม]]),"",(tbl_task1[130]/tbl_task1[[คะแนนเต็ม]:[คะแนนเต็ม]])*tbl_task1[[%]:[%]])</f>
        <v/>
      </c>
      <c r="KO15" s="121" t="str">
        <f>IF(ISBLANK(tbl_task1[[คะแนนเต็ม]:[คะแนนเต็ม]]),"",(tbl_task1[131]/tbl_task1[[คะแนนเต็ม]:[คะแนนเต็ม]])*tbl_task1[[%]:[%]])</f>
        <v/>
      </c>
      <c r="KP15" s="121" t="str">
        <f>IF(ISBLANK(tbl_task1[[คะแนนเต็ม]:[คะแนนเต็ม]]),"",(tbl_task1[132]/tbl_task1[[คะแนนเต็ม]:[คะแนนเต็ม]])*tbl_task1[[%]:[%]])</f>
        <v/>
      </c>
      <c r="KQ15" s="121" t="str">
        <f>IF(ISBLANK(tbl_task1[[คะแนนเต็ม]:[คะแนนเต็ม]]),"",(tbl_task1[133]/tbl_task1[[คะแนนเต็ม]:[คะแนนเต็ม]])*tbl_task1[[%]:[%]])</f>
        <v/>
      </c>
      <c r="KR15" s="121" t="str">
        <f>IF(ISBLANK(tbl_task1[[คะแนนเต็ม]:[คะแนนเต็ม]]),"",(tbl_task1[134]/tbl_task1[[คะแนนเต็ม]:[คะแนนเต็ม]])*tbl_task1[[%]:[%]])</f>
        <v/>
      </c>
      <c r="KS15" s="121" t="str">
        <f>IF(ISBLANK(tbl_task1[[คะแนนเต็ม]:[คะแนนเต็ม]]),"",(tbl_task1[135]/tbl_task1[[คะแนนเต็ม]:[คะแนนเต็ม]])*tbl_task1[[%]:[%]])</f>
        <v/>
      </c>
      <c r="KT15" s="121" t="str">
        <f>IF(ISBLANK(tbl_task1[[คะแนนเต็ม]:[คะแนนเต็ม]]),"",(tbl_task1[136]/tbl_task1[[คะแนนเต็ม]:[คะแนนเต็ม]])*tbl_task1[[%]:[%]])</f>
        <v/>
      </c>
      <c r="KU15" s="121" t="str">
        <f>IF(ISBLANK(tbl_task1[[คะแนนเต็ม]:[คะแนนเต็ม]]),"",(tbl_task1[137]/tbl_task1[[คะแนนเต็ม]:[คะแนนเต็ม]])*tbl_task1[[%]:[%]])</f>
        <v/>
      </c>
      <c r="KV15" s="121" t="str">
        <f>IF(ISBLANK(tbl_task1[[คะแนนเต็ม]:[คะแนนเต็ม]]),"",(tbl_task1[138]/tbl_task1[[คะแนนเต็ม]:[คะแนนเต็ม]])*tbl_task1[[%]:[%]])</f>
        <v/>
      </c>
      <c r="KW15" s="121" t="str">
        <f>IF(ISBLANK(tbl_task1[[คะแนนเต็ม]:[คะแนนเต็ม]]),"",(tbl_task1[139]/tbl_task1[[คะแนนเต็ม]:[คะแนนเต็ม]])*tbl_task1[[%]:[%]])</f>
        <v/>
      </c>
      <c r="KX15" s="121" t="str">
        <f>IF(ISBLANK(tbl_task1[[คะแนนเต็ม]:[คะแนนเต็ม]]),"",(tbl_task1[140]/tbl_task1[[คะแนนเต็ม]:[คะแนนเต็ม]])*tbl_task1[[%]:[%]])</f>
        <v/>
      </c>
      <c r="KY15" s="121" t="str">
        <f>IF(ISBLANK(tbl_task1[[คะแนนเต็ม]:[คะแนนเต็ม]]),"",(tbl_task1[141]/tbl_task1[[คะแนนเต็ม]:[คะแนนเต็ม]])*tbl_task1[[%]:[%]])</f>
        <v/>
      </c>
      <c r="KZ15" s="121" t="str">
        <f>IF(ISBLANK(tbl_task1[[คะแนนเต็ม]:[คะแนนเต็ม]]),"",(tbl_task1[142]/tbl_task1[[คะแนนเต็ม]:[คะแนนเต็ม]])*tbl_task1[[%]:[%]])</f>
        <v/>
      </c>
      <c r="LA15" s="121" t="str">
        <f>IF(ISBLANK(tbl_task1[[คะแนนเต็ม]:[คะแนนเต็ม]]),"",(tbl_task1[143]/tbl_task1[[คะแนนเต็ม]:[คะแนนเต็ม]])*tbl_task1[[%]:[%]])</f>
        <v/>
      </c>
      <c r="LB15" s="121" t="str">
        <f>IF(ISBLANK(tbl_task1[[คะแนนเต็ม]:[คะแนนเต็ม]]),"",(tbl_task1[144]/tbl_task1[[คะแนนเต็ม]:[คะแนนเต็ม]])*tbl_task1[[%]:[%]])</f>
        <v/>
      </c>
      <c r="LC15" s="121" t="str">
        <f>IF(ISBLANK(tbl_task1[[คะแนนเต็ม]:[คะแนนเต็ม]]),"",(tbl_task1[145]/tbl_task1[[คะแนนเต็ม]:[คะแนนเต็ม]])*tbl_task1[[%]:[%]])</f>
        <v/>
      </c>
      <c r="LD15" s="121" t="str">
        <f>IF(ISBLANK(tbl_task1[[คะแนนเต็ม]:[คะแนนเต็ม]]),"",(tbl_task1[146]/tbl_task1[[คะแนนเต็ม]:[คะแนนเต็ม]])*tbl_task1[[%]:[%]])</f>
        <v/>
      </c>
      <c r="LE15" s="121" t="str">
        <f>IF(ISBLANK(tbl_task1[[คะแนนเต็ม]:[คะแนนเต็ม]]),"",(tbl_task1[147]/tbl_task1[[คะแนนเต็ม]:[คะแนนเต็ม]])*tbl_task1[[%]:[%]])</f>
        <v/>
      </c>
      <c r="LF15" s="121" t="str">
        <f>IF(ISBLANK(tbl_task1[[คะแนนเต็ม]:[คะแนนเต็ม]]),"",(tbl_task1[148]/tbl_task1[[คะแนนเต็ม]:[คะแนนเต็ม]])*tbl_task1[[%]:[%]])</f>
        <v/>
      </c>
      <c r="LG15" s="121" t="str">
        <f>IF(ISBLANK(tbl_task1[[คะแนนเต็ม]:[คะแนนเต็ม]]),"",(tbl_task1[149]/tbl_task1[[คะแนนเต็ม]:[คะแนนเต็ม]])*tbl_task1[[%]:[%]])</f>
        <v/>
      </c>
      <c r="LH15" s="121" t="str">
        <f>IF(ISBLANK(tbl_task1[[คะแนนเต็ม]:[คะแนนเต็ม]]),"",(tbl_task1[150]/tbl_task1[[คะแนนเต็ม]:[คะแนนเต็ม]])*tbl_task1[[%]:[%]])</f>
        <v/>
      </c>
      <c r="LI15" s="121" t="str">
        <f>IF(ISBLANK(tbl_task1[[คะแนนเต็ม]:[คะแนนเต็ม]]),"",(tbl_task1[151]/tbl_task1[[คะแนนเต็ม]:[คะแนนเต็ม]])*tbl_task1[[%]:[%]])</f>
        <v/>
      </c>
      <c r="LJ15" s="121" t="str">
        <f>IF(ISBLANK(tbl_task1[[คะแนนเต็ม]:[คะแนนเต็ม]]),"",(tbl_task1[152]/tbl_task1[[คะแนนเต็ม]:[คะแนนเต็ม]])*tbl_task1[[%]:[%]])</f>
        <v/>
      </c>
      <c r="LK15" s="121" t="str">
        <f>IF(ISBLANK(tbl_task1[[คะแนนเต็ม]:[คะแนนเต็ม]]),"",(tbl_task1[153]/tbl_task1[[คะแนนเต็ม]:[คะแนนเต็ม]])*tbl_task1[[%]:[%]])</f>
        <v/>
      </c>
      <c r="LL15" s="121" t="str">
        <f>IF(ISBLANK(tbl_task1[[คะแนนเต็ม]:[คะแนนเต็ม]]),"",(tbl_task1[154]/tbl_task1[[คะแนนเต็ม]:[คะแนนเต็ม]])*tbl_task1[[%]:[%]])</f>
        <v/>
      </c>
      <c r="LM15" s="121" t="str">
        <f>IF(ISBLANK(tbl_task1[[คะแนนเต็ม]:[คะแนนเต็ม]]),"",(tbl_task1[155]/tbl_task1[[คะแนนเต็ม]:[คะแนนเต็ม]])*tbl_task1[[%]:[%]])</f>
        <v/>
      </c>
      <c r="LN15" s="121" t="str">
        <f>IF(ISBLANK(tbl_task1[[คะแนนเต็ม]:[คะแนนเต็ม]]),"",(tbl_task1[156]/tbl_task1[[คะแนนเต็ม]:[คะแนนเต็ม]])*tbl_task1[[%]:[%]])</f>
        <v/>
      </c>
      <c r="LO15" s="121" t="str">
        <f>IF(ISBLANK(tbl_task1[[คะแนนเต็ม]:[คะแนนเต็ม]]),"",(tbl_task1[157]/tbl_task1[[คะแนนเต็ม]:[คะแนนเต็ม]])*tbl_task1[[%]:[%]])</f>
        <v/>
      </c>
      <c r="LP15" s="121" t="str">
        <f>IF(ISBLANK(tbl_task1[[คะแนนเต็ม]:[คะแนนเต็ม]]),"",(tbl_task1[158]/tbl_task1[[คะแนนเต็ม]:[คะแนนเต็ม]])*tbl_task1[[%]:[%]])</f>
        <v/>
      </c>
      <c r="LQ15" s="121" t="str">
        <f>IF(ISBLANK(tbl_task1[[คะแนนเต็ม]:[คะแนนเต็ม]]),"",(tbl_task1[159]/tbl_task1[[คะแนนเต็ม]:[คะแนนเต็ม]])*tbl_task1[[%]:[%]])</f>
        <v/>
      </c>
      <c r="LR15" s="121" t="str">
        <f>IF(ISBLANK(tbl_task1[[คะแนนเต็ม]:[คะแนนเต็ม]]),"",(tbl_task1[160]/tbl_task1[[คะแนนเต็ม]:[คะแนนเต็ม]])*tbl_task1[[%]:[%]])</f>
        <v/>
      </c>
      <c r="LS15" s="121" t="str">
        <f>IF(ISBLANK(tbl_task1[[คะแนนเต็ม]:[คะแนนเต็ม]]),"",(tbl_task1[161]/tbl_task1[[คะแนนเต็ม]:[คะแนนเต็ม]])*tbl_task1[[%]:[%]])</f>
        <v/>
      </c>
      <c r="LT15" s="121" t="str">
        <f>IF(ISBLANK(tbl_task1[[คะแนนเต็ม]:[คะแนนเต็ม]]),"",(tbl_task1[162]/tbl_task1[[คะแนนเต็ม]:[คะแนนเต็ม]])*tbl_task1[[%]:[%]])</f>
        <v/>
      </c>
      <c r="LU15" s="121" t="str">
        <f>IF(ISBLANK(tbl_task1[[คะแนนเต็ม]:[คะแนนเต็ม]]),"",(tbl_task1[163]/tbl_task1[[คะแนนเต็ม]:[คะแนนเต็ม]])*tbl_task1[[%]:[%]])</f>
        <v/>
      </c>
      <c r="LV15" s="121" t="str">
        <f>IF(ISBLANK(tbl_task1[[คะแนนเต็ม]:[คะแนนเต็ม]]),"",(tbl_task1[164]/tbl_task1[[คะแนนเต็ม]:[คะแนนเต็ม]])*tbl_task1[[%]:[%]])</f>
        <v/>
      </c>
      <c r="LW15" s="121" t="str">
        <f>IF(ISBLANK(tbl_task1[[คะแนนเต็ม]:[คะแนนเต็ม]]),"",(tbl_task1[165]/tbl_task1[[คะแนนเต็ม]:[คะแนนเต็ม]])*tbl_task1[[%]:[%]])</f>
        <v/>
      </c>
    </row>
    <row r="16" spans="1:335" ht="24" customHeight="1" x14ac:dyDescent="0.25">
      <c r="A16" s="24">
        <v>13</v>
      </c>
      <c r="B16" s="20"/>
      <c r="C16" s="5" t="str">
        <f>IF(ISBLANK(B16),"",VLOOKUP(B16,tbl_PLOs[],2,0))</f>
        <v/>
      </c>
      <c r="D16" s="102"/>
      <c r="E16" s="106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121" t="str">
        <f>IF(ISBLANK(tbl_task1[[คะแนนเต็ม]:[คะแนนเต็ม]]),"",(tbl_task1[1]/tbl_task1[[คะแนนเต็ม]:[คะแนนเต็ม]])*tbl_task1[[%]:[%]])</f>
        <v/>
      </c>
      <c r="FP16" s="121" t="str">
        <f>IF(ISBLANK(tbl_task1[[คะแนนเต็ม]:[คะแนนเต็ม]]),"",(tbl_task1[2]/tbl_task1[[คะแนนเต็ม]:[คะแนนเต็ม]])*tbl_task1[[%]:[%]])</f>
        <v/>
      </c>
      <c r="FQ16" s="121" t="str">
        <f>IF(ISBLANK(tbl_task1[[คะแนนเต็ม]:[คะแนนเต็ม]]),"",(tbl_task1[3]/tbl_task1[[คะแนนเต็ม]:[คะแนนเต็ม]])*tbl_task1[[%]:[%]])</f>
        <v/>
      </c>
      <c r="FR16" s="121" t="str">
        <f>IF(ISBLANK(tbl_task1[[คะแนนเต็ม]:[คะแนนเต็ม]]),"",(tbl_task1[4]/tbl_task1[[คะแนนเต็ม]:[คะแนนเต็ม]])*tbl_task1[[%]:[%]])</f>
        <v/>
      </c>
      <c r="FS16" s="121" t="str">
        <f>IF(ISBLANK(tbl_task1[[คะแนนเต็ม]:[คะแนนเต็ม]]),"",(tbl_task1[5]/tbl_task1[[คะแนนเต็ม]:[คะแนนเต็ม]])*tbl_task1[[%]:[%]])</f>
        <v/>
      </c>
      <c r="FT16" s="121" t="str">
        <f>IF(ISBLANK(tbl_task1[[คะแนนเต็ม]:[คะแนนเต็ม]]),"",(tbl_task1[6]/tbl_task1[[คะแนนเต็ม]:[คะแนนเต็ม]])*tbl_task1[[%]:[%]])</f>
        <v/>
      </c>
      <c r="FU16" s="121" t="str">
        <f>IF(ISBLANK(tbl_task1[[คะแนนเต็ม]:[คะแนนเต็ม]]),"",(tbl_task1[7]/tbl_task1[[คะแนนเต็ม]:[คะแนนเต็ม]])*tbl_task1[[%]:[%]])</f>
        <v/>
      </c>
      <c r="FV16" s="121" t="str">
        <f>IF(ISBLANK(tbl_task1[[คะแนนเต็ม]:[คะแนนเต็ม]]),"",(tbl_task1[8]/tbl_task1[[คะแนนเต็ม]:[คะแนนเต็ม]])*tbl_task1[[%]:[%]])</f>
        <v/>
      </c>
      <c r="FW16" s="121" t="str">
        <f>IF(ISBLANK(tbl_task1[[คะแนนเต็ม]:[คะแนนเต็ม]]),"",(tbl_task1[9]/tbl_task1[[คะแนนเต็ม]:[คะแนนเต็ม]])*tbl_task1[[%]:[%]])</f>
        <v/>
      </c>
      <c r="FX16" s="121" t="str">
        <f>IF(ISBLANK(tbl_task1[[คะแนนเต็ม]:[คะแนนเต็ม]]),"",(tbl_task1[10]/tbl_task1[[คะแนนเต็ม]:[คะแนนเต็ม]])*tbl_task1[[%]:[%]])</f>
        <v/>
      </c>
      <c r="FY16" s="121" t="str">
        <f>IF(ISBLANK(tbl_task1[[คะแนนเต็ม]:[คะแนนเต็ม]]),"",(tbl_task1[11]/tbl_task1[[คะแนนเต็ม]:[คะแนนเต็ม]])*tbl_task1[[%]:[%]])</f>
        <v/>
      </c>
      <c r="FZ16" s="121" t="str">
        <f>IF(ISBLANK(tbl_task1[[คะแนนเต็ม]:[คะแนนเต็ม]]),"",(tbl_task1[12]/tbl_task1[[คะแนนเต็ม]:[คะแนนเต็ม]])*tbl_task1[[%]:[%]])</f>
        <v/>
      </c>
      <c r="GA16" s="121" t="str">
        <f>IF(ISBLANK(tbl_task1[[คะแนนเต็ม]:[คะแนนเต็ม]]),"",(tbl_task1[13]/tbl_task1[[คะแนนเต็ม]:[คะแนนเต็ม]])*tbl_task1[[%]:[%]])</f>
        <v/>
      </c>
      <c r="GB16" s="121" t="str">
        <f>IF(ISBLANK(tbl_task1[[คะแนนเต็ม]:[คะแนนเต็ม]]),"",(tbl_task1[14]/tbl_task1[[คะแนนเต็ม]:[คะแนนเต็ม]])*tbl_task1[[%]:[%]])</f>
        <v/>
      </c>
      <c r="GC16" s="121" t="str">
        <f>IF(ISBLANK(tbl_task1[[คะแนนเต็ม]:[คะแนนเต็ม]]),"",(tbl_task1[15]/tbl_task1[[คะแนนเต็ม]:[คะแนนเต็ม]])*tbl_task1[[%]:[%]])</f>
        <v/>
      </c>
      <c r="GD16" s="121" t="str">
        <f>IF(ISBLANK(tbl_task1[[คะแนนเต็ม]:[คะแนนเต็ม]]),"",(tbl_task1[16]/tbl_task1[[คะแนนเต็ม]:[คะแนนเต็ม]])*tbl_task1[[%]:[%]])</f>
        <v/>
      </c>
      <c r="GE16" s="121" t="str">
        <f>IF(ISBLANK(tbl_task1[[คะแนนเต็ม]:[คะแนนเต็ม]]),"",(tbl_task1[17]/tbl_task1[[คะแนนเต็ม]:[คะแนนเต็ม]])*tbl_task1[[%]:[%]])</f>
        <v/>
      </c>
      <c r="GF16" s="121" t="str">
        <f>IF(ISBLANK(tbl_task1[[คะแนนเต็ม]:[คะแนนเต็ม]]),"",(tbl_task1[18]/tbl_task1[[คะแนนเต็ม]:[คะแนนเต็ม]])*tbl_task1[[%]:[%]])</f>
        <v/>
      </c>
      <c r="GG16" s="121" t="str">
        <f>IF(ISBLANK(tbl_task1[[คะแนนเต็ม]:[คะแนนเต็ม]]),"",(tbl_task1[19]/tbl_task1[[คะแนนเต็ม]:[คะแนนเต็ม]])*tbl_task1[[%]:[%]])</f>
        <v/>
      </c>
      <c r="GH16" s="121" t="str">
        <f>IF(ISBLANK(tbl_task1[[คะแนนเต็ม]:[คะแนนเต็ม]]),"",(tbl_task1[20]/tbl_task1[[คะแนนเต็ม]:[คะแนนเต็ม]])*tbl_task1[[%]:[%]])</f>
        <v/>
      </c>
      <c r="GI16" s="121" t="str">
        <f>IF(ISBLANK(tbl_task1[[คะแนนเต็ม]:[คะแนนเต็ม]]),"",(tbl_task1[21]/tbl_task1[[คะแนนเต็ม]:[คะแนนเต็ม]])*tbl_task1[[%]:[%]])</f>
        <v/>
      </c>
      <c r="GJ16" s="121" t="str">
        <f>IF(ISBLANK(tbl_task1[[คะแนนเต็ม]:[คะแนนเต็ม]]),"",(tbl_task1[22]/tbl_task1[[คะแนนเต็ม]:[คะแนนเต็ม]])*tbl_task1[[%]:[%]])</f>
        <v/>
      </c>
      <c r="GK16" s="121" t="str">
        <f>IF(ISBLANK(tbl_task1[[คะแนนเต็ม]:[คะแนนเต็ม]]),"",(tbl_task1[23]/tbl_task1[[คะแนนเต็ม]:[คะแนนเต็ม]])*tbl_task1[[%]:[%]])</f>
        <v/>
      </c>
      <c r="GL16" s="121" t="str">
        <f>IF(ISBLANK(tbl_task1[[คะแนนเต็ม]:[คะแนนเต็ม]]),"",(tbl_task1[24]/tbl_task1[[คะแนนเต็ม]:[คะแนนเต็ม]])*tbl_task1[[%]:[%]])</f>
        <v/>
      </c>
      <c r="GM16" s="121" t="str">
        <f>IF(ISBLANK(tbl_task1[[คะแนนเต็ม]:[คะแนนเต็ม]]),"",(tbl_task1[25]/tbl_task1[[คะแนนเต็ม]:[คะแนนเต็ม]])*tbl_task1[[%]:[%]])</f>
        <v/>
      </c>
      <c r="GN16" s="121" t="str">
        <f>IF(ISBLANK(tbl_task1[[คะแนนเต็ม]:[คะแนนเต็ม]]),"",(tbl_task1[26]/tbl_task1[[คะแนนเต็ม]:[คะแนนเต็ม]])*tbl_task1[[%]:[%]])</f>
        <v/>
      </c>
      <c r="GO16" s="121" t="str">
        <f>IF(ISBLANK(tbl_task1[[คะแนนเต็ม]:[คะแนนเต็ม]]),"",(tbl_task1[27]/tbl_task1[[คะแนนเต็ม]:[คะแนนเต็ม]])*tbl_task1[[%]:[%]])</f>
        <v/>
      </c>
      <c r="GP16" s="121" t="str">
        <f>IF(ISBLANK(tbl_task1[[คะแนนเต็ม]:[คะแนนเต็ม]]),"",(tbl_task1[28]/tbl_task1[[คะแนนเต็ม]:[คะแนนเต็ม]])*tbl_task1[[%]:[%]])</f>
        <v/>
      </c>
      <c r="GQ16" s="121" t="str">
        <f>IF(ISBLANK(tbl_task1[[คะแนนเต็ม]:[คะแนนเต็ม]]),"",(tbl_task1[29]/tbl_task1[[คะแนนเต็ม]:[คะแนนเต็ม]])*tbl_task1[[%]:[%]])</f>
        <v/>
      </c>
      <c r="GR16" s="121" t="str">
        <f>IF(ISBLANK(tbl_task1[[คะแนนเต็ม]:[คะแนนเต็ม]]),"",(tbl_task1[30]/tbl_task1[[คะแนนเต็ม]:[คะแนนเต็ม]])*tbl_task1[[%]:[%]])</f>
        <v/>
      </c>
      <c r="GS16" s="121" t="str">
        <f>IF(ISBLANK(tbl_task1[[คะแนนเต็ม]:[คะแนนเต็ม]]),"",(tbl_task1[31]/tbl_task1[[คะแนนเต็ม]:[คะแนนเต็ม]])*tbl_task1[[%]:[%]])</f>
        <v/>
      </c>
      <c r="GT16" s="121" t="str">
        <f>IF(ISBLANK(tbl_task1[[คะแนนเต็ม]:[คะแนนเต็ม]]),"",(tbl_task1[32]/tbl_task1[[คะแนนเต็ม]:[คะแนนเต็ม]])*tbl_task1[[%]:[%]])</f>
        <v/>
      </c>
      <c r="GU16" s="121" t="str">
        <f>IF(ISBLANK(tbl_task1[[คะแนนเต็ม]:[คะแนนเต็ม]]),"",(tbl_task1[33]/tbl_task1[[คะแนนเต็ม]:[คะแนนเต็ม]])*tbl_task1[[%]:[%]])</f>
        <v/>
      </c>
      <c r="GV16" s="121" t="str">
        <f>IF(ISBLANK(tbl_task1[[คะแนนเต็ม]:[คะแนนเต็ม]]),"",(tbl_task1[34]/tbl_task1[[คะแนนเต็ม]:[คะแนนเต็ม]])*tbl_task1[[%]:[%]])</f>
        <v/>
      </c>
      <c r="GW16" s="121" t="str">
        <f>IF(ISBLANK(tbl_task1[[คะแนนเต็ม]:[คะแนนเต็ม]]),"",(tbl_task1[35]/tbl_task1[[คะแนนเต็ม]:[คะแนนเต็ม]])*tbl_task1[[%]:[%]])</f>
        <v/>
      </c>
      <c r="GX16" s="121" t="str">
        <f>IF(ISBLANK(tbl_task1[[คะแนนเต็ม]:[คะแนนเต็ม]]),"",(tbl_task1[36]/tbl_task1[[คะแนนเต็ม]:[คะแนนเต็ม]])*tbl_task1[[%]:[%]])</f>
        <v/>
      </c>
      <c r="GY16" s="121" t="str">
        <f>IF(ISBLANK(tbl_task1[[คะแนนเต็ม]:[คะแนนเต็ม]]),"",(tbl_task1[37]/tbl_task1[[คะแนนเต็ม]:[คะแนนเต็ม]])*tbl_task1[[%]:[%]])</f>
        <v/>
      </c>
      <c r="GZ16" s="121" t="str">
        <f>IF(ISBLANK(tbl_task1[[คะแนนเต็ม]:[คะแนนเต็ม]]),"",(tbl_task1[38]/tbl_task1[[คะแนนเต็ม]:[คะแนนเต็ม]])*tbl_task1[[%]:[%]])</f>
        <v/>
      </c>
      <c r="HA16" s="121" t="str">
        <f>IF(ISBLANK(tbl_task1[[คะแนนเต็ม]:[คะแนนเต็ม]]),"",(tbl_task1[39]/tbl_task1[[คะแนนเต็ม]:[คะแนนเต็ม]])*tbl_task1[[%]:[%]])</f>
        <v/>
      </c>
      <c r="HB16" s="121" t="str">
        <f>IF(ISBLANK(tbl_task1[[คะแนนเต็ม]:[คะแนนเต็ม]]),"",(tbl_task1[40]/tbl_task1[[คะแนนเต็ม]:[คะแนนเต็ม]])*tbl_task1[[%]:[%]])</f>
        <v/>
      </c>
      <c r="HC16" s="121" t="str">
        <f>IF(ISBLANK(tbl_task1[[คะแนนเต็ม]:[คะแนนเต็ม]]),"",(tbl_task1[41]/tbl_task1[[คะแนนเต็ม]:[คะแนนเต็ม]])*tbl_task1[[%]:[%]])</f>
        <v/>
      </c>
      <c r="HD16" s="121" t="str">
        <f>IF(ISBLANK(tbl_task1[[คะแนนเต็ม]:[คะแนนเต็ม]]),"",(tbl_task1[42]/tbl_task1[[คะแนนเต็ม]:[คะแนนเต็ม]])*tbl_task1[[%]:[%]])</f>
        <v/>
      </c>
      <c r="HE16" s="121" t="str">
        <f>IF(ISBLANK(tbl_task1[[คะแนนเต็ม]:[คะแนนเต็ม]]),"",(tbl_task1[43]/tbl_task1[[คะแนนเต็ม]:[คะแนนเต็ม]])*tbl_task1[[%]:[%]])</f>
        <v/>
      </c>
      <c r="HF16" s="121" t="str">
        <f>IF(ISBLANK(tbl_task1[[คะแนนเต็ม]:[คะแนนเต็ม]]),"",(tbl_task1[44]/tbl_task1[[คะแนนเต็ม]:[คะแนนเต็ม]])*tbl_task1[[%]:[%]])</f>
        <v/>
      </c>
      <c r="HG16" s="121" t="str">
        <f>IF(ISBLANK(tbl_task1[[คะแนนเต็ม]:[คะแนนเต็ม]]),"",(tbl_task1[45]/tbl_task1[[คะแนนเต็ม]:[คะแนนเต็ม]])*tbl_task1[[%]:[%]])</f>
        <v/>
      </c>
      <c r="HH16" s="121" t="str">
        <f>IF(ISBLANK(tbl_task1[[คะแนนเต็ม]:[คะแนนเต็ม]]),"",(tbl_task1[46]/tbl_task1[[คะแนนเต็ม]:[คะแนนเต็ม]])*tbl_task1[[%]:[%]])</f>
        <v/>
      </c>
      <c r="HI16" s="121" t="str">
        <f>IF(ISBLANK(tbl_task1[[คะแนนเต็ม]:[คะแนนเต็ม]]),"",(tbl_task1[47]/tbl_task1[[คะแนนเต็ม]:[คะแนนเต็ม]])*tbl_task1[[%]:[%]])</f>
        <v/>
      </c>
      <c r="HJ16" s="121" t="str">
        <f>IF(ISBLANK(tbl_task1[[คะแนนเต็ม]:[คะแนนเต็ม]]),"",(tbl_task1[48]/tbl_task1[[คะแนนเต็ม]:[คะแนนเต็ม]])*tbl_task1[[%]:[%]])</f>
        <v/>
      </c>
      <c r="HK16" s="121" t="str">
        <f>IF(ISBLANK(tbl_task1[[คะแนนเต็ม]:[คะแนนเต็ม]]),"",(tbl_task1[49]/tbl_task1[[คะแนนเต็ม]:[คะแนนเต็ม]])*tbl_task1[[%]:[%]])</f>
        <v/>
      </c>
      <c r="HL16" s="121" t="str">
        <f>IF(ISBLANK(tbl_task1[[คะแนนเต็ม]:[คะแนนเต็ม]]),"",(tbl_task1[50]/tbl_task1[[คะแนนเต็ม]:[คะแนนเต็ม]])*tbl_task1[[%]:[%]])</f>
        <v/>
      </c>
      <c r="HM16" s="121" t="str">
        <f>IF(ISBLANK(tbl_task1[[คะแนนเต็ม]:[คะแนนเต็ม]]),"",(tbl_task1[51]/tbl_task1[[คะแนนเต็ม]:[คะแนนเต็ม]])*tbl_task1[[%]:[%]])</f>
        <v/>
      </c>
      <c r="HN16" s="121" t="str">
        <f>IF(ISBLANK(tbl_task1[[คะแนนเต็ม]:[คะแนนเต็ม]]),"",(tbl_task1[52]/tbl_task1[[คะแนนเต็ม]:[คะแนนเต็ม]])*tbl_task1[[%]:[%]])</f>
        <v/>
      </c>
      <c r="HO16" s="121" t="str">
        <f>IF(ISBLANK(tbl_task1[[คะแนนเต็ม]:[คะแนนเต็ม]]),"",(tbl_task1[53]/tbl_task1[[คะแนนเต็ม]:[คะแนนเต็ม]])*tbl_task1[[%]:[%]])</f>
        <v/>
      </c>
      <c r="HP16" s="121" t="str">
        <f>IF(ISBLANK(tbl_task1[[คะแนนเต็ม]:[คะแนนเต็ม]]),"",(tbl_task1[54]/tbl_task1[[คะแนนเต็ม]:[คะแนนเต็ม]])*tbl_task1[[%]:[%]])</f>
        <v/>
      </c>
      <c r="HQ16" s="121" t="str">
        <f>IF(ISBLANK(tbl_task1[[คะแนนเต็ม]:[คะแนนเต็ม]]),"",(tbl_task1[55]/tbl_task1[[คะแนนเต็ม]:[คะแนนเต็ม]])*tbl_task1[[%]:[%]])</f>
        <v/>
      </c>
      <c r="HR16" s="121" t="str">
        <f>IF(ISBLANK(tbl_task1[[คะแนนเต็ม]:[คะแนนเต็ม]]),"",(tbl_task1[56]/tbl_task1[[คะแนนเต็ม]:[คะแนนเต็ม]])*tbl_task1[[%]:[%]])</f>
        <v/>
      </c>
      <c r="HS16" s="121" t="str">
        <f>IF(ISBLANK(tbl_task1[[คะแนนเต็ม]:[คะแนนเต็ม]]),"",(tbl_task1[57]/tbl_task1[[คะแนนเต็ม]:[คะแนนเต็ม]])*tbl_task1[[%]:[%]])</f>
        <v/>
      </c>
      <c r="HT16" s="121" t="str">
        <f>IF(ISBLANK(tbl_task1[[คะแนนเต็ม]:[คะแนนเต็ม]]),"",(tbl_task1[58]/tbl_task1[[คะแนนเต็ม]:[คะแนนเต็ม]])*tbl_task1[[%]:[%]])</f>
        <v/>
      </c>
      <c r="HU16" s="121" t="str">
        <f>IF(ISBLANK(tbl_task1[[คะแนนเต็ม]:[คะแนนเต็ม]]),"",(tbl_task1[59]/tbl_task1[[คะแนนเต็ม]:[คะแนนเต็ม]])*tbl_task1[[%]:[%]])</f>
        <v/>
      </c>
      <c r="HV16" s="121" t="str">
        <f>IF(ISBLANK(tbl_task1[[คะแนนเต็ม]:[คะแนนเต็ม]]),"",(tbl_task1[60]/tbl_task1[[คะแนนเต็ม]:[คะแนนเต็ม]])*tbl_task1[[%]:[%]])</f>
        <v/>
      </c>
      <c r="HW16" s="121" t="str">
        <f>IF(ISBLANK(tbl_task1[[คะแนนเต็ม]:[คะแนนเต็ม]]),"",(tbl_task1[61]/tbl_task1[[คะแนนเต็ม]:[คะแนนเต็ม]])*tbl_task1[[%]:[%]])</f>
        <v/>
      </c>
      <c r="HX16" s="121" t="str">
        <f>IF(ISBLANK(tbl_task1[[คะแนนเต็ม]:[คะแนนเต็ม]]),"",(tbl_task1[62]/tbl_task1[[คะแนนเต็ม]:[คะแนนเต็ม]])*tbl_task1[[%]:[%]])</f>
        <v/>
      </c>
      <c r="HY16" s="121" t="str">
        <f>IF(ISBLANK(tbl_task1[[คะแนนเต็ม]:[คะแนนเต็ม]]),"",(tbl_task1[63]/tbl_task1[[คะแนนเต็ม]:[คะแนนเต็ม]])*tbl_task1[[%]:[%]])</f>
        <v/>
      </c>
      <c r="HZ16" s="121" t="str">
        <f>IF(ISBLANK(tbl_task1[[คะแนนเต็ม]:[คะแนนเต็ม]]),"",(tbl_task1[64]/tbl_task1[[คะแนนเต็ม]:[คะแนนเต็ม]])*tbl_task1[[%]:[%]])</f>
        <v/>
      </c>
      <c r="IA16" s="121" t="str">
        <f>IF(ISBLANK(tbl_task1[[คะแนนเต็ม]:[คะแนนเต็ม]]),"",(tbl_task1[65]/tbl_task1[[คะแนนเต็ม]:[คะแนนเต็ม]])*tbl_task1[[%]:[%]])</f>
        <v/>
      </c>
      <c r="IB16" s="121" t="str">
        <f>IF(ISBLANK(tbl_task1[[คะแนนเต็ม]:[คะแนนเต็ม]]),"",(tbl_task1[66]/tbl_task1[[คะแนนเต็ม]:[คะแนนเต็ม]])*tbl_task1[[%]:[%]])</f>
        <v/>
      </c>
      <c r="IC16" s="121" t="str">
        <f>IF(ISBLANK(tbl_task1[[คะแนนเต็ม]:[คะแนนเต็ม]]),"",(tbl_task1[67]/tbl_task1[[คะแนนเต็ม]:[คะแนนเต็ม]])*tbl_task1[[%]:[%]])</f>
        <v/>
      </c>
      <c r="ID16" s="121" t="str">
        <f>IF(ISBLANK(tbl_task1[[คะแนนเต็ม]:[คะแนนเต็ม]]),"",(tbl_task1[68]/tbl_task1[[คะแนนเต็ม]:[คะแนนเต็ม]])*tbl_task1[[%]:[%]])</f>
        <v/>
      </c>
      <c r="IE16" s="121" t="str">
        <f>IF(ISBLANK(tbl_task1[[คะแนนเต็ม]:[คะแนนเต็ม]]),"",(tbl_task1[69]/tbl_task1[[คะแนนเต็ม]:[คะแนนเต็ม]])*tbl_task1[[%]:[%]])</f>
        <v/>
      </c>
      <c r="IF16" s="121" t="str">
        <f>IF(ISBLANK(tbl_task1[[คะแนนเต็ม]:[คะแนนเต็ม]]),"",(tbl_task1[70]/tbl_task1[[คะแนนเต็ม]:[คะแนนเต็ม]])*tbl_task1[[%]:[%]])</f>
        <v/>
      </c>
      <c r="IG16" s="121" t="str">
        <f>IF(ISBLANK(tbl_task1[[คะแนนเต็ม]:[คะแนนเต็ม]]),"",(tbl_task1[71]/tbl_task1[[คะแนนเต็ม]:[คะแนนเต็ม]])*tbl_task1[[%]:[%]])</f>
        <v/>
      </c>
      <c r="IH16" s="121" t="str">
        <f>IF(ISBLANK(tbl_task1[[คะแนนเต็ม]:[คะแนนเต็ม]]),"",(tbl_task1[72]/tbl_task1[[คะแนนเต็ม]:[คะแนนเต็ม]])*tbl_task1[[%]:[%]])</f>
        <v/>
      </c>
      <c r="II16" s="121" t="str">
        <f>IF(ISBLANK(tbl_task1[[คะแนนเต็ม]:[คะแนนเต็ม]]),"",(tbl_task1[73]/tbl_task1[[คะแนนเต็ม]:[คะแนนเต็ม]])*tbl_task1[[%]:[%]])</f>
        <v/>
      </c>
      <c r="IJ16" s="121" t="str">
        <f>IF(ISBLANK(tbl_task1[[คะแนนเต็ม]:[คะแนนเต็ม]]),"",(tbl_task1[74]/tbl_task1[[คะแนนเต็ม]:[คะแนนเต็ม]])*tbl_task1[[%]:[%]])</f>
        <v/>
      </c>
      <c r="IK16" s="121" t="str">
        <f>IF(ISBLANK(tbl_task1[[คะแนนเต็ม]:[คะแนนเต็ม]]),"",(tbl_task1[75]/tbl_task1[[คะแนนเต็ม]:[คะแนนเต็ม]])*tbl_task1[[%]:[%]])</f>
        <v/>
      </c>
      <c r="IL16" s="121" t="str">
        <f>IF(ISBLANK(tbl_task1[[คะแนนเต็ม]:[คะแนนเต็ม]]),"",(tbl_task1[76]/tbl_task1[[คะแนนเต็ม]:[คะแนนเต็ม]])*tbl_task1[[%]:[%]])</f>
        <v/>
      </c>
      <c r="IM16" s="121" t="str">
        <f>IF(ISBLANK(tbl_task1[[คะแนนเต็ม]:[คะแนนเต็ม]]),"",(tbl_task1[77]/tbl_task1[[คะแนนเต็ม]:[คะแนนเต็ม]])*tbl_task1[[%]:[%]])</f>
        <v/>
      </c>
      <c r="IN16" s="121" t="str">
        <f>IF(ISBLANK(tbl_task1[[คะแนนเต็ม]:[คะแนนเต็ม]]),"",(tbl_task1[78]/tbl_task1[[คะแนนเต็ม]:[คะแนนเต็ม]])*tbl_task1[[%]:[%]])</f>
        <v/>
      </c>
      <c r="IO16" s="121" t="str">
        <f>IF(ISBLANK(tbl_task1[[คะแนนเต็ม]:[คะแนนเต็ม]]),"",(tbl_task1[79]/tbl_task1[[คะแนนเต็ม]:[คะแนนเต็ม]])*tbl_task1[[%]:[%]])</f>
        <v/>
      </c>
      <c r="IP16" s="121" t="str">
        <f>IF(ISBLANK(tbl_task1[[คะแนนเต็ม]:[คะแนนเต็ม]]),"",(tbl_task1[80]/tbl_task1[[คะแนนเต็ม]:[คะแนนเต็ม]])*tbl_task1[[%]:[%]])</f>
        <v/>
      </c>
      <c r="IQ16" s="121" t="str">
        <f>IF(ISBLANK(tbl_task1[[คะแนนเต็ม]:[คะแนนเต็ม]]),"",(tbl_task1[81]/tbl_task1[[คะแนนเต็ม]:[คะแนนเต็ม]])*tbl_task1[[%]:[%]])</f>
        <v/>
      </c>
      <c r="IR16" s="121" t="str">
        <f>IF(ISBLANK(tbl_task1[[คะแนนเต็ม]:[คะแนนเต็ม]]),"",(tbl_task1[82]/tbl_task1[[คะแนนเต็ม]:[คะแนนเต็ม]])*tbl_task1[[%]:[%]])</f>
        <v/>
      </c>
      <c r="IS16" s="121" t="str">
        <f>IF(ISBLANK(tbl_task1[[คะแนนเต็ม]:[คะแนนเต็ม]]),"",(tbl_task1[83]/tbl_task1[[คะแนนเต็ม]:[คะแนนเต็ม]])*tbl_task1[[%]:[%]])</f>
        <v/>
      </c>
      <c r="IT16" s="121" t="str">
        <f>IF(ISBLANK(tbl_task1[[คะแนนเต็ม]:[คะแนนเต็ม]]),"",(tbl_task1[84]/tbl_task1[[คะแนนเต็ม]:[คะแนนเต็ม]])*tbl_task1[[%]:[%]])</f>
        <v/>
      </c>
      <c r="IU16" s="121" t="str">
        <f>IF(ISBLANK(tbl_task1[[คะแนนเต็ม]:[คะแนนเต็ม]]),"",(tbl_task1[85]/tbl_task1[[คะแนนเต็ม]:[คะแนนเต็ม]])*tbl_task1[[%]:[%]])</f>
        <v/>
      </c>
      <c r="IV16" s="121" t="str">
        <f>IF(ISBLANK(tbl_task1[[คะแนนเต็ม]:[คะแนนเต็ม]]),"",(tbl_task1[86]/tbl_task1[[คะแนนเต็ม]:[คะแนนเต็ม]])*tbl_task1[[%]:[%]])</f>
        <v/>
      </c>
      <c r="IW16" s="121" t="str">
        <f>IF(ISBLANK(tbl_task1[[คะแนนเต็ม]:[คะแนนเต็ม]]),"",(tbl_task1[87]/tbl_task1[[คะแนนเต็ม]:[คะแนนเต็ม]])*tbl_task1[[%]:[%]])</f>
        <v/>
      </c>
      <c r="IX16" s="121" t="str">
        <f>IF(ISBLANK(tbl_task1[[คะแนนเต็ม]:[คะแนนเต็ม]]),"",(tbl_task1[88]/tbl_task1[[คะแนนเต็ม]:[คะแนนเต็ม]])*tbl_task1[[%]:[%]])</f>
        <v/>
      </c>
      <c r="IY16" s="121" t="str">
        <f>IF(ISBLANK(tbl_task1[[คะแนนเต็ม]:[คะแนนเต็ม]]),"",(tbl_task1[89]/tbl_task1[[คะแนนเต็ม]:[คะแนนเต็ม]])*tbl_task1[[%]:[%]])</f>
        <v/>
      </c>
      <c r="IZ16" s="121" t="str">
        <f>IF(ISBLANK(tbl_task1[[คะแนนเต็ม]:[คะแนนเต็ม]]),"",(tbl_task1[90]/tbl_task1[[คะแนนเต็ม]:[คะแนนเต็ม]])*tbl_task1[[%]:[%]])</f>
        <v/>
      </c>
      <c r="JA16" s="121" t="str">
        <f>IF(ISBLANK(tbl_task1[[คะแนนเต็ม]:[คะแนนเต็ม]]),"",(tbl_task1[91]/tbl_task1[[คะแนนเต็ม]:[คะแนนเต็ม]])*tbl_task1[[%]:[%]])</f>
        <v/>
      </c>
      <c r="JB16" s="121" t="str">
        <f>IF(ISBLANK(tbl_task1[[คะแนนเต็ม]:[คะแนนเต็ม]]),"",(tbl_task1[92]/tbl_task1[[คะแนนเต็ม]:[คะแนนเต็ม]])*tbl_task1[[%]:[%]])</f>
        <v/>
      </c>
      <c r="JC16" s="121" t="str">
        <f>IF(ISBLANK(tbl_task1[[คะแนนเต็ม]:[คะแนนเต็ม]]),"",(tbl_task1[93]/tbl_task1[[คะแนนเต็ม]:[คะแนนเต็ม]])*tbl_task1[[%]:[%]])</f>
        <v/>
      </c>
      <c r="JD16" s="121" t="str">
        <f>IF(ISBLANK(tbl_task1[[คะแนนเต็ม]:[คะแนนเต็ม]]),"",(tbl_task1[94]/tbl_task1[[คะแนนเต็ม]:[คะแนนเต็ม]])*tbl_task1[[%]:[%]])</f>
        <v/>
      </c>
      <c r="JE16" s="121" t="str">
        <f>IF(ISBLANK(tbl_task1[[คะแนนเต็ม]:[คะแนนเต็ม]]),"",(tbl_task1[95]/tbl_task1[[คะแนนเต็ม]:[คะแนนเต็ม]])*tbl_task1[[%]:[%]])</f>
        <v/>
      </c>
      <c r="JF16" s="121" t="str">
        <f>IF(ISBLANK(tbl_task1[[คะแนนเต็ม]:[คะแนนเต็ม]]),"",(tbl_task1[96]/tbl_task1[[คะแนนเต็ม]:[คะแนนเต็ม]])*tbl_task1[[%]:[%]])</f>
        <v/>
      </c>
      <c r="JG16" s="121" t="str">
        <f>IF(ISBLANK(tbl_task1[[คะแนนเต็ม]:[คะแนนเต็ม]]),"",(tbl_task1[97]/tbl_task1[[คะแนนเต็ม]:[คะแนนเต็ม]])*tbl_task1[[%]:[%]])</f>
        <v/>
      </c>
      <c r="JH16" s="121" t="str">
        <f>IF(ISBLANK(tbl_task1[[คะแนนเต็ม]:[คะแนนเต็ม]]),"",(tbl_task1[98]/tbl_task1[[คะแนนเต็ม]:[คะแนนเต็ม]])*tbl_task1[[%]:[%]])</f>
        <v/>
      </c>
      <c r="JI16" s="121" t="str">
        <f>IF(ISBLANK(tbl_task1[[คะแนนเต็ม]:[คะแนนเต็ม]]),"",(tbl_task1[99]/tbl_task1[[คะแนนเต็ม]:[คะแนนเต็ม]])*tbl_task1[[%]:[%]])</f>
        <v/>
      </c>
      <c r="JJ16" s="121" t="str">
        <f>IF(ISBLANK(tbl_task1[[คะแนนเต็ม]:[คะแนนเต็ม]]),"",(tbl_task1[100]/tbl_task1[[คะแนนเต็ม]:[คะแนนเต็ม]])*tbl_task1[[%]:[%]])</f>
        <v/>
      </c>
      <c r="JK16" s="121" t="str">
        <f>IF(ISBLANK(tbl_task1[[คะแนนเต็ม]:[คะแนนเต็ม]]),"",(tbl_task1[101]/tbl_task1[[คะแนนเต็ม]:[คะแนนเต็ม]])*tbl_task1[[%]:[%]])</f>
        <v/>
      </c>
      <c r="JL16" s="121" t="str">
        <f>IF(ISBLANK(tbl_task1[[คะแนนเต็ม]:[คะแนนเต็ม]]),"",(tbl_task1[102]/tbl_task1[[คะแนนเต็ม]:[คะแนนเต็ม]])*tbl_task1[[%]:[%]])</f>
        <v/>
      </c>
      <c r="JM16" s="121" t="str">
        <f>IF(ISBLANK(tbl_task1[[คะแนนเต็ม]:[คะแนนเต็ม]]),"",(tbl_task1[103]/tbl_task1[[คะแนนเต็ม]:[คะแนนเต็ม]])*tbl_task1[[%]:[%]])</f>
        <v/>
      </c>
      <c r="JN16" s="121" t="str">
        <f>IF(ISBLANK(tbl_task1[[คะแนนเต็ม]:[คะแนนเต็ม]]),"",(tbl_task1[104]/tbl_task1[[คะแนนเต็ม]:[คะแนนเต็ม]])*tbl_task1[[%]:[%]])</f>
        <v/>
      </c>
      <c r="JO16" s="121" t="str">
        <f>IF(ISBLANK(tbl_task1[[คะแนนเต็ม]:[คะแนนเต็ม]]),"",(tbl_task1[105]/tbl_task1[[คะแนนเต็ม]:[คะแนนเต็ม]])*tbl_task1[[%]:[%]])</f>
        <v/>
      </c>
      <c r="JP16" s="121" t="str">
        <f>IF(ISBLANK(tbl_task1[[คะแนนเต็ม]:[คะแนนเต็ม]]),"",(tbl_task1[106]/tbl_task1[[คะแนนเต็ม]:[คะแนนเต็ม]])*tbl_task1[[%]:[%]])</f>
        <v/>
      </c>
      <c r="JQ16" s="121" t="str">
        <f>IF(ISBLANK(tbl_task1[[คะแนนเต็ม]:[คะแนนเต็ม]]),"",(tbl_task1[107]/tbl_task1[[คะแนนเต็ม]:[คะแนนเต็ม]])*tbl_task1[[%]:[%]])</f>
        <v/>
      </c>
      <c r="JR16" s="121" t="str">
        <f>IF(ISBLANK(tbl_task1[[คะแนนเต็ม]:[คะแนนเต็ม]]),"",(tbl_task1[108]/tbl_task1[[คะแนนเต็ม]:[คะแนนเต็ม]])*tbl_task1[[%]:[%]])</f>
        <v/>
      </c>
      <c r="JS16" s="121" t="str">
        <f>IF(ISBLANK(tbl_task1[[คะแนนเต็ม]:[คะแนนเต็ม]]),"",(tbl_task1[109]/tbl_task1[[คะแนนเต็ม]:[คะแนนเต็ม]])*tbl_task1[[%]:[%]])</f>
        <v/>
      </c>
      <c r="JT16" s="121" t="str">
        <f>IF(ISBLANK(tbl_task1[[คะแนนเต็ม]:[คะแนนเต็ม]]),"",(tbl_task1[110]/tbl_task1[[คะแนนเต็ม]:[คะแนนเต็ม]])*tbl_task1[[%]:[%]])</f>
        <v/>
      </c>
      <c r="JU16" s="121" t="str">
        <f>IF(ISBLANK(tbl_task1[[คะแนนเต็ม]:[คะแนนเต็ม]]),"",(tbl_task1[111]/tbl_task1[[คะแนนเต็ม]:[คะแนนเต็ม]])*tbl_task1[[%]:[%]])</f>
        <v/>
      </c>
      <c r="JV16" s="121" t="str">
        <f>IF(ISBLANK(tbl_task1[[คะแนนเต็ม]:[คะแนนเต็ม]]),"",(tbl_task1[112]/tbl_task1[[คะแนนเต็ม]:[คะแนนเต็ม]])*tbl_task1[[%]:[%]])</f>
        <v/>
      </c>
      <c r="JW16" s="121" t="str">
        <f>IF(ISBLANK(tbl_task1[[คะแนนเต็ม]:[คะแนนเต็ม]]),"",(tbl_task1[113]/tbl_task1[[คะแนนเต็ม]:[คะแนนเต็ม]])*tbl_task1[[%]:[%]])</f>
        <v/>
      </c>
      <c r="JX16" s="121" t="str">
        <f>IF(ISBLANK(tbl_task1[[คะแนนเต็ม]:[คะแนนเต็ม]]),"",(tbl_task1[114]/tbl_task1[[คะแนนเต็ม]:[คะแนนเต็ม]])*tbl_task1[[%]:[%]])</f>
        <v/>
      </c>
      <c r="JY16" s="121" t="str">
        <f>IF(ISBLANK(tbl_task1[[คะแนนเต็ม]:[คะแนนเต็ม]]),"",(tbl_task1[115]/tbl_task1[[คะแนนเต็ม]:[คะแนนเต็ม]])*tbl_task1[[%]:[%]])</f>
        <v/>
      </c>
      <c r="JZ16" s="121" t="str">
        <f>IF(ISBLANK(tbl_task1[[คะแนนเต็ม]:[คะแนนเต็ม]]),"",(tbl_task1[116]/tbl_task1[[คะแนนเต็ม]:[คะแนนเต็ม]])*tbl_task1[[%]:[%]])</f>
        <v/>
      </c>
      <c r="KA16" s="121" t="str">
        <f>IF(ISBLANK(tbl_task1[[คะแนนเต็ม]:[คะแนนเต็ม]]),"",(tbl_task1[117]/tbl_task1[[คะแนนเต็ม]:[คะแนนเต็ม]])*tbl_task1[[%]:[%]])</f>
        <v/>
      </c>
      <c r="KB16" s="121" t="str">
        <f>IF(ISBLANK(tbl_task1[[คะแนนเต็ม]:[คะแนนเต็ม]]),"",(tbl_task1[118]/tbl_task1[[คะแนนเต็ม]:[คะแนนเต็ม]])*tbl_task1[[%]:[%]])</f>
        <v/>
      </c>
      <c r="KC16" s="121" t="str">
        <f>IF(ISBLANK(tbl_task1[[คะแนนเต็ม]:[คะแนนเต็ม]]),"",(tbl_task1[119]/tbl_task1[[คะแนนเต็ม]:[คะแนนเต็ม]])*tbl_task1[[%]:[%]])</f>
        <v/>
      </c>
      <c r="KD16" s="121" t="str">
        <f>IF(ISBLANK(tbl_task1[[คะแนนเต็ม]:[คะแนนเต็ม]]),"",(tbl_task1[120]/tbl_task1[[คะแนนเต็ม]:[คะแนนเต็ม]])*tbl_task1[[%]:[%]])</f>
        <v/>
      </c>
      <c r="KE16" s="121" t="str">
        <f>IF(ISBLANK(tbl_task1[[คะแนนเต็ม]:[คะแนนเต็ม]]),"",(tbl_task1[121]/tbl_task1[[คะแนนเต็ม]:[คะแนนเต็ม]])*tbl_task1[[%]:[%]])</f>
        <v/>
      </c>
      <c r="KF16" s="121" t="str">
        <f>IF(ISBLANK(tbl_task1[[คะแนนเต็ม]:[คะแนนเต็ม]]),"",(tbl_task1[122]/tbl_task1[[คะแนนเต็ม]:[คะแนนเต็ม]])*tbl_task1[[%]:[%]])</f>
        <v/>
      </c>
      <c r="KG16" s="121" t="str">
        <f>IF(ISBLANK(tbl_task1[[คะแนนเต็ม]:[คะแนนเต็ม]]),"",(tbl_task1[123]/tbl_task1[[คะแนนเต็ม]:[คะแนนเต็ม]])*tbl_task1[[%]:[%]])</f>
        <v/>
      </c>
      <c r="KH16" s="121" t="str">
        <f>IF(ISBLANK(tbl_task1[[คะแนนเต็ม]:[คะแนนเต็ม]]),"",(tbl_task1[124]/tbl_task1[[คะแนนเต็ม]:[คะแนนเต็ม]])*tbl_task1[[%]:[%]])</f>
        <v/>
      </c>
      <c r="KI16" s="121" t="str">
        <f>IF(ISBLANK(tbl_task1[[คะแนนเต็ม]:[คะแนนเต็ม]]),"",(tbl_task1[125]/tbl_task1[[คะแนนเต็ม]:[คะแนนเต็ม]])*tbl_task1[[%]:[%]])</f>
        <v/>
      </c>
      <c r="KJ16" s="121" t="str">
        <f>IF(ISBLANK(tbl_task1[[คะแนนเต็ม]:[คะแนนเต็ม]]),"",(tbl_task1[126]/tbl_task1[[คะแนนเต็ม]:[คะแนนเต็ม]])*tbl_task1[[%]:[%]])</f>
        <v/>
      </c>
      <c r="KK16" s="121" t="str">
        <f>IF(ISBLANK(tbl_task1[[คะแนนเต็ม]:[คะแนนเต็ม]]),"",(tbl_task1[127]/tbl_task1[[คะแนนเต็ม]:[คะแนนเต็ม]])*tbl_task1[[%]:[%]])</f>
        <v/>
      </c>
      <c r="KL16" s="121" t="str">
        <f>IF(ISBLANK(tbl_task1[[คะแนนเต็ม]:[คะแนนเต็ม]]),"",(tbl_task1[128]/tbl_task1[[คะแนนเต็ม]:[คะแนนเต็ม]])*tbl_task1[[%]:[%]])</f>
        <v/>
      </c>
      <c r="KM16" s="121" t="str">
        <f>IF(ISBLANK(tbl_task1[[คะแนนเต็ม]:[คะแนนเต็ม]]),"",(tbl_task1[129]/tbl_task1[[คะแนนเต็ม]:[คะแนนเต็ม]])*tbl_task1[[%]:[%]])</f>
        <v/>
      </c>
      <c r="KN16" s="121" t="str">
        <f>IF(ISBLANK(tbl_task1[[คะแนนเต็ม]:[คะแนนเต็ม]]),"",(tbl_task1[130]/tbl_task1[[คะแนนเต็ม]:[คะแนนเต็ม]])*tbl_task1[[%]:[%]])</f>
        <v/>
      </c>
      <c r="KO16" s="121" t="str">
        <f>IF(ISBLANK(tbl_task1[[คะแนนเต็ม]:[คะแนนเต็ม]]),"",(tbl_task1[131]/tbl_task1[[คะแนนเต็ม]:[คะแนนเต็ม]])*tbl_task1[[%]:[%]])</f>
        <v/>
      </c>
      <c r="KP16" s="121" t="str">
        <f>IF(ISBLANK(tbl_task1[[คะแนนเต็ม]:[คะแนนเต็ม]]),"",(tbl_task1[132]/tbl_task1[[คะแนนเต็ม]:[คะแนนเต็ม]])*tbl_task1[[%]:[%]])</f>
        <v/>
      </c>
      <c r="KQ16" s="121" t="str">
        <f>IF(ISBLANK(tbl_task1[[คะแนนเต็ม]:[คะแนนเต็ม]]),"",(tbl_task1[133]/tbl_task1[[คะแนนเต็ม]:[คะแนนเต็ม]])*tbl_task1[[%]:[%]])</f>
        <v/>
      </c>
      <c r="KR16" s="121" t="str">
        <f>IF(ISBLANK(tbl_task1[[คะแนนเต็ม]:[คะแนนเต็ม]]),"",(tbl_task1[134]/tbl_task1[[คะแนนเต็ม]:[คะแนนเต็ม]])*tbl_task1[[%]:[%]])</f>
        <v/>
      </c>
      <c r="KS16" s="121" t="str">
        <f>IF(ISBLANK(tbl_task1[[คะแนนเต็ม]:[คะแนนเต็ม]]),"",(tbl_task1[135]/tbl_task1[[คะแนนเต็ม]:[คะแนนเต็ม]])*tbl_task1[[%]:[%]])</f>
        <v/>
      </c>
      <c r="KT16" s="121" t="str">
        <f>IF(ISBLANK(tbl_task1[[คะแนนเต็ม]:[คะแนนเต็ม]]),"",(tbl_task1[136]/tbl_task1[[คะแนนเต็ม]:[คะแนนเต็ม]])*tbl_task1[[%]:[%]])</f>
        <v/>
      </c>
      <c r="KU16" s="121" t="str">
        <f>IF(ISBLANK(tbl_task1[[คะแนนเต็ม]:[คะแนนเต็ม]]),"",(tbl_task1[137]/tbl_task1[[คะแนนเต็ม]:[คะแนนเต็ม]])*tbl_task1[[%]:[%]])</f>
        <v/>
      </c>
      <c r="KV16" s="121" t="str">
        <f>IF(ISBLANK(tbl_task1[[คะแนนเต็ม]:[คะแนนเต็ม]]),"",(tbl_task1[138]/tbl_task1[[คะแนนเต็ม]:[คะแนนเต็ม]])*tbl_task1[[%]:[%]])</f>
        <v/>
      </c>
      <c r="KW16" s="121" t="str">
        <f>IF(ISBLANK(tbl_task1[[คะแนนเต็ม]:[คะแนนเต็ม]]),"",(tbl_task1[139]/tbl_task1[[คะแนนเต็ม]:[คะแนนเต็ม]])*tbl_task1[[%]:[%]])</f>
        <v/>
      </c>
      <c r="KX16" s="121" t="str">
        <f>IF(ISBLANK(tbl_task1[[คะแนนเต็ม]:[คะแนนเต็ม]]),"",(tbl_task1[140]/tbl_task1[[คะแนนเต็ม]:[คะแนนเต็ม]])*tbl_task1[[%]:[%]])</f>
        <v/>
      </c>
      <c r="KY16" s="121" t="str">
        <f>IF(ISBLANK(tbl_task1[[คะแนนเต็ม]:[คะแนนเต็ม]]),"",(tbl_task1[141]/tbl_task1[[คะแนนเต็ม]:[คะแนนเต็ม]])*tbl_task1[[%]:[%]])</f>
        <v/>
      </c>
      <c r="KZ16" s="121" t="str">
        <f>IF(ISBLANK(tbl_task1[[คะแนนเต็ม]:[คะแนนเต็ม]]),"",(tbl_task1[142]/tbl_task1[[คะแนนเต็ม]:[คะแนนเต็ม]])*tbl_task1[[%]:[%]])</f>
        <v/>
      </c>
      <c r="LA16" s="121" t="str">
        <f>IF(ISBLANK(tbl_task1[[คะแนนเต็ม]:[คะแนนเต็ม]]),"",(tbl_task1[143]/tbl_task1[[คะแนนเต็ม]:[คะแนนเต็ม]])*tbl_task1[[%]:[%]])</f>
        <v/>
      </c>
      <c r="LB16" s="121" t="str">
        <f>IF(ISBLANK(tbl_task1[[คะแนนเต็ม]:[คะแนนเต็ม]]),"",(tbl_task1[144]/tbl_task1[[คะแนนเต็ม]:[คะแนนเต็ม]])*tbl_task1[[%]:[%]])</f>
        <v/>
      </c>
      <c r="LC16" s="121" t="str">
        <f>IF(ISBLANK(tbl_task1[[คะแนนเต็ม]:[คะแนนเต็ม]]),"",(tbl_task1[145]/tbl_task1[[คะแนนเต็ม]:[คะแนนเต็ม]])*tbl_task1[[%]:[%]])</f>
        <v/>
      </c>
      <c r="LD16" s="121" t="str">
        <f>IF(ISBLANK(tbl_task1[[คะแนนเต็ม]:[คะแนนเต็ม]]),"",(tbl_task1[146]/tbl_task1[[คะแนนเต็ม]:[คะแนนเต็ม]])*tbl_task1[[%]:[%]])</f>
        <v/>
      </c>
      <c r="LE16" s="121" t="str">
        <f>IF(ISBLANK(tbl_task1[[คะแนนเต็ม]:[คะแนนเต็ม]]),"",(tbl_task1[147]/tbl_task1[[คะแนนเต็ม]:[คะแนนเต็ม]])*tbl_task1[[%]:[%]])</f>
        <v/>
      </c>
      <c r="LF16" s="121" t="str">
        <f>IF(ISBLANK(tbl_task1[[คะแนนเต็ม]:[คะแนนเต็ม]]),"",(tbl_task1[148]/tbl_task1[[คะแนนเต็ม]:[คะแนนเต็ม]])*tbl_task1[[%]:[%]])</f>
        <v/>
      </c>
      <c r="LG16" s="121" t="str">
        <f>IF(ISBLANK(tbl_task1[[คะแนนเต็ม]:[คะแนนเต็ม]]),"",(tbl_task1[149]/tbl_task1[[คะแนนเต็ม]:[คะแนนเต็ม]])*tbl_task1[[%]:[%]])</f>
        <v/>
      </c>
      <c r="LH16" s="121" t="str">
        <f>IF(ISBLANK(tbl_task1[[คะแนนเต็ม]:[คะแนนเต็ม]]),"",(tbl_task1[150]/tbl_task1[[คะแนนเต็ม]:[คะแนนเต็ม]])*tbl_task1[[%]:[%]])</f>
        <v/>
      </c>
      <c r="LI16" s="121" t="str">
        <f>IF(ISBLANK(tbl_task1[[คะแนนเต็ม]:[คะแนนเต็ม]]),"",(tbl_task1[151]/tbl_task1[[คะแนนเต็ม]:[คะแนนเต็ม]])*tbl_task1[[%]:[%]])</f>
        <v/>
      </c>
      <c r="LJ16" s="121" t="str">
        <f>IF(ISBLANK(tbl_task1[[คะแนนเต็ม]:[คะแนนเต็ม]]),"",(tbl_task1[152]/tbl_task1[[คะแนนเต็ม]:[คะแนนเต็ม]])*tbl_task1[[%]:[%]])</f>
        <v/>
      </c>
      <c r="LK16" s="121" t="str">
        <f>IF(ISBLANK(tbl_task1[[คะแนนเต็ม]:[คะแนนเต็ม]]),"",(tbl_task1[153]/tbl_task1[[คะแนนเต็ม]:[คะแนนเต็ม]])*tbl_task1[[%]:[%]])</f>
        <v/>
      </c>
      <c r="LL16" s="121" t="str">
        <f>IF(ISBLANK(tbl_task1[[คะแนนเต็ม]:[คะแนนเต็ม]]),"",(tbl_task1[154]/tbl_task1[[คะแนนเต็ม]:[คะแนนเต็ม]])*tbl_task1[[%]:[%]])</f>
        <v/>
      </c>
      <c r="LM16" s="121" t="str">
        <f>IF(ISBLANK(tbl_task1[[คะแนนเต็ม]:[คะแนนเต็ม]]),"",(tbl_task1[155]/tbl_task1[[คะแนนเต็ม]:[คะแนนเต็ม]])*tbl_task1[[%]:[%]])</f>
        <v/>
      </c>
      <c r="LN16" s="121" t="str">
        <f>IF(ISBLANK(tbl_task1[[คะแนนเต็ม]:[คะแนนเต็ม]]),"",(tbl_task1[156]/tbl_task1[[คะแนนเต็ม]:[คะแนนเต็ม]])*tbl_task1[[%]:[%]])</f>
        <v/>
      </c>
      <c r="LO16" s="121" t="str">
        <f>IF(ISBLANK(tbl_task1[[คะแนนเต็ม]:[คะแนนเต็ม]]),"",(tbl_task1[157]/tbl_task1[[คะแนนเต็ม]:[คะแนนเต็ม]])*tbl_task1[[%]:[%]])</f>
        <v/>
      </c>
      <c r="LP16" s="121" t="str">
        <f>IF(ISBLANK(tbl_task1[[คะแนนเต็ม]:[คะแนนเต็ม]]),"",(tbl_task1[158]/tbl_task1[[คะแนนเต็ม]:[คะแนนเต็ม]])*tbl_task1[[%]:[%]])</f>
        <v/>
      </c>
      <c r="LQ16" s="121" t="str">
        <f>IF(ISBLANK(tbl_task1[[คะแนนเต็ม]:[คะแนนเต็ม]]),"",(tbl_task1[159]/tbl_task1[[คะแนนเต็ม]:[คะแนนเต็ม]])*tbl_task1[[%]:[%]])</f>
        <v/>
      </c>
      <c r="LR16" s="121" t="str">
        <f>IF(ISBLANK(tbl_task1[[คะแนนเต็ม]:[คะแนนเต็ม]]),"",(tbl_task1[160]/tbl_task1[[คะแนนเต็ม]:[คะแนนเต็ม]])*tbl_task1[[%]:[%]])</f>
        <v/>
      </c>
      <c r="LS16" s="121" t="str">
        <f>IF(ISBLANK(tbl_task1[[คะแนนเต็ม]:[คะแนนเต็ม]]),"",(tbl_task1[161]/tbl_task1[[คะแนนเต็ม]:[คะแนนเต็ม]])*tbl_task1[[%]:[%]])</f>
        <v/>
      </c>
      <c r="LT16" s="121" t="str">
        <f>IF(ISBLANK(tbl_task1[[คะแนนเต็ม]:[คะแนนเต็ม]]),"",(tbl_task1[162]/tbl_task1[[คะแนนเต็ม]:[คะแนนเต็ม]])*tbl_task1[[%]:[%]])</f>
        <v/>
      </c>
      <c r="LU16" s="121" t="str">
        <f>IF(ISBLANK(tbl_task1[[คะแนนเต็ม]:[คะแนนเต็ม]]),"",(tbl_task1[163]/tbl_task1[[คะแนนเต็ม]:[คะแนนเต็ม]])*tbl_task1[[%]:[%]])</f>
        <v/>
      </c>
      <c r="LV16" s="121" t="str">
        <f>IF(ISBLANK(tbl_task1[[คะแนนเต็ม]:[คะแนนเต็ม]]),"",(tbl_task1[164]/tbl_task1[[คะแนนเต็ม]:[คะแนนเต็ม]])*tbl_task1[[%]:[%]])</f>
        <v/>
      </c>
      <c r="LW16" s="121" t="str">
        <f>IF(ISBLANK(tbl_task1[[คะแนนเต็ม]:[คะแนนเต็ม]]),"",(tbl_task1[165]/tbl_task1[[คะแนนเต็ม]:[คะแนนเต็ม]])*tbl_task1[[%]:[%]])</f>
        <v/>
      </c>
    </row>
    <row r="17" spans="1:335" ht="24" customHeight="1" x14ac:dyDescent="0.25">
      <c r="A17" s="24">
        <v>14</v>
      </c>
      <c r="B17" s="20"/>
      <c r="C17" s="5" t="str">
        <f>IF(ISBLANK(B17),"",VLOOKUP(B17,tbl_PLOs[],2,0))</f>
        <v/>
      </c>
      <c r="D17" s="102"/>
      <c r="E17" s="10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121" t="str">
        <f>IF(ISBLANK(tbl_task1[[คะแนนเต็ม]:[คะแนนเต็ม]]),"",(tbl_task1[1]/tbl_task1[[คะแนนเต็ม]:[คะแนนเต็ม]])*tbl_task1[[%]:[%]])</f>
        <v/>
      </c>
      <c r="FP17" s="121" t="str">
        <f>IF(ISBLANK(tbl_task1[[คะแนนเต็ม]:[คะแนนเต็ม]]),"",(tbl_task1[2]/tbl_task1[[คะแนนเต็ม]:[คะแนนเต็ม]])*tbl_task1[[%]:[%]])</f>
        <v/>
      </c>
      <c r="FQ17" s="121" t="str">
        <f>IF(ISBLANK(tbl_task1[[คะแนนเต็ม]:[คะแนนเต็ม]]),"",(tbl_task1[3]/tbl_task1[[คะแนนเต็ม]:[คะแนนเต็ม]])*tbl_task1[[%]:[%]])</f>
        <v/>
      </c>
      <c r="FR17" s="121" t="str">
        <f>IF(ISBLANK(tbl_task1[[คะแนนเต็ม]:[คะแนนเต็ม]]),"",(tbl_task1[4]/tbl_task1[[คะแนนเต็ม]:[คะแนนเต็ม]])*tbl_task1[[%]:[%]])</f>
        <v/>
      </c>
      <c r="FS17" s="121" t="str">
        <f>IF(ISBLANK(tbl_task1[[คะแนนเต็ม]:[คะแนนเต็ม]]),"",(tbl_task1[5]/tbl_task1[[คะแนนเต็ม]:[คะแนนเต็ม]])*tbl_task1[[%]:[%]])</f>
        <v/>
      </c>
      <c r="FT17" s="121" t="str">
        <f>IF(ISBLANK(tbl_task1[[คะแนนเต็ม]:[คะแนนเต็ม]]),"",(tbl_task1[6]/tbl_task1[[คะแนนเต็ม]:[คะแนนเต็ม]])*tbl_task1[[%]:[%]])</f>
        <v/>
      </c>
      <c r="FU17" s="121" t="str">
        <f>IF(ISBLANK(tbl_task1[[คะแนนเต็ม]:[คะแนนเต็ม]]),"",(tbl_task1[7]/tbl_task1[[คะแนนเต็ม]:[คะแนนเต็ม]])*tbl_task1[[%]:[%]])</f>
        <v/>
      </c>
      <c r="FV17" s="121" t="str">
        <f>IF(ISBLANK(tbl_task1[[คะแนนเต็ม]:[คะแนนเต็ม]]),"",(tbl_task1[8]/tbl_task1[[คะแนนเต็ม]:[คะแนนเต็ม]])*tbl_task1[[%]:[%]])</f>
        <v/>
      </c>
      <c r="FW17" s="121" t="str">
        <f>IF(ISBLANK(tbl_task1[[คะแนนเต็ม]:[คะแนนเต็ม]]),"",(tbl_task1[9]/tbl_task1[[คะแนนเต็ม]:[คะแนนเต็ม]])*tbl_task1[[%]:[%]])</f>
        <v/>
      </c>
      <c r="FX17" s="121" t="str">
        <f>IF(ISBLANK(tbl_task1[[คะแนนเต็ม]:[คะแนนเต็ม]]),"",(tbl_task1[10]/tbl_task1[[คะแนนเต็ม]:[คะแนนเต็ม]])*tbl_task1[[%]:[%]])</f>
        <v/>
      </c>
      <c r="FY17" s="121" t="str">
        <f>IF(ISBLANK(tbl_task1[[คะแนนเต็ม]:[คะแนนเต็ม]]),"",(tbl_task1[11]/tbl_task1[[คะแนนเต็ม]:[คะแนนเต็ม]])*tbl_task1[[%]:[%]])</f>
        <v/>
      </c>
      <c r="FZ17" s="121" t="str">
        <f>IF(ISBLANK(tbl_task1[[คะแนนเต็ม]:[คะแนนเต็ม]]),"",(tbl_task1[12]/tbl_task1[[คะแนนเต็ม]:[คะแนนเต็ม]])*tbl_task1[[%]:[%]])</f>
        <v/>
      </c>
      <c r="GA17" s="121" t="str">
        <f>IF(ISBLANK(tbl_task1[[คะแนนเต็ม]:[คะแนนเต็ม]]),"",(tbl_task1[13]/tbl_task1[[คะแนนเต็ม]:[คะแนนเต็ม]])*tbl_task1[[%]:[%]])</f>
        <v/>
      </c>
      <c r="GB17" s="121" t="str">
        <f>IF(ISBLANK(tbl_task1[[คะแนนเต็ม]:[คะแนนเต็ม]]),"",(tbl_task1[14]/tbl_task1[[คะแนนเต็ม]:[คะแนนเต็ม]])*tbl_task1[[%]:[%]])</f>
        <v/>
      </c>
      <c r="GC17" s="121" t="str">
        <f>IF(ISBLANK(tbl_task1[[คะแนนเต็ม]:[คะแนนเต็ม]]),"",(tbl_task1[15]/tbl_task1[[คะแนนเต็ม]:[คะแนนเต็ม]])*tbl_task1[[%]:[%]])</f>
        <v/>
      </c>
      <c r="GD17" s="121" t="str">
        <f>IF(ISBLANK(tbl_task1[[คะแนนเต็ม]:[คะแนนเต็ม]]),"",(tbl_task1[16]/tbl_task1[[คะแนนเต็ม]:[คะแนนเต็ม]])*tbl_task1[[%]:[%]])</f>
        <v/>
      </c>
      <c r="GE17" s="121" t="str">
        <f>IF(ISBLANK(tbl_task1[[คะแนนเต็ม]:[คะแนนเต็ม]]),"",(tbl_task1[17]/tbl_task1[[คะแนนเต็ม]:[คะแนนเต็ม]])*tbl_task1[[%]:[%]])</f>
        <v/>
      </c>
      <c r="GF17" s="121" t="str">
        <f>IF(ISBLANK(tbl_task1[[คะแนนเต็ม]:[คะแนนเต็ม]]),"",(tbl_task1[18]/tbl_task1[[คะแนนเต็ม]:[คะแนนเต็ม]])*tbl_task1[[%]:[%]])</f>
        <v/>
      </c>
      <c r="GG17" s="121" t="str">
        <f>IF(ISBLANK(tbl_task1[[คะแนนเต็ม]:[คะแนนเต็ม]]),"",(tbl_task1[19]/tbl_task1[[คะแนนเต็ม]:[คะแนนเต็ม]])*tbl_task1[[%]:[%]])</f>
        <v/>
      </c>
      <c r="GH17" s="121" t="str">
        <f>IF(ISBLANK(tbl_task1[[คะแนนเต็ม]:[คะแนนเต็ม]]),"",(tbl_task1[20]/tbl_task1[[คะแนนเต็ม]:[คะแนนเต็ม]])*tbl_task1[[%]:[%]])</f>
        <v/>
      </c>
      <c r="GI17" s="121" t="str">
        <f>IF(ISBLANK(tbl_task1[[คะแนนเต็ม]:[คะแนนเต็ม]]),"",(tbl_task1[21]/tbl_task1[[คะแนนเต็ม]:[คะแนนเต็ม]])*tbl_task1[[%]:[%]])</f>
        <v/>
      </c>
      <c r="GJ17" s="121" t="str">
        <f>IF(ISBLANK(tbl_task1[[คะแนนเต็ม]:[คะแนนเต็ม]]),"",(tbl_task1[22]/tbl_task1[[คะแนนเต็ม]:[คะแนนเต็ม]])*tbl_task1[[%]:[%]])</f>
        <v/>
      </c>
      <c r="GK17" s="121" t="str">
        <f>IF(ISBLANK(tbl_task1[[คะแนนเต็ม]:[คะแนนเต็ม]]),"",(tbl_task1[23]/tbl_task1[[คะแนนเต็ม]:[คะแนนเต็ม]])*tbl_task1[[%]:[%]])</f>
        <v/>
      </c>
      <c r="GL17" s="121" t="str">
        <f>IF(ISBLANK(tbl_task1[[คะแนนเต็ม]:[คะแนนเต็ม]]),"",(tbl_task1[24]/tbl_task1[[คะแนนเต็ม]:[คะแนนเต็ม]])*tbl_task1[[%]:[%]])</f>
        <v/>
      </c>
      <c r="GM17" s="121" t="str">
        <f>IF(ISBLANK(tbl_task1[[คะแนนเต็ม]:[คะแนนเต็ม]]),"",(tbl_task1[25]/tbl_task1[[คะแนนเต็ม]:[คะแนนเต็ม]])*tbl_task1[[%]:[%]])</f>
        <v/>
      </c>
      <c r="GN17" s="121" t="str">
        <f>IF(ISBLANK(tbl_task1[[คะแนนเต็ม]:[คะแนนเต็ม]]),"",(tbl_task1[26]/tbl_task1[[คะแนนเต็ม]:[คะแนนเต็ม]])*tbl_task1[[%]:[%]])</f>
        <v/>
      </c>
      <c r="GO17" s="121" t="str">
        <f>IF(ISBLANK(tbl_task1[[คะแนนเต็ม]:[คะแนนเต็ม]]),"",(tbl_task1[27]/tbl_task1[[คะแนนเต็ม]:[คะแนนเต็ม]])*tbl_task1[[%]:[%]])</f>
        <v/>
      </c>
      <c r="GP17" s="121" t="str">
        <f>IF(ISBLANK(tbl_task1[[คะแนนเต็ม]:[คะแนนเต็ม]]),"",(tbl_task1[28]/tbl_task1[[คะแนนเต็ม]:[คะแนนเต็ม]])*tbl_task1[[%]:[%]])</f>
        <v/>
      </c>
      <c r="GQ17" s="121" t="str">
        <f>IF(ISBLANK(tbl_task1[[คะแนนเต็ม]:[คะแนนเต็ม]]),"",(tbl_task1[29]/tbl_task1[[คะแนนเต็ม]:[คะแนนเต็ม]])*tbl_task1[[%]:[%]])</f>
        <v/>
      </c>
      <c r="GR17" s="121" t="str">
        <f>IF(ISBLANK(tbl_task1[[คะแนนเต็ม]:[คะแนนเต็ม]]),"",(tbl_task1[30]/tbl_task1[[คะแนนเต็ม]:[คะแนนเต็ม]])*tbl_task1[[%]:[%]])</f>
        <v/>
      </c>
      <c r="GS17" s="121" t="str">
        <f>IF(ISBLANK(tbl_task1[[คะแนนเต็ม]:[คะแนนเต็ม]]),"",(tbl_task1[31]/tbl_task1[[คะแนนเต็ม]:[คะแนนเต็ม]])*tbl_task1[[%]:[%]])</f>
        <v/>
      </c>
      <c r="GT17" s="121" t="str">
        <f>IF(ISBLANK(tbl_task1[[คะแนนเต็ม]:[คะแนนเต็ม]]),"",(tbl_task1[32]/tbl_task1[[คะแนนเต็ม]:[คะแนนเต็ม]])*tbl_task1[[%]:[%]])</f>
        <v/>
      </c>
      <c r="GU17" s="121" t="str">
        <f>IF(ISBLANK(tbl_task1[[คะแนนเต็ม]:[คะแนนเต็ม]]),"",(tbl_task1[33]/tbl_task1[[คะแนนเต็ม]:[คะแนนเต็ม]])*tbl_task1[[%]:[%]])</f>
        <v/>
      </c>
      <c r="GV17" s="121" t="str">
        <f>IF(ISBLANK(tbl_task1[[คะแนนเต็ม]:[คะแนนเต็ม]]),"",(tbl_task1[34]/tbl_task1[[คะแนนเต็ม]:[คะแนนเต็ม]])*tbl_task1[[%]:[%]])</f>
        <v/>
      </c>
      <c r="GW17" s="121" t="str">
        <f>IF(ISBLANK(tbl_task1[[คะแนนเต็ม]:[คะแนนเต็ม]]),"",(tbl_task1[35]/tbl_task1[[คะแนนเต็ม]:[คะแนนเต็ม]])*tbl_task1[[%]:[%]])</f>
        <v/>
      </c>
      <c r="GX17" s="121" t="str">
        <f>IF(ISBLANK(tbl_task1[[คะแนนเต็ม]:[คะแนนเต็ม]]),"",(tbl_task1[36]/tbl_task1[[คะแนนเต็ม]:[คะแนนเต็ม]])*tbl_task1[[%]:[%]])</f>
        <v/>
      </c>
      <c r="GY17" s="121" t="str">
        <f>IF(ISBLANK(tbl_task1[[คะแนนเต็ม]:[คะแนนเต็ม]]),"",(tbl_task1[37]/tbl_task1[[คะแนนเต็ม]:[คะแนนเต็ม]])*tbl_task1[[%]:[%]])</f>
        <v/>
      </c>
      <c r="GZ17" s="121" t="str">
        <f>IF(ISBLANK(tbl_task1[[คะแนนเต็ม]:[คะแนนเต็ม]]),"",(tbl_task1[38]/tbl_task1[[คะแนนเต็ม]:[คะแนนเต็ม]])*tbl_task1[[%]:[%]])</f>
        <v/>
      </c>
      <c r="HA17" s="121" t="str">
        <f>IF(ISBLANK(tbl_task1[[คะแนนเต็ม]:[คะแนนเต็ม]]),"",(tbl_task1[39]/tbl_task1[[คะแนนเต็ม]:[คะแนนเต็ม]])*tbl_task1[[%]:[%]])</f>
        <v/>
      </c>
      <c r="HB17" s="121" t="str">
        <f>IF(ISBLANK(tbl_task1[[คะแนนเต็ม]:[คะแนนเต็ม]]),"",(tbl_task1[40]/tbl_task1[[คะแนนเต็ม]:[คะแนนเต็ม]])*tbl_task1[[%]:[%]])</f>
        <v/>
      </c>
      <c r="HC17" s="121" t="str">
        <f>IF(ISBLANK(tbl_task1[[คะแนนเต็ม]:[คะแนนเต็ม]]),"",(tbl_task1[41]/tbl_task1[[คะแนนเต็ม]:[คะแนนเต็ม]])*tbl_task1[[%]:[%]])</f>
        <v/>
      </c>
      <c r="HD17" s="121" t="str">
        <f>IF(ISBLANK(tbl_task1[[คะแนนเต็ม]:[คะแนนเต็ม]]),"",(tbl_task1[42]/tbl_task1[[คะแนนเต็ม]:[คะแนนเต็ม]])*tbl_task1[[%]:[%]])</f>
        <v/>
      </c>
      <c r="HE17" s="121" t="str">
        <f>IF(ISBLANK(tbl_task1[[คะแนนเต็ม]:[คะแนนเต็ม]]),"",(tbl_task1[43]/tbl_task1[[คะแนนเต็ม]:[คะแนนเต็ม]])*tbl_task1[[%]:[%]])</f>
        <v/>
      </c>
      <c r="HF17" s="121" t="str">
        <f>IF(ISBLANK(tbl_task1[[คะแนนเต็ม]:[คะแนนเต็ม]]),"",(tbl_task1[44]/tbl_task1[[คะแนนเต็ม]:[คะแนนเต็ม]])*tbl_task1[[%]:[%]])</f>
        <v/>
      </c>
      <c r="HG17" s="121" t="str">
        <f>IF(ISBLANK(tbl_task1[[คะแนนเต็ม]:[คะแนนเต็ม]]),"",(tbl_task1[45]/tbl_task1[[คะแนนเต็ม]:[คะแนนเต็ม]])*tbl_task1[[%]:[%]])</f>
        <v/>
      </c>
      <c r="HH17" s="121" t="str">
        <f>IF(ISBLANK(tbl_task1[[คะแนนเต็ม]:[คะแนนเต็ม]]),"",(tbl_task1[46]/tbl_task1[[คะแนนเต็ม]:[คะแนนเต็ม]])*tbl_task1[[%]:[%]])</f>
        <v/>
      </c>
      <c r="HI17" s="121" t="str">
        <f>IF(ISBLANK(tbl_task1[[คะแนนเต็ม]:[คะแนนเต็ม]]),"",(tbl_task1[47]/tbl_task1[[คะแนนเต็ม]:[คะแนนเต็ม]])*tbl_task1[[%]:[%]])</f>
        <v/>
      </c>
      <c r="HJ17" s="121" t="str">
        <f>IF(ISBLANK(tbl_task1[[คะแนนเต็ม]:[คะแนนเต็ม]]),"",(tbl_task1[48]/tbl_task1[[คะแนนเต็ม]:[คะแนนเต็ม]])*tbl_task1[[%]:[%]])</f>
        <v/>
      </c>
      <c r="HK17" s="121" t="str">
        <f>IF(ISBLANK(tbl_task1[[คะแนนเต็ม]:[คะแนนเต็ม]]),"",(tbl_task1[49]/tbl_task1[[คะแนนเต็ม]:[คะแนนเต็ม]])*tbl_task1[[%]:[%]])</f>
        <v/>
      </c>
      <c r="HL17" s="121" t="str">
        <f>IF(ISBLANK(tbl_task1[[คะแนนเต็ม]:[คะแนนเต็ม]]),"",(tbl_task1[50]/tbl_task1[[คะแนนเต็ม]:[คะแนนเต็ม]])*tbl_task1[[%]:[%]])</f>
        <v/>
      </c>
      <c r="HM17" s="121" t="str">
        <f>IF(ISBLANK(tbl_task1[[คะแนนเต็ม]:[คะแนนเต็ม]]),"",(tbl_task1[51]/tbl_task1[[คะแนนเต็ม]:[คะแนนเต็ม]])*tbl_task1[[%]:[%]])</f>
        <v/>
      </c>
      <c r="HN17" s="121" t="str">
        <f>IF(ISBLANK(tbl_task1[[คะแนนเต็ม]:[คะแนนเต็ม]]),"",(tbl_task1[52]/tbl_task1[[คะแนนเต็ม]:[คะแนนเต็ม]])*tbl_task1[[%]:[%]])</f>
        <v/>
      </c>
      <c r="HO17" s="121" t="str">
        <f>IF(ISBLANK(tbl_task1[[คะแนนเต็ม]:[คะแนนเต็ม]]),"",(tbl_task1[53]/tbl_task1[[คะแนนเต็ม]:[คะแนนเต็ม]])*tbl_task1[[%]:[%]])</f>
        <v/>
      </c>
      <c r="HP17" s="121" t="str">
        <f>IF(ISBLANK(tbl_task1[[คะแนนเต็ม]:[คะแนนเต็ม]]),"",(tbl_task1[54]/tbl_task1[[คะแนนเต็ม]:[คะแนนเต็ม]])*tbl_task1[[%]:[%]])</f>
        <v/>
      </c>
      <c r="HQ17" s="121" t="str">
        <f>IF(ISBLANK(tbl_task1[[คะแนนเต็ม]:[คะแนนเต็ม]]),"",(tbl_task1[55]/tbl_task1[[คะแนนเต็ม]:[คะแนนเต็ม]])*tbl_task1[[%]:[%]])</f>
        <v/>
      </c>
      <c r="HR17" s="121" t="str">
        <f>IF(ISBLANK(tbl_task1[[คะแนนเต็ม]:[คะแนนเต็ม]]),"",(tbl_task1[56]/tbl_task1[[คะแนนเต็ม]:[คะแนนเต็ม]])*tbl_task1[[%]:[%]])</f>
        <v/>
      </c>
      <c r="HS17" s="121" t="str">
        <f>IF(ISBLANK(tbl_task1[[คะแนนเต็ม]:[คะแนนเต็ม]]),"",(tbl_task1[57]/tbl_task1[[คะแนนเต็ม]:[คะแนนเต็ม]])*tbl_task1[[%]:[%]])</f>
        <v/>
      </c>
      <c r="HT17" s="121" t="str">
        <f>IF(ISBLANK(tbl_task1[[คะแนนเต็ม]:[คะแนนเต็ม]]),"",(tbl_task1[58]/tbl_task1[[คะแนนเต็ม]:[คะแนนเต็ม]])*tbl_task1[[%]:[%]])</f>
        <v/>
      </c>
      <c r="HU17" s="121" t="str">
        <f>IF(ISBLANK(tbl_task1[[คะแนนเต็ม]:[คะแนนเต็ม]]),"",(tbl_task1[59]/tbl_task1[[คะแนนเต็ม]:[คะแนนเต็ม]])*tbl_task1[[%]:[%]])</f>
        <v/>
      </c>
      <c r="HV17" s="121" t="str">
        <f>IF(ISBLANK(tbl_task1[[คะแนนเต็ม]:[คะแนนเต็ม]]),"",(tbl_task1[60]/tbl_task1[[คะแนนเต็ม]:[คะแนนเต็ม]])*tbl_task1[[%]:[%]])</f>
        <v/>
      </c>
      <c r="HW17" s="121" t="str">
        <f>IF(ISBLANK(tbl_task1[[คะแนนเต็ม]:[คะแนนเต็ม]]),"",(tbl_task1[61]/tbl_task1[[คะแนนเต็ม]:[คะแนนเต็ม]])*tbl_task1[[%]:[%]])</f>
        <v/>
      </c>
      <c r="HX17" s="121" t="str">
        <f>IF(ISBLANK(tbl_task1[[คะแนนเต็ม]:[คะแนนเต็ม]]),"",(tbl_task1[62]/tbl_task1[[คะแนนเต็ม]:[คะแนนเต็ม]])*tbl_task1[[%]:[%]])</f>
        <v/>
      </c>
      <c r="HY17" s="121" t="str">
        <f>IF(ISBLANK(tbl_task1[[คะแนนเต็ม]:[คะแนนเต็ม]]),"",(tbl_task1[63]/tbl_task1[[คะแนนเต็ม]:[คะแนนเต็ม]])*tbl_task1[[%]:[%]])</f>
        <v/>
      </c>
      <c r="HZ17" s="121" t="str">
        <f>IF(ISBLANK(tbl_task1[[คะแนนเต็ม]:[คะแนนเต็ม]]),"",(tbl_task1[64]/tbl_task1[[คะแนนเต็ม]:[คะแนนเต็ม]])*tbl_task1[[%]:[%]])</f>
        <v/>
      </c>
      <c r="IA17" s="121" t="str">
        <f>IF(ISBLANK(tbl_task1[[คะแนนเต็ม]:[คะแนนเต็ม]]),"",(tbl_task1[65]/tbl_task1[[คะแนนเต็ม]:[คะแนนเต็ม]])*tbl_task1[[%]:[%]])</f>
        <v/>
      </c>
      <c r="IB17" s="121" t="str">
        <f>IF(ISBLANK(tbl_task1[[คะแนนเต็ม]:[คะแนนเต็ม]]),"",(tbl_task1[66]/tbl_task1[[คะแนนเต็ม]:[คะแนนเต็ม]])*tbl_task1[[%]:[%]])</f>
        <v/>
      </c>
      <c r="IC17" s="121" t="str">
        <f>IF(ISBLANK(tbl_task1[[คะแนนเต็ม]:[คะแนนเต็ม]]),"",(tbl_task1[67]/tbl_task1[[คะแนนเต็ม]:[คะแนนเต็ม]])*tbl_task1[[%]:[%]])</f>
        <v/>
      </c>
      <c r="ID17" s="121" t="str">
        <f>IF(ISBLANK(tbl_task1[[คะแนนเต็ม]:[คะแนนเต็ม]]),"",(tbl_task1[68]/tbl_task1[[คะแนนเต็ม]:[คะแนนเต็ม]])*tbl_task1[[%]:[%]])</f>
        <v/>
      </c>
      <c r="IE17" s="121" t="str">
        <f>IF(ISBLANK(tbl_task1[[คะแนนเต็ม]:[คะแนนเต็ม]]),"",(tbl_task1[69]/tbl_task1[[คะแนนเต็ม]:[คะแนนเต็ม]])*tbl_task1[[%]:[%]])</f>
        <v/>
      </c>
      <c r="IF17" s="121" t="str">
        <f>IF(ISBLANK(tbl_task1[[คะแนนเต็ม]:[คะแนนเต็ม]]),"",(tbl_task1[70]/tbl_task1[[คะแนนเต็ม]:[คะแนนเต็ม]])*tbl_task1[[%]:[%]])</f>
        <v/>
      </c>
      <c r="IG17" s="121" t="str">
        <f>IF(ISBLANK(tbl_task1[[คะแนนเต็ม]:[คะแนนเต็ม]]),"",(tbl_task1[71]/tbl_task1[[คะแนนเต็ม]:[คะแนนเต็ม]])*tbl_task1[[%]:[%]])</f>
        <v/>
      </c>
      <c r="IH17" s="121" t="str">
        <f>IF(ISBLANK(tbl_task1[[คะแนนเต็ม]:[คะแนนเต็ม]]),"",(tbl_task1[72]/tbl_task1[[คะแนนเต็ม]:[คะแนนเต็ม]])*tbl_task1[[%]:[%]])</f>
        <v/>
      </c>
      <c r="II17" s="121" t="str">
        <f>IF(ISBLANK(tbl_task1[[คะแนนเต็ม]:[คะแนนเต็ม]]),"",(tbl_task1[73]/tbl_task1[[คะแนนเต็ม]:[คะแนนเต็ม]])*tbl_task1[[%]:[%]])</f>
        <v/>
      </c>
      <c r="IJ17" s="121" t="str">
        <f>IF(ISBLANK(tbl_task1[[คะแนนเต็ม]:[คะแนนเต็ม]]),"",(tbl_task1[74]/tbl_task1[[คะแนนเต็ม]:[คะแนนเต็ม]])*tbl_task1[[%]:[%]])</f>
        <v/>
      </c>
      <c r="IK17" s="121" t="str">
        <f>IF(ISBLANK(tbl_task1[[คะแนนเต็ม]:[คะแนนเต็ม]]),"",(tbl_task1[75]/tbl_task1[[คะแนนเต็ม]:[คะแนนเต็ม]])*tbl_task1[[%]:[%]])</f>
        <v/>
      </c>
      <c r="IL17" s="121" t="str">
        <f>IF(ISBLANK(tbl_task1[[คะแนนเต็ม]:[คะแนนเต็ม]]),"",(tbl_task1[76]/tbl_task1[[คะแนนเต็ม]:[คะแนนเต็ม]])*tbl_task1[[%]:[%]])</f>
        <v/>
      </c>
      <c r="IM17" s="121" t="str">
        <f>IF(ISBLANK(tbl_task1[[คะแนนเต็ม]:[คะแนนเต็ม]]),"",(tbl_task1[77]/tbl_task1[[คะแนนเต็ม]:[คะแนนเต็ม]])*tbl_task1[[%]:[%]])</f>
        <v/>
      </c>
      <c r="IN17" s="121" t="str">
        <f>IF(ISBLANK(tbl_task1[[คะแนนเต็ม]:[คะแนนเต็ม]]),"",(tbl_task1[78]/tbl_task1[[คะแนนเต็ม]:[คะแนนเต็ม]])*tbl_task1[[%]:[%]])</f>
        <v/>
      </c>
      <c r="IO17" s="121" t="str">
        <f>IF(ISBLANK(tbl_task1[[คะแนนเต็ม]:[คะแนนเต็ม]]),"",(tbl_task1[79]/tbl_task1[[คะแนนเต็ม]:[คะแนนเต็ม]])*tbl_task1[[%]:[%]])</f>
        <v/>
      </c>
      <c r="IP17" s="121" t="str">
        <f>IF(ISBLANK(tbl_task1[[คะแนนเต็ม]:[คะแนนเต็ม]]),"",(tbl_task1[80]/tbl_task1[[คะแนนเต็ม]:[คะแนนเต็ม]])*tbl_task1[[%]:[%]])</f>
        <v/>
      </c>
      <c r="IQ17" s="121" t="str">
        <f>IF(ISBLANK(tbl_task1[[คะแนนเต็ม]:[คะแนนเต็ม]]),"",(tbl_task1[81]/tbl_task1[[คะแนนเต็ม]:[คะแนนเต็ม]])*tbl_task1[[%]:[%]])</f>
        <v/>
      </c>
      <c r="IR17" s="121" t="str">
        <f>IF(ISBLANK(tbl_task1[[คะแนนเต็ม]:[คะแนนเต็ม]]),"",(tbl_task1[82]/tbl_task1[[คะแนนเต็ม]:[คะแนนเต็ม]])*tbl_task1[[%]:[%]])</f>
        <v/>
      </c>
      <c r="IS17" s="121" t="str">
        <f>IF(ISBLANK(tbl_task1[[คะแนนเต็ม]:[คะแนนเต็ม]]),"",(tbl_task1[83]/tbl_task1[[คะแนนเต็ม]:[คะแนนเต็ม]])*tbl_task1[[%]:[%]])</f>
        <v/>
      </c>
      <c r="IT17" s="121" t="str">
        <f>IF(ISBLANK(tbl_task1[[คะแนนเต็ม]:[คะแนนเต็ม]]),"",(tbl_task1[84]/tbl_task1[[คะแนนเต็ม]:[คะแนนเต็ม]])*tbl_task1[[%]:[%]])</f>
        <v/>
      </c>
      <c r="IU17" s="121" t="str">
        <f>IF(ISBLANK(tbl_task1[[คะแนนเต็ม]:[คะแนนเต็ม]]),"",(tbl_task1[85]/tbl_task1[[คะแนนเต็ม]:[คะแนนเต็ม]])*tbl_task1[[%]:[%]])</f>
        <v/>
      </c>
      <c r="IV17" s="121" t="str">
        <f>IF(ISBLANK(tbl_task1[[คะแนนเต็ม]:[คะแนนเต็ม]]),"",(tbl_task1[86]/tbl_task1[[คะแนนเต็ม]:[คะแนนเต็ม]])*tbl_task1[[%]:[%]])</f>
        <v/>
      </c>
      <c r="IW17" s="121" t="str">
        <f>IF(ISBLANK(tbl_task1[[คะแนนเต็ม]:[คะแนนเต็ม]]),"",(tbl_task1[87]/tbl_task1[[คะแนนเต็ม]:[คะแนนเต็ม]])*tbl_task1[[%]:[%]])</f>
        <v/>
      </c>
      <c r="IX17" s="121" t="str">
        <f>IF(ISBLANK(tbl_task1[[คะแนนเต็ม]:[คะแนนเต็ม]]),"",(tbl_task1[88]/tbl_task1[[คะแนนเต็ม]:[คะแนนเต็ม]])*tbl_task1[[%]:[%]])</f>
        <v/>
      </c>
      <c r="IY17" s="121" t="str">
        <f>IF(ISBLANK(tbl_task1[[คะแนนเต็ม]:[คะแนนเต็ม]]),"",(tbl_task1[89]/tbl_task1[[คะแนนเต็ม]:[คะแนนเต็ม]])*tbl_task1[[%]:[%]])</f>
        <v/>
      </c>
      <c r="IZ17" s="121" t="str">
        <f>IF(ISBLANK(tbl_task1[[คะแนนเต็ม]:[คะแนนเต็ม]]),"",(tbl_task1[90]/tbl_task1[[คะแนนเต็ม]:[คะแนนเต็ม]])*tbl_task1[[%]:[%]])</f>
        <v/>
      </c>
      <c r="JA17" s="121" t="str">
        <f>IF(ISBLANK(tbl_task1[[คะแนนเต็ม]:[คะแนนเต็ม]]),"",(tbl_task1[91]/tbl_task1[[คะแนนเต็ม]:[คะแนนเต็ม]])*tbl_task1[[%]:[%]])</f>
        <v/>
      </c>
      <c r="JB17" s="121" t="str">
        <f>IF(ISBLANK(tbl_task1[[คะแนนเต็ม]:[คะแนนเต็ม]]),"",(tbl_task1[92]/tbl_task1[[คะแนนเต็ม]:[คะแนนเต็ม]])*tbl_task1[[%]:[%]])</f>
        <v/>
      </c>
      <c r="JC17" s="121" t="str">
        <f>IF(ISBLANK(tbl_task1[[คะแนนเต็ม]:[คะแนนเต็ม]]),"",(tbl_task1[93]/tbl_task1[[คะแนนเต็ม]:[คะแนนเต็ม]])*tbl_task1[[%]:[%]])</f>
        <v/>
      </c>
      <c r="JD17" s="121" t="str">
        <f>IF(ISBLANK(tbl_task1[[คะแนนเต็ม]:[คะแนนเต็ม]]),"",(tbl_task1[94]/tbl_task1[[คะแนนเต็ม]:[คะแนนเต็ม]])*tbl_task1[[%]:[%]])</f>
        <v/>
      </c>
      <c r="JE17" s="121" t="str">
        <f>IF(ISBLANK(tbl_task1[[คะแนนเต็ม]:[คะแนนเต็ม]]),"",(tbl_task1[95]/tbl_task1[[คะแนนเต็ม]:[คะแนนเต็ม]])*tbl_task1[[%]:[%]])</f>
        <v/>
      </c>
      <c r="JF17" s="121" t="str">
        <f>IF(ISBLANK(tbl_task1[[คะแนนเต็ม]:[คะแนนเต็ม]]),"",(tbl_task1[96]/tbl_task1[[คะแนนเต็ม]:[คะแนนเต็ม]])*tbl_task1[[%]:[%]])</f>
        <v/>
      </c>
      <c r="JG17" s="121" t="str">
        <f>IF(ISBLANK(tbl_task1[[คะแนนเต็ม]:[คะแนนเต็ม]]),"",(tbl_task1[97]/tbl_task1[[คะแนนเต็ม]:[คะแนนเต็ม]])*tbl_task1[[%]:[%]])</f>
        <v/>
      </c>
      <c r="JH17" s="121" t="str">
        <f>IF(ISBLANK(tbl_task1[[คะแนนเต็ม]:[คะแนนเต็ม]]),"",(tbl_task1[98]/tbl_task1[[คะแนนเต็ม]:[คะแนนเต็ม]])*tbl_task1[[%]:[%]])</f>
        <v/>
      </c>
      <c r="JI17" s="121" t="str">
        <f>IF(ISBLANK(tbl_task1[[คะแนนเต็ม]:[คะแนนเต็ม]]),"",(tbl_task1[99]/tbl_task1[[คะแนนเต็ม]:[คะแนนเต็ม]])*tbl_task1[[%]:[%]])</f>
        <v/>
      </c>
      <c r="JJ17" s="121" t="str">
        <f>IF(ISBLANK(tbl_task1[[คะแนนเต็ม]:[คะแนนเต็ม]]),"",(tbl_task1[100]/tbl_task1[[คะแนนเต็ม]:[คะแนนเต็ม]])*tbl_task1[[%]:[%]])</f>
        <v/>
      </c>
      <c r="JK17" s="121" t="str">
        <f>IF(ISBLANK(tbl_task1[[คะแนนเต็ม]:[คะแนนเต็ม]]),"",(tbl_task1[101]/tbl_task1[[คะแนนเต็ม]:[คะแนนเต็ม]])*tbl_task1[[%]:[%]])</f>
        <v/>
      </c>
      <c r="JL17" s="121" t="str">
        <f>IF(ISBLANK(tbl_task1[[คะแนนเต็ม]:[คะแนนเต็ม]]),"",(tbl_task1[102]/tbl_task1[[คะแนนเต็ม]:[คะแนนเต็ม]])*tbl_task1[[%]:[%]])</f>
        <v/>
      </c>
      <c r="JM17" s="121" t="str">
        <f>IF(ISBLANK(tbl_task1[[คะแนนเต็ม]:[คะแนนเต็ม]]),"",(tbl_task1[103]/tbl_task1[[คะแนนเต็ม]:[คะแนนเต็ม]])*tbl_task1[[%]:[%]])</f>
        <v/>
      </c>
      <c r="JN17" s="121" t="str">
        <f>IF(ISBLANK(tbl_task1[[คะแนนเต็ม]:[คะแนนเต็ม]]),"",(tbl_task1[104]/tbl_task1[[คะแนนเต็ม]:[คะแนนเต็ม]])*tbl_task1[[%]:[%]])</f>
        <v/>
      </c>
      <c r="JO17" s="121" t="str">
        <f>IF(ISBLANK(tbl_task1[[คะแนนเต็ม]:[คะแนนเต็ม]]),"",(tbl_task1[105]/tbl_task1[[คะแนนเต็ม]:[คะแนนเต็ม]])*tbl_task1[[%]:[%]])</f>
        <v/>
      </c>
      <c r="JP17" s="121" t="str">
        <f>IF(ISBLANK(tbl_task1[[คะแนนเต็ม]:[คะแนนเต็ม]]),"",(tbl_task1[106]/tbl_task1[[คะแนนเต็ม]:[คะแนนเต็ม]])*tbl_task1[[%]:[%]])</f>
        <v/>
      </c>
      <c r="JQ17" s="121" t="str">
        <f>IF(ISBLANK(tbl_task1[[คะแนนเต็ม]:[คะแนนเต็ม]]),"",(tbl_task1[107]/tbl_task1[[คะแนนเต็ม]:[คะแนนเต็ม]])*tbl_task1[[%]:[%]])</f>
        <v/>
      </c>
      <c r="JR17" s="121" t="str">
        <f>IF(ISBLANK(tbl_task1[[คะแนนเต็ม]:[คะแนนเต็ม]]),"",(tbl_task1[108]/tbl_task1[[คะแนนเต็ม]:[คะแนนเต็ม]])*tbl_task1[[%]:[%]])</f>
        <v/>
      </c>
      <c r="JS17" s="121" t="str">
        <f>IF(ISBLANK(tbl_task1[[คะแนนเต็ม]:[คะแนนเต็ม]]),"",(tbl_task1[109]/tbl_task1[[คะแนนเต็ม]:[คะแนนเต็ม]])*tbl_task1[[%]:[%]])</f>
        <v/>
      </c>
      <c r="JT17" s="121" t="str">
        <f>IF(ISBLANK(tbl_task1[[คะแนนเต็ม]:[คะแนนเต็ม]]),"",(tbl_task1[110]/tbl_task1[[คะแนนเต็ม]:[คะแนนเต็ม]])*tbl_task1[[%]:[%]])</f>
        <v/>
      </c>
      <c r="JU17" s="121" t="str">
        <f>IF(ISBLANK(tbl_task1[[คะแนนเต็ม]:[คะแนนเต็ม]]),"",(tbl_task1[111]/tbl_task1[[คะแนนเต็ม]:[คะแนนเต็ม]])*tbl_task1[[%]:[%]])</f>
        <v/>
      </c>
      <c r="JV17" s="121" t="str">
        <f>IF(ISBLANK(tbl_task1[[คะแนนเต็ม]:[คะแนนเต็ม]]),"",(tbl_task1[112]/tbl_task1[[คะแนนเต็ม]:[คะแนนเต็ม]])*tbl_task1[[%]:[%]])</f>
        <v/>
      </c>
      <c r="JW17" s="121" t="str">
        <f>IF(ISBLANK(tbl_task1[[คะแนนเต็ม]:[คะแนนเต็ม]]),"",(tbl_task1[113]/tbl_task1[[คะแนนเต็ม]:[คะแนนเต็ม]])*tbl_task1[[%]:[%]])</f>
        <v/>
      </c>
      <c r="JX17" s="121" t="str">
        <f>IF(ISBLANK(tbl_task1[[คะแนนเต็ม]:[คะแนนเต็ม]]),"",(tbl_task1[114]/tbl_task1[[คะแนนเต็ม]:[คะแนนเต็ม]])*tbl_task1[[%]:[%]])</f>
        <v/>
      </c>
      <c r="JY17" s="121" t="str">
        <f>IF(ISBLANK(tbl_task1[[คะแนนเต็ม]:[คะแนนเต็ม]]),"",(tbl_task1[115]/tbl_task1[[คะแนนเต็ม]:[คะแนนเต็ม]])*tbl_task1[[%]:[%]])</f>
        <v/>
      </c>
      <c r="JZ17" s="121" t="str">
        <f>IF(ISBLANK(tbl_task1[[คะแนนเต็ม]:[คะแนนเต็ม]]),"",(tbl_task1[116]/tbl_task1[[คะแนนเต็ม]:[คะแนนเต็ม]])*tbl_task1[[%]:[%]])</f>
        <v/>
      </c>
      <c r="KA17" s="121" t="str">
        <f>IF(ISBLANK(tbl_task1[[คะแนนเต็ม]:[คะแนนเต็ม]]),"",(tbl_task1[117]/tbl_task1[[คะแนนเต็ม]:[คะแนนเต็ม]])*tbl_task1[[%]:[%]])</f>
        <v/>
      </c>
      <c r="KB17" s="121" t="str">
        <f>IF(ISBLANK(tbl_task1[[คะแนนเต็ม]:[คะแนนเต็ม]]),"",(tbl_task1[118]/tbl_task1[[คะแนนเต็ม]:[คะแนนเต็ม]])*tbl_task1[[%]:[%]])</f>
        <v/>
      </c>
      <c r="KC17" s="121" t="str">
        <f>IF(ISBLANK(tbl_task1[[คะแนนเต็ม]:[คะแนนเต็ม]]),"",(tbl_task1[119]/tbl_task1[[คะแนนเต็ม]:[คะแนนเต็ม]])*tbl_task1[[%]:[%]])</f>
        <v/>
      </c>
      <c r="KD17" s="121" t="str">
        <f>IF(ISBLANK(tbl_task1[[คะแนนเต็ม]:[คะแนนเต็ม]]),"",(tbl_task1[120]/tbl_task1[[คะแนนเต็ม]:[คะแนนเต็ม]])*tbl_task1[[%]:[%]])</f>
        <v/>
      </c>
      <c r="KE17" s="121" t="str">
        <f>IF(ISBLANK(tbl_task1[[คะแนนเต็ม]:[คะแนนเต็ม]]),"",(tbl_task1[121]/tbl_task1[[คะแนนเต็ม]:[คะแนนเต็ม]])*tbl_task1[[%]:[%]])</f>
        <v/>
      </c>
      <c r="KF17" s="121" t="str">
        <f>IF(ISBLANK(tbl_task1[[คะแนนเต็ม]:[คะแนนเต็ม]]),"",(tbl_task1[122]/tbl_task1[[คะแนนเต็ม]:[คะแนนเต็ม]])*tbl_task1[[%]:[%]])</f>
        <v/>
      </c>
      <c r="KG17" s="121" t="str">
        <f>IF(ISBLANK(tbl_task1[[คะแนนเต็ม]:[คะแนนเต็ม]]),"",(tbl_task1[123]/tbl_task1[[คะแนนเต็ม]:[คะแนนเต็ม]])*tbl_task1[[%]:[%]])</f>
        <v/>
      </c>
      <c r="KH17" s="121" t="str">
        <f>IF(ISBLANK(tbl_task1[[คะแนนเต็ม]:[คะแนนเต็ม]]),"",(tbl_task1[124]/tbl_task1[[คะแนนเต็ม]:[คะแนนเต็ม]])*tbl_task1[[%]:[%]])</f>
        <v/>
      </c>
      <c r="KI17" s="121" t="str">
        <f>IF(ISBLANK(tbl_task1[[คะแนนเต็ม]:[คะแนนเต็ม]]),"",(tbl_task1[125]/tbl_task1[[คะแนนเต็ม]:[คะแนนเต็ม]])*tbl_task1[[%]:[%]])</f>
        <v/>
      </c>
      <c r="KJ17" s="121" t="str">
        <f>IF(ISBLANK(tbl_task1[[คะแนนเต็ม]:[คะแนนเต็ม]]),"",(tbl_task1[126]/tbl_task1[[คะแนนเต็ม]:[คะแนนเต็ม]])*tbl_task1[[%]:[%]])</f>
        <v/>
      </c>
      <c r="KK17" s="121" t="str">
        <f>IF(ISBLANK(tbl_task1[[คะแนนเต็ม]:[คะแนนเต็ม]]),"",(tbl_task1[127]/tbl_task1[[คะแนนเต็ม]:[คะแนนเต็ม]])*tbl_task1[[%]:[%]])</f>
        <v/>
      </c>
      <c r="KL17" s="121" t="str">
        <f>IF(ISBLANK(tbl_task1[[คะแนนเต็ม]:[คะแนนเต็ม]]),"",(tbl_task1[128]/tbl_task1[[คะแนนเต็ม]:[คะแนนเต็ม]])*tbl_task1[[%]:[%]])</f>
        <v/>
      </c>
      <c r="KM17" s="121" t="str">
        <f>IF(ISBLANK(tbl_task1[[คะแนนเต็ม]:[คะแนนเต็ม]]),"",(tbl_task1[129]/tbl_task1[[คะแนนเต็ม]:[คะแนนเต็ม]])*tbl_task1[[%]:[%]])</f>
        <v/>
      </c>
      <c r="KN17" s="121" t="str">
        <f>IF(ISBLANK(tbl_task1[[คะแนนเต็ม]:[คะแนนเต็ม]]),"",(tbl_task1[130]/tbl_task1[[คะแนนเต็ม]:[คะแนนเต็ม]])*tbl_task1[[%]:[%]])</f>
        <v/>
      </c>
      <c r="KO17" s="121" t="str">
        <f>IF(ISBLANK(tbl_task1[[คะแนนเต็ม]:[คะแนนเต็ม]]),"",(tbl_task1[131]/tbl_task1[[คะแนนเต็ม]:[คะแนนเต็ม]])*tbl_task1[[%]:[%]])</f>
        <v/>
      </c>
      <c r="KP17" s="121" t="str">
        <f>IF(ISBLANK(tbl_task1[[คะแนนเต็ม]:[คะแนนเต็ม]]),"",(tbl_task1[132]/tbl_task1[[คะแนนเต็ม]:[คะแนนเต็ม]])*tbl_task1[[%]:[%]])</f>
        <v/>
      </c>
      <c r="KQ17" s="121" t="str">
        <f>IF(ISBLANK(tbl_task1[[คะแนนเต็ม]:[คะแนนเต็ม]]),"",(tbl_task1[133]/tbl_task1[[คะแนนเต็ม]:[คะแนนเต็ม]])*tbl_task1[[%]:[%]])</f>
        <v/>
      </c>
      <c r="KR17" s="121" t="str">
        <f>IF(ISBLANK(tbl_task1[[คะแนนเต็ม]:[คะแนนเต็ม]]),"",(tbl_task1[134]/tbl_task1[[คะแนนเต็ม]:[คะแนนเต็ม]])*tbl_task1[[%]:[%]])</f>
        <v/>
      </c>
      <c r="KS17" s="121" t="str">
        <f>IF(ISBLANK(tbl_task1[[คะแนนเต็ม]:[คะแนนเต็ม]]),"",(tbl_task1[135]/tbl_task1[[คะแนนเต็ม]:[คะแนนเต็ม]])*tbl_task1[[%]:[%]])</f>
        <v/>
      </c>
      <c r="KT17" s="121" t="str">
        <f>IF(ISBLANK(tbl_task1[[คะแนนเต็ม]:[คะแนนเต็ม]]),"",(tbl_task1[136]/tbl_task1[[คะแนนเต็ม]:[คะแนนเต็ม]])*tbl_task1[[%]:[%]])</f>
        <v/>
      </c>
      <c r="KU17" s="121" t="str">
        <f>IF(ISBLANK(tbl_task1[[คะแนนเต็ม]:[คะแนนเต็ม]]),"",(tbl_task1[137]/tbl_task1[[คะแนนเต็ม]:[คะแนนเต็ม]])*tbl_task1[[%]:[%]])</f>
        <v/>
      </c>
      <c r="KV17" s="121" t="str">
        <f>IF(ISBLANK(tbl_task1[[คะแนนเต็ม]:[คะแนนเต็ม]]),"",(tbl_task1[138]/tbl_task1[[คะแนนเต็ม]:[คะแนนเต็ม]])*tbl_task1[[%]:[%]])</f>
        <v/>
      </c>
      <c r="KW17" s="121" t="str">
        <f>IF(ISBLANK(tbl_task1[[คะแนนเต็ม]:[คะแนนเต็ม]]),"",(tbl_task1[139]/tbl_task1[[คะแนนเต็ม]:[คะแนนเต็ม]])*tbl_task1[[%]:[%]])</f>
        <v/>
      </c>
      <c r="KX17" s="121" t="str">
        <f>IF(ISBLANK(tbl_task1[[คะแนนเต็ม]:[คะแนนเต็ม]]),"",(tbl_task1[140]/tbl_task1[[คะแนนเต็ม]:[คะแนนเต็ม]])*tbl_task1[[%]:[%]])</f>
        <v/>
      </c>
      <c r="KY17" s="121" t="str">
        <f>IF(ISBLANK(tbl_task1[[คะแนนเต็ม]:[คะแนนเต็ม]]),"",(tbl_task1[141]/tbl_task1[[คะแนนเต็ม]:[คะแนนเต็ม]])*tbl_task1[[%]:[%]])</f>
        <v/>
      </c>
      <c r="KZ17" s="121" t="str">
        <f>IF(ISBLANK(tbl_task1[[คะแนนเต็ม]:[คะแนนเต็ม]]),"",(tbl_task1[142]/tbl_task1[[คะแนนเต็ม]:[คะแนนเต็ม]])*tbl_task1[[%]:[%]])</f>
        <v/>
      </c>
      <c r="LA17" s="121" t="str">
        <f>IF(ISBLANK(tbl_task1[[คะแนนเต็ม]:[คะแนนเต็ม]]),"",(tbl_task1[143]/tbl_task1[[คะแนนเต็ม]:[คะแนนเต็ม]])*tbl_task1[[%]:[%]])</f>
        <v/>
      </c>
      <c r="LB17" s="121" t="str">
        <f>IF(ISBLANK(tbl_task1[[คะแนนเต็ม]:[คะแนนเต็ม]]),"",(tbl_task1[144]/tbl_task1[[คะแนนเต็ม]:[คะแนนเต็ม]])*tbl_task1[[%]:[%]])</f>
        <v/>
      </c>
      <c r="LC17" s="121" t="str">
        <f>IF(ISBLANK(tbl_task1[[คะแนนเต็ม]:[คะแนนเต็ม]]),"",(tbl_task1[145]/tbl_task1[[คะแนนเต็ม]:[คะแนนเต็ม]])*tbl_task1[[%]:[%]])</f>
        <v/>
      </c>
      <c r="LD17" s="121" t="str">
        <f>IF(ISBLANK(tbl_task1[[คะแนนเต็ม]:[คะแนนเต็ม]]),"",(tbl_task1[146]/tbl_task1[[คะแนนเต็ม]:[คะแนนเต็ม]])*tbl_task1[[%]:[%]])</f>
        <v/>
      </c>
      <c r="LE17" s="121" t="str">
        <f>IF(ISBLANK(tbl_task1[[คะแนนเต็ม]:[คะแนนเต็ม]]),"",(tbl_task1[147]/tbl_task1[[คะแนนเต็ม]:[คะแนนเต็ม]])*tbl_task1[[%]:[%]])</f>
        <v/>
      </c>
      <c r="LF17" s="121" t="str">
        <f>IF(ISBLANK(tbl_task1[[คะแนนเต็ม]:[คะแนนเต็ม]]),"",(tbl_task1[148]/tbl_task1[[คะแนนเต็ม]:[คะแนนเต็ม]])*tbl_task1[[%]:[%]])</f>
        <v/>
      </c>
      <c r="LG17" s="121" t="str">
        <f>IF(ISBLANK(tbl_task1[[คะแนนเต็ม]:[คะแนนเต็ม]]),"",(tbl_task1[149]/tbl_task1[[คะแนนเต็ม]:[คะแนนเต็ม]])*tbl_task1[[%]:[%]])</f>
        <v/>
      </c>
      <c r="LH17" s="121" t="str">
        <f>IF(ISBLANK(tbl_task1[[คะแนนเต็ม]:[คะแนนเต็ม]]),"",(tbl_task1[150]/tbl_task1[[คะแนนเต็ม]:[คะแนนเต็ม]])*tbl_task1[[%]:[%]])</f>
        <v/>
      </c>
      <c r="LI17" s="121" t="str">
        <f>IF(ISBLANK(tbl_task1[[คะแนนเต็ม]:[คะแนนเต็ม]]),"",(tbl_task1[151]/tbl_task1[[คะแนนเต็ม]:[คะแนนเต็ม]])*tbl_task1[[%]:[%]])</f>
        <v/>
      </c>
      <c r="LJ17" s="121" t="str">
        <f>IF(ISBLANK(tbl_task1[[คะแนนเต็ม]:[คะแนนเต็ม]]),"",(tbl_task1[152]/tbl_task1[[คะแนนเต็ม]:[คะแนนเต็ม]])*tbl_task1[[%]:[%]])</f>
        <v/>
      </c>
      <c r="LK17" s="121" t="str">
        <f>IF(ISBLANK(tbl_task1[[คะแนนเต็ม]:[คะแนนเต็ม]]),"",(tbl_task1[153]/tbl_task1[[คะแนนเต็ม]:[คะแนนเต็ม]])*tbl_task1[[%]:[%]])</f>
        <v/>
      </c>
      <c r="LL17" s="121" t="str">
        <f>IF(ISBLANK(tbl_task1[[คะแนนเต็ม]:[คะแนนเต็ม]]),"",(tbl_task1[154]/tbl_task1[[คะแนนเต็ม]:[คะแนนเต็ม]])*tbl_task1[[%]:[%]])</f>
        <v/>
      </c>
      <c r="LM17" s="121" t="str">
        <f>IF(ISBLANK(tbl_task1[[คะแนนเต็ม]:[คะแนนเต็ม]]),"",(tbl_task1[155]/tbl_task1[[คะแนนเต็ม]:[คะแนนเต็ม]])*tbl_task1[[%]:[%]])</f>
        <v/>
      </c>
      <c r="LN17" s="121" t="str">
        <f>IF(ISBLANK(tbl_task1[[คะแนนเต็ม]:[คะแนนเต็ม]]),"",(tbl_task1[156]/tbl_task1[[คะแนนเต็ม]:[คะแนนเต็ม]])*tbl_task1[[%]:[%]])</f>
        <v/>
      </c>
      <c r="LO17" s="121" t="str">
        <f>IF(ISBLANK(tbl_task1[[คะแนนเต็ม]:[คะแนนเต็ม]]),"",(tbl_task1[157]/tbl_task1[[คะแนนเต็ม]:[คะแนนเต็ม]])*tbl_task1[[%]:[%]])</f>
        <v/>
      </c>
      <c r="LP17" s="121" t="str">
        <f>IF(ISBLANK(tbl_task1[[คะแนนเต็ม]:[คะแนนเต็ม]]),"",(tbl_task1[158]/tbl_task1[[คะแนนเต็ม]:[คะแนนเต็ม]])*tbl_task1[[%]:[%]])</f>
        <v/>
      </c>
      <c r="LQ17" s="121" t="str">
        <f>IF(ISBLANK(tbl_task1[[คะแนนเต็ม]:[คะแนนเต็ม]]),"",(tbl_task1[159]/tbl_task1[[คะแนนเต็ม]:[คะแนนเต็ม]])*tbl_task1[[%]:[%]])</f>
        <v/>
      </c>
      <c r="LR17" s="121" t="str">
        <f>IF(ISBLANK(tbl_task1[[คะแนนเต็ม]:[คะแนนเต็ม]]),"",(tbl_task1[160]/tbl_task1[[คะแนนเต็ม]:[คะแนนเต็ม]])*tbl_task1[[%]:[%]])</f>
        <v/>
      </c>
      <c r="LS17" s="121" t="str">
        <f>IF(ISBLANK(tbl_task1[[คะแนนเต็ม]:[คะแนนเต็ม]]),"",(tbl_task1[161]/tbl_task1[[คะแนนเต็ม]:[คะแนนเต็ม]])*tbl_task1[[%]:[%]])</f>
        <v/>
      </c>
      <c r="LT17" s="121" t="str">
        <f>IF(ISBLANK(tbl_task1[[คะแนนเต็ม]:[คะแนนเต็ม]]),"",(tbl_task1[162]/tbl_task1[[คะแนนเต็ม]:[คะแนนเต็ม]])*tbl_task1[[%]:[%]])</f>
        <v/>
      </c>
      <c r="LU17" s="121" t="str">
        <f>IF(ISBLANK(tbl_task1[[คะแนนเต็ม]:[คะแนนเต็ม]]),"",(tbl_task1[163]/tbl_task1[[คะแนนเต็ม]:[คะแนนเต็ม]])*tbl_task1[[%]:[%]])</f>
        <v/>
      </c>
      <c r="LV17" s="121" t="str">
        <f>IF(ISBLANK(tbl_task1[[คะแนนเต็ม]:[คะแนนเต็ม]]),"",(tbl_task1[164]/tbl_task1[[คะแนนเต็ม]:[คะแนนเต็ม]])*tbl_task1[[%]:[%]])</f>
        <v/>
      </c>
      <c r="LW17" s="121" t="str">
        <f>IF(ISBLANK(tbl_task1[[คะแนนเต็ม]:[คะแนนเต็ม]]),"",(tbl_task1[165]/tbl_task1[[คะแนนเต็ม]:[คะแนนเต็ม]])*tbl_task1[[%]:[%]])</f>
        <v/>
      </c>
    </row>
    <row r="18" spans="1:335" ht="24" customHeight="1" x14ac:dyDescent="0.25">
      <c r="A18" s="24">
        <v>15</v>
      </c>
      <c r="B18" s="20"/>
      <c r="C18" s="5" t="str">
        <f>IF(ISBLANK(B18),"",VLOOKUP(B18,tbl_PLOs[],2,0))</f>
        <v/>
      </c>
      <c r="D18" s="102"/>
      <c r="E18" s="106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121" t="str">
        <f>IF(ISBLANK(tbl_task1[[คะแนนเต็ม]:[คะแนนเต็ม]]),"",(tbl_task1[1]/tbl_task1[[คะแนนเต็ม]:[คะแนนเต็ม]])*tbl_task1[[%]:[%]])</f>
        <v/>
      </c>
      <c r="FP18" s="121" t="str">
        <f>IF(ISBLANK(tbl_task1[[คะแนนเต็ม]:[คะแนนเต็ม]]),"",(tbl_task1[2]/tbl_task1[[คะแนนเต็ม]:[คะแนนเต็ม]])*tbl_task1[[%]:[%]])</f>
        <v/>
      </c>
      <c r="FQ18" s="121" t="str">
        <f>IF(ISBLANK(tbl_task1[[คะแนนเต็ม]:[คะแนนเต็ม]]),"",(tbl_task1[3]/tbl_task1[[คะแนนเต็ม]:[คะแนนเต็ม]])*tbl_task1[[%]:[%]])</f>
        <v/>
      </c>
      <c r="FR18" s="121" t="str">
        <f>IF(ISBLANK(tbl_task1[[คะแนนเต็ม]:[คะแนนเต็ม]]),"",(tbl_task1[4]/tbl_task1[[คะแนนเต็ม]:[คะแนนเต็ม]])*tbl_task1[[%]:[%]])</f>
        <v/>
      </c>
      <c r="FS18" s="121" t="str">
        <f>IF(ISBLANK(tbl_task1[[คะแนนเต็ม]:[คะแนนเต็ม]]),"",(tbl_task1[5]/tbl_task1[[คะแนนเต็ม]:[คะแนนเต็ม]])*tbl_task1[[%]:[%]])</f>
        <v/>
      </c>
      <c r="FT18" s="121" t="str">
        <f>IF(ISBLANK(tbl_task1[[คะแนนเต็ม]:[คะแนนเต็ม]]),"",(tbl_task1[6]/tbl_task1[[คะแนนเต็ม]:[คะแนนเต็ม]])*tbl_task1[[%]:[%]])</f>
        <v/>
      </c>
      <c r="FU18" s="121" t="str">
        <f>IF(ISBLANK(tbl_task1[[คะแนนเต็ม]:[คะแนนเต็ม]]),"",(tbl_task1[7]/tbl_task1[[คะแนนเต็ม]:[คะแนนเต็ม]])*tbl_task1[[%]:[%]])</f>
        <v/>
      </c>
      <c r="FV18" s="121" t="str">
        <f>IF(ISBLANK(tbl_task1[[คะแนนเต็ม]:[คะแนนเต็ม]]),"",(tbl_task1[8]/tbl_task1[[คะแนนเต็ม]:[คะแนนเต็ม]])*tbl_task1[[%]:[%]])</f>
        <v/>
      </c>
      <c r="FW18" s="121" t="str">
        <f>IF(ISBLANK(tbl_task1[[คะแนนเต็ม]:[คะแนนเต็ม]]),"",(tbl_task1[9]/tbl_task1[[คะแนนเต็ม]:[คะแนนเต็ม]])*tbl_task1[[%]:[%]])</f>
        <v/>
      </c>
      <c r="FX18" s="121" t="str">
        <f>IF(ISBLANK(tbl_task1[[คะแนนเต็ม]:[คะแนนเต็ม]]),"",(tbl_task1[10]/tbl_task1[[คะแนนเต็ม]:[คะแนนเต็ม]])*tbl_task1[[%]:[%]])</f>
        <v/>
      </c>
      <c r="FY18" s="121" t="str">
        <f>IF(ISBLANK(tbl_task1[[คะแนนเต็ม]:[คะแนนเต็ม]]),"",(tbl_task1[11]/tbl_task1[[คะแนนเต็ม]:[คะแนนเต็ม]])*tbl_task1[[%]:[%]])</f>
        <v/>
      </c>
      <c r="FZ18" s="121" t="str">
        <f>IF(ISBLANK(tbl_task1[[คะแนนเต็ม]:[คะแนนเต็ม]]),"",(tbl_task1[12]/tbl_task1[[คะแนนเต็ม]:[คะแนนเต็ม]])*tbl_task1[[%]:[%]])</f>
        <v/>
      </c>
      <c r="GA18" s="121" t="str">
        <f>IF(ISBLANK(tbl_task1[[คะแนนเต็ม]:[คะแนนเต็ม]]),"",(tbl_task1[13]/tbl_task1[[คะแนนเต็ม]:[คะแนนเต็ม]])*tbl_task1[[%]:[%]])</f>
        <v/>
      </c>
      <c r="GB18" s="121" t="str">
        <f>IF(ISBLANK(tbl_task1[[คะแนนเต็ม]:[คะแนนเต็ม]]),"",(tbl_task1[14]/tbl_task1[[คะแนนเต็ม]:[คะแนนเต็ม]])*tbl_task1[[%]:[%]])</f>
        <v/>
      </c>
      <c r="GC18" s="121" t="str">
        <f>IF(ISBLANK(tbl_task1[[คะแนนเต็ม]:[คะแนนเต็ม]]),"",(tbl_task1[15]/tbl_task1[[คะแนนเต็ม]:[คะแนนเต็ม]])*tbl_task1[[%]:[%]])</f>
        <v/>
      </c>
      <c r="GD18" s="121" t="str">
        <f>IF(ISBLANK(tbl_task1[[คะแนนเต็ม]:[คะแนนเต็ม]]),"",(tbl_task1[16]/tbl_task1[[คะแนนเต็ม]:[คะแนนเต็ม]])*tbl_task1[[%]:[%]])</f>
        <v/>
      </c>
      <c r="GE18" s="121" t="str">
        <f>IF(ISBLANK(tbl_task1[[คะแนนเต็ม]:[คะแนนเต็ม]]),"",(tbl_task1[17]/tbl_task1[[คะแนนเต็ม]:[คะแนนเต็ม]])*tbl_task1[[%]:[%]])</f>
        <v/>
      </c>
      <c r="GF18" s="121" t="str">
        <f>IF(ISBLANK(tbl_task1[[คะแนนเต็ม]:[คะแนนเต็ม]]),"",(tbl_task1[18]/tbl_task1[[คะแนนเต็ม]:[คะแนนเต็ม]])*tbl_task1[[%]:[%]])</f>
        <v/>
      </c>
      <c r="GG18" s="121" t="str">
        <f>IF(ISBLANK(tbl_task1[[คะแนนเต็ม]:[คะแนนเต็ม]]),"",(tbl_task1[19]/tbl_task1[[คะแนนเต็ม]:[คะแนนเต็ม]])*tbl_task1[[%]:[%]])</f>
        <v/>
      </c>
      <c r="GH18" s="121" t="str">
        <f>IF(ISBLANK(tbl_task1[[คะแนนเต็ม]:[คะแนนเต็ม]]),"",(tbl_task1[20]/tbl_task1[[คะแนนเต็ม]:[คะแนนเต็ม]])*tbl_task1[[%]:[%]])</f>
        <v/>
      </c>
      <c r="GI18" s="121" t="str">
        <f>IF(ISBLANK(tbl_task1[[คะแนนเต็ม]:[คะแนนเต็ม]]),"",(tbl_task1[21]/tbl_task1[[คะแนนเต็ม]:[คะแนนเต็ม]])*tbl_task1[[%]:[%]])</f>
        <v/>
      </c>
      <c r="GJ18" s="121" t="str">
        <f>IF(ISBLANK(tbl_task1[[คะแนนเต็ม]:[คะแนนเต็ม]]),"",(tbl_task1[22]/tbl_task1[[คะแนนเต็ม]:[คะแนนเต็ม]])*tbl_task1[[%]:[%]])</f>
        <v/>
      </c>
      <c r="GK18" s="121" t="str">
        <f>IF(ISBLANK(tbl_task1[[คะแนนเต็ม]:[คะแนนเต็ม]]),"",(tbl_task1[23]/tbl_task1[[คะแนนเต็ม]:[คะแนนเต็ม]])*tbl_task1[[%]:[%]])</f>
        <v/>
      </c>
      <c r="GL18" s="121" t="str">
        <f>IF(ISBLANK(tbl_task1[[คะแนนเต็ม]:[คะแนนเต็ม]]),"",(tbl_task1[24]/tbl_task1[[คะแนนเต็ม]:[คะแนนเต็ม]])*tbl_task1[[%]:[%]])</f>
        <v/>
      </c>
      <c r="GM18" s="121" t="str">
        <f>IF(ISBLANK(tbl_task1[[คะแนนเต็ม]:[คะแนนเต็ม]]),"",(tbl_task1[25]/tbl_task1[[คะแนนเต็ม]:[คะแนนเต็ม]])*tbl_task1[[%]:[%]])</f>
        <v/>
      </c>
      <c r="GN18" s="121" t="str">
        <f>IF(ISBLANK(tbl_task1[[คะแนนเต็ม]:[คะแนนเต็ม]]),"",(tbl_task1[26]/tbl_task1[[คะแนนเต็ม]:[คะแนนเต็ม]])*tbl_task1[[%]:[%]])</f>
        <v/>
      </c>
      <c r="GO18" s="121" t="str">
        <f>IF(ISBLANK(tbl_task1[[คะแนนเต็ม]:[คะแนนเต็ม]]),"",(tbl_task1[27]/tbl_task1[[คะแนนเต็ม]:[คะแนนเต็ม]])*tbl_task1[[%]:[%]])</f>
        <v/>
      </c>
      <c r="GP18" s="121" t="str">
        <f>IF(ISBLANK(tbl_task1[[คะแนนเต็ม]:[คะแนนเต็ม]]),"",(tbl_task1[28]/tbl_task1[[คะแนนเต็ม]:[คะแนนเต็ม]])*tbl_task1[[%]:[%]])</f>
        <v/>
      </c>
      <c r="GQ18" s="121" t="str">
        <f>IF(ISBLANK(tbl_task1[[คะแนนเต็ม]:[คะแนนเต็ม]]),"",(tbl_task1[29]/tbl_task1[[คะแนนเต็ม]:[คะแนนเต็ม]])*tbl_task1[[%]:[%]])</f>
        <v/>
      </c>
      <c r="GR18" s="121" t="str">
        <f>IF(ISBLANK(tbl_task1[[คะแนนเต็ม]:[คะแนนเต็ม]]),"",(tbl_task1[30]/tbl_task1[[คะแนนเต็ม]:[คะแนนเต็ม]])*tbl_task1[[%]:[%]])</f>
        <v/>
      </c>
      <c r="GS18" s="121" t="str">
        <f>IF(ISBLANK(tbl_task1[[คะแนนเต็ม]:[คะแนนเต็ม]]),"",(tbl_task1[31]/tbl_task1[[คะแนนเต็ม]:[คะแนนเต็ม]])*tbl_task1[[%]:[%]])</f>
        <v/>
      </c>
      <c r="GT18" s="121" t="str">
        <f>IF(ISBLANK(tbl_task1[[คะแนนเต็ม]:[คะแนนเต็ม]]),"",(tbl_task1[32]/tbl_task1[[คะแนนเต็ม]:[คะแนนเต็ม]])*tbl_task1[[%]:[%]])</f>
        <v/>
      </c>
      <c r="GU18" s="121" t="str">
        <f>IF(ISBLANK(tbl_task1[[คะแนนเต็ม]:[คะแนนเต็ม]]),"",(tbl_task1[33]/tbl_task1[[คะแนนเต็ม]:[คะแนนเต็ม]])*tbl_task1[[%]:[%]])</f>
        <v/>
      </c>
      <c r="GV18" s="121" t="str">
        <f>IF(ISBLANK(tbl_task1[[คะแนนเต็ม]:[คะแนนเต็ม]]),"",(tbl_task1[34]/tbl_task1[[คะแนนเต็ม]:[คะแนนเต็ม]])*tbl_task1[[%]:[%]])</f>
        <v/>
      </c>
      <c r="GW18" s="121" t="str">
        <f>IF(ISBLANK(tbl_task1[[คะแนนเต็ม]:[คะแนนเต็ม]]),"",(tbl_task1[35]/tbl_task1[[คะแนนเต็ม]:[คะแนนเต็ม]])*tbl_task1[[%]:[%]])</f>
        <v/>
      </c>
      <c r="GX18" s="121" t="str">
        <f>IF(ISBLANK(tbl_task1[[คะแนนเต็ม]:[คะแนนเต็ม]]),"",(tbl_task1[36]/tbl_task1[[คะแนนเต็ม]:[คะแนนเต็ม]])*tbl_task1[[%]:[%]])</f>
        <v/>
      </c>
      <c r="GY18" s="121" t="str">
        <f>IF(ISBLANK(tbl_task1[[คะแนนเต็ม]:[คะแนนเต็ม]]),"",(tbl_task1[37]/tbl_task1[[คะแนนเต็ม]:[คะแนนเต็ม]])*tbl_task1[[%]:[%]])</f>
        <v/>
      </c>
      <c r="GZ18" s="121" t="str">
        <f>IF(ISBLANK(tbl_task1[[คะแนนเต็ม]:[คะแนนเต็ม]]),"",(tbl_task1[38]/tbl_task1[[คะแนนเต็ม]:[คะแนนเต็ม]])*tbl_task1[[%]:[%]])</f>
        <v/>
      </c>
      <c r="HA18" s="121" t="str">
        <f>IF(ISBLANK(tbl_task1[[คะแนนเต็ม]:[คะแนนเต็ม]]),"",(tbl_task1[39]/tbl_task1[[คะแนนเต็ม]:[คะแนนเต็ม]])*tbl_task1[[%]:[%]])</f>
        <v/>
      </c>
      <c r="HB18" s="121" t="str">
        <f>IF(ISBLANK(tbl_task1[[คะแนนเต็ม]:[คะแนนเต็ม]]),"",(tbl_task1[40]/tbl_task1[[คะแนนเต็ม]:[คะแนนเต็ม]])*tbl_task1[[%]:[%]])</f>
        <v/>
      </c>
      <c r="HC18" s="121" t="str">
        <f>IF(ISBLANK(tbl_task1[[คะแนนเต็ม]:[คะแนนเต็ม]]),"",(tbl_task1[41]/tbl_task1[[คะแนนเต็ม]:[คะแนนเต็ม]])*tbl_task1[[%]:[%]])</f>
        <v/>
      </c>
      <c r="HD18" s="121" t="str">
        <f>IF(ISBLANK(tbl_task1[[คะแนนเต็ม]:[คะแนนเต็ม]]),"",(tbl_task1[42]/tbl_task1[[คะแนนเต็ม]:[คะแนนเต็ม]])*tbl_task1[[%]:[%]])</f>
        <v/>
      </c>
      <c r="HE18" s="121" t="str">
        <f>IF(ISBLANK(tbl_task1[[คะแนนเต็ม]:[คะแนนเต็ม]]),"",(tbl_task1[43]/tbl_task1[[คะแนนเต็ม]:[คะแนนเต็ม]])*tbl_task1[[%]:[%]])</f>
        <v/>
      </c>
      <c r="HF18" s="121" t="str">
        <f>IF(ISBLANK(tbl_task1[[คะแนนเต็ม]:[คะแนนเต็ม]]),"",(tbl_task1[44]/tbl_task1[[คะแนนเต็ม]:[คะแนนเต็ม]])*tbl_task1[[%]:[%]])</f>
        <v/>
      </c>
      <c r="HG18" s="121" t="str">
        <f>IF(ISBLANK(tbl_task1[[คะแนนเต็ม]:[คะแนนเต็ม]]),"",(tbl_task1[45]/tbl_task1[[คะแนนเต็ม]:[คะแนนเต็ม]])*tbl_task1[[%]:[%]])</f>
        <v/>
      </c>
      <c r="HH18" s="121" t="str">
        <f>IF(ISBLANK(tbl_task1[[คะแนนเต็ม]:[คะแนนเต็ม]]),"",(tbl_task1[46]/tbl_task1[[คะแนนเต็ม]:[คะแนนเต็ม]])*tbl_task1[[%]:[%]])</f>
        <v/>
      </c>
      <c r="HI18" s="121" t="str">
        <f>IF(ISBLANK(tbl_task1[[คะแนนเต็ม]:[คะแนนเต็ม]]),"",(tbl_task1[47]/tbl_task1[[คะแนนเต็ม]:[คะแนนเต็ม]])*tbl_task1[[%]:[%]])</f>
        <v/>
      </c>
      <c r="HJ18" s="121" t="str">
        <f>IF(ISBLANK(tbl_task1[[คะแนนเต็ม]:[คะแนนเต็ม]]),"",(tbl_task1[48]/tbl_task1[[คะแนนเต็ม]:[คะแนนเต็ม]])*tbl_task1[[%]:[%]])</f>
        <v/>
      </c>
      <c r="HK18" s="121" t="str">
        <f>IF(ISBLANK(tbl_task1[[คะแนนเต็ม]:[คะแนนเต็ม]]),"",(tbl_task1[49]/tbl_task1[[คะแนนเต็ม]:[คะแนนเต็ม]])*tbl_task1[[%]:[%]])</f>
        <v/>
      </c>
      <c r="HL18" s="121" t="str">
        <f>IF(ISBLANK(tbl_task1[[คะแนนเต็ม]:[คะแนนเต็ม]]),"",(tbl_task1[50]/tbl_task1[[คะแนนเต็ม]:[คะแนนเต็ม]])*tbl_task1[[%]:[%]])</f>
        <v/>
      </c>
      <c r="HM18" s="121" t="str">
        <f>IF(ISBLANK(tbl_task1[[คะแนนเต็ม]:[คะแนนเต็ม]]),"",(tbl_task1[51]/tbl_task1[[คะแนนเต็ม]:[คะแนนเต็ม]])*tbl_task1[[%]:[%]])</f>
        <v/>
      </c>
      <c r="HN18" s="121" t="str">
        <f>IF(ISBLANK(tbl_task1[[คะแนนเต็ม]:[คะแนนเต็ม]]),"",(tbl_task1[52]/tbl_task1[[คะแนนเต็ม]:[คะแนนเต็ม]])*tbl_task1[[%]:[%]])</f>
        <v/>
      </c>
      <c r="HO18" s="121" t="str">
        <f>IF(ISBLANK(tbl_task1[[คะแนนเต็ม]:[คะแนนเต็ม]]),"",(tbl_task1[53]/tbl_task1[[คะแนนเต็ม]:[คะแนนเต็ม]])*tbl_task1[[%]:[%]])</f>
        <v/>
      </c>
      <c r="HP18" s="121" t="str">
        <f>IF(ISBLANK(tbl_task1[[คะแนนเต็ม]:[คะแนนเต็ม]]),"",(tbl_task1[54]/tbl_task1[[คะแนนเต็ม]:[คะแนนเต็ม]])*tbl_task1[[%]:[%]])</f>
        <v/>
      </c>
      <c r="HQ18" s="121" t="str">
        <f>IF(ISBLANK(tbl_task1[[คะแนนเต็ม]:[คะแนนเต็ม]]),"",(tbl_task1[55]/tbl_task1[[คะแนนเต็ม]:[คะแนนเต็ม]])*tbl_task1[[%]:[%]])</f>
        <v/>
      </c>
      <c r="HR18" s="121" t="str">
        <f>IF(ISBLANK(tbl_task1[[คะแนนเต็ม]:[คะแนนเต็ม]]),"",(tbl_task1[56]/tbl_task1[[คะแนนเต็ม]:[คะแนนเต็ม]])*tbl_task1[[%]:[%]])</f>
        <v/>
      </c>
      <c r="HS18" s="121" t="str">
        <f>IF(ISBLANK(tbl_task1[[คะแนนเต็ม]:[คะแนนเต็ม]]),"",(tbl_task1[57]/tbl_task1[[คะแนนเต็ม]:[คะแนนเต็ม]])*tbl_task1[[%]:[%]])</f>
        <v/>
      </c>
      <c r="HT18" s="121" t="str">
        <f>IF(ISBLANK(tbl_task1[[คะแนนเต็ม]:[คะแนนเต็ม]]),"",(tbl_task1[58]/tbl_task1[[คะแนนเต็ม]:[คะแนนเต็ม]])*tbl_task1[[%]:[%]])</f>
        <v/>
      </c>
      <c r="HU18" s="121" t="str">
        <f>IF(ISBLANK(tbl_task1[[คะแนนเต็ม]:[คะแนนเต็ม]]),"",(tbl_task1[59]/tbl_task1[[คะแนนเต็ม]:[คะแนนเต็ม]])*tbl_task1[[%]:[%]])</f>
        <v/>
      </c>
      <c r="HV18" s="121" t="str">
        <f>IF(ISBLANK(tbl_task1[[คะแนนเต็ม]:[คะแนนเต็ม]]),"",(tbl_task1[60]/tbl_task1[[คะแนนเต็ม]:[คะแนนเต็ม]])*tbl_task1[[%]:[%]])</f>
        <v/>
      </c>
      <c r="HW18" s="121" t="str">
        <f>IF(ISBLANK(tbl_task1[[คะแนนเต็ม]:[คะแนนเต็ม]]),"",(tbl_task1[61]/tbl_task1[[คะแนนเต็ม]:[คะแนนเต็ม]])*tbl_task1[[%]:[%]])</f>
        <v/>
      </c>
      <c r="HX18" s="121" t="str">
        <f>IF(ISBLANK(tbl_task1[[คะแนนเต็ม]:[คะแนนเต็ม]]),"",(tbl_task1[62]/tbl_task1[[คะแนนเต็ม]:[คะแนนเต็ม]])*tbl_task1[[%]:[%]])</f>
        <v/>
      </c>
      <c r="HY18" s="121" t="str">
        <f>IF(ISBLANK(tbl_task1[[คะแนนเต็ม]:[คะแนนเต็ม]]),"",(tbl_task1[63]/tbl_task1[[คะแนนเต็ม]:[คะแนนเต็ม]])*tbl_task1[[%]:[%]])</f>
        <v/>
      </c>
      <c r="HZ18" s="121" t="str">
        <f>IF(ISBLANK(tbl_task1[[คะแนนเต็ม]:[คะแนนเต็ม]]),"",(tbl_task1[64]/tbl_task1[[คะแนนเต็ม]:[คะแนนเต็ม]])*tbl_task1[[%]:[%]])</f>
        <v/>
      </c>
      <c r="IA18" s="121" t="str">
        <f>IF(ISBLANK(tbl_task1[[คะแนนเต็ม]:[คะแนนเต็ม]]),"",(tbl_task1[65]/tbl_task1[[คะแนนเต็ม]:[คะแนนเต็ม]])*tbl_task1[[%]:[%]])</f>
        <v/>
      </c>
      <c r="IB18" s="121" t="str">
        <f>IF(ISBLANK(tbl_task1[[คะแนนเต็ม]:[คะแนนเต็ม]]),"",(tbl_task1[66]/tbl_task1[[คะแนนเต็ม]:[คะแนนเต็ม]])*tbl_task1[[%]:[%]])</f>
        <v/>
      </c>
      <c r="IC18" s="121" t="str">
        <f>IF(ISBLANK(tbl_task1[[คะแนนเต็ม]:[คะแนนเต็ม]]),"",(tbl_task1[67]/tbl_task1[[คะแนนเต็ม]:[คะแนนเต็ม]])*tbl_task1[[%]:[%]])</f>
        <v/>
      </c>
      <c r="ID18" s="121" t="str">
        <f>IF(ISBLANK(tbl_task1[[คะแนนเต็ม]:[คะแนนเต็ม]]),"",(tbl_task1[68]/tbl_task1[[คะแนนเต็ม]:[คะแนนเต็ม]])*tbl_task1[[%]:[%]])</f>
        <v/>
      </c>
      <c r="IE18" s="121" t="str">
        <f>IF(ISBLANK(tbl_task1[[คะแนนเต็ม]:[คะแนนเต็ม]]),"",(tbl_task1[69]/tbl_task1[[คะแนนเต็ม]:[คะแนนเต็ม]])*tbl_task1[[%]:[%]])</f>
        <v/>
      </c>
      <c r="IF18" s="121" t="str">
        <f>IF(ISBLANK(tbl_task1[[คะแนนเต็ม]:[คะแนนเต็ม]]),"",(tbl_task1[70]/tbl_task1[[คะแนนเต็ม]:[คะแนนเต็ม]])*tbl_task1[[%]:[%]])</f>
        <v/>
      </c>
      <c r="IG18" s="121" t="str">
        <f>IF(ISBLANK(tbl_task1[[คะแนนเต็ม]:[คะแนนเต็ม]]),"",(tbl_task1[71]/tbl_task1[[คะแนนเต็ม]:[คะแนนเต็ม]])*tbl_task1[[%]:[%]])</f>
        <v/>
      </c>
      <c r="IH18" s="121" t="str">
        <f>IF(ISBLANK(tbl_task1[[คะแนนเต็ม]:[คะแนนเต็ม]]),"",(tbl_task1[72]/tbl_task1[[คะแนนเต็ม]:[คะแนนเต็ม]])*tbl_task1[[%]:[%]])</f>
        <v/>
      </c>
      <c r="II18" s="121" t="str">
        <f>IF(ISBLANK(tbl_task1[[คะแนนเต็ม]:[คะแนนเต็ม]]),"",(tbl_task1[73]/tbl_task1[[คะแนนเต็ม]:[คะแนนเต็ม]])*tbl_task1[[%]:[%]])</f>
        <v/>
      </c>
      <c r="IJ18" s="121" t="str">
        <f>IF(ISBLANK(tbl_task1[[คะแนนเต็ม]:[คะแนนเต็ม]]),"",(tbl_task1[74]/tbl_task1[[คะแนนเต็ม]:[คะแนนเต็ม]])*tbl_task1[[%]:[%]])</f>
        <v/>
      </c>
      <c r="IK18" s="121" t="str">
        <f>IF(ISBLANK(tbl_task1[[คะแนนเต็ม]:[คะแนนเต็ม]]),"",(tbl_task1[75]/tbl_task1[[คะแนนเต็ม]:[คะแนนเต็ม]])*tbl_task1[[%]:[%]])</f>
        <v/>
      </c>
      <c r="IL18" s="121" t="str">
        <f>IF(ISBLANK(tbl_task1[[คะแนนเต็ม]:[คะแนนเต็ม]]),"",(tbl_task1[76]/tbl_task1[[คะแนนเต็ม]:[คะแนนเต็ม]])*tbl_task1[[%]:[%]])</f>
        <v/>
      </c>
      <c r="IM18" s="121" t="str">
        <f>IF(ISBLANK(tbl_task1[[คะแนนเต็ม]:[คะแนนเต็ม]]),"",(tbl_task1[77]/tbl_task1[[คะแนนเต็ม]:[คะแนนเต็ม]])*tbl_task1[[%]:[%]])</f>
        <v/>
      </c>
      <c r="IN18" s="121" t="str">
        <f>IF(ISBLANK(tbl_task1[[คะแนนเต็ม]:[คะแนนเต็ม]]),"",(tbl_task1[78]/tbl_task1[[คะแนนเต็ม]:[คะแนนเต็ม]])*tbl_task1[[%]:[%]])</f>
        <v/>
      </c>
      <c r="IO18" s="121" t="str">
        <f>IF(ISBLANK(tbl_task1[[คะแนนเต็ม]:[คะแนนเต็ม]]),"",(tbl_task1[79]/tbl_task1[[คะแนนเต็ม]:[คะแนนเต็ม]])*tbl_task1[[%]:[%]])</f>
        <v/>
      </c>
      <c r="IP18" s="121" t="str">
        <f>IF(ISBLANK(tbl_task1[[คะแนนเต็ม]:[คะแนนเต็ม]]),"",(tbl_task1[80]/tbl_task1[[คะแนนเต็ม]:[คะแนนเต็ม]])*tbl_task1[[%]:[%]])</f>
        <v/>
      </c>
      <c r="IQ18" s="121" t="str">
        <f>IF(ISBLANK(tbl_task1[[คะแนนเต็ม]:[คะแนนเต็ม]]),"",(tbl_task1[81]/tbl_task1[[คะแนนเต็ม]:[คะแนนเต็ม]])*tbl_task1[[%]:[%]])</f>
        <v/>
      </c>
      <c r="IR18" s="121" t="str">
        <f>IF(ISBLANK(tbl_task1[[คะแนนเต็ม]:[คะแนนเต็ม]]),"",(tbl_task1[82]/tbl_task1[[คะแนนเต็ม]:[คะแนนเต็ม]])*tbl_task1[[%]:[%]])</f>
        <v/>
      </c>
      <c r="IS18" s="121" t="str">
        <f>IF(ISBLANK(tbl_task1[[คะแนนเต็ม]:[คะแนนเต็ม]]),"",(tbl_task1[83]/tbl_task1[[คะแนนเต็ม]:[คะแนนเต็ม]])*tbl_task1[[%]:[%]])</f>
        <v/>
      </c>
      <c r="IT18" s="121" t="str">
        <f>IF(ISBLANK(tbl_task1[[คะแนนเต็ม]:[คะแนนเต็ม]]),"",(tbl_task1[84]/tbl_task1[[คะแนนเต็ม]:[คะแนนเต็ม]])*tbl_task1[[%]:[%]])</f>
        <v/>
      </c>
      <c r="IU18" s="121" t="str">
        <f>IF(ISBLANK(tbl_task1[[คะแนนเต็ม]:[คะแนนเต็ม]]),"",(tbl_task1[85]/tbl_task1[[คะแนนเต็ม]:[คะแนนเต็ม]])*tbl_task1[[%]:[%]])</f>
        <v/>
      </c>
      <c r="IV18" s="121" t="str">
        <f>IF(ISBLANK(tbl_task1[[คะแนนเต็ม]:[คะแนนเต็ม]]),"",(tbl_task1[86]/tbl_task1[[คะแนนเต็ม]:[คะแนนเต็ม]])*tbl_task1[[%]:[%]])</f>
        <v/>
      </c>
      <c r="IW18" s="121" t="str">
        <f>IF(ISBLANK(tbl_task1[[คะแนนเต็ม]:[คะแนนเต็ม]]),"",(tbl_task1[87]/tbl_task1[[คะแนนเต็ม]:[คะแนนเต็ม]])*tbl_task1[[%]:[%]])</f>
        <v/>
      </c>
      <c r="IX18" s="121" t="str">
        <f>IF(ISBLANK(tbl_task1[[คะแนนเต็ม]:[คะแนนเต็ม]]),"",(tbl_task1[88]/tbl_task1[[คะแนนเต็ม]:[คะแนนเต็ม]])*tbl_task1[[%]:[%]])</f>
        <v/>
      </c>
      <c r="IY18" s="121" t="str">
        <f>IF(ISBLANK(tbl_task1[[คะแนนเต็ม]:[คะแนนเต็ม]]),"",(tbl_task1[89]/tbl_task1[[คะแนนเต็ม]:[คะแนนเต็ม]])*tbl_task1[[%]:[%]])</f>
        <v/>
      </c>
      <c r="IZ18" s="121" t="str">
        <f>IF(ISBLANK(tbl_task1[[คะแนนเต็ม]:[คะแนนเต็ม]]),"",(tbl_task1[90]/tbl_task1[[คะแนนเต็ม]:[คะแนนเต็ม]])*tbl_task1[[%]:[%]])</f>
        <v/>
      </c>
      <c r="JA18" s="121" t="str">
        <f>IF(ISBLANK(tbl_task1[[คะแนนเต็ม]:[คะแนนเต็ม]]),"",(tbl_task1[91]/tbl_task1[[คะแนนเต็ม]:[คะแนนเต็ม]])*tbl_task1[[%]:[%]])</f>
        <v/>
      </c>
      <c r="JB18" s="121" t="str">
        <f>IF(ISBLANK(tbl_task1[[คะแนนเต็ม]:[คะแนนเต็ม]]),"",(tbl_task1[92]/tbl_task1[[คะแนนเต็ม]:[คะแนนเต็ม]])*tbl_task1[[%]:[%]])</f>
        <v/>
      </c>
      <c r="JC18" s="121" t="str">
        <f>IF(ISBLANK(tbl_task1[[คะแนนเต็ม]:[คะแนนเต็ม]]),"",(tbl_task1[93]/tbl_task1[[คะแนนเต็ม]:[คะแนนเต็ม]])*tbl_task1[[%]:[%]])</f>
        <v/>
      </c>
      <c r="JD18" s="121" t="str">
        <f>IF(ISBLANK(tbl_task1[[คะแนนเต็ม]:[คะแนนเต็ม]]),"",(tbl_task1[94]/tbl_task1[[คะแนนเต็ม]:[คะแนนเต็ม]])*tbl_task1[[%]:[%]])</f>
        <v/>
      </c>
      <c r="JE18" s="121" t="str">
        <f>IF(ISBLANK(tbl_task1[[คะแนนเต็ม]:[คะแนนเต็ม]]),"",(tbl_task1[95]/tbl_task1[[คะแนนเต็ม]:[คะแนนเต็ม]])*tbl_task1[[%]:[%]])</f>
        <v/>
      </c>
      <c r="JF18" s="121" t="str">
        <f>IF(ISBLANK(tbl_task1[[คะแนนเต็ม]:[คะแนนเต็ม]]),"",(tbl_task1[96]/tbl_task1[[คะแนนเต็ม]:[คะแนนเต็ม]])*tbl_task1[[%]:[%]])</f>
        <v/>
      </c>
      <c r="JG18" s="121" t="str">
        <f>IF(ISBLANK(tbl_task1[[คะแนนเต็ม]:[คะแนนเต็ม]]),"",(tbl_task1[97]/tbl_task1[[คะแนนเต็ม]:[คะแนนเต็ม]])*tbl_task1[[%]:[%]])</f>
        <v/>
      </c>
      <c r="JH18" s="121" t="str">
        <f>IF(ISBLANK(tbl_task1[[คะแนนเต็ม]:[คะแนนเต็ม]]),"",(tbl_task1[98]/tbl_task1[[คะแนนเต็ม]:[คะแนนเต็ม]])*tbl_task1[[%]:[%]])</f>
        <v/>
      </c>
      <c r="JI18" s="121" t="str">
        <f>IF(ISBLANK(tbl_task1[[คะแนนเต็ม]:[คะแนนเต็ม]]),"",(tbl_task1[99]/tbl_task1[[คะแนนเต็ม]:[คะแนนเต็ม]])*tbl_task1[[%]:[%]])</f>
        <v/>
      </c>
      <c r="JJ18" s="121" t="str">
        <f>IF(ISBLANK(tbl_task1[[คะแนนเต็ม]:[คะแนนเต็ม]]),"",(tbl_task1[100]/tbl_task1[[คะแนนเต็ม]:[คะแนนเต็ม]])*tbl_task1[[%]:[%]])</f>
        <v/>
      </c>
      <c r="JK18" s="121" t="str">
        <f>IF(ISBLANK(tbl_task1[[คะแนนเต็ม]:[คะแนนเต็ม]]),"",(tbl_task1[101]/tbl_task1[[คะแนนเต็ม]:[คะแนนเต็ม]])*tbl_task1[[%]:[%]])</f>
        <v/>
      </c>
      <c r="JL18" s="121" t="str">
        <f>IF(ISBLANK(tbl_task1[[คะแนนเต็ม]:[คะแนนเต็ม]]),"",(tbl_task1[102]/tbl_task1[[คะแนนเต็ม]:[คะแนนเต็ม]])*tbl_task1[[%]:[%]])</f>
        <v/>
      </c>
      <c r="JM18" s="121" t="str">
        <f>IF(ISBLANK(tbl_task1[[คะแนนเต็ม]:[คะแนนเต็ม]]),"",(tbl_task1[103]/tbl_task1[[คะแนนเต็ม]:[คะแนนเต็ม]])*tbl_task1[[%]:[%]])</f>
        <v/>
      </c>
      <c r="JN18" s="121" t="str">
        <f>IF(ISBLANK(tbl_task1[[คะแนนเต็ม]:[คะแนนเต็ม]]),"",(tbl_task1[104]/tbl_task1[[คะแนนเต็ม]:[คะแนนเต็ม]])*tbl_task1[[%]:[%]])</f>
        <v/>
      </c>
      <c r="JO18" s="121" t="str">
        <f>IF(ISBLANK(tbl_task1[[คะแนนเต็ม]:[คะแนนเต็ม]]),"",(tbl_task1[105]/tbl_task1[[คะแนนเต็ม]:[คะแนนเต็ม]])*tbl_task1[[%]:[%]])</f>
        <v/>
      </c>
      <c r="JP18" s="121" t="str">
        <f>IF(ISBLANK(tbl_task1[[คะแนนเต็ม]:[คะแนนเต็ม]]),"",(tbl_task1[106]/tbl_task1[[คะแนนเต็ม]:[คะแนนเต็ม]])*tbl_task1[[%]:[%]])</f>
        <v/>
      </c>
      <c r="JQ18" s="121" t="str">
        <f>IF(ISBLANK(tbl_task1[[คะแนนเต็ม]:[คะแนนเต็ม]]),"",(tbl_task1[107]/tbl_task1[[คะแนนเต็ม]:[คะแนนเต็ม]])*tbl_task1[[%]:[%]])</f>
        <v/>
      </c>
      <c r="JR18" s="121" t="str">
        <f>IF(ISBLANK(tbl_task1[[คะแนนเต็ม]:[คะแนนเต็ม]]),"",(tbl_task1[108]/tbl_task1[[คะแนนเต็ม]:[คะแนนเต็ม]])*tbl_task1[[%]:[%]])</f>
        <v/>
      </c>
      <c r="JS18" s="121" t="str">
        <f>IF(ISBLANK(tbl_task1[[คะแนนเต็ม]:[คะแนนเต็ม]]),"",(tbl_task1[109]/tbl_task1[[คะแนนเต็ม]:[คะแนนเต็ม]])*tbl_task1[[%]:[%]])</f>
        <v/>
      </c>
      <c r="JT18" s="121" t="str">
        <f>IF(ISBLANK(tbl_task1[[คะแนนเต็ม]:[คะแนนเต็ม]]),"",(tbl_task1[110]/tbl_task1[[คะแนนเต็ม]:[คะแนนเต็ม]])*tbl_task1[[%]:[%]])</f>
        <v/>
      </c>
      <c r="JU18" s="121" t="str">
        <f>IF(ISBLANK(tbl_task1[[คะแนนเต็ม]:[คะแนนเต็ม]]),"",(tbl_task1[111]/tbl_task1[[คะแนนเต็ม]:[คะแนนเต็ม]])*tbl_task1[[%]:[%]])</f>
        <v/>
      </c>
      <c r="JV18" s="121" t="str">
        <f>IF(ISBLANK(tbl_task1[[คะแนนเต็ม]:[คะแนนเต็ม]]),"",(tbl_task1[112]/tbl_task1[[คะแนนเต็ม]:[คะแนนเต็ม]])*tbl_task1[[%]:[%]])</f>
        <v/>
      </c>
      <c r="JW18" s="121" t="str">
        <f>IF(ISBLANK(tbl_task1[[คะแนนเต็ม]:[คะแนนเต็ม]]),"",(tbl_task1[113]/tbl_task1[[คะแนนเต็ม]:[คะแนนเต็ม]])*tbl_task1[[%]:[%]])</f>
        <v/>
      </c>
      <c r="JX18" s="121" t="str">
        <f>IF(ISBLANK(tbl_task1[[คะแนนเต็ม]:[คะแนนเต็ม]]),"",(tbl_task1[114]/tbl_task1[[คะแนนเต็ม]:[คะแนนเต็ม]])*tbl_task1[[%]:[%]])</f>
        <v/>
      </c>
      <c r="JY18" s="121" t="str">
        <f>IF(ISBLANK(tbl_task1[[คะแนนเต็ม]:[คะแนนเต็ม]]),"",(tbl_task1[115]/tbl_task1[[คะแนนเต็ม]:[คะแนนเต็ม]])*tbl_task1[[%]:[%]])</f>
        <v/>
      </c>
      <c r="JZ18" s="121" t="str">
        <f>IF(ISBLANK(tbl_task1[[คะแนนเต็ม]:[คะแนนเต็ม]]),"",(tbl_task1[116]/tbl_task1[[คะแนนเต็ม]:[คะแนนเต็ม]])*tbl_task1[[%]:[%]])</f>
        <v/>
      </c>
      <c r="KA18" s="121" t="str">
        <f>IF(ISBLANK(tbl_task1[[คะแนนเต็ม]:[คะแนนเต็ม]]),"",(tbl_task1[117]/tbl_task1[[คะแนนเต็ม]:[คะแนนเต็ม]])*tbl_task1[[%]:[%]])</f>
        <v/>
      </c>
      <c r="KB18" s="121" t="str">
        <f>IF(ISBLANK(tbl_task1[[คะแนนเต็ม]:[คะแนนเต็ม]]),"",(tbl_task1[118]/tbl_task1[[คะแนนเต็ม]:[คะแนนเต็ม]])*tbl_task1[[%]:[%]])</f>
        <v/>
      </c>
      <c r="KC18" s="121" t="str">
        <f>IF(ISBLANK(tbl_task1[[คะแนนเต็ม]:[คะแนนเต็ม]]),"",(tbl_task1[119]/tbl_task1[[คะแนนเต็ม]:[คะแนนเต็ม]])*tbl_task1[[%]:[%]])</f>
        <v/>
      </c>
      <c r="KD18" s="121" t="str">
        <f>IF(ISBLANK(tbl_task1[[คะแนนเต็ม]:[คะแนนเต็ม]]),"",(tbl_task1[120]/tbl_task1[[คะแนนเต็ม]:[คะแนนเต็ม]])*tbl_task1[[%]:[%]])</f>
        <v/>
      </c>
      <c r="KE18" s="121" t="str">
        <f>IF(ISBLANK(tbl_task1[[คะแนนเต็ม]:[คะแนนเต็ม]]),"",(tbl_task1[121]/tbl_task1[[คะแนนเต็ม]:[คะแนนเต็ม]])*tbl_task1[[%]:[%]])</f>
        <v/>
      </c>
      <c r="KF18" s="121" t="str">
        <f>IF(ISBLANK(tbl_task1[[คะแนนเต็ม]:[คะแนนเต็ม]]),"",(tbl_task1[122]/tbl_task1[[คะแนนเต็ม]:[คะแนนเต็ม]])*tbl_task1[[%]:[%]])</f>
        <v/>
      </c>
      <c r="KG18" s="121" t="str">
        <f>IF(ISBLANK(tbl_task1[[คะแนนเต็ม]:[คะแนนเต็ม]]),"",(tbl_task1[123]/tbl_task1[[คะแนนเต็ม]:[คะแนนเต็ม]])*tbl_task1[[%]:[%]])</f>
        <v/>
      </c>
      <c r="KH18" s="121" t="str">
        <f>IF(ISBLANK(tbl_task1[[คะแนนเต็ม]:[คะแนนเต็ม]]),"",(tbl_task1[124]/tbl_task1[[คะแนนเต็ม]:[คะแนนเต็ม]])*tbl_task1[[%]:[%]])</f>
        <v/>
      </c>
      <c r="KI18" s="121" t="str">
        <f>IF(ISBLANK(tbl_task1[[คะแนนเต็ม]:[คะแนนเต็ม]]),"",(tbl_task1[125]/tbl_task1[[คะแนนเต็ม]:[คะแนนเต็ม]])*tbl_task1[[%]:[%]])</f>
        <v/>
      </c>
      <c r="KJ18" s="121" t="str">
        <f>IF(ISBLANK(tbl_task1[[คะแนนเต็ม]:[คะแนนเต็ม]]),"",(tbl_task1[126]/tbl_task1[[คะแนนเต็ม]:[คะแนนเต็ม]])*tbl_task1[[%]:[%]])</f>
        <v/>
      </c>
      <c r="KK18" s="121" t="str">
        <f>IF(ISBLANK(tbl_task1[[คะแนนเต็ม]:[คะแนนเต็ม]]),"",(tbl_task1[127]/tbl_task1[[คะแนนเต็ม]:[คะแนนเต็ม]])*tbl_task1[[%]:[%]])</f>
        <v/>
      </c>
      <c r="KL18" s="121" t="str">
        <f>IF(ISBLANK(tbl_task1[[คะแนนเต็ม]:[คะแนนเต็ม]]),"",(tbl_task1[128]/tbl_task1[[คะแนนเต็ม]:[คะแนนเต็ม]])*tbl_task1[[%]:[%]])</f>
        <v/>
      </c>
      <c r="KM18" s="121" t="str">
        <f>IF(ISBLANK(tbl_task1[[คะแนนเต็ม]:[คะแนนเต็ม]]),"",(tbl_task1[129]/tbl_task1[[คะแนนเต็ม]:[คะแนนเต็ม]])*tbl_task1[[%]:[%]])</f>
        <v/>
      </c>
      <c r="KN18" s="121" t="str">
        <f>IF(ISBLANK(tbl_task1[[คะแนนเต็ม]:[คะแนนเต็ม]]),"",(tbl_task1[130]/tbl_task1[[คะแนนเต็ม]:[คะแนนเต็ม]])*tbl_task1[[%]:[%]])</f>
        <v/>
      </c>
      <c r="KO18" s="121" t="str">
        <f>IF(ISBLANK(tbl_task1[[คะแนนเต็ม]:[คะแนนเต็ม]]),"",(tbl_task1[131]/tbl_task1[[คะแนนเต็ม]:[คะแนนเต็ม]])*tbl_task1[[%]:[%]])</f>
        <v/>
      </c>
      <c r="KP18" s="121" t="str">
        <f>IF(ISBLANK(tbl_task1[[คะแนนเต็ม]:[คะแนนเต็ม]]),"",(tbl_task1[132]/tbl_task1[[คะแนนเต็ม]:[คะแนนเต็ม]])*tbl_task1[[%]:[%]])</f>
        <v/>
      </c>
      <c r="KQ18" s="121" t="str">
        <f>IF(ISBLANK(tbl_task1[[คะแนนเต็ม]:[คะแนนเต็ม]]),"",(tbl_task1[133]/tbl_task1[[คะแนนเต็ม]:[คะแนนเต็ม]])*tbl_task1[[%]:[%]])</f>
        <v/>
      </c>
      <c r="KR18" s="121" t="str">
        <f>IF(ISBLANK(tbl_task1[[คะแนนเต็ม]:[คะแนนเต็ม]]),"",(tbl_task1[134]/tbl_task1[[คะแนนเต็ม]:[คะแนนเต็ม]])*tbl_task1[[%]:[%]])</f>
        <v/>
      </c>
      <c r="KS18" s="121" t="str">
        <f>IF(ISBLANK(tbl_task1[[คะแนนเต็ม]:[คะแนนเต็ม]]),"",(tbl_task1[135]/tbl_task1[[คะแนนเต็ม]:[คะแนนเต็ม]])*tbl_task1[[%]:[%]])</f>
        <v/>
      </c>
      <c r="KT18" s="121" t="str">
        <f>IF(ISBLANK(tbl_task1[[คะแนนเต็ม]:[คะแนนเต็ม]]),"",(tbl_task1[136]/tbl_task1[[คะแนนเต็ม]:[คะแนนเต็ม]])*tbl_task1[[%]:[%]])</f>
        <v/>
      </c>
      <c r="KU18" s="121" t="str">
        <f>IF(ISBLANK(tbl_task1[[คะแนนเต็ม]:[คะแนนเต็ม]]),"",(tbl_task1[137]/tbl_task1[[คะแนนเต็ม]:[คะแนนเต็ม]])*tbl_task1[[%]:[%]])</f>
        <v/>
      </c>
      <c r="KV18" s="121" t="str">
        <f>IF(ISBLANK(tbl_task1[[คะแนนเต็ม]:[คะแนนเต็ม]]),"",(tbl_task1[138]/tbl_task1[[คะแนนเต็ม]:[คะแนนเต็ม]])*tbl_task1[[%]:[%]])</f>
        <v/>
      </c>
      <c r="KW18" s="121" t="str">
        <f>IF(ISBLANK(tbl_task1[[คะแนนเต็ม]:[คะแนนเต็ม]]),"",(tbl_task1[139]/tbl_task1[[คะแนนเต็ม]:[คะแนนเต็ม]])*tbl_task1[[%]:[%]])</f>
        <v/>
      </c>
      <c r="KX18" s="121" t="str">
        <f>IF(ISBLANK(tbl_task1[[คะแนนเต็ม]:[คะแนนเต็ม]]),"",(tbl_task1[140]/tbl_task1[[คะแนนเต็ม]:[คะแนนเต็ม]])*tbl_task1[[%]:[%]])</f>
        <v/>
      </c>
      <c r="KY18" s="121" t="str">
        <f>IF(ISBLANK(tbl_task1[[คะแนนเต็ม]:[คะแนนเต็ม]]),"",(tbl_task1[141]/tbl_task1[[คะแนนเต็ม]:[คะแนนเต็ม]])*tbl_task1[[%]:[%]])</f>
        <v/>
      </c>
      <c r="KZ18" s="121" t="str">
        <f>IF(ISBLANK(tbl_task1[[คะแนนเต็ม]:[คะแนนเต็ม]]),"",(tbl_task1[142]/tbl_task1[[คะแนนเต็ม]:[คะแนนเต็ม]])*tbl_task1[[%]:[%]])</f>
        <v/>
      </c>
      <c r="LA18" s="121" t="str">
        <f>IF(ISBLANK(tbl_task1[[คะแนนเต็ม]:[คะแนนเต็ม]]),"",(tbl_task1[143]/tbl_task1[[คะแนนเต็ม]:[คะแนนเต็ม]])*tbl_task1[[%]:[%]])</f>
        <v/>
      </c>
      <c r="LB18" s="121" t="str">
        <f>IF(ISBLANK(tbl_task1[[คะแนนเต็ม]:[คะแนนเต็ม]]),"",(tbl_task1[144]/tbl_task1[[คะแนนเต็ม]:[คะแนนเต็ม]])*tbl_task1[[%]:[%]])</f>
        <v/>
      </c>
      <c r="LC18" s="121" t="str">
        <f>IF(ISBLANK(tbl_task1[[คะแนนเต็ม]:[คะแนนเต็ม]]),"",(tbl_task1[145]/tbl_task1[[คะแนนเต็ม]:[คะแนนเต็ม]])*tbl_task1[[%]:[%]])</f>
        <v/>
      </c>
      <c r="LD18" s="121" t="str">
        <f>IF(ISBLANK(tbl_task1[[คะแนนเต็ม]:[คะแนนเต็ม]]),"",(tbl_task1[146]/tbl_task1[[คะแนนเต็ม]:[คะแนนเต็ม]])*tbl_task1[[%]:[%]])</f>
        <v/>
      </c>
      <c r="LE18" s="121" t="str">
        <f>IF(ISBLANK(tbl_task1[[คะแนนเต็ม]:[คะแนนเต็ม]]),"",(tbl_task1[147]/tbl_task1[[คะแนนเต็ม]:[คะแนนเต็ม]])*tbl_task1[[%]:[%]])</f>
        <v/>
      </c>
      <c r="LF18" s="121" t="str">
        <f>IF(ISBLANK(tbl_task1[[คะแนนเต็ม]:[คะแนนเต็ม]]),"",(tbl_task1[148]/tbl_task1[[คะแนนเต็ม]:[คะแนนเต็ม]])*tbl_task1[[%]:[%]])</f>
        <v/>
      </c>
      <c r="LG18" s="121" t="str">
        <f>IF(ISBLANK(tbl_task1[[คะแนนเต็ม]:[คะแนนเต็ม]]),"",(tbl_task1[149]/tbl_task1[[คะแนนเต็ม]:[คะแนนเต็ม]])*tbl_task1[[%]:[%]])</f>
        <v/>
      </c>
      <c r="LH18" s="121" t="str">
        <f>IF(ISBLANK(tbl_task1[[คะแนนเต็ม]:[คะแนนเต็ม]]),"",(tbl_task1[150]/tbl_task1[[คะแนนเต็ม]:[คะแนนเต็ม]])*tbl_task1[[%]:[%]])</f>
        <v/>
      </c>
      <c r="LI18" s="121" t="str">
        <f>IF(ISBLANK(tbl_task1[[คะแนนเต็ม]:[คะแนนเต็ม]]),"",(tbl_task1[151]/tbl_task1[[คะแนนเต็ม]:[คะแนนเต็ม]])*tbl_task1[[%]:[%]])</f>
        <v/>
      </c>
      <c r="LJ18" s="121" t="str">
        <f>IF(ISBLANK(tbl_task1[[คะแนนเต็ม]:[คะแนนเต็ม]]),"",(tbl_task1[152]/tbl_task1[[คะแนนเต็ม]:[คะแนนเต็ม]])*tbl_task1[[%]:[%]])</f>
        <v/>
      </c>
      <c r="LK18" s="121" t="str">
        <f>IF(ISBLANK(tbl_task1[[คะแนนเต็ม]:[คะแนนเต็ม]]),"",(tbl_task1[153]/tbl_task1[[คะแนนเต็ม]:[คะแนนเต็ม]])*tbl_task1[[%]:[%]])</f>
        <v/>
      </c>
      <c r="LL18" s="121" t="str">
        <f>IF(ISBLANK(tbl_task1[[คะแนนเต็ม]:[คะแนนเต็ม]]),"",(tbl_task1[154]/tbl_task1[[คะแนนเต็ม]:[คะแนนเต็ม]])*tbl_task1[[%]:[%]])</f>
        <v/>
      </c>
      <c r="LM18" s="121" t="str">
        <f>IF(ISBLANK(tbl_task1[[คะแนนเต็ม]:[คะแนนเต็ม]]),"",(tbl_task1[155]/tbl_task1[[คะแนนเต็ม]:[คะแนนเต็ม]])*tbl_task1[[%]:[%]])</f>
        <v/>
      </c>
      <c r="LN18" s="121" t="str">
        <f>IF(ISBLANK(tbl_task1[[คะแนนเต็ม]:[คะแนนเต็ม]]),"",(tbl_task1[156]/tbl_task1[[คะแนนเต็ม]:[คะแนนเต็ม]])*tbl_task1[[%]:[%]])</f>
        <v/>
      </c>
      <c r="LO18" s="121" t="str">
        <f>IF(ISBLANK(tbl_task1[[คะแนนเต็ม]:[คะแนนเต็ม]]),"",(tbl_task1[157]/tbl_task1[[คะแนนเต็ม]:[คะแนนเต็ม]])*tbl_task1[[%]:[%]])</f>
        <v/>
      </c>
      <c r="LP18" s="121" t="str">
        <f>IF(ISBLANK(tbl_task1[[คะแนนเต็ม]:[คะแนนเต็ม]]),"",(tbl_task1[158]/tbl_task1[[คะแนนเต็ม]:[คะแนนเต็ม]])*tbl_task1[[%]:[%]])</f>
        <v/>
      </c>
      <c r="LQ18" s="121" t="str">
        <f>IF(ISBLANK(tbl_task1[[คะแนนเต็ม]:[คะแนนเต็ม]]),"",(tbl_task1[159]/tbl_task1[[คะแนนเต็ม]:[คะแนนเต็ม]])*tbl_task1[[%]:[%]])</f>
        <v/>
      </c>
      <c r="LR18" s="121" t="str">
        <f>IF(ISBLANK(tbl_task1[[คะแนนเต็ม]:[คะแนนเต็ม]]),"",(tbl_task1[160]/tbl_task1[[คะแนนเต็ม]:[คะแนนเต็ม]])*tbl_task1[[%]:[%]])</f>
        <v/>
      </c>
      <c r="LS18" s="121" t="str">
        <f>IF(ISBLANK(tbl_task1[[คะแนนเต็ม]:[คะแนนเต็ม]]),"",(tbl_task1[161]/tbl_task1[[คะแนนเต็ม]:[คะแนนเต็ม]])*tbl_task1[[%]:[%]])</f>
        <v/>
      </c>
      <c r="LT18" s="121" t="str">
        <f>IF(ISBLANK(tbl_task1[[คะแนนเต็ม]:[คะแนนเต็ม]]),"",(tbl_task1[162]/tbl_task1[[คะแนนเต็ม]:[คะแนนเต็ม]])*tbl_task1[[%]:[%]])</f>
        <v/>
      </c>
      <c r="LU18" s="121" t="str">
        <f>IF(ISBLANK(tbl_task1[[คะแนนเต็ม]:[คะแนนเต็ม]]),"",(tbl_task1[163]/tbl_task1[[คะแนนเต็ม]:[คะแนนเต็ม]])*tbl_task1[[%]:[%]])</f>
        <v/>
      </c>
      <c r="LV18" s="121" t="str">
        <f>IF(ISBLANK(tbl_task1[[คะแนนเต็ม]:[คะแนนเต็ม]]),"",(tbl_task1[164]/tbl_task1[[คะแนนเต็ม]:[คะแนนเต็ม]])*tbl_task1[[%]:[%]])</f>
        <v/>
      </c>
      <c r="LW18" s="121" t="str">
        <f>IF(ISBLANK(tbl_task1[[คะแนนเต็ม]:[คะแนนเต็ม]]),"",(tbl_task1[165]/tbl_task1[[คะแนนเต็ม]:[คะแนนเต็ม]])*tbl_task1[[%]:[%]])</f>
        <v/>
      </c>
    </row>
    <row r="19" spans="1:335" ht="24" customHeight="1" x14ac:dyDescent="0.25">
      <c r="A19" s="24">
        <v>16</v>
      </c>
      <c r="B19" s="20"/>
      <c r="C19" s="5" t="str">
        <f>IF(ISBLANK(B19),"",VLOOKUP(B19,tbl_PLOs[],2,0))</f>
        <v/>
      </c>
      <c r="D19" s="102"/>
      <c r="E19" s="106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121" t="str">
        <f>IF(ISBLANK(tbl_task1[[คะแนนเต็ม]:[คะแนนเต็ม]]),"",(tbl_task1[1]/tbl_task1[[คะแนนเต็ม]:[คะแนนเต็ม]])*tbl_task1[[%]:[%]])</f>
        <v/>
      </c>
      <c r="FP19" s="121" t="str">
        <f>IF(ISBLANK(tbl_task1[[คะแนนเต็ม]:[คะแนนเต็ม]]),"",(tbl_task1[2]/tbl_task1[[คะแนนเต็ม]:[คะแนนเต็ม]])*tbl_task1[[%]:[%]])</f>
        <v/>
      </c>
      <c r="FQ19" s="121" t="str">
        <f>IF(ISBLANK(tbl_task1[[คะแนนเต็ม]:[คะแนนเต็ม]]),"",(tbl_task1[3]/tbl_task1[[คะแนนเต็ม]:[คะแนนเต็ม]])*tbl_task1[[%]:[%]])</f>
        <v/>
      </c>
      <c r="FR19" s="121" t="str">
        <f>IF(ISBLANK(tbl_task1[[คะแนนเต็ม]:[คะแนนเต็ม]]),"",(tbl_task1[4]/tbl_task1[[คะแนนเต็ม]:[คะแนนเต็ม]])*tbl_task1[[%]:[%]])</f>
        <v/>
      </c>
      <c r="FS19" s="121" t="str">
        <f>IF(ISBLANK(tbl_task1[[คะแนนเต็ม]:[คะแนนเต็ม]]),"",(tbl_task1[5]/tbl_task1[[คะแนนเต็ม]:[คะแนนเต็ม]])*tbl_task1[[%]:[%]])</f>
        <v/>
      </c>
      <c r="FT19" s="121" t="str">
        <f>IF(ISBLANK(tbl_task1[[คะแนนเต็ม]:[คะแนนเต็ม]]),"",(tbl_task1[6]/tbl_task1[[คะแนนเต็ม]:[คะแนนเต็ม]])*tbl_task1[[%]:[%]])</f>
        <v/>
      </c>
      <c r="FU19" s="121" t="str">
        <f>IF(ISBLANK(tbl_task1[[คะแนนเต็ม]:[คะแนนเต็ม]]),"",(tbl_task1[7]/tbl_task1[[คะแนนเต็ม]:[คะแนนเต็ม]])*tbl_task1[[%]:[%]])</f>
        <v/>
      </c>
      <c r="FV19" s="121" t="str">
        <f>IF(ISBLANK(tbl_task1[[คะแนนเต็ม]:[คะแนนเต็ม]]),"",(tbl_task1[8]/tbl_task1[[คะแนนเต็ม]:[คะแนนเต็ม]])*tbl_task1[[%]:[%]])</f>
        <v/>
      </c>
      <c r="FW19" s="121" t="str">
        <f>IF(ISBLANK(tbl_task1[[คะแนนเต็ม]:[คะแนนเต็ม]]),"",(tbl_task1[9]/tbl_task1[[คะแนนเต็ม]:[คะแนนเต็ม]])*tbl_task1[[%]:[%]])</f>
        <v/>
      </c>
      <c r="FX19" s="121" t="str">
        <f>IF(ISBLANK(tbl_task1[[คะแนนเต็ม]:[คะแนนเต็ม]]),"",(tbl_task1[10]/tbl_task1[[คะแนนเต็ม]:[คะแนนเต็ม]])*tbl_task1[[%]:[%]])</f>
        <v/>
      </c>
      <c r="FY19" s="121" t="str">
        <f>IF(ISBLANK(tbl_task1[[คะแนนเต็ม]:[คะแนนเต็ม]]),"",(tbl_task1[11]/tbl_task1[[คะแนนเต็ม]:[คะแนนเต็ม]])*tbl_task1[[%]:[%]])</f>
        <v/>
      </c>
      <c r="FZ19" s="121" t="str">
        <f>IF(ISBLANK(tbl_task1[[คะแนนเต็ม]:[คะแนนเต็ม]]),"",(tbl_task1[12]/tbl_task1[[คะแนนเต็ม]:[คะแนนเต็ม]])*tbl_task1[[%]:[%]])</f>
        <v/>
      </c>
      <c r="GA19" s="121" t="str">
        <f>IF(ISBLANK(tbl_task1[[คะแนนเต็ม]:[คะแนนเต็ม]]),"",(tbl_task1[13]/tbl_task1[[คะแนนเต็ม]:[คะแนนเต็ม]])*tbl_task1[[%]:[%]])</f>
        <v/>
      </c>
      <c r="GB19" s="121" t="str">
        <f>IF(ISBLANK(tbl_task1[[คะแนนเต็ม]:[คะแนนเต็ม]]),"",(tbl_task1[14]/tbl_task1[[คะแนนเต็ม]:[คะแนนเต็ม]])*tbl_task1[[%]:[%]])</f>
        <v/>
      </c>
      <c r="GC19" s="121" t="str">
        <f>IF(ISBLANK(tbl_task1[[คะแนนเต็ม]:[คะแนนเต็ม]]),"",(tbl_task1[15]/tbl_task1[[คะแนนเต็ม]:[คะแนนเต็ม]])*tbl_task1[[%]:[%]])</f>
        <v/>
      </c>
      <c r="GD19" s="121" t="str">
        <f>IF(ISBLANK(tbl_task1[[คะแนนเต็ม]:[คะแนนเต็ม]]),"",(tbl_task1[16]/tbl_task1[[คะแนนเต็ม]:[คะแนนเต็ม]])*tbl_task1[[%]:[%]])</f>
        <v/>
      </c>
      <c r="GE19" s="121" t="str">
        <f>IF(ISBLANK(tbl_task1[[คะแนนเต็ม]:[คะแนนเต็ม]]),"",(tbl_task1[17]/tbl_task1[[คะแนนเต็ม]:[คะแนนเต็ม]])*tbl_task1[[%]:[%]])</f>
        <v/>
      </c>
      <c r="GF19" s="121" t="str">
        <f>IF(ISBLANK(tbl_task1[[คะแนนเต็ม]:[คะแนนเต็ม]]),"",(tbl_task1[18]/tbl_task1[[คะแนนเต็ม]:[คะแนนเต็ม]])*tbl_task1[[%]:[%]])</f>
        <v/>
      </c>
      <c r="GG19" s="121" t="str">
        <f>IF(ISBLANK(tbl_task1[[คะแนนเต็ม]:[คะแนนเต็ม]]),"",(tbl_task1[19]/tbl_task1[[คะแนนเต็ม]:[คะแนนเต็ม]])*tbl_task1[[%]:[%]])</f>
        <v/>
      </c>
      <c r="GH19" s="121" t="str">
        <f>IF(ISBLANK(tbl_task1[[คะแนนเต็ม]:[คะแนนเต็ม]]),"",(tbl_task1[20]/tbl_task1[[คะแนนเต็ม]:[คะแนนเต็ม]])*tbl_task1[[%]:[%]])</f>
        <v/>
      </c>
      <c r="GI19" s="121" t="str">
        <f>IF(ISBLANK(tbl_task1[[คะแนนเต็ม]:[คะแนนเต็ม]]),"",(tbl_task1[21]/tbl_task1[[คะแนนเต็ม]:[คะแนนเต็ม]])*tbl_task1[[%]:[%]])</f>
        <v/>
      </c>
      <c r="GJ19" s="121" t="str">
        <f>IF(ISBLANK(tbl_task1[[คะแนนเต็ม]:[คะแนนเต็ม]]),"",(tbl_task1[22]/tbl_task1[[คะแนนเต็ม]:[คะแนนเต็ม]])*tbl_task1[[%]:[%]])</f>
        <v/>
      </c>
      <c r="GK19" s="121" t="str">
        <f>IF(ISBLANK(tbl_task1[[คะแนนเต็ม]:[คะแนนเต็ม]]),"",(tbl_task1[23]/tbl_task1[[คะแนนเต็ม]:[คะแนนเต็ม]])*tbl_task1[[%]:[%]])</f>
        <v/>
      </c>
      <c r="GL19" s="121" t="str">
        <f>IF(ISBLANK(tbl_task1[[คะแนนเต็ม]:[คะแนนเต็ม]]),"",(tbl_task1[24]/tbl_task1[[คะแนนเต็ม]:[คะแนนเต็ม]])*tbl_task1[[%]:[%]])</f>
        <v/>
      </c>
      <c r="GM19" s="121" t="str">
        <f>IF(ISBLANK(tbl_task1[[คะแนนเต็ม]:[คะแนนเต็ม]]),"",(tbl_task1[25]/tbl_task1[[คะแนนเต็ม]:[คะแนนเต็ม]])*tbl_task1[[%]:[%]])</f>
        <v/>
      </c>
      <c r="GN19" s="121" t="str">
        <f>IF(ISBLANK(tbl_task1[[คะแนนเต็ม]:[คะแนนเต็ม]]),"",(tbl_task1[26]/tbl_task1[[คะแนนเต็ม]:[คะแนนเต็ม]])*tbl_task1[[%]:[%]])</f>
        <v/>
      </c>
      <c r="GO19" s="121" t="str">
        <f>IF(ISBLANK(tbl_task1[[คะแนนเต็ม]:[คะแนนเต็ม]]),"",(tbl_task1[27]/tbl_task1[[คะแนนเต็ม]:[คะแนนเต็ม]])*tbl_task1[[%]:[%]])</f>
        <v/>
      </c>
      <c r="GP19" s="121" t="str">
        <f>IF(ISBLANK(tbl_task1[[คะแนนเต็ม]:[คะแนนเต็ม]]),"",(tbl_task1[28]/tbl_task1[[คะแนนเต็ม]:[คะแนนเต็ม]])*tbl_task1[[%]:[%]])</f>
        <v/>
      </c>
      <c r="GQ19" s="121" t="str">
        <f>IF(ISBLANK(tbl_task1[[คะแนนเต็ม]:[คะแนนเต็ม]]),"",(tbl_task1[29]/tbl_task1[[คะแนนเต็ม]:[คะแนนเต็ม]])*tbl_task1[[%]:[%]])</f>
        <v/>
      </c>
      <c r="GR19" s="121" t="str">
        <f>IF(ISBLANK(tbl_task1[[คะแนนเต็ม]:[คะแนนเต็ม]]),"",(tbl_task1[30]/tbl_task1[[คะแนนเต็ม]:[คะแนนเต็ม]])*tbl_task1[[%]:[%]])</f>
        <v/>
      </c>
      <c r="GS19" s="121" t="str">
        <f>IF(ISBLANK(tbl_task1[[คะแนนเต็ม]:[คะแนนเต็ม]]),"",(tbl_task1[31]/tbl_task1[[คะแนนเต็ม]:[คะแนนเต็ม]])*tbl_task1[[%]:[%]])</f>
        <v/>
      </c>
      <c r="GT19" s="121" t="str">
        <f>IF(ISBLANK(tbl_task1[[คะแนนเต็ม]:[คะแนนเต็ม]]),"",(tbl_task1[32]/tbl_task1[[คะแนนเต็ม]:[คะแนนเต็ม]])*tbl_task1[[%]:[%]])</f>
        <v/>
      </c>
      <c r="GU19" s="121" t="str">
        <f>IF(ISBLANK(tbl_task1[[คะแนนเต็ม]:[คะแนนเต็ม]]),"",(tbl_task1[33]/tbl_task1[[คะแนนเต็ม]:[คะแนนเต็ม]])*tbl_task1[[%]:[%]])</f>
        <v/>
      </c>
      <c r="GV19" s="121" t="str">
        <f>IF(ISBLANK(tbl_task1[[คะแนนเต็ม]:[คะแนนเต็ม]]),"",(tbl_task1[34]/tbl_task1[[คะแนนเต็ม]:[คะแนนเต็ม]])*tbl_task1[[%]:[%]])</f>
        <v/>
      </c>
      <c r="GW19" s="121" t="str">
        <f>IF(ISBLANK(tbl_task1[[คะแนนเต็ม]:[คะแนนเต็ม]]),"",(tbl_task1[35]/tbl_task1[[คะแนนเต็ม]:[คะแนนเต็ม]])*tbl_task1[[%]:[%]])</f>
        <v/>
      </c>
      <c r="GX19" s="121" t="str">
        <f>IF(ISBLANK(tbl_task1[[คะแนนเต็ม]:[คะแนนเต็ม]]),"",(tbl_task1[36]/tbl_task1[[คะแนนเต็ม]:[คะแนนเต็ม]])*tbl_task1[[%]:[%]])</f>
        <v/>
      </c>
      <c r="GY19" s="121" t="str">
        <f>IF(ISBLANK(tbl_task1[[คะแนนเต็ม]:[คะแนนเต็ม]]),"",(tbl_task1[37]/tbl_task1[[คะแนนเต็ม]:[คะแนนเต็ม]])*tbl_task1[[%]:[%]])</f>
        <v/>
      </c>
      <c r="GZ19" s="121" t="str">
        <f>IF(ISBLANK(tbl_task1[[คะแนนเต็ม]:[คะแนนเต็ม]]),"",(tbl_task1[38]/tbl_task1[[คะแนนเต็ม]:[คะแนนเต็ม]])*tbl_task1[[%]:[%]])</f>
        <v/>
      </c>
      <c r="HA19" s="121" t="str">
        <f>IF(ISBLANK(tbl_task1[[คะแนนเต็ม]:[คะแนนเต็ม]]),"",(tbl_task1[39]/tbl_task1[[คะแนนเต็ม]:[คะแนนเต็ม]])*tbl_task1[[%]:[%]])</f>
        <v/>
      </c>
      <c r="HB19" s="121" t="str">
        <f>IF(ISBLANK(tbl_task1[[คะแนนเต็ม]:[คะแนนเต็ม]]),"",(tbl_task1[40]/tbl_task1[[คะแนนเต็ม]:[คะแนนเต็ม]])*tbl_task1[[%]:[%]])</f>
        <v/>
      </c>
      <c r="HC19" s="121" t="str">
        <f>IF(ISBLANK(tbl_task1[[คะแนนเต็ม]:[คะแนนเต็ม]]),"",(tbl_task1[41]/tbl_task1[[คะแนนเต็ม]:[คะแนนเต็ม]])*tbl_task1[[%]:[%]])</f>
        <v/>
      </c>
      <c r="HD19" s="121" t="str">
        <f>IF(ISBLANK(tbl_task1[[คะแนนเต็ม]:[คะแนนเต็ม]]),"",(tbl_task1[42]/tbl_task1[[คะแนนเต็ม]:[คะแนนเต็ม]])*tbl_task1[[%]:[%]])</f>
        <v/>
      </c>
      <c r="HE19" s="121" t="str">
        <f>IF(ISBLANK(tbl_task1[[คะแนนเต็ม]:[คะแนนเต็ม]]),"",(tbl_task1[43]/tbl_task1[[คะแนนเต็ม]:[คะแนนเต็ม]])*tbl_task1[[%]:[%]])</f>
        <v/>
      </c>
      <c r="HF19" s="121" t="str">
        <f>IF(ISBLANK(tbl_task1[[คะแนนเต็ม]:[คะแนนเต็ม]]),"",(tbl_task1[44]/tbl_task1[[คะแนนเต็ม]:[คะแนนเต็ม]])*tbl_task1[[%]:[%]])</f>
        <v/>
      </c>
      <c r="HG19" s="121" t="str">
        <f>IF(ISBLANK(tbl_task1[[คะแนนเต็ม]:[คะแนนเต็ม]]),"",(tbl_task1[45]/tbl_task1[[คะแนนเต็ม]:[คะแนนเต็ม]])*tbl_task1[[%]:[%]])</f>
        <v/>
      </c>
      <c r="HH19" s="121" t="str">
        <f>IF(ISBLANK(tbl_task1[[คะแนนเต็ม]:[คะแนนเต็ม]]),"",(tbl_task1[46]/tbl_task1[[คะแนนเต็ม]:[คะแนนเต็ม]])*tbl_task1[[%]:[%]])</f>
        <v/>
      </c>
      <c r="HI19" s="121" t="str">
        <f>IF(ISBLANK(tbl_task1[[คะแนนเต็ม]:[คะแนนเต็ม]]),"",(tbl_task1[47]/tbl_task1[[คะแนนเต็ม]:[คะแนนเต็ม]])*tbl_task1[[%]:[%]])</f>
        <v/>
      </c>
      <c r="HJ19" s="121" t="str">
        <f>IF(ISBLANK(tbl_task1[[คะแนนเต็ม]:[คะแนนเต็ม]]),"",(tbl_task1[48]/tbl_task1[[คะแนนเต็ม]:[คะแนนเต็ม]])*tbl_task1[[%]:[%]])</f>
        <v/>
      </c>
      <c r="HK19" s="121" t="str">
        <f>IF(ISBLANK(tbl_task1[[คะแนนเต็ม]:[คะแนนเต็ม]]),"",(tbl_task1[49]/tbl_task1[[คะแนนเต็ม]:[คะแนนเต็ม]])*tbl_task1[[%]:[%]])</f>
        <v/>
      </c>
      <c r="HL19" s="121" t="str">
        <f>IF(ISBLANK(tbl_task1[[คะแนนเต็ม]:[คะแนนเต็ม]]),"",(tbl_task1[50]/tbl_task1[[คะแนนเต็ม]:[คะแนนเต็ม]])*tbl_task1[[%]:[%]])</f>
        <v/>
      </c>
      <c r="HM19" s="121" t="str">
        <f>IF(ISBLANK(tbl_task1[[คะแนนเต็ม]:[คะแนนเต็ม]]),"",(tbl_task1[51]/tbl_task1[[คะแนนเต็ม]:[คะแนนเต็ม]])*tbl_task1[[%]:[%]])</f>
        <v/>
      </c>
      <c r="HN19" s="121" t="str">
        <f>IF(ISBLANK(tbl_task1[[คะแนนเต็ม]:[คะแนนเต็ม]]),"",(tbl_task1[52]/tbl_task1[[คะแนนเต็ม]:[คะแนนเต็ม]])*tbl_task1[[%]:[%]])</f>
        <v/>
      </c>
      <c r="HO19" s="121" t="str">
        <f>IF(ISBLANK(tbl_task1[[คะแนนเต็ม]:[คะแนนเต็ม]]),"",(tbl_task1[53]/tbl_task1[[คะแนนเต็ม]:[คะแนนเต็ม]])*tbl_task1[[%]:[%]])</f>
        <v/>
      </c>
      <c r="HP19" s="121" t="str">
        <f>IF(ISBLANK(tbl_task1[[คะแนนเต็ม]:[คะแนนเต็ม]]),"",(tbl_task1[54]/tbl_task1[[คะแนนเต็ม]:[คะแนนเต็ม]])*tbl_task1[[%]:[%]])</f>
        <v/>
      </c>
      <c r="HQ19" s="121" t="str">
        <f>IF(ISBLANK(tbl_task1[[คะแนนเต็ม]:[คะแนนเต็ม]]),"",(tbl_task1[55]/tbl_task1[[คะแนนเต็ม]:[คะแนนเต็ม]])*tbl_task1[[%]:[%]])</f>
        <v/>
      </c>
      <c r="HR19" s="121" t="str">
        <f>IF(ISBLANK(tbl_task1[[คะแนนเต็ม]:[คะแนนเต็ม]]),"",(tbl_task1[56]/tbl_task1[[คะแนนเต็ม]:[คะแนนเต็ม]])*tbl_task1[[%]:[%]])</f>
        <v/>
      </c>
      <c r="HS19" s="121" t="str">
        <f>IF(ISBLANK(tbl_task1[[คะแนนเต็ม]:[คะแนนเต็ม]]),"",(tbl_task1[57]/tbl_task1[[คะแนนเต็ม]:[คะแนนเต็ม]])*tbl_task1[[%]:[%]])</f>
        <v/>
      </c>
      <c r="HT19" s="121" t="str">
        <f>IF(ISBLANK(tbl_task1[[คะแนนเต็ม]:[คะแนนเต็ม]]),"",(tbl_task1[58]/tbl_task1[[คะแนนเต็ม]:[คะแนนเต็ม]])*tbl_task1[[%]:[%]])</f>
        <v/>
      </c>
      <c r="HU19" s="121" t="str">
        <f>IF(ISBLANK(tbl_task1[[คะแนนเต็ม]:[คะแนนเต็ม]]),"",(tbl_task1[59]/tbl_task1[[คะแนนเต็ม]:[คะแนนเต็ม]])*tbl_task1[[%]:[%]])</f>
        <v/>
      </c>
      <c r="HV19" s="121" t="str">
        <f>IF(ISBLANK(tbl_task1[[คะแนนเต็ม]:[คะแนนเต็ม]]),"",(tbl_task1[60]/tbl_task1[[คะแนนเต็ม]:[คะแนนเต็ม]])*tbl_task1[[%]:[%]])</f>
        <v/>
      </c>
      <c r="HW19" s="121" t="str">
        <f>IF(ISBLANK(tbl_task1[[คะแนนเต็ม]:[คะแนนเต็ม]]),"",(tbl_task1[61]/tbl_task1[[คะแนนเต็ม]:[คะแนนเต็ม]])*tbl_task1[[%]:[%]])</f>
        <v/>
      </c>
      <c r="HX19" s="121" t="str">
        <f>IF(ISBLANK(tbl_task1[[คะแนนเต็ม]:[คะแนนเต็ม]]),"",(tbl_task1[62]/tbl_task1[[คะแนนเต็ม]:[คะแนนเต็ม]])*tbl_task1[[%]:[%]])</f>
        <v/>
      </c>
      <c r="HY19" s="121" t="str">
        <f>IF(ISBLANK(tbl_task1[[คะแนนเต็ม]:[คะแนนเต็ม]]),"",(tbl_task1[63]/tbl_task1[[คะแนนเต็ม]:[คะแนนเต็ม]])*tbl_task1[[%]:[%]])</f>
        <v/>
      </c>
      <c r="HZ19" s="121" t="str">
        <f>IF(ISBLANK(tbl_task1[[คะแนนเต็ม]:[คะแนนเต็ม]]),"",(tbl_task1[64]/tbl_task1[[คะแนนเต็ม]:[คะแนนเต็ม]])*tbl_task1[[%]:[%]])</f>
        <v/>
      </c>
      <c r="IA19" s="121" t="str">
        <f>IF(ISBLANK(tbl_task1[[คะแนนเต็ม]:[คะแนนเต็ม]]),"",(tbl_task1[65]/tbl_task1[[คะแนนเต็ม]:[คะแนนเต็ม]])*tbl_task1[[%]:[%]])</f>
        <v/>
      </c>
      <c r="IB19" s="121" t="str">
        <f>IF(ISBLANK(tbl_task1[[คะแนนเต็ม]:[คะแนนเต็ม]]),"",(tbl_task1[66]/tbl_task1[[คะแนนเต็ม]:[คะแนนเต็ม]])*tbl_task1[[%]:[%]])</f>
        <v/>
      </c>
      <c r="IC19" s="121" t="str">
        <f>IF(ISBLANK(tbl_task1[[คะแนนเต็ม]:[คะแนนเต็ม]]),"",(tbl_task1[67]/tbl_task1[[คะแนนเต็ม]:[คะแนนเต็ม]])*tbl_task1[[%]:[%]])</f>
        <v/>
      </c>
      <c r="ID19" s="121" t="str">
        <f>IF(ISBLANK(tbl_task1[[คะแนนเต็ม]:[คะแนนเต็ม]]),"",(tbl_task1[68]/tbl_task1[[คะแนนเต็ม]:[คะแนนเต็ม]])*tbl_task1[[%]:[%]])</f>
        <v/>
      </c>
      <c r="IE19" s="121" t="str">
        <f>IF(ISBLANK(tbl_task1[[คะแนนเต็ม]:[คะแนนเต็ม]]),"",(tbl_task1[69]/tbl_task1[[คะแนนเต็ม]:[คะแนนเต็ม]])*tbl_task1[[%]:[%]])</f>
        <v/>
      </c>
      <c r="IF19" s="121" t="str">
        <f>IF(ISBLANK(tbl_task1[[คะแนนเต็ม]:[คะแนนเต็ม]]),"",(tbl_task1[70]/tbl_task1[[คะแนนเต็ม]:[คะแนนเต็ม]])*tbl_task1[[%]:[%]])</f>
        <v/>
      </c>
      <c r="IG19" s="121" t="str">
        <f>IF(ISBLANK(tbl_task1[[คะแนนเต็ม]:[คะแนนเต็ม]]),"",(tbl_task1[71]/tbl_task1[[คะแนนเต็ม]:[คะแนนเต็ม]])*tbl_task1[[%]:[%]])</f>
        <v/>
      </c>
      <c r="IH19" s="121" t="str">
        <f>IF(ISBLANK(tbl_task1[[คะแนนเต็ม]:[คะแนนเต็ม]]),"",(tbl_task1[72]/tbl_task1[[คะแนนเต็ม]:[คะแนนเต็ม]])*tbl_task1[[%]:[%]])</f>
        <v/>
      </c>
      <c r="II19" s="121" t="str">
        <f>IF(ISBLANK(tbl_task1[[คะแนนเต็ม]:[คะแนนเต็ม]]),"",(tbl_task1[73]/tbl_task1[[คะแนนเต็ม]:[คะแนนเต็ม]])*tbl_task1[[%]:[%]])</f>
        <v/>
      </c>
      <c r="IJ19" s="121" t="str">
        <f>IF(ISBLANK(tbl_task1[[คะแนนเต็ม]:[คะแนนเต็ม]]),"",(tbl_task1[74]/tbl_task1[[คะแนนเต็ม]:[คะแนนเต็ม]])*tbl_task1[[%]:[%]])</f>
        <v/>
      </c>
      <c r="IK19" s="121" t="str">
        <f>IF(ISBLANK(tbl_task1[[คะแนนเต็ม]:[คะแนนเต็ม]]),"",(tbl_task1[75]/tbl_task1[[คะแนนเต็ม]:[คะแนนเต็ม]])*tbl_task1[[%]:[%]])</f>
        <v/>
      </c>
      <c r="IL19" s="121" t="str">
        <f>IF(ISBLANK(tbl_task1[[คะแนนเต็ม]:[คะแนนเต็ม]]),"",(tbl_task1[76]/tbl_task1[[คะแนนเต็ม]:[คะแนนเต็ม]])*tbl_task1[[%]:[%]])</f>
        <v/>
      </c>
      <c r="IM19" s="121" t="str">
        <f>IF(ISBLANK(tbl_task1[[คะแนนเต็ม]:[คะแนนเต็ม]]),"",(tbl_task1[77]/tbl_task1[[คะแนนเต็ม]:[คะแนนเต็ม]])*tbl_task1[[%]:[%]])</f>
        <v/>
      </c>
      <c r="IN19" s="121" t="str">
        <f>IF(ISBLANK(tbl_task1[[คะแนนเต็ม]:[คะแนนเต็ม]]),"",(tbl_task1[78]/tbl_task1[[คะแนนเต็ม]:[คะแนนเต็ม]])*tbl_task1[[%]:[%]])</f>
        <v/>
      </c>
      <c r="IO19" s="121" t="str">
        <f>IF(ISBLANK(tbl_task1[[คะแนนเต็ม]:[คะแนนเต็ม]]),"",(tbl_task1[79]/tbl_task1[[คะแนนเต็ม]:[คะแนนเต็ม]])*tbl_task1[[%]:[%]])</f>
        <v/>
      </c>
      <c r="IP19" s="121" t="str">
        <f>IF(ISBLANK(tbl_task1[[คะแนนเต็ม]:[คะแนนเต็ม]]),"",(tbl_task1[80]/tbl_task1[[คะแนนเต็ม]:[คะแนนเต็ม]])*tbl_task1[[%]:[%]])</f>
        <v/>
      </c>
      <c r="IQ19" s="121" t="str">
        <f>IF(ISBLANK(tbl_task1[[คะแนนเต็ม]:[คะแนนเต็ม]]),"",(tbl_task1[81]/tbl_task1[[คะแนนเต็ม]:[คะแนนเต็ม]])*tbl_task1[[%]:[%]])</f>
        <v/>
      </c>
      <c r="IR19" s="121" t="str">
        <f>IF(ISBLANK(tbl_task1[[คะแนนเต็ม]:[คะแนนเต็ม]]),"",(tbl_task1[82]/tbl_task1[[คะแนนเต็ม]:[คะแนนเต็ม]])*tbl_task1[[%]:[%]])</f>
        <v/>
      </c>
      <c r="IS19" s="121" t="str">
        <f>IF(ISBLANK(tbl_task1[[คะแนนเต็ม]:[คะแนนเต็ม]]),"",(tbl_task1[83]/tbl_task1[[คะแนนเต็ม]:[คะแนนเต็ม]])*tbl_task1[[%]:[%]])</f>
        <v/>
      </c>
      <c r="IT19" s="121" t="str">
        <f>IF(ISBLANK(tbl_task1[[คะแนนเต็ม]:[คะแนนเต็ม]]),"",(tbl_task1[84]/tbl_task1[[คะแนนเต็ม]:[คะแนนเต็ม]])*tbl_task1[[%]:[%]])</f>
        <v/>
      </c>
      <c r="IU19" s="121" t="str">
        <f>IF(ISBLANK(tbl_task1[[คะแนนเต็ม]:[คะแนนเต็ม]]),"",(tbl_task1[85]/tbl_task1[[คะแนนเต็ม]:[คะแนนเต็ม]])*tbl_task1[[%]:[%]])</f>
        <v/>
      </c>
      <c r="IV19" s="121" t="str">
        <f>IF(ISBLANK(tbl_task1[[คะแนนเต็ม]:[คะแนนเต็ม]]),"",(tbl_task1[86]/tbl_task1[[คะแนนเต็ม]:[คะแนนเต็ม]])*tbl_task1[[%]:[%]])</f>
        <v/>
      </c>
      <c r="IW19" s="121" t="str">
        <f>IF(ISBLANK(tbl_task1[[คะแนนเต็ม]:[คะแนนเต็ม]]),"",(tbl_task1[87]/tbl_task1[[คะแนนเต็ม]:[คะแนนเต็ม]])*tbl_task1[[%]:[%]])</f>
        <v/>
      </c>
      <c r="IX19" s="121" t="str">
        <f>IF(ISBLANK(tbl_task1[[คะแนนเต็ม]:[คะแนนเต็ม]]),"",(tbl_task1[88]/tbl_task1[[คะแนนเต็ม]:[คะแนนเต็ม]])*tbl_task1[[%]:[%]])</f>
        <v/>
      </c>
      <c r="IY19" s="121" t="str">
        <f>IF(ISBLANK(tbl_task1[[คะแนนเต็ม]:[คะแนนเต็ม]]),"",(tbl_task1[89]/tbl_task1[[คะแนนเต็ม]:[คะแนนเต็ม]])*tbl_task1[[%]:[%]])</f>
        <v/>
      </c>
      <c r="IZ19" s="121" t="str">
        <f>IF(ISBLANK(tbl_task1[[คะแนนเต็ม]:[คะแนนเต็ม]]),"",(tbl_task1[90]/tbl_task1[[คะแนนเต็ม]:[คะแนนเต็ม]])*tbl_task1[[%]:[%]])</f>
        <v/>
      </c>
      <c r="JA19" s="121" t="str">
        <f>IF(ISBLANK(tbl_task1[[คะแนนเต็ม]:[คะแนนเต็ม]]),"",(tbl_task1[91]/tbl_task1[[คะแนนเต็ม]:[คะแนนเต็ม]])*tbl_task1[[%]:[%]])</f>
        <v/>
      </c>
      <c r="JB19" s="121" t="str">
        <f>IF(ISBLANK(tbl_task1[[คะแนนเต็ม]:[คะแนนเต็ม]]),"",(tbl_task1[92]/tbl_task1[[คะแนนเต็ม]:[คะแนนเต็ม]])*tbl_task1[[%]:[%]])</f>
        <v/>
      </c>
      <c r="JC19" s="121" t="str">
        <f>IF(ISBLANK(tbl_task1[[คะแนนเต็ม]:[คะแนนเต็ม]]),"",(tbl_task1[93]/tbl_task1[[คะแนนเต็ม]:[คะแนนเต็ม]])*tbl_task1[[%]:[%]])</f>
        <v/>
      </c>
      <c r="JD19" s="121" t="str">
        <f>IF(ISBLANK(tbl_task1[[คะแนนเต็ม]:[คะแนนเต็ม]]),"",(tbl_task1[94]/tbl_task1[[คะแนนเต็ม]:[คะแนนเต็ม]])*tbl_task1[[%]:[%]])</f>
        <v/>
      </c>
      <c r="JE19" s="121" t="str">
        <f>IF(ISBLANK(tbl_task1[[คะแนนเต็ม]:[คะแนนเต็ม]]),"",(tbl_task1[95]/tbl_task1[[คะแนนเต็ม]:[คะแนนเต็ม]])*tbl_task1[[%]:[%]])</f>
        <v/>
      </c>
      <c r="JF19" s="121" t="str">
        <f>IF(ISBLANK(tbl_task1[[คะแนนเต็ม]:[คะแนนเต็ม]]),"",(tbl_task1[96]/tbl_task1[[คะแนนเต็ม]:[คะแนนเต็ม]])*tbl_task1[[%]:[%]])</f>
        <v/>
      </c>
      <c r="JG19" s="121" t="str">
        <f>IF(ISBLANK(tbl_task1[[คะแนนเต็ม]:[คะแนนเต็ม]]),"",(tbl_task1[97]/tbl_task1[[คะแนนเต็ม]:[คะแนนเต็ม]])*tbl_task1[[%]:[%]])</f>
        <v/>
      </c>
      <c r="JH19" s="121" t="str">
        <f>IF(ISBLANK(tbl_task1[[คะแนนเต็ม]:[คะแนนเต็ม]]),"",(tbl_task1[98]/tbl_task1[[คะแนนเต็ม]:[คะแนนเต็ม]])*tbl_task1[[%]:[%]])</f>
        <v/>
      </c>
      <c r="JI19" s="121" t="str">
        <f>IF(ISBLANK(tbl_task1[[คะแนนเต็ม]:[คะแนนเต็ม]]),"",(tbl_task1[99]/tbl_task1[[คะแนนเต็ม]:[คะแนนเต็ม]])*tbl_task1[[%]:[%]])</f>
        <v/>
      </c>
      <c r="JJ19" s="121" t="str">
        <f>IF(ISBLANK(tbl_task1[[คะแนนเต็ม]:[คะแนนเต็ม]]),"",(tbl_task1[100]/tbl_task1[[คะแนนเต็ม]:[คะแนนเต็ม]])*tbl_task1[[%]:[%]])</f>
        <v/>
      </c>
      <c r="JK19" s="121" t="str">
        <f>IF(ISBLANK(tbl_task1[[คะแนนเต็ม]:[คะแนนเต็ม]]),"",(tbl_task1[101]/tbl_task1[[คะแนนเต็ม]:[คะแนนเต็ม]])*tbl_task1[[%]:[%]])</f>
        <v/>
      </c>
      <c r="JL19" s="121" t="str">
        <f>IF(ISBLANK(tbl_task1[[คะแนนเต็ม]:[คะแนนเต็ม]]),"",(tbl_task1[102]/tbl_task1[[คะแนนเต็ม]:[คะแนนเต็ม]])*tbl_task1[[%]:[%]])</f>
        <v/>
      </c>
      <c r="JM19" s="121" t="str">
        <f>IF(ISBLANK(tbl_task1[[คะแนนเต็ม]:[คะแนนเต็ม]]),"",(tbl_task1[103]/tbl_task1[[คะแนนเต็ม]:[คะแนนเต็ม]])*tbl_task1[[%]:[%]])</f>
        <v/>
      </c>
      <c r="JN19" s="121" t="str">
        <f>IF(ISBLANK(tbl_task1[[คะแนนเต็ม]:[คะแนนเต็ม]]),"",(tbl_task1[104]/tbl_task1[[คะแนนเต็ม]:[คะแนนเต็ม]])*tbl_task1[[%]:[%]])</f>
        <v/>
      </c>
      <c r="JO19" s="121" t="str">
        <f>IF(ISBLANK(tbl_task1[[คะแนนเต็ม]:[คะแนนเต็ม]]),"",(tbl_task1[105]/tbl_task1[[คะแนนเต็ม]:[คะแนนเต็ม]])*tbl_task1[[%]:[%]])</f>
        <v/>
      </c>
      <c r="JP19" s="121" t="str">
        <f>IF(ISBLANK(tbl_task1[[คะแนนเต็ม]:[คะแนนเต็ม]]),"",(tbl_task1[106]/tbl_task1[[คะแนนเต็ม]:[คะแนนเต็ม]])*tbl_task1[[%]:[%]])</f>
        <v/>
      </c>
      <c r="JQ19" s="121" t="str">
        <f>IF(ISBLANK(tbl_task1[[คะแนนเต็ม]:[คะแนนเต็ม]]),"",(tbl_task1[107]/tbl_task1[[คะแนนเต็ม]:[คะแนนเต็ม]])*tbl_task1[[%]:[%]])</f>
        <v/>
      </c>
      <c r="JR19" s="121" t="str">
        <f>IF(ISBLANK(tbl_task1[[คะแนนเต็ม]:[คะแนนเต็ม]]),"",(tbl_task1[108]/tbl_task1[[คะแนนเต็ม]:[คะแนนเต็ม]])*tbl_task1[[%]:[%]])</f>
        <v/>
      </c>
      <c r="JS19" s="121" t="str">
        <f>IF(ISBLANK(tbl_task1[[คะแนนเต็ม]:[คะแนนเต็ม]]),"",(tbl_task1[109]/tbl_task1[[คะแนนเต็ม]:[คะแนนเต็ม]])*tbl_task1[[%]:[%]])</f>
        <v/>
      </c>
      <c r="JT19" s="121" t="str">
        <f>IF(ISBLANK(tbl_task1[[คะแนนเต็ม]:[คะแนนเต็ม]]),"",(tbl_task1[110]/tbl_task1[[คะแนนเต็ม]:[คะแนนเต็ม]])*tbl_task1[[%]:[%]])</f>
        <v/>
      </c>
      <c r="JU19" s="121" t="str">
        <f>IF(ISBLANK(tbl_task1[[คะแนนเต็ม]:[คะแนนเต็ม]]),"",(tbl_task1[111]/tbl_task1[[คะแนนเต็ม]:[คะแนนเต็ม]])*tbl_task1[[%]:[%]])</f>
        <v/>
      </c>
      <c r="JV19" s="121" t="str">
        <f>IF(ISBLANK(tbl_task1[[คะแนนเต็ม]:[คะแนนเต็ม]]),"",(tbl_task1[112]/tbl_task1[[คะแนนเต็ม]:[คะแนนเต็ม]])*tbl_task1[[%]:[%]])</f>
        <v/>
      </c>
      <c r="JW19" s="121" t="str">
        <f>IF(ISBLANK(tbl_task1[[คะแนนเต็ม]:[คะแนนเต็ม]]),"",(tbl_task1[113]/tbl_task1[[คะแนนเต็ม]:[คะแนนเต็ม]])*tbl_task1[[%]:[%]])</f>
        <v/>
      </c>
      <c r="JX19" s="121" t="str">
        <f>IF(ISBLANK(tbl_task1[[คะแนนเต็ม]:[คะแนนเต็ม]]),"",(tbl_task1[114]/tbl_task1[[คะแนนเต็ม]:[คะแนนเต็ม]])*tbl_task1[[%]:[%]])</f>
        <v/>
      </c>
      <c r="JY19" s="121" t="str">
        <f>IF(ISBLANK(tbl_task1[[คะแนนเต็ม]:[คะแนนเต็ม]]),"",(tbl_task1[115]/tbl_task1[[คะแนนเต็ม]:[คะแนนเต็ม]])*tbl_task1[[%]:[%]])</f>
        <v/>
      </c>
      <c r="JZ19" s="121" t="str">
        <f>IF(ISBLANK(tbl_task1[[คะแนนเต็ม]:[คะแนนเต็ม]]),"",(tbl_task1[116]/tbl_task1[[คะแนนเต็ม]:[คะแนนเต็ม]])*tbl_task1[[%]:[%]])</f>
        <v/>
      </c>
      <c r="KA19" s="121" t="str">
        <f>IF(ISBLANK(tbl_task1[[คะแนนเต็ม]:[คะแนนเต็ม]]),"",(tbl_task1[117]/tbl_task1[[คะแนนเต็ม]:[คะแนนเต็ม]])*tbl_task1[[%]:[%]])</f>
        <v/>
      </c>
      <c r="KB19" s="121" t="str">
        <f>IF(ISBLANK(tbl_task1[[คะแนนเต็ม]:[คะแนนเต็ม]]),"",(tbl_task1[118]/tbl_task1[[คะแนนเต็ม]:[คะแนนเต็ม]])*tbl_task1[[%]:[%]])</f>
        <v/>
      </c>
      <c r="KC19" s="121" t="str">
        <f>IF(ISBLANK(tbl_task1[[คะแนนเต็ม]:[คะแนนเต็ม]]),"",(tbl_task1[119]/tbl_task1[[คะแนนเต็ม]:[คะแนนเต็ม]])*tbl_task1[[%]:[%]])</f>
        <v/>
      </c>
      <c r="KD19" s="121" t="str">
        <f>IF(ISBLANK(tbl_task1[[คะแนนเต็ม]:[คะแนนเต็ม]]),"",(tbl_task1[120]/tbl_task1[[คะแนนเต็ม]:[คะแนนเต็ม]])*tbl_task1[[%]:[%]])</f>
        <v/>
      </c>
      <c r="KE19" s="121" t="str">
        <f>IF(ISBLANK(tbl_task1[[คะแนนเต็ม]:[คะแนนเต็ม]]),"",(tbl_task1[121]/tbl_task1[[คะแนนเต็ม]:[คะแนนเต็ม]])*tbl_task1[[%]:[%]])</f>
        <v/>
      </c>
      <c r="KF19" s="121" t="str">
        <f>IF(ISBLANK(tbl_task1[[คะแนนเต็ม]:[คะแนนเต็ม]]),"",(tbl_task1[122]/tbl_task1[[คะแนนเต็ม]:[คะแนนเต็ม]])*tbl_task1[[%]:[%]])</f>
        <v/>
      </c>
      <c r="KG19" s="121" t="str">
        <f>IF(ISBLANK(tbl_task1[[คะแนนเต็ม]:[คะแนนเต็ม]]),"",(tbl_task1[123]/tbl_task1[[คะแนนเต็ม]:[คะแนนเต็ม]])*tbl_task1[[%]:[%]])</f>
        <v/>
      </c>
      <c r="KH19" s="121" t="str">
        <f>IF(ISBLANK(tbl_task1[[คะแนนเต็ม]:[คะแนนเต็ม]]),"",(tbl_task1[124]/tbl_task1[[คะแนนเต็ม]:[คะแนนเต็ม]])*tbl_task1[[%]:[%]])</f>
        <v/>
      </c>
      <c r="KI19" s="121" t="str">
        <f>IF(ISBLANK(tbl_task1[[คะแนนเต็ม]:[คะแนนเต็ม]]),"",(tbl_task1[125]/tbl_task1[[คะแนนเต็ม]:[คะแนนเต็ม]])*tbl_task1[[%]:[%]])</f>
        <v/>
      </c>
      <c r="KJ19" s="121" t="str">
        <f>IF(ISBLANK(tbl_task1[[คะแนนเต็ม]:[คะแนนเต็ม]]),"",(tbl_task1[126]/tbl_task1[[คะแนนเต็ม]:[คะแนนเต็ม]])*tbl_task1[[%]:[%]])</f>
        <v/>
      </c>
      <c r="KK19" s="121" t="str">
        <f>IF(ISBLANK(tbl_task1[[คะแนนเต็ม]:[คะแนนเต็ม]]),"",(tbl_task1[127]/tbl_task1[[คะแนนเต็ม]:[คะแนนเต็ม]])*tbl_task1[[%]:[%]])</f>
        <v/>
      </c>
      <c r="KL19" s="121" t="str">
        <f>IF(ISBLANK(tbl_task1[[คะแนนเต็ม]:[คะแนนเต็ม]]),"",(tbl_task1[128]/tbl_task1[[คะแนนเต็ม]:[คะแนนเต็ม]])*tbl_task1[[%]:[%]])</f>
        <v/>
      </c>
      <c r="KM19" s="121" t="str">
        <f>IF(ISBLANK(tbl_task1[[คะแนนเต็ม]:[คะแนนเต็ม]]),"",(tbl_task1[129]/tbl_task1[[คะแนนเต็ม]:[คะแนนเต็ม]])*tbl_task1[[%]:[%]])</f>
        <v/>
      </c>
      <c r="KN19" s="121" t="str">
        <f>IF(ISBLANK(tbl_task1[[คะแนนเต็ม]:[คะแนนเต็ม]]),"",(tbl_task1[130]/tbl_task1[[คะแนนเต็ม]:[คะแนนเต็ม]])*tbl_task1[[%]:[%]])</f>
        <v/>
      </c>
      <c r="KO19" s="121" t="str">
        <f>IF(ISBLANK(tbl_task1[[คะแนนเต็ม]:[คะแนนเต็ม]]),"",(tbl_task1[131]/tbl_task1[[คะแนนเต็ม]:[คะแนนเต็ม]])*tbl_task1[[%]:[%]])</f>
        <v/>
      </c>
      <c r="KP19" s="121" t="str">
        <f>IF(ISBLANK(tbl_task1[[คะแนนเต็ม]:[คะแนนเต็ม]]),"",(tbl_task1[132]/tbl_task1[[คะแนนเต็ม]:[คะแนนเต็ม]])*tbl_task1[[%]:[%]])</f>
        <v/>
      </c>
      <c r="KQ19" s="121" t="str">
        <f>IF(ISBLANK(tbl_task1[[คะแนนเต็ม]:[คะแนนเต็ม]]),"",(tbl_task1[133]/tbl_task1[[คะแนนเต็ม]:[คะแนนเต็ม]])*tbl_task1[[%]:[%]])</f>
        <v/>
      </c>
      <c r="KR19" s="121" t="str">
        <f>IF(ISBLANK(tbl_task1[[คะแนนเต็ม]:[คะแนนเต็ม]]),"",(tbl_task1[134]/tbl_task1[[คะแนนเต็ม]:[คะแนนเต็ม]])*tbl_task1[[%]:[%]])</f>
        <v/>
      </c>
      <c r="KS19" s="121" t="str">
        <f>IF(ISBLANK(tbl_task1[[คะแนนเต็ม]:[คะแนนเต็ม]]),"",(tbl_task1[135]/tbl_task1[[คะแนนเต็ม]:[คะแนนเต็ม]])*tbl_task1[[%]:[%]])</f>
        <v/>
      </c>
      <c r="KT19" s="121" t="str">
        <f>IF(ISBLANK(tbl_task1[[คะแนนเต็ม]:[คะแนนเต็ม]]),"",(tbl_task1[136]/tbl_task1[[คะแนนเต็ม]:[คะแนนเต็ม]])*tbl_task1[[%]:[%]])</f>
        <v/>
      </c>
      <c r="KU19" s="121" t="str">
        <f>IF(ISBLANK(tbl_task1[[คะแนนเต็ม]:[คะแนนเต็ม]]),"",(tbl_task1[137]/tbl_task1[[คะแนนเต็ม]:[คะแนนเต็ม]])*tbl_task1[[%]:[%]])</f>
        <v/>
      </c>
      <c r="KV19" s="121" t="str">
        <f>IF(ISBLANK(tbl_task1[[คะแนนเต็ม]:[คะแนนเต็ม]]),"",(tbl_task1[138]/tbl_task1[[คะแนนเต็ม]:[คะแนนเต็ม]])*tbl_task1[[%]:[%]])</f>
        <v/>
      </c>
      <c r="KW19" s="121" t="str">
        <f>IF(ISBLANK(tbl_task1[[คะแนนเต็ม]:[คะแนนเต็ม]]),"",(tbl_task1[139]/tbl_task1[[คะแนนเต็ม]:[คะแนนเต็ม]])*tbl_task1[[%]:[%]])</f>
        <v/>
      </c>
      <c r="KX19" s="121" t="str">
        <f>IF(ISBLANK(tbl_task1[[คะแนนเต็ม]:[คะแนนเต็ม]]),"",(tbl_task1[140]/tbl_task1[[คะแนนเต็ม]:[คะแนนเต็ม]])*tbl_task1[[%]:[%]])</f>
        <v/>
      </c>
      <c r="KY19" s="121" t="str">
        <f>IF(ISBLANK(tbl_task1[[คะแนนเต็ม]:[คะแนนเต็ม]]),"",(tbl_task1[141]/tbl_task1[[คะแนนเต็ม]:[คะแนนเต็ม]])*tbl_task1[[%]:[%]])</f>
        <v/>
      </c>
      <c r="KZ19" s="121" t="str">
        <f>IF(ISBLANK(tbl_task1[[คะแนนเต็ม]:[คะแนนเต็ม]]),"",(tbl_task1[142]/tbl_task1[[คะแนนเต็ม]:[คะแนนเต็ม]])*tbl_task1[[%]:[%]])</f>
        <v/>
      </c>
      <c r="LA19" s="121" t="str">
        <f>IF(ISBLANK(tbl_task1[[คะแนนเต็ม]:[คะแนนเต็ม]]),"",(tbl_task1[143]/tbl_task1[[คะแนนเต็ม]:[คะแนนเต็ม]])*tbl_task1[[%]:[%]])</f>
        <v/>
      </c>
      <c r="LB19" s="121" t="str">
        <f>IF(ISBLANK(tbl_task1[[คะแนนเต็ม]:[คะแนนเต็ม]]),"",(tbl_task1[144]/tbl_task1[[คะแนนเต็ม]:[คะแนนเต็ม]])*tbl_task1[[%]:[%]])</f>
        <v/>
      </c>
      <c r="LC19" s="121" t="str">
        <f>IF(ISBLANK(tbl_task1[[คะแนนเต็ม]:[คะแนนเต็ม]]),"",(tbl_task1[145]/tbl_task1[[คะแนนเต็ม]:[คะแนนเต็ม]])*tbl_task1[[%]:[%]])</f>
        <v/>
      </c>
      <c r="LD19" s="121" t="str">
        <f>IF(ISBLANK(tbl_task1[[คะแนนเต็ม]:[คะแนนเต็ม]]),"",(tbl_task1[146]/tbl_task1[[คะแนนเต็ม]:[คะแนนเต็ม]])*tbl_task1[[%]:[%]])</f>
        <v/>
      </c>
      <c r="LE19" s="121" t="str">
        <f>IF(ISBLANK(tbl_task1[[คะแนนเต็ม]:[คะแนนเต็ม]]),"",(tbl_task1[147]/tbl_task1[[คะแนนเต็ม]:[คะแนนเต็ม]])*tbl_task1[[%]:[%]])</f>
        <v/>
      </c>
      <c r="LF19" s="121" t="str">
        <f>IF(ISBLANK(tbl_task1[[คะแนนเต็ม]:[คะแนนเต็ม]]),"",(tbl_task1[148]/tbl_task1[[คะแนนเต็ม]:[คะแนนเต็ม]])*tbl_task1[[%]:[%]])</f>
        <v/>
      </c>
      <c r="LG19" s="121" t="str">
        <f>IF(ISBLANK(tbl_task1[[คะแนนเต็ม]:[คะแนนเต็ม]]),"",(tbl_task1[149]/tbl_task1[[คะแนนเต็ม]:[คะแนนเต็ม]])*tbl_task1[[%]:[%]])</f>
        <v/>
      </c>
      <c r="LH19" s="121" t="str">
        <f>IF(ISBLANK(tbl_task1[[คะแนนเต็ม]:[คะแนนเต็ม]]),"",(tbl_task1[150]/tbl_task1[[คะแนนเต็ม]:[คะแนนเต็ม]])*tbl_task1[[%]:[%]])</f>
        <v/>
      </c>
      <c r="LI19" s="121" t="str">
        <f>IF(ISBLANK(tbl_task1[[คะแนนเต็ม]:[คะแนนเต็ม]]),"",(tbl_task1[151]/tbl_task1[[คะแนนเต็ม]:[คะแนนเต็ม]])*tbl_task1[[%]:[%]])</f>
        <v/>
      </c>
      <c r="LJ19" s="121" t="str">
        <f>IF(ISBLANK(tbl_task1[[คะแนนเต็ม]:[คะแนนเต็ม]]),"",(tbl_task1[152]/tbl_task1[[คะแนนเต็ม]:[คะแนนเต็ม]])*tbl_task1[[%]:[%]])</f>
        <v/>
      </c>
      <c r="LK19" s="121" t="str">
        <f>IF(ISBLANK(tbl_task1[[คะแนนเต็ม]:[คะแนนเต็ม]]),"",(tbl_task1[153]/tbl_task1[[คะแนนเต็ม]:[คะแนนเต็ม]])*tbl_task1[[%]:[%]])</f>
        <v/>
      </c>
      <c r="LL19" s="121" t="str">
        <f>IF(ISBLANK(tbl_task1[[คะแนนเต็ม]:[คะแนนเต็ม]]),"",(tbl_task1[154]/tbl_task1[[คะแนนเต็ม]:[คะแนนเต็ม]])*tbl_task1[[%]:[%]])</f>
        <v/>
      </c>
      <c r="LM19" s="121" t="str">
        <f>IF(ISBLANK(tbl_task1[[คะแนนเต็ม]:[คะแนนเต็ม]]),"",(tbl_task1[155]/tbl_task1[[คะแนนเต็ม]:[คะแนนเต็ม]])*tbl_task1[[%]:[%]])</f>
        <v/>
      </c>
      <c r="LN19" s="121" t="str">
        <f>IF(ISBLANK(tbl_task1[[คะแนนเต็ม]:[คะแนนเต็ม]]),"",(tbl_task1[156]/tbl_task1[[คะแนนเต็ม]:[คะแนนเต็ม]])*tbl_task1[[%]:[%]])</f>
        <v/>
      </c>
      <c r="LO19" s="121" t="str">
        <f>IF(ISBLANK(tbl_task1[[คะแนนเต็ม]:[คะแนนเต็ม]]),"",(tbl_task1[157]/tbl_task1[[คะแนนเต็ม]:[คะแนนเต็ม]])*tbl_task1[[%]:[%]])</f>
        <v/>
      </c>
      <c r="LP19" s="121" t="str">
        <f>IF(ISBLANK(tbl_task1[[คะแนนเต็ม]:[คะแนนเต็ม]]),"",(tbl_task1[158]/tbl_task1[[คะแนนเต็ม]:[คะแนนเต็ม]])*tbl_task1[[%]:[%]])</f>
        <v/>
      </c>
      <c r="LQ19" s="121" t="str">
        <f>IF(ISBLANK(tbl_task1[[คะแนนเต็ม]:[คะแนนเต็ม]]),"",(tbl_task1[159]/tbl_task1[[คะแนนเต็ม]:[คะแนนเต็ม]])*tbl_task1[[%]:[%]])</f>
        <v/>
      </c>
      <c r="LR19" s="121" t="str">
        <f>IF(ISBLANK(tbl_task1[[คะแนนเต็ม]:[คะแนนเต็ม]]),"",(tbl_task1[160]/tbl_task1[[คะแนนเต็ม]:[คะแนนเต็ม]])*tbl_task1[[%]:[%]])</f>
        <v/>
      </c>
      <c r="LS19" s="121" t="str">
        <f>IF(ISBLANK(tbl_task1[[คะแนนเต็ม]:[คะแนนเต็ม]]),"",(tbl_task1[161]/tbl_task1[[คะแนนเต็ม]:[คะแนนเต็ม]])*tbl_task1[[%]:[%]])</f>
        <v/>
      </c>
      <c r="LT19" s="121" t="str">
        <f>IF(ISBLANK(tbl_task1[[คะแนนเต็ม]:[คะแนนเต็ม]]),"",(tbl_task1[162]/tbl_task1[[คะแนนเต็ม]:[คะแนนเต็ม]])*tbl_task1[[%]:[%]])</f>
        <v/>
      </c>
      <c r="LU19" s="121" t="str">
        <f>IF(ISBLANK(tbl_task1[[คะแนนเต็ม]:[คะแนนเต็ม]]),"",(tbl_task1[163]/tbl_task1[[คะแนนเต็ม]:[คะแนนเต็ม]])*tbl_task1[[%]:[%]])</f>
        <v/>
      </c>
      <c r="LV19" s="121" t="str">
        <f>IF(ISBLANK(tbl_task1[[คะแนนเต็ม]:[คะแนนเต็ม]]),"",(tbl_task1[164]/tbl_task1[[คะแนนเต็ม]:[คะแนนเต็ม]])*tbl_task1[[%]:[%]])</f>
        <v/>
      </c>
      <c r="LW19" s="121" t="str">
        <f>IF(ISBLANK(tbl_task1[[คะแนนเต็ม]:[คะแนนเต็ม]]),"",(tbl_task1[165]/tbl_task1[[คะแนนเต็ม]:[คะแนนเต็ม]])*tbl_task1[[%]:[%]])</f>
        <v/>
      </c>
    </row>
    <row r="20" spans="1:335" ht="24" customHeight="1" x14ac:dyDescent="0.25">
      <c r="A20" s="24">
        <v>17</v>
      </c>
      <c r="B20" s="20"/>
      <c r="C20" s="5" t="str">
        <f>IF(ISBLANK(B20),"",VLOOKUP(B20,tbl_PLOs[],2,0))</f>
        <v/>
      </c>
      <c r="D20" s="102"/>
      <c r="E20" s="106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121" t="str">
        <f>IF(ISBLANK(tbl_task1[[คะแนนเต็ม]:[คะแนนเต็ม]]),"",(tbl_task1[1]/tbl_task1[[คะแนนเต็ม]:[คะแนนเต็ม]])*tbl_task1[[%]:[%]])</f>
        <v/>
      </c>
      <c r="FP20" s="121" t="str">
        <f>IF(ISBLANK(tbl_task1[[คะแนนเต็ม]:[คะแนนเต็ม]]),"",(tbl_task1[2]/tbl_task1[[คะแนนเต็ม]:[คะแนนเต็ม]])*tbl_task1[[%]:[%]])</f>
        <v/>
      </c>
      <c r="FQ20" s="121" t="str">
        <f>IF(ISBLANK(tbl_task1[[คะแนนเต็ม]:[คะแนนเต็ม]]),"",(tbl_task1[3]/tbl_task1[[คะแนนเต็ม]:[คะแนนเต็ม]])*tbl_task1[[%]:[%]])</f>
        <v/>
      </c>
      <c r="FR20" s="121" t="str">
        <f>IF(ISBLANK(tbl_task1[[คะแนนเต็ม]:[คะแนนเต็ม]]),"",(tbl_task1[4]/tbl_task1[[คะแนนเต็ม]:[คะแนนเต็ม]])*tbl_task1[[%]:[%]])</f>
        <v/>
      </c>
      <c r="FS20" s="121" t="str">
        <f>IF(ISBLANK(tbl_task1[[คะแนนเต็ม]:[คะแนนเต็ม]]),"",(tbl_task1[5]/tbl_task1[[คะแนนเต็ม]:[คะแนนเต็ม]])*tbl_task1[[%]:[%]])</f>
        <v/>
      </c>
      <c r="FT20" s="121" t="str">
        <f>IF(ISBLANK(tbl_task1[[คะแนนเต็ม]:[คะแนนเต็ม]]),"",(tbl_task1[6]/tbl_task1[[คะแนนเต็ม]:[คะแนนเต็ม]])*tbl_task1[[%]:[%]])</f>
        <v/>
      </c>
      <c r="FU20" s="121" t="str">
        <f>IF(ISBLANK(tbl_task1[[คะแนนเต็ม]:[คะแนนเต็ม]]),"",(tbl_task1[7]/tbl_task1[[คะแนนเต็ม]:[คะแนนเต็ม]])*tbl_task1[[%]:[%]])</f>
        <v/>
      </c>
      <c r="FV20" s="121" t="str">
        <f>IF(ISBLANK(tbl_task1[[คะแนนเต็ม]:[คะแนนเต็ม]]),"",(tbl_task1[8]/tbl_task1[[คะแนนเต็ม]:[คะแนนเต็ม]])*tbl_task1[[%]:[%]])</f>
        <v/>
      </c>
      <c r="FW20" s="121" t="str">
        <f>IF(ISBLANK(tbl_task1[[คะแนนเต็ม]:[คะแนนเต็ม]]),"",(tbl_task1[9]/tbl_task1[[คะแนนเต็ม]:[คะแนนเต็ม]])*tbl_task1[[%]:[%]])</f>
        <v/>
      </c>
      <c r="FX20" s="121" t="str">
        <f>IF(ISBLANK(tbl_task1[[คะแนนเต็ม]:[คะแนนเต็ม]]),"",(tbl_task1[10]/tbl_task1[[คะแนนเต็ม]:[คะแนนเต็ม]])*tbl_task1[[%]:[%]])</f>
        <v/>
      </c>
      <c r="FY20" s="121" t="str">
        <f>IF(ISBLANK(tbl_task1[[คะแนนเต็ม]:[คะแนนเต็ม]]),"",(tbl_task1[11]/tbl_task1[[คะแนนเต็ม]:[คะแนนเต็ม]])*tbl_task1[[%]:[%]])</f>
        <v/>
      </c>
      <c r="FZ20" s="121" t="str">
        <f>IF(ISBLANK(tbl_task1[[คะแนนเต็ม]:[คะแนนเต็ม]]),"",(tbl_task1[12]/tbl_task1[[คะแนนเต็ม]:[คะแนนเต็ม]])*tbl_task1[[%]:[%]])</f>
        <v/>
      </c>
      <c r="GA20" s="121" t="str">
        <f>IF(ISBLANK(tbl_task1[[คะแนนเต็ม]:[คะแนนเต็ม]]),"",(tbl_task1[13]/tbl_task1[[คะแนนเต็ม]:[คะแนนเต็ม]])*tbl_task1[[%]:[%]])</f>
        <v/>
      </c>
      <c r="GB20" s="121" t="str">
        <f>IF(ISBLANK(tbl_task1[[คะแนนเต็ม]:[คะแนนเต็ม]]),"",(tbl_task1[14]/tbl_task1[[คะแนนเต็ม]:[คะแนนเต็ม]])*tbl_task1[[%]:[%]])</f>
        <v/>
      </c>
      <c r="GC20" s="121" t="str">
        <f>IF(ISBLANK(tbl_task1[[คะแนนเต็ม]:[คะแนนเต็ม]]),"",(tbl_task1[15]/tbl_task1[[คะแนนเต็ม]:[คะแนนเต็ม]])*tbl_task1[[%]:[%]])</f>
        <v/>
      </c>
      <c r="GD20" s="121" t="str">
        <f>IF(ISBLANK(tbl_task1[[คะแนนเต็ม]:[คะแนนเต็ม]]),"",(tbl_task1[16]/tbl_task1[[คะแนนเต็ม]:[คะแนนเต็ม]])*tbl_task1[[%]:[%]])</f>
        <v/>
      </c>
      <c r="GE20" s="121" t="str">
        <f>IF(ISBLANK(tbl_task1[[คะแนนเต็ม]:[คะแนนเต็ม]]),"",(tbl_task1[17]/tbl_task1[[คะแนนเต็ม]:[คะแนนเต็ม]])*tbl_task1[[%]:[%]])</f>
        <v/>
      </c>
      <c r="GF20" s="121" t="str">
        <f>IF(ISBLANK(tbl_task1[[คะแนนเต็ม]:[คะแนนเต็ม]]),"",(tbl_task1[18]/tbl_task1[[คะแนนเต็ม]:[คะแนนเต็ม]])*tbl_task1[[%]:[%]])</f>
        <v/>
      </c>
      <c r="GG20" s="121" t="str">
        <f>IF(ISBLANK(tbl_task1[[คะแนนเต็ม]:[คะแนนเต็ม]]),"",(tbl_task1[19]/tbl_task1[[คะแนนเต็ม]:[คะแนนเต็ม]])*tbl_task1[[%]:[%]])</f>
        <v/>
      </c>
      <c r="GH20" s="121" t="str">
        <f>IF(ISBLANK(tbl_task1[[คะแนนเต็ม]:[คะแนนเต็ม]]),"",(tbl_task1[20]/tbl_task1[[คะแนนเต็ม]:[คะแนนเต็ม]])*tbl_task1[[%]:[%]])</f>
        <v/>
      </c>
      <c r="GI20" s="121" t="str">
        <f>IF(ISBLANK(tbl_task1[[คะแนนเต็ม]:[คะแนนเต็ม]]),"",(tbl_task1[21]/tbl_task1[[คะแนนเต็ม]:[คะแนนเต็ม]])*tbl_task1[[%]:[%]])</f>
        <v/>
      </c>
      <c r="GJ20" s="121" t="str">
        <f>IF(ISBLANK(tbl_task1[[คะแนนเต็ม]:[คะแนนเต็ม]]),"",(tbl_task1[22]/tbl_task1[[คะแนนเต็ม]:[คะแนนเต็ม]])*tbl_task1[[%]:[%]])</f>
        <v/>
      </c>
      <c r="GK20" s="121" t="str">
        <f>IF(ISBLANK(tbl_task1[[คะแนนเต็ม]:[คะแนนเต็ม]]),"",(tbl_task1[23]/tbl_task1[[คะแนนเต็ม]:[คะแนนเต็ม]])*tbl_task1[[%]:[%]])</f>
        <v/>
      </c>
      <c r="GL20" s="121" t="str">
        <f>IF(ISBLANK(tbl_task1[[คะแนนเต็ม]:[คะแนนเต็ม]]),"",(tbl_task1[24]/tbl_task1[[คะแนนเต็ม]:[คะแนนเต็ม]])*tbl_task1[[%]:[%]])</f>
        <v/>
      </c>
      <c r="GM20" s="121" t="str">
        <f>IF(ISBLANK(tbl_task1[[คะแนนเต็ม]:[คะแนนเต็ม]]),"",(tbl_task1[25]/tbl_task1[[คะแนนเต็ม]:[คะแนนเต็ม]])*tbl_task1[[%]:[%]])</f>
        <v/>
      </c>
      <c r="GN20" s="121" t="str">
        <f>IF(ISBLANK(tbl_task1[[คะแนนเต็ม]:[คะแนนเต็ม]]),"",(tbl_task1[26]/tbl_task1[[คะแนนเต็ม]:[คะแนนเต็ม]])*tbl_task1[[%]:[%]])</f>
        <v/>
      </c>
      <c r="GO20" s="121" t="str">
        <f>IF(ISBLANK(tbl_task1[[คะแนนเต็ม]:[คะแนนเต็ม]]),"",(tbl_task1[27]/tbl_task1[[คะแนนเต็ม]:[คะแนนเต็ม]])*tbl_task1[[%]:[%]])</f>
        <v/>
      </c>
      <c r="GP20" s="121" t="str">
        <f>IF(ISBLANK(tbl_task1[[คะแนนเต็ม]:[คะแนนเต็ม]]),"",(tbl_task1[28]/tbl_task1[[คะแนนเต็ม]:[คะแนนเต็ม]])*tbl_task1[[%]:[%]])</f>
        <v/>
      </c>
      <c r="GQ20" s="121" t="str">
        <f>IF(ISBLANK(tbl_task1[[คะแนนเต็ม]:[คะแนนเต็ม]]),"",(tbl_task1[29]/tbl_task1[[คะแนนเต็ม]:[คะแนนเต็ม]])*tbl_task1[[%]:[%]])</f>
        <v/>
      </c>
      <c r="GR20" s="121" t="str">
        <f>IF(ISBLANK(tbl_task1[[คะแนนเต็ม]:[คะแนนเต็ม]]),"",(tbl_task1[30]/tbl_task1[[คะแนนเต็ม]:[คะแนนเต็ม]])*tbl_task1[[%]:[%]])</f>
        <v/>
      </c>
      <c r="GS20" s="121" t="str">
        <f>IF(ISBLANK(tbl_task1[[คะแนนเต็ม]:[คะแนนเต็ม]]),"",(tbl_task1[31]/tbl_task1[[คะแนนเต็ม]:[คะแนนเต็ม]])*tbl_task1[[%]:[%]])</f>
        <v/>
      </c>
      <c r="GT20" s="121" t="str">
        <f>IF(ISBLANK(tbl_task1[[คะแนนเต็ม]:[คะแนนเต็ม]]),"",(tbl_task1[32]/tbl_task1[[คะแนนเต็ม]:[คะแนนเต็ม]])*tbl_task1[[%]:[%]])</f>
        <v/>
      </c>
      <c r="GU20" s="121" t="str">
        <f>IF(ISBLANK(tbl_task1[[คะแนนเต็ม]:[คะแนนเต็ม]]),"",(tbl_task1[33]/tbl_task1[[คะแนนเต็ม]:[คะแนนเต็ม]])*tbl_task1[[%]:[%]])</f>
        <v/>
      </c>
      <c r="GV20" s="121" t="str">
        <f>IF(ISBLANK(tbl_task1[[คะแนนเต็ม]:[คะแนนเต็ม]]),"",(tbl_task1[34]/tbl_task1[[คะแนนเต็ม]:[คะแนนเต็ม]])*tbl_task1[[%]:[%]])</f>
        <v/>
      </c>
      <c r="GW20" s="121" t="str">
        <f>IF(ISBLANK(tbl_task1[[คะแนนเต็ม]:[คะแนนเต็ม]]),"",(tbl_task1[35]/tbl_task1[[คะแนนเต็ม]:[คะแนนเต็ม]])*tbl_task1[[%]:[%]])</f>
        <v/>
      </c>
      <c r="GX20" s="121" t="str">
        <f>IF(ISBLANK(tbl_task1[[คะแนนเต็ม]:[คะแนนเต็ม]]),"",(tbl_task1[36]/tbl_task1[[คะแนนเต็ม]:[คะแนนเต็ม]])*tbl_task1[[%]:[%]])</f>
        <v/>
      </c>
      <c r="GY20" s="121" t="str">
        <f>IF(ISBLANK(tbl_task1[[คะแนนเต็ม]:[คะแนนเต็ม]]),"",(tbl_task1[37]/tbl_task1[[คะแนนเต็ม]:[คะแนนเต็ม]])*tbl_task1[[%]:[%]])</f>
        <v/>
      </c>
      <c r="GZ20" s="121" t="str">
        <f>IF(ISBLANK(tbl_task1[[คะแนนเต็ม]:[คะแนนเต็ม]]),"",(tbl_task1[38]/tbl_task1[[คะแนนเต็ม]:[คะแนนเต็ม]])*tbl_task1[[%]:[%]])</f>
        <v/>
      </c>
      <c r="HA20" s="121" t="str">
        <f>IF(ISBLANK(tbl_task1[[คะแนนเต็ม]:[คะแนนเต็ม]]),"",(tbl_task1[39]/tbl_task1[[คะแนนเต็ม]:[คะแนนเต็ม]])*tbl_task1[[%]:[%]])</f>
        <v/>
      </c>
      <c r="HB20" s="121" t="str">
        <f>IF(ISBLANK(tbl_task1[[คะแนนเต็ม]:[คะแนนเต็ม]]),"",(tbl_task1[40]/tbl_task1[[คะแนนเต็ม]:[คะแนนเต็ม]])*tbl_task1[[%]:[%]])</f>
        <v/>
      </c>
      <c r="HC20" s="121" t="str">
        <f>IF(ISBLANK(tbl_task1[[คะแนนเต็ม]:[คะแนนเต็ม]]),"",(tbl_task1[41]/tbl_task1[[คะแนนเต็ม]:[คะแนนเต็ม]])*tbl_task1[[%]:[%]])</f>
        <v/>
      </c>
      <c r="HD20" s="121" t="str">
        <f>IF(ISBLANK(tbl_task1[[คะแนนเต็ม]:[คะแนนเต็ม]]),"",(tbl_task1[42]/tbl_task1[[คะแนนเต็ม]:[คะแนนเต็ม]])*tbl_task1[[%]:[%]])</f>
        <v/>
      </c>
      <c r="HE20" s="121" t="str">
        <f>IF(ISBLANK(tbl_task1[[คะแนนเต็ม]:[คะแนนเต็ม]]),"",(tbl_task1[43]/tbl_task1[[คะแนนเต็ม]:[คะแนนเต็ม]])*tbl_task1[[%]:[%]])</f>
        <v/>
      </c>
      <c r="HF20" s="121" t="str">
        <f>IF(ISBLANK(tbl_task1[[คะแนนเต็ม]:[คะแนนเต็ม]]),"",(tbl_task1[44]/tbl_task1[[คะแนนเต็ม]:[คะแนนเต็ม]])*tbl_task1[[%]:[%]])</f>
        <v/>
      </c>
      <c r="HG20" s="121" t="str">
        <f>IF(ISBLANK(tbl_task1[[คะแนนเต็ม]:[คะแนนเต็ม]]),"",(tbl_task1[45]/tbl_task1[[คะแนนเต็ม]:[คะแนนเต็ม]])*tbl_task1[[%]:[%]])</f>
        <v/>
      </c>
      <c r="HH20" s="121" t="str">
        <f>IF(ISBLANK(tbl_task1[[คะแนนเต็ม]:[คะแนนเต็ม]]),"",(tbl_task1[46]/tbl_task1[[คะแนนเต็ม]:[คะแนนเต็ม]])*tbl_task1[[%]:[%]])</f>
        <v/>
      </c>
      <c r="HI20" s="121" t="str">
        <f>IF(ISBLANK(tbl_task1[[คะแนนเต็ม]:[คะแนนเต็ม]]),"",(tbl_task1[47]/tbl_task1[[คะแนนเต็ม]:[คะแนนเต็ม]])*tbl_task1[[%]:[%]])</f>
        <v/>
      </c>
      <c r="HJ20" s="121" t="str">
        <f>IF(ISBLANK(tbl_task1[[คะแนนเต็ม]:[คะแนนเต็ม]]),"",(tbl_task1[48]/tbl_task1[[คะแนนเต็ม]:[คะแนนเต็ม]])*tbl_task1[[%]:[%]])</f>
        <v/>
      </c>
      <c r="HK20" s="121" t="str">
        <f>IF(ISBLANK(tbl_task1[[คะแนนเต็ม]:[คะแนนเต็ม]]),"",(tbl_task1[49]/tbl_task1[[คะแนนเต็ม]:[คะแนนเต็ม]])*tbl_task1[[%]:[%]])</f>
        <v/>
      </c>
      <c r="HL20" s="121" t="str">
        <f>IF(ISBLANK(tbl_task1[[คะแนนเต็ม]:[คะแนนเต็ม]]),"",(tbl_task1[50]/tbl_task1[[คะแนนเต็ม]:[คะแนนเต็ม]])*tbl_task1[[%]:[%]])</f>
        <v/>
      </c>
      <c r="HM20" s="121" t="str">
        <f>IF(ISBLANK(tbl_task1[[คะแนนเต็ม]:[คะแนนเต็ม]]),"",(tbl_task1[51]/tbl_task1[[คะแนนเต็ม]:[คะแนนเต็ม]])*tbl_task1[[%]:[%]])</f>
        <v/>
      </c>
      <c r="HN20" s="121" t="str">
        <f>IF(ISBLANK(tbl_task1[[คะแนนเต็ม]:[คะแนนเต็ม]]),"",(tbl_task1[52]/tbl_task1[[คะแนนเต็ม]:[คะแนนเต็ม]])*tbl_task1[[%]:[%]])</f>
        <v/>
      </c>
      <c r="HO20" s="121" t="str">
        <f>IF(ISBLANK(tbl_task1[[คะแนนเต็ม]:[คะแนนเต็ม]]),"",(tbl_task1[53]/tbl_task1[[คะแนนเต็ม]:[คะแนนเต็ม]])*tbl_task1[[%]:[%]])</f>
        <v/>
      </c>
      <c r="HP20" s="121" t="str">
        <f>IF(ISBLANK(tbl_task1[[คะแนนเต็ม]:[คะแนนเต็ม]]),"",(tbl_task1[54]/tbl_task1[[คะแนนเต็ม]:[คะแนนเต็ม]])*tbl_task1[[%]:[%]])</f>
        <v/>
      </c>
      <c r="HQ20" s="121" t="str">
        <f>IF(ISBLANK(tbl_task1[[คะแนนเต็ม]:[คะแนนเต็ม]]),"",(tbl_task1[55]/tbl_task1[[คะแนนเต็ม]:[คะแนนเต็ม]])*tbl_task1[[%]:[%]])</f>
        <v/>
      </c>
      <c r="HR20" s="121" t="str">
        <f>IF(ISBLANK(tbl_task1[[คะแนนเต็ม]:[คะแนนเต็ม]]),"",(tbl_task1[56]/tbl_task1[[คะแนนเต็ม]:[คะแนนเต็ม]])*tbl_task1[[%]:[%]])</f>
        <v/>
      </c>
      <c r="HS20" s="121" t="str">
        <f>IF(ISBLANK(tbl_task1[[คะแนนเต็ม]:[คะแนนเต็ม]]),"",(tbl_task1[57]/tbl_task1[[คะแนนเต็ม]:[คะแนนเต็ม]])*tbl_task1[[%]:[%]])</f>
        <v/>
      </c>
      <c r="HT20" s="121" t="str">
        <f>IF(ISBLANK(tbl_task1[[คะแนนเต็ม]:[คะแนนเต็ม]]),"",(tbl_task1[58]/tbl_task1[[คะแนนเต็ม]:[คะแนนเต็ม]])*tbl_task1[[%]:[%]])</f>
        <v/>
      </c>
      <c r="HU20" s="121" t="str">
        <f>IF(ISBLANK(tbl_task1[[คะแนนเต็ม]:[คะแนนเต็ม]]),"",(tbl_task1[59]/tbl_task1[[คะแนนเต็ม]:[คะแนนเต็ม]])*tbl_task1[[%]:[%]])</f>
        <v/>
      </c>
      <c r="HV20" s="121" t="str">
        <f>IF(ISBLANK(tbl_task1[[คะแนนเต็ม]:[คะแนนเต็ม]]),"",(tbl_task1[60]/tbl_task1[[คะแนนเต็ม]:[คะแนนเต็ม]])*tbl_task1[[%]:[%]])</f>
        <v/>
      </c>
      <c r="HW20" s="121" t="str">
        <f>IF(ISBLANK(tbl_task1[[คะแนนเต็ม]:[คะแนนเต็ม]]),"",(tbl_task1[61]/tbl_task1[[คะแนนเต็ม]:[คะแนนเต็ม]])*tbl_task1[[%]:[%]])</f>
        <v/>
      </c>
      <c r="HX20" s="121" t="str">
        <f>IF(ISBLANK(tbl_task1[[คะแนนเต็ม]:[คะแนนเต็ม]]),"",(tbl_task1[62]/tbl_task1[[คะแนนเต็ม]:[คะแนนเต็ม]])*tbl_task1[[%]:[%]])</f>
        <v/>
      </c>
      <c r="HY20" s="121" t="str">
        <f>IF(ISBLANK(tbl_task1[[คะแนนเต็ม]:[คะแนนเต็ม]]),"",(tbl_task1[63]/tbl_task1[[คะแนนเต็ม]:[คะแนนเต็ม]])*tbl_task1[[%]:[%]])</f>
        <v/>
      </c>
      <c r="HZ20" s="121" t="str">
        <f>IF(ISBLANK(tbl_task1[[คะแนนเต็ม]:[คะแนนเต็ม]]),"",(tbl_task1[64]/tbl_task1[[คะแนนเต็ม]:[คะแนนเต็ม]])*tbl_task1[[%]:[%]])</f>
        <v/>
      </c>
      <c r="IA20" s="121" t="str">
        <f>IF(ISBLANK(tbl_task1[[คะแนนเต็ม]:[คะแนนเต็ม]]),"",(tbl_task1[65]/tbl_task1[[คะแนนเต็ม]:[คะแนนเต็ม]])*tbl_task1[[%]:[%]])</f>
        <v/>
      </c>
      <c r="IB20" s="121" t="str">
        <f>IF(ISBLANK(tbl_task1[[คะแนนเต็ม]:[คะแนนเต็ม]]),"",(tbl_task1[66]/tbl_task1[[คะแนนเต็ม]:[คะแนนเต็ม]])*tbl_task1[[%]:[%]])</f>
        <v/>
      </c>
      <c r="IC20" s="121" t="str">
        <f>IF(ISBLANK(tbl_task1[[คะแนนเต็ม]:[คะแนนเต็ม]]),"",(tbl_task1[67]/tbl_task1[[คะแนนเต็ม]:[คะแนนเต็ม]])*tbl_task1[[%]:[%]])</f>
        <v/>
      </c>
      <c r="ID20" s="121" t="str">
        <f>IF(ISBLANK(tbl_task1[[คะแนนเต็ม]:[คะแนนเต็ม]]),"",(tbl_task1[68]/tbl_task1[[คะแนนเต็ม]:[คะแนนเต็ม]])*tbl_task1[[%]:[%]])</f>
        <v/>
      </c>
      <c r="IE20" s="121" t="str">
        <f>IF(ISBLANK(tbl_task1[[คะแนนเต็ม]:[คะแนนเต็ม]]),"",(tbl_task1[69]/tbl_task1[[คะแนนเต็ม]:[คะแนนเต็ม]])*tbl_task1[[%]:[%]])</f>
        <v/>
      </c>
      <c r="IF20" s="121" t="str">
        <f>IF(ISBLANK(tbl_task1[[คะแนนเต็ม]:[คะแนนเต็ม]]),"",(tbl_task1[70]/tbl_task1[[คะแนนเต็ม]:[คะแนนเต็ม]])*tbl_task1[[%]:[%]])</f>
        <v/>
      </c>
      <c r="IG20" s="121" t="str">
        <f>IF(ISBLANK(tbl_task1[[คะแนนเต็ม]:[คะแนนเต็ม]]),"",(tbl_task1[71]/tbl_task1[[คะแนนเต็ม]:[คะแนนเต็ม]])*tbl_task1[[%]:[%]])</f>
        <v/>
      </c>
      <c r="IH20" s="121" t="str">
        <f>IF(ISBLANK(tbl_task1[[คะแนนเต็ม]:[คะแนนเต็ม]]),"",(tbl_task1[72]/tbl_task1[[คะแนนเต็ม]:[คะแนนเต็ม]])*tbl_task1[[%]:[%]])</f>
        <v/>
      </c>
      <c r="II20" s="121" t="str">
        <f>IF(ISBLANK(tbl_task1[[คะแนนเต็ม]:[คะแนนเต็ม]]),"",(tbl_task1[73]/tbl_task1[[คะแนนเต็ม]:[คะแนนเต็ม]])*tbl_task1[[%]:[%]])</f>
        <v/>
      </c>
      <c r="IJ20" s="121" t="str">
        <f>IF(ISBLANK(tbl_task1[[คะแนนเต็ม]:[คะแนนเต็ม]]),"",(tbl_task1[74]/tbl_task1[[คะแนนเต็ม]:[คะแนนเต็ม]])*tbl_task1[[%]:[%]])</f>
        <v/>
      </c>
      <c r="IK20" s="121" t="str">
        <f>IF(ISBLANK(tbl_task1[[คะแนนเต็ม]:[คะแนนเต็ม]]),"",(tbl_task1[75]/tbl_task1[[คะแนนเต็ม]:[คะแนนเต็ม]])*tbl_task1[[%]:[%]])</f>
        <v/>
      </c>
      <c r="IL20" s="121" t="str">
        <f>IF(ISBLANK(tbl_task1[[คะแนนเต็ม]:[คะแนนเต็ม]]),"",(tbl_task1[76]/tbl_task1[[คะแนนเต็ม]:[คะแนนเต็ม]])*tbl_task1[[%]:[%]])</f>
        <v/>
      </c>
      <c r="IM20" s="121" t="str">
        <f>IF(ISBLANK(tbl_task1[[คะแนนเต็ม]:[คะแนนเต็ม]]),"",(tbl_task1[77]/tbl_task1[[คะแนนเต็ม]:[คะแนนเต็ม]])*tbl_task1[[%]:[%]])</f>
        <v/>
      </c>
      <c r="IN20" s="121" t="str">
        <f>IF(ISBLANK(tbl_task1[[คะแนนเต็ม]:[คะแนนเต็ม]]),"",(tbl_task1[78]/tbl_task1[[คะแนนเต็ม]:[คะแนนเต็ม]])*tbl_task1[[%]:[%]])</f>
        <v/>
      </c>
      <c r="IO20" s="121" t="str">
        <f>IF(ISBLANK(tbl_task1[[คะแนนเต็ม]:[คะแนนเต็ม]]),"",(tbl_task1[79]/tbl_task1[[คะแนนเต็ม]:[คะแนนเต็ม]])*tbl_task1[[%]:[%]])</f>
        <v/>
      </c>
      <c r="IP20" s="121" t="str">
        <f>IF(ISBLANK(tbl_task1[[คะแนนเต็ม]:[คะแนนเต็ม]]),"",(tbl_task1[80]/tbl_task1[[คะแนนเต็ม]:[คะแนนเต็ม]])*tbl_task1[[%]:[%]])</f>
        <v/>
      </c>
      <c r="IQ20" s="121" t="str">
        <f>IF(ISBLANK(tbl_task1[[คะแนนเต็ม]:[คะแนนเต็ม]]),"",(tbl_task1[81]/tbl_task1[[คะแนนเต็ม]:[คะแนนเต็ม]])*tbl_task1[[%]:[%]])</f>
        <v/>
      </c>
      <c r="IR20" s="121" t="str">
        <f>IF(ISBLANK(tbl_task1[[คะแนนเต็ม]:[คะแนนเต็ม]]),"",(tbl_task1[82]/tbl_task1[[คะแนนเต็ม]:[คะแนนเต็ม]])*tbl_task1[[%]:[%]])</f>
        <v/>
      </c>
      <c r="IS20" s="121" t="str">
        <f>IF(ISBLANK(tbl_task1[[คะแนนเต็ม]:[คะแนนเต็ม]]),"",(tbl_task1[83]/tbl_task1[[คะแนนเต็ม]:[คะแนนเต็ม]])*tbl_task1[[%]:[%]])</f>
        <v/>
      </c>
      <c r="IT20" s="121" t="str">
        <f>IF(ISBLANK(tbl_task1[[คะแนนเต็ม]:[คะแนนเต็ม]]),"",(tbl_task1[84]/tbl_task1[[คะแนนเต็ม]:[คะแนนเต็ม]])*tbl_task1[[%]:[%]])</f>
        <v/>
      </c>
      <c r="IU20" s="121" t="str">
        <f>IF(ISBLANK(tbl_task1[[คะแนนเต็ม]:[คะแนนเต็ม]]),"",(tbl_task1[85]/tbl_task1[[คะแนนเต็ม]:[คะแนนเต็ม]])*tbl_task1[[%]:[%]])</f>
        <v/>
      </c>
      <c r="IV20" s="121" t="str">
        <f>IF(ISBLANK(tbl_task1[[คะแนนเต็ม]:[คะแนนเต็ม]]),"",(tbl_task1[86]/tbl_task1[[คะแนนเต็ม]:[คะแนนเต็ม]])*tbl_task1[[%]:[%]])</f>
        <v/>
      </c>
      <c r="IW20" s="121" t="str">
        <f>IF(ISBLANK(tbl_task1[[คะแนนเต็ม]:[คะแนนเต็ม]]),"",(tbl_task1[87]/tbl_task1[[คะแนนเต็ม]:[คะแนนเต็ม]])*tbl_task1[[%]:[%]])</f>
        <v/>
      </c>
      <c r="IX20" s="121" t="str">
        <f>IF(ISBLANK(tbl_task1[[คะแนนเต็ม]:[คะแนนเต็ม]]),"",(tbl_task1[88]/tbl_task1[[คะแนนเต็ม]:[คะแนนเต็ม]])*tbl_task1[[%]:[%]])</f>
        <v/>
      </c>
      <c r="IY20" s="121" t="str">
        <f>IF(ISBLANK(tbl_task1[[คะแนนเต็ม]:[คะแนนเต็ม]]),"",(tbl_task1[89]/tbl_task1[[คะแนนเต็ม]:[คะแนนเต็ม]])*tbl_task1[[%]:[%]])</f>
        <v/>
      </c>
      <c r="IZ20" s="121" t="str">
        <f>IF(ISBLANK(tbl_task1[[คะแนนเต็ม]:[คะแนนเต็ม]]),"",(tbl_task1[90]/tbl_task1[[คะแนนเต็ม]:[คะแนนเต็ม]])*tbl_task1[[%]:[%]])</f>
        <v/>
      </c>
      <c r="JA20" s="121" t="str">
        <f>IF(ISBLANK(tbl_task1[[คะแนนเต็ม]:[คะแนนเต็ม]]),"",(tbl_task1[91]/tbl_task1[[คะแนนเต็ม]:[คะแนนเต็ม]])*tbl_task1[[%]:[%]])</f>
        <v/>
      </c>
      <c r="JB20" s="121" t="str">
        <f>IF(ISBLANK(tbl_task1[[คะแนนเต็ม]:[คะแนนเต็ม]]),"",(tbl_task1[92]/tbl_task1[[คะแนนเต็ม]:[คะแนนเต็ม]])*tbl_task1[[%]:[%]])</f>
        <v/>
      </c>
      <c r="JC20" s="121" t="str">
        <f>IF(ISBLANK(tbl_task1[[คะแนนเต็ม]:[คะแนนเต็ม]]),"",(tbl_task1[93]/tbl_task1[[คะแนนเต็ม]:[คะแนนเต็ม]])*tbl_task1[[%]:[%]])</f>
        <v/>
      </c>
      <c r="JD20" s="121" t="str">
        <f>IF(ISBLANK(tbl_task1[[คะแนนเต็ม]:[คะแนนเต็ม]]),"",(tbl_task1[94]/tbl_task1[[คะแนนเต็ม]:[คะแนนเต็ม]])*tbl_task1[[%]:[%]])</f>
        <v/>
      </c>
      <c r="JE20" s="121" t="str">
        <f>IF(ISBLANK(tbl_task1[[คะแนนเต็ม]:[คะแนนเต็ม]]),"",(tbl_task1[95]/tbl_task1[[คะแนนเต็ม]:[คะแนนเต็ม]])*tbl_task1[[%]:[%]])</f>
        <v/>
      </c>
      <c r="JF20" s="121" t="str">
        <f>IF(ISBLANK(tbl_task1[[คะแนนเต็ม]:[คะแนนเต็ม]]),"",(tbl_task1[96]/tbl_task1[[คะแนนเต็ม]:[คะแนนเต็ม]])*tbl_task1[[%]:[%]])</f>
        <v/>
      </c>
      <c r="JG20" s="121" t="str">
        <f>IF(ISBLANK(tbl_task1[[คะแนนเต็ม]:[คะแนนเต็ม]]),"",(tbl_task1[97]/tbl_task1[[คะแนนเต็ม]:[คะแนนเต็ม]])*tbl_task1[[%]:[%]])</f>
        <v/>
      </c>
      <c r="JH20" s="121" t="str">
        <f>IF(ISBLANK(tbl_task1[[คะแนนเต็ม]:[คะแนนเต็ม]]),"",(tbl_task1[98]/tbl_task1[[คะแนนเต็ม]:[คะแนนเต็ม]])*tbl_task1[[%]:[%]])</f>
        <v/>
      </c>
      <c r="JI20" s="121" t="str">
        <f>IF(ISBLANK(tbl_task1[[คะแนนเต็ม]:[คะแนนเต็ม]]),"",(tbl_task1[99]/tbl_task1[[คะแนนเต็ม]:[คะแนนเต็ม]])*tbl_task1[[%]:[%]])</f>
        <v/>
      </c>
      <c r="JJ20" s="121" t="str">
        <f>IF(ISBLANK(tbl_task1[[คะแนนเต็ม]:[คะแนนเต็ม]]),"",(tbl_task1[100]/tbl_task1[[คะแนนเต็ม]:[คะแนนเต็ม]])*tbl_task1[[%]:[%]])</f>
        <v/>
      </c>
      <c r="JK20" s="121" t="str">
        <f>IF(ISBLANK(tbl_task1[[คะแนนเต็ม]:[คะแนนเต็ม]]),"",(tbl_task1[101]/tbl_task1[[คะแนนเต็ม]:[คะแนนเต็ม]])*tbl_task1[[%]:[%]])</f>
        <v/>
      </c>
      <c r="JL20" s="121" t="str">
        <f>IF(ISBLANK(tbl_task1[[คะแนนเต็ม]:[คะแนนเต็ม]]),"",(tbl_task1[102]/tbl_task1[[คะแนนเต็ม]:[คะแนนเต็ม]])*tbl_task1[[%]:[%]])</f>
        <v/>
      </c>
      <c r="JM20" s="121" t="str">
        <f>IF(ISBLANK(tbl_task1[[คะแนนเต็ม]:[คะแนนเต็ม]]),"",(tbl_task1[103]/tbl_task1[[คะแนนเต็ม]:[คะแนนเต็ม]])*tbl_task1[[%]:[%]])</f>
        <v/>
      </c>
      <c r="JN20" s="121" t="str">
        <f>IF(ISBLANK(tbl_task1[[คะแนนเต็ม]:[คะแนนเต็ม]]),"",(tbl_task1[104]/tbl_task1[[คะแนนเต็ม]:[คะแนนเต็ม]])*tbl_task1[[%]:[%]])</f>
        <v/>
      </c>
      <c r="JO20" s="121" t="str">
        <f>IF(ISBLANK(tbl_task1[[คะแนนเต็ม]:[คะแนนเต็ม]]),"",(tbl_task1[105]/tbl_task1[[คะแนนเต็ม]:[คะแนนเต็ม]])*tbl_task1[[%]:[%]])</f>
        <v/>
      </c>
      <c r="JP20" s="121" t="str">
        <f>IF(ISBLANK(tbl_task1[[คะแนนเต็ม]:[คะแนนเต็ม]]),"",(tbl_task1[106]/tbl_task1[[คะแนนเต็ม]:[คะแนนเต็ม]])*tbl_task1[[%]:[%]])</f>
        <v/>
      </c>
      <c r="JQ20" s="121" t="str">
        <f>IF(ISBLANK(tbl_task1[[คะแนนเต็ม]:[คะแนนเต็ม]]),"",(tbl_task1[107]/tbl_task1[[คะแนนเต็ม]:[คะแนนเต็ม]])*tbl_task1[[%]:[%]])</f>
        <v/>
      </c>
      <c r="JR20" s="121" t="str">
        <f>IF(ISBLANK(tbl_task1[[คะแนนเต็ม]:[คะแนนเต็ม]]),"",(tbl_task1[108]/tbl_task1[[คะแนนเต็ม]:[คะแนนเต็ม]])*tbl_task1[[%]:[%]])</f>
        <v/>
      </c>
      <c r="JS20" s="121" t="str">
        <f>IF(ISBLANK(tbl_task1[[คะแนนเต็ม]:[คะแนนเต็ม]]),"",(tbl_task1[109]/tbl_task1[[คะแนนเต็ม]:[คะแนนเต็ม]])*tbl_task1[[%]:[%]])</f>
        <v/>
      </c>
      <c r="JT20" s="121" t="str">
        <f>IF(ISBLANK(tbl_task1[[คะแนนเต็ม]:[คะแนนเต็ม]]),"",(tbl_task1[110]/tbl_task1[[คะแนนเต็ม]:[คะแนนเต็ม]])*tbl_task1[[%]:[%]])</f>
        <v/>
      </c>
      <c r="JU20" s="121" t="str">
        <f>IF(ISBLANK(tbl_task1[[คะแนนเต็ม]:[คะแนนเต็ม]]),"",(tbl_task1[111]/tbl_task1[[คะแนนเต็ม]:[คะแนนเต็ม]])*tbl_task1[[%]:[%]])</f>
        <v/>
      </c>
      <c r="JV20" s="121" t="str">
        <f>IF(ISBLANK(tbl_task1[[คะแนนเต็ม]:[คะแนนเต็ม]]),"",(tbl_task1[112]/tbl_task1[[คะแนนเต็ม]:[คะแนนเต็ม]])*tbl_task1[[%]:[%]])</f>
        <v/>
      </c>
      <c r="JW20" s="121" t="str">
        <f>IF(ISBLANK(tbl_task1[[คะแนนเต็ม]:[คะแนนเต็ม]]),"",(tbl_task1[113]/tbl_task1[[คะแนนเต็ม]:[คะแนนเต็ม]])*tbl_task1[[%]:[%]])</f>
        <v/>
      </c>
      <c r="JX20" s="121" t="str">
        <f>IF(ISBLANK(tbl_task1[[คะแนนเต็ม]:[คะแนนเต็ม]]),"",(tbl_task1[114]/tbl_task1[[คะแนนเต็ม]:[คะแนนเต็ม]])*tbl_task1[[%]:[%]])</f>
        <v/>
      </c>
      <c r="JY20" s="121" t="str">
        <f>IF(ISBLANK(tbl_task1[[คะแนนเต็ม]:[คะแนนเต็ม]]),"",(tbl_task1[115]/tbl_task1[[คะแนนเต็ม]:[คะแนนเต็ม]])*tbl_task1[[%]:[%]])</f>
        <v/>
      </c>
      <c r="JZ20" s="121" t="str">
        <f>IF(ISBLANK(tbl_task1[[คะแนนเต็ม]:[คะแนนเต็ม]]),"",(tbl_task1[116]/tbl_task1[[คะแนนเต็ม]:[คะแนนเต็ม]])*tbl_task1[[%]:[%]])</f>
        <v/>
      </c>
      <c r="KA20" s="121" t="str">
        <f>IF(ISBLANK(tbl_task1[[คะแนนเต็ม]:[คะแนนเต็ม]]),"",(tbl_task1[117]/tbl_task1[[คะแนนเต็ม]:[คะแนนเต็ม]])*tbl_task1[[%]:[%]])</f>
        <v/>
      </c>
      <c r="KB20" s="121" t="str">
        <f>IF(ISBLANK(tbl_task1[[คะแนนเต็ม]:[คะแนนเต็ม]]),"",(tbl_task1[118]/tbl_task1[[คะแนนเต็ม]:[คะแนนเต็ม]])*tbl_task1[[%]:[%]])</f>
        <v/>
      </c>
      <c r="KC20" s="121" t="str">
        <f>IF(ISBLANK(tbl_task1[[คะแนนเต็ม]:[คะแนนเต็ม]]),"",(tbl_task1[119]/tbl_task1[[คะแนนเต็ม]:[คะแนนเต็ม]])*tbl_task1[[%]:[%]])</f>
        <v/>
      </c>
      <c r="KD20" s="121" t="str">
        <f>IF(ISBLANK(tbl_task1[[คะแนนเต็ม]:[คะแนนเต็ม]]),"",(tbl_task1[120]/tbl_task1[[คะแนนเต็ม]:[คะแนนเต็ม]])*tbl_task1[[%]:[%]])</f>
        <v/>
      </c>
      <c r="KE20" s="121" t="str">
        <f>IF(ISBLANK(tbl_task1[[คะแนนเต็ม]:[คะแนนเต็ม]]),"",(tbl_task1[121]/tbl_task1[[คะแนนเต็ม]:[คะแนนเต็ม]])*tbl_task1[[%]:[%]])</f>
        <v/>
      </c>
      <c r="KF20" s="121" t="str">
        <f>IF(ISBLANK(tbl_task1[[คะแนนเต็ม]:[คะแนนเต็ม]]),"",(tbl_task1[122]/tbl_task1[[คะแนนเต็ม]:[คะแนนเต็ม]])*tbl_task1[[%]:[%]])</f>
        <v/>
      </c>
      <c r="KG20" s="121" t="str">
        <f>IF(ISBLANK(tbl_task1[[คะแนนเต็ม]:[คะแนนเต็ม]]),"",(tbl_task1[123]/tbl_task1[[คะแนนเต็ม]:[คะแนนเต็ม]])*tbl_task1[[%]:[%]])</f>
        <v/>
      </c>
      <c r="KH20" s="121" t="str">
        <f>IF(ISBLANK(tbl_task1[[คะแนนเต็ม]:[คะแนนเต็ม]]),"",(tbl_task1[124]/tbl_task1[[คะแนนเต็ม]:[คะแนนเต็ม]])*tbl_task1[[%]:[%]])</f>
        <v/>
      </c>
      <c r="KI20" s="121" t="str">
        <f>IF(ISBLANK(tbl_task1[[คะแนนเต็ม]:[คะแนนเต็ม]]),"",(tbl_task1[125]/tbl_task1[[คะแนนเต็ม]:[คะแนนเต็ม]])*tbl_task1[[%]:[%]])</f>
        <v/>
      </c>
      <c r="KJ20" s="121" t="str">
        <f>IF(ISBLANK(tbl_task1[[คะแนนเต็ม]:[คะแนนเต็ม]]),"",(tbl_task1[126]/tbl_task1[[คะแนนเต็ม]:[คะแนนเต็ม]])*tbl_task1[[%]:[%]])</f>
        <v/>
      </c>
      <c r="KK20" s="121" t="str">
        <f>IF(ISBLANK(tbl_task1[[คะแนนเต็ม]:[คะแนนเต็ม]]),"",(tbl_task1[127]/tbl_task1[[คะแนนเต็ม]:[คะแนนเต็ม]])*tbl_task1[[%]:[%]])</f>
        <v/>
      </c>
      <c r="KL20" s="121" t="str">
        <f>IF(ISBLANK(tbl_task1[[คะแนนเต็ม]:[คะแนนเต็ม]]),"",(tbl_task1[128]/tbl_task1[[คะแนนเต็ม]:[คะแนนเต็ม]])*tbl_task1[[%]:[%]])</f>
        <v/>
      </c>
      <c r="KM20" s="121" t="str">
        <f>IF(ISBLANK(tbl_task1[[คะแนนเต็ม]:[คะแนนเต็ม]]),"",(tbl_task1[129]/tbl_task1[[คะแนนเต็ม]:[คะแนนเต็ม]])*tbl_task1[[%]:[%]])</f>
        <v/>
      </c>
      <c r="KN20" s="121" t="str">
        <f>IF(ISBLANK(tbl_task1[[คะแนนเต็ม]:[คะแนนเต็ม]]),"",(tbl_task1[130]/tbl_task1[[คะแนนเต็ม]:[คะแนนเต็ม]])*tbl_task1[[%]:[%]])</f>
        <v/>
      </c>
      <c r="KO20" s="121" t="str">
        <f>IF(ISBLANK(tbl_task1[[คะแนนเต็ม]:[คะแนนเต็ม]]),"",(tbl_task1[131]/tbl_task1[[คะแนนเต็ม]:[คะแนนเต็ม]])*tbl_task1[[%]:[%]])</f>
        <v/>
      </c>
      <c r="KP20" s="121" t="str">
        <f>IF(ISBLANK(tbl_task1[[คะแนนเต็ม]:[คะแนนเต็ม]]),"",(tbl_task1[132]/tbl_task1[[คะแนนเต็ม]:[คะแนนเต็ม]])*tbl_task1[[%]:[%]])</f>
        <v/>
      </c>
      <c r="KQ20" s="121" t="str">
        <f>IF(ISBLANK(tbl_task1[[คะแนนเต็ม]:[คะแนนเต็ม]]),"",(tbl_task1[133]/tbl_task1[[คะแนนเต็ม]:[คะแนนเต็ม]])*tbl_task1[[%]:[%]])</f>
        <v/>
      </c>
      <c r="KR20" s="121" t="str">
        <f>IF(ISBLANK(tbl_task1[[คะแนนเต็ม]:[คะแนนเต็ม]]),"",(tbl_task1[134]/tbl_task1[[คะแนนเต็ม]:[คะแนนเต็ม]])*tbl_task1[[%]:[%]])</f>
        <v/>
      </c>
      <c r="KS20" s="121" t="str">
        <f>IF(ISBLANK(tbl_task1[[คะแนนเต็ม]:[คะแนนเต็ม]]),"",(tbl_task1[135]/tbl_task1[[คะแนนเต็ม]:[คะแนนเต็ม]])*tbl_task1[[%]:[%]])</f>
        <v/>
      </c>
      <c r="KT20" s="121" t="str">
        <f>IF(ISBLANK(tbl_task1[[คะแนนเต็ม]:[คะแนนเต็ม]]),"",(tbl_task1[136]/tbl_task1[[คะแนนเต็ม]:[คะแนนเต็ม]])*tbl_task1[[%]:[%]])</f>
        <v/>
      </c>
      <c r="KU20" s="121" t="str">
        <f>IF(ISBLANK(tbl_task1[[คะแนนเต็ม]:[คะแนนเต็ม]]),"",(tbl_task1[137]/tbl_task1[[คะแนนเต็ม]:[คะแนนเต็ม]])*tbl_task1[[%]:[%]])</f>
        <v/>
      </c>
      <c r="KV20" s="121" t="str">
        <f>IF(ISBLANK(tbl_task1[[คะแนนเต็ม]:[คะแนนเต็ม]]),"",(tbl_task1[138]/tbl_task1[[คะแนนเต็ม]:[คะแนนเต็ม]])*tbl_task1[[%]:[%]])</f>
        <v/>
      </c>
      <c r="KW20" s="121" t="str">
        <f>IF(ISBLANK(tbl_task1[[คะแนนเต็ม]:[คะแนนเต็ม]]),"",(tbl_task1[139]/tbl_task1[[คะแนนเต็ม]:[คะแนนเต็ม]])*tbl_task1[[%]:[%]])</f>
        <v/>
      </c>
      <c r="KX20" s="121" t="str">
        <f>IF(ISBLANK(tbl_task1[[คะแนนเต็ม]:[คะแนนเต็ม]]),"",(tbl_task1[140]/tbl_task1[[คะแนนเต็ม]:[คะแนนเต็ม]])*tbl_task1[[%]:[%]])</f>
        <v/>
      </c>
      <c r="KY20" s="121" t="str">
        <f>IF(ISBLANK(tbl_task1[[คะแนนเต็ม]:[คะแนนเต็ม]]),"",(tbl_task1[141]/tbl_task1[[คะแนนเต็ม]:[คะแนนเต็ม]])*tbl_task1[[%]:[%]])</f>
        <v/>
      </c>
      <c r="KZ20" s="121" t="str">
        <f>IF(ISBLANK(tbl_task1[[คะแนนเต็ม]:[คะแนนเต็ม]]),"",(tbl_task1[142]/tbl_task1[[คะแนนเต็ม]:[คะแนนเต็ม]])*tbl_task1[[%]:[%]])</f>
        <v/>
      </c>
      <c r="LA20" s="121" t="str">
        <f>IF(ISBLANK(tbl_task1[[คะแนนเต็ม]:[คะแนนเต็ม]]),"",(tbl_task1[143]/tbl_task1[[คะแนนเต็ม]:[คะแนนเต็ม]])*tbl_task1[[%]:[%]])</f>
        <v/>
      </c>
      <c r="LB20" s="121" t="str">
        <f>IF(ISBLANK(tbl_task1[[คะแนนเต็ม]:[คะแนนเต็ม]]),"",(tbl_task1[144]/tbl_task1[[คะแนนเต็ม]:[คะแนนเต็ม]])*tbl_task1[[%]:[%]])</f>
        <v/>
      </c>
      <c r="LC20" s="121" t="str">
        <f>IF(ISBLANK(tbl_task1[[คะแนนเต็ม]:[คะแนนเต็ม]]),"",(tbl_task1[145]/tbl_task1[[คะแนนเต็ม]:[คะแนนเต็ม]])*tbl_task1[[%]:[%]])</f>
        <v/>
      </c>
      <c r="LD20" s="121" t="str">
        <f>IF(ISBLANK(tbl_task1[[คะแนนเต็ม]:[คะแนนเต็ม]]),"",(tbl_task1[146]/tbl_task1[[คะแนนเต็ม]:[คะแนนเต็ม]])*tbl_task1[[%]:[%]])</f>
        <v/>
      </c>
      <c r="LE20" s="121" t="str">
        <f>IF(ISBLANK(tbl_task1[[คะแนนเต็ม]:[คะแนนเต็ม]]),"",(tbl_task1[147]/tbl_task1[[คะแนนเต็ม]:[คะแนนเต็ม]])*tbl_task1[[%]:[%]])</f>
        <v/>
      </c>
      <c r="LF20" s="121" t="str">
        <f>IF(ISBLANK(tbl_task1[[คะแนนเต็ม]:[คะแนนเต็ม]]),"",(tbl_task1[148]/tbl_task1[[คะแนนเต็ม]:[คะแนนเต็ม]])*tbl_task1[[%]:[%]])</f>
        <v/>
      </c>
      <c r="LG20" s="121" t="str">
        <f>IF(ISBLANK(tbl_task1[[คะแนนเต็ม]:[คะแนนเต็ม]]),"",(tbl_task1[149]/tbl_task1[[คะแนนเต็ม]:[คะแนนเต็ม]])*tbl_task1[[%]:[%]])</f>
        <v/>
      </c>
      <c r="LH20" s="121" t="str">
        <f>IF(ISBLANK(tbl_task1[[คะแนนเต็ม]:[คะแนนเต็ม]]),"",(tbl_task1[150]/tbl_task1[[คะแนนเต็ม]:[คะแนนเต็ม]])*tbl_task1[[%]:[%]])</f>
        <v/>
      </c>
      <c r="LI20" s="121" t="str">
        <f>IF(ISBLANK(tbl_task1[[คะแนนเต็ม]:[คะแนนเต็ม]]),"",(tbl_task1[151]/tbl_task1[[คะแนนเต็ม]:[คะแนนเต็ม]])*tbl_task1[[%]:[%]])</f>
        <v/>
      </c>
      <c r="LJ20" s="121" t="str">
        <f>IF(ISBLANK(tbl_task1[[คะแนนเต็ม]:[คะแนนเต็ม]]),"",(tbl_task1[152]/tbl_task1[[คะแนนเต็ม]:[คะแนนเต็ม]])*tbl_task1[[%]:[%]])</f>
        <v/>
      </c>
      <c r="LK20" s="121" t="str">
        <f>IF(ISBLANK(tbl_task1[[คะแนนเต็ม]:[คะแนนเต็ม]]),"",(tbl_task1[153]/tbl_task1[[คะแนนเต็ม]:[คะแนนเต็ม]])*tbl_task1[[%]:[%]])</f>
        <v/>
      </c>
      <c r="LL20" s="121" t="str">
        <f>IF(ISBLANK(tbl_task1[[คะแนนเต็ม]:[คะแนนเต็ม]]),"",(tbl_task1[154]/tbl_task1[[คะแนนเต็ม]:[คะแนนเต็ม]])*tbl_task1[[%]:[%]])</f>
        <v/>
      </c>
      <c r="LM20" s="121" t="str">
        <f>IF(ISBLANK(tbl_task1[[คะแนนเต็ม]:[คะแนนเต็ม]]),"",(tbl_task1[155]/tbl_task1[[คะแนนเต็ม]:[คะแนนเต็ม]])*tbl_task1[[%]:[%]])</f>
        <v/>
      </c>
      <c r="LN20" s="121" t="str">
        <f>IF(ISBLANK(tbl_task1[[คะแนนเต็ม]:[คะแนนเต็ม]]),"",(tbl_task1[156]/tbl_task1[[คะแนนเต็ม]:[คะแนนเต็ม]])*tbl_task1[[%]:[%]])</f>
        <v/>
      </c>
      <c r="LO20" s="121" t="str">
        <f>IF(ISBLANK(tbl_task1[[คะแนนเต็ม]:[คะแนนเต็ม]]),"",(tbl_task1[157]/tbl_task1[[คะแนนเต็ม]:[คะแนนเต็ม]])*tbl_task1[[%]:[%]])</f>
        <v/>
      </c>
      <c r="LP20" s="121" t="str">
        <f>IF(ISBLANK(tbl_task1[[คะแนนเต็ม]:[คะแนนเต็ม]]),"",(tbl_task1[158]/tbl_task1[[คะแนนเต็ม]:[คะแนนเต็ม]])*tbl_task1[[%]:[%]])</f>
        <v/>
      </c>
      <c r="LQ20" s="121" t="str">
        <f>IF(ISBLANK(tbl_task1[[คะแนนเต็ม]:[คะแนนเต็ม]]),"",(tbl_task1[159]/tbl_task1[[คะแนนเต็ม]:[คะแนนเต็ม]])*tbl_task1[[%]:[%]])</f>
        <v/>
      </c>
      <c r="LR20" s="121" t="str">
        <f>IF(ISBLANK(tbl_task1[[คะแนนเต็ม]:[คะแนนเต็ม]]),"",(tbl_task1[160]/tbl_task1[[คะแนนเต็ม]:[คะแนนเต็ม]])*tbl_task1[[%]:[%]])</f>
        <v/>
      </c>
      <c r="LS20" s="121" t="str">
        <f>IF(ISBLANK(tbl_task1[[คะแนนเต็ม]:[คะแนนเต็ม]]),"",(tbl_task1[161]/tbl_task1[[คะแนนเต็ม]:[คะแนนเต็ม]])*tbl_task1[[%]:[%]])</f>
        <v/>
      </c>
      <c r="LT20" s="121" t="str">
        <f>IF(ISBLANK(tbl_task1[[คะแนนเต็ม]:[คะแนนเต็ม]]),"",(tbl_task1[162]/tbl_task1[[คะแนนเต็ม]:[คะแนนเต็ม]])*tbl_task1[[%]:[%]])</f>
        <v/>
      </c>
      <c r="LU20" s="121" t="str">
        <f>IF(ISBLANK(tbl_task1[[คะแนนเต็ม]:[คะแนนเต็ม]]),"",(tbl_task1[163]/tbl_task1[[คะแนนเต็ม]:[คะแนนเต็ม]])*tbl_task1[[%]:[%]])</f>
        <v/>
      </c>
      <c r="LV20" s="121" t="str">
        <f>IF(ISBLANK(tbl_task1[[คะแนนเต็ม]:[คะแนนเต็ม]]),"",(tbl_task1[164]/tbl_task1[[คะแนนเต็ม]:[คะแนนเต็ม]])*tbl_task1[[%]:[%]])</f>
        <v/>
      </c>
      <c r="LW20" s="121" t="str">
        <f>IF(ISBLANK(tbl_task1[[คะแนนเต็ม]:[คะแนนเต็ม]]),"",(tbl_task1[165]/tbl_task1[[คะแนนเต็ม]:[คะแนนเต็ม]])*tbl_task1[[%]:[%]])</f>
        <v/>
      </c>
    </row>
    <row r="21" spans="1:335" ht="24" customHeight="1" x14ac:dyDescent="0.25">
      <c r="A21" s="24">
        <v>18</v>
      </c>
      <c r="B21" s="20"/>
      <c r="C21" s="5" t="str">
        <f>IF(ISBLANK(B21),"",VLOOKUP(B21,tbl_PLOs[],2,0))</f>
        <v/>
      </c>
      <c r="D21" s="102"/>
      <c r="E21" s="106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21" t="str">
        <f>IF(ISBLANK(tbl_task1[[คะแนนเต็ม]:[คะแนนเต็ม]]),"",(tbl_task1[1]/tbl_task1[[คะแนนเต็ม]:[คะแนนเต็ม]])*tbl_task1[[%]:[%]])</f>
        <v/>
      </c>
      <c r="FP21" s="121" t="str">
        <f>IF(ISBLANK(tbl_task1[[คะแนนเต็ม]:[คะแนนเต็ม]]),"",(tbl_task1[2]/tbl_task1[[คะแนนเต็ม]:[คะแนนเต็ม]])*tbl_task1[[%]:[%]])</f>
        <v/>
      </c>
      <c r="FQ21" s="121" t="str">
        <f>IF(ISBLANK(tbl_task1[[คะแนนเต็ม]:[คะแนนเต็ม]]),"",(tbl_task1[3]/tbl_task1[[คะแนนเต็ม]:[คะแนนเต็ม]])*tbl_task1[[%]:[%]])</f>
        <v/>
      </c>
      <c r="FR21" s="121" t="str">
        <f>IF(ISBLANK(tbl_task1[[คะแนนเต็ม]:[คะแนนเต็ม]]),"",(tbl_task1[4]/tbl_task1[[คะแนนเต็ม]:[คะแนนเต็ม]])*tbl_task1[[%]:[%]])</f>
        <v/>
      </c>
      <c r="FS21" s="121" t="str">
        <f>IF(ISBLANK(tbl_task1[[คะแนนเต็ม]:[คะแนนเต็ม]]),"",(tbl_task1[5]/tbl_task1[[คะแนนเต็ม]:[คะแนนเต็ม]])*tbl_task1[[%]:[%]])</f>
        <v/>
      </c>
      <c r="FT21" s="121" t="str">
        <f>IF(ISBLANK(tbl_task1[[คะแนนเต็ม]:[คะแนนเต็ม]]),"",(tbl_task1[6]/tbl_task1[[คะแนนเต็ม]:[คะแนนเต็ม]])*tbl_task1[[%]:[%]])</f>
        <v/>
      </c>
      <c r="FU21" s="121" t="str">
        <f>IF(ISBLANK(tbl_task1[[คะแนนเต็ม]:[คะแนนเต็ม]]),"",(tbl_task1[7]/tbl_task1[[คะแนนเต็ม]:[คะแนนเต็ม]])*tbl_task1[[%]:[%]])</f>
        <v/>
      </c>
      <c r="FV21" s="121" t="str">
        <f>IF(ISBLANK(tbl_task1[[คะแนนเต็ม]:[คะแนนเต็ม]]),"",(tbl_task1[8]/tbl_task1[[คะแนนเต็ม]:[คะแนนเต็ม]])*tbl_task1[[%]:[%]])</f>
        <v/>
      </c>
      <c r="FW21" s="121" t="str">
        <f>IF(ISBLANK(tbl_task1[[คะแนนเต็ม]:[คะแนนเต็ม]]),"",(tbl_task1[9]/tbl_task1[[คะแนนเต็ม]:[คะแนนเต็ม]])*tbl_task1[[%]:[%]])</f>
        <v/>
      </c>
      <c r="FX21" s="121" t="str">
        <f>IF(ISBLANK(tbl_task1[[คะแนนเต็ม]:[คะแนนเต็ม]]),"",(tbl_task1[10]/tbl_task1[[คะแนนเต็ม]:[คะแนนเต็ม]])*tbl_task1[[%]:[%]])</f>
        <v/>
      </c>
      <c r="FY21" s="121" t="str">
        <f>IF(ISBLANK(tbl_task1[[คะแนนเต็ม]:[คะแนนเต็ม]]),"",(tbl_task1[11]/tbl_task1[[คะแนนเต็ม]:[คะแนนเต็ม]])*tbl_task1[[%]:[%]])</f>
        <v/>
      </c>
      <c r="FZ21" s="121" t="str">
        <f>IF(ISBLANK(tbl_task1[[คะแนนเต็ม]:[คะแนนเต็ม]]),"",(tbl_task1[12]/tbl_task1[[คะแนนเต็ม]:[คะแนนเต็ม]])*tbl_task1[[%]:[%]])</f>
        <v/>
      </c>
      <c r="GA21" s="121" t="str">
        <f>IF(ISBLANK(tbl_task1[[คะแนนเต็ม]:[คะแนนเต็ม]]),"",(tbl_task1[13]/tbl_task1[[คะแนนเต็ม]:[คะแนนเต็ม]])*tbl_task1[[%]:[%]])</f>
        <v/>
      </c>
      <c r="GB21" s="121" t="str">
        <f>IF(ISBLANK(tbl_task1[[คะแนนเต็ม]:[คะแนนเต็ม]]),"",(tbl_task1[14]/tbl_task1[[คะแนนเต็ม]:[คะแนนเต็ม]])*tbl_task1[[%]:[%]])</f>
        <v/>
      </c>
      <c r="GC21" s="121" t="str">
        <f>IF(ISBLANK(tbl_task1[[คะแนนเต็ม]:[คะแนนเต็ม]]),"",(tbl_task1[15]/tbl_task1[[คะแนนเต็ม]:[คะแนนเต็ม]])*tbl_task1[[%]:[%]])</f>
        <v/>
      </c>
      <c r="GD21" s="121" t="str">
        <f>IF(ISBLANK(tbl_task1[[คะแนนเต็ม]:[คะแนนเต็ม]]),"",(tbl_task1[16]/tbl_task1[[คะแนนเต็ม]:[คะแนนเต็ม]])*tbl_task1[[%]:[%]])</f>
        <v/>
      </c>
      <c r="GE21" s="121" t="str">
        <f>IF(ISBLANK(tbl_task1[[คะแนนเต็ม]:[คะแนนเต็ม]]),"",(tbl_task1[17]/tbl_task1[[คะแนนเต็ม]:[คะแนนเต็ม]])*tbl_task1[[%]:[%]])</f>
        <v/>
      </c>
      <c r="GF21" s="121" t="str">
        <f>IF(ISBLANK(tbl_task1[[คะแนนเต็ม]:[คะแนนเต็ม]]),"",(tbl_task1[18]/tbl_task1[[คะแนนเต็ม]:[คะแนนเต็ม]])*tbl_task1[[%]:[%]])</f>
        <v/>
      </c>
      <c r="GG21" s="121" t="str">
        <f>IF(ISBLANK(tbl_task1[[คะแนนเต็ม]:[คะแนนเต็ม]]),"",(tbl_task1[19]/tbl_task1[[คะแนนเต็ม]:[คะแนนเต็ม]])*tbl_task1[[%]:[%]])</f>
        <v/>
      </c>
      <c r="GH21" s="121" t="str">
        <f>IF(ISBLANK(tbl_task1[[คะแนนเต็ม]:[คะแนนเต็ม]]),"",(tbl_task1[20]/tbl_task1[[คะแนนเต็ม]:[คะแนนเต็ม]])*tbl_task1[[%]:[%]])</f>
        <v/>
      </c>
      <c r="GI21" s="121" t="str">
        <f>IF(ISBLANK(tbl_task1[[คะแนนเต็ม]:[คะแนนเต็ม]]),"",(tbl_task1[21]/tbl_task1[[คะแนนเต็ม]:[คะแนนเต็ม]])*tbl_task1[[%]:[%]])</f>
        <v/>
      </c>
      <c r="GJ21" s="121" t="str">
        <f>IF(ISBLANK(tbl_task1[[คะแนนเต็ม]:[คะแนนเต็ม]]),"",(tbl_task1[22]/tbl_task1[[คะแนนเต็ม]:[คะแนนเต็ม]])*tbl_task1[[%]:[%]])</f>
        <v/>
      </c>
      <c r="GK21" s="121" t="str">
        <f>IF(ISBLANK(tbl_task1[[คะแนนเต็ม]:[คะแนนเต็ม]]),"",(tbl_task1[23]/tbl_task1[[คะแนนเต็ม]:[คะแนนเต็ม]])*tbl_task1[[%]:[%]])</f>
        <v/>
      </c>
      <c r="GL21" s="121" t="str">
        <f>IF(ISBLANK(tbl_task1[[คะแนนเต็ม]:[คะแนนเต็ม]]),"",(tbl_task1[24]/tbl_task1[[คะแนนเต็ม]:[คะแนนเต็ม]])*tbl_task1[[%]:[%]])</f>
        <v/>
      </c>
      <c r="GM21" s="121" t="str">
        <f>IF(ISBLANK(tbl_task1[[คะแนนเต็ม]:[คะแนนเต็ม]]),"",(tbl_task1[25]/tbl_task1[[คะแนนเต็ม]:[คะแนนเต็ม]])*tbl_task1[[%]:[%]])</f>
        <v/>
      </c>
      <c r="GN21" s="121" t="str">
        <f>IF(ISBLANK(tbl_task1[[คะแนนเต็ม]:[คะแนนเต็ม]]),"",(tbl_task1[26]/tbl_task1[[คะแนนเต็ม]:[คะแนนเต็ม]])*tbl_task1[[%]:[%]])</f>
        <v/>
      </c>
      <c r="GO21" s="121" t="str">
        <f>IF(ISBLANK(tbl_task1[[คะแนนเต็ม]:[คะแนนเต็ม]]),"",(tbl_task1[27]/tbl_task1[[คะแนนเต็ม]:[คะแนนเต็ม]])*tbl_task1[[%]:[%]])</f>
        <v/>
      </c>
      <c r="GP21" s="121" t="str">
        <f>IF(ISBLANK(tbl_task1[[คะแนนเต็ม]:[คะแนนเต็ม]]),"",(tbl_task1[28]/tbl_task1[[คะแนนเต็ม]:[คะแนนเต็ม]])*tbl_task1[[%]:[%]])</f>
        <v/>
      </c>
      <c r="GQ21" s="121" t="str">
        <f>IF(ISBLANK(tbl_task1[[คะแนนเต็ม]:[คะแนนเต็ม]]),"",(tbl_task1[29]/tbl_task1[[คะแนนเต็ม]:[คะแนนเต็ม]])*tbl_task1[[%]:[%]])</f>
        <v/>
      </c>
      <c r="GR21" s="121" t="str">
        <f>IF(ISBLANK(tbl_task1[[คะแนนเต็ม]:[คะแนนเต็ม]]),"",(tbl_task1[30]/tbl_task1[[คะแนนเต็ม]:[คะแนนเต็ม]])*tbl_task1[[%]:[%]])</f>
        <v/>
      </c>
      <c r="GS21" s="121" t="str">
        <f>IF(ISBLANK(tbl_task1[[คะแนนเต็ม]:[คะแนนเต็ม]]),"",(tbl_task1[31]/tbl_task1[[คะแนนเต็ม]:[คะแนนเต็ม]])*tbl_task1[[%]:[%]])</f>
        <v/>
      </c>
      <c r="GT21" s="121" t="str">
        <f>IF(ISBLANK(tbl_task1[[คะแนนเต็ม]:[คะแนนเต็ม]]),"",(tbl_task1[32]/tbl_task1[[คะแนนเต็ม]:[คะแนนเต็ม]])*tbl_task1[[%]:[%]])</f>
        <v/>
      </c>
      <c r="GU21" s="121" t="str">
        <f>IF(ISBLANK(tbl_task1[[คะแนนเต็ม]:[คะแนนเต็ม]]),"",(tbl_task1[33]/tbl_task1[[คะแนนเต็ม]:[คะแนนเต็ม]])*tbl_task1[[%]:[%]])</f>
        <v/>
      </c>
      <c r="GV21" s="121" t="str">
        <f>IF(ISBLANK(tbl_task1[[คะแนนเต็ม]:[คะแนนเต็ม]]),"",(tbl_task1[34]/tbl_task1[[คะแนนเต็ม]:[คะแนนเต็ม]])*tbl_task1[[%]:[%]])</f>
        <v/>
      </c>
      <c r="GW21" s="121" t="str">
        <f>IF(ISBLANK(tbl_task1[[คะแนนเต็ม]:[คะแนนเต็ม]]),"",(tbl_task1[35]/tbl_task1[[คะแนนเต็ม]:[คะแนนเต็ม]])*tbl_task1[[%]:[%]])</f>
        <v/>
      </c>
      <c r="GX21" s="121" t="str">
        <f>IF(ISBLANK(tbl_task1[[คะแนนเต็ม]:[คะแนนเต็ม]]),"",(tbl_task1[36]/tbl_task1[[คะแนนเต็ม]:[คะแนนเต็ม]])*tbl_task1[[%]:[%]])</f>
        <v/>
      </c>
      <c r="GY21" s="121" t="str">
        <f>IF(ISBLANK(tbl_task1[[คะแนนเต็ม]:[คะแนนเต็ม]]),"",(tbl_task1[37]/tbl_task1[[คะแนนเต็ม]:[คะแนนเต็ม]])*tbl_task1[[%]:[%]])</f>
        <v/>
      </c>
      <c r="GZ21" s="121" t="str">
        <f>IF(ISBLANK(tbl_task1[[คะแนนเต็ม]:[คะแนนเต็ม]]),"",(tbl_task1[38]/tbl_task1[[คะแนนเต็ม]:[คะแนนเต็ม]])*tbl_task1[[%]:[%]])</f>
        <v/>
      </c>
      <c r="HA21" s="121" t="str">
        <f>IF(ISBLANK(tbl_task1[[คะแนนเต็ม]:[คะแนนเต็ม]]),"",(tbl_task1[39]/tbl_task1[[คะแนนเต็ม]:[คะแนนเต็ม]])*tbl_task1[[%]:[%]])</f>
        <v/>
      </c>
      <c r="HB21" s="121" t="str">
        <f>IF(ISBLANK(tbl_task1[[คะแนนเต็ม]:[คะแนนเต็ม]]),"",(tbl_task1[40]/tbl_task1[[คะแนนเต็ม]:[คะแนนเต็ม]])*tbl_task1[[%]:[%]])</f>
        <v/>
      </c>
      <c r="HC21" s="121" t="str">
        <f>IF(ISBLANK(tbl_task1[[คะแนนเต็ม]:[คะแนนเต็ม]]),"",(tbl_task1[41]/tbl_task1[[คะแนนเต็ม]:[คะแนนเต็ม]])*tbl_task1[[%]:[%]])</f>
        <v/>
      </c>
      <c r="HD21" s="121" t="str">
        <f>IF(ISBLANK(tbl_task1[[คะแนนเต็ม]:[คะแนนเต็ม]]),"",(tbl_task1[42]/tbl_task1[[คะแนนเต็ม]:[คะแนนเต็ม]])*tbl_task1[[%]:[%]])</f>
        <v/>
      </c>
      <c r="HE21" s="121" t="str">
        <f>IF(ISBLANK(tbl_task1[[คะแนนเต็ม]:[คะแนนเต็ม]]),"",(tbl_task1[43]/tbl_task1[[คะแนนเต็ม]:[คะแนนเต็ม]])*tbl_task1[[%]:[%]])</f>
        <v/>
      </c>
      <c r="HF21" s="121" t="str">
        <f>IF(ISBLANK(tbl_task1[[คะแนนเต็ม]:[คะแนนเต็ม]]),"",(tbl_task1[44]/tbl_task1[[คะแนนเต็ม]:[คะแนนเต็ม]])*tbl_task1[[%]:[%]])</f>
        <v/>
      </c>
      <c r="HG21" s="121" t="str">
        <f>IF(ISBLANK(tbl_task1[[คะแนนเต็ม]:[คะแนนเต็ม]]),"",(tbl_task1[45]/tbl_task1[[คะแนนเต็ม]:[คะแนนเต็ม]])*tbl_task1[[%]:[%]])</f>
        <v/>
      </c>
      <c r="HH21" s="121" t="str">
        <f>IF(ISBLANK(tbl_task1[[คะแนนเต็ม]:[คะแนนเต็ม]]),"",(tbl_task1[46]/tbl_task1[[คะแนนเต็ม]:[คะแนนเต็ม]])*tbl_task1[[%]:[%]])</f>
        <v/>
      </c>
      <c r="HI21" s="121" t="str">
        <f>IF(ISBLANK(tbl_task1[[คะแนนเต็ม]:[คะแนนเต็ม]]),"",(tbl_task1[47]/tbl_task1[[คะแนนเต็ม]:[คะแนนเต็ม]])*tbl_task1[[%]:[%]])</f>
        <v/>
      </c>
      <c r="HJ21" s="121" t="str">
        <f>IF(ISBLANK(tbl_task1[[คะแนนเต็ม]:[คะแนนเต็ม]]),"",(tbl_task1[48]/tbl_task1[[คะแนนเต็ม]:[คะแนนเต็ม]])*tbl_task1[[%]:[%]])</f>
        <v/>
      </c>
      <c r="HK21" s="121" t="str">
        <f>IF(ISBLANK(tbl_task1[[คะแนนเต็ม]:[คะแนนเต็ม]]),"",(tbl_task1[49]/tbl_task1[[คะแนนเต็ม]:[คะแนนเต็ม]])*tbl_task1[[%]:[%]])</f>
        <v/>
      </c>
      <c r="HL21" s="121" t="str">
        <f>IF(ISBLANK(tbl_task1[[คะแนนเต็ม]:[คะแนนเต็ม]]),"",(tbl_task1[50]/tbl_task1[[คะแนนเต็ม]:[คะแนนเต็ม]])*tbl_task1[[%]:[%]])</f>
        <v/>
      </c>
      <c r="HM21" s="121" t="str">
        <f>IF(ISBLANK(tbl_task1[[คะแนนเต็ม]:[คะแนนเต็ม]]),"",(tbl_task1[51]/tbl_task1[[คะแนนเต็ม]:[คะแนนเต็ม]])*tbl_task1[[%]:[%]])</f>
        <v/>
      </c>
      <c r="HN21" s="121" t="str">
        <f>IF(ISBLANK(tbl_task1[[คะแนนเต็ม]:[คะแนนเต็ม]]),"",(tbl_task1[52]/tbl_task1[[คะแนนเต็ม]:[คะแนนเต็ม]])*tbl_task1[[%]:[%]])</f>
        <v/>
      </c>
      <c r="HO21" s="121" t="str">
        <f>IF(ISBLANK(tbl_task1[[คะแนนเต็ม]:[คะแนนเต็ม]]),"",(tbl_task1[53]/tbl_task1[[คะแนนเต็ม]:[คะแนนเต็ม]])*tbl_task1[[%]:[%]])</f>
        <v/>
      </c>
      <c r="HP21" s="121" t="str">
        <f>IF(ISBLANK(tbl_task1[[คะแนนเต็ม]:[คะแนนเต็ม]]),"",(tbl_task1[54]/tbl_task1[[คะแนนเต็ม]:[คะแนนเต็ม]])*tbl_task1[[%]:[%]])</f>
        <v/>
      </c>
      <c r="HQ21" s="121" t="str">
        <f>IF(ISBLANK(tbl_task1[[คะแนนเต็ม]:[คะแนนเต็ม]]),"",(tbl_task1[55]/tbl_task1[[คะแนนเต็ม]:[คะแนนเต็ม]])*tbl_task1[[%]:[%]])</f>
        <v/>
      </c>
      <c r="HR21" s="121" t="str">
        <f>IF(ISBLANK(tbl_task1[[คะแนนเต็ม]:[คะแนนเต็ม]]),"",(tbl_task1[56]/tbl_task1[[คะแนนเต็ม]:[คะแนนเต็ม]])*tbl_task1[[%]:[%]])</f>
        <v/>
      </c>
      <c r="HS21" s="121" t="str">
        <f>IF(ISBLANK(tbl_task1[[คะแนนเต็ม]:[คะแนนเต็ม]]),"",(tbl_task1[57]/tbl_task1[[คะแนนเต็ม]:[คะแนนเต็ม]])*tbl_task1[[%]:[%]])</f>
        <v/>
      </c>
      <c r="HT21" s="121" t="str">
        <f>IF(ISBLANK(tbl_task1[[คะแนนเต็ม]:[คะแนนเต็ม]]),"",(tbl_task1[58]/tbl_task1[[คะแนนเต็ม]:[คะแนนเต็ม]])*tbl_task1[[%]:[%]])</f>
        <v/>
      </c>
      <c r="HU21" s="121" t="str">
        <f>IF(ISBLANK(tbl_task1[[คะแนนเต็ม]:[คะแนนเต็ม]]),"",(tbl_task1[59]/tbl_task1[[คะแนนเต็ม]:[คะแนนเต็ม]])*tbl_task1[[%]:[%]])</f>
        <v/>
      </c>
      <c r="HV21" s="121" t="str">
        <f>IF(ISBLANK(tbl_task1[[คะแนนเต็ม]:[คะแนนเต็ม]]),"",(tbl_task1[60]/tbl_task1[[คะแนนเต็ม]:[คะแนนเต็ม]])*tbl_task1[[%]:[%]])</f>
        <v/>
      </c>
      <c r="HW21" s="121" t="str">
        <f>IF(ISBLANK(tbl_task1[[คะแนนเต็ม]:[คะแนนเต็ม]]),"",(tbl_task1[61]/tbl_task1[[คะแนนเต็ม]:[คะแนนเต็ม]])*tbl_task1[[%]:[%]])</f>
        <v/>
      </c>
      <c r="HX21" s="121" t="str">
        <f>IF(ISBLANK(tbl_task1[[คะแนนเต็ม]:[คะแนนเต็ม]]),"",(tbl_task1[62]/tbl_task1[[คะแนนเต็ม]:[คะแนนเต็ม]])*tbl_task1[[%]:[%]])</f>
        <v/>
      </c>
      <c r="HY21" s="121" t="str">
        <f>IF(ISBLANK(tbl_task1[[คะแนนเต็ม]:[คะแนนเต็ม]]),"",(tbl_task1[63]/tbl_task1[[คะแนนเต็ม]:[คะแนนเต็ม]])*tbl_task1[[%]:[%]])</f>
        <v/>
      </c>
      <c r="HZ21" s="121" t="str">
        <f>IF(ISBLANK(tbl_task1[[คะแนนเต็ม]:[คะแนนเต็ม]]),"",(tbl_task1[64]/tbl_task1[[คะแนนเต็ม]:[คะแนนเต็ม]])*tbl_task1[[%]:[%]])</f>
        <v/>
      </c>
      <c r="IA21" s="121" t="str">
        <f>IF(ISBLANK(tbl_task1[[คะแนนเต็ม]:[คะแนนเต็ม]]),"",(tbl_task1[65]/tbl_task1[[คะแนนเต็ม]:[คะแนนเต็ม]])*tbl_task1[[%]:[%]])</f>
        <v/>
      </c>
      <c r="IB21" s="121" t="str">
        <f>IF(ISBLANK(tbl_task1[[คะแนนเต็ม]:[คะแนนเต็ม]]),"",(tbl_task1[66]/tbl_task1[[คะแนนเต็ม]:[คะแนนเต็ม]])*tbl_task1[[%]:[%]])</f>
        <v/>
      </c>
      <c r="IC21" s="121" t="str">
        <f>IF(ISBLANK(tbl_task1[[คะแนนเต็ม]:[คะแนนเต็ม]]),"",(tbl_task1[67]/tbl_task1[[คะแนนเต็ม]:[คะแนนเต็ม]])*tbl_task1[[%]:[%]])</f>
        <v/>
      </c>
      <c r="ID21" s="121" t="str">
        <f>IF(ISBLANK(tbl_task1[[คะแนนเต็ม]:[คะแนนเต็ม]]),"",(tbl_task1[68]/tbl_task1[[คะแนนเต็ม]:[คะแนนเต็ม]])*tbl_task1[[%]:[%]])</f>
        <v/>
      </c>
      <c r="IE21" s="121" t="str">
        <f>IF(ISBLANK(tbl_task1[[คะแนนเต็ม]:[คะแนนเต็ม]]),"",(tbl_task1[69]/tbl_task1[[คะแนนเต็ม]:[คะแนนเต็ม]])*tbl_task1[[%]:[%]])</f>
        <v/>
      </c>
      <c r="IF21" s="121" t="str">
        <f>IF(ISBLANK(tbl_task1[[คะแนนเต็ม]:[คะแนนเต็ม]]),"",(tbl_task1[70]/tbl_task1[[คะแนนเต็ม]:[คะแนนเต็ม]])*tbl_task1[[%]:[%]])</f>
        <v/>
      </c>
      <c r="IG21" s="121" t="str">
        <f>IF(ISBLANK(tbl_task1[[คะแนนเต็ม]:[คะแนนเต็ม]]),"",(tbl_task1[71]/tbl_task1[[คะแนนเต็ม]:[คะแนนเต็ม]])*tbl_task1[[%]:[%]])</f>
        <v/>
      </c>
      <c r="IH21" s="121" t="str">
        <f>IF(ISBLANK(tbl_task1[[คะแนนเต็ม]:[คะแนนเต็ม]]),"",(tbl_task1[72]/tbl_task1[[คะแนนเต็ม]:[คะแนนเต็ม]])*tbl_task1[[%]:[%]])</f>
        <v/>
      </c>
      <c r="II21" s="121" t="str">
        <f>IF(ISBLANK(tbl_task1[[คะแนนเต็ม]:[คะแนนเต็ม]]),"",(tbl_task1[73]/tbl_task1[[คะแนนเต็ม]:[คะแนนเต็ม]])*tbl_task1[[%]:[%]])</f>
        <v/>
      </c>
      <c r="IJ21" s="121" t="str">
        <f>IF(ISBLANK(tbl_task1[[คะแนนเต็ม]:[คะแนนเต็ม]]),"",(tbl_task1[74]/tbl_task1[[คะแนนเต็ม]:[คะแนนเต็ม]])*tbl_task1[[%]:[%]])</f>
        <v/>
      </c>
      <c r="IK21" s="121" t="str">
        <f>IF(ISBLANK(tbl_task1[[คะแนนเต็ม]:[คะแนนเต็ม]]),"",(tbl_task1[75]/tbl_task1[[คะแนนเต็ม]:[คะแนนเต็ม]])*tbl_task1[[%]:[%]])</f>
        <v/>
      </c>
      <c r="IL21" s="121" t="str">
        <f>IF(ISBLANK(tbl_task1[[คะแนนเต็ม]:[คะแนนเต็ม]]),"",(tbl_task1[76]/tbl_task1[[คะแนนเต็ม]:[คะแนนเต็ม]])*tbl_task1[[%]:[%]])</f>
        <v/>
      </c>
      <c r="IM21" s="121" t="str">
        <f>IF(ISBLANK(tbl_task1[[คะแนนเต็ม]:[คะแนนเต็ม]]),"",(tbl_task1[77]/tbl_task1[[คะแนนเต็ม]:[คะแนนเต็ม]])*tbl_task1[[%]:[%]])</f>
        <v/>
      </c>
      <c r="IN21" s="121" t="str">
        <f>IF(ISBLANK(tbl_task1[[คะแนนเต็ม]:[คะแนนเต็ม]]),"",(tbl_task1[78]/tbl_task1[[คะแนนเต็ม]:[คะแนนเต็ม]])*tbl_task1[[%]:[%]])</f>
        <v/>
      </c>
      <c r="IO21" s="121" t="str">
        <f>IF(ISBLANK(tbl_task1[[คะแนนเต็ม]:[คะแนนเต็ม]]),"",(tbl_task1[79]/tbl_task1[[คะแนนเต็ม]:[คะแนนเต็ม]])*tbl_task1[[%]:[%]])</f>
        <v/>
      </c>
      <c r="IP21" s="121" t="str">
        <f>IF(ISBLANK(tbl_task1[[คะแนนเต็ม]:[คะแนนเต็ม]]),"",(tbl_task1[80]/tbl_task1[[คะแนนเต็ม]:[คะแนนเต็ม]])*tbl_task1[[%]:[%]])</f>
        <v/>
      </c>
      <c r="IQ21" s="121" t="str">
        <f>IF(ISBLANK(tbl_task1[[คะแนนเต็ม]:[คะแนนเต็ม]]),"",(tbl_task1[81]/tbl_task1[[คะแนนเต็ม]:[คะแนนเต็ม]])*tbl_task1[[%]:[%]])</f>
        <v/>
      </c>
      <c r="IR21" s="121" t="str">
        <f>IF(ISBLANK(tbl_task1[[คะแนนเต็ม]:[คะแนนเต็ม]]),"",(tbl_task1[82]/tbl_task1[[คะแนนเต็ม]:[คะแนนเต็ม]])*tbl_task1[[%]:[%]])</f>
        <v/>
      </c>
      <c r="IS21" s="121" t="str">
        <f>IF(ISBLANK(tbl_task1[[คะแนนเต็ม]:[คะแนนเต็ม]]),"",(tbl_task1[83]/tbl_task1[[คะแนนเต็ม]:[คะแนนเต็ม]])*tbl_task1[[%]:[%]])</f>
        <v/>
      </c>
      <c r="IT21" s="121" t="str">
        <f>IF(ISBLANK(tbl_task1[[คะแนนเต็ม]:[คะแนนเต็ม]]),"",(tbl_task1[84]/tbl_task1[[คะแนนเต็ม]:[คะแนนเต็ม]])*tbl_task1[[%]:[%]])</f>
        <v/>
      </c>
      <c r="IU21" s="121" t="str">
        <f>IF(ISBLANK(tbl_task1[[คะแนนเต็ม]:[คะแนนเต็ม]]),"",(tbl_task1[85]/tbl_task1[[คะแนนเต็ม]:[คะแนนเต็ม]])*tbl_task1[[%]:[%]])</f>
        <v/>
      </c>
      <c r="IV21" s="121" t="str">
        <f>IF(ISBLANK(tbl_task1[[คะแนนเต็ม]:[คะแนนเต็ม]]),"",(tbl_task1[86]/tbl_task1[[คะแนนเต็ม]:[คะแนนเต็ม]])*tbl_task1[[%]:[%]])</f>
        <v/>
      </c>
      <c r="IW21" s="121" t="str">
        <f>IF(ISBLANK(tbl_task1[[คะแนนเต็ม]:[คะแนนเต็ม]]),"",(tbl_task1[87]/tbl_task1[[คะแนนเต็ม]:[คะแนนเต็ม]])*tbl_task1[[%]:[%]])</f>
        <v/>
      </c>
      <c r="IX21" s="121" t="str">
        <f>IF(ISBLANK(tbl_task1[[คะแนนเต็ม]:[คะแนนเต็ม]]),"",(tbl_task1[88]/tbl_task1[[คะแนนเต็ม]:[คะแนนเต็ม]])*tbl_task1[[%]:[%]])</f>
        <v/>
      </c>
      <c r="IY21" s="121" t="str">
        <f>IF(ISBLANK(tbl_task1[[คะแนนเต็ม]:[คะแนนเต็ม]]),"",(tbl_task1[89]/tbl_task1[[คะแนนเต็ม]:[คะแนนเต็ม]])*tbl_task1[[%]:[%]])</f>
        <v/>
      </c>
      <c r="IZ21" s="121" t="str">
        <f>IF(ISBLANK(tbl_task1[[คะแนนเต็ม]:[คะแนนเต็ม]]),"",(tbl_task1[90]/tbl_task1[[คะแนนเต็ม]:[คะแนนเต็ม]])*tbl_task1[[%]:[%]])</f>
        <v/>
      </c>
      <c r="JA21" s="121" t="str">
        <f>IF(ISBLANK(tbl_task1[[คะแนนเต็ม]:[คะแนนเต็ม]]),"",(tbl_task1[91]/tbl_task1[[คะแนนเต็ม]:[คะแนนเต็ม]])*tbl_task1[[%]:[%]])</f>
        <v/>
      </c>
      <c r="JB21" s="121" t="str">
        <f>IF(ISBLANK(tbl_task1[[คะแนนเต็ม]:[คะแนนเต็ม]]),"",(tbl_task1[92]/tbl_task1[[คะแนนเต็ม]:[คะแนนเต็ม]])*tbl_task1[[%]:[%]])</f>
        <v/>
      </c>
      <c r="JC21" s="121" t="str">
        <f>IF(ISBLANK(tbl_task1[[คะแนนเต็ม]:[คะแนนเต็ม]]),"",(tbl_task1[93]/tbl_task1[[คะแนนเต็ม]:[คะแนนเต็ม]])*tbl_task1[[%]:[%]])</f>
        <v/>
      </c>
      <c r="JD21" s="121" t="str">
        <f>IF(ISBLANK(tbl_task1[[คะแนนเต็ม]:[คะแนนเต็ม]]),"",(tbl_task1[94]/tbl_task1[[คะแนนเต็ม]:[คะแนนเต็ม]])*tbl_task1[[%]:[%]])</f>
        <v/>
      </c>
      <c r="JE21" s="121" t="str">
        <f>IF(ISBLANK(tbl_task1[[คะแนนเต็ม]:[คะแนนเต็ม]]),"",(tbl_task1[95]/tbl_task1[[คะแนนเต็ม]:[คะแนนเต็ม]])*tbl_task1[[%]:[%]])</f>
        <v/>
      </c>
      <c r="JF21" s="121" t="str">
        <f>IF(ISBLANK(tbl_task1[[คะแนนเต็ม]:[คะแนนเต็ม]]),"",(tbl_task1[96]/tbl_task1[[คะแนนเต็ม]:[คะแนนเต็ม]])*tbl_task1[[%]:[%]])</f>
        <v/>
      </c>
      <c r="JG21" s="121" t="str">
        <f>IF(ISBLANK(tbl_task1[[คะแนนเต็ม]:[คะแนนเต็ม]]),"",(tbl_task1[97]/tbl_task1[[คะแนนเต็ม]:[คะแนนเต็ม]])*tbl_task1[[%]:[%]])</f>
        <v/>
      </c>
      <c r="JH21" s="121" t="str">
        <f>IF(ISBLANK(tbl_task1[[คะแนนเต็ม]:[คะแนนเต็ม]]),"",(tbl_task1[98]/tbl_task1[[คะแนนเต็ม]:[คะแนนเต็ม]])*tbl_task1[[%]:[%]])</f>
        <v/>
      </c>
      <c r="JI21" s="121" t="str">
        <f>IF(ISBLANK(tbl_task1[[คะแนนเต็ม]:[คะแนนเต็ม]]),"",(tbl_task1[99]/tbl_task1[[คะแนนเต็ม]:[คะแนนเต็ม]])*tbl_task1[[%]:[%]])</f>
        <v/>
      </c>
      <c r="JJ21" s="121" t="str">
        <f>IF(ISBLANK(tbl_task1[[คะแนนเต็ม]:[คะแนนเต็ม]]),"",(tbl_task1[100]/tbl_task1[[คะแนนเต็ม]:[คะแนนเต็ม]])*tbl_task1[[%]:[%]])</f>
        <v/>
      </c>
      <c r="JK21" s="121" t="str">
        <f>IF(ISBLANK(tbl_task1[[คะแนนเต็ม]:[คะแนนเต็ม]]),"",(tbl_task1[101]/tbl_task1[[คะแนนเต็ม]:[คะแนนเต็ม]])*tbl_task1[[%]:[%]])</f>
        <v/>
      </c>
      <c r="JL21" s="121" t="str">
        <f>IF(ISBLANK(tbl_task1[[คะแนนเต็ม]:[คะแนนเต็ม]]),"",(tbl_task1[102]/tbl_task1[[คะแนนเต็ม]:[คะแนนเต็ม]])*tbl_task1[[%]:[%]])</f>
        <v/>
      </c>
      <c r="JM21" s="121" t="str">
        <f>IF(ISBLANK(tbl_task1[[คะแนนเต็ม]:[คะแนนเต็ม]]),"",(tbl_task1[103]/tbl_task1[[คะแนนเต็ม]:[คะแนนเต็ม]])*tbl_task1[[%]:[%]])</f>
        <v/>
      </c>
      <c r="JN21" s="121" t="str">
        <f>IF(ISBLANK(tbl_task1[[คะแนนเต็ม]:[คะแนนเต็ม]]),"",(tbl_task1[104]/tbl_task1[[คะแนนเต็ม]:[คะแนนเต็ม]])*tbl_task1[[%]:[%]])</f>
        <v/>
      </c>
      <c r="JO21" s="121" t="str">
        <f>IF(ISBLANK(tbl_task1[[คะแนนเต็ม]:[คะแนนเต็ม]]),"",(tbl_task1[105]/tbl_task1[[คะแนนเต็ม]:[คะแนนเต็ม]])*tbl_task1[[%]:[%]])</f>
        <v/>
      </c>
      <c r="JP21" s="121" t="str">
        <f>IF(ISBLANK(tbl_task1[[คะแนนเต็ม]:[คะแนนเต็ม]]),"",(tbl_task1[106]/tbl_task1[[คะแนนเต็ม]:[คะแนนเต็ม]])*tbl_task1[[%]:[%]])</f>
        <v/>
      </c>
      <c r="JQ21" s="121" t="str">
        <f>IF(ISBLANK(tbl_task1[[คะแนนเต็ม]:[คะแนนเต็ม]]),"",(tbl_task1[107]/tbl_task1[[คะแนนเต็ม]:[คะแนนเต็ม]])*tbl_task1[[%]:[%]])</f>
        <v/>
      </c>
      <c r="JR21" s="121" t="str">
        <f>IF(ISBLANK(tbl_task1[[คะแนนเต็ม]:[คะแนนเต็ม]]),"",(tbl_task1[108]/tbl_task1[[คะแนนเต็ม]:[คะแนนเต็ม]])*tbl_task1[[%]:[%]])</f>
        <v/>
      </c>
      <c r="JS21" s="121" t="str">
        <f>IF(ISBLANK(tbl_task1[[คะแนนเต็ม]:[คะแนนเต็ม]]),"",(tbl_task1[109]/tbl_task1[[คะแนนเต็ม]:[คะแนนเต็ม]])*tbl_task1[[%]:[%]])</f>
        <v/>
      </c>
      <c r="JT21" s="121" t="str">
        <f>IF(ISBLANK(tbl_task1[[คะแนนเต็ม]:[คะแนนเต็ม]]),"",(tbl_task1[110]/tbl_task1[[คะแนนเต็ม]:[คะแนนเต็ม]])*tbl_task1[[%]:[%]])</f>
        <v/>
      </c>
      <c r="JU21" s="121" t="str">
        <f>IF(ISBLANK(tbl_task1[[คะแนนเต็ม]:[คะแนนเต็ม]]),"",(tbl_task1[111]/tbl_task1[[คะแนนเต็ม]:[คะแนนเต็ม]])*tbl_task1[[%]:[%]])</f>
        <v/>
      </c>
      <c r="JV21" s="121" t="str">
        <f>IF(ISBLANK(tbl_task1[[คะแนนเต็ม]:[คะแนนเต็ม]]),"",(tbl_task1[112]/tbl_task1[[คะแนนเต็ม]:[คะแนนเต็ม]])*tbl_task1[[%]:[%]])</f>
        <v/>
      </c>
      <c r="JW21" s="121" t="str">
        <f>IF(ISBLANK(tbl_task1[[คะแนนเต็ม]:[คะแนนเต็ม]]),"",(tbl_task1[113]/tbl_task1[[คะแนนเต็ม]:[คะแนนเต็ม]])*tbl_task1[[%]:[%]])</f>
        <v/>
      </c>
      <c r="JX21" s="121" t="str">
        <f>IF(ISBLANK(tbl_task1[[คะแนนเต็ม]:[คะแนนเต็ม]]),"",(tbl_task1[114]/tbl_task1[[คะแนนเต็ม]:[คะแนนเต็ม]])*tbl_task1[[%]:[%]])</f>
        <v/>
      </c>
      <c r="JY21" s="121" t="str">
        <f>IF(ISBLANK(tbl_task1[[คะแนนเต็ม]:[คะแนนเต็ม]]),"",(tbl_task1[115]/tbl_task1[[คะแนนเต็ม]:[คะแนนเต็ม]])*tbl_task1[[%]:[%]])</f>
        <v/>
      </c>
      <c r="JZ21" s="121" t="str">
        <f>IF(ISBLANK(tbl_task1[[คะแนนเต็ม]:[คะแนนเต็ม]]),"",(tbl_task1[116]/tbl_task1[[คะแนนเต็ม]:[คะแนนเต็ม]])*tbl_task1[[%]:[%]])</f>
        <v/>
      </c>
      <c r="KA21" s="121" t="str">
        <f>IF(ISBLANK(tbl_task1[[คะแนนเต็ม]:[คะแนนเต็ม]]),"",(tbl_task1[117]/tbl_task1[[คะแนนเต็ม]:[คะแนนเต็ม]])*tbl_task1[[%]:[%]])</f>
        <v/>
      </c>
      <c r="KB21" s="121" t="str">
        <f>IF(ISBLANK(tbl_task1[[คะแนนเต็ม]:[คะแนนเต็ม]]),"",(tbl_task1[118]/tbl_task1[[คะแนนเต็ม]:[คะแนนเต็ม]])*tbl_task1[[%]:[%]])</f>
        <v/>
      </c>
      <c r="KC21" s="121" t="str">
        <f>IF(ISBLANK(tbl_task1[[คะแนนเต็ม]:[คะแนนเต็ม]]),"",(tbl_task1[119]/tbl_task1[[คะแนนเต็ม]:[คะแนนเต็ม]])*tbl_task1[[%]:[%]])</f>
        <v/>
      </c>
      <c r="KD21" s="121" t="str">
        <f>IF(ISBLANK(tbl_task1[[คะแนนเต็ม]:[คะแนนเต็ม]]),"",(tbl_task1[120]/tbl_task1[[คะแนนเต็ม]:[คะแนนเต็ม]])*tbl_task1[[%]:[%]])</f>
        <v/>
      </c>
      <c r="KE21" s="121" t="str">
        <f>IF(ISBLANK(tbl_task1[[คะแนนเต็ม]:[คะแนนเต็ม]]),"",(tbl_task1[121]/tbl_task1[[คะแนนเต็ม]:[คะแนนเต็ม]])*tbl_task1[[%]:[%]])</f>
        <v/>
      </c>
      <c r="KF21" s="121" t="str">
        <f>IF(ISBLANK(tbl_task1[[คะแนนเต็ม]:[คะแนนเต็ม]]),"",(tbl_task1[122]/tbl_task1[[คะแนนเต็ม]:[คะแนนเต็ม]])*tbl_task1[[%]:[%]])</f>
        <v/>
      </c>
      <c r="KG21" s="121" t="str">
        <f>IF(ISBLANK(tbl_task1[[คะแนนเต็ม]:[คะแนนเต็ม]]),"",(tbl_task1[123]/tbl_task1[[คะแนนเต็ม]:[คะแนนเต็ม]])*tbl_task1[[%]:[%]])</f>
        <v/>
      </c>
      <c r="KH21" s="121" t="str">
        <f>IF(ISBLANK(tbl_task1[[คะแนนเต็ม]:[คะแนนเต็ม]]),"",(tbl_task1[124]/tbl_task1[[คะแนนเต็ม]:[คะแนนเต็ม]])*tbl_task1[[%]:[%]])</f>
        <v/>
      </c>
      <c r="KI21" s="121" t="str">
        <f>IF(ISBLANK(tbl_task1[[คะแนนเต็ม]:[คะแนนเต็ม]]),"",(tbl_task1[125]/tbl_task1[[คะแนนเต็ม]:[คะแนนเต็ม]])*tbl_task1[[%]:[%]])</f>
        <v/>
      </c>
      <c r="KJ21" s="121" t="str">
        <f>IF(ISBLANK(tbl_task1[[คะแนนเต็ม]:[คะแนนเต็ม]]),"",(tbl_task1[126]/tbl_task1[[คะแนนเต็ม]:[คะแนนเต็ม]])*tbl_task1[[%]:[%]])</f>
        <v/>
      </c>
      <c r="KK21" s="121" t="str">
        <f>IF(ISBLANK(tbl_task1[[คะแนนเต็ม]:[คะแนนเต็ม]]),"",(tbl_task1[127]/tbl_task1[[คะแนนเต็ม]:[คะแนนเต็ม]])*tbl_task1[[%]:[%]])</f>
        <v/>
      </c>
      <c r="KL21" s="121" t="str">
        <f>IF(ISBLANK(tbl_task1[[คะแนนเต็ม]:[คะแนนเต็ม]]),"",(tbl_task1[128]/tbl_task1[[คะแนนเต็ม]:[คะแนนเต็ม]])*tbl_task1[[%]:[%]])</f>
        <v/>
      </c>
      <c r="KM21" s="121" t="str">
        <f>IF(ISBLANK(tbl_task1[[คะแนนเต็ม]:[คะแนนเต็ม]]),"",(tbl_task1[129]/tbl_task1[[คะแนนเต็ม]:[คะแนนเต็ม]])*tbl_task1[[%]:[%]])</f>
        <v/>
      </c>
      <c r="KN21" s="121" t="str">
        <f>IF(ISBLANK(tbl_task1[[คะแนนเต็ม]:[คะแนนเต็ม]]),"",(tbl_task1[130]/tbl_task1[[คะแนนเต็ม]:[คะแนนเต็ม]])*tbl_task1[[%]:[%]])</f>
        <v/>
      </c>
      <c r="KO21" s="121" t="str">
        <f>IF(ISBLANK(tbl_task1[[คะแนนเต็ม]:[คะแนนเต็ม]]),"",(tbl_task1[131]/tbl_task1[[คะแนนเต็ม]:[คะแนนเต็ม]])*tbl_task1[[%]:[%]])</f>
        <v/>
      </c>
      <c r="KP21" s="121" t="str">
        <f>IF(ISBLANK(tbl_task1[[คะแนนเต็ม]:[คะแนนเต็ม]]),"",(tbl_task1[132]/tbl_task1[[คะแนนเต็ม]:[คะแนนเต็ม]])*tbl_task1[[%]:[%]])</f>
        <v/>
      </c>
      <c r="KQ21" s="121" t="str">
        <f>IF(ISBLANK(tbl_task1[[คะแนนเต็ม]:[คะแนนเต็ม]]),"",(tbl_task1[133]/tbl_task1[[คะแนนเต็ม]:[คะแนนเต็ม]])*tbl_task1[[%]:[%]])</f>
        <v/>
      </c>
      <c r="KR21" s="121" t="str">
        <f>IF(ISBLANK(tbl_task1[[คะแนนเต็ม]:[คะแนนเต็ม]]),"",(tbl_task1[134]/tbl_task1[[คะแนนเต็ม]:[คะแนนเต็ม]])*tbl_task1[[%]:[%]])</f>
        <v/>
      </c>
      <c r="KS21" s="121" t="str">
        <f>IF(ISBLANK(tbl_task1[[คะแนนเต็ม]:[คะแนนเต็ม]]),"",(tbl_task1[135]/tbl_task1[[คะแนนเต็ม]:[คะแนนเต็ม]])*tbl_task1[[%]:[%]])</f>
        <v/>
      </c>
      <c r="KT21" s="121" t="str">
        <f>IF(ISBLANK(tbl_task1[[คะแนนเต็ม]:[คะแนนเต็ม]]),"",(tbl_task1[136]/tbl_task1[[คะแนนเต็ม]:[คะแนนเต็ม]])*tbl_task1[[%]:[%]])</f>
        <v/>
      </c>
      <c r="KU21" s="121" t="str">
        <f>IF(ISBLANK(tbl_task1[[คะแนนเต็ม]:[คะแนนเต็ม]]),"",(tbl_task1[137]/tbl_task1[[คะแนนเต็ม]:[คะแนนเต็ม]])*tbl_task1[[%]:[%]])</f>
        <v/>
      </c>
      <c r="KV21" s="121" t="str">
        <f>IF(ISBLANK(tbl_task1[[คะแนนเต็ม]:[คะแนนเต็ม]]),"",(tbl_task1[138]/tbl_task1[[คะแนนเต็ม]:[คะแนนเต็ม]])*tbl_task1[[%]:[%]])</f>
        <v/>
      </c>
      <c r="KW21" s="121" t="str">
        <f>IF(ISBLANK(tbl_task1[[คะแนนเต็ม]:[คะแนนเต็ม]]),"",(tbl_task1[139]/tbl_task1[[คะแนนเต็ม]:[คะแนนเต็ม]])*tbl_task1[[%]:[%]])</f>
        <v/>
      </c>
      <c r="KX21" s="121" t="str">
        <f>IF(ISBLANK(tbl_task1[[คะแนนเต็ม]:[คะแนนเต็ม]]),"",(tbl_task1[140]/tbl_task1[[คะแนนเต็ม]:[คะแนนเต็ม]])*tbl_task1[[%]:[%]])</f>
        <v/>
      </c>
      <c r="KY21" s="121" t="str">
        <f>IF(ISBLANK(tbl_task1[[คะแนนเต็ม]:[คะแนนเต็ม]]),"",(tbl_task1[141]/tbl_task1[[คะแนนเต็ม]:[คะแนนเต็ม]])*tbl_task1[[%]:[%]])</f>
        <v/>
      </c>
      <c r="KZ21" s="121" t="str">
        <f>IF(ISBLANK(tbl_task1[[คะแนนเต็ม]:[คะแนนเต็ม]]),"",(tbl_task1[142]/tbl_task1[[คะแนนเต็ม]:[คะแนนเต็ม]])*tbl_task1[[%]:[%]])</f>
        <v/>
      </c>
      <c r="LA21" s="121" t="str">
        <f>IF(ISBLANK(tbl_task1[[คะแนนเต็ม]:[คะแนนเต็ม]]),"",(tbl_task1[143]/tbl_task1[[คะแนนเต็ม]:[คะแนนเต็ม]])*tbl_task1[[%]:[%]])</f>
        <v/>
      </c>
      <c r="LB21" s="121" t="str">
        <f>IF(ISBLANK(tbl_task1[[คะแนนเต็ม]:[คะแนนเต็ม]]),"",(tbl_task1[144]/tbl_task1[[คะแนนเต็ม]:[คะแนนเต็ม]])*tbl_task1[[%]:[%]])</f>
        <v/>
      </c>
      <c r="LC21" s="121" t="str">
        <f>IF(ISBLANK(tbl_task1[[คะแนนเต็ม]:[คะแนนเต็ม]]),"",(tbl_task1[145]/tbl_task1[[คะแนนเต็ม]:[คะแนนเต็ม]])*tbl_task1[[%]:[%]])</f>
        <v/>
      </c>
      <c r="LD21" s="121" t="str">
        <f>IF(ISBLANK(tbl_task1[[คะแนนเต็ม]:[คะแนนเต็ม]]),"",(tbl_task1[146]/tbl_task1[[คะแนนเต็ม]:[คะแนนเต็ม]])*tbl_task1[[%]:[%]])</f>
        <v/>
      </c>
      <c r="LE21" s="121" t="str">
        <f>IF(ISBLANK(tbl_task1[[คะแนนเต็ม]:[คะแนนเต็ม]]),"",(tbl_task1[147]/tbl_task1[[คะแนนเต็ม]:[คะแนนเต็ม]])*tbl_task1[[%]:[%]])</f>
        <v/>
      </c>
      <c r="LF21" s="121" t="str">
        <f>IF(ISBLANK(tbl_task1[[คะแนนเต็ม]:[คะแนนเต็ม]]),"",(tbl_task1[148]/tbl_task1[[คะแนนเต็ม]:[คะแนนเต็ม]])*tbl_task1[[%]:[%]])</f>
        <v/>
      </c>
      <c r="LG21" s="121" t="str">
        <f>IF(ISBLANK(tbl_task1[[คะแนนเต็ม]:[คะแนนเต็ม]]),"",(tbl_task1[149]/tbl_task1[[คะแนนเต็ม]:[คะแนนเต็ม]])*tbl_task1[[%]:[%]])</f>
        <v/>
      </c>
      <c r="LH21" s="121" t="str">
        <f>IF(ISBLANK(tbl_task1[[คะแนนเต็ม]:[คะแนนเต็ม]]),"",(tbl_task1[150]/tbl_task1[[คะแนนเต็ม]:[คะแนนเต็ม]])*tbl_task1[[%]:[%]])</f>
        <v/>
      </c>
      <c r="LI21" s="121" t="str">
        <f>IF(ISBLANK(tbl_task1[[คะแนนเต็ม]:[คะแนนเต็ม]]),"",(tbl_task1[151]/tbl_task1[[คะแนนเต็ม]:[คะแนนเต็ม]])*tbl_task1[[%]:[%]])</f>
        <v/>
      </c>
      <c r="LJ21" s="121" t="str">
        <f>IF(ISBLANK(tbl_task1[[คะแนนเต็ม]:[คะแนนเต็ม]]),"",(tbl_task1[152]/tbl_task1[[คะแนนเต็ม]:[คะแนนเต็ม]])*tbl_task1[[%]:[%]])</f>
        <v/>
      </c>
      <c r="LK21" s="121" t="str">
        <f>IF(ISBLANK(tbl_task1[[คะแนนเต็ม]:[คะแนนเต็ม]]),"",(tbl_task1[153]/tbl_task1[[คะแนนเต็ม]:[คะแนนเต็ม]])*tbl_task1[[%]:[%]])</f>
        <v/>
      </c>
      <c r="LL21" s="121" t="str">
        <f>IF(ISBLANK(tbl_task1[[คะแนนเต็ม]:[คะแนนเต็ม]]),"",(tbl_task1[154]/tbl_task1[[คะแนนเต็ม]:[คะแนนเต็ม]])*tbl_task1[[%]:[%]])</f>
        <v/>
      </c>
      <c r="LM21" s="121" t="str">
        <f>IF(ISBLANK(tbl_task1[[คะแนนเต็ม]:[คะแนนเต็ม]]),"",(tbl_task1[155]/tbl_task1[[คะแนนเต็ม]:[คะแนนเต็ม]])*tbl_task1[[%]:[%]])</f>
        <v/>
      </c>
      <c r="LN21" s="121" t="str">
        <f>IF(ISBLANK(tbl_task1[[คะแนนเต็ม]:[คะแนนเต็ม]]),"",(tbl_task1[156]/tbl_task1[[คะแนนเต็ม]:[คะแนนเต็ม]])*tbl_task1[[%]:[%]])</f>
        <v/>
      </c>
      <c r="LO21" s="121" t="str">
        <f>IF(ISBLANK(tbl_task1[[คะแนนเต็ม]:[คะแนนเต็ม]]),"",(tbl_task1[157]/tbl_task1[[คะแนนเต็ม]:[คะแนนเต็ม]])*tbl_task1[[%]:[%]])</f>
        <v/>
      </c>
      <c r="LP21" s="121" t="str">
        <f>IF(ISBLANK(tbl_task1[[คะแนนเต็ม]:[คะแนนเต็ม]]),"",(tbl_task1[158]/tbl_task1[[คะแนนเต็ม]:[คะแนนเต็ม]])*tbl_task1[[%]:[%]])</f>
        <v/>
      </c>
      <c r="LQ21" s="121" t="str">
        <f>IF(ISBLANK(tbl_task1[[คะแนนเต็ม]:[คะแนนเต็ม]]),"",(tbl_task1[159]/tbl_task1[[คะแนนเต็ม]:[คะแนนเต็ม]])*tbl_task1[[%]:[%]])</f>
        <v/>
      </c>
      <c r="LR21" s="121" t="str">
        <f>IF(ISBLANK(tbl_task1[[คะแนนเต็ม]:[คะแนนเต็ม]]),"",(tbl_task1[160]/tbl_task1[[คะแนนเต็ม]:[คะแนนเต็ม]])*tbl_task1[[%]:[%]])</f>
        <v/>
      </c>
      <c r="LS21" s="121" t="str">
        <f>IF(ISBLANK(tbl_task1[[คะแนนเต็ม]:[คะแนนเต็ม]]),"",(tbl_task1[161]/tbl_task1[[คะแนนเต็ม]:[คะแนนเต็ม]])*tbl_task1[[%]:[%]])</f>
        <v/>
      </c>
      <c r="LT21" s="121" t="str">
        <f>IF(ISBLANK(tbl_task1[[คะแนนเต็ม]:[คะแนนเต็ม]]),"",(tbl_task1[162]/tbl_task1[[คะแนนเต็ม]:[คะแนนเต็ม]])*tbl_task1[[%]:[%]])</f>
        <v/>
      </c>
      <c r="LU21" s="121" t="str">
        <f>IF(ISBLANK(tbl_task1[[คะแนนเต็ม]:[คะแนนเต็ม]]),"",(tbl_task1[163]/tbl_task1[[คะแนนเต็ม]:[คะแนนเต็ม]])*tbl_task1[[%]:[%]])</f>
        <v/>
      </c>
      <c r="LV21" s="121" t="str">
        <f>IF(ISBLANK(tbl_task1[[คะแนนเต็ม]:[คะแนนเต็ม]]),"",(tbl_task1[164]/tbl_task1[[คะแนนเต็ม]:[คะแนนเต็ม]])*tbl_task1[[%]:[%]])</f>
        <v/>
      </c>
      <c r="LW21" s="121" t="str">
        <f>IF(ISBLANK(tbl_task1[[คะแนนเต็ม]:[คะแนนเต็ม]]),"",(tbl_task1[165]/tbl_task1[[คะแนนเต็ม]:[คะแนนเต็ม]])*tbl_task1[[%]:[%]])</f>
        <v/>
      </c>
    </row>
    <row r="22" spans="1:335" ht="24" customHeight="1" x14ac:dyDescent="0.25">
      <c r="A22" s="24">
        <v>19</v>
      </c>
      <c r="B22" s="20"/>
      <c r="C22" s="5" t="str">
        <f>IF(ISBLANK(B22),"",VLOOKUP(B22,tbl_PLOs[],2,0))</f>
        <v/>
      </c>
      <c r="D22" s="102"/>
      <c r="E22" s="106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121" t="str">
        <f>IF(ISBLANK(tbl_task1[[คะแนนเต็ม]:[คะแนนเต็ม]]),"",(tbl_task1[1]/tbl_task1[[คะแนนเต็ม]:[คะแนนเต็ม]])*tbl_task1[[%]:[%]])</f>
        <v/>
      </c>
      <c r="FP22" s="121" t="str">
        <f>IF(ISBLANK(tbl_task1[[คะแนนเต็ม]:[คะแนนเต็ม]]),"",(tbl_task1[2]/tbl_task1[[คะแนนเต็ม]:[คะแนนเต็ม]])*tbl_task1[[%]:[%]])</f>
        <v/>
      </c>
      <c r="FQ22" s="121" t="str">
        <f>IF(ISBLANK(tbl_task1[[คะแนนเต็ม]:[คะแนนเต็ม]]),"",(tbl_task1[3]/tbl_task1[[คะแนนเต็ม]:[คะแนนเต็ม]])*tbl_task1[[%]:[%]])</f>
        <v/>
      </c>
      <c r="FR22" s="121" t="str">
        <f>IF(ISBLANK(tbl_task1[[คะแนนเต็ม]:[คะแนนเต็ม]]),"",(tbl_task1[4]/tbl_task1[[คะแนนเต็ม]:[คะแนนเต็ม]])*tbl_task1[[%]:[%]])</f>
        <v/>
      </c>
      <c r="FS22" s="121" t="str">
        <f>IF(ISBLANK(tbl_task1[[คะแนนเต็ม]:[คะแนนเต็ม]]),"",(tbl_task1[5]/tbl_task1[[คะแนนเต็ม]:[คะแนนเต็ม]])*tbl_task1[[%]:[%]])</f>
        <v/>
      </c>
      <c r="FT22" s="121" t="str">
        <f>IF(ISBLANK(tbl_task1[[คะแนนเต็ม]:[คะแนนเต็ม]]),"",(tbl_task1[6]/tbl_task1[[คะแนนเต็ม]:[คะแนนเต็ม]])*tbl_task1[[%]:[%]])</f>
        <v/>
      </c>
      <c r="FU22" s="121" t="str">
        <f>IF(ISBLANK(tbl_task1[[คะแนนเต็ม]:[คะแนนเต็ม]]),"",(tbl_task1[7]/tbl_task1[[คะแนนเต็ม]:[คะแนนเต็ม]])*tbl_task1[[%]:[%]])</f>
        <v/>
      </c>
      <c r="FV22" s="121" t="str">
        <f>IF(ISBLANK(tbl_task1[[คะแนนเต็ม]:[คะแนนเต็ม]]),"",(tbl_task1[8]/tbl_task1[[คะแนนเต็ม]:[คะแนนเต็ม]])*tbl_task1[[%]:[%]])</f>
        <v/>
      </c>
      <c r="FW22" s="121" t="str">
        <f>IF(ISBLANK(tbl_task1[[คะแนนเต็ม]:[คะแนนเต็ม]]),"",(tbl_task1[9]/tbl_task1[[คะแนนเต็ม]:[คะแนนเต็ม]])*tbl_task1[[%]:[%]])</f>
        <v/>
      </c>
      <c r="FX22" s="121" t="str">
        <f>IF(ISBLANK(tbl_task1[[คะแนนเต็ม]:[คะแนนเต็ม]]),"",(tbl_task1[10]/tbl_task1[[คะแนนเต็ม]:[คะแนนเต็ม]])*tbl_task1[[%]:[%]])</f>
        <v/>
      </c>
      <c r="FY22" s="121" t="str">
        <f>IF(ISBLANK(tbl_task1[[คะแนนเต็ม]:[คะแนนเต็ม]]),"",(tbl_task1[11]/tbl_task1[[คะแนนเต็ม]:[คะแนนเต็ม]])*tbl_task1[[%]:[%]])</f>
        <v/>
      </c>
      <c r="FZ22" s="121" t="str">
        <f>IF(ISBLANK(tbl_task1[[คะแนนเต็ม]:[คะแนนเต็ม]]),"",(tbl_task1[12]/tbl_task1[[คะแนนเต็ม]:[คะแนนเต็ม]])*tbl_task1[[%]:[%]])</f>
        <v/>
      </c>
      <c r="GA22" s="121" t="str">
        <f>IF(ISBLANK(tbl_task1[[คะแนนเต็ม]:[คะแนนเต็ม]]),"",(tbl_task1[13]/tbl_task1[[คะแนนเต็ม]:[คะแนนเต็ม]])*tbl_task1[[%]:[%]])</f>
        <v/>
      </c>
      <c r="GB22" s="121" t="str">
        <f>IF(ISBLANK(tbl_task1[[คะแนนเต็ม]:[คะแนนเต็ม]]),"",(tbl_task1[14]/tbl_task1[[คะแนนเต็ม]:[คะแนนเต็ม]])*tbl_task1[[%]:[%]])</f>
        <v/>
      </c>
      <c r="GC22" s="121" t="str">
        <f>IF(ISBLANK(tbl_task1[[คะแนนเต็ม]:[คะแนนเต็ม]]),"",(tbl_task1[15]/tbl_task1[[คะแนนเต็ม]:[คะแนนเต็ม]])*tbl_task1[[%]:[%]])</f>
        <v/>
      </c>
      <c r="GD22" s="121" t="str">
        <f>IF(ISBLANK(tbl_task1[[คะแนนเต็ม]:[คะแนนเต็ม]]),"",(tbl_task1[16]/tbl_task1[[คะแนนเต็ม]:[คะแนนเต็ม]])*tbl_task1[[%]:[%]])</f>
        <v/>
      </c>
      <c r="GE22" s="121" t="str">
        <f>IF(ISBLANK(tbl_task1[[คะแนนเต็ม]:[คะแนนเต็ม]]),"",(tbl_task1[17]/tbl_task1[[คะแนนเต็ม]:[คะแนนเต็ม]])*tbl_task1[[%]:[%]])</f>
        <v/>
      </c>
      <c r="GF22" s="121" t="str">
        <f>IF(ISBLANK(tbl_task1[[คะแนนเต็ม]:[คะแนนเต็ม]]),"",(tbl_task1[18]/tbl_task1[[คะแนนเต็ม]:[คะแนนเต็ม]])*tbl_task1[[%]:[%]])</f>
        <v/>
      </c>
      <c r="GG22" s="121" t="str">
        <f>IF(ISBLANK(tbl_task1[[คะแนนเต็ม]:[คะแนนเต็ม]]),"",(tbl_task1[19]/tbl_task1[[คะแนนเต็ม]:[คะแนนเต็ม]])*tbl_task1[[%]:[%]])</f>
        <v/>
      </c>
      <c r="GH22" s="121" t="str">
        <f>IF(ISBLANK(tbl_task1[[คะแนนเต็ม]:[คะแนนเต็ม]]),"",(tbl_task1[20]/tbl_task1[[คะแนนเต็ม]:[คะแนนเต็ม]])*tbl_task1[[%]:[%]])</f>
        <v/>
      </c>
      <c r="GI22" s="121" t="str">
        <f>IF(ISBLANK(tbl_task1[[คะแนนเต็ม]:[คะแนนเต็ม]]),"",(tbl_task1[21]/tbl_task1[[คะแนนเต็ม]:[คะแนนเต็ม]])*tbl_task1[[%]:[%]])</f>
        <v/>
      </c>
      <c r="GJ22" s="121" t="str">
        <f>IF(ISBLANK(tbl_task1[[คะแนนเต็ม]:[คะแนนเต็ม]]),"",(tbl_task1[22]/tbl_task1[[คะแนนเต็ม]:[คะแนนเต็ม]])*tbl_task1[[%]:[%]])</f>
        <v/>
      </c>
      <c r="GK22" s="121" t="str">
        <f>IF(ISBLANK(tbl_task1[[คะแนนเต็ม]:[คะแนนเต็ม]]),"",(tbl_task1[23]/tbl_task1[[คะแนนเต็ม]:[คะแนนเต็ม]])*tbl_task1[[%]:[%]])</f>
        <v/>
      </c>
      <c r="GL22" s="121" t="str">
        <f>IF(ISBLANK(tbl_task1[[คะแนนเต็ม]:[คะแนนเต็ม]]),"",(tbl_task1[24]/tbl_task1[[คะแนนเต็ม]:[คะแนนเต็ม]])*tbl_task1[[%]:[%]])</f>
        <v/>
      </c>
      <c r="GM22" s="121" t="str">
        <f>IF(ISBLANK(tbl_task1[[คะแนนเต็ม]:[คะแนนเต็ม]]),"",(tbl_task1[25]/tbl_task1[[คะแนนเต็ม]:[คะแนนเต็ม]])*tbl_task1[[%]:[%]])</f>
        <v/>
      </c>
      <c r="GN22" s="121" t="str">
        <f>IF(ISBLANK(tbl_task1[[คะแนนเต็ม]:[คะแนนเต็ม]]),"",(tbl_task1[26]/tbl_task1[[คะแนนเต็ม]:[คะแนนเต็ม]])*tbl_task1[[%]:[%]])</f>
        <v/>
      </c>
      <c r="GO22" s="121" t="str">
        <f>IF(ISBLANK(tbl_task1[[คะแนนเต็ม]:[คะแนนเต็ม]]),"",(tbl_task1[27]/tbl_task1[[คะแนนเต็ม]:[คะแนนเต็ม]])*tbl_task1[[%]:[%]])</f>
        <v/>
      </c>
      <c r="GP22" s="121" t="str">
        <f>IF(ISBLANK(tbl_task1[[คะแนนเต็ม]:[คะแนนเต็ม]]),"",(tbl_task1[28]/tbl_task1[[คะแนนเต็ม]:[คะแนนเต็ม]])*tbl_task1[[%]:[%]])</f>
        <v/>
      </c>
      <c r="GQ22" s="121" t="str">
        <f>IF(ISBLANK(tbl_task1[[คะแนนเต็ม]:[คะแนนเต็ม]]),"",(tbl_task1[29]/tbl_task1[[คะแนนเต็ม]:[คะแนนเต็ม]])*tbl_task1[[%]:[%]])</f>
        <v/>
      </c>
      <c r="GR22" s="121" t="str">
        <f>IF(ISBLANK(tbl_task1[[คะแนนเต็ม]:[คะแนนเต็ม]]),"",(tbl_task1[30]/tbl_task1[[คะแนนเต็ม]:[คะแนนเต็ม]])*tbl_task1[[%]:[%]])</f>
        <v/>
      </c>
      <c r="GS22" s="121" t="str">
        <f>IF(ISBLANK(tbl_task1[[คะแนนเต็ม]:[คะแนนเต็ม]]),"",(tbl_task1[31]/tbl_task1[[คะแนนเต็ม]:[คะแนนเต็ม]])*tbl_task1[[%]:[%]])</f>
        <v/>
      </c>
      <c r="GT22" s="121" t="str">
        <f>IF(ISBLANK(tbl_task1[[คะแนนเต็ม]:[คะแนนเต็ม]]),"",(tbl_task1[32]/tbl_task1[[คะแนนเต็ม]:[คะแนนเต็ม]])*tbl_task1[[%]:[%]])</f>
        <v/>
      </c>
      <c r="GU22" s="121" t="str">
        <f>IF(ISBLANK(tbl_task1[[คะแนนเต็ม]:[คะแนนเต็ม]]),"",(tbl_task1[33]/tbl_task1[[คะแนนเต็ม]:[คะแนนเต็ม]])*tbl_task1[[%]:[%]])</f>
        <v/>
      </c>
      <c r="GV22" s="121" t="str">
        <f>IF(ISBLANK(tbl_task1[[คะแนนเต็ม]:[คะแนนเต็ม]]),"",(tbl_task1[34]/tbl_task1[[คะแนนเต็ม]:[คะแนนเต็ม]])*tbl_task1[[%]:[%]])</f>
        <v/>
      </c>
      <c r="GW22" s="121" t="str">
        <f>IF(ISBLANK(tbl_task1[[คะแนนเต็ม]:[คะแนนเต็ม]]),"",(tbl_task1[35]/tbl_task1[[คะแนนเต็ม]:[คะแนนเต็ม]])*tbl_task1[[%]:[%]])</f>
        <v/>
      </c>
      <c r="GX22" s="121" t="str">
        <f>IF(ISBLANK(tbl_task1[[คะแนนเต็ม]:[คะแนนเต็ม]]),"",(tbl_task1[36]/tbl_task1[[คะแนนเต็ม]:[คะแนนเต็ม]])*tbl_task1[[%]:[%]])</f>
        <v/>
      </c>
      <c r="GY22" s="121" t="str">
        <f>IF(ISBLANK(tbl_task1[[คะแนนเต็ม]:[คะแนนเต็ม]]),"",(tbl_task1[37]/tbl_task1[[คะแนนเต็ม]:[คะแนนเต็ม]])*tbl_task1[[%]:[%]])</f>
        <v/>
      </c>
      <c r="GZ22" s="121" t="str">
        <f>IF(ISBLANK(tbl_task1[[คะแนนเต็ม]:[คะแนนเต็ม]]),"",(tbl_task1[38]/tbl_task1[[คะแนนเต็ม]:[คะแนนเต็ม]])*tbl_task1[[%]:[%]])</f>
        <v/>
      </c>
      <c r="HA22" s="121" t="str">
        <f>IF(ISBLANK(tbl_task1[[คะแนนเต็ม]:[คะแนนเต็ม]]),"",(tbl_task1[39]/tbl_task1[[คะแนนเต็ม]:[คะแนนเต็ม]])*tbl_task1[[%]:[%]])</f>
        <v/>
      </c>
      <c r="HB22" s="121" t="str">
        <f>IF(ISBLANK(tbl_task1[[คะแนนเต็ม]:[คะแนนเต็ม]]),"",(tbl_task1[40]/tbl_task1[[คะแนนเต็ม]:[คะแนนเต็ม]])*tbl_task1[[%]:[%]])</f>
        <v/>
      </c>
      <c r="HC22" s="121" t="str">
        <f>IF(ISBLANK(tbl_task1[[คะแนนเต็ม]:[คะแนนเต็ม]]),"",(tbl_task1[41]/tbl_task1[[คะแนนเต็ม]:[คะแนนเต็ม]])*tbl_task1[[%]:[%]])</f>
        <v/>
      </c>
      <c r="HD22" s="121" t="str">
        <f>IF(ISBLANK(tbl_task1[[คะแนนเต็ม]:[คะแนนเต็ม]]),"",(tbl_task1[42]/tbl_task1[[คะแนนเต็ม]:[คะแนนเต็ม]])*tbl_task1[[%]:[%]])</f>
        <v/>
      </c>
      <c r="HE22" s="121" t="str">
        <f>IF(ISBLANK(tbl_task1[[คะแนนเต็ม]:[คะแนนเต็ม]]),"",(tbl_task1[43]/tbl_task1[[คะแนนเต็ม]:[คะแนนเต็ม]])*tbl_task1[[%]:[%]])</f>
        <v/>
      </c>
      <c r="HF22" s="121" t="str">
        <f>IF(ISBLANK(tbl_task1[[คะแนนเต็ม]:[คะแนนเต็ม]]),"",(tbl_task1[44]/tbl_task1[[คะแนนเต็ม]:[คะแนนเต็ม]])*tbl_task1[[%]:[%]])</f>
        <v/>
      </c>
      <c r="HG22" s="121" t="str">
        <f>IF(ISBLANK(tbl_task1[[คะแนนเต็ม]:[คะแนนเต็ม]]),"",(tbl_task1[45]/tbl_task1[[คะแนนเต็ม]:[คะแนนเต็ม]])*tbl_task1[[%]:[%]])</f>
        <v/>
      </c>
      <c r="HH22" s="121" t="str">
        <f>IF(ISBLANK(tbl_task1[[คะแนนเต็ม]:[คะแนนเต็ม]]),"",(tbl_task1[46]/tbl_task1[[คะแนนเต็ม]:[คะแนนเต็ม]])*tbl_task1[[%]:[%]])</f>
        <v/>
      </c>
      <c r="HI22" s="121" t="str">
        <f>IF(ISBLANK(tbl_task1[[คะแนนเต็ม]:[คะแนนเต็ม]]),"",(tbl_task1[47]/tbl_task1[[คะแนนเต็ม]:[คะแนนเต็ม]])*tbl_task1[[%]:[%]])</f>
        <v/>
      </c>
      <c r="HJ22" s="121" t="str">
        <f>IF(ISBLANK(tbl_task1[[คะแนนเต็ม]:[คะแนนเต็ม]]),"",(tbl_task1[48]/tbl_task1[[คะแนนเต็ม]:[คะแนนเต็ม]])*tbl_task1[[%]:[%]])</f>
        <v/>
      </c>
      <c r="HK22" s="121" t="str">
        <f>IF(ISBLANK(tbl_task1[[คะแนนเต็ม]:[คะแนนเต็ม]]),"",(tbl_task1[49]/tbl_task1[[คะแนนเต็ม]:[คะแนนเต็ม]])*tbl_task1[[%]:[%]])</f>
        <v/>
      </c>
      <c r="HL22" s="121" t="str">
        <f>IF(ISBLANK(tbl_task1[[คะแนนเต็ม]:[คะแนนเต็ม]]),"",(tbl_task1[50]/tbl_task1[[คะแนนเต็ม]:[คะแนนเต็ม]])*tbl_task1[[%]:[%]])</f>
        <v/>
      </c>
      <c r="HM22" s="121" t="str">
        <f>IF(ISBLANK(tbl_task1[[คะแนนเต็ม]:[คะแนนเต็ม]]),"",(tbl_task1[51]/tbl_task1[[คะแนนเต็ม]:[คะแนนเต็ม]])*tbl_task1[[%]:[%]])</f>
        <v/>
      </c>
      <c r="HN22" s="121" t="str">
        <f>IF(ISBLANK(tbl_task1[[คะแนนเต็ม]:[คะแนนเต็ม]]),"",(tbl_task1[52]/tbl_task1[[คะแนนเต็ม]:[คะแนนเต็ม]])*tbl_task1[[%]:[%]])</f>
        <v/>
      </c>
      <c r="HO22" s="121" t="str">
        <f>IF(ISBLANK(tbl_task1[[คะแนนเต็ม]:[คะแนนเต็ม]]),"",(tbl_task1[53]/tbl_task1[[คะแนนเต็ม]:[คะแนนเต็ม]])*tbl_task1[[%]:[%]])</f>
        <v/>
      </c>
      <c r="HP22" s="121" t="str">
        <f>IF(ISBLANK(tbl_task1[[คะแนนเต็ม]:[คะแนนเต็ม]]),"",(tbl_task1[54]/tbl_task1[[คะแนนเต็ม]:[คะแนนเต็ม]])*tbl_task1[[%]:[%]])</f>
        <v/>
      </c>
      <c r="HQ22" s="121" t="str">
        <f>IF(ISBLANK(tbl_task1[[คะแนนเต็ม]:[คะแนนเต็ม]]),"",(tbl_task1[55]/tbl_task1[[คะแนนเต็ม]:[คะแนนเต็ม]])*tbl_task1[[%]:[%]])</f>
        <v/>
      </c>
      <c r="HR22" s="121" t="str">
        <f>IF(ISBLANK(tbl_task1[[คะแนนเต็ม]:[คะแนนเต็ม]]),"",(tbl_task1[56]/tbl_task1[[คะแนนเต็ม]:[คะแนนเต็ม]])*tbl_task1[[%]:[%]])</f>
        <v/>
      </c>
      <c r="HS22" s="121" t="str">
        <f>IF(ISBLANK(tbl_task1[[คะแนนเต็ม]:[คะแนนเต็ม]]),"",(tbl_task1[57]/tbl_task1[[คะแนนเต็ม]:[คะแนนเต็ม]])*tbl_task1[[%]:[%]])</f>
        <v/>
      </c>
      <c r="HT22" s="121" t="str">
        <f>IF(ISBLANK(tbl_task1[[คะแนนเต็ม]:[คะแนนเต็ม]]),"",(tbl_task1[58]/tbl_task1[[คะแนนเต็ม]:[คะแนนเต็ม]])*tbl_task1[[%]:[%]])</f>
        <v/>
      </c>
      <c r="HU22" s="121" t="str">
        <f>IF(ISBLANK(tbl_task1[[คะแนนเต็ม]:[คะแนนเต็ม]]),"",(tbl_task1[59]/tbl_task1[[คะแนนเต็ม]:[คะแนนเต็ม]])*tbl_task1[[%]:[%]])</f>
        <v/>
      </c>
      <c r="HV22" s="121" t="str">
        <f>IF(ISBLANK(tbl_task1[[คะแนนเต็ม]:[คะแนนเต็ม]]),"",(tbl_task1[60]/tbl_task1[[คะแนนเต็ม]:[คะแนนเต็ม]])*tbl_task1[[%]:[%]])</f>
        <v/>
      </c>
      <c r="HW22" s="121" t="str">
        <f>IF(ISBLANK(tbl_task1[[คะแนนเต็ม]:[คะแนนเต็ม]]),"",(tbl_task1[61]/tbl_task1[[คะแนนเต็ม]:[คะแนนเต็ม]])*tbl_task1[[%]:[%]])</f>
        <v/>
      </c>
      <c r="HX22" s="121" t="str">
        <f>IF(ISBLANK(tbl_task1[[คะแนนเต็ม]:[คะแนนเต็ม]]),"",(tbl_task1[62]/tbl_task1[[คะแนนเต็ม]:[คะแนนเต็ม]])*tbl_task1[[%]:[%]])</f>
        <v/>
      </c>
      <c r="HY22" s="121" t="str">
        <f>IF(ISBLANK(tbl_task1[[คะแนนเต็ม]:[คะแนนเต็ม]]),"",(tbl_task1[63]/tbl_task1[[คะแนนเต็ม]:[คะแนนเต็ม]])*tbl_task1[[%]:[%]])</f>
        <v/>
      </c>
      <c r="HZ22" s="121" t="str">
        <f>IF(ISBLANK(tbl_task1[[คะแนนเต็ม]:[คะแนนเต็ม]]),"",(tbl_task1[64]/tbl_task1[[คะแนนเต็ม]:[คะแนนเต็ม]])*tbl_task1[[%]:[%]])</f>
        <v/>
      </c>
      <c r="IA22" s="121" t="str">
        <f>IF(ISBLANK(tbl_task1[[คะแนนเต็ม]:[คะแนนเต็ม]]),"",(tbl_task1[65]/tbl_task1[[คะแนนเต็ม]:[คะแนนเต็ม]])*tbl_task1[[%]:[%]])</f>
        <v/>
      </c>
      <c r="IB22" s="121" t="str">
        <f>IF(ISBLANK(tbl_task1[[คะแนนเต็ม]:[คะแนนเต็ม]]),"",(tbl_task1[66]/tbl_task1[[คะแนนเต็ม]:[คะแนนเต็ม]])*tbl_task1[[%]:[%]])</f>
        <v/>
      </c>
      <c r="IC22" s="121" t="str">
        <f>IF(ISBLANK(tbl_task1[[คะแนนเต็ม]:[คะแนนเต็ม]]),"",(tbl_task1[67]/tbl_task1[[คะแนนเต็ม]:[คะแนนเต็ม]])*tbl_task1[[%]:[%]])</f>
        <v/>
      </c>
      <c r="ID22" s="121" t="str">
        <f>IF(ISBLANK(tbl_task1[[คะแนนเต็ม]:[คะแนนเต็ม]]),"",(tbl_task1[68]/tbl_task1[[คะแนนเต็ม]:[คะแนนเต็ม]])*tbl_task1[[%]:[%]])</f>
        <v/>
      </c>
      <c r="IE22" s="121" t="str">
        <f>IF(ISBLANK(tbl_task1[[คะแนนเต็ม]:[คะแนนเต็ม]]),"",(tbl_task1[69]/tbl_task1[[คะแนนเต็ม]:[คะแนนเต็ม]])*tbl_task1[[%]:[%]])</f>
        <v/>
      </c>
      <c r="IF22" s="121" t="str">
        <f>IF(ISBLANK(tbl_task1[[คะแนนเต็ม]:[คะแนนเต็ม]]),"",(tbl_task1[70]/tbl_task1[[คะแนนเต็ม]:[คะแนนเต็ม]])*tbl_task1[[%]:[%]])</f>
        <v/>
      </c>
      <c r="IG22" s="121" t="str">
        <f>IF(ISBLANK(tbl_task1[[คะแนนเต็ม]:[คะแนนเต็ม]]),"",(tbl_task1[71]/tbl_task1[[คะแนนเต็ม]:[คะแนนเต็ม]])*tbl_task1[[%]:[%]])</f>
        <v/>
      </c>
      <c r="IH22" s="121" t="str">
        <f>IF(ISBLANK(tbl_task1[[คะแนนเต็ม]:[คะแนนเต็ม]]),"",(tbl_task1[72]/tbl_task1[[คะแนนเต็ม]:[คะแนนเต็ม]])*tbl_task1[[%]:[%]])</f>
        <v/>
      </c>
      <c r="II22" s="121" t="str">
        <f>IF(ISBLANK(tbl_task1[[คะแนนเต็ม]:[คะแนนเต็ม]]),"",(tbl_task1[73]/tbl_task1[[คะแนนเต็ม]:[คะแนนเต็ม]])*tbl_task1[[%]:[%]])</f>
        <v/>
      </c>
      <c r="IJ22" s="121" t="str">
        <f>IF(ISBLANK(tbl_task1[[คะแนนเต็ม]:[คะแนนเต็ม]]),"",(tbl_task1[74]/tbl_task1[[คะแนนเต็ม]:[คะแนนเต็ม]])*tbl_task1[[%]:[%]])</f>
        <v/>
      </c>
      <c r="IK22" s="121" t="str">
        <f>IF(ISBLANK(tbl_task1[[คะแนนเต็ม]:[คะแนนเต็ม]]),"",(tbl_task1[75]/tbl_task1[[คะแนนเต็ม]:[คะแนนเต็ม]])*tbl_task1[[%]:[%]])</f>
        <v/>
      </c>
      <c r="IL22" s="121" t="str">
        <f>IF(ISBLANK(tbl_task1[[คะแนนเต็ม]:[คะแนนเต็ม]]),"",(tbl_task1[76]/tbl_task1[[คะแนนเต็ม]:[คะแนนเต็ม]])*tbl_task1[[%]:[%]])</f>
        <v/>
      </c>
      <c r="IM22" s="121" t="str">
        <f>IF(ISBLANK(tbl_task1[[คะแนนเต็ม]:[คะแนนเต็ม]]),"",(tbl_task1[77]/tbl_task1[[คะแนนเต็ม]:[คะแนนเต็ม]])*tbl_task1[[%]:[%]])</f>
        <v/>
      </c>
      <c r="IN22" s="121" t="str">
        <f>IF(ISBLANK(tbl_task1[[คะแนนเต็ม]:[คะแนนเต็ม]]),"",(tbl_task1[78]/tbl_task1[[คะแนนเต็ม]:[คะแนนเต็ม]])*tbl_task1[[%]:[%]])</f>
        <v/>
      </c>
      <c r="IO22" s="121" t="str">
        <f>IF(ISBLANK(tbl_task1[[คะแนนเต็ม]:[คะแนนเต็ม]]),"",(tbl_task1[79]/tbl_task1[[คะแนนเต็ม]:[คะแนนเต็ม]])*tbl_task1[[%]:[%]])</f>
        <v/>
      </c>
      <c r="IP22" s="121" t="str">
        <f>IF(ISBLANK(tbl_task1[[คะแนนเต็ม]:[คะแนนเต็ม]]),"",(tbl_task1[80]/tbl_task1[[คะแนนเต็ม]:[คะแนนเต็ม]])*tbl_task1[[%]:[%]])</f>
        <v/>
      </c>
      <c r="IQ22" s="121" t="str">
        <f>IF(ISBLANK(tbl_task1[[คะแนนเต็ม]:[คะแนนเต็ม]]),"",(tbl_task1[81]/tbl_task1[[คะแนนเต็ม]:[คะแนนเต็ม]])*tbl_task1[[%]:[%]])</f>
        <v/>
      </c>
      <c r="IR22" s="121" t="str">
        <f>IF(ISBLANK(tbl_task1[[คะแนนเต็ม]:[คะแนนเต็ม]]),"",(tbl_task1[82]/tbl_task1[[คะแนนเต็ม]:[คะแนนเต็ม]])*tbl_task1[[%]:[%]])</f>
        <v/>
      </c>
      <c r="IS22" s="121" t="str">
        <f>IF(ISBLANK(tbl_task1[[คะแนนเต็ม]:[คะแนนเต็ม]]),"",(tbl_task1[83]/tbl_task1[[คะแนนเต็ม]:[คะแนนเต็ม]])*tbl_task1[[%]:[%]])</f>
        <v/>
      </c>
      <c r="IT22" s="121" t="str">
        <f>IF(ISBLANK(tbl_task1[[คะแนนเต็ม]:[คะแนนเต็ม]]),"",(tbl_task1[84]/tbl_task1[[คะแนนเต็ม]:[คะแนนเต็ม]])*tbl_task1[[%]:[%]])</f>
        <v/>
      </c>
      <c r="IU22" s="121" t="str">
        <f>IF(ISBLANK(tbl_task1[[คะแนนเต็ม]:[คะแนนเต็ม]]),"",(tbl_task1[85]/tbl_task1[[คะแนนเต็ม]:[คะแนนเต็ม]])*tbl_task1[[%]:[%]])</f>
        <v/>
      </c>
      <c r="IV22" s="121" t="str">
        <f>IF(ISBLANK(tbl_task1[[คะแนนเต็ม]:[คะแนนเต็ม]]),"",(tbl_task1[86]/tbl_task1[[คะแนนเต็ม]:[คะแนนเต็ม]])*tbl_task1[[%]:[%]])</f>
        <v/>
      </c>
      <c r="IW22" s="121" t="str">
        <f>IF(ISBLANK(tbl_task1[[คะแนนเต็ม]:[คะแนนเต็ม]]),"",(tbl_task1[87]/tbl_task1[[คะแนนเต็ม]:[คะแนนเต็ม]])*tbl_task1[[%]:[%]])</f>
        <v/>
      </c>
      <c r="IX22" s="121" t="str">
        <f>IF(ISBLANK(tbl_task1[[คะแนนเต็ม]:[คะแนนเต็ม]]),"",(tbl_task1[88]/tbl_task1[[คะแนนเต็ม]:[คะแนนเต็ม]])*tbl_task1[[%]:[%]])</f>
        <v/>
      </c>
      <c r="IY22" s="121" t="str">
        <f>IF(ISBLANK(tbl_task1[[คะแนนเต็ม]:[คะแนนเต็ม]]),"",(tbl_task1[89]/tbl_task1[[คะแนนเต็ม]:[คะแนนเต็ม]])*tbl_task1[[%]:[%]])</f>
        <v/>
      </c>
      <c r="IZ22" s="121" t="str">
        <f>IF(ISBLANK(tbl_task1[[คะแนนเต็ม]:[คะแนนเต็ม]]),"",(tbl_task1[90]/tbl_task1[[คะแนนเต็ม]:[คะแนนเต็ม]])*tbl_task1[[%]:[%]])</f>
        <v/>
      </c>
      <c r="JA22" s="121" t="str">
        <f>IF(ISBLANK(tbl_task1[[คะแนนเต็ม]:[คะแนนเต็ม]]),"",(tbl_task1[91]/tbl_task1[[คะแนนเต็ม]:[คะแนนเต็ม]])*tbl_task1[[%]:[%]])</f>
        <v/>
      </c>
      <c r="JB22" s="121" t="str">
        <f>IF(ISBLANK(tbl_task1[[คะแนนเต็ม]:[คะแนนเต็ม]]),"",(tbl_task1[92]/tbl_task1[[คะแนนเต็ม]:[คะแนนเต็ม]])*tbl_task1[[%]:[%]])</f>
        <v/>
      </c>
      <c r="JC22" s="121" t="str">
        <f>IF(ISBLANK(tbl_task1[[คะแนนเต็ม]:[คะแนนเต็ม]]),"",(tbl_task1[93]/tbl_task1[[คะแนนเต็ม]:[คะแนนเต็ม]])*tbl_task1[[%]:[%]])</f>
        <v/>
      </c>
      <c r="JD22" s="121" t="str">
        <f>IF(ISBLANK(tbl_task1[[คะแนนเต็ม]:[คะแนนเต็ม]]),"",(tbl_task1[94]/tbl_task1[[คะแนนเต็ม]:[คะแนนเต็ม]])*tbl_task1[[%]:[%]])</f>
        <v/>
      </c>
      <c r="JE22" s="121" t="str">
        <f>IF(ISBLANK(tbl_task1[[คะแนนเต็ม]:[คะแนนเต็ม]]),"",(tbl_task1[95]/tbl_task1[[คะแนนเต็ม]:[คะแนนเต็ม]])*tbl_task1[[%]:[%]])</f>
        <v/>
      </c>
      <c r="JF22" s="121" t="str">
        <f>IF(ISBLANK(tbl_task1[[คะแนนเต็ม]:[คะแนนเต็ม]]),"",(tbl_task1[96]/tbl_task1[[คะแนนเต็ม]:[คะแนนเต็ม]])*tbl_task1[[%]:[%]])</f>
        <v/>
      </c>
      <c r="JG22" s="121" t="str">
        <f>IF(ISBLANK(tbl_task1[[คะแนนเต็ม]:[คะแนนเต็ม]]),"",(tbl_task1[97]/tbl_task1[[คะแนนเต็ม]:[คะแนนเต็ม]])*tbl_task1[[%]:[%]])</f>
        <v/>
      </c>
      <c r="JH22" s="121" t="str">
        <f>IF(ISBLANK(tbl_task1[[คะแนนเต็ม]:[คะแนนเต็ม]]),"",(tbl_task1[98]/tbl_task1[[คะแนนเต็ม]:[คะแนนเต็ม]])*tbl_task1[[%]:[%]])</f>
        <v/>
      </c>
      <c r="JI22" s="121" t="str">
        <f>IF(ISBLANK(tbl_task1[[คะแนนเต็ม]:[คะแนนเต็ม]]),"",(tbl_task1[99]/tbl_task1[[คะแนนเต็ม]:[คะแนนเต็ม]])*tbl_task1[[%]:[%]])</f>
        <v/>
      </c>
      <c r="JJ22" s="121" t="str">
        <f>IF(ISBLANK(tbl_task1[[คะแนนเต็ม]:[คะแนนเต็ม]]),"",(tbl_task1[100]/tbl_task1[[คะแนนเต็ม]:[คะแนนเต็ม]])*tbl_task1[[%]:[%]])</f>
        <v/>
      </c>
      <c r="JK22" s="121" t="str">
        <f>IF(ISBLANK(tbl_task1[[คะแนนเต็ม]:[คะแนนเต็ม]]),"",(tbl_task1[101]/tbl_task1[[คะแนนเต็ม]:[คะแนนเต็ม]])*tbl_task1[[%]:[%]])</f>
        <v/>
      </c>
      <c r="JL22" s="121" t="str">
        <f>IF(ISBLANK(tbl_task1[[คะแนนเต็ม]:[คะแนนเต็ม]]),"",(tbl_task1[102]/tbl_task1[[คะแนนเต็ม]:[คะแนนเต็ม]])*tbl_task1[[%]:[%]])</f>
        <v/>
      </c>
      <c r="JM22" s="121" t="str">
        <f>IF(ISBLANK(tbl_task1[[คะแนนเต็ม]:[คะแนนเต็ม]]),"",(tbl_task1[103]/tbl_task1[[คะแนนเต็ม]:[คะแนนเต็ม]])*tbl_task1[[%]:[%]])</f>
        <v/>
      </c>
      <c r="JN22" s="121" t="str">
        <f>IF(ISBLANK(tbl_task1[[คะแนนเต็ม]:[คะแนนเต็ม]]),"",(tbl_task1[104]/tbl_task1[[คะแนนเต็ม]:[คะแนนเต็ม]])*tbl_task1[[%]:[%]])</f>
        <v/>
      </c>
      <c r="JO22" s="121" t="str">
        <f>IF(ISBLANK(tbl_task1[[คะแนนเต็ม]:[คะแนนเต็ม]]),"",(tbl_task1[105]/tbl_task1[[คะแนนเต็ม]:[คะแนนเต็ม]])*tbl_task1[[%]:[%]])</f>
        <v/>
      </c>
      <c r="JP22" s="121" t="str">
        <f>IF(ISBLANK(tbl_task1[[คะแนนเต็ม]:[คะแนนเต็ม]]),"",(tbl_task1[106]/tbl_task1[[คะแนนเต็ม]:[คะแนนเต็ม]])*tbl_task1[[%]:[%]])</f>
        <v/>
      </c>
      <c r="JQ22" s="121" t="str">
        <f>IF(ISBLANK(tbl_task1[[คะแนนเต็ม]:[คะแนนเต็ม]]),"",(tbl_task1[107]/tbl_task1[[คะแนนเต็ม]:[คะแนนเต็ม]])*tbl_task1[[%]:[%]])</f>
        <v/>
      </c>
      <c r="JR22" s="121" t="str">
        <f>IF(ISBLANK(tbl_task1[[คะแนนเต็ม]:[คะแนนเต็ม]]),"",(tbl_task1[108]/tbl_task1[[คะแนนเต็ม]:[คะแนนเต็ม]])*tbl_task1[[%]:[%]])</f>
        <v/>
      </c>
      <c r="JS22" s="121" t="str">
        <f>IF(ISBLANK(tbl_task1[[คะแนนเต็ม]:[คะแนนเต็ม]]),"",(tbl_task1[109]/tbl_task1[[คะแนนเต็ม]:[คะแนนเต็ม]])*tbl_task1[[%]:[%]])</f>
        <v/>
      </c>
      <c r="JT22" s="121" t="str">
        <f>IF(ISBLANK(tbl_task1[[คะแนนเต็ม]:[คะแนนเต็ม]]),"",(tbl_task1[110]/tbl_task1[[คะแนนเต็ม]:[คะแนนเต็ม]])*tbl_task1[[%]:[%]])</f>
        <v/>
      </c>
      <c r="JU22" s="121" t="str">
        <f>IF(ISBLANK(tbl_task1[[คะแนนเต็ม]:[คะแนนเต็ม]]),"",(tbl_task1[111]/tbl_task1[[คะแนนเต็ม]:[คะแนนเต็ม]])*tbl_task1[[%]:[%]])</f>
        <v/>
      </c>
      <c r="JV22" s="121" t="str">
        <f>IF(ISBLANK(tbl_task1[[คะแนนเต็ม]:[คะแนนเต็ม]]),"",(tbl_task1[112]/tbl_task1[[คะแนนเต็ม]:[คะแนนเต็ม]])*tbl_task1[[%]:[%]])</f>
        <v/>
      </c>
      <c r="JW22" s="121" t="str">
        <f>IF(ISBLANK(tbl_task1[[คะแนนเต็ม]:[คะแนนเต็ม]]),"",(tbl_task1[113]/tbl_task1[[คะแนนเต็ม]:[คะแนนเต็ม]])*tbl_task1[[%]:[%]])</f>
        <v/>
      </c>
      <c r="JX22" s="121" t="str">
        <f>IF(ISBLANK(tbl_task1[[คะแนนเต็ม]:[คะแนนเต็ม]]),"",(tbl_task1[114]/tbl_task1[[คะแนนเต็ม]:[คะแนนเต็ม]])*tbl_task1[[%]:[%]])</f>
        <v/>
      </c>
      <c r="JY22" s="121" t="str">
        <f>IF(ISBLANK(tbl_task1[[คะแนนเต็ม]:[คะแนนเต็ม]]),"",(tbl_task1[115]/tbl_task1[[คะแนนเต็ม]:[คะแนนเต็ม]])*tbl_task1[[%]:[%]])</f>
        <v/>
      </c>
      <c r="JZ22" s="121" t="str">
        <f>IF(ISBLANK(tbl_task1[[คะแนนเต็ม]:[คะแนนเต็ม]]),"",(tbl_task1[116]/tbl_task1[[คะแนนเต็ม]:[คะแนนเต็ม]])*tbl_task1[[%]:[%]])</f>
        <v/>
      </c>
      <c r="KA22" s="121" t="str">
        <f>IF(ISBLANK(tbl_task1[[คะแนนเต็ม]:[คะแนนเต็ม]]),"",(tbl_task1[117]/tbl_task1[[คะแนนเต็ม]:[คะแนนเต็ม]])*tbl_task1[[%]:[%]])</f>
        <v/>
      </c>
      <c r="KB22" s="121" t="str">
        <f>IF(ISBLANK(tbl_task1[[คะแนนเต็ม]:[คะแนนเต็ม]]),"",(tbl_task1[118]/tbl_task1[[คะแนนเต็ม]:[คะแนนเต็ม]])*tbl_task1[[%]:[%]])</f>
        <v/>
      </c>
      <c r="KC22" s="121" t="str">
        <f>IF(ISBLANK(tbl_task1[[คะแนนเต็ม]:[คะแนนเต็ม]]),"",(tbl_task1[119]/tbl_task1[[คะแนนเต็ม]:[คะแนนเต็ม]])*tbl_task1[[%]:[%]])</f>
        <v/>
      </c>
      <c r="KD22" s="121" t="str">
        <f>IF(ISBLANK(tbl_task1[[คะแนนเต็ม]:[คะแนนเต็ม]]),"",(tbl_task1[120]/tbl_task1[[คะแนนเต็ม]:[คะแนนเต็ม]])*tbl_task1[[%]:[%]])</f>
        <v/>
      </c>
      <c r="KE22" s="121" t="str">
        <f>IF(ISBLANK(tbl_task1[[คะแนนเต็ม]:[คะแนนเต็ม]]),"",(tbl_task1[121]/tbl_task1[[คะแนนเต็ม]:[คะแนนเต็ม]])*tbl_task1[[%]:[%]])</f>
        <v/>
      </c>
      <c r="KF22" s="121" t="str">
        <f>IF(ISBLANK(tbl_task1[[คะแนนเต็ม]:[คะแนนเต็ม]]),"",(tbl_task1[122]/tbl_task1[[คะแนนเต็ม]:[คะแนนเต็ม]])*tbl_task1[[%]:[%]])</f>
        <v/>
      </c>
      <c r="KG22" s="121" t="str">
        <f>IF(ISBLANK(tbl_task1[[คะแนนเต็ม]:[คะแนนเต็ม]]),"",(tbl_task1[123]/tbl_task1[[คะแนนเต็ม]:[คะแนนเต็ม]])*tbl_task1[[%]:[%]])</f>
        <v/>
      </c>
      <c r="KH22" s="121" t="str">
        <f>IF(ISBLANK(tbl_task1[[คะแนนเต็ม]:[คะแนนเต็ม]]),"",(tbl_task1[124]/tbl_task1[[คะแนนเต็ม]:[คะแนนเต็ม]])*tbl_task1[[%]:[%]])</f>
        <v/>
      </c>
      <c r="KI22" s="121" t="str">
        <f>IF(ISBLANK(tbl_task1[[คะแนนเต็ม]:[คะแนนเต็ม]]),"",(tbl_task1[125]/tbl_task1[[คะแนนเต็ม]:[คะแนนเต็ม]])*tbl_task1[[%]:[%]])</f>
        <v/>
      </c>
      <c r="KJ22" s="121" t="str">
        <f>IF(ISBLANK(tbl_task1[[คะแนนเต็ม]:[คะแนนเต็ม]]),"",(tbl_task1[126]/tbl_task1[[คะแนนเต็ม]:[คะแนนเต็ม]])*tbl_task1[[%]:[%]])</f>
        <v/>
      </c>
      <c r="KK22" s="121" t="str">
        <f>IF(ISBLANK(tbl_task1[[คะแนนเต็ม]:[คะแนนเต็ม]]),"",(tbl_task1[127]/tbl_task1[[คะแนนเต็ม]:[คะแนนเต็ม]])*tbl_task1[[%]:[%]])</f>
        <v/>
      </c>
      <c r="KL22" s="121" t="str">
        <f>IF(ISBLANK(tbl_task1[[คะแนนเต็ม]:[คะแนนเต็ม]]),"",(tbl_task1[128]/tbl_task1[[คะแนนเต็ม]:[คะแนนเต็ม]])*tbl_task1[[%]:[%]])</f>
        <v/>
      </c>
      <c r="KM22" s="121" t="str">
        <f>IF(ISBLANK(tbl_task1[[คะแนนเต็ม]:[คะแนนเต็ม]]),"",(tbl_task1[129]/tbl_task1[[คะแนนเต็ม]:[คะแนนเต็ม]])*tbl_task1[[%]:[%]])</f>
        <v/>
      </c>
      <c r="KN22" s="121" t="str">
        <f>IF(ISBLANK(tbl_task1[[คะแนนเต็ม]:[คะแนนเต็ม]]),"",(tbl_task1[130]/tbl_task1[[คะแนนเต็ม]:[คะแนนเต็ม]])*tbl_task1[[%]:[%]])</f>
        <v/>
      </c>
      <c r="KO22" s="121" t="str">
        <f>IF(ISBLANK(tbl_task1[[คะแนนเต็ม]:[คะแนนเต็ม]]),"",(tbl_task1[131]/tbl_task1[[คะแนนเต็ม]:[คะแนนเต็ม]])*tbl_task1[[%]:[%]])</f>
        <v/>
      </c>
      <c r="KP22" s="121" t="str">
        <f>IF(ISBLANK(tbl_task1[[คะแนนเต็ม]:[คะแนนเต็ม]]),"",(tbl_task1[132]/tbl_task1[[คะแนนเต็ม]:[คะแนนเต็ม]])*tbl_task1[[%]:[%]])</f>
        <v/>
      </c>
      <c r="KQ22" s="121" t="str">
        <f>IF(ISBLANK(tbl_task1[[คะแนนเต็ม]:[คะแนนเต็ม]]),"",(tbl_task1[133]/tbl_task1[[คะแนนเต็ม]:[คะแนนเต็ม]])*tbl_task1[[%]:[%]])</f>
        <v/>
      </c>
      <c r="KR22" s="121" t="str">
        <f>IF(ISBLANK(tbl_task1[[คะแนนเต็ม]:[คะแนนเต็ม]]),"",(tbl_task1[134]/tbl_task1[[คะแนนเต็ม]:[คะแนนเต็ม]])*tbl_task1[[%]:[%]])</f>
        <v/>
      </c>
      <c r="KS22" s="121" t="str">
        <f>IF(ISBLANK(tbl_task1[[คะแนนเต็ม]:[คะแนนเต็ม]]),"",(tbl_task1[135]/tbl_task1[[คะแนนเต็ม]:[คะแนนเต็ม]])*tbl_task1[[%]:[%]])</f>
        <v/>
      </c>
      <c r="KT22" s="121" t="str">
        <f>IF(ISBLANK(tbl_task1[[คะแนนเต็ม]:[คะแนนเต็ม]]),"",(tbl_task1[136]/tbl_task1[[คะแนนเต็ม]:[คะแนนเต็ม]])*tbl_task1[[%]:[%]])</f>
        <v/>
      </c>
      <c r="KU22" s="121" t="str">
        <f>IF(ISBLANK(tbl_task1[[คะแนนเต็ม]:[คะแนนเต็ม]]),"",(tbl_task1[137]/tbl_task1[[คะแนนเต็ม]:[คะแนนเต็ม]])*tbl_task1[[%]:[%]])</f>
        <v/>
      </c>
      <c r="KV22" s="121" t="str">
        <f>IF(ISBLANK(tbl_task1[[คะแนนเต็ม]:[คะแนนเต็ม]]),"",(tbl_task1[138]/tbl_task1[[คะแนนเต็ม]:[คะแนนเต็ม]])*tbl_task1[[%]:[%]])</f>
        <v/>
      </c>
      <c r="KW22" s="121" t="str">
        <f>IF(ISBLANK(tbl_task1[[คะแนนเต็ม]:[คะแนนเต็ม]]),"",(tbl_task1[139]/tbl_task1[[คะแนนเต็ม]:[คะแนนเต็ม]])*tbl_task1[[%]:[%]])</f>
        <v/>
      </c>
      <c r="KX22" s="121" t="str">
        <f>IF(ISBLANK(tbl_task1[[คะแนนเต็ม]:[คะแนนเต็ม]]),"",(tbl_task1[140]/tbl_task1[[คะแนนเต็ม]:[คะแนนเต็ม]])*tbl_task1[[%]:[%]])</f>
        <v/>
      </c>
      <c r="KY22" s="121" t="str">
        <f>IF(ISBLANK(tbl_task1[[คะแนนเต็ม]:[คะแนนเต็ม]]),"",(tbl_task1[141]/tbl_task1[[คะแนนเต็ม]:[คะแนนเต็ม]])*tbl_task1[[%]:[%]])</f>
        <v/>
      </c>
      <c r="KZ22" s="121" t="str">
        <f>IF(ISBLANK(tbl_task1[[คะแนนเต็ม]:[คะแนนเต็ม]]),"",(tbl_task1[142]/tbl_task1[[คะแนนเต็ม]:[คะแนนเต็ม]])*tbl_task1[[%]:[%]])</f>
        <v/>
      </c>
      <c r="LA22" s="121" t="str">
        <f>IF(ISBLANK(tbl_task1[[คะแนนเต็ม]:[คะแนนเต็ม]]),"",(tbl_task1[143]/tbl_task1[[คะแนนเต็ม]:[คะแนนเต็ม]])*tbl_task1[[%]:[%]])</f>
        <v/>
      </c>
      <c r="LB22" s="121" t="str">
        <f>IF(ISBLANK(tbl_task1[[คะแนนเต็ม]:[คะแนนเต็ม]]),"",(tbl_task1[144]/tbl_task1[[คะแนนเต็ม]:[คะแนนเต็ม]])*tbl_task1[[%]:[%]])</f>
        <v/>
      </c>
      <c r="LC22" s="121" t="str">
        <f>IF(ISBLANK(tbl_task1[[คะแนนเต็ม]:[คะแนนเต็ม]]),"",(tbl_task1[145]/tbl_task1[[คะแนนเต็ม]:[คะแนนเต็ม]])*tbl_task1[[%]:[%]])</f>
        <v/>
      </c>
      <c r="LD22" s="121" t="str">
        <f>IF(ISBLANK(tbl_task1[[คะแนนเต็ม]:[คะแนนเต็ม]]),"",(tbl_task1[146]/tbl_task1[[คะแนนเต็ม]:[คะแนนเต็ม]])*tbl_task1[[%]:[%]])</f>
        <v/>
      </c>
      <c r="LE22" s="121" t="str">
        <f>IF(ISBLANK(tbl_task1[[คะแนนเต็ม]:[คะแนนเต็ม]]),"",(tbl_task1[147]/tbl_task1[[คะแนนเต็ม]:[คะแนนเต็ม]])*tbl_task1[[%]:[%]])</f>
        <v/>
      </c>
      <c r="LF22" s="121" t="str">
        <f>IF(ISBLANK(tbl_task1[[คะแนนเต็ม]:[คะแนนเต็ม]]),"",(tbl_task1[148]/tbl_task1[[คะแนนเต็ม]:[คะแนนเต็ม]])*tbl_task1[[%]:[%]])</f>
        <v/>
      </c>
      <c r="LG22" s="121" t="str">
        <f>IF(ISBLANK(tbl_task1[[คะแนนเต็ม]:[คะแนนเต็ม]]),"",(tbl_task1[149]/tbl_task1[[คะแนนเต็ม]:[คะแนนเต็ม]])*tbl_task1[[%]:[%]])</f>
        <v/>
      </c>
      <c r="LH22" s="121" t="str">
        <f>IF(ISBLANK(tbl_task1[[คะแนนเต็ม]:[คะแนนเต็ม]]),"",(tbl_task1[150]/tbl_task1[[คะแนนเต็ม]:[คะแนนเต็ม]])*tbl_task1[[%]:[%]])</f>
        <v/>
      </c>
      <c r="LI22" s="121" t="str">
        <f>IF(ISBLANK(tbl_task1[[คะแนนเต็ม]:[คะแนนเต็ม]]),"",(tbl_task1[151]/tbl_task1[[คะแนนเต็ม]:[คะแนนเต็ม]])*tbl_task1[[%]:[%]])</f>
        <v/>
      </c>
      <c r="LJ22" s="121" t="str">
        <f>IF(ISBLANK(tbl_task1[[คะแนนเต็ม]:[คะแนนเต็ม]]),"",(tbl_task1[152]/tbl_task1[[คะแนนเต็ม]:[คะแนนเต็ม]])*tbl_task1[[%]:[%]])</f>
        <v/>
      </c>
      <c r="LK22" s="121" t="str">
        <f>IF(ISBLANK(tbl_task1[[คะแนนเต็ม]:[คะแนนเต็ม]]),"",(tbl_task1[153]/tbl_task1[[คะแนนเต็ม]:[คะแนนเต็ม]])*tbl_task1[[%]:[%]])</f>
        <v/>
      </c>
      <c r="LL22" s="121" t="str">
        <f>IF(ISBLANK(tbl_task1[[คะแนนเต็ม]:[คะแนนเต็ม]]),"",(tbl_task1[154]/tbl_task1[[คะแนนเต็ม]:[คะแนนเต็ม]])*tbl_task1[[%]:[%]])</f>
        <v/>
      </c>
      <c r="LM22" s="121" t="str">
        <f>IF(ISBLANK(tbl_task1[[คะแนนเต็ม]:[คะแนนเต็ม]]),"",(tbl_task1[155]/tbl_task1[[คะแนนเต็ม]:[คะแนนเต็ม]])*tbl_task1[[%]:[%]])</f>
        <v/>
      </c>
      <c r="LN22" s="121" t="str">
        <f>IF(ISBLANK(tbl_task1[[คะแนนเต็ม]:[คะแนนเต็ม]]),"",(tbl_task1[156]/tbl_task1[[คะแนนเต็ม]:[คะแนนเต็ม]])*tbl_task1[[%]:[%]])</f>
        <v/>
      </c>
      <c r="LO22" s="121" t="str">
        <f>IF(ISBLANK(tbl_task1[[คะแนนเต็ม]:[คะแนนเต็ม]]),"",(tbl_task1[157]/tbl_task1[[คะแนนเต็ม]:[คะแนนเต็ม]])*tbl_task1[[%]:[%]])</f>
        <v/>
      </c>
      <c r="LP22" s="121" t="str">
        <f>IF(ISBLANK(tbl_task1[[คะแนนเต็ม]:[คะแนนเต็ม]]),"",(tbl_task1[158]/tbl_task1[[คะแนนเต็ม]:[คะแนนเต็ม]])*tbl_task1[[%]:[%]])</f>
        <v/>
      </c>
      <c r="LQ22" s="121" t="str">
        <f>IF(ISBLANK(tbl_task1[[คะแนนเต็ม]:[คะแนนเต็ม]]),"",(tbl_task1[159]/tbl_task1[[คะแนนเต็ม]:[คะแนนเต็ม]])*tbl_task1[[%]:[%]])</f>
        <v/>
      </c>
      <c r="LR22" s="121" t="str">
        <f>IF(ISBLANK(tbl_task1[[คะแนนเต็ม]:[คะแนนเต็ม]]),"",(tbl_task1[160]/tbl_task1[[คะแนนเต็ม]:[คะแนนเต็ม]])*tbl_task1[[%]:[%]])</f>
        <v/>
      </c>
      <c r="LS22" s="121" t="str">
        <f>IF(ISBLANK(tbl_task1[[คะแนนเต็ม]:[คะแนนเต็ม]]),"",(tbl_task1[161]/tbl_task1[[คะแนนเต็ม]:[คะแนนเต็ม]])*tbl_task1[[%]:[%]])</f>
        <v/>
      </c>
      <c r="LT22" s="121" t="str">
        <f>IF(ISBLANK(tbl_task1[[คะแนนเต็ม]:[คะแนนเต็ม]]),"",(tbl_task1[162]/tbl_task1[[คะแนนเต็ม]:[คะแนนเต็ม]])*tbl_task1[[%]:[%]])</f>
        <v/>
      </c>
      <c r="LU22" s="121" t="str">
        <f>IF(ISBLANK(tbl_task1[[คะแนนเต็ม]:[คะแนนเต็ม]]),"",(tbl_task1[163]/tbl_task1[[คะแนนเต็ม]:[คะแนนเต็ม]])*tbl_task1[[%]:[%]])</f>
        <v/>
      </c>
      <c r="LV22" s="121" t="str">
        <f>IF(ISBLANK(tbl_task1[[คะแนนเต็ม]:[คะแนนเต็ม]]),"",(tbl_task1[164]/tbl_task1[[คะแนนเต็ม]:[คะแนนเต็ม]])*tbl_task1[[%]:[%]])</f>
        <v/>
      </c>
      <c r="LW22" s="121" t="str">
        <f>IF(ISBLANK(tbl_task1[[คะแนนเต็ม]:[คะแนนเต็ม]]),"",(tbl_task1[165]/tbl_task1[[คะแนนเต็ม]:[คะแนนเต็ม]])*tbl_task1[[%]:[%]])</f>
        <v/>
      </c>
    </row>
    <row r="23" spans="1:335" ht="24" customHeight="1" x14ac:dyDescent="0.25">
      <c r="A23" s="24">
        <v>20</v>
      </c>
      <c r="B23" s="25"/>
      <c r="C23" s="26" t="str">
        <f>IF(ISBLANK(B23),"",VLOOKUP(B23,tbl_PLOs[],2,0))</f>
        <v/>
      </c>
      <c r="D23" s="103"/>
      <c r="E23" s="10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21" t="str">
        <f>IF(ISBLANK(tbl_task1[[คะแนนเต็ม]:[คะแนนเต็ม]]),"",(tbl_task1[1]/tbl_task1[[คะแนนเต็ม]:[คะแนนเต็ม]])*tbl_task1[[%]:[%]])</f>
        <v/>
      </c>
      <c r="FP23" s="121" t="str">
        <f>IF(ISBLANK(tbl_task1[[คะแนนเต็ม]:[คะแนนเต็ม]]),"",(tbl_task1[2]/tbl_task1[[คะแนนเต็ม]:[คะแนนเต็ม]])*tbl_task1[[%]:[%]])</f>
        <v/>
      </c>
      <c r="FQ23" s="121" t="str">
        <f>IF(ISBLANK(tbl_task1[[คะแนนเต็ม]:[คะแนนเต็ม]]),"",(tbl_task1[3]/tbl_task1[[คะแนนเต็ม]:[คะแนนเต็ม]])*tbl_task1[[%]:[%]])</f>
        <v/>
      </c>
      <c r="FR23" s="121" t="str">
        <f>IF(ISBLANK(tbl_task1[[คะแนนเต็ม]:[คะแนนเต็ม]]),"",(tbl_task1[4]/tbl_task1[[คะแนนเต็ม]:[คะแนนเต็ม]])*tbl_task1[[%]:[%]])</f>
        <v/>
      </c>
      <c r="FS23" s="121" t="str">
        <f>IF(ISBLANK(tbl_task1[[คะแนนเต็ม]:[คะแนนเต็ม]]),"",(tbl_task1[5]/tbl_task1[[คะแนนเต็ม]:[คะแนนเต็ม]])*tbl_task1[[%]:[%]])</f>
        <v/>
      </c>
      <c r="FT23" s="121" t="str">
        <f>IF(ISBLANK(tbl_task1[[คะแนนเต็ม]:[คะแนนเต็ม]]),"",(tbl_task1[6]/tbl_task1[[คะแนนเต็ม]:[คะแนนเต็ม]])*tbl_task1[[%]:[%]])</f>
        <v/>
      </c>
      <c r="FU23" s="121" t="str">
        <f>IF(ISBLANK(tbl_task1[[คะแนนเต็ม]:[คะแนนเต็ม]]),"",(tbl_task1[7]/tbl_task1[[คะแนนเต็ม]:[คะแนนเต็ม]])*tbl_task1[[%]:[%]])</f>
        <v/>
      </c>
      <c r="FV23" s="121" t="str">
        <f>IF(ISBLANK(tbl_task1[[คะแนนเต็ม]:[คะแนนเต็ม]]),"",(tbl_task1[8]/tbl_task1[[คะแนนเต็ม]:[คะแนนเต็ม]])*tbl_task1[[%]:[%]])</f>
        <v/>
      </c>
      <c r="FW23" s="121" t="str">
        <f>IF(ISBLANK(tbl_task1[[คะแนนเต็ม]:[คะแนนเต็ม]]),"",(tbl_task1[9]/tbl_task1[[คะแนนเต็ม]:[คะแนนเต็ม]])*tbl_task1[[%]:[%]])</f>
        <v/>
      </c>
      <c r="FX23" s="121" t="str">
        <f>IF(ISBLANK(tbl_task1[[คะแนนเต็ม]:[คะแนนเต็ม]]),"",(tbl_task1[10]/tbl_task1[[คะแนนเต็ม]:[คะแนนเต็ม]])*tbl_task1[[%]:[%]])</f>
        <v/>
      </c>
      <c r="FY23" s="121" t="str">
        <f>IF(ISBLANK(tbl_task1[[คะแนนเต็ม]:[คะแนนเต็ม]]),"",(tbl_task1[11]/tbl_task1[[คะแนนเต็ม]:[คะแนนเต็ม]])*tbl_task1[[%]:[%]])</f>
        <v/>
      </c>
      <c r="FZ23" s="121" t="str">
        <f>IF(ISBLANK(tbl_task1[[คะแนนเต็ม]:[คะแนนเต็ม]]),"",(tbl_task1[12]/tbl_task1[[คะแนนเต็ม]:[คะแนนเต็ม]])*tbl_task1[[%]:[%]])</f>
        <v/>
      </c>
      <c r="GA23" s="121" t="str">
        <f>IF(ISBLANK(tbl_task1[[คะแนนเต็ม]:[คะแนนเต็ม]]),"",(tbl_task1[13]/tbl_task1[[คะแนนเต็ม]:[คะแนนเต็ม]])*tbl_task1[[%]:[%]])</f>
        <v/>
      </c>
      <c r="GB23" s="121" t="str">
        <f>IF(ISBLANK(tbl_task1[[คะแนนเต็ม]:[คะแนนเต็ม]]),"",(tbl_task1[14]/tbl_task1[[คะแนนเต็ม]:[คะแนนเต็ม]])*tbl_task1[[%]:[%]])</f>
        <v/>
      </c>
      <c r="GC23" s="121" t="str">
        <f>IF(ISBLANK(tbl_task1[[คะแนนเต็ม]:[คะแนนเต็ม]]),"",(tbl_task1[15]/tbl_task1[[คะแนนเต็ม]:[คะแนนเต็ม]])*tbl_task1[[%]:[%]])</f>
        <v/>
      </c>
      <c r="GD23" s="121" t="str">
        <f>IF(ISBLANK(tbl_task1[[คะแนนเต็ม]:[คะแนนเต็ม]]),"",(tbl_task1[16]/tbl_task1[[คะแนนเต็ม]:[คะแนนเต็ม]])*tbl_task1[[%]:[%]])</f>
        <v/>
      </c>
      <c r="GE23" s="121" t="str">
        <f>IF(ISBLANK(tbl_task1[[คะแนนเต็ม]:[คะแนนเต็ม]]),"",(tbl_task1[17]/tbl_task1[[คะแนนเต็ม]:[คะแนนเต็ม]])*tbl_task1[[%]:[%]])</f>
        <v/>
      </c>
      <c r="GF23" s="121" t="str">
        <f>IF(ISBLANK(tbl_task1[[คะแนนเต็ม]:[คะแนนเต็ม]]),"",(tbl_task1[18]/tbl_task1[[คะแนนเต็ม]:[คะแนนเต็ม]])*tbl_task1[[%]:[%]])</f>
        <v/>
      </c>
      <c r="GG23" s="121" t="str">
        <f>IF(ISBLANK(tbl_task1[[คะแนนเต็ม]:[คะแนนเต็ม]]),"",(tbl_task1[19]/tbl_task1[[คะแนนเต็ม]:[คะแนนเต็ม]])*tbl_task1[[%]:[%]])</f>
        <v/>
      </c>
      <c r="GH23" s="121" t="str">
        <f>IF(ISBLANK(tbl_task1[[คะแนนเต็ม]:[คะแนนเต็ม]]),"",(tbl_task1[20]/tbl_task1[[คะแนนเต็ม]:[คะแนนเต็ม]])*tbl_task1[[%]:[%]])</f>
        <v/>
      </c>
      <c r="GI23" s="121" t="str">
        <f>IF(ISBLANK(tbl_task1[[คะแนนเต็ม]:[คะแนนเต็ม]]),"",(tbl_task1[21]/tbl_task1[[คะแนนเต็ม]:[คะแนนเต็ม]])*tbl_task1[[%]:[%]])</f>
        <v/>
      </c>
      <c r="GJ23" s="121" t="str">
        <f>IF(ISBLANK(tbl_task1[[คะแนนเต็ม]:[คะแนนเต็ม]]),"",(tbl_task1[22]/tbl_task1[[คะแนนเต็ม]:[คะแนนเต็ม]])*tbl_task1[[%]:[%]])</f>
        <v/>
      </c>
      <c r="GK23" s="121" t="str">
        <f>IF(ISBLANK(tbl_task1[[คะแนนเต็ม]:[คะแนนเต็ม]]),"",(tbl_task1[23]/tbl_task1[[คะแนนเต็ม]:[คะแนนเต็ม]])*tbl_task1[[%]:[%]])</f>
        <v/>
      </c>
      <c r="GL23" s="121" t="str">
        <f>IF(ISBLANK(tbl_task1[[คะแนนเต็ม]:[คะแนนเต็ม]]),"",(tbl_task1[24]/tbl_task1[[คะแนนเต็ม]:[คะแนนเต็ม]])*tbl_task1[[%]:[%]])</f>
        <v/>
      </c>
      <c r="GM23" s="121" t="str">
        <f>IF(ISBLANK(tbl_task1[[คะแนนเต็ม]:[คะแนนเต็ม]]),"",(tbl_task1[25]/tbl_task1[[คะแนนเต็ม]:[คะแนนเต็ม]])*tbl_task1[[%]:[%]])</f>
        <v/>
      </c>
      <c r="GN23" s="121" t="str">
        <f>IF(ISBLANK(tbl_task1[[คะแนนเต็ม]:[คะแนนเต็ม]]),"",(tbl_task1[26]/tbl_task1[[คะแนนเต็ม]:[คะแนนเต็ม]])*tbl_task1[[%]:[%]])</f>
        <v/>
      </c>
      <c r="GO23" s="121" t="str">
        <f>IF(ISBLANK(tbl_task1[[คะแนนเต็ม]:[คะแนนเต็ม]]),"",(tbl_task1[27]/tbl_task1[[คะแนนเต็ม]:[คะแนนเต็ม]])*tbl_task1[[%]:[%]])</f>
        <v/>
      </c>
      <c r="GP23" s="121" t="str">
        <f>IF(ISBLANK(tbl_task1[[คะแนนเต็ม]:[คะแนนเต็ม]]),"",(tbl_task1[28]/tbl_task1[[คะแนนเต็ม]:[คะแนนเต็ม]])*tbl_task1[[%]:[%]])</f>
        <v/>
      </c>
      <c r="GQ23" s="121" t="str">
        <f>IF(ISBLANK(tbl_task1[[คะแนนเต็ม]:[คะแนนเต็ม]]),"",(tbl_task1[29]/tbl_task1[[คะแนนเต็ม]:[คะแนนเต็ม]])*tbl_task1[[%]:[%]])</f>
        <v/>
      </c>
      <c r="GR23" s="121" t="str">
        <f>IF(ISBLANK(tbl_task1[[คะแนนเต็ม]:[คะแนนเต็ม]]),"",(tbl_task1[30]/tbl_task1[[คะแนนเต็ม]:[คะแนนเต็ม]])*tbl_task1[[%]:[%]])</f>
        <v/>
      </c>
      <c r="GS23" s="121" t="str">
        <f>IF(ISBLANK(tbl_task1[[คะแนนเต็ม]:[คะแนนเต็ม]]),"",(tbl_task1[31]/tbl_task1[[คะแนนเต็ม]:[คะแนนเต็ม]])*tbl_task1[[%]:[%]])</f>
        <v/>
      </c>
      <c r="GT23" s="121" t="str">
        <f>IF(ISBLANK(tbl_task1[[คะแนนเต็ม]:[คะแนนเต็ม]]),"",(tbl_task1[32]/tbl_task1[[คะแนนเต็ม]:[คะแนนเต็ม]])*tbl_task1[[%]:[%]])</f>
        <v/>
      </c>
      <c r="GU23" s="121" t="str">
        <f>IF(ISBLANK(tbl_task1[[คะแนนเต็ม]:[คะแนนเต็ม]]),"",(tbl_task1[33]/tbl_task1[[คะแนนเต็ม]:[คะแนนเต็ม]])*tbl_task1[[%]:[%]])</f>
        <v/>
      </c>
      <c r="GV23" s="121" t="str">
        <f>IF(ISBLANK(tbl_task1[[คะแนนเต็ม]:[คะแนนเต็ม]]),"",(tbl_task1[34]/tbl_task1[[คะแนนเต็ม]:[คะแนนเต็ม]])*tbl_task1[[%]:[%]])</f>
        <v/>
      </c>
      <c r="GW23" s="121" t="str">
        <f>IF(ISBLANK(tbl_task1[[คะแนนเต็ม]:[คะแนนเต็ม]]),"",(tbl_task1[35]/tbl_task1[[คะแนนเต็ม]:[คะแนนเต็ม]])*tbl_task1[[%]:[%]])</f>
        <v/>
      </c>
      <c r="GX23" s="121" t="str">
        <f>IF(ISBLANK(tbl_task1[[คะแนนเต็ม]:[คะแนนเต็ม]]),"",(tbl_task1[36]/tbl_task1[[คะแนนเต็ม]:[คะแนนเต็ม]])*tbl_task1[[%]:[%]])</f>
        <v/>
      </c>
      <c r="GY23" s="121" t="str">
        <f>IF(ISBLANK(tbl_task1[[คะแนนเต็ม]:[คะแนนเต็ม]]),"",(tbl_task1[37]/tbl_task1[[คะแนนเต็ม]:[คะแนนเต็ม]])*tbl_task1[[%]:[%]])</f>
        <v/>
      </c>
      <c r="GZ23" s="121" t="str">
        <f>IF(ISBLANK(tbl_task1[[คะแนนเต็ม]:[คะแนนเต็ม]]),"",(tbl_task1[38]/tbl_task1[[คะแนนเต็ม]:[คะแนนเต็ม]])*tbl_task1[[%]:[%]])</f>
        <v/>
      </c>
      <c r="HA23" s="121" t="str">
        <f>IF(ISBLANK(tbl_task1[[คะแนนเต็ม]:[คะแนนเต็ม]]),"",(tbl_task1[39]/tbl_task1[[คะแนนเต็ม]:[คะแนนเต็ม]])*tbl_task1[[%]:[%]])</f>
        <v/>
      </c>
      <c r="HB23" s="121" t="str">
        <f>IF(ISBLANK(tbl_task1[[คะแนนเต็ม]:[คะแนนเต็ม]]),"",(tbl_task1[40]/tbl_task1[[คะแนนเต็ม]:[คะแนนเต็ม]])*tbl_task1[[%]:[%]])</f>
        <v/>
      </c>
      <c r="HC23" s="121" t="str">
        <f>IF(ISBLANK(tbl_task1[[คะแนนเต็ม]:[คะแนนเต็ม]]),"",(tbl_task1[41]/tbl_task1[[คะแนนเต็ม]:[คะแนนเต็ม]])*tbl_task1[[%]:[%]])</f>
        <v/>
      </c>
      <c r="HD23" s="121" t="str">
        <f>IF(ISBLANK(tbl_task1[[คะแนนเต็ม]:[คะแนนเต็ม]]),"",(tbl_task1[42]/tbl_task1[[คะแนนเต็ม]:[คะแนนเต็ม]])*tbl_task1[[%]:[%]])</f>
        <v/>
      </c>
      <c r="HE23" s="121" t="str">
        <f>IF(ISBLANK(tbl_task1[[คะแนนเต็ม]:[คะแนนเต็ม]]),"",(tbl_task1[43]/tbl_task1[[คะแนนเต็ม]:[คะแนนเต็ม]])*tbl_task1[[%]:[%]])</f>
        <v/>
      </c>
      <c r="HF23" s="121" t="str">
        <f>IF(ISBLANK(tbl_task1[[คะแนนเต็ม]:[คะแนนเต็ม]]),"",(tbl_task1[44]/tbl_task1[[คะแนนเต็ม]:[คะแนนเต็ม]])*tbl_task1[[%]:[%]])</f>
        <v/>
      </c>
      <c r="HG23" s="121" t="str">
        <f>IF(ISBLANK(tbl_task1[[คะแนนเต็ม]:[คะแนนเต็ม]]),"",(tbl_task1[45]/tbl_task1[[คะแนนเต็ม]:[คะแนนเต็ม]])*tbl_task1[[%]:[%]])</f>
        <v/>
      </c>
      <c r="HH23" s="121" t="str">
        <f>IF(ISBLANK(tbl_task1[[คะแนนเต็ม]:[คะแนนเต็ม]]),"",(tbl_task1[46]/tbl_task1[[คะแนนเต็ม]:[คะแนนเต็ม]])*tbl_task1[[%]:[%]])</f>
        <v/>
      </c>
      <c r="HI23" s="121" t="str">
        <f>IF(ISBLANK(tbl_task1[[คะแนนเต็ม]:[คะแนนเต็ม]]),"",(tbl_task1[47]/tbl_task1[[คะแนนเต็ม]:[คะแนนเต็ม]])*tbl_task1[[%]:[%]])</f>
        <v/>
      </c>
      <c r="HJ23" s="121" t="str">
        <f>IF(ISBLANK(tbl_task1[[คะแนนเต็ม]:[คะแนนเต็ม]]),"",(tbl_task1[48]/tbl_task1[[คะแนนเต็ม]:[คะแนนเต็ม]])*tbl_task1[[%]:[%]])</f>
        <v/>
      </c>
      <c r="HK23" s="121" t="str">
        <f>IF(ISBLANK(tbl_task1[[คะแนนเต็ม]:[คะแนนเต็ม]]),"",(tbl_task1[49]/tbl_task1[[คะแนนเต็ม]:[คะแนนเต็ม]])*tbl_task1[[%]:[%]])</f>
        <v/>
      </c>
      <c r="HL23" s="121" t="str">
        <f>IF(ISBLANK(tbl_task1[[คะแนนเต็ม]:[คะแนนเต็ม]]),"",(tbl_task1[50]/tbl_task1[[คะแนนเต็ม]:[คะแนนเต็ม]])*tbl_task1[[%]:[%]])</f>
        <v/>
      </c>
      <c r="HM23" s="121" t="str">
        <f>IF(ISBLANK(tbl_task1[[คะแนนเต็ม]:[คะแนนเต็ม]]),"",(tbl_task1[51]/tbl_task1[[คะแนนเต็ม]:[คะแนนเต็ม]])*tbl_task1[[%]:[%]])</f>
        <v/>
      </c>
      <c r="HN23" s="121" t="str">
        <f>IF(ISBLANK(tbl_task1[[คะแนนเต็ม]:[คะแนนเต็ม]]),"",(tbl_task1[52]/tbl_task1[[คะแนนเต็ม]:[คะแนนเต็ม]])*tbl_task1[[%]:[%]])</f>
        <v/>
      </c>
      <c r="HO23" s="121" t="str">
        <f>IF(ISBLANK(tbl_task1[[คะแนนเต็ม]:[คะแนนเต็ม]]),"",(tbl_task1[53]/tbl_task1[[คะแนนเต็ม]:[คะแนนเต็ม]])*tbl_task1[[%]:[%]])</f>
        <v/>
      </c>
      <c r="HP23" s="121" t="str">
        <f>IF(ISBLANK(tbl_task1[[คะแนนเต็ม]:[คะแนนเต็ม]]),"",(tbl_task1[54]/tbl_task1[[คะแนนเต็ม]:[คะแนนเต็ม]])*tbl_task1[[%]:[%]])</f>
        <v/>
      </c>
      <c r="HQ23" s="121" t="str">
        <f>IF(ISBLANK(tbl_task1[[คะแนนเต็ม]:[คะแนนเต็ม]]),"",(tbl_task1[55]/tbl_task1[[คะแนนเต็ม]:[คะแนนเต็ม]])*tbl_task1[[%]:[%]])</f>
        <v/>
      </c>
      <c r="HR23" s="121" t="str">
        <f>IF(ISBLANK(tbl_task1[[คะแนนเต็ม]:[คะแนนเต็ม]]),"",(tbl_task1[56]/tbl_task1[[คะแนนเต็ม]:[คะแนนเต็ม]])*tbl_task1[[%]:[%]])</f>
        <v/>
      </c>
      <c r="HS23" s="121" t="str">
        <f>IF(ISBLANK(tbl_task1[[คะแนนเต็ม]:[คะแนนเต็ม]]),"",(tbl_task1[57]/tbl_task1[[คะแนนเต็ม]:[คะแนนเต็ม]])*tbl_task1[[%]:[%]])</f>
        <v/>
      </c>
      <c r="HT23" s="121" t="str">
        <f>IF(ISBLANK(tbl_task1[[คะแนนเต็ม]:[คะแนนเต็ม]]),"",(tbl_task1[58]/tbl_task1[[คะแนนเต็ม]:[คะแนนเต็ม]])*tbl_task1[[%]:[%]])</f>
        <v/>
      </c>
      <c r="HU23" s="121" t="str">
        <f>IF(ISBLANK(tbl_task1[[คะแนนเต็ม]:[คะแนนเต็ม]]),"",(tbl_task1[59]/tbl_task1[[คะแนนเต็ม]:[คะแนนเต็ม]])*tbl_task1[[%]:[%]])</f>
        <v/>
      </c>
      <c r="HV23" s="121" t="str">
        <f>IF(ISBLANK(tbl_task1[[คะแนนเต็ม]:[คะแนนเต็ม]]),"",(tbl_task1[60]/tbl_task1[[คะแนนเต็ม]:[คะแนนเต็ม]])*tbl_task1[[%]:[%]])</f>
        <v/>
      </c>
      <c r="HW23" s="121" t="str">
        <f>IF(ISBLANK(tbl_task1[[คะแนนเต็ม]:[คะแนนเต็ม]]),"",(tbl_task1[61]/tbl_task1[[คะแนนเต็ม]:[คะแนนเต็ม]])*tbl_task1[[%]:[%]])</f>
        <v/>
      </c>
      <c r="HX23" s="121" t="str">
        <f>IF(ISBLANK(tbl_task1[[คะแนนเต็ม]:[คะแนนเต็ม]]),"",(tbl_task1[62]/tbl_task1[[คะแนนเต็ม]:[คะแนนเต็ม]])*tbl_task1[[%]:[%]])</f>
        <v/>
      </c>
      <c r="HY23" s="121" t="str">
        <f>IF(ISBLANK(tbl_task1[[คะแนนเต็ม]:[คะแนนเต็ม]]),"",(tbl_task1[63]/tbl_task1[[คะแนนเต็ม]:[คะแนนเต็ม]])*tbl_task1[[%]:[%]])</f>
        <v/>
      </c>
      <c r="HZ23" s="121" t="str">
        <f>IF(ISBLANK(tbl_task1[[คะแนนเต็ม]:[คะแนนเต็ม]]),"",(tbl_task1[64]/tbl_task1[[คะแนนเต็ม]:[คะแนนเต็ม]])*tbl_task1[[%]:[%]])</f>
        <v/>
      </c>
      <c r="IA23" s="121" t="str">
        <f>IF(ISBLANK(tbl_task1[[คะแนนเต็ม]:[คะแนนเต็ม]]),"",(tbl_task1[65]/tbl_task1[[คะแนนเต็ม]:[คะแนนเต็ม]])*tbl_task1[[%]:[%]])</f>
        <v/>
      </c>
      <c r="IB23" s="121" t="str">
        <f>IF(ISBLANK(tbl_task1[[คะแนนเต็ม]:[คะแนนเต็ม]]),"",(tbl_task1[66]/tbl_task1[[คะแนนเต็ม]:[คะแนนเต็ม]])*tbl_task1[[%]:[%]])</f>
        <v/>
      </c>
      <c r="IC23" s="121" t="str">
        <f>IF(ISBLANK(tbl_task1[[คะแนนเต็ม]:[คะแนนเต็ม]]),"",(tbl_task1[67]/tbl_task1[[คะแนนเต็ม]:[คะแนนเต็ม]])*tbl_task1[[%]:[%]])</f>
        <v/>
      </c>
      <c r="ID23" s="121" t="str">
        <f>IF(ISBLANK(tbl_task1[[คะแนนเต็ม]:[คะแนนเต็ม]]),"",(tbl_task1[68]/tbl_task1[[คะแนนเต็ม]:[คะแนนเต็ม]])*tbl_task1[[%]:[%]])</f>
        <v/>
      </c>
      <c r="IE23" s="121" t="str">
        <f>IF(ISBLANK(tbl_task1[[คะแนนเต็ม]:[คะแนนเต็ม]]),"",(tbl_task1[69]/tbl_task1[[คะแนนเต็ม]:[คะแนนเต็ม]])*tbl_task1[[%]:[%]])</f>
        <v/>
      </c>
      <c r="IF23" s="121" t="str">
        <f>IF(ISBLANK(tbl_task1[[คะแนนเต็ม]:[คะแนนเต็ม]]),"",(tbl_task1[70]/tbl_task1[[คะแนนเต็ม]:[คะแนนเต็ม]])*tbl_task1[[%]:[%]])</f>
        <v/>
      </c>
      <c r="IG23" s="121" t="str">
        <f>IF(ISBLANK(tbl_task1[[คะแนนเต็ม]:[คะแนนเต็ม]]),"",(tbl_task1[71]/tbl_task1[[คะแนนเต็ม]:[คะแนนเต็ม]])*tbl_task1[[%]:[%]])</f>
        <v/>
      </c>
      <c r="IH23" s="121" t="str">
        <f>IF(ISBLANK(tbl_task1[[คะแนนเต็ม]:[คะแนนเต็ม]]),"",(tbl_task1[72]/tbl_task1[[คะแนนเต็ม]:[คะแนนเต็ม]])*tbl_task1[[%]:[%]])</f>
        <v/>
      </c>
      <c r="II23" s="121" t="str">
        <f>IF(ISBLANK(tbl_task1[[คะแนนเต็ม]:[คะแนนเต็ม]]),"",(tbl_task1[73]/tbl_task1[[คะแนนเต็ม]:[คะแนนเต็ม]])*tbl_task1[[%]:[%]])</f>
        <v/>
      </c>
      <c r="IJ23" s="121" t="str">
        <f>IF(ISBLANK(tbl_task1[[คะแนนเต็ม]:[คะแนนเต็ม]]),"",(tbl_task1[74]/tbl_task1[[คะแนนเต็ม]:[คะแนนเต็ม]])*tbl_task1[[%]:[%]])</f>
        <v/>
      </c>
      <c r="IK23" s="121" t="str">
        <f>IF(ISBLANK(tbl_task1[[คะแนนเต็ม]:[คะแนนเต็ม]]),"",(tbl_task1[75]/tbl_task1[[คะแนนเต็ม]:[คะแนนเต็ม]])*tbl_task1[[%]:[%]])</f>
        <v/>
      </c>
      <c r="IL23" s="121" t="str">
        <f>IF(ISBLANK(tbl_task1[[คะแนนเต็ม]:[คะแนนเต็ม]]),"",(tbl_task1[76]/tbl_task1[[คะแนนเต็ม]:[คะแนนเต็ม]])*tbl_task1[[%]:[%]])</f>
        <v/>
      </c>
      <c r="IM23" s="121" t="str">
        <f>IF(ISBLANK(tbl_task1[[คะแนนเต็ม]:[คะแนนเต็ม]]),"",(tbl_task1[77]/tbl_task1[[คะแนนเต็ม]:[คะแนนเต็ม]])*tbl_task1[[%]:[%]])</f>
        <v/>
      </c>
      <c r="IN23" s="121" t="str">
        <f>IF(ISBLANK(tbl_task1[[คะแนนเต็ม]:[คะแนนเต็ม]]),"",(tbl_task1[78]/tbl_task1[[คะแนนเต็ม]:[คะแนนเต็ม]])*tbl_task1[[%]:[%]])</f>
        <v/>
      </c>
      <c r="IO23" s="121" t="str">
        <f>IF(ISBLANK(tbl_task1[[คะแนนเต็ม]:[คะแนนเต็ม]]),"",(tbl_task1[79]/tbl_task1[[คะแนนเต็ม]:[คะแนนเต็ม]])*tbl_task1[[%]:[%]])</f>
        <v/>
      </c>
      <c r="IP23" s="121" t="str">
        <f>IF(ISBLANK(tbl_task1[[คะแนนเต็ม]:[คะแนนเต็ม]]),"",(tbl_task1[80]/tbl_task1[[คะแนนเต็ม]:[คะแนนเต็ม]])*tbl_task1[[%]:[%]])</f>
        <v/>
      </c>
      <c r="IQ23" s="121" t="str">
        <f>IF(ISBLANK(tbl_task1[[คะแนนเต็ม]:[คะแนนเต็ม]]),"",(tbl_task1[81]/tbl_task1[[คะแนนเต็ม]:[คะแนนเต็ม]])*tbl_task1[[%]:[%]])</f>
        <v/>
      </c>
      <c r="IR23" s="121" t="str">
        <f>IF(ISBLANK(tbl_task1[[คะแนนเต็ม]:[คะแนนเต็ม]]),"",(tbl_task1[82]/tbl_task1[[คะแนนเต็ม]:[คะแนนเต็ม]])*tbl_task1[[%]:[%]])</f>
        <v/>
      </c>
      <c r="IS23" s="121" t="str">
        <f>IF(ISBLANK(tbl_task1[[คะแนนเต็ม]:[คะแนนเต็ม]]),"",(tbl_task1[83]/tbl_task1[[คะแนนเต็ม]:[คะแนนเต็ม]])*tbl_task1[[%]:[%]])</f>
        <v/>
      </c>
      <c r="IT23" s="121" t="str">
        <f>IF(ISBLANK(tbl_task1[[คะแนนเต็ม]:[คะแนนเต็ม]]),"",(tbl_task1[84]/tbl_task1[[คะแนนเต็ม]:[คะแนนเต็ม]])*tbl_task1[[%]:[%]])</f>
        <v/>
      </c>
      <c r="IU23" s="121" t="str">
        <f>IF(ISBLANK(tbl_task1[[คะแนนเต็ม]:[คะแนนเต็ม]]),"",(tbl_task1[85]/tbl_task1[[คะแนนเต็ม]:[คะแนนเต็ม]])*tbl_task1[[%]:[%]])</f>
        <v/>
      </c>
      <c r="IV23" s="121" t="str">
        <f>IF(ISBLANK(tbl_task1[[คะแนนเต็ม]:[คะแนนเต็ม]]),"",(tbl_task1[86]/tbl_task1[[คะแนนเต็ม]:[คะแนนเต็ม]])*tbl_task1[[%]:[%]])</f>
        <v/>
      </c>
      <c r="IW23" s="121" t="str">
        <f>IF(ISBLANK(tbl_task1[[คะแนนเต็ม]:[คะแนนเต็ม]]),"",(tbl_task1[87]/tbl_task1[[คะแนนเต็ม]:[คะแนนเต็ม]])*tbl_task1[[%]:[%]])</f>
        <v/>
      </c>
      <c r="IX23" s="121" t="str">
        <f>IF(ISBLANK(tbl_task1[[คะแนนเต็ม]:[คะแนนเต็ม]]),"",(tbl_task1[88]/tbl_task1[[คะแนนเต็ม]:[คะแนนเต็ม]])*tbl_task1[[%]:[%]])</f>
        <v/>
      </c>
      <c r="IY23" s="121" t="str">
        <f>IF(ISBLANK(tbl_task1[[คะแนนเต็ม]:[คะแนนเต็ม]]),"",(tbl_task1[89]/tbl_task1[[คะแนนเต็ม]:[คะแนนเต็ม]])*tbl_task1[[%]:[%]])</f>
        <v/>
      </c>
      <c r="IZ23" s="121" t="str">
        <f>IF(ISBLANK(tbl_task1[[คะแนนเต็ม]:[คะแนนเต็ม]]),"",(tbl_task1[90]/tbl_task1[[คะแนนเต็ม]:[คะแนนเต็ม]])*tbl_task1[[%]:[%]])</f>
        <v/>
      </c>
      <c r="JA23" s="121" t="str">
        <f>IF(ISBLANK(tbl_task1[[คะแนนเต็ม]:[คะแนนเต็ม]]),"",(tbl_task1[91]/tbl_task1[[คะแนนเต็ม]:[คะแนนเต็ม]])*tbl_task1[[%]:[%]])</f>
        <v/>
      </c>
      <c r="JB23" s="121" t="str">
        <f>IF(ISBLANK(tbl_task1[[คะแนนเต็ม]:[คะแนนเต็ม]]),"",(tbl_task1[92]/tbl_task1[[คะแนนเต็ม]:[คะแนนเต็ม]])*tbl_task1[[%]:[%]])</f>
        <v/>
      </c>
      <c r="JC23" s="121" t="str">
        <f>IF(ISBLANK(tbl_task1[[คะแนนเต็ม]:[คะแนนเต็ม]]),"",(tbl_task1[93]/tbl_task1[[คะแนนเต็ม]:[คะแนนเต็ม]])*tbl_task1[[%]:[%]])</f>
        <v/>
      </c>
      <c r="JD23" s="121" t="str">
        <f>IF(ISBLANK(tbl_task1[[คะแนนเต็ม]:[คะแนนเต็ม]]),"",(tbl_task1[94]/tbl_task1[[คะแนนเต็ม]:[คะแนนเต็ม]])*tbl_task1[[%]:[%]])</f>
        <v/>
      </c>
      <c r="JE23" s="121" t="str">
        <f>IF(ISBLANK(tbl_task1[[คะแนนเต็ม]:[คะแนนเต็ม]]),"",(tbl_task1[95]/tbl_task1[[คะแนนเต็ม]:[คะแนนเต็ม]])*tbl_task1[[%]:[%]])</f>
        <v/>
      </c>
      <c r="JF23" s="121" t="str">
        <f>IF(ISBLANK(tbl_task1[[คะแนนเต็ม]:[คะแนนเต็ม]]),"",(tbl_task1[96]/tbl_task1[[คะแนนเต็ม]:[คะแนนเต็ม]])*tbl_task1[[%]:[%]])</f>
        <v/>
      </c>
      <c r="JG23" s="121" t="str">
        <f>IF(ISBLANK(tbl_task1[[คะแนนเต็ม]:[คะแนนเต็ม]]),"",(tbl_task1[97]/tbl_task1[[คะแนนเต็ม]:[คะแนนเต็ม]])*tbl_task1[[%]:[%]])</f>
        <v/>
      </c>
      <c r="JH23" s="121" t="str">
        <f>IF(ISBLANK(tbl_task1[[คะแนนเต็ม]:[คะแนนเต็ม]]),"",(tbl_task1[98]/tbl_task1[[คะแนนเต็ม]:[คะแนนเต็ม]])*tbl_task1[[%]:[%]])</f>
        <v/>
      </c>
      <c r="JI23" s="121" t="str">
        <f>IF(ISBLANK(tbl_task1[[คะแนนเต็ม]:[คะแนนเต็ม]]),"",(tbl_task1[99]/tbl_task1[[คะแนนเต็ม]:[คะแนนเต็ม]])*tbl_task1[[%]:[%]])</f>
        <v/>
      </c>
      <c r="JJ23" s="121" t="str">
        <f>IF(ISBLANK(tbl_task1[[คะแนนเต็ม]:[คะแนนเต็ม]]),"",(tbl_task1[100]/tbl_task1[[คะแนนเต็ม]:[คะแนนเต็ม]])*tbl_task1[[%]:[%]])</f>
        <v/>
      </c>
      <c r="JK23" s="121" t="str">
        <f>IF(ISBLANK(tbl_task1[[คะแนนเต็ม]:[คะแนนเต็ม]]),"",(tbl_task1[101]/tbl_task1[[คะแนนเต็ม]:[คะแนนเต็ม]])*tbl_task1[[%]:[%]])</f>
        <v/>
      </c>
      <c r="JL23" s="121" t="str">
        <f>IF(ISBLANK(tbl_task1[[คะแนนเต็ม]:[คะแนนเต็ม]]),"",(tbl_task1[102]/tbl_task1[[คะแนนเต็ม]:[คะแนนเต็ม]])*tbl_task1[[%]:[%]])</f>
        <v/>
      </c>
      <c r="JM23" s="121" t="str">
        <f>IF(ISBLANK(tbl_task1[[คะแนนเต็ม]:[คะแนนเต็ม]]),"",(tbl_task1[103]/tbl_task1[[คะแนนเต็ม]:[คะแนนเต็ม]])*tbl_task1[[%]:[%]])</f>
        <v/>
      </c>
      <c r="JN23" s="121" t="str">
        <f>IF(ISBLANK(tbl_task1[[คะแนนเต็ม]:[คะแนนเต็ม]]),"",(tbl_task1[104]/tbl_task1[[คะแนนเต็ม]:[คะแนนเต็ม]])*tbl_task1[[%]:[%]])</f>
        <v/>
      </c>
      <c r="JO23" s="121" t="str">
        <f>IF(ISBLANK(tbl_task1[[คะแนนเต็ม]:[คะแนนเต็ม]]),"",(tbl_task1[105]/tbl_task1[[คะแนนเต็ม]:[คะแนนเต็ม]])*tbl_task1[[%]:[%]])</f>
        <v/>
      </c>
      <c r="JP23" s="121" t="str">
        <f>IF(ISBLANK(tbl_task1[[คะแนนเต็ม]:[คะแนนเต็ม]]),"",(tbl_task1[106]/tbl_task1[[คะแนนเต็ม]:[คะแนนเต็ม]])*tbl_task1[[%]:[%]])</f>
        <v/>
      </c>
      <c r="JQ23" s="121" t="str">
        <f>IF(ISBLANK(tbl_task1[[คะแนนเต็ม]:[คะแนนเต็ม]]),"",(tbl_task1[107]/tbl_task1[[คะแนนเต็ม]:[คะแนนเต็ม]])*tbl_task1[[%]:[%]])</f>
        <v/>
      </c>
      <c r="JR23" s="121" t="str">
        <f>IF(ISBLANK(tbl_task1[[คะแนนเต็ม]:[คะแนนเต็ม]]),"",(tbl_task1[108]/tbl_task1[[คะแนนเต็ม]:[คะแนนเต็ม]])*tbl_task1[[%]:[%]])</f>
        <v/>
      </c>
      <c r="JS23" s="121" t="str">
        <f>IF(ISBLANK(tbl_task1[[คะแนนเต็ม]:[คะแนนเต็ม]]),"",(tbl_task1[109]/tbl_task1[[คะแนนเต็ม]:[คะแนนเต็ม]])*tbl_task1[[%]:[%]])</f>
        <v/>
      </c>
      <c r="JT23" s="121" t="str">
        <f>IF(ISBLANK(tbl_task1[[คะแนนเต็ม]:[คะแนนเต็ม]]),"",(tbl_task1[110]/tbl_task1[[คะแนนเต็ม]:[คะแนนเต็ม]])*tbl_task1[[%]:[%]])</f>
        <v/>
      </c>
      <c r="JU23" s="121" t="str">
        <f>IF(ISBLANK(tbl_task1[[คะแนนเต็ม]:[คะแนนเต็ม]]),"",(tbl_task1[111]/tbl_task1[[คะแนนเต็ม]:[คะแนนเต็ม]])*tbl_task1[[%]:[%]])</f>
        <v/>
      </c>
      <c r="JV23" s="121" t="str">
        <f>IF(ISBLANK(tbl_task1[[คะแนนเต็ม]:[คะแนนเต็ม]]),"",(tbl_task1[112]/tbl_task1[[คะแนนเต็ม]:[คะแนนเต็ม]])*tbl_task1[[%]:[%]])</f>
        <v/>
      </c>
      <c r="JW23" s="121" t="str">
        <f>IF(ISBLANK(tbl_task1[[คะแนนเต็ม]:[คะแนนเต็ม]]),"",(tbl_task1[113]/tbl_task1[[คะแนนเต็ม]:[คะแนนเต็ม]])*tbl_task1[[%]:[%]])</f>
        <v/>
      </c>
      <c r="JX23" s="121" t="str">
        <f>IF(ISBLANK(tbl_task1[[คะแนนเต็ม]:[คะแนนเต็ม]]),"",(tbl_task1[114]/tbl_task1[[คะแนนเต็ม]:[คะแนนเต็ม]])*tbl_task1[[%]:[%]])</f>
        <v/>
      </c>
      <c r="JY23" s="121" t="str">
        <f>IF(ISBLANK(tbl_task1[[คะแนนเต็ม]:[คะแนนเต็ม]]),"",(tbl_task1[115]/tbl_task1[[คะแนนเต็ม]:[คะแนนเต็ม]])*tbl_task1[[%]:[%]])</f>
        <v/>
      </c>
      <c r="JZ23" s="121" t="str">
        <f>IF(ISBLANK(tbl_task1[[คะแนนเต็ม]:[คะแนนเต็ม]]),"",(tbl_task1[116]/tbl_task1[[คะแนนเต็ม]:[คะแนนเต็ม]])*tbl_task1[[%]:[%]])</f>
        <v/>
      </c>
      <c r="KA23" s="121" t="str">
        <f>IF(ISBLANK(tbl_task1[[คะแนนเต็ม]:[คะแนนเต็ม]]),"",(tbl_task1[117]/tbl_task1[[คะแนนเต็ม]:[คะแนนเต็ม]])*tbl_task1[[%]:[%]])</f>
        <v/>
      </c>
      <c r="KB23" s="121" t="str">
        <f>IF(ISBLANK(tbl_task1[[คะแนนเต็ม]:[คะแนนเต็ม]]),"",(tbl_task1[118]/tbl_task1[[คะแนนเต็ม]:[คะแนนเต็ม]])*tbl_task1[[%]:[%]])</f>
        <v/>
      </c>
      <c r="KC23" s="121" t="str">
        <f>IF(ISBLANK(tbl_task1[[คะแนนเต็ม]:[คะแนนเต็ม]]),"",(tbl_task1[119]/tbl_task1[[คะแนนเต็ม]:[คะแนนเต็ม]])*tbl_task1[[%]:[%]])</f>
        <v/>
      </c>
      <c r="KD23" s="121" t="str">
        <f>IF(ISBLANK(tbl_task1[[คะแนนเต็ม]:[คะแนนเต็ม]]),"",(tbl_task1[120]/tbl_task1[[คะแนนเต็ม]:[คะแนนเต็ม]])*tbl_task1[[%]:[%]])</f>
        <v/>
      </c>
      <c r="KE23" s="121" t="str">
        <f>IF(ISBLANK(tbl_task1[[คะแนนเต็ม]:[คะแนนเต็ม]]),"",(tbl_task1[121]/tbl_task1[[คะแนนเต็ม]:[คะแนนเต็ม]])*tbl_task1[[%]:[%]])</f>
        <v/>
      </c>
      <c r="KF23" s="121" t="str">
        <f>IF(ISBLANK(tbl_task1[[คะแนนเต็ม]:[คะแนนเต็ม]]),"",(tbl_task1[122]/tbl_task1[[คะแนนเต็ม]:[คะแนนเต็ม]])*tbl_task1[[%]:[%]])</f>
        <v/>
      </c>
      <c r="KG23" s="121" t="str">
        <f>IF(ISBLANK(tbl_task1[[คะแนนเต็ม]:[คะแนนเต็ม]]),"",(tbl_task1[123]/tbl_task1[[คะแนนเต็ม]:[คะแนนเต็ม]])*tbl_task1[[%]:[%]])</f>
        <v/>
      </c>
      <c r="KH23" s="121" t="str">
        <f>IF(ISBLANK(tbl_task1[[คะแนนเต็ม]:[คะแนนเต็ม]]),"",(tbl_task1[124]/tbl_task1[[คะแนนเต็ม]:[คะแนนเต็ม]])*tbl_task1[[%]:[%]])</f>
        <v/>
      </c>
      <c r="KI23" s="121" t="str">
        <f>IF(ISBLANK(tbl_task1[[คะแนนเต็ม]:[คะแนนเต็ม]]),"",(tbl_task1[125]/tbl_task1[[คะแนนเต็ม]:[คะแนนเต็ม]])*tbl_task1[[%]:[%]])</f>
        <v/>
      </c>
      <c r="KJ23" s="121" t="str">
        <f>IF(ISBLANK(tbl_task1[[คะแนนเต็ม]:[คะแนนเต็ม]]),"",(tbl_task1[126]/tbl_task1[[คะแนนเต็ม]:[คะแนนเต็ม]])*tbl_task1[[%]:[%]])</f>
        <v/>
      </c>
      <c r="KK23" s="121" t="str">
        <f>IF(ISBLANK(tbl_task1[[คะแนนเต็ม]:[คะแนนเต็ม]]),"",(tbl_task1[127]/tbl_task1[[คะแนนเต็ม]:[คะแนนเต็ม]])*tbl_task1[[%]:[%]])</f>
        <v/>
      </c>
      <c r="KL23" s="121" t="str">
        <f>IF(ISBLANK(tbl_task1[[คะแนนเต็ม]:[คะแนนเต็ม]]),"",(tbl_task1[128]/tbl_task1[[คะแนนเต็ม]:[คะแนนเต็ม]])*tbl_task1[[%]:[%]])</f>
        <v/>
      </c>
      <c r="KM23" s="121" t="str">
        <f>IF(ISBLANK(tbl_task1[[คะแนนเต็ม]:[คะแนนเต็ม]]),"",(tbl_task1[129]/tbl_task1[[คะแนนเต็ม]:[คะแนนเต็ม]])*tbl_task1[[%]:[%]])</f>
        <v/>
      </c>
      <c r="KN23" s="121" t="str">
        <f>IF(ISBLANK(tbl_task1[[คะแนนเต็ม]:[คะแนนเต็ม]]),"",(tbl_task1[130]/tbl_task1[[คะแนนเต็ม]:[คะแนนเต็ม]])*tbl_task1[[%]:[%]])</f>
        <v/>
      </c>
      <c r="KO23" s="121" t="str">
        <f>IF(ISBLANK(tbl_task1[[คะแนนเต็ม]:[คะแนนเต็ม]]),"",(tbl_task1[131]/tbl_task1[[คะแนนเต็ม]:[คะแนนเต็ม]])*tbl_task1[[%]:[%]])</f>
        <v/>
      </c>
      <c r="KP23" s="121" t="str">
        <f>IF(ISBLANK(tbl_task1[[คะแนนเต็ม]:[คะแนนเต็ม]]),"",(tbl_task1[132]/tbl_task1[[คะแนนเต็ม]:[คะแนนเต็ม]])*tbl_task1[[%]:[%]])</f>
        <v/>
      </c>
      <c r="KQ23" s="121" t="str">
        <f>IF(ISBLANK(tbl_task1[[คะแนนเต็ม]:[คะแนนเต็ม]]),"",(tbl_task1[133]/tbl_task1[[คะแนนเต็ม]:[คะแนนเต็ม]])*tbl_task1[[%]:[%]])</f>
        <v/>
      </c>
      <c r="KR23" s="121" t="str">
        <f>IF(ISBLANK(tbl_task1[[คะแนนเต็ม]:[คะแนนเต็ม]]),"",(tbl_task1[134]/tbl_task1[[คะแนนเต็ม]:[คะแนนเต็ม]])*tbl_task1[[%]:[%]])</f>
        <v/>
      </c>
      <c r="KS23" s="121" t="str">
        <f>IF(ISBLANK(tbl_task1[[คะแนนเต็ม]:[คะแนนเต็ม]]),"",(tbl_task1[135]/tbl_task1[[คะแนนเต็ม]:[คะแนนเต็ม]])*tbl_task1[[%]:[%]])</f>
        <v/>
      </c>
      <c r="KT23" s="121" t="str">
        <f>IF(ISBLANK(tbl_task1[[คะแนนเต็ม]:[คะแนนเต็ม]]),"",(tbl_task1[136]/tbl_task1[[คะแนนเต็ม]:[คะแนนเต็ม]])*tbl_task1[[%]:[%]])</f>
        <v/>
      </c>
      <c r="KU23" s="121" t="str">
        <f>IF(ISBLANK(tbl_task1[[คะแนนเต็ม]:[คะแนนเต็ม]]),"",(tbl_task1[137]/tbl_task1[[คะแนนเต็ม]:[คะแนนเต็ม]])*tbl_task1[[%]:[%]])</f>
        <v/>
      </c>
      <c r="KV23" s="121" t="str">
        <f>IF(ISBLANK(tbl_task1[[คะแนนเต็ม]:[คะแนนเต็ม]]),"",(tbl_task1[138]/tbl_task1[[คะแนนเต็ม]:[คะแนนเต็ม]])*tbl_task1[[%]:[%]])</f>
        <v/>
      </c>
      <c r="KW23" s="121" t="str">
        <f>IF(ISBLANK(tbl_task1[[คะแนนเต็ม]:[คะแนนเต็ม]]),"",(tbl_task1[139]/tbl_task1[[คะแนนเต็ม]:[คะแนนเต็ม]])*tbl_task1[[%]:[%]])</f>
        <v/>
      </c>
      <c r="KX23" s="121" t="str">
        <f>IF(ISBLANK(tbl_task1[[คะแนนเต็ม]:[คะแนนเต็ม]]),"",(tbl_task1[140]/tbl_task1[[คะแนนเต็ม]:[คะแนนเต็ม]])*tbl_task1[[%]:[%]])</f>
        <v/>
      </c>
      <c r="KY23" s="121" t="str">
        <f>IF(ISBLANK(tbl_task1[[คะแนนเต็ม]:[คะแนนเต็ม]]),"",(tbl_task1[141]/tbl_task1[[คะแนนเต็ม]:[คะแนนเต็ม]])*tbl_task1[[%]:[%]])</f>
        <v/>
      </c>
      <c r="KZ23" s="121" t="str">
        <f>IF(ISBLANK(tbl_task1[[คะแนนเต็ม]:[คะแนนเต็ม]]),"",(tbl_task1[142]/tbl_task1[[คะแนนเต็ม]:[คะแนนเต็ม]])*tbl_task1[[%]:[%]])</f>
        <v/>
      </c>
      <c r="LA23" s="121" t="str">
        <f>IF(ISBLANK(tbl_task1[[คะแนนเต็ม]:[คะแนนเต็ม]]),"",(tbl_task1[143]/tbl_task1[[คะแนนเต็ม]:[คะแนนเต็ม]])*tbl_task1[[%]:[%]])</f>
        <v/>
      </c>
      <c r="LB23" s="121" t="str">
        <f>IF(ISBLANK(tbl_task1[[คะแนนเต็ม]:[คะแนนเต็ม]]),"",(tbl_task1[144]/tbl_task1[[คะแนนเต็ม]:[คะแนนเต็ม]])*tbl_task1[[%]:[%]])</f>
        <v/>
      </c>
      <c r="LC23" s="121" t="str">
        <f>IF(ISBLANK(tbl_task1[[คะแนนเต็ม]:[คะแนนเต็ม]]),"",(tbl_task1[145]/tbl_task1[[คะแนนเต็ม]:[คะแนนเต็ม]])*tbl_task1[[%]:[%]])</f>
        <v/>
      </c>
      <c r="LD23" s="121" t="str">
        <f>IF(ISBLANK(tbl_task1[[คะแนนเต็ม]:[คะแนนเต็ม]]),"",(tbl_task1[146]/tbl_task1[[คะแนนเต็ม]:[คะแนนเต็ม]])*tbl_task1[[%]:[%]])</f>
        <v/>
      </c>
      <c r="LE23" s="121" t="str">
        <f>IF(ISBLANK(tbl_task1[[คะแนนเต็ม]:[คะแนนเต็ม]]),"",(tbl_task1[147]/tbl_task1[[คะแนนเต็ม]:[คะแนนเต็ม]])*tbl_task1[[%]:[%]])</f>
        <v/>
      </c>
      <c r="LF23" s="121" t="str">
        <f>IF(ISBLANK(tbl_task1[[คะแนนเต็ม]:[คะแนนเต็ม]]),"",(tbl_task1[148]/tbl_task1[[คะแนนเต็ม]:[คะแนนเต็ม]])*tbl_task1[[%]:[%]])</f>
        <v/>
      </c>
      <c r="LG23" s="121" t="str">
        <f>IF(ISBLANK(tbl_task1[[คะแนนเต็ม]:[คะแนนเต็ม]]),"",(tbl_task1[149]/tbl_task1[[คะแนนเต็ม]:[คะแนนเต็ม]])*tbl_task1[[%]:[%]])</f>
        <v/>
      </c>
      <c r="LH23" s="121" t="str">
        <f>IF(ISBLANK(tbl_task1[[คะแนนเต็ม]:[คะแนนเต็ม]]),"",(tbl_task1[150]/tbl_task1[[คะแนนเต็ม]:[คะแนนเต็ม]])*tbl_task1[[%]:[%]])</f>
        <v/>
      </c>
      <c r="LI23" s="121" t="str">
        <f>IF(ISBLANK(tbl_task1[[คะแนนเต็ม]:[คะแนนเต็ม]]),"",(tbl_task1[151]/tbl_task1[[คะแนนเต็ม]:[คะแนนเต็ม]])*tbl_task1[[%]:[%]])</f>
        <v/>
      </c>
      <c r="LJ23" s="121" t="str">
        <f>IF(ISBLANK(tbl_task1[[คะแนนเต็ม]:[คะแนนเต็ม]]),"",(tbl_task1[152]/tbl_task1[[คะแนนเต็ม]:[คะแนนเต็ม]])*tbl_task1[[%]:[%]])</f>
        <v/>
      </c>
      <c r="LK23" s="121" t="str">
        <f>IF(ISBLANK(tbl_task1[[คะแนนเต็ม]:[คะแนนเต็ม]]),"",(tbl_task1[153]/tbl_task1[[คะแนนเต็ม]:[คะแนนเต็ม]])*tbl_task1[[%]:[%]])</f>
        <v/>
      </c>
      <c r="LL23" s="121" t="str">
        <f>IF(ISBLANK(tbl_task1[[คะแนนเต็ม]:[คะแนนเต็ม]]),"",(tbl_task1[154]/tbl_task1[[คะแนนเต็ม]:[คะแนนเต็ม]])*tbl_task1[[%]:[%]])</f>
        <v/>
      </c>
      <c r="LM23" s="121" t="str">
        <f>IF(ISBLANK(tbl_task1[[คะแนนเต็ม]:[คะแนนเต็ม]]),"",(tbl_task1[155]/tbl_task1[[คะแนนเต็ม]:[คะแนนเต็ม]])*tbl_task1[[%]:[%]])</f>
        <v/>
      </c>
      <c r="LN23" s="121" t="str">
        <f>IF(ISBLANK(tbl_task1[[คะแนนเต็ม]:[คะแนนเต็ม]]),"",(tbl_task1[156]/tbl_task1[[คะแนนเต็ม]:[คะแนนเต็ม]])*tbl_task1[[%]:[%]])</f>
        <v/>
      </c>
      <c r="LO23" s="121" t="str">
        <f>IF(ISBLANK(tbl_task1[[คะแนนเต็ม]:[คะแนนเต็ม]]),"",(tbl_task1[157]/tbl_task1[[คะแนนเต็ม]:[คะแนนเต็ม]])*tbl_task1[[%]:[%]])</f>
        <v/>
      </c>
      <c r="LP23" s="121" t="str">
        <f>IF(ISBLANK(tbl_task1[[คะแนนเต็ม]:[คะแนนเต็ม]]),"",(tbl_task1[158]/tbl_task1[[คะแนนเต็ม]:[คะแนนเต็ม]])*tbl_task1[[%]:[%]])</f>
        <v/>
      </c>
      <c r="LQ23" s="121" t="str">
        <f>IF(ISBLANK(tbl_task1[[คะแนนเต็ม]:[คะแนนเต็ม]]),"",(tbl_task1[159]/tbl_task1[[คะแนนเต็ม]:[คะแนนเต็ม]])*tbl_task1[[%]:[%]])</f>
        <v/>
      </c>
      <c r="LR23" s="121" t="str">
        <f>IF(ISBLANK(tbl_task1[[คะแนนเต็ม]:[คะแนนเต็ม]]),"",(tbl_task1[160]/tbl_task1[[คะแนนเต็ม]:[คะแนนเต็ม]])*tbl_task1[[%]:[%]])</f>
        <v/>
      </c>
      <c r="LS23" s="121" t="str">
        <f>IF(ISBLANK(tbl_task1[[คะแนนเต็ม]:[คะแนนเต็ม]]),"",(tbl_task1[161]/tbl_task1[[คะแนนเต็ม]:[คะแนนเต็ม]])*tbl_task1[[%]:[%]])</f>
        <v/>
      </c>
      <c r="LT23" s="121" t="str">
        <f>IF(ISBLANK(tbl_task1[[คะแนนเต็ม]:[คะแนนเต็ม]]),"",(tbl_task1[162]/tbl_task1[[คะแนนเต็ม]:[คะแนนเต็ม]])*tbl_task1[[%]:[%]])</f>
        <v/>
      </c>
      <c r="LU23" s="121" t="str">
        <f>IF(ISBLANK(tbl_task1[[คะแนนเต็ม]:[คะแนนเต็ม]]),"",(tbl_task1[163]/tbl_task1[[คะแนนเต็ม]:[คะแนนเต็ม]])*tbl_task1[[%]:[%]])</f>
        <v/>
      </c>
      <c r="LV23" s="121" t="str">
        <f>IF(ISBLANK(tbl_task1[[คะแนนเต็ม]:[คะแนนเต็ม]]),"",(tbl_task1[164]/tbl_task1[[คะแนนเต็ม]:[คะแนนเต็ม]])*tbl_task1[[%]:[%]])</f>
        <v/>
      </c>
      <c r="LW23" s="121" t="str">
        <f>IF(ISBLANK(tbl_task1[[คะแนนเต็ม]:[คะแนนเต็ม]]),"",(tbl_task1[165]/tbl_task1[[คะแนนเต็ม]:[คะแนนเต็ม]])*tbl_task1[[%]:[%]])</f>
        <v/>
      </c>
    </row>
    <row r="24" spans="1:335" ht="24" customHeight="1" x14ac:dyDescent="0.25">
      <c r="A24" s="24">
        <v>21</v>
      </c>
      <c r="B24" s="20"/>
      <c r="C24" s="5" t="str">
        <f>IF(ISBLANK(B24),"",VLOOKUP(B24,tbl_PLOs[],2,0))</f>
        <v/>
      </c>
      <c r="D24" s="102"/>
      <c r="E24" s="106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21" t="str">
        <f>IF(ISBLANK(tbl_task1[[คะแนนเต็ม]:[คะแนนเต็ม]]),"",(tbl_task1[1]/tbl_task1[[คะแนนเต็ม]:[คะแนนเต็ม]])*tbl_task1[[%]:[%]])</f>
        <v/>
      </c>
      <c r="FP24" s="121" t="str">
        <f>IF(ISBLANK(tbl_task1[[คะแนนเต็ม]:[คะแนนเต็ม]]),"",(tbl_task1[2]/tbl_task1[[คะแนนเต็ม]:[คะแนนเต็ม]])*tbl_task1[[%]:[%]])</f>
        <v/>
      </c>
      <c r="FQ24" s="121" t="str">
        <f>IF(ISBLANK(tbl_task1[[คะแนนเต็ม]:[คะแนนเต็ม]]),"",(tbl_task1[3]/tbl_task1[[คะแนนเต็ม]:[คะแนนเต็ม]])*tbl_task1[[%]:[%]])</f>
        <v/>
      </c>
      <c r="FR24" s="121" t="str">
        <f>IF(ISBLANK(tbl_task1[[คะแนนเต็ม]:[คะแนนเต็ม]]),"",(tbl_task1[4]/tbl_task1[[คะแนนเต็ม]:[คะแนนเต็ม]])*tbl_task1[[%]:[%]])</f>
        <v/>
      </c>
      <c r="FS24" s="121" t="str">
        <f>IF(ISBLANK(tbl_task1[[คะแนนเต็ม]:[คะแนนเต็ม]]),"",(tbl_task1[5]/tbl_task1[[คะแนนเต็ม]:[คะแนนเต็ม]])*tbl_task1[[%]:[%]])</f>
        <v/>
      </c>
      <c r="FT24" s="121" t="str">
        <f>IF(ISBLANK(tbl_task1[[คะแนนเต็ม]:[คะแนนเต็ม]]),"",(tbl_task1[6]/tbl_task1[[คะแนนเต็ม]:[คะแนนเต็ม]])*tbl_task1[[%]:[%]])</f>
        <v/>
      </c>
      <c r="FU24" s="121" t="str">
        <f>IF(ISBLANK(tbl_task1[[คะแนนเต็ม]:[คะแนนเต็ม]]),"",(tbl_task1[7]/tbl_task1[[คะแนนเต็ม]:[คะแนนเต็ม]])*tbl_task1[[%]:[%]])</f>
        <v/>
      </c>
      <c r="FV24" s="121" t="str">
        <f>IF(ISBLANK(tbl_task1[[คะแนนเต็ม]:[คะแนนเต็ม]]),"",(tbl_task1[8]/tbl_task1[[คะแนนเต็ม]:[คะแนนเต็ม]])*tbl_task1[[%]:[%]])</f>
        <v/>
      </c>
      <c r="FW24" s="121" t="str">
        <f>IF(ISBLANK(tbl_task1[[คะแนนเต็ม]:[คะแนนเต็ม]]),"",(tbl_task1[9]/tbl_task1[[คะแนนเต็ม]:[คะแนนเต็ม]])*tbl_task1[[%]:[%]])</f>
        <v/>
      </c>
      <c r="FX24" s="121" t="str">
        <f>IF(ISBLANK(tbl_task1[[คะแนนเต็ม]:[คะแนนเต็ม]]),"",(tbl_task1[10]/tbl_task1[[คะแนนเต็ม]:[คะแนนเต็ม]])*tbl_task1[[%]:[%]])</f>
        <v/>
      </c>
      <c r="FY24" s="121" t="str">
        <f>IF(ISBLANK(tbl_task1[[คะแนนเต็ม]:[คะแนนเต็ม]]),"",(tbl_task1[11]/tbl_task1[[คะแนนเต็ม]:[คะแนนเต็ม]])*tbl_task1[[%]:[%]])</f>
        <v/>
      </c>
      <c r="FZ24" s="121" t="str">
        <f>IF(ISBLANK(tbl_task1[[คะแนนเต็ม]:[คะแนนเต็ม]]),"",(tbl_task1[12]/tbl_task1[[คะแนนเต็ม]:[คะแนนเต็ม]])*tbl_task1[[%]:[%]])</f>
        <v/>
      </c>
      <c r="GA24" s="121" t="str">
        <f>IF(ISBLANK(tbl_task1[[คะแนนเต็ม]:[คะแนนเต็ม]]),"",(tbl_task1[13]/tbl_task1[[คะแนนเต็ม]:[คะแนนเต็ม]])*tbl_task1[[%]:[%]])</f>
        <v/>
      </c>
      <c r="GB24" s="121" t="str">
        <f>IF(ISBLANK(tbl_task1[[คะแนนเต็ม]:[คะแนนเต็ม]]),"",(tbl_task1[14]/tbl_task1[[คะแนนเต็ม]:[คะแนนเต็ม]])*tbl_task1[[%]:[%]])</f>
        <v/>
      </c>
      <c r="GC24" s="121" t="str">
        <f>IF(ISBLANK(tbl_task1[[คะแนนเต็ม]:[คะแนนเต็ม]]),"",(tbl_task1[15]/tbl_task1[[คะแนนเต็ม]:[คะแนนเต็ม]])*tbl_task1[[%]:[%]])</f>
        <v/>
      </c>
      <c r="GD24" s="121" t="str">
        <f>IF(ISBLANK(tbl_task1[[คะแนนเต็ม]:[คะแนนเต็ม]]),"",(tbl_task1[16]/tbl_task1[[คะแนนเต็ม]:[คะแนนเต็ม]])*tbl_task1[[%]:[%]])</f>
        <v/>
      </c>
      <c r="GE24" s="121" t="str">
        <f>IF(ISBLANK(tbl_task1[[คะแนนเต็ม]:[คะแนนเต็ม]]),"",(tbl_task1[17]/tbl_task1[[คะแนนเต็ม]:[คะแนนเต็ม]])*tbl_task1[[%]:[%]])</f>
        <v/>
      </c>
      <c r="GF24" s="121" t="str">
        <f>IF(ISBLANK(tbl_task1[[คะแนนเต็ม]:[คะแนนเต็ม]]),"",(tbl_task1[18]/tbl_task1[[คะแนนเต็ม]:[คะแนนเต็ม]])*tbl_task1[[%]:[%]])</f>
        <v/>
      </c>
      <c r="GG24" s="121" t="str">
        <f>IF(ISBLANK(tbl_task1[[คะแนนเต็ม]:[คะแนนเต็ม]]),"",(tbl_task1[19]/tbl_task1[[คะแนนเต็ม]:[คะแนนเต็ม]])*tbl_task1[[%]:[%]])</f>
        <v/>
      </c>
      <c r="GH24" s="121" t="str">
        <f>IF(ISBLANK(tbl_task1[[คะแนนเต็ม]:[คะแนนเต็ม]]),"",(tbl_task1[20]/tbl_task1[[คะแนนเต็ม]:[คะแนนเต็ม]])*tbl_task1[[%]:[%]])</f>
        <v/>
      </c>
      <c r="GI24" s="121" t="str">
        <f>IF(ISBLANK(tbl_task1[[คะแนนเต็ม]:[คะแนนเต็ม]]),"",(tbl_task1[21]/tbl_task1[[คะแนนเต็ม]:[คะแนนเต็ม]])*tbl_task1[[%]:[%]])</f>
        <v/>
      </c>
      <c r="GJ24" s="121" t="str">
        <f>IF(ISBLANK(tbl_task1[[คะแนนเต็ม]:[คะแนนเต็ม]]),"",(tbl_task1[22]/tbl_task1[[คะแนนเต็ม]:[คะแนนเต็ม]])*tbl_task1[[%]:[%]])</f>
        <v/>
      </c>
      <c r="GK24" s="121" t="str">
        <f>IF(ISBLANK(tbl_task1[[คะแนนเต็ม]:[คะแนนเต็ม]]),"",(tbl_task1[23]/tbl_task1[[คะแนนเต็ม]:[คะแนนเต็ม]])*tbl_task1[[%]:[%]])</f>
        <v/>
      </c>
      <c r="GL24" s="121" t="str">
        <f>IF(ISBLANK(tbl_task1[[คะแนนเต็ม]:[คะแนนเต็ม]]),"",(tbl_task1[24]/tbl_task1[[คะแนนเต็ม]:[คะแนนเต็ม]])*tbl_task1[[%]:[%]])</f>
        <v/>
      </c>
      <c r="GM24" s="121" t="str">
        <f>IF(ISBLANK(tbl_task1[[คะแนนเต็ม]:[คะแนนเต็ม]]),"",(tbl_task1[25]/tbl_task1[[คะแนนเต็ม]:[คะแนนเต็ม]])*tbl_task1[[%]:[%]])</f>
        <v/>
      </c>
      <c r="GN24" s="121" t="str">
        <f>IF(ISBLANK(tbl_task1[[คะแนนเต็ม]:[คะแนนเต็ม]]),"",(tbl_task1[26]/tbl_task1[[คะแนนเต็ม]:[คะแนนเต็ม]])*tbl_task1[[%]:[%]])</f>
        <v/>
      </c>
      <c r="GO24" s="121" t="str">
        <f>IF(ISBLANK(tbl_task1[[คะแนนเต็ม]:[คะแนนเต็ม]]),"",(tbl_task1[27]/tbl_task1[[คะแนนเต็ม]:[คะแนนเต็ม]])*tbl_task1[[%]:[%]])</f>
        <v/>
      </c>
      <c r="GP24" s="121" t="str">
        <f>IF(ISBLANK(tbl_task1[[คะแนนเต็ม]:[คะแนนเต็ม]]),"",(tbl_task1[28]/tbl_task1[[คะแนนเต็ม]:[คะแนนเต็ม]])*tbl_task1[[%]:[%]])</f>
        <v/>
      </c>
      <c r="GQ24" s="121" t="str">
        <f>IF(ISBLANK(tbl_task1[[คะแนนเต็ม]:[คะแนนเต็ม]]),"",(tbl_task1[29]/tbl_task1[[คะแนนเต็ม]:[คะแนนเต็ม]])*tbl_task1[[%]:[%]])</f>
        <v/>
      </c>
      <c r="GR24" s="121" t="str">
        <f>IF(ISBLANK(tbl_task1[[คะแนนเต็ม]:[คะแนนเต็ม]]),"",(tbl_task1[30]/tbl_task1[[คะแนนเต็ม]:[คะแนนเต็ม]])*tbl_task1[[%]:[%]])</f>
        <v/>
      </c>
      <c r="GS24" s="121" t="str">
        <f>IF(ISBLANK(tbl_task1[[คะแนนเต็ม]:[คะแนนเต็ม]]),"",(tbl_task1[31]/tbl_task1[[คะแนนเต็ม]:[คะแนนเต็ม]])*tbl_task1[[%]:[%]])</f>
        <v/>
      </c>
      <c r="GT24" s="121" t="str">
        <f>IF(ISBLANK(tbl_task1[[คะแนนเต็ม]:[คะแนนเต็ม]]),"",(tbl_task1[32]/tbl_task1[[คะแนนเต็ม]:[คะแนนเต็ม]])*tbl_task1[[%]:[%]])</f>
        <v/>
      </c>
      <c r="GU24" s="121" t="str">
        <f>IF(ISBLANK(tbl_task1[[คะแนนเต็ม]:[คะแนนเต็ม]]),"",(tbl_task1[33]/tbl_task1[[คะแนนเต็ม]:[คะแนนเต็ม]])*tbl_task1[[%]:[%]])</f>
        <v/>
      </c>
      <c r="GV24" s="121" t="str">
        <f>IF(ISBLANK(tbl_task1[[คะแนนเต็ม]:[คะแนนเต็ม]]),"",(tbl_task1[34]/tbl_task1[[คะแนนเต็ม]:[คะแนนเต็ม]])*tbl_task1[[%]:[%]])</f>
        <v/>
      </c>
      <c r="GW24" s="121" t="str">
        <f>IF(ISBLANK(tbl_task1[[คะแนนเต็ม]:[คะแนนเต็ม]]),"",(tbl_task1[35]/tbl_task1[[คะแนนเต็ม]:[คะแนนเต็ม]])*tbl_task1[[%]:[%]])</f>
        <v/>
      </c>
      <c r="GX24" s="121" t="str">
        <f>IF(ISBLANK(tbl_task1[[คะแนนเต็ม]:[คะแนนเต็ม]]),"",(tbl_task1[36]/tbl_task1[[คะแนนเต็ม]:[คะแนนเต็ม]])*tbl_task1[[%]:[%]])</f>
        <v/>
      </c>
      <c r="GY24" s="121" t="str">
        <f>IF(ISBLANK(tbl_task1[[คะแนนเต็ม]:[คะแนนเต็ม]]),"",(tbl_task1[37]/tbl_task1[[คะแนนเต็ม]:[คะแนนเต็ม]])*tbl_task1[[%]:[%]])</f>
        <v/>
      </c>
      <c r="GZ24" s="121" t="str">
        <f>IF(ISBLANK(tbl_task1[[คะแนนเต็ม]:[คะแนนเต็ม]]),"",(tbl_task1[38]/tbl_task1[[คะแนนเต็ม]:[คะแนนเต็ม]])*tbl_task1[[%]:[%]])</f>
        <v/>
      </c>
      <c r="HA24" s="121" t="str">
        <f>IF(ISBLANK(tbl_task1[[คะแนนเต็ม]:[คะแนนเต็ม]]),"",(tbl_task1[39]/tbl_task1[[คะแนนเต็ม]:[คะแนนเต็ม]])*tbl_task1[[%]:[%]])</f>
        <v/>
      </c>
      <c r="HB24" s="121" t="str">
        <f>IF(ISBLANK(tbl_task1[[คะแนนเต็ม]:[คะแนนเต็ม]]),"",(tbl_task1[40]/tbl_task1[[คะแนนเต็ม]:[คะแนนเต็ม]])*tbl_task1[[%]:[%]])</f>
        <v/>
      </c>
      <c r="HC24" s="121" t="str">
        <f>IF(ISBLANK(tbl_task1[[คะแนนเต็ม]:[คะแนนเต็ม]]),"",(tbl_task1[41]/tbl_task1[[คะแนนเต็ม]:[คะแนนเต็ม]])*tbl_task1[[%]:[%]])</f>
        <v/>
      </c>
      <c r="HD24" s="121" t="str">
        <f>IF(ISBLANK(tbl_task1[[คะแนนเต็ม]:[คะแนนเต็ม]]),"",(tbl_task1[42]/tbl_task1[[คะแนนเต็ม]:[คะแนนเต็ม]])*tbl_task1[[%]:[%]])</f>
        <v/>
      </c>
      <c r="HE24" s="121" t="str">
        <f>IF(ISBLANK(tbl_task1[[คะแนนเต็ม]:[คะแนนเต็ม]]),"",(tbl_task1[43]/tbl_task1[[คะแนนเต็ม]:[คะแนนเต็ม]])*tbl_task1[[%]:[%]])</f>
        <v/>
      </c>
      <c r="HF24" s="121" t="str">
        <f>IF(ISBLANK(tbl_task1[[คะแนนเต็ม]:[คะแนนเต็ม]]),"",(tbl_task1[44]/tbl_task1[[คะแนนเต็ม]:[คะแนนเต็ม]])*tbl_task1[[%]:[%]])</f>
        <v/>
      </c>
      <c r="HG24" s="121" t="str">
        <f>IF(ISBLANK(tbl_task1[[คะแนนเต็ม]:[คะแนนเต็ม]]),"",(tbl_task1[45]/tbl_task1[[คะแนนเต็ม]:[คะแนนเต็ม]])*tbl_task1[[%]:[%]])</f>
        <v/>
      </c>
      <c r="HH24" s="121" t="str">
        <f>IF(ISBLANK(tbl_task1[[คะแนนเต็ม]:[คะแนนเต็ม]]),"",(tbl_task1[46]/tbl_task1[[คะแนนเต็ม]:[คะแนนเต็ม]])*tbl_task1[[%]:[%]])</f>
        <v/>
      </c>
      <c r="HI24" s="121" t="str">
        <f>IF(ISBLANK(tbl_task1[[คะแนนเต็ม]:[คะแนนเต็ม]]),"",(tbl_task1[47]/tbl_task1[[คะแนนเต็ม]:[คะแนนเต็ม]])*tbl_task1[[%]:[%]])</f>
        <v/>
      </c>
      <c r="HJ24" s="121" t="str">
        <f>IF(ISBLANK(tbl_task1[[คะแนนเต็ม]:[คะแนนเต็ม]]),"",(tbl_task1[48]/tbl_task1[[คะแนนเต็ม]:[คะแนนเต็ม]])*tbl_task1[[%]:[%]])</f>
        <v/>
      </c>
      <c r="HK24" s="121" t="str">
        <f>IF(ISBLANK(tbl_task1[[คะแนนเต็ม]:[คะแนนเต็ม]]),"",(tbl_task1[49]/tbl_task1[[คะแนนเต็ม]:[คะแนนเต็ม]])*tbl_task1[[%]:[%]])</f>
        <v/>
      </c>
      <c r="HL24" s="121" t="str">
        <f>IF(ISBLANK(tbl_task1[[คะแนนเต็ม]:[คะแนนเต็ม]]),"",(tbl_task1[50]/tbl_task1[[คะแนนเต็ม]:[คะแนนเต็ม]])*tbl_task1[[%]:[%]])</f>
        <v/>
      </c>
      <c r="HM24" s="121" t="str">
        <f>IF(ISBLANK(tbl_task1[[คะแนนเต็ม]:[คะแนนเต็ม]]),"",(tbl_task1[51]/tbl_task1[[คะแนนเต็ม]:[คะแนนเต็ม]])*tbl_task1[[%]:[%]])</f>
        <v/>
      </c>
      <c r="HN24" s="121" t="str">
        <f>IF(ISBLANK(tbl_task1[[คะแนนเต็ม]:[คะแนนเต็ม]]),"",(tbl_task1[52]/tbl_task1[[คะแนนเต็ม]:[คะแนนเต็ม]])*tbl_task1[[%]:[%]])</f>
        <v/>
      </c>
      <c r="HO24" s="121" t="str">
        <f>IF(ISBLANK(tbl_task1[[คะแนนเต็ม]:[คะแนนเต็ม]]),"",(tbl_task1[53]/tbl_task1[[คะแนนเต็ม]:[คะแนนเต็ม]])*tbl_task1[[%]:[%]])</f>
        <v/>
      </c>
      <c r="HP24" s="121" t="str">
        <f>IF(ISBLANK(tbl_task1[[คะแนนเต็ม]:[คะแนนเต็ม]]),"",(tbl_task1[54]/tbl_task1[[คะแนนเต็ม]:[คะแนนเต็ม]])*tbl_task1[[%]:[%]])</f>
        <v/>
      </c>
      <c r="HQ24" s="121" t="str">
        <f>IF(ISBLANK(tbl_task1[[คะแนนเต็ม]:[คะแนนเต็ม]]),"",(tbl_task1[55]/tbl_task1[[คะแนนเต็ม]:[คะแนนเต็ม]])*tbl_task1[[%]:[%]])</f>
        <v/>
      </c>
      <c r="HR24" s="121" t="str">
        <f>IF(ISBLANK(tbl_task1[[คะแนนเต็ม]:[คะแนนเต็ม]]),"",(tbl_task1[56]/tbl_task1[[คะแนนเต็ม]:[คะแนนเต็ม]])*tbl_task1[[%]:[%]])</f>
        <v/>
      </c>
      <c r="HS24" s="121" t="str">
        <f>IF(ISBLANK(tbl_task1[[คะแนนเต็ม]:[คะแนนเต็ม]]),"",(tbl_task1[57]/tbl_task1[[คะแนนเต็ม]:[คะแนนเต็ม]])*tbl_task1[[%]:[%]])</f>
        <v/>
      </c>
      <c r="HT24" s="121" t="str">
        <f>IF(ISBLANK(tbl_task1[[คะแนนเต็ม]:[คะแนนเต็ม]]),"",(tbl_task1[58]/tbl_task1[[คะแนนเต็ม]:[คะแนนเต็ม]])*tbl_task1[[%]:[%]])</f>
        <v/>
      </c>
      <c r="HU24" s="121" t="str">
        <f>IF(ISBLANK(tbl_task1[[คะแนนเต็ม]:[คะแนนเต็ม]]),"",(tbl_task1[59]/tbl_task1[[คะแนนเต็ม]:[คะแนนเต็ม]])*tbl_task1[[%]:[%]])</f>
        <v/>
      </c>
      <c r="HV24" s="121" t="str">
        <f>IF(ISBLANK(tbl_task1[[คะแนนเต็ม]:[คะแนนเต็ม]]),"",(tbl_task1[60]/tbl_task1[[คะแนนเต็ม]:[คะแนนเต็ม]])*tbl_task1[[%]:[%]])</f>
        <v/>
      </c>
      <c r="HW24" s="121" t="str">
        <f>IF(ISBLANK(tbl_task1[[คะแนนเต็ม]:[คะแนนเต็ม]]),"",(tbl_task1[61]/tbl_task1[[คะแนนเต็ม]:[คะแนนเต็ม]])*tbl_task1[[%]:[%]])</f>
        <v/>
      </c>
      <c r="HX24" s="121" t="str">
        <f>IF(ISBLANK(tbl_task1[[คะแนนเต็ม]:[คะแนนเต็ม]]),"",(tbl_task1[62]/tbl_task1[[คะแนนเต็ม]:[คะแนนเต็ม]])*tbl_task1[[%]:[%]])</f>
        <v/>
      </c>
      <c r="HY24" s="121" t="str">
        <f>IF(ISBLANK(tbl_task1[[คะแนนเต็ม]:[คะแนนเต็ม]]),"",(tbl_task1[63]/tbl_task1[[คะแนนเต็ม]:[คะแนนเต็ม]])*tbl_task1[[%]:[%]])</f>
        <v/>
      </c>
      <c r="HZ24" s="121" t="str">
        <f>IF(ISBLANK(tbl_task1[[คะแนนเต็ม]:[คะแนนเต็ม]]),"",(tbl_task1[64]/tbl_task1[[คะแนนเต็ม]:[คะแนนเต็ม]])*tbl_task1[[%]:[%]])</f>
        <v/>
      </c>
      <c r="IA24" s="121" t="str">
        <f>IF(ISBLANK(tbl_task1[[คะแนนเต็ม]:[คะแนนเต็ม]]),"",(tbl_task1[65]/tbl_task1[[คะแนนเต็ม]:[คะแนนเต็ม]])*tbl_task1[[%]:[%]])</f>
        <v/>
      </c>
      <c r="IB24" s="121" t="str">
        <f>IF(ISBLANK(tbl_task1[[คะแนนเต็ม]:[คะแนนเต็ม]]),"",(tbl_task1[66]/tbl_task1[[คะแนนเต็ม]:[คะแนนเต็ม]])*tbl_task1[[%]:[%]])</f>
        <v/>
      </c>
      <c r="IC24" s="121" t="str">
        <f>IF(ISBLANK(tbl_task1[[คะแนนเต็ม]:[คะแนนเต็ม]]),"",(tbl_task1[67]/tbl_task1[[คะแนนเต็ม]:[คะแนนเต็ม]])*tbl_task1[[%]:[%]])</f>
        <v/>
      </c>
      <c r="ID24" s="121" t="str">
        <f>IF(ISBLANK(tbl_task1[[คะแนนเต็ม]:[คะแนนเต็ม]]),"",(tbl_task1[68]/tbl_task1[[คะแนนเต็ม]:[คะแนนเต็ม]])*tbl_task1[[%]:[%]])</f>
        <v/>
      </c>
      <c r="IE24" s="121" t="str">
        <f>IF(ISBLANK(tbl_task1[[คะแนนเต็ม]:[คะแนนเต็ม]]),"",(tbl_task1[69]/tbl_task1[[คะแนนเต็ม]:[คะแนนเต็ม]])*tbl_task1[[%]:[%]])</f>
        <v/>
      </c>
      <c r="IF24" s="121" t="str">
        <f>IF(ISBLANK(tbl_task1[[คะแนนเต็ม]:[คะแนนเต็ม]]),"",(tbl_task1[70]/tbl_task1[[คะแนนเต็ม]:[คะแนนเต็ม]])*tbl_task1[[%]:[%]])</f>
        <v/>
      </c>
      <c r="IG24" s="121" t="str">
        <f>IF(ISBLANK(tbl_task1[[คะแนนเต็ม]:[คะแนนเต็ม]]),"",(tbl_task1[71]/tbl_task1[[คะแนนเต็ม]:[คะแนนเต็ม]])*tbl_task1[[%]:[%]])</f>
        <v/>
      </c>
      <c r="IH24" s="121" t="str">
        <f>IF(ISBLANK(tbl_task1[[คะแนนเต็ม]:[คะแนนเต็ม]]),"",(tbl_task1[72]/tbl_task1[[คะแนนเต็ม]:[คะแนนเต็ม]])*tbl_task1[[%]:[%]])</f>
        <v/>
      </c>
      <c r="II24" s="121" t="str">
        <f>IF(ISBLANK(tbl_task1[[คะแนนเต็ม]:[คะแนนเต็ม]]),"",(tbl_task1[73]/tbl_task1[[คะแนนเต็ม]:[คะแนนเต็ม]])*tbl_task1[[%]:[%]])</f>
        <v/>
      </c>
      <c r="IJ24" s="121" t="str">
        <f>IF(ISBLANK(tbl_task1[[คะแนนเต็ม]:[คะแนนเต็ม]]),"",(tbl_task1[74]/tbl_task1[[คะแนนเต็ม]:[คะแนนเต็ม]])*tbl_task1[[%]:[%]])</f>
        <v/>
      </c>
      <c r="IK24" s="121" t="str">
        <f>IF(ISBLANK(tbl_task1[[คะแนนเต็ม]:[คะแนนเต็ม]]),"",(tbl_task1[75]/tbl_task1[[คะแนนเต็ม]:[คะแนนเต็ม]])*tbl_task1[[%]:[%]])</f>
        <v/>
      </c>
      <c r="IL24" s="121" t="str">
        <f>IF(ISBLANK(tbl_task1[[คะแนนเต็ม]:[คะแนนเต็ม]]),"",(tbl_task1[76]/tbl_task1[[คะแนนเต็ม]:[คะแนนเต็ม]])*tbl_task1[[%]:[%]])</f>
        <v/>
      </c>
      <c r="IM24" s="121" t="str">
        <f>IF(ISBLANK(tbl_task1[[คะแนนเต็ม]:[คะแนนเต็ม]]),"",(tbl_task1[77]/tbl_task1[[คะแนนเต็ม]:[คะแนนเต็ม]])*tbl_task1[[%]:[%]])</f>
        <v/>
      </c>
      <c r="IN24" s="121" t="str">
        <f>IF(ISBLANK(tbl_task1[[คะแนนเต็ม]:[คะแนนเต็ม]]),"",(tbl_task1[78]/tbl_task1[[คะแนนเต็ม]:[คะแนนเต็ม]])*tbl_task1[[%]:[%]])</f>
        <v/>
      </c>
      <c r="IO24" s="121" t="str">
        <f>IF(ISBLANK(tbl_task1[[คะแนนเต็ม]:[คะแนนเต็ม]]),"",(tbl_task1[79]/tbl_task1[[คะแนนเต็ม]:[คะแนนเต็ม]])*tbl_task1[[%]:[%]])</f>
        <v/>
      </c>
      <c r="IP24" s="121" t="str">
        <f>IF(ISBLANK(tbl_task1[[คะแนนเต็ม]:[คะแนนเต็ม]]),"",(tbl_task1[80]/tbl_task1[[คะแนนเต็ม]:[คะแนนเต็ม]])*tbl_task1[[%]:[%]])</f>
        <v/>
      </c>
      <c r="IQ24" s="121" t="str">
        <f>IF(ISBLANK(tbl_task1[[คะแนนเต็ม]:[คะแนนเต็ม]]),"",(tbl_task1[81]/tbl_task1[[คะแนนเต็ม]:[คะแนนเต็ม]])*tbl_task1[[%]:[%]])</f>
        <v/>
      </c>
      <c r="IR24" s="121" t="str">
        <f>IF(ISBLANK(tbl_task1[[คะแนนเต็ม]:[คะแนนเต็ม]]),"",(tbl_task1[82]/tbl_task1[[คะแนนเต็ม]:[คะแนนเต็ม]])*tbl_task1[[%]:[%]])</f>
        <v/>
      </c>
      <c r="IS24" s="121" t="str">
        <f>IF(ISBLANK(tbl_task1[[คะแนนเต็ม]:[คะแนนเต็ม]]),"",(tbl_task1[83]/tbl_task1[[คะแนนเต็ม]:[คะแนนเต็ม]])*tbl_task1[[%]:[%]])</f>
        <v/>
      </c>
      <c r="IT24" s="121" t="str">
        <f>IF(ISBLANK(tbl_task1[[คะแนนเต็ม]:[คะแนนเต็ม]]),"",(tbl_task1[84]/tbl_task1[[คะแนนเต็ม]:[คะแนนเต็ม]])*tbl_task1[[%]:[%]])</f>
        <v/>
      </c>
      <c r="IU24" s="121" t="str">
        <f>IF(ISBLANK(tbl_task1[[คะแนนเต็ม]:[คะแนนเต็ม]]),"",(tbl_task1[85]/tbl_task1[[คะแนนเต็ม]:[คะแนนเต็ม]])*tbl_task1[[%]:[%]])</f>
        <v/>
      </c>
      <c r="IV24" s="121" t="str">
        <f>IF(ISBLANK(tbl_task1[[คะแนนเต็ม]:[คะแนนเต็ม]]),"",(tbl_task1[86]/tbl_task1[[คะแนนเต็ม]:[คะแนนเต็ม]])*tbl_task1[[%]:[%]])</f>
        <v/>
      </c>
      <c r="IW24" s="121" t="str">
        <f>IF(ISBLANK(tbl_task1[[คะแนนเต็ม]:[คะแนนเต็ม]]),"",(tbl_task1[87]/tbl_task1[[คะแนนเต็ม]:[คะแนนเต็ม]])*tbl_task1[[%]:[%]])</f>
        <v/>
      </c>
      <c r="IX24" s="121" t="str">
        <f>IF(ISBLANK(tbl_task1[[คะแนนเต็ม]:[คะแนนเต็ม]]),"",(tbl_task1[88]/tbl_task1[[คะแนนเต็ม]:[คะแนนเต็ม]])*tbl_task1[[%]:[%]])</f>
        <v/>
      </c>
      <c r="IY24" s="121" t="str">
        <f>IF(ISBLANK(tbl_task1[[คะแนนเต็ม]:[คะแนนเต็ม]]),"",(tbl_task1[89]/tbl_task1[[คะแนนเต็ม]:[คะแนนเต็ม]])*tbl_task1[[%]:[%]])</f>
        <v/>
      </c>
      <c r="IZ24" s="121" t="str">
        <f>IF(ISBLANK(tbl_task1[[คะแนนเต็ม]:[คะแนนเต็ม]]),"",(tbl_task1[90]/tbl_task1[[คะแนนเต็ม]:[คะแนนเต็ม]])*tbl_task1[[%]:[%]])</f>
        <v/>
      </c>
      <c r="JA24" s="121" t="str">
        <f>IF(ISBLANK(tbl_task1[[คะแนนเต็ม]:[คะแนนเต็ม]]),"",(tbl_task1[91]/tbl_task1[[คะแนนเต็ม]:[คะแนนเต็ม]])*tbl_task1[[%]:[%]])</f>
        <v/>
      </c>
      <c r="JB24" s="121" t="str">
        <f>IF(ISBLANK(tbl_task1[[คะแนนเต็ม]:[คะแนนเต็ม]]),"",(tbl_task1[92]/tbl_task1[[คะแนนเต็ม]:[คะแนนเต็ม]])*tbl_task1[[%]:[%]])</f>
        <v/>
      </c>
      <c r="JC24" s="121" t="str">
        <f>IF(ISBLANK(tbl_task1[[คะแนนเต็ม]:[คะแนนเต็ม]]),"",(tbl_task1[93]/tbl_task1[[คะแนนเต็ม]:[คะแนนเต็ม]])*tbl_task1[[%]:[%]])</f>
        <v/>
      </c>
      <c r="JD24" s="121" t="str">
        <f>IF(ISBLANK(tbl_task1[[คะแนนเต็ม]:[คะแนนเต็ม]]),"",(tbl_task1[94]/tbl_task1[[คะแนนเต็ม]:[คะแนนเต็ม]])*tbl_task1[[%]:[%]])</f>
        <v/>
      </c>
      <c r="JE24" s="121" t="str">
        <f>IF(ISBLANK(tbl_task1[[คะแนนเต็ม]:[คะแนนเต็ม]]),"",(tbl_task1[95]/tbl_task1[[คะแนนเต็ม]:[คะแนนเต็ม]])*tbl_task1[[%]:[%]])</f>
        <v/>
      </c>
      <c r="JF24" s="121" t="str">
        <f>IF(ISBLANK(tbl_task1[[คะแนนเต็ม]:[คะแนนเต็ม]]),"",(tbl_task1[96]/tbl_task1[[คะแนนเต็ม]:[คะแนนเต็ม]])*tbl_task1[[%]:[%]])</f>
        <v/>
      </c>
      <c r="JG24" s="121" t="str">
        <f>IF(ISBLANK(tbl_task1[[คะแนนเต็ม]:[คะแนนเต็ม]]),"",(tbl_task1[97]/tbl_task1[[คะแนนเต็ม]:[คะแนนเต็ม]])*tbl_task1[[%]:[%]])</f>
        <v/>
      </c>
      <c r="JH24" s="121" t="str">
        <f>IF(ISBLANK(tbl_task1[[คะแนนเต็ม]:[คะแนนเต็ม]]),"",(tbl_task1[98]/tbl_task1[[คะแนนเต็ม]:[คะแนนเต็ม]])*tbl_task1[[%]:[%]])</f>
        <v/>
      </c>
      <c r="JI24" s="121" t="str">
        <f>IF(ISBLANK(tbl_task1[[คะแนนเต็ม]:[คะแนนเต็ม]]),"",(tbl_task1[99]/tbl_task1[[คะแนนเต็ม]:[คะแนนเต็ม]])*tbl_task1[[%]:[%]])</f>
        <v/>
      </c>
      <c r="JJ24" s="121" t="str">
        <f>IF(ISBLANK(tbl_task1[[คะแนนเต็ม]:[คะแนนเต็ม]]),"",(tbl_task1[100]/tbl_task1[[คะแนนเต็ม]:[คะแนนเต็ม]])*tbl_task1[[%]:[%]])</f>
        <v/>
      </c>
      <c r="JK24" s="121" t="str">
        <f>IF(ISBLANK(tbl_task1[[คะแนนเต็ม]:[คะแนนเต็ม]]),"",(tbl_task1[101]/tbl_task1[[คะแนนเต็ม]:[คะแนนเต็ม]])*tbl_task1[[%]:[%]])</f>
        <v/>
      </c>
      <c r="JL24" s="121" t="str">
        <f>IF(ISBLANK(tbl_task1[[คะแนนเต็ม]:[คะแนนเต็ม]]),"",(tbl_task1[102]/tbl_task1[[คะแนนเต็ม]:[คะแนนเต็ม]])*tbl_task1[[%]:[%]])</f>
        <v/>
      </c>
      <c r="JM24" s="121" t="str">
        <f>IF(ISBLANK(tbl_task1[[คะแนนเต็ม]:[คะแนนเต็ม]]),"",(tbl_task1[103]/tbl_task1[[คะแนนเต็ม]:[คะแนนเต็ม]])*tbl_task1[[%]:[%]])</f>
        <v/>
      </c>
      <c r="JN24" s="121" t="str">
        <f>IF(ISBLANK(tbl_task1[[คะแนนเต็ม]:[คะแนนเต็ม]]),"",(tbl_task1[104]/tbl_task1[[คะแนนเต็ม]:[คะแนนเต็ม]])*tbl_task1[[%]:[%]])</f>
        <v/>
      </c>
      <c r="JO24" s="121" t="str">
        <f>IF(ISBLANK(tbl_task1[[คะแนนเต็ม]:[คะแนนเต็ม]]),"",(tbl_task1[105]/tbl_task1[[คะแนนเต็ม]:[คะแนนเต็ม]])*tbl_task1[[%]:[%]])</f>
        <v/>
      </c>
      <c r="JP24" s="121" t="str">
        <f>IF(ISBLANK(tbl_task1[[คะแนนเต็ม]:[คะแนนเต็ม]]),"",(tbl_task1[106]/tbl_task1[[คะแนนเต็ม]:[คะแนนเต็ม]])*tbl_task1[[%]:[%]])</f>
        <v/>
      </c>
      <c r="JQ24" s="121" t="str">
        <f>IF(ISBLANK(tbl_task1[[คะแนนเต็ม]:[คะแนนเต็ม]]),"",(tbl_task1[107]/tbl_task1[[คะแนนเต็ม]:[คะแนนเต็ม]])*tbl_task1[[%]:[%]])</f>
        <v/>
      </c>
      <c r="JR24" s="121" t="str">
        <f>IF(ISBLANK(tbl_task1[[คะแนนเต็ม]:[คะแนนเต็ม]]),"",(tbl_task1[108]/tbl_task1[[คะแนนเต็ม]:[คะแนนเต็ม]])*tbl_task1[[%]:[%]])</f>
        <v/>
      </c>
      <c r="JS24" s="121" t="str">
        <f>IF(ISBLANK(tbl_task1[[คะแนนเต็ม]:[คะแนนเต็ม]]),"",(tbl_task1[109]/tbl_task1[[คะแนนเต็ม]:[คะแนนเต็ม]])*tbl_task1[[%]:[%]])</f>
        <v/>
      </c>
      <c r="JT24" s="121" t="str">
        <f>IF(ISBLANK(tbl_task1[[คะแนนเต็ม]:[คะแนนเต็ม]]),"",(tbl_task1[110]/tbl_task1[[คะแนนเต็ม]:[คะแนนเต็ม]])*tbl_task1[[%]:[%]])</f>
        <v/>
      </c>
      <c r="JU24" s="121" t="str">
        <f>IF(ISBLANK(tbl_task1[[คะแนนเต็ม]:[คะแนนเต็ม]]),"",(tbl_task1[111]/tbl_task1[[คะแนนเต็ม]:[คะแนนเต็ม]])*tbl_task1[[%]:[%]])</f>
        <v/>
      </c>
      <c r="JV24" s="121" t="str">
        <f>IF(ISBLANK(tbl_task1[[คะแนนเต็ม]:[คะแนนเต็ม]]),"",(tbl_task1[112]/tbl_task1[[คะแนนเต็ม]:[คะแนนเต็ม]])*tbl_task1[[%]:[%]])</f>
        <v/>
      </c>
      <c r="JW24" s="121" t="str">
        <f>IF(ISBLANK(tbl_task1[[คะแนนเต็ม]:[คะแนนเต็ม]]),"",(tbl_task1[113]/tbl_task1[[คะแนนเต็ม]:[คะแนนเต็ม]])*tbl_task1[[%]:[%]])</f>
        <v/>
      </c>
      <c r="JX24" s="121" t="str">
        <f>IF(ISBLANK(tbl_task1[[คะแนนเต็ม]:[คะแนนเต็ม]]),"",(tbl_task1[114]/tbl_task1[[คะแนนเต็ม]:[คะแนนเต็ม]])*tbl_task1[[%]:[%]])</f>
        <v/>
      </c>
      <c r="JY24" s="121" t="str">
        <f>IF(ISBLANK(tbl_task1[[คะแนนเต็ม]:[คะแนนเต็ม]]),"",(tbl_task1[115]/tbl_task1[[คะแนนเต็ม]:[คะแนนเต็ม]])*tbl_task1[[%]:[%]])</f>
        <v/>
      </c>
      <c r="JZ24" s="121" t="str">
        <f>IF(ISBLANK(tbl_task1[[คะแนนเต็ม]:[คะแนนเต็ม]]),"",(tbl_task1[116]/tbl_task1[[คะแนนเต็ม]:[คะแนนเต็ม]])*tbl_task1[[%]:[%]])</f>
        <v/>
      </c>
      <c r="KA24" s="121" t="str">
        <f>IF(ISBLANK(tbl_task1[[คะแนนเต็ม]:[คะแนนเต็ม]]),"",(tbl_task1[117]/tbl_task1[[คะแนนเต็ม]:[คะแนนเต็ม]])*tbl_task1[[%]:[%]])</f>
        <v/>
      </c>
      <c r="KB24" s="121" t="str">
        <f>IF(ISBLANK(tbl_task1[[คะแนนเต็ม]:[คะแนนเต็ม]]),"",(tbl_task1[118]/tbl_task1[[คะแนนเต็ม]:[คะแนนเต็ม]])*tbl_task1[[%]:[%]])</f>
        <v/>
      </c>
      <c r="KC24" s="121" t="str">
        <f>IF(ISBLANK(tbl_task1[[คะแนนเต็ม]:[คะแนนเต็ม]]),"",(tbl_task1[119]/tbl_task1[[คะแนนเต็ม]:[คะแนนเต็ม]])*tbl_task1[[%]:[%]])</f>
        <v/>
      </c>
      <c r="KD24" s="121" t="str">
        <f>IF(ISBLANK(tbl_task1[[คะแนนเต็ม]:[คะแนนเต็ม]]),"",(tbl_task1[120]/tbl_task1[[คะแนนเต็ม]:[คะแนนเต็ม]])*tbl_task1[[%]:[%]])</f>
        <v/>
      </c>
      <c r="KE24" s="121" t="str">
        <f>IF(ISBLANK(tbl_task1[[คะแนนเต็ม]:[คะแนนเต็ม]]),"",(tbl_task1[121]/tbl_task1[[คะแนนเต็ม]:[คะแนนเต็ม]])*tbl_task1[[%]:[%]])</f>
        <v/>
      </c>
      <c r="KF24" s="121" t="str">
        <f>IF(ISBLANK(tbl_task1[[คะแนนเต็ม]:[คะแนนเต็ม]]),"",(tbl_task1[122]/tbl_task1[[คะแนนเต็ม]:[คะแนนเต็ม]])*tbl_task1[[%]:[%]])</f>
        <v/>
      </c>
      <c r="KG24" s="121" t="str">
        <f>IF(ISBLANK(tbl_task1[[คะแนนเต็ม]:[คะแนนเต็ม]]),"",(tbl_task1[123]/tbl_task1[[คะแนนเต็ม]:[คะแนนเต็ม]])*tbl_task1[[%]:[%]])</f>
        <v/>
      </c>
      <c r="KH24" s="121" t="str">
        <f>IF(ISBLANK(tbl_task1[[คะแนนเต็ม]:[คะแนนเต็ม]]),"",(tbl_task1[124]/tbl_task1[[คะแนนเต็ม]:[คะแนนเต็ม]])*tbl_task1[[%]:[%]])</f>
        <v/>
      </c>
      <c r="KI24" s="121" t="str">
        <f>IF(ISBLANK(tbl_task1[[คะแนนเต็ม]:[คะแนนเต็ม]]),"",(tbl_task1[125]/tbl_task1[[คะแนนเต็ม]:[คะแนนเต็ม]])*tbl_task1[[%]:[%]])</f>
        <v/>
      </c>
      <c r="KJ24" s="121" t="str">
        <f>IF(ISBLANK(tbl_task1[[คะแนนเต็ม]:[คะแนนเต็ม]]),"",(tbl_task1[126]/tbl_task1[[คะแนนเต็ม]:[คะแนนเต็ม]])*tbl_task1[[%]:[%]])</f>
        <v/>
      </c>
      <c r="KK24" s="121" t="str">
        <f>IF(ISBLANK(tbl_task1[[คะแนนเต็ม]:[คะแนนเต็ม]]),"",(tbl_task1[127]/tbl_task1[[คะแนนเต็ม]:[คะแนนเต็ม]])*tbl_task1[[%]:[%]])</f>
        <v/>
      </c>
      <c r="KL24" s="121" t="str">
        <f>IF(ISBLANK(tbl_task1[[คะแนนเต็ม]:[คะแนนเต็ม]]),"",(tbl_task1[128]/tbl_task1[[คะแนนเต็ม]:[คะแนนเต็ม]])*tbl_task1[[%]:[%]])</f>
        <v/>
      </c>
      <c r="KM24" s="121" t="str">
        <f>IF(ISBLANK(tbl_task1[[คะแนนเต็ม]:[คะแนนเต็ม]]),"",(tbl_task1[129]/tbl_task1[[คะแนนเต็ม]:[คะแนนเต็ม]])*tbl_task1[[%]:[%]])</f>
        <v/>
      </c>
      <c r="KN24" s="121" t="str">
        <f>IF(ISBLANK(tbl_task1[[คะแนนเต็ม]:[คะแนนเต็ม]]),"",(tbl_task1[130]/tbl_task1[[คะแนนเต็ม]:[คะแนนเต็ม]])*tbl_task1[[%]:[%]])</f>
        <v/>
      </c>
      <c r="KO24" s="121" t="str">
        <f>IF(ISBLANK(tbl_task1[[คะแนนเต็ม]:[คะแนนเต็ม]]),"",(tbl_task1[131]/tbl_task1[[คะแนนเต็ม]:[คะแนนเต็ม]])*tbl_task1[[%]:[%]])</f>
        <v/>
      </c>
      <c r="KP24" s="121" t="str">
        <f>IF(ISBLANK(tbl_task1[[คะแนนเต็ม]:[คะแนนเต็ม]]),"",(tbl_task1[132]/tbl_task1[[คะแนนเต็ม]:[คะแนนเต็ม]])*tbl_task1[[%]:[%]])</f>
        <v/>
      </c>
      <c r="KQ24" s="121" t="str">
        <f>IF(ISBLANK(tbl_task1[[คะแนนเต็ม]:[คะแนนเต็ม]]),"",(tbl_task1[133]/tbl_task1[[คะแนนเต็ม]:[คะแนนเต็ม]])*tbl_task1[[%]:[%]])</f>
        <v/>
      </c>
      <c r="KR24" s="121" t="str">
        <f>IF(ISBLANK(tbl_task1[[คะแนนเต็ม]:[คะแนนเต็ม]]),"",(tbl_task1[134]/tbl_task1[[คะแนนเต็ม]:[คะแนนเต็ม]])*tbl_task1[[%]:[%]])</f>
        <v/>
      </c>
      <c r="KS24" s="121" t="str">
        <f>IF(ISBLANK(tbl_task1[[คะแนนเต็ม]:[คะแนนเต็ม]]),"",(tbl_task1[135]/tbl_task1[[คะแนนเต็ม]:[คะแนนเต็ม]])*tbl_task1[[%]:[%]])</f>
        <v/>
      </c>
      <c r="KT24" s="121" t="str">
        <f>IF(ISBLANK(tbl_task1[[คะแนนเต็ม]:[คะแนนเต็ม]]),"",(tbl_task1[136]/tbl_task1[[คะแนนเต็ม]:[คะแนนเต็ม]])*tbl_task1[[%]:[%]])</f>
        <v/>
      </c>
      <c r="KU24" s="121" t="str">
        <f>IF(ISBLANK(tbl_task1[[คะแนนเต็ม]:[คะแนนเต็ม]]),"",(tbl_task1[137]/tbl_task1[[คะแนนเต็ม]:[คะแนนเต็ม]])*tbl_task1[[%]:[%]])</f>
        <v/>
      </c>
      <c r="KV24" s="121" t="str">
        <f>IF(ISBLANK(tbl_task1[[คะแนนเต็ม]:[คะแนนเต็ม]]),"",(tbl_task1[138]/tbl_task1[[คะแนนเต็ม]:[คะแนนเต็ม]])*tbl_task1[[%]:[%]])</f>
        <v/>
      </c>
      <c r="KW24" s="121" t="str">
        <f>IF(ISBLANK(tbl_task1[[คะแนนเต็ม]:[คะแนนเต็ม]]),"",(tbl_task1[139]/tbl_task1[[คะแนนเต็ม]:[คะแนนเต็ม]])*tbl_task1[[%]:[%]])</f>
        <v/>
      </c>
      <c r="KX24" s="121" t="str">
        <f>IF(ISBLANK(tbl_task1[[คะแนนเต็ม]:[คะแนนเต็ม]]),"",(tbl_task1[140]/tbl_task1[[คะแนนเต็ม]:[คะแนนเต็ม]])*tbl_task1[[%]:[%]])</f>
        <v/>
      </c>
      <c r="KY24" s="121" t="str">
        <f>IF(ISBLANK(tbl_task1[[คะแนนเต็ม]:[คะแนนเต็ม]]),"",(tbl_task1[141]/tbl_task1[[คะแนนเต็ม]:[คะแนนเต็ม]])*tbl_task1[[%]:[%]])</f>
        <v/>
      </c>
      <c r="KZ24" s="121" t="str">
        <f>IF(ISBLANK(tbl_task1[[คะแนนเต็ม]:[คะแนนเต็ม]]),"",(tbl_task1[142]/tbl_task1[[คะแนนเต็ม]:[คะแนนเต็ม]])*tbl_task1[[%]:[%]])</f>
        <v/>
      </c>
      <c r="LA24" s="121" t="str">
        <f>IF(ISBLANK(tbl_task1[[คะแนนเต็ม]:[คะแนนเต็ม]]),"",(tbl_task1[143]/tbl_task1[[คะแนนเต็ม]:[คะแนนเต็ม]])*tbl_task1[[%]:[%]])</f>
        <v/>
      </c>
      <c r="LB24" s="121" t="str">
        <f>IF(ISBLANK(tbl_task1[[คะแนนเต็ม]:[คะแนนเต็ม]]),"",(tbl_task1[144]/tbl_task1[[คะแนนเต็ม]:[คะแนนเต็ม]])*tbl_task1[[%]:[%]])</f>
        <v/>
      </c>
      <c r="LC24" s="121" t="str">
        <f>IF(ISBLANK(tbl_task1[[คะแนนเต็ม]:[คะแนนเต็ม]]),"",(tbl_task1[145]/tbl_task1[[คะแนนเต็ม]:[คะแนนเต็ม]])*tbl_task1[[%]:[%]])</f>
        <v/>
      </c>
      <c r="LD24" s="121" t="str">
        <f>IF(ISBLANK(tbl_task1[[คะแนนเต็ม]:[คะแนนเต็ม]]),"",(tbl_task1[146]/tbl_task1[[คะแนนเต็ม]:[คะแนนเต็ม]])*tbl_task1[[%]:[%]])</f>
        <v/>
      </c>
      <c r="LE24" s="121" t="str">
        <f>IF(ISBLANK(tbl_task1[[คะแนนเต็ม]:[คะแนนเต็ม]]),"",(tbl_task1[147]/tbl_task1[[คะแนนเต็ม]:[คะแนนเต็ม]])*tbl_task1[[%]:[%]])</f>
        <v/>
      </c>
      <c r="LF24" s="121" t="str">
        <f>IF(ISBLANK(tbl_task1[[คะแนนเต็ม]:[คะแนนเต็ม]]),"",(tbl_task1[148]/tbl_task1[[คะแนนเต็ม]:[คะแนนเต็ม]])*tbl_task1[[%]:[%]])</f>
        <v/>
      </c>
      <c r="LG24" s="121" t="str">
        <f>IF(ISBLANK(tbl_task1[[คะแนนเต็ม]:[คะแนนเต็ม]]),"",(tbl_task1[149]/tbl_task1[[คะแนนเต็ม]:[คะแนนเต็ม]])*tbl_task1[[%]:[%]])</f>
        <v/>
      </c>
      <c r="LH24" s="121" t="str">
        <f>IF(ISBLANK(tbl_task1[[คะแนนเต็ม]:[คะแนนเต็ม]]),"",(tbl_task1[150]/tbl_task1[[คะแนนเต็ม]:[คะแนนเต็ม]])*tbl_task1[[%]:[%]])</f>
        <v/>
      </c>
      <c r="LI24" s="121" t="str">
        <f>IF(ISBLANK(tbl_task1[[คะแนนเต็ม]:[คะแนนเต็ม]]),"",(tbl_task1[151]/tbl_task1[[คะแนนเต็ม]:[คะแนนเต็ม]])*tbl_task1[[%]:[%]])</f>
        <v/>
      </c>
      <c r="LJ24" s="121" t="str">
        <f>IF(ISBLANK(tbl_task1[[คะแนนเต็ม]:[คะแนนเต็ม]]),"",(tbl_task1[152]/tbl_task1[[คะแนนเต็ม]:[คะแนนเต็ม]])*tbl_task1[[%]:[%]])</f>
        <v/>
      </c>
      <c r="LK24" s="121" t="str">
        <f>IF(ISBLANK(tbl_task1[[คะแนนเต็ม]:[คะแนนเต็ม]]),"",(tbl_task1[153]/tbl_task1[[คะแนนเต็ม]:[คะแนนเต็ม]])*tbl_task1[[%]:[%]])</f>
        <v/>
      </c>
      <c r="LL24" s="121" t="str">
        <f>IF(ISBLANK(tbl_task1[[คะแนนเต็ม]:[คะแนนเต็ม]]),"",(tbl_task1[154]/tbl_task1[[คะแนนเต็ม]:[คะแนนเต็ม]])*tbl_task1[[%]:[%]])</f>
        <v/>
      </c>
      <c r="LM24" s="121" t="str">
        <f>IF(ISBLANK(tbl_task1[[คะแนนเต็ม]:[คะแนนเต็ม]]),"",(tbl_task1[155]/tbl_task1[[คะแนนเต็ม]:[คะแนนเต็ม]])*tbl_task1[[%]:[%]])</f>
        <v/>
      </c>
      <c r="LN24" s="121" t="str">
        <f>IF(ISBLANK(tbl_task1[[คะแนนเต็ม]:[คะแนนเต็ม]]),"",(tbl_task1[156]/tbl_task1[[คะแนนเต็ม]:[คะแนนเต็ม]])*tbl_task1[[%]:[%]])</f>
        <v/>
      </c>
      <c r="LO24" s="121" t="str">
        <f>IF(ISBLANK(tbl_task1[[คะแนนเต็ม]:[คะแนนเต็ม]]),"",(tbl_task1[157]/tbl_task1[[คะแนนเต็ม]:[คะแนนเต็ม]])*tbl_task1[[%]:[%]])</f>
        <v/>
      </c>
      <c r="LP24" s="121" t="str">
        <f>IF(ISBLANK(tbl_task1[[คะแนนเต็ม]:[คะแนนเต็ม]]),"",(tbl_task1[158]/tbl_task1[[คะแนนเต็ม]:[คะแนนเต็ม]])*tbl_task1[[%]:[%]])</f>
        <v/>
      </c>
      <c r="LQ24" s="121" t="str">
        <f>IF(ISBLANK(tbl_task1[[คะแนนเต็ม]:[คะแนนเต็ม]]),"",(tbl_task1[159]/tbl_task1[[คะแนนเต็ม]:[คะแนนเต็ม]])*tbl_task1[[%]:[%]])</f>
        <v/>
      </c>
      <c r="LR24" s="121" t="str">
        <f>IF(ISBLANK(tbl_task1[[คะแนนเต็ม]:[คะแนนเต็ม]]),"",(tbl_task1[160]/tbl_task1[[คะแนนเต็ม]:[คะแนนเต็ม]])*tbl_task1[[%]:[%]])</f>
        <v/>
      </c>
      <c r="LS24" s="121" t="str">
        <f>IF(ISBLANK(tbl_task1[[คะแนนเต็ม]:[คะแนนเต็ม]]),"",(tbl_task1[161]/tbl_task1[[คะแนนเต็ม]:[คะแนนเต็ม]])*tbl_task1[[%]:[%]])</f>
        <v/>
      </c>
      <c r="LT24" s="121" t="str">
        <f>IF(ISBLANK(tbl_task1[[คะแนนเต็ม]:[คะแนนเต็ม]]),"",(tbl_task1[162]/tbl_task1[[คะแนนเต็ม]:[คะแนนเต็ม]])*tbl_task1[[%]:[%]])</f>
        <v/>
      </c>
      <c r="LU24" s="121" t="str">
        <f>IF(ISBLANK(tbl_task1[[คะแนนเต็ม]:[คะแนนเต็ม]]),"",(tbl_task1[163]/tbl_task1[[คะแนนเต็ม]:[คะแนนเต็ม]])*tbl_task1[[%]:[%]])</f>
        <v/>
      </c>
      <c r="LV24" s="121" t="str">
        <f>IF(ISBLANK(tbl_task1[[คะแนนเต็ม]:[คะแนนเต็ม]]),"",(tbl_task1[164]/tbl_task1[[คะแนนเต็ม]:[คะแนนเต็ม]])*tbl_task1[[%]:[%]])</f>
        <v/>
      </c>
      <c r="LW24" s="121" t="str">
        <f>IF(ISBLANK(tbl_task1[[คะแนนเต็ม]:[คะแนนเต็ม]]),"",(tbl_task1[165]/tbl_task1[[คะแนนเต็ม]:[คะแนนเต็ม]])*tbl_task1[[%]:[%]])</f>
        <v/>
      </c>
    </row>
    <row r="25" spans="1:335" ht="24" customHeight="1" x14ac:dyDescent="0.25">
      <c r="A25" s="24">
        <v>22</v>
      </c>
      <c r="B25" s="20"/>
      <c r="C25" s="5" t="str">
        <f>IF(ISBLANK(B25),"",VLOOKUP(B25,tbl_PLOs[],2,0))</f>
        <v/>
      </c>
      <c r="D25" s="102"/>
      <c r="E25" s="106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21" t="str">
        <f>IF(ISBLANK(tbl_task1[[คะแนนเต็ม]:[คะแนนเต็ม]]),"",(tbl_task1[1]/tbl_task1[[คะแนนเต็ม]:[คะแนนเต็ม]])*tbl_task1[[%]:[%]])</f>
        <v/>
      </c>
      <c r="FP25" s="121" t="str">
        <f>IF(ISBLANK(tbl_task1[[คะแนนเต็ม]:[คะแนนเต็ม]]),"",(tbl_task1[2]/tbl_task1[[คะแนนเต็ม]:[คะแนนเต็ม]])*tbl_task1[[%]:[%]])</f>
        <v/>
      </c>
      <c r="FQ25" s="121" t="str">
        <f>IF(ISBLANK(tbl_task1[[คะแนนเต็ม]:[คะแนนเต็ม]]),"",(tbl_task1[3]/tbl_task1[[คะแนนเต็ม]:[คะแนนเต็ม]])*tbl_task1[[%]:[%]])</f>
        <v/>
      </c>
      <c r="FR25" s="121" t="str">
        <f>IF(ISBLANK(tbl_task1[[คะแนนเต็ม]:[คะแนนเต็ม]]),"",(tbl_task1[4]/tbl_task1[[คะแนนเต็ม]:[คะแนนเต็ม]])*tbl_task1[[%]:[%]])</f>
        <v/>
      </c>
      <c r="FS25" s="121" t="str">
        <f>IF(ISBLANK(tbl_task1[[คะแนนเต็ม]:[คะแนนเต็ม]]),"",(tbl_task1[5]/tbl_task1[[คะแนนเต็ม]:[คะแนนเต็ม]])*tbl_task1[[%]:[%]])</f>
        <v/>
      </c>
      <c r="FT25" s="121" t="str">
        <f>IF(ISBLANK(tbl_task1[[คะแนนเต็ม]:[คะแนนเต็ม]]),"",(tbl_task1[6]/tbl_task1[[คะแนนเต็ม]:[คะแนนเต็ม]])*tbl_task1[[%]:[%]])</f>
        <v/>
      </c>
      <c r="FU25" s="121" t="str">
        <f>IF(ISBLANK(tbl_task1[[คะแนนเต็ม]:[คะแนนเต็ม]]),"",(tbl_task1[7]/tbl_task1[[คะแนนเต็ม]:[คะแนนเต็ม]])*tbl_task1[[%]:[%]])</f>
        <v/>
      </c>
      <c r="FV25" s="121" t="str">
        <f>IF(ISBLANK(tbl_task1[[คะแนนเต็ม]:[คะแนนเต็ม]]),"",(tbl_task1[8]/tbl_task1[[คะแนนเต็ม]:[คะแนนเต็ม]])*tbl_task1[[%]:[%]])</f>
        <v/>
      </c>
      <c r="FW25" s="121" t="str">
        <f>IF(ISBLANK(tbl_task1[[คะแนนเต็ม]:[คะแนนเต็ม]]),"",(tbl_task1[9]/tbl_task1[[คะแนนเต็ม]:[คะแนนเต็ม]])*tbl_task1[[%]:[%]])</f>
        <v/>
      </c>
      <c r="FX25" s="121" t="str">
        <f>IF(ISBLANK(tbl_task1[[คะแนนเต็ม]:[คะแนนเต็ม]]),"",(tbl_task1[10]/tbl_task1[[คะแนนเต็ม]:[คะแนนเต็ม]])*tbl_task1[[%]:[%]])</f>
        <v/>
      </c>
      <c r="FY25" s="121" t="str">
        <f>IF(ISBLANK(tbl_task1[[คะแนนเต็ม]:[คะแนนเต็ม]]),"",(tbl_task1[11]/tbl_task1[[คะแนนเต็ม]:[คะแนนเต็ม]])*tbl_task1[[%]:[%]])</f>
        <v/>
      </c>
      <c r="FZ25" s="121" t="str">
        <f>IF(ISBLANK(tbl_task1[[คะแนนเต็ม]:[คะแนนเต็ม]]),"",(tbl_task1[12]/tbl_task1[[คะแนนเต็ม]:[คะแนนเต็ม]])*tbl_task1[[%]:[%]])</f>
        <v/>
      </c>
      <c r="GA25" s="121" t="str">
        <f>IF(ISBLANK(tbl_task1[[คะแนนเต็ม]:[คะแนนเต็ม]]),"",(tbl_task1[13]/tbl_task1[[คะแนนเต็ม]:[คะแนนเต็ม]])*tbl_task1[[%]:[%]])</f>
        <v/>
      </c>
      <c r="GB25" s="121" t="str">
        <f>IF(ISBLANK(tbl_task1[[คะแนนเต็ม]:[คะแนนเต็ม]]),"",(tbl_task1[14]/tbl_task1[[คะแนนเต็ม]:[คะแนนเต็ม]])*tbl_task1[[%]:[%]])</f>
        <v/>
      </c>
      <c r="GC25" s="121" t="str">
        <f>IF(ISBLANK(tbl_task1[[คะแนนเต็ม]:[คะแนนเต็ม]]),"",(tbl_task1[15]/tbl_task1[[คะแนนเต็ม]:[คะแนนเต็ม]])*tbl_task1[[%]:[%]])</f>
        <v/>
      </c>
      <c r="GD25" s="121" t="str">
        <f>IF(ISBLANK(tbl_task1[[คะแนนเต็ม]:[คะแนนเต็ม]]),"",(tbl_task1[16]/tbl_task1[[คะแนนเต็ม]:[คะแนนเต็ม]])*tbl_task1[[%]:[%]])</f>
        <v/>
      </c>
      <c r="GE25" s="121" t="str">
        <f>IF(ISBLANK(tbl_task1[[คะแนนเต็ม]:[คะแนนเต็ม]]),"",(tbl_task1[17]/tbl_task1[[คะแนนเต็ม]:[คะแนนเต็ม]])*tbl_task1[[%]:[%]])</f>
        <v/>
      </c>
      <c r="GF25" s="121" t="str">
        <f>IF(ISBLANK(tbl_task1[[คะแนนเต็ม]:[คะแนนเต็ม]]),"",(tbl_task1[18]/tbl_task1[[คะแนนเต็ม]:[คะแนนเต็ม]])*tbl_task1[[%]:[%]])</f>
        <v/>
      </c>
      <c r="GG25" s="121" t="str">
        <f>IF(ISBLANK(tbl_task1[[คะแนนเต็ม]:[คะแนนเต็ม]]),"",(tbl_task1[19]/tbl_task1[[คะแนนเต็ม]:[คะแนนเต็ม]])*tbl_task1[[%]:[%]])</f>
        <v/>
      </c>
      <c r="GH25" s="121" t="str">
        <f>IF(ISBLANK(tbl_task1[[คะแนนเต็ม]:[คะแนนเต็ม]]),"",(tbl_task1[20]/tbl_task1[[คะแนนเต็ม]:[คะแนนเต็ม]])*tbl_task1[[%]:[%]])</f>
        <v/>
      </c>
      <c r="GI25" s="121" t="str">
        <f>IF(ISBLANK(tbl_task1[[คะแนนเต็ม]:[คะแนนเต็ม]]),"",(tbl_task1[21]/tbl_task1[[คะแนนเต็ม]:[คะแนนเต็ม]])*tbl_task1[[%]:[%]])</f>
        <v/>
      </c>
      <c r="GJ25" s="121" t="str">
        <f>IF(ISBLANK(tbl_task1[[คะแนนเต็ม]:[คะแนนเต็ม]]),"",(tbl_task1[22]/tbl_task1[[คะแนนเต็ม]:[คะแนนเต็ม]])*tbl_task1[[%]:[%]])</f>
        <v/>
      </c>
      <c r="GK25" s="121" t="str">
        <f>IF(ISBLANK(tbl_task1[[คะแนนเต็ม]:[คะแนนเต็ม]]),"",(tbl_task1[23]/tbl_task1[[คะแนนเต็ม]:[คะแนนเต็ม]])*tbl_task1[[%]:[%]])</f>
        <v/>
      </c>
      <c r="GL25" s="121" t="str">
        <f>IF(ISBLANK(tbl_task1[[คะแนนเต็ม]:[คะแนนเต็ม]]),"",(tbl_task1[24]/tbl_task1[[คะแนนเต็ม]:[คะแนนเต็ม]])*tbl_task1[[%]:[%]])</f>
        <v/>
      </c>
      <c r="GM25" s="121" t="str">
        <f>IF(ISBLANK(tbl_task1[[คะแนนเต็ม]:[คะแนนเต็ม]]),"",(tbl_task1[25]/tbl_task1[[คะแนนเต็ม]:[คะแนนเต็ม]])*tbl_task1[[%]:[%]])</f>
        <v/>
      </c>
      <c r="GN25" s="121" t="str">
        <f>IF(ISBLANK(tbl_task1[[คะแนนเต็ม]:[คะแนนเต็ม]]),"",(tbl_task1[26]/tbl_task1[[คะแนนเต็ม]:[คะแนนเต็ม]])*tbl_task1[[%]:[%]])</f>
        <v/>
      </c>
      <c r="GO25" s="121" t="str">
        <f>IF(ISBLANK(tbl_task1[[คะแนนเต็ม]:[คะแนนเต็ม]]),"",(tbl_task1[27]/tbl_task1[[คะแนนเต็ม]:[คะแนนเต็ม]])*tbl_task1[[%]:[%]])</f>
        <v/>
      </c>
      <c r="GP25" s="121" t="str">
        <f>IF(ISBLANK(tbl_task1[[คะแนนเต็ม]:[คะแนนเต็ม]]),"",(tbl_task1[28]/tbl_task1[[คะแนนเต็ม]:[คะแนนเต็ม]])*tbl_task1[[%]:[%]])</f>
        <v/>
      </c>
      <c r="GQ25" s="121" t="str">
        <f>IF(ISBLANK(tbl_task1[[คะแนนเต็ม]:[คะแนนเต็ม]]),"",(tbl_task1[29]/tbl_task1[[คะแนนเต็ม]:[คะแนนเต็ม]])*tbl_task1[[%]:[%]])</f>
        <v/>
      </c>
      <c r="GR25" s="121" t="str">
        <f>IF(ISBLANK(tbl_task1[[คะแนนเต็ม]:[คะแนนเต็ม]]),"",(tbl_task1[30]/tbl_task1[[คะแนนเต็ม]:[คะแนนเต็ม]])*tbl_task1[[%]:[%]])</f>
        <v/>
      </c>
      <c r="GS25" s="121" t="str">
        <f>IF(ISBLANK(tbl_task1[[คะแนนเต็ม]:[คะแนนเต็ม]]),"",(tbl_task1[31]/tbl_task1[[คะแนนเต็ม]:[คะแนนเต็ม]])*tbl_task1[[%]:[%]])</f>
        <v/>
      </c>
      <c r="GT25" s="121" t="str">
        <f>IF(ISBLANK(tbl_task1[[คะแนนเต็ม]:[คะแนนเต็ม]]),"",(tbl_task1[32]/tbl_task1[[คะแนนเต็ม]:[คะแนนเต็ม]])*tbl_task1[[%]:[%]])</f>
        <v/>
      </c>
      <c r="GU25" s="121" t="str">
        <f>IF(ISBLANK(tbl_task1[[คะแนนเต็ม]:[คะแนนเต็ม]]),"",(tbl_task1[33]/tbl_task1[[คะแนนเต็ม]:[คะแนนเต็ม]])*tbl_task1[[%]:[%]])</f>
        <v/>
      </c>
      <c r="GV25" s="121" t="str">
        <f>IF(ISBLANK(tbl_task1[[คะแนนเต็ม]:[คะแนนเต็ม]]),"",(tbl_task1[34]/tbl_task1[[คะแนนเต็ม]:[คะแนนเต็ม]])*tbl_task1[[%]:[%]])</f>
        <v/>
      </c>
      <c r="GW25" s="121" t="str">
        <f>IF(ISBLANK(tbl_task1[[คะแนนเต็ม]:[คะแนนเต็ม]]),"",(tbl_task1[35]/tbl_task1[[คะแนนเต็ม]:[คะแนนเต็ม]])*tbl_task1[[%]:[%]])</f>
        <v/>
      </c>
      <c r="GX25" s="121" t="str">
        <f>IF(ISBLANK(tbl_task1[[คะแนนเต็ม]:[คะแนนเต็ม]]),"",(tbl_task1[36]/tbl_task1[[คะแนนเต็ม]:[คะแนนเต็ม]])*tbl_task1[[%]:[%]])</f>
        <v/>
      </c>
      <c r="GY25" s="121" t="str">
        <f>IF(ISBLANK(tbl_task1[[คะแนนเต็ม]:[คะแนนเต็ม]]),"",(tbl_task1[37]/tbl_task1[[คะแนนเต็ม]:[คะแนนเต็ม]])*tbl_task1[[%]:[%]])</f>
        <v/>
      </c>
      <c r="GZ25" s="121" t="str">
        <f>IF(ISBLANK(tbl_task1[[คะแนนเต็ม]:[คะแนนเต็ม]]),"",(tbl_task1[38]/tbl_task1[[คะแนนเต็ม]:[คะแนนเต็ม]])*tbl_task1[[%]:[%]])</f>
        <v/>
      </c>
      <c r="HA25" s="121" t="str">
        <f>IF(ISBLANK(tbl_task1[[คะแนนเต็ม]:[คะแนนเต็ม]]),"",(tbl_task1[39]/tbl_task1[[คะแนนเต็ม]:[คะแนนเต็ม]])*tbl_task1[[%]:[%]])</f>
        <v/>
      </c>
      <c r="HB25" s="121" t="str">
        <f>IF(ISBLANK(tbl_task1[[คะแนนเต็ม]:[คะแนนเต็ม]]),"",(tbl_task1[40]/tbl_task1[[คะแนนเต็ม]:[คะแนนเต็ม]])*tbl_task1[[%]:[%]])</f>
        <v/>
      </c>
      <c r="HC25" s="121" t="str">
        <f>IF(ISBLANK(tbl_task1[[คะแนนเต็ม]:[คะแนนเต็ม]]),"",(tbl_task1[41]/tbl_task1[[คะแนนเต็ม]:[คะแนนเต็ม]])*tbl_task1[[%]:[%]])</f>
        <v/>
      </c>
      <c r="HD25" s="121" t="str">
        <f>IF(ISBLANK(tbl_task1[[คะแนนเต็ม]:[คะแนนเต็ม]]),"",(tbl_task1[42]/tbl_task1[[คะแนนเต็ม]:[คะแนนเต็ม]])*tbl_task1[[%]:[%]])</f>
        <v/>
      </c>
      <c r="HE25" s="121" t="str">
        <f>IF(ISBLANK(tbl_task1[[คะแนนเต็ม]:[คะแนนเต็ม]]),"",(tbl_task1[43]/tbl_task1[[คะแนนเต็ม]:[คะแนนเต็ม]])*tbl_task1[[%]:[%]])</f>
        <v/>
      </c>
      <c r="HF25" s="121" t="str">
        <f>IF(ISBLANK(tbl_task1[[คะแนนเต็ม]:[คะแนนเต็ม]]),"",(tbl_task1[44]/tbl_task1[[คะแนนเต็ม]:[คะแนนเต็ม]])*tbl_task1[[%]:[%]])</f>
        <v/>
      </c>
      <c r="HG25" s="121" t="str">
        <f>IF(ISBLANK(tbl_task1[[คะแนนเต็ม]:[คะแนนเต็ม]]),"",(tbl_task1[45]/tbl_task1[[คะแนนเต็ม]:[คะแนนเต็ม]])*tbl_task1[[%]:[%]])</f>
        <v/>
      </c>
      <c r="HH25" s="121" t="str">
        <f>IF(ISBLANK(tbl_task1[[คะแนนเต็ม]:[คะแนนเต็ม]]),"",(tbl_task1[46]/tbl_task1[[คะแนนเต็ม]:[คะแนนเต็ม]])*tbl_task1[[%]:[%]])</f>
        <v/>
      </c>
      <c r="HI25" s="121" t="str">
        <f>IF(ISBLANK(tbl_task1[[คะแนนเต็ม]:[คะแนนเต็ม]]),"",(tbl_task1[47]/tbl_task1[[คะแนนเต็ม]:[คะแนนเต็ม]])*tbl_task1[[%]:[%]])</f>
        <v/>
      </c>
      <c r="HJ25" s="121" t="str">
        <f>IF(ISBLANK(tbl_task1[[คะแนนเต็ม]:[คะแนนเต็ม]]),"",(tbl_task1[48]/tbl_task1[[คะแนนเต็ม]:[คะแนนเต็ม]])*tbl_task1[[%]:[%]])</f>
        <v/>
      </c>
      <c r="HK25" s="121" t="str">
        <f>IF(ISBLANK(tbl_task1[[คะแนนเต็ม]:[คะแนนเต็ม]]),"",(tbl_task1[49]/tbl_task1[[คะแนนเต็ม]:[คะแนนเต็ม]])*tbl_task1[[%]:[%]])</f>
        <v/>
      </c>
      <c r="HL25" s="121" t="str">
        <f>IF(ISBLANK(tbl_task1[[คะแนนเต็ม]:[คะแนนเต็ม]]),"",(tbl_task1[50]/tbl_task1[[คะแนนเต็ม]:[คะแนนเต็ม]])*tbl_task1[[%]:[%]])</f>
        <v/>
      </c>
      <c r="HM25" s="121" t="str">
        <f>IF(ISBLANK(tbl_task1[[คะแนนเต็ม]:[คะแนนเต็ม]]),"",(tbl_task1[51]/tbl_task1[[คะแนนเต็ม]:[คะแนนเต็ม]])*tbl_task1[[%]:[%]])</f>
        <v/>
      </c>
      <c r="HN25" s="121" t="str">
        <f>IF(ISBLANK(tbl_task1[[คะแนนเต็ม]:[คะแนนเต็ม]]),"",(tbl_task1[52]/tbl_task1[[คะแนนเต็ม]:[คะแนนเต็ม]])*tbl_task1[[%]:[%]])</f>
        <v/>
      </c>
      <c r="HO25" s="121" t="str">
        <f>IF(ISBLANK(tbl_task1[[คะแนนเต็ม]:[คะแนนเต็ม]]),"",(tbl_task1[53]/tbl_task1[[คะแนนเต็ม]:[คะแนนเต็ม]])*tbl_task1[[%]:[%]])</f>
        <v/>
      </c>
      <c r="HP25" s="121" t="str">
        <f>IF(ISBLANK(tbl_task1[[คะแนนเต็ม]:[คะแนนเต็ม]]),"",(tbl_task1[54]/tbl_task1[[คะแนนเต็ม]:[คะแนนเต็ม]])*tbl_task1[[%]:[%]])</f>
        <v/>
      </c>
      <c r="HQ25" s="121" t="str">
        <f>IF(ISBLANK(tbl_task1[[คะแนนเต็ม]:[คะแนนเต็ม]]),"",(tbl_task1[55]/tbl_task1[[คะแนนเต็ม]:[คะแนนเต็ม]])*tbl_task1[[%]:[%]])</f>
        <v/>
      </c>
      <c r="HR25" s="121" t="str">
        <f>IF(ISBLANK(tbl_task1[[คะแนนเต็ม]:[คะแนนเต็ม]]),"",(tbl_task1[56]/tbl_task1[[คะแนนเต็ม]:[คะแนนเต็ม]])*tbl_task1[[%]:[%]])</f>
        <v/>
      </c>
      <c r="HS25" s="121" t="str">
        <f>IF(ISBLANK(tbl_task1[[คะแนนเต็ม]:[คะแนนเต็ม]]),"",(tbl_task1[57]/tbl_task1[[คะแนนเต็ม]:[คะแนนเต็ม]])*tbl_task1[[%]:[%]])</f>
        <v/>
      </c>
      <c r="HT25" s="121" t="str">
        <f>IF(ISBLANK(tbl_task1[[คะแนนเต็ม]:[คะแนนเต็ม]]),"",(tbl_task1[58]/tbl_task1[[คะแนนเต็ม]:[คะแนนเต็ม]])*tbl_task1[[%]:[%]])</f>
        <v/>
      </c>
      <c r="HU25" s="121" t="str">
        <f>IF(ISBLANK(tbl_task1[[คะแนนเต็ม]:[คะแนนเต็ม]]),"",(tbl_task1[59]/tbl_task1[[คะแนนเต็ม]:[คะแนนเต็ม]])*tbl_task1[[%]:[%]])</f>
        <v/>
      </c>
      <c r="HV25" s="121" t="str">
        <f>IF(ISBLANK(tbl_task1[[คะแนนเต็ม]:[คะแนนเต็ม]]),"",(tbl_task1[60]/tbl_task1[[คะแนนเต็ม]:[คะแนนเต็ม]])*tbl_task1[[%]:[%]])</f>
        <v/>
      </c>
      <c r="HW25" s="121" t="str">
        <f>IF(ISBLANK(tbl_task1[[คะแนนเต็ม]:[คะแนนเต็ม]]),"",(tbl_task1[61]/tbl_task1[[คะแนนเต็ม]:[คะแนนเต็ม]])*tbl_task1[[%]:[%]])</f>
        <v/>
      </c>
      <c r="HX25" s="121" t="str">
        <f>IF(ISBLANK(tbl_task1[[คะแนนเต็ม]:[คะแนนเต็ม]]),"",(tbl_task1[62]/tbl_task1[[คะแนนเต็ม]:[คะแนนเต็ม]])*tbl_task1[[%]:[%]])</f>
        <v/>
      </c>
      <c r="HY25" s="121" t="str">
        <f>IF(ISBLANK(tbl_task1[[คะแนนเต็ม]:[คะแนนเต็ม]]),"",(tbl_task1[63]/tbl_task1[[คะแนนเต็ม]:[คะแนนเต็ม]])*tbl_task1[[%]:[%]])</f>
        <v/>
      </c>
      <c r="HZ25" s="121" t="str">
        <f>IF(ISBLANK(tbl_task1[[คะแนนเต็ม]:[คะแนนเต็ม]]),"",(tbl_task1[64]/tbl_task1[[คะแนนเต็ม]:[คะแนนเต็ม]])*tbl_task1[[%]:[%]])</f>
        <v/>
      </c>
      <c r="IA25" s="121" t="str">
        <f>IF(ISBLANK(tbl_task1[[คะแนนเต็ม]:[คะแนนเต็ม]]),"",(tbl_task1[65]/tbl_task1[[คะแนนเต็ม]:[คะแนนเต็ม]])*tbl_task1[[%]:[%]])</f>
        <v/>
      </c>
      <c r="IB25" s="121" t="str">
        <f>IF(ISBLANK(tbl_task1[[คะแนนเต็ม]:[คะแนนเต็ม]]),"",(tbl_task1[66]/tbl_task1[[คะแนนเต็ม]:[คะแนนเต็ม]])*tbl_task1[[%]:[%]])</f>
        <v/>
      </c>
      <c r="IC25" s="121" t="str">
        <f>IF(ISBLANK(tbl_task1[[คะแนนเต็ม]:[คะแนนเต็ม]]),"",(tbl_task1[67]/tbl_task1[[คะแนนเต็ม]:[คะแนนเต็ม]])*tbl_task1[[%]:[%]])</f>
        <v/>
      </c>
      <c r="ID25" s="121" t="str">
        <f>IF(ISBLANK(tbl_task1[[คะแนนเต็ม]:[คะแนนเต็ม]]),"",(tbl_task1[68]/tbl_task1[[คะแนนเต็ม]:[คะแนนเต็ม]])*tbl_task1[[%]:[%]])</f>
        <v/>
      </c>
      <c r="IE25" s="121" t="str">
        <f>IF(ISBLANK(tbl_task1[[คะแนนเต็ม]:[คะแนนเต็ม]]),"",(tbl_task1[69]/tbl_task1[[คะแนนเต็ม]:[คะแนนเต็ม]])*tbl_task1[[%]:[%]])</f>
        <v/>
      </c>
      <c r="IF25" s="121" t="str">
        <f>IF(ISBLANK(tbl_task1[[คะแนนเต็ม]:[คะแนนเต็ม]]),"",(tbl_task1[70]/tbl_task1[[คะแนนเต็ม]:[คะแนนเต็ม]])*tbl_task1[[%]:[%]])</f>
        <v/>
      </c>
      <c r="IG25" s="121" t="str">
        <f>IF(ISBLANK(tbl_task1[[คะแนนเต็ม]:[คะแนนเต็ม]]),"",(tbl_task1[71]/tbl_task1[[คะแนนเต็ม]:[คะแนนเต็ม]])*tbl_task1[[%]:[%]])</f>
        <v/>
      </c>
      <c r="IH25" s="121" t="str">
        <f>IF(ISBLANK(tbl_task1[[คะแนนเต็ม]:[คะแนนเต็ม]]),"",(tbl_task1[72]/tbl_task1[[คะแนนเต็ม]:[คะแนนเต็ม]])*tbl_task1[[%]:[%]])</f>
        <v/>
      </c>
      <c r="II25" s="121" t="str">
        <f>IF(ISBLANK(tbl_task1[[คะแนนเต็ม]:[คะแนนเต็ม]]),"",(tbl_task1[73]/tbl_task1[[คะแนนเต็ม]:[คะแนนเต็ม]])*tbl_task1[[%]:[%]])</f>
        <v/>
      </c>
      <c r="IJ25" s="121" t="str">
        <f>IF(ISBLANK(tbl_task1[[คะแนนเต็ม]:[คะแนนเต็ม]]),"",(tbl_task1[74]/tbl_task1[[คะแนนเต็ม]:[คะแนนเต็ม]])*tbl_task1[[%]:[%]])</f>
        <v/>
      </c>
      <c r="IK25" s="121" t="str">
        <f>IF(ISBLANK(tbl_task1[[คะแนนเต็ม]:[คะแนนเต็ม]]),"",(tbl_task1[75]/tbl_task1[[คะแนนเต็ม]:[คะแนนเต็ม]])*tbl_task1[[%]:[%]])</f>
        <v/>
      </c>
      <c r="IL25" s="121" t="str">
        <f>IF(ISBLANK(tbl_task1[[คะแนนเต็ม]:[คะแนนเต็ม]]),"",(tbl_task1[76]/tbl_task1[[คะแนนเต็ม]:[คะแนนเต็ม]])*tbl_task1[[%]:[%]])</f>
        <v/>
      </c>
      <c r="IM25" s="121" t="str">
        <f>IF(ISBLANK(tbl_task1[[คะแนนเต็ม]:[คะแนนเต็ม]]),"",(tbl_task1[77]/tbl_task1[[คะแนนเต็ม]:[คะแนนเต็ม]])*tbl_task1[[%]:[%]])</f>
        <v/>
      </c>
      <c r="IN25" s="121" t="str">
        <f>IF(ISBLANK(tbl_task1[[คะแนนเต็ม]:[คะแนนเต็ม]]),"",(tbl_task1[78]/tbl_task1[[คะแนนเต็ม]:[คะแนนเต็ม]])*tbl_task1[[%]:[%]])</f>
        <v/>
      </c>
      <c r="IO25" s="121" t="str">
        <f>IF(ISBLANK(tbl_task1[[คะแนนเต็ม]:[คะแนนเต็ม]]),"",(tbl_task1[79]/tbl_task1[[คะแนนเต็ม]:[คะแนนเต็ม]])*tbl_task1[[%]:[%]])</f>
        <v/>
      </c>
      <c r="IP25" s="121" t="str">
        <f>IF(ISBLANK(tbl_task1[[คะแนนเต็ม]:[คะแนนเต็ม]]),"",(tbl_task1[80]/tbl_task1[[คะแนนเต็ม]:[คะแนนเต็ม]])*tbl_task1[[%]:[%]])</f>
        <v/>
      </c>
      <c r="IQ25" s="121" t="str">
        <f>IF(ISBLANK(tbl_task1[[คะแนนเต็ม]:[คะแนนเต็ม]]),"",(tbl_task1[81]/tbl_task1[[คะแนนเต็ม]:[คะแนนเต็ม]])*tbl_task1[[%]:[%]])</f>
        <v/>
      </c>
      <c r="IR25" s="121" t="str">
        <f>IF(ISBLANK(tbl_task1[[คะแนนเต็ม]:[คะแนนเต็ม]]),"",(tbl_task1[82]/tbl_task1[[คะแนนเต็ม]:[คะแนนเต็ม]])*tbl_task1[[%]:[%]])</f>
        <v/>
      </c>
      <c r="IS25" s="121" t="str">
        <f>IF(ISBLANK(tbl_task1[[คะแนนเต็ม]:[คะแนนเต็ม]]),"",(tbl_task1[83]/tbl_task1[[คะแนนเต็ม]:[คะแนนเต็ม]])*tbl_task1[[%]:[%]])</f>
        <v/>
      </c>
      <c r="IT25" s="121" t="str">
        <f>IF(ISBLANK(tbl_task1[[คะแนนเต็ม]:[คะแนนเต็ม]]),"",(tbl_task1[84]/tbl_task1[[คะแนนเต็ม]:[คะแนนเต็ม]])*tbl_task1[[%]:[%]])</f>
        <v/>
      </c>
      <c r="IU25" s="121" t="str">
        <f>IF(ISBLANK(tbl_task1[[คะแนนเต็ม]:[คะแนนเต็ม]]),"",(tbl_task1[85]/tbl_task1[[คะแนนเต็ม]:[คะแนนเต็ม]])*tbl_task1[[%]:[%]])</f>
        <v/>
      </c>
      <c r="IV25" s="121" t="str">
        <f>IF(ISBLANK(tbl_task1[[คะแนนเต็ม]:[คะแนนเต็ม]]),"",(tbl_task1[86]/tbl_task1[[คะแนนเต็ม]:[คะแนนเต็ม]])*tbl_task1[[%]:[%]])</f>
        <v/>
      </c>
      <c r="IW25" s="121" t="str">
        <f>IF(ISBLANK(tbl_task1[[คะแนนเต็ม]:[คะแนนเต็ม]]),"",(tbl_task1[87]/tbl_task1[[คะแนนเต็ม]:[คะแนนเต็ม]])*tbl_task1[[%]:[%]])</f>
        <v/>
      </c>
      <c r="IX25" s="121" t="str">
        <f>IF(ISBLANK(tbl_task1[[คะแนนเต็ม]:[คะแนนเต็ม]]),"",(tbl_task1[88]/tbl_task1[[คะแนนเต็ม]:[คะแนนเต็ม]])*tbl_task1[[%]:[%]])</f>
        <v/>
      </c>
      <c r="IY25" s="121" t="str">
        <f>IF(ISBLANK(tbl_task1[[คะแนนเต็ม]:[คะแนนเต็ม]]),"",(tbl_task1[89]/tbl_task1[[คะแนนเต็ม]:[คะแนนเต็ม]])*tbl_task1[[%]:[%]])</f>
        <v/>
      </c>
      <c r="IZ25" s="121" t="str">
        <f>IF(ISBLANK(tbl_task1[[คะแนนเต็ม]:[คะแนนเต็ม]]),"",(tbl_task1[90]/tbl_task1[[คะแนนเต็ม]:[คะแนนเต็ม]])*tbl_task1[[%]:[%]])</f>
        <v/>
      </c>
      <c r="JA25" s="121" t="str">
        <f>IF(ISBLANK(tbl_task1[[คะแนนเต็ม]:[คะแนนเต็ม]]),"",(tbl_task1[91]/tbl_task1[[คะแนนเต็ม]:[คะแนนเต็ม]])*tbl_task1[[%]:[%]])</f>
        <v/>
      </c>
      <c r="JB25" s="121" t="str">
        <f>IF(ISBLANK(tbl_task1[[คะแนนเต็ม]:[คะแนนเต็ม]]),"",(tbl_task1[92]/tbl_task1[[คะแนนเต็ม]:[คะแนนเต็ม]])*tbl_task1[[%]:[%]])</f>
        <v/>
      </c>
      <c r="JC25" s="121" t="str">
        <f>IF(ISBLANK(tbl_task1[[คะแนนเต็ม]:[คะแนนเต็ม]]),"",(tbl_task1[93]/tbl_task1[[คะแนนเต็ม]:[คะแนนเต็ม]])*tbl_task1[[%]:[%]])</f>
        <v/>
      </c>
      <c r="JD25" s="121" t="str">
        <f>IF(ISBLANK(tbl_task1[[คะแนนเต็ม]:[คะแนนเต็ม]]),"",(tbl_task1[94]/tbl_task1[[คะแนนเต็ม]:[คะแนนเต็ม]])*tbl_task1[[%]:[%]])</f>
        <v/>
      </c>
      <c r="JE25" s="121" t="str">
        <f>IF(ISBLANK(tbl_task1[[คะแนนเต็ม]:[คะแนนเต็ม]]),"",(tbl_task1[95]/tbl_task1[[คะแนนเต็ม]:[คะแนนเต็ม]])*tbl_task1[[%]:[%]])</f>
        <v/>
      </c>
      <c r="JF25" s="121" t="str">
        <f>IF(ISBLANK(tbl_task1[[คะแนนเต็ม]:[คะแนนเต็ม]]),"",(tbl_task1[96]/tbl_task1[[คะแนนเต็ม]:[คะแนนเต็ม]])*tbl_task1[[%]:[%]])</f>
        <v/>
      </c>
      <c r="JG25" s="121" t="str">
        <f>IF(ISBLANK(tbl_task1[[คะแนนเต็ม]:[คะแนนเต็ม]]),"",(tbl_task1[97]/tbl_task1[[คะแนนเต็ม]:[คะแนนเต็ม]])*tbl_task1[[%]:[%]])</f>
        <v/>
      </c>
      <c r="JH25" s="121" t="str">
        <f>IF(ISBLANK(tbl_task1[[คะแนนเต็ม]:[คะแนนเต็ม]]),"",(tbl_task1[98]/tbl_task1[[คะแนนเต็ม]:[คะแนนเต็ม]])*tbl_task1[[%]:[%]])</f>
        <v/>
      </c>
      <c r="JI25" s="121" t="str">
        <f>IF(ISBLANK(tbl_task1[[คะแนนเต็ม]:[คะแนนเต็ม]]),"",(tbl_task1[99]/tbl_task1[[คะแนนเต็ม]:[คะแนนเต็ม]])*tbl_task1[[%]:[%]])</f>
        <v/>
      </c>
      <c r="JJ25" s="121" t="str">
        <f>IF(ISBLANK(tbl_task1[[คะแนนเต็ม]:[คะแนนเต็ม]]),"",(tbl_task1[100]/tbl_task1[[คะแนนเต็ม]:[คะแนนเต็ม]])*tbl_task1[[%]:[%]])</f>
        <v/>
      </c>
      <c r="JK25" s="121" t="str">
        <f>IF(ISBLANK(tbl_task1[[คะแนนเต็ม]:[คะแนนเต็ม]]),"",(tbl_task1[101]/tbl_task1[[คะแนนเต็ม]:[คะแนนเต็ม]])*tbl_task1[[%]:[%]])</f>
        <v/>
      </c>
      <c r="JL25" s="121" t="str">
        <f>IF(ISBLANK(tbl_task1[[คะแนนเต็ม]:[คะแนนเต็ม]]),"",(tbl_task1[102]/tbl_task1[[คะแนนเต็ม]:[คะแนนเต็ม]])*tbl_task1[[%]:[%]])</f>
        <v/>
      </c>
      <c r="JM25" s="121" t="str">
        <f>IF(ISBLANK(tbl_task1[[คะแนนเต็ม]:[คะแนนเต็ม]]),"",(tbl_task1[103]/tbl_task1[[คะแนนเต็ม]:[คะแนนเต็ม]])*tbl_task1[[%]:[%]])</f>
        <v/>
      </c>
      <c r="JN25" s="121" t="str">
        <f>IF(ISBLANK(tbl_task1[[คะแนนเต็ม]:[คะแนนเต็ม]]),"",(tbl_task1[104]/tbl_task1[[คะแนนเต็ม]:[คะแนนเต็ม]])*tbl_task1[[%]:[%]])</f>
        <v/>
      </c>
      <c r="JO25" s="121" t="str">
        <f>IF(ISBLANK(tbl_task1[[คะแนนเต็ม]:[คะแนนเต็ม]]),"",(tbl_task1[105]/tbl_task1[[คะแนนเต็ม]:[คะแนนเต็ม]])*tbl_task1[[%]:[%]])</f>
        <v/>
      </c>
      <c r="JP25" s="121" t="str">
        <f>IF(ISBLANK(tbl_task1[[คะแนนเต็ม]:[คะแนนเต็ม]]),"",(tbl_task1[106]/tbl_task1[[คะแนนเต็ม]:[คะแนนเต็ม]])*tbl_task1[[%]:[%]])</f>
        <v/>
      </c>
      <c r="JQ25" s="121" t="str">
        <f>IF(ISBLANK(tbl_task1[[คะแนนเต็ม]:[คะแนนเต็ม]]),"",(tbl_task1[107]/tbl_task1[[คะแนนเต็ม]:[คะแนนเต็ม]])*tbl_task1[[%]:[%]])</f>
        <v/>
      </c>
      <c r="JR25" s="121" t="str">
        <f>IF(ISBLANK(tbl_task1[[คะแนนเต็ม]:[คะแนนเต็ม]]),"",(tbl_task1[108]/tbl_task1[[คะแนนเต็ม]:[คะแนนเต็ม]])*tbl_task1[[%]:[%]])</f>
        <v/>
      </c>
      <c r="JS25" s="121" t="str">
        <f>IF(ISBLANK(tbl_task1[[คะแนนเต็ม]:[คะแนนเต็ม]]),"",(tbl_task1[109]/tbl_task1[[คะแนนเต็ม]:[คะแนนเต็ม]])*tbl_task1[[%]:[%]])</f>
        <v/>
      </c>
      <c r="JT25" s="121" t="str">
        <f>IF(ISBLANK(tbl_task1[[คะแนนเต็ม]:[คะแนนเต็ม]]),"",(tbl_task1[110]/tbl_task1[[คะแนนเต็ม]:[คะแนนเต็ม]])*tbl_task1[[%]:[%]])</f>
        <v/>
      </c>
      <c r="JU25" s="121" t="str">
        <f>IF(ISBLANK(tbl_task1[[คะแนนเต็ม]:[คะแนนเต็ม]]),"",(tbl_task1[111]/tbl_task1[[คะแนนเต็ม]:[คะแนนเต็ม]])*tbl_task1[[%]:[%]])</f>
        <v/>
      </c>
      <c r="JV25" s="121" t="str">
        <f>IF(ISBLANK(tbl_task1[[คะแนนเต็ม]:[คะแนนเต็ม]]),"",(tbl_task1[112]/tbl_task1[[คะแนนเต็ม]:[คะแนนเต็ม]])*tbl_task1[[%]:[%]])</f>
        <v/>
      </c>
      <c r="JW25" s="121" t="str">
        <f>IF(ISBLANK(tbl_task1[[คะแนนเต็ม]:[คะแนนเต็ม]]),"",(tbl_task1[113]/tbl_task1[[คะแนนเต็ม]:[คะแนนเต็ม]])*tbl_task1[[%]:[%]])</f>
        <v/>
      </c>
      <c r="JX25" s="121" t="str">
        <f>IF(ISBLANK(tbl_task1[[คะแนนเต็ม]:[คะแนนเต็ม]]),"",(tbl_task1[114]/tbl_task1[[คะแนนเต็ม]:[คะแนนเต็ม]])*tbl_task1[[%]:[%]])</f>
        <v/>
      </c>
      <c r="JY25" s="121" t="str">
        <f>IF(ISBLANK(tbl_task1[[คะแนนเต็ม]:[คะแนนเต็ม]]),"",(tbl_task1[115]/tbl_task1[[คะแนนเต็ม]:[คะแนนเต็ม]])*tbl_task1[[%]:[%]])</f>
        <v/>
      </c>
      <c r="JZ25" s="121" t="str">
        <f>IF(ISBLANK(tbl_task1[[คะแนนเต็ม]:[คะแนนเต็ม]]),"",(tbl_task1[116]/tbl_task1[[คะแนนเต็ม]:[คะแนนเต็ม]])*tbl_task1[[%]:[%]])</f>
        <v/>
      </c>
      <c r="KA25" s="121" t="str">
        <f>IF(ISBLANK(tbl_task1[[คะแนนเต็ม]:[คะแนนเต็ม]]),"",(tbl_task1[117]/tbl_task1[[คะแนนเต็ม]:[คะแนนเต็ม]])*tbl_task1[[%]:[%]])</f>
        <v/>
      </c>
      <c r="KB25" s="121" t="str">
        <f>IF(ISBLANK(tbl_task1[[คะแนนเต็ม]:[คะแนนเต็ม]]),"",(tbl_task1[118]/tbl_task1[[คะแนนเต็ม]:[คะแนนเต็ม]])*tbl_task1[[%]:[%]])</f>
        <v/>
      </c>
      <c r="KC25" s="121" t="str">
        <f>IF(ISBLANK(tbl_task1[[คะแนนเต็ม]:[คะแนนเต็ม]]),"",(tbl_task1[119]/tbl_task1[[คะแนนเต็ม]:[คะแนนเต็ม]])*tbl_task1[[%]:[%]])</f>
        <v/>
      </c>
      <c r="KD25" s="121" t="str">
        <f>IF(ISBLANK(tbl_task1[[คะแนนเต็ม]:[คะแนนเต็ม]]),"",(tbl_task1[120]/tbl_task1[[คะแนนเต็ม]:[คะแนนเต็ม]])*tbl_task1[[%]:[%]])</f>
        <v/>
      </c>
      <c r="KE25" s="121" t="str">
        <f>IF(ISBLANK(tbl_task1[[คะแนนเต็ม]:[คะแนนเต็ม]]),"",(tbl_task1[121]/tbl_task1[[คะแนนเต็ม]:[คะแนนเต็ม]])*tbl_task1[[%]:[%]])</f>
        <v/>
      </c>
      <c r="KF25" s="121" t="str">
        <f>IF(ISBLANK(tbl_task1[[คะแนนเต็ม]:[คะแนนเต็ม]]),"",(tbl_task1[122]/tbl_task1[[คะแนนเต็ม]:[คะแนนเต็ม]])*tbl_task1[[%]:[%]])</f>
        <v/>
      </c>
      <c r="KG25" s="121" t="str">
        <f>IF(ISBLANK(tbl_task1[[คะแนนเต็ม]:[คะแนนเต็ม]]),"",(tbl_task1[123]/tbl_task1[[คะแนนเต็ม]:[คะแนนเต็ม]])*tbl_task1[[%]:[%]])</f>
        <v/>
      </c>
      <c r="KH25" s="121" t="str">
        <f>IF(ISBLANK(tbl_task1[[คะแนนเต็ม]:[คะแนนเต็ม]]),"",(tbl_task1[124]/tbl_task1[[คะแนนเต็ม]:[คะแนนเต็ม]])*tbl_task1[[%]:[%]])</f>
        <v/>
      </c>
      <c r="KI25" s="121" t="str">
        <f>IF(ISBLANK(tbl_task1[[คะแนนเต็ม]:[คะแนนเต็ม]]),"",(tbl_task1[125]/tbl_task1[[คะแนนเต็ม]:[คะแนนเต็ม]])*tbl_task1[[%]:[%]])</f>
        <v/>
      </c>
      <c r="KJ25" s="121" t="str">
        <f>IF(ISBLANK(tbl_task1[[คะแนนเต็ม]:[คะแนนเต็ม]]),"",(tbl_task1[126]/tbl_task1[[คะแนนเต็ม]:[คะแนนเต็ม]])*tbl_task1[[%]:[%]])</f>
        <v/>
      </c>
      <c r="KK25" s="121" t="str">
        <f>IF(ISBLANK(tbl_task1[[คะแนนเต็ม]:[คะแนนเต็ม]]),"",(tbl_task1[127]/tbl_task1[[คะแนนเต็ม]:[คะแนนเต็ม]])*tbl_task1[[%]:[%]])</f>
        <v/>
      </c>
      <c r="KL25" s="121" t="str">
        <f>IF(ISBLANK(tbl_task1[[คะแนนเต็ม]:[คะแนนเต็ม]]),"",(tbl_task1[128]/tbl_task1[[คะแนนเต็ม]:[คะแนนเต็ม]])*tbl_task1[[%]:[%]])</f>
        <v/>
      </c>
      <c r="KM25" s="121" t="str">
        <f>IF(ISBLANK(tbl_task1[[คะแนนเต็ม]:[คะแนนเต็ม]]),"",(tbl_task1[129]/tbl_task1[[คะแนนเต็ม]:[คะแนนเต็ม]])*tbl_task1[[%]:[%]])</f>
        <v/>
      </c>
      <c r="KN25" s="121" t="str">
        <f>IF(ISBLANK(tbl_task1[[คะแนนเต็ม]:[คะแนนเต็ม]]),"",(tbl_task1[130]/tbl_task1[[คะแนนเต็ม]:[คะแนนเต็ม]])*tbl_task1[[%]:[%]])</f>
        <v/>
      </c>
      <c r="KO25" s="121" t="str">
        <f>IF(ISBLANK(tbl_task1[[คะแนนเต็ม]:[คะแนนเต็ม]]),"",(tbl_task1[131]/tbl_task1[[คะแนนเต็ม]:[คะแนนเต็ม]])*tbl_task1[[%]:[%]])</f>
        <v/>
      </c>
      <c r="KP25" s="121" t="str">
        <f>IF(ISBLANK(tbl_task1[[คะแนนเต็ม]:[คะแนนเต็ม]]),"",(tbl_task1[132]/tbl_task1[[คะแนนเต็ม]:[คะแนนเต็ม]])*tbl_task1[[%]:[%]])</f>
        <v/>
      </c>
      <c r="KQ25" s="121" t="str">
        <f>IF(ISBLANK(tbl_task1[[คะแนนเต็ม]:[คะแนนเต็ม]]),"",(tbl_task1[133]/tbl_task1[[คะแนนเต็ม]:[คะแนนเต็ม]])*tbl_task1[[%]:[%]])</f>
        <v/>
      </c>
      <c r="KR25" s="121" t="str">
        <f>IF(ISBLANK(tbl_task1[[คะแนนเต็ม]:[คะแนนเต็ม]]),"",(tbl_task1[134]/tbl_task1[[คะแนนเต็ม]:[คะแนนเต็ม]])*tbl_task1[[%]:[%]])</f>
        <v/>
      </c>
      <c r="KS25" s="121" t="str">
        <f>IF(ISBLANK(tbl_task1[[คะแนนเต็ม]:[คะแนนเต็ม]]),"",(tbl_task1[135]/tbl_task1[[คะแนนเต็ม]:[คะแนนเต็ม]])*tbl_task1[[%]:[%]])</f>
        <v/>
      </c>
      <c r="KT25" s="121" t="str">
        <f>IF(ISBLANK(tbl_task1[[คะแนนเต็ม]:[คะแนนเต็ม]]),"",(tbl_task1[136]/tbl_task1[[คะแนนเต็ม]:[คะแนนเต็ม]])*tbl_task1[[%]:[%]])</f>
        <v/>
      </c>
      <c r="KU25" s="121" t="str">
        <f>IF(ISBLANK(tbl_task1[[คะแนนเต็ม]:[คะแนนเต็ม]]),"",(tbl_task1[137]/tbl_task1[[คะแนนเต็ม]:[คะแนนเต็ม]])*tbl_task1[[%]:[%]])</f>
        <v/>
      </c>
      <c r="KV25" s="121" t="str">
        <f>IF(ISBLANK(tbl_task1[[คะแนนเต็ม]:[คะแนนเต็ม]]),"",(tbl_task1[138]/tbl_task1[[คะแนนเต็ม]:[คะแนนเต็ม]])*tbl_task1[[%]:[%]])</f>
        <v/>
      </c>
      <c r="KW25" s="121" t="str">
        <f>IF(ISBLANK(tbl_task1[[คะแนนเต็ม]:[คะแนนเต็ม]]),"",(tbl_task1[139]/tbl_task1[[คะแนนเต็ม]:[คะแนนเต็ม]])*tbl_task1[[%]:[%]])</f>
        <v/>
      </c>
      <c r="KX25" s="121" t="str">
        <f>IF(ISBLANK(tbl_task1[[คะแนนเต็ม]:[คะแนนเต็ม]]),"",(tbl_task1[140]/tbl_task1[[คะแนนเต็ม]:[คะแนนเต็ม]])*tbl_task1[[%]:[%]])</f>
        <v/>
      </c>
      <c r="KY25" s="121" t="str">
        <f>IF(ISBLANK(tbl_task1[[คะแนนเต็ม]:[คะแนนเต็ม]]),"",(tbl_task1[141]/tbl_task1[[คะแนนเต็ม]:[คะแนนเต็ม]])*tbl_task1[[%]:[%]])</f>
        <v/>
      </c>
      <c r="KZ25" s="121" t="str">
        <f>IF(ISBLANK(tbl_task1[[คะแนนเต็ม]:[คะแนนเต็ม]]),"",(tbl_task1[142]/tbl_task1[[คะแนนเต็ม]:[คะแนนเต็ม]])*tbl_task1[[%]:[%]])</f>
        <v/>
      </c>
      <c r="LA25" s="121" t="str">
        <f>IF(ISBLANK(tbl_task1[[คะแนนเต็ม]:[คะแนนเต็ม]]),"",(tbl_task1[143]/tbl_task1[[คะแนนเต็ม]:[คะแนนเต็ม]])*tbl_task1[[%]:[%]])</f>
        <v/>
      </c>
      <c r="LB25" s="121" t="str">
        <f>IF(ISBLANK(tbl_task1[[คะแนนเต็ม]:[คะแนนเต็ม]]),"",(tbl_task1[144]/tbl_task1[[คะแนนเต็ม]:[คะแนนเต็ม]])*tbl_task1[[%]:[%]])</f>
        <v/>
      </c>
      <c r="LC25" s="121" t="str">
        <f>IF(ISBLANK(tbl_task1[[คะแนนเต็ม]:[คะแนนเต็ม]]),"",(tbl_task1[145]/tbl_task1[[คะแนนเต็ม]:[คะแนนเต็ม]])*tbl_task1[[%]:[%]])</f>
        <v/>
      </c>
      <c r="LD25" s="121" t="str">
        <f>IF(ISBLANK(tbl_task1[[คะแนนเต็ม]:[คะแนนเต็ม]]),"",(tbl_task1[146]/tbl_task1[[คะแนนเต็ม]:[คะแนนเต็ม]])*tbl_task1[[%]:[%]])</f>
        <v/>
      </c>
      <c r="LE25" s="121" t="str">
        <f>IF(ISBLANK(tbl_task1[[คะแนนเต็ม]:[คะแนนเต็ม]]),"",(tbl_task1[147]/tbl_task1[[คะแนนเต็ม]:[คะแนนเต็ม]])*tbl_task1[[%]:[%]])</f>
        <v/>
      </c>
      <c r="LF25" s="121" t="str">
        <f>IF(ISBLANK(tbl_task1[[คะแนนเต็ม]:[คะแนนเต็ม]]),"",(tbl_task1[148]/tbl_task1[[คะแนนเต็ม]:[คะแนนเต็ม]])*tbl_task1[[%]:[%]])</f>
        <v/>
      </c>
      <c r="LG25" s="121" t="str">
        <f>IF(ISBLANK(tbl_task1[[คะแนนเต็ม]:[คะแนนเต็ม]]),"",(tbl_task1[149]/tbl_task1[[คะแนนเต็ม]:[คะแนนเต็ม]])*tbl_task1[[%]:[%]])</f>
        <v/>
      </c>
      <c r="LH25" s="121" t="str">
        <f>IF(ISBLANK(tbl_task1[[คะแนนเต็ม]:[คะแนนเต็ม]]),"",(tbl_task1[150]/tbl_task1[[คะแนนเต็ม]:[คะแนนเต็ม]])*tbl_task1[[%]:[%]])</f>
        <v/>
      </c>
      <c r="LI25" s="121" t="str">
        <f>IF(ISBLANK(tbl_task1[[คะแนนเต็ม]:[คะแนนเต็ม]]),"",(tbl_task1[151]/tbl_task1[[คะแนนเต็ม]:[คะแนนเต็ม]])*tbl_task1[[%]:[%]])</f>
        <v/>
      </c>
      <c r="LJ25" s="121" t="str">
        <f>IF(ISBLANK(tbl_task1[[คะแนนเต็ม]:[คะแนนเต็ม]]),"",(tbl_task1[152]/tbl_task1[[คะแนนเต็ม]:[คะแนนเต็ม]])*tbl_task1[[%]:[%]])</f>
        <v/>
      </c>
      <c r="LK25" s="121" t="str">
        <f>IF(ISBLANK(tbl_task1[[คะแนนเต็ม]:[คะแนนเต็ม]]),"",(tbl_task1[153]/tbl_task1[[คะแนนเต็ม]:[คะแนนเต็ม]])*tbl_task1[[%]:[%]])</f>
        <v/>
      </c>
      <c r="LL25" s="121" t="str">
        <f>IF(ISBLANK(tbl_task1[[คะแนนเต็ม]:[คะแนนเต็ม]]),"",(tbl_task1[154]/tbl_task1[[คะแนนเต็ม]:[คะแนนเต็ม]])*tbl_task1[[%]:[%]])</f>
        <v/>
      </c>
      <c r="LM25" s="121" t="str">
        <f>IF(ISBLANK(tbl_task1[[คะแนนเต็ม]:[คะแนนเต็ม]]),"",(tbl_task1[155]/tbl_task1[[คะแนนเต็ม]:[คะแนนเต็ม]])*tbl_task1[[%]:[%]])</f>
        <v/>
      </c>
      <c r="LN25" s="121" t="str">
        <f>IF(ISBLANK(tbl_task1[[คะแนนเต็ม]:[คะแนนเต็ม]]),"",(tbl_task1[156]/tbl_task1[[คะแนนเต็ม]:[คะแนนเต็ม]])*tbl_task1[[%]:[%]])</f>
        <v/>
      </c>
      <c r="LO25" s="121" t="str">
        <f>IF(ISBLANK(tbl_task1[[คะแนนเต็ม]:[คะแนนเต็ม]]),"",(tbl_task1[157]/tbl_task1[[คะแนนเต็ม]:[คะแนนเต็ม]])*tbl_task1[[%]:[%]])</f>
        <v/>
      </c>
      <c r="LP25" s="121" t="str">
        <f>IF(ISBLANK(tbl_task1[[คะแนนเต็ม]:[คะแนนเต็ม]]),"",(tbl_task1[158]/tbl_task1[[คะแนนเต็ม]:[คะแนนเต็ม]])*tbl_task1[[%]:[%]])</f>
        <v/>
      </c>
      <c r="LQ25" s="121" t="str">
        <f>IF(ISBLANK(tbl_task1[[คะแนนเต็ม]:[คะแนนเต็ม]]),"",(tbl_task1[159]/tbl_task1[[คะแนนเต็ม]:[คะแนนเต็ม]])*tbl_task1[[%]:[%]])</f>
        <v/>
      </c>
      <c r="LR25" s="121" t="str">
        <f>IF(ISBLANK(tbl_task1[[คะแนนเต็ม]:[คะแนนเต็ม]]),"",(tbl_task1[160]/tbl_task1[[คะแนนเต็ม]:[คะแนนเต็ม]])*tbl_task1[[%]:[%]])</f>
        <v/>
      </c>
      <c r="LS25" s="121" t="str">
        <f>IF(ISBLANK(tbl_task1[[คะแนนเต็ม]:[คะแนนเต็ม]]),"",(tbl_task1[161]/tbl_task1[[คะแนนเต็ม]:[คะแนนเต็ม]])*tbl_task1[[%]:[%]])</f>
        <v/>
      </c>
      <c r="LT25" s="121" t="str">
        <f>IF(ISBLANK(tbl_task1[[คะแนนเต็ม]:[คะแนนเต็ม]]),"",(tbl_task1[162]/tbl_task1[[คะแนนเต็ม]:[คะแนนเต็ม]])*tbl_task1[[%]:[%]])</f>
        <v/>
      </c>
      <c r="LU25" s="121" t="str">
        <f>IF(ISBLANK(tbl_task1[[คะแนนเต็ม]:[คะแนนเต็ม]]),"",(tbl_task1[163]/tbl_task1[[คะแนนเต็ม]:[คะแนนเต็ม]])*tbl_task1[[%]:[%]])</f>
        <v/>
      </c>
      <c r="LV25" s="121" t="str">
        <f>IF(ISBLANK(tbl_task1[[คะแนนเต็ม]:[คะแนนเต็ม]]),"",(tbl_task1[164]/tbl_task1[[คะแนนเต็ม]:[คะแนนเต็ม]])*tbl_task1[[%]:[%]])</f>
        <v/>
      </c>
      <c r="LW25" s="121" t="str">
        <f>IF(ISBLANK(tbl_task1[[คะแนนเต็ม]:[คะแนนเต็ม]]),"",(tbl_task1[165]/tbl_task1[[คะแนนเต็ม]:[คะแนนเต็ม]])*tbl_task1[[%]:[%]])</f>
        <v/>
      </c>
    </row>
    <row r="26" spans="1:335" ht="24" customHeight="1" x14ac:dyDescent="0.25">
      <c r="A26" s="24">
        <v>23</v>
      </c>
      <c r="B26" s="20"/>
      <c r="C26" s="5" t="str">
        <f>IF(ISBLANK(B26),"",VLOOKUP(B26,tbl_PLOs[],2,0))</f>
        <v/>
      </c>
      <c r="D26" s="102"/>
      <c r="E26" s="106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21" t="str">
        <f>IF(ISBLANK(tbl_task1[[คะแนนเต็ม]:[คะแนนเต็ม]]),"",(tbl_task1[1]/tbl_task1[[คะแนนเต็ม]:[คะแนนเต็ม]])*tbl_task1[[%]:[%]])</f>
        <v/>
      </c>
      <c r="FP26" s="121" t="str">
        <f>IF(ISBLANK(tbl_task1[[คะแนนเต็ม]:[คะแนนเต็ม]]),"",(tbl_task1[2]/tbl_task1[[คะแนนเต็ม]:[คะแนนเต็ม]])*tbl_task1[[%]:[%]])</f>
        <v/>
      </c>
      <c r="FQ26" s="121" t="str">
        <f>IF(ISBLANK(tbl_task1[[คะแนนเต็ม]:[คะแนนเต็ม]]),"",(tbl_task1[3]/tbl_task1[[คะแนนเต็ม]:[คะแนนเต็ม]])*tbl_task1[[%]:[%]])</f>
        <v/>
      </c>
      <c r="FR26" s="121" t="str">
        <f>IF(ISBLANK(tbl_task1[[คะแนนเต็ม]:[คะแนนเต็ม]]),"",(tbl_task1[4]/tbl_task1[[คะแนนเต็ม]:[คะแนนเต็ม]])*tbl_task1[[%]:[%]])</f>
        <v/>
      </c>
      <c r="FS26" s="121" t="str">
        <f>IF(ISBLANK(tbl_task1[[คะแนนเต็ม]:[คะแนนเต็ม]]),"",(tbl_task1[5]/tbl_task1[[คะแนนเต็ม]:[คะแนนเต็ม]])*tbl_task1[[%]:[%]])</f>
        <v/>
      </c>
      <c r="FT26" s="121" t="str">
        <f>IF(ISBLANK(tbl_task1[[คะแนนเต็ม]:[คะแนนเต็ม]]),"",(tbl_task1[6]/tbl_task1[[คะแนนเต็ม]:[คะแนนเต็ม]])*tbl_task1[[%]:[%]])</f>
        <v/>
      </c>
      <c r="FU26" s="121" t="str">
        <f>IF(ISBLANK(tbl_task1[[คะแนนเต็ม]:[คะแนนเต็ม]]),"",(tbl_task1[7]/tbl_task1[[คะแนนเต็ม]:[คะแนนเต็ม]])*tbl_task1[[%]:[%]])</f>
        <v/>
      </c>
      <c r="FV26" s="121" t="str">
        <f>IF(ISBLANK(tbl_task1[[คะแนนเต็ม]:[คะแนนเต็ม]]),"",(tbl_task1[8]/tbl_task1[[คะแนนเต็ม]:[คะแนนเต็ม]])*tbl_task1[[%]:[%]])</f>
        <v/>
      </c>
      <c r="FW26" s="121" t="str">
        <f>IF(ISBLANK(tbl_task1[[คะแนนเต็ม]:[คะแนนเต็ม]]),"",(tbl_task1[9]/tbl_task1[[คะแนนเต็ม]:[คะแนนเต็ม]])*tbl_task1[[%]:[%]])</f>
        <v/>
      </c>
      <c r="FX26" s="121" t="str">
        <f>IF(ISBLANK(tbl_task1[[คะแนนเต็ม]:[คะแนนเต็ม]]),"",(tbl_task1[10]/tbl_task1[[คะแนนเต็ม]:[คะแนนเต็ม]])*tbl_task1[[%]:[%]])</f>
        <v/>
      </c>
      <c r="FY26" s="121" t="str">
        <f>IF(ISBLANK(tbl_task1[[คะแนนเต็ม]:[คะแนนเต็ม]]),"",(tbl_task1[11]/tbl_task1[[คะแนนเต็ม]:[คะแนนเต็ม]])*tbl_task1[[%]:[%]])</f>
        <v/>
      </c>
      <c r="FZ26" s="121" t="str">
        <f>IF(ISBLANK(tbl_task1[[คะแนนเต็ม]:[คะแนนเต็ม]]),"",(tbl_task1[12]/tbl_task1[[คะแนนเต็ม]:[คะแนนเต็ม]])*tbl_task1[[%]:[%]])</f>
        <v/>
      </c>
      <c r="GA26" s="121" t="str">
        <f>IF(ISBLANK(tbl_task1[[คะแนนเต็ม]:[คะแนนเต็ม]]),"",(tbl_task1[13]/tbl_task1[[คะแนนเต็ม]:[คะแนนเต็ม]])*tbl_task1[[%]:[%]])</f>
        <v/>
      </c>
      <c r="GB26" s="121" t="str">
        <f>IF(ISBLANK(tbl_task1[[คะแนนเต็ม]:[คะแนนเต็ม]]),"",(tbl_task1[14]/tbl_task1[[คะแนนเต็ม]:[คะแนนเต็ม]])*tbl_task1[[%]:[%]])</f>
        <v/>
      </c>
      <c r="GC26" s="121" t="str">
        <f>IF(ISBLANK(tbl_task1[[คะแนนเต็ม]:[คะแนนเต็ม]]),"",(tbl_task1[15]/tbl_task1[[คะแนนเต็ม]:[คะแนนเต็ม]])*tbl_task1[[%]:[%]])</f>
        <v/>
      </c>
      <c r="GD26" s="121" t="str">
        <f>IF(ISBLANK(tbl_task1[[คะแนนเต็ม]:[คะแนนเต็ม]]),"",(tbl_task1[16]/tbl_task1[[คะแนนเต็ม]:[คะแนนเต็ม]])*tbl_task1[[%]:[%]])</f>
        <v/>
      </c>
      <c r="GE26" s="121" t="str">
        <f>IF(ISBLANK(tbl_task1[[คะแนนเต็ม]:[คะแนนเต็ม]]),"",(tbl_task1[17]/tbl_task1[[คะแนนเต็ม]:[คะแนนเต็ม]])*tbl_task1[[%]:[%]])</f>
        <v/>
      </c>
      <c r="GF26" s="121" t="str">
        <f>IF(ISBLANK(tbl_task1[[คะแนนเต็ม]:[คะแนนเต็ม]]),"",(tbl_task1[18]/tbl_task1[[คะแนนเต็ม]:[คะแนนเต็ม]])*tbl_task1[[%]:[%]])</f>
        <v/>
      </c>
      <c r="GG26" s="121" t="str">
        <f>IF(ISBLANK(tbl_task1[[คะแนนเต็ม]:[คะแนนเต็ม]]),"",(tbl_task1[19]/tbl_task1[[คะแนนเต็ม]:[คะแนนเต็ม]])*tbl_task1[[%]:[%]])</f>
        <v/>
      </c>
      <c r="GH26" s="121" t="str">
        <f>IF(ISBLANK(tbl_task1[[คะแนนเต็ม]:[คะแนนเต็ม]]),"",(tbl_task1[20]/tbl_task1[[คะแนนเต็ม]:[คะแนนเต็ม]])*tbl_task1[[%]:[%]])</f>
        <v/>
      </c>
      <c r="GI26" s="121" t="str">
        <f>IF(ISBLANK(tbl_task1[[คะแนนเต็ม]:[คะแนนเต็ม]]),"",(tbl_task1[21]/tbl_task1[[คะแนนเต็ม]:[คะแนนเต็ม]])*tbl_task1[[%]:[%]])</f>
        <v/>
      </c>
      <c r="GJ26" s="121" t="str">
        <f>IF(ISBLANK(tbl_task1[[คะแนนเต็ม]:[คะแนนเต็ม]]),"",(tbl_task1[22]/tbl_task1[[คะแนนเต็ม]:[คะแนนเต็ม]])*tbl_task1[[%]:[%]])</f>
        <v/>
      </c>
      <c r="GK26" s="121" t="str">
        <f>IF(ISBLANK(tbl_task1[[คะแนนเต็ม]:[คะแนนเต็ม]]),"",(tbl_task1[23]/tbl_task1[[คะแนนเต็ม]:[คะแนนเต็ม]])*tbl_task1[[%]:[%]])</f>
        <v/>
      </c>
      <c r="GL26" s="121" t="str">
        <f>IF(ISBLANK(tbl_task1[[คะแนนเต็ม]:[คะแนนเต็ม]]),"",(tbl_task1[24]/tbl_task1[[คะแนนเต็ม]:[คะแนนเต็ม]])*tbl_task1[[%]:[%]])</f>
        <v/>
      </c>
      <c r="GM26" s="121" t="str">
        <f>IF(ISBLANK(tbl_task1[[คะแนนเต็ม]:[คะแนนเต็ม]]),"",(tbl_task1[25]/tbl_task1[[คะแนนเต็ม]:[คะแนนเต็ม]])*tbl_task1[[%]:[%]])</f>
        <v/>
      </c>
      <c r="GN26" s="121" t="str">
        <f>IF(ISBLANK(tbl_task1[[คะแนนเต็ม]:[คะแนนเต็ม]]),"",(tbl_task1[26]/tbl_task1[[คะแนนเต็ม]:[คะแนนเต็ม]])*tbl_task1[[%]:[%]])</f>
        <v/>
      </c>
      <c r="GO26" s="121" t="str">
        <f>IF(ISBLANK(tbl_task1[[คะแนนเต็ม]:[คะแนนเต็ม]]),"",(tbl_task1[27]/tbl_task1[[คะแนนเต็ม]:[คะแนนเต็ม]])*tbl_task1[[%]:[%]])</f>
        <v/>
      </c>
      <c r="GP26" s="121" t="str">
        <f>IF(ISBLANK(tbl_task1[[คะแนนเต็ม]:[คะแนนเต็ม]]),"",(tbl_task1[28]/tbl_task1[[คะแนนเต็ม]:[คะแนนเต็ม]])*tbl_task1[[%]:[%]])</f>
        <v/>
      </c>
      <c r="GQ26" s="121" t="str">
        <f>IF(ISBLANK(tbl_task1[[คะแนนเต็ม]:[คะแนนเต็ม]]),"",(tbl_task1[29]/tbl_task1[[คะแนนเต็ม]:[คะแนนเต็ม]])*tbl_task1[[%]:[%]])</f>
        <v/>
      </c>
      <c r="GR26" s="121" t="str">
        <f>IF(ISBLANK(tbl_task1[[คะแนนเต็ม]:[คะแนนเต็ม]]),"",(tbl_task1[30]/tbl_task1[[คะแนนเต็ม]:[คะแนนเต็ม]])*tbl_task1[[%]:[%]])</f>
        <v/>
      </c>
      <c r="GS26" s="121" t="str">
        <f>IF(ISBLANK(tbl_task1[[คะแนนเต็ม]:[คะแนนเต็ม]]),"",(tbl_task1[31]/tbl_task1[[คะแนนเต็ม]:[คะแนนเต็ม]])*tbl_task1[[%]:[%]])</f>
        <v/>
      </c>
      <c r="GT26" s="121" t="str">
        <f>IF(ISBLANK(tbl_task1[[คะแนนเต็ม]:[คะแนนเต็ม]]),"",(tbl_task1[32]/tbl_task1[[คะแนนเต็ม]:[คะแนนเต็ม]])*tbl_task1[[%]:[%]])</f>
        <v/>
      </c>
      <c r="GU26" s="121" t="str">
        <f>IF(ISBLANK(tbl_task1[[คะแนนเต็ม]:[คะแนนเต็ม]]),"",(tbl_task1[33]/tbl_task1[[คะแนนเต็ม]:[คะแนนเต็ม]])*tbl_task1[[%]:[%]])</f>
        <v/>
      </c>
      <c r="GV26" s="121" t="str">
        <f>IF(ISBLANK(tbl_task1[[คะแนนเต็ม]:[คะแนนเต็ม]]),"",(tbl_task1[34]/tbl_task1[[คะแนนเต็ม]:[คะแนนเต็ม]])*tbl_task1[[%]:[%]])</f>
        <v/>
      </c>
      <c r="GW26" s="121" t="str">
        <f>IF(ISBLANK(tbl_task1[[คะแนนเต็ม]:[คะแนนเต็ม]]),"",(tbl_task1[35]/tbl_task1[[คะแนนเต็ม]:[คะแนนเต็ม]])*tbl_task1[[%]:[%]])</f>
        <v/>
      </c>
      <c r="GX26" s="121" t="str">
        <f>IF(ISBLANK(tbl_task1[[คะแนนเต็ม]:[คะแนนเต็ม]]),"",(tbl_task1[36]/tbl_task1[[คะแนนเต็ม]:[คะแนนเต็ม]])*tbl_task1[[%]:[%]])</f>
        <v/>
      </c>
      <c r="GY26" s="121" t="str">
        <f>IF(ISBLANK(tbl_task1[[คะแนนเต็ม]:[คะแนนเต็ม]]),"",(tbl_task1[37]/tbl_task1[[คะแนนเต็ม]:[คะแนนเต็ม]])*tbl_task1[[%]:[%]])</f>
        <v/>
      </c>
      <c r="GZ26" s="121" t="str">
        <f>IF(ISBLANK(tbl_task1[[คะแนนเต็ม]:[คะแนนเต็ม]]),"",(tbl_task1[38]/tbl_task1[[คะแนนเต็ม]:[คะแนนเต็ม]])*tbl_task1[[%]:[%]])</f>
        <v/>
      </c>
      <c r="HA26" s="121" t="str">
        <f>IF(ISBLANK(tbl_task1[[คะแนนเต็ม]:[คะแนนเต็ม]]),"",(tbl_task1[39]/tbl_task1[[คะแนนเต็ม]:[คะแนนเต็ม]])*tbl_task1[[%]:[%]])</f>
        <v/>
      </c>
      <c r="HB26" s="121" t="str">
        <f>IF(ISBLANK(tbl_task1[[คะแนนเต็ม]:[คะแนนเต็ม]]),"",(tbl_task1[40]/tbl_task1[[คะแนนเต็ม]:[คะแนนเต็ม]])*tbl_task1[[%]:[%]])</f>
        <v/>
      </c>
      <c r="HC26" s="121" t="str">
        <f>IF(ISBLANK(tbl_task1[[คะแนนเต็ม]:[คะแนนเต็ม]]),"",(tbl_task1[41]/tbl_task1[[คะแนนเต็ม]:[คะแนนเต็ม]])*tbl_task1[[%]:[%]])</f>
        <v/>
      </c>
      <c r="HD26" s="121" t="str">
        <f>IF(ISBLANK(tbl_task1[[คะแนนเต็ม]:[คะแนนเต็ม]]),"",(tbl_task1[42]/tbl_task1[[คะแนนเต็ม]:[คะแนนเต็ม]])*tbl_task1[[%]:[%]])</f>
        <v/>
      </c>
      <c r="HE26" s="121" t="str">
        <f>IF(ISBLANK(tbl_task1[[คะแนนเต็ม]:[คะแนนเต็ม]]),"",(tbl_task1[43]/tbl_task1[[คะแนนเต็ม]:[คะแนนเต็ม]])*tbl_task1[[%]:[%]])</f>
        <v/>
      </c>
      <c r="HF26" s="121" t="str">
        <f>IF(ISBLANK(tbl_task1[[คะแนนเต็ม]:[คะแนนเต็ม]]),"",(tbl_task1[44]/tbl_task1[[คะแนนเต็ม]:[คะแนนเต็ม]])*tbl_task1[[%]:[%]])</f>
        <v/>
      </c>
      <c r="HG26" s="121" t="str">
        <f>IF(ISBLANK(tbl_task1[[คะแนนเต็ม]:[คะแนนเต็ม]]),"",(tbl_task1[45]/tbl_task1[[คะแนนเต็ม]:[คะแนนเต็ม]])*tbl_task1[[%]:[%]])</f>
        <v/>
      </c>
      <c r="HH26" s="121" t="str">
        <f>IF(ISBLANK(tbl_task1[[คะแนนเต็ม]:[คะแนนเต็ม]]),"",(tbl_task1[46]/tbl_task1[[คะแนนเต็ม]:[คะแนนเต็ม]])*tbl_task1[[%]:[%]])</f>
        <v/>
      </c>
      <c r="HI26" s="121" t="str">
        <f>IF(ISBLANK(tbl_task1[[คะแนนเต็ม]:[คะแนนเต็ม]]),"",(tbl_task1[47]/tbl_task1[[คะแนนเต็ม]:[คะแนนเต็ม]])*tbl_task1[[%]:[%]])</f>
        <v/>
      </c>
      <c r="HJ26" s="121" t="str">
        <f>IF(ISBLANK(tbl_task1[[คะแนนเต็ม]:[คะแนนเต็ม]]),"",(tbl_task1[48]/tbl_task1[[คะแนนเต็ม]:[คะแนนเต็ม]])*tbl_task1[[%]:[%]])</f>
        <v/>
      </c>
      <c r="HK26" s="121" t="str">
        <f>IF(ISBLANK(tbl_task1[[คะแนนเต็ม]:[คะแนนเต็ม]]),"",(tbl_task1[49]/tbl_task1[[คะแนนเต็ม]:[คะแนนเต็ม]])*tbl_task1[[%]:[%]])</f>
        <v/>
      </c>
      <c r="HL26" s="121" t="str">
        <f>IF(ISBLANK(tbl_task1[[คะแนนเต็ม]:[คะแนนเต็ม]]),"",(tbl_task1[50]/tbl_task1[[คะแนนเต็ม]:[คะแนนเต็ม]])*tbl_task1[[%]:[%]])</f>
        <v/>
      </c>
      <c r="HM26" s="121" t="str">
        <f>IF(ISBLANK(tbl_task1[[คะแนนเต็ม]:[คะแนนเต็ม]]),"",(tbl_task1[51]/tbl_task1[[คะแนนเต็ม]:[คะแนนเต็ม]])*tbl_task1[[%]:[%]])</f>
        <v/>
      </c>
      <c r="HN26" s="121" t="str">
        <f>IF(ISBLANK(tbl_task1[[คะแนนเต็ม]:[คะแนนเต็ม]]),"",(tbl_task1[52]/tbl_task1[[คะแนนเต็ม]:[คะแนนเต็ม]])*tbl_task1[[%]:[%]])</f>
        <v/>
      </c>
      <c r="HO26" s="121" t="str">
        <f>IF(ISBLANK(tbl_task1[[คะแนนเต็ม]:[คะแนนเต็ม]]),"",(tbl_task1[53]/tbl_task1[[คะแนนเต็ม]:[คะแนนเต็ม]])*tbl_task1[[%]:[%]])</f>
        <v/>
      </c>
      <c r="HP26" s="121" t="str">
        <f>IF(ISBLANK(tbl_task1[[คะแนนเต็ม]:[คะแนนเต็ม]]),"",(tbl_task1[54]/tbl_task1[[คะแนนเต็ม]:[คะแนนเต็ม]])*tbl_task1[[%]:[%]])</f>
        <v/>
      </c>
      <c r="HQ26" s="121" t="str">
        <f>IF(ISBLANK(tbl_task1[[คะแนนเต็ม]:[คะแนนเต็ม]]),"",(tbl_task1[55]/tbl_task1[[คะแนนเต็ม]:[คะแนนเต็ม]])*tbl_task1[[%]:[%]])</f>
        <v/>
      </c>
      <c r="HR26" s="121" t="str">
        <f>IF(ISBLANK(tbl_task1[[คะแนนเต็ม]:[คะแนนเต็ม]]),"",(tbl_task1[56]/tbl_task1[[คะแนนเต็ม]:[คะแนนเต็ม]])*tbl_task1[[%]:[%]])</f>
        <v/>
      </c>
      <c r="HS26" s="121" t="str">
        <f>IF(ISBLANK(tbl_task1[[คะแนนเต็ม]:[คะแนนเต็ม]]),"",(tbl_task1[57]/tbl_task1[[คะแนนเต็ม]:[คะแนนเต็ม]])*tbl_task1[[%]:[%]])</f>
        <v/>
      </c>
      <c r="HT26" s="121" t="str">
        <f>IF(ISBLANK(tbl_task1[[คะแนนเต็ม]:[คะแนนเต็ม]]),"",(tbl_task1[58]/tbl_task1[[คะแนนเต็ม]:[คะแนนเต็ม]])*tbl_task1[[%]:[%]])</f>
        <v/>
      </c>
      <c r="HU26" s="121" t="str">
        <f>IF(ISBLANK(tbl_task1[[คะแนนเต็ม]:[คะแนนเต็ม]]),"",(tbl_task1[59]/tbl_task1[[คะแนนเต็ม]:[คะแนนเต็ม]])*tbl_task1[[%]:[%]])</f>
        <v/>
      </c>
      <c r="HV26" s="121" t="str">
        <f>IF(ISBLANK(tbl_task1[[คะแนนเต็ม]:[คะแนนเต็ม]]),"",(tbl_task1[60]/tbl_task1[[คะแนนเต็ม]:[คะแนนเต็ม]])*tbl_task1[[%]:[%]])</f>
        <v/>
      </c>
      <c r="HW26" s="121" t="str">
        <f>IF(ISBLANK(tbl_task1[[คะแนนเต็ม]:[คะแนนเต็ม]]),"",(tbl_task1[61]/tbl_task1[[คะแนนเต็ม]:[คะแนนเต็ม]])*tbl_task1[[%]:[%]])</f>
        <v/>
      </c>
      <c r="HX26" s="121" t="str">
        <f>IF(ISBLANK(tbl_task1[[คะแนนเต็ม]:[คะแนนเต็ม]]),"",(tbl_task1[62]/tbl_task1[[คะแนนเต็ม]:[คะแนนเต็ม]])*tbl_task1[[%]:[%]])</f>
        <v/>
      </c>
      <c r="HY26" s="121" t="str">
        <f>IF(ISBLANK(tbl_task1[[คะแนนเต็ม]:[คะแนนเต็ม]]),"",(tbl_task1[63]/tbl_task1[[คะแนนเต็ม]:[คะแนนเต็ม]])*tbl_task1[[%]:[%]])</f>
        <v/>
      </c>
      <c r="HZ26" s="121" t="str">
        <f>IF(ISBLANK(tbl_task1[[คะแนนเต็ม]:[คะแนนเต็ม]]),"",(tbl_task1[64]/tbl_task1[[คะแนนเต็ม]:[คะแนนเต็ม]])*tbl_task1[[%]:[%]])</f>
        <v/>
      </c>
      <c r="IA26" s="121" t="str">
        <f>IF(ISBLANK(tbl_task1[[คะแนนเต็ม]:[คะแนนเต็ม]]),"",(tbl_task1[65]/tbl_task1[[คะแนนเต็ม]:[คะแนนเต็ม]])*tbl_task1[[%]:[%]])</f>
        <v/>
      </c>
      <c r="IB26" s="121" t="str">
        <f>IF(ISBLANK(tbl_task1[[คะแนนเต็ม]:[คะแนนเต็ม]]),"",(tbl_task1[66]/tbl_task1[[คะแนนเต็ม]:[คะแนนเต็ม]])*tbl_task1[[%]:[%]])</f>
        <v/>
      </c>
      <c r="IC26" s="121" t="str">
        <f>IF(ISBLANK(tbl_task1[[คะแนนเต็ม]:[คะแนนเต็ม]]),"",(tbl_task1[67]/tbl_task1[[คะแนนเต็ม]:[คะแนนเต็ม]])*tbl_task1[[%]:[%]])</f>
        <v/>
      </c>
      <c r="ID26" s="121" t="str">
        <f>IF(ISBLANK(tbl_task1[[คะแนนเต็ม]:[คะแนนเต็ม]]),"",(tbl_task1[68]/tbl_task1[[คะแนนเต็ม]:[คะแนนเต็ม]])*tbl_task1[[%]:[%]])</f>
        <v/>
      </c>
      <c r="IE26" s="121" t="str">
        <f>IF(ISBLANK(tbl_task1[[คะแนนเต็ม]:[คะแนนเต็ม]]),"",(tbl_task1[69]/tbl_task1[[คะแนนเต็ม]:[คะแนนเต็ม]])*tbl_task1[[%]:[%]])</f>
        <v/>
      </c>
      <c r="IF26" s="121" t="str">
        <f>IF(ISBLANK(tbl_task1[[คะแนนเต็ม]:[คะแนนเต็ม]]),"",(tbl_task1[70]/tbl_task1[[คะแนนเต็ม]:[คะแนนเต็ม]])*tbl_task1[[%]:[%]])</f>
        <v/>
      </c>
      <c r="IG26" s="121" t="str">
        <f>IF(ISBLANK(tbl_task1[[คะแนนเต็ม]:[คะแนนเต็ม]]),"",(tbl_task1[71]/tbl_task1[[คะแนนเต็ม]:[คะแนนเต็ม]])*tbl_task1[[%]:[%]])</f>
        <v/>
      </c>
      <c r="IH26" s="121" t="str">
        <f>IF(ISBLANK(tbl_task1[[คะแนนเต็ม]:[คะแนนเต็ม]]),"",(tbl_task1[72]/tbl_task1[[คะแนนเต็ม]:[คะแนนเต็ม]])*tbl_task1[[%]:[%]])</f>
        <v/>
      </c>
      <c r="II26" s="121" t="str">
        <f>IF(ISBLANK(tbl_task1[[คะแนนเต็ม]:[คะแนนเต็ม]]),"",(tbl_task1[73]/tbl_task1[[คะแนนเต็ม]:[คะแนนเต็ม]])*tbl_task1[[%]:[%]])</f>
        <v/>
      </c>
      <c r="IJ26" s="121" t="str">
        <f>IF(ISBLANK(tbl_task1[[คะแนนเต็ม]:[คะแนนเต็ม]]),"",(tbl_task1[74]/tbl_task1[[คะแนนเต็ม]:[คะแนนเต็ม]])*tbl_task1[[%]:[%]])</f>
        <v/>
      </c>
      <c r="IK26" s="121" t="str">
        <f>IF(ISBLANK(tbl_task1[[คะแนนเต็ม]:[คะแนนเต็ม]]),"",(tbl_task1[75]/tbl_task1[[คะแนนเต็ม]:[คะแนนเต็ม]])*tbl_task1[[%]:[%]])</f>
        <v/>
      </c>
      <c r="IL26" s="121" t="str">
        <f>IF(ISBLANK(tbl_task1[[คะแนนเต็ม]:[คะแนนเต็ม]]),"",(tbl_task1[76]/tbl_task1[[คะแนนเต็ม]:[คะแนนเต็ม]])*tbl_task1[[%]:[%]])</f>
        <v/>
      </c>
      <c r="IM26" s="121" t="str">
        <f>IF(ISBLANK(tbl_task1[[คะแนนเต็ม]:[คะแนนเต็ม]]),"",(tbl_task1[77]/tbl_task1[[คะแนนเต็ม]:[คะแนนเต็ม]])*tbl_task1[[%]:[%]])</f>
        <v/>
      </c>
      <c r="IN26" s="121" t="str">
        <f>IF(ISBLANK(tbl_task1[[คะแนนเต็ม]:[คะแนนเต็ม]]),"",(tbl_task1[78]/tbl_task1[[คะแนนเต็ม]:[คะแนนเต็ม]])*tbl_task1[[%]:[%]])</f>
        <v/>
      </c>
      <c r="IO26" s="121" t="str">
        <f>IF(ISBLANK(tbl_task1[[คะแนนเต็ม]:[คะแนนเต็ม]]),"",(tbl_task1[79]/tbl_task1[[คะแนนเต็ม]:[คะแนนเต็ม]])*tbl_task1[[%]:[%]])</f>
        <v/>
      </c>
      <c r="IP26" s="121" t="str">
        <f>IF(ISBLANK(tbl_task1[[คะแนนเต็ม]:[คะแนนเต็ม]]),"",(tbl_task1[80]/tbl_task1[[คะแนนเต็ม]:[คะแนนเต็ม]])*tbl_task1[[%]:[%]])</f>
        <v/>
      </c>
      <c r="IQ26" s="121" t="str">
        <f>IF(ISBLANK(tbl_task1[[คะแนนเต็ม]:[คะแนนเต็ม]]),"",(tbl_task1[81]/tbl_task1[[คะแนนเต็ม]:[คะแนนเต็ม]])*tbl_task1[[%]:[%]])</f>
        <v/>
      </c>
      <c r="IR26" s="121" t="str">
        <f>IF(ISBLANK(tbl_task1[[คะแนนเต็ม]:[คะแนนเต็ม]]),"",(tbl_task1[82]/tbl_task1[[คะแนนเต็ม]:[คะแนนเต็ม]])*tbl_task1[[%]:[%]])</f>
        <v/>
      </c>
      <c r="IS26" s="121" t="str">
        <f>IF(ISBLANK(tbl_task1[[คะแนนเต็ม]:[คะแนนเต็ม]]),"",(tbl_task1[83]/tbl_task1[[คะแนนเต็ม]:[คะแนนเต็ม]])*tbl_task1[[%]:[%]])</f>
        <v/>
      </c>
      <c r="IT26" s="121" t="str">
        <f>IF(ISBLANK(tbl_task1[[คะแนนเต็ม]:[คะแนนเต็ม]]),"",(tbl_task1[84]/tbl_task1[[คะแนนเต็ม]:[คะแนนเต็ม]])*tbl_task1[[%]:[%]])</f>
        <v/>
      </c>
      <c r="IU26" s="121" t="str">
        <f>IF(ISBLANK(tbl_task1[[คะแนนเต็ม]:[คะแนนเต็ม]]),"",(tbl_task1[85]/tbl_task1[[คะแนนเต็ม]:[คะแนนเต็ม]])*tbl_task1[[%]:[%]])</f>
        <v/>
      </c>
      <c r="IV26" s="121" t="str">
        <f>IF(ISBLANK(tbl_task1[[คะแนนเต็ม]:[คะแนนเต็ม]]),"",(tbl_task1[86]/tbl_task1[[คะแนนเต็ม]:[คะแนนเต็ม]])*tbl_task1[[%]:[%]])</f>
        <v/>
      </c>
      <c r="IW26" s="121" t="str">
        <f>IF(ISBLANK(tbl_task1[[คะแนนเต็ม]:[คะแนนเต็ม]]),"",(tbl_task1[87]/tbl_task1[[คะแนนเต็ม]:[คะแนนเต็ม]])*tbl_task1[[%]:[%]])</f>
        <v/>
      </c>
      <c r="IX26" s="121" t="str">
        <f>IF(ISBLANK(tbl_task1[[คะแนนเต็ม]:[คะแนนเต็ม]]),"",(tbl_task1[88]/tbl_task1[[คะแนนเต็ม]:[คะแนนเต็ม]])*tbl_task1[[%]:[%]])</f>
        <v/>
      </c>
      <c r="IY26" s="121" t="str">
        <f>IF(ISBLANK(tbl_task1[[คะแนนเต็ม]:[คะแนนเต็ม]]),"",(tbl_task1[89]/tbl_task1[[คะแนนเต็ม]:[คะแนนเต็ม]])*tbl_task1[[%]:[%]])</f>
        <v/>
      </c>
      <c r="IZ26" s="121" t="str">
        <f>IF(ISBLANK(tbl_task1[[คะแนนเต็ม]:[คะแนนเต็ม]]),"",(tbl_task1[90]/tbl_task1[[คะแนนเต็ม]:[คะแนนเต็ม]])*tbl_task1[[%]:[%]])</f>
        <v/>
      </c>
      <c r="JA26" s="121" t="str">
        <f>IF(ISBLANK(tbl_task1[[คะแนนเต็ม]:[คะแนนเต็ม]]),"",(tbl_task1[91]/tbl_task1[[คะแนนเต็ม]:[คะแนนเต็ม]])*tbl_task1[[%]:[%]])</f>
        <v/>
      </c>
      <c r="JB26" s="121" t="str">
        <f>IF(ISBLANK(tbl_task1[[คะแนนเต็ม]:[คะแนนเต็ม]]),"",(tbl_task1[92]/tbl_task1[[คะแนนเต็ม]:[คะแนนเต็ม]])*tbl_task1[[%]:[%]])</f>
        <v/>
      </c>
      <c r="JC26" s="121" t="str">
        <f>IF(ISBLANK(tbl_task1[[คะแนนเต็ม]:[คะแนนเต็ม]]),"",(tbl_task1[93]/tbl_task1[[คะแนนเต็ม]:[คะแนนเต็ม]])*tbl_task1[[%]:[%]])</f>
        <v/>
      </c>
      <c r="JD26" s="121" t="str">
        <f>IF(ISBLANK(tbl_task1[[คะแนนเต็ม]:[คะแนนเต็ม]]),"",(tbl_task1[94]/tbl_task1[[คะแนนเต็ม]:[คะแนนเต็ม]])*tbl_task1[[%]:[%]])</f>
        <v/>
      </c>
      <c r="JE26" s="121" t="str">
        <f>IF(ISBLANK(tbl_task1[[คะแนนเต็ม]:[คะแนนเต็ม]]),"",(tbl_task1[95]/tbl_task1[[คะแนนเต็ม]:[คะแนนเต็ม]])*tbl_task1[[%]:[%]])</f>
        <v/>
      </c>
      <c r="JF26" s="121" t="str">
        <f>IF(ISBLANK(tbl_task1[[คะแนนเต็ม]:[คะแนนเต็ม]]),"",(tbl_task1[96]/tbl_task1[[คะแนนเต็ม]:[คะแนนเต็ม]])*tbl_task1[[%]:[%]])</f>
        <v/>
      </c>
      <c r="JG26" s="121" t="str">
        <f>IF(ISBLANK(tbl_task1[[คะแนนเต็ม]:[คะแนนเต็ม]]),"",(tbl_task1[97]/tbl_task1[[คะแนนเต็ม]:[คะแนนเต็ม]])*tbl_task1[[%]:[%]])</f>
        <v/>
      </c>
      <c r="JH26" s="121" t="str">
        <f>IF(ISBLANK(tbl_task1[[คะแนนเต็ม]:[คะแนนเต็ม]]),"",(tbl_task1[98]/tbl_task1[[คะแนนเต็ม]:[คะแนนเต็ม]])*tbl_task1[[%]:[%]])</f>
        <v/>
      </c>
      <c r="JI26" s="121" t="str">
        <f>IF(ISBLANK(tbl_task1[[คะแนนเต็ม]:[คะแนนเต็ม]]),"",(tbl_task1[99]/tbl_task1[[คะแนนเต็ม]:[คะแนนเต็ม]])*tbl_task1[[%]:[%]])</f>
        <v/>
      </c>
      <c r="JJ26" s="121" t="str">
        <f>IF(ISBLANK(tbl_task1[[คะแนนเต็ม]:[คะแนนเต็ม]]),"",(tbl_task1[100]/tbl_task1[[คะแนนเต็ม]:[คะแนนเต็ม]])*tbl_task1[[%]:[%]])</f>
        <v/>
      </c>
      <c r="JK26" s="121" t="str">
        <f>IF(ISBLANK(tbl_task1[[คะแนนเต็ม]:[คะแนนเต็ม]]),"",(tbl_task1[101]/tbl_task1[[คะแนนเต็ม]:[คะแนนเต็ม]])*tbl_task1[[%]:[%]])</f>
        <v/>
      </c>
      <c r="JL26" s="121" t="str">
        <f>IF(ISBLANK(tbl_task1[[คะแนนเต็ม]:[คะแนนเต็ม]]),"",(tbl_task1[102]/tbl_task1[[คะแนนเต็ม]:[คะแนนเต็ม]])*tbl_task1[[%]:[%]])</f>
        <v/>
      </c>
      <c r="JM26" s="121" t="str">
        <f>IF(ISBLANK(tbl_task1[[คะแนนเต็ม]:[คะแนนเต็ม]]),"",(tbl_task1[103]/tbl_task1[[คะแนนเต็ม]:[คะแนนเต็ม]])*tbl_task1[[%]:[%]])</f>
        <v/>
      </c>
      <c r="JN26" s="121" t="str">
        <f>IF(ISBLANK(tbl_task1[[คะแนนเต็ม]:[คะแนนเต็ม]]),"",(tbl_task1[104]/tbl_task1[[คะแนนเต็ม]:[คะแนนเต็ม]])*tbl_task1[[%]:[%]])</f>
        <v/>
      </c>
      <c r="JO26" s="121" t="str">
        <f>IF(ISBLANK(tbl_task1[[คะแนนเต็ม]:[คะแนนเต็ม]]),"",(tbl_task1[105]/tbl_task1[[คะแนนเต็ม]:[คะแนนเต็ม]])*tbl_task1[[%]:[%]])</f>
        <v/>
      </c>
      <c r="JP26" s="121" t="str">
        <f>IF(ISBLANK(tbl_task1[[คะแนนเต็ม]:[คะแนนเต็ม]]),"",(tbl_task1[106]/tbl_task1[[คะแนนเต็ม]:[คะแนนเต็ม]])*tbl_task1[[%]:[%]])</f>
        <v/>
      </c>
      <c r="JQ26" s="121" t="str">
        <f>IF(ISBLANK(tbl_task1[[คะแนนเต็ม]:[คะแนนเต็ม]]),"",(tbl_task1[107]/tbl_task1[[คะแนนเต็ม]:[คะแนนเต็ม]])*tbl_task1[[%]:[%]])</f>
        <v/>
      </c>
      <c r="JR26" s="121" t="str">
        <f>IF(ISBLANK(tbl_task1[[คะแนนเต็ม]:[คะแนนเต็ม]]),"",(tbl_task1[108]/tbl_task1[[คะแนนเต็ม]:[คะแนนเต็ม]])*tbl_task1[[%]:[%]])</f>
        <v/>
      </c>
      <c r="JS26" s="121" t="str">
        <f>IF(ISBLANK(tbl_task1[[คะแนนเต็ม]:[คะแนนเต็ม]]),"",(tbl_task1[109]/tbl_task1[[คะแนนเต็ม]:[คะแนนเต็ม]])*tbl_task1[[%]:[%]])</f>
        <v/>
      </c>
      <c r="JT26" s="121" t="str">
        <f>IF(ISBLANK(tbl_task1[[คะแนนเต็ม]:[คะแนนเต็ม]]),"",(tbl_task1[110]/tbl_task1[[คะแนนเต็ม]:[คะแนนเต็ม]])*tbl_task1[[%]:[%]])</f>
        <v/>
      </c>
      <c r="JU26" s="121" t="str">
        <f>IF(ISBLANK(tbl_task1[[คะแนนเต็ม]:[คะแนนเต็ม]]),"",(tbl_task1[111]/tbl_task1[[คะแนนเต็ม]:[คะแนนเต็ม]])*tbl_task1[[%]:[%]])</f>
        <v/>
      </c>
      <c r="JV26" s="121" t="str">
        <f>IF(ISBLANK(tbl_task1[[คะแนนเต็ม]:[คะแนนเต็ม]]),"",(tbl_task1[112]/tbl_task1[[คะแนนเต็ม]:[คะแนนเต็ม]])*tbl_task1[[%]:[%]])</f>
        <v/>
      </c>
      <c r="JW26" s="121" t="str">
        <f>IF(ISBLANK(tbl_task1[[คะแนนเต็ม]:[คะแนนเต็ม]]),"",(tbl_task1[113]/tbl_task1[[คะแนนเต็ม]:[คะแนนเต็ม]])*tbl_task1[[%]:[%]])</f>
        <v/>
      </c>
      <c r="JX26" s="121" t="str">
        <f>IF(ISBLANK(tbl_task1[[คะแนนเต็ม]:[คะแนนเต็ม]]),"",(tbl_task1[114]/tbl_task1[[คะแนนเต็ม]:[คะแนนเต็ม]])*tbl_task1[[%]:[%]])</f>
        <v/>
      </c>
      <c r="JY26" s="121" t="str">
        <f>IF(ISBLANK(tbl_task1[[คะแนนเต็ม]:[คะแนนเต็ม]]),"",(tbl_task1[115]/tbl_task1[[คะแนนเต็ม]:[คะแนนเต็ม]])*tbl_task1[[%]:[%]])</f>
        <v/>
      </c>
      <c r="JZ26" s="121" t="str">
        <f>IF(ISBLANK(tbl_task1[[คะแนนเต็ม]:[คะแนนเต็ม]]),"",(tbl_task1[116]/tbl_task1[[คะแนนเต็ม]:[คะแนนเต็ม]])*tbl_task1[[%]:[%]])</f>
        <v/>
      </c>
      <c r="KA26" s="121" t="str">
        <f>IF(ISBLANK(tbl_task1[[คะแนนเต็ม]:[คะแนนเต็ม]]),"",(tbl_task1[117]/tbl_task1[[คะแนนเต็ม]:[คะแนนเต็ม]])*tbl_task1[[%]:[%]])</f>
        <v/>
      </c>
      <c r="KB26" s="121" t="str">
        <f>IF(ISBLANK(tbl_task1[[คะแนนเต็ม]:[คะแนนเต็ม]]),"",(tbl_task1[118]/tbl_task1[[คะแนนเต็ม]:[คะแนนเต็ม]])*tbl_task1[[%]:[%]])</f>
        <v/>
      </c>
      <c r="KC26" s="121" t="str">
        <f>IF(ISBLANK(tbl_task1[[คะแนนเต็ม]:[คะแนนเต็ม]]),"",(tbl_task1[119]/tbl_task1[[คะแนนเต็ม]:[คะแนนเต็ม]])*tbl_task1[[%]:[%]])</f>
        <v/>
      </c>
      <c r="KD26" s="121" t="str">
        <f>IF(ISBLANK(tbl_task1[[คะแนนเต็ม]:[คะแนนเต็ม]]),"",(tbl_task1[120]/tbl_task1[[คะแนนเต็ม]:[คะแนนเต็ม]])*tbl_task1[[%]:[%]])</f>
        <v/>
      </c>
      <c r="KE26" s="121" t="str">
        <f>IF(ISBLANK(tbl_task1[[คะแนนเต็ม]:[คะแนนเต็ม]]),"",(tbl_task1[121]/tbl_task1[[คะแนนเต็ม]:[คะแนนเต็ม]])*tbl_task1[[%]:[%]])</f>
        <v/>
      </c>
      <c r="KF26" s="121" t="str">
        <f>IF(ISBLANK(tbl_task1[[คะแนนเต็ม]:[คะแนนเต็ม]]),"",(tbl_task1[122]/tbl_task1[[คะแนนเต็ม]:[คะแนนเต็ม]])*tbl_task1[[%]:[%]])</f>
        <v/>
      </c>
      <c r="KG26" s="121" t="str">
        <f>IF(ISBLANK(tbl_task1[[คะแนนเต็ม]:[คะแนนเต็ม]]),"",(tbl_task1[123]/tbl_task1[[คะแนนเต็ม]:[คะแนนเต็ม]])*tbl_task1[[%]:[%]])</f>
        <v/>
      </c>
      <c r="KH26" s="121" t="str">
        <f>IF(ISBLANK(tbl_task1[[คะแนนเต็ม]:[คะแนนเต็ม]]),"",(tbl_task1[124]/tbl_task1[[คะแนนเต็ม]:[คะแนนเต็ม]])*tbl_task1[[%]:[%]])</f>
        <v/>
      </c>
      <c r="KI26" s="121" t="str">
        <f>IF(ISBLANK(tbl_task1[[คะแนนเต็ม]:[คะแนนเต็ม]]),"",(tbl_task1[125]/tbl_task1[[คะแนนเต็ม]:[คะแนนเต็ม]])*tbl_task1[[%]:[%]])</f>
        <v/>
      </c>
      <c r="KJ26" s="121" t="str">
        <f>IF(ISBLANK(tbl_task1[[คะแนนเต็ม]:[คะแนนเต็ม]]),"",(tbl_task1[126]/tbl_task1[[คะแนนเต็ม]:[คะแนนเต็ม]])*tbl_task1[[%]:[%]])</f>
        <v/>
      </c>
      <c r="KK26" s="121" t="str">
        <f>IF(ISBLANK(tbl_task1[[คะแนนเต็ม]:[คะแนนเต็ม]]),"",(tbl_task1[127]/tbl_task1[[คะแนนเต็ม]:[คะแนนเต็ม]])*tbl_task1[[%]:[%]])</f>
        <v/>
      </c>
      <c r="KL26" s="121" t="str">
        <f>IF(ISBLANK(tbl_task1[[คะแนนเต็ม]:[คะแนนเต็ม]]),"",(tbl_task1[128]/tbl_task1[[คะแนนเต็ม]:[คะแนนเต็ม]])*tbl_task1[[%]:[%]])</f>
        <v/>
      </c>
      <c r="KM26" s="121" t="str">
        <f>IF(ISBLANK(tbl_task1[[คะแนนเต็ม]:[คะแนนเต็ม]]),"",(tbl_task1[129]/tbl_task1[[คะแนนเต็ม]:[คะแนนเต็ม]])*tbl_task1[[%]:[%]])</f>
        <v/>
      </c>
      <c r="KN26" s="121" t="str">
        <f>IF(ISBLANK(tbl_task1[[คะแนนเต็ม]:[คะแนนเต็ม]]),"",(tbl_task1[130]/tbl_task1[[คะแนนเต็ม]:[คะแนนเต็ม]])*tbl_task1[[%]:[%]])</f>
        <v/>
      </c>
      <c r="KO26" s="121" t="str">
        <f>IF(ISBLANK(tbl_task1[[คะแนนเต็ม]:[คะแนนเต็ม]]),"",(tbl_task1[131]/tbl_task1[[คะแนนเต็ม]:[คะแนนเต็ม]])*tbl_task1[[%]:[%]])</f>
        <v/>
      </c>
      <c r="KP26" s="121" t="str">
        <f>IF(ISBLANK(tbl_task1[[คะแนนเต็ม]:[คะแนนเต็ม]]),"",(tbl_task1[132]/tbl_task1[[คะแนนเต็ม]:[คะแนนเต็ม]])*tbl_task1[[%]:[%]])</f>
        <v/>
      </c>
      <c r="KQ26" s="121" t="str">
        <f>IF(ISBLANK(tbl_task1[[คะแนนเต็ม]:[คะแนนเต็ม]]),"",(tbl_task1[133]/tbl_task1[[คะแนนเต็ม]:[คะแนนเต็ม]])*tbl_task1[[%]:[%]])</f>
        <v/>
      </c>
      <c r="KR26" s="121" t="str">
        <f>IF(ISBLANK(tbl_task1[[คะแนนเต็ม]:[คะแนนเต็ม]]),"",(tbl_task1[134]/tbl_task1[[คะแนนเต็ม]:[คะแนนเต็ม]])*tbl_task1[[%]:[%]])</f>
        <v/>
      </c>
      <c r="KS26" s="121" t="str">
        <f>IF(ISBLANK(tbl_task1[[คะแนนเต็ม]:[คะแนนเต็ม]]),"",(tbl_task1[135]/tbl_task1[[คะแนนเต็ม]:[คะแนนเต็ม]])*tbl_task1[[%]:[%]])</f>
        <v/>
      </c>
      <c r="KT26" s="121" t="str">
        <f>IF(ISBLANK(tbl_task1[[คะแนนเต็ม]:[คะแนนเต็ม]]),"",(tbl_task1[136]/tbl_task1[[คะแนนเต็ม]:[คะแนนเต็ม]])*tbl_task1[[%]:[%]])</f>
        <v/>
      </c>
      <c r="KU26" s="121" t="str">
        <f>IF(ISBLANK(tbl_task1[[คะแนนเต็ม]:[คะแนนเต็ม]]),"",(tbl_task1[137]/tbl_task1[[คะแนนเต็ม]:[คะแนนเต็ม]])*tbl_task1[[%]:[%]])</f>
        <v/>
      </c>
      <c r="KV26" s="121" t="str">
        <f>IF(ISBLANK(tbl_task1[[คะแนนเต็ม]:[คะแนนเต็ม]]),"",(tbl_task1[138]/tbl_task1[[คะแนนเต็ม]:[คะแนนเต็ม]])*tbl_task1[[%]:[%]])</f>
        <v/>
      </c>
      <c r="KW26" s="121" t="str">
        <f>IF(ISBLANK(tbl_task1[[คะแนนเต็ม]:[คะแนนเต็ม]]),"",(tbl_task1[139]/tbl_task1[[คะแนนเต็ม]:[คะแนนเต็ม]])*tbl_task1[[%]:[%]])</f>
        <v/>
      </c>
      <c r="KX26" s="121" t="str">
        <f>IF(ISBLANK(tbl_task1[[คะแนนเต็ม]:[คะแนนเต็ม]]),"",(tbl_task1[140]/tbl_task1[[คะแนนเต็ม]:[คะแนนเต็ม]])*tbl_task1[[%]:[%]])</f>
        <v/>
      </c>
      <c r="KY26" s="121" t="str">
        <f>IF(ISBLANK(tbl_task1[[คะแนนเต็ม]:[คะแนนเต็ม]]),"",(tbl_task1[141]/tbl_task1[[คะแนนเต็ม]:[คะแนนเต็ม]])*tbl_task1[[%]:[%]])</f>
        <v/>
      </c>
      <c r="KZ26" s="121" t="str">
        <f>IF(ISBLANK(tbl_task1[[คะแนนเต็ม]:[คะแนนเต็ม]]),"",(tbl_task1[142]/tbl_task1[[คะแนนเต็ม]:[คะแนนเต็ม]])*tbl_task1[[%]:[%]])</f>
        <v/>
      </c>
      <c r="LA26" s="121" t="str">
        <f>IF(ISBLANK(tbl_task1[[คะแนนเต็ม]:[คะแนนเต็ม]]),"",(tbl_task1[143]/tbl_task1[[คะแนนเต็ม]:[คะแนนเต็ม]])*tbl_task1[[%]:[%]])</f>
        <v/>
      </c>
      <c r="LB26" s="121" t="str">
        <f>IF(ISBLANK(tbl_task1[[คะแนนเต็ม]:[คะแนนเต็ม]]),"",(tbl_task1[144]/tbl_task1[[คะแนนเต็ม]:[คะแนนเต็ม]])*tbl_task1[[%]:[%]])</f>
        <v/>
      </c>
      <c r="LC26" s="121" t="str">
        <f>IF(ISBLANK(tbl_task1[[คะแนนเต็ม]:[คะแนนเต็ม]]),"",(tbl_task1[145]/tbl_task1[[คะแนนเต็ม]:[คะแนนเต็ม]])*tbl_task1[[%]:[%]])</f>
        <v/>
      </c>
      <c r="LD26" s="121" t="str">
        <f>IF(ISBLANK(tbl_task1[[คะแนนเต็ม]:[คะแนนเต็ม]]),"",(tbl_task1[146]/tbl_task1[[คะแนนเต็ม]:[คะแนนเต็ม]])*tbl_task1[[%]:[%]])</f>
        <v/>
      </c>
      <c r="LE26" s="121" t="str">
        <f>IF(ISBLANK(tbl_task1[[คะแนนเต็ม]:[คะแนนเต็ม]]),"",(tbl_task1[147]/tbl_task1[[คะแนนเต็ม]:[คะแนนเต็ม]])*tbl_task1[[%]:[%]])</f>
        <v/>
      </c>
      <c r="LF26" s="121" t="str">
        <f>IF(ISBLANK(tbl_task1[[คะแนนเต็ม]:[คะแนนเต็ม]]),"",(tbl_task1[148]/tbl_task1[[คะแนนเต็ม]:[คะแนนเต็ม]])*tbl_task1[[%]:[%]])</f>
        <v/>
      </c>
      <c r="LG26" s="121" t="str">
        <f>IF(ISBLANK(tbl_task1[[คะแนนเต็ม]:[คะแนนเต็ม]]),"",(tbl_task1[149]/tbl_task1[[คะแนนเต็ม]:[คะแนนเต็ม]])*tbl_task1[[%]:[%]])</f>
        <v/>
      </c>
      <c r="LH26" s="121" t="str">
        <f>IF(ISBLANK(tbl_task1[[คะแนนเต็ม]:[คะแนนเต็ม]]),"",(tbl_task1[150]/tbl_task1[[คะแนนเต็ม]:[คะแนนเต็ม]])*tbl_task1[[%]:[%]])</f>
        <v/>
      </c>
      <c r="LI26" s="121" t="str">
        <f>IF(ISBLANK(tbl_task1[[คะแนนเต็ม]:[คะแนนเต็ม]]),"",(tbl_task1[151]/tbl_task1[[คะแนนเต็ม]:[คะแนนเต็ม]])*tbl_task1[[%]:[%]])</f>
        <v/>
      </c>
      <c r="LJ26" s="121" t="str">
        <f>IF(ISBLANK(tbl_task1[[คะแนนเต็ม]:[คะแนนเต็ม]]),"",(tbl_task1[152]/tbl_task1[[คะแนนเต็ม]:[คะแนนเต็ม]])*tbl_task1[[%]:[%]])</f>
        <v/>
      </c>
      <c r="LK26" s="121" t="str">
        <f>IF(ISBLANK(tbl_task1[[คะแนนเต็ม]:[คะแนนเต็ม]]),"",(tbl_task1[153]/tbl_task1[[คะแนนเต็ม]:[คะแนนเต็ม]])*tbl_task1[[%]:[%]])</f>
        <v/>
      </c>
      <c r="LL26" s="121" t="str">
        <f>IF(ISBLANK(tbl_task1[[คะแนนเต็ม]:[คะแนนเต็ม]]),"",(tbl_task1[154]/tbl_task1[[คะแนนเต็ม]:[คะแนนเต็ม]])*tbl_task1[[%]:[%]])</f>
        <v/>
      </c>
      <c r="LM26" s="121" t="str">
        <f>IF(ISBLANK(tbl_task1[[คะแนนเต็ม]:[คะแนนเต็ม]]),"",(tbl_task1[155]/tbl_task1[[คะแนนเต็ม]:[คะแนนเต็ม]])*tbl_task1[[%]:[%]])</f>
        <v/>
      </c>
      <c r="LN26" s="121" t="str">
        <f>IF(ISBLANK(tbl_task1[[คะแนนเต็ม]:[คะแนนเต็ม]]),"",(tbl_task1[156]/tbl_task1[[คะแนนเต็ม]:[คะแนนเต็ม]])*tbl_task1[[%]:[%]])</f>
        <v/>
      </c>
      <c r="LO26" s="121" t="str">
        <f>IF(ISBLANK(tbl_task1[[คะแนนเต็ม]:[คะแนนเต็ม]]),"",(tbl_task1[157]/tbl_task1[[คะแนนเต็ม]:[คะแนนเต็ม]])*tbl_task1[[%]:[%]])</f>
        <v/>
      </c>
      <c r="LP26" s="121" t="str">
        <f>IF(ISBLANK(tbl_task1[[คะแนนเต็ม]:[คะแนนเต็ม]]),"",(tbl_task1[158]/tbl_task1[[คะแนนเต็ม]:[คะแนนเต็ม]])*tbl_task1[[%]:[%]])</f>
        <v/>
      </c>
      <c r="LQ26" s="121" t="str">
        <f>IF(ISBLANK(tbl_task1[[คะแนนเต็ม]:[คะแนนเต็ม]]),"",(tbl_task1[159]/tbl_task1[[คะแนนเต็ม]:[คะแนนเต็ม]])*tbl_task1[[%]:[%]])</f>
        <v/>
      </c>
      <c r="LR26" s="121" t="str">
        <f>IF(ISBLANK(tbl_task1[[คะแนนเต็ม]:[คะแนนเต็ม]]),"",(tbl_task1[160]/tbl_task1[[คะแนนเต็ม]:[คะแนนเต็ม]])*tbl_task1[[%]:[%]])</f>
        <v/>
      </c>
      <c r="LS26" s="121" t="str">
        <f>IF(ISBLANK(tbl_task1[[คะแนนเต็ม]:[คะแนนเต็ม]]),"",(tbl_task1[161]/tbl_task1[[คะแนนเต็ม]:[คะแนนเต็ม]])*tbl_task1[[%]:[%]])</f>
        <v/>
      </c>
      <c r="LT26" s="121" t="str">
        <f>IF(ISBLANK(tbl_task1[[คะแนนเต็ม]:[คะแนนเต็ม]]),"",(tbl_task1[162]/tbl_task1[[คะแนนเต็ม]:[คะแนนเต็ม]])*tbl_task1[[%]:[%]])</f>
        <v/>
      </c>
      <c r="LU26" s="121" t="str">
        <f>IF(ISBLANK(tbl_task1[[คะแนนเต็ม]:[คะแนนเต็ม]]),"",(tbl_task1[163]/tbl_task1[[คะแนนเต็ม]:[คะแนนเต็ม]])*tbl_task1[[%]:[%]])</f>
        <v/>
      </c>
      <c r="LV26" s="121" t="str">
        <f>IF(ISBLANK(tbl_task1[[คะแนนเต็ม]:[คะแนนเต็ม]]),"",(tbl_task1[164]/tbl_task1[[คะแนนเต็ม]:[คะแนนเต็ม]])*tbl_task1[[%]:[%]])</f>
        <v/>
      </c>
      <c r="LW26" s="121" t="str">
        <f>IF(ISBLANK(tbl_task1[[คะแนนเต็ม]:[คะแนนเต็ม]]),"",(tbl_task1[165]/tbl_task1[[คะแนนเต็ม]:[คะแนนเต็ม]])*tbl_task1[[%]:[%]])</f>
        <v/>
      </c>
    </row>
    <row r="27" spans="1:335" ht="24" customHeight="1" x14ac:dyDescent="0.25">
      <c r="A27" s="24">
        <v>24</v>
      </c>
      <c r="B27" s="20"/>
      <c r="C27" s="5" t="str">
        <f>IF(ISBLANK(B27),"",VLOOKUP(B27,tbl_PLOs[],2,0))</f>
        <v/>
      </c>
      <c r="D27" s="102"/>
      <c r="E27" s="106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21" t="str">
        <f>IF(ISBLANK(tbl_task1[[คะแนนเต็ม]:[คะแนนเต็ม]]),"",(tbl_task1[1]/tbl_task1[[คะแนนเต็ม]:[คะแนนเต็ม]])*tbl_task1[[%]:[%]])</f>
        <v/>
      </c>
      <c r="FP27" s="121" t="str">
        <f>IF(ISBLANK(tbl_task1[[คะแนนเต็ม]:[คะแนนเต็ม]]),"",(tbl_task1[2]/tbl_task1[[คะแนนเต็ม]:[คะแนนเต็ม]])*tbl_task1[[%]:[%]])</f>
        <v/>
      </c>
      <c r="FQ27" s="121" t="str">
        <f>IF(ISBLANK(tbl_task1[[คะแนนเต็ม]:[คะแนนเต็ม]]),"",(tbl_task1[3]/tbl_task1[[คะแนนเต็ม]:[คะแนนเต็ม]])*tbl_task1[[%]:[%]])</f>
        <v/>
      </c>
      <c r="FR27" s="121" t="str">
        <f>IF(ISBLANK(tbl_task1[[คะแนนเต็ม]:[คะแนนเต็ม]]),"",(tbl_task1[4]/tbl_task1[[คะแนนเต็ม]:[คะแนนเต็ม]])*tbl_task1[[%]:[%]])</f>
        <v/>
      </c>
      <c r="FS27" s="121" t="str">
        <f>IF(ISBLANK(tbl_task1[[คะแนนเต็ม]:[คะแนนเต็ม]]),"",(tbl_task1[5]/tbl_task1[[คะแนนเต็ม]:[คะแนนเต็ม]])*tbl_task1[[%]:[%]])</f>
        <v/>
      </c>
      <c r="FT27" s="121" t="str">
        <f>IF(ISBLANK(tbl_task1[[คะแนนเต็ม]:[คะแนนเต็ม]]),"",(tbl_task1[6]/tbl_task1[[คะแนนเต็ม]:[คะแนนเต็ม]])*tbl_task1[[%]:[%]])</f>
        <v/>
      </c>
      <c r="FU27" s="121" t="str">
        <f>IF(ISBLANK(tbl_task1[[คะแนนเต็ม]:[คะแนนเต็ม]]),"",(tbl_task1[7]/tbl_task1[[คะแนนเต็ม]:[คะแนนเต็ม]])*tbl_task1[[%]:[%]])</f>
        <v/>
      </c>
      <c r="FV27" s="121" t="str">
        <f>IF(ISBLANK(tbl_task1[[คะแนนเต็ม]:[คะแนนเต็ม]]),"",(tbl_task1[8]/tbl_task1[[คะแนนเต็ม]:[คะแนนเต็ม]])*tbl_task1[[%]:[%]])</f>
        <v/>
      </c>
      <c r="FW27" s="121" t="str">
        <f>IF(ISBLANK(tbl_task1[[คะแนนเต็ม]:[คะแนนเต็ม]]),"",(tbl_task1[9]/tbl_task1[[คะแนนเต็ม]:[คะแนนเต็ม]])*tbl_task1[[%]:[%]])</f>
        <v/>
      </c>
      <c r="FX27" s="121" t="str">
        <f>IF(ISBLANK(tbl_task1[[คะแนนเต็ม]:[คะแนนเต็ม]]),"",(tbl_task1[10]/tbl_task1[[คะแนนเต็ม]:[คะแนนเต็ม]])*tbl_task1[[%]:[%]])</f>
        <v/>
      </c>
      <c r="FY27" s="121" t="str">
        <f>IF(ISBLANK(tbl_task1[[คะแนนเต็ม]:[คะแนนเต็ม]]),"",(tbl_task1[11]/tbl_task1[[คะแนนเต็ม]:[คะแนนเต็ม]])*tbl_task1[[%]:[%]])</f>
        <v/>
      </c>
      <c r="FZ27" s="121" t="str">
        <f>IF(ISBLANK(tbl_task1[[คะแนนเต็ม]:[คะแนนเต็ม]]),"",(tbl_task1[12]/tbl_task1[[คะแนนเต็ม]:[คะแนนเต็ม]])*tbl_task1[[%]:[%]])</f>
        <v/>
      </c>
      <c r="GA27" s="121" t="str">
        <f>IF(ISBLANK(tbl_task1[[คะแนนเต็ม]:[คะแนนเต็ม]]),"",(tbl_task1[13]/tbl_task1[[คะแนนเต็ม]:[คะแนนเต็ม]])*tbl_task1[[%]:[%]])</f>
        <v/>
      </c>
      <c r="GB27" s="121" t="str">
        <f>IF(ISBLANK(tbl_task1[[คะแนนเต็ม]:[คะแนนเต็ม]]),"",(tbl_task1[14]/tbl_task1[[คะแนนเต็ม]:[คะแนนเต็ม]])*tbl_task1[[%]:[%]])</f>
        <v/>
      </c>
      <c r="GC27" s="121" t="str">
        <f>IF(ISBLANK(tbl_task1[[คะแนนเต็ม]:[คะแนนเต็ม]]),"",(tbl_task1[15]/tbl_task1[[คะแนนเต็ม]:[คะแนนเต็ม]])*tbl_task1[[%]:[%]])</f>
        <v/>
      </c>
      <c r="GD27" s="121" t="str">
        <f>IF(ISBLANK(tbl_task1[[คะแนนเต็ม]:[คะแนนเต็ม]]),"",(tbl_task1[16]/tbl_task1[[คะแนนเต็ม]:[คะแนนเต็ม]])*tbl_task1[[%]:[%]])</f>
        <v/>
      </c>
      <c r="GE27" s="121" t="str">
        <f>IF(ISBLANK(tbl_task1[[คะแนนเต็ม]:[คะแนนเต็ม]]),"",(tbl_task1[17]/tbl_task1[[คะแนนเต็ม]:[คะแนนเต็ม]])*tbl_task1[[%]:[%]])</f>
        <v/>
      </c>
      <c r="GF27" s="121" t="str">
        <f>IF(ISBLANK(tbl_task1[[คะแนนเต็ม]:[คะแนนเต็ม]]),"",(tbl_task1[18]/tbl_task1[[คะแนนเต็ม]:[คะแนนเต็ม]])*tbl_task1[[%]:[%]])</f>
        <v/>
      </c>
      <c r="GG27" s="121" t="str">
        <f>IF(ISBLANK(tbl_task1[[คะแนนเต็ม]:[คะแนนเต็ม]]),"",(tbl_task1[19]/tbl_task1[[คะแนนเต็ม]:[คะแนนเต็ม]])*tbl_task1[[%]:[%]])</f>
        <v/>
      </c>
      <c r="GH27" s="121" t="str">
        <f>IF(ISBLANK(tbl_task1[[คะแนนเต็ม]:[คะแนนเต็ม]]),"",(tbl_task1[20]/tbl_task1[[คะแนนเต็ม]:[คะแนนเต็ม]])*tbl_task1[[%]:[%]])</f>
        <v/>
      </c>
      <c r="GI27" s="121" t="str">
        <f>IF(ISBLANK(tbl_task1[[คะแนนเต็ม]:[คะแนนเต็ม]]),"",(tbl_task1[21]/tbl_task1[[คะแนนเต็ม]:[คะแนนเต็ม]])*tbl_task1[[%]:[%]])</f>
        <v/>
      </c>
      <c r="GJ27" s="121" t="str">
        <f>IF(ISBLANK(tbl_task1[[คะแนนเต็ม]:[คะแนนเต็ม]]),"",(tbl_task1[22]/tbl_task1[[คะแนนเต็ม]:[คะแนนเต็ม]])*tbl_task1[[%]:[%]])</f>
        <v/>
      </c>
      <c r="GK27" s="121" t="str">
        <f>IF(ISBLANK(tbl_task1[[คะแนนเต็ม]:[คะแนนเต็ม]]),"",(tbl_task1[23]/tbl_task1[[คะแนนเต็ม]:[คะแนนเต็ม]])*tbl_task1[[%]:[%]])</f>
        <v/>
      </c>
      <c r="GL27" s="121" t="str">
        <f>IF(ISBLANK(tbl_task1[[คะแนนเต็ม]:[คะแนนเต็ม]]),"",(tbl_task1[24]/tbl_task1[[คะแนนเต็ม]:[คะแนนเต็ม]])*tbl_task1[[%]:[%]])</f>
        <v/>
      </c>
      <c r="GM27" s="121" t="str">
        <f>IF(ISBLANK(tbl_task1[[คะแนนเต็ม]:[คะแนนเต็ม]]),"",(tbl_task1[25]/tbl_task1[[คะแนนเต็ม]:[คะแนนเต็ม]])*tbl_task1[[%]:[%]])</f>
        <v/>
      </c>
      <c r="GN27" s="121" t="str">
        <f>IF(ISBLANK(tbl_task1[[คะแนนเต็ม]:[คะแนนเต็ม]]),"",(tbl_task1[26]/tbl_task1[[คะแนนเต็ม]:[คะแนนเต็ม]])*tbl_task1[[%]:[%]])</f>
        <v/>
      </c>
      <c r="GO27" s="121" t="str">
        <f>IF(ISBLANK(tbl_task1[[คะแนนเต็ม]:[คะแนนเต็ม]]),"",(tbl_task1[27]/tbl_task1[[คะแนนเต็ม]:[คะแนนเต็ม]])*tbl_task1[[%]:[%]])</f>
        <v/>
      </c>
      <c r="GP27" s="121" t="str">
        <f>IF(ISBLANK(tbl_task1[[คะแนนเต็ม]:[คะแนนเต็ม]]),"",(tbl_task1[28]/tbl_task1[[คะแนนเต็ม]:[คะแนนเต็ม]])*tbl_task1[[%]:[%]])</f>
        <v/>
      </c>
      <c r="GQ27" s="121" t="str">
        <f>IF(ISBLANK(tbl_task1[[คะแนนเต็ม]:[คะแนนเต็ม]]),"",(tbl_task1[29]/tbl_task1[[คะแนนเต็ม]:[คะแนนเต็ม]])*tbl_task1[[%]:[%]])</f>
        <v/>
      </c>
      <c r="GR27" s="121" t="str">
        <f>IF(ISBLANK(tbl_task1[[คะแนนเต็ม]:[คะแนนเต็ม]]),"",(tbl_task1[30]/tbl_task1[[คะแนนเต็ม]:[คะแนนเต็ม]])*tbl_task1[[%]:[%]])</f>
        <v/>
      </c>
      <c r="GS27" s="121" t="str">
        <f>IF(ISBLANK(tbl_task1[[คะแนนเต็ม]:[คะแนนเต็ม]]),"",(tbl_task1[31]/tbl_task1[[คะแนนเต็ม]:[คะแนนเต็ม]])*tbl_task1[[%]:[%]])</f>
        <v/>
      </c>
      <c r="GT27" s="121" t="str">
        <f>IF(ISBLANK(tbl_task1[[คะแนนเต็ม]:[คะแนนเต็ม]]),"",(tbl_task1[32]/tbl_task1[[คะแนนเต็ม]:[คะแนนเต็ม]])*tbl_task1[[%]:[%]])</f>
        <v/>
      </c>
      <c r="GU27" s="121" t="str">
        <f>IF(ISBLANK(tbl_task1[[คะแนนเต็ม]:[คะแนนเต็ม]]),"",(tbl_task1[33]/tbl_task1[[คะแนนเต็ม]:[คะแนนเต็ม]])*tbl_task1[[%]:[%]])</f>
        <v/>
      </c>
      <c r="GV27" s="121" t="str">
        <f>IF(ISBLANK(tbl_task1[[คะแนนเต็ม]:[คะแนนเต็ม]]),"",(tbl_task1[34]/tbl_task1[[คะแนนเต็ม]:[คะแนนเต็ม]])*tbl_task1[[%]:[%]])</f>
        <v/>
      </c>
      <c r="GW27" s="121" t="str">
        <f>IF(ISBLANK(tbl_task1[[คะแนนเต็ม]:[คะแนนเต็ม]]),"",(tbl_task1[35]/tbl_task1[[คะแนนเต็ม]:[คะแนนเต็ม]])*tbl_task1[[%]:[%]])</f>
        <v/>
      </c>
      <c r="GX27" s="121" t="str">
        <f>IF(ISBLANK(tbl_task1[[คะแนนเต็ม]:[คะแนนเต็ม]]),"",(tbl_task1[36]/tbl_task1[[คะแนนเต็ม]:[คะแนนเต็ม]])*tbl_task1[[%]:[%]])</f>
        <v/>
      </c>
      <c r="GY27" s="121" t="str">
        <f>IF(ISBLANK(tbl_task1[[คะแนนเต็ม]:[คะแนนเต็ม]]),"",(tbl_task1[37]/tbl_task1[[คะแนนเต็ม]:[คะแนนเต็ม]])*tbl_task1[[%]:[%]])</f>
        <v/>
      </c>
      <c r="GZ27" s="121" t="str">
        <f>IF(ISBLANK(tbl_task1[[คะแนนเต็ม]:[คะแนนเต็ม]]),"",(tbl_task1[38]/tbl_task1[[คะแนนเต็ม]:[คะแนนเต็ม]])*tbl_task1[[%]:[%]])</f>
        <v/>
      </c>
      <c r="HA27" s="121" t="str">
        <f>IF(ISBLANK(tbl_task1[[คะแนนเต็ม]:[คะแนนเต็ม]]),"",(tbl_task1[39]/tbl_task1[[คะแนนเต็ม]:[คะแนนเต็ม]])*tbl_task1[[%]:[%]])</f>
        <v/>
      </c>
      <c r="HB27" s="121" t="str">
        <f>IF(ISBLANK(tbl_task1[[คะแนนเต็ม]:[คะแนนเต็ม]]),"",(tbl_task1[40]/tbl_task1[[คะแนนเต็ม]:[คะแนนเต็ม]])*tbl_task1[[%]:[%]])</f>
        <v/>
      </c>
      <c r="HC27" s="121" t="str">
        <f>IF(ISBLANK(tbl_task1[[คะแนนเต็ม]:[คะแนนเต็ม]]),"",(tbl_task1[41]/tbl_task1[[คะแนนเต็ม]:[คะแนนเต็ม]])*tbl_task1[[%]:[%]])</f>
        <v/>
      </c>
      <c r="HD27" s="121" t="str">
        <f>IF(ISBLANK(tbl_task1[[คะแนนเต็ม]:[คะแนนเต็ม]]),"",(tbl_task1[42]/tbl_task1[[คะแนนเต็ม]:[คะแนนเต็ม]])*tbl_task1[[%]:[%]])</f>
        <v/>
      </c>
      <c r="HE27" s="121" t="str">
        <f>IF(ISBLANK(tbl_task1[[คะแนนเต็ม]:[คะแนนเต็ม]]),"",(tbl_task1[43]/tbl_task1[[คะแนนเต็ม]:[คะแนนเต็ม]])*tbl_task1[[%]:[%]])</f>
        <v/>
      </c>
      <c r="HF27" s="121" t="str">
        <f>IF(ISBLANK(tbl_task1[[คะแนนเต็ม]:[คะแนนเต็ม]]),"",(tbl_task1[44]/tbl_task1[[คะแนนเต็ม]:[คะแนนเต็ม]])*tbl_task1[[%]:[%]])</f>
        <v/>
      </c>
      <c r="HG27" s="121" t="str">
        <f>IF(ISBLANK(tbl_task1[[คะแนนเต็ม]:[คะแนนเต็ม]]),"",(tbl_task1[45]/tbl_task1[[คะแนนเต็ม]:[คะแนนเต็ม]])*tbl_task1[[%]:[%]])</f>
        <v/>
      </c>
      <c r="HH27" s="121" t="str">
        <f>IF(ISBLANK(tbl_task1[[คะแนนเต็ม]:[คะแนนเต็ม]]),"",(tbl_task1[46]/tbl_task1[[คะแนนเต็ม]:[คะแนนเต็ม]])*tbl_task1[[%]:[%]])</f>
        <v/>
      </c>
      <c r="HI27" s="121" t="str">
        <f>IF(ISBLANK(tbl_task1[[คะแนนเต็ม]:[คะแนนเต็ม]]),"",(tbl_task1[47]/tbl_task1[[คะแนนเต็ม]:[คะแนนเต็ม]])*tbl_task1[[%]:[%]])</f>
        <v/>
      </c>
      <c r="HJ27" s="121" t="str">
        <f>IF(ISBLANK(tbl_task1[[คะแนนเต็ม]:[คะแนนเต็ม]]),"",(tbl_task1[48]/tbl_task1[[คะแนนเต็ม]:[คะแนนเต็ม]])*tbl_task1[[%]:[%]])</f>
        <v/>
      </c>
      <c r="HK27" s="121" t="str">
        <f>IF(ISBLANK(tbl_task1[[คะแนนเต็ม]:[คะแนนเต็ม]]),"",(tbl_task1[49]/tbl_task1[[คะแนนเต็ม]:[คะแนนเต็ม]])*tbl_task1[[%]:[%]])</f>
        <v/>
      </c>
      <c r="HL27" s="121" t="str">
        <f>IF(ISBLANK(tbl_task1[[คะแนนเต็ม]:[คะแนนเต็ม]]),"",(tbl_task1[50]/tbl_task1[[คะแนนเต็ม]:[คะแนนเต็ม]])*tbl_task1[[%]:[%]])</f>
        <v/>
      </c>
      <c r="HM27" s="121" t="str">
        <f>IF(ISBLANK(tbl_task1[[คะแนนเต็ม]:[คะแนนเต็ม]]),"",(tbl_task1[51]/tbl_task1[[คะแนนเต็ม]:[คะแนนเต็ม]])*tbl_task1[[%]:[%]])</f>
        <v/>
      </c>
      <c r="HN27" s="121" t="str">
        <f>IF(ISBLANK(tbl_task1[[คะแนนเต็ม]:[คะแนนเต็ม]]),"",(tbl_task1[52]/tbl_task1[[คะแนนเต็ม]:[คะแนนเต็ม]])*tbl_task1[[%]:[%]])</f>
        <v/>
      </c>
      <c r="HO27" s="121" t="str">
        <f>IF(ISBLANK(tbl_task1[[คะแนนเต็ม]:[คะแนนเต็ม]]),"",(tbl_task1[53]/tbl_task1[[คะแนนเต็ม]:[คะแนนเต็ม]])*tbl_task1[[%]:[%]])</f>
        <v/>
      </c>
      <c r="HP27" s="121" t="str">
        <f>IF(ISBLANK(tbl_task1[[คะแนนเต็ม]:[คะแนนเต็ม]]),"",(tbl_task1[54]/tbl_task1[[คะแนนเต็ม]:[คะแนนเต็ม]])*tbl_task1[[%]:[%]])</f>
        <v/>
      </c>
      <c r="HQ27" s="121" t="str">
        <f>IF(ISBLANK(tbl_task1[[คะแนนเต็ม]:[คะแนนเต็ม]]),"",(tbl_task1[55]/tbl_task1[[คะแนนเต็ม]:[คะแนนเต็ม]])*tbl_task1[[%]:[%]])</f>
        <v/>
      </c>
      <c r="HR27" s="121" t="str">
        <f>IF(ISBLANK(tbl_task1[[คะแนนเต็ม]:[คะแนนเต็ม]]),"",(tbl_task1[56]/tbl_task1[[คะแนนเต็ม]:[คะแนนเต็ม]])*tbl_task1[[%]:[%]])</f>
        <v/>
      </c>
      <c r="HS27" s="121" t="str">
        <f>IF(ISBLANK(tbl_task1[[คะแนนเต็ม]:[คะแนนเต็ม]]),"",(tbl_task1[57]/tbl_task1[[คะแนนเต็ม]:[คะแนนเต็ม]])*tbl_task1[[%]:[%]])</f>
        <v/>
      </c>
      <c r="HT27" s="121" t="str">
        <f>IF(ISBLANK(tbl_task1[[คะแนนเต็ม]:[คะแนนเต็ม]]),"",(tbl_task1[58]/tbl_task1[[คะแนนเต็ม]:[คะแนนเต็ม]])*tbl_task1[[%]:[%]])</f>
        <v/>
      </c>
      <c r="HU27" s="121" t="str">
        <f>IF(ISBLANK(tbl_task1[[คะแนนเต็ม]:[คะแนนเต็ม]]),"",(tbl_task1[59]/tbl_task1[[คะแนนเต็ม]:[คะแนนเต็ม]])*tbl_task1[[%]:[%]])</f>
        <v/>
      </c>
      <c r="HV27" s="121" t="str">
        <f>IF(ISBLANK(tbl_task1[[คะแนนเต็ม]:[คะแนนเต็ม]]),"",(tbl_task1[60]/tbl_task1[[คะแนนเต็ม]:[คะแนนเต็ม]])*tbl_task1[[%]:[%]])</f>
        <v/>
      </c>
      <c r="HW27" s="121" t="str">
        <f>IF(ISBLANK(tbl_task1[[คะแนนเต็ม]:[คะแนนเต็ม]]),"",(tbl_task1[61]/tbl_task1[[คะแนนเต็ม]:[คะแนนเต็ม]])*tbl_task1[[%]:[%]])</f>
        <v/>
      </c>
      <c r="HX27" s="121" t="str">
        <f>IF(ISBLANK(tbl_task1[[คะแนนเต็ม]:[คะแนนเต็ม]]),"",(tbl_task1[62]/tbl_task1[[คะแนนเต็ม]:[คะแนนเต็ม]])*tbl_task1[[%]:[%]])</f>
        <v/>
      </c>
      <c r="HY27" s="121" t="str">
        <f>IF(ISBLANK(tbl_task1[[คะแนนเต็ม]:[คะแนนเต็ม]]),"",(tbl_task1[63]/tbl_task1[[คะแนนเต็ม]:[คะแนนเต็ม]])*tbl_task1[[%]:[%]])</f>
        <v/>
      </c>
      <c r="HZ27" s="121" t="str">
        <f>IF(ISBLANK(tbl_task1[[คะแนนเต็ม]:[คะแนนเต็ม]]),"",(tbl_task1[64]/tbl_task1[[คะแนนเต็ม]:[คะแนนเต็ม]])*tbl_task1[[%]:[%]])</f>
        <v/>
      </c>
      <c r="IA27" s="121" t="str">
        <f>IF(ISBLANK(tbl_task1[[คะแนนเต็ม]:[คะแนนเต็ม]]),"",(tbl_task1[65]/tbl_task1[[คะแนนเต็ม]:[คะแนนเต็ม]])*tbl_task1[[%]:[%]])</f>
        <v/>
      </c>
      <c r="IB27" s="121" t="str">
        <f>IF(ISBLANK(tbl_task1[[คะแนนเต็ม]:[คะแนนเต็ม]]),"",(tbl_task1[66]/tbl_task1[[คะแนนเต็ม]:[คะแนนเต็ม]])*tbl_task1[[%]:[%]])</f>
        <v/>
      </c>
      <c r="IC27" s="121" t="str">
        <f>IF(ISBLANK(tbl_task1[[คะแนนเต็ม]:[คะแนนเต็ม]]),"",(tbl_task1[67]/tbl_task1[[คะแนนเต็ม]:[คะแนนเต็ม]])*tbl_task1[[%]:[%]])</f>
        <v/>
      </c>
      <c r="ID27" s="121" t="str">
        <f>IF(ISBLANK(tbl_task1[[คะแนนเต็ม]:[คะแนนเต็ม]]),"",(tbl_task1[68]/tbl_task1[[คะแนนเต็ม]:[คะแนนเต็ม]])*tbl_task1[[%]:[%]])</f>
        <v/>
      </c>
      <c r="IE27" s="121" t="str">
        <f>IF(ISBLANK(tbl_task1[[คะแนนเต็ม]:[คะแนนเต็ม]]),"",(tbl_task1[69]/tbl_task1[[คะแนนเต็ม]:[คะแนนเต็ม]])*tbl_task1[[%]:[%]])</f>
        <v/>
      </c>
      <c r="IF27" s="121" t="str">
        <f>IF(ISBLANK(tbl_task1[[คะแนนเต็ม]:[คะแนนเต็ม]]),"",(tbl_task1[70]/tbl_task1[[คะแนนเต็ม]:[คะแนนเต็ม]])*tbl_task1[[%]:[%]])</f>
        <v/>
      </c>
      <c r="IG27" s="121" t="str">
        <f>IF(ISBLANK(tbl_task1[[คะแนนเต็ม]:[คะแนนเต็ม]]),"",(tbl_task1[71]/tbl_task1[[คะแนนเต็ม]:[คะแนนเต็ม]])*tbl_task1[[%]:[%]])</f>
        <v/>
      </c>
      <c r="IH27" s="121" t="str">
        <f>IF(ISBLANK(tbl_task1[[คะแนนเต็ม]:[คะแนนเต็ม]]),"",(tbl_task1[72]/tbl_task1[[คะแนนเต็ม]:[คะแนนเต็ม]])*tbl_task1[[%]:[%]])</f>
        <v/>
      </c>
      <c r="II27" s="121" t="str">
        <f>IF(ISBLANK(tbl_task1[[คะแนนเต็ม]:[คะแนนเต็ม]]),"",(tbl_task1[73]/tbl_task1[[คะแนนเต็ม]:[คะแนนเต็ม]])*tbl_task1[[%]:[%]])</f>
        <v/>
      </c>
      <c r="IJ27" s="121" t="str">
        <f>IF(ISBLANK(tbl_task1[[คะแนนเต็ม]:[คะแนนเต็ม]]),"",(tbl_task1[74]/tbl_task1[[คะแนนเต็ม]:[คะแนนเต็ม]])*tbl_task1[[%]:[%]])</f>
        <v/>
      </c>
      <c r="IK27" s="121" t="str">
        <f>IF(ISBLANK(tbl_task1[[คะแนนเต็ม]:[คะแนนเต็ม]]),"",(tbl_task1[75]/tbl_task1[[คะแนนเต็ม]:[คะแนนเต็ม]])*tbl_task1[[%]:[%]])</f>
        <v/>
      </c>
      <c r="IL27" s="121" t="str">
        <f>IF(ISBLANK(tbl_task1[[คะแนนเต็ม]:[คะแนนเต็ม]]),"",(tbl_task1[76]/tbl_task1[[คะแนนเต็ม]:[คะแนนเต็ม]])*tbl_task1[[%]:[%]])</f>
        <v/>
      </c>
      <c r="IM27" s="121" t="str">
        <f>IF(ISBLANK(tbl_task1[[คะแนนเต็ม]:[คะแนนเต็ม]]),"",(tbl_task1[77]/tbl_task1[[คะแนนเต็ม]:[คะแนนเต็ม]])*tbl_task1[[%]:[%]])</f>
        <v/>
      </c>
      <c r="IN27" s="121" t="str">
        <f>IF(ISBLANK(tbl_task1[[คะแนนเต็ม]:[คะแนนเต็ม]]),"",(tbl_task1[78]/tbl_task1[[คะแนนเต็ม]:[คะแนนเต็ม]])*tbl_task1[[%]:[%]])</f>
        <v/>
      </c>
      <c r="IO27" s="121" t="str">
        <f>IF(ISBLANK(tbl_task1[[คะแนนเต็ม]:[คะแนนเต็ม]]),"",(tbl_task1[79]/tbl_task1[[คะแนนเต็ม]:[คะแนนเต็ม]])*tbl_task1[[%]:[%]])</f>
        <v/>
      </c>
      <c r="IP27" s="121" t="str">
        <f>IF(ISBLANK(tbl_task1[[คะแนนเต็ม]:[คะแนนเต็ม]]),"",(tbl_task1[80]/tbl_task1[[คะแนนเต็ม]:[คะแนนเต็ม]])*tbl_task1[[%]:[%]])</f>
        <v/>
      </c>
      <c r="IQ27" s="121" t="str">
        <f>IF(ISBLANK(tbl_task1[[คะแนนเต็ม]:[คะแนนเต็ม]]),"",(tbl_task1[81]/tbl_task1[[คะแนนเต็ม]:[คะแนนเต็ม]])*tbl_task1[[%]:[%]])</f>
        <v/>
      </c>
      <c r="IR27" s="121" t="str">
        <f>IF(ISBLANK(tbl_task1[[คะแนนเต็ม]:[คะแนนเต็ม]]),"",(tbl_task1[82]/tbl_task1[[คะแนนเต็ม]:[คะแนนเต็ม]])*tbl_task1[[%]:[%]])</f>
        <v/>
      </c>
      <c r="IS27" s="121" t="str">
        <f>IF(ISBLANK(tbl_task1[[คะแนนเต็ม]:[คะแนนเต็ม]]),"",(tbl_task1[83]/tbl_task1[[คะแนนเต็ม]:[คะแนนเต็ม]])*tbl_task1[[%]:[%]])</f>
        <v/>
      </c>
      <c r="IT27" s="121" t="str">
        <f>IF(ISBLANK(tbl_task1[[คะแนนเต็ม]:[คะแนนเต็ม]]),"",(tbl_task1[84]/tbl_task1[[คะแนนเต็ม]:[คะแนนเต็ม]])*tbl_task1[[%]:[%]])</f>
        <v/>
      </c>
      <c r="IU27" s="121" t="str">
        <f>IF(ISBLANK(tbl_task1[[คะแนนเต็ม]:[คะแนนเต็ม]]),"",(tbl_task1[85]/tbl_task1[[คะแนนเต็ม]:[คะแนนเต็ม]])*tbl_task1[[%]:[%]])</f>
        <v/>
      </c>
      <c r="IV27" s="121" t="str">
        <f>IF(ISBLANK(tbl_task1[[คะแนนเต็ม]:[คะแนนเต็ม]]),"",(tbl_task1[86]/tbl_task1[[คะแนนเต็ม]:[คะแนนเต็ม]])*tbl_task1[[%]:[%]])</f>
        <v/>
      </c>
      <c r="IW27" s="121" t="str">
        <f>IF(ISBLANK(tbl_task1[[คะแนนเต็ม]:[คะแนนเต็ม]]),"",(tbl_task1[87]/tbl_task1[[คะแนนเต็ม]:[คะแนนเต็ม]])*tbl_task1[[%]:[%]])</f>
        <v/>
      </c>
      <c r="IX27" s="121" t="str">
        <f>IF(ISBLANK(tbl_task1[[คะแนนเต็ม]:[คะแนนเต็ม]]),"",(tbl_task1[88]/tbl_task1[[คะแนนเต็ม]:[คะแนนเต็ม]])*tbl_task1[[%]:[%]])</f>
        <v/>
      </c>
      <c r="IY27" s="121" t="str">
        <f>IF(ISBLANK(tbl_task1[[คะแนนเต็ม]:[คะแนนเต็ม]]),"",(tbl_task1[89]/tbl_task1[[คะแนนเต็ม]:[คะแนนเต็ม]])*tbl_task1[[%]:[%]])</f>
        <v/>
      </c>
      <c r="IZ27" s="121" t="str">
        <f>IF(ISBLANK(tbl_task1[[คะแนนเต็ม]:[คะแนนเต็ม]]),"",(tbl_task1[90]/tbl_task1[[คะแนนเต็ม]:[คะแนนเต็ม]])*tbl_task1[[%]:[%]])</f>
        <v/>
      </c>
      <c r="JA27" s="121" t="str">
        <f>IF(ISBLANK(tbl_task1[[คะแนนเต็ม]:[คะแนนเต็ม]]),"",(tbl_task1[91]/tbl_task1[[คะแนนเต็ม]:[คะแนนเต็ม]])*tbl_task1[[%]:[%]])</f>
        <v/>
      </c>
      <c r="JB27" s="121" t="str">
        <f>IF(ISBLANK(tbl_task1[[คะแนนเต็ม]:[คะแนนเต็ม]]),"",(tbl_task1[92]/tbl_task1[[คะแนนเต็ม]:[คะแนนเต็ม]])*tbl_task1[[%]:[%]])</f>
        <v/>
      </c>
      <c r="JC27" s="121" t="str">
        <f>IF(ISBLANK(tbl_task1[[คะแนนเต็ม]:[คะแนนเต็ม]]),"",(tbl_task1[93]/tbl_task1[[คะแนนเต็ม]:[คะแนนเต็ม]])*tbl_task1[[%]:[%]])</f>
        <v/>
      </c>
      <c r="JD27" s="121" t="str">
        <f>IF(ISBLANK(tbl_task1[[คะแนนเต็ม]:[คะแนนเต็ม]]),"",(tbl_task1[94]/tbl_task1[[คะแนนเต็ม]:[คะแนนเต็ม]])*tbl_task1[[%]:[%]])</f>
        <v/>
      </c>
      <c r="JE27" s="121" t="str">
        <f>IF(ISBLANK(tbl_task1[[คะแนนเต็ม]:[คะแนนเต็ม]]),"",(tbl_task1[95]/tbl_task1[[คะแนนเต็ม]:[คะแนนเต็ม]])*tbl_task1[[%]:[%]])</f>
        <v/>
      </c>
      <c r="JF27" s="121" t="str">
        <f>IF(ISBLANK(tbl_task1[[คะแนนเต็ม]:[คะแนนเต็ม]]),"",(tbl_task1[96]/tbl_task1[[คะแนนเต็ม]:[คะแนนเต็ม]])*tbl_task1[[%]:[%]])</f>
        <v/>
      </c>
      <c r="JG27" s="121" t="str">
        <f>IF(ISBLANK(tbl_task1[[คะแนนเต็ม]:[คะแนนเต็ม]]),"",(tbl_task1[97]/tbl_task1[[คะแนนเต็ม]:[คะแนนเต็ม]])*tbl_task1[[%]:[%]])</f>
        <v/>
      </c>
      <c r="JH27" s="121" t="str">
        <f>IF(ISBLANK(tbl_task1[[คะแนนเต็ม]:[คะแนนเต็ม]]),"",(tbl_task1[98]/tbl_task1[[คะแนนเต็ม]:[คะแนนเต็ม]])*tbl_task1[[%]:[%]])</f>
        <v/>
      </c>
      <c r="JI27" s="121" t="str">
        <f>IF(ISBLANK(tbl_task1[[คะแนนเต็ม]:[คะแนนเต็ม]]),"",(tbl_task1[99]/tbl_task1[[คะแนนเต็ม]:[คะแนนเต็ม]])*tbl_task1[[%]:[%]])</f>
        <v/>
      </c>
      <c r="JJ27" s="121" t="str">
        <f>IF(ISBLANK(tbl_task1[[คะแนนเต็ม]:[คะแนนเต็ม]]),"",(tbl_task1[100]/tbl_task1[[คะแนนเต็ม]:[คะแนนเต็ม]])*tbl_task1[[%]:[%]])</f>
        <v/>
      </c>
      <c r="JK27" s="121" t="str">
        <f>IF(ISBLANK(tbl_task1[[คะแนนเต็ม]:[คะแนนเต็ม]]),"",(tbl_task1[101]/tbl_task1[[คะแนนเต็ม]:[คะแนนเต็ม]])*tbl_task1[[%]:[%]])</f>
        <v/>
      </c>
      <c r="JL27" s="121" t="str">
        <f>IF(ISBLANK(tbl_task1[[คะแนนเต็ม]:[คะแนนเต็ม]]),"",(tbl_task1[102]/tbl_task1[[คะแนนเต็ม]:[คะแนนเต็ม]])*tbl_task1[[%]:[%]])</f>
        <v/>
      </c>
      <c r="JM27" s="121" t="str">
        <f>IF(ISBLANK(tbl_task1[[คะแนนเต็ม]:[คะแนนเต็ม]]),"",(tbl_task1[103]/tbl_task1[[คะแนนเต็ม]:[คะแนนเต็ม]])*tbl_task1[[%]:[%]])</f>
        <v/>
      </c>
      <c r="JN27" s="121" t="str">
        <f>IF(ISBLANK(tbl_task1[[คะแนนเต็ม]:[คะแนนเต็ม]]),"",(tbl_task1[104]/tbl_task1[[คะแนนเต็ม]:[คะแนนเต็ม]])*tbl_task1[[%]:[%]])</f>
        <v/>
      </c>
      <c r="JO27" s="121" t="str">
        <f>IF(ISBLANK(tbl_task1[[คะแนนเต็ม]:[คะแนนเต็ม]]),"",(tbl_task1[105]/tbl_task1[[คะแนนเต็ม]:[คะแนนเต็ม]])*tbl_task1[[%]:[%]])</f>
        <v/>
      </c>
      <c r="JP27" s="121" t="str">
        <f>IF(ISBLANK(tbl_task1[[คะแนนเต็ม]:[คะแนนเต็ม]]),"",(tbl_task1[106]/tbl_task1[[คะแนนเต็ม]:[คะแนนเต็ม]])*tbl_task1[[%]:[%]])</f>
        <v/>
      </c>
      <c r="JQ27" s="121" t="str">
        <f>IF(ISBLANK(tbl_task1[[คะแนนเต็ม]:[คะแนนเต็ม]]),"",(tbl_task1[107]/tbl_task1[[คะแนนเต็ม]:[คะแนนเต็ม]])*tbl_task1[[%]:[%]])</f>
        <v/>
      </c>
      <c r="JR27" s="121" t="str">
        <f>IF(ISBLANK(tbl_task1[[คะแนนเต็ม]:[คะแนนเต็ม]]),"",(tbl_task1[108]/tbl_task1[[คะแนนเต็ม]:[คะแนนเต็ม]])*tbl_task1[[%]:[%]])</f>
        <v/>
      </c>
      <c r="JS27" s="121" t="str">
        <f>IF(ISBLANK(tbl_task1[[คะแนนเต็ม]:[คะแนนเต็ม]]),"",(tbl_task1[109]/tbl_task1[[คะแนนเต็ม]:[คะแนนเต็ม]])*tbl_task1[[%]:[%]])</f>
        <v/>
      </c>
      <c r="JT27" s="121" t="str">
        <f>IF(ISBLANK(tbl_task1[[คะแนนเต็ม]:[คะแนนเต็ม]]),"",(tbl_task1[110]/tbl_task1[[คะแนนเต็ม]:[คะแนนเต็ม]])*tbl_task1[[%]:[%]])</f>
        <v/>
      </c>
      <c r="JU27" s="121" t="str">
        <f>IF(ISBLANK(tbl_task1[[คะแนนเต็ม]:[คะแนนเต็ม]]),"",(tbl_task1[111]/tbl_task1[[คะแนนเต็ม]:[คะแนนเต็ม]])*tbl_task1[[%]:[%]])</f>
        <v/>
      </c>
      <c r="JV27" s="121" t="str">
        <f>IF(ISBLANK(tbl_task1[[คะแนนเต็ม]:[คะแนนเต็ม]]),"",(tbl_task1[112]/tbl_task1[[คะแนนเต็ม]:[คะแนนเต็ม]])*tbl_task1[[%]:[%]])</f>
        <v/>
      </c>
      <c r="JW27" s="121" t="str">
        <f>IF(ISBLANK(tbl_task1[[คะแนนเต็ม]:[คะแนนเต็ม]]),"",(tbl_task1[113]/tbl_task1[[คะแนนเต็ม]:[คะแนนเต็ม]])*tbl_task1[[%]:[%]])</f>
        <v/>
      </c>
      <c r="JX27" s="121" t="str">
        <f>IF(ISBLANK(tbl_task1[[คะแนนเต็ม]:[คะแนนเต็ม]]),"",(tbl_task1[114]/tbl_task1[[คะแนนเต็ม]:[คะแนนเต็ม]])*tbl_task1[[%]:[%]])</f>
        <v/>
      </c>
      <c r="JY27" s="121" t="str">
        <f>IF(ISBLANK(tbl_task1[[คะแนนเต็ม]:[คะแนนเต็ม]]),"",(tbl_task1[115]/tbl_task1[[คะแนนเต็ม]:[คะแนนเต็ม]])*tbl_task1[[%]:[%]])</f>
        <v/>
      </c>
      <c r="JZ27" s="121" t="str">
        <f>IF(ISBLANK(tbl_task1[[คะแนนเต็ม]:[คะแนนเต็ม]]),"",(tbl_task1[116]/tbl_task1[[คะแนนเต็ม]:[คะแนนเต็ม]])*tbl_task1[[%]:[%]])</f>
        <v/>
      </c>
      <c r="KA27" s="121" t="str">
        <f>IF(ISBLANK(tbl_task1[[คะแนนเต็ม]:[คะแนนเต็ม]]),"",(tbl_task1[117]/tbl_task1[[คะแนนเต็ม]:[คะแนนเต็ม]])*tbl_task1[[%]:[%]])</f>
        <v/>
      </c>
      <c r="KB27" s="121" t="str">
        <f>IF(ISBLANK(tbl_task1[[คะแนนเต็ม]:[คะแนนเต็ม]]),"",(tbl_task1[118]/tbl_task1[[คะแนนเต็ม]:[คะแนนเต็ม]])*tbl_task1[[%]:[%]])</f>
        <v/>
      </c>
      <c r="KC27" s="121" t="str">
        <f>IF(ISBLANK(tbl_task1[[คะแนนเต็ม]:[คะแนนเต็ม]]),"",(tbl_task1[119]/tbl_task1[[คะแนนเต็ม]:[คะแนนเต็ม]])*tbl_task1[[%]:[%]])</f>
        <v/>
      </c>
      <c r="KD27" s="121" t="str">
        <f>IF(ISBLANK(tbl_task1[[คะแนนเต็ม]:[คะแนนเต็ม]]),"",(tbl_task1[120]/tbl_task1[[คะแนนเต็ม]:[คะแนนเต็ม]])*tbl_task1[[%]:[%]])</f>
        <v/>
      </c>
      <c r="KE27" s="121" t="str">
        <f>IF(ISBLANK(tbl_task1[[คะแนนเต็ม]:[คะแนนเต็ม]]),"",(tbl_task1[121]/tbl_task1[[คะแนนเต็ม]:[คะแนนเต็ม]])*tbl_task1[[%]:[%]])</f>
        <v/>
      </c>
      <c r="KF27" s="121" t="str">
        <f>IF(ISBLANK(tbl_task1[[คะแนนเต็ม]:[คะแนนเต็ม]]),"",(tbl_task1[122]/tbl_task1[[คะแนนเต็ม]:[คะแนนเต็ม]])*tbl_task1[[%]:[%]])</f>
        <v/>
      </c>
      <c r="KG27" s="121" t="str">
        <f>IF(ISBLANK(tbl_task1[[คะแนนเต็ม]:[คะแนนเต็ม]]),"",(tbl_task1[123]/tbl_task1[[คะแนนเต็ม]:[คะแนนเต็ม]])*tbl_task1[[%]:[%]])</f>
        <v/>
      </c>
      <c r="KH27" s="121" t="str">
        <f>IF(ISBLANK(tbl_task1[[คะแนนเต็ม]:[คะแนนเต็ม]]),"",(tbl_task1[124]/tbl_task1[[คะแนนเต็ม]:[คะแนนเต็ม]])*tbl_task1[[%]:[%]])</f>
        <v/>
      </c>
      <c r="KI27" s="121" t="str">
        <f>IF(ISBLANK(tbl_task1[[คะแนนเต็ม]:[คะแนนเต็ม]]),"",(tbl_task1[125]/tbl_task1[[คะแนนเต็ม]:[คะแนนเต็ม]])*tbl_task1[[%]:[%]])</f>
        <v/>
      </c>
      <c r="KJ27" s="121" t="str">
        <f>IF(ISBLANK(tbl_task1[[คะแนนเต็ม]:[คะแนนเต็ม]]),"",(tbl_task1[126]/tbl_task1[[คะแนนเต็ม]:[คะแนนเต็ม]])*tbl_task1[[%]:[%]])</f>
        <v/>
      </c>
      <c r="KK27" s="121" t="str">
        <f>IF(ISBLANK(tbl_task1[[คะแนนเต็ม]:[คะแนนเต็ม]]),"",(tbl_task1[127]/tbl_task1[[คะแนนเต็ม]:[คะแนนเต็ม]])*tbl_task1[[%]:[%]])</f>
        <v/>
      </c>
      <c r="KL27" s="121" t="str">
        <f>IF(ISBLANK(tbl_task1[[คะแนนเต็ม]:[คะแนนเต็ม]]),"",(tbl_task1[128]/tbl_task1[[คะแนนเต็ม]:[คะแนนเต็ม]])*tbl_task1[[%]:[%]])</f>
        <v/>
      </c>
      <c r="KM27" s="121" t="str">
        <f>IF(ISBLANK(tbl_task1[[คะแนนเต็ม]:[คะแนนเต็ม]]),"",(tbl_task1[129]/tbl_task1[[คะแนนเต็ม]:[คะแนนเต็ม]])*tbl_task1[[%]:[%]])</f>
        <v/>
      </c>
      <c r="KN27" s="121" t="str">
        <f>IF(ISBLANK(tbl_task1[[คะแนนเต็ม]:[คะแนนเต็ม]]),"",(tbl_task1[130]/tbl_task1[[คะแนนเต็ม]:[คะแนนเต็ม]])*tbl_task1[[%]:[%]])</f>
        <v/>
      </c>
      <c r="KO27" s="121" t="str">
        <f>IF(ISBLANK(tbl_task1[[คะแนนเต็ม]:[คะแนนเต็ม]]),"",(tbl_task1[131]/tbl_task1[[คะแนนเต็ม]:[คะแนนเต็ม]])*tbl_task1[[%]:[%]])</f>
        <v/>
      </c>
      <c r="KP27" s="121" t="str">
        <f>IF(ISBLANK(tbl_task1[[คะแนนเต็ม]:[คะแนนเต็ม]]),"",(tbl_task1[132]/tbl_task1[[คะแนนเต็ม]:[คะแนนเต็ม]])*tbl_task1[[%]:[%]])</f>
        <v/>
      </c>
      <c r="KQ27" s="121" t="str">
        <f>IF(ISBLANK(tbl_task1[[คะแนนเต็ม]:[คะแนนเต็ม]]),"",(tbl_task1[133]/tbl_task1[[คะแนนเต็ม]:[คะแนนเต็ม]])*tbl_task1[[%]:[%]])</f>
        <v/>
      </c>
      <c r="KR27" s="121" t="str">
        <f>IF(ISBLANK(tbl_task1[[คะแนนเต็ม]:[คะแนนเต็ม]]),"",(tbl_task1[134]/tbl_task1[[คะแนนเต็ม]:[คะแนนเต็ม]])*tbl_task1[[%]:[%]])</f>
        <v/>
      </c>
      <c r="KS27" s="121" t="str">
        <f>IF(ISBLANK(tbl_task1[[คะแนนเต็ม]:[คะแนนเต็ม]]),"",(tbl_task1[135]/tbl_task1[[คะแนนเต็ม]:[คะแนนเต็ม]])*tbl_task1[[%]:[%]])</f>
        <v/>
      </c>
      <c r="KT27" s="121" t="str">
        <f>IF(ISBLANK(tbl_task1[[คะแนนเต็ม]:[คะแนนเต็ม]]),"",(tbl_task1[136]/tbl_task1[[คะแนนเต็ม]:[คะแนนเต็ม]])*tbl_task1[[%]:[%]])</f>
        <v/>
      </c>
      <c r="KU27" s="121" t="str">
        <f>IF(ISBLANK(tbl_task1[[คะแนนเต็ม]:[คะแนนเต็ม]]),"",(tbl_task1[137]/tbl_task1[[คะแนนเต็ม]:[คะแนนเต็ม]])*tbl_task1[[%]:[%]])</f>
        <v/>
      </c>
      <c r="KV27" s="121" t="str">
        <f>IF(ISBLANK(tbl_task1[[คะแนนเต็ม]:[คะแนนเต็ม]]),"",(tbl_task1[138]/tbl_task1[[คะแนนเต็ม]:[คะแนนเต็ม]])*tbl_task1[[%]:[%]])</f>
        <v/>
      </c>
      <c r="KW27" s="121" t="str">
        <f>IF(ISBLANK(tbl_task1[[คะแนนเต็ม]:[คะแนนเต็ม]]),"",(tbl_task1[139]/tbl_task1[[คะแนนเต็ม]:[คะแนนเต็ม]])*tbl_task1[[%]:[%]])</f>
        <v/>
      </c>
      <c r="KX27" s="121" t="str">
        <f>IF(ISBLANK(tbl_task1[[คะแนนเต็ม]:[คะแนนเต็ม]]),"",(tbl_task1[140]/tbl_task1[[คะแนนเต็ม]:[คะแนนเต็ม]])*tbl_task1[[%]:[%]])</f>
        <v/>
      </c>
      <c r="KY27" s="121" t="str">
        <f>IF(ISBLANK(tbl_task1[[คะแนนเต็ม]:[คะแนนเต็ม]]),"",(tbl_task1[141]/tbl_task1[[คะแนนเต็ม]:[คะแนนเต็ม]])*tbl_task1[[%]:[%]])</f>
        <v/>
      </c>
      <c r="KZ27" s="121" t="str">
        <f>IF(ISBLANK(tbl_task1[[คะแนนเต็ม]:[คะแนนเต็ม]]),"",(tbl_task1[142]/tbl_task1[[คะแนนเต็ม]:[คะแนนเต็ม]])*tbl_task1[[%]:[%]])</f>
        <v/>
      </c>
      <c r="LA27" s="121" t="str">
        <f>IF(ISBLANK(tbl_task1[[คะแนนเต็ม]:[คะแนนเต็ม]]),"",(tbl_task1[143]/tbl_task1[[คะแนนเต็ม]:[คะแนนเต็ม]])*tbl_task1[[%]:[%]])</f>
        <v/>
      </c>
      <c r="LB27" s="121" t="str">
        <f>IF(ISBLANK(tbl_task1[[คะแนนเต็ม]:[คะแนนเต็ม]]),"",(tbl_task1[144]/tbl_task1[[คะแนนเต็ม]:[คะแนนเต็ม]])*tbl_task1[[%]:[%]])</f>
        <v/>
      </c>
      <c r="LC27" s="121" t="str">
        <f>IF(ISBLANK(tbl_task1[[คะแนนเต็ม]:[คะแนนเต็ม]]),"",(tbl_task1[145]/tbl_task1[[คะแนนเต็ม]:[คะแนนเต็ม]])*tbl_task1[[%]:[%]])</f>
        <v/>
      </c>
      <c r="LD27" s="121" t="str">
        <f>IF(ISBLANK(tbl_task1[[คะแนนเต็ม]:[คะแนนเต็ม]]),"",(tbl_task1[146]/tbl_task1[[คะแนนเต็ม]:[คะแนนเต็ม]])*tbl_task1[[%]:[%]])</f>
        <v/>
      </c>
      <c r="LE27" s="121" t="str">
        <f>IF(ISBLANK(tbl_task1[[คะแนนเต็ม]:[คะแนนเต็ม]]),"",(tbl_task1[147]/tbl_task1[[คะแนนเต็ม]:[คะแนนเต็ม]])*tbl_task1[[%]:[%]])</f>
        <v/>
      </c>
      <c r="LF27" s="121" t="str">
        <f>IF(ISBLANK(tbl_task1[[คะแนนเต็ม]:[คะแนนเต็ม]]),"",(tbl_task1[148]/tbl_task1[[คะแนนเต็ม]:[คะแนนเต็ม]])*tbl_task1[[%]:[%]])</f>
        <v/>
      </c>
      <c r="LG27" s="121" t="str">
        <f>IF(ISBLANK(tbl_task1[[คะแนนเต็ม]:[คะแนนเต็ม]]),"",(tbl_task1[149]/tbl_task1[[คะแนนเต็ม]:[คะแนนเต็ม]])*tbl_task1[[%]:[%]])</f>
        <v/>
      </c>
      <c r="LH27" s="121" t="str">
        <f>IF(ISBLANK(tbl_task1[[คะแนนเต็ม]:[คะแนนเต็ม]]),"",(tbl_task1[150]/tbl_task1[[คะแนนเต็ม]:[คะแนนเต็ม]])*tbl_task1[[%]:[%]])</f>
        <v/>
      </c>
      <c r="LI27" s="121" t="str">
        <f>IF(ISBLANK(tbl_task1[[คะแนนเต็ม]:[คะแนนเต็ม]]),"",(tbl_task1[151]/tbl_task1[[คะแนนเต็ม]:[คะแนนเต็ม]])*tbl_task1[[%]:[%]])</f>
        <v/>
      </c>
      <c r="LJ27" s="121" t="str">
        <f>IF(ISBLANK(tbl_task1[[คะแนนเต็ม]:[คะแนนเต็ม]]),"",(tbl_task1[152]/tbl_task1[[คะแนนเต็ม]:[คะแนนเต็ม]])*tbl_task1[[%]:[%]])</f>
        <v/>
      </c>
      <c r="LK27" s="121" t="str">
        <f>IF(ISBLANK(tbl_task1[[คะแนนเต็ม]:[คะแนนเต็ม]]),"",(tbl_task1[153]/tbl_task1[[คะแนนเต็ม]:[คะแนนเต็ม]])*tbl_task1[[%]:[%]])</f>
        <v/>
      </c>
      <c r="LL27" s="121" t="str">
        <f>IF(ISBLANK(tbl_task1[[คะแนนเต็ม]:[คะแนนเต็ม]]),"",(tbl_task1[154]/tbl_task1[[คะแนนเต็ม]:[คะแนนเต็ม]])*tbl_task1[[%]:[%]])</f>
        <v/>
      </c>
      <c r="LM27" s="121" t="str">
        <f>IF(ISBLANK(tbl_task1[[คะแนนเต็ม]:[คะแนนเต็ม]]),"",(tbl_task1[155]/tbl_task1[[คะแนนเต็ม]:[คะแนนเต็ม]])*tbl_task1[[%]:[%]])</f>
        <v/>
      </c>
      <c r="LN27" s="121" t="str">
        <f>IF(ISBLANK(tbl_task1[[คะแนนเต็ม]:[คะแนนเต็ม]]),"",(tbl_task1[156]/tbl_task1[[คะแนนเต็ม]:[คะแนนเต็ม]])*tbl_task1[[%]:[%]])</f>
        <v/>
      </c>
      <c r="LO27" s="121" t="str">
        <f>IF(ISBLANK(tbl_task1[[คะแนนเต็ม]:[คะแนนเต็ม]]),"",(tbl_task1[157]/tbl_task1[[คะแนนเต็ม]:[คะแนนเต็ม]])*tbl_task1[[%]:[%]])</f>
        <v/>
      </c>
      <c r="LP27" s="121" t="str">
        <f>IF(ISBLANK(tbl_task1[[คะแนนเต็ม]:[คะแนนเต็ม]]),"",(tbl_task1[158]/tbl_task1[[คะแนนเต็ม]:[คะแนนเต็ม]])*tbl_task1[[%]:[%]])</f>
        <v/>
      </c>
      <c r="LQ27" s="121" t="str">
        <f>IF(ISBLANK(tbl_task1[[คะแนนเต็ม]:[คะแนนเต็ม]]),"",(tbl_task1[159]/tbl_task1[[คะแนนเต็ม]:[คะแนนเต็ม]])*tbl_task1[[%]:[%]])</f>
        <v/>
      </c>
      <c r="LR27" s="121" t="str">
        <f>IF(ISBLANK(tbl_task1[[คะแนนเต็ม]:[คะแนนเต็ม]]),"",(tbl_task1[160]/tbl_task1[[คะแนนเต็ม]:[คะแนนเต็ม]])*tbl_task1[[%]:[%]])</f>
        <v/>
      </c>
      <c r="LS27" s="121" t="str">
        <f>IF(ISBLANK(tbl_task1[[คะแนนเต็ม]:[คะแนนเต็ม]]),"",(tbl_task1[161]/tbl_task1[[คะแนนเต็ม]:[คะแนนเต็ม]])*tbl_task1[[%]:[%]])</f>
        <v/>
      </c>
      <c r="LT27" s="121" t="str">
        <f>IF(ISBLANK(tbl_task1[[คะแนนเต็ม]:[คะแนนเต็ม]]),"",(tbl_task1[162]/tbl_task1[[คะแนนเต็ม]:[คะแนนเต็ม]])*tbl_task1[[%]:[%]])</f>
        <v/>
      </c>
      <c r="LU27" s="121" t="str">
        <f>IF(ISBLANK(tbl_task1[[คะแนนเต็ม]:[คะแนนเต็ม]]),"",(tbl_task1[163]/tbl_task1[[คะแนนเต็ม]:[คะแนนเต็ม]])*tbl_task1[[%]:[%]])</f>
        <v/>
      </c>
      <c r="LV27" s="121" t="str">
        <f>IF(ISBLANK(tbl_task1[[คะแนนเต็ม]:[คะแนนเต็ม]]),"",(tbl_task1[164]/tbl_task1[[คะแนนเต็ม]:[คะแนนเต็ม]])*tbl_task1[[%]:[%]])</f>
        <v/>
      </c>
      <c r="LW27" s="121" t="str">
        <f>IF(ISBLANK(tbl_task1[[คะแนนเต็ม]:[คะแนนเต็ม]]),"",(tbl_task1[165]/tbl_task1[[คะแนนเต็ม]:[คะแนนเต็ม]])*tbl_task1[[%]:[%]])</f>
        <v/>
      </c>
    </row>
    <row r="28" spans="1:335" ht="24" customHeight="1" x14ac:dyDescent="0.25">
      <c r="A28" s="24">
        <v>25</v>
      </c>
      <c r="B28" s="25"/>
      <c r="C28" s="26" t="str">
        <f>IF(ISBLANK(B28),"",VLOOKUP(B28,tbl_PLOs[],2,0))</f>
        <v/>
      </c>
      <c r="D28" s="103"/>
      <c r="E28" s="10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121" t="str">
        <f>IF(ISBLANK(tbl_task1[[คะแนนเต็ม]:[คะแนนเต็ม]]),"",(tbl_task1[1]/tbl_task1[[คะแนนเต็ม]:[คะแนนเต็ม]])*tbl_task1[[%]:[%]])</f>
        <v/>
      </c>
      <c r="FP28" s="121" t="str">
        <f>IF(ISBLANK(tbl_task1[[คะแนนเต็ม]:[คะแนนเต็ม]]),"",(tbl_task1[2]/tbl_task1[[คะแนนเต็ม]:[คะแนนเต็ม]])*tbl_task1[[%]:[%]])</f>
        <v/>
      </c>
      <c r="FQ28" s="121" t="str">
        <f>IF(ISBLANK(tbl_task1[[คะแนนเต็ม]:[คะแนนเต็ม]]),"",(tbl_task1[3]/tbl_task1[[คะแนนเต็ม]:[คะแนนเต็ม]])*tbl_task1[[%]:[%]])</f>
        <v/>
      </c>
      <c r="FR28" s="121" t="str">
        <f>IF(ISBLANK(tbl_task1[[คะแนนเต็ม]:[คะแนนเต็ม]]),"",(tbl_task1[4]/tbl_task1[[คะแนนเต็ม]:[คะแนนเต็ม]])*tbl_task1[[%]:[%]])</f>
        <v/>
      </c>
      <c r="FS28" s="121" t="str">
        <f>IF(ISBLANK(tbl_task1[[คะแนนเต็ม]:[คะแนนเต็ม]]),"",(tbl_task1[5]/tbl_task1[[คะแนนเต็ม]:[คะแนนเต็ม]])*tbl_task1[[%]:[%]])</f>
        <v/>
      </c>
      <c r="FT28" s="121" t="str">
        <f>IF(ISBLANK(tbl_task1[[คะแนนเต็ม]:[คะแนนเต็ม]]),"",(tbl_task1[6]/tbl_task1[[คะแนนเต็ม]:[คะแนนเต็ม]])*tbl_task1[[%]:[%]])</f>
        <v/>
      </c>
      <c r="FU28" s="121" t="str">
        <f>IF(ISBLANK(tbl_task1[[คะแนนเต็ม]:[คะแนนเต็ม]]),"",(tbl_task1[7]/tbl_task1[[คะแนนเต็ม]:[คะแนนเต็ม]])*tbl_task1[[%]:[%]])</f>
        <v/>
      </c>
      <c r="FV28" s="121" t="str">
        <f>IF(ISBLANK(tbl_task1[[คะแนนเต็ม]:[คะแนนเต็ม]]),"",(tbl_task1[8]/tbl_task1[[คะแนนเต็ม]:[คะแนนเต็ม]])*tbl_task1[[%]:[%]])</f>
        <v/>
      </c>
      <c r="FW28" s="121" t="str">
        <f>IF(ISBLANK(tbl_task1[[คะแนนเต็ม]:[คะแนนเต็ม]]),"",(tbl_task1[9]/tbl_task1[[คะแนนเต็ม]:[คะแนนเต็ม]])*tbl_task1[[%]:[%]])</f>
        <v/>
      </c>
      <c r="FX28" s="121" t="str">
        <f>IF(ISBLANK(tbl_task1[[คะแนนเต็ม]:[คะแนนเต็ม]]),"",(tbl_task1[10]/tbl_task1[[คะแนนเต็ม]:[คะแนนเต็ม]])*tbl_task1[[%]:[%]])</f>
        <v/>
      </c>
      <c r="FY28" s="121" t="str">
        <f>IF(ISBLANK(tbl_task1[[คะแนนเต็ม]:[คะแนนเต็ม]]),"",(tbl_task1[11]/tbl_task1[[คะแนนเต็ม]:[คะแนนเต็ม]])*tbl_task1[[%]:[%]])</f>
        <v/>
      </c>
      <c r="FZ28" s="121" t="str">
        <f>IF(ISBLANK(tbl_task1[[คะแนนเต็ม]:[คะแนนเต็ม]]),"",(tbl_task1[12]/tbl_task1[[คะแนนเต็ม]:[คะแนนเต็ม]])*tbl_task1[[%]:[%]])</f>
        <v/>
      </c>
      <c r="GA28" s="121" t="str">
        <f>IF(ISBLANK(tbl_task1[[คะแนนเต็ม]:[คะแนนเต็ม]]),"",(tbl_task1[13]/tbl_task1[[คะแนนเต็ม]:[คะแนนเต็ม]])*tbl_task1[[%]:[%]])</f>
        <v/>
      </c>
      <c r="GB28" s="121" t="str">
        <f>IF(ISBLANK(tbl_task1[[คะแนนเต็ม]:[คะแนนเต็ม]]),"",(tbl_task1[14]/tbl_task1[[คะแนนเต็ม]:[คะแนนเต็ม]])*tbl_task1[[%]:[%]])</f>
        <v/>
      </c>
      <c r="GC28" s="121" t="str">
        <f>IF(ISBLANK(tbl_task1[[คะแนนเต็ม]:[คะแนนเต็ม]]),"",(tbl_task1[15]/tbl_task1[[คะแนนเต็ม]:[คะแนนเต็ม]])*tbl_task1[[%]:[%]])</f>
        <v/>
      </c>
      <c r="GD28" s="121" t="str">
        <f>IF(ISBLANK(tbl_task1[[คะแนนเต็ม]:[คะแนนเต็ม]]),"",(tbl_task1[16]/tbl_task1[[คะแนนเต็ม]:[คะแนนเต็ม]])*tbl_task1[[%]:[%]])</f>
        <v/>
      </c>
      <c r="GE28" s="121" t="str">
        <f>IF(ISBLANK(tbl_task1[[คะแนนเต็ม]:[คะแนนเต็ม]]),"",(tbl_task1[17]/tbl_task1[[คะแนนเต็ม]:[คะแนนเต็ม]])*tbl_task1[[%]:[%]])</f>
        <v/>
      </c>
      <c r="GF28" s="121" t="str">
        <f>IF(ISBLANK(tbl_task1[[คะแนนเต็ม]:[คะแนนเต็ม]]),"",(tbl_task1[18]/tbl_task1[[คะแนนเต็ม]:[คะแนนเต็ม]])*tbl_task1[[%]:[%]])</f>
        <v/>
      </c>
      <c r="GG28" s="121" t="str">
        <f>IF(ISBLANK(tbl_task1[[คะแนนเต็ม]:[คะแนนเต็ม]]),"",(tbl_task1[19]/tbl_task1[[คะแนนเต็ม]:[คะแนนเต็ม]])*tbl_task1[[%]:[%]])</f>
        <v/>
      </c>
      <c r="GH28" s="121" t="str">
        <f>IF(ISBLANK(tbl_task1[[คะแนนเต็ม]:[คะแนนเต็ม]]),"",(tbl_task1[20]/tbl_task1[[คะแนนเต็ม]:[คะแนนเต็ม]])*tbl_task1[[%]:[%]])</f>
        <v/>
      </c>
      <c r="GI28" s="121" t="str">
        <f>IF(ISBLANK(tbl_task1[[คะแนนเต็ม]:[คะแนนเต็ม]]),"",(tbl_task1[21]/tbl_task1[[คะแนนเต็ม]:[คะแนนเต็ม]])*tbl_task1[[%]:[%]])</f>
        <v/>
      </c>
      <c r="GJ28" s="121" t="str">
        <f>IF(ISBLANK(tbl_task1[[คะแนนเต็ม]:[คะแนนเต็ม]]),"",(tbl_task1[22]/tbl_task1[[คะแนนเต็ม]:[คะแนนเต็ม]])*tbl_task1[[%]:[%]])</f>
        <v/>
      </c>
      <c r="GK28" s="121" t="str">
        <f>IF(ISBLANK(tbl_task1[[คะแนนเต็ม]:[คะแนนเต็ม]]),"",(tbl_task1[23]/tbl_task1[[คะแนนเต็ม]:[คะแนนเต็ม]])*tbl_task1[[%]:[%]])</f>
        <v/>
      </c>
      <c r="GL28" s="121" t="str">
        <f>IF(ISBLANK(tbl_task1[[คะแนนเต็ม]:[คะแนนเต็ม]]),"",(tbl_task1[24]/tbl_task1[[คะแนนเต็ม]:[คะแนนเต็ม]])*tbl_task1[[%]:[%]])</f>
        <v/>
      </c>
      <c r="GM28" s="121" t="str">
        <f>IF(ISBLANK(tbl_task1[[คะแนนเต็ม]:[คะแนนเต็ม]]),"",(tbl_task1[25]/tbl_task1[[คะแนนเต็ม]:[คะแนนเต็ม]])*tbl_task1[[%]:[%]])</f>
        <v/>
      </c>
      <c r="GN28" s="121" t="str">
        <f>IF(ISBLANK(tbl_task1[[คะแนนเต็ม]:[คะแนนเต็ม]]),"",(tbl_task1[26]/tbl_task1[[คะแนนเต็ม]:[คะแนนเต็ม]])*tbl_task1[[%]:[%]])</f>
        <v/>
      </c>
      <c r="GO28" s="121" t="str">
        <f>IF(ISBLANK(tbl_task1[[คะแนนเต็ม]:[คะแนนเต็ม]]),"",(tbl_task1[27]/tbl_task1[[คะแนนเต็ม]:[คะแนนเต็ม]])*tbl_task1[[%]:[%]])</f>
        <v/>
      </c>
      <c r="GP28" s="121" t="str">
        <f>IF(ISBLANK(tbl_task1[[คะแนนเต็ม]:[คะแนนเต็ม]]),"",(tbl_task1[28]/tbl_task1[[คะแนนเต็ม]:[คะแนนเต็ม]])*tbl_task1[[%]:[%]])</f>
        <v/>
      </c>
      <c r="GQ28" s="121" t="str">
        <f>IF(ISBLANK(tbl_task1[[คะแนนเต็ม]:[คะแนนเต็ม]]),"",(tbl_task1[29]/tbl_task1[[คะแนนเต็ม]:[คะแนนเต็ม]])*tbl_task1[[%]:[%]])</f>
        <v/>
      </c>
      <c r="GR28" s="121" t="str">
        <f>IF(ISBLANK(tbl_task1[[คะแนนเต็ม]:[คะแนนเต็ม]]),"",(tbl_task1[30]/tbl_task1[[คะแนนเต็ม]:[คะแนนเต็ม]])*tbl_task1[[%]:[%]])</f>
        <v/>
      </c>
      <c r="GS28" s="121" t="str">
        <f>IF(ISBLANK(tbl_task1[[คะแนนเต็ม]:[คะแนนเต็ม]]),"",(tbl_task1[31]/tbl_task1[[คะแนนเต็ม]:[คะแนนเต็ม]])*tbl_task1[[%]:[%]])</f>
        <v/>
      </c>
      <c r="GT28" s="121" t="str">
        <f>IF(ISBLANK(tbl_task1[[คะแนนเต็ม]:[คะแนนเต็ม]]),"",(tbl_task1[32]/tbl_task1[[คะแนนเต็ม]:[คะแนนเต็ม]])*tbl_task1[[%]:[%]])</f>
        <v/>
      </c>
      <c r="GU28" s="121" t="str">
        <f>IF(ISBLANK(tbl_task1[[คะแนนเต็ม]:[คะแนนเต็ม]]),"",(tbl_task1[33]/tbl_task1[[คะแนนเต็ม]:[คะแนนเต็ม]])*tbl_task1[[%]:[%]])</f>
        <v/>
      </c>
      <c r="GV28" s="121" t="str">
        <f>IF(ISBLANK(tbl_task1[[คะแนนเต็ม]:[คะแนนเต็ม]]),"",(tbl_task1[34]/tbl_task1[[คะแนนเต็ม]:[คะแนนเต็ม]])*tbl_task1[[%]:[%]])</f>
        <v/>
      </c>
      <c r="GW28" s="121" t="str">
        <f>IF(ISBLANK(tbl_task1[[คะแนนเต็ม]:[คะแนนเต็ม]]),"",(tbl_task1[35]/tbl_task1[[คะแนนเต็ม]:[คะแนนเต็ม]])*tbl_task1[[%]:[%]])</f>
        <v/>
      </c>
      <c r="GX28" s="121" t="str">
        <f>IF(ISBLANK(tbl_task1[[คะแนนเต็ม]:[คะแนนเต็ม]]),"",(tbl_task1[36]/tbl_task1[[คะแนนเต็ม]:[คะแนนเต็ม]])*tbl_task1[[%]:[%]])</f>
        <v/>
      </c>
      <c r="GY28" s="121" t="str">
        <f>IF(ISBLANK(tbl_task1[[คะแนนเต็ม]:[คะแนนเต็ม]]),"",(tbl_task1[37]/tbl_task1[[คะแนนเต็ม]:[คะแนนเต็ม]])*tbl_task1[[%]:[%]])</f>
        <v/>
      </c>
      <c r="GZ28" s="121" t="str">
        <f>IF(ISBLANK(tbl_task1[[คะแนนเต็ม]:[คะแนนเต็ม]]),"",(tbl_task1[38]/tbl_task1[[คะแนนเต็ม]:[คะแนนเต็ม]])*tbl_task1[[%]:[%]])</f>
        <v/>
      </c>
      <c r="HA28" s="121" t="str">
        <f>IF(ISBLANK(tbl_task1[[คะแนนเต็ม]:[คะแนนเต็ม]]),"",(tbl_task1[39]/tbl_task1[[คะแนนเต็ม]:[คะแนนเต็ม]])*tbl_task1[[%]:[%]])</f>
        <v/>
      </c>
      <c r="HB28" s="121" t="str">
        <f>IF(ISBLANK(tbl_task1[[คะแนนเต็ม]:[คะแนนเต็ม]]),"",(tbl_task1[40]/tbl_task1[[คะแนนเต็ม]:[คะแนนเต็ม]])*tbl_task1[[%]:[%]])</f>
        <v/>
      </c>
      <c r="HC28" s="121" t="str">
        <f>IF(ISBLANK(tbl_task1[[คะแนนเต็ม]:[คะแนนเต็ม]]),"",(tbl_task1[41]/tbl_task1[[คะแนนเต็ม]:[คะแนนเต็ม]])*tbl_task1[[%]:[%]])</f>
        <v/>
      </c>
      <c r="HD28" s="121" t="str">
        <f>IF(ISBLANK(tbl_task1[[คะแนนเต็ม]:[คะแนนเต็ม]]),"",(tbl_task1[42]/tbl_task1[[คะแนนเต็ม]:[คะแนนเต็ม]])*tbl_task1[[%]:[%]])</f>
        <v/>
      </c>
      <c r="HE28" s="121" t="str">
        <f>IF(ISBLANK(tbl_task1[[คะแนนเต็ม]:[คะแนนเต็ม]]),"",(tbl_task1[43]/tbl_task1[[คะแนนเต็ม]:[คะแนนเต็ม]])*tbl_task1[[%]:[%]])</f>
        <v/>
      </c>
      <c r="HF28" s="121" t="str">
        <f>IF(ISBLANK(tbl_task1[[คะแนนเต็ม]:[คะแนนเต็ม]]),"",(tbl_task1[44]/tbl_task1[[คะแนนเต็ม]:[คะแนนเต็ม]])*tbl_task1[[%]:[%]])</f>
        <v/>
      </c>
      <c r="HG28" s="121" t="str">
        <f>IF(ISBLANK(tbl_task1[[คะแนนเต็ม]:[คะแนนเต็ม]]),"",(tbl_task1[45]/tbl_task1[[คะแนนเต็ม]:[คะแนนเต็ม]])*tbl_task1[[%]:[%]])</f>
        <v/>
      </c>
      <c r="HH28" s="121" t="str">
        <f>IF(ISBLANK(tbl_task1[[คะแนนเต็ม]:[คะแนนเต็ม]]),"",(tbl_task1[46]/tbl_task1[[คะแนนเต็ม]:[คะแนนเต็ม]])*tbl_task1[[%]:[%]])</f>
        <v/>
      </c>
      <c r="HI28" s="121" t="str">
        <f>IF(ISBLANK(tbl_task1[[คะแนนเต็ม]:[คะแนนเต็ม]]),"",(tbl_task1[47]/tbl_task1[[คะแนนเต็ม]:[คะแนนเต็ม]])*tbl_task1[[%]:[%]])</f>
        <v/>
      </c>
      <c r="HJ28" s="121" t="str">
        <f>IF(ISBLANK(tbl_task1[[คะแนนเต็ม]:[คะแนนเต็ม]]),"",(tbl_task1[48]/tbl_task1[[คะแนนเต็ม]:[คะแนนเต็ม]])*tbl_task1[[%]:[%]])</f>
        <v/>
      </c>
      <c r="HK28" s="121" t="str">
        <f>IF(ISBLANK(tbl_task1[[คะแนนเต็ม]:[คะแนนเต็ม]]),"",(tbl_task1[49]/tbl_task1[[คะแนนเต็ม]:[คะแนนเต็ม]])*tbl_task1[[%]:[%]])</f>
        <v/>
      </c>
      <c r="HL28" s="121" t="str">
        <f>IF(ISBLANK(tbl_task1[[คะแนนเต็ม]:[คะแนนเต็ม]]),"",(tbl_task1[50]/tbl_task1[[คะแนนเต็ม]:[คะแนนเต็ม]])*tbl_task1[[%]:[%]])</f>
        <v/>
      </c>
      <c r="HM28" s="121" t="str">
        <f>IF(ISBLANK(tbl_task1[[คะแนนเต็ม]:[คะแนนเต็ม]]),"",(tbl_task1[51]/tbl_task1[[คะแนนเต็ม]:[คะแนนเต็ม]])*tbl_task1[[%]:[%]])</f>
        <v/>
      </c>
      <c r="HN28" s="121" t="str">
        <f>IF(ISBLANK(tbl_task1[[คะแนนเต็ม]:[คะแนนเต็ม]]),"",(tbl_task1[52]/tbl_task1[[คะแนนเต็ม]:[คะแนนเต็ม]])*tbl_task1[[%]:[%]])</f>
        <v/>
      </c>
      <c r="HO28" s="121" t="str">
        <f>IF(ISBLANK(tbl_task1[[คะแนนเต็ม]:[คะแนนเต็ม]]),"",(tbl_task1[53]/tbl_task1[[คะแนนเต็ม]:[คะแนนเต็ม]])*tbl_task1[[%]:[%]])</f>
        <v/>
      </c>
      <c r="HP28" s="121" t="str">
        <f>IF(ISBLANK(tbl_task1[[คะแนนเต็ม]:[คะแนนเต็ม]]),"",(tbl_task1[54]/tbl_task1[[คะแนนเต็ม]:[คะแนนเต็ม]])*tbl_task1[[%]:[%]])</f>
        <v/>
      </c>
      <c r="HQ28" s="121" t="str">
        <f>IF(ISBLANK(tbl_task1[[คะแนนเต็ม]:[คะแนนเต็ม]]),"",(tbl_task1[55]/tbl_task1[[คะแนนเต็ม]:[คะแนนเต็ม]])*tbl_task1[[%]:[%]])</f>
        <v/>
      </c>
      <c r="HR28" s="121" t="str">
        <f>IF(ISBLANK(tbl_task1[[คะแนนเต็ม]:[คะแนนเต็ม]]),"",(tbl_task1[56]/tbl_task1[[คะแนนเต็ม]:[คะแนนเต็ม]])*tbl_task1[[%]:[%]])</f>
        <v/>
      </c>
      <c r="HS28" s="121" t="str">
        <f>IF(ISBLANK(tbl_task1[[คะแนนเต็ม]:[คะแนนเต็ม]]),"",(tbl_task1[57]/tbl_task1[[คะแนนเต็ม]:[คะแนนเต็ม]])*tbl_task1[[%]:[%]])</f>
        <v/>
      </c>
      <c r="HT28" s="121" t="str">
        <f>IF(ISBLANK(tbl_task1[[คะแนนเต็ม]:[คะแนนเต็ม]]),"",(tbl_task1[58]/tbl_task1[[คะแนนเต็ม]:[คะแนนเต็ม]])*tbl_task1[[%]:[%]])</f>
        <v/>
      </c>
      <c r="HU28" s="121" t="str">
        <f>IF(ISBLANK(tbl_task1[[คะแนนเต็ม]:[คะแนนเต็ม]]),"",(tbl_task1[59]/tbl_task1[[คะแนนเต็ม]:[คะแนนเต็ม]])*tbl_task1[[%]:[%]])</f>
        <v/>
      </c>
      <c r="HV28" s="121" t="str">
        <f>IF(ISBLANK(tbl_task1[[คะแนนเต็ม]:[คะแนนเต็ม]]),"",(tbl_task1[60]/tbl_task1[[คะแนนเต็ม]:[คะแนนเต็ม]])*tbl_task1[[%]:[%]])</f>
        <v/>
      </c>
      <c r="HW28" s="121" t="str">
        <f>IF(ISBLANK(tbl_task1[[คะแนนเต็ม]:[คะแนนเต็ม]]),"",(tbl_task1[61]/tbl_task1[[คะแนนเต็ม]:[คะแนนเต็ม]])*tbl_task1[[%]:[%]])</f>
        <v/>
      </c>
      <c r="HX28" s="121" t="str">
        <f>IF(ISBLANK(tbl_task1[[คะแนนเต็ม]:[คะแนนเต็ม]]),"",(tbl_task1[62]/tbl_task1[[คะแนนเต็ม]:[คะแนนเต็ม]])*tbl_task1[[%]:[%]])</f>
        <v/>
      </c>
      <c r="HY28" s="121" t="str">
        <f>IF(ISBLANK(tbl_task1[[คะแนนเต็ม]:[คะแนนเต็ม]]),"",(tbl_task1[63]/tbl_task1[[คะแนนเต็ม]:[คะแนนเต็ม]])*tbl_task1[[%]:[%]])</f>
        <v/>
      </c>
      <c r="HZ28" s="121" t="str">
        <f>IF(ISBLANK(tbl_task1[[คะแนนเต็ม]:[คะแนนเต็ม]]),"",(tbl_task1[64]/tbl_task1[[คะแนนเต็ม]:[คะแนนเต็ม]])*tbl_task1[[%]:[%]])</f>
        <v/>
      </c>
      <c r="IA28" s="121" t="str">
        <f>IF(ISBLANK(tbl_task1[[คะแนนเต็ม]:[คะแนนเต็ม]]),"",(tbl_task1[65]/tbl_task1[[คะแนนเต็ม]:[คะแนนเต็ม]])*tbl_task1[[%]:[%]])</f>
        <v/>
      </c>
      <c r="IB28" s="121" t="str">
        <f>IF(ISBLANK(tbl_task1[[คะแนนเต็ม]:[คะแนนเต็ม]]),"",(tbl_task1[66]/tbl_task1[[คะแนนเต็ม]:[คะแนนเต็ม]])*tbl_task1[[%]:[%]])</f>
        <v/>
      </c>
      <c r="IC28" s="121" t="str">
        <f>IF(ISBLANK(tbl_task1[[คะแนนเต็ม]:[คะแนนเต็ม]]),"",(tbl_task1[67]/tbl_task1[[คะแนนเต็ม]:[คะแนนเต็ม]])*tbl_task1[[%]:[%]])</f>
        <v/>
      </c>
      <c r="ID28" s="121" t="str">
        <f>IF(ISBLANK(tbl_task1[[คะแนนเต็ม]:[คะแนนเต็ม]]),"",(tbl_task1[68]/tbl_task1[[คะแนนเต็ม]:[คะแนนเต็ม]])*tbl_task1[[%]:[%]])</f>
        <v/>
      </c>
      <c r="IE28" s="121" t="str">
        <f>IF(ISBLANK(tbl_task1[[คะแนนเต็ม]:[คะแนนเต็ม]]),"",(tbl_task1[69]/tbl_task1[[คะแนนเต็ม]:[คะแนนเต็ม]])*tbl_task1[[%]:[%]])</f>
        <v/>
      </c>
      <c r="IF28" s="121" t="str">
        <f>IF(ISBLANK(tbl_task1[[คะแนนเต็ม]:[คะแนนเต็ม]]),"",(tbl_task1[70]/tbl_task1[[คะแนนเต็ม]:[คะแนนเต็ม]])*tbl_task1[[%]:[%]])</f>
        <v/>
      </c>
      <c r="IG28" s="121" t="str">
        <f>IF(ISBLANK(tbl_task1[[คะแนนเต็ม]:[คะแนนเต็ม]]),"",(tbl_task1[71]/tbl_task1[[คะแนนเต็ม]:[คะแนนเต็ม]])*tbl_task1[[%]:[%]])</f>
        <v/>
      </c>
      <c r="IH28" s="121" t="str">
        <f>IF(ISBLANK(tbl_task1[[คะแนนเต็ม]:[คะแนนเต็ม]]),"",(tbl_task1[72]/tbl_task1[[คะแนนเต็ม]:[คะแนนเต็ม]])*tbl_task1[[%]:[%]])</f>
        <v/>
      </c>
      <c r="II28" s="121" t="str">
        <f>IF(ISBLANK(tbl_task1[[คะแนนเต็ม]:[คะแนนเต็ม]]),"",(tbl_task1[73]/tbl_task1[[คะแนนเต็ม]:[คะแนนเต็ม]])*tbl_task1[[%]:[%]])</f>
        <v/>
      </c>
      <c r="IJ28" s="121" t="str">
        <f>IF(ISBLANK(tbl_task1[[คะแนนเต็ม]:[คะแนนเต็ม]]),"",(tbl_task1[74]/tbl_task1[[คะแนนเต็ม]:[คะแนนเต็ม]])*tbl_task1[[%]:[%]])</f>
        <v/>
      </c>
      <c r="IK28" s="121" t="str">
        <f>IF(ISBLANK(tbl_task1[[คะแนนเต็ม]:[คะแนนเต็ม]]),"",(tbl_task1[75]/tbl_task1[[คะแนนเต็ม]:[คะแนนเต็ม]])*tbl_task1[[%]:[%]])</f>
        <v/>
      </c>
      <c r="IL28" s="121" t="str">
        <f>IF(ISBLANK(tbl_task1[[คะแนนเต็ม]:[คะแนนเต็ม]]),"",(tbl_task1[76]/tbl_task1[[คะแนนเต็ม]:[คะแนนเต็ม]])*tbl_task1[[%]:[%]])</f>
        <v/>
      </c>
      <c r="IM28" s="121" t="str">
        <f>IF(ISBLANK(tbl_task1[[คะแนนเต็ม]:[คะแนนเต็ม]]),"",(tbl_task1[77]/tbl_task1[[คะแนนเต็ม]:[คะแนนเต็ม]])*tbl_task1[[%]:[%]])</f>
        <v/>
      </c>
      <c r="IN28" s="121" t="str">
        <f>IF(ISBLANK(tbl_task1[[คะแนนเต็ม]:[คะแนนเต็ม]]),"",(tbl_task1[78]/tbl_task1[[คะแนนเต็ม]:[คะแนนเต็ม]])*tbl_task1[[%]:[%]])</f>
        <v/>
      </c>
      <c r="IO28" s="121" t="str">
        <f>IF(ISBLANK(tbl_task1[[คะแนนเต็ม]:[คะแนนเต็ม]]),"",(tbl_task1[79]/tbl_task1[[คะแนนเต็ม]:[คะแนนเต็ม]])*tbl_task1[[%]:[%]])</f>
        <v/>
      </c>
      <c r="IP28" s="121" t="str">
        <f>IF(ISBLANK(tbl_task1[[คะแนนเต็ม]:[คะแนนเต็ม]]),"",(tbl_task1[80]/tbl_task1[[คะแนนเต็ม]:[คะแนนเต็ม]])*tbl_task1[[%]:[%]])</f>
        <v/>
      </c>
      <c r="IQ28" s="121" t="str">
        <f>IF(ISBLANK(tbl_task1[[คะแนนเต็ม]:[คะแนนเต็ม]]),"",(tbl_task1[81]/tbl_task1[[คะแนนเต็ม]:[คะแนนเต็ม]])*tbl_task1[[%]:[%]])</f>
        <v/>
      </c>
      <c r="IR28" s="121" t="str">
        <f>IF(ISBLANK(tbl_task1[[คะแนนเต็ม]:[คะแนนเต็ม]]),"",(tbl_task1[82]/tbl_task1[[คะแนนเต็ม]:[คะแนนเต็ม]])*tbl_task1[[%]:[%]])</f>
        <v/>
      </c>
      <c r="IS28" s="121" t="str">
        <f>IF(ISBLANK(tbl_task1[[คะแนนเต็ม]:[คะแนนเต็ม]]),"",(tbl_task1[83]/tbl_task1[[คะแนนเต็ม]:[คะแนนเต็ม]])*tbl_task1[[%]:[%]])</f>
        <v/>
      </c>
      <c r="IT28" s="121" t="str">
        <f>IF(ISBLANK(tbl_task1[[คะแนนเต็ม]:[คะแนนเต็ม]]),"",(tbl_task1[84]/tbl_task1[[คะแนนเต็ม]:[คะแนนเต็ม]])*tbl_task1[[%]:[%]])</f>
        <v/>
      </c>
      <c r="IU28" s="121" t="str">
        <f>IF(ISBLANK(tbl_task1[[คะแนนเต็ม]:[คะแนนเต็ม]]),"",(tbl_task1[85]/tbl_task1[[คะแนนเต็ม]:[คะแนนเต็ม]])*tbl_task1[[%]:[%]])</f>
        <v/>
      </c>
      <c r="IV28" s="121" t="str">
        <f>IF(ISBLANK(tbl_task1[[คะแนนเต็ม]:[คะแนนเต็ม]]),"",(tbl_task1[86]/tbl_task1[[คะแนนเต็ม]:[คะแนนเต็ม]])*tbl_task1[[%]:[%]])</f>
        <v/>
      </c>
      <c r="IW28" s="121" t="str">
        <f>IF(ISBLANK(tbl_task1[[คะแนนเต็ม]:[คะแนนเต็ม]]),"",(tbl_task1[87]/tbl_task1[[คะแนนเต็ม]:[คะแนนเต็ม]])*tbl_task1[[%]:[%]])</f>
        <v/>
      </c>
      <c r="IX28" s="121" t="str">
        <f>IF(ISBLANK(tbl_task1[[คะแนนเต็ม]:[คะแนนเต็ม]]),"",(tbl_task1[88]/tbl_task1[[คะแนนเต็ม]:[คะแนนเต็ม]])*tbl_task1[[%]:[%]])</f>
        <v/>
      </c>
      <c r="IY28" s="121" t="str">
        <f>IF(ISBLANK(tbl_task1[[คะแนนเต็ม]:[คะแนนเต็ม]]),"",(tbl_task1[89]/tbl_task1[[คะแนนเต็ม]:[คะแนนเต็ม]])*tbl_task1[[%]:[%]])</f>
        <v/>
      </c>
      <c r="IZ28" s="121" t="str">
        <f>IF(ISBLANK(tbl_task1[[คะแนนเต็ม]:[คะแนนเต็ม]]),"",(tbl_task1[90]/tbl_task1[[คะแนนเต็ม]:[คะแนนเต็ม]])*tbl_task1[[%]:[%]])</f>
        <v/>
      </c>
      <c r="JA28" s="121" t="str">
        <f>IF(ISBLANK(tbl_task1[[คะแนนเต็ม]:[คะแนนเต็ม]]),"",(tbl_task1[91]/tbl_task1[[คะแนนเต็ม]:[คะแนนเต็ม]])*tbl_task1[[%]:[%]])</f>
        <v/>
      </c>
      <c r="JB28" s="121" t="str">
        <f>IF(ISBLANK(tbl_task1[[คะแนนเต็ม]:[คะแนนเต็ม]]),"",(tbl_task1[92]/tbl_task1[[คะแนนเต็ม]:[คะแนนเต็ม]])*tbl_task1[[%]:[%]])</f>
        <v/>
      </c>
      <c r="JC28" s="121" t="str">
        <f>IF(ISBLANK(tbl_task1[[คะแนนเต็ม]:[คะแนนเต็ม]]),"",(tbl_task1[93]/tbl_task1[[คะแนนเต็ม]:[คะแนนเต็ม]])*tbl_task1[[%]:[%]])</f>
        <v/>
      </c>
      <c r="JD28" s="121" t="str">
        <f>IF(ISBLANK(tbl_task1[[คะแนนเต็ม]:[คะแนนเต็ม]]),"",(tbl_task1[94]/tbl_task1[[คะแนนเต็ม]:[คะแนนเต็ม]])*tbl_task1[[%]:[%]])</f>
        <v/>
      </c>
      <c r="JE28" s="121" t="str">
        <f>IF(ISBLANK(tbl_task1[[คะแนนเต็ม]:[คะแนนเต็ม]]),"",(tbl_task1[95]/tbl_task1[[คะแนนเต็ม]:[คะแนนเต็ม]])*tbl_task1[[%]:[%]])</f>
        <v/>
      </c>
      <c r="JF28" s="121" t="str">
        <f>IF(ISBLANK(tbl_task1[[คะแนนเต็ม]:[คะแนนเต็ม]]),"",(tbl_task1[96]/tbl_task1[[คะแนนเต็ม]:[คะแนนเต็ม]])*tbl_task1[[%]:[%]])</f>
        <v/>
      </c>
      <c r="JG28" s="121" t="str">
        <f>IF(ISBLANK(tbl_task1[[คะแนนเต็ม]:[คะแนนเต็ม]]),"",(tbl_task1[97]/tbl_task1[[คะแนนเต็ม]:[คะแนนเต็ม]])*tbl_task1[[%]:[%]])</f>
        <v/>
      </c>
      <c r="JH28" s="121" t="str">
        <f>IF(ISBLANK(tbl_task1[[คะแนนเต็ม]:[คะแนนเต็ม]]),"",(tbl_task1[98]/tbl_task1[[คะแนนเต็ม]:[คะแนนเต็ม]])*tbl_task1[[%]:[%]])</f>
        <v/>
      </c>
      <c r="JI28" s="121" t="str">
        <f>IF(ISBLANK(tbl_task1[[คะแนนเต็ม]:[คะแนนเต็ม]]),"",(tbl_task1[99]/tbl_task1[[คะแนนเต็ม]:[คะแนนเต็ม]])*tbl_task1[[%]:[%]])</f>
        <v/>
      </c>
      <c r="JJ28" s="121" t="str">
        <f>IF(ISBLANK(tbl_task1[[คะแนนเต็ม]:[คะแนนเต็ม]]),"",(tbl_task1[100]/tbl_task1[[คะแนนเต็ม]:[คะแนนเต็ม]])*tbl_task1[[%]:[%]])</f>
        <v/>
      </c>
      <c r="JK28" s="121" t="str">
        <f>IF(ISBLANK(tbl_task1[[คะแนนเต็ม]:[คะแนนเต็ม]]),"",(tbl_task1[101]/tbl_task1[[คะแนนเต็ม]:[คะแนนเต็ม]])*tbl_task1[[%]:[%]])</f>
        <v/>
      </c>
      <c r="JL28" s="121" t="str">
        <f>IF(ISBLANK(tbl_task1[[คะแนนเต็ม]:[คะแนนเต็ม]]),"",(tbl_task1[102]/tbl_task1[[คะแนนเต็ม]:[คะแนนเต็ม]])*tbl_task1[[%]:[%]])</f>
        <v/>
      </c>
      <c r="JM28" s="121" t="str">
        <f>IF(ISBLANK(tbl_task1[[คะแนนเต็ม]:[คะแนนเต็ม]]),"",(tbl_task1[103]/tbl_task1[[คะแนนเต็ม]:[คะแนนเต็ม]])*tbl_task1[[%]:[%]])</f>
        <v/>
      </c>
      <c r="JN28" s="121" t="str">
        <f>IF(ISBLANK(tbl_task1[[คะแนนเต็ม]:[คะแนนเต็ม]]),"",(tbl_task1[104]/tbl_task1[[คะแนนเต็ม]:[คะแนนเต็ม]])*tbl_task1[[%]:[%]])</f>
        <v/>
      </c>
      <c r="JO28" s="121" t="str">
        <f>IF(ISBLANK(tbl_task1[[คะแนนเต็ม]:[คะแนนเต็ม]]),"",(tbl_task1[105]/tbl_task1[[คะแนนเต็ม]:[คะแนนเต็ม]])*tbl_task1[[%]:[%]])</f>
        <v/>
      </c>
      <c r="JP28" s="121" t="str">
        <f>IF(ISBLANK(tbl_task1[[คะแนนเต็ม]:[คะแนนเต็ม]]),"",(tbl_task1[106]/tbl_task1[[คะแนนเต็ม]:[คะแนนเต็ม]])*tbl_task1[[%]:[%]])</f>
        <v/>
      </c>
      <c r="JQ28" s="121" t="str">
        <f>IF(ISBLANK(tbl_task1[[คะแนนเต็ม]:[คะแนนเต็ม]]),"",(tbl_task1[107]/tbl_task1[[คะแนนเต็ม]:[คะแนนเต็ม]])*tbl_task1[[%]:[%]])</f>
        <v/>
      </c>
      <c r="JR28" s="121" t="str">
        <f>IF(ISBLANK(tbl_task1[[คะแนนเต็ม]:[คะแนนเต็ม]]),"",(tbl_task1[108]/tbl_task1[[คะแนนเต็ม]:[คะแนนเต็ม]])*tbl_task1[[%]:[%]])</f>
        <v/>
      </c>
      <c r="JS28" s="121" t="str">
        <f>IF(ISBLANK(tbl_task1[[คะแนนเต็ม]:[คะแนนเต็ม]]),"",(tbl_task1[109]/tbl_task1[[คะแนนเต็ม]:[คะแนนเต็ม]])*tbl_task1[[%]:[%]])</f>
        <v/>
      </c>
      <c r="JT28" s="121" t="str">
        <f>IF(ISBLANK(tbl_task1[[คะแนนเต็ม]:[คะแนนเต็ม]]),"",(tbl_task1[110]/tbl_task1[[คะแนนเต็ม]:[คะแนนเต็ม]])*tbl_task1[[%]:[%]])</f>
        <v/>
      </c>
      <c r="JU28" s="121" t="str">
        <f>IF(ISBLANK(tbl_task1[[คะแนนเต็ม]:[คะแนนเต็ม]]),"",(tbl_task1[111]/tbl_task1[[คะแนนเต็ม]:[คะแนนเต็ม]])*tbl_task1[[%]:[%]])</f>
        <v/>
      </c>
      <c r="JV28" s="121" t="str">
        <f>IF(ISBLANK(tbl_task1[[คะแนนเต็ม]:[คะแนนเต็ม]]),"",(tbl_task1[112]/tbl_task1[[คะแนนเต็ม]:[คะแนนเต็ม]])*tbl_task1[[%]:[%]])</f>
        <v/>
      </c>
      <c r="JW28" s="121" t="str">
        <f>IF(ISBLANK(tbl_task1[[คะแนนเต็ม]:[คะแนนเต็ม]]),"",(tbl_task1[113]/tbl_task1[[คะแนนเต็ม]:[คะแนนเต็ม]])*tbl_task1[[%]:[%]])</f>
        <v/>
      </c>
      <c r="JX28" s="121" t="str">
        <f>IF(ISBLANK(tbl_task1[[คะแนนเต็ม]:[คะแนนเต็ม]]),"",(tbl_task1[114]/tbl_task1[[คะแนนเต็ม]:[คะแนนเต็ม]])*tbl_task1[[%]:[%]])</f>
        <v/>
      </c>
      <c r="JY28" s="121" t="str">
        <f>IF(ISBLANK(tbl_task1[[คะแนนเต็ม]:[คะแนนเต็ม]]),"",(tbl_task1[115]/tbl_task1[[คะแนนเต็ม]:[คะแนนเต็ม]])*tbl_task1[[%]:[%]])</f>
        <v/>
      </c>
      <c r="JZ28" s="121" t="str">
        <f>IF(ISBLANK(tbl_task1[[คะแนนเต็ม]:[คะแนนเต็ม]]),"",(tbl_task1[116]/tbl_task1[[คะแนนเต็ม]:[คะแนนเต็ม]])*tbl_task1[[%]:[%]])</f>
        <v/>
      </c>
      <c r="KA28" s="121" t="str">
        <f>IF(ISBLANK(tbl_task1[[คะแนนเต็ม]:[คะแนนเต็ม]]),"",(tbl_task1[117]/tbl_task1[[คะแนนเต็ม]:[คะแนนเต็ม]])*tbl_task1[[%]:[%]])</f>
        <v/>
      </c>
      <c r="KB28" s="121" t="str">
        <f>IF(ISBLANK(tbl_task1[[คะแนนเต็ม]:[คะแนนเต็ม]]),"",(tbl_task1[118]/tbl_task1[[คะแนนเต็ม]:[คะแนนเต็ม]])*tbl_task1[[%]:[%]])</f>
        <v/>
      </c>
      <c r="KC28" s="121" t="str">
        <f>IF(ISBLANK(tbl_task1[[คะแนนเต็ม]:[คะแนนเต็ม]]),"",(tbl_task1[119]/tbl_task1[[คะแนนเต็ม]:[คะแนนเต็ม]])*tbl_task1[[%]:[%]])</f>
        <v/>
      </c>
      <c r="KD28" s="121" t="str">
        <f>IF(ISBLANK(tbl_task1[[คะแนนเต็ม]:[คะแนนเต็ม]]),"",(tbl_task1[120]/tbl_task1[[คะแนนเต็ม]:[คะแนนเต็ม]])*tbl_task1[[%]:[%]])</f>
        <v/>
      </c>
      <c r="KE28" s="121" t="str">
        <f>IF(ISBLANK(tbl_task1[[คะแนนเต็ม]:[คะแนนเต็ม]]),"",(tbl_task1[121]/tbl_task1[[คะแนนเต็ม]:[คะแนนเต็ม]])*tbl_task1[[%]:[%]])</f>
        <v/>
      </c>
      <c r="KF28" s="121" t="str">
        <f>IF(ISBLANK(tbl_task1[[คะแนนเต็ม]:[คะแนนเต็ม]]),"",(tbl_task1[122]/tbl_task1[[คะแนนเต็ม]:[คะแนนเต็ม]])*tbl_task1[[%]:[%]])</f>
        <v/>
      </c>
      <c r="KG28" s="121" t="str">
        <f>IF(ISBLANK(tbl_task1[[คะแนนเต็ม]:[คะแนนเต็ม]]),"",(tbl_task1[123]/tbl_task1[[คะแนนเต็ม]:[คะแนนเต็ม]])*tbl_task1[[%]:[%]])</f>
        <v/>
      </c>
      <c r="KH28" s="121" t="str">
        <f>IF(ISBLANK(tbl_task1[[คะแนนเต็ม]:[คะแนนเต็ม]]),"",(tbl_task1[124]/tbl_task1[[คะแนนเต็ม]:[คะแนนเต็ม]])*tbl_task1[[%]:[%]])</f>
        <v/>
      </c>
      <c r="KI28" s="121" t="str">
        <f>IF(ISBLANK(tbl_task1[[คะแนนเต็ม]:[คะแนนเต็ม]]),"",(tbl_task1[125]/tbl_task1[[คะแนนเต็ม]:[คะแนนเต็ม]])*tbl_task1[[%]:[%]])</f>
        <v/>
      </c>
      <c r="KJ28" s="121" t="str">
        <f>IF(ISBLANK(tbl_task1[[คะแนนเต็ม]:[คะแนนเต็ม]]),"",(tbl_task1[126]/tbl_task1[[คะแนนเต็ม]:[คะแนนเต็ม]])*tbl_task1[[%]:[%]])</f>
        <v/>
      </c>
      <c r="KK28" s="121" t="str">
        <f>IF(ISBLANK(tbl_task1[[คะแนนเต็ม]:[คะแนนเต็ม]]),"",(tbl_task1[127]/tbl_task1[[คะแนนเต็ม]:[คะแนนเต็ม]])*tbl_task1[[%]:[%]])</f>
        <v/>
      </c>
      <c r="KL28" s="121" t="str">
        <f>IF(ISBLANK(tbl_task1[[คะแนนเต็ม]:[คะแนนเต็ม]]),"",(tbl_task1[128]/tbl_task1[[คะแนนเต็ม]:[คะแนนเต็ม]])*tbl_task1[[%]:[%]])</f>
        <v/>
      </c>
      <c r="KM28" s="121" t="str">
        <f>IF(ISBLANK(tbl_task1[[คะแนนเต็ม]:[คะแนนเต็ม]]),"",(tbl_task1[129]/tbl_task1[[คะแนนเต็ม]:[คะแนนเต็ม]])*tbl_task1[[%]:[%]])</f>
        <v/>
      </c>
      <c r="KN28" s="121" t="str">
        <f>IF(ISBLANK(tbl_task1[[คะแนนเต็ม]:[คะแนนเต็ม]]),"",(tbl_task1[130]/tbl_task1[[คะแนนเต็ม]:[คะแนนเต็ม]])*tbl_task1[[%]:[%]])</f>
        <v/>
      </c>
      <c r="KO28" s="121" t="str">
        <f>IF(ISBLANK(tbl_task1[[คะแนนเต็ม]:[คะแนนเต็ม]]),"",(tbl_task1[131]/tbl_task1[[คะแนนเต็ม]:[คะแนนเต็ม]])*tbl_task1[[%]:[%]])</f>
        <v/>
      </c>
      <c r="KP28" s="121" t="str">
        <f>IF(ISBLANK(tbl_task1[[คะแนนเต็ม]:[คะแนนเต็ม]]),"",(tbl_task1[132]/tbl_task1[[คะแนนเต็ม]:[คะแนนเต็ม]])*tbl_task1[[%]:[%]])</f>
        <v/>
      </c>
      <c r="KQ28" s="121" t="str">
        <f>IF(ISBLANK(tbl_task1[[คะแนนเต็ม]:[คะแนนเต็ม]]),"",(tbl_task1[133]/tbl_task1[[คะแนนเต็ม]:[คะแนนเต็ม]])*tbl_task1[[%]:[%]])</f>
        <v/>
      </c>
      <c r="KR28" s="121" t="str">
        <f>IF(ISBLANK(tbl_task1[[คะแนนเต็ม]:[คะแนนเต็ม]]),"",(tbl_task1[134]/tbl_task1[[คะแนนเต็ม]:[คะแนนเต็ม]])*tbl_task1[[%]:[%]])</f>
        <v/>
      </c>
      <c r="KS28" s="121" t="str">
        <f>IF(ISBLANK(tbl_task1[[คะแนนเต็ม]:[คะแนนเต็ม]]),"",(tbl_task1[135]/tbl_task1[[คะแนนเต็ม]:[คะแนนเต็ม]])*tbl_task1[[%]:[%]])</f>
        <v/>
      </c>
      <c r="KT28" s="121" t="str">
        <f>IF(ISBLANK(tbl_task1[[คะแนนเต็ม]:[คะแนนเต็ม]]),"",(tbl_task1[136]/tbl_task1[[คะแนนเต็ม]:[คะแนนเต็ม]])*tbl_task1[[%]:[%]])</f>
        <v/>
      </c>
      <c r="KU28" s="121" t="str">
        <f>IF(ISBLANK(tbl_task1[[คะแนนเต็ม]:[คะแนนเต็ม]]),"",(tbl_task1[137]/tbl_task1[[คะแนนเต็ม]:[คะแนนเต็ม]])*tbl_task1[[%]:[%]])</f>
        <v/>
      </c>
      <c r="KV28" s="121" t="str">
        <f>IF(ISBLANK(tbl_task1[[คะแนนเต็ม]:[คะแนนเต็ม]]),"",(tbl_task1[138]/tbl_task1[[คะแนนเต็ม]:[คะแนนเต็ม]])*tbl_task1[[%]:[%]])</f>
        <v/>
      </c>
      <c r="KW28" s="121" t="str">
        <f>IF(ISBLANK(tbl_task1[[คะแนนเต็ม]:[คะแนนเต็ม]]),"",(tbl_task1[139]/tbl_task1[[คะแนนเต็ม]:[คะแนนเต็ม]])*tbl_task1[[%]:[%]])</f>
        <v/>
      </c>
      <c r="KX28" s="121" t="str">
        <f>IF(ISBLANK(tbl_task1[[คะแนนเต็ม]:[คะแนนเต็ม]]),"",(tbl_task1[140]/tbl_task1[[คะแนนเต็ม]:[คะแนนเต็ม]])*tbl_task1[[%]:[%]])</f>
        <v/>
      </c>
      <c r="KY28" s="121" t="str">
        <f>IF(ISBLANK(tbl_task1[[คะแนนเต็ม]:[คะแนนเต็ม]]),"",(tbl_task1[141]/tbl_task1[[คะแนนเต็ม]:[คะแนนเต็ม]])*tbl_task1[[%]:[%]])</f>
        <v/>
      </c>
      <c r="KZ28" s="121" t="str">
        <f>IF(ISBLANK(tbl_task1[[คะแนนเต็ม]:[คะแนนเต็ม]]),"",(tbl_task1[142]/tbl_task1[[คะแนนเต็ม]:[คะแนนเต็ม]])*tbl_task1[[%]:[%]])</f>
        <v/>
      </c>
      <c r="LA28" s="121" t="str">
        <f>IF(ISBLANK(tbl_task1[[คะแนนเต็ม]:[คะแนนเต็ม]]),"",(tbl_task1[143]/tbl_task1[[คะแนนเต็ม]:[คะแนนเต็ม]])*tbl_task1[[%]:[%]])</f>
        <v/>
      </c>
      <c r="LB28" s="121" t="str">
        <f>IF(ISBLANK(tbl_task1[[คะแนนเต็ม]:[คะแนนเต็ม]]),"",(tbl_task1[144]/tbl_task1[[คะแนนเต็ม]:[คะแนนเต็ม]])*tbl_task1[[%]:[%]])</f>
        <v/>
      </c>
      <c r="LC28" s="121" t="str">
        <f>IF(ISBLANK(tbl_task1[[คะแนนเต็ม]:[คะแนนเต็ม]]),"",(tbl_task1[145]/tbl_task1[[คะแนนเต็ม]:[คะแนนเต็ม]])*tbl_task1[[%]:[%]])</f>
        <v/>
      </c>
      <c r="LD28" s="121" t="str">
        <f>IF(ISBLANK(tbl_task1[[คะแนนเต็ม]:[คะแนนเต็ม]]),"",(tbl_task1[146]/tbl_task1[[คะแนนเต็ม]:[คะแนนเต็ม]])*tbl_task1[[%]:[%]])</f>
        <v/>
      </c>
      <c r="LE28" s="121" t="str">
        <f>IF(ISBLANK(tbl_task1[[คะแนนเต็ม]:[คะแนนเต็ม]]),"",(tbl_task1[147]/tbl_task1[[คะแนนเต็ม]:[คะแนนเต็ม]])*tbl_task1[[%]:[%]])</f>
        <v/>
      </c>
      <c r="LF28" s="121" t="str">
        <f>IF(ISBLANK(tbl_task1[[คะแนนเต็ม]:[คะแนนเต็ม]]),"",(tbl_task1[148]/tbl_task1[[คะแนนเต็ม]:[คะแนนเต็ม]])*tbl_task1[[%]:[%]])</f>
        <v/>
      </c>
      <c r="LG28" s="121" t="str">
        <f>IF(ISBLANK(tbl_task1[[คะแนนเต็ม]:[คะแนนเต็ม]]),"",(tbl_task1[149]/tbl_task1[[คะแนนเต็ม]:[คะแนนเต็ม]])*tbl_task1[[%]:[%]])</f>
        <v/>
      </c>
      <c r="LH28" s="121" t="str">
        <f>IF(ISBLANK(tbl_task1[[คะแนนเต็ม]:[คะแนนเต็ม]]),"",(tbl_task1[150]/tbl_task1[[คะแนนเต็ม]:[คะแนนเต็ม]])*tbl_task1[[%]:[%]])</f>
        <v/>
      </c>
      <c r="LI28" s="121" t="str">
        <f>IF(ISBLANK(tbl_task1[[คะแนนเต็ม]:[คะแนนเต็ม]]),"",(tbl_task1[151]/tbl_task1[[คะแนนเต็ม]:[คะแนนเต็ม]])*tbl_task1[[%]:[%]])</f>
        <v/>
      </c>
      <c r="LJ28" s="121" t="str">
        <f>IF(ISBLANK(tbl_task1[[คะแนนเต็ม]:[คะแนนเต็ม]]),"",(tbl_task1[152]/tbl_task1[[คะแนนเต็ม]:[คะแนนเต็ม]])*tbl_task1[[%]:[%]])</f>
        <v/>
      </c>
      <c r="LK28" s="121" t="str">
        <f>IF(ISBLANK(tbl_task1[[คะแนนเต็ม]:[คะแนนเต็ม]]),"",(tbl_task1[153]/tbl_task1[[คะแนนเต็ม]:[คะแนนเต็ม]])*tbl_task1[[%]:[%]])</f>
        <v/>
      </c>
      <c r="LL28" s="121" t="str">
        <f>IF(ISBLANK(tbl_task1[[คะแนนเต็ม]:[คะแนนเต็ม]]),"",(tbl_task1[154]/tbl_task1[[คะแนนเต็ม]:[คะแนนเต็ม]])*tbl_task1[[%]:[%]])</f>
        <v/>
      </c>
      <c r="LM28" s="121" t="str">
        <f>IF(ISBLANK(tbl_task1[[คะแนนเต็ม]:[คะแนนเต็ม]]),"",(tbl_task1[155]/tbl_task1[[คะแนนเต็ม]:[คะแนนเต็ม]])*tbl_task1[[%]:[%]])</f>
        <v/>
      </c>
      <c r="LN28" s="121" t="str">
        <f>IF(ISBLANK(tbl_task1[[คะแนนเต็ม]:[คะแนนเต็ม]]),"",(tbl_task1[156]/tbl_task1[[คะแนนเต็ม]:[คะแนนเต็ม]])*tbl_task1[[%]:[%]])</f>
        <v/>
      </c>
      <c r="LO28" s="121" t="str">
        <f>IF(ISBLANK(tbl_task1[[คะแนนเต็ม]:[คะแนนเต็ม]]),"",(tbl_task1[157]/tbl_task1[[คะแนนเต็ม]:[คะแนนเต็ม]])*tbl_task1[[%]:[%]])</f>
        <v/>
      </c>
      <c r="LP28" s="121" t="str">
        <f>IF(ISBLANK(tbl_task1[[คะแนนเต็ม]:[คะแนนเต็ม]]),"",(tbl_task1[158]/tbl_task1[[คะแนนเต็ม]:[คะแนนเต็ม]])*tbl_task1[[%]:[%]])</f>
        <v/>
      </c>
      <c r="LQ28" s="121" t="str">
        <f>IF(ISBLANK(tbl_task1[[คะแนนเต็ม]:[คะแนนเต็ม]]),"",(tbl_task1[159]/tbl_task1[[คะแนนเต็ม]:[คะแนนเต็ม]])*tbl_task1[[%]:[%]])</f>
        <v/>
      </c>
      <c r="LR28" s="121" t="str">
        <f>IF(ISBLANK(tbl_task1[[คะแนนเต็ม]:[คะแนนเต็ม]]),"",(tbl_task1[160]/tbl_task1[[คะแนนเต็ม]:[คะแนนเต็ม]])*tbl_task1[[%]:[%]])</f>
        <v/>
      </c>
      <c r="LS28" s="121" t="str">
        <f>IF(ISBLANK(tbl_task1[[คะแนนเต็ม]:[คะแนนเต็ม]]),"",(tbl_task1[161]/tbl_task1[[คะแนนเต็ม]:[คะแนนเต็ม]])*tbl_task1[[%]:[%]])</f>
        <v/>
      </c>
      <c r="LT28" s="121" t="str">
        <f>IF(ISBLANK(tbl_task1[[คะแนนเต็ม]:[คะแนนเต็ม]]),"",(tbl_task1[162]/tbl_task1[[คะแนนเต็ม]:[คะแนนเต็ม]])*tbl_task1[[%]:[%]])</f>
        <v/>
      </c>
      <c r="LU28" s="121" t="str">
        <f>IF(ISBLANK(tbl_task1[[คะแนนเต็ม]:[คะแนนเต็ม]]),"",(tbl_task1[163]/tbl_task1[[คะแนนเต็ม]:[คะแนนเต็ม]])*tbl_task1[[%]:[%]])</f>
        <v/>
      </c>
      <c r="LV28" s="121" t="str">
        <f>IF(ISBLANK(tbl_task1[[คะแนนเต็ม]:[คะแนนเต็ม]]),"",(tbl_task1[164]/tbl_task1[[คะแนนเต็ม]:[คะแนนเต็ม]])*tbl_task1[[%]:[%]])</f>
        <v/>
      </c>
      <c r="LW28" s="121" t="str">
        <f>IF(ISBLANK(tbl_task1[[คะแนนเต็ม]:[คะแนนเต็ม]]),"",(tbl_task1[165]/tbl_task1[[คะแนนเต็ม]:[คะแนนเต็ม]])*tbl_task1[[%]:[%]])</f>
        <v/>
      </c>
    </row>
    <row r="29" spans="1:335" s="34" customFormat="1" ht="24" customHeight="1" x14ac:dyDescent="0.25">
      <c r="A29" s="40" t="s">
        <v>11</v>
      </c>
      <c r="B29" s="109">
        <f>COUNTA(tbl_task1[SubPLOs])</f>
        <v>0</v>
      </c>
      <c r="C29" s="129"/>
      <c r="D29" s="108">
        <f>SUM(tbl_task1[คะแนนเต็ม])</f>
        <v>0</v>
      </c>
      <c r="E29" s="108">
        <f>SUM(tbl_task1[%])</f>
        <v>0</v>
      </c>
      <c r="F29" s="124">
        <f>SUM(tbl_task1[1])</f>
        <v>0</v>
      </c>
      <c r="G29" s="124">
        <f>SUM(tbl_task1[2])</f>
        <v>0</v>
      </c>
      <c r="H29" s="124">
        <f>SUM(tbl_task1[3])</f>
        <v>0</v>
      </c>
      <c r="I29" s="124">
        <f>SUM(tbl_task1[4])</f>
        <v>0</v>
      </c>
      <c r="J29" s="124">
        <f>SUM(tbl_task1[5])</f>
        <v>0</v>
      </c>
      <c r="K29" s="124">
        <f>SUM(tbl_task1[6])</f>
        <v>0</v>
      </c>
      <c r="L29" s="124">
        <f>SUM(tbl_task1[7])</f>
        <v>0</v>
      </c>
      <c r="M29" s="124">
        <f>SUM(tbl_task1[8])</f>
        <v>0</v>
      </c>
      <c r="N29" s="124">
        <f>SUM(tbl_task1[9])</f>
        <v>0</v>
      </c>
      <c r="O29" s="124">
        <f>SUM(tbl_task1[10])</f>
        <v>0</v>
      </c>
      <c r="P29" s="124">
        <f>SUM(tbl_task1[11])</f>
        <v>0</v>
      </c>
      <c r="Q29" s="124">
        <f>SUM(tbl_task1[12])</f>
        <v>0</v>
      </c>
      <c r="R29" s="124">
        <f>SUM(tbl_task1[13])</f>
        <v>0</v>
      </c>
      <c r="S29" s="124">
        <f>SUM(tbl_task1[14])</f>
        <v>0</v>
      </c>
      <c r="T29" s="124">
        <f>SUM(tbl_task1[15])</f>
        <v>0</v>
      </c>
      <c r="U29" s="124">
        <f>SUM(tbl_task1[16])</f>
        <v>0</v>
      </c>
      <c r="V29" s="124">
        <f>SUM(tbl_task1[17])</f>
        <v>0</v>
      </c>
      <c r="W29" s="124">
        <f>SUM(tbl_task1[18])</f>
        <v>0</v>
      </c>
      <c r="X29" s="124">
        <f>SUM(tbl_task1[19])</f>
        <v>0</v>
      </c>
      <c r="Y29" s="124">
        <f>SUM(tbl_task1[20])</f>
        <v>0</v>
      </c>
      <c r="Z29" s="124">
        <f>SUM(tbl_task1[21])</f>
        <v>0</v>
      </c>
      <c r="AA29" s="124">
        <f>SUM(tbl_task1[22])</f>
        <v>0</v>
      </c>
      <c r="AB29" s="124">
        <f>SUM(tbl_task1[23])</f>
        <v>0</v>
      </c>
      <c r="AC29" s="124">
        <f>SUM(tbl_task1[24])</f>
        <v>0</v>
      </c>
      <c r="AD29" s="124">
        <f>SUM(tbl_task1[25])</f>
        <v>0</v>
      </c>
      <c r="AE29" s="124">
        <f>SUM(tbl_task1[26])</f>
        <v>0</v>
      </c>
      <c r="AF29" s="124">
        <f>SUM(tbl_task1[27])</f>
        <v>0</v>
      </c>
      <c r="AG29" s="124">
        <f>SUM(tbl_task1[28])</f>
        <v>0</v>
      </c>
      <c r="AH29" s="124">
        <f>SUM(tbl_task1[29])</f>
        <v>0</v>
      </c>
      <c r="AI29" s="124">
        <f>SUM(tbl_task1[30])</f>
        <v>0</v>
      </c>
      <c r="AJ29" s="124">
        <f>SUM(tbl_task1[31])</f>
        <v>0</v>
      </c>
      <c r="AK29" s="124">
        <f>SUM(tbl_task1[32])</f>
        <v>0</v>
      </c>
      <c r="AL29" s="124">
        <f>SUM(tbl_task1[33])</f>
        <v>0</v>
      </c>
      <c r="AM29" s="124">
        <f>SUM(tbl_task1[34])</f>
        <v>0</v>
      </c>
      <c r="AN29" s="124">
        <f>SUM(tbl_task1[35])</f>
        <v>0</v>
      </c>
      <c r="AO29" s="124">
        <f>SUM(tbl_task1[36])</f>
        <v>0</v>
      </c>
      <c r="AP29" s="124">
        <f>SUM(tbl_task1[37])</f>
        <v>0</v>
      </c>
      <c r="AQ29" s="124">
        <f>SUM(tbl_task1[38])</f>
        <v>0</v>
      </c>
      <c r="AR29" s="124">
        <f>SUM(tbl_task1[39])</f>
        <v>0</v>
      </c>
      <c r="AS29" s="124">
        <f>SUM(tbl_task1[40])</f>
        <v>0</v>
      </c>
      <c r="AT29" s="124">
        <f>SUM(tbl_task1[41])</f>
        <v>0</v>
      </c>
      <c r="AU29" s="124">
        <f>SUM(tbl_task1[42])</f>
        <v>0</v>
      </c>
      <c r="AV29" s="124">
        <f>SUM(tbl_task1[43])</f>
        <v>0</v>
      </c>
      <c r="AW29" s="124">
        <f>SUM(tbl_task1[44])</f>
        <v>0</v>
      </c>
      <c r="AX29" s="124">
        <f>SUM(tbl_task1[45])</f>
        <v>0</v>
      </c>
      <c r="AY29" s="124">
        <f>SUM(tbl_task1[46])</f>
        <v>0</v>
      </c>
      <c r="AZ29" s="124">
        <f>SUM(tbl_task1[47])</f>
        <v>0</v>
      </c>
      <c r="BA29" s="124">
        <f>SUM(tbl_task1[48])</f>
        <v>0</v>
      </c>
      <c r="BB29" s="124">
        <f>SUM(tbl_task1[49])</f>
        <v>0</v>
      </c>
      <c r="BC29" s="124">
        <f>SUM(tbl_task1[50])</f>
        <v>0</v>
      </c>
      <c r="BD29" s="124">
        <f>SUM(tbl_task1[51])</f>
        <v>0</v>
      </c>
      <c r="BE29" s="124">
        <f>SUM(tbl_task1[52])</f>
        <v>0</v>
      </c>
      <c r="BF29" s="124">
        <f>SUM(tbl_task1[53])</f>
        <v>0</v>
      </c>
      <c r="BG29" s="124">
        <f>SUM(tbl_task1[54])</f>
        <v>0</v>
      </c>
      <c r="BH29" s="124">
        <f>SUM(tbl_task1[55])</f>
        <v>0</v>
      </c>
      <c r="BI29" s="124">
        <f>SUM(tbl_task1[56])</f>
        <v>0</v>
      </c>
      <c r="BJ29" s="124">
        <f>SUM(tbl_task1[57])</f>
        <v>0</v>
      </c>
      <c r="BK29" s="124">
        <f>SUM(tbl_task1[58])</f>
        <v>0</v>
      </c>
      <c r="BL29" s="124">
        <f>SUM(tbl_task1[59])</f>
        <v>0</v>
      </c>
      <c r="BM29" s="124">
        <f>SUM(tbl_task1[60])</f>
        <v>0</v>
      </c>
      <c r="BN29" s="124">
        <f>SUM(tbl_task1[61])</f>
        <v>0</v>
      </c>
      <c r="BO29" s="124">
        <f>SUM(tbl_task1[62])</f>
        <v>0</v>
      </c>
      <c r="BP29" s="124">
        <f>SUM(tbl_task1[63])</f>
        <v>0</v>
      </c>
      <c r="BQ29" s="124">
        <f>SUM(tbl_task1[64])</f>
        <v>0</v>
      </c>
      <c r="BR29" s="124">
        <f>SUM(tbl_task1[65])</f>
        <v>0</v>
      </c>
      <c r="BS29" s="124">
        <f>SUM(tbl_task1[66])</f>
        <v>0</v>
      </c>
      <c r="BT29" s="124">
        <f>SUM(tbl_task1[67])</f>
        <v>0</v>
      </c>
      <c r="BU29" s="124">
        <f>SUM(tbl_task1[68])</f>
        <v>0</v>
      </c>
      <c r="BV29" s="124">
        <f>SUM(tbl_task1[69])</f>
        <v>0</v>
      </c>
      <c r="BW29" s="124">
        <f>SUM(tbl_task1[70])</f>
        <v>0</v>
      </c>
      <c r="BX29" s="124">
        <f>SUM(tbl_task1[71])</f>
        <v>0</v>
      </c>
      <c r="BY29" s="124">
        <f>SUM(tbl_task1[72])</f>
        <v>0</v>
      </c>
      <c r="BZ29" s="124">
        <f>SUM(tbl_task1[73])</f>
        <v>0</v>
      </c>
      <c r="CA29" s="124">
        <f>SUM(tbl_task1[74])</f>
        <v>0</v>
      </c>
      <c r="CB29" s="124">
        <f>SUM(tbl_task1[75])</f>
        <v>0</v>
      </c>
      <c r="CC29" s="124">
        <f>SUM(tbl_task1[76])</f>
        <v>0</v>
      </c>
      <c r="CD29" s="124">
        <f>SUM(tbl_task1[77])</f>
        <v>0</v>
      </c>
      <c r="CE29" s="124">
        <f>SUM(tbl_task1[78])</f>
        <v>0</v>
      </c>
      <c r="CF29" s="124">
        <f>SUM(tbl_task1[79])</f>
        <v>0</v>
      </c>
      <c r="CG29" s="124">
        <f>SUM(tbl_task1[80])</f>
        <v>0</v>
      </c>
      <c r="CH29" s="124">
        <f>SUM(tbl_task1[81])</f>
        <v>0</v>
      </c>
      <c r="CI29" s="124">
        <f>SUM(tbl_task1[82])</f>
        <v>0</v>
      </c>
      <c r="CJ29" s="124">
        <f>SUM(tbl_task1[83])</f>
        <v>0</v>
      </c>
      <c r="CK29" s="124">
        <f>SUM(tbl_task1[84])</f>
        <v>0</v>
      </c>
      <c r="CL29" s="124">
        <f>SUM(tbl_task1[85])</f>
        <v>0</v>
      </c>
      <c r="CM29" s="124">
        <f>SUM(tbl_task1[86])</f>
        <v>0</v>
      </c>
      <c r="CN29" s="124">
        <f>SUM(tbl_task1[87])</f>
        <v>0</v>
      </c>
      <c r="CO29" s="124">
        <f>SUM(tbl_task1[88])</f>
        <v>0</v>
      </c>
      <c r="CP29" s="124">
        <f>SUM(tbl_task1[89])</f>
        <v>0</v>
      </c>
      <c r="CQ29" s="124">
        <f>SUM(tbl_task1[90])</f>
        <v>0</v>
      </c>
      <c r="CR29" s="124">
        <f>SUM(tbl_task1[91])</f>
        <v>0</v>
      </c>
      <c r="CS29" s="124">
        <f>SUM(tbl_task1[92])</f>
        <v>0</v>
      </c>
      <c r="CT29" s="124">
        <f>SUM(tbl_task1[93])</f>
        <v>0</v>
      </c>
      <c r="CU29" s="124">
        <f>SUM(tbl_task1[94])</f>
        <v>0</v>
      </c>
      <c r="CV29" s="124">
        <f>SUM(tbl_task1[95])</f>
        <v>0</v>
      </c>
      <c r="CW29" s="124">
        <f>SUM(tbl_task1[96])</f>
        <v>0</v>
      </c>
      <c r="CX29" s="124">
        <f>SUM(tbl_task1[97])</f>
        <v>0</v>
      </c>
      <c r="CY29" s="124">
        <f>SUM(tbl_task1[98])</f>
        <v>0</v>
      </c>
      <c r="CZ29" s="124">
        <f>SUM(tbl_task1[99])</f>
        <v>0</v>
      </c>
      <c r="DA29" s="124">
        <f>SUM(tbl_task1[100])</f>
        <v>0</v>
      </c>
      <c r="DB29" s="124">
        <f>SUM(tbl_task1[101])</f>
        <v>0</v>
      </c>
      <c r="DC29" s="124">
        <f>SUM(tbl_task1[102])</f>
        <v>0</v>
      </c>
      <c r="DD29" s="124">
        <f>SUM(tbl_task1[103])</f>
        <v>0</v>
      </c>
      <c r="DE29" s="124">
        <f>SUM(tbl_task1[104])</f>
        <v>0</v>
      </c>
      <c r="DF29" s="124">
        <f>SUM(tbl_task1[105])</f>
        <v>0</v>
      </c>
      <c r="DG29" s="124">
        <f>SUM(tbl_task1[106])</f>
        <v>0</v>
      </c>
      <c r="DH29" s="124">
        <f>SUM(tbl_task1[107])</f>
        <v>0</v>
      </c>
      <c r="DI29" s="124">
        <f>SUM(tbl_task1[108])</f>
        <v>0</v>
      </c>
      <c r="DJ29" s="124">
        <f>SUM(tbl_task1[109])</f>
        <v>0</v>
      </c>
      <c r="DK29" s="124">
        <f>SUM(tbl_task1[110])</f>
        <v>0</v>
      </c>
      <c r="DL29" s="124">
        <f>SUM(tbl_task1[111])</f>
        <v>0</v>
      </c>
      <c r="DM29" s="124">
        <f>SUM(tbl_task1[112])</f>
        <v>0</v>
      </c>
      <c r="DN29" s="124">
        <f>SUM(tbl_task1[113])</f>
        <v>0</v>
      </c>
      <c r="DO29" s="124">
        <f>SUM(tbl_task1[114])</f>
        <v>0</v>
      </c>
      <c r="DP29" s="124">
        <f>SUM(tbl_task1[115])</f>
        <v>0</v>
      </c>
      <c r="DQ29" s="124">
        <f>SUM(tbl_task1[116])</f>
        <v>0</v>
      </c>
      <c r="DR29" s="124">
        <f>SUM(tbl_task1[117])</f>
        <v>0</v>
      </c>
      <c r="DS29" s="124">
        <f>SUM(tbl_task1[118])</f>
        <v>0</v>
      </c>
      <c r="DT29" s="124">
        <f>SUM(tbl_task1[119])</f>
        <v>0</v>
      </c>
      <c r="DU29" s="124">
        <f>SUM(tbl_task1[120])</f>
        <v>0</v>
      </c>
      <c r="DV29" s="124">
        <f>SUM(tbl_task1[121])</f>
        <v>0</v>
      </c>
      <c r="DW29" s="124">
        <f>SUM(tbl_task1[122])</f>
        <v>0</v>
      </c>
      <c r="DX29" s="124">
        <f>SUM(tbl_task1[123])</f>
        <v>0</v>
      </c>
      <c r="DY29" s="124">
        <f>SUM(tbl_task1[124])</f>
        <v>0</v>
      </c>
      <c r="DZ29" s="124">
        <f>SUM(tbl_task1[125])</f>
        <v>0</v>
      </c>
      <c r="EA29" s="124">
        <f>SUM(tbl_task1[126])</f>
        <v>0</v>
      </c>
      <c r="EB29" s="124">
        <f>SUM(tbl_task1[127])</f>
        <v>0</v>
      </c>
      <c r="EC29" s="124">
        <f>SUM(tbl_task1[128])</f>
        <v>0</v>
      </c>
      <c r="ED29" s="124">
        <f>SUM(tbl_task1[129])</f>
        <v>0</v>
      </c>
      <c r="EE29" s="124">
        <f>SUM(tbl_task1[130])</f>
        <v>0</v>
      </c>
      <c r="EF29" s="124">
        <f>SUM(tbl_task1[131])</f>
        <v>0</v>
      </c>
      <c r="EG29" s="124">
        <f>SUM(tbl_task1[132])</f>
        <v>0</v>
      </c>
      <c r="EH29" s="124">
        <f>SUM(tbl_task1[133])</f>
        <v>0</v>
      </c>
      <c r="EI29" s="124">
        <f>SUM(tbl_task1[134])</f>
        <v>0</v>
      </c>
      <c r="EJ29" s="124">
        <f>SUM(tbl_task1[135])</f>
        <v>0</v>
      </c>
      <c r="EK29" s="124">
        <f>SUM(tbl_task1[136])</f>
        <v>0</v>
      </c>
      <c r="EL29" s="124">
        <f>SUM(tbl_task1[137])</f>
        <v>0</v>
      </c>
      <c r="EM29" s="124">
        <f>SUM(tbl_task1[138])</f>
        <v>0</v>
      </c>
      <c r="EN29" s="124">
        <f>SUM(tbl_task1[139])</f>
        <v>0</v>
      </c>
      <c r="EO29" s="124">
        <f>SUM(tbl_task1[140])</f>
        <v>0</v>
      </c>
      <c r="EP29" s="124">
        <f>SUM(tbl_task1[141])</f>
        <v>0</v>
      </c>
      <c r="EQ29" s="124">
        <f>SUM(tbl_task1[142])</f>
        <v>0</v>
      </c>
      <c r="ER29" s="124">
        <f>SUM(tbl_task1[143])</f>
        <v>0</v>
      </c>
      <c r="ES29" s="124">
        <f>SUM(tbl_task1[144])</f>
        <v>0</v>
      </c>
      <c r="ET29" s="124">
        <f>SUM(tbl_task1[145])</f>
        <v>0</v>
      </c>
      <c r="EU29" s="124">
        <f>SUM(tbl_task1[146])</f>
        <v>0</v>
      </c>
      <c r="EV29" s="124">
        <f>SUM(tbl_task1[147])</f>
        <v>0</v>
      </c>
      <c r="EW29" s="124">
        <f>SUM(tbl_task1[148])</f>
        <v>0</v>
      </c>
      <c r="EX29" s="124">
        <f>SUM(tbl_task1[149])</f>
        <v>0</v>
      </c>
      <c r="EY29" s="124">
        <f>SUM(tbl_task1[150])</f>
        <v>0</v>
      </c>
      <c r="EZ29" s="124">
        <f>SUM(tbl_task1[151])</f>
        <v>0</v>
      </c>
      <c r="FA29" s="124">
        <f>SUM(tbl_task1[152])</f>
        <v>0</v>
      </c>
      <c r="FB29" s="124">
        <f>SUM(tbl_task1[153])</f>
        <v>0</v>
      </c>
      <c r="FC29" s="124">
        <f>SUM(tbl_task1[154])</f>
        <v>0</v>
      </c>
      <c r="FD29" s="124">
        <f>SUM(tbl_task1[155])</f>
        <v>0</v>
      </c>
      <c r="FE29" s="124">
        <f>SUM(tbl_task1[156])</f>
        <v>0</v>
      </c>
      <c r="FF29" s="124">
        <f>SUM(tbl_task1[157])</f>
        <v>0</v>
      </c>
      <c r="FG29" s="124">
        <f>SUM(tbl_task1[158])</f>
        <v>0</v>
      </c>
      <c r="FH29" s="124">
        <f>SUM(tbl_task1[159])</f>
        <v>0</v>
      </c>
      <c r="FI29" s="124">
        <f>SUM(tbl_task1[160])</f>
        <v>0</v>
      </c>
      <c r="FJ29" s="124">
        <f>SUM(tbl_task1[161])</f>
        <v>0</v>
      </c>
      <c r="FK29" s="124">
        <f>SUM(tbl_task1[162])</f>
        <v>0</v>
      </c>
      <c r="FL29" s="124">
        <f>SUM(tbl_task1[163])</f>
        <v>0</v>
      </c>
      <c r="FM29" s="124">
        <f>SUM(tbl_task1[164])</f>
        <v>0</v>
      </c>
      <c r="FN29" s="124">
        <f>SUM(tbl_task1[165])</f>
        <v>0</v>
      </c>
      <c r="FO29" s="124">
        <f>SUM(tbl_task1[S1])</f>
        <v>0</v>
      </c>
      <c r="FP29" s="124">
        <f>SUM(tbl_task1[S2])</f>
        <v>0</v>
      </c>
      <c r="FQ29" s="124">
        <f>SUM(tbl_task1[S3])</f>
        <v>0</v>
      </c>
      <c r="FR29" s="124">
        <f>SUM(tbl_task1[S4])</f>
        <v>0</v>
      </c>
      <c r="FS29" s="124">
        <f>SUM(tbl_task1[S5])</f>
        <v>0</v>
      </c>
      <c r="FT29" s="124">
        <f>SUM(tbl_task1[S6])</f>
        <v>0</v>
      </c>
      <c r="FU29" s="124">
        <f>SUM(tbl_task1[S7])</f>
        <v>0</v>
      </c>
      <c r="FV29" s="124">
        <f>SUM(tbl_task1[S8])</f>
        <v>0</v>
      </c>
      <c r="FW29" s="124">
        <f>SUM(tbl_task1[S9])</f>
        <v>0</v>
      </c>
      <c r="FX29" s="124">
        <f>SUM(tbl_task1[S10])</f>
        <v>0</v>
      </c>
      <c r="FY29" s="124">
        <f>SUM(tbl_task1[S11])</f>
        <v>0</v>
      </c>
      <c r="FZ29" s="124">
        <f>SUM(tbl_task1[S12])</f>
        <v>0</v>
      </c>
      <c r="GA29" s="124">
        <f>SUM(tbl_task1[S13])</f>
        <v>0</v>
      </c>
      <c r="GB29" s="124">
        <f>SUM(tbl_task1[S14])</f>
        <v>0</v>
      </c>
      <c r="GC29" s="124">
        <f>SUM(tbl_task1[S15])</f>
        <v>0</v>
      </c>
      <c r="GD29" s="124">
        <f>SUM(tbl_task1[S16])</f>
        <v>0</v>
      </c>
      <c r="GE29" s="124">
        <f>SUM(tbl_task1[S17])</f>
        <v>0</v>
      </c>
      <c r="GF29" s="124">
        <f>SUM(tbl_task1[S18])</f>
        <v>0</v>
      </c>
      <c r="GG29" s="124">
        <f>SUM(tbl_task1[S19])</f>
        <v>0</v>
      </c>
      <c r="GH29" s="124">
        <f>SUM(tbl_task1[S20])</f>
        <v>0</v>
      </c>
      <c r="GI29" s="124">
        <f>SUM(tbl_task1[S21])</f>
        <v>0</v>
      </c>
      <c r="GJ29" s="124">
        <f>SUM(tbl_task1[S22])</f>
        <v>0</v>
      </c>
      <c r="GK29" s="124">
        <f>SUM(tbl_task1[S23])</f>
        <v>0</v>
      </c>
      <c r="GL29" s="124">
        <f>SUM(tbl_task1[S24])</f>
        <v>0</v>
      </c>
      <c r="GM29" s="124">
        <f>SUM(tbl_task1[S25])</f>
        <v>0</v>
      </c>
      <c r="GN29" s="124">
        <f>SUM(tbl_task1[S26])</f>
        <v>0</v>
      </c>
      <c r="GO29" s="124">
        <f>SUM(tbl_task1[S27])</f>
        <v>0</v>
      </c>
      <c r="GP29" s="124">
        <f>SUM(tbl_task1[S28])</f>
        <v>0</v>
      </c>
      <c r="GQ29" s="124">
        <f>SUM(tbl_task1[S29])</f>
        <v>0</v>
      </c>
      <c r="GR29" s="124">
        <f>SUM(tbl_task1[S30])</f>
        <v>0</v>
      </c>
      <c r="GS29" s="124">
        <f>SUM(tbl_task1[S31])</f>
        <v>0</v>
      </c>
      <c r="GT29" s="124">
        <f>SUM(tbl_task1[S32])</f>
        <v>0</v>
      </c>
      <c r="GU29" s="124">
        <f>SUM(tbl_task1[S33])</f>
        <v>0</v>
      </c>
      <c r="GV29" s="124">
        <f>SUM(tbl_task1[S34])</f>
        <v>0</v>
      </c>
      <c r="GW29" s="124">
        <f>SUM(tbl_task1[S35])</f>
        <v>0</v>
      </c>
      <c r="GX29" s="124">
        <f>SUM(tbl_task1[S36])</f>
        <v>0</v>
      </c>
      <c r="GY29" s="124">
        <f>SUM(tbl_task1[S37])</f>
        <v>0</v>
      </c>
      <c r="GZ29" s="124">
        <f>SUM(tbl_task1[S38])</f>
        <v>0</v>
      </c>
      <c r="HA29" s="124">
        <f>SUM(tbl_task1[S39])</f>
        <v>0</v>
      </c>
      <c r="HB29" s="124">
        <f>SUM(tbl_task1[S40])</f>
        <v>0</v>
      </c>
      <c r="HC29" s="124">
        <f>SUM(tbl_task1[S41])</f>
        <v>0</v>
      </c>
      <c r="HD29" s="124">
        <f>SUM(tbl_task1[S42])</f>
        <v>0</v>
      </c>
      <c r="HE29" s="124">
        <f>SUM(tbl_task1[S43])</f>
        <v>0</v>
      </c>
      <c r="HF29" s="124">
        <f>SUM(tbl_task1[S44])</f>
        <v>0</v>
      </c>
      <c r="HG29" s="124">
        <f>SUM(tbl_task1[S45])</f>
        <v>0</v>
      </c>
      <c r="HH29" s="124">
        <f>SUM(tbl_task1[S46])</f>
        <v>0</v>
      </c>
      <c r="HI29" s="124">
        <f>SUM(tbl_task1[S47])</f>
        <v>0</v>
      </c>
      <c r="HJ29" s="124">
        <f>SUM(tbl_task1[S48])</f>
        <v>0</v>
      </c>
      <c r="HK29" s="124">
        <f>SUM(tbl_task1[S49])</f>
        <v>0</v>
      </c>
      <c r="HL29" s="124">
        <f>SUM(tbl_task1[S50])</f>
        <v>0</v>
      </c>
      <c r="HM29" s="124">
        <f>SUM(tbl_task1[S51])</f>
        <v>0</v>
      </c>
      <c r="HN29" s="124">
        <f>SUM(tbl_task1[S52])</f>
        <v>0</v>
      </c>
      <c r="HO29" s="124">
        <f>SUM(tbl_task1[S53])</f>
        <v>0</v>
      </c>
      <c r="HP29" s="124">
        <f>SUM(tbl_task1[S54])</f>
        <v>0</v>
      </c>
      <c r="HQ29" s="124">
        <f>SUM(tbl_task1[S55])</f>
        <v>0</v>
      </c>
      <c r="HR29" s="124">
        <f>SUM(tbl_task1[S56])</f>
        <v>0</v>
      </c>
      <c r="HS29" s="124">
        <f>SUM(tbl_task1[S57])</f>
        <v>0</v>
      </c>
      <c r="HT29" s="124">
        <f>SUM(tbl_task1[S58])</f>
        <v>0</v>
      </c>
      <c r="HU29" s="124">
        <f>SUM(tbl_task1[S59])</f>
        <v>0</v>
      </c>
      <c r="HV29" s="124">
        <f>SUM(tbl_task1[S60])</f>
        <v>0</v>
      </c>
      <c r="HW29" s="124">
        <f>SUM(tbl_task1[S61])</f>
        <v>0</v>
      </c>
      <c r="HX29" s="124">
        <f>SUM(tbl_task1[S62])</f>
        <v>0</v>
      </c>
      <c r="HY29" s="124">
        <f>SUM(tbl_task1[S63])</f>
        <v>0</v>
      </c>
      <c r="HZ29" s="124">
        <f>SUM(tbl_task1[S64])</f>
        <v>0</v>
      </c>
      <c r="IA29" s="124">
        <f>SUM(tbl_task1[S65])</f>
        <v>0</v>
      </c>
      <c r="IB29" s="124">
        <f>SUM(tbl_task1[S66])</f>
        <v>0</v>
      </c>
      <c r="IC29" s="124">
        <f>SUM(tbl_task1[S67])</f>
        <v>0</v>
      </c>
      <c r="ID29" s="124">
        <f>SUM(tbl_task1[S68])</f>
        <v>0</v>
      </c>
      <c r="IE29" s="124">
        <f>SUM(tbl_task1[S69])</f>
        <v>0</v>
      </c>
      <c r="IF29" s="124">
        <f>SUM(tbl_task1[S70])</f>
        <v>0</v>
      </c>
      <c r="IG29" s="124">
        <f>SUM(tbl_task1[S71])</f>
        <v>0</v>
      </c>
      <c r="IH29" s="124">
        <f>SUM(tbl_task1[S72])</f>
        <v>0</v>
      </c>
      <c r="II29" s="124">
        <f>SUM(tbl_task1[S73])</f>
        <v>0</v>
      </c>
      <c r="IJ29" s="124">
        <f>SUM(tbl_task1[S74])</f>
        <v>0</v>
      </c>
      <c r="IK29" s="124">
        <f>SUM(tbl_task1[S75])</f>
        <v>0</v>
      </c>
      <c r="IL29" s="124">
        <f>SUM(tbl_task1[S76])</f>
        <v>0</v>
      </c>
      <c r="IM29" s="124">
        <f>SUM(tbl_task1[S77])</f>
        <v>0</v>
      </c>
      <c r="IN29" s="124">
        <f>SUM(tbl_task1[S78])</f>
        <v>0</v>
      </c>
      <c r="IO29" s="124">
        <f>SUM(tbl_task1[S79])</f>
        <v>0</v>
      </c>
      <c r="IP29" s="124">
        <f>SUM(tbl_task1[S80])</f>
        <v>0</v>
      </c>
      <c r="IQ29" s="124">
        <f>SUM(tbl_task1[S81])</f>
        <v>0</v>
      </c>
      <c r="IR29" s="124">
        <f>SUM(tbl_task1[S82])</f>
        <v>0</v>
      </c>
      <c r="IS29" s="124">
        <f>SUM(tbl_task1[S83])</f>
        <v>0</v>
      </c>
      <c r="IT29" s="124">
        <f>SUM(tbl_task1[S84])</f>
        <v>0</v>
      </c>
      <c r="IU29" s="124">
        <f>SUM(tbl_task1[S85])</f>
        <v>0</v>
      </c>
      <c r="IV29" s="124">
        <f>SUM(tbl_task1[S86])</f>
        <v>0</v>
      </c>
      <c r="IW29" s="124">
        <f>SUM(tbl_task1[S87])</f>
        <v>0</v>
      </c>
      <c r="IX29" s="124">
        <f>SUM(tbl_task1[S88])</f>
        <v>0</v>
      </c>
      <c r="IY29" s="124">
        <f>SUM(tbl_task1[S89])</f>
        <v>0</v>
      </c>
      <c r="IZ29" s="124">
        <f>SUM(tbl_task1[S90])</f>
        <v>0</v>
      </c>
      <c r="JA29" s="124">
        <f>SUM(tbl_task1[S91])</f>
        <v>0</v>
      </c>
      <c r="JB29" s="124">
        <f>SUM(tbl_task1[S92])</f>
        <v>0</v>
      </c>
      <c r="JC29" s="124">
        <f>SUM(tbl_task1[S93])</f>
        <v>0</v>
      </c>
      <c r="JD29" s="124">
        <f>SUM(tbl_task1[S94])</f>
        <v>0</v>
      </c>
      <c r="JE29" s="124">
        <f>SUM(tbl_task1[S95])</f>
        <v>0</v>
      </c>
      <c r="JF29" s="124">
        <f>SUM(tbl_task1[S96])</f>
        <v>0</v>
      </c>
      <c r="JG29" s="124">
        <f>SUM(tbl_task1[S97])</f>
        <v>0</v>
      </c>
      <c r="JH29" s="124">
        <f>SUM(tbl_task1[S98])</f>
        <v>0</v>
      </c>
      <c r="JI29" s="124">
        <f>SUM(tbl_task1[S99])</f>
        <v>0</v>
      </c>
      <c r="JJ29" s="124">
        <f>SUM(tbl_task1[S100])</f>
        <v>0</v>
      </c>
      <c r="JK29" s="124">
        <f>SUM(tbl_task1[S101])</f>
        <v>0</v>
      </c>
      <c r="JL29" s="124">
        <f>SUM(tbl_task1[S102])</f>
        <v>0</v>
      </c>
      <c r="JM29" s="124">
        <f>SUM(tbl_task1[S103])</f>
        <v>0</v>
      </c>
      <c r="JN29" s="124">
        <f>SUM(tbl_task1[S104])</f>
        <v>0</v>
      </c>
      <c r="JO29" s="124">
        <f>SUM(tbl_task1[S105])</f>
        <v>0</v>
      </c>
      <c r="JP29" s="124">
        <f>SUM(tbl_task1[S106])</f>
        <v>0</v>
      </c>
      <c r="JQ29" s="124">
        <f>SUM(tbl_task1[S107])</f>
        <v>0</v>
      </c>
      <c r="JR29" s="124">
        <f>SUM(tbl_task1[S108])</f>
        <v>0</v>
      </c>
      <c r="JS29" s="124">
        <f>SUM(tbl_task1[S109])</f>
        <v>0</v>
      </c>
      <c r="JT29" s="124">
        <f>SUM(tbl_task1[S110])</f>
        <v>0</v>
      </c>
      <c r="JU29" s="124">
        <f>SUM(tbl_task1[S111])</f>
        <v>0</v>
      </c>
      <c r="JV29" s="124">
        <f>SUM(tbl_task1[S112])</f>
        <v>0</v>
      </c>
      <c r="JW29" s="124">
        <f>SUM(tbl_task1[S113])</f>
        <v>0</v>
      </c>
      <c r="JX29" s="124">
        <f>SUM(tbl_task1[S114])</f>
        <v>0</v>
      </c>
      <c r="JY29" s="124">
        <f>SUM(tbl_task1[S115])</f>
        <v>0</v>
      </c>
      <c r="JZ29" s="124">
        <f>SUM(tbl_task1[S116])</f>
        <v>0</v>
      </c>
      <c r="KA29" s="124">
        <f>SUM(tbl_task1[S117])</f>
        <v>0</v>
      </c>
      <c r="KB29" s="124">
        <f>SUM(tbl_task1[S118])</f>
        <v>0</v>
      </c>
      <c r="KC29" s="124">
        <f>SUM(tbl_task1[S119])</f>
        <v>0</v>
      </c>
      <c r="KD29" s="124">
        <f>SUM(tbl_task1[S120])</f>
        <v>0</v>
      </c>
      <c r="KE29" s="124">
        <f>SUM(tbl_task1[S121])</f>
        <v>0</v>
      </c>
      <c r="KF29" s="124">
        <f>SUM(tbl_task1[S122])</f>
        <v>0</v>
      </c>
      <c r="KG29" s="124">
        <f>SUM(tbl_task1[S123])</f>
        <v>0</v>
      </c>
      <c r="KH29" s="124">
        <f>SUM(tbl_task1[S124])</f>
        <v>0</v>
      </c>
      <c r="KI29" s="124">
        <f>SUM(tbl_task1[S125])</f>
        <v>0</v>
      </c>
      <c r="KJ29" s="124">
        <f>SUM(tbl_task1[S126])</f>
        <v>0</v>
      </c>
      <c r="KK29" s="124">
        <f>SUM(tbl_task1[S127])</f>
        <v>0</v>
      </c>
      <c r="KL29" s="124">
        <f>SUM(tbl_task1[S128])</f>
        <v>0</v>
      </c>
      <c r="KM29" s="124">
        <f>SUM(tbl_task1[S129])</f>
        <v>0</v>
      </c>
      <c r="KN29" s="124">
        <f>SUM(tbl_task1[S130])</f>
        <v>0</v>
      </c>
      <c r="KO29" s="124">
        <f>SUM(tbl_task1[S131])</f>
        <v>0</v>
      </c>
      <c r="KP29" s="124">
        <f>SUM(tbl_task1[S132])</f>
        <v>0</v>
      </c>
      <c r="KQ29" s="124">
        <f>SUM(tbl_task1[S133])</f>
        <v>0</v>
      </c>
      <c r="KR29" s="124">
        <f>SUM(tbl_task1[S134])</f>
        <v>0</v>
      </c>
      <c r="KS29" s="124">
        <f>SUM(tbl_task1[S135])</f>
        <v>0</v>
      </c>
      <c r="KT29" s="124">
        <f>SUM(tbl_task1[S136])</f>
        <v>0</v>
      </c>
      <c r="KU29" s="124">
        <f>SUM(tbl_task1[S137])</f>
        <v>0</v>
      </c>
      <c r="KV29" s="124">
        <f>SUM(tbl_task1[S138])</f>
        <v>0</v>
      </c>
      <c r="KW29" s="124">
        <f>SUM(tbl_task1[S139])</f>
        <v>0</v>
      </c>
      <c r="KX29" s="124">
        <f>SUM(tbl_task1[S140])</f>
        <v>0</v>
      </c>
      <c r="KY29" s="124">
        <f>SUM(tbl_task1[S141])</f>
        <v>0</v>
      </c>
      <c r="KZ29" s="124">
        <f>SUM(tbl_task1[S142])</f>
        <v>0</v>
      </c>
      <c r="LA29" s="124">
        <f>SUM(tbl_task1[S143])</f>
        <v>0</v>
      </c>
      <c r="LB29" s="124">
        <f>SUM(tbl_task1[S144])</f>
        <v>0</v>
      </c>
      <c r="LC29" s="124">
        <f>SUM(tbl_task1[S145])</f>
        <v>0</v>
      </c>
      <c r="LD29" s="124">
        <f>SUM(tbl_task1[S146])</f>
        <v>0</v>
      </c>
      <c r="LE29" s="124">
        <f>SUM(tbl_task1[S147])</f>
        <v>0</v>
      </c>
      <c r="LF29" s="124">
        <f>SUM(tbl_task1[S148])</f>
        <v>0</v>
      </c>
      <c r="LG29" s="124">
        <f>SUM(tbl_task1[S149])</f>
        <v>0</v>
      </c>
      <c r="LH29" s="124">
        <f>SUM(tbl_task1[S150])</f>
        <v>0</v>
      </c>
      <c r="LI29" s="124">
        <f>SUM(tbl_task1[S151])</f>
        <v>0</v>
      </c>
      <c r="LJ29" s="124">
        <f>SUM(tbl_task1[S152])</f>
        <v>0</v>
      </c>
      <c r="LK29" s="124">
        <f>SUM(tbl_task1[S153])</f>
        <v>0</v>
      </c>
      <c r="LL29" s="124">
        <f>SUM(tbl_task1[S154])</f>
        <v>0</v>
      </c>
      <c r="LM29" s="124">
        <f>SUM(tbl_task1[S155])</f>
        <v>0</v>
      </c>
      <c r="LN29" s="124">
        <f>SUM(tbl_task1[S156])</f>
        <v>0</v>
      </c>
      <c r="LO29" s="124">
        <f>SUM(tbl_task1[S157])</f>
        <v>0</v>
      </c>
      <c r="LP29" s="124">
        <f>SUM(tbl_task1[S158])</f>
        <v>0</v>
      </c>
      <c r="LQ29" s="124">
        <f>SUM(tbl_task1[S159])</f>
        <v>0</v>
      </c>
      <c r="LR29" s="124">
        <f>SUM(tbl_task1[S160])</f>
        <v>0</v>
      </c>
      <c r="LS29" s="124">
        <f>SUM(tbl_task1[S161])</f>
        <v>0</v>
      </c>
      <c r="LT29" s="124">
        <f>SUM(tbl_task1[S162])</f>
        <v>0</v>
      </c>
      <c r="LU29" s="124">
        <f>SUM(tbl_task1[S163])</f>
        <v>0</v>
      </c>
      <c r="LV29" s="124">
        <f>SUM(tbl_task1[S164])</f>
        <v>0</v>
      </c>
      <c r="LW29" s="124">
        <f>SUM(tbl_task1[S165])</f>
        <v>0</v>
      </c>
    </row>
    <row r="30" spans="1:335" s="39" customFormat="1" ht="9" customHeight="1" x14ac:dyDescent="0.25">
      <c r="A30" s="23"/>
      <c r="B30" s="35"/>
      <c r="C30" s="36"/>
      <c r="D30" s="100"/>
      <c r="E30" s="37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</row>
    <row r="31" spans="1:335" ht="10.5" customHeight="1" x14ac:dyDescent="0.25">
      <c r="A31" s="23"/>
      <c r="B31" s="35"/>
      <c r="C31" s="36"/>
      <c r="D31" s="100"/>
      <c r="E31" s="37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</row>
    <row r="32" spans="1:335" x14ac:dyDescent="0.25">
      <c r="A32" s="6" t="s">
        <v>410</v>
      </c>
    </row>
    <row r="33" spans="1:170" ht="42" x14ac:dyDescent="0.25">
      <c r="A33" s="7" t="s">
        <v>10</v>
      </c>
      <c r="B33" s="21" t="s">
        <v>286</v>
      </c>
      <c r="C33" s="21" t="s">
        <v>451</v>
      </c>
      <c r="D33" s="21" t="s">
        <v>409</v>
      </c>
      <c r="E33" s="43" t="s">
        <v>249</v>
      </c>
      <c r="F33" s="122" t="s">
        <v>22</v>
      </c>
      <c r="G33" s="122" t="s">
        <v>23</v>
      </c>
      <c r="H33" s="122" t="s">
        <v>24</v>
      </c>
      <c r="I33" s="122" t="s">
        <v>25</v>
      </c>
      <c r="J33" s="122" t="s">
        <v>26</v>
      </c>
      <c r="K33" s="122" t="s">
        <v>27</v>
      </c>
      <c r="L33" s="122" t="s">
        <v>28</v>
      </c>
      <c r="M33" s="122" t="s">
        <v>29</v>
      </c>
      <c r="N33" s="122" t="s">
        <v>30</v>
      </c>
      <c r="O33" s="122" t="s">
        <v>31</v>
      </c>
      <c r="P33" s="122" t="s">
        <v>32</v>
      </c>
      <c r="Q33" s="122" t="s">
        <v>33</v>
      </c>
      <c r="R33" s="122" t="s">
        <v>34</v>
      </c>
      <c r="S33" s="122" t="s">
        <v>35</v>
      </c>
      <c r="T33" s="122" t="s">
        <v>36</v>
      </c>
      <c r="U33" s="122" t="s">
        <v>37</v>
      </c>
      <c r="V33" s="122" t="s">
        <v>38</v>
      </c>
      <c r="W33" s="122" t="s">
        <v>39</v>
      </c>
      <c r="X33" s="122" t="s">
        <v>40</v>
      </c>
      <c r="Y33" s="122" t="s">
        <v>41</v>
      </c>
      <c r="Z33" s="122" t="s">
        <v>42</v>
      </c>
      <c r="AA33" s="122" t="s">
        <v>43</v>
      </c>
      <c r="AB33" s="122" t="s">
        <v>44</v>
      </c>
      <c r="AC33" s="122" t="s">
        <v>45</v>
      </c>
      <c r="AD33" s="122" t="s">
        <v>46</v>
      </c>
      <c r="AE33" s="122" t="s">
        <v>47</v>
      </c>
      <c r="AF33" s="122" t="s">
        <v>48</v>
      </c>
      <c r="AG33" s="122" t="s">
        <v>49</v>
      </c>
      <c r="AH33" s="122" t="s">
        <v>50</v>
      </c>
      <c r="AI33" s="122" t="s">
        <v>51</v>
      </c>
      <c r="AJ33" s="122" t="s">
        <v>52</v>
      </c>
      <c r="AK33" s="122" t="s">
        <v>53</v>
      </c>
      <c r="AL33" s="122" t="s">
        <v>54</v>
      </c>
      <c r="AM33" s="122" t="s">
        <v>55</v>
      </c>
      <c r="AN33" s="122" t="s">
        <v>56</v>
      </c>
      <c r="AO33" s="122" t="s">
        <v>57</v>
      </c>
      <c r="AP33" s="122" t="s">
        <v>58</v>
      </c>
      <c r="AQ33" s="122" t="s">
        <v>59</v>
      </c>
      <c r="AR33" s="122" t="s">
        <v>60</v>
      </c>
      <c r="AS33" s="122" t="s">
        <v>61</v>
      </c>
      <c r="AT33" s="122" t="s">
        <v>62</v>
      </c>
      <c r="AU33" s="122" t="s">
        <v>63</v>
      </c>
      <c r="AV33" s="122" t="s">
        <v>64</v>
      </c>
      <c r="AW33" s="122" t="s">
        <v>65</v>
      </c>
      <c r="AX33" s="122" t="s">
        <v>66</v>
      </c>
      <c r="AY33" s="122" t="s">
        <v>67</v>
      </c>
      <c r="AZ33" s="122" t="s">
        <v>68</v>
      </c>
      <c r="BA33" s="122" t="s">
        <v>69</v>
      </c>
      <c r="BB33" s="122" t="s">
        <v>70</v>
      </c>
      <c r="BC33" s="122" t="s">
        <v>71</v>
      </c>
      <c r="BD33" s="122" t="s">
        <v>72</v>
      </c>
      <c r="BE33" s="122" t="s">
        <v>73</v>
      </c>
      <c r="BF33" s="122" t="s">
        <v>74</v>
      </c>
      <c r="BG33" s="122" t="s">
        <v>75</v>
      </c>
      <c r="BH33" s="122" t="s">
        <v>76</v>
      </c>
      <c r="BI33" s="122" t="s">
        <v>77</v>
      </c>
      <c r="BJ33" s="122" t="s">
        <v>78</v>
      </c>
      <c r="BK33" s="122" t="s">
        <v>79</v>
      </c>
      <c r="BL33" s="122" t="s">
        <v>80</v>
      </c>
      <c r="BM33" s="122" t="s">
        <v>81</v>
      </c>
      <c r="BN33" s="122" t="s">
        <v>82</v>
      </c>
      <c r="BO33" s="122" t="s">
        <v>83</v>
      </c>
      <c r="BP33" s="122" t="s">
        <v>84</v>
      </c>
      <c r="BQ33" s="122" t="s">
        <v>85</v>
      </c>
      <c r="BR33" s="122" t="s">
        <v>86</v>
      </c>
      <c r="BS33" s="122" t="s">
        <v>87</v>
      </c>
      <c r="BT33" s="122" t="s">
        <v>88</v>
      </c>
      <c r="BU33" s="122" t="s">
        <v>89</v>
      </c>
      <c r="BV33" s="122" t="s">
        <v>90</v>
      </c>
      <c r="BW33" s="122" t="s">
        <v>91</v>
      </c>
      <c r="BX33" s="122" t="s">
        <v>92</v>
      </c>
      <c r="BY33" s="122" t="s">
        <v>93</v>
      </c>
      <c r="BZ33" s="122" t="s">
        <v>94</v>
      </c>
      <c r="CA33" s="122" t="s">
        <v>95</v>
      </c>
      <c r="CB33" s="122" t="s">
        <v>96</v>
      </c>
      <c r="CC33" s="122" t="s">
        <v>97</v>
      </c>
      <c r="CD33" s="122" t="s">
        <v>98</v>
      </c>
      <c r="CE33" s="122" t="s">
        <v>99</v>
      </c>
      <c r="CF33" s="122" t="s">
        <v>100</v>
      </c>
      <c r="CG33" s="122" t="s">
        <v>101</v>
      </c>
      <c r="CH33" s="122" t="s">
        <v>102</v>
      </c>
      <c r="CI33" s="122" t="s">
        <v>103</v>
      </c>
      <c r="CJ33" s="122" t="s">
        <v>104</v>
      </c>
      <c r="CK33" s="122" t="s">
        <v>105</v>
      </c>
      <c r="CL33" s="122" t="s">
        <v>106</v>
      </c>
      <c r="CM33" s="122" t="s">
        <v>107</v>
      </c>
      <c r="CN33" s="122" t="s">
        <v>108</v>
      </c>
      <c r="CO33" s="122" t="s">
        <v>109</v>
      </c>
      <c r="CP33" s="122" t="s">
        <v>110</v>
      </c>
      <c r="CQ33" s="122" t="s">
        <v>111</v>
      </c>
      <c r="CR33" s="122" t="s">
        <v>112</v>
      </c>
      <c r="CS33" s="122" t="s">
        <v>113</v>
      </c>
      <c r="CT33" s="122" t="s">
        <v>114</v>
      </c>
      <c r="CU33" s="122" t="s">
        <v>115</v>
      </c>
      <c r="CV33" s="122" t="s">
        <v>116</v>
      </c>
      <c r="CW33" s="122" t="s">
        <v>117</v>
      </c>
      <c r="CX33" s="122" t="s">
        <v>118</v>
      </c>
      <c r="CY33" s="122" t="s">
        <v>119</v>
      </c>
      <c r="CZ33" s="122" t="s">
        <v>120</v>
      </c>
      <c r="DA33" s="122" t="s">
        <v>121</v>
      </c>
      <c r="DB33" s="122" t="s">
        <v>122</v>
      </c>
      <c r="DC33" s="122" t="s">
        <v>123</v>
      </c>
      <c r="DD33" s="122" t="s">
        <v>124</v>
      </c>
      <c r="DE33" s="122" t="s">
        <v>125</v>
      </c>
      <c r="DF33" s="122" t="s">
        <v>126</v>
      </c>
      <c r="DG33" s="122" t="s">
        <v>127</v>
      </c>
      <c r="DH33" s="122" t="s">
        <v>128</v>
      </c>
      <c r="DI33" s="122" t="s">
        <v>129</v>
      </c>
      <c r="DJ33" s="122" t="s">
        <v>130</v>
      </c>
      <c r="DK33" s="122" t="s">
        <v>131</v>
      </c>
      <c r="DL33" s="122" t="s">
        <v>132</v>
      </c>
      <c r="DM33" s="122" t="s">
        <v>133</v>
      </c>
      <c r="DN33" s="122" t="s">
        <v>134</v>
      </c>
      <c r="DO33" s="122" t="s">
        <v>135</v>
      </c>
      <c r="DP33" s="122" t="s">
        <v>136</v>
      </c>
      <c r="DQ33" s="122" t="s">
        <v>359</v>
      </c>
      <c r="DR33" s="122" t="s">
        <v>360</v>
      </c>
      <c r="DS33" s="122" t="s">
        <v>361</v>
      </c>
      <c r="DT33" s="122" t="s">
        <v>362</v>
      </c>
      <c r="DU33" s="122" t="s">
        <v>363</v>
      </c>
      <c r="DV33" s="122" t="s">
        <v>364</v>
      </c>
      <c r="DW33" s="122" t="s">
        <v>365</v>
      </c>
      <c r="DX33" s="122" t="s">
        <v>366</v>
      </c>
      <c r="DY33" s="122" t="s">
        <v>367</v>
      </c>
      <c r="DZ33" s="122" t="s">
        <v>368</v>
      </c>
      <c r="EA33" s="122" t="s">
        <v>369</v>
      </c>
      <c r="EB33" s="122" t="s">
        <v>370</v>
      </c>
      <c r="EC33" s="122" t="s">
        <v>371</v>
      </c>
      <c r="ED33" s="122" t="s">
        <v>372</v>
      </c>
      <c r="EE33" s="122" t="s">
        <v>373</v>
      </c>
      <c r="EF33" s="122" t="s">
        <v>374</v>
      </c>
      <c r="EG33" s="122" t="s">
        <v>375</v>
      </c>
      <c r="EH33" s="122" t="s">
        <v>376</v>
      </c>
      <c r="EI33" s="122" t="s">
        <v>377</v>
      </c>
      <c r="EJ33" s="122" t="s">
        <v>378</v>
      </c>
      <c r="EK33" s="122" t="s">
        <v>379</v>
      </c>
      <c r="EL33" s="122" t="s">
        <v>380</v>
      </c>
      <c r="EM33" s="122" t="s">
        <v>381</v>
      </c>
      <c r="EN33" s="122" t="s">
        <v>382</v>
      </c>
      <c r="EO33" s="122" t="s">
        <v>383</v>
      </c>
      <c r="EP33" s="122" t="s">
        <v>384</v>
      </c>
      <c r="EQ33" s="122" t="s">
        <v>385</v>
      </c>
      <c r="ER33" s="122" t="s">
        <v>386</v>
      </c>
      <c r="ES33" s="122" t="s">
        <v>387</v>
      </c>
      <c r="ET33" s="122" t="s">
        <v>388</v>
      </c>
      <c r="EU33" s="122" t="s">
        <v>389</v>
      </c>
      <c r="EV33" s="122" t="s">
        <v>390</v>
      </c>
      <c r="EW33" s="122" t="s">
        <v>391</v>
      </c>
      <c r="EX33" s="122" t="s">
        <v>392</v>
      </c>
      <c r="EY33" s="122" t="s">
        <v>393</v>
      </c>
      <c r="EZ33" s="122" t="s">
        <v>394</v>
      </c>
      <c r="FA33" s="122" t="s">
        <v>395</v>
      </c>
      <c r="FB33" s="122" t="s">
        <v>396</v>
      </c>
      <c r="FC33" s="122" t="s">
        <v>397</v>
      </c>
      <c r="FD33" s="122" t="s">
        <v>398</v>
      </c>
      <c r="FE33" s="122" t="s">
        <v>399</v>
      </c>
      <c r="FF33" s="122" t="s">
        <v>400</v>
      </c>
      <c r="FG33" s="122" t="s">
        <v>401</v>
      </c>
      <c r="FH33" s="122" t="s">
        <v>402</v>
      </c>
      <c r="FI33" s="122" t="s">
        <v>403</v>
      </c>
      <c r="FJ33" s="122" t="s">
        <v>404</v>
      </c>
      <c r="FK33" s="122" t="s">
        <v>405</v>
      </c>
      <c r="FL33" s="122" t="s">
        <v>406</v>
      </c>
      <c r="FM33" s="122" t="s">
        <v>407</v>
      </c>
      <c r="FN33" s="122" t="s">
        <v>408</v>
      </c>
    </row>
    <row r="34" spans="1:170" ht="84" x14ac:dyDescent="0.25">
      <c r="A34" s="135">
        <v>1</v>
      </c>
      <c r="B34" s="5" t="s">
        <v>617</v>
      </c>
      <c r="C34" s="136">
        <f>COUNTIFS(tbl_task1[SubPLOs],"&gt;=1",tbl_task1[SubPLOs],"&lt;2")</f>
        <v>0</v>
      </c>
      <c r="D34" s="136">
        <f>SUMIFS(tbl_task1[คะแนนเต็ม],tbl_task1[SubPLOs],"&gt;=1",tbl_task1[SubPLOs],"&lt;2")</f>
        <v>0</v>
      </c>
      <c r="E34" s="137">
        <f>SUMIFS(tbl_task1[%],tbl_task1[SubPLOs],"&gt;=1",tbl_task1[SubPLOs],"&lt;2")</f>
        <v>0</v>
      </c>
      <c r="F34" s="138">
        <f>SUMIFS(tbl_task1[S1],tbl_task1[[SubPLOs]:[SubPLOs]],"&gt;=1",tbl_task1[[SubPLOs]:[SubPLOs]],"&lt;2")</f>
        <v>0</v>
      </c>
      <c r="G34" s="138">
        <f>SUMIFS(tbl_task1[S2],tbl_task1[[SubPLOs]:[SubPLOs]],"&gt;=1",tbl_task1[[SubPLOs]:[SubPLOs]],"&lt;2")</f>
        <v>0</v>
      </c>
      <c r="H34" s="138">
        <f>SUMIFS(tbl_task1[S3],tbl_task1[[SubPLOs]:[SubPLOs]],"&gt;=1",tbl_task1[[SubPLOs]:[SubPLOs]],"&lt;2")</f>
        <v>0</v>
      </c>
      <c r="I34" s="138">
        <f>SUMIFS(tbl_task1[S4],tbl_task1[[SubPLOs]:[SubPLOs]],"&gt;=1",tbl_task1[[SubPLOs]:[SubPLOs]],"&lt;2")</f>
        <v>0</v>
      </c>
      <c r="J34" s="138">
        <f>SUMIFS(tbl_task1[S5],tbl_task1[[SubPLOs]:[SubPLOs]],"&gt;=1",tbl_task1[[SubPLOs]:[SubPLOs]],"&lt;2")</f>
        <v>0</v>
      </c>
      <c r="K34" s="138">
        <f>SUMIFS(tbl_task1[S6],tbl_task1[[SubPLOs]:[SubPLOs]],"&gt;=1",tbl_task1[[SubPLOs]:[SubPLOs]],"&lt;2")</f>
        <v>0</v>
      </c>
      <c r="L34" s="138">
        <f>SUMIFS(tbl_task1[S7],tbl_task1[[SubPLOs]:[SubPLOs]],"&gt;=1",tbl_task1[[SubPLOs]:[SubPLOs]],"&lt;2")</f>
        <v>0</v>
      </c>
      <c r="M34" s="138">
        <f>SUMIFS(tbl_task1[S8],tbl_task1[[SubPLOs]:[SubPLOs]],"&gt;=1",tbl_task1[[SubPLOs]:[SubPLOs]],"&lt;2")</f>
        <v>0</v>
      </c>
      <c r="N34" s="138">
        <f>SUMIFS(tbl_task1[S9],tbl_task1[[SubPLOs]:[SubPLOs]],"&gt;=1",tbl_task1[[SubPLOs]:[SubPLOs]],"&lt;2")</f>
        <v>0</v>
      </c>
      <c r="O34" s="138">
        <f>SUMIFS(tbl_task1[S10],tbl_task1[[SubPLOs]:[SubPLOs]],"&gt;=1",tbl_task1[[SubPLOs]:[SubPLOs]],"&lt;2")</f>
        <v>0</v>
      </c>
      <c r="P34" s="138">
        <f>SUMIFS(tbl_task1[S11],tbl_task1[[SubPLOs]:[SubPLOs]],"&gt;=1",tbl_task1[[SubPLOs]:[SubPLOs]],"&lt;2")</f>
        <v>0</v>
      </c>
      <c r="Q34" s="138">
        <f>SUMIFS(tbl_task1[S12],tbl_task1[[SubPLOs]:[SubPLOs]],"&gt;=1",tbl_task1[[SubPLOs]:[SubPLOs]],"&lt;2")</f>
        <v>0</v>
      </c>
      <c r="R34" s="138">
        <f>SUMIFS(tbl_task1[S13],tbl_task1[[SubPLOs]:[SubPLOs]],"&gt;=1",tbl_task1[[SubPLOs]:[SubPLOs]],"&lt;2")</f>
        <v>0</v>
      </c>
      <c r="S34" s="138">
        <f>SUMIFS(tbl_task1[S14],tbl_task1[[SubPLOs]:[SubPLOs]],"&gt;=1",tbl_task1[[SubPLOs]:[SubPLOs]],"&lt;2")</f>
        <v>0</v>
      </c>
      <c r="T34" s="138">
        <f>SUMIFS(tbl_task1[S15],tbl_task1[[SubPLOs]:[SubPLOs]],"&gt;=1",tbl_task1[[SubPLOs]:[SubPLOs]],"&lt;2")</f>
        <v>0</v>
      </c>
      <c r="U34" s="138">
        <f>SUMIFS(tbl_task1[S16],tbl_task1[[SubPLOs]:[SubPLOs]],"&gt;=1",tbl_task1[[SubPLOs]:[SubPLOs]],"&lt;2")</f>
        <v>0</v>
      </c>
      <c r="V34" s="138">
        <f>SUMIFS(tbl_task1[S17],tbl_task1[[SubPLOs]:[SubPLOs]],"&gt;=1",tbl_task1[[SubPLOs]:[SubPLOs]],"&lt;2")</f>
        <v>0</v>
      </c>
      <c r="W34" s="138">
        <f>SUMIFS(tbl_task1[S18],tbl_task1[[SubPLOs]:[SubPLOs]],"&gt;=1",tbl_task1[[SubPLOs]:[SubPLOs]],"&lt;2")</f>
        <v>0</v>
      </c>
      <c r="X34" s="138">
        <f>SUMIFS(tbl_task1[S19],tbl_task1[[SubPLOs]:[SubPLOs]],"&gt;=1",tbl_task1[[SubPLOs]:[SubPLOs]],"&lt;2")</f>
        <v>0</v>
      </c>
      <c r="Y34" s="138">
        <f>SUMIFS(tbl_task1[S20],tbl_task1[[SubPLOs]:[SubPLOs]],"&gt;=1",tbl_task1[[SubPLOs]:[SubPLOs]],"&lt;2")</f>
        <v>0</v>
      </c>
      <c r="Z34" s="138">
        <f>SUMIFS(tbl_task1[S21],tbl_task1[[SubPLOs]:[SubPLOs]],"&gt;=1",tbl_task1[[SubPLOs]:[SubPLOs]],"&lt;2")</f>
        <v>0</v>
      </c>
      <c r="AA34" s="138">
        <f>SUMIFS(tbl_task1[S22],tbl_task1[[SubPLOs]:[SubPLOs]],"&gt;=1",tbl_task1[[SubPLOs]:[SubPLOs]],"&lt;2")</f>
        <v>0</v>
      </c>
      <c r="AB34" s="138">
        <f>SUMIFS(tbl_task1[S23],tbl_task1[[SubPLOs]:[SubPLOs]],"&gt;=1",tbl_task1[[SubPLOs]:[SubPLOs]],"&lt;2")</f>
        <v>0</v>
      </c>
      <c r="AC34" s="138">
        <f>SUMIFS(tbl_task1[S24],tbl_task1[[SubPLOs]:[SubPLOs]],"&gt;=1",tbl_task1[[SubPLOs]:[SubPLOs]],"&lt;2")</f>
        <v>0</v>
      </c>
      <c r="AD34" s="138">
        <f>SUMIFS(tbl_task1[S25],tbl_task1[[SubPLOs]:[SubPLOs]],"&gt;=1",tbl_task1[[SubPLOs]:[SubPLOs]],"&lt;2")</f>
        <v>0</v>
      </c>
      <c r="AE34" s="138">
        <f>SUMIFS(tbl_task1[S26],tbl_task1[[SubPLOs]:[SubPLOs]],"&gt;=1",tbl_task1[[SubPLOs]:[SubPLOs]],"&lt;2")</f>
        <v>0</v>
      </c>
      <c r="AF34" s="138">
        <f>SUMIFS(tbl_task1[S27],tbl_task1[[SubPLOs]:[SubPLOs]],"&gt;=1",tbl_task1[[SubPLOs]:[SubPLOs]],"&lt;2")</f>
        <v>0</v>
      </c>
      <c r="AG34" s="138">
        <f>SUMIFS(tbl_task1[S28],tbl_task1[[SubPLOs]:[SubPLOs]],"&gt;=1",tbl_task1[[SubPLOs]:[SubPLOs]],"&lt;2")</f>
        <v>0</v>
      </c>
      <c r="AH34" s="138">
        <f>SUMIFS(tbl_task1[S29],tbl_task1[[SubPLOs]:[SubPLOs]],"&gt;=1",tbl_task1[[SubPLOs]:[SubPLOs]],"&lt;2")</f>
        <v>0</v>
      </c>
      <c r="AI34" s="138">
        <f>SUMIFS(tbl_task1[S30],tbl_task1[[SubPLOs]:[SubPLOs]],"&gt;=1",tbl_task1[[SubPLOs]:[SubPLOs]],"&lt;2")</f>
        <v>0</v>
      </c>
      <c r="AJ34" s="138">
        <f>SUMIFS(tbl_task1[S31],tbl_task1[[SubPLOs]:[SubPLOs]],"&gt;=1",tbl_task1[[SubPLOs]:[SubPLOs]],"&lt;2")</f>
        <v>0</v>
      </c>
      <c r="AK34" s="138">
        <f>SUMIFS(tbl_task1[S32],tbl_task1[[SubPLOs]:[SubPLOs]],"&gt;=1",tbl_task1[[SubPLOs]:[SubPLOs]],"&lt;2")</f>
        <v>0</v>
      </c>
      <c r="AL34" s="138">
        <f>SUMIFS(tbl_task1[S33],tbl_task1[[SubPLOs]:[SubPLOs]],"&gt;=1",tbl_task1[[SubPLOs]:[SubPLOs]],"&lt;2")</f>
        <v>0</v>
      </c>
      <c r="AM34" s="138">
        <f>SUMIFS(tbl_task1[S34],tbl_task1[[SubPLOs]:[SubPLOs]],"&gt;=1",tbl_task1[[SubPLOs]:[SubPLOs]],"&lt;2")</f>
        <v>0</v>
      </c>
      <c r="AN34" s="138">
        <f>SUMIFS(tbl_task1[S35],tbl_task1[[SubPLOs]:[SubPLOs]],"&gt;=1",tbl_task1[[SubPLOs]:[SubPLOs]],"&lt;2")</f>
        <v>0</v>
      </c>
      <c r="AO34" s="138">
        <f>SUMIFS(tbl_task1[S36],tbl_task1[[SubPLOs]:[SubPLOs]],"&gt;=1",tbl_task1[[SubPLOs]:[SubPLOs]],"&lt;2")</f>
        <v>0</v>
      </c>
      <c r="AP34" s="138">
        <f>SUMIFS(tbl_task1[S37],tbl_task1[[SubPLOs]:[SubPLOs]],"&gt;=1",tbl_task1[[SubPLOs]:[SubPLOs]],"&lt;2")</f>
        <v>0</v>
      </c>
      <c r="AQ34" s="138">
        <f>SUMIFS(tbl_task1[S38],tbl_task1[[SubPLOs]:[SubPLOs]],"&gt;=1",tbl_task1[[SubPLOs]:[SubPLOs]],"&lt;2")</f>
        <v>0</v>
      </c>
      <c r="AR34" s="138">
        <f>SUMIFS(tbl_task1[S39],tbl_task1[[SubPLOs]:[SubPLOs]],"&gt;=1",tbl_task1[[SubPLOs]:[SubPLOs]],"&lt;2")</f>
        <v>0</v>
      </c>
      <c r="AS34" s="138">
        <f>SUMIFS(tbl_task1[S40],tbl_task1[[SubPLOs]:[SubPLOs]],"&gt;=1",tbl_task1[[SubPLOs]:[SubPLOs]],"&lt;2")</f>
        <v>0</v>
      </c>
      <c r="AT34" s="138">
        <f>SUMIFS(tbl_task1[S41],tbl_task1[[SubPLOs]:[SubPLOs]],"&gt;=1",tbl_task1[[SubPLOs]:[SubPLOs]],"&lt;2")</f>
        <v>0</v>
      </c>
      <c r="AU34" s="138">
        <f>SUMIFS(tbl_task1[S42],tbl_task1[[SubPLOs]:[SubPLOs]],"&gt;=1",tbl_task1[[SubPLOs]:[SubPLOs]],"&lt;2")</f>
        <v>0</v>
      </c>
      <c r="AV34" s="138">
        <f>SUMIFS(tbl_task1[S43],tbl_task1[[SubPLOs]:[SubPLOs]],"&gt;=1",tbl_task1[[SubPLOs]:[SubPLOs]],"&lt;2")</f>
        <v>0</v>
      </c>
      <c r="AW34" s="138">
        <f>SUMIFS(tbl_task1[S44],tbl_task1[[SubPLOs]:[SubPLOs]],"&gt;=1",tbl_task1[[SubPLOs]:[SubPLOs]],"&lt;2")</f>
        <v>0</v>
      </c>
      <c r="AX34" s="138">
        <f>SUMIFS(tbl_task1[S45],tbl_task1[[SubPLOs]:[SubPLOs]],"&gt;=1",tbl_task1[[SubPLOs]:[SubPLOs]],"&lt;2")</f>
        <v>0</v>
      </c>
      <c r="AY34" s="138">
        <f>SUMIFS(tbl_task1[S46],tbl_task1[[SubPLOs]:[SubPLOs]],"&gt;=1",tbl_task1[[SubPLOs]:[SubPLOs]],"&lt;2")</f>
        <v>0</v>
      </c>
      <c r="AZ34" s="138">
        <f>SUMIFS(tbl_task1[S47],tbl_task1[[SubPLOs]:[SubPLOs]],"&gt;=1",tbl_task1[[SubPLOs]:[SubPLOs]],"&lt;2")</f>
        <v>0</v>
      </c>
      <c r="BA34" s="138">
        <f>SUMIFS(tbl_task1[S48],tbl_task1[[SubPLOs]:[SubPLOs]],"&gt;=1",tbl_task1[[SubPLOs]:[SubPLOs]],"&lt;2")</f>
        <v>0</v>
      </c>
      <c r="BB34" s="138">
        <f>SUMIFS(tbl_task1[S49],tbl_task1[[SubPLOs]:[SubPLOs]],"&gt;=1",tbl_task1[[SubPLOs]:[SubPLOs]],"&lt;2")</f>
        <v>0</v>
      </c>
      <c r="BC34" s="138">
        <f>SUMIFS(tbl_task1[S50],tbl_task1[[SubPLOs]:[SubPLOs]],"&gt;=1",tbl_task1[[SubPLOs]:[SubPLOs]],"&lt;2")</f>
        <v>0</v>
      </c>
      <c r="BD34" s="138">
        <f>SUMIFS(tbl_task1[S51],tbl_task1[[SubPLOs]:[SubPLOs]],"&gt;=1",tbl_task1[[SubPLOs]:[SubPLOs]],"&lt;2")</f>
        <v>0</v>
      </c>
      <c r="BE34" s="138">
        <f>SUMIFS(tbl_task1[S52],tbl_task1[[SubPLOs]:[SubPLOs]],"&gt;=1",tbl_task1[[SubPLOs]:[SubPLOs]],"&lt;2")</f>
        <v>0</v>
      </c>
      <c r="BF34" s="138">
        <f>SUMIFS(tbl_task1[S53],tbl_task1[[SubPLOs]:[SubPLOs]],"&gt;=1",tbl_task1[[SubPLOs]:[SubPLOs]],"&lt;2")</f>
        <v>0</v>
      </c>
      <c r="BG34" s="138">
        <f>SUMIFS(tbl_task1[S54],tbl_task1[[SubPLOs]:[SubPLOs]],"&gt;=1",tbl_task1[[SubPLOs]:[SubPLOs]],"&lt;2")</f>
        <v>0</v>
      </c>
      <c r="BH34" s="138">
        <f>SUMIFS(tbl_task1[S55],tbl_task1[[SubPLOs]:[SubPLOs]],"&gt;=1",tbl_task1[[SubPLOs]:[SubPLOs]],"&lt;2")</f>
        <v>0</v>
      </c>
      <c r="BI34" s="138">
        <f>SUMIFS(tbl_task1[S56],tbl_task1[[SubPLOs]:[SubPLOs]],"&gt;=1",tbl_task1[[SubPLOs]:[SubPLOs]],"&lt;2")</f>
        <v>0</v>
      </c>
      <c r="BJ34" s="138">
        <f>SUMIFS(tbl_task1[S57],tbl_task1[[SubPLOs]:[SubPLOs]],"&gt;=1",tbl_task1[[SubPLOs]:[SubPLOs]],"&lt;2")</f>
        <v>0</v>
      </c>
      <c r="BK34" s="138">
        <f>SUMIFS(tbl_task1[S58],tbl_task1[[SubPLOs]:[SubPLOs]],"&gt;=1",tbl_task1[[SubPLOs]:[SubPLOs]],"&lt;2")</f>
        <v>0</v>
      </c>
      <c r="BL34" s="138">
        <f>SUMIFS(tbl_task1[S59],tbl_task1[[SubPLOs]:[SubPLOs]],"&gt;=1",tbl_task1[[SubPLOs]:[SubPLOs]],"&lt;2")</f>
        <v>0</v>
      </c>
      <c r="BM34" s="138">
        <f>SUMIFS(tbl_task1[S60],tbl_task1[[SubPLOs]:[SubPLOs]],"&gt;=1",tbl_task1[[SubPLOs]:[SubPLOs]],"&lt;2")</f>
        <v>0</v>
      </c>
      <c r="BN34" s="138">
        <f>SUMIFS(tbl_task1[S61],tbl_task1[[SubPLOs]:[SubPLOs]],"&gt;=1",tbl_task1[[SubPLOs]:[SubPLOs]],"&lt;2")</f>
        <v>0</v>
      </c>
      <c r="BO34" s="138">
        <f>SUMIFS(tbl_task1[S62],tbl_task1[[SubPLOs]:[SubPLOs]],"&gt;=1",tbl_task1[[SubPLOs]:[SubPLOs]],"&lt;2")</f>
        <v>0</v>
      </c>
      <c r="BP34" s="138">
        <f>SUMIFS(tbl_task1[S63],tbl_task1[[SubPLOs]:[SubPLOs]],"&gt;=1",tbl_task1[[SubPLOs]:[SubPLOs]],"&lt;2")</f>
        <v>0</v>
      </c>
      <c r="BQ34" s="138">
        <f>SUMIFS(tbl_task1[S64],tbl_task1[[SubPLOs]:[SubPLOs]],"&gt;=1",tbl_task1[[SubPLOs]:[SubPLOs]],"&lt;2")</f>
        <v>0</v>
      </c>
      <c r="BR34" s="138">
        <f>SUMIFS(tbl_task1[S65],tbl_task1[[SubPLOs]:[SubPLOs]],"&gt;=1",tbl_task1[[SubPLOs]:[SubPLOs]],"&lt;2")</f>
        <v>0</v>
      </c>
      <c r="BS34" s="138">
        <f>SUMIFS(tbl_task1[S66],tbl_task1[[SubPLOs]:[SubPLOs]],"&gt;=1",tbl_task1[[SubPLOs]:[SubPLOs]],"&lt;2")</f>
        <v>0</v>
      </c>
      <c r="BT34" s="138">
        <f>SUMIFS(tbl_task1[S67],tbl_task1[[SubPLOs]:[SubPLOs]],"&gt;=1",tbl_task1[[SubPLOs]:[SubPLOs]],"&lt;2")</f>
        <v>0</v>
      </c>
      <c r="BU34" s="138">
        <f>SUMIFS(tbl_task1[S68],tbl_task1[[SubPLOs]:[SubPLOs]],"&gt;=1",tbl_task1[[SubPLOs]:[SubPLOs]],"&lt;2")</f>
        <v>0</v>
      </c>
      <c r="BV34" s="138">
        <f>SUMIFS(tbl_task1[S69],tbl_task1[[SubPLOs]:[SubPLOs]],"&gt;=1",tbl_task1[[SubPLOs]:[SubPLOs]],"&lt;2")</f>
        <v>0</v>
      </c>
      <c r="BW34" s="138">
        <f>SUMIFS(tbl_task1[S70],tbl_task1[[SubPLOs]:[SubPLOs]],"&gt;=1",tbl_task1[[SubPLOs]:[SubPLOs]],"&lt;2")</f>
        <v>0</v>
      </c>
      <c r="BX34" s="138">
        <f>SUMIFS(tbl_task1[S71],tbl_task1[[SubPLOs]:[SubPLOs]],"&gt;=1",tbl_task1[[SubPLOs]:[SubPLOs]],"&lt;2")</f>
        <v>0</v>
      </c>
      <c r="BY34" s="138">
        <f>SUMIFS(tbl_task1[S72],tbl_task1[[SubPLOs]:[SubPLOs]],"&gt;=1",tbl_task1[[SubPLOs]:[SubPLOs]],"&lt;2")</f>
        <v>0</v>
      </c>
      <c r="BZ34" s="138">
        <f>SUMIFS(tbl_task1[S73],tbl_task1[[SubPLOs]:[SubPLOs]],"&gt;=1",tbl_task1[[SubPLOs]:[SubPLOs]],"&lt;2")</f>
        <v>0</v>
      </c>
      <c r="CA34" s="138">
        <f>SUMIFS(tbl_task1[S74],tbl_task1[[SubPLOs]:[SubPLOs]],"&gt;=1",tbl_task1[[SubPLOs]:[SubPLOs]],"&lt;2")</f>
        <v>0</v>
      </c>
      <c r="CB34" s="138">
        <f>SUMIFS(tbl_task1[S75],tbl_task1[[SubPLOs]:[SubPLOs]],"&gt;=1",tbl_task1[[SubPLOs]:[SubPLOs]],"&lt;2")</f>
        <v>0</v>
      </c>
      <c r="CC34" s="138">
        <f>SUMIFS(tbl_task1[S76],tbl_task1[[SubPLOs]:[SubPLOs]],"&gt;=1",tbl_task1[[SubPLOs]:[SubPLOs]],"&lt;2")</f>
        <v>0</v>
      </c>
      <c r="CD34" s="138">
        <f>SUMIFS(tbl_task1[S77],tbl_task1[[SubPLOs]:[SubPLOs]],"&gt;=1",tbl_task1[[SubPLOs]:[SubPLOs]],"&lt;2")</f>
        <v>0</v>
      </c>
      <c r="CE34" s="138">
        <f>SUMIFS(tbl_task1[S78],tbl_task1[[SubPLOs]:[SubPLOs]],"&gt;=1",tbl_task1[[SubPLOs]:[SubPLOs]],"&lt;2")</f>
        <v>0</v>
      </c>
      <c r="CF34" s="138">
        <f>SUMIFS(tbl_task1[S79],tbl_task1[[SubPLOs]:[SubPLOs]],"&gt;=1",tbl_task1[[SubPLOs]:[SubPLOs]],"&lt;2")</f>
        <v>0</v>
      </c>
      <c r="CG34" s="138">
        <f>SUMIFS(tbl_task1[S80],tbl_task1[[SubPLOs]:[SubPLOs]],"&gt;=1",tbl_task1[[SubPLOs]:[SubPLOs]],"&lt;2")</f>
        <v>0</v>
      </c>
      <c r="CH34" s="138">
        <f>SUMIFS(tbl_task1[S81],tbl_task1[[SubPLOs]:[SubPLOs]],"&gt;=1",tbl_task1[[SubPLOs]:[SubPLOs]],"&lt;2")</f>
        <v>0</v>
      </c>
      <c r="CI34" s="138">
        <f>SUMIFS(tbl_task1[S82],tbl_task1[[SubPLOs]:[SubPLOs]],"&gt;=1",tbl_task1[[SubPLOs]:[SubPLOs]],"&lt;2")</f>
        <v>0</v>
      </c>
      <c r="CJ34" s="138">
        <f>SUMIFS(tbl_task1[S83],tbl_task1[[SubPLOs]:[SubPLOs]],"&gt;=1",tbl_task1[[SubPLOs]:[SubPLOs]],"&lt;2")</f>
        <v>0</v>
      </c>
      <c r="CK34" s="138">
        <f>SUMIFS(tbl_task1[S84],tbl_task1[[SubPLOs]:[SubPLOs]],"&gt;=1",tbl_task1[[SubPLOs]:[SubPLOs]],"&lt;2")</f>
        <v>0</v>
      </c>
      <c r="CL34" s="138">
        <f>SUMIFS(tbl_task1[S85],tbl_task1[[SubPLOs]:[SubPLOs]],"&gt;=1",tbl_task1[[SubPLOs]:[SubPLOs]],"&lt;2")</f>
        <v>0</v>
      </c>
      <c r="CM34" s="138">
        <f>SUMIFS(tbl_task1[S86],tbl_task1[[SubPLOs]:[SubPLOs]],"&gt;=1",tbl_task1[[SubPLOs]:[SubPLOs]],"&lt;2")</f>
        <v>0</v>
      </c>
      <c r="CN34" s="138">
        <f>SUMIFS(tbl_task1[S87],tbl_task1[[SubPLOs]:[SubPLOs]],"&gt;=1",tbl_task1[[SubPLOs]:[SubPLOs]],"&lt;2")</f>
        <v>0</v>
      </c>
      <c r="CO34" s="138">
        <f>SUMIFS(tbl_task1[S88],tbl_task1[[SubPLOs]:[SubPLOs]],"&gt;=1",tbl_task1[[SubPLOs]:[SubPLOs]],"&lt;2")</f>
        <v>0</v>
      </c>
      <c r="CP34" s="138">
        <f>SUMIFS(tbl_task1[S89],tbl_task1[[SubPLOs]:[SubPLOs]],"&gt;=1",tbl_task1[[SubPLOs]:[SubPLOs]],"&lt;2")</f>
        <v>0</v>
      </c>
      <c r="CQ34" s="138">
        <f>SUMIFS(tbl_task1[S90],tbl_task1[[SubPLOs]:[SubPLOs]],"&gt;=1",tbl_task1[[SubPLOs]:[SubPLOs]],"&lt;2")</f>
        <v>0</v>
      </c>
      <c r="CR34" s="138">
        <f>SUMIFS(tbl_task1[S91],tbl_task1[[SubPLOs]:[SubPLOs]],"&gt;=1",tbl_task1[[SubPLOs]:[SubPLOs]],"&lt;2")</f>
        <v>0</v>
      </c>
      <c r="CS34" s="138">
        <f>SUMIFS(tbl_task1[S92],tbl_task1[[SubPLOs]:[SubPLOs]],"&gt;=1",tbl_task1[[SubPLOs]:[SubPLOs]],"&lt;2")</f>
        <v>0</v>
      </c>
      <c r="CT34" s="138">
        <f>SUMIFS(tbl_task1[S93],tbl_task1[[SubPLOs]:[SubPLOs]],"&gt;=1",tbl_task1[[SubPLOs]:[SubPLOs]],"&lt;2")</f>
        <v>0</v>
      </c>
      <c r="CU34" s="138">
        <f>SUMIFS(tbl_task1[S94],tbl_task1[[SubPLOs]:[SubPLOs]],"&gt;=1",tbl_task1[[SubPLOs]:[SubPLOs]],"&lt;2")</f>
        <v>0</v>
      </c>
      <c r="CV34" s="138">
        <f>SUMIFS(tbl_task1[S95],tbl_task1[[SubPLOs]:[SubPLOs]],"&gt;=1",tbl_task1[[SubPLOs]:[SubPLOs]],"&lt;2")</f>
        <v>0</v>
      </c>
      <c r="CW34" s="138">
        <f>SUMIFS(tbl_task1[S96],tbl_task1[[SubPLOs]:[SubPLOs]],"&gt;=1",tbl_task1[[SubPLOs]:[SubPLOs]],"&lt;2")</f>
        <v>0</v>
      </c>
      <c r="CX34" s="138">
        <f>SUMIFS(tbl_task1[S97],tbl_task1[[SubPLOs]:[SubPLOs]],"&gt;=1",tbl_task1[[SubPLOs]:[SubPLOs]],"&lt;2")</f>
        <v>0</v>
      </c>
      <c r="CY34" s="138">
        <f>SUMIFS(tbl_task1[S98],tbl_task1[[SubPLOs]:[SubPLOs]],"&gt;=1",tbl_task1[[SubPLOs]:[SubPLOs]],"&lt;2")</f>
        <v>0</v>
      </c>
      <c r="CZ34" s="138">
        <f>SUMIFS(tbl_task1[S99],tbl_task1[[SubPLOs]:[SubPLOs]],"&gt;=1",tbl_task1[[SubPLOs]:[SubPLOs]],"&lt;2")</f>
        <v>0</v>
      </c>
      <c r="DA34" s="138">
        <f>SUMIFS(tbl_task1[S100],tbl_task1[[SubPLOs]:[SubPLOs]],"&gt;=1",tbl_task1[[SubPLOs]:[SubPLOs]],"&lt;2")</f>
        <v>0</v>
      </c>
      <c r="DB34" s="138">
        <f>SUMIFS(tbl_task1[S101],tbl_task1[[SubPLOs]:[SubPLOs]],"&gt;=1",tbl_task1[[SubPLOs]:[SubPLOs]],"&lt;2")</f>
        <v>0</v>
      </c>
      <c r="DC34" s="138">
        <f>SUMIFS(tbl_task1[S102],tbl_task1[[SubPLOs]:[SubPLOs]],"&gt;=1",tbl_task1[[SubPLOs]:[SubPLOs]],"&lt;2")</f>
        <v>0</v>
      </c>
      <c r="DD34" s="138">
        <f>SUMIFS(tbl_task1[S103],tbl_task1[[SubPLOs]:[SubPLOs]],"&gt;=1",tbl_task1[[SubPLOs]:[SubPLOs]],"&lt;2")</f>
        <v>0</v>
      </c>
      <c r="DE34" s="138">
        <f>SUMIFS(tbl_task1[S104],tbl_task1[[SubPLOs]:[SubPLOs]],"&gt;=1",tbl_task1[[SubPLOs]:[SubPLOs]],"&lt;2")</f>
        <v>0</v>
      </c>
      <c r="DF34" s="138">
        <f>SUMIFS(tbl_task1[S105],tbl_task1[[SubPLOs]:[SubPLOs]],"&gt;=1",tbl_task1[[SubPLOs]:[SubPLOs]],"&lt;2")</f>
        <v>0</v>
      </c>
      <c r="DG34" s="138">
        <f>SUMIFS(tbl_task1[S106],tbl_task1[[SubPLOs]:[SubPLOs]],"&gt;=1",tbl_task1[[SubPLOs]:[SubPLOs]],"&lt;2")</f>
        <v>0</v>
      </c>
      <c r="DH34" s="138">
        <f>SUMIFS(tbl_task1[S106],tbl_task1[[SubPLOs]:[SubPLOs]],"&gt;=1",tbl_task1[[SubPLOs]:[SubPLOs]],"&lt;2")</f>
        <v>0</v>
      </c>
      <c r="DI34" s="138">
        <f>SUMIFS(tbl_task1[S108],tbl_task1[[SubPLOs]:[SubPLOs]],"&gt;=1",tbl_task1[[SubPLOs]:[SubPLOs]],"&lt;2")</f>
        <v>0</v>
      </c>
      <c r="DJ34" s="138">
        <f>SUMIFS(tbl_task1[S109],tbl_task1[[SubPLOs]:[SubPLOs]],"&gt;=1",tbl_task1[[SubPLOs]:[SubPLOs]],"&lt;2")</f>
        <v>0</v>
      </c>
      <c r="DK34" s="138">
        <f>SUMIFS(tbl_task1[S110],tbl_task1[[SubPLOs]:[SubPLOs]],"&gt;=1",tbl_task1[[SubPLOs]:[SubPLOs]],"&lt;2")</f>
        <v>0</v>
      </c>
      <c r="DL34" s="138">
        <f>SUMIFS(tbl_task1[S111],tbl_task1[[SubPLOs]:[SubPLOs]],"&gt;=1",tbl_task1[[SubPLOs]:[SubPLOs]],"&lt;2")</f>
        <v>0</v>
      </c>
      <c r="DM34" s="138">
        <f>SUMIFS(tbl_task1[S112],tbl_task1[[SubPLOs]:[SubPLOs]],"&gt;=1",tbl_task1[[SubPLOs]:[SubPLOs]],"&lt;2")</f>
        <v>0</v>
      </c>
      <c r="DN34" s="138">
        <f>SUMIFS(tbl_task1[S113],tbl_task1[[SubPLOs]:[SubPLOs]],"&gt;=1",tbl_task1[[SubPLOs]:[SubPLOs]],"&lt;2")</f>
        <v>0</v>
      </c>
      <c r="DO34" s="138">
        <f>SUMIFS(tbl_task1[S114],tbl_task1[[SubPLOs]:[SubPLOs]],"&gt;=1",tbl_task1[[SubPLOs]:[SubPLOs]],"&lt;2")</f>
        <v>0</v>
      </c>
      <c r="DP34" s="138">
        <f>SUMIFS(tbl_task1[S115],tbl_task1[[SubPLOs]:[SubPLOs]],"&gt;=1",tbl_task1[[SubPLOs]:[SubPLOs]],"&lt;2")</f>
        <v>0</v>
      </c>
      <c r="DQ34" s="138">
        <f>SUMIFS(tbl_task1[S116],tbl_task1[[SubPLOs]:[SubPLOs]],"&gt;=1",tbl_task1[[SubPLOs]:[SubPLOs]],"&lt;2")</f>
        <v>0</v>
      </c>
      <c r="DR34" s="138">
        <f>SUMIFS(tbl_task1[S117],tbl_task1[[SubPLOs]:[SubPLOs]],"&gt;=1",tbl_task1[[SubPLOs]:[SubPLOs]],"&lt;2")</f>
        <v>0</v>
      </c>
      <c r="DS34" s="138">
        <f>SUMIFS(tbl_task1[S118],tbl_task1[[SubPLOs]:[SubPLOs]],"&gt;=1",tbl_task1[[SubPLOs]:[SubPLOs]],"&lt;2")</f>
        <v>0</v>
      </c>
      <c r="DT34" s="138">
        <f>SUMIFS(tbl_task1[S119],tbl_task1[[SubPLOs]:[SubPLOs]],"&gt;=1",tbl_task1[[SubPLOs]:[SubPLOs]],"&lt;2")</f>
        <v>0</v>
      </c>
      <c r="DU34" s="138">
        <f>SUMIFS(tbl_task1[S120],tbl_task1[[SubPLOs]:[SubPLOs]],"&gt;=1",tbl_task1[[SubPLOs]:[SubPLOs]],"&lt;2")</f>
        <v>0</v>
      </c>
      <c r="DV34" s="138">
        <f>SUMIFS(tbl_task1[S121],tbl_task1[[SubPLOs]:[SubPLOs]],"&gt;=1",tbl_task1[[SubPLOs]:[SubPLOs]],"&lt;2")</f>
        <v>0</v>
      </c>
      <c r="DW34" s="138">
        <f>SUMIFS(tbl_task1[S122],tbl_task1[[SubPLOs]:[SubPLOs]],"&gt;=1",tbl_task1[[SubPLOs]:[SubPLOs]],"&lt;2")</f>
        <v>0</v>
      </c>
      <c r="DX34" s="138">
        <f>SUMIFS(tbl_task1[S123],tbl_task1[[SubPLOs]:[SubPLOs]],"&gt;=1",tbl_task1[[SubPLOs]:[SubPLOs]],"&lt;2")</f>
        <v>0</v>
      </c>
      <c r="DY34" s="138">
        <f>SUMIFS(tbl_task1[S124],tbl_task1[[SubPLOs]:[SubPLOs]],"&gt;=1",tbl_task1[[SubPLOs]:[SubPLOs]],"&lt;2")</f>
        <v>0</v>
      </c>
      <c r="DZ34" s="138">
        <f>SUMIFS(tbl_task1[S125],tbl_task1[[SubPLOs]:[SubPLOs]],"&gt;=1",tbl_task1[[SubPLOs]:[SubPLOs]],"&lt;2")</f>
        <v>0</v>
      </c>
      <c r="EA34" s="138">
        <f>SUMIFS(tbl_task1[S126],tbl_task1[[SubPLOs]:[SubPLOs]],"&gt;=1",tbl_task1[[SubPLOs]:[SubPLOs]],"&lt;2")</f>
        <v>0</v>
      </c>
      <c r="EB34" s="138">
        <f>SUMIFS(tbl_task1[S127],tbl_task1[[SubPLOs]:[SubPLOs]],"&gt;=1",tbl_task1[[SubPLOs]:[SubPLOs]],"&lt;2")</f>
        <v>0</v>
      </c>
      <c r="EC34" s="138">
        <f>SUMIFS(tbl_task1[S128],tbl_task1[[SubPLOs]:[SubPLOs]],"&gt;=1",tbl_task1[[SubPLOs]:[SubPLOs]],"&lt;2")</f>
        <v>0</v>
      </c>
      <c r="ED34" s="138">
        <f>SUMIFS(tbl_task1[S129],tbl_task1[[SubPLOs]:[SubPLOs]],"&gt;=1",tbl_task1[[SubPLOs]:[SubPLOs]],"&lt;2")</f>
        <v>0</v>
      </c>
      <c r="EE34" s="138">
        <f>SUMIFS(tbl_task1[S130],tbl_task1[[SubPLOs]:[SubPLOs]],"&gt;=1",tbl_task1[[SubPLOs]:[SubPLOs]],"&lt;2")</f>
        <v>0</v>
      </c>
      <c r="EF34" s="138">
        <f>SUMIFS(tbl_task1[S131],tbl_task1[[SubPLOs]:[SubPLOs]],"&gt;=1",tbl_task1[[SubPLOs]:[SubPLOs]],"&lt;2")</f>
        <v>0</v>
      </c>
      <c r="EG34" s="138">
        <f>SUMIFS(tbl_task1[S132],tbl_task1[[SubPLOs]:[SubPLOs]],"&gt;=1",tbl_task1[[SubPLOs]:[SubPLOs]],"&lt;2")</f>
        <v>0</v>
      </c>
      <c r="EH34" s="138">
        <f>SUMIFS(tbl_task1[S133],tbl_task1[[SubPLOs]:[SubPLOs]],"&gt;=1",tbl_task1[[SubPLOs]:[SubPLOs]],"&lt;2")</f>
        <v>0</v>
      </c>
      <c r="EI34" s="138">
        <f>SUMIFS(tbl_task1[S134],tbl_task1[[SubPLOs]:[SubPLOs]],"&gt;=1",tbl_task1[[SubPLOs]:[SubPLOs]],"&lt;2")</f>
        <v>0</v>
      </c>
      <c r="EJ34" s="138">
        <f>SUMIFS(tbl_task1[S135],tbl_task1[[SubPLOs]:[SubPLOs]],"&gt;=1",tbl_task1[[SubPLOs]:[SubPLOs]],"&lt;2")</f>
        <v>0</v>
      </c>
      <c r="EK34" s="138">
        <f>SUMIFS(tbl_task1[S136],tbl_task1[[SubPLOs]:[SubPLOs]],"&gt;=1",tbl_task1[[SubPLOs]:[SubPLOs]],"&lt;2")</f>
        <v>0</v>
      </c>
      <c r="EL34" s="138">
        <f>SUMIFS(tbl_task1[S137],tbl_task1[[SubPLOs]:[SubPLOs]],"&gt;=1",tbl_task1[[SubPLOs]:[SubPLOs]],"&lt;2")</f>
        <v>0</v>
      </c>
      <c r="EM34" s="138">
        <f>SUMIFS(tbl_task1[S138],tbl_task1[[SubPLOs]:[SubPLOs]],"&gt;=1",tbl_task1[[SubPLOs]:[SubPLOs]],"&lt;2")</f>
        <v>0</v>
      </c>
      <c r="EN34" s="138">
        <f>SUMIFS(tbl_task1[S139],tbl_task1[[SubPLOs]:[SubPLOs]],"&gt;=1",tbl_task1[[SubPLOs]:[SubPLOs]],"&lt;2")</f>
        <v>0</v>
      </c>
      <c r="EO34" s="138">
        <f>SUMIFS(tbl_task1[S140],tbl_task1[[SubPLOs]:[SubPLOs]],"&gt;=1",tbl_task1[[SubPLOs]:[SubPLOs]],"&lt;2")</f>
        <v>0</v>
      </c>
      <c r="EP34" s="138">
        <f>SUMIFS(tbl_task1[S141],tbl_task1[[SubPLOs]:[SubPLOs]],"&gt;=1",tbl_task1[[SubPLOs]:[SubPLOs]],"&lt;2")</f>
        <v>0</v>
      </c>
      <c r="EQ34" s="138">
        <f>SUMIFS(tbl_task1[S142],tbl_task1[[SubPLOs]:[SubPLOs]],"&gt;=1",tbl_task1[[SubPLOs]:[SubPLOs]],"&lt;2")</f>
        <v>0</v>
      </c>
      <c r="ER34" s="138">
        <f>SUMIFS(tbl_task1[S143],tbl_task1[[SubPLOs]:[SubPLOs]],"&gt;=1",tbl_task1[[SubPLOs]:[SubPLOs]],"&lt;2")</f>
        <v>0</v>
      </c>
      <c r="ES34" s="138">
        <f>SUMIFS(tbl_task1[S144],tbl_task1[[SubPLOs]:[SubPLOs]],"&gt;=1",tbl_task1[[SubPLOs]:[SubPLOs]],"&lt;2")</f>
        <v>0</v>
      </c>
      <c r="ET34" s="138">
        <f>SUMIFS(tbl_task1[S145],tbl_task1[[SubPLOs]:[SubPLOs]],"&gt;=1",tbl_task1[[SubPLOs]:[SubPLOs]],"&lt;2")</f>
        <v>0</v>
      </c>
      <c r="EU34" s="138">
        <f>SUMIFS(tbl_task1[S146],tbl_task1[[SubPLOs]:[SubPLOs]],"&gt;=1",tbl_task1[[SubPLOs]:[SubPLOs]],"&lt;2")</f>
        <v>0</v>
      </c>
      <c r="EV34" s="138">
        <f>SUMIFS(tbl_task1[S147],tbl_task1[[SubPLOs]:[SubPLOs]],"&gt;=1",tbl_task1[[SubPLOs]:[SubPLOs]],"&lt;2")</f>
        <v>0</v>
      </c>
      <c r="EW34" s="138">
        <f>SUMIFS(tbl_task1[S148],tbl_task1[[SubPLOs]:[SubPLOs]],"&gt;=1",tbl_task1[[SubPLOs]:[SubPLOs]],"&lt;2")</f>
        <v>0</v>
      </c>
      <c r="EX34" s="138">
        <f>SUMIFS(tbl_task1[S149],tbl_task1[[SubPLOs]:[SubPLOs]],"&gt;=1",tbl_task1[[SubPLOs]:[SubPLOs]],"&lt;2")</f>
        <v>0</v>
      </c>
      <c r="EY34" s="138">
        <f>SUMIFS(tbl_task1[S150],tbl_task1[[SubPLOs]:[SubPLOs]],"&gt;=1",tbl_task1[[SubPLOs]:[SubPLOs]],"&lt;2")</f>
        <v>0</v>
      </c>
      <c r="EZ34" s="138">
        <f>SUMIFS(tbl_task1[S151],tbl_task1[[SubPLOs]:[SubPLOs]],"&gt;=1",tbl_task1[[SubPLOs]:[SubPLOs]],"&lt;2")</f>
        <v>0</v>
      </c>
      <c r="FA34" s="138">
        <f>SUMIFS(tbl_task1[S152],tbl_task1[[SubPLOs]:[SubPLOs]],"&gt;=1",tbl_task1[[SubPLOs]:[SubPLOs]],"&lt;2")</f>
        <v>0</v>
      </c>
      <c r="FB34" s="138">
        <f>SUMIFS(tbl_task1[S153],tbl_task1[[SubPLOs]:[SubPLOs]],"&gt;=1",tbl_task1[[SubPLOs]:[SubPLOs]],"&lt;2")</f>
        <v>0</v>
      </c>
      <c r="FC34" s="138">
        <f>SUMIFS(tbl_task1[S154],tbl_task1[[SubPLOs]:[SubPLOs]],"&gt;=1",tbl_task1[[SubPLOs]:[SubPLOs]],"&lt;2")</f>
        <v>0</v>
      </c>
      <c r="FD34" s="138">
        <f>SUMIFS(tbl_task1[S155],tbl_task1[[SubPLOs]:[SubPLOs]],"&gt;=1",tbl_task1[[SubPLOs]:[SubPLOs]],"&lt;2")</f>
        <v>0</v>
      </c>
      <c r="FE34" s="138">
        <f>SUMIFS(tbl_task1[S156],tbl_task1[[SubPLOs]:[SubPLOs]],"&gt;=1",tbl_task1[[SubPLOs]:[SubPLOs]],"&lt;2")</f>
        <v>0</v>
      </c>
      <c r="FF34" s="138">
        <f>SUMIFS(tbl_task1[S157],tbl_task1[[SubPLOs]:[SubPLOs]],"&gt;=1",tbl_task1[[SubPLOs]:[SubPLOs]],"&lt;2")</f>
        <v>0</v>
      </c>
      <c r="FG34" s="138">
        <f>SUMIFS(tbl_task1[S158],tbl_task1[[SubPLOs]:[SubPLOs]],"&gt;=1",tbl_task1[[SubPLOs]:[SubPLOs]],"&lt;2")</f>
        <v>0</v>
      </c>
      <c r="FH34" s="138">
        <f>SUMIFS(tbl_task1[S159],tbl_task1[[SubPLOs]:[SubPLOs]],"&gt;=1",tbl_task1[[SubPLOs]:[SubPLOs]],"&lt;2")</f>
        <v>0</v>
      </c>
      <c r="FI34" s="138">
        <f>SUMIFS(tbl_task1[S160],tbl_task1[[SubPLOs]:[SubPLOs]],"&gt;=1",tbl_task1[[SubPLOs]:[SubPLOs]],"&lt;2")</f>
        <v>0</v>
      </c>
      <c r="FJ34" s="138">
        <f>SUMIFS(tbl_task1[S161],tbl_task1[[SubPLOs]:[SubPLOs]],"&gt;=1",tbl_task1[[SubPLOs]:[SubPLOs]],"&lt;2")</f>
        <v>0</v>
      </c>
      <c r="FK34" s="138">
        <f>SUMIFS(tbl_task1[S162],tbl_task1[[SubPLOs]:[SubPLOs]],"&gt;=1",tbl_task1[[SubPLOs]:[SubPLOs]],"&lt;2")</f>
        <v>0</v>
      </c>
      <c r="FL34" s="138">
        <f>SUMIFS(tbl_task1[S163],tbl_task1[[SubPLOs]:[SubPLOs]],"&gt;=1",tbl_task1[[SubPLOs]:[SubPLOs]],"&lt;2")</f>
        <v>0</v>
      </c>
      <c r="FM34" s="138">
        <f>SUMIFS(tbl_task1[S164],tbl_task1[[SubPLOs]:[SubPLOs]],"&gt;=1",tbl_task1[[SubPLOs]:[SubPLOs]],"&lt;2")</f>
        <v>0</v>
      </c>
      <c r="FN34" s="138">
        <f>SUMIFS(tbl_task1[S165],tbl_task1[[SubPLOs]:[SubPLOs]],"&gt;=1",tbl_task1[[SubPLOs]:[SubPLOs]],"&lt;2")</f>
        <v>0</v>
      </c>
    </row>
    <row r="35" spans="1:170" ht="147" x14ac:dyDescent="0.25">
      <c r="A35" s="135">
        <v>2</v>
      </c>
      <c r="B35" s="5" t="s">
        <v>435</v>
      </c>
      <c r="C35" s="136">
        <f>COUNTIFS(tbl_task1[SubPLOs],"&gt;=2",tbl_task1[SubPLOs],"&lt;3")</f>
        <v>0</v>
      </c>
      <c r="D35" s="136">
        <f>SUMIFS(tbl_task1[คะแนนเต็ม],tbl_task1[SubPLOs],"&gt;=2",tbl_task1[SubPLOs],"&lt;3")</f>
        <v>0</v>
      </c>
      <c r="E35" s="137">
        <f>SUMIFS(tbl_task1[%],tbl_task1[SubPLOs],"&gt;=2",tbl_task1[SubPLOs],"&lt;3")</f>
        <v>0</v>
      </c>
      <c r="F35" s="138">
        <f>SUMIFS(tbl_task1[S1],tbl_task1[[SubPLOs]:[SubPLOs]],"&gt;=2",tbl_task1[[SubPLOs]:[SubPLOs]],"&lt;3")</f>
        <v>0</v>
      </c>
      <c r="G35" s="138">
        <f>SUMIFS(tbl_task1[S2],tbl_task1[[SubPLOs]:[SubPLOs]],"&gt;=2",tbl_task1[[SubPLOs]:[SubPLOs]],"&lt;3")</f>
        <v>0</v>
      </c>
      <c r="H35" s="138">
        <f>SUMIFS(tbl_task1[S3],tbl_task1[[SubPLOs]:[SubPLOs]],"&gt;=2",tbl_task1[[SubPLOs]:[SubPLOs]],"&lt;3")</f>
        <v>0</v>
      </c>
      <c r="I35" s="138">
        <f>SUMIFS(tbl_task1[S4],tbl_task1[[SubPLOs]:[SubPLOs]],"&gt;=2",tbl_task1[[SubPLOs]:[SubPLOs]],"&lt;3")</f>
        <v>0</v>
      </c>
      <c r="J35" s="138">
        <f>SUMIFS(tbl_task1[S5],tbl_task1[[SubPLOs]:[SubPLOs]],"&gt;=2",tbl_task1[[SubPLOs]:[SubPLOs]],"&lt;3")</f>
        <v>0</v>
      </c>
      <c r="K35" s="138">
        <f>SUMIFS(tbl_task1[S6],tbl_task1[[SubPLOs]:[SubPLOs]],"&gt;=2",tbl_task1[[SubPLOs]:[SubPLOs]],"&lt;3")</f>
        <v>0</v>
      </c>
      <c r="L35" s="138">
        <f>SUMIFS(tbl_task1[S7],tbl_task1[[SubPLOs]:[SubPLOs]],"&gt;=2",tbl_task1[[SubPLOs]:[SubPLOs]],"&lt;3")</f>
        <v>0</v>
      </c>
      <c r="M35" s="138">
        <f>SUMIFS(tbl_task1[S8],tbl_task1[[SubPLOs]:[SubPLOs]],"&gt;=2",tbl_task1[[SubPLOs]:[SubPLOs]],"&lt;3")</f>
        <v>0</v>
      </c>
      <c r="N35" s="138">
        <f>SUMIFS(tbl_task1[S9],tbl_task1[[SubPLOs]:[SubPLOs]],"&gt;=2",tbl_task1[[SubPLOs]:[SubPLOs]],"&lt;3")</f>
        <v>0</v>
      </c>
      <c r="O35" s="138">
        <f>SUMIFS(tbl_task1[S10],tbl_task1[[SubPLOs]:[SubPLOs]],"&gt;=2",tbl_task1[[SubPLOs]:[SubPLOs]],"&lt;3")</f>
        <v>0</v>
      </c>
      <c r="P35" s="138">
        <f>SUMIFS(tbl_task1[S11],tbl_task1[[SubPLOs]:[SubPLOs]],"&gt;=2",tbl_task1[[SubPLOs]:[SubPLOs]],"&lt;3")</f>
        <v>0</v>
      </c>
      <c r="Q35" s="138">
        <f>SUMIFS(tbl_task1[S12],tbl_task1[[SubPLOs]:[SubPLOs]],"&gt;=2",tbl_task1[[SubPLOs]:[SubPLOs]],"&lt;3")</f>
        <v>0</v>
      </c>
      <c r="R35" s="138">
        <f>SUMIFS(tbl_task1[S13],tbl_task1[[SubPLOs]:[SubPLOs]],"&gt;=2",tbl_task1[[SubPLOs]:[SubPLOs]],"&lt;3")</f>
        <v>0</v>
      </c>
      <c r="S35" s="138">
        <f>SUMIFS(tbl_task1[S14],tbl_task1[[SubPLOs]:[SubPLOs]],"&gt;=2",tbl_task1[[SubPLOs]:[SubPLOs]],"&lt;3")</f>
        <v>0</v>
      </c>
      <c r="T35" s="138">
        <f>SUMIFS(tbl_task1[S15],tbl_task1[[SubPLOs]:[SubPLOs]],"&gt;=2",tbl_task1[[SubPLOs]:[SubPLOs]],"&lt;3")</f>
        <v>0</v>
      </c>
      <c r="U35" s="138">
        <f>SUMIFS(tbl_task1[S16],tbl_task1[[SubPLOs]:[SubPLOs]],"&gt;=2",tbl_task1[[SubPLOs]:[SubPLOs]],"&lt;3")</f>
        <v>0</v>
      </c>
      <c r="V35" s="138">
        <f>SUMIFS(tbl_task1[S17],tbl_task1[[SubPLOs]:[SubPLOs]],"&gt;=2",tbl_task1[[SubPLOs]:[SubPLOs]],"&lt;3")</f>
        <v>0</v>
      </c>
      <c r="W35" s="138">
        <f>SUMIFS(tbl_task1[S18],tbl_task1[[SubPLOs]:[SubPLOs]],"&gt;=2",tbl_task1[[SubPLOs]:[SubPLOs]],"&lt;3")</f>
        <v>0</v>
      </c>
      <c r="X35" s="138">
        <f>SUMIFS(tbl_task1[S19],tbl_task1[[SubPLOs]:[SubPLOs]],"&gt;=2",tbl_task1[[SubPLOs]:[SubPLOs]],"&lt;3")</f>
        <v>0</v>
      </c>
      <c r="Y35" s="138">
        <f>SUMIFS(tbl_task1[S20],tbl_task1[[SubPLOs]:[SubPLOs]],"&gt;=2",tbl_task1[[SubPLOs]:[SubPLOs]],"&lt;3")</f>
        <v>0</v>
      </c>
      <c r="Z35" s="138">
        <f>SUMIFS(tbl_task1[S21],tbl_task1[[SubPLOs]:[SubPLOs]],"&gt;=2",tbl_task1[[SubPLOs]:[SubPLOs]],"&lt;3")</f>
        <v>0</v>
      </c>
      <c r="AA35" s="138">
        <f>SUMIFS(tbl_task1[S22],tbl_task1[[SubPLOs]:[SubPLOs]],"&gt;=2",tbl_task1[[SubPLOs]:[SubPLOs]],"&lt;3")</f>
        <v>0</v>
      </c>
      <c r="AB35" s="138">
        <f>SUMIFS(tbl_task1[S23],tbl_task1[[SubPLOs]:[SubPLOs]],"&gt;=2",tbl_task1[[SubPLOs]:[SubPLOs]],"&lt;3")</f>
        <v>0</v>
      </c>
      <c r="AC35" s="138">
        <f>SUMIFS(tbl_task1[S24],tbl_task1[[SubPLOs]:[SubPLOs]],"&gt;=2",tbl_task1[[SubPLOs]:[SubPLOs]],"&lt;3")</f>
        <v>0</v>
      </c>
      <c r="AD35" s="138">
        <f>SUMIFS(tbl_task1[S25],tbl_task1[[SubPLOs]:[SubPLOs]],"&gt;=2",tbl_task1[[SubPLOs]:[SubPLOs]],"&lt;3")</f>
        <v>0</v>
      </c>
      <c r="AE35" s="138">
        <f>SUMIFS(tbl_task1[S26],tbl_task1[[SubPLOs]:[SubPLOs]],"&gt;=2",tbl_task1[[SubPLOs]:[SubPLOs]],"&lt;3")</f>
        <v>0</v>
      </c>
      <c r="AF35" s="138">
        <f>SUMIFS(tbl_task1[S27],tbl_task1[[SubPLOs]:[SubPLOs]],"&gt;=2",tbl_task1[[SubPLOs]:[SubPLOs]],"&lt;3")</f>
        <v>0</v>
      </c>
      <c r="AG35" s="138">
        <f>SUMIFS(tbl_task1[S28],tbl_task1[[SubPLOs]:[SubPLOs]],"&gt;=2",tbl_task1[[SubPLOs]:[SubPLOs]],"&lt;3")</f>
        <v>0</v>
      </c>
      <c r="AH35" s="138">
        <f>SUMIFS(tbl_task1[S29],tbl_task1[[SubPLOs]:[SubPLOs]],"&gt;=2",tbl_task1[[SubPLOs]:[SubPLOs]],"&lt;3")</f>
        <v>0</v>
      </c>
      <c r="AI35" s="138">
        <f>SUMIFS(tbl_task1[S30],tbl_task1[[SubPLOs]:[SubPLOs]],"&gt;=2",tbl_task1[[SubPLOs]:[SubPLOs]],"&lt;3")</f>
        <v>0</v>
      </c>
      <c r="AJ35" s="138">
        <f>SUMIFS(tbl_task1[S31],tbl_task1[[SubPLOs]:[SubPLOs]],"&gt;=2",tbl_task1[[SubPLOs]:[SubPLOs]],"&lt;3")</f>
        <v>0</v>
      </c>
      <c r="AK35" s="138">
        <f>SUMIFS(tbl_task1[S32],tbl_task1[[SubPLOs]:[SubPLOs]],"&gt;=2",tbl_task1[[SubPLOs]:[SubPLOs]],"&lt;3")</f>
        <v>0</v>
      </c>
      <c r="AL35" s="138">
        <f>SUMIFS(tbl_task1[S33],tbl_task1[[SubPLOs]:[SubPLOs]],"&gt;=2",tbl_task1[[SubPLOs]:[SubPLOs]],"&lt;3")</f>
        <v>0</v>
      </c>
      <c r="AM35" s="138">
        <f>SUMIFS(tbl_task1[S34],tbl_task1[[SubPLOs]:[SubPLOs]],"&gt;=2",tbl_task1[[SubPLOs]:[SubPLOs]],"&lt;3")</f>
        <v>0</v>
      </c>
      <c r="AN35" s="138">
        <f>SUMIFS(tbl_task1[S35],tbl_task1[[SubPLOs]:[SubPLOs]],"&gt;=2",tbl_task1[[SubPLOs]:[SubPLOs]],"&lt;3")</f>
        <v>0</v>
      </c>
      <c r="AO35" s="138">
        <f>SUMIFS(tbl_task1[S36],tbl_task1[[SubPLOs]:[SubPLOs]],"&gt;=2",tbl_task1[[SubPLOs]:[SubPLOs]],"&lt;3")</f>
        <v>0</v>
      </c>
      <c r="AP35" s="138">
        <f>SUMIFS(tbl_task1[S37],tbl_task1[[SubPLOs]:[SubPLOs]],"&gt;=2",tbl_task1[[SubPLOs]:[SubPLOs]],"&lt;3")</f>
        <v>0</v>
      </c>
      <c r="AQ35" s="138">
        <f>SUMIFS(tbl_task1[S38],tbl_task1[[SubPLOs]:[SubPLOs]],"&gt;=2",tbl_task1[[SubPLOs]:[SubPLOs]],"&lt;3")</f>
        <v>0</v>
      </c>
      <c r="AR35" s="138">
        <f>SUMIFS(tbl_task1[S39],tbl_task1[[SubPLOs]:[SubPLOs]],"&gt;=2",tbl_task1[[SubPLOs]:[SubPLOs]],"&lt;3")</f>
        <v>0</v>
      </c>
      <c r="AS35" s="138">
        <f>SUMIFS(tbl_task1[S40],tbl_task1[[SubPLOs]:[SubPLOs]],"&gt;=2",tbl_task1[[SubPLOs]:[SubPLOs]],"&lt;3")</f>
        <v>0</v>
      </c>
      <c r="AT35" s="138">
        <f>SUMIFS(tbl_task1[S41],tbl_task1[[SubPLOs]:[SubPLOs]],"&gt;=2",tbl_task1[[SubPLOs]:[SubPLOs]],"&lt;3")</f>
        <v>0</v>
      </c>
      <c r="AU35" s="138">
        <f>SUMIFS(tbl_task1[S42],tbl_task1[[SubPLOs]:[SubPLOs]],"&gt;=2",tbl_task1[[SubPLOs]:[SubPLOs]],"&lt;3")</f>
        <v>0</v>
      </c>
      <c r="AV35" s="138">
        <f>SUMIFS(tbl_task1[S43],tbl_task1[[SubPLOs]:[SubPLOs]],"&gt;=2",tbl_task1[[SubPLOs]:[SubPLOs]],"&lt;3")</f>
        <v>0</v>
      </c>
      <c r="AW35" s="138">
        <f>SUMIFS(tbl_task1[S44],tbl_task1[[SubPLOs]:[SubPLOs]],"&gt;=2",tbl_task1[[SubPLOs]:[SubPLOs]],"&lt;3")</f>
        <v>0</v>
      </c>
      <c r="AX35" s="138">
        <f>SUMIFS(tbl_task1[S45],tbl_task1[[SubPLOs]:[SubPLOs]],"&gt;=2",tbl_task1[[SubPLOs]:[SubPLOs]],"&lt;3")</f>
        <v>0</v>
      </c>
      <c r="AY35" s="138">
        <f>SUMIFS(tbl_task1[S46],tbl_task1[[SubPLOs]:[SubPLOs]],"&gt;=2",tbl_task1[[SubPLOs]:[SubPLOs]],"&lt;3")</f>
        <v>0</v>
      </c>
      <c r="AZ35" s="138">
        <f>SUMIFS(tbl_task1[S47],tbl_task1[[SubPLOs]:[SubPLOs]],"&gt;=2",tbl_task1[[SubPLOs]:[SubPLOs]],"&lt;3")</f>
        <v>0</v>
      </c>
      <c r="BA35" s="138">
        <f>SUMIFS(tbl_task1[S48],tbl_task1[[SubPLOs]:[SubPLOs]],"&gt;=2",tbl_task1[[SubPLOs]:[SubPLOs]],"&lt;3")</f>
        <v>0</v>
      </c>
      <c r="BB35" s="138">
        <f>SUMIFS(tbl_task1[S49],tbl_task1[[SubPLOs]:[SubPLOs]],"&gt;=2",tbl_task1[[SubPLOs]:[SubPLOs]],"&lt;3")</f>
        <v>0</v>
      </c>
      <c r="BC35" s="138">
        <f>SUMIFS(tbl_task1[S50],tbl_task1[[SubPLOs]:[SubPLOs]],"&gt;=2",tbl_task1[[SubPLOs]:[SubPLOs]],"&lt;3")</f>
        <v>0</v>
      </c>
      <c r="BD35" s="138">
        <f>SUMIFS(tbl_task1[S51],tbl_task1[[SubPLOs]:[SubPLOs]],"&gt;=2",tbl_task1[[SubPLOs]:[SubPLOs]],"&lt;3")</f>
        <v>0</v>
      </c>
      <c r="BE35" s="138">
        <f>SUMIFS(tbl_task1[S52],tbl_task1[[SubPLOs]:[SubPLOs]],"&gt;=2",tbl_task1[[SubPLOs]:[SubPLOs]],"&lt;3")</f>
        <v>0</v>
      </c>
      <c r="BF35" s="138">
        <f>SUMIFS(tbl_task1[S53],tbl_task1[[SubPLOs]:[SubPLOs]],"&gt;=2",tbl_task1[[SubPLOs]:[SubPLOs]],"&lt;3")</f>
        <v>0</v>
      </c>
      <c r="BG35" s="138">
        <f>SUMIFS(tbl_task1[S54],tbl_task1[[SubPLOs]:[SubPLOs]],"&gt;=2",tbl_task1[[SubPLOs]:[SubPLOs]],"&lt;3")</f>
        <v>0</v>
      </c>
      <c r="BH35" s="138">
        <f>SUMIFS(tbl_task1[S55],tbl_task1[[SubPLOs]:[SubPLOs]],"&gt;=2",tbl_task1[[SubPLOs]:[SubPLOs]],"&lt;3")</f>
        <v>0</v>
      </c>
      <c r="BI35" s="138">
        <f>SUMIFS(tbl_task1[S56],tbl_task1[[SubPLOs]:[SubPLOs]],"&gt;=2",tbl_task1[[SubPLOs]:[SubPLOs]],"&lt;3")</f>
        <v>0</v>
      </c>
      <c r="BJ35" s="138">
        <f>SUMIFS(tbl_task1[S57],tbl_task1[[SubPLOs]:[SubPLOs]],"&gt;=2",tbl_task1[[SubPLOs]:[SubPLOs]],"&lt;3")</f>
        <v>0</v>
      </c>
      <c r="BK35" s="138">
        <f>SUMIFS(tbl_task1[S58],tbl_task1[[SubPLOs]:[SubPLOs]],"&gt;=2",tbl_task1[[SubPLOs]:[SubPLOs]],"&lt;3")</f>
        <v>0</v>
      </c>
      <c r="BL35" s="138">
        <f>SUMIFS(tbl_task1[S59],tbl_task1[[SubPLOs]:[SubPLOs]],"&gt;=2",tbl_task1[[SubPLOs]:[SubPLOs]],"&lt;3")</f>
        <v>0</v>
      </c>
      <c r="BM35" s="138">
        <f>SUMIFS(tbl_task1[S60],tbl_task1[[SubPLOs]:[SubPLOs]],"&gt;=2",tbl_task1[[SubPLOs]:[SubPLOs]],"&lt;3")</f>
        <v>0</v>
      </c>
      <c r="BN35" s="138">
        <f>SUMIFS(tbl_task1[S61],tbl_task1[[SubPLOs]:[SubPLOs]],"&gt;=2",tbl_task1[[SubPLOs]:[SubPLOs]],"&lt;3")</f>
        <v>0</v>
      </c>
      <c r="BO35" s="138">
        <f>SUMIFS(tbl_task1[S62],tbl_task1[[SubPLOs]:[SubPLOs]],"&gt;=2",tbl_task1[[SubPLOs]:[SubPLOs]],"&lt;3")</f>
        <v>0</v>
      </c>
      <c r="BP35" s="138">
        <f>SUMIFS(tbl_task1[S63],tbl_task1[[SubPLOs]:[SubPLOs]],"&gt;=2",tbl_task1[[SubPLOs]:[SubPLOs]],"&lt;3")</f>
        <v>0</v>
      </c>
      <c r="BQ35" s="138">
        <f>SUMIFS(tbl_task1[S64],tbl_task1[[SubPLOs]:[SubPLOs]],"&gt;=2",tbl_task1[[SubPLOs]:[SubPLOs]],"&lt;3")</f>
        <v>0</v>
      </c>
      <c r="BR35" s="138">
        <f>SUMIFS(tbl_task1[S65],tbl_task1[[SubPLOs]:[SubPLOs]],"&gt;=2",tbl_task1[[SubPLOs]:[SubPLOs]],"&lt;3")</f>
        <v>0</v>
      </c>
      <c r="BS35" s="138">
        <f>SUMIFS(tbl_task1[S66],tbl_task1[[SubPLOs]:[SubPLOs]],"&gt;=2",tbl_task1[[SubPLOs]:[SubPLOs]],"&lt;3")</f>
        <v>0</v>
      </c>
      <c r="BT35" s="138">
        <f>SUMIFS(tbl_task1[S67],tbl_task1[[SubPLOs]:[SubPLOs]],"&gt;=2",tbl_task1[[SubPLOs]:[SubPLOs]],"&lt;3")</f>
        <v>0</v>
      </c>
      <c r="BU35" s="138">
        <f>SUMIFS(tbl_task1[S68],tbl_task1[[SubPLOs]:[SubPLOs]],"&gt;=2",tbl_task1[[SubPLOs]:[SubPLOs]],"&lt;3")</f>
        <v>0</v>
      </c>
      <c r="BV35" s="138">
        <f>SUMIFS(tbl_task1[S69],tbl_task1[[SubPLOs]:[SubPLOs]],"&gt;=2",tbl_task1[[SubPLOs]:[SubPLOs]],"&lt;3")</f>
        <v>0</v>
      </c>
      <c r="BW35" s="138">
        <f>SUMIFS(tbl_task1[S70],tbl_task1[[SubPLOs]:[SubPLOs]],"&gt;=2",tbl_task1[[SubPLOs]:[SubPLOs]],"&lt;3")</f>
        <v>0</v>
      </c>
      <c r="BX35" s="138">
        <f>SUMIFS(tbl_task1[S71],tbl_task1[[SubPLOs]:[SubPLOs]],"&gt;=2",tbl_task1[[SubPLOs]:[SubPLOs]],"&lt;3")</f>
        <v>0</v>
      </c>
      <c r="BY35" s="138">
        <f>SUMIFS(tbl_task1[S72],tbl_task1[[SubPLOs]:[SubPLOs]],"&gt;=2",tbl_task1[[SubPLOs]:[SubPLOs]],"&lt;3")</f>
        <v>0</v>
      </c>
      <c r="BZ35" s="138">
        <f>SUMIFS(tbl_task1[S73],tbl_task1[[SubPLOs]:[SubPLOs]],"&gt;=2",tbl_task1[[SubPLOs]:[SubPLOs]],"&lt;3")</f>
        <v>0</v>
      </c>
      <c r="CA35" s="138">
        <f>SUMIFS(tbl_task1[S74],tbl_task1[[SubPLOs]:[SubPLOs]],"&gt;=2",tbl_task1[[SubPLOs]:[SubPLOs]],"&lt;3")</f>
        <v>0</v>
      </c>
      <c r="CB35" s="138">
        <f>SUMIFS(tbl_task1[S75],tbl_task1[[SubPLOs]:[SubPLOs]],"&gt;=2",tbl_task1[[SubPLOs]:[SubPLOs]],"&lt;3")</f>
        <v>0</v>
      </c>
      <c r="CC35" s="138">
        <f>SUMIFS(tbl_task1[S76],tbl_task1[[SubPLOs]:[SubPLOs]],"&gt;=2",tbl_task1[[SubPLOs]:[SubPLOs]],"&lt;3")</f>
        <v>0</v>
      </c>
      <c r="CD35" s="138">
        <f>SUMIFS(tbl_task1[S77],tbl_task1[[SubPLOs]:[SubPLOs]],"&gt;=2",tbl_task1[[SubPLOs]:[SubPLOs]],"&lt;3")</f>
        <v>0</v>
      </c>
      <c r="CE35" s="138">
        <f>SUMIFS(tbl_task1[S78],tbl_task1[[SubPLOs]:[SubPLOs]],"&gt;=2",tbl_task1[[SubPLOs]:[SubPLOs]],"&lt;3")</f>
        <v>0</v>
      </c>
      <c r="CF35" s="138">
        <f>SUMIFS(tbl_task1[S79],tbl_task1[[SubPLOs]:[SubPLOs]],"&gt;=2",tbl_task1[[SubPLOs]:[SubPLOs]],"&lt;3")</f>
        <v>0</v>
      </c>
      <c r="CG35" s="138">
        <f>SUMIFS(tbl_task1[S80],tbl_task1[[SubPLOs]:[SubPLOs]],"&gt;=2",tbl_task1[[SubPLOs]:[SubPLOs]],"&lt;3")</f>
        <v>0</v>
      </c>
      <c r="CH35" s="138">
        <f>SUMIFS(tbl_task1[S81],tbl_task1[[SubPLOs]:[SubPLOs]],"&gt;=2",tbl_task1[[SubPLOs]:[SubPLOs]],"&lt;3")</f>
        <v>0</v>
      </c>
      <c r="CI35" s="138">
        <f>SUMIFS(tbl_task1[S82],tbl_task1[[SubPLOs]:[SubPLOs]],"&gt;=2",tbl_task1[[SubPLOs]:[SubPLOs]],"&lt;3")</f>
        <v>0</v>
      </c>
      <c r="CJ35" s="138">
        <f>SUMIFS(tbl_task1[S83],tbl_task1[[SubPLOs]:[SubPLOs]],"&gt;=2",tbl_task1[[SubPLOs]:[SubPLOs]],"&lt;3")</f>
        <v>0</v>
      </c>
      <c r="CK35" s="138">
        <f>SUMIFS(tbl_task1[S84],tbl_task1[[SubPLOs]:[SubPLOs]],"&gt;=2",tbl_task1[[SubPLOs]:[SubPLOs]],"&lt;3")</f>
        <v>0</v>
      </c>
      <c r="CL35" s="138">
        <f>SUMIFS(tbl_task1[S85],tbl_task1[[SubPLOs]:[SubPLOs]],"&gt;=2",tbl_task1[[SubPLOs]:[SubPLOs]],"&lt;3")</f>
        <v>0</v>
      </c>
      <c r="CM35" s="138">
        <f>SUMIFS(tbl_task1[S86],tbl_task1[[SubPLOs]:[SubPLOs]],"&gt;=2",tbl_task1[[SubPLOs]:[SubPLOs]],"&lt;3")</f>
        <v>0</v>
      </c>
      <c r="CN35" s="138">
        <f>SUMIFS(tbl_task1[S87],tbl_task1[[SubPLOs]:[SubPLOs]],"&gt;=2",tbl_task1[[SubPLOs]:[SubPLOs]],"&lt;3")</f>
        <v>0</v>
      </c>
      <c r="CO35" s="138">
        <f>SUMIFS(tbl_task1[S88],tbl_task1[[SubPLOs]:[SubPLOs]],"&gt;=2",tbl_task1[[SubPLOs]:[SubPLOs]],"&lt;3")</f>
        <v>0</v>
      </c>
      <c r="CP35" s="138">
        <f>SUMIFS(tbl_task1[S89],tbl_task1[[SubPLOs]:[SubPLOs]],"&gt;=2",tbl_task1[[SubPLOs]:[SubPLOs]],"&lt;3")</f>
        <v>0</v>
      </c>
      <c r="CQ35" s="138">
        <f>SUMIFS(tbl_task1[S90],tbl_task1[[SubPLOs]:[SubPLOs]],"&gt;=2",tbl_task1[[SubPLOs]:[SubPLOs]],"&lt;3")</f>
        <v>0</v>
      </c>
      <c r="CR35" s="138">
        <f>SUMIFS(tbl_task1[S91],tbl_task1[[SubPLOs]:[SubPLOs]],"&gt;=2",tbl_task1[[SubPLOs]:[SubPLOs]],"&lt;3")</f>
        <v>0</v>
      </c>
      <c r="CS35" s="138">
        <f>SUMIFS(tbl_task1[S92],tbl_task1[[SubPLOs]:[SubPLOs]],"&gt;=2",tbl_task1[[SubPLOs]:[SubPLOs]],"&lt;3")</f>
        <v>0</v>
      </c>
      <c r="CT35" s="138">
        <f>SUMIFS(tbl_task1[S93],tbl_task1[[SubPLOs]:[SubPLOs]],"&gt;=2",tbl_task1[[SubPLOs]:[SubPLOs]],"&lt;3")</f>
        <v>0</v>
      </c>
      <c r="CU35" s="138">
        <f>SUMIFS(tbl_task1[S94],tbl_task1[[SubPLOs]:[SubPLOs]],"&gt;=2",tbl_task1[[SubPLOs]:[SubPLOs]],"&lt;3")</f>
        <v>0</v>
      </c>
      <c r="CV35" s="138">
        <f>SUMIFS(tbl_task1[S95],tbl_task1[[SubPLOs]:[SubPLOs]],"&gt;=2",tbl_task1[[SubPLOs]:[SubPLOs]],"&lt;3")</f>
        <v>0</v>
      </c>
      <c r="CW35" s="138">
        <f>SUMIFS(tbl_task1[S96],tbl_task1[[SubPLOs]:[SubPLOs]],"&gt;=2",tbl_task1[[SubPLOs]:[SubPLOs]],"&lt;3")</f>
        <v>0</v>
      </c>
      <c r="CX35" s="138">
        <f>SUMIFS(tbl_task1[S97],tbl_task1[[SubPLOs]:[SubPLOs]],"&gt;=2",tbl_task1[[SubPLOs]:[SubPLOs]],"&lt;3")</f>
        <v>0</v>
      </c>
      <c r="CY35" s="138">
        <f>SUMIFS(tbl_task1[S98],tbl_task1[[SubPLOs]:[SubPLOs]],"&gt;=2",tbl_task1[[SubPLOs]:[SubPLOs]],"&lt;3")</f>
        <v>0</v>
      </c>
      <c r="CZ35" s="138">
        <f>SUMIFS(tbl_task1[S99],tbl_task1[[SubPLOs]:[SubPLOs]],"&gt;=2",tbl_task1[[SubPLOs]:[SubPLOs]],"&lt;3")</f>
        <v>0</v>
      </c>
      <c r="DA35" s="138">
        <f>SUMIFS(tbl_task1[S100],tbl_task1[[SubPLOs]:[SubPLOs]],"&gt;=2",tbl_task1[[SubPLOs]:[SubPLOs]],"&lt;3")</f>
        <v>0</v>
      </c>
      <c r="DB35" s="138">
        <f>SUMIFS(tbl_task1[S101],tbl_task1[[SubPLOs]:[SubPLOs]],"&gt;=2",tbl_task1[[SubPLOs]:[SubPLOs]],"&lt;3")</f>
        <v>0</v>
      </c>
      <c r="DC35" s="138">
        <f>SUMIFS(tbl_task1[S102],tbl_task1[[SubPLOs]:[SubPLOs]],"&gt;=2",tbl_task1[[SubPLOs]:[SubPLOs]],"&lt;3")</f>
        <v>0</v>
      </c>
      <c r="DD35" s="138">
        <f>SUMIFS(tbl_task1[S103],tbl_task1[[SubPLOs]:[SubPLOs]],"&gt;=2",tbl_task1[[SubPLOs]:[SubPLOs]],"&lt;3")</f>
        <v>0</v>
      </c>
      <c r="DE35" s="138">
        <f>SUMIFS(tbl_task1[S104],tbl_task1[[SubPLOs]:[SubPLOs]],"&gt;=2",tbl_task1[[SubPLOs]:[SubPLOs]],"&lt;3")</f>
        <v>0</v>
      </c>
      <c r="DF35" s="138">
        <f>SUMIFS(tbl_task1[S105],tbl_task1[[SubPLOs]:[SubPLOs]],"&gt;=2",tbl_task1[[SubPLOs]:[SubPLOs]],"&lt;3")</f>
        <v>0</v>
      </c>
      <c r="DG35" s="138">
        <f>SUMIFS(tbl_task1[S106],tbl_task1[[SubPLOs]:[SubPLOs]],"&gt;=2",tbl_task1[[SubPLOs]:[SubPLOs]],"&lt;3")</f>
        <v>0</v>
      </c>
      <c r="DH35" s="138">
        <f>SUMIFS(tbl_task1[S106],tbl_task1[[SubPLOs]:[SubPLOs]],"&gt;=2",tbl_task1[[SubPLOs]:[SubPLOs]],"&lt;3")</f>
        <v>0</v>
      </c>
      <c r="DI35" s="138">
        <f>SUMIFS(tbl_task1[S108],tbl_task1[[SubPLOs]:[SubPLOs]],"&gt;=2",tbl_task1[[SubPLOs]:[SubPLOs]],"&lt;3")</f>
        <v>0</v>
      </c>
      <c r="DJ35" s="138">
        <f>SUMIFS(tbl_task1[S109],tbl_task1[[SubPLOs]:[SubPLOs]],"&gt;=2",tbl_task1[[SubPLOs]:[SubPLOs]],"&lt;3")</f>
        <v>0</v>
      </c>
      <c r="DK35" s="138">
        <f>SUMIFS(tbl_task1[S110],tbl_task1[[SubPLOs]:[SubPLOs]],"&gt;=2",tbl_task1[[SubPLOs]:[SubPLOs]],"&lt;3")</f>
        <v>0</v>
      </c>
      <c r="DL35" s="138">
        <f>SUMIFS(tbl_task1[S111],tbl_task1[[SubPLOs]:[SubPLOs]],"&gt;=2",tbl_task1[[SubPLOs]:[SubPLOs]],"&lt;3")</f>
        <v>0</v>
      </c>
      <c r="DM35" s="138">
        <f>SUMIFS(tbl_task1[S112],tbl_task1[[SubPLOs]:[SubPLOs]],"&gt;=2",tbl_task1[[SubPLOs]:[SubPLOs]],"&lt;3")</f>
        <v>0</v>
      </c>
      <c r="DN35" s="138">
        <f>SUMIFS(tbl_task1[S113],tbl_task1[[SubPLOs]:[SubPLOs]],"&gt;=2",tbl_task1[[SubPLOs]:[SubPLOs]],"&lt;3")</f>
        <v>0</v>
      </c>
      <c r="DO35" s="138">
        <f>SUMIFS(tbl_task1[S114],tbl_task1[[SubPLOs]:[SubPLOs]],"&gt;=2",tbl_task1[[SubPLOs]:[SubPLOs]],"&lt;3")</f>
        <v>0</v>
      </c>
      <c r="DP35" s="138">
        <f>SUMIFS(tbl_task1[S115],tbl_task1[[SubPLOs]:[SubPLOs]],"&gt;=2",tbl_task1[[SubPLOs]:[SubPLOs]],"&lt;3")</f>
        <v>0</v>
      </c>
      <c r="DQ35" s="138">
        <f>SUMIFS(tbl_task1[S116],tbl_task1[[SubPLOs]:[SubPLOs]],"&gt;=2",tbl_task1[[SubPLOs]:[SubPLOs]],"&lt;3")</f>
        <v>0</v>
      </c>
      <c r="DR35" s="138">
        <f>SUMIFS(tbl_task1[S117],tbl_task1[[SubPLOs]:[SubPLOs]],"&gt;=2",tbl_task1[[SubPLOs]:[SubPLOs]],"&lt;3")</f>
        <v>0</v>
      </c>
      <c r="DS35" s="138">
        <f>SUMIFS(tbl_task1[S118],tbl_task1[[SubPLOs]:[SubPLOs]],"&gt;=2",tbl_task1[[SubPLOs]:[SubPLOs]],"&lt;3")</f>
        <v>0</v>
      </c>
      <c r="DT35" s="138">
        <f>SUMIFS(tbl_task1[S119],tbl_task1[[SubPLOs]:[SubPLOs]],"&gt;=2",tbl_task1[[SubPLOs]:[SubPLOs]],"&lt;3")</f>
        <v>0</v>
      </c>
      <c r="DU35" s="138">
        <f>SUMIFS(tbl_task1[S120],tbl_task1[[SubPLOs]:[SubPLOs]],"&gt;=2",tbl_task1[[SubPLOs]:[SubPLOs]],"&lt;3")</f>
        <v>0</v>
      </c>
      <c r="DV35" s="138">
        <f>SUMIFS(tbl_task1[S121],tbl_task1[[SubPLOs]:[SubPLOs]],"&gt;=2",tbl_task1[[SubPLOs]:[SubPLOs]],"&lt;3")</f>
        <v>0</v>
      </c>
      <c r="DW35" s="138">
        <f>SUMIFS(tbl_task1[S122],tbl_task1[[SubPLOs]:[SubPLOs]],"&gt;=2",tbl_task1[[SubPLOs]:[SubPLOs]],"&lt;3")</f>
        <v>0</v>
      </c>
      <c r="DX35" s="138">
        <f>SUMIFS(tbl_task1[S123],tbl_task1[[SubPLOs]:[SubPLOs]],"&gt;=2",tbl_task1[[SubPLOs]:[SubPLOs]],"&lt;3")</f>
        <v>0</v>
      </c>
      <c r="DY35" s="138">
        <f>SUMIFS(tbl_task1[S124],tbl_task1[[SubPLOs]:[SubPLOs]],"&gt;=2",tbl_task1[[SubPLOs]:[SubPLOs]],"&lt;3")</f>
        <v>0</v>
      </c>
      <c r="DZ35" s="138">
        <f>SUMIFS(tbl_task1[S125],tbl_task1[[SubPLOs]:[SubPLOs]],"&gt;=2",tbl_task1[[SubPLOs]:[SubPLOs]],"&lt;3")</f>
        <v>0</v>
      </c>
      <c r="EA35" s="138">
        <f>SUMIFS(tbl_task1[S126],tbl_task1[[SubPLOs]:[SubPLOs]],"&gt;=2",tbl_task1[[SubPLOs]:[SubPLOs]],"&lt;3")</f>
        <v>0</v>
      </c>
      <c r="EB35" s="138">
        <f>SUMIFS(tbl_task1[S127],tbl_task1[[SubPLOs]:[SubPLOs]],"&gt;=2",tbl_task1[[SubPLOs]:[SubPLOs]],"&lt;3")</f>
        <v>0</v>
      </c>
      <c r="EC35" s="138">
        <f>SUMIFS(tbl_task1[S128],tbl_task1[[SubPLOs]:[SubPLOs]],"&gt;=2",tbl_task1[[SubPLOs]:[SubPLOs]],"&lt;3")</f>
        <v>0</v>
      </c>
      <c r="ED35" s="138">
        <f>SUMIFS(tbl_task1[S129],tbl_task1[[SubPLOs]:[SubPLOs]],"&gt;=2",tbl_task1[[SubPLOs]:[SubPLOs]],"&lt;3")</f>
        <v>0</v>
      </c>
      <c r="EE35" s="138">
        <f>SUMIFS(tbl_task1[S130],tbl_task1[[SubPLOs]:[SubPLOs]],"&gt;=2",tbl_task1[[SubPLOs]:[SubPLOs]],"&lt;3")</f>
        <v>0</v>
      </c>
      <c r="EF35" s="138">
        <f>SUMIFS(tbl_task1[S131],tbl_task1[[SubPLOs]:[SubPLOs]],"&gt;=2",tbl_task1[[SubPLOs]:[SubPLOs]],"&lt;3")</f>
        <v>0</v>
      </c>
      <c r="EG35" s="138">
        <f>SUMIFS(tbl_task1[S132],tbl_task1[[SubPLOs]:[SubPLOs]],"&gt;=2",tbl_task1[[SubPLOs]:[SubPLOs]],"&lt;3")</f>
        <v>0</v>
      </c>
      <c r="EH35" s="138">
        <f>SUMIFS(tbl_task1[S133],tbl_task1[[SubPLOs]:[SubPLOs]],"&gt;=2",tbl_task1[[SubPLOs]:[SubPLOs]],"&lt;3")</f>
        <v>0</v>
      </c>
      <c r="EI35" s="138">
        <f>SUMIFS(tbl_task1[S134],tbl_task1[[SubPLOs]:[SubPLOs]],"&gt;=2",tbl_task1[[SubPLOs]:[SubPLOs]],"&lt;3")</f>
        <v>0</v>
      </c>
      <c r="EJ35" s="138">
        <f>SUMIFS(tbl_task1[S135],tbl_task1[[SubPLOs]:[SubPLOs]],"&gt;=2",tbl_task1[[SubPLOs]:[SubPLOs]],"&lt;3")</f>
        <v>0</v>
      </c>
      <c r="EK35" s="138">
        <f>SUMIFS(tbl_task1[S136],tbl_task1[[SubPLOs]:[SubPLOs]],"&gt;=2",tbl_task1[[SubPLOs]:[SubPLOs]],"&lt;3")</f>
        <v>0</v>
      </c>
      <c r="EL35" s="138">
        <f>SUMIFS(tbl_task1[S137],tbl_task1[[SubPLOs]:[SubPLOs]],"&gt;=2",tbl_task1[[SubPLOs]:[SubPLOs]],"&lt;3")</f>
        <v>0</v>
      </c>
      <c r="EM35" s="138">
        <f>SUMIFS(tbl_task1[S138],tbl_task1[[SubPLOs]:[SubPLOs]],"&gt;=2",tbl_task1[[SubPLOs]:[SubPLOs]],"&lt;3")</f>
        <v>0</v>
      </c>
      <c r="EN35" s="138">
        <f>SUMIFS(tbl_task1[S139],tbl_task1[[SubPLOs]:[SubPLOs]],"&gt;=2",tbl_task1[[SubPLOs]:[SubPLOs]],"&lt;3")</f>
        <v>0</v>
      </c>
      <c r="EO35" s="138">
        <f>SUMIFS(tbl_task1[S140],tbl_task1[[SubPLOs]:[SubPLOs]],"&gt;=2",tbl_task1[[SubPLOs]:[SubPLOs]],"&lt;3")</f>
        <v>0</v>
      </c>
      <c r="EP35" s="138">
        <f>SUMIFS(tbl_task1[S141],tbl_task1[[SubPLOs]:[SubPLOs]],"&gt;=2",tbl_task1[[SubPLOs]:[SubPLOs]],"&lt;3")</f>
        <v>0</v>
      </c>
      <c r="EQ35" s="138">
        <f>SUMIFS(tbl_task1[S142],tbl_task1[[SubPLOs]:[SubPLOs]],"&gt;=2",tbl_task1[[SubPLOs]:[SubPLOs]],"&lt;3")</f>
        <v>0</v>
      </c>
      <c r="ER35" s="138">
        <f>SUMIFS(tbl_task1[S143],tbl_task1[[SubPLOs]:[SubPLOs]],"&gt;=2",tbl_task1[[SubPLOs]:[SubPLOs]],"&lt;3")</f>
        <v>0</v>
      </c>
      <c r="ES35" s="138">
        <f>SUMIFS(tbl_task1[S144],tbl_task1[[SubPLOs]:[SubPLOs]],"&gt;=2",tbl_task1[[SubPLOs]:[SubPLOs]],"&lt;3")</f>
        <v>0</v>
      </c>
      <c r="ET35" s="138">
        <f>SUMIFS(tbl_task1[S145],tbl_task1[[SubPLOs]:[SubPLOs]],"&gt;=2",tbl_task1[[SubPLOs]:[SubPLOs]],"&lt;3")</f>
        <v>0</v>
      </c>
      <c r="EU35" s="138">
        <f>SUMIFS(tbl_task1[S146],tbl_task1[[SubPLOs]:[SubPLOs]],"&gt;=2",tbl_task1[[SubPLOs]:[SubPLOs]],"&lt;3")</f>
        <v>0</v>
      </c>
      <c r="EV35" s="138">
        <f>SUMIFS(tbl_task1[S147],tbl_task1[[SubPLOs]:[SubPLOs]],"&gt;=2",tbl_task1[[SubPLOs]:[SubPLOs]],"&lt;3")</f>
        <v>0</v>
      </c>
      <c r="EW35" s="138">
        <f>SUMIFS(tbl_task1[S148],tbl_task1[[SubPLOs]:[SubPLOs]],"&gt;=2",tbl_task1[[SubPLOs]:[SubPLOs]],"&lt;3")</f>
        <v>0</v>
      </c>
      <c r="EX35" s="138">
        <f>SUMIFS(tbl_task1[S149],tbl_task1[[SubPLOs]:[SubPLOs]],"&gt;=2",tbl_task1[[SubPLOs]:[SubPLOs]],"&lt;3")</f>
        <v>0</v>
      </c>
      <c r="EY35" s="138">
        <f>SUMIFS(tbl_task1[S150],tbl_task1[[SubPLOs]:[SubPLOs]],"&gt;=2",tbl_task1[[SubPLOs]:[SubPLOs]],"&lt;3")</f>
        <v>0</v>
      </c>
      <c r="EZ35" s="138">
        <f>SUMIFS(tbl_task1[S151],tbl_task1[[SubPLOs]:[SubPLOs]],"&gt;=2",tbl_task1[[SubPLOs]:[SubPLOs]],"&lt;3")</f>
        <v>0</v>
      </c>
      <c r="FA35" s="138">
        <f>SUMIFS(tbl_task1[S152],tbl_task1[[SubPLOs]:[SubPLOs]],"&gt;=2",tbl_task1[[SubPLOs]:[SubPLOs]],"&lt;3")</f>
        <v>0</v>
      </c>
      <c r="FB35" s="138">
        <f>SUMIFS(tbl_task1[S153],tbl_task1[[SubPLOs]:[SubPLOs]],"&gt;=2",tbl_task1[[SubPLOs]:[SubPLOs]],"&lt;3")</f>
        <v>0</v>
      </c>
      <c r="FC35" s="138">
        <f>SUMIFS(tbl_task1[S154],tbl_task1[[SubPLOs]:[SubPLOs]],"&gt;=2",tbl_task1[[SubPLOs]:[SubPLOs]],"&lt;3")</f>
        <v>0</v>
      </c>
      <c r="FD35" s="138">
        <f>SUMIFS(tbl_task1[S155],tbl_task1[[SubPLOs]:[SubPLOs]],"&gt;=2",tbl_task1[[SubPLOs]:[SubPLOs]],"&lt;3")</f>
        <v>0</v>
      </c>
      <c r="FE35" s="138">
        <f>SUMIFS(tbl_task1[S156],tbl_task1[[SubPLOs]:[SubPLOs]],"&gt;=2",tbl_task1[[SubPLOs]:[SubPLOs]],"&lt;3")</f>
        <v>0</v>
      </c>
      <c r="FF35" s="138">
        <f>SUMIFS(tbl_task1[S157],tbl_task1[[SubPLOs]:[SubPLOs]],"&gt;=2",tbl_task1[[SubPLOs]:[SubPLOs]],"&lt;3")</f>
        <v>0</v>
      </c>
      <c r="FG35" s="138">
        <f>SUMIFS(tbl_task1[S158],tbl_task1[[SubPLOs]:[SubPLOs]],"&gt;=2",tbl_task1[[SubPLOs]:[SubPLOs]],"&lt;3")</f>
        <v>0</v>
      </c>
      <c r="FH35" s="138">
        <f>SUMIFS(tbl_task1[S159],tbl_task1[[SubPLOs]:[SubPLOs]],"&gt;=2",tbl_task1[[SubPLOs]:[SubPLOs]],"&lt;3")</f>
        <v>0</v>
      </c>
      <c r="FI35" s="138">
        <f>SUMIFS(tbl_task1[S160],tbl_task1[[SubPLOs]:[SubPLOs]],"&gt;=2",tbl_task1[[SubPLOs]:[SubPLOs]],"&lt;3")</f>
        <v>0</v>
      </c>
      <c r="FJ35" s="138">
        <f>SUMIFS(tbl_task1[S161],tbl_task1[[SubPLOs]:[SubPLOs]],"&gt;=2",tbl_task1[[SubPLOs]:[SubPLOs]],"&lt;3")</f>
        <v>0</v>
      </c>
      <c r="FK35" s="138">
        <f>SUMIFS(tbl_task1[S162],tbl_task1[[SubPLOs]:[SubPLOs]],"&gt;=2",tbl_task1[[SubPLOs]:[SubPLOs]],"&lt;3")</f>
        <v>0</v>
      </c>
      <c r="FL35" s="138">
        <f>SUMIFS(tbl_task1[S163],tbl_task1[[SubPLOs]:[SubPLOs]],"&gt;=2",tbl_task1[[SubPLOs]:[SubPLOs]],"&lt;3")</f>
        <v>0</v>
      </c>
      <c r="FM35" s="138">
        <f>SUMIFS(tbl_task1[S164],tbl_task1[[SubPLOs]:[SubPLOs]],"&gt;=2",tbl_task1[[SubPLOs]:[SubPLOs]],"&lt;3")</f>
        <v>0</v>
      </c>
      <c r="FN35" s="138">
        <f>SUMIFS(tbl_task1[S165],tbl_task1[[SubPLOs]:[SubPLOs]],"&gt;=2",tbl_task1[[SubPLOs]:[SubPLOs]],"&lt;3")</f>
        <v>0</v>
      </c>
    </row>
    <row r="36" spans="1:170" ht="63" x14ac:dyDescent="0.25">
      <c r="A36" s="135">
        <v>3</v>
      </c>
      <c r="B36" s="5" t="s">
        <v>436</v>
      </c>
      <c r="C36" s="136">
        <f>COUNTIFS(tbl_task1[SubPLOs],"&gt;=3",tbl_task1[SubPLOs],"&lt;4")</f>
        <v>0</v>
      </c>
      <c r="D36" s="136">
        <f>SUMIFS(tbl_task1[คะแนนเต็ม],tbl_task1[SubPLOs],"&gt;=3",tbl_task1[SubPLOs],"&lt;4")</f>
        <v>0</v>
      </c>
      <c r="E36" s="137">
        <f>SUMIFS(tbl_task1[%],tbl_task1[SubPLOs],"&gt;=3",tbl_task1[SubPLOs],"&lt;4")</f>
        <v>0</v>
      </c>
      <c r="F36" s="138">
        <f>SUMIFS(tbl_task1[S1],tbl_task1[[SubPLOs]:[SubPLOs]],"&gt;=3",tbl_task1[[SubPLOs]:[SubPLOs]],"&lt;4")</f>
        <v>0</v>
      </c>
      <c r="G36" s="138">
        <f>SUMIFS(tbl_task1[S2],tbl_task1[[SubPLOs]:[SubPLOs]],"&gt;=3",tbl_task1[[SubPLOs]:[SubPLOs]],"&lt;4")</f>
        <v>0</v>
      </c>
      <c r="H36" s="138">
        <f>SUMIFS(tbl_task1[S3],tbl_task1[[SubPLOs]:[SubPLOs]],"&gt;=3",tbl_task1[[SubPLOs]:[SubPLOs]],"&lt;4")</f>
        <v>0</v>
      </c>
      <c r="I36" s="138">
        <f>SUMIFS(tbl_task1[S4],tbl_task1[[SubPLOs]:[SubPLOs]],"&gt;=3",tbl_task1[[SubPLOs]:[SubPLOs]],"&lt;4")</f>
        <v>0</v>
      </c>
      <c r="J36" s="138">
        <f>SUMIFS(tbl_task1[S5],tbl_task1[[SubPLOs]:[SubPLOs]],"&gt;=3",tbl_task1[[SubPLOs]:[SubPLOs]],"&lt;4")</f>
        <v>0</v>
      </c>
      <c r="K36" s="138">
        <f>SUMIFS(tbl_task1[S6],tbl_task1[[SubPLOs]:[SubPLOs]],"&gt;=3",tbl_task1[[SubPLOs]:[SubPLOs]],"&lt;4")</f>
        <v>0</v>
      </c>
      <c r="L36" s="138">
        <f>SUMIFS(tbl_task1[S7],tbl_task1[[SubPLOs]:[SubPLOs]],"&gt;=3",tbl_task1[[SubPLOs]:[SubPLOs]],"&lt;4")</f>
        <v>0</v>
      </c>
      <c r="M36" s="138">
        <f>SUMIFS(tbl_task1[S8],tbl_task1[[SubPLOs]:[SubPLOs]],"&gt;=3",tbl_task1[[SubPLOs]:[SubPLOs]],"&lt;4")</f>
        <v>0</v>
      </c>
      <c r="N36" s="138">
        <f>SUMIFS(tbl_task1[S9],tbl_task1[[SubPLOs]:[SubPLOs]],"&gt;=3",tbl_task1[[SubPLOs]:[SubPLOs]],"&lt;4")</f>
        <v>0</v>
      </c>
      <c r="O36" s="138">
        <f>SUMIFS(tbl_task1[S10],tbl_task1[[SubPLOs]:[SubPLOs]],"&gt;=3",tbl_task1[[SubPLOs]:[SubPLOs]],"&lt;4")</f>
        <v>0</v>
      </c>
      <c r="P36" s="138">
        <f>SUMIFS(tbl_task1[S11],tbl_task1[[SubPLOs]:[SubPLOs]],"&gt;=3",tbl_task1[[SubPLOs]:[SubPLOs]],"&lt;4")</f>
        <v>0</v>
      </c>
      <c r="Q36" s="138">
        <f>SUMIFS(tbl_task1[S12],tbl_task1[[SubPLOs]:[SubPLOs]],"&gt;=3",tbl_task1[[SubPLOs]:[SubPLOs]],"&lt;4")</f>
        <v>0</v>
      </c>
      <c r="R36" s="138">
        <f>SUMIFS(tbl_task1[S13],tbl_task1[[SubPLOs]:[SubPLOs]],"&gt;=3",tbl_task1[[SubPLOs]:[SubPLOs]],"&lt;4")</f>
        <v>0</v>
      </c>
      <c r="S36" s="138">
        <f>SUMIFS(tbl_task1[S14],tbl_task1[[SubPLOs]:[SubPLOs]],"&gt;=3",tbl_task1[[SubPLOs]:[SubPLOs]],"&lt;4")</f>
        <v>0</v>
      </c>
      <c r="T36" s="138">
        <f>SUMIFS(tbl_task1[S15],tbl_task1[[SubPLOs]:[SubPLOs]],"&gt;=3",tbl_task1[[SubPLOs]:[SubPLOs]],"&lt;4")</f>
        <v>0</v>
      </c>
      <c r="U36" s="138">
        <f>SUMIFS(tbl_task1[S16],tbl_task1[[SubPLOs]:[SubPLOs]],"&gt;=3",tbl_task1[[SubPLOs]:[SubPLOs]],"&lt;4")</f>
        <v>0</v>
      </c>
      <c r="V36" s="138">
        <f>SUMIFS(tbl_task1[S17],tbl_task1[[SubPLOs]:[SubPLOs]],"&gt;=3",tbl_task1[[SubPLOs]:[SubPLOs]],"&lt;4")</f>
        <v>0</v>
      </c>
      <c r="W36" s="138">
        <f>SUMIFS(tbl_task1[S18],tbl_task1[[SubPLOs]:[SubPLOs]],"&gt;=3",tbl_task1[[SubPLOs]:[SubPLOs]],"&lt;4")</f>
        <v>0</v>
      </c>
      <c r="X36" s="138">
        <f>SUMIFS(tbl_task1[S19],tbl_task1[[SubPLOs]:[SubPLOs]],"&gt;=3",tbl_task1[[SubPLOs]:[SubPLOs]],"&lt;4")</f>
        <v>0</v>
      </c>
      <c r="Y36" s="138">
        <f>SUMIFS(tbl_task1[S20],tbl_task1[[SubPLOs]:[SubPLOs]],"&gt;=3",tbl_task1[[SubPLOs]:[SubPLOs]],"&lt;4")</f>
        <v>0</v>
      </c>
      <c r="Z36" s="138">
        <f>SUMIFS(tbl_task1[S21],tbl_task1[[SubPLOs]:[SubPLOs]],"&gt;=3",tbl_task1[[SubPLOs]:[SubPLOs]],"&lt;4")</f>
        <v>0</v>
      </c>
      <c r="AA36" s="138">
        <f>SUMIFS(tbl_task1[S22],tbl_task1[[SubPLOs]:[SubPLOs]],"&gt;=3",tbl_task1[[SubPLOs]:[SubPLOs]],"&lt;4")</f>
        <v>0</v>
      </c>
      <c r="AB36" s="138">
        <f>SUMIFS(tbl_task1[S23],tbl_task1[[SubPLOs]:[SubPLOs]],"&gt;=3",tbl_task1[[SubPLOs]:[SubPLOs]],"&lt;4")</f>
        <v>0</v>
      </c>
      <c r="AC36" s="138">
        <f>SUMIFS(tbl_task1[S24],tbl_task1[[SubPLOs]:[SubPLOs]],"&gt;=3",tbl_task1[[SubPLOs]:[SubPLOs]],"&lt;4")</f>
        <v>0</v>
      </c>
      <c r="AD36" s="138">
        <f>SUMIFS(tbl_task1[S25],tbl_task1[[SubPLOs]:[SubPLOs]],"&gt;=3",tbl_task1[[SubPLOs]:[SubPLOs]],"&lt;4")</f>
        <v>0</v>
      </c>
      <c r="AE36" s="138">
        <f>SUMIFS(tbl_task1[S26],tbl_task1[[SubPLOs]:[SubPLOs]],"&gt;=3",tbl_task1[[SubPLOs]:[SubPLOs]],"&lt;4")</f>
        <v>0</v>
      </c>
      <c r="AF36" s="138">
        <f>SUMIFS(tbl_task1[S27],tbl_task1[[SubPLOs]:[SubPLOs]],"&gt;=3",tbl_task1[[SubPLOs]:[SubPLOs]],"&lt;4")</f>
        <v>0</v>
      </c>
      <c r="AG36" s="138">
        <f>SUMIFS(tbl_task1[S28],tbl_task1[[SubPLOs]:[SubPLOs]],"&gt;=3",tbl_task1[[SubPLOs]:[SubPLOs]],"&lt;4")</f>
        <v>0</v>
      </c>
      <c r="AH36" s="138">
        <f>SUMIFS(tbl_task1[S29],tbl_task1[[SubPLOs]:[SubPLOs]],"&gt;=3",tbl_task1[[SubPLOs]:[SubPLOs]],"&lt;4")</f>
        <v>0</v>
      </c>
      <c r="AI36" s="138">
        <f>SUMIFS(tbl_task1[S30],tbl_task1[[SubPLOs]:[SubPLOs]],"&gt;=3",tbl_task1[[SubPLOs]:[SubPLOs]],"&lt;4")</f>
        <v>0</v>
      </c>
      <c r="AJ36" s="138">
        <f>SUMIFS(tbl_task1[S31],tbl_task1[[SubPLOs]:[SubPLOs]],"&gt;=3",tbl_task1[[SubPLOs]:[SubPLOs]],"&lt;4")</f>
        <v>0</v>
      </c>
      <c r="AK36" s="138">
        <f>SUMIFS(tbl_task1[S32],tbl_task1[[SubPLOs]:[SubPLOs]],"&gt;=3",tbl_task1[[SubPLOs]:[SubPLOs]],"&lt;4")</f>
        <v>0</v>
      </c>
      <c r="AL36" s="138">
        <f>SUMIFS(tbl_task1[S33],tbl_task1[[SubPLOs]:[SubPLOs]],"&gt;=3",tbl_task1[[SubPLOs]:[SubPLOs]],"&lt;4")</f>
        <v>0</v>
      </c>
      <c r="AM36" s="138">
        <f>SUMIFS(tbl_task1[S34],tbl_task1[[SubPLOs]:[SubPLOs]],"&gt;=3",tbl_task1[[SubPLOs]:[SubPLOs]],"&lt;4")</f>
        <v>0</v>
      </c>
      <c r="AN36" s="138">
        <f>SUMIFS(tbl_task1[S35],tbl_task1[[SubPLOs]:[SubPLOs]],"&gt;=3",tbl_task1[[SubPLOs]:[SubPLOs]],"&lt;4")</f>
        <v>0</v>
      </c>
      <c r="AO36" s="138">
        <f>SUMIFS(tbl_task1[S36],tbl_task1[[SubPLOs]:[SubPLOs]],"&gt;=3",tbl_task1[[SubPLOs]:[SubPLOs]],"&lt;4")</f>
        <v>0</v>
      </c>
      <c r="AP36" s="138">
        <f>SUMIFS(tbl_task1[S37],tbl_task1[[SubPLOs]:[SubPLOs]],"&gt;=3",tbl_task1[[SubPLOs]:[SubPLOs]],"&lt;4")</f>
        <v>0</v>
      </c>
      <c r="AQ36" s="138">
        <f>SUMIFS(tbl_task1[S38],tbl_task1[[SubPLOs]:[SubPLOs]],"&gt;=3",tbl_task1[[SubPLOs]:[SubPLOs]],"&lt;4")</f>
        <v>0</v>
      </c>
      <c r="AR36" s="138">
        <f>SUMIFS(tbl_task1[S39],tbl_task1[[SubPLOs]:[SubPLOs]],"&gt;=3",tbl_task1[[SubPLOs]:[SubPLOs]],"&lt;4")</f>
        <v>0</v>
      </c>
      <c r="AS36" s="138">
        <f>SUMIFS(tbl_task1[S40],tbl_task1[[SubPLOs]:[SubPLOs]],"&gt;=3",tbl_task1[[SubPLOs]:[SubPLOs]],"&lt;4")</f>
        <v>0</v>
      </c>
      <c r="AT36" s="138">
        <f>SUMIFS(tbl_task1[S41],tbl_task1[[SubPLOs]:[SubPLOs]],"&gt;=3",tbl_task1[[SubPLOs]:[SubPLOs]],"&lt;4")</f>
        <v>0</v>
      </c>
      <c r="AU36" s="138">
        <f>SUMIFS(tbl_task1[S42],tbl_task1[[SubPLOs]:[SubPLOs]],"&gt;=3",tbl_task1[[SubPLOs]:[SubPLOs]],"&lt;4")</f>
        <v>0</v>
      </c>
      <c r="AV36" s="138">
        <f>SUMIFS(tbl_task1[S43],tbl_task1[[SubPLOs]:[SubPLOs]],"&gt;=3",tbl_task1[[SubPLOs]:[SubPLOs]],"&lt;4")</f>
        <v>0</v>
      </c>
      <c r="AW36" s="138">
        <f>SUMIFS(tbl_task1[S44],tbl_task1[[SubPLOs]:[SubPLOs]],"&gt;=3",tbl_task1[[SubPLOs]:[SubPLOs]],"&lt;4")</f>
        <v>0</v>
      </c>
      <c r="AX36" s="138">
        <f>SUMIFS(tbl_task1[S45],tbl_task1[[SubPLOs]:[SubPLOs]],"&gt;=3",tbl_task1[[SubPLOs]:[SubPLOs]],"&lt;4")</f>
        <v>0</v>
      </c>
      <c r="AY36" s="138">
        <f>SUMIFS(tbl_task1[S46],tbl_task1[[SubPLOs]:[SubPLOs]],"&gt;=3",tbl_task1[[SubPLOs]:[SubPLOs]],"&lt;4")</f>
        <v>0</v>
      </c>
      <c r="AZ36" s="138">
        <f>SUMIFS(tbl_task1[S47],tbl_task1[[SubPLOs]:[SubPLOs]],"&gt;=3",tbl_task1[[SubPLOs]:[SubPLOs]],"&lt;4")</f>
        <v>0</v>
      </c>
      <c r="BA36" s="138">
        <f>SUMIFS(tbl_task1[S48],tbl_task1[[SubPLOs]:[SubPLOs]],"&gt;=3",tbl_task1[[SubPLOs]:[SubPLOs]],"&lt;4")</f>
        <v>0</v>
      </c>
      <c r="BB36" s="138">
        <f>SUMIFS(tbl_task1[S49],tbl_task1[[SubPLOs]:[SubPLOs]],"&gt;=3",tbl_task1[[SubPLOs]:[SubPLOs]],"&lt;4")</f>
        <v>0</v>
      </c>
      <c r="BC36" s="138">
        <f>SUMIFS(tbl_task1[S50],tbl_task1[[SubPLOs]:[SubPLOs]],"&gt;=3",tbl_task1[[SubPLOs]:[SubPLOs]],"&lt;4")</f>
        <v>0</v>
      </c>
      <c r="BD36" s="138">
        <f>SUMIFS(tbl_task1[S51],tbl_task1[[SubPLOs]:[SubPLOs]],"&gt;=3",tbl_task1[[SubPLOs]:[SubPLOs]],"&lt;4")</f>
        <v>0</v>
      </c>
      <c r="BE36" s="138">
        <f>SUMIFS(tbl_task1[S52],tbl_task1[[SubPLOs]:[SubPLOs]],"&gt;=3",tbl_task1[[SubPLOs]:[SubPLOs]],"&lt;4")</f>
        <v>0</v>
      </c>
      <c r="BF36" s="138">
        <f>SUMIFS(tbl_task1[S53],tbl_task1[[SubPLOs]:[SubPLOs]],"&gt;=3",tbl_task1[[SubPLOs]:[SubPLOs]],"&lt;4")</f>
        <v>0</v>
      </c>
      <c r="BG36" s="138">
        <f>SUMIFS(tbl_task1[S54],tbl_task1[[SubPLOs]:[SubPLOs]],"&gt;=3",tbl_task1[[SubPLOs]:[SubPLOs]],"&lt;4")</f>
        <v>0</v>
      </c>
      <c r="BH36" s="138">
        <f>SUMIFS(tbl_task1[S55],tbl_task1[[SubPLOs]:[SubPLOs]],"&gt;=3",tbl_task1[[SubPLOs]:[SubPLOs]],"&lt;4")</f>
        <v>0</v>
      </c>
      <c r="BI36" s="138">
        <f>SUMIFS(tbl_task1[S56],tbl_task1[[SubPLOs]:[SubPLOs]],"&gt;=3",tbl_task1[[SubPLOs]:[SubPLOs]],"&lt;4")</f>
        <v>0</v>
      </c>
      <c r="BJ36" s="138">
        <f>SUMIFS(tbl_task1[S57],tbl_task1[[SubPLOs]:[SubPLOs]],"&gt;=3",tbl_task1[[SubPLOs]:[SubPLOs]],"&lt;4")</f>
        <v>0</v>
      </c>
      <c r="BK36" s="138">
        <f>SUMIFS(tbl_task1[S58],tbl_task1[[SubPLOs]:[SubPLOs]],"&gt;=3",tbl_task1[[SubPLOs]:[SubPLOs]],"&lt;4")</f>
        <v>0</v>
      </c>
      <c r="BL36" s="138">
        <f>SUMIFS(tbl_task1[S59],tbl_task1[[SubPLOs]:[SubPLOs]],"&gt;=3",tbl_task1[[SubPLOs]:[SubPLOs]],"&lt;4")</f>
        <v>0</v>
      </c>
      <c r="BM36" s="138">
        <f>SUMIFS(tbl_task1[S60],tbl_task1[[SubPLOs]:[SubPLOs]],"&gt;=3",tbl_task1[[SubPLOs]:[SubPLOs]],"&lt;4")</f>
        <v>0</v>
      </c>
      <c r="BN36" s="138">
        <f>SUMIFS(tbl_task1[S61],tbl_task1[[SubPLOs]:[SubPLOs]],"&gt;=3",tbl_task1[[SubPLOs]:[SubPLOs]],"&lt;4")</f>
        <v>0</v>
      </c>
      <c r="BO36" s="138">
        <f>SUMIFS(tbl_task1[S62],tbl_task1[[SubPLOs]:[SubPLOs]],"&gt;=3",tbl_task1[[SubPLOs]:[SubPLOs]],"&lt;4")</f>
        <v>0</v>
      </c>
      <c r="BP36" s="138">
        <f>SUMIFS(tbl_task1[S63],tbl_task1[[SubPLOs]:[SubPLOs]],"&gt;=3",tbl_task1[[SubPLOs]:[SubPLOs]],"&lt;4")</f>
        <v>0</v>
      </c>
      <c r="BQ36" s="138">
        <f>SUMIFS(tbl_task1[S64],tbl_task1[[SubPLOs]:[SubPLOs]],"&gt;=3",tbl_task1[[SubPLOs]:[SubPLOs]],"&lt;4")</f>
        <v>0</v>
      </c>
      <c r="BR36" s="138">
        <f>SUMIFS(tbl_task1[S65],tbl_task1[[SubPLOs]:[SubPLOs]],"&gt;=3",tbl_task1[[SubPLOs]:[SubPLOs]],"&lt;4")</f>
        <v>0</v>
      </c>
      <c r="BS36" s="138">
        <f>SUMIFS(tbl_task1[S66],tbl_task1[[SubPLOs]:[SubPLOs]],"&gt;=3",tbl_task1[[SubPLOs]:[SubPLOs]],"&lt;4")</f>
        <v>0</v>
      </c>
      <c r="BT36" s="138">
        <f>SUMIFS(tbl_task1[S67],tbl_task1[[SubPLOs]:[SubPLOs]],"&gt;=3",tbl_task1[[SubPLOs]:[SubPLOs]],"&lt;4")</f>
        <v>0</v>
      </c>
      <c r="BU36" s="138">
        <f>SUMIFS(tbl_task1[S68],tbl_task1[[SubPLOs]:[SubPLOs]],"&gt;=3",tbl_task1[[SubPLOs]:[SubPLOs]],"&lt;4")</f>
        <v>0</v>
      </c>
      <c r="BV36" s="138">
        <f>SUMIFS(tbl_task1[S69],tbl_task1[[SubPLOs]:[SubPLOs]],"&gt;=3",tbl_task1[[SubPLOs]:[SubPLOs]],"&lt;4")</f>
        <v>0</v>
      </c>
      <c r="BW36" s="138">
        <f>SUMIFS(tbl_task1[S70],tbl_task1[[SubPLOs]:[SubPLOs]],"&gt;=3",tbl_task1[[SubPLOs]:[SubPLOs]],"&lt;4")</f>
        <v>0</v>
      </c>
      <c r="BX36" s="138">
        <f>SUMIFS(tbl_task1[S71],tbl_task1[[SubPLOs]:[SubPLOs]],"&gt;=3",tbl_task1[[SubPLOs]:[SubPLOs]],"&lt;4")</f>
        <v>0</v>
      </c>
      <c r="BY36" s="138">
        <f>SUMIFS(tbl_task1[S72],tbl_task1[[SubPLOs]:[SubPLOs]],"&gt;=3",tbl_task1[[SubPLOs]:[SubPLOs]],"&lt;4")</f>
        <v>0</v>
      </c>
      <c r="BZ36" s="138">
        <f>SUMIFS(tbl_task1[S73],tbl_task1[[SubPLOs]:[SubPLOs]],"&gt;=3",tbl_task1[[SubPLOs]:[SubPLOs]],"&lt;4")</f>
        <v>0</v>
      </c>
      <c r="CA36" s="138">
        <f>SUMIFS(tbl_task1[S74],tbl_task1[[SubPLOs]:[SubPLOs]],"&gt;=3",tbl_task1[[SubPLOs]:[SubPLOs]],"&lt;4")</f>
        <v>0</v>
      </c>
      <c r="CB36" s="138">
        <f>SUMIFS(tbl_task1[S75],tbl_task1[[SubPLOs]:[SubPLOs]],"&gt;=3",tbl_task1[[SubPLOs]:[SubPLOs]],"&lt;4")</f>
        <v>0</v>
      </c>
      <c r="CC36" s="138">
        <f>SUMIFS(tbl_task1[S76],tbl_task1[[SubPLOs]:[SubPLOs]],"&gt;=3",tbl_task1[[SubPLOs]:[SubPLOs]],"&lt;4")</f>
        <v>0</v>
      </c>
      <c r="CD36" s="138">
        <f>SUMIFS(tbl_task1[S77],tbl_task1[[SubPLOs]:[SubPLOs]],"&gt;=3",tbl_task1[[SubPLOs]:[SubPLOs]],"&lt;4")</f>
        <v>0</v>
      </c>
      <c r="CE36" s="138">
        <f>SUMIFS(tbl_task1[S78],tbl_task1[[SubPLOs]:[SubPLOs]],"&gt;=3",tbl_task1[[SubPLOs]:[SubPLOs]],"&lt;4")</f>
        <v>0</v>
      </c>
      <c r="CF36" s="138">
        <f>SUMIFS(tbl_task1[S79],tbl_task1[[SubPLOs]:[SubPLOs]],"&gt;=3",tbl_task1[[SubPLOs]:[SubPLOs]],"&lt;4")</f>
        <v>0</v>
      </c>
      <c r="CG36" s="138">
        <f>SUMIFS(tbl_task1[S80],tbl_task1[[SubPLOs]:[SubPLOs]],"&gt;=3",tbl_task1[[SubPLOs]:[SubPLOs]],"&lt;4")</f>
        <v>0</v>
      </c>
      <c r="CH36" s="138">
        <f>SUMIFS(tbl_task1[S81],tbl_task1[[SubPLOs]:[SubPLOs]],"&gt;=3",tbl_task1[[SubPLOs]:[SubPLOs]],"&lt;4")</f>
        <v>0</v>
      </c>
      <c r="CI36" s="138">
        <f>SUMIFS(tbl_task1[S82],tbl_task1[[SubPLOs]:[SubPLOs]],"&gt;=3",tbl_task1[[SubPLOs]:[SubPLOs]],"&lt;4")</f>
        <v>0</v>
      </c>
      <c r="CJ36" s="138">
        <f>SUMIFS(tbl_task1[S83],tbl_task1[[SubPLOs]:[SubPLOs]],"&gt;=3",tbl_task1[[SubPLOs]:[SubPLOs]],"&lt;4")</f>
        <v>0</v>
      </c>
      <c r="CK36" s="138">
        <f>SUMIFS(tbl_task1[S84],tbl_task1[[SubPLOs]:[SubPLOs]],"&gt;=3",tbl_task1[[SubPLOs]:[SubPLOs]],"&lt;4")</f>
        <v>0</v>
      </c>
      <c r="CL36" s="138">
        <f>SUMIFS(tbl_task1[S85],tbl_task1[[SubPLOs]:[SubPLOs]],"&gt;=3",tbl_task1[[SubPLOs]:[SubPLOs]],"&lt;4")</f>
        <v>0</v>
      </c>
      <c r="CM36" s="138">
        <f>SUMIFS(tbl_task1[S86],tbl_task1[[SubPLOs]:[SubPLOs]],"&gt;=3",tbl_task1[[SubPLOs]:[SubPLOs]],"&lt;4")</f>
        <v>0</v>
      </c>
      <c r="CN36" s="138">
        <f>SUMIFS(tbl_task1[S87],tbl_task1[[SubPLOs]:[SubPLOs]],"&gt;=3",tbl_task1[[SubPLOs]:[SubPLOs]],"&lt;4")</f>
        <v>0</v>
      </c>
      <c r="CO36" s="138">
        <f>SUMIFS(tbl_task1[S88],tbl_task1[[SubPLOs]:[SubPLOs]],"&gt;=3",tbl_task1[[SubPLOs]:[SubPLOs]],"&lt;4")</f>
        <v>0</v>
      </c>
      <c r="CP36" s="138">
        <f>SUMIFS(tbl_task1[S89],tbl_task1[[SubPLOs]:[SubPLOs]],"&gt;=3",tbl_task1[[SubPLOs]:[SubPLOs]],"&lt;4")</f>
        <v>0</v>
      </c>
      <c r="CQ36" s="138">
        <f>SUMIFS(tbl_task1[S90],tbl_task1[[SubPLOs]:[SubPLOs]],"&gt;=3",tbl_task1[[SubPLOs]:[SubPLOs]],"&lt;4")</f>
        <v>0</v>
      </c>
      <c r="CR36" s="138">
        <f>SUMIFS(tbl_task1[S91],tbl_task1[[SubPLOs]:[SubPLOs]],"&gt;=3",tbl_task1[[SubPLOs]:[SubPLOs]],"&lt;4")</f>
        <v>0</v>
      </c>
      <c r="CS36" s="138">
        <f>SUMIFS(tbl_task1[S92],tbl_task1[[SubPLOs]:[SubPLOs]],"&gt;=3",tbl_task1[[SubPLOs]:[SubPLOs]],"&lt;4")</f>
        <v>0</v>
      </c>
      <c r="CT36" s="138">
        <f>SUMIFS(tbl_task1[S93],tbl_task1[[SubPLOs]:[SubPLOs]],"&gt;=3",tbl_task1[[SubPLOs]:[SubPLOs]],"&lt;4")</f>
        <v>0</v>
      </c>
      <c r="CU36" s="138">
        <f>SUMIFS(tbl_task1[S94],tbl_task1[[SubPLOs]:[SubPLOs]],"&gt;=3",tbl_task1[[SubPLOs]:[SubPLOs]],"&lt;4")</f>
        <v>0</v>
      </c>
      <c r="CV36" s="138">
        <f>SUMIFS(tbl_task1[S95],tbl_task1[[SubPLOs]:[SubPLOs]],"&gt;=3",tbl_task1[[SubPLOs]:[SubPLOs]],"&lt;4")</f>
        <v>0</v>
      </c>
      <c r="CW36" s="138">
        <f>SUMIFS(tbl_task1[S96],tbl_task1[[SubPLOs]:[SubPLOs]],"&gt;=3",tbl_task1[[SubPLOs]:[SubPLOs]],"&lt;4")</f>
        <v>0</v>
      </c>
      <c r="CX36" s="138">
        <f>SUMIFS(tbl_task1[S97],tbl_task1[[SubPLOs]:[SubPLOs]],"&gt;=3",tbl_task1[[SubPLOs]:[SubPLOs]],"&lt;4")</f>
        <v>0</v>
      </c>
      <c r="CY36" s="138">
        <f>SUMIFS(tbl_task1[S98],tbl_task1[[SubPLOs]:[SubPLOs]],"&gt;=3",tbl_task1[[SubPLOs]:[SubPLOs]],"&lt;4")</f>
        <v>0</v>
      </c>
      <c r="CZ36" s="138">
        <f>SUMIFS(tbl_task1[S99],tbl_task1[[SubPLOs]:[SubPLOs]],"&gt;=3",tbl_task1[[SubPLOs]:[SubPLOs]],"&lt;4")</f>
        <v>0</v>
      </c>
      <c r="DA36" s="138">
        <f>SUMIFS(tbl_task1[S100],tbl_task1[[SubPLOs]:[SubPLOs]],"&gt;=3",tbl_task1[[SubPLOs]:[SubPLOs]],"&lt;4")</f>
        <v>0</v>
      </c>
      <c r="DB36" s="138">
        <f>SUMIFS(tbl_task1[S101],tbl_task1[[SubPLOs]:[SubPLOs]],"&gt;=3",tbl_task1[[SubPLOs]:[SubPLOs]],"&lt;4")</f>
        <v>0</v>
      </c>
      <c r="DC36" s="138">
        <f>SUMIFS(tbl_task1[S102],tbl_task1[[SubPLOs]:[SubPLOs]],"&gt;=3",tbl_task1[[SubPLOs]:[SubPLOs]],"&lt;4")</f>
        <v>0</v>
      </c>
      <c r="DD36" s="138">
        <f>SUMIFS(tbl_task1[S103],tbl_task1[[SubPLOs]:[SubPLOs]],"&gt;=3",tbl_task1[[SubPLOs]:[SubPLOs]],"&lt;4")</f>
        <v>0</v>
      </c>
      <c r="DE36" s="138">
        <f>SUMIFS(tbl_task1[S104],tbl_task1[[SubPLOs]:[SubPLOs]],"&gt;=3",tbl_task1[[SubPLOs]:[SubPLOs]],"&lt;4")</f>
        <v>0</v>
      </c>
      <c r="DF36" s="138">
        <f>SUMIFS(tbl_task1[S105],tbl_task1[[SubPLOs]:[SubPLOs]],"&gt;=3",tbl_task1[[SubPLOs]:[SubPLOs]],"&lt;4")</f>
        <v>0</v>
      </c>
      <c r="DG36" s="138">
        <f>SUMIFS(tbl_task1[S106],tbl_task1[[SubPLOs]:[SubPLOs]],"&gt;=3",tbl_task1[[SubPLOs]:[SubPLOs]],"&lt;4")</f>
        <v>0</v>
      </c>
      <c r="DH36" s="138">
        <f>SUMIFS(tbl_task1[S106],tbl_task1[[SubPLOs]:[SubPLOs]],"&gt;=3",tbl_task1[[SubPLOs]:[SubPLOs]],"&lt;4")</f>
        <v>0</v>
      </c>
      <c r="DI36" s="138">
        <f>SUMIFS(tbl_task1[S108],tbl_task1[[SubPLOs]:[SubPLOs]],"&gt;=3",tbl_task1[[SubPLOs]:[SubPLOs]],"&lt;4")</f>
        <v>0</v>
      </c>
      <c r="DJ36" s="138">
        <f>SUMIFS(tbl_task1[S109],tbl_task1[[SubPLOs]:[SubPLOs]],"&gt;=3",tbl_task1[[SubPLOs]:[SubPLOs]],"&lt;4")</f>
        <v>0</v>
      </c>
      <c r="DK36" s="138">
        <f>SUMIFS(tbl_task1[S110],tbl_task1[[SubPLOs]:[SubPLOs]],"&gt;=3",tbl_task1[[SubPLOs]:[SubPLOs]],"&lt;4")</f>
        <v>0</v>
      </c>
      <c r="DL36" s="138">
        <f>SUMIFS(tbl_task1[S111],tbl_task1[[SubPLOs]:[SubPLOs]],"&gt;=3",tbl_task1[[SubPLOs]:[SubPLOs]],"&lt;4")</f>
        <v>0</v>
      </c>
      <c r="DM36" s="138">
        <f>SUMIFS(tbl_task1[S112],tbl_task1[[SubPLOs]:[SubPLOs]],"&gt;=3",tbl_task1[[SubPLOs]:[SubPLOs]],"&lt;4")</f>
        <v>0</v>
      </c>
      <c r="DN36" s="138">
        <f>SUMIFS(tbl_task1[S113],tbl_task1[[SubPLOs]:[SubPLOs]],"&gt;=3",tbl_task1[[SubPLOs]:[SubPLOs]],"&lt;4")</f>
        <v>0</v>
      </c>
      <c r="DO36" s="138">
        <f>SUMIFS(tbl_task1[S114],tbl_task1[[SubPLOs]:[SubPLOs]],"&gt;=3",tbl_task1[[SubPLOs]:[SubPLOs]],"&lt;4")</f>
        <v>0</v>
      </c>
      <c r="DP36" s="138">
        <f>SUMIFS(tbl_task1[S115],tbl_task1[[SubPLOs]:[SubPLOs]],"&gt;=3",tbl_task1[[SubPLOs]:[SubPLOs]],"&lt;4")</f>
        <v>0</v>
      </c>
      <c r="DQ36" s="138">
        <f>SUMIFS(tbl_task1[S116],tbl_task1[[SubPLOs]:[SubPLOs]],"&gt;=3",tbl_task1[[SubPLOs]:[SubPLOs]],"&lt;4")</f>
        <v>0</v>
      </c>
      <c r="DR36" s="138">
        <f>SUMIFS(tbl_task1[S117],tbl_task1[[SubPLOs]:[SubPLOs]],"&gt;=3",tbl_task1[[SubPLOs]:[SubPLOs]],"&lt;4")</f>
        <v>0</v>
      </c>
      <c r="DS36" s="138">
        <f>SUMIFS(tbl_task1[S118],tbl_task1[[SubPLOs]:[SubPLOs]],"&gt;=3",tbl_task1[[SubPLOs]:[SubPLOs]],"&lt;4")</f>
        <v>0</v>
      </c>
      <c r="DT36" s="138">
        <f>SUMIFS(tbl_task1[S119],tbl_task1[[SubPLOs]:[SubPLOs]],"&gt;=3",tbl_task1[[SubPLOs]:[SubPLOs]],"&lt;4")</f>
        <v>0</v>
      </c>
      <c r="DU36" s="138">
        <f>SUMIFS(tbl_task1[S120],tbl_task1[[SubPLOs]:[SubPLOs]],"&gt;=3",tbl_task1[[SubPLOs]:[SubPLOs]],"&lt;4")</f>
        <v>0</v>
      </c>
      <c r="DV36" s="138">
        <f>SUMIFS(tbl_task1[S121],tbl_task1[[SubPLOs]:[SubPLOs]],"&gt;=3",tbl_task1[[SubPLOs]:[SubPLOs]],"&lt;4")</f>
        <v>0</v>
      </c>
      <c r="DW36" s="138">
        <f>SUMIFS(tbl_task1[S122],tbl_task1[[SubPLOs]:[SubPLOs]],"&gt;=3",tbl_task1[[SubPLOs]:[SubPLOs]],"&lt;4")</f>
        <v>0</v>
      </c>
      <c r="DX36" s="138">
        <f>SUMIFS(tbl_task1[S123],tbl_task1[[SubPLOs]:[SubPLOs]],"&gt;=3",tbl_task1[[SubPLOs]:[SubPLOs]],"&lt;4")</f>
        <v>0</v>
      </c>
      <c r="DY36" s="138">
        <f>SUMIFS(tbl_task1[S124],tbl_task1[[SubPLOs]:[SubPLOs]],"&gt;=3",tbl_task1[[SubPLOs]:[SubPLOs]],"&lt;4")</f>
        <v>0</v>
      </c>
      <c r="DZ36" s="138">
        <f>SUMIFS(tbl_task1[S125],tbl_task1[[SubPLOs]:[SubPLOs]],"&gt;=3",tbl_task1[[SubPLOs]:[SubPLOs]],"&lt;4")</f>
        <v>0</v>
      </c>
      <c r="EA36" s="138">
        <f>SUMIFS(tbl_task1[S126],tbl_task1[[SubPLOs]:[SubPLOs]],"&gt;=3",tbl_task1[[SubPLOs]:[SubPLOs]],"&lt;4")</f>
        <v>0</v>
      </c>
      <c r="EB36" s="138">
        <f>SUMIFS(tbl_task1[S127],tbl_task1[[SubPLOs]:[SubPLOs]],"&gt;=3",tbl_task1[[SubPLOs]:[SubPLOs]],"&lt;4")</f>
        <v>0</v>
      </c>
      <c r="EC36" s="138">
        <f>SUMIFS(tbl_task1[S128],tbl_task1[[SubPLOs]:[SubPLOs]],"&gt;=3",tbl_task1[[SubPLOs]:[SubPLOs]],"&lt;4")</f>
        <v>0</v>
      </c>
      <c r="ED36" s="138">
        <f>SUMIFS(tbl_task1[S129],tbl_task1[[SubPLOs]:[SubPLOs]],"&gt;=3",tbl_task1[[SubPLOs]:[SubPLOs]],"&lt;4")</f>
        <v>0</v>
      </c>
      <c r="EE36" s="138">
        <f>SUMIFS(tbl_task1[S130],tbl_task1[[SubPLOs]:[SubPLOs]],"&gt;=3",tbl_task1[[SubPLOs]:[SubPLOs]],"&lt;4")</f>
        <v>0</v>
      </c>
      <c r="EF36" s="138">
        <f>SUMIFS(tbl_task1[S131],tbl_task1[[SubPLOs]:[SubPLOs]],"&gt;=3",tbl_task1[[SubPLOs]:[SubPLOs]],"&lt;4")</f>
        <v>0</v>
      </c>
      <c r="EG36" s="138">
        <f>SUMIFS(tbl_task1[S132],tbl_task1[[SubPLOs]:[SubPLOs]],"&gt;=3",tbl_task1[[SubPLOs]:[SubPLOs]],"&lt;4")</f>
        <v>0</v>
      </c>
      <c r="EH36" s="138">
        <f>SUMIFS(tbl_task1[S133],tbl_task1[[SubPLOs]:[SubPLOs]],"&gt;=3",tbl_task1[[SubPLOs]:[SubPLOs]],"&lt;4")</f>
        <v>0</v>
      </c>
      <c r="EI36" s="138">
        <f>SUMIFS(tbl_task1[S134],tbl_task1[[SubPLOs]:[SubPLOs]],"&gt;=3",tbl_task1[[SubPLOs]:[SubPLOs]],"&lt;4")</f>
        <v>0</v>
      </c>
      <c r="EJ36" s="138">
        <f>SUMIFS(tbl_task1[S135],tbl_task1[[SubPLOs]:[SubPLOs]],"&gt;=3",tbl_task1[[SubPLOs]:[SubPLOs]],"&lt;4")</f>
        <v>0</v>
      </c>
      <c r="EK36" s="138">
        <f>SUMIFS(tbl_task1[S136],tbl_task1[[SubPLOs]:[SubPLOs]],"&gt;=3",tbl_task1[[SubPLOs]:[SubPLOs]],"&lt;4")</f>
        <v>0</v>
      </c>
      <c r="EL36" s="138">
        <f>SUMIFS(tbl_task1[S137],tbl_task1[[SubPLOs]:[SubPLOs]],"&gt;=3",tbl_task1[[SubPLOs]:[SubPLOs]],"&lt;4")</f>
        <v>0</v>
      </c>
      <c r="EM36" s="138">
        <f>SUMIFS(tbl_task1[S138],tbl_task1[[SubPLOs]:[SubPLOs]],"&gt;=3",tbl_task1[[SubPLOs]:[SubPLOs]],"&lt;4")</f>
        <v>0</v>
      </c>
      <c r="EN36" s="138">
        <f>SUMIFS(tbl_task1[S139],tbl_task1[[SubPLOs]:[SubPLOs]],"&gt;=3",tbl_task1[[SubPLOs]:[SubPLOs]],"&lt;4")</f>
        <v>0</v>
      </c>
      <c r="EO36" s="138">
        <f>SUMIFS(tbl_task1[S140],tbl_task1[[SubPLOs]:[SubPLOs]],"&gt;=3",tbl_task1[[SubPLOs]:[SubPLOs]],"&lt;4")</f>
        <v>0</v>
      </c>
      <c r="EP36" s="138">
        <f>SUMIFS(tbl_task1[S141],tbl_task1[[SubPLOs]:[SubPLOs]],"&gt;=3",tbl_task1[[SubPLOs]:[SubPLOs]],"&lt;4")</f>
        <v>0</v>
      </c>
      <c r="EQ36" s="138">
        <f>SUMIFS(tbl_task1[S142],tbl_task1[[SubPLOs]:[SubPLOs]],"&gt;=3",tbl_task1[[SubPLOs]:[SubPLOs]],"&lt;4")</f>
        <v>0</v>
      </c>
      <c r="ER36" s="138">
        <f>SUMIFS(tbl_task1[S143],tbl_task1[[SubPLOs]:[SubPLOs]],"&gt;=3",tbl_task1[[SubPLOs]:[SubPLOs]],"&lt;4")</f>
        <v>0</v>
      </c>
      <c r="ES36" s="138">
        <f>SUMIFS(tbl_task1[S144],tbl_task1[[SubPLOs]:[SubPLOs]],"&gt;=3",tbl_task1[[SubPLOs]:[SubPLOs]],"&lt;4")</f>
        <v>0</v>
      </c>
      <c r="ET36" s="138">
        <f>SUMIFS(tbl_task1[S145],tbl_task1[[SubPLOs]:[SubPLOs]],"&gt;=3",tbl_task1[[SubPLOs]:[SubPLOs]],"&lt;4")</f>
        <v>0</v>
      </c>
      <c r="EU36" s="138">
        <f>SUMIFS(tbl_task1[S146],tbl_task1[[SubPLOs]:[SubPLOs]],"&gt;=3",tbl_task1[[SubPLOs]:[SubPLOs]],"&lt;4")</f>
        <v>0</v>
      </c>
      <c r="EV36" s="138">
        <f>SUMIFS(tbl_task1[S147],tbl_task1[[SubPLOs]:[SubPLOs]],"&gt;=3",tbl_task1[[SubPLOs]:[SubPLOs]],"&lt;4")</f>
        <v>0</v>
      </c>
      <c r="EW36" s="138">
        <f>SUMIFS(tbl_task1[S148],tbl_task1[[SubPLOs]:[SubPLOs]],"&gt;=3",tbl_task1[[SubPLOs]:[SubPLOs]],"&lt;4")</f>
        <v>0</v>
      </c>
      <c r="EX36" s="138">
        <f>SUMIFS(tbl_task1[S149],tbl_task1[[SubPLOs]:[SubPLOs]],"&gt;=3",tbl_task1[[SubPLOs]:[SubPLOs]],"&lt;4")</f>
        <v>0</v>
      </c>
      <c r="EY36" s="138">
        <f>SUMIFS(tbl_task1[S150],tbl_task1[[SubPLOs]:[SubPLOs]],"&gt;=3",tbl_task1[[SubPLOs]:[SubPLOs]],"&lt;4")</f>
        <v>0</v>
      </c>
      <c r="EZ36" s="138">
        <f>SUMIFS(tbl_task1[S151],tbl_task1[[SubPLOs]:[SubPLOs]],"&gt;=3",tbl_task1[[SubPLOs]:[SubPLOs]],"&lt;4")</f>
        <v>0</v>
      </c>
      <c r="FA36" s="138">
        <f>SUMIFS(tbl_task1[S152],tbl_task1[[SubPLOs]:[SubPLOs]],"&gt;=3",tbl_task1[[SubPLOs]:[SubPLOs]],"&lt;4")</f>
        <v>0</v>
      </c>
      <c r="FB36" s="138">
        <f>SUMIFS(tbl_task1[S153],tbl_task1[[SubPLOs]:[SubPLOs]],"&gt;=3",tbl_task1[[SubPLOs]:[SubPLOs]],"&lt;4")</f>
        <v>0</v>
      </c>
      <c r="FC36" s="138">
        <f>SUMIFS(tbl_task1[S154],tbl_task1[[SubPLOs]:[SubPLOs]],"&gt;=3",tbl_task1[[SubPLOs]:[SubPLOs]],"&lt;4")</f>
        <v>0</v>
      </c>
      <c r="FD36" s="138">
        <f>SUMIFS(tbl_task1[S155],tbl_task1[[SubPLOs]:[SubPLOs]],"&gt;=3",tbl_task1[[SubPLOs]:[SubPLOs]],"&lt;4")</f>
        <v>0</v>
      </c>
      <c r="FE36" s="138">
        <f>SUMIFS(tbl_task1[S156],tbl_task1[[SubPLOs]:[SubPLOs]],"&gt;=3",tbl_task1[[SubPLOs]:[SubPLOs]],"&lt;4")</f>
        <v>0</v>
      </c>
      <c r="FF36" s="138">
        <f>SUMIFS(tbl_task1[S157],tbl_task1[[SubPLOs]:[SubPLOs]],"&gt;=3",tbl_task1[[SubPLOs]:[SubPLOs]],"&lt;4")</f>
        <v>0</v>
      </c>
      <c r="FG36" s="138">
        <f>SUMIFS(tbl_task1[S158],tbl_task1[[SubPLOs]:[SubPLOs]],"&gt;=3",tbl_task1[[SubPLOs]:[SubPLOs]],"&lt;4")</f>
        <v>0</v>
      </c>
      <c r="FH36" s="138">
        <f>SUMIFS(tbl_task1[S159],tbl_task1[[SubPLOs]:[SubPLOs]],"&gt;=3",tbl_task1[[SubPLOs]:[SubPLOs]],"&lt;4")</f>
        <v>0</v>
      </c>
      <c r="FI36" s="138">
        <f>SUMIFS(tbl_task1[S160],tbl_task1[[SubPLOs]:[SubPLOs]],"&gt;=3",tbl_task1[[SubPLOs]:[SubPLOs]],"&lt;4")</f>
        <v>0</v>
      </c>
      <c r="FJ36" s="138">
        <f>SUMIFS(tbl_task1[S161],tbl_task1[[SubPLOs]:[SubPLOs]],"&gt;=3",tbl_task1[[SubPLOs]:[SubPLOs]],"&lt;4")</f>
        <v>0</v>
      </c>
      <c r="FK36" s="138">
        <f>SUMIFS(tbl_task1[S162],tbl_task1[[SubPLOs]:[SubPLOs]],"&gt;=3",tbl_task1[[SubPLOs]:[SubPLOs]],"&lt;4")</f>
        <v>0</v>
      </c>
      <c r="FL36" s="138">
        <f>SUMIFS(tbl_task1[S163],tbl_task1[[SubPLOs]:[SubPLOs]],"&gt;=3",tbl_task1[[SubPLOs]:[SubPLOs]],"&lt;4")</f>
        <v>0</v>
      </c>
      <c r="FM36" s="138">
        <f>SUMIFS(tbl_task1[S164],tbl_task1[[SubPLOs]:[SubPLOs]],"&gt;=3",tbl_task1[[SubPLOs]:[SubPLOs]],"&lt;4")</f>
        <v>0</v>
      </c>
      <c r="FN36" s="138">
        <f>SUMIFS(tbl_task1[S165],tbl_task1[[SubPLOs]:[SubPLOs]],"&gt;=3",tbl_task1[[SubPLOs]:[SubPLOs]],"&lt;4")</f>
        <v>0</v>
      </c>
    </row>
    <row r="37" spans="1:170" ht="63" x14ac:dyDescent="0.25">
      <c r="A37" s="135">
        <v>4</v>
      </c>
      <c r="B37" s="5" t="s">
        <v>437</v>
      </c>
      <c r="C37" s="136">
        <f>COUNTIFS(tbl_task1[SubPLOs],"&gt;=4",tbl_task1[SubPLOs],"&lt;5")</f>
        <v>0</v>
      </c>
      <c r="D37" s="136">
        <f>SUMIFS(tbl_task1[คะแนนเต็ม],tbl_task1[SubPLOs],"&gt;=4",tbl_task1[SubPLOs],"&lt;5")</f>
        <v>0</v>
      </c>
      <c r="E37" s="137">
        <f>SUMIFS(tbl_task1[%],tbl_task1[SubPLOs],"&gt;=4",tbl_task1[SubPLOs],"&lt;5")</f>
        <v>0</v>
      </c>
      <c r="F37" s="138">
        <f>SUMIFS(tbl_task1[S1],tbl_task1[[SubPLOs]:[SubPLOs]],"&gt;=4",tbl_task1[[SubPLOs]:[SubPLOs]],"&lt;5")</f>
        <v>0</v>
      </c>
      <c r="G37" s="138">
        <f>SUMIFS(tbl_task1[S2],tbl_task1[[SubPLOs]:[SubPLOs]],"&gt;=4",tbl_task1[[SubPLOs]:[SubPLOs]],"&lt;5")</f>
        <v>0</v>
      </c>
      <c r="H37" s="138">
        <f>SUMIFS(tbl_task1[S3],tbl_task1[[SubPLOs]:[SubPLOs]],"&gt;=4",tbl_task1[[SubPLOs]:[SubPLOs]],"&lt;5")</f>
        <v>0</v>
      </c>
      <c r="I37" s="138">
        <f>SUMIFS(tbl_task1[S4],tbl_task1[[SubPLOs]:[SubPLOs]],"&gt;=4",tbl_task1[[SubPLOs]:[SubPLOs]],"&lt;5")</f>
        <v>0</v>
      </c>
      <c r="J37" s="138">
        <f>SUMIFS(tbl_task1[S5],tbl_task1[[SubPLOs]:[SubPLOs]],"&gt;=4",tbl_task1[[SubPLOs]:[SubPLOs]],"&lt;5")</f>
        <v>0</v>
      </c>
      <c r="K37" s="138">
        <f>SUMIFS(tbl_task1[S6],tbl_task1[[SubPLOs]:[SubPLOs]],"&gt;=4",tbl_task1[[SubPLOs]:[SubPLOs]],"&lt;5")</f>
        <v>0</v>
      </c>
      <c r="L37" s="138">
        <f>SUMIFS(tbl_task1[S7],tbl_task1[[SubPLOs]:[SubPLOs]],"&gt;=4",tbl_task1[[SubPLOs]:[SubPLOs]],"&lt;5")</f>
        <v>0</v>
      </c>
      <c r="M37" s="138">
        <f>SUMIFS(tbl_task1[S8],tbl_task1[[SubPLOs]:[SubPLOs]],"&gt;=4",tbl_task1[[SubPLOs]:[SubPLOs]],"&lt;5")</f>
        <v>0</v>
      </c>
      <c r="N37" s="138">
        <f>SUMIFS(tbl_task1[S9],tbl_task1[[SubPLOs]:[SubPLOs]],"&gt;=4",tbl_task1[[SubPLOs]:[SubPLOs]],"&lt;5")</f>
        <v>0</v>
      </c>
      <c r="O37" s="138">
        <f>SUMIFS(tbl_task1[S10],tbl_task1[[SubPLOs]:[SubPLOs]],"&gt;=4",tbl_task1[[SubPLOs]:[SubPLOs]],"&lt;5")</f>
        <v>0</v>
      </c>
      <c r="P37" s="138">
        <f>SUMIFS(tbl_task1[S11],tbl_task1[[SubPLOs]:[SubPLOs]],"&gt;=4",tbl_task1[[SubPLOs]:[SubPLOs]],"&lt;5")</f>
        <v>0</v>
      </c>
      <c r="Q37" s="138">
        <f>SUMIFS(tbl_task1[S12],tbl_task1[[SubPLOs]:[SubPLOs]],"&gt;=4",tbl_task1[[SubPLOs]:[SubPLOs]],"&lt;5")</f>
        <v>0</v>
      </c>
      <c r="R37" s="138">
        <f>SUMIFS(tbl_task1[S13],tbl_task1[[SubPLOs]:[SubPLOs]],"&gt;=4",tbl_task1[[SubPLOs]:[SubPLOs]],"&lt;5")</f>
        <v>0</v>
      </c>
      <c r="S37" s="138">
        <f>SUMIFS(tbl_task1[S14],tbl_task1[[SubPLOs]:[SubPLOs]],"&gt;=4",tbl_task1[[SubPLOs]:[SubPLOs]],"&lt;5")</f>
        <v>0</v>
      </c>
      <c r="T37" s="138">
        <f>SUMIFS(tbl_task1[S15],tbl_task1[[SubPLOs]:[SubPLOs]],"&gt;=4",tbl_task1[[SubPLOs]:[SubPLOs]],"&lt;5")</f>
        <v>0</v>
      </c>
      <c r="U37" s="138">
        <f>SUMIFS(tbl_task1[S16],tbl_task1[[SubPLOs]:[SubPLOs]],"&gt;=4",tbl_task1[[SubPLOs]:[SubPLOs]],"&lt;5")</f>
        <v>0</v>
      </c>
      <c r="V37" s="138">
        <f>SUMIFS(tbl_task1[S17],tbl_task1[[SubPLOs]:[SubPLOs]],"&gt;=4",tbl_task1[[SubPLOs]:[SubPLOs]],"&lt;5")</f>
        <v>0</v>
      </c>
      <c r="W37" s="138">
        <f>SUMIFS(tbl_task1[S18],tbl_task1[[SubPLOs]:[SubPLOs]],"&gt;=4",tbl_task1[[SubPLOs]:[SubPLOs]],"&lt;5")</f>
        <v>0</v>
      </c>
      <c r="X37" s="138">
        <f>SUMIFS(tbl_task1[S19],tbl_task1[[SubPLOs]:[SubPLOs]],"&gt;=4",tbl_task1[[SubPLOs]:[SubPLOs]],"&lt;5")</f>
        <v>0</v>
      </c>
      <c r="Y37" s="138">
        <f>SUMIFS(tbl_task1[S20],tbl_task1[[SubPLOs]:[SubPLOs]],"&gt;=4",tbl_task1[[SubPLOs]:[SubPLOs]],"&lt;5")</f>
        <v>0</v>
      </c>
      <c r="Z37" s="138">
        <f>SUMIFS(tbl_task1[S21],tbl_task1[[SubPLOs]:[SubPLOs]],"&gt;=4",tbl_task1[[SubPLOs]:[SubPLOs]],"&lt;5")</f>
        <v>0</v>
      </c>
      <c r="AA37" s="138">
        <f>SUMIFS(tbl_task1[S22],tbl_task1[[SubPLOs]:[SubPLOs]],"&gt;=4",tbl_task1[[SubPLOs]:[SubPLOs]],"&lt;5")</f>
        <v>0</v>
      </c>
      <c r="AB37" s="138">
        <f>SUMIFS(tbl_task1[S23],tbl_task1[[SubPLOs]:[SubPLOs]],"&gt;=4",tbl_task1[[SubPLOs]:[SubPLOs]],"&lt;5")</f>
        <v>0</v>
      </c>
      <c r="AC37" s="138">
        <f>SUMIFS(tbl_task1[S24],tbl_task1[[SubPLOs]:[SubPLOs]],"&gt;=4",tbl_task1[[SubPLOs]:[SubPLOs]],"&lt;5")</f>
        <v>0</v>
      </c>
      <c r="AD37" s="138">
        <f>SUMIFS(tbl_task1[S25],tbl_task1[[SubPLOs]:[SubPLOs]],"&gt;=4",tbl_task1[[SubPLOs]:[SubPLOs]],"&lt;5")</f>
        <v>0</v>
      </c>
      <c r="AE37" s="138">
        <f>SUMIFS(tbl_task1[S26],tbl_task1[[SubPLOs]:[SubPLOs]],"&gt;=4",tbl_task1[[SubPLOs]:[SubPLOs]],"&lt;5")</f>
        <v>0</v>
      </c>
      <c r="AF37" s="138">
        <f>SUMIFS(tbl_task1[S27],tbl_task1[[SubPLOs]:[SubPLOs]],"&gt;=4",tbl_task1[[SubPLOs]:[SubPLOs]],"&lt;5")</f>
        <v>0</v>
      </c>
      <c r="AG37" s="138">
        <f>SUMIFS(tbl_task1[S28],tbl_task1[[SubPLOs]:[SubPLOs]],"&gt;=4",tbl_task1[[SubPLOs]:[SubPLOs]],"&lt;5")</f>
        <v>0</v>
      </c>
      <c r="AH37" s="138">
        <f>SUMIFS(tbl_task1[S29],tbl_task1[[SubPLOs]:[SubPLOs]],"&gt;=4",tbl_task1[[SubPLOs]:[SubPLOs]],"&lt;5")</f>
        <v>0</v>
      </c>
      <c r="AI37" s="138">
        <f>SUMIFS(tbl_task1[S30],tbl_task1[[SubPLOs]:[SubPLOs]],"&gt;=4",tbl_task1[[SubPLOs]:[SubPLOs]],"&lt;5")</f>
        <v>0</v>
      </c>
      <c r="AJ37" s="138">
        <f>SUMIFS(tbl_task1[S31],tbl_task1[[SubPLOs]:[SubPLOs]],"&gt;=4",tbl_task1[[SubPLOs]:[SubPLOs]],"&lt;5")</f>
        <v>0</v>
      </c>
      <c r="AK37" s="138">
        <f>SUMIFS(tbl_task1[S32],tbl_task1[[SubPLOs]:[SubPLOs]],"&gt;=4",tbl_task1[[SubPLOs]:[SubPLOs]],"&lt;5")</f>
        <v>0</v>
      </c>
      <c r="AL37" s="138">
        <f>SUMIFS(tbl_task1[S33],tbl_task1[[SubPLOs]:[SubPLOs]],"&gt;=4",tbl_task1[[SubPLOs]:[SubPLOs]],"&lt;5")</f>
        <v>0</v>
      </c>
      <c r="AM37" s="138">
        <f>SUMIFS(tbl_task1[S34],tbl_task1[[SubPLOs]:[SubPLOs]],"&gt;=4",tbl_task1[[SubPLOs]:[SubPLOs]],"&lt;5")</f>
        <v>0</v>
      </c>
      <c r="AN37" s="138">
        <f>SUMIFS(tbl_task1[S35],tbl_task1[[SubPLOs]:[SubPLOs]],"&gt;=4",tbl_task1[[SubPLOs]:[SubPLOs]],"&lt;5")</f>
        <v>0</v>
      </c>
      <c r="AO37" s="138">
        <f>SUMIFS(tbl_task1[S36],tbl_task1[[SubPLOs]:[SubPLOs]],"&gt;=4",tbl_task1[[SubPLOs]:[SubPLOs]],"&lt;5")</f>
        <v>0</v>
      </c>
      <c r="AP37" s="138">
        <f>SUMIFS(tbl_task1[S37],tbl_task1[[SubPLOs]:[SubPLOs]],"&gt;=4",tbl_task1[[SubPLOs]:[SubPLOs]],"&lt;5")</f>
        <v>0</v>
      </c>
      <c r="AQ37" s="138">
        <f>SUMIFS(tbl_task1[S38],tbl_task1[[SubPLOs]:[SubPLOs]],"&gt;=4",tbl_task1[[SubPLOs]:[SubPLOs]],"&lt;5")</f>
        <v>0</v>
      </c>
      <c r="AR37" s="138">
        <f>SUMIFS(tbl_task1[S39],tbl_task1[[SubPLOs]:[SubPLOs]],"&gt;=4",tbl_task1[[SubPLOs]:[SubPLOs]],"&lt;5")</f>
        <v>0</v>
      </c>
      <c r="AS37" s="138">
        <f>SUMIFS(tbl_task1[S40],tbl_task1[[SubPLOs]:[SubPLOs]],"&gt;=4",tbl_task1[[SubPLOs]:[SubPLOs]],"&lt;5")</f>
        <v>0</v>
      </c>
      <c r="AT37" s="138">
        <f>SUMIFS(tbl_task1[S41],tbl_task1[[SubPLOs]:[SubPLOs]],"&gt;=4",tbl_task1[[SubPLOs]:[SubPLOs]],"&lt;5")</f>
        <v>0</v>
      </c>
      <c r="AU37" s="138">
        <f>SUMIFS(tbl_task1[S42],tbl_task1[[SubPLOs]:[SubPLOs]],"&gt;=4",tbl_task1[[SubPLOs]:[SubPLOs]],"&lt;5")</f>
        <v>0</v>
      </c>
      <c r="AV37" s="138">
        <f>SUMIFS(tbl_task1[S43],tbl_task1[[SubPLOs]:[SubPLOs]],"&gt;=4",tbl_task1[[SubPLOs]:[SubPLOs]],"&lt;5")</f>
        <v>0</v>
      </c>
      <c r="AW37" s="138">
        <f>SUMIFS(tbl_task1[S44],tbl_task1[[SubPLOs]:[SubPLOs]],"&gt;=4",tbl_task1[[SubPLOs]:[SubPLOs]],"&lt;5")</f>
        <v>0</v>
      </c>
      <c r="AX37" s="138">
        <f>SUMIFS(tbl_task1[S45],tbl_task1[[SubPLOs]:[SubPLOs]],"&gt;=4",tbl_task1[[SubPLOs]:[SubPLOs]],"&lt;5")</f>
        <v>0</v>
      </c>
      <c r="AY37" s="138">
        <f>SUMIFS(tbl_task1[S46],tbl_task1[[SubPLOs]:[SubPLOs]],"&gt;=4",tbl_task1[[SubPLOs]:[SubPLOs]],"&lt;5")</f>
        <v>0</v>
      </c>
      <c r="AZ37" s="138">
        <f>SUMIFS(tbl_task1[S47],tbl_task1[[SubPLOs]:[SubPLOs]],"&gt;=4",tbl_task1[[SubPLOs]:[SubPLOs]],"&lt;5")</f>
        <v>0</v>
      </c>
      <c r="BA37" s="138">
        <f>SUMIFS(tbl_task1[S48],tbl_task1[[SubPLOs]:[SubPLOs]],"&gt;=4",tbl_task1[[SubPLOs]:[SubPLOs]],"&lt;5")</f>
        <v>0</v>
      </c>
      <c r="BB37" s="138">
        <f>SUMIFS(tbl_task1[S49],tbl_task1[[SubPLOs]:[SubPLOs]],"&gt;=4",tbl_task1[[SubPLOs]:[SubPLOs]],"&lt;5")</f>
        <v>0</v>
      </c>
      <c r="BC37" s="138">
        <f>SUMIFS(tbl_task1[S50],tbl_task1[[SubPLOs]:[SubPLOs]],"&gt;=4",tbl_task1[[SubPLOs]:[SubPLOs]],"&lt;5")</f>
        <v>0</v>
      </c>
      <c r="BD37" s="138">
        <f>SUMIFS(tbl_task1[S51],tbl_task1[[SubPLOs]:[SubPLOs]],"&gt;=4",tbl_task1[[SubPLOs]:[SubPLOs]],"&lt;5")</f>
        <v>0</v>
      </c>
      <c r="BE37" s="138">
        <f>SUMIFS(tbl_task1[S52],tbl_task1[[SubPLOs]:[SubPLOs]],"&gt;=4",tbl_task1[[SubPLOs]:[SubPLOs]],"&lt;5")</f>
        <v>0</v>
      </c>
      <c r="BF37" s="138">
        <f>SUMIFS(tbl_task1[S53],tbl_task1[[SubPLOs]:[SubPLOs]],"&gt;=4",tbl_task1[[SubPLOs]:[SubPLOs]],"&lt;5")</f>
        <v>0</v>
      </c>
      <c r="BG37" s="138">
        <f>SUMIFS(tbl_task1[S54],tbl_task1[[SubPLOs]:[SubPLOs]],"&gt;=4",tbl_task1[[SubPLOs]:[SubPLOs]],"&lt;5")</f>
        <v>0</v>
      </c>
      <c r="BH37" s="138">
        <f>SUMIFS(tbl_task1[S55],tbl_task1[[SubPLOs]:[SubPLOs]],"&gt;=4",tbl_task1[[SubPLOs]:[SubPLOs]],"&lt;5")</f>
        <v>0</v>
      </c>
      <c r="BI37" s="138">
        <f>SUMIFS(tbl_task1[S56],tbl_task1[[SubPLOs]:[SubPLOs]],"&gt;=4",tbl_task1[[SubPLOs]:[SubPLOs]],"&lt;5")</f>
        <v>0</v>
      </c>
      <c r="BJ37" s="138">
        <f>SUMIFS(tbl_task1[S57],tbl_task1[[SubPLOs]:[SubPLOs]],"&gt;=4",tbl_task1[[SubPLOs]:[SubPLOs]],"&lt;5")</f>
        <v>0</v>
      </c>
      <c r="BK37" s="138">
        <f>SUMIFS(tbl_task1[S58],tbl_task1[[SubPLOs]:[SubPLOs]],"&gt;=4",tbl_task1[[SubPLOs]:[SubPLOs]],"&lt;5")</f>
        <v>0</v>
      </c>
      <c r="BL37" s="138">
        <f>SUMIFS(tbl_task1[S59],tbl_task1[[SubPLOs]:[SubPLOs]],"&gt;=4",tbl_task1[[SubPLOs]:[SubPLOs]],"&lt;5")</f>
        <v>0</v>
      </c>
      <c r="BM37" s="138">
        <f>SUMIFS(tbl_task1[S60],tbl_task1[[SubPLOs]:[SubPLOs]],"&gt;=4",tbl_task1[[SubPLOs]:[SubPLOs]],"&lt;5")</f>
        <v>0</v>
      </c>
      <c r="BN37" s="138">
        <f>SUMIFS(tbl_task1[S61],tbl_task1[[SubPLOs]:[SubPLOs]],"&gt;=4",tbl_task1[[SubPLOs]:[SubPLOs]],"&lt;5")</f>
        <v>0</v>
      </c>
      <c r="BO37" s="138">
        <f>SUMIFS(tbl_task1[S62],tbl_task1[[SubPLOs]:[SubPLOs]],"&gt;=4",tbl_task1[[SubPLOs]:[SubPLOs]],"&lt;5")</f>
        <v>0</v>
      </c>
      <c r="BP37" s="138">
        <f>SUMIFS(tbl_task1[S63],tbl_task1[[SubPLOs]:[SubPLOs]],"&gt;=4",tbl_task1[[SubPLOs]:[SubPLOs]],"&lt;5")</f>
        <v>0</v>
      </c>
      <c r="BQ37" s="138">
        <f>SUMIFS(tbl_task1[S64],tbl_task1[[SubPLOs]:[SubPLOs]],"&gt;=4",tbl_task1[[SubPLOs]:[SubPLOs]],"&lt;5")</f>
        <v>0</v>
      </c>
      <c r="BR37" s="138">
        <f>SUMIFS(tbl_task1[S65],tbl_task1[[SubPLOs]:[SubPLOs]],"&gt;=4",tbl_task1[[SubPLOs]:[SubPLOs]],"&lt;5")</f>
        <v>0</v>
      </c>
      <c r="BS37" s="138">
        <f>SUMIFS(tbl_task1[S66],tbl_task1[[SubPLOs]:[SubPLOs]],"&gt;=4",tbl_task1[[SubPLOs]:[SubPLOs]],"&lt;5")</f>
        <v>0</v>
      </c>
      <c r="BT37" s="138">
        <f>SUMIFS(tbl_task1[S67],tbl_task1[[SubPLOs]:[SubPLOs]],"&gt;=4",tbl_task1[[SubPLOs]:[SubPLOs]],"&lt;5")</f>
        <v>0</v>
      </c>
      <c r="BU37" s="138">
        <f>SUMIFS(tbl_task1[S68],tbl_task1[[SubPLOs]:[SubPLOs]],"&gt;=4",tbl_task1[[SubPLOs]:[SubPLOs]],"&lt;5")</f>
        <v>0</v>
      </c>
      <c r="BV37" s="138">
        <f>SUMIFS(tbl_task1[S69],tbl_task1[[SubPLOs]:[SubPLOs]],"&gt;=4",tbl_task1[[SubPLOs]:[SubPLOs]],"&lt;5")</f>
        <v>0</v>
      </c>
      <c r="BW37" s="138">
        <f>SUMIFS(tbl_task1[S70],tbl_task1[[SubPLOs]:[SubPLOs]],"&gt;=4",tbl_task1[[SubPLOs]:[SubPLOs]],"&lt;5")</f>
        <v>0</v>
      </c>
      <c r="BX37" s="138">
        <f>SUMIFS(tbl_task1[S71],tbl_task1[[SubPLOs]:[SubPLOs]],"&gt;=4",tbl_task1[[SubPLOs]:[SubPLOs]],"&lt;5")</f>
        <v>0</v>
      </c>
      <c r="BY37" s="138">
        <f>SUMIFS(tbl_task1[S72],tbl_task1[[SubPLOs]:[SubPLOs]],"&gt;=4",tbl_task1[[SubPLOs]:[SubPLOs]],"&lt;5")</f>
        <v>0</v>
      </c>
      <c r="BZ37" s="138">
        <f>SUMIFS(tbl_task1[S73],tbl_task1[[SubPLOs]:[SubPLOs]],"&gt;=4",tbl_task1[[SubPLOs]:[SubPLOs]],"&lt;5")</f>
        <v>0</v>
      </c>
      <c r="CA37" s="138">
        <f>SUMIFS(tbl_task1[S74],tbl_task1[[SubPLOs]:[SubPLOs]],"&gt;=4",tbl_task1[[SubPLOs]:[SubPLOs]],"&lt;5")</f>
        <v>0</v>
      </c>
      <c r="CB37" s="138">
        <f>SUMIFS(tbl_task1[S75],tbl_task1[[SubPLOs]:[SubPLOs]],"&gt;=4",tbl_task1[[SubPLOs]:[SubPLOs]],"&lt;5")</f>
        <v>0</v>
      </c>
      <c r="CC37" s="138">
        <f>SUMIFS(tbl_task1[S76],tbl_task1[[SubPLOs]:[SubPLOs]],"&gt;=4",tbl_task1[[SubPLOs]:[SubPLOs]],"&lt;5")</f>
        <v>0</v>
      </c>
      <c r="CD37" s="138">
        <f>SUMIFS(tbl_task1[S77],tbl_task1[[SubPLOs]:[SubPLOs]],"&gt;=4",tbl_task1[[SubPLOs]:[SubPLOs]],"&lt;5")</f>
        <v>0</v>
      </c>
      <c r="CE37" s="138">
        <f>SUMIFS(tbl_task1[S78],tbl_task1[[SubPLOs]:[SubPLOs]],"&gt;=4",tbl_task1[[SubPLOs]:[SubPLOs]],"&lt;5")</f>
        <v>0</v>
      </c>
      <c r="CF37" s="138">
        <f>SUMIFS(tbl_task1[S79],tbl_task1[[SubPLOs]:[SubPLOs]],"&gt;=4",tbl_task1[[SubPLOs]:[SubPLOs]],"&lt;5")</f>
        <v>0</v>
      </c>
      <c r="CG37" s="138">
        <f>SUMIFS(tbl_task1[S80],tbl_task1[[SubPLOs]:[SubPLOs]],"&gt;=4",tbl_task1[[SubPLOs]:[SubPLOs]],"&lt;5")</f>
        <v>0</v>
      </c>
      <c r="CH37" s="138">
        <f>SUMIFS(tbl_task1[S81],tbl_task1[[SubPLOs]:[SubPLOs]],"&gt;=4",tbl_task1[[SubPLOs]:[SubPLOs]],"&lt;5")</f>
        <v>0</v>
      </c>
      <c r="CI37" s="138">
        <f>SUMIFS(tbl_task1[S82],tbl_task1[[SubPLOs]:[SubPLOs]],"&gt;=4",tbl_task1[[SubPLOs]:[SubPLOs]],"&lt;5")</f>
        <v>0</v>
      </c>
      <c r="CJ37" s="138">
        <f>SUMIFS(tbl_task1[S83],tbl_task1[[SubPLOs]:[SubPLOs]],"&gt;=4",tbl_task1[[SubPLOs]:[SubPLOs]],"&lt;5")</f>
        <v>0</v>
      </c>
      <c r="CK37" s="138">
        <f>SUMIFS(tbl_task1[S84],tbl_task1[[SubPLOs]:[SubPLOs]],"&gt;=4",tbl_task1[[SubPLOs]:[SubPLOs]],"&lt;5")</f>
        <v>0</v>
      </c>
      <c r="CL37" s="138">
        <f>SUMIFS(tbl_task1[S85],tbl_task1[[SubPLOs]:[SubPLOs]],"&gt;=4",tbl_task1[[SubPLOs]:[SubPLOs]],"&lt;5")</f>
        <v>0</v>
      </c>
      <c r="CM37" s="138">
        <f>SUMIFS(tbl_task1[S86],tbl_task1[[SubPLOs]:[SubPLOs]],"&gt;=4",tbl_task1[[SubPLOs]:[SubPLOs]],"&lt;5")</f>
        <v>0</v>
      </c>
      <c r="CN37" s="138">
        <f>SUMIFS(tbl_task1[S87],tbl_task1[[SubPLOs]:[SubPLOs]],"&gt;=4",tbl_task1[[SubPLOs]:[SubPLOs]],"&lt;5")</f>
        <v>0</v>
      </c>
      <c r="CO37" s="138">
        <f>SUMIFS(tbl_task1[S88],tbl_task1[[SubPLOs]:[SubPLOs]],"&gt;=4",tbl_task1[[SubPLOs]:[SubPLOs]],"&lt;5")</f>
        <v>0</v>
      </c>
      <c r="CP37" s="138">
        <f>SUMIFS(tbl_task1[S89],tbl_task1[[SubPLOs]:[SubPLOs]],"&gt;=4",tbl_task1[[SubPLOs]:[SubPLOs]],"&lt;5")</f>
        <v>0</v>
      </c>
      <c r="CQ37" s="138">
        <f>SUMIFS(tbl_task1[S90],tbl_task1[[SubPLOs]:[SubPLOs]],"&gt;=4",tbl_task1[[SubPLOs]:[SubPLOs]],"&lt;5")</f>
        <v>0</v>
      </c>
      <c r="CR37" s="138">
        <f>SUMIFS(tbl_task1[S91],tbl_task1[[SubPLOs]:[SubPLOs]],"&gt;=4",tbl_task1[[SubPLOs]:[SubPLOs]],"&lt;5")</f>
        <v>0</v>
      </c>
      <c r="CS37" s="138">
        <f>SUMIFS(tbl_task1[S92],tbl_task1[[SubPLOs]:[SubPLOs]],"&gt;=4",tbl_task1[[SubPLOs]:[SubPLOs]],"&lt;5")</f>
        <v>0</v>
      </c>
      <c r="CT37" s="138">
        <f>SUMIFS(tbl_task1[S93],tbl_task1[[SubPLOs]:[SubPLOs]],"&gt;=4",tbl_task1[[SubPLOs]:[SubPLOs]],"&lt;5")</f>
        <v>0</v>
      </c>
      <c r="CU37" s="138">
        <f>SUMIFS(tbl_task1[S94],tbl_task1[[SubPLOs]:[SubPLOs]],"&gt;=4",tbl_task1[[SubPLOs]:[SubPLOs]],"&lt;5")</f>
        <v>0</v>
      </c>
      <c r="CV37" s="138">
        <f>SUMIFS(tbl_task1[S95],tbl_task1[[SubPLOs]:[SubPLOs]],"&gt;=4",tbl_task1[[SubPLOs]:[SubPLOs]],"&lt;5")</f>
        <v>0</v>
      </c>
      <c r="CW37" s="138">
        <f>SUMIFS(tbl_task1[S96],tbl_task1[[SubPLOs]:[SubPLOs]],"&gt;=4",tbl_task1[[SubPLOs]:[SubPLOs]],"&lt;5")</f>
        <v>0</v>
      </c>
      <c r="CX37" s="138">
        <f>SUMIFS(tbl_task1[S97],tbl_task1[[SubPLOs]:[SubPLOs]],"&gt;=4",tbl_task1[[SubPLOs]:[SubPLOs]],"&lt;5")</f>
        <v>0</v>
      </c>
      <c r="CY37" s="138">
        <f>SUMIFS(tbl_task1[S98],tbl_task1[[SubPLOs]:[SubPLOs]],"&gt;=4",tbl_task1[[SubPLOs]:[SubPLOs]],"&lt;5")</f>
        <v>0</v>
      </c>
      <c r="CZ37" s="138">
        <f>SUMIFS(tbl_task1[S99],tbl_task1[[SubPLOs]:[SubPLOs]],"&gt;=4",tbl_task1[[SubPLOs]:[SubPLOs]],"&lt;5")</f>
        <v>0</v>
      </c>
      <c r="DA37" s="138">
        <f>SUMIFS(tbl_task1[S100],tbl_task1[[SubPLOs]:[SubPLOs]],"&gt;=4",tbl_task1[[SubPLOs]:[SubPLOs]],"&lt;5")</f>
        <v>0</v>
      </c>
      <c r="DB37" s="138">
        <f>SUMIFS(tbl_task1[S101],tbl_task1[[SubPLOs]:[SubPLOs]],"&gt;=4",tbl_task1[[SubPLOs]:[SubPLOs]],"&lt;5")</f>
        <v>0</v>
      </c>
      <c r="DC37" s="138">
        <f>SUMIFS(tbl_task1[S102],tbl_task1[[SubPLOs]:[SubPLOs]],"&gt;=4",tbl_task1[[SubPLOs]:[SubPLOs]],"&lt;5")</f>
        <v>0</v>
      </c>
      <c r="DD37" s="138">
        <f>SUMIFS(tbl_task1[S103],tbl_task1[[SubPLOs]:[SubPLOs]],"&gt;=4",tbl_task1[[SubPLOs]:[SubPLOs]],"&lt;5")</f>
        <v>0</v>
      </c>
      <c r="DE37" s="138">
        <f>SUMIFS(tbl_task1[S104],tbl_task1[[SubPLOs]:[SubPLOs]],"&gt;=4",tbl_task1[[SubPLOs]:[SubPLOs]],"&lt;5")</f>
        <v>0</v>
      </c>
      <c r="DF37" s="138">
        <f>SUMIFS(tbl_task1[S105],tbl_task1[[SubPLOs]:[SubPLOs]],"&gt;=4",tbl_task1[[SubPLOs]:[SubPLOs]],"&lt;5")</f>
        <v>0</v>
      </c>
      <c r="DG37" s="138">
        <f>SUMIFS(tbl_task1[S106],tbl_task1[[SubPLOs]:[SubPLOs]],"&gt;=4",tbl_task1[[SubPLOs]:[SubPLOs]],"&lt;5")</f>
        <v>0</v>
      </c>
      <c r="DH37" s="138">
        <f>SUMIFS(tbl_task1[S106],tbl_task1[[SubPLOs]:[SubPLOs]],"&gt;=4",tbl_task1[[SubPLOs]:[SubPLOs]],"&lt;5")</f>
        <v>0</v>
      </c>
      <c r="DI37" s="138">
        <f>SUMIFS(tbl_task1[S108],tbl_task1[[SubPLOs]:[SubPLOs]],"&gt;=4",tbl_task1[[SubPLOs]:[SubPLOs]],"&lt;5")</f>
        <v>0</v>
      </c>
      <c r="DJ37" s="138">
        <f>SUMIFS(tbl_task1[S109],tbl_task1[[SubPLOs]:[SubPLOs]],"&gt;=4",tbl_task1[[SubPLOs]:[SubPLOs]],"&lt;5")</f>
        <v>0</v>
      </c>
      <c r="DK37" s="138">
        <f>SUMIFS(tbl_task1[S110],tbl_task1[[SubPLOs]:[SubPLOs]],"&gt;=4",tbl_task1[[SubPLOs]:[SubPLOs]],"&lt;5")</f>
        <v>0</v>
      </c>
      <c r="DL37" s="138">
        <f>SUMIFS(tbl_task1[S111],tbl_task1[[SubPLOs]:[SubPLOs]],"&gt;=4",tbl_task1[[SubPLOs]:[SubPLOs]],"&lt;5")</f>
        <v>0</v>
      </c>
      <c r="DM37" s="138">
        <f>SUMIFS(tbl_task1[S112],tbl_task1[[SubPLOs]:[SubPLOs]],"&gt;=4",tbl_task1[[SubPLOs]:[SubPLOs]],"&lt;5")</f>
        <v>0</v>
      </c>
      <c r="DN37" s="138">
        <f>SUMIFS(tbl_task1[S113],tbl_task1[[SubPLOs]:[SubPLOs]],"&gt;=4",tbl_task1[[SubPLOs]:[SubPLOs]],"&lt;5")</f>
        <v>0</v>
      </c>
      <c r="DO37" s="138">
        <f>SUMIFS(tbl_task1[S114],tbl_task1[[SubPLOs]:[SubPLOs]],"&gt;=4",tbl_task1[[SubPLOs]:[SubPLOs]],"&lt;5")</f>
        <v>0</v>
      </c>
      <c r="DP37" s="138">
        <f>SUMIFS(tbl_task1[S115],tbl_task1[[SubPLOs]:[SubPLOs]],"&gt;=4",tbl_task1[[SubPLOs]:[SubPLOs]],"&lt;5")</f>
        <v>0</v>
      </c>
      <c r="DQ37" s="138">
        <f>SUMIFS(tbl_task1[S116],tbl_task1[[SubPLOs]:[SubPLOs]],"&gt;=4",tbl_task1[[SubPLOs]:[SubPLOs]],"&lt;5")</f>
        <v>0</v>
      </c>
      <c r="DR37" s="138">
        <f>SUMIFS(tbl_task1[S117],tbl_task1[[SubPLOs]:[SubPLOs]],"&gt;=4",tbl_task1[[SubPLOs]:[SubPLOs]],"&lt;5")</f>
        <v>0</v>
      </c>
      <c r="DS37" s="138">
        <f>SUMIFS(tbl_task1[S118],tbl_task1[[SubPLOs]:[SubPLOs]],"&gt;=4",tbl_task1[[SubPLOs]:[SubPLOs]],"&lt;5")</f>
        <v>0</v>
      </c>
      <c r="DT37" s="138">
        <f>SUMIFS(tbl_task1[S119],tbl_task1[[SubPLOs]:[SubPLOs]],"&gt;=4",tbl_task1[[SubPLOs]:[SubPLOs]],"&lt;5")</f>
        <v>0</v>
      </c>
      <c r="DU37" s="138">
        <f>SUMIFS(tbl_task1[S120],tbl_task1[[SubPLOs]:[SubPLOs]],"&gt;=4",tbl_task1[[SubPLOs]:[SubPLOs]],"&lt;5")</f>
        <v>0</v>
      </c>
      <c r="DV37" s="138">
        <f>SUMIFS(tbl_task1[S121],tbl_task1[[SubPLOs]:[SubPLOs]],"&gt;=4",tbl_task1[[SubPLOs]:[SubPLOs]],"&lt;5")</f>
        <v>0</v>
      </c>
      <c r="DW37" s="138">
        <f>SUMIFS(tbl_task1[S122],tbl_task1[[SubPLOs]:[SubPLOs]],"&gt;=4",tbl_task1[[SubPLOs]:[SubPLOs]],"&lt;5")</f>
        <v>0</v>
      </c>
      <c r="DX37" s="138">
        <f>SUMIFS(tbl_task1[S123],tbl_task1[[SubPLOs]:[SubPLOs]],"&gt;=4",tbl_task1[[SubPLOs]:[SubPLOs]],"&lt;5")</f>
        <v>0</v>
      </c>
      <c r="DY37" s="138">
        <f>SUMIFS(tbl_task1[S124],tbl_task1[[SubPLOs]:[SubPLOs]],"&gt;=4",tbl_task1[[SubPLOs]:[SubPLOs]],"&lt;5")</f>
        <v>0</v>
      </c>
      <c r="DZ37" s="138">
        <f>SUMIFS(tbl_task1[S125],tbl_task1[[SubPLOs]:[SubPLOs]],"&gt;=4",tbl_task1[[SubPLOs]:[SubPLOs]],"&lt;5")</f>
        <v>0</v>
      </c>
      <c r="EA37" s="138">
        <f>SUMIFS(tbl_task1[S126],tbl_task1[[SubPLOs]:[SubPLOs]],"&gt;=4",tbl_task1[[SubPLOs]:[SubPLOs]],"&lt;5")</f>
        <v>0</v>
      </c>
      <c r="EB37" s="138">
        <f>SUMIFS(tbl_task1[S127],tbl_task1[[SubPLOs]:[SubPLOs]],"&gt;=4",tbl_task1[[SubPLOs]:[SubPLOs]],"&lt;5")</f>
        <v>0</v>
      </c>
      <c r="EC37" s="138">
        <f>SUMIFS(tbl_task1[S128],tbl_task1[[SubPLOs]:[SubPLOs]],"&gt;=4",tbl_task1[[SubPLOs]:[SubPLOs]],"&lt;5")</f>
        <v>0</v>
      </c>
      <c r="ED37" s="138">
        <f>SUMIFS(tbl_task1[S129],tbl_task1[[SubPLOs]:[SubPLOs]],"&gt;=4",tbl_task1[[SubPLOs]:[SubPLOs]],"&lt;5")</f>
        <v>0</v>
      </c>
      <c r="EE37" s="138">
        <f>SUMIFS(tbl_task1[S130],tbl_task1[[SubPLOs]:[SubPLOs]],"&gt;=4",tbl_task1[[SubPLOs]:[SubPLOs]],"&lt;5")</f>
        <v>0</v>
      </c>
      <c r="EF37" s="138">
        <f>SUMIFS(tbl_task1[S131],tbl_task1[[SubPLOs]:[SubPLOs]],"&gt;=4",tbl_task1[[SubPLOs]:[SubPLOs]],"&lt;5")</f>
        <v>0</v>
      </c>
      <c r="EG37" s="138">
        <f>SUMIFS(tbl_task1[S132],tbl_task1[[SubPLOs]:[SubPLOs]],"&gt;=4",tbl_task1[[SubPLOs]:[SubPLOs]],"&lt;5")</f>
        <v>0</v>
      </c>
      <c r="EH37" s="138">
        <f>SUMIFS(tbl_task1[S133],tbl_task1[[SubPLOs]:[SubPLOs]],"&gt;=4",tbl_task1[[SubPLOs]:[SubPLOs]],"&lt;5")</f>
        <v>0</v>
      </c>
      <c r="EI37" s="138">
        <f>SUMIFS(tbl_task1[S134],tbl_task1[[SubPLOs]:[SubPLOs]],"&gt;=4",tbl_task1[[SubPLOs]:[SubPLOs]],"&lt;5")</f>
        <v>0</v>
      </c>
      <c r="EJ37" s="138">
        <f>SUMIFS(tbl_task1[S135],tbl_task1[[SubPLOs]:[SubPLOs]],"&gt;=4",tbl_task1[[SubPLOs]:[SubPLOs]],"&lt;5")</f>
        <v>0</v>
      </c>
      <c r="EK37" s="138">
        <f>SUMIFS(tbl_task1[S136],tbl_task1[[SubPLOs]:[SubPLOs]],"&gt;=4",tbl_task1[[SubPLOs]:[SubPLOs]],"&lt;5")</f>
        <v>0</v>
      </c>
      <c r="EL37" s="138">
        <f>SUMIFS(tbl_task1[S137],tbl_task1[[SubPLOs]:[SubPLOs]],"&gt;=4",tbl_task1[[SubPLOs]:[SubPLOs]],"&lt;5")</f>
        <v>0</v>
      </c>
      <c r="EM37" s="138">
        <f>SUMIFS(tbl_task1[S138],tbl_task1[[SubPLOs]:[SubPLOs]],"&gt;=4",tbl_task1[[SubPLOs]:[SubPLOs]],"&lt;5")</f>
        <v>0</v>
      </c>
      <c r="EN37" s="138">
        <f>SUMIFS(tbl_task1[S139],tbl_task1[[SubPLOs]:[SubPLOs]],"&gt;=4",tbl_task1[[SubPLOs]:[SubPLOs]],"&lt;5")</f>
        <v>0</v>
      </c>
      <c r="EO37" s="138">
        <f>SUMIFS(tbl_task1[S140],tbl_task1[[SubPLOs]:[SubPLOs]],"&gt;=4",tbl_task1[[SubPLOs]:[SubPLOs]],"&lt;5")</f>
        <v>0</v>
      </c>
      <c r="EP37" s="138">
        <f>SUMIFS(tbl_task1[S141],tbl_task1[[SubPLOs]:[SubPLOs]],"&gt;=4",tbl_task1[[SubPLOs]:[SubPLOs]],"&lt;5")</f>
        <v>0</v>
      </c>
      <c r="EQ37" s="138">
        <f>SUMIFS(tbl_task1[S142],tbl_task1[[SubPLOs]:[SubPLOs]],"&gt;=4",tbl_task1[[SubPLOs]:[SubPLOs]],"&lt;5")</f>
        <v>0</v>
      </c>
      <c r="ER37" s="138">
        <f>SUMIFS(tbl_task1[S143],tbl_task1[[SubPLOs]:[SubPLOs]],"&gt;=4",tbl_task1[[SubPLOs]:[SubPLOs]],"&lt;5")</f>
        <v>0</v>
      </c>
      <c r="ES37" s="138">
        <f>SUMIFS(tbl_task1[S144],tbl_task1[[SubPLOs]:[SubPLOs]],"&gt;=4",tbl_task1[[SubPLOs]:[SubPLOs]],"&lt;5")</f>
        <v>0</v>
      </c>
      <c r="ET37" s="138">
        <f>SUMIFS(tbl_task1[S145],tbl_task1[[SubPLOs]:[SubPLOs]],"&gt;=4",tbl_task1[[SubPLOs]:[SubPLOs]],"&lt;5")</f>
        <v>0</v>
      </c>
      <c r="EU37" s="138">
        <f>SUMIFS(tbl_task1[S146],tbl_task1[[SubPLOs]:[SubPLOs]],"&gt;=4",tbl_task1[[SubPLOs]:[SubPLOs]],"&lt;5")</f>
        <v>0</v>
      </c>
      <c r="EV37" s="138">
        <f>SUMIFS(tbl_task1[S147],tbl_task1[[SubPLOs]:[SubPLOs]],"&gt;=4",tbl_task1[[SubPLOs]:[SubPLOs]],"&lt;5")</f>
        <v>0</v>
      </c>
      <c r="EW37" s="138">
        <f>SUMIFS(tbl_task1[S148],tbl_task1[[SubPLOs]:[SubPLOs]],"&gt;=4",tbl_task1[[SubPLOs]:[SubPLOs]],"&lt;5")</f>
        <v>0</v>
      </c>
      <c r="EX37" s="138">
        <f>SUMIFS(tbl_task1[S149],tbl_task1[[SubPLOs]:[SubPLOs]],"&gt;=4",tbl_task1[[SubPLOs]:[SubPLOs]],"&lt;5")</f>
        <v>0</v>
      </c>
      <c r="EY37" s="138">
        <f>SUMIFS(tbl_task1[S150],tbl_task1[[SubPLOs]:[SubPLOs]],"&gt;=4",tbl_task1[[SubPLOs]:[SubPLOs]],"&lt;5")</f>
        <v>0</v>
      </c>
      <c r="EZ37" s="138">
        <f>SUMIFS(tbl_task1[S151],tbl_task1[[SubPLOs]:[SubPLOs]],"&gt;=4",tbl_task1[[SubPLOs]:[SubPLOs]],"&lt;5")</f>
        <v>0</v>
      </c>
      <c r="FA37" s="138">
        <f>SUMIFS(tbl_task1[S152],tbl_task1[[SubPLOs]:[SubPLOs]],"&gt;=4",tbl_task1[[SubPLOs]:[SubPLOs]],"&lt;5")</f>
        <v>0</v>
      </c>
      <c r="FB37" s="138">
        <f>SUMIFS(tbl_task1[S153],tbl_task1[[SubPLOs]:[SubPLOs]],"&gt;=4",tbl_task1[[SubPLOs]:[SubPLOs]],"&lt;5")</f>
        <v>0</v>
      </c>
      <c r="FC37" s="138">
        <f>SUMIFS(tbl_task1[S154],tbl_task1[[SubPLOs]:[SubPLOs]],"&gt;=4",tbl_task1[[SubPLOs]:[SubPLOs]],"&lt;5")</f>
        <v>0</v>
      </c>
      <c r="FD37" s="138">
        <f>SUMIFS(tbl_task1[S155],tbl_task1[[SubPLOs]:[SubPLOs]],"&gt;=4",tbl_task1[[SubPLOs]:[SubPLOs]],"&lt;5")</f>
        <v>0</v>
      </c>
      <c r="FE37" s="138">
        <f>SUMIFS(tbl_task1[S156],tbl_task1[[SubPLOs]:[SubPLOs]],"&gt;=4",tbl_task1[[SubPLOs]:[SubPLOs]],"&lt;5")</f>
        <v>0</v>
      </c>
      <c r="FF37" s="138">
        <f>SUMIFS(tbl_task1[S157],tbl_task1[[SubPLOs]:[SubPLOs]],"&gt;=4",tbl_task1[[SubPLOs]:[SubPLOs]],"&lt;5")</f>
        <v>0</v>
      </c>
      <c r="FG37" s="138">
        <f>SUMIFS(tbl_task1[S158],tbl_task1[[SubPLOs]:[SubPLOs]],"&gt;=4",tbl_task1[[SubPLOs]:[SubPLOs]],"&lt;5")</f>
        <v>0</v>
      </c>
      <c r="FH37" s="138">
        <f>SUMIFS(tbl_task1[S159],tbl_task1[[SubPLOs]:[SubPLOs]],"&gt;=4",tbl_task1[[SubPLOs]:[SubPLOs]],"&lt;5")</f>
        <v>0</v>
      </c>
      <c r="FI37" s="138">
        <f>SUMIFS(tbl_task1[S160],tbl_task1[[SubPLOs]:[SubPLOs]],"&gt;=4",tbl_task1[[SubPLOs]:[SubPLOs]],"&lt;5")</f>
        <v>0</v>
      </c>
      <c r="FJ37" s="138">
        <f>SUMIFS(tbl_task1[S161],tbl_task1[[SubPLOs]:[SubPLOs]],"&gt;=4",tbl_task1[[SubPLOs]:[SubPLOs]],"&lt;5")</f>
        <v>0</v>
      </c>
      <c r="FK37" s="138">
        <f>SUMIFS(tbl_task1[S162],tbl_task1[[SubPLOs]:[SubPLOs]],"&gt;=4",tbl_task1[[SubPLOs]:[SubPLOs]],"&lt;5")</f>
        <v>0</v>
      </c>
      <c r="FL37" s="138">
        <f>SUMIFS(tbl_task1[S163],tbl_task1[[SubPLOs]:[SubPLOs]],"&gt;=4",tbl_task1[[SubPLOs]:[SubPLOs]],"&lt;5")</f>
        <v>0</v>
      </c>
      <c r="FM37" s="138">
        <f>SUMIFS(tbl_task1[S164],tbl_task1[[SubPLOs]:[SubPLOs]],"&gt;=4",tbl_task1[[SubPLOs]:[SubPLOs]],"&lt;5")</f>
        <v>0</v>
      </c>
      <c r="FN37" s="138">
        <f>SUMIFS(tbl_task1[S165],tbl_task1[[SubPLOs]:[SubPLOs]],"&gt;=4",tbl_task1[[SubPLOs]:[SubPLOs]],"&lt;5")</f>
        <v>0</v>
      </c>
    </row>
    <row r="38" spans="1:170" ht="84" x14ac:dyDescent="0.25">
      <c r="A38" s="135">
        <v>5</v>
      </c>
      <c r="B38" s="5" t="s">
        <v>438</v>
      </c>
      <c r="C38" s="136">
        <f>COUNTIFS(tbl_task1[SubPLOs],"&gt;=5",tbl_task1[SubPLOs],"&lt;6")</f>
        <v>0</v>
      </c>
      <c r="D38" s="136">
        <f>SUMIFS(tbl_task1[คะแนนเต็ม],tbl_task1[SubPLOs],"&gt;=5",tbl_task1[SubPLOs],"&lt;6")</f>
        <v>0</v>
      </c>
      <c r="E38" s="137">
        <f>SUMIFS(tbl_task1[%],tbl_task1[SubPLOs],"&gt;=5",tbl_task1[SubPLOs],"&lt;6")</f>
        <v>0</v>
      </c>
      <c r="F38" s="138">
        <f>SUMIFS(tbl_task1[S1],tbl_task1[[SubPLOs]:[SubPLOs]],"&gt;=5",tbl_task1[[SubPLOs]:[SubPLOs]],"&lt;6")</f>
        <v>0</v>
      </c>
      <c r="G38" s="138">
        <f>SUMIFS(tbl_task1[S2],tbl_task1[[SubPLOs]:[SubPLOs]],"&gt;=5",tbl_task1[[SubPLOs]:[SubPLOs]],"&lt;6")</f>
        <v>0</v>
      </c>
      <c r="H38" s="138">
        <f>SUMIFS(tbl_task1[S3],tbl_task1[[SubPLOs]:[SubPLOs]],"&gt;=5",tbl_task1[[SubPLOs]:[SubPLOs]],"&lt;6")</f>
        <v>0</v>
      </c>
      <c r="I38" s="138">
        <f>SUMIFS(tbl_task1[S4],tbl_task1[[SubPLOs]:[SubPLOs]],"&gt;=5",tbl_task1[[SubPLOs]:[SubPLOs]],"&lt;6")</f>
        <v>0</v>
      </c>
      <c r="J38" s="138">
        <f>SUMIFS(tbl_task1[S5],tbl_task1[[SubPLOs]:[SubPLOs]],"&gt;=5",tbl_task1[[SubPLOs]:[SubPLOs]],"&lt;6")</f>
        <v>0</v>
      </c>
      <c r="K38" s="138">
        <f>SUMIFS(tbl_task1[S6],tbl_task1[[SubPLOs]:[SubPLOs]],"&gt;=5",tbl_task1[[SubPLOs]:[SubPLOs]],"&lt;6")</f>
        <v>0</v>
      </c>
      <c r="L38" s="138">
        <f>SUMIFS(tbl_task1[S7],tbl_task1[[SubPLOs]:[SubPLOs]],"&gt;=5",tbl_task1[[SubPLOs]:[SubPLOs]],"&lt;6")</f>
        <v>0</v>
      </c>
      <c r="M38" s="138">
        <f>SUMIFS(tbl_task1[S8],tbl_task1[[SubPLOs]:[SubPLOs]],"&gt;=5",tbl_task1[[SubPLOs]:[SubPLOs]],"&lt;6")</f>
        <v>0</v>
      </c>
      <c r="N38" s="138">
        <f>SUMIFS(tbl_task1[S9],tbl_task1[[SubPLOs]:[SubPLOs]],"&gt;=5",tbl_task1[[SubPLOs]:[SubPLOs]],"&lt;6")</f>
        <v>0</v>
      </c>
      <c r="O38" s="138">
        <f>SUMIFS(tbl_task1[S10],tbl_task1[[SubPLOs]:[SubPLOs]],"&gt;=5",tbl_task1[[SubPLOs]:[SubPLOs]],"&lt;6")</f>
        <v>0</v>
      </c>
      <c r="P38" s="138">
        <f>SUMIFS(tbl_task1[S11],tbl_task1[[SubPLOs]:[SubPLOs]],"&gt;=5",tbl_task1[[SubPLOs]:[SubPLOs]],"&lt;6")</f>
        <v>0</v>
      </c>
      <c r="Q38" s="138">
        <f>SUMIFS(tbl_task1[S12],tbl_task1[[SubPLOs]:[SubPLOs]],"&gt;=5",tbl_task1[[SubPLOs]:[SubPLOs]],"&lt;6")</f>
        <v>0</v>
      </c>
      <c r="R38" s="138">
        <f>SUMIFS(tbl_task1[S13],tbl_task1[[SubPLOs]:[SubPLOs]],"&gt;=5",tbl_task1[[SubPLOs]:[SubPLOs]],"&lt;6")</f>
        <v>0</v>
      </c>
      <c r="S38" s="138">
        <f>SUMIFS(tbl_task1[S14],tbl_task1[[SubPLOs]:[SubPLOs]],"&gt;=5",tbl_task1[[SubPLOs]:[SubPLOs]],"&lt;6")</f>
        <v>0</v>
      </c>
      <c r="T38" s="138">
        <f>SUMIFS(tbl_task1[S15],tbl_task1[[SubPLOs]:[SubPLOs]],"&gt;=5",tbl_task1[[SubPLOs]:[SubPLOs]],"&lt;6")</f>
        <v>0</v>
      </c>
      <c r="U38" s="138">
        <f>SUMIFS(tbl_task1[S16],tbl_task1[[SubPLOs]:[SubPLOs]],"&gt;=5",tbl_task1[[SubPLOs]:[SubPLOs]],"&lt;6")</f>
        <v>0</v>
      </c>
      <c r="V38" s="138">
        <f>SUMIFS(tbl_task1[S17],tbl_task1[[SubPLOs]:[SubPLOs]],"&gt;=5",tbl_task1[[SubPLOs]:[SubPLOs]],"&lt;6")</f>
        <v>0</v>
      </c>
      <c r="W38" s="138">
        <f>SUMIFS(tbl_task1[S18],tbl_task1[[SubPLOs]:[SubPLOs]],"&gt;=5",tbl_task1[[SubPLOs]:[SubPLOs]],"&lt;6")</f>
        <v>0</v>
      </c>
      <c r="X38" s="138">
        <f>SUMIFS(tbl_task1[S19],tbl_task1[[SubPLOs]:[SubPLOs]],"&gt;=5",tbl_task1[[SubPLOs]:[SubPLOs]],"&lt;6")</f>
        <v>0</v>
      </c>
      <c r="Y38" s="138">
        <f>SUMIFS(tbl_task1[S20],tbl_task1[[SubPLOs]:[SubPLOs]],"&gt;=5",tbl_task1[[SubPLOs]:[SubPLOs]],"&lt;6")</f>
        <v>0</v>
      </c>
      <c r="Z38" s="138">
        <f>SUMIFS(tbl_task1[S21],tbl_task1[[SubPLOs]:[SubPLOs]],"&gt;=5",tbl_task1[[SubPLOs]:[SubPLOs]],"&lt;6")</f>
        <v>0</v>
      </c>
      <c r="AA38" s="138">
        <f>SUMIFS(tbl_task1[S22],tbl_task1[[SubPLOs]:[SubPLOs]],"&gt;=5",tbl_task1[[SubPLOs]:[SubPLOs]],"&lt;6")</f>
        <v>0</v>
      </c>
      <c r="AB38" s="138">
        <f>SUMIFS(tbl_task1[S23],tbl_task1[[SubPLOs]:[SubPLOs]],"&gt;=5",tbl_task1[[SubPLOs]:[SubPLOs]],"&lt;6")</f>
        <v>0</v>
      </c>
      <c r="AC38" s="138">
        <f>SUMIFS(tbl_task1[S24],tbl_task1[[SubPLOs]:[SubPLOs]],"&gt;=5",tbl_task1[[SubPLOs]:[SubPLOs]],"&lt;6")</f>
        <v>0</v>
      </c>
      <c r="AD38" s="138">
        <f>SUMIFS(tbl_task1[S25],tbl_task1[[SubPLOs]:[SubPLOs]],"&gt;=5",tbl_task1[[SubPLOs]:[SubPLOs]],"&lt;6")</f>
        <v>0</v>
      </c>
      <c r="AE38" s="138">
        <f>SUMIFS(tbl_task1[S26],tbl_task1[[SubPLOs]:[SubPLOs]],"&gt;=5",tbl_task1[[SubPLOs]:[SubPLOs]],"&lt;6")</f>
        <v>0</v>
      </c>
      <c r="AF38" s="138">
        <f>SUMIFS(tbl_task1[S27],tbl_task1[[SubPLOs]:[SubPLOs]],"&gt;=5",tbl_task1[[SubPLOs]:[SubPLOs]],"&lt;6")</f>
        <v>0</v>
      </c>
      <c r="AG38" s="138">
        <f>SUMIFS(tbl_task1[S28],tbl_task1[[SubPLOs]:[SubPLOs]],"&gt;=5",tbl_task1[[SubPLOs]:[SubPLOs]],"&lt;6")</f>
        <v>0</v>
      </c>
      <c r="AH38" s="138">
        <f>SUMIFS(tbl_task1[S29],tbl_task1[[SubPLOs]:[SubPLOs]],"&gt;=5",tbl_task1[[SubPLOs]:[SubPLOs]],"&lt;6")</f>
        <v>0</v>
      </c>
      <c r="AI38" s="138">
        <f>SUMIFS(tbl_task1[S30],tbl_task1[[SubPLOs]:[SubPLOs]],"&gt;=5",tbl_task1[[SubPLOs]:[SubPLOs]],"&lt;6")</f>
        <v>0</v>
      </c>
      <c r="AJ38" s="138">
        <f>SUMIFS(tbl_task1[S31],tbl_task1[[SubPLOs]:[SubPLOs]],"&gt;=5",tbl_task1[[SubPLOs]:[SubPLOs]],"&lt;6")</f>
        <v>0</v>
      </c>
      <c r="AK38" s="138">
        <f>SUMIFS(tbl_task1[S32],tbl_task1[[SubPLOs]:[SubPLOs]],"&gt;=5",tbl_task1[[SubPLOs]:[SubPLOs]],"&lt;6")</f>
        <v>0</v>
      </c>
      <c r="AL38" s="138">
        <f>SUMIFS(tbl_task1[S33],tbl_task1[[SubPLOs]:[SubPLOs]],"&gt;=5",tbl_task1[[SubPLOs]:[SubPLOs]],"&lt;6")</f>
        <v>0</v>
      </c>
      <c r="AM38" s="138">
        <f>SUMIFS(tbl_task1[S34],tbl_task1[[SubPLOs]:[SubPLOs]],"&gt;=5",tbl_task1[[SubPLOs]:[SubPLOs]],"&lt;6")</f>
        <v>0</v>
      </c>
      <c r="AN38" s="138">
        <f>SUMIFS(tbl_task1[S35],tbl_task1[[SubPLOs]:[SubPLOs]],"&gt;=5",tbl_task1[[SubPLOs]:[SubPLOs]],"&lt;6")</f>
        <v>0</v>
      </c>
      <c r="AO38" s="138">
        <f>SUMIFS(tbl_task1[S36],tbl_task1[[SubPLOs]:[SubPLOs]],"&gt;=5",tbl_task1[[SubPLOs]:[SubPLOs]],"&lt;6")</f>
        <v>0</v>
      </c>
      <c r="AP38" s="138">
        <f>SUMIFS(tbl_task1[S37],tbl_task1[[SubPLOs]:[SubPLOs]],"&gt;=5",tbl_task1[[SubPLOs]:[SubPLOs]],"&lt;6")</f>
        <v>0</v>
      </c>
      <c r="AQ38" s="138">
        <f>SUMIFS(tbl_task1[S38],tbl_task1[[SubPLOs]:[SubPLOs]],"&gt;=5",tbl_task1[[SubPLOs]:[SubPLOs]],"&lt;6")</f>
        <v>0</v>
      </c>
      <c r="AR38" s="138">
        <f>SUMIFS(tbl_task1[S39],tbl_task1[[SubPLOs]:[SubPLOs]],"&gt;=5",tbl_task1[[SubPLOs]:[SubPLOs]],"&lt;6")</f>
        <v>0</v>
      </c>
      <c r="AS38" s="138">
        <f>SUMIFS(tbl_task1[S40],tbl_task1[[SubPLOs]:[SubPLOs]],"&gt;=5",tbl_task1[[SubPLOs]:[SubPLOs]],"&lt;6")</f>
        <v>0</v>
      </c>
      <c r="AT38" s="138">
        <f>SUMIFS(tbl_task1[S41],tbl_task1[[SubPLOs]:[SubPLOs]],"&gt;=5",tbl_task1[[SubPLOs]:[SubPLOs]],"&lt;6")</f>
        <v>0</v>
      </c>
      <c r="AU38" s="138">
        <f>SUMIFS(tbl_task1[S42],tbl_task1[[SubPLOs]:[SubPLOs]],"&gt;=5",tbl_task1[[SubPLOs]:[SubPLOs]],"&lt;6")</f>
        <v>0</v>
      </c>
      <c r="AV38" s="138">
        <f>SUMIFS(tbl_task1[S43],tbl_task1[[SubPLOs]:[SubPLOs]],"&gt;=5",tbl_task1[[SubPLOs]:[SubPLOs]],"&lt;6")</f>
        <v>0</v>
      </c>
      <c r="AW38" s="138">
        <f>SUMIFS(tbl_task1[S44],tbl_task1[[SubPLOs]:[SubPLOs]],"&gt;=5",tbl_task1[[SubPLOs]:[SubPLOs]],"&lt;6")</f>
        <v>0</v>
      </c>
      <c r="AX38" s="138">
        <f>SUMIFS(tbl_task1[S45],tbl_task1[[SubPLOs]:[SubPLOs]],"&gt;=5",tbl_task1[[SubPLOs]:[SubPLOs]],"&lt;6")</f>
        <v>0</v>
      </c>
      <c r="AY38" s="138">
        <f>SUMIFS(tbl_task1[S46],tbl_task1[[SubPLOs]:[SubPLOs]],"&gt;=5",tbl_task1[[SubPLOs]:[SubPLOs]],"&lt;6")</f>
        <v>0</v>
      </c>
      <c r="AZ38" s="138">
        <f>SUMIFS(tbl_task1[S47],tbl_task1[[SubPLOs]:[SubPLOs]],"&gt;=5",tbl_task1[[SubPLOs]:[SubPLOs]],"&lt;6")</f>
        <v>0</v>
      </c>
      <c r="BA38" s="138">
        <f>SUMIFS(tbl_task1[S48],tbl_task1[[SubPLOs]:[SubPLOs]],"&gt;=5",tbl_task1[[SubPLOs]:[SubPLOs]],"&lt;6")</f>
        <v>0</v>
      </c>
      <c r="BB38" s="138">
        <f>SUMIFS(tbl_task1[S49],tbl_task1[[SubPLOs]:[SubPLOs]],"&gt;=5",tbl_task1[[SubPLOs]:[SubPLOs]],"&lt;6")</f>
        <v>0</v>
      </c>
      <c r="BC38" s="138">
        <f>SUMIFS(tbl_task1[S50],tbl_task1[[SubPLOs]:[SubPLOs]],"&gt;=5",tbl_task1[[SubPLOs]:[SubPLOs]],"&lt;6")</f>
        <v>0</v>
      </c>
      <c r="BD38" s="138">
        <f>SUMIFS(tbl_task1[S51],tbl_task1[[SubPLOs]:[SubPLOs]],"&gt;=5",tbl_task1[[SubPLOs]:[SubPLOs]],"&lt;6")</f>
        <v>0</v>
      </c>
      <c r="BE38" s="138">
        <f>SUMIFS(tbl_task1[S52],tbl_task1[[SubPLOs]:[SubPLOs]],"&gt;=5",tbl_task1[[SubPLOs]:[SubPLOs]],"&lt;6")</f>
        <v>0</v>
      </c>
      <c r="BF38" s="138">
        <f>SUMIFS(tbl_task1[S53],tbl_task1[[SubPLOs]:[SubPLOs]],"&gt;=5",tbl_task1[[SubPLOs]:[SubPLOs]],"&lt;6")</f>
        <v>0</v>
      </c>
      <c r="BG38" s="138">
        <f>SUMIFS(tbl_task1[S54],tbl_task1[[SubPLOs]:[SubPLOs]],"&gt;=5",tbl_task1[[SubPLOs]:[SubPLOs]],"&lt;6")</f>
        <v>0</v>
      </c>
      <c r="BH38" s="138">
        <f>SUMIFS(tbl_task1[S55],tbl_task1[[SubPLOs]:[SubPLOs]],"&gt;=5",tbl_task1[[SubPLOs]:[SubPLOs]],"&lt;6")</f>
        <v>0</v>
      </c>
      <c r="BI38" s="138">
        <f>SUMIFS(tbl_task1[S56],tbl_task1[[SubPLOs]:[SubPLOs]],"&gt;=5",tbl_task1[[SubPLOs]:[SubPLOs]],"&lt;6")</f>
        <v>0</v>
      </c>
      <c r="BJ38" s="138">
        <f>SUMIFS(tbl_task1[S57],tbl_task1[[SubPLOs]:[SubPLOs]],"&gt;=5",tbl_task1[[SubPLOs]:[SubPLOs]],"&lt;6")</f>
        <v>0</v>
      </c>
      <c r="BK38" s="138">
        <f>SUMIFS(tbl_task1[S58],tbl_task1[[SubPLOs]:[SubPLOs]],"&gt;=5",tbl_task1[[SubPLOs]:[SubPLOs]],"&lt;6")</f>
        <v>0</v>
      </c>
      <c r="BL38" s="138">
        <f>SUMIFS(tbl_task1[S59],tbl_task1[[SubPLOs]:[SubPLOs]],"&gt;=5",tbl_task1[[SubPLOs]:[SubPLOs]],"&lt;6")</f>
        <v>0</v>
      </c>
      <c r="BM38" s="138">
        <f>SUMIFS(tbl_task1[S60],tbl_task1[[SubPLOs]:[SubPLOs]],"&gt;=5",tbl_task1[[SubPLOs]:[SubPLOs]],"&lt;6")</f>
        <v>0</v>
      </c>
      <c r="BN38" s="138">
        <f>SUMIFS(tbl_task1[S61],tbl_task1[[SubPLOs]:[SubPLOs]],"&gt;=5",tbl_task1[[SubPLOs]:[SubPLOs]],"&lt;6")</f>
        <v>0</v>
      </c>
      <c r="BO38" s="138">
        <f>SUMIFS(tbl_task1[S62],tbl_task1[[SubPLOs]:[SubPLOs]],"&gt;=5",tbl_task1[[SubPLOs]:[SubPLOs]],"&lt;6")</f>
        <v>0</v>
      </c>
      <c r="BP38" s="138">
        <f>SUMIFS(tbl_task1[S63],tbl_task1[[SubPLOs]:[SubPLOs]],"&gt;=5",tbl_task1[[SubPLOs]:[SubPLOs]],"&lt;6")</f>
        <v>0</v>
      </c>
      <c r="BQ38" s="138">
        <f>SUMIFS(tbl_task1[S64],tbl_task1[[SubPLOs]:[SubPLOs]],"&gt;=5",tbl_task1[[SubPLOs]:[SubPLOs]],"&lt;6")</f>
        <v>0</v>
      </c>
      <c r="BR38" s="138">
        <f>SUMIFS(tbl_task1[S65],tbl_task1[[SubPLOs]:[SubPLOs]],"&gt;=5",tbl_task1[[SubPLOs]:[SubPLOs]],"&lt;6")</f>
        <v>0</v>
      </c>
      <c r="BS38" s="138">
        <f>SUMIFS(tbl_task1[S66],tbl_task1[[SubPLOs]:[SubPLOs]],"&gt;=5",tbl_task1[[SubPLOs]:[SubPLOs]],"&lt;6")</f>
        <v>0</v>
      </c>
      <c r="BT38" s="138">
        <f>SUMIFS(tbl_task1[S67],tbl_task1[[SubPLOs]:[SubPLOs]],"&gt;=5",tbl_task1[[SubPLOs]:[SubPLOs]],"&lt;6")</f>
        <v>0</v>
      </c>
      <c r="BU38" s="138">
        <f>SUMIFS(tbl_task1[S68],tbl_task1[[SubPLOs]:[SubPLOs]],"&gt;=5",tbl_task1[[SubPLOs]:[SubPLOs]],"&lt;6")</f>
        <v>0</v>
      </c>
      <c r="BV38" s="138">
        <f>SUMIFS(tbl_task1[S69],tbl_task1[[SubPLOs]:[SubPLOs]],"&gt;=5",tbl_task1[[SubPLOs]:[SubPLOs]],"&lt;6")</f>
        <v>0</v>
      </c>
      <c r="BW38" s="138">
        <f>SUMIFS(tbl_task1[S70],tbl_task1[[SubPLOs]:[SubPLOs]],"&gt;=5",tbl_task1[[SubPLOs]:[SubPLOs]],"&lt;6")</f>
        <v>0</v>
      </c>
      <c r="BX38" s="138">
        <f>SUMIFS(tbl_task1[S71],tbl_task1[[SubPLOs]:[SubPLOs]],"&gt;=5",tbl_task1[[SubPLOs]:[SubPLOs]],"&lt;6")</f>
        <v>0</v>
      </c>
      <c r="BY38" s="138">
        <f>SUMIFS(tbl_task1[S72],tbl_task1[[SubPLOs]:[SubPLOs]],"&gt;=5",tbl_task1[[SubPLOs]:[SubPLOs]],"&lt;6")</f>
        <v>0</v>
      </c>
      <c r="BZ38" s="138">
        <f>SUMIFS(tbl_task1[S73],tbl_task1[[SubPLOs]:[SubPLOs]],"&gt;=5",tbl_task1[[SubPLOs]:[SubPLOs]],"&lt;6")</f>
        <v>0</v>
      </c>
      <c r="CA38" s="138">
        <f>SUMIFS(tbl_task1[S74],tbl_task1[[SubPLOs]:[SubPLOs]],"&gt;=5",tbl_task1[[SubPLOs]:[SubPLOs]],"&lt;6")</f>
        <v>0</v>
      </c>
      <c r="CB38" s="138">
        <f>SUMIFS(tbl_task1[S75],tbl_task1[[SubPLOs]:[SubPLOs]],"&gt;=5",tbl_task1[[SubPLOs]:[SubPLOs]],"&lt;6")</f>
        <v>0</v>
      </c>
      <c r="CC38" s="138">
        <f>SUMIFS(tbl_task1[S76],tbl_task1[[SubPLOs]:[SubPLOs]],"&gt;=5",tbl_task1[[SubPLOs]:[SubPLOs]],"&lt;6")</f>
        <v>0</v>
      </c>
      <c r="CD38" s="138">
        <f>SUMIFS(tbl_task1[S77],tbl_task1[[SubPLOs]:[SubPLOs]],"&gt;=5",tbl_task1[[SubPLOs]:[SubPLOs]],"&lt;6")</f>
        <v>0</v>
      </c>
      <c r="CE38" s="138">
        <f>SUMIFS(tbl_task1[S78],tbl_task1[[SubPLOs]:[SubPLOs]],"&gt;=5",tbl_task1[[SubPLOs]:[SubPLOs]],"&lt;6")</f>
        <v>0</v>
      </c>
      <c r="CF38" s="138">
        <f>SUMIFS(tbl_task1[S79],tbl_task1[[SubPLOs]:[SubPLOs]],"&gt;=5",tbl_task1[[SubPLOs]:[SubPLOs]],"&lt;6")</f>
        <v>0</v>
      </c>
      <c r="CG38" s="138">
        <f>SUMIFS(tbl_task1[S80],tbl_task1[[SubPLOs]:[SubPLOs]],"&gt;=5",tbl_task1[[SubPLOs]:[SubPLOs]],"&lt;6")</f>
        <v>0</v>
      </c>
      <c r="CH38" s="138">
        <f>SUMIFS(tbl_task1[S81],tbl_task1[[SubPLOs]:[SubPLOs]],"&gt;=5",tbl_task1[[SubPLOs]:[SubPLOs]],"&lt;6")</f>
        <v>0</v>
      </c>
      <c r="CI38" s="138">
        <f>SUMIFS(tbl_task1[S82],tbl_task1[[SubPLOs]:[SubPLOs]],"&gt;=5",tbl_task1[[SubPLOs]:[SubPLOs]],"&lt;6")</f>
        <v>0</v>
      </c>
      <c r="CJ38" s="138">
        <f>SUMIFS(tbl_task1[S83],tbl_task1[[SubPLOs]:[SubPLOs]],"&gt;=5",tbl_task1[[SubPLOs]:[SubPLOs]],"&lt;6")</f>
        <v>0</v>
      </c>
      <c r="CK38" s="138">
        <f>SUMIFS(tbl_task1[S84],tbl_task1[[SubPLOs]:[SubPLOs]],"&gt;=5",tbl_task1[[SubPLOs]:[SubPLOs]],"&lt;6")</f>
        <v>0</v>
      </c>
      <c r="CL38" s="138">
        <f>SUMIFS(tbl_task1[S85],tbl_task1[[SubPLOs]:[SubPLOs]],"&gt;=5",tbl_task1[[SubPLOs]:[SubPLOs]],"&lt;6")</f>
        <v>0</v>
      </c>
      <c r="CM38" s="138">
        <f>SUMIFS(tbl_task1[S86],tbl_task1[[SubPLOs]:[SubPLOs]],"&gt;=5",tbl_task1[[SubPLOs]:[SubPLOs]],"&lt;6")</f>
        <v>0</v>
      </c>
      <c r="CN38" s="138">
        <f>SUMIFS(tbl_task1[S87],tbl_task1[[SubPLOs]:[SubPLOs]],"&gt;=5",tbl_task1[[SubPLOs]:[SubPLOs]],"&lt;6")</f>
        <v>0</v>
      </c>
      <c r="CO38" s="138">
        <f>SUMIFS(tbl_task1[S88],tbl_task1[[SubPLOs]:[SubPLOs]],"&gt;=5",tbl_task1[[SubPLOs]:[SubPLOs]],"&lt;6")</f>
        <v>0</v>
      </c>
      <c r="CP38" s="138">
        <f>SUMIFS(tbl_task1[S89],tbl_task1[[SubPLOs]:[SubPLOs]],"&gt;=5",tbl_task1[[SubPLOs]:[SubPLOs]],"&lt;6")</f>
        <v>0</v>
      </c>
      <c r="CQ38" s="138">
        <f>SUMIFS(tbl_task1[S90],tbl_task1[[SubPLOs]:[SubPLOs]],"&gt;=5",tbl_task1[[SubPLOs]:[SubPLOs]],"&lt;6")</f>
        <v>0</v>
      </c>
      <c r="CR38" s="138">
        <f>SUMIFS(tbl_task1[S91],tbl_task1[[SubPLOs]:[SubPLOs]],"&gt;=5",tbl_task1[[SubPLOs]:[SubPLOs]],"&lt;6")</f>
        <v>0</v>
      </c>
      <c r="CS38" s="138">
        <f>SUMIFS(tbl_task1[S92],tbl_task1[[SubPLOs]:[SubPLOs]],"&gt;=5",tbl_task1[[SubPLOs]:[SubPLOs]],"&lt;6")</f>
        <v>0</v>
      </c>
      <c r="CT38" s="138">
        <f>SUMIFS(tbl_task1[S93],tbl_task1[[SubPLOs]:[SubPLOs]],"&gt;=5",tbl_task1[[SubPLOs]:[SubPLOs]],"&lt;6")</f>
        <v>0</v>
      </c>
      <c r="CU38" s="138">
        <f>SUMIFS(tbl_task1[S94],tbl_task1[[SubPLOs]:[SubPLOs]],"&gt;=5",tbl_task1[[SubPLOs]:[SubPLOs]],"&lt;6")</f>
        <v>0</v>
      </c>
      <c r="CV38" s="138">
        <f>SUMIFS(tbl_task1[S95],tbl_task1[[SubPLOs]:[SubPLOs]],"&gt;=5",tbl_task1[[SubPLOs]:[SubPLOs]],"&lt;6")</f>
        <v>0</v>
      </c>
      <c r="CW38" s="138">
        <f>SUMIFS(tbl_task1[S96],tbl_task1[[SubPLOs]:[SubPLOs]],"&gt;=5",tbl_task1[[SubPLOs]:[SubPLOs]],"&lt;6")</f>
        <v>0</v>
      </c>
      <c r="CX38" s="138">
        <f>SUMIFS(tbl_task1[S97],tbl_task1[[SubPLOs]:[SubPLOs]],"&gt;=5",tbl_task1[[SubPLOs]:[SubPLOs]],"&lt;6")</f>
        <v>0</v>
      </c>
      <c r="CY38" s="138">
        <f>SUMIFS(tbl_task1[S98],tbl_task1[[SubPLOs]:[SubPLOs]],"&gt;=5",tbl_task1[[SubPLOs]:[SubPLOs]],"&lt;6")</f>
        <v>0</v>
      </c>
      <c r="CZ38" s="138">
        <f>SUMIFS(tbl_task1[S99],tbl_task1[[SubPLOs]:[SubPLOs]],"&gt;=5",tbl_task1[[SubPLOs]:[SubPLOs]],"&lt;6")</f>
        <v>0</v>
      </c>
      <c r="DA38" s="138">
        <f>SUMIFS(tbl_task1[S100],tbl_task1[[SubPLOs]:[SubPLOs]],"&gt;=5",tbl_task1[[SubPLOs]:[SubPLOs]],"&lt;6")</f>
        <v>0</v>
      </c>
      <c r="DB38" s="138">
        <f>SUMIFS(tbl_task1[S101],tbl_task1[[SubPLOs]:[SubPLOs]],"&gt;=5",tbl_task1[[SubPLOs]:[SubPLOs]],"&lt;6")</f>
        <v>0</v>
      </c>
      <c r="DC38" s="138">
        <f>SUMIFS(tbl_task1[S102],tbl_task1[[SubPLOs]:[SubPLOs]],"&gt;=5",tbl_task1[[SubPLOs]:[SubPLOs]],"&lt;6")</f>
        <v>0</v>
      </c>
      <c r="DD38" s="138">
        <f>SUMIFS(tbl_task1[S103],tbl_task1[[SubPLOs]:[SubPLOs]],"&gt;=5",tbl_task1[[SubPLOs]:[SubPLOs]],"&lt;6")</f>
        <v>0</v>
      </c>
      <c r="DE38" s="138">
        <f>SUMIFS(tbl_task1[S104],tbl_task1[[SubPLOs]:[SubPLOs]],"&gt;=5",tbl_task1[[SubPLOs]:[SubPLOs]],"&lt;6")</f>
        <v>0</v>
      </c>
      <c r="DF38" s="138">
        <f>SUMIFS(tbl_task1[S105],tbl_task1[[SubPLOs]:[SubPLOs]],"&gt;=5",tbl_task1[[SubPLOs]:[SubPLOs]],"&lt;6")</f>
        <v>0</v>
      </c>
      <c r="DG38" s="138">
        <f>SUMIFS(tbl_task1[S106],tbl_task1[[SubPLOs]:[SubPLOs]],"&gt;=5",tbl_task1[[SubPLOs]:[SubPLOs]],"&lt;6")</f>
        <v>0</v>
      </c>
      <c r="DH38" s="138">
        <f>SUMIFS(tbl_task1[S106],tbl_task1[[SubPLOs]:[SubPLOs]],"&gt;=5",tbl_task1[[SubPLOs]:[SubPLOs]],"&lt;6")</f>
        <v>0</v>
      </c>
      <c r="DI38" s="138">
        <f>SUMIFS(tbl_task1[S108],tbl_task1[[SubPLOs]:[SubPLOs]],"&gt;=5",tbl_task1[[SubPLOs]:[SubPLOs]],"&lt;6")</f>
        <v>0</v>
      </c>
      <c r="DJ38" s="138">
        <f>SUMIFS(tbl_task1[S109],tbl_task1[[SubPLOs]:[SubPLOs]],"&gt;=5",tbl_task1[[SubPLOs]:[SubPLOs]],"&lt;6")</f>
        <v>0</v>
      </c>
      <c r="DK38" s="138">
        <f>SUMIFS(tbl_task1[S110],tbl_task1[[SubPLOs]:[SubPLOs]],"&gt;=5",tbl_task1[[SubPLOs]:[SubPLOs]],"&lt;6")</f>
        <v>0</v>
      </c>
      <c r="DL38" s="138">
        <f>SUMIFS(tbl_task1[S111],tbl_task1[[SubPLOs]:[SubPLOs]],"&gt;=5",tbl_task1[[SubPLOs]:[SubPLOs]],"&lt;6")</f>
        <v>0</v>
      </c>
      <c r="DM38" s="138">
        <f>SUMIFS(tbl_task1[S112],tbl_task1[[SubPLOs]:[SubPLOs]],"&gt;=5",tbl_task1[[SubPLOs]:[SubPLOs]],"&lt;6")</f>
        <v>0</v>
      </c>
      <c r="DN38" s="138">
        <f>SUMIFS(tbl_task1[S113],tbl_task1[[SubPLOs]:[SubPLOs]],"&gt;=5",tbl_task1[[SubPLOs]:[SubPLOs]],"&lt;6")</f>
        <v>0</v>
      </c>
      <c r="DO38" s="138">
        <f>SUMIFS(tbl_task1[S114],tbl_task1[[SubPLOs]:[SubPLOs]],"&gt;=5",tbl_task1[[SubPLOs]:[SubPLOs]],"&lt;6")</f>
        <v>0</v>
      </c>
      <c r="DP38" s="138">
        <f>SUMIFS(tbl_task1[S115],tbl_task1[[SubPLOs]:[SubPLOs]],"&gt;=5",tbl_task1[[SubPLOs]:[SubPLOs]],"&lt;6")</f>
        <v>0</v>
      </c>
      <c r="DQ38" s="138">
        <f>SUMIFS(tbl_task1[S116],tbl_task1[[SubPLOs]:[SubPLOs]],"&gt;=5",tbl_task1[[SubPLOs]:[SubPLOs]],"&lt;6")</f>
        <v>0</v>
      </c>
      <c r="DR38" s="138">
        <f>SUMIFS(tbl_task1[S117],tbl_task1[[SubPLOs]:[SubPLOs]],"&gt;=5",tbl_task1[[SubPLOs]:[SubPLOs]],"&lt;6")</f>
        <v>0</v>
      </c>
      <c r="DS38" s="138">
        <f>SUMIFS(tbl_task1[S118],tbl_task1[[SubPLOs]:[SubPLOs]],"&gt;=5",tbl_task1[[SubPLOs]:[SubPLOs]],"&lt;6")</f>
        <v>0</v>
      </c>
      <c r="DT38" s="138">
        <f>SUMIFS(tbl_task1[S119],tbl_task1[[SubPLOs]:[SubPLOs]],"&gt;=5",tbl_task1[[SubPLOs]:[SubPLOs]],"&lt;6")</f>
        <v>0</v>
      </c>
      <c r="DU38" s="138">
        <f>SUMIFS(tbl_task1[S120],tbl_task1[[SubPLOs]:[SubPLOs]],"&gt;=5",tbl_task1[[SubPLOs]:[SubPLOs]],"&lt;6")</f>
        <v>0</v>
      </c>
      <c r="DV38" s="138">
        <f>SUMIFS(tbl_task1[S121],tbl_task1[[SubPLOs]:[SubPLOs]],"&gt;=5",tbl_task1[[SubPLOs]:[SubPLOs]],"&lt;6")</f>
        <v>0</v>
      </c>
      <c r="DW38" s="138">
        <f>SUMIFS(tbl_task1[S122],tbl_task1[[SubPLOs]:[SubPLOs]],"&gt;=5",tbl_task1[[SubPLOs]:[SubPLOs]],"&lt;6")</f>
        <v>0</v>
      </c>
      <c r="DX38" s="138">
        <f>SUMIFS(tbl_task1[S123],tbl_task1[[SubPLOs]:[SubPLOs]],"&gt;=5",tbl_task1[[SubPLOs]:[SubPLOs]],"&lt;6")</f>
        <v>0</v>
      </c>
      <c r="DY38" s="138">
        <f>SUMIFS(tbl_task1[S124],tbl_task1[[SubPLOs]:[SubPLOs]],"&gt;=5",tbl_task1[[SubPLOs]:[SubPLOs]],"&lt;6")</f>
        <v>0</v>
      </c>
      <c r="DZ38" s="138">
        <f>SUMIFS(tbl_task1[S125],tbl_task1[[SubPLOs]:[SubPLOs]],"&gt;=5",tbl_task1[[SubPLOs]:[SubPLOs]],"&lt;6")</f>
        <v>0</v>
      </c>
      <c r="EA38" s="138">
        <f>SUMIFS(tbl_task1[S126],tbl_task1[[SubPLOs]:[SubPLOs]],"&gt;=5",tbl_task1[[SubPLOs]:[SubPLOs]],"&lt;6")</f>
        <v>0</v>
      </c>
      <c r="EB38" s="138">
        <f>SUMIFS(tbl_task1[S127],tbl_task1[[SubPLOs]:[SubPLOs]],"&gt;=5",tbl_task1[[SubPLOs]:[SubPLOs]],"&lt;6")</f>
        <v>0</v>
      </c>
      <c r="EC38" s="138">
        <f>SUMIFS(tbl_task1[S128],tbl_task1[[SubPLOs]:[SubPLOs]],"&gt;=5",tbl_task1[[SubPLOs]:[SubPLOs]],"&lt;6")</f>
        <v>0</v>
      </c>
      <c r="ED38" s="138">
        <f>SUMIFS(tbl_task1[S129],tbl_task1[[SubPLOs]:[SubPLOs]],"&gt;=5",tbl_task1[[SubPLOs]:[SubPLOs]],"&lt;6")</f>
        <v>0</v>
      </c>
      <c r="EE38" s="138">
        <f>SUMIFS(tbl_task1[S130],tbl_task1[[SubPLOs]:[SubPLOs]],"&gt;=5",tbl_task1[[SubPLOs]:[SubPLOs]],"&lt;6")</f>
        <v>0</v>
      </c>
      <c r="EF38" s="138">
        <f>SUMIFS(tbl_task1[S131],tbl_task1[[SubPLOs]:[SubPLOs]],"&gt;=5",tbl_task1[[SubPLOs]:[SubPLOs]],"&lt;6")</f>
        <v>0</v>
      </c>
      <c r="EG38" s="138">
        <f>SUMIFS(tbl_task1[S132],tbl_task1[[SubPLOs]:[SubPLOs]],"&gt;=5",tbl_task1[[SubPLOs]:[SubPLOs]],"&lt;6")</f>
        <v>0</v>
      </c>
      <c r="EH38" s="138">
        <f>SUMIFS(tbl_task1[S133],tbl_task1[[SubPLOs]:[SubPLOs]],"&gt;=5",tbl_task1[[SubPLOs]:[SubPLOs]],"&lt;6")</f>
        <v>0</v>
      </c>
      <c r="EI38" s="138">
        <f>SUMIFS(tbl_task1[S134],tbl_task1[[SubPLOs]:[SubPLOs]],"&gt;=5",tbl_task1[[SubPLOs]:[SubPLOs]],"&lt;6")</f>
        <v>0</v>
      </c>
      <c r="EJ38" s="138">
        <f>SUMIFS(tbl_task1[S135],tbl_task1[[SubPLOs]:[SubPLOs]],"&gt;=5",tbl_task1[[SubPLOs]:[SubPLOs]],"&lt;6")</f>
        <v>0</v>
      </c>
      <c r="EK38" s="138">
        <f>SUMIFS(tbl_task1[S136],tbl_task1[[SubPLOs]:[SubPLOs]],"&gt;=5",tbl_task1[[SubPLOs]:[SubPLOs]],"&lt;6")</f>
        <v>0</v>
      </c>
      <c r="EL38" s="138">
        <f>SUMIFS(tbl_task1[S137],tbl_task1[[SubPLOs]:[SubPLOs]],"&gt;=5",tbl_task1[[SubPLOs]:[SubPLOs]],"&lt;6")</f>
        <v>0</v>
      </c>
      <c r="EM38" s="138">
        <f>SUMIFS(tbl_task1[S138],tbl_task1[[SubPLOs]:[SubPLOs]],"&gt;=5",tbl_task1[[SubPLOs]:[SubPLOs]],"&lt;6")</f>
        <v>0</v>
      </c>
      <c r="EN38" s="138">
        <f>SUMIFS(tbl_task1[S139],tbl_task1[[SubPLOs]:[SubPLOs]],"&gt;=5",tbl_task1[[SubPLOs]:[SubPLOs]],"&lt;6")</f>
        <v>0</v>
      </c>
      <c r="EO38" s="138">
        <f>SUMIFS(tbl_task1[S140],tbl_task1[[SubPLOs]:[SubPLOs]],"&gt;=5",tbl_task1[[SubPLOs]:[SubPLOs]],"&lt;6")</f>
        <v>0</v>
      </c>
      <c r="EP38" s="138">
        <f>SUMIFS(tbl_task1[S141],tbl_task1[[SubPLOs]:[SubPLOs]],"&gt;=5",tbl_task1[[SubPLOs]:[SubPLOs]],"&lt;6")</f>
        <v>0</v>
      </c>
      <c r="EQ38" s="138">
        <f>SUMIFS(tbl_task1[S142],tbl_task1[[SubPLOs]:[SubPLOs]],"&gt;=5",tbl_task1[[SubPLOs]:[SubPLOs]],"&lt;6")</f>
        <v>0</v>
      </c>
      <c r="ER38" s="138">
        <f>SUMIFS(tbl_task1[S143],tbl_task1[[SubPLOs]:[SubPLOs]],"&gt;=5",tbl_task1[[SubPLOs]:[SubPLOs]],"&lt;6")</f>
        <v>0</v>
      </c>
      <c r="ES38" s="138">
        <f>SUMIFS(tbl_task1[S144],tbl_task1[[SubPLOs]:[SubPLOs]],"&gt;=5",tbl_task1[[SubPLOs]:[SubPLOs]],"&lt;6")</f>
        <v>0</v>
      </c>
      <c r="ET38" s="138">
        <f>SUMIFS(tbl_task1[S145],tbl_task1[[SubPLOs]:[SubPLOs]],"&gt;=5",tbl_task1[[SubPLOs]:[SubPLOs]],"&lt;6")</f>
        <v>0</v>
      </c>
      <c r="EU38" s="138">
        <f>SUMIFS(tbl_task1[S146],tbl_task1[[SubPLOs]:[SubPLOs]],"&gt;=5",tbl_task1[[SubPLOs]:[SubPLOs]],"&lt;6")</f>
        <v>0</v>
      </c>
      <c r="EV38" s="138">
        <f>SUMIFS(tbl_task1[S147],tbl_task1[[SubPLOs]:[SubPLOs]],"&gt;=5",tbl_task1[[SubPLOs]:[SubPLOs]],"&lt;6")</f>
        <v>0</v>
      </c>
      <c r="EW38" s="138">
        <f>SUMIFS(tbl_task1[S148],tbl_task1[[SubPLOs]:[SubPLOs]],"&gt;=5",tbl_task1[[SubPLOs]:[SubPLOs]],"&lt;6")</f>
        <v>0</v>
      </c>
      <c r="EX38" s="138">
        <f>SUMIFS(tbl_task1[S149],tbl_task1[[SubPLOs]:[SubPLOs]],"&gt;=5",tbl_task1[[SubPLOs]:[SubPLOs]],"&lt;6")</f>
        <v>0</v>
      </c>
      <c r="EY38" s="138">
        <f>SUMIFS(tbl_task1[S150],tbl_task1[[SubPLOs]:[SubPLOs]],"&gt;=5",tbl_task1[[SubPLOs]:[SubPLOs]],"&lt;6")</f>
        <v>0</v>
      </c>
      <c r="EZ38" s="138">
        <f>SUMIFS(tbl_task1[S151],tbl_task1[[SubPLOs]:[SubPLOs]],"&gt;=5",tbl_task1[[SubPLOs]:[SubPLOs]],"&lt;6")</f>
        <v>0</v>
      </c>
      <c r="FA38" s="138">
        <f>SUMIFS(tbl_task1[S152],tbl_task1[[SubPLOs]:[SubPLOs]],"&gt;=5",tbl_task1[[SubPLOs]:[SubPLOs]],"&lt;6")</f>
        <v>0</v>
      </c>
      <c r="FB38" s="138">
        <f>SUMIFS(tbl_task1[S153],tbl_task1[[SubPLOs]:[SubPLOs]],"&gt;=5",tbl_task1[[SubPLOs]:[SubPLOs]],"&lt;6")</f>
        <v>0</v>
      </c>
      <c r="FC38" s="138">
        <f>SUMIFS(tbl_task1[S154],tbl_task1[[SubPLOs]:[SubPLOs]],"&gt;=5",tbl_task1[[SubPLOs]:[SubPLOs]],"&lt;6")</f>
        <v>0</v>
      </c>
      <c r="FD38" s="138">
        <f>SUMIFS(tbl_task1[S155],tbl_task1[[SubPLOs]:[SubPLOs]],"&gt;=5",tbl_task1[[SubPLOs]:[SubPLOs]],"&lt;6")</f>
        <v>0</v>
      </c>
      <c r="FE38" s="138">
        <f>SUMIFS(tbl_task1[S156],tbl_task1[[SubPLOs]:[SubPLOs]],"&gt;=5",tbl_task1[[SubPLOs]:[SubPLOs]],"&lt;6")</f>
        <v>0</v>
      </c>
      <c r="FF38" s="138">
        <f>SUMIFS(tbl_task1[S157],tbl_task1[[SubPLOs]:[SubPLOs]],"&gt;=5",tbl_task1[[SubPLOs]:[SubPLOs]],"&lt;6")</f>
        <v>0</v>
      </c>
      <c r="FG38" s="138">
        <f>SUMIFS(tbl_task1[S158],tbl_task1[[SubPLOs]:[SubPLOs]],"&gt;=5",tbl_task1[[SubPLOs]:[SubPLOs]],"&lt;6")</f>
        <v>0</v>
      </c>
      <c r="FH38" s="138">
        <f>SUMIFS(tbl_task1[S159],tbl_task1[[SubPLOs]:[SubPLOs]],"&gt;=5",tbl_task1[[SubPLOs]:[SubPLOs]],"&lt;6")</f>
        <v>0</v>
      </c>
      <c r="FI38" s="138">
        <f>SUMIFS(tbl_task1[S160],tbl_task1[[SubPLOs]:[SubPLOs]],"&gt;=5",tbl_task1[[SubPLOs]:[SubPLOs]],"&lt;6")</f>
        <v>0</v>
      </c>
      <c r="FJ38" s="138">
        <f>SUMIFS(tbl_task1[S161],tbl_task1[[SubPLOs]:[SubPLOs]],"&gt;=5",tbl_task1[[SubPLOs]:[SubPLOs]],"&lt;6")</f>
        <v>0</v>
      </c>
      <c r="FK38" s="138">
        <f>SUMIFS(tbl_task1[S162],tbl_task1[[SubPLOs]:[SubPLOs]],"&gt;=5",tbl_task1[[SubPLOs]:[SubPLOs]],"&lt;6")</f>
        <v>0</v>
      </c>
      <c r="FL38" s="138">
        <f>SUMIFS(tbl_task1[S163],tbl_task1[[SubPLOs]:[SubPLOs]],"&gt;=5",tbl_task1[[SubPLOs]:[SubPLOs]],"&lt;6")</f>
        <v>0</v>
      </c>
      <c r="FM38" s="138">
        <f>SUMIFS(tbl_task1[S164],tbl_task1[[SubPLOs]:[SubPLOs]],"&gt;=5",tbl_task1[[SubPLOs]:[SubPLOs]],"&lt;6")</f>
        <v>0</v>
      </c>
      <c r="FN38" s="138">
        <f>SUMIFS(tbl_task1[S165],tbl_task1[[SubPLOs]:[SubPLOs]],"&gt;=5",tbl_task1[[SubPLOs]:[SubPLOs]],"&lt;6")</f>
        <v>0</v>
      </c>
    </row>
    <row r="39" spans="1:170" ht="42" x14ac:dyDescent="0.25">
      <c r="A39" s="135">
        <v>6</v>
      </c>
      <c r="B39" s="5" t="s">
        <v>439</v>
      </c>
      <c r="C39" s="136">
        <f>COUNTIFS(tbl_task1[SubPLOs],"&gt;=6",tbl_task1[SubPLOs],"&lt;7")</f>
        <v>0</v>
      </c>
      <c r="D39" s="136">
        <f>SUMIFS(tbl_task1[คะแนนเต็ม],tbl_task1[SubPLOs],"&gt;=6",tbl_task1[SubPLOs],"&lt;7")</f>
        <v>0</v>
      </c>
      <c r="E39" s="137">
        <f>SUMIFS(tbl_task1[%],tbl_task1[SubPLOs],"&gt;=6",tbl_task1[SubPLOs],"&lt;7")</f>
        <v>0</v>
      </c>
      <c r="F39" s="138">
        <f>SUMIFS(tbl_task1[S1],tbl_task1[[SubPLOs]:[SubPLOs]],"&gt;=6",tbl_task1[[SubPLOs]:[SubPLOs]],"&lt;7")</f>
        <v>0</v>
      </c>
      <c r="G39" s="138">
        <f>SUMIFS(tbl_task1[S2],tbl_task1[[SubPLOs]:[SubPLOs]],"&gt;=6",tbl_task1[[SubPLOs]:[SubPLOs]],"&lt;7")</f>
        <v>0</v>
      </c>
      <c r="H39" s="138">
        <f>SUMIFS(tbl_task1[S3],tbl_task1[[SubPLOs]:[SubPLOs]],"&gt;=6",tbl_task1[[SubPLOs]:[SubPLOs]],"&lt;7")</f>
        <v>0</v>
      </c>
      <c r="I39" s="138">
        <f>SUMIFS(tbl_task1[S4],tbl_task1[[SubPLOs]:[SubPLOs]],"&gt;=6",tbl_task1[[SubPLOs]:[SubPLOs]],"&lt;7")</f>
        <v>0</v>
      </c>
      <c r="J39" s="138">
        <f>SUMIFS(tbl_task1[S5],tbl_task1[[SubPLOs]:[SubPLOs]],"&gt;=6",tbl_task1[[SubPLOs]:[SubPLOs]],"&lt;7")</f>
        <v>0</v>
      </c>
      <c r="K39" s="138">
        <f>SUMIFS(tbl_task1[S6],tbl_task1[[SubPLOs]:[SubPLOs]],"&gt;=6",tbl_task1[[SubPLOs]:[SubPLOs]],"&lt;7")</f>
        <v>0</v>
      </c>
      <c r="L39" s="138">
        <f>SUMIFS(tbl_task1[S7],tbl_task1[[SubPLOs]:[SubPLOs]],"&gt;=6",tbl_task1[[SubPLOs]:[SubPLOs]],"&lt;7")</f>
        <v>0</v>
      </c>
      <c r="M39" s="138">
        <f>SUMIFS(tbl_task1[S8],tbl_task1[[SubPLOs]:[SubPLOs]],"&gt;=6",tbl_task1[[SubPLOs]:[SubPLOs]],"&lt;7")</f>
        <v>0</v>
      </c>
      <c r="N39" s="138">
        <f>SUMIFS(tbl_task1[S9],tbl_task1[[SubPLOs]:[SubPLOs]],"&gt;=6",tbl_task1[[SubPLOs]:[SubPLOs]],"&lt;7")</f>
        <v>0</v>
      </c>
      <c r="O39" s="138">
        <f>SUMIFS(tbl_task1[S10],tbl_task1[[SubPLOs]:[SubPLOs]],"&gt;=6",tbl_task1[[SubPLOs]:[SubPLOs]],"&lt;7")</f>
        <v>0</v>
      </c>
      <c r="P39" s="138">
        <f>SUMIFS(tbl_task1[S11],tbl_task1[[SubPLOs]:[SubPLOs]],"&gt;=6",tbl_task1[[SubPLOs]:[SubPLOs]],"&lt;7")</f>
        <v>0</v>
      </c>
      <c r="Q39" s="138">
        <f>SUMIFS(tbl_task1[S12],tbl_task1[[SubPLOs]:[SubPLOs]],"&gt;=6",tbl_task1[[SubPLOs]:[SubPLOs]],"&lt;7")</f>
        <v>0</v>
      </c>
      <c r="R39" s="138">
        <f>SUMIFS(tbl_task1[S13],tbl_task1[[SubPLOs]:[SubPLOs]],"&gt;=6",tbl_task1[[SubPLOs]:[SubPLOs]],"&lt;7")</f>
        <v>0</v>
      </c>
      <c r="S39" s="138">
        <f>SUMIFS(tbl_task1[S14],tbl_task1[[SubPLOs]:[SubPLOs]],"&gt;=6",tbl_task1[[SubPLOs]:[SubPLOs]],"&lt;7")</f>
        <v>0</v>
      </c>
      <c r="T39" s="138">
        <f>SUMIFS(tbl_task1[S15],tbl_task1[[SubPLOs]:[SubPLOs]],"&gt;=6",tbl_task1[[SubPLOs]:[SubPLOs]],"&lt;7")</f>
        <v>0</v>
      </c>
      <c r="U39" s="138">
        <f>SUMIFS(tbl_task1[S16],tbl_task1[[SubPLOs]:[SubPLOs]],"&gt;=6",tbl_task1[[SubPLOs]:[SubPLOs]],"&lt;7")</f>
        <v>0</v>
      </c>
      <c r="V39" s="138">
        <f>SUMIFS(tbl_task1[S17],tbl_task1[[SubPLOs]:[SubPLOs]],"&gt;=6",tbl_task1[[SubPLOs]:[SubPLOs]],"&lt;7")</f>
        <v>0</v>
      </c>
      <c r="W39" s="138">
        <f>SUMIFS(tbl_task1[S18],tbl_task1[[SubPLOs]:[SubPLOs]],"&gt;=6",tbl_task1[[SubPLOs]:[SubPLOs]],"&lt;7")</f>
        <v>0</v>
      </c>
      <c r="X39" s="138">
        <f>SUMIFS(tbl_task1[S19],tbl_task1[[SubPLOs]:[SubPLOs]],"&gt;=6",tbl_task1[[SubPLOs]:[SubPLOs]],"&lt;7")</f>
        <v>0</v>
      </c>
      <c r="Y39" s="138">
        <f>SUMIFS(tbl_task1[S20],tbl_task1[[SubPLOs]:[SubPLOs]],"&gt;=6",tbl_task1[[SubPLOs]:[SubPLOs]],"&lt;7")</f>
        <v>0</v>
      </c>
      <c r="Z39" s="138">
        <f>SUMIFS(tbl_task1[S21],tbl_task1[[SubPLOs]:[SubPLOs]],"&gt;=6",tbl_task1[[SubPLOs]:[SubPLOs]],"&lt;7")</f>
        <v>0</v>
      </c>
      <c r="AA39" s="138">
        <f>SUMIFS(tbl_task1[S22],tbl_task1[[SubPLOs]:[SubPLOs]],"&gt;=6",tbl_task1[[SubPLOs]:[SubPLOs]],"&lt;7")</f>
        <v>0</v>
      </c>
      <c r="AB39" s="138">
        <f>SUMIFS(tbl_task1[S23],tbl_task1[[SubPLOs]:[SubPLOs]],"&gt;=6",tbl_task1[[SubPLOs]:[SubPLOs]],"&lt;7")</f>
        <v>0</v>
      </c>
      <c r="AC39" s="138">
        <f>SUMIFS(tbl_task1[S24],tbl_task1[[SubPLOs]:[SubPLOs]],"&gt;=6",tbl_task1[[SubPLOs]:[SubPLOs]],"&lt;7")</f>
        <v>0</v>
      </c>
      <c r="AD39" s="138">
        <f>SUMIFS(tbl_task1[S25],tbl_task1[[SubPLOs]:[SubPLOs]],"&gt;=6",tbl_task1[[SubPLOs]:[SubPLOs]],"&lt;7")</f>
        <v>0</v>
      </c>
      <c r="AE39" s="138">
        <f>SUMIFS(tbl_task1[S26],tbl_task1[[SubPLOs]:[SubPLOs]],"&gt;=6",tbl_task1[[SubPLOs]:[SubPLOs]],"&lt;7")</f>
        <v>0</v>
      </c>
      <c r="AF39" s="138">
        <f>SUMIFS(tbl_task1[S27],tbl_task1[[SubPLOs]:[SubPLOs]],"&gt;=6",tbl_task1[[SubPLOs]:[SubPLOs]],"&lt;7")</f>
        <v>0</v>
      </c>
      <c r="AG39" s="138">
        <f>SUMIFS(tbl_task1[S28],tbl_task1[[SubPLOs]:[SubPLOs]],"&gt;=6",tbl_task1[[SubPLOs]:[SubPLOs]],"&lt;7")</f>
        <v>0</v>
      </c>
      <c r="AH39" s="138">
        <f>SUMIFS(tbl_task1[S29],tbl_task1[[SubPLOs]:[SubPLOs]],"&gt;=6",tbl_task1[[SubPLOs]:[SubPLOs]],"&lt;7")</f>
        <v>0</v>
      </c>
      <c r="AI39" s="138">
        <f>SUMIFS(tbl_task1[S30],tbl_task1[[SubPLOs]:[SubPLOs]],"&gt;=6",tbl_task1[[SubPLOs]:[SubPLOs]],"&lt;7")</f>
        <v>0</v>
      </c>
      <c r="AJ39" s="138">
        <f>SUMIFS(tbl_task1[S31],tbl_task1[[SubPLOs]:[SubPLOs]],"&gt;=6",tbl_task1[[SubPLOs]:[SubPLOs]],"&lt;7")</f>
        <v>0</v>
      </c>
      <c r="AK39" s="138">
        <f>SUMIFS(tbl_task1[S32],tbl_task1[[SubPLOs]:[SubPLOs]],"&gt;=6",tbl_task1[[SubPLOs]:[SubPLOs]],"&lt;7")</f>
        <v>0</v>
      </c>
      <c r="AL39" s="138">
        <f>SUMIFS(tbl_task1[S33],tbl_task1[[SubPLOs]:[SubPLOs]],"&gt;=6",tbl_task1[[SubPLOs]:[SubPLOs]],"&lt;7")</f>
        <v>0</v>
      </c>
      <c r="AM39" s="138">
        <f>SUMIFS(tbl_task1[S34],tbl_task1[[SubPLOs]:[SubPLOs]],"&gt;=6",tbl_task1[[SubPLOs]:[SubPLOs]],"&lt;7")</f>
        <v>0</v>
      </c>
      <c r="AN39" s="138">
        <f>SUMIFS(tbl_task1[S35],tbl_task1[[SubPLOs]:[SubPLOs]],"&gt;=6",tbl_task1[[SubPLOs]:[SubPLOs]],"&lt;7")</f>
        <v>0</v>
      </c>
      <c r="AO39" s="138">
        <f>SUMIFS(tbl_task1[S36],tbl_task1[[SubPLOs]:[SubPLOs]],"&gt;=6",tbl_task1[[SubPLOs]:[SubPLOs]],"&lt;7")</f>
        <v>0</v>
      </c>
      <c r="AP39" s="138">
        <f>SUMIFS(tbl_task1[S37],tbl_task1[[SubPLOs]:[SubPLOs]],"&gt;=6",tbl_task1[[SubPLOs]:[SubPLOs]],"&lt;7")</f>
        <v>0</v>
      </c>
      <c r="AQ39" s="138">
        <f>SUMIFS(tbl_task1[S38],tbl_task1[[SubPLOs]:[SubPLOs]],"&gt;=6",tbl_task1[[SubPLOs]:[SubPLOs]],"&lt;7")</f>
        <v>0</v>
      </c>
      <c r="AR39" s="138">
        <f>SUMIFS(tbl_task1[S39],tbl_task1[[SubPLOs]:[SubPLOs]],"&gt;=6",tbl_task1[[SubPLOs]:[SubPLOs]],"&lt;7")</f>
        <v>0</v>
      </c>
      <c r="AS39" s="138">
        <f>SUMIFS(tbl_task1[S40],tbl_task1[[SubPLOs]:[SubPLOs]],"&gt;=6",tbl_task1[[SubPLOs]:[SubPLOs]],"&lt;7")</f>
        <v>0</v>
      </c>
      <c r="AT39" s="138">
        <f>SUMIFS(tbl_task1[S41],tbl_task1[[SubPLOs]:[SubPLOs]],"&gt;=6",tbl_task1[[SubPLOs]:[SubPLOs]],"&lt;7")</f>
        <v>0</v>
      </c>
      <c r="AU39" s="138">
        <f>SUMIFS(tbl_task1[S42],tbl_task1[[SubPLOs]:[SubPLOs]],"&gt;=6",tbl_task1[[SubPLOs]:[SubPLOs]],"&lt;7")</f>
        <v>0</v>
      </c>
      <c r="AV39" s="138">
        <f>SUMIFS(tbl_task1[S43],tbl_task1[[SubPLOs]:[SubPLOs]],"&gt;=6",tbl_task1[[SubPLOs]:[SubPLOs]],"&lt;7")</f>
        <v>0</v>
      </c>
      <c r="AW39" s="138">
        <f>SUMIFS(tbl_task1[S44],tbl_task1[[SubPLOs]:[SubPLOs]],"&gt;=6",tbl_task1[[SubPLOs]:[SubPLOs]],"&lt;7")</f>
        <v>0</v>
      </c>
      <c r="AX39" s="138">
        <f>SUMIFS(tbl_task1[S45],tbl_task1[[SubPLOs]:[SubPLOs]],"&gt;=6",tbl_task1[[SubPLOs]:[SubPLOs]],"&lt;7")</f>
        <v>0</v>
      </c>
      <c r="AY39" s="138">
        <f>SUMIFS(tbl_task1[S46],tbl_task1[[SubPLOs]:[SubPLOs]],"&gt;=6",tbl_task1[[SubPLOs]:[SubPLOs]],"&lt;7")</f>
        <v>0</v>
      </c>
      <c r="AZ39" s="138">
        <f>SUMIFS(tbl_task1[S47],tbl_task1[[SubPLOs]:[SubPLOs]],"&gt;=6",tbl_task1[[SubPLOs]:[SubPLOs]],"&lt;7")</f>
        <v>0</v>
      </c>
      <c r="BA39" s="138">
        <f>SUMIFS(tbl_task1[S48],tbl_task1[[SubPLOs]:[SubPLOs]],"&gt;=6",tbl_task1[[SubPLOs]:[SubPLOs]],"&lt;7")</f>
        <v>0</v>
      </c>
      <c r="BB39" s="138">
        <f>SUMIFS(tbl_task1[S49],tbl_task1[[SubPLOs]:[SubPLOs]],"&gt;=6",tbl_task1[[SubPLOs]:[SubPLOs]],"&lt;7")</f>
        <v>0</v>
      </c>
      <c r="BC39" s="138">
        <f>SUMIFS(tbl_task1[S50],tbl_task1[[SubPLOs]:[SubPLOs]],"&gt;=6",tbl_task1[[SubPLOs]:[SubPLOs]],"&lt;7")</f>
        <v>0</v>
      </c>
      <c r="BD39" s="138">
        <f>SUMIFS(tbl_task1[S51],tbl_task1[[SubPLOs]:[SubPLOs]],"&gt;=6",tbl_task1[[SubPLOs]:[SubPLOs]],"&lt;7")</f>
        <v>0</v>
      </c>
      <c r="BE39" s="138">
        <f>SUMIFS(tbl_task1[S52],tbl_task1[[SubPLOs]:[SubPLOs]],"&gt;=6",tbl_task1[[SubPLOs]:[SubPLOs]],"&lt;7")</f>
        <v>0</v>
      </c>
      <c r="BF39" s="138">
        <f>SUMIFS(tbl_task1[S53],tbl_task1[[SubPLOs]:[SubPLOs]],"&gt;=6",tbl_task1[[SubPLOs]:[SubPLOs]],"&lt;7")</f>
        <v>0</v>
      </c>
      <c r="BG39" s="138">
        <f>SUMIFS(tbl_task1[S54],tbl_task1[[SubPLOs]:[SubPLOs]],"&gt;=6",tbl_task1[[SubPLOs]:[SubPLOs]],"&lt;7")</f>
        <v>0</v>
      </c>
      <c r="BH39" s="138">
        <f>SUMIFS(tbl_task1[S55],tbl_task1[[SubPLOs]:[SubPLOs]],"&gt;=6",tbl_task1[[SubPLOs]:[SubPLOs]],"&lt;7")</f>
        <v>0</v>
      </c>
      <c r="BI39" s="138">
        <f>SUMIFS(tbl_task1[S56],tbl_task1[[SubPLOs]:[SubPLOs]],"&gt;=6",tbl_task1[[SubPLOs]:[SubPLOs]],"&lt;7")</f>
        <v>0</v>
      </c>
      <c r="BJ39" s="138">
        <f>SUMIFS(tbl_task1[S57],tbl_task1[[SubPLOs]:[SubPLOs]],"&gt;=6",tbl_task1[[SubPLOs]:[SubPLOs]],"&lt;7")</f>
        <v>0</v>
      </c>
      <c r="BK39" s="138">
        <f>SUMIFS(tbl_task1[S58],tbl_task1[[SubPLOs]:[SubPLOs]],"&gt;=6",tbl_task1[[SubPLOs]:[SubPLOs]],"&lt;7")</f>
        <v>0</v>
      </c>
      <c r="BL39" s="138">
        <f>SUMIFS(tbl_task1[S59],tbl_task1[[SubPLOs]:[SubPLOs]],"&gt;=6",tbl_task1[[SubPLOs]:[SubPLOs]],"&lt;7")</f>
        <v>0</v>
      </c>
      <c r="BM39" s="138">
        <f>SUMIFS(tbl_task1[S60],tbl_task1[[SubPLOs]:[SubPLOs]],"&gt;=6",tbl_task1[[SubPLOs]:[SubPLOs]],"&lt;7")</f>
        <v>0</v>
      </c>
      <c r="BN39" s="138">
        <f>SUMIFS(tbl_task1[S61],tbl_task1[[SubPLOs]:[SubPLOs]],"&gt;=6",tbl_task1[[SubPLOs]:[SubPLOs]],"&lt;7")</f>
        <v>0</v>
      </c>
      <c r="BO39" s="138">
        <f>SUMIFS(tbl_task1[S62],tbl_task1[[SubPLOs]:[SubPLOs]],"&gt;=6",tbl_task1[[SubPLOs]:[SubPLOs]],"&lt;7")</f>
        <v>0</v>
      </c>
      <c r="BP39" s="138">
        <f>SUMIFS(tbl_task1[S63],tbl_task1[[SubPLOs]:[SubPLOs]],"&gt;=6",tbl_task1[[SubPLOs]:[SubPLOs]],"&lt;7")</f>
        <v>0</v>
      </c>
      <c r="BQ39" s="138">
        <f>SUMIFS(tbl_task1[S64],tbl_task1[[SubPLOs]:[SubPLOs]],"&gt;=6",tbl_task1[[SubPLOs]:[SubPLOs]],"&lt;7")</f>
        <v>0</v>
      </c>
      <c r="BR39" s="138">
        <f>SUMIFS(tbl_task1[S65],tbl_task1[[SubPLOs]:[SubPLOs]],"&gt;=6",tbl_task1[[SubPLOs]:[SubPLOs]],"&lt;7")</f>
        <v>0</v>
      </c>
      <c r="BS39" s="138">
        <f>SUMIFS(tbl_task1[S66],tbl_task1[[SubPLOs]:[SubPLOs]],"&gt;=6",tbl_task1[[SubPLOs]:[SubPLOs]],"&lt;7")</f>
        <v>0</v>
      </c>
      <c r="BT39" s="138">
        <f>SUMIFS(tbl_task1[S67],tbl_task1[[SubPLOs]:[SubPLOs]],"&gt;=6",tbl_task1[[SubPLOs]:[SubPLOs]],"&lt;7")</f>
        <v>0</v>
      </c>
      <c r="BU39" s="138">
        <f>SUMIFS(tbl_task1[S68],tbl_task1[[SubPLOs]:[SubPLOs]],"&gt;=6",tbl_task1[[SubPLOs]:[SubPLOs]],"&lt;7")</f>
        <v>0</v>
      </c>
      <c r="BV39" s="138">
        <f>SUMIFS(tbl_task1[S69],tbl_task1[[SubPLOs]:[SubPLOs]],"&gt;=6",tbl_task1[[SubPLOs]:[SubPLOs]],"&lt;7")</f>
        <v>0</v>
      </c>
      <c r="BW39" s="138">
        <f>SUMIFS(tbl_task1[S70],tbl_task1[[SubPLOs]:[SubPLOs]],"&gt;=6",tbl_task1[[SubPLOs]:[SubPLOs]],"&lt;7")</f>
        <v>0</v>
      </c>
      <c r="BX39" s="138">
        <f>SUMIFS(tbl_task1[S71],tbl_task1[[SubPLOs]:[SubPLOs]],"&gt;=6",tbl_task1[[SubPLOs]:[SubPLOs]],"&lt;7")</f>
        <v>0</v>
      </c>
      <c r="BY39" s="138">
        <f>SUMIFS(tbl_task1[S72],tbl_task1[[SubPLOs]:[SubPLOs]],"&gt;=6",tbl_task1[[SubPLOs]:[SubPLOs]],"&lt;7")</f>
        <v>0</v>
      </c>
      <c r="BZ39" s="138">
        <f>SUMIFS(tbl_task1[S73],tbl_task1[[SubPLOs]:[SubPLOs]],"&gt;=6",tbl_task1[[SubPLOs]:[SubPLOs]],"&lt;7")</f>
        <v>0</v>
      </c>
      <c r="CA39" s="138">
        <f>SUMIFS(tbl_task1[S74],tbl_task1[[SubPLOs]:[SubPLOs]],"&gt;=6",tbl_task1[[SubPLOs]:[SubPLOs]],"&lt;7")</f>
        <v>0</v>
      </c>
      <c r="CB39" s="138">
        <f>SUMIFS(tbl_task1[S75],tbl_task1[[SubPLOs]:[SubPLOs]],"&gt;=6",tbl_task1[[SubPLOs]:[SubPLOs]],"&lt;7")</f>
        <v>0</v>
      </c>
      <c r="CC39" s="138">
        <f>SUMIFS(tbl_task1[S76],tbl_task1[[SubPLOs]:[SubPLOs]],"&gt;=6",tbl_task1[[SubPLOs]:[SubPLOs]],"&lt;7")</f>
        <v>0</v>
      </c>
      <c r="CD39" s="138">
        <f>SUMIFS(tbl_task1[S77],tbl_task1[[SubPLOs]:[SubPLOs]],"&gt;=6",tbl_task1[[SubPLOs]:[SubPLOs]],"&lt;7")</f>
        <v>0</v>
      </c>
      <c r="CE39" s="138">
        <f>SUMIFS(tbl_task1[S78],tbl_task1[[SubPLOs]:[SubPLOs]],"&gt;=6",tbl_task1[[SubPLOs]:[SubPLOs]],"&lt;7")</f>
        <v>0</v>
      </c>
      <c r="CF39" s="138">
        <f>SUMIFS(tbl_task1[S79],tbl_task1[[SubPLOs]:[SubPLOs]],"&gt;=6",tbl_task1[[SubPLOs]:[SubPLOs]],"&lt;7")</f>
        <v>0</v>
      </c>
      <c r="CG39" s="138">
        <f>SUMIFS(tbl_task1[S80],tbl_task1[[SubPLOs]:[SubPLOs]],"&gt;=6",tbl_task1[[SubPLOs]:[SubPLOs]],"&lt;7")</f>
        <v>0</v>
      </c>
      <c r="CH39" s="138">
        <f>SUMIFS(tbl_task1[S81],tbl_task1[[SubPLOs]:[SubPLOs]],"&gt;=6",tbl_task1[[SubPLOs]:[SubPLOs]],"&lt;7")</f>
        <v>0</v>
      </c>
      <c r="CI39" s="138">
        <f>SUMIFS(tbl_task1[S82],tbl_task1[[SubPLOs]:[SubPLOs]],"&gt;=6",tbl_task1[[SubPLOs]:[SubPLOs]],"&lt;7")</f>
        <v>0</v>
      </c>
      <c r="CJ39" s="138">
        <f>SUMIFS(tbl_task1[S83],tbl_task1[[SubPLOs]:[SubPLOs]],"&gt;=6",tbl_task1[[SubPLOs]:[SubPLOs]],"&lt;7")</f>
        <v>0</v>
      </c>
      <c r="CK39" s="138">
        <f>SUMIFS(tbl_task1[S84],tbl_task1[[SubPLOs]:[SubPLOs]],"&gt;=6",tbl_task1[[SubPLOs]:[SubPLOs]],"&lt;7")</f>
        <v>0</v>
      </c>
      <c r="CL39" s="138">
        <f>SUMIFS(tbl_task1[S85],tbl_task1[[SubPLOs]:[SubPLOs]],"&gt;=6",tbl_task1[[SubPLOs]:[SubPLOs]],"&lt;7")</f>
        <v>0</v>
      </c>
      <c r="CM39" s="138">
        <f>SUMIFS(tbl_task1[S86],tbl_task1[[SubPLOs]:[SubPLOs]],"&gt;=6",tbl_task1[[SubPLOs]:[SubPLOs]],"&lt;7")</f>
        <v>0</v>
      </c>
      <c r="CN39" s="138">
        <f>SUMIFS(tbl_task1[S87],tbl_task1[[SubPLOs]:[SubPLOs]],"&gt;=6",tbl_task1[[SubPLOs]:[SubPLOs]],"&lt;7")</f>
        <v>0</v>
      </c>
      <c r="CO39" s="138">
        <f>SUMIFS(tbl_task1[S88],tbl_task1[[SubPLOs]:[SubPLOs]],"&gt;=6",tbl_task1[[SubPLOs]:[SubPLOs]],"&lt;7")</f>
        <v>0</v>
      </c>
      <c r="CP39" s="138">
        <f>SUMIFS(tbl_task1[S89],tbl_task1[[SubPLOs]:[SubPLOs]],"&gt;=6",tbl_task1[[SubPLOs]:[SubPLOs]],"&lt;7")</f>
        <v>0</v>
      </c>
      <c r="CQ39" s="138">
        <f>SUMIFS(tbl_task1[S90],tbl_task1[[SubPLOs]:[SubPLOs]],"&gt;=6",tbl_task1[[SubPLOs]:[SubPLOs]],"&lt;7")</f>
        <v>0</v>
      </c>
      <c r="CR39" s="138">
        <f>SUMIFS(tbl_task1[S91],tbl_task1[[SubPLOs]:[SubPLOs]],"&gt;=6",tbl_task1[[SubPLOs]:[SubPLOs]],"&lt;7")</f>
        <v>0</v>
      </c>
      <c r="CS39" s="138">
        <f>SUMIFS(tbl_task1[S92],tbl_task1[[SubPLOs]:[SubPLOs]],"&gt;=6",tbl_task1[[SubPLOs]:[SubPLOs]],"&lt;7")</f>
        <v>0</v>
      </c>
      <c r="CT39" s="138">
        <f>SUMIFS(tbl_task1[S93],tbl_task1[[SubPLOs]:[SubPLOs]],"&gt;=6",tbl_task1[[SubPLOs]:[SubPLOs]],"&lt;7")</f>
        <v>0</v>
      </c>
      <c r="CU39" s="138">
        <f>SUMIFS(tbl_task1[S94],tbl_task1[[SubPLOs]:[SubPLOs]],"&gt;=6",tbl_task1[[SubPLOs]:[SubPLOs]],"&lt;7")</f>
        <v>0</v>
      </c>
      <c r="CV39" s="138">
        <f>SUMIFS(tbl_task1[S95],tbl_task1[[SubPLOs]:[SubPLOs]],"&gt;=6",tbl_task1[[SubPLOs]:[SubPLOs]],"&lt;7")</f>
        <v>0</v>
      </c>
      <c r="CW39" s="138">
        <f>SUMIFS(tbl_task1[S96],tbl_task1[[SubPLOs]:[SubPLOs]],"&gt;=6",tbl_task1[[SubPLOs]:[SubPLOs]],"&lt;7")</f>
        <v>0</v>
      </c>
      <c r="CX39" s="138">
        <f>SUMIFS(tbl_task1[S97],tbl_task1[[SubPLOs]:[SubPLOs]],"&gt;=6",tbl_task1[[SubPLOs]:[SubPLOs]],"&lt;7")</f>
        <v>0</v>
      </c>
      <c r="CY39" s="138">
        <f>SUMIFS(tbl_task1[S98],tbl_task1[[SubPLOs]:[SubPLOs]],"&gt;=6",tbl_task1[[SubPLOs]:[SubPLOs]],"&lt;7")</f>
        <v>0</v>
      </c>
      <c r="CZ39" s="138">
        <f>SUMIFS(tbl_task1[S99],tbl_task1[[SubPLOs]:[SubPLOs]],"&gt;=6",tbl_task1[[SubPLOs]:[SubPLOs]],"&lt;7")</f>
        <v>0</v>
      </c>
      <c r="DA39" s="138">
        <f>SUMIFS(tbl_task1[S100],tbl_task1[[SubPLOs]:[SubPLOs]],"&gt;=6",tbl_task1[[SubPLOs]:[SubPLOs]],"&lt;7")</f>
        <v>0</v>
      </c>
      <c r="DB39" s="138">
        <f>SUMIFS(tbl_task1[S101],tbl_task1[[SubPLOs]:[SubPLOs]],"&gt;=6",tbl_task1[[SubPLOs]:[SubPLOs]],"&lt;7")</f>
        <v>0</v>
      </c>
      <c r="DC39" s="138">
        <f>SUMIFS(tbl_task1[S102],tbl_task1[[SubPLOs]:[SubPLOs]],"&gt;=6",tbl_task1[[SubPLOs]:[SubPLOs]],"&lt;7")</f>
        <v>0</v>
      </c>
      <c r="DD39" s="138">
        <f>SUMIFS(tbl_task1[S103],tbl_task1[[SubPLOs]:[SubPLOs]],"&gt;=6",tbl_task1[[SubPLOs]:[SubPLOs]],"&lt;7")</f>
        <v>0</v>
      </c>
      <c r="DE39" s="138">
        <f>SUMIFS(tbl_task1[S104],tbl_task1[[SubPLOs]:[SubPLOs]],"&gt;=6",tbl_task1[[SubPLOs]:[SubPLOs]],"&lt;7")</f>
        <v>0</v>
      </c>
      <c r="DF39" s="138">
        <f>SUMIFS(tbl_task1[S105],tbl_task1[[SubPLOs]:[SubPLOs]],"&gt;=6",tbl_task1[[SubPLOs]:[SubPLOs]],"&lt;7")</f>
        <v>0</v>
      </c>
      <c r="DG39" s="138">
        <f>SUMIFS(tbl_task1[S106],tbl_task1[[SubPLOs]:[SubPLOs]],"&gt;=6",tbl_task1[[SubPLOs]:[SubPLOs]],"&lt;7")</f>
        <v>0</v>
      </c>
      <c r="DH39" s="138">
        <f>SUMIFS(tbl_task1[S106],tbl_task1[[SubPLOs]:[SubPLOs]],"&gt;=6",tbl_task1[[SubPLOs]:[SubPLOs]],"&lt;7")</f>
        <v>0</v>
      </c>
      <c r="DI39" s="138">
        <f>SUMIFS(tbl_task1[S108],tbl_task1[[SubPLOs]:[SubPLOs]],"&gt;=6",tbl_task1[[SubPLOs]:[SubPLOs]],"&lt;7")</f>
        <v>0</v>
      </c>
      <c r="DJ39" s="138">
        <f>SUMIFS(tbl_task1[S109],tbl_task1[[SubPLOs]:[SubPLOs]],"&gt;=6",tbl_task1[[SubPLOs]:[SubPLOs]],"&lt;7")</f>
        <v>0</v>
      </c>
      <c r="DK39" s="138">
        <f>SUMIFS(tbl_task1[S110],tbl_task1[[SubPLOs]:[SubPLOs]],"&gt;=6",tbl_task1[[SubPLOs]:[SubPLOs]],"&lt;7")</f>
        <v>0</v>
      </c>
      <c r="DL39" s="138">
        <f>SUMIFS(tbl_task1[S111],tbl_task1[[SubPLOs]:[SubPLOs]],"&gt;=6",tbl_task1[[SubPLOs]:[SubPLOs]],"&lt;7")</f>
        <v>0</v>
      </c>
      <c r="DM39" s="138">
        <f>SUMIFS(tbl_task1[S112],tbl_task1[[SubPLOs]:[SubPLOs]],"&gt;=6",tbl_task1[[SubPLOs]:[SubPLOs]],"&lt;7")</f>
        <v>0</v>
      </c>
      <c r="DN39" s="138">
        <f>SUMIFS(tbl_task1[S113],tbl_task1[[SubPLOs]:[SubPLOs]],"&gt;=6",tbl_task1[[SubPLOs]:[SubPLOs]],"&lt;7")</f>
        <v>0</v>
      </c>
      <c r="DO39" s="138">
        <f>SUMIFS(tbl_task1[S114],tbl_task1[[SubPLOs]:[SubPLOs]],"&gt;=6",tbl_task1[[SubPLOs]:[SubPLOs]],"&lt;7")</f>
        <v>0</v>
      </c>
      <c r="DP39" s="138">
        <f>SUMIFS(tbl_task1[S115],tbl_task1[[SubPLOs]:[SubPLOs]],"&gt;=6",tbl_task1[[SubPLOs]:[SubPLOs]],"&lt;7")</f>
        <v>0</v>
      </c>
      <c r="DQ39" s="138">
        <f>SUMIFS(tbl_task1[S116],tbl_task1[[SubPLOs]:[SubPLOs]],"&gt;=6",tbl_task1[[SubPLOs]:[SubPLOs]],"&lt;7")</f>
        <v>0</v>
      </c>
      <c r="DR39" s="138">
        <f>SUMIFS(tbl_task1[S117],tbl_task1[[SubPLOs]:[SubPLOs]],"&gt;=6",tbl_task1[[SubPLOs]:[SubPLOs]],"&lt;7")</f>
        <v>0</v>
      </c>
      <c r="DS39" s="138">
        <f>SUMIFS(tbl_task1[S118],tbl_task1[[SubPLOs]:[SubPLOs]],"&gt;=6",tbl_task1[[SubPLOs]:[SubPLOs]],"&lt;7")</f>
        <v>0</v>
      </c>
      <c r="DT39" s="138">
        <f>SUMIFS(tbl_task1[S119],tbl_task1[[SubPLOs]:[SubPLOs]],"&gt;=6",tbl_task1[[SubPLOs]:[SubPLOs]],"&lt;7")</f>
        <v>0</v>
      </c>
      <c r="DU39" s="138">
        <f>SUMIFS(tbl_task1[S120],tbl_task1[[SubPLOs]:[SubPLOs]],"&gt;=6",tbl_task1[[SubPLOs]:[SubPLOs]],"&lt;7")</f>
        <v>0</v>
      </c>
      <c r="DV39" s="138">
        <f>SUMIFS(tbl_task1[S121],tbl_task1[[SubPLOs]:[SubPLOs]],"&gt;=6",tbl_task1[[SubPLOs]:[SubPLOs]],"&lt;7")</f>
        <v>0</v>
      </c>
      <c r="DW39" s="138">
        <f>SUMIFS(tbl_task1[S122],tbl_task1[[SubPLOs]:[SubPLOs]],"&gt;=6",tbl_task1[[SubPLOs]:[SubPLOs]],"&lt;7")</f>
        <v>0</v>
      </c>
      <c r="DX39" s="138">
        <f>SUMIFS(tbl_task1[S123],tbl_task1[[SubPLOs]:[SubPLOs]],"&gt;=6",tbl_task1[[SubPLOs]:[SubPLOs]],"&lt;7")</f>
        <v>0</v>
      </c>
      <c r="DY39" s="138">
        <f>SUMIFS(tbl_task1[S124],tbl_task1[[SubPLOs]:[SubPLOs]],"&gt;=6",tbl_task1[[SubPLOs]:[SubPLOs]],"&lt;7")</f>
        <v>0</v>
      </c>
      <c r="DZ39" s="138">
        <f>SUMIFS(tbl_task1[S125],tbl_task1[[SubPLOs]:[SubPLOs]],"&gt;=6",tbl_task1[[SubPLOs]:[SubPLOs]],"&lt;7")</f>
        <v>0</v>
      </c>
      <c r="EA39" s="138">
        <f>SUMIFS(tbl_task1[S126],tbl_task1[[SubPLOs]:[SubPLOs]],"&gt;=6",tbl_task1[[SubPLOs]:[SubPLOs]],"&lt;7")</f>
        <v>0</v>
      </c>
      <c r="EB39" s="138">
        <f>SUMIFS(tbl_task1[S127],tbl_task1[[SubPLOs]:[SubPLOs]],"&gt;=6",tbl_task1[[SubPLOs]:[SubPLOs]],"&lt;7")</f>
        <v>0</v>
      </c>
      <c r="EC39" s="138">
        <f>SUMIFS(tbl_task1[S128],tbl_task1[[SubPLOs]:[SubPLOs]],"&gt;=6",tbl_task1[[SubPLOs]:[SubPLOs]],"&lt;7")</f>
        <v>0</v>
      </c>
      <c r="ED39" s="138">
        <f>SUMIFS(tbl_task1[S129],tbl_task1[[SubPLOs]:[SubPLOs]],"&gt;=6",tbl_task1[[SubPLOs]:[SubPLOs]],"&lt;7")</f>
        <v>0</v>
      </c>
      <c r="EE39" s="138">
        <f>SUMIFS(tbl_task1[S130],tbl_task1[[SubPLOs]:[SubPLOs]],"&gt;=6",tbl_task1[[SubPLOs]:[SubPLOs]],"&lt;7")</f>
        <v>0</v>
      </c>
      <c r="EF39" s="138">
        <f>SUMIFS(tbl_task1[S131],tbl_task1[[SubPLOs]:[SubPLOs]],"&gt;=6",tbl_task1[[SubPLOs]:[SubPLOs]],"&lt;7")</f>
        <v>0</v>
      </c>
      <c r="EG39" s="138">
        <f>SUMIFS(tbl_task1[S132],tbl_task1[[SubPLOs]:[SubPLOs]],"&gt;=6",tbl_task1[[SubPLOs]:[SubPLOs]],"&lt;7")</f>
        <v>0</v>
      </c>
      <c r="EH39" s="138">
        <f>SUMIFS(tbl_task1[S133],tbl_task1[[SubPLOs]:[SubPLOs]],"&gt;=6",tbl_task1[[SubPLOs]:[SubPLOs]],"&lt;7")</f>
        <v>0</v>
      </c>
      <c r="EI39" s="138">
        <f>SUMIFS(tbl_task1[S134],tbl_task1[[SubPLOs]:[SubPLOs]],"&gt;=6",tbl_task1[[SubPLOs]:[SubPLOs]],"&lt;7")</f>
        <v>0</v>
      </c>
      <c r="EJ39" s="138">
        <f>SUMIFS(tbl_task1[S135],tbl_task1[[SubPLOs]:[SubPLOs]],"&gt;=6",tbl_task1[[SubPLOs]:[SubPLOs]],"&lt;7")</f>
        <v>0</v>
      </c>
      <c r="EK39" s="138">
        <f>SUMIFS(tbl_task1[S136],tbl_task1[[SubPLOs]:[SubPLOs]],"&gt;=6",tbl_task1[[SubPLOs]:[SubPLOs]],"&lt;7")</f>
        <v>0</v>
      </c>
      <c r="EL39" s="138">
        <f>SUMIFS(tbl_task1[S137],tbl_task1[[SubPLOs]:[SubPLOs]],"&gt;=6",tbl_task1[[SubPLOs]:[SubPLOs]],"&lt;7")</f>
        <v>0</v>
      </c>
      <c r="EM39" s="138">
        <f>SUMIFS(tbl_task1[S138],tbl_task1[[SubPLOs]:[SubPLOs]],"&gt;=6",tbl_task1[[SubPLOs]:[SubPLOs]],"&lt;7")</f>
        <v>0</v>
      </c>
      <c r="EN39" s="138">
        <f>SUMIFS(tbl_task1[S139],tbl_task1[[SubPLOs]:[SubPLOs]],"&gt;=6",tbl_task1[[SubPLOs]:[SubPLOs]],"&lt;7")</f>
        <v>0</v>
      </c>
      <c r="EO39" s="138">
        <f>SUMIFS(tbl_task1[S140],tbl_task1[[SubPLOs]:[SubPLOs]],"&gt;=6",tbl_task1[[SubPLOs]:[SubPLOs]],"&lt;7")</f>
        <v>0</v>
      </c>
      <c r="EP39" s="138">
        <f>SUMIFS(tbl_task1[S141],tbl_task1[[SubPLOs]:[SubPLOs]],"&gt;=6",tbl_task1[[SubPLOs]:[SubPLOs]],"&lt;7")</f>
        <v>0</v>
      </c>
      <c r="EQ39" s="138">
        <f>SUMIFS(tbl_task1[S142],tbl_task1[[SubPLOs]:[SubPLOs]],"&gt;=6",tbl_task1[[SubPLOs]:[SubPLOs]],"&lt;7")</f>
        <v>0</v>
      </c>
      <c r="ER39" s="138">
        <f>SUMIFS(tbl_task1[S143],tbl_task1[[SubPLOs]:[SubPLOs]],"&gt;=6",tbl_task1[[SubPLOs]:[SubPLOs]],"&lt;7")</f>
        <v>0</v>
      </c>
      <c r="ES39" s="138">
        <f>SUMIFS(tbl_task1[S144],tbl_task1[[SubPLOs]:[SubPLOs]],"&gt;=6",tbl_task1[[SubPLOs]:[SubPLOs]],"&lt;7")</f>
        <v>0</v>
      </c>
      <c r="ET39" s="138">
        <f>SUMIFS(tbl_task1[S145],tbl_task1[[SubPLOs]:[SubPLOs]],"&gt;=6",tbl_task1[[SubPLOs]:[SubPLOs]],"&lt;7")</f>
        <v>0</v>
      </c>
      <c r="EU39" s="138">
        <f>SUMIFS(tbl_task1[S146],tbl_task1[[SubPLOs]:[SubPLOs]],"&gt;=6",tbl_task1[[SubPLOs]:[SubPLOs]],"&lt;7")</f>
        <v>0</v>
      </c>
      <c r="EV39" s="138">
        <f>SUMIFS(tbl_task1[S147],tbl_task1[[SubPLOs]:[SubPLOs]],"&gt;=6",tbl_task1[[SubPLOs]:[SubPLOs]],"&lt;7")</f>
        <v>0</v>
      </c>
      <c r="EW39" s="138">
        <f>SUMIFS(tbl_task1[S148],tbl_task1[[SubPLOs]:[SubPLOs]],"&gt;=6",tbl_task1[[SubPLOs]:[SubPLOs]],"&lt;7")</f>
        <v>0</v>
      </c>
      <c r="EX39" s="138">
        <f>SUMIFS(tbl_task1[S149],tbl_task1[[SubPLOs]:[SubPLOs]],"&gt;=6",tbl_task1[[SubPLOs]:[SubPLOs]],"&lt;7")</f>
        <v>0</v>
      </c>
      <c r="EY39" s="138">
        <f>SUMIFS(tbl_task1[S150],tbl_task1[[SubPLOs]:[SubPLOs]],"&gt;=6",tbl_task1[[SubPLOs]:[SubPLOs]],"&lt;7")</f>
        <v>0</v>
      </c>
      <c r="EZ39" s="138">
        <f>SUMIFS(tbl_task1[S151],tbl_task1[[SubPLOs]:[SubPLOs]],"&gt;=6",tbl_task1[[SubPLOs]:[SubPLOs]],"&lt;7")</f>
        <v>0</v>
      </c>
      <c r="FA39" s="138">
        <f>SUMIFS(tbl_task1[S152],tbl_task1[[SubPLOs]:[SubPLOs]],"&gt;=6",tbl_task1[[SubPLOs]:[SubPLOs]],"&lt;7")</f>
        <v>0</v>
      </c>
      <c r="FB39" s="138">
        <f>SUMIFS(tbl_task1[S153],tbl_task1[[SubPLOs]:[SubPLOs]],"&gt;=6",tbl_task1[[SubPLOs]:[SubPLOs]],"&lt;7")</f>
        <v>0</v>
      </c>
      <c r="FC39" s="138">
        <f>SUMIFS(tbl_task1[S154],tbl_task1[[SubPLOs]:[SubPLOs]],"&gt;=6",tbl_task1[[SubPLOs]:[SubPLOs]],"&lt;7")</f>
        <v>0</v>
      </c>
      <c r="FD39" s="138">
        <f>SUMIFS(tbl_task1[S155],tbl_task1[[SubPLOs]:[SubPLOs]],"&gt;=6",tbl_task1[[SubPLOs]:[SubPLOs]],"&lt;7")</f>
        <v>0</v>
      </c>
      <c r="FE39" s="138">
        <f>SUMIFS(tbl_task1[S156],tbl_task1[[SubPLOs]:[SubPLOs]],"&gt;=6",tbl_task1[[SubPLOs]:[SubPLOs]],"&lt;7")</f>
        <v>0</v>
      </c>
      <c r="FF39" s="138">
        <f>SUMIFS(tbl_task1[S157],tbl_task1[[SubPLOs]:[SubPLOs]],"&gt;=6",tbl_task1[[SubPLOs]:[SubPLOs]],"&lt;7")</f>
        <v>0</v>
      </c>
      <c r="FG39" s="138">
        <f>SUMIFS(tbl_task1[S158],tbl_task1[[SubPLOs]:[SubPLOs]],"&gt;=6",tbl_task1[[SubPLOs]:[SubPLOs]],"&lt;7")</f>
        <v>0</v>
      </c>
      <c r="FH39" s="138">
        <f>SUMIFS(tbl_task1[S159],tbl_task1[[SubPLOs]:[SubPLOs]],"&gt;=6",tbl_task1[[SubPLOs]:[SubPLOs]],"&lt;7")</f>
        <v>0</v>
      </c>
      <c r="FI39" s="138">
        <f>SUMIFS(tbl_task1[S160],tbl_task1[[SubPLOs]:[SubPLOs]],"&gt;=6",tbl_task1[[SubPLOs]:[SubPLOs]],"&lt;7")</f>
        <v>0</v>
      </c>
      <c r="FJ39" s="138">
        <f>SUMIFS(tbl_task1[S161],tbl_task1[[SubPLOs]:[SubPLOs]],"&gt;=6",tbl_task1[[SubPLOs]:[SubPLOs]],"&lt;7")</f>
        <v>0</v>
      </c>
      <c r="FK39" s="138">
        <f>SUMIFS(tbl_task1[S162],tbl_task1[[SubPLOs]:[SubPLOs]],"&gt;=6",tbl_task1[[SubPLOs]:[SubPLOs]],"&lt;7")</f>
        <v>0</v>
      </c>
      <c r="FL39" s="138">
        <f>SUMIFS(tbl_task1[S163],tbl_task1[[SubPLOs]:[SubPLOs]],"&gt;=6",tbl_task1[[SubPLOs]:[SubPLOs]],"&lt;7")</f>
        <v>0</v>
      </c>
      <c r="FM39" s="138">
        <f>SUMIFS(tbl_task1[S164],tbl_task1[[SubPLOs]:[SubPLOs]],"&gt;=6",tbl_task1[[SubPLOs]:[SubPLOs]],"&lt;7")</f>
        <v>0</v>
      </c>
      <c r="FN39" s="138">
        <f>SUMIFS(tbl_task1[S165],tbl_task1[[SubPLOs]:[SubPLOs]],"&gt;=6",tbl_task1[[SubPLOs]:[SubPLOs]],"&lt;7")</f>
        <v>0</v>
      </c>
    </row>
    <row r="40" spans="1:170" ht="42" x14ac:dyDescent="0.25">
      <c r="A40" s="135">
        <v>7</v>
      </c>
      <c r="B40" s="5" t="s">
        <v>440</v>
      </c>
      <c r="C40" s="136">
        <f>COUNTIFS(tbl_task1[SubPLOs],"&gt;=7",tbl_task1[SubPLOs],"&lt;8")</f>
        <v>0</v>
      </c>
      <c r="D40" s="136">
        <f>SUMIFS(tbl_task1[คะแนนเต็ม],tbl_task1[SubPLOs],"&gt;=7",tbl_task1[SubPLOs],"&lt;8")</f>
        <v>0</v>
      </c>
      <c r="E40" s="137">
        <f>SUMIFS(tbl_task1[%],tbl_task1[SubPLOs],"&gt;=7",tbl_task1[SubPLOs],"&lt;8")</f>
        <v>0</v>
      </c>
      <c r="F40" s="138">
        <f>SUMIFS(tbl_task1[S1],tbl_task1[[SubPLOs]:[SubPLOs]],"&gt;=7",tbl_task1[[SubPLOs]:[SubPLOs]],"&lt;8")</f>
        <v>0</v>
      </c>
      <c r="G40" s="138">
        <f>SUMIFS(tbl_task1[S2],tbl_task1[[SubPLOs]:[SubPLOs]],"&gt;=7",tbl_task1[[SubPLOs]:[SubPLOs]],"&lt;8")</f>
        <v>0</v>
      </c>
      <c r="H40" s="138">
        <f>SUMIFS(tbl_task1[S3],tbl_task1[[SubPLOs]:[SubPLOs]],"&gt;=7",tbl_task1[[SubPLOs]:[SubPLOs]],"&lt;8")</f>
        <v>0</v>
      </c>
      <c r="I40" s="138">
        <f>SUMIFS(tbl_task1[S4],tbl_task1[[SubPLOs]:[SubPLOs]],"&gt;=7",tbl_task1[[SubPLOs]:[SubPLOs]],"&lt;8")</f>
        <v>0</v>
      </c>
      <c r="J40" s="138">
        <f>SUMIFS(tbl_task1[S5],tbl_task1[[SubPLOs]:[SubPLOs]],"&gt;=7",tbl_task1[[SubPLOs]:[SubPLOs]],"&lt;8")</f>
        <v>0</v>
      </c>
      <c r="K40" s="138">
        <f>SUMIFS(tbl_task1[S6],tbl_task1[[SubPLOs]:[SubPLOs]],"&gt;=7",tbl_task1[[SubPLOs]:[SubPLOs]],"&lt;8")</f>
        <v>0</v>
      </c>
      <c r="L40" s="138">
        <f>SUMIFS(tbl_task1[S7],tbl_task1[[SubPLOs]:[SubPLOs]],"&gt;=7",tbl_task1[[SubPLOs]:[SubPLOs]],"&lt;8")</f>
        <v>0</v>
      </c>
      <c r="M40" s="138">
        <f>SUMIFS(tbl_task1[S8],tbl_task1[[SubPLOs]:[SubPLOs]],"&gt;=7",tbl_task1[[SubPLOs]:[SubPLOs]],"&lt;8")</f>
        <v>0</v>
      </c>
      <c r="N40" s="138">
        <f>SUMIFS(tbl_task1[S9],tbl_task1[[SubPLOs]:[SubPLOs]],"&gt;=7",tbl_task1[[SubPLOs]:[SubPLOs]],"&lt;8")</f>
        <v>0</v>
      </c>
      <c r="O40" s="138">
        <f>SUMIFS(tbl_task1[S10],tbl_task1[[SubPLOs]:[SubPLOs]],"&gt;=7",tbl_task1[[SubPLOs]:[SubPLOs]],"&lt;8")</f>
        <v>0</v>
      </c>
      <c r="P40" s="138">
        <f>SUMIFS(tbl_task1[S11],tbl_task1[[SubPLOs]:[SubPLOs]],"&gt;=7",tbl_task1[[SubPLOs]:[SubPLOs]],"&lt;8")</f>
        <v>0</v>
      </c>
      <c r="Q40" s="138">
        <f>SUMIFS(tbl_task1[S12],tbl_task1[[SubPLOs]:[SubPLOs]],"&gt;=7",tbl_task1[[SubPLOs]:[SubPLOs]],"&lt;8")</f>
        <v>0</v>
      </c>
      <c r="R40" s="138">
        <f>SUMIFS(tbl_task1[S13],tbl_task1[[SubPLOs]:[SubPLOs]],"&gt;=7",tbl_task1[[SubPLOs]:[SubPLOs]],"&lt;8")</f>
        <v>0</v>
      </c>
      <c r="S40" s="138">
        <f>SUMIFS(tbl_task1[S14],tbl_task1[[SubPLOs]:[SubPLOs]],"&gt;=7",tbl_task1[[SubPLOs]:[SubPLOs]],"&lt;8")</f>
        <v>0</v>
      </c>
      <c r="T40" s="138">
        <f>SUMIFS(tbl_task1[S15],tbl_task1[[SubPLOs]:[SubPLOs]],"&gt;=7",tbl_task1[[SubPLOs]:[SubPLOs]],"&lt;8")</f>
        <v>0</v>
      </c>
      <c r="U40" s="138">
        <f>SUMIFS(tbl_task1[S16],tbl_task1[[SubPLOs]:[SubPLOs]],"&gt;=7",tbl_task1[[SubPLOs]:[SubPLOs]],"&lt;8")</f>
        <v>0</v>
      </c>
      <c r="V40" s="138">
        <f>SUMIFS(tbl_task1[S17],tbl_task1[[SubPLOs]:[SubPLOs]],"&gt;=7",tbl_task1[[SubPLOs]:[SubPLOs]],"&lt;8")</f>
        <v>0</v>
      </c>
      <c r="W40" s="138">
        <f>SUMIFS(tbl_task1[S18],tbl_task1[[SubPLOs]:[SubPLOs]],"&gt;=7",tbl_task1[[SubPLOs]:[SubPLOs]],"&lt;8")</f>
        <v>0</v>
      </c>
      <c r="X40" s="138">
        <f>SUMIFS(tbl_task1[S19],tbl_task1[[SubPLOs]:[SubPLOs]],"&gt;=7",tbl_task1[[SubPLOs]:[SubPLOs]],"&lt;8")</f>
        <v>0</v>
      </c>
      <c r="Y40" s="138">
        <f>SUMIFS(tbl_task1[S20],tbl_task1[[SubPLOs]:[SubPLOs]],"&gt;=7",tbl_task1[[SubPLOs]:[SubPLOs]],"&lt;8")</f>
        <v>0</v>
      </c>
      <c r="Z40" s="138">
        <f>SUMIFS(tbl_task1[S21],tbl_task1[[SubPLOs]:[SubPLOs]],"&gt;=7",tbl_task1[[SubPLOs]:[SubPLOs]],"&lt;8")</f>
        <v>0</v>
      </c>
      <c r="AA40" s="138">
        <f>SUMIFS(tbl_task1[S22],tbl_task1[[SubPLOs]:[SubPLOs]],"&gt;=7",tbl_task1[[SubPLOs]:[SubPLOs]],"&lt;8")</f>
        <v>0</v>
      </c>
      <c r="AB40" s="138">
        <f>SUMIFS(tbl_task1[S23],tbl_task1[[SubPLOs]:[SubPLOs]],"&gt;=7",tbl_task1[[SubPLOs]:[SubPLOs]],"&lt;8")</f>
        <v>0</v>
      </c>
      <c r="AC40" s="138">
        <f>SUMIFS(tbl_task1[S24],tbl_task1[[SubPLOs]:[SubPLOs]],"&gt;=7",tbl_task1[[SubPLOs]:[SubPLOs]],"&lt;8")</f>
        <v>0</v>
      </c>
      <c r="AD40" s="138">
        <f>SUMIFS(tbl_task1[S25],tbl_task1[[SubPLOs]:[SubPLOs]],"&gt;=7",tbl_task1[[SubPLOs]:[SubPLOs]],"&lt;8")</f>
        <v>0</v>
      </c>
      <c r="AE40" s="138">
        <f>SUMIFS(tbl_task1[S26],tbl_task1[[SubPLOs]:[SubPLOs]],"&gt;=7",tbl_task1[[SubPLOs]:[SubPLOs]],"&lt;8")</f>
        <v>0</v>
      </c>
      <c r="AF40" s="138">
        <f>SUMIFS(tbl_task1[S27],tbl_task1[[SubPLOs]:[SubPLOs]],"&gt;=7",tbl_task1[[SubPLOs]:[SubPLOs]],"&lt;8")</f>
        <v>0</v>
      </c>
      <c r="AG40" s="138">
        <f>SUMIFS(tbl_task1[S28],tbl_task1[[SubPLOs]:[SubPLOs]],"&gt;=7",tbl_task1[[SubPLOs]:[SubPLOs]],"&lt;8")</f>
        <v>0</v>
      </c>
      <c r="AH40" s="138">
        <f>SUMIFS(tbl_task1[S29],tbl_task1[[SubPLOs]:[SubPLOs]],"&gt;=7",tbl_task1[[SubPLOs]:[SubPLOs]],"&lt;8")</f>
        <v>0</v>
      </c>
      <c r="AI40" s="138">
        <f>SUMIFS(tbl_task1[S30],tbl_task1[[SubPLOs]:[SubPLOs]],"&gt;=7",tbl_task1[[SubPLOs]:[SubPLOs]],"&lt;8")</f>
        <v>0</v>
      </c>
      <c r="AJ40" s="138">
        <f>SUMIFS(tbl_task1[S31],tbl_task1[[SubPLOs]:[SubPLOs]],"&gt;=7",tbl_task1[[SubPLOs]:[SubPLOs]],"&lt;8")</f>
        <v>0</v>
      </c>
      <c r="AK40" s="138">
        <f>SUMIFS(tbl_task1[S32],tbl_task1[[SubPLOs]:[SubPLOs]],"&gt;=7",tbl_task1[[SubPLOs]:[SubPLOs]],"&lt;8")</f>
        <v>0</v>
      </c>
      <c r="AL40" s="138">
        <f>SUMIFS(tbl_task1[S33],tbl_task1[[SubPLOs]:[SubPLOs]],"&gt;=7",tbl_task1[[SubPLOs]:[SubPLOs]],"&lt;8")</f>
        <v>0</v>
      </c>
      <c r="AM40" s="138">
        <f>SUMIFS(tbl_task1[S34],tbl_task1[[SubPLOs]:[SubPLOs]],"&gt;=7",tbl_task1[[SubPLOs]:[SubPLOs]],"&lt;8")</f>
        <v>0</v>
      </c>
      <c r="AN40" s="138">
        <f>SUMIFS(tbl_task1[S35],tbl_task1[[SubPLOs]:[SubPLOs]],"&gt;=7",tbl_task1[[SubPLOs]:[SubPLOs]],"&lt;8")</f>
        <v>0</v>
      </c>
      <c r="AO40" s="138">
        <f>SUMIFS(tbl_task1[S36],tbl_task1[[SubPLOs]:[SubPLOs]],"&gt;=7",tbl_task1[[SubPLOs]:[SubPLOs]],"&lt;8")</f>
        <v>0</v>
      </c>
      <c r="AP40" s="138">
        <f>SUMIFS(tbl_task1[S37],tbl_task1[[SubPLOs]:[SubPLOs]],"&gt;=7",tbl_task1[[SubPLOs]:[SubPLOs]],"&lt;8")</f>
        <v>0</v>
      </c>
      <c r="AQ40" s="138">
        <f>SUMIFS(tbl_task1[S38],tbl_task1[[SubPLOs]:[SubPLOs]],"&gt;=7",tbl_task1[[SubPLOs]:[SubPLOs]],"&lt;8")</f>
        <v>0</v>
      </c>
      <c r="AR40" s="138">
        <f>SUMIFS(tbl_task1[S39],tbl_task1[[SubPLOs]:[SubPLOs]],"&gt;=7",tbl_task1[[SubPLOs]:[SubPLOs]],"&lt;8")</f>
        <v>0</v>
      </c>
      <c r="AS40" s="138">
        <f>SUMIFS(tbl_task1[S40],tbl_task1[[SubPLOs]:[SubPLOs]],"&gt;=7",tbl_task1[[SubPLOs]:[SubPLOs]],"&lt;8")</f>
        <v>0</v>
      </c>
      <c r="AT40" s="138">
        <f>SUMIFS(tbl_task1[S41],tbl_task1[[SubPLOs]:[SubPLOs]],"&gt;=7",tbl_task1[[SubPLOs]:[SubPLOs]],"&lt;8")</f>
        <v>0</v>
      </c>
      <c r="AU40" s="138">
        <f>SUMIFS(tbl_task1[S42],tbl_task1[[SubPLOs]:[SubPLOs]],"&gt;=7",tbl_task1[[SubPLOs]:[SubPLOs]],"&lt;8")</f>
        <v>0</v>
      </c>
      <c r="AV40" s="138">
        <f>SUMIFS(tbl_task1[S43],tbl_task1[[SubPLOs]:[SubPLOs]],"&gt;=7",tbl_task1[[SubPLOs]:[SubPLOs]],"&lt;8")</f>
        <v>0</v>
      </c>
      <c r="AW40" s="138">
        <f>SUMIFS(tbl_task1[S44],tbl_task1[[SubPLOs]:[SubPLOs]],"&gt;=7",tbl_task1[[SubPLOs]:[SubPLOs]],"&lt;8")</f>
        <v>0</v>
      </c>
      <c r="AX40" s="138">
        <f>SUMIFS(tbl_task1[S45],tbl_task1[[SubPLOs]:[SubPLOs]],"&gt;=7",tbl_task1[[SubPLOs]:[SubPLOs]],"&lt;8")</f>
        <v>0</v>
      </c>
      <c r="AY40" s="138">
        <f>SUMIFS(tbl_task1[S46],tbl_task1[[SubPLOs]:[SubPLOs]],"&gt;=7",tbl_task1[[SubPLOs]:[SubPLOs]],"&lt;8")</f>
        <v>0</v>
      </c>
      <c r="AZ40" s="138">
        <f>SUMIFS(tbl_task1[S47],tbl_task1[[SubPLOs]:[SubPLOs]],"&gt;=7",tbl_task1[[SubPLOs]:[SubPLOs]],"&lt;8")</f>
        <v>0</v>
      </c>
      <c r="BA40" s="138">
        <f>SUMIFS(tbl_task1[S48],tbl_task1[[SubPLOs]:[SubPLOs]],"&gt;=7",tbl_task1[[SubPLOs]:[SubPLOs]],"&lt;8")</f>
        <v>0</v>
      </c>
      <c r="BB40" s="138">
        <f>SUMIFS(tbl_task1[S49],tbl_task1[[SubPLOs]:[SubPLOs]],"&gt;=7",tbl_task1[[SubPLOs]:[SubPLOs]],"&lt;8")</f>
        <v>0</v>
      </c>
      <c r="BC40" s="138">
        <f>SUMIFS(tbl_task1[S50],tbl_task1[[SubPLOs]:[SubPLOs]],"&gt;=7",tbl_task1[[SubPLOs]:[SubPLOs]],"&lt;8")</f>
        <v>0</v>
      </c>
      <c r="BD40" s="138">
        <f>SUMIFS(tbl_task1[S51],tbl_task1[[SubPLOs]:[SubPLOs]],"&gt;=7",tbl_task1[[SubPLOs]:[SubPLOs]],"&lt;8")</f>
        <v>0</v>
      </c>
      <c r="BE40" s="138">
        <f>SUMIFS(tbl_task1[S52],tbl_task1[[SubPLOs]:[SubPLOs]],"&gt;=7",tbl_task1[[SubPLOs]:[SubPLOs]],"&lt;8")</f>
        <v>0</v>
      </c>
      <c r="BF40" s="138">
        <f>SUMIFS(tbl_task1[S53],tbl_task1[[SubPLOs]:[SubPLOs]],"&gt;=7",tbl_task1[[SubPLOs]:[SubPLOs]],"&lt;8")</f>
        <v>0</v>
      </c>
      <c r="BG40" s="138">
        <f>SUMIFS(tbl_task1[S54],tbl_task1[[SubPLOs]:[SubPLOs]],"&gt;=7",tbl_task1[[SubPLOs]:[SubPLOs]],"&lt;8")</f>
        <v>0</v>
      </c>
      <c r="BH40" s="138">
        <f>SUMIFS(tbl_task1[S55],tbl_task1[[SubPLOs]:[SubPLOs]],"&gt;=7",tbl_task1[[SubPLOs]:[SubPLOs]],"&lt;8")</f>
        <v>0</v>
      </c>
      <c r="BI40" s="138">
        <f>SUMIFS(tbl_task1[S56],tbl_task1[[SubPLOs]:[SubPLOs]],"&gt;=7",tbl_task1[[SubPLOs]:[SubPLOs]],"&lt;8")</f>
        <v>0</v>
      </c>
      <c r="BJ40" s="138">
        <f>SUMIFS(tbl_task1[S57],tbl_task1[[SubPLOs]:[SubPLOs]],"&gt;=7",tbl_task1[[SubPLOs]:[SubPLOs]],"&lt;8")</f>
        <v>0</v>
      </c>
      <c r="BK40" s="138">
        <f>SUMIFS(tbl_task1[S58],tbl_task1[[SubPLOs]:[SubPLOs]],"&gt;=7",tbl_task1[[SubPLOs]:[SubPLOs]],"&lt;8")</f>
        <v>0</v>
      </c>
      <c r="BL40" s="138">
        <f>SUMIFS(tbl_task1[S59],tbl_task1[[SubPLOs]:[SubPLOs]],"&gt;=7",tbl_task1[[SubPLOs]:[SubPLOs]],"&lt;8")</f>
        <v>0</v>
      </c>
      <c r="BM40" s="138">
        <f>SUMIFS(tbl_task1[S60],tbl_task1[[SubPLOs]:[SubPLOs]],"&gt;=7",tbl_task1[[SubPLOs]:[SubPLOs]],"&lt;8")</f>
        <v>0</v>
      </c>
      <c r="BN40" s="138">
        <f>SUMIFS(tbl_task1[S61],tbl_task1[[SubPLOs]:[SubPLOs]],"&gt;=7",tbl_task1[[SubPLOs]:[SubPLOs]],"&lt;8")</f>
        <v>0</v>
      </c>
      <c r="BO40" s="138">
        <f>SUMIFS(tbl_task1[S62],tbl_task1[[SubPLOs]:[SubPLOs]],"&gt;=7",tbl_task1[[SubPLOs]:[SubPLOs]],"&lt;8")</f>
        <v>0</v>
      </c>
      <c r="BP40" s="138">
        <f>SUMIFS(tbl_task1[S63],tbl_task1[[SubPLOs]:[SubPLOs]],"&gt;=7",tbl_task1[[SubPLOs]:[SubPLOs]],"&lt;8")</f>
        <v>0</v>
      </c>
      <c r="BQ40" s="138">
        <f>SUMIFS(tbl_task1[S64],tbl_task1[[SubPLOs]:[SubPLOs]],"&gt;=7",tbl_task1[[SubPLOs]:[SubPLOs]],"&lt;8")</f>
        <v>0</v>
      </c>
      <c r="BR40" s="138">
        <f>SUMIFS(tbl_task1[S65],tbl_task1[[SubPLOs]:[SubPLOs]],"&gt;=7",tbl_task1[[SubPLOs]:[SubPLOs]],"&lt;8")</f>
        <v>0</v>
      </c>
      <c r="BS40" s="138">
        <f>SUMIFS(tbl_task1[S66],tbl_task1[[SubPLOs]:[SubPLOs]],"&gt;=7",tbl_task1[[SubPLOs]:[SubPLOs]],"&lt;8")</f>
        <v>0</v>
      </c>
      <c r="BT40" s="138">
        <f>SUMIFS(tbl_task1[S67],tbl_task1[[SubPLOs]:[SubPLOs]],"&gt;=7",tbl_task1[[SubPLOs]:[SubPLOs]],"&lt;8")</f>
        <v>0</v>
      </c>
      <c r="BU40" s="138">
        <f>SUMIFS(tbl_task1[S68],tbl_task1[[SubPLOs]:[SubPLOs]],"&gt;=7",tbl_task1[[SubPLOs]:[SubPLOs]],"&lt;8")</f>
        <v>0</v>
      </c>
      <c r="BV40" s="138">
        <f>SUMIFS(tbl_task1[S69],tbl_task1[[SubPLOs]:[SubPLOs]],"&gt;=7",tbl_task1[[SubPLOs]:[SubPLOs]],"&lt;8")</f>
        <v>0</v>
      </c>
      <c r="BW40" s="138">
        <f>SUMIFS(tbl_task1[S70],tbl_task1[[SubPLOs]:[SubPLOs]],"&gt;=7",tbl_task1[[SubPLOs]:[SubPLOs]],"&lt;8")</f>
        <v>0</v>
      </c>
      <c r="BX40" s="138">
        <f>SUMIFS(tbl_task1[S71],tbl_task1[[SubPLOs]:[SubPLOs]],"&gt;=7",tbl_task1[[SubPLOs]:[SubPLOs]],"&lt;8")</f>
        <v>0</v>
      </c>
      <c r="BY40" s="138">
        <f>SUMIFS(tbl_task1[S72],tbl_task1[[SubPLOs]:[SubPLOs]],"&gt;=7",tbl_task1[[SubPLOs]:[SubPLOs]],"&lt;8")</f>
        <v>0</v>
      </c>
      <c r="BZ40" s="138">
        <f>SUMIFS(tbl_task1[S73],tbl_task1[[SubPLOs]:[SubPLOs]],"&gt;=7",tbl_task1[[SubPLOs]:[SubPLOs]],"&lt;8")</f>
        <v>0</v>
      </c>
      <c r="CA40" s="138">
        <f>SUMIFS(tbl_task1[S74],tbl_task1[[SubPLOs]:[SubPLOs]],"&gt;=7",tbl_task1[[SubPLOs]:[SubPLOs]],"&lt;8")</f>
        <v>0</v>
      </c>
      <c r="CB40" s="138">
        <f>SUMIFS(tbl_task1[S75],tbl_task1[[SubPLOs]:[SubPLOs]],"&gt;=7",tbl_task1[[SubPLOs]:[SubPLOs]],"&lt;8")</f>
        <v>0</v>
      </c>
      <c r="CC40" s="138">
        <f>SUMIFS(tbl_task1[S76],tbl_task1[[SubPLOs]:[SubPLOs]],"&gt;=7",tbl_task1[[SubPLOs]:[SubPLOs]],"&lt;8")</f>
        <v>0</v>
      </c>
      <c r="CD40" s="138">
        <f>SUMIFS(tbl_task1[S77],tbl_task1[[SubPLOs]:[SubPLOs]],"&gt;=7",tbl_task1[[SubPLOs]:[SubPLOs]],"&lt;8")</f>
        <v>0</v>
      </c>
      <c r="CE40" s="138">
        <f>SUMIFS(tbl_task1[S78],tbl_task1[[SubPLOs]:[SubPLOs]],"&gt;=7",tbl_task1[[SubPLOs]:[SubPLOs]],"&lt;8")</f>
        <v>0</v>
      </c>
      <c r="CF40" s="138">
        <f>SUMIFS(tbl_task1[S79],tbl_task1[[SubPLOs]:[SubPLOs]],"&gt;=7",tbl_task1[[SubPLOs]:[SubPLOs]],"&lt;8")</f>
        <v>0</v>
      </c>
      <c r="CG40" s="138">
        <f>SUMIFS(tbl_task1[S80],tbl_task1[[SubPLOs]:[SubPLOs]],"&gt;=7",tbl_task1[[SubPLOs]:[SubPLOs]],"&lt;8")</f>
        <v>0</v>
      </c>
      <c r="CH40" s="138">
        <f>SUMIFS(tbl_task1[S81],tbl_task1[[SubPLOs]:[SubPLOs]],"&gt;=7",tbl_task1[[SubPLOs]:[SubPLOs]],"&lt;8")</f>
        <v>0</v>
      </c>
      <c r="CI40" s="138">
        <f>SUMIFS(tbl_task1[S82],tbl_task1[[SubPLOs]:[SubPLOs]],"&gt;=7",tbl_task1[[SubPLOs]:[SubPLOs]],"&lt;8")</f>
        <v>0</v>
      </c>
      <c r="CJ40" s="138">
        <f>SUMIFS(tbl_task1[S83],tbl_task1[[SubPLOs]:[SubPLOs]],"&gt;=7",tbl_task1[[SubPLOs]:[SubPLOs]],"&lt;8")</f>
        <v>0</v>
      </c>
      <c r="CK40" s="138">
        <f>SUMIFS(tbl_task1[S84],tbl_task1[[SubPLOs]:[SubPLOs]],"&gt;=7",tbl_task1[[SubPLOs]:[SubPLOs]],"&lt;8")</f>
        <v>0</v>
      </c>
      <c r="CL40" s="138">
        <f>SUMIFS(tbl_task1[S85],tbl_task1[[SubPLOs]:[SubPLOs]],"&gt;=7",tbl_task1[[SubPLOs]:[SubPLOs]],"&lt;8")</f>
        <v>0</v>
      </c>
      <c r="CM40" s="138">
        <f>SUMIFS(tbl_task1[S86],tbl_task1[[SubPLOs]:[SubPLOs]],"&gt;=7",tbl_task1[[SubPLOs]:[SubPLOs]],"&lt;8")</f>
        <v>0</v>
      </c>
      <c r="CN40" s="138">
        <f>SUMIFS(tbl_task1[S87],tbl_task1[[SubPLOs]:[SubPLOs]],"&gt;=7",tbl_task1[[SubPLOs]:[SubPLOs]],"&lt;8")</f>
        <v>0</v>
      </c>
      <c r="CO40" s="138">
        <f>SUMIFS(tbl_task1[S88],tbl_task1[[SubPLOs]:[SubPLOs]],"&gt;=7",tbl_task1[[SubPLOs]:[SubPLOs]],"&lt;8")</f>
        <v>0</v>
      </c>
      <c r="CP40" s="138">
        <f>SUMIFS(tbl_task1[S89],tbl_task1[[SubPLOs]:[SubPLOs]],"&gt;=7",tbl_task1[[SubPLOs]:[SubPLOs]],"&lt;8")</f>
        <v>0</v>
      </c>
      <c r="CQ40" s="138">
        <f>SUMIFS(tbl_task1[S90],tbl_task1[[SubPLOs]:[SubPLOs]],"&gt;=7",tbl_task1[[SubPLOs]:[SubPLOs]],"&lt;8")</f>
        <v>0</v>
      </c>
      <c r="CR40" s="138">
        <f>SUMIFS(tbl_task1[S91],tbl_task1[[SubPLOs]:[SubPLOs]],"&gt;=7",tbl_task1[[SubPLOs]:[SubPLOs]],"&lt;8")</f>
        <v>0</v>
      </c>
      <c r="CS40" s="138">
        <f>SUMIFS(tbl_task1[S92],tbl_task1[[SubPLOs]:[SubPLOs]],"&gt;=7",tbl_task1[[SubPLOs]:[SubPLOs]],"&lt;8")</f>
        <v>0</v>
      </c>
      <c r="CT40" s="138">
        <f>SUMIFS(tbl_task1[S93],tbl_task1[[SubPLOs]:[SubPLOs]],"&gt;=7",tbl_task1[[SubPLOs]:[SubPLOs]],"&lt;8")</f>
        <v>0</v>
      </c>
      <c r="CU40" s="138">
        <f>SUMIFS(tbl_task1[S94],tbl_task1[[SubPLOs]:[SubPLOs]],"&gt;=7",tbl_task1[[SubPLOs]:[SubPLOs]],"&lt;8")</f>
        <v>0</v>
      </c>
      <c r="CV40" s="138">
        <f>SUMIFS(tbl_task1[S95],tbl_task1[[SubPLOs]:[SubPLOs]],"&gt;=7",tbl_task1[[SubPLOs]:[SubPLOs]],"&lt;8")</f>
        <v>0</v>
      </c>
      <c r="CW40" s="138">
        <f>SUMIFS(tbl_task1[S96],tbl_task1[[SubPLOs]:[SubPLOs]],"&gt;=7",tbl_task1[[SubPLOs]:[SubPLOs]],"&lt;8")</f>
        <v>0</v>
      </c>
      <c r="CX40" s="138">
        <f>SUMIFS(tbl_task1[S97],tbl_task1[[SubPLOs]:[SubPLOs]],"&gt;=7",tbl_task1[[SubPLOs]:[SubPLOs]],"&lt;8")</f>
        <v>0</v>
      </c>
      <c r="CY40" s="138">
        <f>SUMIFS(tbl_task1[S98],tbl_task1[[SubPLOs]:[SubPLOs]],"&gt;=7",tbl_task1[[SubPLOs]:[SubPLOs]],"&lt;8")</f>
        <v>0</v>
      </c>
      <c r="CZ40" s="138">
        <f>SUMIFS(tbl_task1[S99],tbl_task1[[SubPLOs]:[SubPLOs]],"&gt;=7",tbl_task1[[SubPLOs]:[SubPLOs]],"&lt;8")</f>
        <v>0</v>
      </c>
      <c r="DA40" s="138">
        <f>SUMIFS(tbl_task1[S100],tbl_task1[[SubPLOs]:[SubPLOs]],"&gt;=7",tbl_task1[[SubPLOs]:[SubPLOs]],"&lt;8")</f>
        <v>0</v>
      </c>
      <c r="DB40" s="138">
        <f>SUMIFS(tbl_task1[S101],tbl_task1[[SubPLOs]:[SubPLOs]],"&gt;=7",tbl_task1[[SubPLOs]:[SubPLOs]],"&lt;8")</f>
        <v>0</v>
      </c>
      <c r="DC40" s="138">
        <f>SUMIFS(tbl_task1[S102],tbl_task1[[SubPLOs]:[SubPLOs]],"&gt;=7",tbl_task1[[SubPLOs]:[SubPLOs]],"&lt;8")</f>
        <v>0</v>
      </c>
      <c r="DD40" s="138">
        <f>SUMIFS(tbl_task1[S103],tbl_task1[[SubPLOs]:[SubPLOs]],"&gt;=7",tbl_task1[[SubPLOs]:[SubPLOs]],"&lt;8")</f>
        <v>0</v>
      </c>
      <c r="DE40" s="138">
        <f>SUMIFS(tbl_task1[S104],tbl_task1[[SubPLOs]:[SubPLOs]],"&gt;=7",tbl_task1[[SubPLOs]:[SubPLOs]],"&lt;8")</f>
        <v>0</v>
      </c>
      <c r="DF40" s="138">
        <f>SUMIFS(tbl_task1[S105],tbl_task1[[SubPLOs]:[SubPLOs]],"&gt;=7",tbl_task1[[SubPLOs]:[SubPLOs]],"&lt;8")</f>
        <v>0</v>
      </c>
      <c r="DG40" s="138">
        <f>SUMIFS(tbl_task1[S106],tbl_task1[[SubPLOs]:[SubPLOs]],"&gt;=7",tbl_task1[[SubPLOs]:[SubPLOs]],"&lt;8")</f>
        <v>0</v>
      </c>
      <c r="DH40" s="138">
        <f>SUMIFS(tbl_task1[S106],tbl_task1[[SubPLOs]:[SubPLOs]],"&gt;=7",tbl_task1[[SubPLOs]:[SubPLOs]],"&lt;8")</f>
        <v>0</v>
      </c>
      <c r="DI40" s="138">
        <f>SUMIFS(tbl_task1[S108],tbl_task1[[SubPLOs]:[SubPLOs]],"&gt;=7",tbl_task1[[SubPLOs]:[SubPLOs]],"&lt;8")</f>
        <v>0</v>
      </c>
      <c r="DJ40" s="138">
        <f>SUMIFS(tbl_task1[S109],tbl_task1[[SubPLOs]:[SubPLOs]],"&gt;=7",tbl_task1[[SubPLOs]:[SubPLOs]],"&lt;8")</f>
        <v>0</v>
      </c>
      <c r="DK40" s="138">
        <f>SUMIFS(tbl_task1[S110],tbl_task1[[SubPLOs]:[SubPLOs]],"&gt;=7",tbl_task1[[SubPLOs]:[SubPLOs]],"&lt;8")</f>
        <v>0</v>
      </c>
      <c r="DL40" s="138">
        <f>SUMIFS(tbl_task1[S111],tbl_task1[[SubPLOs]:[SubPLOs]],"&gt;=7",tbl_task1[[SubPLOs]:[SubPLOs]],"&lt;8")</f>
        <v>0</v>
      </c>
      <c r="DM40" s="138">
        <f>SUMIFS(tbl_task1[S112],tbl_task1[[SubPLOs]:[SubPLOs]],"&gt;=7",tbl_task1[[SubPLOs]:[SubPLOs]],"&lt;8")</f>
        <v>0</v>
      </c>
      <c r="DN40" s="138">
        <f>SUMIFS(tbl_task1[S113],tbl_task1[[SubPLOs]:[SubPLOs]],"&gt;=7",tbl_task1[[SubPLOs]:[SubPLOs]],"&lt;8")</f>
        <v>0</v>
      </c>
      <c r="DO40" s="138">
        <f>SUMIFS(tbl_task1[S114],tbl_task1[[SubPLOs]:[SubPLOs]],"&gt;=7",tbl_task1[[SubPLOs]:[SubPLOs]],"&lt;8")</f>
        <v>0</v>
      </c>
      <c r="DP40" s="138">
        <f>SUMIFS(tbl_task1[S115],tbl_task1[[SubPLOs]:[SubPLOs]],"&gt;=7",tbl_task1[[SubPLOs]:[SubPLOs]],"&lt;8")</f>
        <v>0</v>
      </c>
      <c r="DQ40" s="138">
        <f>SUMIFS(tbl_task1[S116],tbl_task1[[SubPLOs]:[SubPLOs]],"&gt;=7",tbl_task1[[SubPLOs]:[SubPLOs]],"&lt;8")</f>
        <v>0</v>
      </c>
      <c r="DR40" s="138">
        <f>SUMIFS(tbl_task1[S117],tbl_task1[[SubPLOs]:[SubPLOs]],"&gt;=7",tbl_task1[[SubPLOs]:[SubPLOs]],"&lt;8")</f>
        <v>0</v>
      </c>
      <c r="DS40" s="138">
        <f>SUMIFS(tbl_task1[S118],tbl_task1[[SubPLOs]:[SubPLOs]],"&gt;=7",tbl_task1[[SubPLOs]:[SubPLOs]],"&lt;8")</f>
        <v>0</v>
      </c>
      <c r="DT40" s="138">
        <f>SUMIFS(tbl_task1[S119],tbl_task1[[SubPLOs]:[SubPLOs]],"&gt;=7",tbl_task1[[SubPLOs]:[SubPLOs]],"&lt;8")</f>
        <v>0</v>
      </c>
      <c r="DU40" s="138">
        <f>SUMIFS(tbl_task1[S120],tbl_task1[[SubPLOs]:[SubPLOs]],"&gt;=7",tbl_task1[[SubPLOs]:[SubPLOs]],"&lt;8")</f>
        <v>0</v>
      </c>
      <c r="DV40" s="138">
        <f>SUMIFS(tbl_task1[S121],tbl_task1[[SubPLOs]:[SubPLOs]],"&gt;=7",tbl_task1[[SubPLOs]:[SubPLOs]],"&lt;8")</f>
        <v>0</v>
      </c>
      <c r="DW40" s="138">
        <f>SUMIFS(tbl_task1[S122],tbl_task1[[SubPLOs]:[SubPLOs]],"&gt;=7",tbl_task1[[SubPLOs]:[SubPLOs]],"&lt;8")</f>
        <v>0</v>
      </c>
      <c r="DX40" s="138">
        <f>SUMIFS(tbl_task1[S123],tbl_task1[[SubPLOs]:[SubPLOs]],"&gt;=7",tbl_task1[[SubPLOs]:[SubPLOs]],"&lt;8")</f>
        <v>0</v>
      </c>
      <c r="DY40" s="138">
        <f>SUMIFS(tbl_task1[S124],tbl_task1[[SubPLOs]:[SubPLOs]],"&gt;=7",tbl_task1[[SubPLOs]:[SubPLOs]],"&lt;8")</f>
        <v>0</v>
      </c>
      <c r="DZ40" s="138">
        <f>SUMIFS(tbl_task1[S125],tbl_task1[[SubPLOs]:[SubPLOs]],"&gt;=7",tbl_task1[[SubPLOs]:[SubPLOs]],"&lt;8")</f>
        <v>0</v>
      </c>
      <c r="EA40" s="138">
        <f>SUMIFS(tbl_task1[S126],tbl_task1[[SubPLOs]:[SubPLOs]],"&gt;=7",tbl_task1[[SubPLOs]:[SubPLOs]],"&lt;8")</f>
        <v>0</v>
      </c>
      <c r="EB40" s="138">
        <f>SUMIFS(tbl_task1[S127],tbl_task1[[SubPLOs]:[SubPLOs]],"&gt;=7",tbl_task1[[SubPLOs]:[SubPLOs]],"&lt;8")</f>
        <v>0</v>
      </c>
      <c r="EC40" s="138">
        <f>SUMIFS(tbl_task1[S128],tbl_task1[[SubPLOs]:[SubPLOs]],"&gt;=7",tbl_task1[[SubPLOs]:[SubPLOs]],"&lt;8")</f>
        <v>0</v>
      </c>
      <c r="ED40" s="138">
        <f>SUMIFS(tbl_task1[S129],tbl_task1[[SubPLOs]:[SubPLOs]],"&gt;=7",tbl_task1[[SubPLOs]:[SubPLOs]],"&lt;8")</f>
        <v>0</v>
      </c>
      <c r="EE40" s="138">
        <f>SUMIFS(tbl_task1[S130],tbl_task1[[SubPLOs]:[SubPLOs]],"&gt;=7",tbl_task1[[SubPLOs]:[SubPLOs]],"&lt;8")</f>
        <v>0</v>
      </c>
      <c r="EF40" s="138">
        <f>SUMIFS(tbl_task1[S131],tbl_task1[[SubPLOs]:[SubPLOs]],"&gt;=7",tbl_task1[[SubPLOs]:[SubPLOs]],"&lt;8")</f>
        <v>0</v>
      </c>
      <c r="EG40" s="138">
        <f>SUMIFS(tbl_task1[S132],tbl_task1[[SubPLOs]:[SubPLOs]],"&gt;=7",tbl_task1[[SubPLOs]:[SubPLOs]],"&lt;8")</f>
        <v>0</v>
      </c>
      <c r="EH40" s="138">
        <f>SUMIFS(tbl_task1[S133],tbl_task1[[SubPLOs]:[SubPLOs]],"&gt;=7",tbl_task1[[SubPLOs]:[SubPLOs]],"&lt;8")</f>
        <v>0</v>
      </c>
      <c r="EI40" s="138">
        <f>SUMIFS(tbl_task1[S134],tbl_task1[[SubPLOs]:[SubPLOs]],"&gt;=7",tbl_task1[[SubPLOs]:[SubPLOs]],"&lt;8")</f>
        <v>0</v>
      </c>
      <c r="EJ40" s="138">
        <f>SUMIFS(tbl_task1[S135],tbl_task1[[SubPLOs]:[SubPLOs]],"&gt;=7",tbl_task1[[SubPLOs]:[SubPLOs]],"&lt;8")</f>
        <v>0</v>
      </c>
      <c r="EK40" s="138">
        <f>SUMIFS(tbl_task1[S136],tbl_task1[[SubPLOs]:[SubPLOs]],"&gt;=7",tbl_task1[[SubPLOs]:[SubPLOs]],"&lt;8")</f>
        <v>0</v>
      </c>
      <c r="EL40" s="138">
        <f>SUMIFS(tbl_task1[S137],tbl_task1[[SubPLOs]:[SubPLOs]],"&gt;=7",tbl_task1[[SubPLOs]:[SubPLOs]],"&lt;8")</f>
        <v>0</v>
      </c>
      <c r="EM40" s="138">
        <f>SUMIFS(tbl_task1[S138],tbl_task1[[SubPLOs]:[SubPLOs]],"&gt;=7",tbl_task1[[SubPLOs]:[SubPLOs]],"&lt;8")</f>
        <v>0</v>
      </c>
      <c r="EN40" s="138">
        <f>SUMIFS(tbl_task1[S139],tbl_task1[[SubPLOs]:[SubPLOs]],"&gt;=7",tbl_task1[[SubPLOs]:[SubPLOs]],"&lt;8")</f>
        <v>0</v>
      </c>
      <c r="EO40" s="138">
        <f>SUMIFS(tbl_task1[S140],tbl_task1[[SubPLOs]:[SubPLOs]],"&gt;=7",tbl_task1[[SubPLOs]:[SubPLOs]],"&lt;8")</f>
        <v>0</v>
      </c>
      <c r="EP40" s="138">
        <f>SUMIFS(tbl_task1[S141],tbl_task1[[SubPLOs]:[SubPLOs]],"&gt;=7",tbl_task1[[SubPLOs]:[SubPLOs]],"&lt;8")</f>
        <v>0</v>
      </c>
      <c r="EQ40" s="138">
        <f>SUMIFS(tbl_task1[S142],tbl_task1[[SubPLOs]:[SubPLOs]],"&gt;=7",tbl_task1[[SubPLOs]:[SubPLOs]],"&lt;8")</f>
        <v>0</v>
      </c>
      <c r="ER40" s="138">
        <f>SUMIFS(tbl_task1[S143],tbl_task1[[SubPLOs]:[SubPLOs]],"&gt;=7",tbl_task1[[SubPLOs]:[SubPLOs]],"&lt;8")</f>
        <v>0</v>
      </c>
      <c r="ES40" s="138">
        <f>SUMIFS(tbl_task1[S144],tbl_task1[[SubPLOs]:[SubPLOs]],"&gt;=7",tbl_task1[[SubPLOs]:[SubPLOs]],"&lt;8")</f>
        <v>0</v>
      </c>
      <c r="ET40" s="138">
        <f>SUMIFS(tbl_task1[S145],tbl_task1[[SubPLOs]:[SubPLOs]],"&gt;=7",tbl_task1[[SubPLOs]:[SubPLOs]],"&lt;8")</f>
        <v>0</v>
      </c>
      <c r="EU40" s="138">
        <f>SUMIFS(tbl_task1[S146],tbl_task1[[SubPLOs]:[SubPLOs]],"&gt;=7",tbl_task1[[SubPLOs]:[SubPLOs]],"&lt;8")</f>
        <v>0</v>
      </c>
      <c r="EV40" s="138">
        <f>SUMIFS(tbl_task1[S147],tbl_task1[[SubPLOs]:[SubPLOs]],"&gt;=7",tbl_task1[[SubPLOs]:[SubPLOs]],"&lt;8")</f>
        <v>0</v>
      </c>
      <c r="EW40" s="138">
        <f>SUMIFS(tbl_task1[S148],tbl_task1[[SubPLOs]:[SubPLOs]],"&gt;=7",tbl_task1[[SubPLOs]:[SubPLOs]],"&lt;8")</f>
        <v>0</v>
      </c>
      <c r="EX40" s="138">
        <f>SUMIFS(tbl_task1[S149],tbl_task1[[SubPLOs]:[SubPLOs]],"&gt;=7",tbl_task1[[SubPLOs]:[SubPLOs]],"&lt;8")</f>
        <v>0</v>
      </c>
      <c r="EY40" s="138">
        <f>SUMIFS(tbl_task1[S150],tbl_task1[[SubPLOs]:[SubPLOs]],"&gt;=7",tbl_task1[[SubPLOs]:[SubPLOs]],"&lt;8")</f>
        <v>0</v>
      </c>
      <c r="EZ40" s="138">
        <f>SUMIFS(tbl_task1[S151],tbl_task1[[SubPLOs]:[SubPLOs]],"&gt;=7",tbl_task1[[SubPLOs]:[SubPLOs]],"&lt;8")</f>
        <v>0</v>
      </c>
      <c r="FA40" s="138">
        <f>SUMIFS(tbl_task1[S152],tbl_task1[[SubPLOs]:[SubPLOs]],"&gt;=7",tbl_task1[[SubPLOs]:[SubPLOs]],"&lt;8")</f>
        <v>0</v>
      </c>
      <c r="FB40" s="138">
        <f>SUMIFS(tbl_task1[S153],tbl_task1[[SubPLOs]:[SubPLOs]],"&gt;=7",tbl_task1[[SubPLOs]:[SubPLOs]],"&lt;8")</f>
        <v>0</v>
      </c>
      <c r="FC40" s="138">
        <f>SUMIFS(tbl_task1[S154],tbl_task1[[SubPLOs]:[SubPLOs]],"&gt;=7",tbl_task1[[SubPLOs]:[SubPLOs]],"&lt;8")</f>
        <v>0</v>
      </c>
      <c r="FD40" s="138">
        <f>SUMIFS(tbl_task1[S155],tbl_task1[[SubPLOs]:[SubPLOs]],"&gt;=7",tbl_task1[[SubPLOs]:[SubPLOs]],"&lt;8")</f>
        <v>0</v>
      </c>
      <c r="FE40" s="138">
        <f>SUMIFS(tbl_task1[S156],tbl_task1[[SubPLOs]:[SubPLOs]],"&gt;=7",tbl_task1[[SubPLOs]:[SubPLOs]],"&lt;8")</f>
        <v>0</v>
      </c>
      <c r="FF40" s="138">
        <f>SUMIFS(tbl_task1[S157],tbl_task1[[SubPLOs]:[SubPLOs]],"&gt;=7",tbl_task1[[SubPLOs]:[SubPLOs]],"&lt;8")</f>
        <v>0</v>
      </c>
      <c r="FG40" s="138">
        <f>SUMIFS(tbl_task1[S158],tbl_task1[[SubPLOs]:[SubPLOs]],"&gt;=7",tbl_task1[[SubPLOs]:[SubPLOs]],"&lt;8")</f>
        <v>0</v>
      </c>
      <c r="FH40" s="138">
        <f>SUMIFS(tbl_task1[S159],tbl_task1[[SubPLOs]:[SubPLOs]],"&gt;=7",tbl_task1[[SubPLOs]:[SubPLOs]],"&lt;8")</f>
        <v>0</v>
      </c>
      <c r="FI40" s="138">
        <f>SUMIFS(tbl_task1[S160],tbl_task1[[SubPLOs]:[SubPLOs]],"&gt;=7",tbl_task1[[SubPLOs]:[SubPLOs]],"&lt;8")</f>
        <v>0</v>
      </c>
      <c r="FJ40" s="138">
        <f>SUMIFS(tbl_task1[S161],tbl_task1[[SubPLOs]:[SubPLOs]],"&gt;=7",tbl_task1[[SubPLOs]:[SubPLOs]],"&lt;8")</f>
        <v>0</v>
      </c>
      <c r="FK40" s="138">
        <f>SUMIFS(tbl_task1[S162],tbl_task1[[SubPLOs]:[SubPLOs]],"&gt;=7",tbl_task1[[SubPLOs]:[SubPLOs]],"&lt;8")</f>
        <v>0</v>
      </c>
      <c r="FL40" s="138">
        <f>SUMIFS(tbl_task1[S163],tbl_task1[[SubPLOs]:[SubPLOs]],"&gt;=7",tbl_task1[[SubPLOs]:[SubPLOs]],"&lt;8")</f>
        <v>0</v>
      </c>
      <c r="FM40" s="138">
        <f>SUMIFS(tbl_task1[S164],tbl_task1[[SubPLOs]:[SubPLOs]],"&gt;=7",tbl_task1[[SubPLOs]:[SubPLOs]],"&lt;8")</f>
        <v>0</v>
      </c>
      <c r="FN40" s="138">
        <f>SUMIFS(tbl_task1[S165],tbl_task1[[SubPLOs]:[SubPLOs]],"&gt;=7",tbl_task1[[SubPLOs]:[SubPLOs]],"&lt;8")</f>
        <v>0</v>
      </c>
    </row>
    <row r="41" spans="1:170" ht="63" x14ac:dyDescent="0.25">
      <c r="A41" s="135">
        <v>8</v>
      </c>
      <c r="B41" s="5" t="s">
        <v>441</v>
      </c>
      <c r="C41" s="136">
        <f>COUNTIFS(tbl_task1[SubPLOs],"&gt;=8",tbl_task1[SubPLOs],"&lt;9")</f>
        <v>0</v>
      </c>
      <c r="D41" s="136">
        <f>SUMIFS(tbl_task1[คะแนนเต็ม],tbl_task1[SubPLOs],"&gt;=8",tbl_task1[SubPLOs],"&lt;9")</f>
        <v>0</v>
      </c>
      <c r="E41" s="137">
        <f>SUMIFS(tbl_task1[%],tbl_task1[SubPLOs],"&gt;=8",tbl_task1[SubPLOs],"&lt;9")</f>
        <v>0</v>
      </c>
      <c r="F41" s="138">
        <f>SUMIFS(tbl_task1[S1],tbl_task1[[SubPLOs]:[SubPLOs]],"&gt;=8",tbl_task1[[SubPLOs]:[SubPLOs]],"&lt;9")</f>
        <v>0</v>
      </c>
      <c r="G41" s="138">
        <f>SUMIFS(tbl_task1[S2],tbl_task1[[SubPLOs]:[SubPLOs]],"&gt;=8",tbl_task1[[SubPLOs]:[SubPLOs]],"&lt;9")</f>
        <v>0</v>
      </c>
      <c r="H41" s="138">
        <f>SUMIFS(tbl_task1[S3],tbl_task1[[SubPLOs]:[SubPLOs]],"&gt;=8",tbl_task1[[SubPLOs]:[SubPLOs]],"&lt;9")</f>
        <v>0</v>
      </c>
      <c r="I41" s="138">
        <f>SUMIFS(tbl_task1[S4],tbl_task1[[SubPLOs]:[SubPLOs]],"&gt;=8",tbl_task1[[SubPLOs]:[SubPLOs]],"&lt;9")</f>
        <v>0</v>
      </c>
      <c r="J41" s="138">
        <f>SUMIFS(tbl_task1[S5],tbl_task1[[SubPLOs]:[SubPLOs]],"&gt;=8",tbl_task1[[SubPLOs]:[SubPLOs]],"&lt;9")</f>
        <v>0</v>
      </c>
      <c r="K41" s="138">
        <f>SUMIFS(tbl_task1[S6],tbl_task1[[SubPLOs]:[SubPLOs]],"&gt;=8",tbl_task1[[SubPLOs]:[SubPLOs]],"&lt;9")</f>
        <v>0</v>
      </c>
      <c r="L41" s="138">
        <f>SUMIFS(tbl_task1[S7],tbl_task1[[SubPLOs]:[SubPLOs]],"&gt;=8",tbl_task1[[SubPLOs]:[SubPLOs]],"&lt;9")</f>
        <v>0</v>
      </c>
      <c r="M41" s="138">
        <f>SUMIFS(tbl_task1[S8],tbl_task1[[SubPLOs]:[SubPLOs]],"&gt;=8",tbl_task1[[SubPLOs]:[SubPLOs]],"&lt;9")</f>
        <v>0</v>
      </c>
      <c r="N41" s="138">
        <f>SUMIFS(tbl_task1[S9],tbl_task1[[SubPLOs]:[SubPLOs]],"&gt;=8",tbl_task1[[SubPLOs]:[SubPLOs]],"&lt;9")</f>
        <v>0</v>
      </c>
      <c r="O41" s="138">
        <f>SUMIFS(tbl_task1[S10],tbl_task1[[SubPLOs]:[SubPLOs]],"&gt;=8",tbl_task1[[SubPLOs]:[SubPLOs]],"&lt;9")</f>
        <v>0</v>
      </c>
      <c r="P41" s="138">
        <f>SUMIFS(tbl_task1[S11],tbl_task1[[SubPLOs]:[SubPLOs]],"&gt;=8",tbl_task1[[SubPLOs]:[SubPLOs]],"&lt;9")</f>
        <v>0</v>
      </c>
      <c r="Q41" s="138">
        <f>SUMIFS(tbl_task1[S12],tbl_task1[[SubPLOs]:[SubPLOs]],"&gt;=8",tbl_task1[[SubPLOs]:[SubPLOs]],"&lt;9")</f>
        <v>0</v>
      </c>
      <c r="R41" s="138">
        <f>SUMIFS(tbl_task1[S13],tbl_task1[[SubPLOs]:[SubPLOs]],"&gt;=8",tbl_task1[[SubPLOs]:[SubPLOs]],"&lt;9")</f>
        <v>0</v>
      </c>
      <c r="S41" s="138">
        <f>SUMIFS(tbl_task1[S14],tbl_task1[[SubPLOs]:[SubPLOs]],"&gt;=8",tbl_task1[[SubPLOs]:[SubPLOs]],"&lt;9")</f>
        <v>0</v>
      </c>
      <c r="T41" s="138">
        <f>SUMIFS(tbl_task1[S15],tbl_task1[[SubPLOs]:[SubPLOs]],"&gt;=8",tbl_task1[[SubPLOs]:[SubPLOs]],"&lt;9")</f>
        <v>0</v>
      </c>
      <c r="U41" s="138">
        <f>SUMIFS(tbl_task1[S16],tbl_task1[[SubPLOs]:[SubPLOs]],"&gt;=8",tbl_task1[[SubPLOs]:[SubPLOs]],"&lt;9")</f>
        <v>0</v>
      </c>
      <c r="V41" s="138">
        <f>SUMIFS(tbl_task1[S17],tbl_task1[[SubPLOs]:[SubPLOs]],"&gt;=8",tbl_task1[[SubPLOs]:[SubPLOs]],"&lt;9")</f>
        <v>0</v>
      </c>
      <c r="W41" s="138">
        <f>SUMIFS(tbl_task1[S18],tbl_task1[[SubPLOs]:[SubPLOs]],"&gt;=8",tbl_task1[[SubPLOs]:[SubPLOs]],"&lt;9")</f>
        <v>0</v>
      </c>
      <c r="X41" s="138">
        <f>SUMIFS(tbl_task1[S19],tbl_task1[[SubPLOs]:[SubPLOs]],"&gt;=8",tbl_task1[[SubPLOs]:[SubPLOs]],"&lt;9")</f>
        <v>0</v>
      </c>
      <c r="Y41" s="138">
        <f>SUMIFS(tbl_task1[S20],tbl_task1[[SubPLOs]:[SubPLOs]],"&gt;=8",tbl_task1[[SubPLOs]:[SubPLOs]],"&lt;9")</f>
        <v>0</v>
      </c>
      <c r="Z41" s="138">
        <f>SUMIFS(tbl_task1[S21],tbl_task1[[SubPLOs]:[SubPLOs]],"&gt;=8",tbl_task1[[SubPLOs]:[SubPLOs]],"&lt;9")</f>
        <v>0</v>
      </c>
      <c r="AA41" s="138">
        <f>SUMIFS(tbl_task1[S22],tbl_task1[[SubPLOs]:[SubPLOs]],"&gt;=8",tbl_task1[[SubPLOs]:[SubPLOs]],"&lt;9")</f>
        <v>0</v>
      </c>
      <c r="AB41" s="138">
        <f>SUMIFS(tbl_task1[S23],tbl_task1[[SubPLOs]:[SubPLOs]],"&gt;=8",tbl_task1[[SubPLOs]:[SubPLOs]],"&lt;9")</f>
        <v>0</v>
      </c>
      <c r="AC41" s="138">
        <f>SUMIFS(tbl_task1[S24],tbl_task1[[SubPLOs]:[SubPLOs]],"&gt;=8",tbl_task1[[SubPLOs]:[SubPLOs]],"&lt;9")</f>
        <v>0</v>
      </c>
      <c r="AD41" s="138">
        <f>SUMIFS(tbl_task1[S25],tbl_task1[[SubPLOs]:[SubPLOs]],"&gt;=8",tbl_task1[[SubPLOs]:[SubPLOs]],"&lt;9")</f>
        <v>0</v>
      </c>
      <c r="AE41" s="138">
        <f>SUMIFS(tbl_task1[S26],tbl_task1[[SubPLOs]:[SubPLOs]],"&gt;=8",tbl_task1[[SubPLOs]:[SubPLOs]],"&lt;9")</f>
        <v>0</v>
      </c>
      <c r="AF41" s="138">
        <f>SUMIFS(tbl_task1[S27],tbl_task1[[SubPLOs]:[SubPLOs]],"&gt;=8",tbl_task1[[SubPLOs]:[SubPLOs]],"&lt;9")</f>
        <v>0</v>
      </c>
      <c r="AG41" s="138">
        <f>SUMIFS(tbl_task1[S28],tbl_task1[[SubPLOs]:[SubPLOs]],"&gt;=8",tbl_task1[[SubPLOs]:[SubPLOs]],"&lt;9")</f>
        <v>0</v>
      </c>
      <c r="AH41" s="138">
        <f>SUMIFS(tbl_task1[S29],tbl_task1[[SubPLOs]:[SubPLOs]],"&gt;=8",tbl_task1[[SubPLOs]:[SubPLOs]],"&lt;9")</f>
        <v>0</v>
      </c>
      <c r="AI41" s="138">
        <f>SUMIFS(tbl_task1[S30],tbl_task1[[SubPLOs]:[SubPLOs]],"&gt;=8",tbl_task1[[SubPLOs]:[SubPLOs]],"&lt;9")</f>
        <v>0</v>
      </c>
      <c r="AJ41" s="138">
        <f>SUMIFS(tbl_task1[S31],tbl_task1[[SubPLOs]:[SubPLOs]],"&gt;=8",tbl_task1[[SubPLOs]:[SubPLOs]],"&lt;9")</f>
        <v>0</v>
      </c>
      <c r="AK41" s="138">
        <f>SUMIFS(tbl_task1[S32],tbl_task1[[SubPLOs]:[SubPLOs]],"&gt;=8",tbl_task1[[SubPLOs]:[SubPLOs]],"&lt;9")</f>
        <v>0</v>
      </c>
      <c r="AL41" s="138">
        <f>SUMIFS(tbl_task1[S33],tbl_task1[[SubPLOs]:[SubPLOs]],"&gt;=8",tbl_task1[[SubPLOs]:[SubPLOs]],"&lt;9")</f>
        <v>0</v>
      </c>
      <c r="AM41" s="138">
        <f>SUMIFS(tbl_task1[S34],tbl_task1[[SubPLOs]:[SubPLOs]],"&gt;=8",tbl_task1[[SubPLOs]:[SubPLOs]],"&lt;9")</f>
        <v>0</v>
      </c>
      <c r="AN41" s="138">
        <f>SUMIFS(tbl_task1[S35],tbl_task1[[SubPLOs]:[SubPLOs]],"&gt;=8",tbl_task1[[SubPLOs]:[SubPLOs]],"&lt;9")</f>
        <v>0</v>
      </c>
      <c r="AO41" s="138">
        <f>SUMIFS(tbl_task1[S36],tbl_task1[[SubPLOs]:[SubPLOs]],"&gt;=8",tbl_task1[[SubPLOs]:[SubPLOs]],"&lt;9")</f>
        <v>0</v>
      </c>
      <c r="AP41" s="138">
        <f>SUMIFS(tbl_task1[S37],tbl_task1[[SubPLOs]:[SubPLOs]],"&gt;=8",tbl_task1[[SubPLOs]:[SubPLOs]],"&lt;9")</f>
        <v>0</v>
      </c>
      <c r="AQ41" s="138">
        <f>SUMIFS(tbl_task1[S38],tbl_task1[[SubPLOs]:[SubPLOs]],"&gt;=8",tbl_task1[[SubPLOs]:[SubPLOs]],"&lt;9")</f>
        <v>0</v>
      </c>
      <c r="AR41" s="138">
        <f>SUMIFS(tbl_task1[S39],tbl_task1[[SubPLOs]:[SubPLOs]],"&gt;=8",tbl_task1[[SubPLOs]:[SubPLOs]],"&lt;9")</f>
        <v>0</v>
      </c>
      <c r="AS41" s="138">
        <f>SUMIFS(tbl_task1[S40],tbl_task1[[SubPLOs]:[SubPLOs]],"&gt;=8",tbl_task1[[SubPLOs]:[SubPLOs]],"&lt;9")</f>
        <v>0</v>
      </c>
      <c r="AT41" s="138">
        <f>SUMIFS(tbl_task1[S41],tbl_task1[[SubPLOs]:[SubPLOs]],"&gt;=8",tbl_task1[[SubPLOs]:[SubPLOs]],"&lt;9")</f>
        <v>0</v>
      </c>
      <c r="AU41" s="138">
        <f>SUMIFS(tbl_task1[S42],tbl_task1[[SubPLOs]:[SubPLOs]],"&gt;=8",tbl_task1[[SubPLOs]:[SubPLOs]],"&lt;9")</f>
        <v>0</v>
      </c>
      <c r="AV41" s="138">
        <f>SUMIFS(tbl_task1[S43],tbl_task1[[SubPLOs]:[SubPLOs]],"&gt;=8",tbl_task1[[SubPLOs]:[SubPLOs]],"&lt;9")</f>
        <v>0</v>
      </c>
      <c r="AW41" s="138">
        <f>SUMIFS(tbl_task1[S44],tbl_task1[[SubPLOs]:[SubPLOs]],"&gt;=8",tbl_task1[[SubPLOs]:[SubPLOs]],"&lt;9")</f>
        <v>0</v>
      </c>
      <c r="AX41" s="138">
        <f>SUMIFS(tbl_task1[S45],tbl_task1[[SubPLOs]:[SubPLOs]],"&gt;=8",tbl_task1[[SubPLOs]:[SubPLOs]],"&lt;9")</f>
        <v>0</v>
      </c>
      <c r="AY41" s="138">
        <f>SUMIFS(tbl_task1[S46],tbl_task1[[SubPLOs]:[SubPLOs]],"&gt;=8",tbl_task1[[SubPLOs]:[SubPLOs]],"&lt;9")</f>
        <v>0</v>
      </c>
      <c r="AZ41" s="138">
        <f>SUMIFS(tbl_task1[S47],tbl_task1[[SubPLOs]:[SubPLOs]],"&gt;=8",tbl_task1[[SubPLOs]:[SubPLOs]],"&lt;9")</f>
        <v>0</v>
      </c>
      <c r="BA41" s="138">
        <f>SUMIFS(tbl_task1[S48],tbl_task1[[SubPLOs]:[SubPLOs]],"&gt;=8",tbl_task1[[SubPLOs]:[SubPLOs]],"&lt;9")</f>
        <v>0</v>
      </c>
      <c r="BB41" s="138">
        <f>SUMIFS(tbl_task1[S49],tbl_task1[[SubPLOs]:[SubPLOs]],"&gt;=8",tbl_task1[[SubPLOs]:[SubPLOs]],"&lt;9")</f>
        <v>0</v>
      </c>
      <c r="BC41" s="138">
        <f>SUMIFS(tbl_task1[S50],tbl_task1[[SubPLOs]:[SubPLOs]],"&gt;=8",tbl_task1[[SubPLOs]:[SubPLOs]],"&lt;9")</f>
        <v>0</v>
      </c>
      <c r="BD41" s="138">
        <f>SUMIFS(tbl_task1[S51],tbl_task1[[SubPLOs]:[SubPLOs]],"&gt;=8",tbl_task1[[SubPLOs]:[SubPLOs]],"&lt;9")</f>
        <v>0</v>
      </c>
      <c r="BE41" s="138">
        <f>SUMIFS(tbl_task1[S52],tbl_task1[[SubPLOs]:[SubPLOs]],"&gt;=8",tbl_task1[[SubPLOs]:[SubPLOs]],"&lt;9")</f>
        <v>0</v>
      </c>
      <c r="BF41" s="138">
        <f>SUMIFS(tbl_task1[S53],tbl_task1[[SubPLOs]:[SubPLOs]],"&gt;=8",tbl_task1[[SubPLOs]:[SubPLOs]],"&lt;9")</f>
        <v>0</v>
      </c>
      <c r="BG41" s="138">
        <f>SUMIFS(tbl_task1[S54],tbl_task1[[SubPLOs]:[SubPLOs]],"&gt;=8",tbl_task1[[SubPLOs]:[SubPLOs]],"&lt;9")</f>
        <v>0</v>
      </c>
      <c r="BH41" s="138">
        <f>SUMIFS(tbl_task1[S55],tbl_task1[[SubPLOs]:[SubPLOs]],"&gt;=8",tbl_task1[[SubPLOs]:[SubPLOs]],"&lt;9")</f>
        <v>0</v>
      </c>
      <c r="BI41" s="138">
        <f>SUMIFS(tbl_task1[S56],tbl_task1[[SubPLOs]:[SubPLOs]],"&gt;=8",tbl_task1[[SubPLOs]:[SubPLOs]],"&lt;9")</f>
        <v>0</v>
      </c>
      <c r="BJ41" s="138">
        <f>SUMIFS(tbl_task1[S57],tbl_task1[[SubPLOs]:[SubPLOs]],"&gt;=8",tbl_task1[[SubPLOs]:[SubPLOs]],"&lt;9")</f>
        <v>0</v>
      </c>
      <c r="BK41" s="138">
        <f>SUMIFS(tbl_task1[S58],tbl_task1[[SubPLOs]:[SubPLOs]],"&gt;=8",tbl_task1[[SubPLOs]:[SubPLOs]],"&lt;9")</f>
        <v>0</v>
      </c>
      <c r="BL41" s="138">
        <f>SUMIFS(tbl_task1[S59],tbl_task1[[SubPLOs]:[SubPLOs]],"&gt;=8",tbl_task1[[SubPLOs]:[SubPLOs]],"&lt;9")</f>
        <v>0</v>
      </c>
      <c r="BM41" s="138">
        <f>SUMIFS(tbl_task1[S60],tbl_task1[[SubPLOs]:[SubPLOs]],"&gt;=8",tbl_task1[[SubPLOs]:[SubPLOs]],"&lt;9")</f>
        <v>0</v>
      </c>
      <c r="BN41" s="138">
        <f>SUMIFS(tbl_task1[S61],tbl_task1[[SubPLOs]:[SubPLOs]],"&gt;=8",tbl_task1[[SubPLOs]:[SubPLOs]],"&lt;9")</f>
        <v>0</v>
      </c>
      <c r="BO41" s="138">
        <f>SUMIFS(tbl_task1[S62],tbl_task1[[SubPLOs]:[SubPLOs]],"&gt;=8",tbl_task1[[SubPLOs]:[SubPLOs]],"&lt;9")</f>
        <v>0</v>
      </c>
      <c r="BP41" s="138">
        <f>SUMIFS(tbl_task1[S63],tbl_task1[[SubPLOs]:[SubPLOs]],"&gt;=8",tbl_task1[[SubPLOs]:[SubPLOs]],"&lt;9")</f>
        <v>0</v>
      </c>
      <c r="BQ41" s="138">
        <f>SUMIFS(tbl_task1[S64],tbl_task1[[SubPLOs]:[SubPLOs]],"&gt;=8",tbl_task1[[SubPLOs]:[SubPLOs]],"&lt;9")</f>
        <v>0</v>
      </c>
      <c r="BR41" s="138">
        <f>SUMIFS(tbl_task1[S65],tbl_task1[[SubPLOs]:[SubPLOs]],"&gt;=8",tbl_task1[[SubPLOs]:[SubPLOs]],"&lt;9")</f>
        <v>0</v>
      </c>
      <c r="BS41" s="138">
        <f>SUMIFS(tbl_task1[S66],tbl_task1[[SubPLOs]:[SubPLOs]],"&gt;=8",tbl_task1[[SubPLOs]:[SubPLOs]],"&lt;9")</f>
        <v>0</v>
      </c>
      <c r="BT41" s="138">
        <f>SUMIFS(tbl_task1[S67],tbl_task1[[SubPLOs]:[SubPLOs]],"&gt;=8",tbl_task1[[SubPLOs]:[SubPLOs]],"&lt;9")</f>
        <v>0</v>
      </c>
      <c r="BU41" s="138">
        <f>SUMIFS(tbl_task1[S68],tbl_task1[[SubPLOs]:[SubPLOs]],"&gt;=8",tbl_task1[[SubPLOs]:[SubPLOs]],"&lt;9")</f>
        <v>0</v>
      </c>
      <c r="BV41" s="138">
        <f>SUMIFS(tbl_task1[S69],tbl_task1[[SubPLOs]:[SubPLOs]],"&gt;=8",tbl_task1[[SubPLOs]:[SubPLOs]],"&lt;9")</f>
        <v>0</v>
      </c>
      <c r="BW41" s="138">
        <f>SUMIFS(tbl_task1[S70],tbl_task1[[SubPLOs]:[SubPLOs]],"&gt;=8",tbl_task1[[SubPLOs]:[SubPLOs]],"&lt;9")</f>
        <v>0</v>
      </c>
      <c r="BX41" s="138">
        <f>SUMIFS(tbl_task1[S71],tbl_task1[[SubPLOs]:[SubPLOs]],"&gt;=8",tbl_task1[[SubPLOs]:[SubPLOs]],"&lt;9")</f>
        <v>0</v>
      </c>
      <c r="BY41" s="138">
        <f>SUMIFS(tbl_task1[S72],tbl_task1[[SubPLOs]:[SubPLOs]],"&gt;=8",tbl_task1[[SubPLOs]:[SubPLOs]],"&lt;9")</f>
        <v>0</v>
      </c>
      <c r="BZ41" s="138">
        <f>SUMIFS(tbl_task1[S73],tbl_task1[[SubPLOs]:[SubPLOs]],"&gt;=8",tbl_task1[[SubPLOs]:[SubPLOs]],"&lt;9")</f>
        <v>0</v>
      </c>
      <c r="CA41" s="138">
        <f>SUMIFS(tbl_task1[S74],tbl_task1[[SubPLOs]:[SubPLOs]],"&gt;=8",tbl_task1[[SubPLOs]:[SubPLOs]],"&lt;9")</f>
        <v>0</v>
      </c>
      <c r="CB41" s="138">
        <f>SUMIFS(tbl_task1[S75],tbl_task1[[SubPLOs]:[SubPLOs]],"&gt;=8",tbl_task1[[SubPLOs]:[SubPLOs]],"&lt;9")</f>
        <v>0</v>
      </c>
      <c r="CC41" s="138">
        <f>SUMIFS(tbl_task1[S76],tbl_task1[[SubPLOs]:[SubPLOs]],"&gt;=8",tbl_task1[[SubPLOs]:[SubPLOs]],"&lt;9")</f>
        <v>0</v>
      </c>
      <c r="CD41" s="138">
        <f>SUMIFS(tbl_task1[S77],tbl_task1[[SubPLOs]:[SubPLOs]],"&gt;=8",tbl_task1[[SubPLOs]:[SubPLOs]],"&lt;9")</f>
        <v>0</v>
      </c>
      <c r="CE41" s="138">
        <f>SUMIFS(tbl_task1[S78],tbl_task1[[SubPLOs]:[SubPLOs]],"&gt;=8",tbl_task1[[SubPLOs]:[SubPLOs]],"&lt;9")</f>
        <v>0</v>
      </c>
      <c r="CF41" s="138">
        <f>SUMIFS(tbl_task1[S79],tbl_task1[[SubPLOs]:[SubPLOs]],"&gt;=8",tbl_task1[[SubPLOs]:[SubPLOs]],"&lt;9")</f>
        <v>0</v>
      </c>
      <c r="CG41" s="138">
        <f>SUMIFS(tbl_task1[S80],tbl_task1[[SubPLOs]:[SubPLOs]],"&gt;=8",tbl_task1[[SubPLOs]:[SubPLOs]],"&lt;9")</f>
        <v>0</v>
      </c>
      <c r="CH41" s="138">
        <f>SUMIFS(tbl_task1[S81],tbl_task1[[SubPLOs]:[SubPLOs]],"&gt;=8",tbl_task1[[SubPLOs]:[SubPLOs]],"&lt;9")</f>
        <v>0</v>
      </c>
      <c r="CI41" s="138">
        <f>SUMIFS(tbl_task1[S82],tbl_task1[[SubPLOs]:[SubPLOs]],"&gt;=8",tbl_task1[[SubPLOs]:[SubPLOs]],"&lt;9")</f>
        <v>0</v>
      </c>
      <c r="CJ41" s="138">
        <f>SUMIFS(tbl_task1[S83],tbl_task1[[SubPLOs]:[SubPLOs]],"&gt;=8",tbl_task1[[SubPLOs]:[SubPLOs]],"&lt;9")</f>
        <v>0</v>
      </c>
      <c r="CK41" s="138">
        <f>SUMIFS(tbl_task1[S84],tbl_task1[[SubPLOs]:[SubPLOs]],"&gt;=8",tbl_task1[[SubPLOs]:[SubPLOs]],"&lt;9")</f>
        <v>0</v>
      </c>
      <c r="CL41" s="138">
        <f>SUMIFS(tbl_task1[S85],tbl_task1[[SubPLOs]:[SubPLOs]],"&gt;=8",tbl_task1[[SubPLOs]:[SubPLOs]],"&lt;9")</f>
        <v>0</v>
      </c>
      <c r="CM41" s="138">
        <f>SUMIFS(tbl_task1[S86],tbl_task1[[SubPLOs]:[SubPLOs]],"&gt;=8",tbl_task1[[SubPLOs]:[SubPLOs]],"&lt;9")</f>
        <v>0</v>
      </c>
      <c r="CN41" s="138">
        <f>SUMIFS(tbl_task1[S87],tbl_task1[[SubPLOs]:[SubPLOs]],"&gt;=8",tbl_task1[[SubPLOs]:[SubPLOs]],"&lt;9")</f>
        <v>0</v>
      </c>
      <c r="CO41" s="138">
        <f>SUMIFS(tbl_task1[S88],tbl_task1[[SubPLOs]:[SubPLOs]],"&gt;=8",tbl_task1[[SubPLOs]:[SubPLOs]],"&lt;9")</f>
        <v>0</v>
      </c>
      <c r="CP41" s="138">
        <f>SUMIFS(tbl_task1[S89],tbl_task1[[SubPLOs]:[SubPLOs]],"&gt;=8",tbl_task1[[SubPLOs]:[SubPLOs]],"&lt;9")</f>
        <v>0</v>
      </c>
      <c r="CQ41" s="138">
        <f>SUMIFS(tbl_task1[S90],tbl_task1[[SubPLOs]:[SubPLOs]],"&gt;=8",tbl_task1[[SubPLOs]:[SubPLOs]],"&lt;9")</f>
        <v>0</v>
      </c>
      <c r="CR41" s="138">
        <f>SUMIFS(tbl_task1[S91],tbl_task1[[SubPLOs]:[SubPLOs]],"&gt;=8",tbl_task1[[SubPLOs]:[SubPLOs]],"&lt;9")</f>
        <v>0</v>
      </c>
      <c r="CS41" s="138">
        <f>SUMIFS(tbl_task1[S92],tbl_task1[[SubPLOs]:[SubPLOs]],"&gt;=8",tbl_task1[[SubPLOs]:[SubPLOs]],"&lt;9")</f>
        <v>0</v>
      </c>
      <c r="CT41" s="138">
        <f>SUMIFS(tbl_task1[S93],tbl_task1[[SubPLOs]:[SubPLOs]],"&gt;=8",tbl_task1[[SubPLOs]:[SubPLOs]],"&lt;9")</f>
        <v>0</v>
      </c>
      <c r="CU41" s="138">
        <f>SUMIFS(tbl_task1[S94],tbl_task1[[SubPLOs]:[SubPLOs]],"&gt;=8",tbl_task1[[SubPLOs]:[SubPLOs]],"&lt;9")</f>
        <v>0</v>
      </c>
      <c r="CV41" s="138">
        <f>SUMIFS(tbl_task1[S95],tbl_task1[[SubPLOs]:[SubPLOs]],"&gt;=8",tbl_task1[[SubPLOs]:[SubPLOs]],"&lt;9")</f>
        <v>0</v>
      </c>
      <c r="CW41" s="138">
        <f>SUMIFS(tbl_task1[S96],tbl_task1[[SubPLOs]:[SubPLOs]],"&gt;=8",tbl_task1[[SubPLOs]:[SubPLOs]],"&lt;9")</f>
        <v>0</v>
      </c>
      <c r="CX41" s="138">
        <f>SUMIFS(tbl_task1[S97],tbl_task1[[SubPLOs]:[SubPLOs]],"&gt;=8",tbl_task1[[SubPLOs]:[SubPLOs]],"&lt;9")</f>
        <v>0</v>
      </c>
      <c r="CY41" s="138">
        <f>SUMIFS(tbl_task1[S98],tbl_task1[[SubPLOs]:[SubPLOs]],"&gt;=8",tbl_task1[[SubPLOs]:[SubPLOs]],"&lt;9")</f>
        <v>0</v>
      </c>
      <c r="CZ41" s="138">
        <f>SUMIFS(tbl_task1[S99],tbl_task1[[SubPLOs]:[SubPLOs]],"&gt;=8",tbl_task1[[SubPLOs]:[SubPLOs]],"&lt;9")</f>
        <v>0</v>
      </c>
      <c r="DA41" s="138">
        <f>SUMIFS(tbl_task1[S100],tbl_task1[[SubPLOs]:[SubPLOs]],"&gt;=8",tbl_task1[[SubPLOs]:[SubPLOs]],"&lt;9")</f>
        <v>0</v>
      </c>
      <c r="DB41" s="138">
        <f>SUMIFS(tbl_task1[S101],tbl_task1[[SubPLOs]:[SubPLOs]],"&gt;=8",tbl_task1[[SubPLOs]:[SubPLOs]],"&lt;9")</f>
        <v>0</v>
      </c>
      <c r="DC41" s="138">
        <f>SUMIFS(tbl_task1[S102],tbl_task1[[SubPLOs]:[SubPLOs]],"&gt;=8",tbl_task1[[SubPLOs]:[SubPLOs]],"&lt;9")</f>
        <v>0</v>
      </c>
      <c r="DD41" s="138">
        <f>SUMIFS(tbl_task1[S103],tbl_task1[[SubPLOs]:[SubPLOs]],"&gt;=8",tbl_task1[[SubPLOs]:[SubPLOs]],"&lt;9")</f>
        <v>0</v>
      </c>
      <c r="DE41" s="138">
        <f>SUMIFS(tbl_task1[S104],tbl_task1[[SubPLOs]:[SubPLOs]],"&gt;=8",tbl_task1[[SubPLOs]:[SubPLOs]],"&lt;9")</f>
        <v>0</v>
      </c>
      <c r="DF41" s="138">
        <f>SUMIFS(tbl_task1[S105],tbl_task1[[SubPLOs]:[SubPLOs]],"&gt;=8",tbl_task1[[SubPLOs]:[SubPLOs]],"&lt;9")</f>
        <v>0</v>
      </c>
      <c r="DG41" s="138">
        <f>SUMIFS(tbl_task1[S106],tbl_task1[[SubPLOs]:[SubPLOs]],"&gt;=8",tbl_task1[[SubPLOs]:[SubPLOs]],"&lt;9")</f>
        <v>0</v>
      </c>
      <c r="DH41" s="138">
        <f>SUMIFS(tbl_task1[S106],tbl_task1[[SubPLOs]:[SubPLOs]],"&gt;=8",tbl_task1[[SubPLOs]:[SubPLOs]],"&lt;9")</f>
        <v>0</v>
      </c>
      <c r="DI41" s="138">
        <f>SUMIFS(tbl_task1[S108],tbl_task1[[SubPLOs]:[SubPLOs]],"&gt;=8",tbl_task1[[SubPLOs]:[SubPLOs]],"&lt;9")</f>
        <v>0</v>
      </c>
      <c r="DJ41" s="138">
        <f>SUMIFS(tbl_task1[S109],tbl_task1[[SubPLOs]:[SubPLOs]],"&gt;=8",tbl_task1[[SubPLOs]:[SubPLOs]],"&lt;9")</f>
        <v>0</v>
      </c>
      <c r="DK41" s="138">
        <f>SUMIFS(tbl_task1[S110],tbl_task1[[SubPLOs]:[SubPLOs]],"&gt;=8",tbl_task1[[SubPLOs]:[SubPLOs]],"&lt;9")</f>
        <v>0</v>
      </c>
      <c r="DL41" s="138">
        <f>SUMIFS(tbl_task1[S111],tbl_task1[[SubPLOs]:[SubPLOs]],"&gt;=8",tbl_task1[[SubPLOs]:[SubPLOs]],"&lt;9")</f>
        <v>0</v>
      </c>
      <c r="DM41" s="138">
        <f>SUMIFS(tbl_task1[S112],tbl_task1[[SubPLOs]:[SubPLOs]],"&gt;=8",tbl_task1[[SubPLOs]:[SubPLOs]],"&lt;9")</f>
        <v>0</v>
      </c>
      <c r="DN41" s="138">
        <f>SUMIFS(tbl_task1[S113],tbl_task1[[SubPLOs]:[SubPLOs]],"&gt;=8",tbl_task1[[SubPLOs]:[SubPLOs]],"&lt;9")</f>
        <v>0</v>
      </c>
      <c r="DO41" s="138">
        <f>SUMIFS(tbl_task1[S114],tbl_task1[[SubPLOs]:[SubPLOs]],"&gt;=8",tbl_task1[[SubPLOs]:[SubPLOs]],"&lt;9")</f>
        <v>0</v>
      </c>
      <c r="DP41" s="138">
        <f>SUMIFS(tbl_task1[S115],tbl_task1[[SubPLOs]:[SubPLOs]],"&gt;=8",tbl_task1[[SubPLOs]:[SubPLOs]],"&lt;9")</f>
        <v>0</v>
      </c>
      <c r="DQ41" s="138">
        <f>SUMIFS(tbl_task1[S116],tbl_task1[[SubPLOs]:[SubPLOs]],"&gt;=8",tbl_task1[[SubPLOs]:[SubPLOs]],"&lt;9")</f>
        <v>0</v>
      </c>
      <c r="DR41" s="138">
        <f>SUMIFS(tbl_task1[S117],tbl_task1[[SubPLOs]:[SubPLOs]],"&gt;=8",tbl_task1[[SubPLOs]:[SubPLOs]],"&lt;9")</f>
        <v>0</v>
      </c>
      <c r="DS41" s="138">
        <f>SUMIFS(tbl_task1[S118],tbl_task1[[SubPLOs]:[SubPLOs]],"&gt;=8",tbl_task1[[SubPLOs]:[SubPLOs]],"&lt;9")</f>
        <v>0</v>
      </c>
      <c r="DT41" s="138">
        <f>SUMIFS(tbl_task1[S119],tbl_task1[[SubPLOs]:[SubPLOs]],"&gt;=8",tbl_task1[[SubPLOs]:[SubPLOs]],"&lt;9")</f>
        <v>0</v>
      </c>
      <c r="DU41" s="138">
        <f>SUMIFS(tbl_task1[S120],tbl_task1[[SubPLOs]:[SubPLOs]],"&gt;=8",tbl_task1[[SubPLOs]:[SubPLOs]],"&lt;9")</f>
        <v>0</v>
      </c>
      <c r="DV41" s="138">
        <f>SUMIFS(tbl_task1[S121],tbl_task1[[SubPLOs]:[SubPLOs]],"&gt;=8",tbl_task1[[SubPLOs]:[SubPLOs]],"&lt;9")</f>
        <v>0</v>
      </c>
      <c r="DW41" s="138">
        <f>SUMIFS(tbl_task1[S122],tbl_task1[[SubPLOs]:[SubPLOs]],"&gt;=8",tbl_task1[[SubPLOs]:[SubPLOs]],"&lt;9")</f>
        <v>0</v>
      </c>
      <c r="DX41" s="138">
        <f>SUMIFS(tbl_task1[S123],tbl_task1[[SubPLOs]:[SubPLOs]],"&gt;=8",tbl_task1[[SubPLOs]:[SubPLOs]],"&lt;9")</f>
        <v>0</v>
      </c>
      <c r="DY41" s="138">
        <f>SUMIFS(tbl_task1[S124],tbl_task1[[SubPLOs]:[SubPLOs]],"&gt;=8",tbl_task1[[SubPLOs]:[SubPLOs]],"&lt;9")</f>
        <v>0</v>
      </c>
      <c r="DZ41" s="138">
        <f>SUMIFS(tbl_task1[S125],tbl_task1[[SubPLOs]:[SubPLOs]],"&gt;=8",tbl_task1[[SubPLOs]:[SubPLOs]],"&lt;9")</f>
        <v>0</v>
      </c>
      <c r="EA41" s="138">
        <f>SUMIFS(tbl_task1[S126],tbl_task1[[SubPLOs]:[SubPLOs]],"&gt;=8",tbl_task1[[SubPLOs]:[SubPLOs]],"&lt;9")</f>
        <v>0</v>
      </c>
      <c r="EB41" s="138">
        <f>SUMIFS(tbl_task1[S127],tbl_task1[[SubPLOs]:[SubPLOs]],"&gt;=8",tbl_task1[[SubPLOs]:[SubPLOs]],"&lt;9")</f>
        <v>0</v>
      </c>
      <c r="EC41" s="138">
        <f>SUMIFS(tbl_task1[S128],tbl_task1[[SubPLOs]:[SubPLOs]],"&gt;=8",tbl_task1[[SubPLOs]:[SubPLOs]],"&lt;9")</f>
        <v>0</v>
      </c>
      <c r="ED41" s="138">
        <f>SUMIFS(tbl_task1[S129],tbl_task1[[SubPLOs]:[SubPLOs]],"&gt;=8",tbl_task1[[SubPLOs]:[SubPLOs]],"&lt;9")</f>
        <v>0</v>
      </c>
      <c r="EE41" s="138">
        <f>SUMIFS(tbl_task1[S130],tbl_task1[[SubPLOs]:[SubPLOs]],"&gt;=8",tbl_task1[[SubPLOs]:[SubPLOs]],"&lt;9")</f>
        <v>0</v>
      </c>
      <c r="EF41" s="138">
        <f>SUMIFS(tbl_task1[S131],tbl_task1[[SubPLOs]:[SubPLOs]],"&gt;=8",tbl_task1[[SubPLOs]:[SubPLOs]],"&lt;9")</f>
        <v>0</v>
      </c>
      <c r="EG41" s="138">
        <f>SUMIFS(tbl_task1[S132],tbl_task1[[SubPLOs]:[SubPLOs]],"&gt;=8",tbl_task1[[SubPLOs]:[SubPLOs]],"&lt;9")</f>
        <v>0</v>
      </c>
      <c r="EH41" s="138">
        <f>SUMIFS(tbl_task1[S133],tbl_task1[[SubPLOs]:[SubPLOs]],"&gt;=8",tbl_task1[[SubPLOs]:[SubPLOs]],"&lt;9")</f>
        <v>0</v>
      </c>
      <c r="EI41" s="138">
        <f>SUMIFS(tbl_task1[S134],tbl_task1[[SubPLOs]:[SubPLOs]],"&gt;=8",tbl_task1[[SubPLOs]:[SubPLOs]],"&lt;9")</f>
        <v>0</v>
      </c>
      <c r="EJ41" s="138">
        <f>SUMIFS(tbl_task1[S135],tbl_task1[[SubPLOs]:[SubPLOs]],"&gt;=8",tbl_task1[[SubPLOs]:[SubPLOs]],"&lt;9")</f>
        <v>0</v>
      </c>
      <c r="EK41" s="138">
        <f>SUMIFS(tbl_task1[S136],tbl_task1[[SubPLOs]:[SubPLOs]],"&gt;=8",tbl_task1[[SubPLOs]:[SubPLOs]],"&lt;9")</f>
        <v>0</v>
      </c>
      <c r="EL41" s="138">
        <f>SUMIFS(tbl_task1[S137],tbl_task1[[SubPLOs]:[SubPLOs]],"&gt;=8",tbl_task1[[SubPLOs]:[SubPLOs]],"&lt;9")</f>
        <v>0</v>
      </c>
      <c r="EM41" s="138">
        <f>SUMIFS(tbl_task1[S138],tbl_task1[[SubPLOs]:[SubPLOs]],"&gt;=8",tbl_task1[[SubPLOs]:[SubPLOs]],"&lt;9")</f>
        <v>0</v>
      </c>
      <c r="EN41" s="138">
        <f>SUMIFS(tbl_task1[S139],tbl_task1[[SubPLOs]:[SubPLOs]],"&gt;=8",tbl_task1[[SubPLOs]:[SubPLOs]],"&lt;9")</f>
        <v>0</v>
      </c>
      <c r="EO41" s="138">
        <f>SUMIFS(tbl_task1[S140],tbl_task1[[SubPLOs]:[SubPLOs]],"&gt;=8",tbl_task1[[SubPLOs]:[SubPLOs]],"&lt;9")</f>
        <v>0</v>
      </c>
      <c r="EP41" s="138">
        <f>SUMIFS(tbl_task1[S141],tbl_task1[[SubPLOs]:[SubPLOs]],"&gt;=8",tbl_task1[[SubPLOs]:[SubPLOs]],"&lt;9")</f>
        <v>0</v>
      </c>
      <c r="EQ41" s="138">
        <f>SUMIFS(tbl_task1[S142],tbl_task1[[SubPLOs]:[SubPLOs]],"&gt;=8",tbl_task1[[SubPLOs]:[SubPLOs]],"&lt;9")</f>
        <v>0</v>
      </c>
      <c r="ER41" s="138">
        <f>SUMIFS(tbl_task1[S143],tbl_task1[[SubPLOs]:[SubPLOs]],"&gt;=8",tbl_task1[[SubPLOs]:[SubPLOs]],"&lt;9")</f>
        <v>0</v>
      </c>
      <c r="ES41" s="138">
        <f>SUMIFS(tbl_task1[S144],tbl_task1[[SubPLOs]:[SubPLOs]],"&gt;=8",tbl_task1[[SubPLOs]:[SubPLOs]],"&lt;9")</f>
        <v>0</v>
      </c>
      <c r="ET41" s="138">
        <f>SUMIFS(tbl_task1[S145],tbl_task1[[SubPLOs]:[SubPLOs]],"&gt;=8",tbl_task1[[SubPLOs]:[SubPLOs]],"&lt;9")</f>
        <v>0</v>
      </c>
      <c r="EU41" s="138">
        <f>SUMIFS(tbl_task1[S146],tbl_task1[[SubPLOs]:[SubPLOs]],"&gt;=8",tbl_task1[[SubPLOs]:[SubPLOs]],"&lt;9")</f>
        <v>0</v>
      </c>
      <c r="EV41" s="138">
        <f>SUMIFS(tbl_task1[S147],tbl_task1[[SubPLOs]:[SubPLOs]],"&gt;=8",tbl_task1[[SubPLOs]:[SubPLOs]],"&lt;9")</f>
        <v>0</v>
      </c>
      <c r="EW41" s="138">
        <f>SUMIFS(tbl_task1[S148],tbl_task1[[SubPLOs]:[SubPLOs]],"&gt;=8",tbl_task1[[SubPLOs]:[SubPLOs]],"&lt;9")</f>
        <v>0</v>
      </c>
      <c r="EX41" s="138">
        <f>SUMIFS(tbl_task1[S149],tbl_task1[[SubPLOs]:[SubPLOs]],"&gt;=8",tbl_task1[[SubPLOs]:[SubPLOs]],"&lt;9")</f>
        <v>0</v>
      </c>
      <c r="EY41" s="138">
        <f>SUMIFS(tbl_task1[S150],tbl_task1[[SubPLOs]:[SubPLOs]],"&gt;=8",tbl_task1[[SubPLOs]:[SubPLOs]],"&lt;9")</f>
        <v>0</v>
      </c>
      <c r="EZ41" s="138">
        <f>SUMIFS(tbl_task1[S151],tbl_task1[[SubPLOs]:[SubPLOs]],"&gt;=8",tbl_task1[[SubPLOs]:[SubPLOs]],"&lt;9")</f>
        <v>0</v>
      </c>
      <c r="FA41" s="138">
        <f>SUMIFS(tbl_task1[S152],tbl_task1[[SubPLOs]:[SubPLOs]],"&gt;=8",tbl_task1[[SubPLOs]:[SubPLOs]],"&lt;9")</f>
        <v>0</v>
      </c>
      <c r="FB41" s="138">
        <f>SUMIFS(tbl_task1[S153],tbl_task1[[SubPLOs]:[SubPLOs]],"&gt;=8",tbl_task1[[SubPLOs]:[SubPLOs]],"&lt;9")</f>
        <v>0</v>
      </c>
      <c r="FC41" s="138">
        <f>SUMIFS(tbl_task1[S154],tbl_task1[[SubPLOs]:[SubPLOs]],"&gt;=8",tbl_task1[[SubPLOs]:[SubPLOs]],"&lt;9")</f>
        <v>0</v>
      </c>
      <c r="FD41" s="138">
        <f>SUMIFS(tbl_task1[S155],tbl_task1[[SubPLOs]:[SubPLOs]],"&gt;=8",tbl_task1[[SubPLOs]:[SubPLOs]],"&lt;9")</f>
        <v>0</v>
      </c>
      <c r="FE41" s="138">
        <f>SUMIFS(tbl_task1[S156],tbl_task1[[SubPLOs]:[SubPLOs]],"&gt;=8",tbl_task1[[SubPLOs]:[SubPLOs]],"&lt;9")</f>
        <v>0</v>
      </c>
      <c r="FF41" s="138">
        <f>SUMIFS(tbl_task1[S157],tbl_task1[[SubPLOs]:[SubPLOs]],"&gt;=8",tbl_task1[[SubPLOs]:[SubPLOs]],"&lt;9")</f>
        <v>0</v>
      </c>
      <c r="FG41" s="138">
        <f>SUMIFS(tbl_task1[S158],tbl_task1[[SubPLOs]:[SubPLOs]],"&gt;=8",tbl_task1[[SubPLOs]:[SubPLOs]],"&lt;9")</f>
        <v>0</v>
      </c>
      <c r="FH41" s="138">
        <f>SUMIFS(tbl_task1[S159],tbl_task1[[SubPLOs]:[SubPLOs]],"&gt;=8",tbl_task1[[SubPLOs]:[SubPLOs]],"&lt;9")</f>
        <v>0</v>
      </c>
      <c r="FI41" s="138">
        <f>SUMIFS(tbl_task1[S160],tbl_task1[[SubPLOs]:[SubPLOs]],"&gt;=8",tbl_task1[[SubPLOs]:[SubPLOs]],"&lt;9")</f>
        <v>0</v>
      </c>
      <c r="FJ41" s="138">
        <f>SUMIFS(tbl_task1[S161],tbl_task1[[SubPLOs]:[SubPLOs]],"&gt;=8",tbl_task1[[SubPLOs]:[SubPLOs]],"&lt;9")</f>
        <v>0</v>
      </c>
      <c r="FK41" s="138">
        <f>SUMIFS(tbl_task1[S162],tbl_task1[[SubPLOs]:[SubPLOs]],"&gt;=8",tbl_task1[[SubPLOs]:[SubPLOs]],"&lt;9")</f>
        <v>0</v>
      </c>
      <c r="FL41" s="138">
        <f>SUMIFS(tbl_task1[S163],tbl_task1[[SubPLOs]:[SubPLOs]],"&gt;=8",tbl_task1[[SubPLOs]:[SubPLOs]],"&lt;9")</f>
        <v>0</v>
      </c>
      <c r="FM41" s="138">
        <f>SUMIFS(tbl_task1[S164],tbl_task1[[SubPLOs]:[SubPLOs]],"&gt;=8",tbl_task1[[SubPLOs]:[SubPLOs]],"&lt;9")</f>
        <v>0</v>
      </c>
      <c r="FN41" s="138">
        <f>SUMIFS(tbl_task1[S165],tbl_task1[[SubPLOs]:[SubPLOs]],"&gt;=8",tbl_task1[[SubPLOs]:[SubPLOs]],"&lt;9")</f>
        <v>0</v>
      </c>
    </row>
    <row r="42" spans="1:170" ht="63" x14ac:dyDescent="0.25">
      <c r="A42" s="135">
        <v>9</v>
      </c>
      <c r="B42" s="5" t="s">
        <v>442</v>
      </c>
      <c r="C42" s="136">
        <f>COUNTIFS(tbl_task1[SubPLOs],"&gt;=9",tbl_task1[SubPLOs],"&lt;10")</f>
        <v>0</v>
      </c>
      <c r="D42" s="136">
        <f>SUMIFS(tbl_task1[คะแนนเต็ม],tbl_task1[SubPLOs],"&gt;=9",tbl_task1[SubPLOs],"&lt;10")</f>
        <v>0</v>
      </c>
      <c r="E42" s="137">
        <f>SUMIFS(tbl_task1[%],tbl_task1[SubPLOs],"&gt;=9",tbl_task1[SubPLOs],"&lt;10")</f>
        <v>0</v>
      </c>
      <c r="F42" s="138">
        <f>SUMIFS(tbl_task1[S1],tbl_task1[[SubPLOs]:[SubPLOs]],"&gt;=9",tbl_task1[[SubPLOs]:[SubPLOs]],"&lt;10")</f>
        <v>0</v>
      </c>
      <c r="G42" s="138">
        <f>SUMIFS(tbl_task1[S2],tbl_task1[[SubPLOs]:[SubPLOs]],"&gt;=9",tbl_task1[[SubPLOs]:[SubPLOs]],"&lt;10")</f>
        <v>0</v>
      </c>
      <c r="H42" s="138">
        <f>SUMIFS(tbl_task1[S3],tbl_task1[[SubPLOs]:[SubPLOs]],"&gt;=9",tbl_task1[[SubPLOs]:[SubPLOs]],"&lt;10")</f>
        <v>0</v>
      </c>
      <c r="I42" s="138">
        <f>SUMIFS(tbl_task1[S4],tbl_task1[[SubPLOs]:[SubPLOs]],"&gt;=9",tbl_task1[[SubPLOs]:[SubPLOs]],"&lt;10")</f>
        <v>0</v>
      </c>
      <c r="J42" s="138">
        <f>SUMIFS(tbl_task1[S5],tbl_task1[[SubPLOs]:[SubPLOs]],"&gt;=9",tbl_task1[[SubPLOs]:[SubPLOs]],"&lt;10")</f>
        <v>0</v>
      </c>
      <c r="K42" s="138">
        <f>SUMIFS(tbl_task1[S6],tbl_task1[[SubPLOs]:[SubPLOs]],"&gt;=9",tbl_task1[[SubPLOs]:[SubPLOs]],"&lt;10")</f>
        <v>0</v>
      </c>
      <c r="L42" s="138">
        <f>SUMIFS(tbl_task1[S7],tbl_task1[[SubPLOs]:[SubPLOs]],"&gt;=9",tbl_task1[[SubPLOs]:[SubPLOs]],"&lt;10")</f>
        <v>0</v>
      </c>
      <c r="M42" s="138">
        <f>SUMIFS(tbl_task1[S8],tbl_task1[[SubPLOs]:[SubPLOs]],"&gt;=9",tbl_task1[[SubPLOs]:[SubPLOs]],"&lt;10")</f>
        <v>0</v>
      </c>
      <c r="N42" s="138">
        <f>SUMIFS(tbl_task1[S9],tbl_task1[[SubPLOs]:[SubPLOs]],"&gt;=9",tbl_task1[[SubPLOs]:[SubPLOs]],"&lt;10")</f>
        <v>0</v>
      </c>
      <c r="O42" s="138">
        <f>SUMIFS(tbl_task1[S10],tbl_task1[[SubPLOs]:[SubPLOs]],"&gt;=9",tbl_task1[[SubPLOs]:[SubPLOs]],"&lt;10")</f>
        <v>0</v>
      </c>
      <c r="P42" s="138">
        <f>SUMIFS(tbl_task1[S11],tbl_task1[[SubPLOs]:[SubPLOs]],"&gt;=9",tbl_task1[[SubPLOs]:[SubPLOs]],"&lt;10")</f>
        <v>0</v>
      </c>
      <c r="Q42" s="138">
        <f>SUMIFS(tbl_task1[S12],tbl_task1[[SubPLOs]:[SubPLOs]],"&gt;=9",tbl_task1[[SubPLOs]:[SubPLOs]],"&lt;10")</f>
        <v>0</v>
      </c>
      <c r="R42" s="138">
        <f>SUMIFS(tbl_task1[S13],tbl_task1[[SubPLOs]:[SubPLOs]],"&gt;=9",tbl_task1[[SubPLOs]:[SubPLOs]],"&lt;10")</f>
        <v>0</v>
      </c>
      <c r="S42" s="138">
        <f>SUMIFS(tbl_task1[S14],tbl_task1[[SubPLOs]:[SubPLOs]],"&gt;=9",tbl_task1[[SubPLOs]:[SubPLOs]],"&lt;10")</f>
        <v>0</v>
      </c>
      <c r="T42" s="138">
        <f>SUMIFS(tbl_task1[S15],tbl_task1[[SubPLOs]:[SubPLOs]],"&gt;=9",tbl_task1[[SubPLOs]:[SubPLOs]],"&lt;10")</f>
        <v>0</v>
      </c>
      <c r="U42" s="138">
        <f>SUMIFS(tbl_task1[S16],tbl_task1[[SubPLOs]:[SubPLOs]],"&gt;=9",tbl_task1[[SubPLOs]:[SubPLOs]],"&lt;10")</f>
        <v>0</v>
      </c>
      <c r="V42" s="138">
        <f>SUMIFS(tbl_task1[S17],tbl_task1[[SubPLOs]:[SubPLOs]],"&gt;=9",tbl_task1[[SubPLOs]:[SubPLOs]],"&lt;10")</f>
        <v>0</v>
      </c>
      <c r="W42" s="138">
        <f>SUMIFS(tbl_task1[S18],tbl_task1[[SubPLOs]:[SubPLOs]],"&gt;=9",tbl_task1[[SubPLOs]:[SubPLOs]],"&lt;10")</f>
        <v>0</v>
      </c>
      <c r="X42" s="138">
        <f>SUMIFS(tbl_task1[S19],tbl_task1[[SubPLOs]:[SubPLOs]],"&gt;=9",tbl_task1[[SubPLOs]:[SubPLOs]],"&lt;10")</f>
        <v>0</v>
      </c>
      <c r="Y42" s="138">
        <f>SUMIFS(tbl_task1[S20],tbl_task1[[SubPLOs]:[SubPLOs]],"&gt;=9",tbl_task1[[SubPLOs]:[SubPLOs]],"&lt;10")</f>
        <v>0</v>
      </c>
      <c r="Z42" s="138">
        <f>SUMIFS(tbl_task1[S21],tbl_task1[[SubPLOs]:[SubPLOs]],"&gt;=9",tbl_task1[[SubPLOs]:[SubPLOs]],"&lt;10")</f>
        <v>0</v>
      </c>
      <c r="AA42" s="138">
        <f>SUMIFS(tbl_task1[S22],tbl_task1[[SubPLOs]:[SubPLOs]],"&gt;=9",tbl_task1[[SubPLOs]:[SubPLOs]],"&lt;10")</f>
        <v>0</v>
      </c>
      <c r="AB42" s="138">
        <f>SUMIFS(tbl_task1[S23],tbl_task1[[SubPLOs]:[SubPLOs]],"&gt;=9",tbl_task1[[SubPLOs]:[SubPLOs]],"&lt;10")</f>
        <v>0</v>
      </c>
      <c r="AC42" s="138">
        <f>SUMIFS(tbl_task1[S24],tbl_task1[[SubPLOs]:[SubPLOs]],"&gt;=9",tbl_task1[[SubPLOs]:[SubPLOs]],"&lt;10")</f>
        <v>0</v>
      </c>
      <c r="AD42" s="138">
        <f>SUMIFS(tbl_task1[S25],tbl_task1[[SubPLOs]:[SubPLOs]],"&gt;=9",tbl_task1[[SubPLOs]:[SubPLOs]],"&lt;10")</f>
        <v>0</v>
      </c>
      <c r="AE42" s="138">
        <f>SUMIFS(tbl_task1[S26],tbl_task1[[SubPLOs]:[SubPLOs]],"&gt;=9",tbl_task1[[SubPLOs]:[SubPLOs]],"&lt;10")</f>
        <v>0</v>
      </c>
      <c r="AF42" s="138">
        <f>SUMIFS(tbl_task1[S27],tbl_task1[[SubPLOs]:[SubPLOs]],"&gt;=9",tbl_task1[[SubPLOs]:[SubPLOs]],"&lt;10")</f>
        <v>0</v>
      </c>
      <c r="AG42" s="138">
        <f>SUMIFS(tbl_task1[S28],tbl_task1[[SubPLOs]:[SubPLOs]],"&gt;=9",tbl_task1[[SubPLOs]:[SubPLOs]],"&lt;10")</f>
        <v>0</v>
      </c>
      <c r="AH42" s="138">
        <f>SUMIFS(tbl_task1[S29],tbl_task1[[SubPLOs]:[SubPLOs]],"&gt;=9",tbl_task1[[SubPLOs]:[SubPLOs]],"&lt;10")</f>
        <v>0</v>
      </c>
      <c r="AI42" s="138">
        <f>SUMIFS(tbl_task1[S30],tbl_task1[[SubPLOs]:[SubPLOs]],"&gt;=9",tbl_task1[[SubPLOs]:[SubPLOs]],"&lt;10")</f>
        <v>0</v>
      </c>
      <c r="AJ42" s="138">
        <f>SUMIFS(tbl_task1[S31],tbl_task1[[SubPLOs]:[SubPLOs]],"&gt;=9",tbl_task1[[SubPLOs]:[SubPLOs]],"&lt;10")</f>
        <v>0</v>
      </c>
      <c r="AK42" s="138">
        <f>SUMIFS(tbl_task1[S32],tbl_task1[[SubPLOs]:[SubPLOs]],"&gt;=9",tbl_task1[[SubPLOs]:[SubPLOs]],"&lt;10")</f>
        <v>0</v>
      </c>
      <c r="AL42" s="138">
        <f>SUMIFS(tbl_task1[S33],tbl_task1[[SubPLOs]:[SubPLOs]],"&gt;=9",tbl_task1[[SubPLOs]:[SubPLOs]],"&lt;10")</f>
        <v>0</v>
      </c>
      <c r="AM42" s="138">
        <f>SUMIFS(tbl_task1[S34],tbl_task1[[SubPLOs]:[SubPLOs]],"&gt;=9",tbl_task1[[SubPLOs]:[SubPLOs]],"&lt;10")</f>
        <v>0</v>
      </c>
      <c r="AN42" s="138">
        <f>SUMIFS(tbl_task1[S35],tbl_task1[[SubPLOs]:[SubPLOs]],"&gt;=9",tbl_task1[[SubPLOs]:[SubPLOs]],"&lt;10")</f>
        <v>0</v>
      </c>
      <c r="AO42" s="138">
        <f>SUMIFS(tbl_task1[S36],tbl_task1[[SubPLOs]:[SubPLOs]],"&gt;=9",tbl_task1[[SubPLOs]:[SubPLOs]],"&lt;10")</f>
        <v>0</v>
      </c>
      <c r="AP42" s="138">
        <f>SUMIFS(tbl_task1[S37],tbl_task1[[SubPLOs]:[SubPLOs]],"&gt;=9",tbl_task1[[SubPLOs]:[SubPLOs]],"&lt;10")</f>
        <v>0</v>
      </c>
      <c r="AQ42" s="138">
        <f>SUMIFS(tbl_task1[S38],tbl_task1[[SubPLOs]:[SubPLOs]],"&gt;=9",tbl_task1[[SubPLOs]:[SubPLOs]],"&lt;10")</f>
        <v>0</v>
      </c>
      <c r="AR42" s="138">
        <f>SUMIFS(tbl_task1[S39],tbl_task1[[SubPLOs]:[SubPLOs]],"&gt;=9",tbl_task1[[SubPLOs]:[SubPLOs]],"&lt;10")</f>
        <v>0</v>
      </c>
      <c r="AS42" s="138">
        <f>SUMIFS(tbl_task1[S40],tbl_task1[[SubPLOs]:[SubPLOs]],"&gt;=9",tbl_task1[[SubPLOs]:[SubPLOs]],"&lt;10")</f>
        <v>0</v>
      </c>
      <c r="AT42" s="138">
        <f>SUMIFS(tbl_task1[S41],tbl_task1[[SubPLOs]:[SubPLOs]],"&gt;=9",tbl_task1[[SubPLOs]:[SubPLOs]],"&lt;10")</f>
        <v>0</v>
      </c>
      <c r="AU42" s="138">
        <f>SUMIFS(tbl_task1[S42],tbl_task1[[SubPLOs]:[SubPLOs]],"&gt;=9",tbl_task1[[SubPLOs]:[SubPLOs]],"&lt;10")</f>
        <v>0</v>
      </c>
      <c r="AV42" s="138">
        <f>SUMIFS(tbl_task1[S43],tbl_task1[[SubPLOs]:[SubPLOs]],"&gt;=9",tbl_task1[[SubPLOs]:[SubPLOs]],"&lt;10")</f>
        <v>0</v>
      </c>
      <c r="AW42" s="138">
        <f>SUMIFS(tbl_task1[S44],tbl_task1[[SubPLOs]:[SubPLOs]],"&gt;=9",tbl_task1[[SubPLOs]:[SubPLOs]],"&lt;10")</f>
        <v>0</v>
      </c>
      <c r="AX42" s="138">
        <f>SUMIFS(tbl_task1[S45],tbl_task1[[SubPLOs]:[SubPLOs]],"&gt;=9",tbl_task1[[SubPLOs]:[SubPLOs]],"&lt;10")</f>
        <v>0</v>
      </c>
      <c r="AY42" s="138">
        <f>SUMIFS(tbl_task1[S46],tbl_task1[[SubPLOs]:[SubPLOs]],"&gt;=9",tbl_task1[[SubPLOs]:[SubPLOs]],"&lt;10")</f>
        <v>0</v>
      </c>
      <c r="AZ42" s="138">
        <f>SUMIFS(tbl_task1[S47],tbl_task1[[SubPLOs]:[SubPLOs]],"&gt;=9",tbl_task1[[SubPLOs]:[SubPLOs]],"&lt;10")</f>
        <v>0</v>
      </c>
      <c r="BA42" s="138">
        <f>SUMIFS(tbl_task1[S48],tbl_task1[[SubPLOs]:[SubPLOs]],"&gt;=9",tbl_task1[[SubPLOs]:[SubPLOs]],"&lt;10")</f>
        <v>0</v>
      </c>
      <c r="BB42" s="138">
        <f>SUMIFS(tbl_task1[S49],tbl_task1[[SubPLOs]:[SubPLOs]],"&gt;=9",tbl_task1[[SubPLOs]:[SubPLOs]],"&lt;10")</f>
        <v>0</v>
      </c>
      <c r="BC42" s="138">
        <f>SUMIFS(tbl_task1[S50],tbl_task1[[SubPLOs]:[SubPLOs]],"&gt;=9",tbl_task1[[SubPLOs]:[SubPLOs]],"&lt;10")</f>
        <v>0</v>
      </c>
      <c r="BD42" s="138">
        <f>SUMIFS(tbl_task1[S51],tbl_task1[[SubPLOs]:[SubPLOs]],"&gt;=9",tbl_task1[[SubPLOs]:[SubPLOs]],"&lt;10")</f>
        <v>0</v>
      </c>
      <c r="BE42" s="138">
        <f>SUMIFS(tbl_task1[S52],tbl_task1[[SubPLOs]:[SubPLOs]],"&gt;=9",tbl_task1[[SubPLOs]:[SubPLOs]],"&lt;10")</f>
        <v>0</v>
      </c>
      <c r="BF42" s="138">
        <f>SUMIFS(tbl_task1[S53],tbl_task1[[SubPLOs]:[SubPLOs]],"&gt;=9",tbl_task1[[SubPLOs]:[SubPLOs]],"&lt;10")</f>
        <v>0</v>
      </c>
      <c r="BG42" s="138">
        <f>SUMIFS(tbl_task1[S54],tbl_task1[[SubPLOs]:[SubPLOs]],"&gt;=9",tbl_task1[[SubPLOs]:[SubPLOs]],"&lt;10")</f>
        <v>0</v>
      </c>
      <c r="BH42" s="138">
        <f>SUMIFS(tbl_task1[S55],tbl_task1[[SubPLOs]:[SubPLOs]],"&gt;=9",tbl_task1[[SubPLOs]:[SubPLOs]],"&lt;10")</f>
        <v>0</v>
      </c>
      <c r="BI42" s="138">
        <f>SUMIFS(tbl_task1[S56],tbl_task1[[SubPLOs]:[SubPLOs]],"&gt;=9",tbl_task1[[SubPLOs]:[SubPLOs]],"&lt;10")</f>
        <v>0</v>
      </c>
      <c r="BJ42" s="138">
        <f>SUMIFS(tbl_task1[S57],tbl_task1[[SubPLOs]:[SubPLOs]],"&gt;=9",tbl_task1[[SubPLOs]:[SubPLOs]],"&lt;10")</f>
        <v>0</v>
      </c>
      <c r="BK42" s="138">
        <f>SUMIFS(tbl_task1[S58],tbl_task1[[SubPLOs]:[SubPLOs]],"&gt;=9",tbl_task1[[SubPLOs]:[SubPLOs]],"&lt;10")</f>
        <v>0</v>
      </c>
      <c r="BL42" s="138">
        <f>SUMIFS(tbl_task1[S59],tbl_task1[[SubPLOs]:[SubPLOs]],"&gt;=9",tbl_task1[[SubPLOs]:[SubPLOs]],"&lt;10")</f>
        <v>0</v>
      </c>
      <c r="BM42" s="138">
        <f>SUMIFS(tbl_task1[S60],tbl_task1[[SubPLOs]:[SubPLOs]],"&gt;=9",tbl_task1[[SubPLOs]:[SubPLOs]],"&lt;10")</f>
        <v>0</v>
      </c>
      <c r="BN42" s="138">
        <f>SUMIFS(tbl_task1[S61],tbl_task1[[SubPLOs]:[SubPLOs]],"&gt;=9",tbl_task1[[SubPLOs]:[SubPLOs]],"&lt;10")</f>
        <v>0</v>
      </c>
      <c r="BO42" s="138">
        <f>SUMIFS(tbl_task1[S62],tbl_task1[[SubPLOs]:[SubPLOs]],"&gt;=9",tbl_task1[[SubPLOs]:[SubPLOs]],"&lt;10")</f>
        <v>0</v>
      </c>
      <c r="BP42" s="138">
        <f>SUMIFS(tbl_task1[S63],tbl_task1[[SubPLOs]:[SubPLOs]],"&gt;=9",tbl_task1[[SubPLOs]:[SubPLOs]],"&lt;10")</f>
        <v>0</v>
      </c>
      <c r="BQ42" s="138">
        <f>SUMIFS(tbl_task1[S64],tbl_task1[[SubPLOs]:[SubPLOs]],"&gt;=9",tbl_task1[[SubPLOs]:[SubPLOs]],"&lt;10")</f>
        <v>0</v>
      </c>
      <c r="BR42" s="138">
        <f>SUMIFS(tbl_task1[S65],tbl_task1[[SubPLOs]:[SubPLOs]],"&gt;=9",tbl_task1[[SubPLOs]:[SubPLOs]],"&lt;10")</f>
        <v>0</v>
      </c>
      <c r="BS42" s="138">
        <f>SUMIFS(tbl_task1[S66],tbl_task1[[SubPLOs]:[SubPLOs]],"&gt;=9",tbl_task1[[SubPLOs]:[SubPLOs]],"&lt;10")</f>
        <v>0</v>
      </c>
      <c r="BT42" s="138">
        <f>SUMIFS(tbl_task1[S67],tbl_task1[[SubPLOs]:[SubPLOs]],"&gt;=9",tbl_task1[[SubPLOs]:[SubPLOs]],"&lt;10")</f>
        <v>0</v>
      </c>
      <c r="BU42" s="138">
        <f>SUMIFS(tbl_task1[S68],tbl_task1[[SubPLOs]:[SubPLOs]],"&gt;=9",tbl_task1[[SubPLOs]:[SubPLOs]],"&lt;10")</f>
        <v>0</v>
      </c>
      <c r="BV42" s="138">
        <f>SUMIFS(tbl_task1[S69],tbl_task1[[SubPLOs]:[SubPLOs]],"&gt;=9",tbl_task1[[SubPLOs]:[SubPLOs]],"&lt;10")</f>
        <v>0</v>
      </c>
      <c r="BW42" s="138">
        <f>SUMIFS(tbl_task1[S70],tbl_task1[[SubPLOs]:[SubPLOs]],"&gt;=9",tbl_task1[[SubPLOs]:[SubPLOs]],"&lt;10")</f>
        <v>0</v>
      </c>
      <c r="BX42" s="138">
        <f>SUMIFS(tbl_task1[S71],tbl_task1[[SubPLOs]:[SubPLOs]],"&gt;=9",tbl_task1[[SubPLOs]:[SubPLOs]],"&lt;10")</f>
        <v>0</v>
      </c>
      <c r="BY42" s="138">
        <f>SUMIFS(tbl_task1[S72],tbl_task1[[SubPLOs]:[SubPLOs]],"&gt;=9",tbl_task1[[SubPLOs]:[SubPLOs]],"&lt;10")</f>
        <v>0</v>
      </c>
      <c r="BZ42" s="138">
        <f>SUMIFS(tbl_task1[S73],tbl_task1[[SubPLOs]:[SubPLOs]],"&gt;=9",tbl_task1[[SubPLOs]:[SubPLOs]],"&lt;10")</f>
        <v>0</v>
      </c>
      <c r="CA42" s="138">
        <f>SUMIFS(tbl_task1[S74],tbl_task1[[SubPLOs]:[SubPLOs]],"&gt;=9",tbl_task1[[SubPLOs]:[SubPLOs]],"&lt;10")</f>
        <v>0</v>
      </c>
      <c r="CB42" s="138">
        <f>SUMIFS(tbl_task1[S75],tbl_task1[[SubPLOs]:[SubPLOs]],"&gt;=9",tbl_task1[[SubPLOs]:[SubPLOs]],"&lt;10")</f>
        <v>0</v>
      </c>
      <c r="CC42" s="138">
        <f>SUMIFS(tbl_task1[S76],tbl_task1[[SubPLOs]:[SubPLOs]],"&gt;=9",tbl_task1[[SubPLOs]:[SubPLOs]],"&lt;10")</f>
        <v>0</v>
      </c>
      <c r="CD42" s="138">
        <f>SUMIFS(tbl_task1[S77],tbl_task1[[SubPLOs]:[SubPLOs]],"&gt;=9",tbl_task1[[SubPLOs]:[SubPLOs]],"&lt;10")</f>
        <v>0</v>
      </c>
      <c r="CE42" s="138">
        <f>SUMIFS(tbl_task1[S78],tbl_task1[[SubPLOs]:[SubPLOs]],"&gt;=9",tbl_task1[[SubPLOs]:[SubPLOs]],"&lt;10")</f>
        <v>0</v>
      </c>
      <c r="CF42" s="138">
        <f>SUMIFS(tbl_task1[S79],tbl_task1[[SubPLOs]:[SubPLOs]],"&gt;=9",tbl_task1[[SubPLOs]:[SubPLOs]],"&lt;10")</f>
        <v>0</v>
      </c>
      <c r="CG42" s="138">
        <f>SUMIFS(tbl_task1[S80],tbl_task1[[SubPLOs]:[SubPLOs]],"&gt;=9",tbl_task1[[SubPLOs]:[SubPLOs]],"&lt;10")</f>
        <v>0</v>
      </c>
      <c r="CH42" s="138">
        <f>SUMIFS(tbl_task1[S81],tbl_task1[[SubPLOs]:[SubPLOs]],"&gt;=9",tbl_task1[[SubPLOs]:[SubPLOs]],"&lt;10")</f>
        <v>0</v>
      </c>
      <c r="CI42" s="138">
        <f>SUMIFS(tbl_task1[S82],tbl_task1[[SubPLOs]:[SubPLOs]],"&gt;=9",tbl_task1[[SubPLOs]:[SubPLOs]],"&lt;10")</f>
        <v>0</v>
      </c>
      <c r="CJ42" s="138">
        <f>SUMIFS(tbl_task1[S83],tbl_task1[[SubPLOs]:[SubPLOs]],"&gt;=9",tbl_task1[[SubPLOs]:[SubPLOs]],"&lt;10")</f>
        <v>0</v>
      </c>
      <c r="CK42" s="138">
        <f>SUMIFS(tbl_task1[S84],tbl_task1[[SubPLOs]:[SubPLOs]],"&gt;=9",tbl_task1[[SubPLOs]:[SubPLOs]],"&lt;10")</f>
        <v>0</v>
      </c>
      <c r="CL42" s="138">
        <f>SUMIFS(tbl_task1[S85],tbl_task1[[SubPLOs]:[SubPLOs]],"&gt;=9",tbl_task1[[SubPLOs]:[SubPLOs]],"&lt;10")</f>
        <v>0</v>
      </c>
      <c r="CM42" s="138">
        <f>SUMIFS(tbl_task1[S86],tbl_task1[[SubPLOs]:[SubPLOs]],"&gt;=9",tbl_task1[[SubPLOs]:[SubPLOs]],"&lt;10")</f>
        <v>0</v>
      </c>
      <c r="CN42" s="138">
        <f>SUMIFS(tbl_task1[S87],tbl_task1[[SubPLOs]:[SubPLOs]],"&gt;=9",tbl_task1[[SubPLOs]:[SubPLOs]],"&lt;10")</f>
        <v>0</v>
      </c>
      <c r="CO42" s="138">
        <f>SUMIFS(tbl_task1[S88],tbl_task1[[SubPLOs]:[SubPLOs]],"&gt;=9",tbl_task1[[SubPLOs]:[SubPLOs]],"&lt;10")</f>
        <v>0</v>
      </c>
      <c r="CP42" s="138">
        <f>SUMIFS(tbl_task1[S89],tbl_task1[[SubPLOs]:[SubPLOs]],"&gt;=9",tbl_task1[[SubPLOs]:[SubPLOs]],"&lt;10")</f>
        <v>0</v>
      </c>
      <c r="CQ42" s="138">
        <f>SUMIFS(tbl_task1[S90],tbl_task1[[SubPLOs]:[SubPLOs]],"&gt;=9",tbl_task1[[SubPLOs]:[SubPLOs]],"&lt;10")</f>
        <v>0</v>
      </c>
      <c r="CR42" s="138">
        <f>SUMIFS(tbl_task1[S91],tbl_task1[[SubPLOs]:[SubPLOs]],"&gt;=9",tbl_task1[[SubPLOs]:[SubPLOs]],"&lt;10")</f>
        <v>0</v>
      </c>
      <c r="CS42" s="138">
        <f>SUMIFS(tbl_task1[S92],tbl_task1[[SubPLOs]:[SubPLOs]],"&gt;=9",tbl_task1[[SubPLOs]:[SubPLOs]],"&lt;10")</f>
        <v>0</v>
      </c>
      <c r="CT42" s="138">
        <f>SUMIFS(tbl_task1[S93],tbl_task1[[SubPLOs]:[SubPLOs]],"&gt;=9",tbl_task1[[SubPLOs]:[SubPLOs]],"&lt;10")</f>
        <v>0</v>
      </c>
      <c r="CU42" s="138">
        <f>SUMIFS(tbl_task1[S94],tbl_task1[[SubPLOs]:[SubPLOs]],"&gt;=9",tbl_task1[[SubPLOs]:[SubPLOs]],"&lt;10")</f>
        <v>0</v>
      </c>
      <c r="CV42" s="138">
        <f>SUMIFS(tbl_task1[S95],tbl_task1[[SubPLOs]:[SubPLOs]],"&gt;=9",tbl_task1[[SubPLOs]:[SubPLOs]],"&lt;10")</f>
        <v>0</v>
      </c>
      <c r="CW42" s="138">
        <f>SUMIFS(tbl_task1[S96],tbl_task1[[SubPLOs]:[SubPLOs]],"&gt;=9",tbl_task1[[SubPLOs]:[SubPLOs]],"&lt;10")</f>
        <v>0</v>
      </c>
      <c r="CX42" s="138">
        <f>SUMIFS(tbl_task1[S97],tbl_task1[[SubPLOs]:[SubPLOs]],"&gt;=9",tbl_task1[[SubPLOs]:[SubPLOs]],"&lt;10")</f>
        <v>0</v>
      </c>
      <c r="CY42" s="138">
        <f>SUMIFS(tbl_task1[S98],tbl_task1[[SubPLOs]:[SubPLOs]],"&gt;=9",tbl_task1[[SubPLOs]:[SubPLOs]],"&lt;10")</f>
        <v>0</v>
      </c>
      <c r="CZ42" s="138">
        <f>SUMIFS(tbl_task1[S99],tbl_task1[[SubPLOs]:[SubPLOs]],"&gt;=9",tbl_task1[[SubPLOs]:[SubPLOs]],"&lt;10")</f>
        <v>0</v>
      </c>
      <c r="DA42" s="138">
        <f>SUMIFS(tbl_task1[S100],tbl_task1[[SubPLOs]:[SubPLOs]],"&gt;=9",tbl_task1[[SubPLOs]:[SubPLOs]],"&lt;10")</f>
        <v>0</v>
      </c>
      <c r="DB42" s="138">
        <f>SUMIFS(tbl_task1[S101],tbl_task1[[SubPLOs]:[SubPLOs]],"&gt;=9",tbl_task1[[SubPLOs]:[SubPLOs]],"&lt;10")</f>
        <v>0</v>
      </c>
      <c r="DC42" s="138">
        <f>SUMIFS(tbl_task1[S102],tbl_task1[[SubPLOs]:[SubPLOs]],"&gt;=9",tbl_task1[[SubPLOs]:[SubPLOs]],"&lt;10")</f>
        <v>0</v>
      </c>
      <c r="DD42" s="138">
        <f>SUMIFS(tbl_task1[S103],tbl_task1[[SubPLOs]:[SubPLOs]],"&gt;=9",tbl_task1[[SubPLOs]:[SubPLOs]],"&lt;10")</f>
        <v>0</v>
      </c>
      <c r="DE42" s="138">
        <f>SUMIFS(tbl_task1[S104],tbl_task1[[SubPLOs]:[SubPLOs]],"&gt;=9",tbl_task1[[SubPLOs]:[SubPLOs]],"&lt;10")</f>
        <v>0</v>
      </c>
      <c r="DF42" s="138">
        <f>SUMIFS(tbl_task1[S105],tbl_task1[[SubPLOs]:[SubPLOs]],"&gt;=9",tbl_task1[[SubPLOs]:[SubPLOs]],"&lt;10")</f>
        <v>0</v>
      </c>
      <c r="DG42" s="138">
        <f>SUMIFS(tbl_task1[S106],tbl_task1[[SubPLOs]:[SubPLOs]],"&gt;=9",tbl_task1[[SubPLOs]:[SubPLOs]],"&lt;10")</f>
        <v>0</v>
      </c>
      <c r="DH42" s="138">
        <f>SUMIFS(tbl_task1[S106],tbl_task1[[SubPLOs]:[SubPLOs]],"&gt;=9",tbl_task1[[SubPLOs]:[SubPLOs]],"&lt;10")</f>
        <v>0</v>
      </c>
      <c r="DI42" s="138">
        <f>SUMIFS(tbl_task1[S108],tbl_task1[[SubPLOs]:[SubPLOs]],"&gt;=9",tbl_task1[[SubPLOs]:[SubPLOs]],"&lt;10")</f>
        <v>0</v>
      </c>
      <c r="DJ42" s="138">
        <f>SUMIFS(tbl_task1[S109],tbl_task1[[SubPLOs]:[SubPLOs]],"&gt;=9",tbl_task1[[SubPLOs]:[SubPLOs]],"&lt;10")</f>
        <v>0</v>
      </c>
      <c r="DK42" s="138">
        <f>SUMIFS(tbl_task1[S110],tbl_task1[[SubPLOs]:[SubPLOs]],"&gt;=9",tbl_task1[[SubPLOs]:[SubPLOs]],"&lt;10")</f>
        <v>0</v>
      </c>
      <c r="DL42" s="138">
        <f>SUMIFS(tbl_task1[S111],tbl_task1[[SubPLOs]:[SubPLOs]],"&gt;=9",tbl_task1[[SubPLOs]:[SubPLOs]],"&lt;10")</f>
        <v>0</v>
      </c>
      <c r="DM42" s="138">
        <f>SUMIFS(tbl_task1[S112],tbl_task1[[SubPLOs]:[SubPLOs]],"&gt;=9",tbl_task1[[SubPLOs]:[SubPLOs]],"&lt;10")</f>
        <v>0</v>
      </c>
      <c r="DN42" s="138">
        <f>SUMIFS(tbl_task1[S113],tbl_task1[[SubPLOs]:[SubPLOs]],"&gt;=9",tbl_task1[[SubPLOs]:[SubPLOs]],"&lt;10")</f>
        <v>0</v>
      </c>
      <c r="DO42" s="138">
        <f>SUMIFS(tbl_task1[S114],tbl_task1[[SubPLOs]:[SubPLOs]],"&gt;=9",tbl_task1[[SubPLOs]:[SubPLOs]],"&lt;10")</f>
        <v>0</v>
      </c>
      <c r="DP42" s="138">
        <f>SUMIFS(tbl_task1[S115],tbl_task1[[SubPLOs]:[SubPLOs]],"&gt;=9",tbl_task1[[SubPLOs]:[SubPLOs]],"&lt;10")</f>
        <v>0</v>
      </c>
      <c r="DQ42" s="138">
        <f>SUMIFS(tbl_task1[S116],tbl_task1[[SubPLOs]:[SubPLOs]],"&gt;=9",tbl_task1[[SubPLOs]:[SubPLOs]],"&lt;10")</f>
        <v>0</v>
      </c>
      <c r="DR42" s="138">
        <f>SUMIFS(tbl_task1[S117],tbl_task1[[SubPLOs]:[SubPLOs]],"&gt;=9",tbl_task1[[SubPLOs]:[SubPLOs]],"&lt;10")</f>
        <v>0</v>
      </c>
      <c r="DS42" s="138">
        <f>SUMIFS(tbl_task1[S118],tbl_task1[[SubPLOs]:[SubPLOs]],"&gt;=9",tbl_task1[[SubPLOs]:[SubPLOs]],"&lt;10")</f>
        <v>0</v>
      </c>
      <c r="DT42" s="138">
        <f>SUMIFS(tbl_task1[S119],tbl_task1[[SubPLOs]:[SubPLOs]],"&gt;=9",tbl_task1[[SubPLOs]:[SubPLOs]],"&lt;10")</f>
        <v>0</v>
      </c>
      <c r="DU42" s="138">
        <f>SUMIFS(tbl_task1[S120],tbl_task1[[SubPLOs]:[SubPLOs]],"&gt;=9",tbl_task1[[SubPLOs]:[SubPLOs]],"&lt;10")</f>
        <v>0</v>
      </c>
      <c r="DV42" s="138">
        <f>SUMIFS(tbl_task1[S121],tbl_task1[[SubPLOs]:[SubPLOs]],"&gt;=9",tbl_task1[[SubPLOs]:[SubPLOs]],"&lt;10")</f>
        <v>0</v>
      </c>
      <c r="DW42" s="138">
        <f>SUMIFS(tbl_task1[S122],tbl_task1[[SubPLOs]:[SubPLOs]],"&gt;=9",tbl_task1[[SubPLOs]:[SubPLOs]],"&lt;10")</f>
        <v>0</v>
      </c>
      <c r="DX42" s="138">
        <f>SUMIFS(tbl_task1[S123],tbl_task1[[SubPLOs]:[SubPLOs]],"&gt;=9",tbl_task1[[SubPLOs]:[SubPLOs]],"&lt;10")</f>
        <v>0</v>
      </c>
      <c r="DY42" s="138">
        <f>SUMIFS(tbl_task1[S124],tbl_task1[[SubPLOs]:[SubPLOs]],"&gt;=9",tbl_task1[[SubPLOs]:[SubPLOs]],"&lt;10")</f>
        <v>0</v>
      </c>
      <c r="DZ42" s="138">
        <f>SUMIFS(tbl_task1[S125],tbl_task1[[SubPLOs]:[SubPLOs]],"&gt;=9",tbl_task1[[SubPLOs]:[SubPLOs]],"&lt;10")</f>
        <v>0</v>
      </c>
      <c r="EA42" s="138">
        <f>SUMIFS(tbl_task1[S126],tbl_task1[[SubPLOs]:[SubPLOs]],"&gt;=9",tbl_task1[[SubPLOs]:[SubPLOs]],"&lt;10")</f>
        <v>0</v>
      </c>
      <c r="EB42" s="138">
        <f>SUMIFS(tbl_task1[S127],tbl_task1[[SubPLOs]:[SubPLOs]],"&gt;=9",tbl_task1[[SubPLOs]:[SubPLOs]],"&lt;10")</f>
        <v>0</v>
      </c>
      <c r="EC42" s="138">
        <f>SUMIFS(tbl_task1[S128],tbl_task1[[SubPLOs]:[SubPLOs]],"&gt;=9",tbl_task1[[SubPLOs]:[SubPLOs]],"&lt;10")</f>
        <v>0</v>
      </c>
      <c r="ED42" s="138">
        <f>SUMIFS(tbl_task1[S129],tbl_task1[[SubPLOs]:[SubPLOs]],"&gt;=9",tbl_task1[[SubPLOs]:[SubPLOs]],"&lt;10")</f>
        <v>0</v>
      </c>
      <c r="EE42" s="138">
        <f>SUMIFS(tbl_task1[S130],tbl_task1[[SubPLOs]:[SubPLOs]],"&gt;=9",tbl_task1[[SubPLOs]:[SubPLOs]],"&lt;10")</f>
        <v>0</v>
      </c>
      <c r="EF42" s="138">
        <f>SUMIFS(tbl_task1[S131],tbl_task1[[SubPLOs]:[SubPLOs]],"&gt;=9",tbl_task1[[SubPLOs]:[SubPLOs]],"&lt;10")</f>
        <v>0</v>
      </c>
      <c r="EG42" s="138">
        <f>SUMIFS(tbl_task1[S132],tbl_task1[[SubPLOs]:[SubPLOs]],"&gt;=9",tbl_task1[[SubPLOs]:[SubPLOs]],"&lt;10")</f>
        <v>0</v>
      </c>
      <c r="EH42" s="138">
        <f>SUMIFS(tbl_task1[S133],tbl_task1[[SubPLOs]:[SubPLOs]],"&gt;=9",tbl_task1[[SubPLOs]:[SubPLOs]],"&lt;10")</f>
        <v>0</v>
      </c>
      <c r="EI42" s="138">
        <f>SUMIFS(tbl_task1[S134],tbl_task1[[SubPLOs]:[SubPLOs]],"&gt;=9",tbl_task1[[SubPLOs]:[SubPLOs]],"&lt;10")</f>
        <v>0</v>
      </c>
      <c r="EJ42" s="138">
        <f>SUMIFS(tbl_task1[S135],tbl_task1[[SubPLOs]:[SubPLOs]],"&gt;=9",tbl_task1[[SubPLOs]:[SubPLOs]],"&lt;10")</f>
        <v>0</v>
      </c>
      <c r="EK42" s="138">
        <f>SUMIFS(tbl_task1[S136],tbl_task1[[SubPLOs]:[SubPLOs]],"&gt;=9",tbl_task1[[SubPLOs]:[SubPLOs]],"&lt;10")</f>
        <v>0</v>
      </c>
      <c r="EL42" s="138">
        <f>SUMIFS(tbl_task1[S137],tbl_task1[[SubPLOs]:[SubPLOs]],"&gt;=9",tbl_task1[[SubPLOs]:[SubPLOs]],"&lt;10")</f>
        <v>0</v>
      </c>
      <c r="EM42" s="138">
        <f>SUMIFS(tbl_task1[S138],tbl_task1[[SubPLOs]:[SubPLOs]],"&gt;=9",tbl_task1[[SubPLOs]:[SubPLOs]],"&lt;10")</f>
        <v>0</v>
      </c>
      <c r="EN42" s="138">
        <f>SUMIFS(tbl_task1[S139],tbl_task1[[SubPLOs]:[SubPLOs]],"&gt;=9",tbl_task1[[SubPLOs]:[SubPLOs]],"&lt;10")</f>
        <v>0</v>
      </c>
      <c r="EO42" s="138">
        <f>SUMIFS(tbl_task1[S140],tbl_task1[[SubPLOs]:[SubPLOs]],"&gt;=9",tbl_task1[[SubPLOs]:[SubPLOs]],"&lt;10")</f>
        <v>0</v>
      </c>
      <c r="EP42" s="138">
        <f>SUMIFS(tbl_task1[S141],tbl_task1[[SubPLOs]:[SubPLOs]],"&gt;=9",tbl_task1[[SubPLOs]:[SubPLOs]],"&lt;10")</f>
        <v>0</v>
      </c>
      <c r="EQ42" s="138">
        <f>SUMIFS(tbl_task1[S142],tbl_task1[[SubPLOs]:[SubPLOs]],"&gt;=9",tbl_task1[[SubPLOs]:[SubPLOs]],"&lt;10")</f>
        <v>0</v>
      </c>
      <c r="ER42" s="138">
        <f>SUMIFS(tbl_task1[S143],tbl_task1[[SubPLOs]:[SubPLOs]],"&gt;=9",tbl_task1[[SubPLOs]:[SubPLOs]],"&lt;10")</f>
        <v>0</v>
      </c>
      <c r="ES42" s="138">
        <f>SUMIFS(tbl_task1[S144],tbl_task1[[SubPLOs]:[SubPLOs]],"&gt;=9",tbl_task1[[SubPLOs]:[SubPLOs]],"&lt;10")</f>
        <v>0</v>
      </c>
      <c r="ET42" s="138">
        <f>SUMIFS(tbl_task1[S145],tbl_task1[[SubPLOs]:[SubPLOs]],"&gt;=9",tbl_task1[[SubPLOs]:[SubPLOs]],"&lt;10")</f>
        <v>0</v>
      </c>
      <c r="EU42" s="138">
        <f>SUMIFS(tbl_task1[S146],tbl_task1[[SubPLOs]:[SubPLOs]],"&gt;=9",tbl_task1[[SubPLOs]:[SubPLOs]],"&lt;10")</f>
        <v>0</v>
      </c>
      <c r="EV42" s="138">
        <f>SUMIFS(tbl_task1[S147],tbl_task1[[SubPLOs]:[SubPLOs]],"&gt;=9",tbl_task1[[SubPLOs]:[SubPLOs]],"&lt;10")</f>
        <v>0</v>
      </c>
      <c r="EW42" s="138">
        <f>SUMIFS(tbl_task1[S148],tbl_task1[[SubPLOs]:[SubPLOs]],"&gt;=9",tbl_task1[[SubPLOs]:[SubPLOs]],"&lt;10")</f>
        <v>0</v>
      </c>
      <c r="EX42" s="138">
        <f>SUMIFS(tbl_task1[S149],tbl_task1[[SubPLOs]:[SubPLOs]],"&gt;=9",tbl_task1[[SubPLOs]:[SubPLOs]],"&lt;10")</f>
        <v>0</v>
      </c>
      <c r="EY42" s="138">
        <f>SUMIFS(tbl_task1[S150],tbl_task1[[SubPLOs]:[SubPLOs]],"&gt;=9",tbl_task1[[SubPLOs]:[SubPLOs]],"&lt;10")</f>
        <v>0</v>
      </c>
      <c r="EZ42" s="138">
        <f>SUMIFS(tbl_task1[S151],tbl_task1[[SubPLOs]:[SubPLOs]],"&gt;=9",tbl_task1[[SubPLOs]:[SubPLOs]],"&lt;10")</f>
        <v>0</v>
      </c>
      <c r="FA42" s="138">
        <f>SUMIFS(tbl_task1[S152],tbl_task1[[SubPLOs]:[SubPLOs]],"&gt;=9",tbl_task1[[SubPLOs]:[SubPLOs]],"&lt;10")</f>
        <v>0</v>
      </c>
      <c r="FB42" s="138">
        <f>SUMIFS(tbl_task1[S153],tbl_task1[[SubPLOs]:[SubPLOs]],"&gt;=9",tbl_task1[[SubPLOs]:[SubPLOs]],"&lt;10")</f>
        <v>0</v>
      </c>
      <c r="FC42" s="138">
        <f>SUMIFS(tbl_task1[S154],tbl_task1[[SubPLOs]:[SubPLOs]],"&gt;=9",tbl_task1[[SubPLOs]:[SubPLOs]],"&lt;10")</f>
        <v>0</v>
      </c>
      <c r="FD42" s="138">
        <f>SUMIFS(tbl_task1[S155],tbl_task1[[SubPLOs]:[SubPLOs]],"&gt;=9",tbl_task1[[SubPLOs]:[SubPLOs]],"&lt;10")</f>
        <v>0</v>
      </c>
      <c r="FE42" s="138">
        <f>SUMIFS(tbl_task1[S156],tbl_task1[[SubPLOs]:[SubPLOs]],"&gt;=9",tbl_task1[[SubPLOs]:[SubPLOs]],"&lt;10")</f>
        <v>0</v>
      </c>
      <c r="FF42" s="138">
        <f>SUMIFS(tbl_task1[S157],tbl_task1[[SubPLOs]:[SubPLOs]],"&gt;=9",tbl_task1[[SubPLOs]:[SubPLOs]],"&lt;10")</f>
        <v>0</v>
      </c>
      <c r="FG42" s="138">
        <f>SUMIFS(tbl_task1[S158],tbl_task1[[SubPLOs]:[SubPLOs]],"&gt;=9",tbl_task1[[SubPLOs]:[SubPLOs]],"&lt;10")</f>
        <v>0</v>
      </c>
      <c r="FH42" s="138">
        <f>SUMIFS(tbl_task1[S159],tbl_task1[[SubPLOs]:[SubPLOs]],"&gt;=9",tbl_task1[[SubPLOs]:[SubPLOs]],"&lt;10")</f>
        <v>0</v>
      </c>
      <c r="FI42" s="138">
        <f>SUMIFS(tbl_task1[S160],tbl_task1[[SubPLOs]:[SubPLOs]],"&gt;=9",tbl_task1[[SubPLOs]:[SubPLOs]],"&lt;10")</f>
        <v>0</v>
      </c>
      <c r="FJ42" s="138">
        <f>SUMIFS(tbl_task1[S161],tbl_task1[[SubPLOs]:[SubPLOs]],"&gt;=9",tbl_task1[[SubPLOs]:[SubPLOs]],"&lt;10")</f>
        <v>0</v>
      </c>
      <c r="FK42" s="138">
        <f>SUMIFS(tbl_task1[S162],tbl_task1[[SubPLOs]:[SubPLOs]],"&gt;=9",tbl_task1[[SubPLOs]:[SubPLOs]],"&lt;10")</f>
        <v>0</v>
      </c>
      <c r="FL42" s="138">
        <f>SUMIFS(tbl_task1[S163],tbl_task1[[SubPLOs]:[SubPLOs]],"&gt;=9",tbl_task1[[SubPLOs]:[SubPLOs]],"&lt;10")</f>
        <v>0</v>
      </c>
      <c r="FM42" s="138">
        <f>SUMIFS(tbl_task1[S164],tbl_task1[[SubPLOs]:[SubPLOs]],"&gt;=9",tbl_task1[[SubPLOs]:[SubPLOs]],"&lt;10")</f>
        <v>0</v>
      </c>
      <c r="FN42" s="138">
        <f>SUMIFS(tbl_task1[S165],tbl_task1[[SubPLOs]:[SubPLOs]],"&gt;=9",tbl_task1[[SubPLOs]:[SubPLOs]],"&lt;10")</f>
        <v>0</v>
      </c>
    </row>
    <row r="43" spans="1:170" ht="42.6" customHeight="1" x14ac:dyDescent="0.25">
      <c r="A43" s="135">
        <v>10</v>
      </c>
      <c r="B43" s="5" t="s">
        <v>443</v>
      </c>
      <c r="C43" s="136">
        <f>COUNTIFS(tbl_task1[SubPLOs],"&gt;=10",tbl_task1[SubPLOs],"&lt;11")</f>
        <v>0</v>
      </c>
      <c r="D43" s="136">
        <f>SUMIFS(tbl_task1[คะแนนเต็ม],tbl_task1[SubPLOs],"&gt;=10",tbl_task1[SubPLOs],"&lt;11")</f>
        <v>0</v>
      </c>
      <c r="E43" s="137">
        <f>SUMIFS(tbl_task1[%],tbl_task1[SubPLOs],"&gt;=10",tbl_task1[SubPLOs],"&lt;11")</f>
        <v>0</v>
      </c>
      <c r="F43" s="138">
        <f>SUMIFS(tbl_task1[S1],tbl_task1[[SubPLOs]:[SubPLOs]],"&gt;=10",tbl_task1[[SubPLOs]:[SubPLOs]],"&lt;11")</f>
        <v>0</v>
      </c>
      <c r="G43" s="138">
        <f>SUMIFS(tbl_task1[S2],tbl_task1[[SubPLOs]:[SubPLOs]],"&gt;=10",tbl_task1[[SubPLOs]:[SubPLOs]],"&lt;11")</f>
        <v>0</v>
      </c>
      <c r="H43" s="138">
        <f>SUMIFS(tbl_task1[S3],tbl_task1[[SubPLOs]:[SubPLOs]],"&gt;=10",tbl_task1[[SubPLOs]:[SubPLOs]],"&lt;11")</f>
        <v>0</v>
      </c>
      <c r="I43" s="138">
        <f>SUMIFS(tbl_task1[S4],tbl_task1[[SubPLOs]:[SubPLOs]],"&gt;=10",tbl_task1[[SubPLOs]:[SubPLOs]],"&lt;11")</f>
        <v>0</v>
      </c>
      <c r="J43" s="138">
        <f>SUMIFS(tbl_task1[S5],tbl_task1[[SubPLOs]:[SubPLOs]],"&gt;=10",tbl_task1[[SubPLOs]:[SubPLOs]],"&lt;11")</f>
        <v>0</v>
      </c>
      <c r="K43" s="138">
        <f>SUMIFS(tbl_task1[S6],tbl_task1[[SubPLOs]:[SubPLOs]],"&gt;=10",tbl_task1[[SubPLOs]:[SubPLOs]],"&lt;11")</f>
        <v>0</v>
      </c>
      <c r="L43" s="138">
        <f>SUMIFS(tbl_task1[S7],tbl_task1[[SubPLOs]:[SubPLOs]],"&gt;=10",tbl_task1[[SubPLOs]:[SubPLOs]],"&lt;11")</f>
        <v>0</v>
      </c>
      <c r="M43" s="138">
        <f>SUMIFS(tbl_task1[S8],tbl_task1[[SubPLOs]:[SubPLOs]],"&gt;=10",tbl_task1[[SubPLOs]:[SubPLOs]],"&lt;11")</f>
        <v>0</v>
      </c>
      <c r="N43" s="138">
        <f>SUMIFS(tbl_task1[S9],tbl_task1[[SubPLOs]:[SubPLOs]],"&gt;=10",tbl_task1[[SubPLOs]:[SubPLOs]],"&lt;11")</f>
        <v>0</v>
      </c>
      <c r="O43" s="138">
        <f>SUMIFS(tbl_task1[S10],tbl_task1[[SubPLOs]:[SubPLOs]],"&gt;=10",tbl_task1[[SubPLOs]:[SubPLOs]],"&lt;11")</f>
        <v>0</v>
      </c>
      <c r="P43" s="138">
        <f>SUMIFS(tbl_task1[S11],tbl_task1[[SubPLOs]:[SubPLOs]],"&gt;=10",tbl_task1[[SubPLOs]:[SubPLOs]],"&lt;11")</f>
        <v>0</v>
      </c>
      <c r="Q43" s="138">
        <f>SUMIFS(tbl_task1[S12],tbl_task1[[SubPLOs]:[SubPLOs]],"&gt;=10",tbl_task1[[SubPLOs]:[SubPLOs]],"&lt;11")</f>
        <v>0</v>
      </c>
      <c r="R43" s="138">
        <f>SUMIFS(tbl_task1[S13],tbl_task1[[SubPLOs]:[SubPLOs]],"&gt;=10",tbl_task1[[SubPLOs]:[SubPLOs]],"&lt;11")</f>
        <v>0</v>
      </c>
      <c r="S43" s="138">
        <f>SUMIFS(tbl_task1[S14],tbl_task1[[SubPLOs]:[SubPLOs]],"&gt;=10",tbl_task1[[SubPLOs]:[SubPLOs]],"&lt;11")</f>
        <v>0</v>
      </c>
      <c r="T43" s="138">
        <f>SUMIFS(tbl_task1[S15],tbl_task1[[SubPLOs]:[SubPLOs]],"&gt;=10",tbl_task1[[SubPLOs]:[SubPLOs]],"&lt;11")</f>
        <v>0</v>
      </c>
      <c r="U43" s="138">
        <f>SUMIFS(tbl_task1[S16],tbl_task1[[SubPLOs]:[SubPLOs]],"&gt;=10",tbl_task1[[SubPLOs]:[SubPLOs]],"&lt;11")</f>
        <v>0</v>
      </c>
      <c r="V43" s="138">
        <f>SUMIFS(tbl_task1[S17],tbl_task1[[SubPLOs]:[SubPLOs]],"&gt;=10",tbl_task1[[SubPLOs]:[SubPLOs]],"&lt;11")</f>
        <v>0</v>
      </c>
      <c r="W43" s="138">
        <f>SUMIFS(tbl_task1[S18],tbl_task1[[SubPLOs]:[SubPLOs]],"&gt;=10",tbl_task1[[SubPLOs]:[SubPLOs]],"&lt;11")</f>
        <v>0</v>
      </c>
      <c r="X43" s="138">
        <f>SUMIFS(tbl_task1[S19],tbl_task1[[SubPLOs]:[SubPLOs]],"&gt;=10",tbl_task1[[SubPLOs]:[SubPLOs]],"&lt;11")</f>
        <v>0</v>
      </c>
      <c r="Y43" s="138">
        <f>SUMIFS(tbl_task1[S20],tbl_task1[[SubPLOs]:[SubPLOs]],"&gt;=10",tbl_task1[[SubPLOs]:[SubPLOs]],"&lt;11")</f>
        <v>0</v>
      </c>
      <c r="Z43" s="138">
        <f>SUMIFS(tbl_task1[S21],tbl_task1[[SubPLOs]:[SubPLOs]],"&gt;=10",tbl_task1[[SubPLOs]:[SubPLOs]],"&lt;11")</f>
        <v>0</v>
      </c>
      <c r="AA43" s="138">
        <f>SUMIFS(tbl_task1[S22],tbl_task1[[SubPLOs]:[SubPLOs]],"&gt;=10",tbl_task1[[SubPLOs]:[SubPLOs]],"&lt;11")</f>
        <v>0</v>
      </c>
      <c r="AB43" s="138">
        <f>SUMIFS(tbl_task1[S23],tbl_task1[[SubPLOs]:[SubPLOs]],"&gt;=10",tbl_task1[[SubPLOs]:[SubPLOs]],"&lt;11")</f>
        <v>0</v>
      </c>
      <c r="AC43" s="138">
        <f>SUMIFS(tbl_task1[S24],tbl_task1[[SubPLOs]:[SubPLOs]],"&gt;=10",tbl_task1[[SubPLOs]:[SubPLOs]],"&lt;11")</f>
        <v>0</v>
      </c>
      <c r="AD43" s="138">
        <f>SUMIFS(tbl_task1[S25],tbl_task1[[SubPLOs]:[SubPLOs]],"&gt;=10",tbl_task1[[SubPLOs]:[SubPLOs]],"&lt;11")</f>
        <v>0</v>
      </c>
      <c r="AE43" s="138">
        <f>SUMIFS(tbl_task1[S26],tbl_task1[[SubPLOs]:[SubPLOs]],"&gt;=10",tbl_task1[[SubPLOs]:[SubPLOs]],"&lt;11")</f>
        <v>0</v>
      </c>
      <c r="AF43" s="138">
        <f>SUMIFS(tbl_task1[S27],tbl_task1[[SubPLOs]:[SubPLOs]],"&gt;=10",tbl_task1[[SubPLOs]:[SubPLOs]],"&lt;11")</f>
        <v>0</v>
      </c>
      <c r="AG43" s="138">
        <f>SUMIFS(tbl_task1[S28],tbl_task1[[SubPLOs]:[SubPLOs]],"&gt;=10",tbl_task1[[SubPLOs]:[SubPLOs]],"&lt;11")</f>
        <v>0</v>
      </c>
      <c r="AH43" s="138">
        <f>SUMIFS(tbl_task1[S29],tbl_task1[[SubPLOs]:[SubPLOs]],"&gt;=10",tbl_task1[[SubPLOs]:[SubPLOs]],"&lt;11")</f>
        <v>0</v>
      </c>
      <c r="AI43" s="138">
        <f>SUMIFS(tbl_task1[S30],tbl_task1[[SubPLOs]:[SubPLOs]],"&gt;=10",tbl_task1[[SubPLOs]:[SubPLOs]],"&lt;11")</f>
        <v>0</v>
      </c>
      <c r="AJ43" s="138">
        <f>SUMIFS(tbl_task1[S31],tbl_task1[[SubPLOs]:[SubPLOs]],"&gt;=10",tbl_task1[[SubPLOs]:[SubPLOs]],"&lt;11")</f>
        <v>0</v>
      </c>
      <c r="AK43" s="138">
        <f>SUMIFS(tbl_task1[S32],tbl_task1[[SubPLOs]:[SubPLOs]],"&gt;=10",tbl_task1[[SubPLOs]:[SubPLOs]],"&lt;11")</f>
        <v>0</v>
      </c>
      <c r="AL43" s="138">
        <f>SUMIFS(tbl_task1[S33],tbl_task1[[SubPLOs]:[SubPLOs]],"&gt;=10",tbl_task1[[SubPLOs]:[SubPLOs]],"&lt;11")</f>
        <v>0</v>
      </c>
      <c r="AM43" s="138">
        <f>SUMIFS(tbl_task1[S34],tbl_task1[[SubPLOs]:[SubPLOs]],"&gt;=10",tbl_task1[[SubPLOs]:[SubPLOs]],"&lt;11")</f>
        <v>0</v>
      </c>
      <c r="AN43" s="138">
        <f>SUMIFS(tbl_task1[S35],tbl_task1[[SubPLOs]:[SubPLOs]],"&gt;=10",tbl_task1[[SubPLOs]:[SubPLOs]],"&lt;11")</f>
        <v>0</v>
      </c>
      <c r="AO43" s="138">
        <f>SUMIFS(tbl_task1[S36],tbl_task1[[SubPLOs]:[SubPLOs]],"&gt;=10",tbl_task1[[SubPLOs]:[SubPLOs]],"&lt;11")</f>
        <v>0</v>
      </c>
      <c r="AP43" s="138">
        <f>SUMIFS(tbl_task1[S37],tbl_task1[[SubPLOs]:[SubPLOs]],"&gt;=10",tbl_task1[[SubPLOs]:[SubPLOs]],"&lt;11")</f>
        <v>0</v>
      </c>
      <c r="AQ43" s="138">
        <f>SUMIFS(tbl_task1[S38],tbl_task1[[SubPLOs]:[SubPLOs]],"&gt;=10",tbl_task1[[SubPLOs]:[SubPLOs]],"&lt;11")</f>
        <v>0</v>
      </c>
      <c r="AR43" s="138">
        <f>SUMIFS(tbl_task1[S39],tbl_task1[[SubPLOs]:[SubPLOs]],"&gt;=10",tbl_task1[[SubPLOs]:[SubPLOs]],"&lt;11")</f>
        <v>0</v>
      </c>
      <c r="AS43" s="138">
        <f>SUMIFS(tbl_task1[S40],tbl_task1[[SubPLOs]:[SubPLOs]],"&gt;=10",tbl_task1[[SubPLOs]:[SubPLOs]],"&lt;11")</f>
        <v>0</v>
      </c>
      <c r="AT43" s="138">
        <f>SUMIFS(tbl_task1[S41],tbl_task1[[SubPLOs]:[SubPLOs]],"&gt;=10",tbl_task1[[SubPLOs]:[SubPLOs]],"&lt;11")</f>
        <v>0</v>
      </c>
      <c r="AU43" s="138">
        <f>SUMIFS(tbl_task1[S42],tbl_task1[[SubPLOs]:[SubPLOs]],"&gt;=10",tbl_task1[[SubPLOs]:[SubPLOs]],"&lt;11")</f>
        <v>0</v>
      </c>
      <c r="AV43" s="138">
        <f>SUMIFS(tbl_task1[S43],tbl_task1[[SubPLOs]:[SubPLOs]],"&gt;=10",tbl_task1[[SubPLOs]:[SubPLOs]],"&lt;11")</f>
        <v>0</v>
      </c>
      <c r="AW43" s="138">
        <f>SUMIFS(tbl_task1[S44],tbl_task1[[SubPLOs]:[SubPLOs]],"&gt;=10",tbl_task1[[SubPLOs]:[SubPLOs]],"&lt;11")</f>
        <v>0</v>
      </c>
      <c r="AX43" s="138">
        <f>SUMIFS(tbl_task1[S45],tbl_task1[[SubPLOs]:[SubPLOs]],"&gt;=10",tbl_task1[[SubPLOs]:[SubPLOs]],"&lt;11")</f>
        <v>0</v>
      </c>
      <c r="AY43" s="138">
        <f>SUMIFS(tbl_task1[S46],tbl_task1[[SubPLOs]:[SubPLOs]],"&gt;=10",tbl_task1[[SubPLOs]:[SubPLOs]],"&lt;11")</f>
        <v>0</v>
      </c>
      <c r="AZ43" s="138">
        <f>SUMIFS(tbl_task1[S47],tbl_task1[[SubPLOs]:[SubPLOs]],"&gt;=10",tbl_task1[[SubPLOs]:[SubPLOs]],"&lt;11")</f>
        <v>0</v>
      </c>
      <c r="BA43" s="138">
        <f>SUMIFS(tbl_task1[S48],tbl_task1[[SubPLOs]:[SubPLOs]],"&gt;=10",tbl_task1[[SubPLOs]:[SubPLOs]],"&lt;11")</f>
        <v>0</v>
      </c>
      <c r="BB43" s="138">
        <f>SUMIFS(tbl_task1[S49],tbl_task1[[SubPLOs]:[SubPLOs]],"&gt;=10",tbl_task1[[SubPLOs]:[SubPLOs]],"&lt;11")</f>
        <v>0</v>
      </c>
      <c r="BC43" s="138">
        <f>SUMIFS(tbl_task1[S50],tbl_task1[[SubPLOs]:[SubPLOs]],"&gt;=10",tbl_task1[[SubPLOs]:[SubPLOs]],"&lt;11")</f>
        <v>0</v>
      </c>
      <c r="BD43" s="138">
        <f>SUMIFS(tbl_task1[S51],tbl_task1[[SubPLOs]:[SubPLOs]],"&gt;=10",tbl_task1[[SubPLOs]:[SubPLOs]],"&lt;11")</f>
        <v>0</v>
      </c>
      <c r="BE43" s="138">
        <f>SUMIFS(tbl_task1[S52],tbl_task1[[SubPLOs]:[SubPLOs]],"&gt;=10",tbl_task1[[SubPLOs]:[SubPLOs]],"&lt;11")</f>
        <v>0</v>
      </c>
      <c r="BF43" s="138">
        <f>SUMIFS(tbl_task1[S53],tbl_task1[[SubPLOs]:[SubPLOs]],"&gt;=10",tbl_task1[[SubPLOs]:[SubPLOs]],"&lt;11")</f>
        <v>0</v>
      </c>
      <c r="BG43" s="138">
        <f>SUMIFS(tbl_task1[S54],tbl_task1[[SubPLOs]:[SubPLOs]],"&gt;=10",tbl_task1[[SubPLOs]:[SubPLOs]],"&lt;11")</f>
        <v>0</v>
      </c>
      <c r="BH43" s="138">
        <f>SUMIFS(tbl_task1[S55],tbl_task1[[SubPLOs]:[SubPLOs]],"&gt;=10",tbl_task1[[SubPLOs]:[SubPLOs]],"&lt;11")</f>
        <v>0</v>
      </c>
      <c r="BI43" s="138">
        <f>SUMIFS(tbl_task1[S56],tbl_task1[[SubPLOs]:[SubPLOs]],"&gt;=10",tbl_task1[[SubPLOs]:[SubPLOs]],"&lt;11")</f>
        <v>0</v>
      </c>
      <c r="BJ43" s="138">
        <f>SUMIFS(tbl_task1[S57],tbl_task1[[SubPLOs]:[SubPLOs]],"&gt;=10",tbl_task1[[SubPLOs]:[SubPLOs]],"&lt;11")</f>
        <v>0</v>
      </c>
      <c r="BK43" s="138">
        <f>SUMIFS(tbl_task1[S58],tbl_task1[[SubPLOs]:[SubPLOs]],"&gt;=10",tbl_task1[[SubPLOs]:[SubPLOs]],"&lt;11")</f>
        <v>0</v>
      </c>
      <c r="BL43" s="138">
        <f>SUMIFS(tbl_task1[S59],tbl_task1[[SubPLOs]:[SubPLOs]],"&gt;=10",tbl_task1[[SubPLOs]:[SubPLOs]],"&lt;11")</f>
        <v>0</v>
      </c>
      <c r="BM43" s="138">
        <f>SUMIFS(tbl_task1[S60],tbl_task1[[SubPLOs]:[SubPLOs]],"&gt;=10",tbl_task1[[SubPLOs]:[SubPLOs]],"&lt;11")</f>
        <v>0</v>
      </c>
      <c r="BN43" s="138">
        <f>SUMIFS(tbl_task1[S61],tbl_task1[[SubPLOs]:[SubPLOs]],"&gt;=10",tbl_task1[[SubPLOs]:[SubPLOs]],"&lt;11")</f>
        <v>0</v>
      </c>
      <c r="BO43" s="138">
        <f>SUMIFS(tbl_task1[S62],tbl_task1[[SubPLOs]:[SubPLOs]],"&gt;=10",tbl_task1[[SubPLOs]:[SubPLOs]],"&lt;11")</f>
        <v>0</v>
      </c>
      <c r="BP43" s="138">
        <f>SUMIFS(tbl_task1[S63],tbl_task1[[SubPLOs]:[SubPLOs]],"&gt;=10",tbl_task1[[SubPLOs]:[SubPLOs]],"&lt;11")</f>
        <v>0</v>
      </c>
      <c r="BQ43" s="138">
        <f>SUMIFS(tbl_task1[S64],tbl_task1[[SubPLOs]:[SubPLOs]],"&gt;=10",tbl_task1[[SubPLOs]:[SubPLOs]],"&lt;11")</f>
        <v>0</v>
      </c>
      <c r="BR43" s="138">
        <f>SUMIFS(tbl_task1[S65],tbl_task1[[SubPLOs]:[SubPLOs]],"&gt;=10",tbl_task1[[SubPLOs]:[SubPLOs]],"&lt;11")</f>
        <v>0</v>
      </c>
      <c r="BS43" s="138">
        <f>SUMIFS(tbl_task1[S66],tbl_task1[[SubPLOs]:[SubPLOs]],"&gt;=10",tbl_task1[[SubPLOs]:[SubPLOs]],"&lt;11")</f>
        <v>0</v>
      </c>
      <c r="BT43" s="138">
        <f>SUMIFS(tbl_task1[S67],tbl_task1[[SubPLOs]:[SubPLOs]],"&gt;=10",tbl_task1[[SubPLOs]:[SubPLOs]],"&lt;11")</f>
        <v>0</v>
      </c>
      <c r="BU43" s="138">
        <f>SUMIFS(tbl_task1[S68],tbl_task1[[SubPLOs]:[SubPLOs]],"&gt;=10",tbl_task1[[SubPLOs]:[SubPLOs]],"&lt;11")</f>
        <v>0</v>
      </c>
      <c r="BV43" s="138">
        <f>SUMIFS(tbl_task1[S69],tbl_task1[[SubPLOs]:[SubPLOs]],"&gt;=10",tbl_task1[[SubPLOs]:[SubPLOs]],"&lt;11")</f>
        <v>0</v>
      </c>
      <c r="BW43" s="138">
        <f>SUMIFS(tbl_task1[S70],tbl_task1[[SubPLOs]:[SubPLOs]],"&gt;=10",tbl_task1[[SubPLOs]:[SubPLOs]],"&lt;11")</f>
        <v>0</v>
      </c>
      <c r="BX43" s="138">
        <f>SUMIFS(tbl_task1[S71],tbl_task1[[SubPLOs]:[SubPLOs]],"&gt;=10",tbl_task1[[SubPLOs]:[SubPLOs]],"&lt;11")</f>
        <v>0</v>
      </c>
      <c r="BY43" s="138">
        <f>SUMIFS(tbl_task1[S72],tbl_task1[[SubPLOs]:[SubPLOs]],"&gt;=10",tbl_task1[[SubPLOs]:[SubPLOs]],"&lt;11")</f>
        <v>0</v>
      </c>
      <c r="BZ43" s="138">
        <f>SUMIFS(tbl_task1[S73],tbl_task1[[SubPLOs]:[SubPLOs]],"&gt;=10",tbl_task1[[SubPLOs]:[SubPLOs]],"&lt;11")</f>
        <v>0</v>
      </c>
      <c r="CA43" s="138">
        <f>SUMIFS(tbl_task1[S74],tbl_task1[[SubPLOs]:[SubPLOs]],"&gt;=10",tbl_task1[[SubPLOs]:[SubPLOs]],"&lt;11")</f>
        <v>0</v>
      </c>
      <c r="CB43" s="138">
        <f>SUMIFS(tbl_task1[S75],tbl_task1[[SubPLOs]:[SubPLOs]],"&gt;=10",tbl_task1[[SubPLOs]:[SubPLOs]],"&lt;11")</f>
        <v>0</v>
      </c>
      <c r="CC43" s="138">
        <f>SUMIFS(tbl_task1[S76],tbl_task1[[SubPLOs]:[SubPLOs]],"&gt;=10",tbl_task1[[SubPLOs]:[SubPLOs]],"&lt;11")</f>
        <v>0</v>
      </c>
      <c r="CD43" s="138">
        <f>SUMIFS(tbl_task1[S77],tbl_task1[[SubPLOs]:[SubPLOs]],"&gt;=10",tbl_task1[[SubPLOs]:[SubPLOs]],"&lt;11")</f>
        <v>0</v>
      </c>
      <c r="CE43" s="138">
        <f>SUMIFS(tbl_task1[S78],tbl_task1[[SubPLOs]:[SubPLOs]],"&gt;=10",tbl_task1[[SubPLOs]:[SubPLOs]],"&lt;11")</f>
        <v>0</v>
      </c>
      <c r="CF43" s="138">
        <f>SUMIFS(tbl_task1[S79],tbl_task1[[SubPLOs]:[SubPLOs]],"&gt;=10",tbl_task1[[SubPLOs]:[SubPLOs]],"&lt;11")</f>
        <v>0</v>
      </c>
      <c r="CG43" s="138">
        <f>SUMIFS(tbl_task1[S80],tbl_task1[[SubPLOs]:[SubPLOs]],"&gt;=10",tbl_task1[[SubPLOs]:[SubPLOs]],"&lt;11")</f>
        <v>0</v>
      </c>
      <c r="CH43" s="138">
        <f>SUMIFS(tbl_task1[S81],tbl_task1[[SubPLOs]:[SubPLOs]],"&gt;=10",tbl_task1[[SubPLOs]:[SubPLOs]],"&lt;11")</f>
        <v>0</v>
      </c>
      <c r="CI43" s="138">
        <f>SUMIFS(tbl_task1[S82],tbl_task1[[SubPLOs]:[SubPLOs]],"&gt;=10",tbl_task1[[SubPLOs]:[SubPLOs]],"&lt;11")</f>
        <v>0</v>
      </c>
      <c r="CJ43" s="138">
        <f>SUMIFS(tbl_task1[S83],tbl_task1[[SubPLOs]:[SubPLOs]],"&gt;=10",tbl_task1[[SubPLOs]:[SubPLOs]],"&lt;11")</f>
        <v>0</v>
      </c>
      <c r="CK43" s="138">
        <f>SUMIFS(tbl_task1[S84],tbl_task1[[SubPLOs]:[SubPLOs]],"&gt;=10",tbl_task1[[SubPLOs]:[SubPLOs]],"&lt;11")</f>
        <v>0</v>
      </c>
      <c r="CL43" s="138">
        <f>SUMIFS(tbl_task1[S85],tbl_task1[[SubPLOs]:[SubPLOs]],"&gt;=10",tbl_task1[[SubPLOs]:[SubPLOs]],"&lt;11")</f>
        <v>0</v>
      </c>
      <c r="CM43" s="138">
        <f>SUMIFS(tbl_task1[S86],tbl_task1[[SubPLOs]:[SubPLOs]],"&gt;=10",tbl_task1[[SubPLOs]:[SubPLOs]],"&lt;11")</f>
        <v>0</v>
      </c>
      <c r="CN43" s="138">
        <f>SUMIFS(tbl_task1[S87],tbl_task1[[SubPLOs]:[SubPLOs]],"&gt;=10",tbl_task1[[SubPLOs]:[SubPLOs]],"&lt;11")</f>
        <v>0</v>
      </c>
      <c r="CO43" s="138">
        <f>SUMIFS(tbl_task1[S88],tbl_task1[[SubPLOs]:[SubPLOs]],"&gt;=10",tbl_task1[[SubPLOs]:[SubPLOs]],"&lt;11")</f>
        <v>0</v>
      </c>
      <c r="CP43" s="138">
        <f>SUMIFS(tbl_task1[S89],tbl_task1[[SubPLOs]:[SubPLOs]],"&gt;=10",tbl_task1[[SubPLOs]:[SubPLOs]],"&lt;11")</f>
        <v>0</v>
      </c>
      <c r="CQ43" s="138">
        <f>SUMIFS(tbl_task1[S90],tbl_task1[[SubPLOs]:[SubPLOs]],"&gt;=10",tbl_task1[[SubPLOs]:[SubPLOs]],"&lt;11")</f>
        <v>0</v>
      </c>
      <c r="CR43" s="138">
        <f>SUMIFS(tbl_task1[S91],tbl_task1[[SubPLOs]:[SubPLOs]],"&gt;=10",tbl_task1[[SubPLOs]:[SubPLOs]],"&lt;11")</f>
        <v>0</v>
      </c>
      <c r="CS43" s="138">
        <f>SUMIFS(tbl_task1[S92],tbl_task1[[SubPLOs]:[SubPLOs]],"&gt;=10",tbl_task1[[SubPLOs]:[SubPLOs]],"&lt;11")</f>
        <v>0</v>
      </c>
      <c r="CT43" s="138">
        <f>SUMIFS(tbl_task1[S93],tbl_task1[[SubPLOs]:[SubPLOs]],"&gt;=10",tbl_task1[[SubPLOs]:[SubPLOs]],"&lt;11")</f>
        <v>0</v>
      </c>
      <c r="CU43" s="138">
        <f>SUMIFS(tbl_task1[S94],tbl_task1[[SubPLOs]:[SubPLOs]],"&gt;=10",tbl_task1[[SubPLOs]:[SubPLOs]],"&lt;11")</f>
        <v>0</v>
      </c>
      <c r="CV43" s="138">
        <f>SUMIFS(tbl_task1[S95],tbl_task1[[SubPLOs]:[SubPLOs]],"&gt;=10",tbl_task1[[SubPLOs]:[SubPLOs]],"&lt;11")</f>
        <v>0</v>
      </c>
      <c r="CW43" s="138">
        <f>SUMIFS(tbl_task1[S96],tbl_task1[[SubPLOs]:[SubPLOs]],"&gt;=10",tbl_task1[[SubPLOs]:[SubPLOs]],"&lt;11")</f>
        <v>0</v>
      </c>
      <c r="CX43" s="138">
        <f>SUMIFS(tbl_task1[S97],tbl_task1[[SubPLOs]:[SubPLOs]],"&gt;=10",tbl_task1[[SubPLOs]:[SubPLOs]],"&lt;11")</f>
        <v>0</v>
      </c>
      <c r="CY43" s="138">
        <f>SUMIFS(tbl_task1[S98],tbl_task1[[SubPLOs]:[SubPLOs]],"&gt;=10",tbl_task1[[SubPLOs]:[SubPLOs]],"&lt;11")</f>
        <v>0</v>
      </c>
      <c r="CZ43" s="138">
        <f>SUMIFS(tbl_task1[S99],tbl_task1[[SubPLOs]:[SubPLOs]],"&gt;=10",tbl_task1[[SubPLOs]:[SubPLOs]],"&lt;11")</f>
        <v>0</v>
      </c>
      <c r="DA43" s="138">
        <f>SUMIFS(tbl_task1[S100],tbl_task1[[SubPLOs]:[SubPLOs]],"&gt;=10",tbl_task1[[SubPLOs]:[SubPLOs]],"&lt;11")</f>
        <v>0</v>
      </c>
      <c r="DB43" s="138">
        <f>SUMIFS(tbl_task1[S101],tbl_task1[[SubPLOs]:[SubPLOs]],"&gt;=10",tbl_task1[[SubPLOs]:[SubPLOs]],"&lt;11")</f>
        <v>0</v>
      </c>
      <c r="DC43" s="138">
        <f>SUMIFS(tbl_task1[S102],tbl_task1[[SubPLOs]:[SubPLOs]],"&gt;=10",tbl_task1[[SubPLOs]:[SubPLOs]],"&lt;11")</f>
        <v>0</v>
      </c>
      <c r="DD43" s="138">
        <f>SUMIFS(tbl_task1[S103],tbl_task1[[SubPLOs]:[SubPLOs]],"&gt;=10",tbl_task1[[SubPLOs]:[SubPLOs]],"&lt;11")</f>
        <v>0</v>
      </c>
      <c r="DE43" s="138">
        <f>SUMIFS(tbl_task1[S104],tbl_task1[[SubPLOs]:[SubPLOs]],"&gt;=10",tbl_task1[[SubPLOs]:[SubPLOs]],"&lt;11")</f>
        <v>0</v>
      </c>
      <c r="DF43" s="138">
        <f>SUMIFS(tbl_task1[S105],tbl_task1[[SubPLOs]:[SubPLOs]],"&gt;=10",tbl_task1[[SubPLOs]:[SubPLOs]],"&lt;11")</f>
        <v>0</v>
      </c>
      <c r="DG43" s="138">
        <f>SUMIFS(tbl_task1[S106],tbl_task1[[SubPLOs]:[SubPLOs]],"&gt;=10",tbl_task1[[SubPLOs]:[SubPLOs]],"&lt;11")</f>
        <v>0</v>
      </c>
      <c r="DH43" s="138">
        <f>SUMIFS(tbl_task1[S106],tbl_task1[[SubPLOs]:[SubPLOs]],"&gt;=10",tbl_task1[[SubPLOs]:[SubPLOs]],"&lt;11")</f>
        <v>0</v>
      </c>
      <c r="DI43" s="138">
        <f>SUMIFS(tbl_task1[S108],tbl_task1[[SubPLOs]:[SubPLOs]],"&gt;=10",tbl_task1[[SubPLOs]:[SubPLOs]],"&lt;11")</f>
        <v>0</v>
      </c>
      <c r="DJ43" s="138">
        <f>SUMIFS(tbl_task1[S109],tbl_task1[[SubPLOs]:[SubPLOs]],"&gt;=10",tbl_task1[[SubPLOs]:[SubPLOs]],"&lt;11")</f>
        <v>0</v>
      </c>
      <c r="DK43" s="138">
        <f>SUMIFS(tbl_task1[S110],tbl_task1[[SubPLOs]:[SubPLOs]],"&gt;=10",tbl_task1[[SubPLOs]:[SubPLOs]],"&lt;11")</f>
        <v>0</v>
      </c>
      <c r="DL43" s="138">
        <f>SUMIFS(tbl_task1[S111],tbl_task1[[SubPLOs]:[SubPLOs]],"&gt;=10",tbl_task1[[SubPLOs]:[SubPLOs]],"&lt;11")</f>
        <v>0</v>
      </c>
      <c r="DM43" s="138">
        <f>SUMIFS(tbl_task1[S112],tbl_task1[[SubPLOs]:[SubPLOs]],"&gt;=10",tbl_task1[[SubPLOs]:[SubPLOs]],"&lt;11")</f>
        <v>0</v>
      </c>
      <c r="DN43" s="138">
        <f>SUMIFS(tbl_task1[S113],tbl_task1[[SubPLOs]:[SubPLOs]],"&gt;=10",tbl_task1[[SubPLOs]:[SubPLOs]],"&lt;11")</f>
        <v>0</v>
      </c>
      <c r="DO43" s="138">
        <f>SUMIFS(tbl_task1[S114],tbl_task1[[SubPLOs]:[SubPLOs]],"&gt;=10",tbl_task1[[SubPLOs]:[SubPLOs]],"&lt;11")</f>
        <v>0</v>
      </c>
      <c r="DP43" s="138">
        <f>SUMIFS(tbl_task1[S115],tbl_task1[[SubPLOs]:[SubPLOs]],"&gt;=10",tbl_task1[[SubPLOs]:[SubPLOs]],"&lt;11")</f>
        <v>0</v>
      </c>
      <c r="DQ43" s="138">
        <f>SUMIFS(tbl_task1[S116],tbl_task1[[SubPLOs]:[SubPLOs]],"&gt;=10",tbl_task1[[SubPLOs]:[SubPLOs]],"&lt;11")</f>
        <v>0</v>
      </c>
      <c r="DR43" s="138">
        <f>SUMIFS(tbl_task1[S117],tbl_task1[[SubPLOs]:[SubPLOs]],"&gt;=10",tbl_task1[[SubPLOs]:[SubPLOs]],"&lt;11")</f>
        <v>0</v>
      </c>
      <c r="DS43" s="138">
        <f>SUMIFS(tbl_task1[S118],tbl_task1[[SubPLOs]:[SubPLOs]],"&gt;=10",tbl_task1[[SubPLOs]:[SubPLOs]],"&lt;11")</f>
        <v>0</v>
      </c>
      <c r="DT43" s="138">
        <f>SUMIFS(tbl_task1[S119],tbl_task1[[SubPLOs]:[SubPLOs]],"&gt;=10",tbl_task1[[SubPLOs]:[SubPLOs]],"&lt;11")</f>
        <v>0</v>
      </c>
      <c r="DU43" s="138">
        <f>SUMIFS(tbl_task1[S120],tbl_task1[[SubPLOs]:[SubPLOs]],"&gt;=10",tbl_task1[[SubPLOs]:[SubPLOs]],"&lt;11")</f>
        <v>0</v>
      </c>
      <c r="DV43" s="138">
        <f>SUMIFS(tbl_task1[S121],tbl_task1[[SubPLOs]:[SubPLOs]],"&gt;=10",tbl_task1[[SubPLOs]:[SubPLOs]],"&lt;11")</f>
        <v>0</v>
      </c>
      <c r="DW43" s="138">
        <f>SUMIFS(tbl_task1[S122],tbl_task1[[SubPLOs]:[SubPLOs]],"&gt;=10",tbl_task1[[SubPLOs]:[SubPLOs]],"&lt;11")</f>
        <v>0</v>
      </c>
      <c r="DX43" s="138">
        <f>SUMIFS(tbl_task1[S123],tbl_task1[[SubPLOs]:[SubPLOs]],"&gt;=10",tbl_task1[[SubPLOs]:[SubPLOs]],"&lt;11")</f>
        <v>0</v>
      </c>
      <c r="DY43" s="138">
        <f>SUMIFS(tbl_task1[S124],tbl_task1[[SubPLOs]:[SubPLOs]],"&gt;=10",tbl_task1[[SubPLOs]:[SubPLOs]],"&lt;11")</f>
        <v>0</v>
      </c>
      <c r="DZ43" s="138">
        <f>SUMIFS(tbl_task1[S125],tbl_task1[[SubPLOs]:[SubPLOs]],"&gt;=10",tbl_task1[[SubPLOs]:[SubPLOs]],"&lt;11")</f>
        <v>0</v>
      </c>
      <c r="EA43" s="138">
        <f>SUMIFS(tbl_task1[S126],tbl_task1[[SubPLOs]:[SubPLOs]],"&gt;=10",tbl_task1[[SubPLOs]:[SubPLOs]],"&lt;11")</f>
        <v>0</v>
      </c>
      <c r="EB43" s="138">
        <f>SUMIFS(tbl_task1[S127],tbl_task1[[SubPLOs]:[SubPLOs]],"&gt;=10",tbl_task1[[SubPLOs]:[SubPLOs]],"&lt;11")</f>
        <v>0</v>
      </c>
      <c r="EC43" s="138">
        <f>SUMIFS(tbl_task1[S128],tbl_task1[[SubPLOs]:[SubPLOs]],"&gt;=10",tbl_task1[[SubPLOs]:[SubPLOs]],"&lt;11")</f>
        <v>0</v>
      </c>
      <c r="ED43" s="138">
        <f>SUMIFS(tbl_task1[S129],tbl_task1[[SubPLOs]:[SubPLOs]],"&gt;=10",tbl_task1[[SubPLOs]:[SubPLOs]],"&lt;11")</f>
        <v>0</v>
      </c>
      <c r="EE43" s="138">
        <f>SUMIFS(tbl_task1[S130],tbl_task1[[SubPLOs]:[SubPLOs]],"&gt;=10",tbl_task1[[SubPLOs]:[SubPLOs]],"&lt;11")</f>
        <v>0</v>
      </c>
      <c r="EF43" s="138">
        <f>SUMIFS(tbl_task1[S131],tbl_task1[[SubPLOs]:[SubPLOs]],"&gt;=10",tbl_task1[[SubPLOs]:[SubPLOs]],"&lt;11")</f>
        <v>0</v>
      </c>
      <c r="EG43" s="138">
        <f>SUMIFS(tbl_task1[S132],tbl_task1[[SubPLOs]:[SubPLOs]],"&gt;=10",tbl_task1[[SubPLOs]:[SubPLOs]],"&lt;11")</f>
        <v>0</v>
      </c>
      <c r="EH43" s="138">
        <f>SUMIFS(tbl_task1[S133],tbl_task1[[SubPLOs]:[SubPLOs]],"&gt;=10",tbl_task1[[SubPLOs]:[SubPLOs]],"&lt;11")</f>
        <v>0</v>
      </c>
      <c r="EI43" s="138">
        <f>SUMIFS(tbl_task1[S134],tbl_task1[[SubPLOs]:[SubPLOs]],"&gt;=10",tbl_task1[[SubPLOs]:[SubPLOs]],"&lt;11")</f>
        <v>0</v>
      </c>
      <c r="EJ43" s="138">
        <f>SUMIFS(tbl_task1[S135],tbl_task1[[SubPLOs]:[SubPLOs]],"&gt;=10",tbl_task1[[SubPLOs]:[SubPLOs]],"&lt;11")</f>
        <v>0</v>
      </c>
      <c r="EK43" s="138">
        <f>SUMIFS(tbl_task1[S136],tbl_task1[[SubPLOs]:[SubPLOs]],"&gt;=10",tbl_task1[[SubPLOs]:[SubPLOs]],"&lt;11")</f>
        <v>0</v>
      </c>
      <c r="EL43" s="138">
        <f>SUMIFS(tbl_task1[S137],tbl_task1[[SubPLOs]:[SubPLOs]],"&gt;=10",tbl_task1[[SubPLOs]:[SubPLOs]],"&lt;11")</f>
        <v>0</v>
      </c>
      <c r="EM43" s="138">
        <f>SUMIFS(tbl_task1[S138],tbl_task1[[SubPLOs]:[SubPLOs]],"&gt;=10",tbl_task1[[SubPLOs]:[SubPLOs]],"&lt;11")</f>
        <v>0</v>
      </c>
      <c r="EN43" s="138">
        <f>SUMIFS(tbl_task1[S139],tbl_task1[[SubPLOs]:[SubPLOs]],"&gt;=10",tbl_task1[[SubPLOs]:[SubPLOs]],"&lt;11")</f>
        <v>0</v>
      </c>
      <c r="EO43" s="138">
        <f>SUMIFS(tbl_task1[S140],tbl_task1[[SubPLOs]:[SubPLOs]],"&gt;=10",tbl_task1[[SubPLOs]:[SubPLOs]],"&lt;11")</f>
        <v>0</v>
      </c>
      <c r="EP43" s="138">
        <f>SUMIFS(tbl_task1[S141],tbl_task1[[SubPLOs]:[SubPLOs]],"&gt;=10",tbl_task1[[SubPLOs]:[SubPLOs]],"&lt;11")</f>
        <v>0</v>
      </c>
      <c r="EQ43" s="138">
        <f>SUMIFS(tbl_task1[S142],tbl_task1[[SubPLOs]:[SubPLOs]],"&gt;=10",tbl_task1[[SubPLOs]:[SubPLOs]],"&lt;11")</f>
        <v>0</v>
      </c>
      <c r="ER43" s="138">
        <f>SUMIFS(tbl_task1[S143],tbl_task1[[SubPLOs]:[SubPLOs]],"&gt;=10",tbl_task1[[SubPLOs]:[SubPLOs]],"&lt;11")</f>
        <v>0</v>
      </c>
      <c r="ES43" s="138">
        <f>SUMIFS(tbl_task1[S144],tbl_task1[[SubPLOs]:[SubPLOs]],"&gt;=10",tbl_task1[[SubPLOs]:[SubPLOs]],"&lt;11")</f>
        <v>0</v>
      </c>
      <c r="ET43" s="138">
        <f>SUMIFS(tbl_task1[S145],tbl_task1[[SubPLOs]:[SubPLOs]],"&gt;=10",tbl_task1[[SubPLOs]:[SubPLOs]],"&lt;11")</f>
        <v>0</v>
      </c>
      <c r="EU43" s="138">
        <f>SUMIFS(tbl_task1[S146],tbl_task1[[SubPLOs]:[SubPLOs]],"&gt;=10",tbl_task1[[SubPLOs]:[SubPLOs]],"&lt;11")</f>
        <v>0</v>
      </c>
      <c r="EV43" s="138">
        <f>SUMIFS(tbl_task1[S147],tbl_task1[[SubPLOs]:[SubPLOs]],"&gt;=10",tbl_task1[[SubPLOs]:[SubPLOs]],"&lt;11")</f>
        <v>0</v>
      </c>
      <c r="EW43" s="138">
        <f>SUMIFS(tbl_task1[S148],tbl_task1[[SubPLOs]:[SubPLOs]],"&gt;=10",tbl_task1[[SubPLOs]:[SubPLOs]],"&lt;11")</f>
        <v>0</v>
      </c>
      <c r="EX43" s="138">
        <f>SUMIFS(tbl_task1[S149],tbl_task1[[SubPLOs]:[SubPLOs]],"&gt;=10",tbl_task1[[SubPLOs]:[SubPLOs]],"&lt;11")</f>
        <v>0</v>
      </c>
      <c r="EY43" s="138">
        <f>SUMIFS(tbl_task1[S150],tbl_task1[[SubPLOs]:[SubPLOs]],"&gt;=10",tbl_task1[[SubPLOs]:[SubPLOs]],"&lt;11")</f>
        <v>0</v>
      </c>
      <c r="EZ43" s="138">
        <f>SUMIFS(tbl_task1[S151],tbl_task1[[SubPLOs]:[SubPLOs]],"&gt;=10",tbl_task1[[SubPLOs]:[SubPLOs]],"&lt;11")</f>
        <v>0</v>
      </c>
      <c r="FA43" s="138">
        <f>SUMIFS(tbl_task1[S152],tbl_task1[[SubPLOs]:[SubPLOs]],"&gt;=10",tbl_task1[[SubPLOs]:[SubPLOs]],"&lt;11")</f>
        <v>0</v>
      </c>
      <c r="FB43" s="138">
        <f>SUMIFS(tbl_task1[S153],tbl_task1[[SubPLOs]:[SubPLOs]],"&gt;=10",tbl_task1[[SubPLOs]:[SubPLOs]],"&lt;11")</f>
        <v>0</v>
      </c>
      <c r="FC43" s="138">
        <f>SUMIFS(tbl_task1[S154],tbl_task1[[SubPLOs]:[SubPLOs]],"&gt;=10",tbl_task1[[SubPLOs]:[SubPLOs]],"&lt;11")</f>
        <v>0</v>
      </c>
      <c r="FD43" s="138">
        <f>SUMIFS(tbl_task1[S155],tbl_task1[[SubPLOs]:[SubPLOs]],"&gt;=10",tbl_task1[[SubPLOs]:[SubPLOs]],"&lt;11")</f>
        <v>0</v>
      </c>
      <c r="FE43" s="138">
        <f>SUMIFS(tbl_task1[S156],tbl_task1[[SubPLOs]:[SubPLOs]],"&gt;=10",tbl_task1[[SubPLOs]:[SubPLOs]],"&lt;11")</f>
        <v>0</v>
      </c>
      <c r="FF43" s="138">
        <f>SUMIFS(tbl_task1[S157],tbl_task1[[SubPLOs]:[SubPLOs]],"&gt;=10",tbl_task1[[SubPLOs]:[SubPLOs]],"&lt;11")</f>
        <v>0</v>
      </c>
      <c r="FG43" s="138">
        <f>SUMIFS(tbl_task1[S158],tbl_task1[[SubPLOs]:[SubPLOs]],"&gt;=10",tbl_task1[[SubPLOs]:[SubPLOs]],"&lt;11")</f>
        <v>0</v>
      </c>
      <c r="FH43" s="138">
        <f>SUMIFS(tbl_task1[S159],tbl_task1[[SubPLOs]:[SubPLOs]],"&gt;=10",tbl_task1[[SubPLOs]:[SubPLOs]],"&lt;11")</f>
        <v>0</v>
      </c>
      <c r="FI43" s="138">
        <f>SUMIFS(tbl_task1[S160],tbl_task1[[SubPLOs]:[SubPLOs]],"&gt;=10",tbl_task1[[SubPLOs]:[SubPLOs]],"&lt;11")</f>
        <v>0</v>
      </c>
      <c r="FJ43" s="138">
        <f>SUMIFS(tbl_task1[S161],tbl_task1[[SubPLOs]:[SubPLOs]],"&gt;=10",tbl_task1[[SubPLOs]:[SubPLOs]],"&lt;11")</f>
        <v>0</v>
      </c>
      <c r="FK43" s="138">
        <f>SUMIFS(tbl_task1[S162],tbl_task1[[SubPLOs]:[SubPLOs]],"&gt;=10",tbl_task1[[SubPLOs]:[SubPLOs]],"&lt;11")</f>
        <v>0</v>
      </c>
      <c r="FL43" s="138">
        <f>SUMIFS(tbl_task1[S163],tbl_task1[[SubPLOs]:[SubPLOs]],"&gt;=10",tbl_task1[[SubPLOs]:[SubPLOs]],"&lt;11")</f>
        <v>0</v>
      </c>
      <c r="FM43" s="138">
        <f>SUMIFS(tbl_task1[S164],tbl_task1[[SubPLOs]:[SubPLOs]],"&gt;=10",tbl_task1[[SubPLOs]:[SubPLOs]],"&lt;11")</f>
        <v>0</v>
      </c>
      <c r="FN43" s="138">
        <f>SUMIFS(tbl_task1[S165],tbl_task1[[SubPLOs]:[SubPLOs]],"&gt;=10",tbl_task1[[SubPLOs]:[SubPLOs]],"&lt;11")</f>
        <v>0</v>
      </c>
    </row>
    <row r="44" spans="1:170" s="34" customFormat="1" x14ac:dyDescent="0.25">
      <c r="A44" s="125"/>
      <c r="B44" s="126" t="s">
        <v>11</v>
      </c>
      <c r="C44" s="127">
        <f>SUM(C34:C43)</f>
        <v>0</v>
      </c>
      <c r="D44" s="128">
        <f>SUM(D34:D43)</f>
        <v>0</v>
      </c>
      <c r="E44" s="128">
        <f>SUM(E34:E43)</f>
        <v>0</v>
      </c>
      <c r="F44" s="128">
        <f t="shared" ref="F44:BQ44" si="0">SUM(F34:F43)</f>
        <v>0</v>
      </c>
      <c r="G44" s="128">
        <f t="shared" si="0"/>
        <v>0</v>
      </c>
      <c r="H44" s="128">
        <f t="shared" si="0"/>
        <v>0</v>
      </c>
      <c r="I44" s="128">
        <f t="shared" si="0"/>
        <v>0</v>
      </c>
      <c r="J44" s="128">
        <f t="shared" si="0"/>
        <v>0</v>
      </c>
      <c r="K44" s="128">
        <f t="shared" si="0"/>
        <v>0</v>
      </c>
      <c r="L44" s="128">
        <f t="shared" si="0"/>
        <v>0</v>
      </c>
      <c r="M44" s="128">
        <f t="shared" si="0"/>
        <v>0</v>
      </c>
      <c r="N44" s="128">
        <f t="shared" si="0"/>
        <v>0</v>
      </c>
      <c r="O44" s="128">
        <f t="shared" si="0"/>
        <v>0</v>
      </c>
      <c r="P44" s="128">
        <f t="shared" si="0"/>
        <v>0</v>
      </c>
      <c r="Q44" s="128">
        <f t="shared" si="0"/>
        <v>0</v>
      </c>
      <c r="R44" s="128">
        <f t="shared" si="0"/>
        <v>0</v>
      </c>
      <c r="S44" s="128">
        <f t="shared" si="0"/>
        <v>0</v>
      </c>
      <c r="T44" s="128">
        <f t="shared" si="0"/>
        <v>0</v>
      </c>
      <c r="U44" s="128">
        <f t="shared" si="0"/>
        <v>0</v>
      </c>
      <c r="V44" s="128">
        <f t="shared" si="0"/>
        <v>0</v>
      </c>
      <c r="W44" s="128">
        <f t="shared" si="0"/>
        <v>0</v>
      </c>
      <c r="X44" s="128">
        <f t="shared" si="0"/>
        <v>0</v>
      </c>
      <c r="Y44" s="128">
        <f t="shared" si="0"/>
        <v>0</v>
      </c>
      <c r="Z44" s="128">
        <f t="shared" si="0"/>
        <v>0</v>
      </c>
      <c r="AA44" s="128">
        <f t="shared" si="0"/>
        <v>0</v>
      </c>
      <c r="AB44" s="128">
        <f t="shared" si="0"/>
        <v>0</v>
      </c>
      <c r="AC44" s="128">
        <f t="shared" si="0"/>
        <v>0</v>
      </c>
      <c r="AD44" s="128">
        <f t="shared" si="0"/>
        <v>0</v>
      </c>
      <c r="AE44" s="128">
        <f t="shared" si="0"/>
        <v>0</v>
      </c>
      <c r="AF44" s="128">
        <f t="shared" si="0"/>
        <v>0</v>
      </c>
      <c r="AG44" s="128">
        <f t="shared" si="0"/>
        <v>0</v>
      </c>
      <c r="AH44" s="128">
        <f t="shared" si="0"/>
        <v>0</v>
      </c>
      <c r="AI44" s="128">
        <f t="shared" si="0"/>
        <v>0</v>
      </c>
      <c r="AJ44" s="128">
        <f t="shared" si="0"/>
        <v>0</v>
      </c>
      <c r="AK44" s="128">
        <f t="shared" si="0"/>
        <v>0</v>
      </c>
      <c r="AL44" s="128">
        <f t="shared" si="0"/>
        <v>0</v>
      </c>
      <c r="AM44" s="128">
        <f t="shared" si="0"/>
        <v>0</v>
      </c>
      <c r="AN44" s="128">
        <f t="shared" si="0"/>
        <v>0</v>
      </c>
      <c r="AO44" s="128">
        <f t="shared" si="0"/>
        <v>0</v>
      </c>
      <c r="AP44" s="128">
        <f t="shared" si="0"/>
        <v>0</v>
      </c>
      <c r="AQ44" s="128">
        <f t="shared" si="0"/>
        <v>0</v>
      </c>
      <c r="AR44" s="128">
        <f t="shared" si="0"/>
        <v>0</v>
      </c>
      <c r="AS44" s="128">
        <f t="shared" si="0"/>
        <v>0</v>
      </c>
      <c r="AT44" s="128">
        <f t="shared" si="0"/>
        <v>0</v>
      </c>
      <c r="AU44" s="128">
        <f t="shared" si="0"/>
        <v>0</v>
      </c>
      <c r="AV44" s="128">
        <f t="shared" si="0"/>
        <v>0</v>
      </c>
      <c r="AW44" s="128">
        <f t="shared" si="0"/>
        <v>0</v>
      </c>
      <c r="AX44" s="128">
        <f t="shared" si="0"/>
        <v>0</v>
      </c>
      <c r="AY44" s="128">
        <f t="shared" si="0"/>
        <v>0</v>
      </c>
      <c r="AZ44" s="128">
        <f t="shared" si="0"/>
        <v>0</v>
      </c>
      <c r="BA44" s="128">
        <f t="shared" si="0"/>
        <v>0</v>
      </c>
      <c r="BB44" s="128">
        <f t="shared" si="0"/>
        <v>0</v>
      </c>
      <c r="BC44" s="128">
        <f t="shared" si="0"/>
        <v>0</v>
      </c>
      <c r="BD44" s="128">
        <f t="shared" si="0"/>
        <v>0</v>
      </c>
      <c r="BE44" s="128">
        <f t="shared" si="0"/>
        <v>0</v>
      </c>
      <c r="BF44" s="128">
        <f t="shared" si="0"/>
        <v>0</v>
      </c>
      <c r="BG44" s="128">
        <f t="shared" si="0"/>
        <v>0</v>
      </c>
      <c r="BH44" s="128">
        <f t="shared" si="0"/>
        <v>0</v>
      </c>
      <c r="BI44" s="128">
        <f t="shared" si="0"/>
        <v>0</v>
      </c>
      <c r="BJ44" s="128">
        <f t="shared" si="0"/>
        <v>0</v>
      </c>
      <c r="BK44" s="128">
        <f t="shared" si="0"/>
        <v>0</v>
      </c>
      <c r="BL44" s="128">
        <f t="shared" si="0"/>
        <v>0</v>
      </c>
      <c r="BM44" s="128">
        <f t="shared" si="0"/>
        <v>0</v>
      </c>
      <c r="BN44" s="128">
        <f t="shared" si="0"/>
        <v>0</v>
      </c>
      <c r="BO44" s="128">
        <f t="shared" si="0"/>
        <v>0</v>
      </c>
      <c r="BP44" s="128">
        <f t="shared" si="0"/>
        <v>0</v>
      </c>
      <c r="BQ44" s="128">
        <f t="shared" si="0"/>
        <v>0</v>
      </c>
      <c r="BR44" s="128">
        <f t="shared" ref="BR44:EC44" si="1">SUM(BR34:BR43)</f>
        <v>0</v>
      </c>
      <c r="BS44" s="128">
        <f t="shared" si="1"/>
        <v>0</v>
      </c>
      <c r="BT44" s="128">
        <f t="shared" si="1"/>
        <v>0</v>
      </c>
      <c r="BU44" s="128">
        <f t="shared" si="1"/>
        <v>0</v>
      </c>
      <c r="BV44" s="128">
        <f t="shared" si="1"/>
        <v>0</v>
      </c>
      <c r="BW44" s="128">
        <f t="shared" si="1"/>
        <v>0</v>
      </c>
      <c r="BX44" s="128">
        <f t="shared" si="1"/>
        <v>0</v>
      </c>
      <c r="BY44" s="128">
        <f t="shared" si="1"/>
        <v>0</v>
      </c>
      <c r="BZ44" s="128">
        <f t="shared" si="1"/>
        <v>0</v>
      </c>
      <c r="CA44" s="128">
        <f t="shared" si="1"/>
        <v>0</v>
      </c>
      <c r="CB44" s="128">
        <f t="shared" si="1"/>
        <v>0</v>
      </c>
      <c r="CC44" s="128">
        <f t="shared" si="1"/>
        <v>0</v>
      </c>
      <c r="CD44" s="128">
        <f t="shared" si="1"/>
        <v>0</v>
      </c>
      <c r="CE44" s="128">
        <f t="shared" si="1"/>
        <v>0</v>
      </c>
      <c r="CF44" s="128">
        <f t="shared" si="1"/>
        <v>0</v>
      </c>
      <c r="CG44" s="128">
        <f t="shared" si="1"/>
        <v>0</v>
      </c>
      <c r="CH44" s="128">
        <f t="shared" si="1"/>
        <v>0</v>
      </c>
      <c r="CI44" s="128">
        <f t="shared" si="1"/>
        <v>0</v>
      </c>
      <c r="CJ44" s="128">
        <f t="shared" si="1"/>
        <v>0</v>
      </c>
      <c r="CK44" s="128">
        <f t="shared" si="1"/>
        <v>0</v>
      </c>
      <c r="CL44" s="128">
        <f t="shared" si="1"/>
        <v>0</v>
      </c>
      <c r="CM44" s="128">
        <f t="shared" si="1"/>
        <v>0</v>
      </c>
      <c r="CN44" s="128">
        <f t="shared" si="1"/>
        <v>0</v>
      </c>
      <c r="CO44" s="128">
        <f t="shared" si="1"/>
        <v>0</v>
      </c>
      <c r="CP44" s="128">
        <f t="shared" si="1"/>
        <v>0</v>
      </c>
      <c r="CQ44" s="128">
        <f t="shared" si="1"/>
        <v>0</v>
      </c>
      <c r="CR44" s="128">
        <f t="shared" si="1"/>
        <v>0</v>
      </c>
      <c r="CS44" s="128">
        <f t="shared" si="1"/>
        <v>0</v>
      </c>
      <c r="CT44" s="128">
        <f t="shared" si="1"/>
        <v>0</v>
      </c>
      <c r="CU44" s="128">
        <f t="shared" si="1"/>
        <v>0</v>
      </c>
      <c r="CV44" s="128">
        <f t="shared" si="1"/>
        <v>0</v>
      </c>
      <c r="CW44" s="128">
        <f t="shared" si="1"/>
        <v>0</v>
      </c>
      <c r="CX44" s="128">
        <f t="shared" si="1"/>
        <v>0</v>
      </c>
      <c r="CY44" s="128">
        <f t="shared" si="1"/>
        <v>0</v>
      </c>
      <c r="CZ44" s="128">
        <f t="shared" si="1"/>
        <v>0</v>
      </c>
      <c r="DA44" s="128">
        <f t="shared" si="1"/>
        <v>0</v>
      </c>
      <c r="DB44" s="128">
        <f t="shared" si="1"/>
        <v>0</v>
      </c>
      <c r="DC44" s="128">
        <f t="shared" si="1"/>
        <v>0</v>
      </c>
      <c r="DD44" s="128">
        <f t="shared" si="1"/>
        <v>0</v>
      </c>
      <c r="DE44" s="128">
        <f t="shared" si="1"/>
        <v>0</v>
      </c>
      <c r="DF44" s="128">
        <f t="shared" si="1"/>
        <v>0</v>
      </c>
      <c r="DG44" s="128">
        <f t="shared" si="1"/>
        <v>0</v>
      </c>
      <c r="DH44" s="128">
        <f t="shared" si="1"/>
        <v>0</v>
      </c>
      <c r="DI44" s="128">
        <f t="shared" si="1"/>
        <v>0</v>
      </c>
      <c r="DJ44" s="128">
        <f t="shared" si="1"/>
        <v>0</v>
      </c>
      <c r="DK44" s="128">
        <f t="shared" si="1"/>
        <v>0</v>
      </c>
      <c r="DL44" s="128">
        <f t="shared" si="1"/>
        <v>0</v>
      </c>
      <c r="DM44" s="128">
        <f t="shared" si="1"/>
        <v>0</v>
      </c>
      <c r="DN44" s="128">
        <f t="shared" si="1"/>
        <v>0</v>
      </c>
      <c r="DO44" s="128">
        <f t="shared" si="1"/>
        <v>0</v>
      </c>
      <c r="DP44" s="128">
        <f t="shared" si="1"/>
        <v>0</v>
      </c>
      <c r="DQ44" s="128">
        <f t="shared" si="1"/>
        <v>0</v>
      </c>
      <c r="DR44" s="128">
        <f t="shared" si="1"/>
        <v>0</v>
      </c>
      <c r="DS44" s="128">
        <f t="shared" si="1"/>
        <v>0</v>
      </c>
      <c r="DT44" s="128">
        <f t="shared" si="1"/>
        <v>0</v>
      </c>
      <c r="DU44" s="128">
        <f t="shared" si="1"/>
        <v>0</v>
      </c>
      <c r="DV44" s="128">
        <f t="shared" si="1"/>
        <v>0</v>
      </c>
      <c r="DW44" s="128">
        <f t="shared" si="1"/>
        <v>0</v>
      </c>
      <c r="DX44" s="128">
        <f t="shared" si="1"/>
        <v>0</v>
      </c>
      <c r="DY44" s="128">
        <f t="shared" si="1"/>
        <v>0</v>
      </c>
      <c r="DZ44" s="128">
        <f t="shared" si="1"/>
        <v>0</v>
      </c>
      <c r="EA44" s="128">
        <f t="shared" si="1"/>
        <v>0</v>
      </c>
      <c r="EB44" s="128">
        <f t="shared" si="1"/>
        <v>0</v>
      </c>
      <c r="EC44" s="128">
        <f t="shared" si="1"/>
        <v>0</v>
      </c>
      <c r="ED44" s="128">
        <f t="shared" ref="ED44:FN44" si="2">SUM(ED34:ED43)</f>
        <v>0</v>
      </c>
      <c r="EE44" s="128">
        <f t="shared" si="2"/>
        <v>0</v>
      </c>
      <c r="EF44" s="128">
        <f t="shared" si="2"/>
        <v>0</v>
      </c>
      <c r="EG44" s="128">
        <f t="shared" si="2"/>
        <v>0</v>
      </c>
      <c r="EH44" s="128">
        <f t="shared" si="2"/>
        <v>0</v>
      </c>
      <c r="EI44" s="128">
        <f t="shared" si="2"/>
        <v>0</v>
      </c>
      <c r="EJ44" s="128">
        <f t="shared" si="2"/>
        <v>0</v>
      </c>
      <c r="EK44" s="128">
        <f t="shared" si="2"/>
        <v>0</v>
      </c>
      <c r="EL44" s="128">
        <f t="shared" si="2"/>
        <v>0</v>
      </c>
      <c r="EM44" s="128">
        <f t="shared" si="2"/>
        <v>0</v>
      </c>
      <c r="EN44" s="128">
        <f t="shared" si="2"/>
        <v>0</v>
      </c>
      <c r="EO44" s="128">
        <f t="shared" si="2"/>
        <v>0</v>
      </c>
      <c r="EP44" s="128">
        <f t="shared" si="2"/>
        <v>0</v>
      </c>
      <c r="EQ44" s="128">
        <f t="shared" si="2"/>
        <v>0</v>
      </c>
      <c r="ER44" s="128">
        <f t="shared" si="2"/>
        <v>0</v>
      </c>
      <c r="ES44" s="128">
        <f t="shared" si="2"/>
        <v>0</v>
      </c>
      <c r="ET44" s="128">
        <f t="shared" si="2"/>
        <v>0</v>
      </c>
      <c r="EU44" s="128">
        <f t="shared" si="2"/>
        <v>0</v>
      </c>
      <c r="EV44" s="128">
        <f t="shared" si="2"/>
        <v>0</v>
      </c>
      <c r="EW44" s="128">
        <f t="shared" si="2"/>
        <v>0</v>
      </c>
      <c r="EX44" s="128">
        <f t="shared" si="2"/>
        <v>0</v>
      </c>
      <c r="EY44" s="128">
        <f t="shared" si="2"/>
        <v>0</v>
      </c>
      <c r="EZ44" s="128">
        <f t="shared" si="2"/>
        <v>0</v>
      </c>
      <c r="FA44" s="128">
        <f t="shared" si="2"/>
        <v>0</v>
      </c>
      <c r="FB44" s="128">
        <f t="shared" si="2"/>
        <v>0</v>
      </c>
      <c r="FC44" s="128">
        <f t="shared" si="2"/>
        <v>0</v>
      </c>
      <c r="FD44" s="128">
        <f t="shared" si="2"/>
        <v>0</v>
      </c>
      <c r="FE44" s="128">
        <f t="shared" si="2"/>
        <v>0</v>
      </c>
      <c r="FF44" s="128">
        <f t="shared" si="2"/>
        <v>0</v>
      </c>
      <c r="FG44" s="128">
        <f t="shared" si="2"/>
        <v>0</v>
      </c>
      <c r="FH44" s="128">
        <f t="shared" si="2"/>
        <v>0</v>
      </c>
      <c r="FI44" s="128">
        <f t="shared" si="2"/>
        <v>0</v>
      </c>
      <c r="FJ44" s="128">
        <f t="shared" si="2"/>
        <v>0</v>
      </c>
      <c r="FK44" s="128">
        <f t="shared" si="2"/>
        <v>0</v>
      </c>
      <c r="FL44" s="128">
        <f t="shared" si="2"/>
        <v>0</v>
      </c>
      <c r="FM44" s="128">
        <f t="shared" si="2"/>
        <v>0</v>
      </c>
      <c r="FN44" s="128">
        <f t="shared" si="2"/>
        <v>0</v>
      </c>
    </row>
  </sheetData>
  <mergeCells count="1">
    <mergeCell ref="C1:P1"/>
  </mergeCells>
  <dataValidations count="2">
    <dataValidation type="whole" allowBlank="1" showInputMessage="1" showErrorMessage="1" sqref="F30:FN31">
      <formula1>1</formula1>
      <formula2>4</formula2>
    </dataValidation>
    <dataValidation type="decimal" operator="greaterThanOrEqual" allowBlank="1" showInputMessage="1" showErrorMessage="1" sqref="F4:FN28">
      <formula1>0</formula1>
    </dataValidation>
  </dataValidations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52" fitToHeight="0" orientation="landscape" r:id="rId1"/>
  <legacy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X44"/>
  <sheetViews>
    <sheetView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B34" sqref="B34"/>
    </sheetView>
  </sheetViews>
  <sheetFormatPr defaultColWidth="0" defaultRowHeight="21" x14ac:dyDescent="0.25"/>
  <cols>
    <col min="1" max="1" width="5.69921875" style="3" customWidth="1"/>
    <col min="2" max="2" width="27.09765625" style="1" customWidth="1"/>
    <col min="3" max="3" width="28.3984375" style="2" customWidth="1"/>
    <col min="4" max="4" width="10.09765625" style="101" customWidth="1"/>
    <col min="5" max="5" width="11" style="3" customWidth="1"/>
    <col min="6" max="290" width="6.69921875" style="3" customWidth="1"/>
    <col min="291" max="335" width="6.69921875" style="3" hidden="1" customWidth="1"/>
    <col min="336" max="336" width="9.09765625" style="3" customWidth="1"/>
    <col min="337" max="16384" width="9.09765625" style="3" hidden="1"/>
  </cols>
  <sheetData>
    <row r="1" spans="1:335" s="110" customFormat="1" ht="27.75" customHeight="1" x14ac:dyDescent="0.25">
      <c r="A1" s="120" t="s">
        <v>265</v>
      </c>
      <c r="B1" s="119" t="s">
        <v>308</v>
      </c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</row>
    <row r="2" spans="1:335" s="111" customFormat="1" ht="13.5" customHeight="1" x14ac:dyDescent="0.25">
      <c r="A2" s="112"/>
      <c r="B2" s="112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4"/>
    </row>
    <row r="3" spans="1:335" s="32" customFormat="1" x14ac:dyDescent="0.6">
      <c r="A3" s="28" t="s">
        <v>137</v>
      </c>
      <c r="B3" s="29" t="s">
        <v>452</v>
      </c>
      <c r="C3" s="30" t="s">
        <v>453</v>
      </c>
      <c r="D3" s="104" t="s">
        <v>306</v>
      </c>
      <c r="E3" s="105" t="s">
        <v>307</v>
      </c>
      <c r="F3" s="31" t="s">
        <v>2</v>
      </c>
      <c r="G3" s="31" t="s">
        <v>0</v>
      </c>
      <c r="H3" s="31" t="s">
        <v>1</v>
      </c>
      <c r="I3" s="31" t="s">
        <v>4</v>
      </c>
      <c r="J3" s="31" t="s">
        <v>138</v>
      </c>
      <c r="K3" s="31" t="s">
        <v>139</v>
      </c>
      <c r="L3" s="31" t="s">
        <v>140</v>
      </c>
      <c r="M3" s="31" t="s">
        <v>141</v>
      </c>
      <c r="N3" s="31" t="s">
        <v>142</v>
      </c>
      <c r="O3" s="31" t="s">
        <v>143</v>
      </c>
      <c r="P3" s="31" t="s">
        <v>144</v>
      </c>
      <c r="Q3" s="31" t="s">
        <v>145</v>
      </c>
      <c r="R3" s="31" t="s">
        <v>146</v>
      </c>
      <c r="S3" s="31" t="s">
        <v>147</v>
      </c>
      <c r="T3" s="31" t="s">
        <v>148</v>
      </c>
      <c r="U3" s="31" t="s">
        <v>149</v>
      </c>
      <c r="V3" s="31" t="s">
        <v>150</v>
      </c>
      <c r="W3" s="31" t="s">
        <v>151</v>
      </c>
      <c r="X3" s="31" t="s">
        <v>152</v>
      </c>
      <c r="Y3" s="31" t="s">
        <v>153</v>
      </c>
      <c r="Z3" s="31" t="s">
        <v>154</v>
      </c>
      <c r="AA3" s="31" t="s">
        <v>155</v>
      </c>
      <c r="AB3" s="31" t="s">
        <v>156</v>
      </c>
      <c r="AC3" s="31" t="s">
        <v>157</v>
      </c>
      <c r="AD3" s="31" t="s">
        <v>158</v>
      </c>
      <c r="AE3" s="31" t="s">
        <v>159</v>
      </c>
      <c r="AF3" s="31" t="s">
        <v>160</v>
      </c>
      <c r="AG3" s="31" t="s">
        <v>161</v>
      </c>
      <c r="AH3" s="31" t="s">
        <v>162</v>
      </c>
      <c r="AI3" s="31" t="s">
        <v>163</v>
      </c>
      <c r="AJ3" s="31" t="s">
        <v>164</v>
      </c>
      <c r="AK3" s="31" t="s">
        <v>165</v>
      </c>
      <c r="AL3" s="31" t="s">
        <v>166</v>
      </c>
      <c r="AM3" s="31" t="s">
        <v>167</v>
      </c>
      <c r="AN3" s="31" t="s">
        <v>168</v>
      </c>
      <c r="AO3" s="31" t="s">
        <v>169</v>
      </c>
      <c r="AP3" s="31" t="s">
        <v>170</v>
      </c>
      <c r="AQ3" s="31" t="s">
        <v>171</v>
      </c>
      <c r="AR3" s="31" t="s">
        <v>172</v>
      </c>
      <c r="AS3" s="31" t="s">
        <v>173</v>
      </c>
      <c r="AT3" s="31" t="s">
        <v>174</v>
      </c>
      <c r="AU3" s="31" t="s">
        <v>175</v>
      </c>
      <c r="AV3" s="31" t="s">
        <v>176</v>
      </c>
      <c r="AW3" s="31" t="s">
        <v>177</v>
      </c>
      <c r="AX3" s="31" t="s">
        <v>178</v>
      </c>
      <c r="AY3" s="31" t="s">
        <v>179</v>
      </c>
      <c r="AZ3" s="31" t="s">
        <v>180</v>
      </c>
      <c r="BA3" s="31" t="s">
        <v>181</v>
      </c>
      <c r="BB3" s="31" t="s">
        <v>182</v>
      </c>
      <c r="BC3" s="31" t="s">
        <v>183</v>
      </c>
      <c r="BD3" s="31" t="s">
        <v>184</v>
      </c>
      <c r="BE3" s="31" t="s">
        <v>185</v>
      </c>
      <c r="BF3" s="31" t="s">
        <v>186</v>
      </c>
      <c r="BG3" s="31" t="s">
        <v>187</v>
      </c>
      <c r="BH3" s="31" t="s">
        <v>188</v>
      </c>
      <c r="BI3" s="31" t="s">
        <v>189</v>
      </c>
      <c r="BJ3" s="31" t="s">
        <v>190</v>
      </c>
      <c r="BK3" s="31" t="s">
        <v>191</v>
      </c>
      <c r="BL3" s="31" t="s">
        <v>192</v>
      </c>
      <c r="BM3" s="31" t="s">
        <v>193</v>
      </c>
      <c r="BN3" s="31" t="s">
        <v>194</v>
      </c>
      <c r="BO3" s="31" t="s">
        <v>195</v>
      </c>
      <c r="BP3" s="31" t="s">
        <v>196</v>
      </c>
      <c r="BQ3" s="31" t="s">
        <v>197</v>
      </c>
      <c r="BR3" s="31" t="s">
        <v>198</v>
      </c>
      <c r="BS3" s="31" t="s">
        <v>199</v>
      </c>
      <c r="BT3" s="31" t="s">
        <v>200</v>
      </c>
      <c r="BU3" s="31" t="s">
        <v>201</v>
      </c>
      <c r="BV3" s="31" t="s">
        <v>202</v>
      </c>
      <c r="BW3" s="31" t="s">
        <v>203</v>
      </c>
      <c r="BX3" s="31" t="s">
        <v>204</v>
      </c>
      <c r="BY3" s="31" t="s">
        <v>205</v>
      </c>
      <c r="BZ3" s="31" t="s">
        <v>206</v>
      </c>
      <c r="CA3" s="31" t="s">
        <v>207</v>
      </c>
      <c r="CB3" s="31" t="s">
        <v>208</v>
      </c>
      <c r="CC3" s="31" t="s">
        <v>209</v>
      </c>
      <c r="CD3" s="31" t="s">
        <v>210</v>
      </c>
      <c r="CE3" s="31" t="s">
        <v>211</v>
      </c>
      <c r="CF3" s="31" t="s">
        <v>212</v>
      </c>
      <c r="CG3" s="31" t="s">
        <v>213</v>
      </c>
      <c r="CH3" s="31" t="s">
        <v>214</v>
      </c>
      <c r="CI3" s="31" t="s">
        <v>215</v>
      </c>
      <c r="CJ3" s="31" t="s">
        <v>216</v>
      </c>
      <c r="CK3" s="31" t="s">
        <v>217</v>
      </c>
      <c r="CL3" s="31" t="s">
        <v>218</v>
      </c>
      <c r="CM3" s="31" t="s">
        <v>219</v>
      </c>
      <c r="CN3" s="31" t="s">
        <v>220</v>
      </c>
      <c r="CO3" s="31" t="s">
        <v>221</v>
      </c>
      <c r="CP3" s="31" t="s">
        <v>222</v>
      </c>
      <c r="CQ3" s="31" t="s">
        <v>223</v>
      </c>
      <c r="CR3" s="31" t="s">
        <v>224</v>
      </c>
      <c r="CS3" s="31" t="s">
        <v>225</v>
      </c>
      <c r="CT3" s="31" t="s">
        <v>226</v>
      </c>
      <c r="CU3" s="31" t="s">
        <v>227</v>
      </c>
      <c r="CV3" s="31" t="s">
        <v>228</v>
      </c>
      <c r="CW3" s="31" t="s">
        <v>229</v>
      </c>
      <c r="CX3" s="31" t="s">
        <v>230</v>
      </c>
      <c r="CY3" s="31" t="s">
        <v>231</v>
      </c>
      <c r="CZ3" s="31" t="s">
        <v>232</v>
      </c>
      <c r="DA3" s="31" t="s">
        <v>233</v>
      </c>
      <c r="DB3" s="31" t="s">
        <v>234</v>
      </c>
      <c r="DC3" s="31" t="s">
        <v>235</v>
      </c>
      <c r="DD3" s="31" t="s">
        <v>236</v>
      </c>
      <c r="DE3" s="31" t="s">
        <v>237</v>
      </c>
      <c r="DF3" s="31" t="s">
        <v>238</v>
      </c>
      <c r="DG3" s="31" t="s">
        <v>239</v>
      </c>
      <c r="DH3" s="31" t="s">
        <v>240</v>
      </c>
      <c r="DI3" s="31" t="s">
        <v>241</v>
      </c>
      <c r="DJ3" s="31" t="s">
        <v>242</v>
      </c>
      <c r="DK3" s="31" t="s">
        <v>243</v>
      </c>
      <c r="DL3" s="31" t="s">
        <v>244</v>
      </c>
      <c r="DM3" s="31" t="s">
        <v>245</v>
      </c>
      <c r="DN3" s="31" t="s">
        <v>246</v>
      </c>
      <c r="DO3" s="31" t="s">
        <v>247</v>
      </c>
      <c r="DP3" s="31" t="s">
        <v>248</v>
      </c>
      <c r="DQ3" s="31" t="s">
        <v>309</v>
      </c>
      <c r="DR3" s="31" t="s">
        <v>310</v>
      </c>
      <c r="DS3" s="31" t="s">
        <v>311</v>
      </c>
      <c r="DT3" s="31" t="s">
        <v>312</v>
      </c>
      <c r="DU3" s="31" t="s">
        <v>313</v>
      </c>
      <c r="DV3" s="31" t="s">
        <v>314</v>
      </c>
      <c r="DW3" s="31" t="s">
        <v>315</v>
      </c>
      <c r="DX3" s="31" t="s">
        <v>316</v>
      </c>
      <c r="DY3" s="31" t="s">
        <v>317</v>
      </c>
      <c r="DZ3" s="31" t="s">
        <v>318</v>
      </c>
      <c r="EA3" s="31" t="s">
        <v>319</v>
      </c>
      <c r="EB3" s="31" t="s">
        <v>320</v>
      </c>
      <c r="EC3" s="31" t="s">
        <v>321</v>
      </c>
      <c r="ED3" s="31" t="s">
        <v>322</v>
      </c>
      <c r="EE3" s="31" t="s">
        <v>323</v>
      </c>
      <c r="EF3" s="31" t="s">
        <v>324</v>
      </c>
      <c r="EG3" s="31" t="s">
        <v>325</v>
      </c>
      <c r="EH3" s="31" t="s">
        <v>326</v>
      </c>
      <c r="EI3" s="31" t="s">
        <v>327</v>
      </c>
      <c r="EJ3" s="31" t="s">
        <v>328</v>
      </c>
      <c r="EK3" s="31" t="s">
        <v>329</v>
      </c>
      <c r="EL3" s="31" t="s">
        <v>330</v>
      </c>
      <c r="EM3" s="31" t="s">
        <v>331</v>
      </c>
      <c r="EN3" s="31" t="s">
        <v>332</v>
      </c>
      <c r="EO3" s="31" t="s">
        <v>333</v>
      </c>
      <c r="EP3" s="31" t="s">
        <v>334</v>
      </c>
      <c r="EQ3" s="31" t="s">
        <v>335</v>
      </c>
      <c r="ER3" s="31" t="s">
        <v>336</v>
      </c>
      <c r="ES3" s="31" t="s">
        <v>337</v>
      </c>
      <c r="ET3" s="31" t="s">
        <v>338</v>
      </c>
      <c r="EU3" s="31" t="s">
        <v>339</v>
      </c>
      <c r="EV3" s="31" t="s">
        <v>340</v>
      </c>
      <c r="EW3" s="31" t="s">
        <v>341</v>
      </c>
      <c r="EX3" s="31" t="s">
        <v>342</v>
      </c>
      <c r="EY3" s="31" t="s">
        <v>343</v>
      </c>
      <c r="EZ3" s="31" t="s">
        <v>344</v>
      </c>
      <c r="FA3" s="31" t="s">
        <v>345</v>
      </c>
      <c r="FB3" s="31" t="s">
        <v>346</v>
      </c>
      <c r="FC3" s="31" t="s">
        <v>347</v>
      </c>
      <c r="FD3" s="31" t="s">
        <v>348</v>
      </c>
      <c r="FE3" s="31" t="s">
        <v>349</v>
      </c>
      <c r="FF3" s="31" t="s">
        <v>350</v>
      </c>
      <c r="FG3" s="31" t="s">
        <v>351</v>
      </c>
      <c r="FH3" s="31" t="s">
        <v>352</v>
      </c>
      <c r="FI3" s="31" t="s">
        <v>353</v>
      </c>
      <c r="FJ3" s="31" t="s">
        <v>354</v>
      </c>
      <c r="FK3" s="31" t="s">
        <v>355</v>
      </c>
      <c r="FL3" s="31" t="s">
        <v>356</v>
      </c>
      <c r="FM3" s="31" t="s">
        <v>357</v>
      </c>
      <c r="FN3" s="31" t="s">
        <v>358</v>
      </c>
      <c r="FO3" s="123" t="s">
        <v>22</v>
      </c>
      <c r="FP3" s="123" t="s">
        <v>23</v>
      </c>
      <c r="FQ3" s="123" t="s">
        <v>24</v>
      </c>
      <c r="FR3" s="123" t="s">
        <v>25</v>
      </c>
      <c r="FS3" s="123" t="s">
        <v>26</v>
      </c>
      <c r="FT3" s="123" t="s">
        <v>27</v>
      </c>
      <c r="FU3" s="123" t="s">
        <v>28</v>
      </c>
      <c r="FV3" s="123" t="s">
        <v>29</v>
      </c>
      <c r="FW3" s="123" t="s">
        <v>30</v>
      </c>
      <c r="FX3" s="123" t="s">
        <v>31</v>
      </c>
      <c r="FY3" s="123" t="s">
        <v>32</v>
      </c>
      <c r="FZ3" s="123" t="s">
        <v>33</v>
      </c>
      <c r="GA3" s="123" t="s">
        <v>34</v>
      </c>
      <c r="GB3" s="123" t="s">
        <v>35</v>
      </c>
      <c r="GC3" s="123" t="s">
        <v>36</v>
      </c>
      <c r="GD3" s="123" t="s">
        <v>37</v>
      </c>
      <c r="GE3" s="123" t="s">
        <v>38</v>
      </c>
      <c r="GF3" s="123" t="s">
        <v>39</v>
      </c>
      <c r="GG3" s="123" t="s">
        <v>40</v>
      </c>
      <c r="GH3" s="123" t="s">
        <v>41</v>
      </c>
      <c r="GI3" s="123" t="s">
        <v>42</v>
      </c>
      <c r="GJ3" s="123" t="s">
        <v>43</v>
      </c>
      <c r="GK3" s="123" t="s">
        <v>44</v>
      </c>
      <c r="GL3" s="123" t="s">
        <v>45</v>
      </c>
      <c r="GM3" s="123" t="s">
        <v>46</v>
      </c>
      <c r="GN3" s="123" t="s">
        <v>47</v>
      </c>
      <c r="GO3" s="123" t="s">
        <v>48</v>
      </c>
      <c r="GP3" s="123" t="s">
        <v>49</v>
      </c>
      <c r="GQ3" s="123" t="s">
        <v>50</v>
      </c>
      <c r="GR3" s="123" t="s">
        <v>51</v>
      </c>
      <c r="GS3" s="123" t="s">
        <v>52</v>
      </c>
      <c r="GT3" s="123" t="s">
        <v>53</v>
      </c>
      <c r="GU3" s="123" t="s">
        <v>54</v>
      </c>
      <c r="GV3" s="123" t="s">
        <v>55</v>
      </c>
      <c r="GW3" s="123" t="s">
        <v>56</v>
      </c>
      <c r="GX3" s="123" t="s">
        <v>57</v>
      </c>
      <c r="GY3" s="123" t="s">
        <v>58</v>
      </c>
      <c r="GZ3" s="123" t="s">
        <v>59</v>
      </c>
      <c r="HA3" s="123" t="s">
        <v>60</v>
      </c>
      <c r="HB3" s="123" t="s">
        <v>61</v>
      </c>
      <c r="HC3" s="123" t="s">
        <v>62</v>
      </c>
      <c r="HD3" s="123" t="s">
        <v>63</v>
      </c>
      <c r="HE3" s="123" t="s">
        <v>64</v>
      </c>
      <c r="HF3" s="123" t="s">
        <v>65</v>
      </c>
      <c r="HG3" s="123" t="s">
        <v>66</v>
      </c>
      <c r="HH3" s="123" t="s">
        <v>67</v>
      </c>
      <c r="HI3" s="123" t="s">
        <v>68</v>
      </c>
      <c r="HJ3" s="123" t="s">
        <v>69</v>
      </c>
      <c r="HK3" s="123" t="s">
        <v>70</v>
      </c>
      <c r="HL3" s="123" t="s">
        <v>71</v>
      </c>
      <c r="HM3" s="123" t="s">
        <v>72</v>
      </c>
      <c r="HN3" s="123" t="s">
        <v>73</v>
      </c>
      <c r="HO3" s="123" t="s">
        <v>74</v>
      </c>
      <c r="HP3" s="123" t="s">
        <v>75</v>
      </c>
      <c r="HQ3" s="123" t="s">
        <v>76</v>
      </c>
      <c r="HR3" s="123" t="s">
        <v>77</v>
      </c>
      <c r="HS3" s="123" t="s">
        <v>78</v>
      </c>
      <c r="HT3" s="123" t="s">
        <v>79</v>
      </c>
      <c r="HU3" s="123" t="s">
        <v>80</v>
      </c>
      <c r="HV3" s="123" t="s">
        <v>81</v>
      </c>
      <c r="HW3" s="123" t="s">
        <v>82</v>
      </c>
      <c r="HX3" s="123" t="s">
        <v>83</v>
      </c>
      <c r="HY3" s="123" t="s">
        <v>84</v>
      </c>
      <c r="HZ3" s="123" t="s">
        <v>85</v>
      </c>
      <c r="IA3" s="123" t="s">
        <v>86</v>
      </c>
      <c r="IB3" s="123" t="s">
        <v>87</v>
      </c>
      <c r="IC3" s="123" t="s">
        <v>88</v>
      </c>
      <c r="ID3" s="123" t="s">
        <v>89</v>
      </c>
      <c r="IE3" s="123" t="s">
        <v>90</v>
      </c>
      <c r="IF3" s="123" t="s">
        <v>91</v>
      </c>
      <c r="IG3" s="123" t="s">
        <v>92</v>
      </c>
      <c r="IH3" s="123" t="s">
        <v>93</v>
      </c>
      <c r="II3" s="123" t="s">
        <v>94</v>
      </c>
      <c r="IJ3" s="123" t="s">
        <v>95</v>
      </c>
      <c r="IK3" s="123" t="s">
        <v>96</v>
      </c>
      <c r="IL3" s="123" t="s">
        <v>97</v>
      </c>
      <c r="IM3" s="123" t="s">
        <v>98</v>
      </c>
      <c r="IN3" s="123" t="s">
        <v>99</v>
      </c>
      <c r="IO3" s="123" t="s">
        <v>100</v>
      </c>
      <c r="IP3" s="123" t="s">
        <v>101</v>
      </c>
      <c r="IQ3" s="123" t="s">
        <v>102</v>
      </c>
      <c r="IR3" s="123" t="s">
        <v>103</v>
      </c>
      <c r="IS3" s="123" t="s">
        <v>104</v>
      </c>
      <c r="IT3" s="123" t="s">
        <v>105</v>
      </c>
      <c r="IU3" s="123" t="s">
        <v>106</v>
      </c>
      <c r="IV3" s="123" t="s">
        <v>107</v>
      </c>
      <c r="IW3" s="123" t="s">
        <v>108</v>
      </c>
      <c r="IX3" s="123" t="s">
        <v>109</v>
      </c>
      <c r="IY3" s="123" t="s">
        <v>110</v>
      </c>
      <c r="IZ3" s="123" t="s">
        <v>111</v>
      </c>
      <c r="JA3" s="123" t="s">
        <v>112</v>
      </c>
      <c r="JB3" s="123" t="s">
        <v>113</v>
      </c>
      <c r="JC3" s="123" t="s">
        <v>114</v>
      </c>
      <c r="JD3" s="123" t="s">
        <v>115</v>
      </c>
      <c r="JE3" s="123" t="s">
        <v>116</v>
      </c>
      <c r="JF3" s="123" t="s">
        <v>117</v>
      </c>
      <c r="JG3" s="123" t="s">
        <v>118</v>
      </c>
      <c r="JH3" s="123" t="s">
        <v>119</v>
      </c>
      <c r="JI3" s="123" t="s">
        <v>120</v>
      </c>
      <c r="JJ3" s="123" t="s">
        <v>121</v>
      </c>
      <c r="JK3" s="123" t="s">
        <v>122</v>
      </c>
      <c r="JL3" s="123" t="s">
        <v>123</v>
      </c>
      <c r="JM3" s="123" t="s">
        <v>124</v>
      </c>
      <c r="JN3" s="123" t="s">
        <v>125</v>
      </c>
      <c r="JO3" s="123" t="s">
        <v>126</v>
      </c>
      <c r="JP3" s="123" t="s">
        <v>127</v>
      </c>
      <c r="JQ3" s="123" t="s">
        <v>128</v>
      </c>
      <c r="JR3" s="123" t="s">
        <v>129</v>
      </c>
      <c r="JS3" s="123" t="s">
        <v>130</v>
      </c>
      <c r="JT3" s="123" t="s">
        <v>131</v>
      </c>
      <c r="JU3" s="123" t="s">
        <v>132</v>
      </c>
      <c r="JV3" s="123" t="s">
        <v>133</v>
      </c>
      <c r="JW3" s="123" t="s">
        <v>134</v>
      </c>
      <c r="JX3" s="123" t="s">
        <v>135</v>
      </c>
      <c r="JY3" s="123" t="s">
        <v>136</v>
      </c>
      <c r="JZ3" s="123" t="s">
        <v>359</v>
      </c>
      <c r="KA3" s="123" t="s">
        <v>360</v>
      </c>
      <c r="KB3" s="123" t="s">
        <v>361</v>
      </c>
      <c r="KC3" s="123" t="s">
        <v>362</v>
      </c>
      <c r="KD3" s="123" t="s">
        <v>363</v>
      </c>
      <c r="KE3" s="123" t="s">
        <v>364</v>
      </c>
      <c r="KF3" s="123" t="s">
        <v>365</v>
      </c>
      <c r="KG3" s="123" t="s">
        <v>366</v>
      </c>
      <c r="KH3" s="123" t="s">
        <v>367</v>
      </c>
      <c r="KI3" s="123" t="s">
        <v>368</v>
      </c>
      <c r="KJ3" s="123" t="s">
        <v>369</v>
      </c>
      <c r="KK3" s="123" t="s">
        <v>370</v>
      </c>
      <c r="KL3" s="123" t="s">
        <v>371</v>
      </c>
      <c r="KM3" s="123" t="s">
        <v>372</v>
      </c>
      <c r="KN3" s="123" t="s">
        <v>373</v>
      </c>
      <c r="KO3" s="123" t="s">
        <v>374</v>
      </c>
      <c r="KP3" s="123" t="s">
        <v>375</v>
      </c>
      <c r="KQ3" s="123" t="s">
        <v>376</v>
      </c>
      <c r="KR3" s="123" t="s">
        <v>377</v>
      </c>
      <c r="KS3" s="123" t="s">
        <v>378</v>
      </c>
      <c r="KT3" s="123" t="s">
        <v>379</v>
      </c>
      <c r="KU3" s="123" t="s">
        <v>380</v>
      </c>
      <c r="KV3" s="123" t="s">
        <v>381</v>
      </c>
      <c r="KW3" s="123" t="s">
        <v>382</v>
      </c>
      <c r="KX3" s="123" t="s">
        <v>383</v>
      </c>
      <c r="KY3" s="123" t="s">
        <v>384</v>
      </c>
      <c r="KZ3" s="123" t="s">
        <v>385</v>
      </c>
      <c r="LA3" s="123" t="s">
        <v>386</v>
      </c>
      <c r="LB3" s="123" t="s">
        <v>387</v>
      </c>
      <c r="LC3" s="123" t="s">
        <v>388</v>
      </c>
      <c r="LD3" s="123" t="s">
        <v>389</v>
      </c>
      <c r="LE3" s="123" t="s">
        <v>390</v>
      </c>
      <c r="LF3" s="123" t="s">
        <v>391</v>
      </c>
      <c r="LG3" s="123" t="s">
        <v>392</v>
      </c>
      <c r="LH3" s="123" t="s">
        <v>393</v>
      </c>
      <c r="LI3" s="123" t="s">
        <v>394</v>
      </c>
      <c r="LJ3" s="123" t="s">
        <v>395</v>
      </c>
      <c r="LK3" s="123" t="s">
        <v>396</v>
      </c>
      <c r="LL3" s="123" t="s">
        <v>397</v>
      </c>
      <c r="LM3" s="123" t="s">
        <v>398</v>
      </c>
      <c r="LN3" s="123" t="s">
        <v>399</v>
      </c>
      <c r="LO3" s="123" t="s">
        <v>400</v>
      </c>
      <c r="LP3" s="123" t="s">
        <v>401</v>
      </c>
      <c r="LQ3" s="123" t="s">
        <v>402</v>
      </c>
      <c r="LR3" s="123" t="s">
        <v>403</v>
      </c>
      <c r="LS3" s="123" t="s">
        <v>404</v>
      </c>
      <c r="LT3" s="123" t="s">
        <v>405</v>
      </c>
      <c r="LU3" s="123" t="s">
        <v>406</v>
      </c>
      <c r="LV3" s="123" t="s">
        <v>407</v>
      </c>
      <c r="LW3" s="123" t="s">
        <v>408</v>
      </c>
    </row>
    <row r="4" spans="1:335" ht="21.6" customHeight="1" x14ac:dyDescent="0.25">
      <c r="A4" s="24">
        <v>1</v>
      </c>
      <c r="B4" s="20"/>
      <c r="C4" s="5" t="str">
        <f>IF(ISBLANK(B4),"",VLOOKUP(B4,tbl_PLOs[],2,0))</f>
        <v/>
      </c>
      <c r="D4" s="102"/>
      <c r="E4" s="10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22"/>
      <c r="FO4" s="121" t="str">
        <f>IF(ISBLANK(tbl_task2[[คะแนนเต็ม]:[คะแนนเต็ม]]),"",(tbl_task2[1]/tbl_task2[[คะแนนเต็ม]:[คะแนนเต็ม]])*tbl_task2[[%]:[%]])</f>
        <v/>
      </c>
      <c r="FP4" s="121" t="str">
        <f>IF(ISBLANK(tbl_task2[[คะแนนเต็ม]:[คะแนนเต็ม]]),"",(tbl_task2[2]/tbl_task2[[คะแนนเต็ม]:[คะแนนเต็ม]])*tbl_task2[[%]:[%]])</f>
        <v/>
      </c>
      <c r="FQ4" s="121" t="str">
        <f>IF(ISBLANK(tbl_task2[[คะแนนเต็ม]:[คะแนนเต็ม]]),"",(tbl_task2[3]/tbl_task2[[คะแนนเต็ม]:[คะแนนเต็ม]])*tbl_task2[[%]:[%]])</f>
        <v/>
      </c>
      <c r="FR4" s="121" t="str">
        <f>IF(ISBLANK(tbl_task2[[คะแนนเต็ม]:[คะแนนเต็ม]]),"",(tbl_task2[4]/tbl_task2[[คะแนนเต็ม]:[คะแนนเต็ม]])*tbl_task2[[%]:[%]])</f>
        <v/>
      </c>
      <c r="FS4" s="121" t="str">
        <f>IF(ISBLANK(tbl_task2[[คะแนนเต็ม]:[คะแนนเต็ม]]),"",(tbl_task2[5]/tbl_task2[[คะแนนเต็ม]:[คะแนนเต็ม]])*tbl_task2[[%]:[%]])</f>
        <v/>
      </c>
      <c r="FT4" s="121" t="str">
        <f>IF(ISBLANK(tbl_task2[[คะแนนเต็ม]:[คะแนนเต็ม]]),"",(tbl_task2[6]/tbl_task2[[คะแนนเต็ม]:[คะแนนเต็ม]])*tbl_task2[[%]:[%]])</f>
        <v/>
      </c>
      <c r="FU4" s="121" t="str">
        <f>IF(ISBLANK(tbl_task2[[คะแนนเต็ม]:[คะแนนเต็ม]]),"",(tbl_task2[7]/tbl_task2[[คะแนนเต็ม]:[คะแนนเต็ม]])*tbl_task2[[%]:[%]])</f>
        <v/>
      </c>
      <c r="FV4" s="121" t="str">
        <f>IF(ISBLANK(tbl_task2[[คะแนนเต็ม]:[คะแนนเต็ม]]),"",(tbl_task2[8]/tbl_task2[[คะแนนเต็ม]:[คะแนนเต็ม]])*tbl_task2[[%]:[%]])</f>
        <v/>
      </c>
      <c r="FW4" s="121" t="str">
        <f>IF(ISBLANK(tbl_task2[[คะแนนเต็ม]:[คะแนนเต็ม]]),"",(tbl_task2[9]/tbl_task2[[คะแนนเต็ม]:[คะแนนเต็ม]])*tbl_task2[[%]:[%]])</f>
        <v/>
      </c>
      <c r="FX4" s="121" t="str">
        <f>IF(ISBLANK(tbl_task2[[คะแนนเต็ม]:[คะแนนเต็ม]]),"",(tbl_task2[10]/tbl_task2[[คะแนนเต็ม]:[คะแนนเต็ม]])*tbl_task2[[%]:[%]])</f>
        <v/>
      </c>
      <c r="FY4" s="121" t="str">
        <f>IF(ISBLANK(tbl_task2[[คะแนนเต็ม]:[คะแนนเต็ม]]),"",(tbl_task2[11]/tbl_task2[[คะแนนเต็ม]:[คะแนนเต็ม]])*tbl_task2[[%]:[%]])</f>
        <v/>
      </c>
      <c r="FZ4" s="121" t="str">
        <f>IF(ISBLANK(tbl_task2[[คะแนนเต็ม]:[คะแนนเต็ม]]),"",(tbl_task2[12]/tbl_task2[[คะแนนเต็ม]:[คะแนนเต็ม]])*tbl_task2[[%]:[%]])</f>
        <v/>
      </c>
      <c r="GA4" s="121" t="str">
        <f>IF(ISBLANK(tbl_task2[[คะแนนเต็ม]:[คะแนนเต็ม]]),"",(tbl_task2[13]/tbl_task2[[คะแนนเต็ม]:[คะแนนเต็ม]])*tbl_task2[[%]:[%]])</f>
        <v/>
      </c>
      <c r="GB4" s="121" t="str">
        <f>IF(ISBLANK(tbl_task2[[คะแนนเต็ม]:[คะแนนเต็ม]]),"",(tbl_task2[14]/tbl_task2[[คะแนนเต็ม]:[คะแนนเต็ม]])*tbl_task2[[%]:[%]])</f>
        <v/>
      </c>
      <c r="GC4" s="121" t="str">
        <f>IF(ISBLANK(tbl_task2[[คะแนนเต็ม]:[คะแนนเต็ม]]),"",(tbl_task2[15]/tbl_task2[[คะแนนเต็ม]:[คะแนนเต็ม]])*tbl_task2[[%]:[%]])</f>
        <v/>
      </c>
      <c r="GD4" s="121" t="str">
        <f>IF(ISBLANK(tbl_task2[[คะแนนเต็ม]:[คะแนนเต็ม]]),"",(tbl_task2[16]/tbl_task2[[คะแนนเต็ม]:[คะแนนเต็ม]])*tbl_task2[[%]:[%]])</f>
        <v/>
      </c>
      <c r="GE4" s="121" t="str">
        <f>IF(ISBLANK(tbl_task2[[คะแนนเต็ม]:[คะแนนเต็ม]]),"",(tbl_task2[17]/tbl_task2[[คะแนนเต็ม]:[คะแนนเต็ม]])*tbl_task2[[%]:[%]])</f>
        <v/>
      </c>
      <c r="GF4" s="121" t="str">
        <f>IF(ISBLANK(tbl_task2[[คะแนนเต็ม]:[คะแนนเต็ม]]),"",(tbl_task2[18]/tbl_task2[[คะแนนเต็ม]:[คะแนนเต็ม]])*tbl_task2[[%]:[%]])</f>
        <v/>
      </c>
      <c r="GG4" s="121" t="str">
        <f>IF(ISBLANK(tbl_task2[[คะแนนเต็ม]:[คะแนนเต็ม]]),"",(tbl_task2[19]/tbl_task2[[คะแนนเต็ม]:[คะแนนเต็ม]])*tbl_task2[[%]:[%]])</f>
        <v/>
      </c>
      <c r="GH4" s="121" t="str">
        <f>IF(ISBLANK(tbl_task2[[คะแนนเต็ม]:[คะแนนเต็ม]]),"",(tbl_task2[20]/tbl_task2[[คะแนนเต็ม]:[คะแนนเต็ม]])*tbl_task2[[%]:[%]])</f>
        <v/>
      </c>
      <c r="GI4" s="121" t="str">
        <f>IF(ISBLANK(tbl_task2[[คะแนนเต็ม]:[คะแนนเต็ม]]),"",(tbl_task2[21]/tbl_task2[[คะแนนเต็ม]:[คะแนนเต็ม]])*tbl_task2[[%]:[%]])</f>
        <v/>
      </c>
      <c r="GJ4" s="121" t="str">
        <f>IF(ISBLANK(tbl_task2[[คะแนนเต็ม]:[คะแนนเต็ม]]),"",(tbl_task2[22]/tbl_task2[[คะแนนเต็ม]:[คะแนนเต็ม]])*tbl_task2[[%]:[%]])</f>
        <v/>
      </c>
      <c r="GK4" s="121" t="str">
        <f>IF(ISBLANK(tbl_task2[[คะแนนเต็ม]:[คะแนนเต็ม]]),"",(tbl_task2[23]/tbl_task2[[คะแนนเต็ม]:[คะแนนเต็ม]])*tbl_task2[[%]:[%]])</f>
        <v/>
      </c>
      <c r="GL4" s="121" t="str">
        <f>IF(ISBLANK(tbl_task2[[คะแนนเต็ม]:[คะแนนเต็ม]]),"",(tbl_task2[24]/tbl_task2[[คะแนนเต็ม]:[คะแนนเต็ม]])*tbl_task2[[%]:[%]])</f>
        <v/>
      </c>
      <c r="GM4" s="121" t="str">
        <f>IF(ISBLANK(tbl_task2[[คะแนนเต็ม]:[คะแนนเต็ม]]),"",(tbl_task2[25]/tbl_task2[[คะแนนเต็ม]:[คะแนนเต็ม]])*tbl_task2[[%]:[%]])</f>
        <v/>
      </c>
      <c r="GN4" s="121" t="str">
        <f>IF(ISBLANK(tbl_task2[[คะแนนเต็ม]:[คะแนนเต็ม]]),"",(tbl_task2[26]/tbl_task2[[คะแนนเต็ม]:[คะแนนเต็ม]])*tbl_task2[[%]:[%]])</f>
        <v/>
      </c>
      <c r="GO4" s="121" t="str">
        <f>IF(ISBLANK(tbl_task2[[คะแนนเต็ม]:[คะแนนเต็ม]]),"",(tbl_task2[27]/tbl_task2[[คะแนนเต็ม]:[คะแนนเต็ม]])*tbl_task2[[%]:[%]])</f>
        <v/>
      </c>
      <c r="GP4" s="121" t="str">
        <f>IF(ISBLANK(tbl_task2[[คะแนนเต็ม]:[คะแนนเต็ม]]),"",(tbl_task2[28]/tbl_task2[[คะแนนเต็ม]:[คะแนนเต็ม]])*tbl_task2[[%]:[%]])</f>
        <v/>
      </c>
      <c r="GQ4" s="121" t="str">
        <f>IF(ISBLANK(tbl_task2[[คะแนนเต็ม]:[คะแนนเต็ม]]),"",(tbl_task2[29]/tbl_task2[[คะแนนเต็ม]:[คะแนนเต็ม]])*tbl_task2[[%]:[%]])</f>
        <v/>
      </c>
      <c r="GR4" s="121" t="str">
        <f>IF(ISBLANK(tbl_task2[[คะแนนเต็ม]:[คะแนนเต็ม]]),"",(tbl_task2[30]/tbl_task2[[คะแนนเต็ม]:[คะแนนเต็ม]])*tbl_task2[[%]:[%]])</f>
        <v/>
      </c>
      <c r="GS4" s="121" t="str">
        <f>IF(ISBLANK(tbl_task2[[คะแนนเต็ม]:[คะแนนเต็ม]]),"",(tbl_task2[31]/tbl_task2[[คะแนนเต็ม]:[คะแนนเต็ม]])*tbl_task2[[%]:[%]])</f>
        <v/>
      </c>
      <c r="GT4" s="121" t="str">
        <f>IF(ISBLANK(tbl_task2[[คะแนนเต็ม]:[คะแนนเต็ม]]),"",(tbl_task2[32]/tbl_task2[[คะแนนเต็ม]:[คะแนนเต็ม]])*tbl_task2[[%]:[%]])</f>
        <v/>
      </c>
      <c r="GU4" s="121" t="str">
        <f>IF(ISBLANK(tbl_task2[[คะแนนเต็ม]:[คะแนนเต็ม]]),"",(tbl_task2[33]/tbl_task2[[คะแนนเต็ม]:[คะแนนเต็ม]])*tbl_task2[[%]:[%]])</f>
        <v/>
      </c>
      <c r="GV4" s="121" t="str">
        <f>IF(ISBLANK(tbl_task2[[คะแนนเต็ม]:[คะแนนเต็ม]]),"",(tbl_task2[34]/tbl_task2[[คะแนนเต็ม]:[คะแนนเต็ม]])*tbl_task2[[%]:[%]])</f>
        <v/>
      </c>
      <c r="GW4" s="121" t="str">
        <f>IF(ISBLANK(tbl_task2[[คะแนนเต็ม]:[คะแนนเต็ม]]),"",(tbl_task2[35]/tbl_task2[[คะแนนเต็ม]:[คะแนนเต็ม]])*tbl_task2[[%]:[%]])</f>
        <v/>
      </c>
      <c r="GX4" s="121" t="str">
        <f>IF(ISBLANK(tbl_task2[[คะแนนเต็ม]:[คะแนนเต็ม]]),"",(tbl_task2[36]/tbl_task2[[คะแนนเต็ม]:[คะแนนเต็ม]])*tbl_task2[[%]:[%]])</f>
        <v/>
      </c>
      <c r="GY4" s="121" t="str">
        <f>IF(ISBLANK(tbl_task2[[คะแนนเต็ม]:[คะแนนเต็ม]]),"",(tbl_task2[37]/tbl_task2[[คะแนนเต็ม]:[คะแนนเต็ม]])*tbl_task2[[%]:[%]])</f>
        <v/>
      </c>
      <c r="GZ4" s="121" t="str">
        <f>IF(ISBLANK(tbl_task2[[คะแนนเต็ม]:[คะแนนเต็ม]]),"",(tbl_task2[38]/tbl_task2[[คะแนนเต็ม]:[คะแนนเต็ม]])*tbl_task2[[%]:[%]])</f>
        <v/>
      </c>
      <c r="HA4" s="121" t="str">
        <f>IF(ISBLANK(tbl_task2[[คะแนนเต็ม]:[คะแนนเต็ม]]),"",(tbl_task2[39]/tbl_task2[[คะแนนเต็ม]:[คะแนนเต็ม]])*tbl_task2[[%]:[%]])</f>
        <v/>
      </c>
      <c r="HB4" s="121" t="str">
        <f>IF(ISBLANK(tbl_task2[[คะแนนเต็ม]:[คะแนนเต็ม]]),"",(tbl_task2[40]/tbl_task2[[คะแนนเต็ม]:[คะแนนเต็ม]])*tbl_task2[[%]:[%]])</f>
        <v/>
      </c>
      <c r="HC4" s="121" t="str">
        <f>IF(ISBLANK(tbl_task2[[คะแนนเต็ม]:[คะแนนเต็ม]]),"",(tbl_task2[41]/tbl_task2[[คะแนนเต็ม]:[คะแนนเต็ม]])*tbl_task2[[%]:[%]])</f>
        <v/>
      </c>
      <c r="HD4" s="121" t="str">
        <f>IF(ISBLANK(tbl_task2[[คะแนนเต็ม]:[คะแนนเต็ม]]),"",(tbl_task2[42]/tbl_task2[[คะแนนเต็ม]:[คะแนนเต็ม]])*tbl_task2[[%]:[%]])</f>
        <v/>
      </c>
      <c r="HE4" s="121" t="str">
        <f>IF(ISBLANK(tbl_task2[[คะแนนเต็ม]:[คะแนนเต็ม]]),"",(tbl_task2[43]/tbl_task2[[คะแนนเต็ม]:[คะแนนเต็ม]])*tbl_task2[[%]:[%]])</f>
        <v/>
      </c>
      <c r="HF4" s="121" t="str">
        <f>IF(ISBLANK(tbl_task2[[คะแนนเต็ม]:[คะแนนเต็ม]]),"",(tbl_task2[44]/tbl_task2[[คะแนนเต็ม]:[คะแนนเต็ม]])*tbl_task2[[%]:[%]])</f>
        <v/>
      </c>
      <c r="HG4" s="121" t="str">
        <f>IF(ISBLANK(tbl_task2[[คะแนนเต็ม]:[คะแนนเต็ม]]),"",(tbl_task2[45]/tbl_task2[[คะแนนเต็ม]:[คะแนนเต็ม]])*tbl_task2[[%]:[%]])</f>
        <v/>
      </c>
      <c r="HH4" s="121" t="str">
        <f>IF(ISBLANK(tbl_task2[[คะแนนเต็ม]:[คะแนนเต็ม]]),"",(tbl_task2[46]/tbl_task2[[คะแนนเต็ม]:[คะแนนเต็ม]])*tbl_task2[[%]:[%]])</f>
        <v/>
      </c>
      <c r="HI4" s="121" t="str">
        <f>IF(ISBLANK(tbl_task2[[คะแนนเต็ม]:[คะแนนเต็ม]]),"",(tbl_task2[47]/tbl_task2[[คะแนนเต็ม]:[คะแนนเต็ม]])*tbl_task2[[%]:[%]])</f>
        <v/>
      </c>
      <c r="HJ4" s="121" t="str">
        <f>IF(ISBLANK(tbl_task2[[คะแนนเต็ม]:[คะแนนเต็ม]]),"",(tbl_task2[48]/tbl_task2[[คะแนนเต็ม]:[คะแนนเต็ม]])*tbl_task2[[%]:[%]])</f>
        <v/>
      </c>
      <c r="HK4" s="121" t="str">
        <f>IF(ISBLANK(tbl_task2[[คะแนนเต็ม]:[คะแนนเต็ม]]),"",(tbl_task2[49]/tbl_task2[[คะแนนเต็ม]:[คะแนนเต็ม]])*tbl_task2[[%]:[%]])</f>
        <v/>
      </c>
      <c r="HL4" s="121" t="str">
        <f>IF(ISBLANK(tbl_task2[[คะแนนเต็ม]:[คะแนนเต็ม]]),"",(tbl_task2[50]/tbl_task2[[คะแนนเต็ม]:[คะแนนเต็ม]])*tbl_task2[[%]:[%]])</f>
        <v/>
      </c>
      <c r="HM4" s="121" t="str">
        <f>IF(ISBLANK(tbl_task2[[คะแนนเต็ม]:[คะแนนเต็ม]]),"",(tbl_task2[51]/tbl_task2[[คะแนนเต็ม]:[คะแนนเต็ม]])*tbl_task2[[%]:[%]])</f>
        <v/>
      </c>
      <c r="HN4" s="121" t="str">
        <f>IF(ISBLANK(tbl_task2[[คะแนนเต็ม]:[คะแนนเต็ม]]),"",(tbl_task2[52]/tbl_task2[[คะแนนเต็ม]:[คะแนนเต็ม]])*tbl_task2[[%]:[%]])</f>
        <v/>
      </c>
      <c r="HO4" s="121" t="str">
        <f>IF(ISBLANK(tbl_task2[[คะแนนเต็ม]:[คะแนนเต็ม]]),"",(tbl_task2[53]/tbl_task2[[คะแนนเต็ม]:[คะแนนเต็ม]])*tbl_task2[[%]:[%]])</f>
        <v/>
      </c>
      <c r="HP4" s="121" t="str">
        <f>IF(ISBLANK(tbl_task2[[คะแนนเต็ม]:[คะแนนเต็ม]]),"",(tbl_task2[54]/tbl_task2[[คะแนนเต็ม]:[คะแนนเต็ม]])*tbl_task2[[%]:[%]])</f>
        <v/>
      </c>
      <c r="HQ4" s="121" t="str">
        <f>IF(ISBLANK(tbl_task2[[คะแนนเต็ม]:[คะแนนเต็ม]]),"",(tbl_task2[55]/tbl_task2[[คะแนนเต็ม]:[คะแนนเต็ม]])*tbl_task2[[%]:[%]])</f>
        <v/>
      </c>
      <c r="HR4" s="121" t="str">
        <f>IF(ISBLANK(tbl_task2[[คะแนนเต็ม]:[คะแนนเต็ม]]),"",(tbl_task2[56]/tbl_task2[[คะแนนเต็ม]:[คะแนนเต็ม]])*tbl_task2[[%]:[%]])</f>
        <v/>
      </c>
      <c r="HS4" s="121" t="str">
        <f>IF(ISBLANK(tbl_task2[[คะแนนเต็ม]:[คะแนนเต็ม]]),"",(tbl_task2[57]/tbl_task2[[คะแนนเต็ม]:[คะแนนเต็ม]])*tbl_task2[[%]:[%]])</f>
        <v/>
      </c>
      <c r="HT4" s="121" t="str">
        <f>IF(ISBLANK(tbl_task2[[คะแนนเต็ม]:[คะแนนเต็ม]]),"",(tbl_task2[58]/tbl_task2[[คะแนนเต็ม]:[คะแนนเต็ม]])*tbl_task2[[%]:[%]])</f>
        <v/>
      </c>
      <c r="HU4" s="121" t="str">
        <f>IF(ISBLANK(tbl_task2[[คะแนนเต็ม]:[คะแนนเต็ม]]),"",(tbl_task2[59]/tbl_task2[[คะแนนเต็ม]:[คะแนนเต็ม]])*tbl_task2[[%]:[%]])</f>
        <v/>
      </c>
      <c r="HV4" s="121" t="str">
        <f>IF(ISBLANK(tbl_task2[[คะแนนเต็ม]:[คะแนนเต็ม]]),"",(tbl_task2[60]/tbl_task2[[คะแนนเต็ม]:[คะแนนเต็ม]])*tbl_task2[[%]:[%]])</f>
        <v/>
      </c>
      <c r="HW4" s="121" t="str">
        <f>IF(ISBLANK(tbl_task2[[คะแนนเต็ม]:[คะแนนเต็ม]]),"",(tbl_task2[61]/tbl_task2[[คะแนนเต็ม]:[คะแนนเต็ม]])*tbl_task2[[%]:[%]])</f>
        <v/>
      </c>
      <c r="HX4" s="121" t="str">
        <f>IF(ISBLANK(tbl_task2[[คะแนนเต็ม]:[คะแนนเต็ม]]),"",(tbl_task2[62]/tbl_task2[[คะแนนเต็ม]:[คะแนนเต็ม]])*tbl_task2[[%]:[%]])</f>
        <v/>
      </c>
      <c r="HY4" s="121" t="str">
        <f>IF(ISBLANK(tbl_task2[[คะแนนเต็ม]:[คะแนนเต็ม]]),"",(tbl_task2[63]/tbl_task2[[คะแนนเต็ม]:[คะแนนเต็ม]])*tbl_task2[[%]:[%]])</f>
        <v/>
      </c>
      <c r="HZ4" s="121" t="str">
        <f>IF(ISBLANK(tbl_task2[[คะแนนเต็ม]:[คะแนนเต็ม]]),"",(tbl_task2[64]/tbl_task2[[คะแนนเต็ม]:[คะแนนเต็ม]])*tbl_task2[[%]:[%]])</f>
        <v/>
      </c>
      <c r="IA4" s="121" t="str">
        <f>IF(ISBLANK(tbl_task2[[คะแนนเต็ม]:[คะแนนเต็ม]]),"",(tbl_task2[65]/tbl_task2[[คะแนนเต็ม]:[คะแนนเต็ม]])*tbl_task2[[%]:[%]])</f>
        <v/>
      </c>
      <c r="IB4" s="121" t="str">
        <f>IF(ISBLANK(tbl_task2[[คะแนนเต็ม]:[คะแนนเต็ม]]),"",(tbl_task2[66]/tbl_task2[[คะแนนเต็ม]:[คะแนนเต็ม]])*tbl_task2[[%]:[%]])</f>
        <v/>
      </c>
      <c r="IC4" s="121" t="str">
        <f>IF(ISBLANK(tbl_task2[[คะแนนเต็ม]:[คะแนนเต็ม]]),"",(tbl_task2[67]/tbl_task2[[คะแนนเต็ม]:[คะแนนเต็ม]])*tbl_task2[[%]:[%]])</f>
        <v/>
      </c>
      <c r="ID4" s="121" t="str">
        <f>IF(ISBLANK(tbl_task2[[คะแนนเต็ม]:[คะแนนเต็ม]]),"",(tbl_task2[68]/tbl_task2[[คะแนนเต็ม]:[คะแนนเต็ม]])*tbl_task2[[%]:[%]])</f>
        <v/>
      </c>
      <c r="IE4" s="121" t="str">
        <f>IF(ISBLANK(tbl_task2[[คะแนนเต็ม]:[คะแนนเต็ม]]),"",(tbl_task2[69]/tbl_task2[[คะแนนเต็ม]:[คะแนนเต็ม]])*tbl_task2[[%]:[%]])</f>
        <v/>
      </c>
      <c r="IF4" s="121" t="str">
        <f>IF(ISBLANK(tbl_task2[[คะแนนเต็ม]:[คะแนนเต็ม]]),"",(tbl_task2[70]/tbl_task2[[คะแนนเต็ม]:[คะแนนเต็ม]])*tbl_task2[[%]:[%]])</f>
        <v/>
      </c>
      <c r="IG4" s="121" t="str">
        <f>IF(ISBLANK(tbl_task2[[คะแนนเต็ม]:[คะแนนเต็ม]]),"",(tbl_task2[71]/tbl_task2[[คะแนนเต็ม]:[คะแนนเต็ม]])*tbl_task2[[%]:[%]])</f>
        <v/>
      </c>
      <c r="IH4" s="121" t="str">
        <f>IF(ISBLANK(tbl_task2[[คะแนนเต็ม]:[คะแนนเต็ม]]),"",(tbl_task2[72]/tbl_task2[[คะแนนเต็ม]:[คะแนนเต็ม]])*tbl_task2[[%]:[%]])</f>
        <v/>
      </c>
      <c r="II4" s="121" t="str">
        <f>IF(ISBLANK(tbl_task2[[คะแนนเต็ม]:[คะแนนเต็ม]]),"",(tbl_task2[73]/tbl_task2[[คะแนนเต็ม]:[คะแนนเต็ม]])*tbl_task2[[%]:[%]])</f>
        <v/>
      </c>
      <c r="IJ4" s="121" t="str">
        <f>IF(ISBLANK(tbl_task2[[คะแนนเต็ม]:[คะแนนเต็ม]]),"",(tbl_task2[74]/tbl_task2[[คะแนนเต็ม]:[คะแนนเต็ม]])*tbl_task2[[%]:[%]])</f>
        <v/>
      </c>
      <c r="IK4" s="121" t="str">
        <f>IF(ISBLANK(tbl_task2[[คะแนนเต็ม]:[คะแนนเต็ม]]),"",(tbl_task2[75]/tbl_task2[[คะแนนเต็ม]:[คะแนนเต็ม]])*tbl_task2[[%]:[%]])</f>
        <v/>
      </c>
      <c r="IL4" s="121" t="str">
        <f>IF(ISBLANK(tbl_task2[[คะแนนเต็ม]:[คะแนนเต็ม]]),"",(tbl_task2[76]/tbl_task2[[คะแนนเต็ม]:[คะแนนเต็ม]])*tbl_task2[[%]:[%]])</f>
        <v/>
      </c>
      <c r="IM4" s="121" t="str">
        <f>IF(ISBLANK(tbl_task2[[คะแนนเต็ม]:[คะแนนเต็ม]]),"",(tbl_task2[77]/tbl_task2[[คะแนนเต็ม]:[คะแนนเต็ม]])*tbl_task2[[%]:[%]])</f>
        <v/>
      </c>
      <c r="IN4" s="121" t="str">
        <f>IF(ISBLANK(tbl_task2[[คะแนนเต็ม]:[คะแนนเต็ม]]),"",(tbl_task2[78]/tbl_task2[[คะแนนเต็ม]:[คะแนนเต็ม]])*tbl_task2[[%]:[%]])</f>
        <v/>
      </c>
      <c r="IO4" s="121" t="str">
        <f>IF(ISBLANK(tbl_task2[[คะแนนเต็ม]:[คะแนนเต็ม]]),"",(tbl_task2[79]/tbl_task2[[คะแนนเต็ม]:[คะแนนเต็ม]])*tbl_task2[[%]:[%]])</f>
        <v/>
      </c>
      <c r="IP4" s="121" t="str">
        <f>IF(ISBLANK(tbl_task2[[คะแนนเต็ม]:[คะแนนเต็ม]]),"",(tbl_task2[80]/tbl_task2[[คะแนนเต็ม]:[คะแนนเต็ม]])*tbl_task2[[%]:[%]])</f>
        <v/>
      </c>
      <c r="IQ4" s="121" t="str">
        <f>IF(ISBLANK(tbl_task2[[คะแนนเต็ม]:[คะแนนเต็ม]]),"",(tbl_task2[81]/tbl_task2[[คะแนนเต็ม]:[คะแนนเต็ม]])*tbl_task2[[%]:[%]])</f>
        <v/>
      </c>
      <c r="IR4" s="121" t="str">
        <f>IF(ISBLANK(tbl_task2[[คะแนนเต็ม]:[คะแนนเต็ม]]),"",(tbl_task2[82]/tbl_task2[[คะแนนเต็ม]:[คะแนนเต็ม]])*tbl_task2[[%]:[%]])</f>
        <v/>
      </c>
      <c r="IS4" s="121" t="str">
        <f>IF(ISBLANK(tbl_task2[[คะแนนเต็ม]:[คะแนนเต็ม]]),"",(tbl_task2[83]/tbl_task2[[คะแนนเต็ม]:[คะแนนเต็ม]])*tbl_task2[[%]:[%]])</f>
        <v/>
      </c>
      <c r="IT4" s="121" t="str">
        <f>IF(ISBLANK(tbl_task2[[คะแนนเต็ม]:[คะแนนเต็ม]]),"",(tbl_task2[84]/tbl_task2[[คะแนนเต็ม]:[คะแนนเต็ม]])*tbl_task2[[%]:[%]])</f>
        <v/>
      </c>
      <c r="IU4" s="121" t="str">
        <f>IF(ISBLANK(tbl_task2[[คะแนนเต็ม]:[คะแนนเต็ม]]),"",(tbl_task2[85]/tbl_task2[[คะแนนเต็ม]:[คะแนนเต็ม]])*tbl_task2[[%]:[%]])</f>
        <v/>
      </c>
      <c r="IV4" s="121" t="str">
        <f>IF(ISBLANK(tbl_task2[[คะแนนเต็ม]:[คะแนนเต็ม]]),"",(tbl_task2[86]/tbl_task2[[คะแนนเต็ม]:[คะแนนเต็ม]])*tbl_task2[[%]:[%]])</f>
        <v/>
      </c>
      <c r="IW4" s="121" t="str">
        <f>IF(ISBLANK(tbl_task2[[คะแนนเต็ม]:[คะแนนเต็ม]]),"",(tbl_task2[87]/tbl_task2[[คะแนนเต็ม]:[คะแนนเต็ม]])*tbl_task2[[%]:[%]])</f>
        <v/>
      </c>
      <c r="IX4" s="121" t="str">
        <f>IF(ISBLANK(tbl_task2[[คะแนนเต็ม]:[คะแนนเต็ม]]),"",(tbl_task2[88]/tbl_task2[[คะแนนเต็ม]:[คะแนนเต็ม]])*tbl_task2[[%]:[%]])</f>
        <v/>
      </c>
      <c r="IY4" s="121" t="str">
        <f>IF(ISBLANK(tbl_task2[[คะแนนเต็ม]:[คะแนนเต็ม]]),"",(tbl_task2[89]/tbl_task2[[คะแนนเต็ม]:[คะแนนเต็ม]])*tbl_task2[[%]:[%]])</f>
        <v/>
      </c>
      <c r="IZ4" s="121" t="str">
        <f>IF(ISBLANK(tbl_task2[[คะแนนเต็ม]:[คะแนนเต็ม]]),"",(tbl_task2[90]/tbl_task2[[คะแนนเต็ม]:[คะแนนเต็ม]])*tbl_task2[[%]:[%]])</f>
        <v/>
      </c>
      <c r="JA4" s="121" t="str">
        <f>IF(ISBLANK(tbl_task2[[คะแนนเต็ม]:[คะแนนเต็ม]]),"",(tbl_task2[91]/tbl_task2[[คะแนนเต็ม]:[คะแนนเต็ม]])*tbl_task2[[%]:[%]])</f>
        <v/>
      </c>
      <c r="JB4" s="121" t="str">
        <f>IF(ISBLANK(tbl_task2[[คะแนนเต็ม]:[คะแนนเต็ม]]),"",(tbl_task2[92]/tbl_task2[[คะแนนเต็ม]:[คะแนนเต็ม]])*tbl_task2[[%]:[%]])</f>
        <v/>
      </c>
      <c r="JC4" s="121" t="str">
        <f>IF(ISBLANK(tbl_task2[[คะแนนเต็ม]:[คะแนนเต็ม]]),"",(tbl_task2[93]/tbl_task2[[คะแนนเต็ม]:[คะแนนเต็ม]])*tbl_task2[[%]:[%]])</f>
        <v/>
      </c>
      <c r="JD4" s="121" t="str">
        <f>IF(ISBLANK(tbl_task2[[คะแนนเต็ม]:[คะแนนเต็ม]]),"",(tbl_task2[94]/tbl_task2[[คะแนนเต็ม]:[คะแนนเต็ม]])*tbl_task2[[%]:[%]])</f>
        <v/>
      </c>
      <c r="JE4" s="121" t="str">
        <f>IF(ISBLANK(tbl_task2[[คะแนนเต็ม]:[คะแนนเต็ม]]),"",(tbl_task2[95]/tbl_task2[[คะแนนเต็ม]:[คะแนนเต็ม]])*tbl_task2[[%]:[%]])</f>
        <v/>
      </c>
      <c r="JF4" s="121" t="str">
        <f>IF(ISBLANK(tbl_task2[[คะแนนเต็ม]:[คะแนนเต็ม]]),"",(tbl_task2[96]/tbl_task2[[คะแนนเต็ม]:[คะแนนเต็ม]])*tbl_task2[[%]:[%]])</f>
        <v/>
      </c>
      <c r="JG4" s="121" t="str">
        <f>IF(ISBLANK(tbl_task2[[คะแนนเต็ม]:[คะแนนเต็ม]]),"",(tbl_task2[97]/tbl_task2[[คะแนนเต็ม]:[คะแนนเต็ม]])*tbl_task2[[%]:[%]])</f>
        <v/>
      </c>
      <c r="JH4" s="121" t="str">
        <f>IF(ISBLANK(tbl_task2[[คะแนนเต็ม]:[คะแนนเต็ม]]),"",(tbl_task2[98]/tbl_task2[[คะแนนเต็ม]:[คะแนนเต็ม]])*tbl_task2[[%]:[%]])</f>
        <v/>
      </c>
      <c r="JI4" s="121" t="str">
        <f>IF(ISBLANK(tbl_task2[[คะแนนเต็ม]:[คะแนนเต็ม]]),"",(tbl_task2[99]/tbl_task2[[คะแนนเต็ม]:[คะแนนเต็ม]])*tbl_task2[[%]:[%]])</f>
        <v/>
      </c>
      <c r="JJ4" s="121" t="str">
        <f>IF(ISBLANK(tbl_task2[[คะแนนเต็ม]:[คะแนนเต็ม]]),"",(tbl_task2[100]/tbl_task2[[คะแนนเต็ม]:[คะแนนเต็ม]])*tbl_task2[[%]:[%]])</f>
        <v/>
      </c>
      <c r="JK4" s="121" t="str">
        <f>IF(ISBLANK(tbl_task2[[คะแนนเต็ม]:[คะแนนเต็ม]]),"",(tbl_task2[101]/tbl_task2[[คะแนนเต็ม]:[คะแนนเต็ม]])*tbl_task2[[%]:[%]])</f>
        <v/>
      </c>
      <c r="JL4" s="121" t="str">
        <f>IF(ISBLANK(tbl_task2[[คะแนนเต็ม]:[คะแนนเต็ม]]),"",(tbl_task2[102]/tbl_task2[[คะแนนเต็ม]:[คะแนนเต็ม]])*tbl_task2[[%]:[%]])</f>
        <v/>
      </c>
      <c r="JM4" s="121" t="str">
        <f>IF(ISBLANK(tbl_task2[[คะแนนเต็ม]:[คะแนนเต็ม]]),"",(tbl_task2[103]/tbl_task2[[คะแนนเต็ม]:[คะแนนเต็ม]])*tbl_task2[[%]:[%]])</f>
        <v/>
      </c>
      <c r="JN4" s="121" t="str">
        <f>IF(ISBLANK(tbl_task2[[คะแนนเต็ม]:[คะแนนเต็ม]]),"",(tbl_task2[104]/tbl_task2[[คะแนนเต็ม]:[คะแนนเต็ม]])*tbl_task2[[%]:[%]])</f>
        <v/>
      </c>
      <c r="JO4" s="121" t="str">
        <f>IF(ISBLANK(tbl_task2[[คะแนนเต็ม]:[คะแนนเต็ม]]),"",(tbl_task2[105]/tbl_task2[[คะแนนเต็ม]:[คะแนนเต็ม]])*tbl_task2[[%]:[%]])</f>
        <v/>
      </c>
      <c r="JP4" s="121" t="str">
        <f>IF(ISBLANK(tbl_task2[[คะแนนเต็ม]:[คะแนนเต็ม]]),"",(tbl_task2[106]/tbl_task2[[คะแนนเต็ม]:[คะแนนเต็ม]])*tbl_task2[[%]:[%]])</f>
        <v/>
      </c>
      <c r="JQ4" s="121" t="str">
        <f>IF(ISBLANK(tbl_task2[[คะแนนเต็ม]:[คะแนนเต็ม]]),"",(tbl_task2[107]/tbl_task2[[คะแนนเต็ม]:[คะแนนเต็ม]])*tbl_task2[[%]:[%]])</f>
        <v/>
      </c>
      <c r="JR4" s="121" t="str">
        <f>IF(ISBLANK(tbl_task2[[คะแนนเต็ม]:[คะแนนเต็ม]]),"",(tbl_task2[108]/tbl_task2[[คะแนนเต็ม]:[คะแนนเต็ม]])*tbl_task2[[%]:[%]])</f>
        <v/>
      </c>
      <c r="JS4" s="121" t="str">
        <f>IF(ISBLANK(tbl_task2[[คะแนนเต็ม]:[คะแนนเต็ม]]),"",(tbl_task2[109]/tbl_task2[[คะแนนเต็ม]:[คะแนนเต็ม]])*tbl_task2[[%]:[%]])</f>
        <v/>
      </c>
      <c r="JT4" s="121" t="str">
        <f>IF(ISBLANK(tbl_task2[[คะแนนเต็ม]:[คะแนนเต็ม]]),"",(tbl_task2[110]/tbl_task2[[คะแนนเต็ม]:[คะแนนเต็ม]])*tbl_task2[[%]:[%]])</f>
        <v/>
      </c>
      <c r="JU4" s="121" t="str">
        <f>IF(ISBLANK(tbl_task2[[คะแนนเต็ม]:[คะแนนเต็ม]]),"",(tbl_task2[111]/tbl_task2[[คะแนนเต็ม]:[คะแนนเต็ม]])*tbl_task2[[%]:[%]])</f>
        <v/>
      </c>
      <c r="JV4" s="121" t="str">
        <f>IF(ISBLANK(tbl_task2[[คะแนนเต็ม]:[คะแนนเต็ม]]),"",(tbl_task2[112]/tbl_task2[[คะแนนเต็ม]:[คะแนนเต็ม]])*tbl_task2[[%]:[%]])</f>
        <v/>
      </c>
      <c r="JW4" s="121" t="str">
        <f>IF(ISBLANK(tbl_task2[[คะแนนเต็ม]:[คะแนนเต็ม]]),"",(tbl_task2[113]/tbl_task2[[คะแนนเต็ม]:[คะแนนเต็ม]])*tbl_task2[[%]:[%]])</f>
        <v/>
      </c>
      <c r="JX4" s="121" t="str">
        <f>IF(ISBLANK(tbl_task2[[คะแนนเต็ม]:[คะแนนเต็ม]]),"",(tbl_task2[114]/tbl_task2[[คะแนนเต็ม]:[คะแนนเต็ม]])*tbl_task2[[%]:[%]])</f>
        <v/>
      </c>
      <c r="JY4" s="121" t="str">
        <f>IF(ISBLANK(tbl_task2[[คะแนนเต็ม]:[คะแนนเต็ม]]),"",(tbl_task2[115]/tbl_task2[[คะแนนเต็ม]:[คะแนนเต็ม]])*tbl_task2[[%]:[%]])</f>
        <v/>
      </c>
      <c r="JZ4" s="121" t="str">
        <f>IF(ISBLANK(tbl_task2[[คะแนนเต็ม]:[คะแนนเต็ม]]),"",(tbl_task2[116]/tbl_task2[[คะแนนเต็ม]:[คะแนนเต็ม]])*tbl_task2[[%]:[%]])</f>
        <v/>
      </c>
      <c r="KA4" s="121" t="str">
        <f>IF(ISBLANK(tbl_task2[[คะแนนเต็ม]:[คะแนนเต็ม]]),"",(tbl_task2[117]/tbl_task2[[คะแนนเต็ม]:[คะแนนเต็ม]])*tbl_task2[[%]:[%]])</f>
        <v/>
      </c>
      <c r="KB4" s="121" t="str">
        <f>IF(ISBLANK(tbl_task2[[คะแนนเต็ม]:[คะแนนเต็ม]]),"",(tbl_task2[118]/tbl_task2[[คะแนนเต็ม]:[คะแนนเต็ม]])*tbl_task2[[%]:[%]])</f>
        <v/>
      </c>
      <c r="KC4" s="121" t="str">
        <f>IF(ISBLANK(tbl_task2[[คะแนนเต็ม]:[คะแนนเต็ม]]),"",(tbl_task2[119]/tbl_task2[[คะแนนเต็ม]:[คะแนนเต็ม]])*tbl_task2[[%]:[%]])</f>
        <v/>
      </c>
      <c r="KD4" s="121" t="str">
        <f>IF(ISBLANK(tbl_task2[[คะแนนเต็ม]:[คะแนนเต็ม]]),"",(tbl_task2[120]/tbl_task2[[คะแนนเต็ม]:[คะแนนเต็ม]])*tbl_task2[[%]:[%]])</f>
        <v/>
      </c>
      <c r="KE4" s="121" t="str">
        <f>IF(ISBLANK(tbl_task2[[คะแนนเต็ม]:[คะแนนเต็ม]]),"",(tbl_task2[121]/tbl_task2[[คะแนนเต็ม]:[คะแนนเต็ม]])*tbl_task2[[%]:[%]])</f>
        <v/>
      </c>
      <c r="KF4" s="121" t="str">
        <f>IF(ISBLANK(tbl_task2[[คะแนนเต็ม]:[คะแนนเต็ม]]),"",(tbl_task2[122]/tbl_task2[[คะแนนเต็ม]:[คะแนนเต็ม]])*tbl_task2[[%]:[%]])</f>
        <v/>
      </c>
      <c r="KG4" s="121" t="str">
        <f>IF(ISBLANK(tbl_task2[[คะแนนเต็ม]:[คะแนนเต็ม]]),"",(tbl_task2[123]/tbl_task2[[คะแนนเต็ม]:[คะแนนเต็ม]])*tbl_task2[[%]:[%]])</f>
        <v/>
      </c>
      <c r="KH4" s="121" t="str">
        <f>IF(ISBLANK(tbl_task2[[คะแนนเต็ม]:[คะแนนเต็ม]]),"",(tbl_task2[124]/tbl_task2[[คะแนนเต็ม]:[คะแนนเต็ม]])*tbl_task2[[%]:[%]])</f>
        <v/>
      </c>
      <c r="KI4" s="121" t="str">
        <f>IF(ISBLANK(tbl_task2[[คะแนนเต็ม]:[คะแนนเต็ม]]),"",(tbl_task2[125]/tbl_task2[[คะแนนเต็ม]:[คะแนนเต็ม]])*tbl_task2[[%]:[%]])</f>
        <v/>
      </c>
      <c r="KJ4" s="121" t="str">
        <f>IF(ISBLANK(tbl_task2[[คะแนนเต็ม]:[คะแนนเต็ม]]),"",(tbl_task2[126]/tbl_task2[[คะแนนเต็ม]:[คะแนนเต็ม]])*tbl_task2[[%]:[%]])</f>
        <v/>
      </c>
      <c r="KK4" s="121" t="str">
        <f>IF(ISBLANK(tbl_task2[[คะแนนเต็ม]:[คะแนนเต็ม]]),"",(tbl_task2[127]/tbl_task2[[คะแนนเต็ม]:[คะแนนเต็ม]])*tbl_task2[[%]:[%]])</f>
        <v/>
      </c>
      <c r="KL4" s="121" t="str">
        <f>IF(ISBLANK(tbl_task2[[คะแนนเต็ม]:[คะแนนเต็ม]]),"",(tbl_task2[128]/tbl_task2[[คะแนนเต็ม]:[คะแนนเต็ม]])*tbl_task2[[%]:[%]])</f>
        <v/>
      </c>
      <c r="KM4" s="121" t="str">
        <f>IF(ISBLANK(tbl_task2[[คะแนนเต็ม]:[คะแนนเต็ม]]),"",(tbl_task2[129]/tbl_task2[[คะแนนเต็ม]:[คะแนนเต็ม]])*tbl_task2[[%]:[%]])</f>
        <v/>
      </c>
      <c r="KN4" s="121" t="str">
        <f>IF(ISBLANK(tbl_task2[[คะแนนเต็ม]:[คะแนนเต็ม]]),"",(tbl_task2[130]/tbl_task2[[คะแนนเต็ม]:[คะแนนเต็ม]])*tbl_task2[[%]:[%]])</f>
        <v/>
      </c>
      <c r="KO4" s="121" t="str">
        <f>IF(ISBLANK(tbl_task2[[คะแนนเต็ม]:[คะแนนเต็ม]]),"",(tbl_task2[131]/tbl_task2[[คะแนนเต็ม]:[คะแนนเต็ม]])*tbl_task2[[%]:[%]])</f>
        <v/>
      </c>
      <c r="KP4" s="121" t="str">
        <f>IF(ISBLANK(tbl_task2[[คะแนนเต็ม]:[คะแนนเต็ม]]),"",(tbl_task2[132]/tbl_task2[[คะแนนเต็ม]:[คะแนนเต็ม]])*tbl_task2[[%]:[%]])</f>
        <v/>
      </c>
      <c r="KQ4" s="121" t="str">
        <f>IF(ISBLANK(tbl_task2[[คะแนนเต็ม]:[คะแนนเต็ม]]),"",(tbl_task2[133]/tbl_task2[[คะแนนเต็ม]:[คะแนนเต็ม]])*tbl_task2[[%]:[%]])</f>
        <v/>
      </c>
      <c r="KR4" s="121" t="str">
        <f>IF(ISBLANK(tbl_task2[[คะแนนเต็ม]:[คะแนนเต็ม]]),"",(tbl_task2[134]/tbl_task2[[คะแนนเต็ม]:[คะแนนเต็ม]])*tbl_task2[[%]:[%]])</f>
        <v/>
      </c>
      <c r="KS4" s="121" t="str">
        <f>IF(ISBLANK(tbl_task2[[คะแนนเต็ม]:[คะแนนเต็ม]]),"",(tbl_task2[135]/tbl_task2[[คะแนนเต็ม]:[คะแนนเต็ม]])*tbl_task2[[%]:[%]])</f>
        <v/>
      </c>
      <c r="KT4" s="121" t="str">
        <f>IF(ISBLANK(tbl_task2[[คะแนนเต็ม]:[คะแนนเต็ม]]),"",(tbl_task2[136]/tbl_task2[[คะแนนเต็ม]:[คะแนนเต็ม]])*tbl_task2[[%]:[%]])</f>
        <v/>
      </c>
      <c r="KU4" s="121" t="str">
        <f>IF(ISBLANK(tbl_task2[[คะแนนเต็ม]:[คะแนนเต็ม]]),"",(tbl_task2[137]/tbl_task2[[คะแนนเต็ม]:[คะแนนเต็ม]])*tbl_task2[[%]:[%]])</f>
        <v/>
      </c>
      <c r="KV4" s="121" t="str">
        <f>IF(ISBLANK(tbl_task2[[คะแนนเต็ม]:[คะแนนเต็ม]]),"",(tbl_task2[138]/tbl_task2[[คะแนนเต็ม]:[คะแนนเต็ม]])*tbl_task2[[%]:[%]])</f>
        <v/>
      </c>
      <c r="KW4" s="121" t="str">
        <f>IF(ISBLANK(tbl_task2[[คะแนนเต็ม]:[คะแนนเต็ม]]),"",(tbl_task2[139]/tbl_task2[[คะแนนเต็ม]:[คะแนนเต็ม]])*tbl_task2[[%]:[%]])</f>
        <v/>
      </c>
      <c r="KX4" s="121" t="str">
        <f>IF(ISBLANK(tbl_task2[[คะแนนเต็ม]:[คะแนนเต็ม]]),"",(tbl_task2[140]/tbl_task2[[คะแนนเต็ม]:[คะแนนเต็ม]])*tbl_task2[[%]:[%]])</f>
        <v/>
      </c>
      <c r="KY4" s="121" t="str">
        <f>IF(ISBLANK(tbl_task2[[คะแนนเต็ม]:[คะแนนเต็ม]]),"",(tbl_task2[141]/tbl_task2[[คะแนนเต็ม]:[คะแนนเต็ม]])*tbl_task2[[%]:[%]])</f>
        <v/>
      </c>
      <c r="KZ4" s="121" t="str">
        <f>IF(ISBLANK(tbl_task2[[คะแนนเต็ม]:[คะแนนเต็ม]]),"",(tbl_task2[142]/tbl_task2[[คะแนนเต็ม]:[คะแนนเต็ม]])*tbl_task2[[%]:[%]])</f>
        <v/>
      </c>
      <c r="LA4" s="121" t="str">
        <f>IF(ISBLANK(tbl_task2[[คะแนนเต็ม]:[คะแนนเต็ม]]),"",(tbl_task2[143]/tbl_task2[[คะแนนเต็ม]:[คะแนนเต็ม]])*tbl_task2[[%]:[%]])</f>
        <v/>
      </c>
      <c r="LB4" s="121" t="str">
        <f>IF(ISBLANK(tbl_task2[[คะแนนเต็ม]:[คะแนนเต็ม]]),"",(tbl_task2[144]/tbl_task2[[คะแนนเต็ม]:[คะแนนเต็ม]])*tbl_task2[[%]:[%]])</f>
        <v/>
      </c>
      <c r="LC4" s="121" t="str">
        <f>IF(ISBLANK(tbl_task2[[คะแนนเต็ม]:[คะแนนเต็ม]]),"",(tbl_task2[145]/tbl_task2[[คะแนนเต็ม]:[คะแนนเต็ม]])*tbl_task2[[%]:[%]])</f>
        <v/>
      </c>
      <c r="LD4" s="121" t="str">
        <f>IF(ISBLANK(tbl_task2[[คะแนนเต็ม]:[คะแนนเต็ม]]),"",(tbl_task2[146]/tbl_task2[[คะแนนเต็ม]:[คะแนนเต็ม]])*tbl_task2[[%]:[%]])</f>
        <v/>
      </c>
      <c r="LE4" s="121" t="str">
        <f>IF(ISBLANK(tbl_task2[[คะแนนเต็ม]:[คะแนนเต็ม]]),"",(tbl_task2[147]/tbl_task2[[คะแนนเต็ม]:[คะแนนเต็ม]])*tbl_task2[[%]:[%]])</f>
        <v/>
      </c>
      <c r="LF4" s="121" t="str">
        <f>IF(ISBLANK(tbl_task2[[คะแนนเต็ม]:[คะแนนเต็ม]]),"",(tbl_task2[148]/tbl_task2[[คะแนนเต็ม]:[คะแนนเต็ม]])*tbl_task2[[%]:[%]])</f>
        <v/>
      </c>
      <c r="LG4" s="121" t="str">
        <f>IF(ISBLANK(tbl_task2[[คะแนนเต็ม]:[คะแนนเต็ม]]),"",(tbl_task2[149]/tbl_task2[[คะแนนเต็ม]:[คะแนนเต็ม]])*tbl_task2[[%]:[%]])</f>
        <v/>
      </c>
      <c r="LH4" s="121" t="str">
        <f>IF(ISBLANK(tbl_task2[[คะแนนเต็ม]:[คะแนนเต็ม]]),"",(tbl_task2[150]/tbl_task2[[คะแนนเต็ม]:[คะแนนเต็ม]])*tbl_task2[[%]:[%]])</f>
        <v/>
      </c>
      <c r="LI4" s="121" t="str">
        <f>IF(ISBLANK(tbl_task2[[คะแนนเต็ม]:[คะแนนเต็ม]]),"",(tbl_task2[151]/tbl_task2[[คะแนนเต็ม]:[คะแนนเต็ม]])*tbl_task2[[%]:[%]])</f>
        <v/>
      </c>
      <c r="LJ4" s="121" t="str">
        <f>IF(ISBLANK(tbl_task2[[คะแนนเต็ม]:[คะแนนเต็ม]]),"",(tbl_task2[152]/tbl_task2[[คะแนนเต็ม]:[คะแนนเต็ม]])*tbl_task2[[%]:[%]])</f>
        <v/>
      </c>
      <c r="LK4" s="121" t="str">
        <f>IF(ISBLANK(tbl_task2[[คะแนนเต็ม]:[คะแนนเต็ม]]),"",(tbl_task2[153]/tbl_task2[[คะแนนเต็ม]:[คะแนนเต็ม]])*tbl_task2[[%]:[%]])</f>
        <v/>
      </c>
      <c r="LL4" s="121" t="str">
        <f>IF(ISBLANK(tbl_task2[[คะแนนเต็ม]:[คะแนนเต็ม]]),"",(tbl_task2[154]/tbl_task2[[คะแนนเต็ม]:[คะแนนเต็ม]])*tbl_task2[[%]:[%]])</f>
        <v/>
      </c>
      <c r="LM4" s="121" t="str">
        <f>IF(ISBLANK(tbl_task2[[คะแนนเต็ม]:[คะแนนเต็ม]]),"",(tbl_task2[155]/tbl_task2[[คะแนนเต็ม]:[คะแนนเต็ม]])*tbl_task2[[%]:[%]])</f>
        <v/>
      </c>
      <c r="LN4" s="121" t="str">
        <f>IF(ISBLANK(tbl_task2[[คะแนนเต็ม]:[คะแนนเต็ม]]),"",(tbl_task2[156]/tbl_task2[[คะแนนเต็ม]:[คะแนนเต็ม]])*tbl_task2[[%]:[%]])</f>
        <v/>
      </c>
      <c r="LO4" s="121" t="str">
        <f>IF(ISBLANK(tbl_task2[[คะแนนเต็ม]:[คะแนนเต็ม]]),"",(tbl_task2[157]/tbl_task2[[คะแนนเต็ม]:[คะแนนเต็ม]])*tbl_task2[[%]:[%]])</f>
        <v/>
      </c>
      <c r="LP4" s="121" t="str">
        <f>IF(ISBLANK(tbl_task2[[คะแนนเต็ม]:[คะแนนเต็ม]]),"",(tbl_task2[158]/tbl_task2[[คะแนนเต็ม]:[คะแนนเต็ม]])*tbl_task2[[%]:[%]])</f>
        <v/>
      </c>
      <c r="LQ4" s="121" t="str">
        <f>IF(ISBLANK(tbl_task2[[คะแนนเต็ม]:[คะแนนเต็ม]]),"",(tbl_task2[159]/tbl_task2[[คะแนนเต็ม]:[คะแนนเต็ม]])*tbl_task2[[%]:[%]])</f>
        <v/>
      </c>
      <c r="LR4" s="121" t="str">
        <f>IF(ISBLANK(tbl_task2[[คะแนนเต็ม]:[คะแนนเต็ม]]),"",(tbl_task2[160]/tbl_task2[[คะแนนเต็ม]:[คะแนนเต็ม]])*tbl_task2[[%]:[%]])</f>
        <v/>
      </c>
      <c r="LS4" s="121" t="str">
        <f>IF(ISBLANK(tbl_task2[[คะแนนเต็ม]:[คะแนนเต็ม]]),"",(tbl_task2[161]/tbl_task2[[คะแนนเต็ม]:[คะแนนเต็ม]])*tbl_task2[[%]:[%]])</f>
        <v/>
      </c>
      <c r="LT4" s="121" t="str">
        <f>IF(ISBLANK(tbl_task2[[คะแนนเต็ม]:[คะแนนเต็ม]]),"",(tbl_task2[162]/tbl_task2[[คะแนนเต็ม]:[คะแนนเต็ม]])*tbl_task2[[%]:[%]])</f>
        <v/>
      </c>
      <c r="LU4" s="121" t="str">
        <f>IF(ISBLANK(tbl_task2[[คะแนนเต็ม]:[คะแนนเต็ม]]),"",(tbl_task2[163]/tbl_task2[[คะแนนเต็ม]:[คะแนนเต็ม]])*tbl_task2[[%]:[%]])</f>
        <v/>
      </c>
      <c r="LV4" s="121" t="str">
        <f>IF(ISBLANK(tbl_task2[[คะแนนเต็ม]:[คะแนนเต็ม]]),"",(tbl_task2[164]/tbl_task2[[คะแนนเต็ม]:[คะแนนเต็ม]])*tbl_task2[[%]:[%]])</f>
        <v/>
      </c>
      <c r="LW4" s="121" t="str">
        <f>IF(ISBLANK(tbl_task2[[คะแนนเต็ม]:[คะแนนเต็ม]]),"",(tbl_task2[165]/tbl_task2[[คะแนนเต็ม]:[คะแนนเต็ม]])*tbl_task2[[%]:[%]])</f>
        <v/>
      </c>
    </row>
    <row r="5" spans="1:335" ht="23.25" customHeight="1" x14ac:dyDescent="0.25">
      <c r="A5" s="24">
        <v>2</v>
      </c>
      <c r="B5" s="20"/>
      <c r="C5" s="5" t="str">
        <f>IF(ISBLANK(B5),"",VLOOKUP(B5,tbl_PLOs[],2,0))</f>
        <v/>
      </c>
      <c r="D5" s="102"/>
      <c r="E5" s="10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22"/>
      <c r="FO5" s="121" t="str">
        <f>IF(ISBLANK(tbl_task2[[คะแนนเต็ม]:[คะแนนเต็ม]]),"",(tbl_task2[1]/tbl_task2[[คะแนนเต็ม]:[คะแนนเต็ม]])*tbl_task2[[%]:[%]])</f>
        <v/>
      </c>
      <c r="FP5" s="121" t="str">
        <f>IF(ISBLANK(tbl_task2[[คะแนนเต็ม]:[คะแนนเต็ม]]),"",(tbl_task2[2]/tbl_task2[[คะแนนเต็ม]:[คะแนนเต็ม]])*tbl_task2[[%]:[%]])</f>
        <v/>
      </c>
      <c r="FQ5" s="121" t="str">
        <f>IF(ISBLANK(tbl_task2[[คะแนนเต็ม]:[คะแนนเต็ม]]),"",(tbl_task2[3]/tbl_task2[[คะแนนเต็ม]:[คะแนนเต็ม]])*tbl_task2[[%]:[%]])</f>
        <v/>
      </c>
      <c r="FR5" s="121" t="str">
        <f>IF(ISBLANK(tbl_task2[[คะแนนเต็ม]:[คะแนนเต็ม]]),"",(tbl_task2[4]/tbl_task2[[คะแนนเต็ม]:[คะแนนเต็ม]])*tbl_task2[[%]:[%]])</f>
        <v/>
      </c>
      <c r="FS5" s="121" t="str">
        <f>IF(ISBLANK(tbl_task2[[คะแนนเต็ม]:[คะแนนเต็ม]]),"",(tbl_task2[5]/tbl_task2[[คะแนนเต็ม]:[คะแนนเต็ม]])*tbl_task2[[%]:[%]])</f>
        <v/>
      </c>
      <c r="FT5" s="121" t="str">
        <f>IF(ISBLANK(tbl_task2[[คะแนนเต็ม]:[คะแนนเต็ม]]),"",(tbl_task2[6]/tbl_task2[[คะแนนเต็ม]:[คะแนนเต็ม]])*tbl_task2[[%]:[%]])</f>
        <v/>
      </c>
      <c r="FU5" s="121" t="str">
        <f>IF(ISBLANK(tbl_task2[[คะแนนเต็ม]:[คะแนนเต็ม]]),"",(tbl_task2[7]/tbl_task2[[คะแนนเต็ม]:[คะแนนเต็ม]])*tbl_task2[[%]:[%]])</f>
        <v/>
      </c>
      <c r="FV5" s="121" t="str">
        <f>IF(ISBLANK(tbl_task2[[คะแนนเต็ม]:[คะแนนเต็ม]]),"",(tbl_task2[8]/tbl_task2[[คะแนนเต็ม]:[คะแนนเต็ม]])*tbl_task2[[%]:[%]])</f>
        <v/>
      </c>
      <c r="FW5" s="121" t="str">
        <f>IF(ISBLANK(tbl_task2[[คะแนนเต็ม]:[คะแนนเต็ม]]),"",(tbl_task2[9]/tbl_task2[[คะแนนเต็ม]:[คะแนนเต็ม]])*tbl_task2[[%]:[%]])</f>
        <v/>
      </c>
      <c r="FX5" s="121" t="str">
        <f>IF(ISBLANK(tbl_task2[[คะแนนเต็ม]:[คะแนนเต็ม]]),"",(tbl_task2[10]/tbl_task2[[คะแนนเต็ม]:[คะแนนเต็ม]])*tbl_task2[[%]:[%]])</f>
        <v/>
      </c>
      <c r="FY5" s="121" t="str">
        <f>IF(ISBLANK(tbl_task2[[คะแนนเต็ม]:[คะแนนเต็ม]]),"",(tbl_task2[11]/tbl_task2[[คะแนนเต็ม]:[คะแนนเต็ม]])*tbl_task2[[%]:[%]])</f>
        <v/>
      </c>
      <c r="FZ5" s="121" t="str">
        <f>IF(ISBLANK(tbl_task2[[คะแนนเต็ม]:[คะแนนเต็ม]]),"",(tbl_task2[12]/tbl_task2[[คะแนนเต็ม]:[คะแนนเต็ม]])*tbl_task2[[%]:[%]])</f>
        <v/>
      </c>
      <c r="GA5" s="121" t="str">
        <f>IF(ISBLANK(tbl_task2[[คะแนนเต็ม]:[คะแนนเต็ม]]),"",(tbl_task2[13]/tbl_task2[[คะแนนเต็ม]:[คะแนนเต็ม]])*tbl_task2[[%]:[%]])</f>
        <v/>
      </c>
      <c r="GB5" s="121" t="str">
        <f>IF(ISBLANK(tbl_task2[[คะแนนเต็ม]:[คะแนนเต็ม]]),"",(tbl_task2[14]/tbl_task2[[คะแนนเต็ม]:[คะแนนเต็ม]])*tbl_task2[[%]:[%]])</f>
        <v/>
      </c>
      <c r="GC5" s="121" t="str">
        <f>IF(ISBLANK(tbl_task2[[คะแนนเต็ม]:[คะแนนเต็ม]]),"",(tbl_task2[15]/tbl_task2[[คะแนนเต็ม]:[คะแนนเต็ม]])*tbl_task2[[%]:[%]])</f>
        <v/>
      </c>
      <c r="GD5" s="121" t="str">
        <f>IF(ISBLANK(tbl_task2[[คะแนนเต็ม]:[คะแนนเต็ม]]),"",(tbl_task2[16]/tbl_task2[[คะแนนเต็ม]:[คะแนนเต็ม]])*tbl_task2[[%]:[%]])</f>
        <v/>
      </c>
      <c r="GE5" s="121" t="str">
        <f>IF(ISBLANK(tbl_task2[[คะแนนเต็ม]:[คะแนนเต็ม]]),"",(tbl_task2[17]/tbl_task2[[คะแนนเต็ม]:[คะแนนเต็ม]])*tbl_task2[[%]:[%]])</f>
        <v/>
      </c>
      <c r="GF5" s="121" t="str">
        <f>IF(ISBLANK(tbl_task2[[คะแนนเต็ม]:[คะแนนเต็ม]]),"",(tbl_task2[18]/tbl_task2[[คะแนนเต็ม]:[คะแนนเต็ม]])*tbl_task2[[%]:[%]])</f>
        <v/>
      </c>
      <c r="GG5" s="121" t="str">
        <f>IF(ISBLANK(tbl_task2[[คะแนนเต็ม]:[คะแนนเต็ม]]),"",(tbl_task2[19]/tbl_task2[[คะแนนเต็ม]:[คะแนนเต็ม]])*tbl_task2[[%]:[%]])</f>
        <v/>
      </c>
      <c r="GH5" s="121" t="str">
        <f>IF(ISBLANK(tbl_task2[[คะแนนเต็ม]:[คะแนนเต็ม]]),"",(tbl_task2[20]/tbl_task2[[คะแนนเต็ม]:[คะแนนเต็ม]])*tbl_task2[[%]:[%]])</f>
        <v/>
      </c>
      <c r="GI5" s="121" t="str">
        <f>IF(ISBLANK(tbl_task2[[คะแนนเต็ม]:[คะแนนเต็ม]]),"",(tbl_task2[21]/tbl_task2[[คะแนนเต็ม]:[คะแนนเต็ม]])*tbl_task2[[%]:[%]])</f>
        <v/>
      </c>
      <c r="GJ5" s="121" t="str">
        <f>IF(ISBLANK(tbl_task2[[คะแนนเต็ม]:[คะแนนเต็ม]]),"",(tbl_task2[22]/tbl_task2[[คะแนนเต็ม]:[คะแนนเต็ม]])*tbl_task2[[%]:[%]])</f>
        <v/>
      </c>
      <c r="GK5" s="121" t="str">
        <f>IF(ISBLANK(tbl_task2[[คะแนนเต็ม]:[คะแนนเต็ม]]),"",(tbl_task2[23]/tbl_task2[[คะแนนเต็ม]:[คะแนนเต็ม]])*tbl_task2[[%]:[%]])</f>
        <v/>
      </c>
      <c r="GL5" s="121" t="str">
        <f>IF(ISBLANK(tbl_task2[[คะแนนเต็ม]:[คะแนนเต็ม]]),"",(tbl_task2[24]/tbl_task2[[คะแนนเต็ม]:[คะแนนเต็ม]])*tbl_task2[[%]:[%]])</f>
        <v/>
      </c>
      <c r="GM5" s="121" t="str">
        <f>IF(ISBLANK(tbl_task2[[คะแนนเต็ม]:[คะแนนเต็ม]]),"",(tbl_task2[25]/tbl_task2[[คะแนนเต็ม]:[คะแนนเต็ม]])*tbl_task2[[%]:[%]])</f>
        <v/>
      </c>
      <c r="GN5" s="121" t="str">
        <f>IF(ISBLANK(tbl_task2[[คะแนนเต็ม]:[คะแนนเต็ม]]),"",(tbl_task2[26]/tbl_task2[[คะแนนเต็ม]:[คะแนนเต็ม]])*tbl_task2[[%]:[%]])</f>
        <v/>
      </c>
      <c r="GO5" s="121" t="str">
        <f>IF(ISBLANK(tbl_task2[[คะแนนเต็ม]:[คะแนนเต็ม]]),"",(tbl_task2[27]/tbl_task2[[คะแนนเต็ม]:[คะแนนเต็ม]])*tbl_task2[[%]:[%]])</f>
        <v/>
      </c>
      <c r="GP5" s="121" t="str">
        <f>IF(ISBLANK(tbl_task2[[คะแนนเต็ม]:[คะแนนเต็ม]]),"",(tbl_task2[28]/tbl_task2[[คะแนนเต็ม]:[คะแนนเต็ม]])*tbl_task2[[%]:[%]])</f>
        <v/>
      </c>
      <c r="GQ5" s="121" t="str">
        <f>IF(ISBLANK(tbl_task2[[คะแนนเต็ม]:[คะแนนเต็ม]]),"",(tbl_task2[29]/tbl_task2[[คะแนนเต็ม]:[คะแนนเต็ม]])*tbl_task2[[%]:[%]])</f>
        <v/>
      </c>
      <c r="GR5" s="121" t="str">
        <f>IF(ISBLANK(tbl_task2[[คะแนนเต็ม]:[คะแนนเต็ม]]),"",(tbl_task2[30]/tbl_task2[[คะแนนเต็ม]:[คะแนนเต็ม]])*tbl_task2[[%]:[%]])</f>
        <v/>
      </c>
      <c r="GS5" s="121" t="str">
        <f>IF(ISBLANK(tbl_task2[[คะแนนเต็ม]:[คะแนนเต็ม]]),"",(tbl_task2[31]/tbl_task2[[คะแนนเต็ม]:[คะแนนเต็ม]])*tbl_task2[[%]:[%]])</f>
        <v/>
      </c>
      <c r="GT5" s="121" t="str">
        <f>IF(ISBLANK(tbl_task2[[คะแนนเต็ม]:[คะแนนเต็ม]]),"",(tbl_task2[32]/tbl_task2[[คะแนนเต็ม]:[คะแนนเต็ม]])*tbl_task2[[%]:[%]])</f>
        <v/>
      </c>
      <c r="GU5" s="121" t="str">
        <f>IF(ISBLANK(tbl_task2[[คะแนนเต็ม]:[คะแนนเต็ม]]),"",(tbl_task2[33]/tbl_task2[[คะแนนเต็ม]:[คะแนนเต็ม]])*tbl_task2[[%]:[%]])</f>
        <v/>
      </c>
      <c r="GV5" s="121" t="str">
        <f>IF(ISBLANK(tbl_task2[[คะแนนเต็ม]:[คะแนนเต็ม]]),"",(tbl_task2[34]/tbl_task2[[คะแนนเต็ม]:[คะแนนเต็ม]])*tbl_task2[[%]:[%]])</f>
        <v/>
      </c>
      <c r="GW5" s="121" t="str">
        <f>IF(ISBLANK(tbl_task2[[คะแนนเต็ม]:[คะแนนเต็ม]]),"",(tbl_task2[35]/tbl_task2[[คะแนนเต็ม]:[คะแนนเต็ม]])*tbl_task2[[%]:[%]])</f>
        <v/>
      </c>
      <c r="GX5" s="121" t="str">
        <f>IF(ISBLANK(tbl_task2[[คะแนนเต็ม]:[คะแนนเต็ม]]),"",(tbl_task2[36]/tbl_task2[[คะแนนเต็ม]:[คะแนนเต็ม]])*tbl_task2[[%]:[%]])</f>
        <v/>
      </c>
      <c r="GY5" s="121" t="str">
        <f>IF(ISBLANK(tbl_task2[[คะแนนเต็ม]:[คะแนนเต็ม]]),"",(tbl_task2[37]/tbl_task2[[คะแนนเต็ม]:[คะแนนเต็ม]])*tbl_task2[[%]:[%]])</f>
        <v/>
      </c>
      <c r="GZ5" s="121" t="str">
        <f>IF(ISBLANK(tbl_task2[[คะแนนเต็ม]:[คะแนนเต็ม]]),"",(tbl_task2[38]/tbl_task2[[คะแนนเต็ม]:[คะแนนเต็ม]])*tbl_task2[[%]:[%]])</f>
        <v/>
      </c>
      <c r="HA5" s="121" t="str">
        <f>IF(ISBLANK(tbl_task2[[คะแนนเต็ม]:[คะแนนเต็ม]]),"",(tbl_task2[39]/tbl_task2[[คะแนนเต็ม]:[คะแนนเต็ม]])*tbl_task2[[%]:[%]])</f>
        <v/>
      </c>
      <c r="HB5" s="121" t="str">
        <f>IF(ISBLANK(tbl_task2[[คะแนนเต็ม]:[คะแนนเต็ม]]),"",(tbl_task2[40]/tbl_task2[[คะแนนเต็ม]:[คะแนนเต็ม]])*tbl_task2[[%]:[%]])</f>
        <v/>
      </c>
      <c r="HC5" s="121" t="str">
        <f>IF(ISBLANK(tbl_task2[[คะแนนเต็ม]:[คะแนนเต็ม]]),"",(tbl_task2[41]/tbl_task2[[คะแนนเต็ม]:[คะแนนเต็ม]])*tbl_task2[[%]:[%]])</f>
        <v/>
      </c>
      <c r="HD5" s="121" t="str">
        <f>IF(ISBLANK(tbl_task2[[คะแนนเต็ม]:[คะแนนเต็ม]]),"",(tbl_task2[42]/tbl_task2[[คะแนนเต็ม]:[คะแนนเต็ม]])*tbl_task2[[%]:[%]])</f>
        <v/>
      </c>
      <c r="HE5" s="121" t="str">
        <f>IF(ISBLANK(tbl_task2[[คะแนนเต็ม]:[คะแนนเต็ม]]),"",(tbl_task2[43]/tbl_task2[[คะแนนเต็ม]:[คะแนนเต็ม]])*tbl_task2[[%]:[%]])</f>
        <v/>
      </c>
      <c r="HF5" s="121" t="str">
        <f>IF(ISBLANK(tbl_task2[[คะแนนเต็ม]:[คะแนนเต็ม]]),"",(tbl_task2[44]/tbl_task2[[คะแนนเต็ม]:[คะแนนเต็ม]])*tbl_task2[[%]:[%]])</f>
        <v/>
      </c>
      <c r="HG5" s="121" t="str">
        <f>IF(ISBLANK(tbl_task2[[คะแนนเต็ม]:[คะแนนเต็ม]]),"",(tbl_task2[45]/tbl_task2[[คะแนนเต็ม]:[คะแนนเต็ม]])*tbl_task2[[%]:[%]])</f>
        <v/>
      </c>
      <c r="HH5" s="121" t="str">
        <f>IF(ISBLANK(tbl_task2[[คะแนนเต็ม]:[คะแนนเต็ม]]),"",(tbl_task2[46]/tbl_task2[[คะแนนเต็ม]:[คะแนนเต็ม]])*tbl_task2[[%]:[%]])</f>
        <v/>
      </c>
      <c r="HI5" s="121" t="str">
        <f>IF(ISBLANK(tbl_task2[[คะแนนเต็ม]:[คะแนนเต็ม]]),"",(tbl_task2[47]/tbl_task2[[คะแนนเต็ม]:[คะแนนเต็ม]])*tbl_task2[[%]:[%]])</f>
        <v/>
      </c>
      <c r="HJ5" s="121" t="str">
        <f>IF(ISBLANK(tbl_task2[[คะแนนเต็ม]:[คะแนนเต็ม]]),"",(tbl_task2[48]/tbl_task2[[คะแนนเต็ม]:[คะแนนเต็ม]])*tbl_task2[[%]:[%]])</f>
        <v/>
      </c>
      <c r="HK5" s="121" t="str">
        <f>IF(ISBLANK(tbl_task2[[คะแนนเต็ม]:[คะแนนเต็ม]]),"",(tbl_task2[49]/tbl_task2[[คะแนนเต็ม]:[คะแนนเต็ม]])*tbl_task2[[%]:[%]])</f>
        <v/>
      </c>
      <c r="HL5" s="121" t="str">
        <f>IF(ISBLANK(tbl_task2[[คะแนนเต็ม]:[คะแนนเต็ม]]),"",(tbl_task2[50]/tbl_task2[[คะแนนเต็ม]:[คะแนนเต็ม]])*tbl_task2[[%]:[%]])</f>
        <v/>
      </c>
      <c r="HM5" s="121" t="str">
        <f>IF(ISBLANK(tbl_task2[[คะแนนเต็ม]:[คะแนนเต็ม]]),"",(tbl_task2[51]/tbl_task2[[คะแนนเต็ม]:[คะแนนเต็ม]])*tbl_task2[[%]:[%]])</f>
        <v/>
      </c>
      <c r="HN5" s="121" t="str">
        <f>IF(ISBLANK(tbl_task2[[คะแนนเต็ม]:[คะแนนเต็ม]]),"",(tbl_task2[52]/tbl_task2[[คะแนนเต็ม]:[คะแนนเต็ม]])*tbl_task2[[%]:[%]])</f>
        <v/>
      </c>
      <c r="HO5" s="121" t="str">
        <f>IF(ISBLANK(tbl_task2[[คะแนนเต็ม]:[คะแนนเต็ม]]),"",(tbl_task2[53]/tbl_task2[[คะแนนเต็ม]:[คะแนนเต็ม]])*tbl_task2[[%]:[%]])</f>
        <v/>
      </c>
      <c r="HP5" s="121" t="str">
        <f>IF(ISBLANK(tbl_task2[[คะแนนเต็ม]:[คะแนนเต็ม]]),"",(tbl_task2[54]/tbl_task2[[คะแนนเต็ม]:[คะแนนเต็ม]])*tbl_task2[[%]:[%]])</f>
        <v/>
      </c>
      <c r="HQ5" s="121" t="str">
        <f>IF(ISBLANK(tbl_task2[[คะแนนเต็ม]:[คะแนนเต็ม]]),"",(tbl_task2[55]/tbl_task2[[คะแนนเต็ม]:[คะแนนเต็ม]])*tbl_task2[[%]:[%]])</f>
        <v/>
      </c>
      <c r="HR5" s="121" t="str">
        <f>IF(ISBLANK(tbl_task2[[คะแนนเต็ม]:[คะแนนเต็ม]]),"",(tbl_task2[56]/tbl_task2[[คะแนนเต็ม]:[คะแนนเต็ม]])*tbl_task2[[%]:[%]])</f>
        <v/>
      </c>
      <c r="HS5" s="121" t="str">
        <f>IF(ISBLANK(tbl_task2[[คะแนนเต็ม]:[คะแนนเต็ม]]),"",(tbl_task2[57]/tbl_task2[[คะแนนเต็ม]:[คะแนนเต็ม]])*tbl_task2[[%]:[%]])</f>
        <v/>
      </c>
      <c r="HT5" s="121" t="str">
        <f>IF(ISBLANK(tbl_task2[[คะแนนเต็ม]:[คะแนนเต็ม]]),"",(tbl_task2[58]/tbl_task2[[คะแนนเต็ม]:[คะแนนเต็ม]])*tbl_task2[[%]:[%]])</f>
        <v/>
      </c>
      <c r="HU5" s="121" t="str">
        <f>IF(ISBLANK(tbl_task2[[คะแนนเต็ม]:[คะแนนเต็ม]]),"",(tbl_task2[59]/tbl_task2[[คะแนนเต็ม]:[คะแนนเต็ม]])*tbl_task2[[%]:[%]])</f>
        <v/>
      </c>
      <c r="HV5" s="121" t="str">
        <f>IF(ISBLANK(tbl_task2[[คะแนนเต็ม]:[คะแนนเต็ม]]),"",(tbl_task2[60]/tbl_task2[[คะแนนเต็ม]:[คะแนนเต็ม]])*tbl_task2[[%]:[%]])</f>
        <v/>
      </c>
      <c r="HW5" s="121" t="str">
        <f>IF(ISBLANK(tbl_task2[[คะแนนเต็ม]:[คะแนนเต็ม]]),"",(tbl_task2[61]/tbl_task2[[คะแนนเต็ม]:[คะแนนเต็ม]])*tbl_task2[[%]:[%]])</f>
        <v/>
      </c>
      <c r="HX5" s="121" t="str">
        <f>IF(ISBLANK(tbl_task2[[คะแนนเต็ม]:[คะแนนเต็ม]]),"",(tbl_task2[62]/tbl_task2[[คะแนนเต็ม]:[คะแนนเต็ม]])*tbl_task2[[%]:[%]])</f>
        <v/>
      </c>
      <c r="HY5" s="121" t="str">
        <f>IF(ISBLANK(tbl_task2[[คะแนนเต็ม]:[คะแนนเต็ม]]),"",(tbl_task2[63]/tbl_task2[[คะแนนเต็ม]:[คะแนนเต็ม]])*tbl_task2[[%]:[%]])</f>
        <v/>
      </c>
      <c r="HZ5" s="121" t="str">
        <f>IF(ISBLANK(tbl_task2[[คะแนนเต็ม]:[คะแนนเต็ม]]),"",(tbl_task2[64]/tbl_task2[[คะแนนเต็ม]:[คะแนนเต็ม]])*tbl_task2[[%]:[%]])</f>
        <v/>
      </c>
      <c r="IA5" s="121" t="str">
        <f>IF(ISBLANK(tbl_task2[[คะแนนเต็ม]:[คะแนนเต็ม]]),"",(tbl_task2[65]/tbl_task2[[คะแนนเต็ม]:[คะแนนเต็ม]])*tbl_task2[[%]:[%]])</f>
        <v/>
      </c>
      <c r="IB5" s="121" t="str">
        <f>IF(ISBLANK(tbl_task2[[คะแนนเต็ม]:[คะแนนเต็ม]]),"",(tbl_task2[66]/tbl_task2[[คะแนนเต็ม]:[คะแนนเต็ม]])*tbl_task2[[%]:[%]])</f>
        <v/>
      </c>
      <c r="IC5" s="121" t="str">
        <f>IF(ISBLANK(tbl_task2[[คะแนนเต็ม]:[คะแนนเต็ม]]),"",(tbl_task2[67]/tbl_task2[[คะแนนเต็ม]:[คะแนนเต็ม]])*tbl_task2[[%]:[%]])</f>
        <v/>
      </c>
      <c r="ID5" s="121" t="str">
        <f>IF(ISBLANK(tbl_task2[[คะแนนเต็ม]:[คะแนนเต็ม]]),"",(tbl_task2[68]/tbl_task2[[คะแนนเต็ม]:[คะแนนเต็ม]])*tbl_task2[[%]:[%]])</f>
        <v/>
      </c>
      <c r="IE5" s="121" t="str">
        <f>IF(ISBLANK(tbl_task2[[คะแนนเต็ม]:[คะแนนเต็ม]]),"",(tbl_task2[69]/tbl_task2[[คะแนนเต็ม]:[คะแนนเต็ม]])*tbl_task2[[%]:[%]])</f>
        <v/>
      </c>
      <c r="IF5" s="121" t="str">
        <f>IF(ISBLANK(tbl_task2[[คะแนนเต็ม]:[คะแนนเต็ม]]),"",(tbl_task2[70]/tbl_task2[[คะแนนเต็ม]:[คะแนนเต็ม]])*tbl_task2[[%]:[%]])</f>
        <v/>
      </c>
      <c r="IG5" s="121" t="str">
        <f>IF(ISBLANK(tbl_task2[[คะแนนเต็ม]:[คะแนนเต็ม]]),"",(tbl_task2[71]/tbl_task2[[คะแนนเต็ม]:[คะแนนเต็ม]])*tbl_task2[[%]:[%]])</f>
        <v/>
      </c>
      <c r="IH5" s="121" t="str">
        <f>IF(ISBLANK(tbl_task2[[คะแนนเต็ม]:[คะแนนเต็ม]]),"",(tbl_task2[72]/tbl_task2[[คะแนนเต็ม]:[คะแนนเต็ม]])*tbl_task2[[%]:[%]])</f>
        <v/>
      </c>
      <c r="II5" s="121" t="str">
        <f>IF(ISBLANK(tbl_task2[[คะแนนเต็ม]:[คะแนนเต็ม]]),"",(tbl_task2[73]/tbl_task2[[คะแนนเต็ม]:[คะแนนเต็ม]])*tbl_task2[[%]:[%]])</f>
        <v/>
      </c>
      <c r="IJ5" s="121" t="str">
        <f>IF(ISBLANK(tbl_task2[[คะแนนเต็ม]:[คะแนนเต็ม]]),"",(tbl_task2[74]/tbl_task2[[คะแนนเต็ม]:[คะแนนเต็ม]])*tbl_task2[[%]:[%]])</f>
        <v/>
      </c>
      <c r="IK5" s="121" t="str">
        <f>IF(ISBLANK(tbl_task2[[คะแนนเต็ม]:[คะแนนเต็ม]]),"",(tbl_task2[75]/tbl_task2[[คะแนนเต็ม]:[คะแนนเต็ม]])*tbl_task2[[%]:[%]])</f>
        <v/>
      </c>
      <c r="IL5" s="121" t="str">
        <f>IF(ISBLANK(tbl_task2[[คะแนนเต็ม]:[คะแนนเต็ม]]),"",(tbl_task2[76]/tbl_task2[[คะแนนเต็ม]:[คะแนนเต็ม]])*tbl_task2[[%]:[%]])</f>
        <v/>
      </c>
      <c r="IM5" s="121" t="str">
        <f>IF(ISBLANK(tbl_task2[[คะแนนเต็ม]:[คะแนนเต็ม]]),"",(tbl_task2[77]/tbl_task2[[คะแนนเต็ม]:[คะแนนเต็ม]])*tbl_task2[[%]:[%]])</f>
        <v/>
      </c>
      <c r="IN5" s="121" t="str">
        <f>IF(ISBLANK(tbl_task2[[คะแนนเต็ม]:[คะแนนเต็ม]]),"",(tbl_task2[78]/tbl_task2[[คะแนนเต็ม]:[คะแนนเต็ม]])*tbl_task2[[%]:[%]])</f>
        <v/>
      </c>
      <c r="IO5" s="121" t="str">
        <f>IF(ISBLANK(tbl_task2[[คะแนนเต็ม]:[คะแนนเต็ม]]),"",(tbl_task2[79]/tbl_task2[[คะแนนเต็ม]:[คะแนนเต็ม]])*tbl_task2[[%]:[%]])</f>
        <v/>
      </c>
      <c r="IP5" s="121" t="str">
        <f>IF(ISBLANK(tbl_task2[[คะแนนเต็ม]:[คะแนนเต็ม]]),"",(tbl_task2[80]/tbl_task2[[คะแนนเต็ม]:[คะแนนเต็ม]])*tbl_task2[[%]:[%]])</f>
        <v/>
      </c>
      <c r="IQ5" s="121" t="str">
        <f>IF(ISBLANK(tbl_task2[[คะแนนเต็ม]:[คะแนนเต็ม]]),"",(tbl_task2[81]/tbl_task2[[คะแนนเต็ม]:[คะแนนเต็ม]])*tbl_task2[[%]:[%]])</f>
        <v/>
      </c>
      <c r="IR5" s="121" t="str">
        <f>IF(ISBLANK(tbl_task2[[คะแนนเต็ม]:[คะแนนเต็ม]]),"",(tbl_task2[82]/tbl_task2[[คะแนนเต็ม]:[คะแนนเต็ม]])*tbl_task2[[%]:[%]])</f>
        <v/>
      </c>
      <c r="IS5" s="121" t="str">
        <f>IF(ISBLANK(tbl_task2[[คะแนนเต็ม]:[คะแนนเต็ม]]),"",(tbl_task2[83]/tbl_task2[[คะแนนเต็ม]:[คะแนนเต็ม]])*tbl_task2[[%]:[%]])</f>
        <v/>
      </c>
      <c r="IT5" s="121" t="str">
        <f>IF(ISBLANK(tbl_task2[[คะแนนเต็ม]:[คะแนนเต็ม]]),"",(tbl_task2[84]/tbl_task2[[คะแนนเต็ม]:[คะแนนเต็ม]])*tbl_task2[[%]:[%]])</f>
        <v/>
      </c>
      <c r="IU5" s="121" t="str">
        <f>IF(ISBLANK(tbl_task2[[คะแนนเต็ม]:[คะแนนเต็ม]]),"",(tbl_task2[85]/tbl_task2[[คะแนนเต็ม]:[คะแนนเต็ม]])*tbl_task2[[%]:[%]])</f>
        <v/>
      </c>
      <c r="IV5" s="121" t="str">
        <f>IF(ISBLANK(tbl_task2[[คะแนนเต็ม]:[คะแนนเต็ม]]),"",(tbl_task2[86]/tbl_task2[[คะแนนเต็ม]:[คะแนนเต็ม]])*tbl_task2[[%]:[%]])</f>
        <v/>
      </c>
      <c r="IW5" s="121" t="str">
        <f>IF(ISBLANK(tbl_task2[[คะแนนเต็ม]:[คะแนนเต็ม]]),"",(tbl_task2[87]/tbl_task2[[คะแนนเต็ม]:[คะแนนเต็ม]])*tbl_task2[[%]:[%]])</f>
        <v/>
      </c>
      <c r="IX5" s="121" t="str">
        <f>IF(ISBLANK(tbl_task2[[คะแนนเต็ม]:[คะแนนเต็ม]]),"",(tbl_task2[88]/tbl_task2[[คะแนนเต็ม]:[คะแนนเต็ม]])*tbl_task2[[%]:[%]])</f>
        <v/>
      </c>
      <c r="IY5" s="121" t="str">
        <f>IF(ISBLANK(tbl_task2[[คะแนนเต็ม]:[คะแนนเต็ม]]),"",(tbl_task2[89]/tbl_task2[[คะแนนเต็ม]:[คะแนนเต็ม]])*tbl_task2[[%]:[%]])</f>
        <v/>
      </c>
      <c r="IZ5" s="121" t="str">
        <f>IF(ISBLANK(tbl_task2[[คะแนนเต็ม]:[คะแนนเต็ม]]),"",(tbl_task2[90]/tbl_task2[[คะแนนเต็ม]:[คะแนนเต็ม]])*tbl_task2[[%]:[%]])</f>
        <v/>
      </c>
      <c r="JA5" s="121" t="str">
        <f>IF(ISBLANK(tbl_task2[[คะแนนเต็ม]:[คะแนนเต็ม]]),"",(tbl_task2[91]/tbl_task2[[คะแนนเต็ม]:[คะแนนเต็ม]])*tbl_task2[[%]:[%]])</f>
        <v/>
      </c>
      <c r="JB5" s="121" t="str">
        <f>IF(ISBLANK(tbl_task2[[คะแนนเต็ม]:[คะแนนเต็ม]]),"",(tbl_task2[92]/tbl_task2[[คะแนนเต็ม]:[คะแนนเต็ม]])*tbl_task2[[%]:[%]])</f>
        <v/>
      </c>
      <c r="JC5" s="121" t="str">
        <f>IF(ISBLANK(tbl_task2[[คะแนนเต็ม]:[คะแนนเต็ม]]),"",(tbl_task2[93]/tbl_task2[[คะแนนเต็ม]:[คะแนนเต็ม]])*tbl_task2[[%]:[%]])</f>
        <v/>
      </c>
      <c r="JD5" s="121" t="str">
        <f>IF(ISBLANK(tbl_task2[[คะแนนเต็ม]:[คะแนนเต็ม]]),"",(tbl_task2[94]/tbl_task2[[คะแนนเต็ม]:[คะแนนเต็ม]])*tbl_task2[[%]:[%]])</f>
        <v/>
      </c>
      <c r="JE5" s="121" t="str">
        <f>IF(ISBLANK(tbl_task2[[คะแนนเต็ม]:[คะแนนเต็ม]]),"",(tbl_task2[95]/tbl_task2[[คะแนนเต็ม]:[คะแนนเต็ม]])*tbl_task2[[%]:[%]])</f>
        <v/>
      </c>
      <c r="JF5" s="121" t="str">
        <f>IF(ISBLANK(tbl_task2[[คะแนนเต็ม]:[คะแนนเต็ม]]),"",(tbl_task2[96]/tbl_task2[[คะแนนเต็ม]:[คะแนนเต็ม]])*tbl_task2[[%]:[%]])</f>
        <v/>
      </c>
      <c r="JG5" s="121" t="str">
        <f>IF(ISBLANK(tbl_task2[[คะแนนเต็ม]:[คะแนนเต็ม]]),"",(tbl_task2[97]/tbl_task2[[คะแนนเต็ม]:[คะแนนเต็ม]])*tbl_task2[[%]:[%]])</f>
        <v/>
      </c>
      <c r="JH5" s="121" t="str">
        <f>IF(ISBLANK(tbl_task2[[คะแนนเต็ม]:[คะแนนเต็ม]]),"",(tbl_task2[98]/tbl_task2[[คะแนนเต็ม]:[คะแนนเต็ม]])*tbl_task2[[%]:[%]])</f>
        <v/>
      </c>
      <c r="JI5" s="121" t="str">
        <f>IF(ISBLANK(tbl_task2[[คะแนนเต็ม]:[คะแนนเต็ม]]),"",(tbl_task2[99]/tbl_task2[[คะแนนเต็ม]:[คะแนนเต็ม]])*tbl_task2[[%]:[%]])</f>
        <v/>
      </c>
      <c r="JJ5" s="121" t="str">
        <f>IF(ISBLANK(tbl_task2[[คะแนนเต็ม]:[คะแนนเต็ม]]),"",(tbl_task2[100]/tbl_task2[[คะแนนเต็ม]:[คะแนนเต็ม]])*tbl_task2[[%]:[%]])</f>
        <v/>
      </c>
      <c r="JK5" s="121" t="str">
        <f>IF(ISBLANK(tbl_task2[[คะแนนเต็ม]:[คะแนนเต็ม]]),"",(tbl_task2[101]/tbl_task2[[คะแนนเต็ม]:[คะแนนเต็ม]])*tbl_task2[[%]:[%]])</f>
        <v/>
      </c>
      <c r="JL5" s="121" t="str">
        <f>IF(ISBLANK(tbl_task2[[คะแนนเต็ม]:[คะแนนเต็ม]]),"",(tbl_task2[102]/tbl_task2[[คะแนนเต็ม]:[คะแนนเต็ม]])*tbl_task2[[%]:[%]])</f>
        <v/>
      </c>
      <c r="JM5" s="121" t="str">
        <f>IF(ISBLANK(tbl_task2[[คะแนนเต็ม]:[คะแนนเต็ม]]),"",(tbl_task2[103]/tbl_task2[[คะแนนเต็ม]:[คะแนนเต็ม]])*tbl_task2[[%]:[%]])</f>
        <v/>
      </c>
      <c r="JN5" s="121" t="str">
        <f>IF(ISBLANK(tbl_task2[[คะแนนเต็ม]:[คะแนนเต็ม]]),"",(tbl_task2[104]/tbl_task2[[คะแนนเต็ม]:[คะแนนเต็ม]])*tbl_task2[[%]:[%]])</f>
        <v/>
      </c>
      <c r="JO5" s="121" t="str">
        <f>IF(ISBLANK(tbl_task2[[คะแนนเต็ม]:[คะแนนเต็ม]]),"",(tbl_task2[105]/tbl_task2[[คะแนนเต็ม]:[คะแนนเต็ม]])*tbl_task2[[%]:[%]])</f>
        <v/>
      </c>
      <c r="JP5" s="121" t="str">
        <f>IF(ISBLANK(tbl_task2[[คะแนนเต็ม]:[คะแนนเต็ม]]),"",(tbl_task2[106]/tbl_task2[[คะแนนเต็ม]:[คะแนนเต็ม]])*tbl_task2[[%]:[%]])</f>
        <v/>
      </c>
      <c r="JQ5" s="121" t="str">
        <f>IF(ISBLANK(tbl_task2[[คะแนนเต็ม]:[คะแนนเต็ม]]),"",(tbl_task2[107]/tbl_task2[[คะแนนเต็ม]:[คะแนนเต็ม]])*tbl_task2[[%]:[%]])</f>
        <v/>
      </c>
      <c r="JR5" s="121" t="str">
        <f>IF(ISBLANK(tbl_task2[[คะแนนเต็ม]:[คะแนนเต็ม]]),"",(tbl_task2[108]/tbl_task2[[คะแนนเต็ม]:[คะแนนเต็ม]])*tbl_task2[[%]:[%]])</f>
        <v/>
      </c>
      <c r="JS5" s="121" t="str">
        <f>IF(ISBLANK(tbl_task2[[คะแนนเต็ม]:[คะแนนเต็ม]]),"",(tbl_task2[109]/tbl_task2[[คะแนนเต็ม]:[คะแนนเต็ม]])*tbl_task2[[%]:[%]])</f>
        <v/>
      </c>
      <c r="JT5" s="121" t="str">
        <f>IF(ISBLANK(tbl_task2[[คะแนนเต็ม]:[คะแนนเต็ม]]),"",(tbl_task2[110]/tbl_task2[[คะแนนเต็ม]:[คะแนนเต็ม]])*tbl_task2[[%]:[%]])</f>
        <v/>
      </c>
      <c r="JU5" s="121" t="str">
        <f>IF(ISBLANK(tbl_task2[[คะแนนเต็ม]:[คะแนนเต็ม]]),"",(tbl_task2[111]/tbl_task2[[คะแนนเต็ม]:[คะแนนเต็ม]])*tbl_task2[[%]:[%]])</f>
        <v/>
      </c>
      <c r="JV5" s="121" t="str">
        <f>IF(ISBLANK(tbl_task2[[คะแนนเต็ม]:[คะแนนเต็ม]]),"",(tbl_task2[112]/tbl_task2[[คะแนนเต็ม]:[คะแนนเต็ม]])*tbl_task2[[%]:[%]])</f>
        <v/>
      </c>
      <c r="JW5" s="121" t="str">
        <f>IF(ISBLANK(tbl_task2[[คะแนนเต็ม]:[คะแนนเต็ม]]),"",(tbl_task2[113]/tbl_task2[[คะแนนเต็ม]:[คะแนนเต็ม]])*tbl_task2[[%]:[%]])</f>
        <v/>
      </c>
      <c r="JX5" s="121" t="str">
        <f>IF(ISBLANK(tbl_task2[[คะแนนเต็ม]:[คะแนนเต็ม]]),"",(tbl_task2[114]/tbl_task2[[คะแนนเต็ม]:[คะแนนเต็ม]])*tbl_task2[[%]:[%]])</f>
        <v/>
      </c>
      <c r="JY5" s="121" t="str">
        <f>IF(ISBLANK(tbl_task2[[คะแนนเต็ม]:[คะแนนเต็ม]]),"",(tbl_task2[115]/tbl_task2[[คะแนนเต็ม]:[คะแนนเต็ม]])*tbl_task2[[%]:[%]])</f>
        <v/>
      </c>
      <c r="JZ5" s="121" t="str">
        <f>IF(ISBLANK(tbl_task2[[คะแนนเต็ม]:[คะแนนเต็ม]]),"",(tbl_task2[116]/tbl_task2[[คะแนนเต็ม]:[คะแนนเต็ม]])*tbl_task2[[%]:[%]])</f>
        <v/>
      </c>
      <c r="KA5" s="121" t="str">
        <f>IF(ISBLANK(tbl_task2[[คะแนนเต็ม]:[คะแนนเต็ม]]),"",(tbl_task2[117]/tbl_task2[[คะแนนเต็ม]:[คะแนนเต็ม]])*tbl_task2[[%]:[%]])</f>
        <v/>
      </c>
      <c r="KB5" s="121" t="str">
        <f>IF(ISBLANK(tbl_task2[[คะแนนเต็ม]:[คะแนนเต็ม]]),"",(tbl_task2[118]/tbl_task2[[คะแนนเต็ม]:[คะแนนเต็ม]])*tbl_task2[[%]:[%]])</f>
        <v/>
      </c>
      <c r="KC5" s="121" t="str">
        <f>IF(ISBLANK(tbl_task2[[คะแนนเต็ม]:[คะแนนเต็ม]]),"",(tbl_task2[119]/tbl_task2[[คะแนนเต็ม]:[คะแนนเต็ม]])*tbl_task2[[%]:[%]])</f>
        <v/>
      </c>
      <c r="KD5" s="121" t="str">
        <f>IF(ISBLANK(tbl_task2[[คะแนนเต็ม]:[คะแนนเต็ม]]),"",(tbl_task2[120]/tbl_task2[[คะแนนเต็ม]:[คะแนนเต็ม]])*tbl_task2[[%]:[%]])</f>
        <v/>
      </c>
      <c r="KE5" s="121" t="str">
        <f>IF(ISBLANK(tbl_task2[[คะแนนเต็ม]:[คะแนนเต็ม]]),"",(tbl_task2[121]/tbl_task2[[คะแนนเต็ม]:[คะแนนเต็ม]])*tbl_task2[[%]:[%]])</f>
        <v/>
      </c>
      <c r="KF5" s="121" t="str">
        <f>IF(ISBLANK(tbl_task2[[คะแนนเต็ม]:[คะแนนเต็ม]]),"",(tbl_task2[122]/tbl_task2[[คะแนนเต็ม]:[คะแนนเต็ม]])*tbl_task2[[%]:[%]])</f>
        <v/>
      </c>
      <c r="KG5" s="121" t="str">
        <f>IF(ISBLANK(tbl_task2[[คะแนนเต็ม]:[คะแนนเต็ม]]),"",(tbl_task2[123]/tbl_task2[[คะแนนเต็ม]:[คะแนนเต็ม]])*tbl_task2[[%]:[%]])</f>
        <v/>
      </c>
      <c r="KH5" s="121" t="str">
        <f>IF(ISBLANK(tbl_task2[[คะแนนเต็ม]:[คะแนนเต็ม]]),"",(tbl_task2[124]/tbl_task2[[คะแนนเต็ม]:[คะแนนเต็ม]])*tbl_task2[[%]:[%]])</f>
        <v/>
      </c>
      <c r="KI5" s="121" t="str">
        <f>IF(ISBLANK(tbl_task2[[คะแนนเต็ม]:[คะแนนเต็ม]]),"",(tbl_task2[125]/tbl_task2[[คะแนนเต็ม]:[คะแนนเต็ม]])*tbl_task2[[%]:[%]])</f>
        <v/>
      </c>
      <c r="KJ5" s="121" t="str">
        <f>IF(ISBLANK(tbl_task2[[คะแนนเต็ม]:[คะแนนเต็ม]]),"",(tbl_task2[126]/tbl_task2[[คะแนนเต็ม]:[คะแนนเต็ม]])*tbl_task2[[%]:[%]])</f>
        <v/>
      </c>
      <c r="KK5" s="121" t="str">
        <f>IF(ISBLANK(tbl_task2[[คะแนนเต็ม]:[คะแนนเต็ม]]),"",(tbl_task2[127]/tbl_task2[[คะแนนเต็ม]:[คะแนนเต็ม]])*tbl_task2[[%]:[%]])</f>
        <v/>
      </c>
      <c r="KL5" s="121" t="str">
        <f>IF(ISBLANK(tbl_task2[[คะแนนเต็ม]:[คะแนนเต็ม]]),"",(tbl_task2[128]/tbl_task2[[คะแนนเต็ม]:[คะแนนเต็ม]])*tbl_task2[[%]:[%]])</f>
        <v/>
      </c>
      <c r="KM5" s="121" t="str">
        <f>IF(ISBLANK(tbl_task2[[คะแนนเต็ม]:[คะแนนเต็ม]]),"",(tbl_task2[129]/tbl_task2[[คะแนนเต็ม]:[คะแนนเต็ม]])*tbl_task2[[%]:[%]])</f>
        <v/>
      </c>
      <c r="KN5" s="121" t="str">
        <f>IF(ISBLANK(tbl_task2[[คะแนนเต็ม]:[คะแนนเต็ม]]),"",(tbl_task2[130]/tbl_task2[[คะแนนเต็ม]:[คะแนนเต็ม]])*tbl_task2[[%]:[%]])</f>
        <v/>
      </c>
      <c r="KO5" s="121" t="str">
        <f>IF(ISBLANK(tbl_task2[[คะแนนเต็ม]:[คะแนนเต็ม]]),"",(tbl_task2[131]/tbl_task2[[คะแนนเต็ม]:[คะแนนเต็ม]])*tbl_task2[[%]:[%]])</f>
        <v/>
      </c>
      <c r="KP5" s="121" t="str">
        <f>IF(ISBLANK(tbl_task2[[คะแนนเต็ม]:[คะแนนเต็ม]]),"",(tbl_task2[132]/tbl_task2[[คะแนนเต็ม]:[คะแนนเต็ม]])*tbl_task2[[%]:[%]])</f>
        <v/>
      </c>
      <c r="KQ5" s="121" t="str">
        <f>IF(ISBLANK(tbl_task2[[คะแนนเต็ม]:[คะแนนเต็ม]]),"",(tbl_task2[133]/tbl_task2[[คะแนนเต็ม]:[คะแนนเต็ม]])*tbl_task2[[%]:[%]])</f>
        <v/>
      </c>
      <c r="KR5" s="121" t="str">
        <f>IF(ISBLANK(tbl_task2[[คะแนนเต็ม]:[คะแนนเต็ม]]),"",(tbl_task2[134]/tbl_task2[[คะแนนเต็ม]:[คะแนนเต็ม]])*tbl_task2[[%]:[%]])</f>
        <v/>
      </c>
      <c r="KS5" s="121" t="str">
        <f>IF(ISBLANK(tbl_task2[[คะแนนเต็ม]:[คะแนนเต็ม]]),"",(tbl_task2[135]/tbl_task2[[คะแนนเต็ม]:[คะแนนเต็ม]])*tbl_task2[[%]:[%]])</f>
        <v/>
      </c>
      <c r="KT5" s="121" t="str">
        <f>IF(ISBLANK(tbl_task2[[คะแนนเต็ม]:[คะแนนเต็ม]]),"",(tbl_task2[136]/tbl_task2[[คะแนนเต็ม]:[คะแนนเต็ม]])*tbl_task2[[%]:[%]])</f>
        <v/>
      </c>
      <c r="KU5" s="121" t="str">
        <f>IF(ISBLANK(tbl_task2[[คะแนนเต็ม]:[คะแนนเต็ม]]),"",(tbl_task2[137]/tbl_task2[[คะแนนเต็ม]:[คะแนนเต็ม]])*tbl_task2[[%]:[%]])</f>
        <v/>
      </c>
      <c r="KV5" s="121" t="str">
        <f>IF(ISBLANK(tbl_task2[[คะแนนเต็ม]:[คะแนนเต็ม]]),"",(tbl_task2[138]/tbl_task2[[คะแนนเต็ม]:[คะแนนเต็ม]])*tbl_task2[[%]:[%]])</f>
        <v/>
      </c>
      <c r="KW5" s="121" t="str">
        <f>IF(ISBLANK(tbl_task2[[คะแนนเต็ม]:[คะแนนเต็ม]]),"",(tbl_task2[139]/tbl_task2[[คะแนนเต็ม]:[คะแนนเต็ม]])*tbl_task2[[%]:[%]])</f>
        <v/>
      </c>
      <c r="KX5" s="121" t="str">
        <f>IF(ISBLANK(tbl_task2[[คะแนนเต็ม]:[คะแนนเต็ม]]),"",(tbl_task2[140]/tbl_task2[[คะแนนเต็ม]:[คะแนนเต็ม]])*tbl_task2[[%]:[%]])</f>
        <v/>
      </c>
      <c r="KY5" s="121" t="str">
        <f>IF(ISBLANK(tbl_task2[[คะแนนเต็ม]:[คะแนนเต็ม]]),"",(tbl_task2[141]/tbl_task2[[คะแนนเต็ม]:[คะแนนเต็ม]])*tbl_task2[[%]:[%]])</f>
        <v/>
      </c>
      <c r="KZ5" s="121" t="str">
        <f>IF(ISBLANK(tbl_task2[[คะแนนเต็ม]:[คะแนนเต็ม]]),"",(tbl_task2[142]/tbl_task2[[คะแนนเต็ม]:[คะแนนเต็ม]])*tbl_task2[[%]:[%]])</f>
        <v/>
      </c>
      <c r="LA5" s="121" t="str">
        <f>IF(ISBLANK(tbl_task2[[คะแนนเต็ม]:[คะแนนเต็ม]]),"",(tbl_task2[143]/tbl_task2[[คะแนนเต็ม]:[คะแนนเต็ม]])*tbl_task2[[%]:[%]])</f>
        <v/>
      </c>
      <c r="LB5" s="121" t="str">
        <f>IF(ISBLANK(tbl_task2[[คะแนนเต็ม]:[คะแนนเต็ม]]),"",(tbl_task2[144]/tbl_task2[[คะแนนเต็ม]:[คะแนนเต็ม]])*tbl_task2[[%]:[%]])</f>
        <v/>
      </c>
      <c r="LC5" s="121" t="str">
        <f>IF(ISBLANK(tbl_task2[[คะแนนเต็ม]:[คะแนนเต็ม]]),"",(tbl_task2[145]/tbl_task2[[คะแนนเต็ม]:[คะแนนเต็ม]])*tbl_task2[[%]:[%]])</f>
        <v/>
      </c>
      <c r="LD5" s="121" t="str">
        <f>IF(ISBLANK(tbl_task2[[คะแนนเต็ม]:[คะแนนเต็ม]]),"",(tbl_task2[146]/tbl_task2[[คะแนนเต็ม]:[คะแนนเต็ม]])*tbl_task2[[%]:[%]])</f>
        <v/>
      </c>
      <c r="LE5" s="121" t="str">
        <f>IF(ISBLANK(tbl_task2[[คะแนนเต็ม]:[คะแนนเต็ม]]),"",(tbl_task2[147]/tbl_task2[[คะแนนเต็ม]:[คะแนนเต็ม]])*tbl_task2[[%]:[%]])</f>
        <v/>
      </c>
      <c r="LF5" s="121" t="str">
        <f>IF(ISBLANK(tbl_task2[[คะแนนเต็ม]:[คะแนนเต็ม]]),"",(tbl_task2[148]/tbl_task2[[คะแนนเต็ม]:[คะแนนเต็ม]])*tbl_task2[[%]:[%]])</f>
        <v/>
      </c>
      <c r="LG5" s="121" t="str">
        <f>IF(ISBLANK(tbl_task2[[คะแนนเต็ม]:[คะแนนเต็ม]]),"",(tbl_task2[149]/tbl_task2[[คะแนนเต็ม]:[คะแนนเต็ม]])*tbl_task2[[%]:[%]])</f>
        <v/>
      </c>
      <c r="LH5" s="121" t="str">
        <f>IF(ISBLANK(tbl_task2[[คะแนนเต็ม]:[คะแนนเต็ม]]),"",(tbl_task2[150]/tbl_task2[[คะแนนเต็ม]:[คะแนนเต็ม]])*tbl_task2[[%]:[%]])</f>
        <v/>
      </c>
      <c r="LI5" s="121" t="str">
        <f>IF(ISBLANK(tbl_task2[[คะแนนเต็ม]:[คะแนนเต็ม]]),"",(tbl_task2[151]/tbl_task2[[คะแนนเต็ม]:[คะแนนเต็ม]])*tbl_task2[[%]:[%]])</f>
        <v/>
      </c>
      <c r="LJ5" s="121" t="str">
        <f>IF(ISBLANK(tbl_task2[[คะแนนเต็ม]:[คะแนนเต็ม]]),"",(tbl_task2[152]/tbl_task2[[คะแนนเต็ม]:[คะแนนเต็ม]])*tbl_task2[[%]:[%]])</f>
        <v/>
      </c>
      <c r="LK5" s="121" t="str">
        <f>IF(ISBLANK(tbl_task2[[คะแนนเต็ม]:[คะแนนเต็ม]]),"",(tbl_task2[153]/tbl_task2[[คะแนนเต็ม]:[คะแนนเต็ม]])*tbl_task2[[%]:[%]])</f>
        <v/>
      </c>
      <c r="LL5" s="121" t="str">
        <f>IF(ISBLANK(tbl_task2[[คะแนนเต็ม]:[คะแนนเต็ม]]),"",(tbl_task2[154]/tbl_task2[[คะแนนเต็ม]:[คะแนนเต็ม]])*tbl_task2[[%]:[%]])</f>
        <v/>
      </c>
      <c r="LM5" s="121" t="str">
        <f>IF(ISBLANK(tbl_task2[[คะแนนเต็ม]:[คะแนนเต็ม]]),"",(tbl_task2[155]/tbl_task2[[คะแนนเต็ม]:[คะแนนเต็ม]])*tbl_task2[[%]:[%]])</f>
        <v/>
      </c>
      <c r="LN5" s="121" t="str">
        <f>IF(ISBLANK(tbl_task2[[คะแนนเต็ม]:[คะแนนเต็ม]]),"",(tbl_task2[156]/tbl_task2[[คะแนนเต็ม]:[คะแนนเต็ม]])*tbl_task2[[%]:[%]])</f>
        <v/>
      </c>
      <c r="LO5" s="121" t="str">
        <f>IF(ISBLANK(tbl_task2[[คะแนนเต็ม]:[คะแนนเต็ม]]),"",(tbl_task2[157]/tbl_task2[[คะแนนเต็ม]:[คะแนนเต็ม]])*tbl_task2[[%]:[%]])</f>
        <v/>
      </c>
      <c r="LP5" s="121" t="str">
        <f>IF(ISBLANK(tbl_task2[[คะแนนเต็ม]:[คะแนนเต็ม]]),"",(tbl_task2[158]/tbl_task2[[คะแนนเต็ม]:[คะแนนเต็ม]])*tbl_task2[[%]:[%]])</f>
        <v/>
      </c>
      <c r="LQ5" s="121" t="str">
        <f>IF(ISBLANK(tbl_task2[[คะแนนเต็ม]:[คะแนนเต็ม]]),"",(tbl_task2[159]/tbl_task2[[คะแนนเต็ม]:[คะแนนเต็ม]])*tbl_task2[[%]:[%]])</f>
        <v/>
      </c>
      <c r="LR5" s="121" t="str">
        <f>IF(ISBLANK(tbl_task2[[คะแนนเต็ม]:[คะแนนเต็ม]]),"",(tbl_task2[160]/tbl_task2[[คะแนนเต็ม]:[คะแนนเต็ม]])*tbl_task2[[%]:[%]])</f>
        <v/>
      </c>
      <c r="LS5" s="121" t="str">
        <f>IF(ISBLANK(tbl_task2[[คะแนนเต็ม]:[คะแนนเต็ม]]),"",(tbl_task2[161]/tbl_task2[[คะแนนเต็ม]:[คะแนนเต็ม]])*tbl_task2[[%]:[%]])</f>
        <v/>
      </c>
      <c r="LT5" s="121" t="str">
        <f>IF(ISBLANK(tbl_task2[[คะแนนเต็ม]:[คะแนนเต็ม]]),"",(tbl_task2[162]/tbl_task2[[คะแนนเต็ม]:[คะแนนเต็ม]])*tbl_task2[[%]:[%]])</f>
        <v/>
      </c>
      <c r="LU5" s="121" t="str">
        <f>IF(ISBLANK(tbl_task2[[คะแนนเต็ม]:[คะแนนเต็ม]]),"",(tbl_task2[163]/tbl_task2[[คะแนนเต็ม]:[คะแนนเต็ม]])*tbl_task2[[%]:[%]])</f>
        <v/>
      </c>
      <c r="LV5" s="121" t="str">
        <f>IF(ISBLANK(tbl_task2[[คะแนนเต็ม]:[คะแนนเต็ม]]),"",(tbl_task2[164]/tbl_task2[[คะแนนเต็ม]:[คะแนนเต็ม]])*tbl_task2[[%]:[%]])</f>
        <v/>
      </c>
      <c r="LW5" s="121" t="str">
        <f>IF(ISBLANK(tbl_task2[[คะแนนเต็ม]:[คะแนนเต็ม]]),"",(tbl_task2[165]/tbl_task2[[คะแนนเต็ม]:[คะแนนเต็ม]])*tbl_task2[[%]:[%]])</f>
        <v/>
      </c>
    </row>
    <row r="6" spans="1:335" ht="24.75" customHeight="1" x14ac:dyDescent="0.25">
      <c r="A6" s="24">
        <v>3</v>
      </c>
      <c r="B6" s="20"/>
      <c r="C6" s="5" t="str">
        <f>IF(ISBLANK(B6),"",VLOOKUP(B6,tbl_PLOs[],2,0))</f>
        <v/>
      </c>
      <c r="D6" s="102"/>
      <c r="E6" s="10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22"/>
      <c r="FO6" s="121" t="str">
        <f>IF(ISBLANK(tbl_task2[[คะแนนเต็ม]:[คะแนนเต็ม]]),"",(tbl_task2[1]/tbl_task2[[คะแนนเต็ม]:[คะแนนเต็ม]])*tbl_task2[[%]:[%]])</f>
        <v/>
      </c>
      <c r="FP6" s="121" t="str">
        <f>IF(ISBLANK(tbl_task2[[คะแนนเต็ม]:[คะแนนเต็ม]]),"",(tbl_task2[2]/tbl_task2[[คะแนนเต็ม]:[คะแนนเต็ม]])*tbl_task2[[%]:[%]])</f>
        <v/>
      </c>
      <c r="FQ6" s="121" t="str">
        <f>IF(ISBLANK(tbl_task2[[คะแนนเต็ม]:[คะแนนเต็ม]]),"",(tbl_task2[3]/tbl_task2[[คะแนนเต็ม]:[คะแนนเต็ม]])*tbl_task2[[%]:[%]])</f>
        <v/>
      </c>
      <c r="FR6" s="121" t="str">
        <f>IF(ISBLANK(tbl_task2[[คะแนนเต็ม]:[คะแนนเต็ม]]),"",(tbl_task2[4]/tbl_task2[[คะแนนเต็ม]:[คะแนนเต็ม]])*tbl_task2[[%]:[%]])</f>
        <v/>
      </c>
      <c r="FS6" s="121" t="str">
        <f>IF(ISBLANK(tbl_task2[[คะแนนเต็ม]:[คะแนนเต็ม]]),"",(tbl_task2[5]/tbl_task2[[คะแนนเต็ม]:[คะแนนเต็ม]])*tbl_task2[[%]:[%]])</f>
        <v/>
      </c>
      <c r="FT6" s="121" t="str">
        <f>IF(ISBLANK(tbl_task2[[คะแนนเต็ม]:[คะแนนเต็ม]]),"",(tbl_task2[6]/tbl_task2[[คะแนนเต็ม]:[คะแนนเต็ม]])*tbl_task2[[%]:[%]])</f>
        <v/>
      </c>
      <c r="FU6" s="121" t="str">
        <f>IF(ISBLANK(tbl_task2[[คะแนนเต็ม]:[คะแนนเต็ม]]),"",(tbl_task2[7]/tbl_task2[[คะแนนเต็ม]:[คะแนนเต็ม]])*tbl_task2[[%]:[%]])</f>
        <v/>
      </c>
      <c r="FV6" s="121" t="str">
        <f>IF(ISBLANK(tbl_task2[[คะแนนเต็ม]:[คะแนนเต็ม]]),"",(tbl_task2[8]/tbl_task2[[คะแนนเต็ม]:[คะแนนเต็ม]])*tbl_task2[[%]:[%]])</f>
        <v/>
      </c>
      <c r="FW6" s="121" t="str">
        <f>IF(ISBLANK(tbl_task2[[คะแนนเต็ม]:[คะแนนเต็ม]]),"",(tbl_task2[9]/tbl_task2[[คะแนนเต็ม]:[คะแนนเต็ม]])*tbl_task2[[%]:[%]])</f>
        <v/>
      </c>
      <c r="FX6" s="121" t="str">
        <f>IF(ISBLANK(tbl_task2[[คะแนนเต็ม]:[คะแนนเต็ม]]),"",(tbl_task2[10]/tbl_task2[[คะแนนเต็ม]:[คะแนนเต็ม]])*tbl_task2[[%]:[%]])</f>
        <v/>
      </c>
      <c r="FY6" s="121" t="str">
        <f>IF(ISBLANK(tbl_task2[[คะแนนเต็ม]:[คะแนนเต็ม]]),"",(tbl_task2[11]/tbl_task2[[คะแนนเต็ม]:[คะแนนเต็ม]])*tbl_task2[[%]:[%]])</f>
        <v/>
      </c>
      <c r="FZ6" s="121" t="str">
        <f>IF(ISBLANK(tbl_task2[[คะแนนเต็ม]:[คะแนนเต็ม]]),"",(tbl_task2[12]/tbl_task2[[คะแนนเต็ม]:[คะแนนเต็ม]])*tbl_task2[[%]:[%]])</f>
        <v/>
      </c>
      <c r="GA6" s="121" t="str">
        <f>IF(ISBLANK(tbl_task2[[คะแนนเต็ม]:[คะแนนเต็ม]]),"",(tbl_task2[13]/tbl_task2[[คะแนนเต็ม]:[คะแนนเต็ม]])*tbl_task2[[%]:[%]])</f>
        <v/>
      </c>
      <c r="GB6" s="121" t="str">
        <f>IF(ISBLANK(tbl_task2[[คะแนนเต็ม]:[คะแนนเต็ม]]),"",(tbl_task2[14]/tbl_task2[[คะแนนเต็ม]:[คะแนนเต็ม]])*tbl_task2[[%]:[%]])</f>
        <v/>
      </c>
      <c r="GC6" s="121" t="str">
        <f>IF(ISBLANK(tbl_task2[[คะแนนเต็ม]:[คะแนนเต็ม]]),"",(tbl_task2[15]/tbl_task2[[คะแนนเต็ม]:[คะแนนเต็ม]])*tbl_task2[[%]:[%]])</f>
        <v/>
      </c>
      <c r="GD6" s="121" t="str">
        <f>IF(ISBLANK(tbl_task2[[คะแนนเต็ม]:[คะแนนเต็ม]]),"",(tbl_task2[16]/tbl_task2[[คะแนนเต็ม]:[คะแนนเต็ม]])*tbl_task2[[%]:[%]])</f>
        <v/>
      </c>
      <c r="GE6" s="121" t="str">
        <f>IF(ISBLANK(tbl_task2[[คะแนนเต็ม]:[คะแนนเต็ม]]),"",(tbl_task2[17]/tbl_task2[[คะแนนเต็ม]:[คะแนนเต็ม]])*tbl_task2[[%]:[%]])</f>
        <v/>
      </c>
      <c r="GF6" s="121" t="str">
        <f>IF(ISBLANK(tbl_task2[[คะแนนเต็ม]:[คะแนนเต็ม]]),"",(tbl_task2[18]/tbl_task2[[คะแนนเต็ม]:[คะแนนเต็ม]])*tbl_task2[[%]:[%]])</f>
        <v/>
      </c>
      <c r="GG6" s="121" t="str">
        <f>IF(ISBLANK(tbl_task2[[คะแนนเต็ม]:[คะแนนเต็ม]]),"",(tbl_task2[19]/tbl_task2[[คะแนนเต็ม]:[คะแนนเต็ม]])*tbl_task2[[%]:[%]])</f>
        <v/>
      </c>
      <c r="GH6" s="121" t="str">
        <f>IF(ISBLANK(tbl_task2[[คะแนนเต็ม]:[คะแนนเต็ม]]),"",(tbl_task2[20]/tbl_task2[[คะแนนเต็ม]:[คะแนนเต็ม]])*tbl_task2[[%]:[%]])</f>
        <v/>
      </c>
      <c r="GI6" s="121" t="str">
        <f>IF(ISBLANK(tbl_task2[[คะแนนเต็ม]:[คะแนนเต็ม]]),"",(tbl_task2[21]/tbl_task2[[คะแนนเต็ม]:[คะแนนเต็ม]])*tbl_task2[[%]:[%]])</f>
        <v/>
      </c>
      <c r="GJ6" s="121" t="str">
        <f>IF(ISBLANK(tbl_task2[[คะแนนเต็ม]:[คะแนนเต็ม]]),"",(tbl_task2[22]/tbl_task2[[คะแนนเต็ม]:[คะแนนเต็ม]])*tbl_task2[[%]:[%]])</f>
        <v/>
      </c>
      <c r="GK6" s="121" t="str">
        <f>IF(ISBLANK(tbl_task2[[คะแนนเต็ม]:[คะแนนเต็ม]]),"",(tbl_task2[23]/tbl_task2[[คะแนนเต็ม]:[คะแนนเต็ม]])*tbl_task2[[%]:[%]])</f>
        <v/>
      </c>
      <c r="GL6" s="121" t="str">
        <f>IF(ISBLANK(tbl_task2[[คะแนนเต็ม]:[คะแนนเต็ม]]),"",(tbl_task2[24]/tbl_task2[[คะแนนเต็ม]:[คะแนนเต็ม]])*tbl_task2[[%]:[%]])</f>
        <v/>
      </c>
      <c r="GM6" s="121" t="str">
        <f>IF(ISBLANK(tbl_task2[[คะแนนเต็ม]:[คะแนนเต็ม]]),"",(tbl_task2[25]/tbl_task2[[คะแนนเต็ม]:[คะแนนเต็ม]])*tbl_task2[[%]:[%]])</f>
        <v/>
      </c>
      <c r="GN6" s="121" t="str">
        <f>IF(ISBLANK(tbl_task2[[คะแนนเต็ม]:[คะแนนเต็ม]]),"",(tbl_task2[26]/tbl_task2[[คะแนนเต็ม]:[คะแนนเต็ม]])*tbl_task2[[%]:[%]])</f>
        <v/>
      </c>
      <c r="GO6" s="121" t="str">
        <f>IF(ISBLANK(tbl_task2[[คะแนนเต็ม]:[คะแนนเต็ม]]),"",(tbl_task2[27]/tbl_task2[[คะแนนเต็ม]:[คะแนนเต็ม]])*tbl_task2[[%]:[%]])</f>
        <v/>
      </c>
      <c r="GP6" s="121" t="str">
        <f>IF(ISBLANK(tbl_task2[[คะแนนเต็ม]:[คะแนนเต็ม]]),"",(tbl_task2[28]/tbl_task2[[คะแนนเต็ม]:[คะแนนเต็ม]])*tbl_task2[[%]:[%]])</f>
        <v/>
      </c>
      <c r="GQ6" s="121" t="str">
        <f>IF(ISBLANK(tbl_task2[[คะแนนเต็ม]:[คะแนนเต็ม]]),"",(tbl_task2[29]/tbl_task2[[คะแนนเต็ม]:[คะแนนเต็ม]])*tbl_task2[[%]:[%]])</f>
        <v/>
      </c>
      <c r="GR6" s="121" t="str">
        <f>IF(ISBLANK(tbl_task2[[คะแนนเต็ม]:[คะแนนเต็ม]]),"",(tbl_task2[30]/tbl_task2[[คะแนนเต็ม]:[คะแนนเต็ม]])*tbl_task2[[%]:[%]])</f>
        <v/>
      </c>
      <c r="GS6" s="121" t="str">
        <f>IF(ISBLANK(tbl_task2[[คะแนนเต็ม]:[คะแนนเต็ม]]),"",(tbl_task2[31]/tbl_task2[[คะแนนเต็ม]:[คะแนนเต็ม]])*tbl_task2[[%]:[%]])</f>
        <v/>
      </c>
      <c r="GT6" s="121" t="str">
        <f>IF(ISBLANK(tbl_task2[[คะแนนเต็ม]:[คะแนนเต็ม]]),"",(tbl_task2[32]/tbl_task2[[คะแนนเต็ม]:[คะแนนเต็ม]])*tbl_task2[[%]:[%]])</f>
        <v/>
      </c>
      <c r="GU6" s="121" t="str">
        <f>IF(ISBLANK(tbl_task2[[คะแนนเต็ม]:[คะแนนเต็ม]]),"",(tbl_task2[33]/tbl_task2[[คะแนนเต็ม]:[คะแนนเต็ม]])*tbl_task2[[%]:[%]])</f>
        <v/>
      </c>
      <c r="GV6" s="121" t="str">
        <f>IF(ISBLANK(tbl_task2[[คะแนนเต็ม]:[คะแนนเต็ม]]),"",(tbl_task2[34]/tbl_task2[[คะแนนเต็ม]:[คะแนนเต็ม]])*tbl_task2[[%]:[%]])</f>
        <v/>
      </c>
      <c r="GW6" s="121" t="str">
        <f>IF(ISBLANK(tbl_task2[[คะแนนเต็ม]:[คะแนนเต็ม]]),"",(tbl_task2[35]/tbl_task2[[คะแนนเต็ม]:[คะแนนเต็ม]])*tbl_task2[[%]:[%]])</f>
        <v/>
      </c>
      <c r="GX6" s="121" t="str">
        <f>IF(ISBLANK(tbl_task2[[คะแนนเต็ม]:[คะแนนเต็ม]]),"",(tbl_task2[36]/tbl_task2[[คะแนนเต็ม]:[คะแนนเต็ม]])*tbl_task2[[%]:[%]])</f>
        <v/>
      </c>
      <c r="GY6" s="121" t="str">
        <f>IF(ISBLANK(tbl_task2[[คะแนนเต็ม]:[คะแนนเต็ม]]),"",(tbl_task2[37]/tbl_task2[[คะแนนเต็ม]:[คะแนนเต็ม]])*tbl_task2[[%]:[%]])</f>
        <v/>
      </c>
      <c r="GZ6" s="121" t="str">
        <f>IF(ISBLANK(tbl_task2[[คะแนนเต็ม]:[คะแนนเต็ม]]),"",(tbl_task2[38]/tbl_task2[[คะแนนเต็ม]:[คะแนนเต็ม]])*tbl_task2[[%]:[%]])</f>
        <v/>
      </c>
      <c r="HA6" s="121" t="str">
        <f>IF(ISBLANK(tbl_task2[[คะแนนเต็ม]:[คะแนนเต็ม]]),"",(tbl_task2[39]/tbl_task2[[คะแนนเต็ม]:[คะแนนเต็ม]])*tbl_task2[[%]:[%]])</f>
        <v/>
      </c>
      <c r="HB6" s="121" t="str">
        <f>IF(ISBLANK(tbl_task2[[คะแนนเต็ม]:[คะแนนเต็ม]]),"",(tbl_task2[40]/tbl_task2[[คะแนนเต็ม]:[คะแนนเต็ม]])*tbl_task2[[%]:[%]])</f>
        <v/>
      </c>
      <c r="HC6" s="121" t="str">
        <f>IF(ISBLANK(tbl_task2[[คะแนนเต็ม]:[คะแนนเต็ม]]),"",(tbl_task2[41]/tbl_task2[[คะแนนเต็ม]:[คะแนนเต็ม]])*tbl_task2[[%]:[%]])</f>
        <v/>
      </c>
      <c r="HD6" s="121" t="str">
        <f>IF(ISBLANK(tbl_task2[[คะแนนเต็ม]:[คะแนนเต็ม]]),"",(tbl_task2[42]/tbl_task2[[คะแนนเต็ม]:[คะแนนเต็ม]])*tbl_task2[[%]:[%]])</f>
        <v/>
      </c>
      <c r="HE6" s="121" t="str">
        <f>IF(ISBLANK(tbl_task2[[คะแนนเต็ม]:[คะแนนเต็ม]]),"",(tbl_task2[43]/tbl_task2[[คะแนนเต็ม]:[คะแนนเต็ม]])*tbl_task2[[%]:[%]])</f>
        <v/>
      </c>
      <c r="HF6" s="121" t="str">
        <f>IF(ISBLANK(tbl_task2[[คะแนนเต็ม]:[คะแนนเต็ม]]),"",(tbl_task2[44]/tbl_task2[[คะแนนเต็ม]:[คะแนนเต็ม]])*tbl_task2[[%]:[%]])</f>
        <v/>
      </c>
      <c r="HG6" s="121" t="str">
        <f>IF(ISBLANK(tbl_task2[[คะแนนเต็ม]:[คะแนนเต็ม]]),"",(tbl_task2[45]/tbl_task2[[คะแนนเต็ม]:[คะแนนเต็ม]])*tbl_task2[[%]:[%]])</f>
        <v/>
      </c>
      <c r="HH6" s="121" t="str">
        <f>IF(ISBLANK(tbl_task2[[คะแนนเต็ม]:[คะแนนเต็ม]]),"",(tbl_task2[46]/tbl_task2[[คะแนนเต็ม]:[คะแนนเต็ม]])*tbl_task2[[%]:[%]])</f>
        <v/>
      </c>
      <c r="HI6" s="121" t="str">
        <f>IF(ISBLANK(tbl_task2[[คะแนนเต็ม]:[คะแนนเต็ม]]),"",(tbl_task2[47]/tbl_task2[[คะแนนเต็ม]:[คะแนนเต็ม]])*tbl_task2[[%]:[%]])</f>
        <v/>
      </c>
      <c r="HJ6" s="121" t="str">
        <f>IF(ISBLANK(tbl_task2[[คะแนนเต็ม]:[คะแนนเต็ม]]),"",(tbl_task2[48]/tbl_task2[[คะแนนเต็ม]:[คะแนนเต็ม]])*tbl_task2[[%]:[%]])</f>
        <v/>
      </c>
      <c r="HK6" s="121" t="str">
        <f>IF(ISBLANK(tbl_task2[[คะแนนเต็ม]:[คะแนนเต็ม]]),"",(tbl_task2[49]/tbl_task2[[คะแนนเต็ม]:[คะแนนเต็ม]])*tbl_task2[[%]:[%]])</f>
        <v/>
      </c>
      <c r="HL6" s="121" t="str">
        <f>IF(ISBLANK(tbl_task2[[คะแนนเต็ม]:[คะแนนเต็ม]]),"",(tbl_task2[50]/tbl_task2[[คะแนนเต็ม]:[คะแนนเต็ม]])*tbl_task2[[%]:[%]])</f>
        <v/>
      </c>
      <c r="HM6" s="121" t="str">
        <f>IF(ISBLANK(tbl_task2[[คะแนนเต็ม]:[คะแนนเต็ม]]),"",(tbl_task2[51]/tbl_task2[[คะแนนเต็ม]:[คะแนนเต็ม]])*tbl_task2[[%]:[%]])</f>
        <v/>
      </c>
      <c r="HN6" s="121" t="str">
        <f>IF(ISBLANK(tbl_task2[[คะแนนเต็ม]:[คะแนนเต็ม]]),"",(tbl_task2[52]/tbl_task2[[คะแนนเต็ม]:[คะแนนเต็ม]])*tbl_task2[[%]:[%]])</f>
        <v/>
      </c>
      <c r="HO6" s="121" t="str">
        <f>IF(ISBLANK(tbl_task2[[คะแนนเต็ม]:[คะแนนเต็ม]]),"",(tbl_task2[53]/tbl_task2[[คะแนนเต็ม]:[คะแนนเต็ม]])*tbl_task2[[%]:[%]])</f>
        <v/>
      </c>
      <c r="HP6" s="121" t="str">
        <f>IF(ISBLANK(tbl_task2[[คะแนนเต็ม]:[คะแนนเต็ม]]),"",(tbl_task2[54]/tbl_task2[[คะแนนเต็ม]:[คะแนนเต็ม]])*tbl_task2[[%]:[%]])</f>
        <v/>
      </c>
      <c r="HQ6" s="121" t="str">
        <f>IF(ISBLANK(tbl_task2[[คะแนนเต็ม]:[คะแนนเต็ม]]),"",(tbl_task2[55]/tbl_task2[[คะแนนเต็ม]:[คะแนนเต็ม]])*tbl_task2[[%]:[%]])</f>
        <v/>
      </c>
      <c r="HR6" s="121" t="str">
        <f>IF(ISBLANK(tbl_task2[[คะแนนเต็ม]:[คะแนนเต็ม]]),"",(tbl_task2[56]/tbl_task2[[คะแนนเต็ม]:[คะแนนเต็ม]])*tbl_task2[[%]:[%]])</f>
        <v/>
      </c>
      <c r="HS6" s="121" t="str">
        <f>IF(ISBLANK(tbl_task2[[คะแนนเต็ม]:[คะแนนเต็ม]]),"",(tbl_task2[57]/tbl_task2[[คะแนนเต็ม]:[คะแนนเต็ม]])*tbl_task2[[%]:[%]])</f>
        <v/>
      </c>
      <c r="HT6" s="121" t="str">
        <f>IF(ISBLANK(tbl_task2[[คะแนนเต็ม]:[คะแนนเต็ม]]),"",(tbl_task2[58]/tbl_task2[[คะแนนเต็ม]:[คะแนนเต็ม]])*tbl_task2[[%]:[%]])</f>
        <v/>
      </c>
      <c r="HU6" s="121" t="str">
        <f>IF(ISBLANK(tbl_task2[[คะแนนเต็ม]:[คะแนนเต็ม]]),"",(tbl_task2[59]/tbl_task2[[คะแนนเต็ม]:[คะแนนเต็ม]])*tbl_task2[[%]:[%]])</f>
        <v/>
      </c>
      <c r="HV6" s="121" t="str">
        <f>IF(ISBLANK(tbl_task2[[คะแนนเต็ม]:[คะแนนเต็ม]]),"",(tbl_task2[60]/tbl_task2[[คะแนนเต็ม]:[คะแนนเต็ม]])*tbl_task2[[%]:[%]])</f>
        <v/>
      </c>
      <c r="HW6" s="121" t="str">
        <f>IF(ISBLANK(tbl_task2[[คะแนนเต็ม]:[คะแนนเต็ม]]),"",(tbl_task2[61]/tbl_task2[[คะแนนเต็ม]:[คะแนนเต็ม]])*tbl_task2[[%]:[%]])</f>
        <v/>
      </c>
      <c r="HX6" s="121" t="str">
        <f>IF(ISBLANK(tbl_task2[[คะแนนเต็ม]:[คะแนนเต็ม]]),"",(tbl_task2[62]/tbl_task2[[คะแนนเต็ม]:[คะแนนเต็ม]])*tbl_task2[[%]:[%]])</f>
        <v/>
      </c>
      <c r="HY6" s="121" t="str">
        <f>IF(ISBLANK(tbl_task2[[คะแนนเต็ม]:[คะแนนเต็ม]]),"",(tbl_task2[63]/tbl_task2[[คะแนนเต็ม]:[คะแนนเต็ม]])*tbl_task2[[%]:[%]])</f>
        <v/>
      </c>
      <c r="HZ6" s="121" t="str">
        <f>IF(ISBLANK(tbl_task2[[คะแนนเต็ม]:[คะแนนเต็ม]]),"",(tbl_task2[64]/tbl_task2[[คะแนนเต็ม]:[คะแนนเต็ม]])*tbl_task2[[%]:[%]])</f>
        <v/>
      </c>
      <c r="IA6" s="121" t="str">
        <f>IF(ISBLANK(tbl_task2[[คะแนนเต็ม]:[คะแนนเต็ม]]),"",(tbl_task2[65]/tbl_task2[[คะแนนเต็ม]:[คะแนนเต็ม]])*tbl_task2[[%]:[%]])</f>
        <v/>
      </c>
      <c r="IB6" s="121" t="str">
        <f>IF(ISBLANK(tbl_task2[[คะแนนเต็ม]:[คะแนนเต็ม]]),"",(tbl_task2[66]/tbl_task2[[คะแนนเต็ม]:[คะแนนเต็ม]])*tbl_task2[[%]:[%]])</f>
        <v/>
      </c>
      <c r="IC6" s="121" t="str">
        <f>IF(ISBLANK(tbl_task2[[คะแนนเต็ม]:[คะแนนเต็ม]]),"",(tbl_task2[67]/tbl_task2[[คะแนนเต็ม]:[คะแนนเต็ม]])*tbl_task2[[%]:[%]])</f>
        <v/>
      </c>
      <c r="ID6" s="121" t="str">
        <f>IF(ISBLANK(tbl_task2[[คะแนนเต็ม]:[คะแนนเต็ม]]),"",(tbl_task2[68]/tbl_task2[[คะแนนเต็ม]:[คะแนนเต็ม]])*tbl_task2[[%]:[%]])</f>
        <v/>
      </c>
      <c r="IE6" s="121" t="str">
        <f>IF(ISBLANK(tbl_task2[[คะแนนเต็ม]:[คะแนนเต็ม]]),"",(tbl_task2[69]/tbl_task2[[คะแนนเต็ม]:[คะแนนเต็ม]])*tbl_task2[[%]:[%]])</f>
        <v/>
      </c>
      <c r="IF6" s="121" t="str">
        <f>IF(ISBLANK(tbl_task2[[คะแนนเต็ม]:[คะแนนเต็ม]]),"",(tbl_task2[70]/tbl_task2[[คะแนนเต็ม]:[คะแนนเต็ม]])*tbl_task2[[%]:[%]])</f>
        <v/>
      </c>
      <c r="IG6" s="121" t="str">
        <f>IF(ISBLANK(tbl_task2[[คะแนนเต็ม]:[คะแนนเต็ม]]),"",(tbl_task2[71]/tbl_task2[[คะแนนเต็ม]:[คะแนนเต็ม]])*tbl_task2[[%]:[%]])</f>
        <v/>
      </c>
      <c r="IH6" s="121" t="str">
        <f>IF(ISBLANK(tbl_task2[[คะแนนเต็ม]:[คะแนนเต็ม]]),"",(tbl_task2[72]/tbl_task2[[คะแนนเต็ม]:[คะแนนเต็ม]])*tbl_task2[[%]:[%]])</f>
        <v/>
      </c>
      <c r="II6" s="121" t="str">
        <f>IF(ISBLANK(tbl_task2[[คะแนนเต็ม]:[คะแนนเต็ม]]),"",(tbl_task2[73]/tbl_task2[[คะแนนเต็ม]:[คะแนนเต็ม]])*tbl_task2[[%]:[%]])</f>
        <v/>
      </c>
      <c r="IJ6" s="121" t="str">
        <f>IF(ISBLANK(tbl_task2[[คะแนนเต็ม]:[คะแนนเต็ม]]),"",(tbl_task2[74]/tbl_task2[[คะแนนเต็ม]:[คะแนนเต็ม]])*tbl_task2[[%]:[%]])</f>
        <v/>
      </c>
      <c r="IK6" s="121" t="str">
        <f>IF(ISBLANK(tbl_task2[[คะแนนเต็ม]:[คะแนนเต็ม]]),"",(tbl_task2[75]/tbl_task2[[คะแนนเต็ม]:[คะแนนเต็ม]])*tbl_task2[[%]:[%]])</f>
        <v/>
      </c>
      <c r="IL6" s="121" t="str">
        <f>IF(ISBLANK(tbl_task2[[คะแนนเต็ม]:[คะแนนเต็ม]]),"",(tbl_task2[76]/tbl_task2[[คะแนนเต็ม]:[คะแนนเต็ม]])*tbl_task2[[%]:[%]])</f>
        <v/>
      </c>
      <c r="IM6" s="121" t="str">
        <f>IF(ISBLANK(tbl_task2[[คะแนนเต็ม]:[คะแนนเต็ม]]),"",(tbl_task2[77]/tbl_task2[[คะแนนเต็ม]:[คะแนนเต็ม]])*tbl_task2[[%]:[%]])</f>
        <v/>
      </c>
      <c r="IN6" s="121" t="str">
        <f>IF(ISBLANK(tbl_task2[[คะแนนเต็ม]:[คะแนนเต็ม]]),"",(tbl_task2[78]/tbl_task2[[คะแนนเต็ม]:[คะแนนเต็ม]])*tbl_task2[[%]:[%]])</f>
        <v/>
      </c>
      <c r="IO6" s="121" t="str">
        <f>IF(ISBLANK(tbl_task2[[คะแนนเต็ม]:[คะแนนเต็ม]]),"",(tbl_task2[79]/tbl_task2[[คะแนนเต็ม]:[คะแนนเต็ม]])*tbl_task2[[%]:[%]])</f>
        <v/>
      </c>
      <c r="IP6" s="121" t="str">
        <f>IF(ISBLANK(tbl_task2[[คะแนนเต็ม]:[คะแนนเต็ม]]),"",(tbl_task2[80]/tbl_task2[[คะแนนเต็ม]:[คะแนนเต็ม]])*tbl_task2[[%]:[%]])</f>
        <v/>
      </c>
      <c r="IQ6" s="121" t="str">
        <f>IF(ISBLANK(tbl_task2[[คะแนนเต็ม]:[คะแนนเต็ม]]),"",(tbl_task2[81]/tbl_task2[[คะแนนเต็ม]:[คะแนนเต็ม]])*tbl_task2[[%]:[%]])</f>
        <v/>
      </c>
      <c r="IR6" s="121" t="str">
        <f>IF(ISBLANK(tbl_task2[[คะแนนเต็ม]:[คะแนนเต็ม]]),"",(tbl_task2[82]/tbl_task2[[คะแนนเต็ม]:[คะแนนเต็ม]])*tbl_task2[[%]:[%]])</f>
        <v/>
      </c>
      <c r="IS6" s="121" t="str">
        <f>IF(ISBLANK(tbl_task2[[คะแนนเต็ม]:[คะแนนเต็ม]]),"",(tbl_task2[83]/tbl_task2[[คะแนนเต็ม]:[คะแนนเต็ม]])*tbl_task2[[%]:[%]])</f>
        <v/>
      </c>
      <c r="IT6" s="121" t="str">
        <f>IF(ISBLANK(tbl_task2[[คะแนนเต็ม]:[คะแนนเต็ม]]),"",(tbl_task2[84]/tbl_task2[[คะแนนเต็ม]:[คะแนนเต็ม]])*tbl_task2[[%]:[%]])</f>
        <v/>
      </c>
      <c r="IU6" s="121" t="str">
        <f>IF(ISBLANK(tbl_task2[[คะแนนเต็ม]:[คะแนนเต็ม]]),"",(tbl_task2[85]/tbl_task2[[คะแนนเต็ม]:[คะแนนเต็ม]])*tbl_task2[[%]:[%]])</f>
        <v/>
      </c>
      <c r="IV6" s="121" t="str">
        <f>IF(ISBLANK(tbl_task2[[คะแนนเต็ม]:[คะแนนเต็ม]]),"",(tbl_task2[86]/tbl_task2[[คะแนนเต็ม]:[คะแนนเต็ม]])*tbl_task2[[%]:[%]])</f>
        <v/>
      </c>
      <c r="IW6" s="121" t="str">
        <f>IF(ISBLANK(tbl_task2[[คะแนนเต็ม]:[คะแนนเต็ม]]),"",(tbl_task2[87]/tbl_task2[[คะแนนเต็ม]:[คะแนนเต็ม]])*tbl_task2[[%]:[%]])</f>
        <v/>
      </c>
      <c r="IX6" s="121" t="str">
        <f>IF(ISBLANK(tbl_task2[[คะแนนเต็ม]:[คะแนนเต็ม]]),"",(tbl_task2[88]/tbl_task2[[คะแนนเต็ม]:[คะแนนเต็ม]])*tbl_task2[[%]:[%]])</f>
        <v/>
      </c>
      <c r="IY6" s="121" t="str">
        <f>IF(ISBLANK(tbl_task2[[คะแนนเต็ม]:[คะแนนเต็ม]]),"",(tbl_task2[89]/tbl_task2[[คะแนนเต็ม]:[คะแนนเต็ม]])*tbl_task2[[%]:[%]])</f>
        <v/>
      </c>
      <c r="IZ6" s="121" t="str">
        <f>IF(ISBLANK(tbl_task2[[คะแนนเต็ม]:[คะแนนเต็ม]]),"",(tbl_task2[90]/tbl_task2[[คะแนนเต็ม]:[คะแนนเต็ม]])*tbl_task2[[%]:[%]])</f>
        <v/>
      </c>
      <c r="JA6" s="121" t="str">
        <f>IF(ISBLANK(tbl_task2[[คะแนนเต็ม]:[คะแนนเต็ม]]),"",(tbl_task2[91]/tbl_task2[[คะแนนเต็ม]:[คะแนนเต็ม]])*tbl_task2[[%]:[%]])</f>
        <v/>
      </c>
      <c r="JB6" s="121" t="str">
        <f>IF(ISBLANK(tbl_task2[[คะแนนเต็ม]:[คะแนนเต็ม]]),"",(tbl_task2[92]/tbl_task2[[คะแนนเต็ม]:[คะแนนเต็ม]])*tbl_task2[[%]:[%]])</f>
        <v/>
      </c>
      <c r="JC6" s="121" t="str">
        <f>IF(ISBLANK(tbl_task2[[คะแนนเต็ม]:[คะแนนเต็ม]]),"",(tbl_task2[93]/tbl_task2[[คะแนนเต็ม]:[คะแนนเต็ม]])*tbl_task2[[%]:[%]])</f>
        <v/>
      </c>
      <c r="JD6" s="121" t="str">
        <f>IF(ISBLANK(tbl_task2[[คะแนนเต็ม]:[คะแนนเต็ม]]),"",(tbl_task2[94]/tbl_task2[[คะแนนเต็ม]:[คะแนนเต็ม]])*tbl_task2[[%]:[%]])</f>
        <v/>
      </c>
      <c r="JE6" s="121" t="str">
        <f>IF(ISBLANK(tbl_task2[[คะแนนเต็ม]:[คะแนนเต็ม]]),"",(tbl_task2[95]/tbl_task2[[คะแนนเต็ม]:[คะแนนเต็ม]])*tbl_task2[[%]:[%]])</f>
        <v/>
      </c>
      <c r="JF6" s="121" t="str">
        <f>IF(ISBLANK(tbl_task2[[คะแนนเต็ม]:[คะแนนเต็ม]]),"",(tbl_task2[96]/tbl_task2[[คะแนนเต็ม]:[คะแนนเต็ม]])*tbl_task2[[%]:[%]])</f>
        <v/>
      </c>
      <c r="JG6" s="121" t="str">
        <f>IF(ISBLANK(tbl_task2[[คะแนนเต็ม]:[คะแนนเต็ม]]),"",(tbl_task2[97]/tbl_task2[[คะแนนเต็ม]:[คะแนนเต็ม]])*tbl_task2[[%]:[%]])</f>
        <v/>
      </c>
      <c r="JH6" s="121" t="str">
        <f>IF(ISBLANK(tbl_task2[[คะแนนเต็ม]:[คะแนนเต็ม]]),"",(tbl_task2[98]/tbl_task2[[คะแนนเต็ม]:[คะแนนเต็ม]])*tbl_task2[[%]:[%]])</f>
        <v/>
      </c>
      <c r="JI6" s="121" t="str">
        <f>IF(ISBLANK(tbl_task2[[คะแนนเต็ม]:[คะแนนเต็ม]]),"",(tbl_task2[99]/tbl_task2[[คะแนนเต็ม]:[คะแนนเต็ม]])*tbl_task2[[%]:[%]])</f>
        <v/>
      </c>
      <c r="JJ6" s="121" t="str">
        <f>IF(ISBLANK(tbl_task2[[คะแนนเต็ม]:[คะแนนเต็ม]]),"",(tbl_task2[100]/tbl_task2[[คะแนนเต็ม]:[คะแนนเต็ม]])*tbl_task2[[%]:[%]])</f>
        <v/>
      </c>
      <c r="JK6" s="121" t="str">
        <f>IF(ISBLANK(tbl_task2[[คะแนนเต็ม]:[คะแนนเต็ม]]),"",(tbl_task2[101]/tbl_task2[[คะแนนเต็ม]:[คะแนนเต็ม]])*tbl_task2[[%]:[%]])</f>
        <v/>
      </c>
      <c r="JL6" s="121" t="str">
        <f>IF(ISBLANK(tbl_task2[[คะแนนเต็ม]:[คะแนนเต็ม]]),"",(tbl_task2[102]/tbl_task2[[คะแนนเต็ม]:[คะแนนเต็ม]])*tbl_task2[[%]:[%]])</f>
        <v/>
      </c>
      <c r="JM6" s="121" t="str">
        <f>IF(ISBLANK(tbl_task2[[คะแนนเต็ม]:[คะแนนเต็ม]]),"",(tbl_task2[103]/tbl_task2[[คะแนนเต็ม]:[คะแนนเต็ม]])*tbl_task2[[%]:[%]])</f>
        <v/>
      </c>
      <c r="JN6" s="121" t="str">
        <f>IF(ISBLANK(tbl_task2[[คะแนนเต็ม]:[คะแนนเต็ม]]),"",(tbl_task2[104]/tbl_task2[[คะแนนเต็ม]:[คะแนนเต็ม]])*tbl_task2[[%]:[%]])</f>
        <v/>
      </c>
      <c r="JO6" s="121" t="str">
        <f>IF(ISBLANK(tbl_task2[[คะแนนเต็ม]:[คะแนนเต็ม]]),"",(tbl_task2[105]/tbl_task2[[คะแนนเต็ม]:[คะแนนเต็ม]])*tbl_task2[[%]:[%]])</f>
        <v/>
      </c>
      <c r="JP6" s="121" t="str">
        <f>IF(ISBLANK(tbl_task2[[คะแนนเต็ม]:[คะแนนเต็ม]]),"",(tbl_task2[106]/tbl_task2[[คะแนนเต็ม]:[คะแนนเต็ม]])*tbl_task2[[%]:[%]])</f>
        <v/>
      </c>
      <c r="JQ6" s="121" t="str">
        <f>IF(ISBLANK(tbl_task2[[คะแนนเต็ม]:[คะแนนเต็ม]]),"",(tbl_task2[107]/tbl_task2[[คะแนนเต็ม]:[คะแนนเต็ม]])*tbl_task2[[%]:[%]])</f>
        <v/>
      </c>
      <c r="JR6" s="121" t="str">
        <f>IF(ISBLANK(tbl_task2[[คะแนนเต็ม]:[คะแนนเต็ม]]),"",(tbl_task2[108]/tbl_task2[[คะแนนเต็ม]:[คะแนนเต็ม]])*tbl_task2[[%]:[%]])</f>
        <v/>
      </c>
      <c r="JS6" s="121" t="str">
        <f>IF(ISBLANK(tbl_task2[[คะแนนเต็ม]:[คะแนนเต็ม]]),"",(tbl_task2[109]/tbl_task2[[คะแนนเต็ม]:[คะแนนเต็ม]])*tbl_task2[[%]:[%]])</f>
        <v/>
      </c>
      <c r="JT6" s="121" t="str">
        <f>IF(ISBLANK(tbl_task2[[คะแนนเต็ม]:[คะแนนเต็ม]]),"",(tbl_task2[110]/tbl_task2[[คะแนนเต็ม]:[คะแนนเต็ม]])*tbl_task2[[%]:[%]])</f>
        <v/>
      </c>
      <c r="JU6" s="121" t="str">
        <f>IF(ISBLANK(tbl_task2[[คะแนนเต็ม]:[คะแนนเต็ม]]),"",(tbl_task2[111]/tbl_task2[[คะแนนเต็ม]:[คะแนนเต็ม]])*tbl_task2[[%]:[%]])</f>
        <v/>
      </c>
      <c r="JV6" s="121" t="str">
        <f>IF(ISBLANK(tbl_task2[[คะแนนเต็ม]:[คะแนนเต็ม]]),"",(tbl_task2[112]/tbl_task2[[คะแนนเต็ม]:[คะแนนเต็ม]])*tbl_task2[[%]:[%]])</f>
        <v/>
      </c>
      <c r="JW6" s="121" t="str">
        <f>IF(ISBLANK(tbl_task2[[คะแนนเต็ม]:[คะแนนเต็ม]]),"",(tbl_task2[113]/tbl_task2[[คะแนนเต็ม]:[คะแนนเต็ม]])*tbl_task2[[%]:[%]])</f>
        <v/>
      </c>
      <c r="JX6" s="121" t="str">
        <f>IF(ISBLANK(tbl_task2[[คะแนนเต็ม]:[คะแนนเต็ม]]),"",(tbl_task2[114]/tbl_task2[[คะแนนเต็ม]:[คะแนนเต็ม]])*tbl_task2[[%]:[%]])</f>
        <v/>
      </c>
      <c r="JY6" s="121" t="str">
        <f>IF(ISBLANK(tbl_task2[[คะแนนเต็ม]:[คะแนนเต็ม]]),"",(tbl_task2[115]/tbl_task2[[คะแนนเต็ม]:[คะแนนเต็ม]])*tbl_task2[[%]:[%]])</f>
        <v/>
      </c>
      <c r="JZ6" s="121" t="str">
        <f>IF(ISBLANK(tbl_task2[[คะแนนเต็ม]:[คะแนนเต็ม]]),"",(tbl_task2[116]/tbl_task2[[คะแนนเต็ม]:[คะแนนเต็ม]])*tbl_task2[[%]:[%]])</f>
        <v/>
      </c>
      <c r="KA6" s="121" t="str">
        <f>IF(ISBLANK(tbl_task2[[คะแนนเต็ม]:[คะแนนเต็ม]]),"",(tbl_task2[117]/tbl_task2[[คะแนนเต็ม]:[คะแนนเต็ม]])*tbl_task2[[%]:[%]])</f>
        <v/>
      </c>
      <c r="KB6" s="121" t="str">
        <f>IF(ISBLANK(tbl_task2[[คะแนนเต็ม]:[คะแนนเต็ม]]),"",(tbl_task2[118]/tbl_task2[[คะแนนเต็ม]:[คะแนนเต็ม]])*tbl_task2[[%]:[%]])</f>
        <v/>
      </c>
      <c r="KC6" s="121" t="str">
        <f>IF(ISBLANK(tbl_task2[[คะแนนเต็ม]:[คะแนนเต็ม]]),"",(tbl_task2[119]/tbl_task2[[คะแนนเต็ม]:[คะแนนเต็ม]])*tbl_task2[[%]:[%]])</f>
        <v/>
      </c>
      <c r="KD6" s="121" t="str">
        <f>IF(ISBLANK(tbl_task2[[คะแนนเต็ม]:[คะแนนเต็ม]]),"",(tbl_task2[120]/tbl_task2[[คะแนนเต็ม]:[คะแนนเต็ม]])*tbl_task2[[%]:[%]])</f>
        <v/>
      </c>
      <c r="KE6" s="121" t="str">
        <f>IF(ISBLANK(tbl_task2[[คะแนนเต็ม]:[คะแนนเต็ม]]),"",(tbl_task2[121]/tbl_task2[[คะแนนเต็ม]:[คะแนนเต็ม]])*tbl_task2[[%]:[%]])</f>
        <v/>
      </c>
      <c r="KF6" s="121" t="str">
        <f>IF(ISBLANK(tbl_task2[[คะแนนเต็ม]:[คะแนนเต็ม]]),"",(tbl_task2[122]/tbl_task2[[คะแนนเต็ม]:[คะแนนเต็ม]])*tbl_task2[[%]:[%]])</f>
        <v/>
      </c>
      <c r="KG6" s="121" t="str">
        <f>IF(ISBLANK(tbl_task2[[คะแนนเต็ม]:[คะแนนเต็ม]]),"",(tbl_task2[123]/tbl_task2[[คะแนนเต็ม]:[คะแนนเต็ม]])*tbl_task2[[%]:[%]])</f>
        <v/>
      </c>
      <c r="KH6" s="121" t="str">
        <f>IF(ISBLANK(tbl_task2[[คะแนนเต็ม]:[คะแนนเต็ม]]),"",(tbl_task2[124]/tbl_task2[[คะแนนเต็ม]:[คะแนนเต็ม]])*tbl_task2[[%]:[%]])</f>
        <v/>
      </c>
      <c r="KI6" s="121" t="str">
        <f>IF(ISBLANK(tbl_task2[[คะแนนเต็ม]:[คะแนนเต็ม]]),"",(tbl_task2[125]/tbl_task2[[คะแนนเต็ม]:[คะแนนเต็ม]])*tbl_task2[[%]:[%]])</f>
        <v/>
      </c>
      <c r="KJ6" s="121" t="str">
        <f>IF(ISBLANK(tbl_task2[[คะแนนเต็ม]:[คะแนนเต็ม]]),"",(tbl_task2[126]/tbl_task2[[คะแนนเต็ม]:[คะแนนเต็ม]])*tbl_task2[[%]:[%]])</f>
        <v/>
      </c>
      <c r="KK6" s="121" t="str">
        <f>IF(ISBLANK(tbl_task2[[คะแนนเต็ม]:[คะแนนเต็ม]]),"",(tbl_task2[127]/tbl_task2[[คะแนนเต็ม]:[คะแนนเต็ม]])*tbl_task2[[%]:[%]])</f>
        <v/>
      </c>
      <c r="KL6" s="121" t="str">
        <f>IF(ISBLANK(tbl_task2[[คะแนนเต็ม]:[คะแนนเต็ม]]),"",(tbl_task2[128]/tbl_task2[[คะแนนเต็ม]:[คะแนนเต็ม]])*tbl_task2[[%]:[%]])</f>
        <v/>
      </c>
      <c r="KM6" s="121" t="str">
        <f>IF(ISBLANK(tbl_task2[[คะแนนเต็ม]:[คะแนนเต็ม]]),"",(tbl_task2[129]/tbl_task2[[คะแนนเต็ม]:[คะแนนเต็ม]])*tbl_task2[[%]:[%]])</f>
        <v/>
      </c>
      <c r="KN6" s="121" t="str">
        <f>IF(ISBLANK(tbl_task2[[คะแนนเต็ม]:[คะแนนเต็ม]]),"",(tbl_task2[130]/tbl_task2[[คะแนนเต็ม]:[คะแนนเต็ม]])*tbl_task2[[%]:[%]])</f>
        <v/>
      </c>
      <c r="KO6" s="121" t="str">
        <f>IF(ISBLANK(tbl_task2[[คะแนนเต็ม]:[คะแนนเต็ม]]),"",(tbl_task2[131]/tbl_task2[[คะแนนเต็ม]:[คะแนนเต็ม]])*tbl_task2[[%]:[%]])</f>
        <v/>
      </c>
      <c r="KP6" s="121" t="str">
        <f>IF(ISBLANK(tbl_task2[[คะแนนเต็ม]:[คะแนนเต็ม]]),"",(tbl_task2[132]/tbl_task2[[คะแนนเต็ม]:[คะแนนเต็ม]])*tbl_task2[[%]:[%]])</f>
        <v/>
      </c>
      <c r="KQ6" s="121" t="str">
        <f>IF(ISBLANK(tbl_task2[[คะแนนเต็ม]:[คะแนนเต็ม]]),"",(tbl_task2[133]/tbl_task2[[คะแนนเต็ม]:[คะแนนเต็ม]])*tbl_task2[[%]:[%]])</f>
        <v/>
      </c>
      <c r="KR6" s="121" t="str">
        <f>IF(ISBLANK(tbl_task2[[คะแนนเต็ม]:[คะแนนเต็ม]]),"",(tbl_task2[134]/tbl_task2[[คะแนนเต็ม]:[คะแนนเต็ม]])*tbl_task2[[%]:[%]])</f>
        <v/>
      </c>
      <c r="KS6" s="121" t="str">
        <f>IF(ISBLANK(tbl_task2[[คะแนนเต็ม]:[คะแนนเต็ม]]),"",(tbl_task2[135]/tbl_task2[[คะแนนเต็ม]:[คะแนนเต็ม]])*tbl_task2[[%]:[%]])</f>
        <v/>
      </c>
      <c r="KT6" s="121" t="str">
        <f>IF(ISBLANK(tbl_task2[[คะแนนเต็ม]:[คะแนนเต็ม]]),"",(tbl_task2[136]/tbl_task2[[คะแนนเต็ม]:[คะแนนเต็ม]])*tbl_task2[[%]:[%]])</f>
        <v/>
      </c>
      <c r="KU6" s="121" t="str">
        <f>IF(ISBLANK(tbl_task2[[คะแนนเต็ม]:[คะแนนเต็ม]]),"",(tbl_task2[137]/tbl_task2[[คะแนนเต็ม]:[คะแนนเต็ม]])*tbl_task2[[%]:[%]])</f>
        <v/>
      </c>
      <c r="KV6" s="121" t="str">
        <f>IF(ISBLANK(tbl_task2[[คะแนนเต็ม]:[คะแนนเต็ม]]),"",(tbl_task2[138]/tbl_task2[[คะแนนเต็ม]:[คะแนนเต็ม]])*tbl_task2[[%]:[%]])</f>
        <v/>
      </c>
      <c r="KW6" s="121" t="str">
        <f>IF(ISBLANK(tbl_task2[[คะแนนเต็ม]:[คะแนนเต็ม]]),"",(tbl_task2[139]/tbl_task2[[คะแนนเต็ม]:[คะแนนเต็ม]])*tbl_task2[[%]:[%]])</f>
        <v/>
      </c>
      <c r="KX6" s="121" t="str">
        <f>IF(ISBLANK(tbl_task2[[คะแนนเต็ม]:[คะแนนเต็ม]]),"",(tbl_task2[140]/tbl_task2[[คะแนนเต็ม]:[คะแนนเต็ม]])*tbl_task2[[%]:[%]])</f>
        <v/>
      </c>
      <c r="KY6" s="121" t="str">
        <f>IF(ISBLANK(tbl_task2[[คะแนนเต็ม]:[คะแนนเต็ม]]),"",(tbl_task2[141]/tbl_task2[[คะแนนเต็ม]:[คะแนนเต็ม]])*tbl_task2[[%]:[%]])</f>
        <v/>
      </c>
      <c r="KZ6" s="121" t="str">
        <f>IF(ISBLANK(tbl_task2[[คะแนนเต็ม]:[คะแนนเต็ม]]),"",(tbl_task2[142]/tbl_task2[[คะแนนเต็ม]:[คะแนนเต็ม]])*tbl_task2[[%]:[%]])</f>
        <v/>
      </c>
      <c r="LA6" s="121" t="str">
        <f>IF(ISBLANK(tbl_task2[[คะแนนเต็ม]:[คะแนนเต็ม]]),"",(tbl_task2[143]/tbl_task2[[คะแนนเต็ม]:[คะแนนเต็ม]])*tbl_task2[[%]:[%]])</f>
        <v/>
      </c>
      <c r="LB6" s="121" t="str">
        <f>IF(ISBLANK(tbl_task2[[คะแนนเต็ม]:[คะแนนเต็ม]]),"",(tbl_task2[144]/tbl_task2[[คะแนนเต็ม]:[คะแนนเต็ม]])*tbl_task2[[%]:[%]])</f>
        <v/>
      </c>
      <c r="LC6" s="121" t="str">
        <f>IF(ISBLANK(tbl_task2[[คะแนนเต็ม]:[คะแนนเต็ม]]),"",(tbl_task2[145]/tbl_task2[[คะแนนเต็ม]:[คะแนนเต็ม]])*tbl_task2[[%]:[%]])</f>
        <v/>
      </c>
      <c r="LD6" s="121" t="str">
        <f>IF(ISBLANK(tbl_task2[[คะแนนเต็ม]:[คะแนนเต็ม]]),"",(tbl_task2[146]/tbl_task2[[คะแนนเต็ม]:[คะแนนเต็ม]])*tbl_task2[[%]:[%]])</f>
        <v/>
      </c>
      <c r="LE6" s="121" t="str">
        <f>IF(ISBLANK(tbl_task2[[คะแนนเต็ม]:[คะแนนเต็ม]]),"",(tbl_task2[147]/tbl_task2[[คะแนนเต็ม]:[คะแนนเต็ม]])*tbl_task2[[%]:[%]])</f>
        <v/>
      </c>
      <c r="LF6" s="121" t="str">
        <f>IF(ISBLANK(tbl_task2[[คะแนนเต็ม]:[คะแนนเต็ม]]),"",(tbl_task2[148]/tbl_task2[[คะแนนเต็ม]:[คะแนนเต็ม]])*tbl_task2[[%]:[%]])</f>
        <v/>
      </c>
      <c r="LG6" s="121" t="str">
        <f>IF(ISBLANK(tbl_task2[[คะแนนเต็ม]:[คะแนนเต็ม]]),"",(tbl_task2[149]/tbl_task2[[คะแนนเต็ม]:[คะแนนเต็ม]])*tbl_task2[[%]:[%]])</f>
        <v/>
      </c>
      <c r="LH6" s="121" t="str">
        <f>IF(ISBLANK(tbl_task2[[คะแนนเต็ม]:[คะแนนเต็ม]]),"",(tbl_task2[150]/tbl_task2[[คะแนนเต็ม]:[คะแนนเต็ม]])*tbl_task2[[%]:[%]])</f>
        <v/>
      </c>
      <c r="LI6" s="121" t="str">
        <f>IF(ISBLANK(tbl_task2[[คะแนนเต็ม]:[คะแนนเต็ม]]),"",(tbl_task2[151]/tbl_task2[[คะแนนเต็ม]:[คะแนนเต็ม]])*tbl_task2[[%]:[%]])</f>
        <v/>
      </c>
      <c r="LJ6" s="121" t="str">
        <f>IF(ISBLANK(tbl_task2[[คะแนนเต็ม]:[คะแนนเต็ม]]),"",(tbl_task2[152]/tbl_task2[[คะแนนเต็ม]:[คะแนนเต็ม]])*tbl_task2[[%]:[%]])</f>
        <v/>
      </c>
      <c r="LK6" s="121" t="str">
        <f>IF(ISBLANK(tbl_task2[[คะแนนเต็ม]:[คะแนนเต็ม]]),"",(tbl_task2[153]/tbl_task2[[คะแนนเต็ม]:[คะแนนเต็ม]])*tbl_task2[[%]:[%]])</f>
        <v/>
      </c>
      <c r="LL6" s="121" t="str">
        <f>IF(ISBLANK(tbl_task2[[คะแนนเต็ม]:[คะแนนเต็ม]]),"",(tbl_task2[154]/tbl_task2[[คะแนนเต็ม]:[คะแนนเต็ม]])*tbl_task2[[%]:[%]])</f>
        <v/>
      </c>
      <c r="LM6" s="121" t="str">
        <f>IF(ISBLANK(tbl_task2[[คะแนนเต็ม]:[คะแนนเต็ม]]),"",(tbl_task2[155]/tbl_task2[[คะแนนเต็ม]:[คะแนนเต็ม]])*tbl_task2[[%]:[%]])</f>
        <v/>
      </c>
      <c r="LN6" s="121" t="str">
        <f>IF(ISBLANK(tbl_task2[[คะแนนเต็ม]:[คะแนนเต็ม]]),"",(tbl_task2[156]/tbl_task2[[คะแนนเต็ม]:[คะแนนเต็ม]])*tbl_task2[[%]:[%]])</f>
        <v/>
      </c>
      <c r="LO6" s="121" t="str">
        <f>IF(ISBLANK(tbl_task2[[คะแนนเต็ม]:[คะแนนเต็ม]]),"",(tbl_task2[157]/tbl_task2[[คะแนนเต็ม]:[คะแนนเต็ม]])*tbl_task2[[%]:[%]])</f>
        <v/>
      </c>
      <c r="LP6" s="121" t="str">
        <f>IF(ISBLANK(tbl_task2[[คะแนนเต็ม]:[คะแนนเต็ม]]),"",(tbl_task2[158]/tbl_task2[[คะแนนเต็ม]:[คะแนนเต็ม]])*tbl_task2[[%]:[%]])</f>
        <v/>
      </c>
      <c r="LQ6" s="121" t="str">
        <f>IF(ISBLANK(tbl_task2[[คะแนนเต็ม]:[คะแนนเต็ม]]),"",(tbl_task2[159]/tbl_task2[[คะแนนเต็ม]:[คะแนนเต็ม]])*tbl_task2[[%]:[%]])</f>
        <v/>
      </c>
      <c r="LR6" s="121" t="str">
        <f>IF(ISBLANK(tbl_task2[[คะแนนเต็ม]:[คะแนนเต็ม]]),"",(tbl_task2[160]/tbl_task2[[คะแนนเต็ม]:[คะแนนเต็ม]])*tbl_task2[[%]:[%]])</f>
        <v/>
      </c>
      <c r="LS6" s="121" t="str">
        <f>IF(ISBLANK(tbl_task2[[คะแนนเต็ม]:[คะแนนเต็ม]]),"",(tbl_task2[161]/tbl_task2[[คะแนนเต็ม]:[คะแนนเต็ม]])*tbl_task2[[%]:[%]])</f>
        <v/>
      </c>
      <c r="LT6" s="121" t="str">
        <f>IF(ISBLANK(tbl_task2[[คะแนนเต็ม]:[คะแนนเต็ม]]),"",(tbl_task2[162]/tbl_task2[[คะแนนเต็ม]:[คะแนนเต็ม]])*tbl_task2[[%]:[%]])</f>
        <v/>
      </c>
      <c r="LU6" s="121" t="str">
        <f>IF(ISBLANK(tbl_task2[[คะแนนเต็ม]:[คะแนนเต็ม]]),"",(tbl_task2[163]/tbl_task2[[คะแนนเต็ม]:[คะแนนเต็ม]])*tbl_task2[[%]:[%]])</f>
        <v/>
      </c>
      <c r="LV6" s="121" t="str">
        <f>IF(ISBLANK(tbl_task2[[คะแนนเต็ม]:[คะแนนเต็ม]]),"",(tbl_task2[164]/tbl_task2[[คะแนนเต็ม]:[คะแนนเต็ม]])*tbl_task2[[%]:[%]])</f>
        <v/>
      </c>
      <c r="LW6" s="121" t="str">
        <f>IF(ISBLANK(tbl_task2[[คะแนนเต็ม]:[คะแนนเต็ม]]),"",(tbl_task2[165]/tbl_task2[[คะแนนเต็ม]:[คะแนนเต็ม]])*tbl_task2[[%]:[%]])</f>
        <v/>
      </c>
    </row>
    <row r="7" spans="1:335" ht="22.5" customHeight="1" x14ac:dyDescent="0.25">
      <c r="A7" s="24">
        <v>4</v>
      </c>
      <c r="B7" s="33"/>
      <c r="C7" s="5" t="str">
        <f>IF(ISBLANK(B7),"",VLOOKUP(B7,tbl_PLOs[],2,0))</f>
        <v/>
      </c>
      <c r="D7" s="102"/>
      <c r="E7" s="10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22"/>
      <c r="FO7" s="121" t="str">
        <f>IF(ISBLANK(tbl_task2[[คะแนนเต็ม]:[คะแนนเต็ม]]),"",(tbl_task2[1]/tbl_task2[[คะแนนเต็ม]:[คะแนนเต็ม]])*tbl_task2[[%]:[%]])</f>
        <v/>
      </c>
      <c r="FP7" s="121" t="str">
        <f>IF(ISBLANK(tbl_task2[[คะแนนเต็ม]:[คะแนนเต็ม]]),"",(tbl_task2[2]/tbl_task2[[คะแนนเต็ม]:[คะแนนเต็ม]])*tbl_task2[[%]:[%]])</f>
        <v/>
      </c>
      <c r="FQ7" s="121" t="str">
        <f>IF(ISBLANK(tbl_task2[[คะแนนเต็ม]:[คะแนนเต็ม]]),"",(tbl_task2[3]/tbl_task2[[คะแนนเต็ม]:[คะแนนเต็ม]])*tbl_task2[[%]:[%]])</f>
        <v/>
      </c>
      <c r="FR7" s="121" t="str">
        <f>IF(ISBLANK(tbl_task2[[คะแนนเต็ม]:[คะแนนเต็ม]]),"",(tbl_task2[4]/tbl_task2[[คะแนนเต็ม]:[คะแนนเต็ม]])*tbl_task2[[%]:[%]])</f>
        <v/>
      </c>
      <c r="FS7" s="121" t="str">
        <f>IF(ISBLANK(tbl_task2[[คะแนนเต็ม]:[คะแนนเต็ม]]),"",(tbl_task2[5]/tbl_task2[[คะแนนเต็ม]:[คะแนนเต็ม]])*tbl_task2[[%]:[%]])</f>
        <v/>
      </c>
      <c r="FT7" s="121" t="str">
        <f>IF(ISBLANK(tbl_task2[[คะแนนเต็ม]:[คะแนนเต็ม]]),"",(tbl_task2[6]/tbl_task2[[คะแนนเต็ม]:[คะแนนเต็ม]])*tbl_task2[[%]:[%]])</f>
        <v/>
      </c>
      <c r="FU7" s="121" t="str">
        <f>IF(ISBLANK(tbl_task2[[คะแนนเต็ม]:[คะแนนเต็ม]]),"",(tbl_task2[7]/tbl_task2[[คะแนนเต็ม]:[คะแนนเต็ม]])*tbl_task2[[%]:[%]])</f>
        <v/>
      </c>
      <c r="FV7" s="121" t="str">
        <f>IF(ISBLANK(tbl_task2[[คะแนนเต็ม]:[คะแนนเต็ม]]),"",(tbl_task2[8]/tbl_task2[[คะแนนเต็ม]:[คะแนนเต็ม]])*tbl_task2[[%]:[%]])</f>
        <v/>
      </c>
      <c r="FW7" s="121" t="str">
        <f>IF(ISBLANK(tbl_task2[[คะแนนเต็ม]:[คะแนนเต็ม]]),"",(tbl_task2[9]/tbl_task2[[คะแนนเต็ม]:[คะแนนเต็ม]])*tbl_task2[[%]:[%]])</f>
        <v/>
      </c>
      <c r="FX7" s="121" t="str">
        <f>IF(ISBLANK(tbl_task2[[คะแนนเต็ม]:[คะแนนเต็ม]]),"",(tbl_task2[10]/tbl_task2[[คะแนนเต็ม]:[คะแนนเต็ม]])*tbl_task2[[%]:[%]])</f>
        <v/>
      </c>
      <c r="FY7" s="121" t="str">
        <f>IF(ISBLANK(tbl_task2[[คะแนนเต็ม]:[คะแนนเต็ม]]),"",(tbl_task2[11]/tbl_task2[[คะแนนเต็ม]:[คะแนนเต็ม]])*tbl_task2[[%]:[%]])</f>
        <v/>
      </c>
      <c r="FZ7" s="121" t="str">
        <f>IF(ISBLANK(tbl_task2[[คะแนนเต็ม]:[คะแนนเต็ม]]),"",(tbl_task2[12]/tbl_task2[[คะแนนเต็ม]:[คะแนนเต็ม]])*tbl_task2[[%]:[%]])</f>
        <v/>
      </c>
      <c r="GA7" s="121" t="str">
        <f>IF(ISBLANK(tbl_task2[[คะแนนเต็ม]:[คะแนนเต็ม]]),"",(tbl_task2[13]/tbl_task2[[คะแนนเต็ม]:[คะแนนเต็ม]])*tbl_task2[[%]:[%]])</f>
        <v/>
      </c>
      <c r="GB7" s="121" t="str">
        <f>IF(ISBLANK(tbl_task2[[คะแนนเต็ม]:[คะแนนเต็ม]]),"",(tbl_task2[14]/tbl_task2[[คะแนนเต็ม]:[คะแนนเต็ม]])*tbl_task2[[%]:[%]])</f>
        <v/>
      </c>
      <c r="GC7" s="121" t="str">
        <f>IF(ISBLANK(tbl_task2[[คะแนนเต็ม]:[คะแนนเต็ม]]),"",(tbl_task2[15]/tbl_task2[[คะแนนเต็ม]:[คะแนนเต็ม]])*tbl_task2[[%]:[%]])</f>
        <v/>
      </c>
      <c r="GD7" s="121" t="str">
        <f>IF(ISBLANK(tbl_task2[[คะแนนเต็ม]:[คะแนนเต็ม]]),"",(tbl_task2[16]/tbl_task2[[คะแนนเต็ม]:[คะแนนเต็ม]])*tbl_task2[[%]:[%]])</f>
        <v/>
      </c>
      <c r="GE7" s="121" t="str">
        <f>IF(ISBLANK(tbl_task2[[คะแนนเต็ม]:[คะแนนเต็ม]]),"",(tbl_task2[17]/tbl_task2[[คะแนนเต็ม]:[คะแนนเต็ม]])*tbl_task2[[%]:[%]])</f>
        <v/>
      </c>
      <c r="GF7" s="121" t="str">
        <f>IF(ISBLANK(tbl_task2[[คะแนนเต็ม]:[คะแนนเต็ม]]),"",(tbl_task2[18]/tbl_task2[[คะแนนเต็ม]:[คะแนนเต็ม]])*tbl_task2[[%]:[%]])</f>
        <v/>
      </c>
      <c r="GG7" s="121" t="str">
        <f>IF(ISBLANK(tbl_task2[[คะแนนเต็ม]:[คะแนนเต็ม]]),"",(tbl_task2[19]/tbl_task2[[คะแนนเต็ม]:[คะแนนเต็ม]])*tbl_task2[[%]:[%]])</f>
        <v/>
      </c>
      <c r="GH7" s="121" t="str">
        <f>IF(ISBLANK(tbl_task2[[คะแนนเต็ม]:[คะแนนเต็ม]]),"",(tbl_task2[20]/tbl_task2[[คะแนนเต็ม]:[คะแนนเต็ม]])*tbl_task2[[%]:[%]])</f>
        <v/>
      </c>
      <c r="GI7" s="121" t="str">
        <f>IF(ISBLANK(tbl_task2[[คะแนนเต็ม]:[คะแนนเต็ม]]),"",(tbl_task2[21]/tbl_task2[[คะแนนเต็ม]:[คะแนนเต็ม]])*tbl_task2[[%]:[%]])</f>
        <v/>
      </c>
      <c r="GJ7" s="121" t="str">
        <f>IF(ISBLANK(tbl_task2[[คะแนนเต็ม]:[คะแนนเต็ม]]),"",(tbl_task2[22]/tbl_task2[[คะแนนเต็ม]:[คะแนนเต็ม]])*tbl_task2[[%]:[%]])</f>
        <v/>
      </c>
      <c r="GK7" s="121" t="str">
        <f>IF(ISBLANK(tbl_task2[[คะแนนเต็ม]:[คะแนนเต็ม]]),"",(tbl_task2[23]/tbl_task2[[คะแนนเต็ม]:[คะแนนเต็ม]])*tbl_task2[[%]:[%]])</f>
        <v/>
      </c>
      <c r="GL7" s="121" t="str">
        <f>IF(ISBLANK(tbl_task2[[คะแนนเต็ม]:[คะแนนเต็ม]]),"",(tbl_task2[24]/tbl_task2[[คะแนนเต็ม]:[คะแนนเต็ม]])*tbl_task2[[%]:[%]])</f>
        <v/>
      </c>
      <c r="GM7" s="121" t="str">
        <f>IF(ISBLANK(tbl_task2[[คะแนนเต็ม]:[คะแนนเต็ม]]),"",(tbl_task2[25]/tbl_task2[[คะแนนเต็ม]:[คะแนนเต็ม]])*tbl_task2[[%]:[%]])</f>
        <v/>
      </c>
      <c r="GN7" s="121" t="str">
        <f>IF(ISBLANK(tbl_task2[[คะแนนเต็ม]:[คะแนนเต็ม]]),"",(tbl_task2[26]/tbl_task2[[คะแนนเต็ม]:[คะแนนเต็ม]])*tbl_task2[[%]:[%]])</f>
        <v/>
      </c>
      <c r="GO7" s="121" t="str">
        <f>IF(ISBLANK(tbl_task2[[คะแนนเต็ม]:[คะแนนเต็ม]]),"",(tbl_task2[27]/tbl_task2[[คะแนนเต็ม]:[คะแนนเต็ม]])*tbl_task2[[%]:[%]])</f>
        <v/>
      </c>
      <c r="GP7" s="121" t="str">
        <f>IF(ISBLANK(tbl_task2[[คะแนนเต็ม]:[คะแนนเต็ม]]),"",(tbl_task2[28]/tbl_task2[[คะแนนเต็ม]:[คะแนนเต็ม]])*tbl_task2[[%]:[%]])</f>
        <v/>
      </c>
      <c r="GQ7" s="121" t="str">
        <f>IF(ISBLANK(tbl_task2[[คะแนนเต็ม]:[คะแนนเต็ม]]),"",(tbl_task2[29]/tbl_task2[[คะแนนเต็ม]:[คะแนนเต็ม]])*tbl_task2[[%]:[%]])</f>
        <v/>
      </c>
      <c r="GR7" s="121" t="str">
        <f>IF(ISBLANK(tbl_task2[[คะแนนเต็ม]:[คะแนนเต็ม]]),"",(tbl_task2[30]/tbl_task2[[คะแนนเต็ม]:[คะแนนเต็ม]])*tbl_task2[[%]:[%]])</f>
        <v/>
      </c>
      <c r="GS7" s="121" t="str">
        <f>IF(ISBLANK(tbl_task2[[คะแนนเต็ม]:[คะแนนเต็ม]]),"",(tbl_task2[31]/tbl_task2[[คะแนนเต็ม]:[คะแนนเต็ม]])*tbl_task2[[%]:[%]])</f>
        <v/>
      </c>
      <c r="GT7" s="121" t="str">
        <f>IF(ISBLANK(tbl_task2[[คะแนนเต็ม]:[คะแนนเต็ม]]),"",(tbl_task2[32]/tbl_task2[[คะแนนเต็ม]:[คะแนนเต็ม]])*tbl_task2[[%]:[%]])</f>
        <v/>
      </c>
      <c r="GU7" s="121" t="str">
        <f>IF(ISBLANK(tbl_task2[[คะแนนเต็ม]:[คะแนนเต็ม]]),"",(tbl_task2[33]/tbl_task2[[คะแนนเต็ม]:[คะแนนเต็ม]])*tbl_task2[[%]:[%]])</f>
        <v/>
      </c>
      <c r="GV7" s="121" t="str">
        <f>IF(ISBLANK(tbl_task2[[คะแนนเต็ม]:[คะแนนเต็ม]]),"",(tbl_task2[34]/tbl_task2[[คะแนนเต็ม]:[คะแนนเต็ม]])*tbl_task2[[%]:[%]])</f>
        <v/>
      </c>
      <c r="GW7" s="121" t="str">
        <f>IF(ISBLANK(tbl_task2[[คะแนนเต็ม]:[คะแนนเต็ม]]),"",(tbl_task2[35]/tbl_task2[[คะแนนเต็ม]:[คะแนนเต็ม]])*tbl_task2[[%]:[%]])</f>
        <v/>
      </c>
      <c r="GX7" s="121" t="str">
        <f>IF(ISBLANK(tbl_task2[[คะแนนเต็ม]:[คะแนนเต็ม]]),"",(tbl_task2[36]/tbl_task2[[คะแนนเต็ม]:[คะแนนเต็ม]])*tbl_task2[[%]:[%]])</f>
        <v/>
      </c>
      <c r="GY7" s="121" t="str">
        <f>IF(ISBLANK(tbl_task2[[คะแนนเต็ม]:[คะแนนเต็ม]]),"",(tbl_task2[37]/tbl_task2[[คะแนนเต็ม]:[คะแนนเต็ม]])*tbl_task2[[%]:[%]])</f>
        <v/>
      </c>
      <c r="GZ7" s="121" t="str">
        <f>IF(ISBLANK(tbl_task2[[คะแนนเต็ม]:[คะแนนเต็ม]]),"",(tbl_task2[38]/tbl_task2[[คะแนนเต็ม]:[คะแนนเต็ม]])*tbl_task2[[%]:[%]])</f>
        <v/>
      </c>
      <c r="HA7" s="121" t="str">
        <f>IF(ISBLANK(tbl_task2[[คะแนนเต็ม]:[คะแนนเต็ม]]),"",(tbl_task2[39]/tbl_task2[[คะแนนเต็ม]:[คะแนนเต็ม]])*tbl_task2[[%]:[%]])</f>
        <v/>
      </c>
      <c r="HB7" s="121" t="str">
        <f>IF(ISBLANK(tbl_task2[[คะแนนเต็ม]:[คะแนนเต็ม]]),"",(tbl_task2[40]/tbl_task2[[คะแนนเต็ม]:[คะแนนเต็ม]])*tbl_task2[[%]:[%]])</f>
        <v/>
      </c>
      <c r="HC7" s="121" t="str">
        <f>IF(ISBLANK(tbl_task2[[คะแนนเต็ม]:[คะแนนเต็ม]]),"",(tbl_task2[41]/tbl_task2[[คะแนนเต็ม]:[คะแนนเต็ม]])*tbl_task2[[%]:[%]])</f>
        <v/>
      </c>
      <c r="HD7" s="121" t="str">
        <f>IF(ISBLANK(tbl_task2[[คะแนนเต็ม]:[คะแนนเต็ม]]),"",(tbl_task2[42]/tbl_task2[[คะแนนเต็ม]:[คะแนนเต็ม]])*tbl_task2[[%]:[%]])</f>
        <v/>
      </c>
      <c r="HE7" s="121" t="str">
        <f>IF(ISBLANK(tbl_task2[[คะแนนเต็ม]:[คะแนนเต็ม]]),"",(tbl_task2[43]/tbl_task2[[คะแนนเต็ม]:[คะแนนเต็ม]])*tbl_task2[[%]:[%]])</f>
        <v/>
      </c>
      <c r="HF7" s="121" t="str">
        <f>IF(ISBLANK(tbl_task2[[คะแนนเต็ม]:[คะแนนเต็ม]]),"",(tbl_task2[44]/tbl_task2[[คะแนนเต็ม]:[คะแนนเต็ม]])*tbl_task2[[%]:[%]])</f>
        <v/>
      </c>
      <c r="HG7" s="121" t="str">
        <f>IF(ISBLANK(tbl_task2[[คะแนนเต็ม]:[คะแนนเต็ม]]),"",(tbl_task2[45]/tbl_task2[[คะแนนเต็ม]:[คะแนนเต็ม]])*tbl_task2[[%]:[%]])</f>
        <v/>
      </c>
      <c r="HH7" s="121" t="str">
        <f>IF(ISBLANK(tbl_task2[[คะแนนเต็ม]:[คะแนนเต็ม]]),"",(tbl_task2[46]/tbl_task2[[คะแนนเต็ม]:[คะแนนเต็ม]])*tbl_task2[[%]:[%]])</f>
        <v/>
      </c>
      <c r="HI7" s="121" t="str">
        <f>IF(ISBLANK(tbl_task2[[คะแนนเต็ม]:[คะแนนเต็ม]]),"",(tbl_task2[47]/tbl_task2[[คะแนนเต็ม]:[คะแนนเต็ม]])*tbl_task2[[%]:[%]])</f>
        <v/>
      </c>
      <c r="HJ7" s="121" t="str">
        <f>IF(ISBLANK(tbl_task2[[คะแนนเต็ม]:[คะแนนเต็ม]]),"",(tbl_task2[48]/tbl_task2[[คะแนนเต็ม]:[คะแนนเต็ม]])*tbl_task2[[%]:[%]])</f>
        <v/>
      </c>
      <c r="HK7" s="121" t="str">
        <f>IF(ISBLANK(tbl_task2[[คะแนนเต็ม]:[คะแนนเต็ม]]),"",(tbl_task2[49]/tbl_task2[[คะแนนเต็ม]:[คะแนนเต็ม]])*tbl_task2[[%]:[%]])</f>
        <v/>
      </c>
      <c r="HL7" s="121" t="str">
        <f>IF(ISBLANK(tbl_task2[[คะแนนเต็ม]:[คะแนนเต็ม]]),"",(tbl_task2[50]/tbl_task2[[คะแนนเต็ม]:[คะแนนเต็ม]])*tbl_task2[[%]:[%]])</f>
        <v/>
      </c>
      <c r="HM7" s="121" t="str">
        <f>IF(ISBLANK(tbl_task2[[คะแนนเต็ม]:[คะแนนเต็ม]]),"",(tbl_task2[51]/tbl_task2[[คะแนนเต็ม]:[คะแนนเต็ม]])*tbl_task2[[%]:[%]])</f>
        <v/>
      </c>
      <c r="HN7" s="121" t="str">
        <f>IF(ISBLANK(tbl_task2[[คะแนนเต็ม]:[คะแนนเต็ม]]),"",(tbl_task2[52]/tbl_task2[[คะแนนเต็ม]:[คะแนนเต็ม]])*tbl_task2[[%]:[%]])</f>
        <v/>
      </c>
      <c r="HO7" s="121" t="str">
        <f>IF(ISBLANK(tbl_task2[[คะแนนเต็ม]:[คะแนนเต็ม]]),"",(tbl_task2[53]/tbl_task2[[คะแนนเต็ม]:[คะแนนเต็ม]])*tbl_task2[[%]:[%]])</f>
        <v/>
      </c>
      <c r="HP7" s="121" t="str">
        <f>IF(ISBLANK(tbl_task2[[คะแนนเต็ม]:[คะแนนเต็ม]]),"",(tbl_task2[54]/tbl_task2[[คะแนนเต็ม]:[คะแนนเต็ม]])*tbl_task2[[%]:[%]])</f>
        <v/>
      </c>
      <c r="HQ7" s="121" t="str">
        <f>IF(ISBLANK(tbl_task2[[คะแนนเต็ม]:[คะแนนเต็ม]]),"",(tbl_task2[55]/tbl_task2[[คะแนนเต็ม]:[คะแนนเต็ม]])*tbl_task2[[%]:[%]])</f>
        <v/>
      </c>
      <c r="HR7" s="121" t="str">
        <f>IF(ISBLANK(tbl_task2[[คะแนนเต็ม]:[คะแนนเต็ม]]),"",(tbl_task2[56]/tbl_task2[[คะแนนเต็ม]:[คะแนนเต็ม]])*tbl_task2[[%]:[%]])</f>
        <v/>
      </c>
      <c r="HS7" s="121" t="str">
        <f>IF(ISBLANK(tbl_task2[[คะแนนเต็ม]:[คะแนนเต็ม]]),"",(tbl_task2[57]/tbl_task2[[คะแนนเต็ม]:[คะแนนเต็ม]])*tbl_task2[[%]:[%]])</f>
        <v/>
      </c>
      <c r="HT7" s="121" t="str">
        <f>IF(ISBLANK(tbl_task2[[คะแนนเต็ม]:[คะแนนเต็ม]]),"",(tbl_task2[58]/tbl_task2[[คะแนนเต็ม]:[คะแนนเต็ม]])*tbl_task2[[%]:[%]])</f>
        <v/>
      </c>
      <c r="HU7" s="121" t="str">
        <f>IF(ISBLANK(tbl_task2[[คะแนนเต็ม]:[คะแนนเต็ม]]),"",(tbl_task2[59]/tbl_task2[[คะแนนเต็ม]:[คะแนนเต็ม]])*tbl_task2[[%]:[%]])</f>
        <v/>
      </c>
      <c r="HV7" s="121" t="str">
        <f>IF(ISBLANK(tbl_task2[[คะแนนเต็ม]:[คะแนนเต็ม]]),"",(tbl_task2[60]/tbl_task2[[คะแนนเต็ม]:[คะแนนเต็ม]])*tbl_task2[[%]:[%]])</f>
        <v/>
      </c>
      <c r="HW7" s="121" t="str">
        <f>IF(ISBLANK(tbl_task2[[คะแนนเต็ม]:[คะแนนเต็ม]]),"",(tbl_task2[61]/tbl_task2[[คะแนนเต็ม]:[คะแนนเต็ม]])*tbl_task2[[%]:[%]])</f>
        <v/>
      </c>
      <c r="HX7" s="121" t="str">
        <f>IF(ISBLANK(tbl_task2[[คะแนนเต็ม]:[คะแนนเต็ม]]),"",(tbl_task2[62]/tbl_task2[[คะแนนเต็ม]:[คะแนนเต็ม]])*tbl_task2[[%]:[%]])</f>
        <v/>
      </c>
      <c r="HY7" s="121" t="str">
        <f>IF(ISBLANK(tbl_task2[[คะแนนเต็ม]:[คะแนนเต็ม]]),"",(tbl_task2[63]/tbl_task2[[คะแนนเต็ม]:[คะแนนเต็ม]])*tbl_task2[[%]:[%]])</f>
        <v/>
      </c>
      <c r="HZ7" s="121" t="str">
        <f>IF(ISBLANK(tbl_task2[[คะแนนเต็ม]:[คะแนนเต็ม]]),"",(tbl_task2[64]/tbl_task2[[คะแนนเต็ม]:[คะแนนเต็ม]])*tbl_task2[[%]:[%]])</f>
        <v/>
      </c>
      <c r="IA7" s="121" t="str">
        <f>IF(ISBLANK(tbl_task2[[คะแนนเต็ม]:[คะแนนเต็ม]]),"",(tbl_task2[65]/tbl_task2[[คะแนนเต็ม]:[คะแนนเต็ม]])*tbl_task2[[%]:[%]])</f>
        <v/>
      </c>
      <c r="IB7" s="121" t="str">
        <f>IF(ISBLANK(tbl_task2[[คะแนนเต็ม]:[คะแนนเต็ม]]),"",(tbl_task2[66]/tbl_task2[[คะแนนเต็ม]:[คะแนนเต็ม]])*tbl_task2[[%]:[%]])</f>
        <v/>
      </c>
      <c r="IC7" s="121" t="str">
        <f>IF(ISBLANK(tbl_task2[[คะแนนเต็ม]:[คะแนนเต็ม]]),"",(tbl_task2[67]/tbl_task2[[คะแนนเต็ม]:[คะแนนเต็ม]])*tbl_task2[[%]:[%]])</f>
        <v/>
      </c>
      <c r="ID7" s="121" t="str">
        <f>IF(ISBLANK(tbl_task2[[คะแนนเต็ม]:[คะแนนเต็ม]]),"",(tbl_task2[68]/tbl_task2[[คะแนนเต็ม]:[คะแนนเต็ม]])*tbl_task2[[%]:[%]])</f>
        <v/>
      </c>
      <c r="IE7" s="121" t="str">
        <f>IF(ISBLANK(tbl_task2[[คะแนนเต็ม]:[คะแนนเต็ม]]),"",(tbl_task2[69]/tbl_task2[[คะแนนเต็ม]:[คะแนนเต็ม]])*tbl_task2[[%]:[%]])</f>
        <v/>
      </c>
      <c r="IF7" s="121" t="str">
        <f>IF(ISBLANK(tbl_task2[[คะแนนเต็ม]:[คะแนนเต็ม]]),"",(tbl_task2[70]/tbl_task2[[คะแนนเต็ม]:[คะแนนเต็ม]])*tbl_task2[[%]:[%]])</f>
        <v/>
      </c>
      <c r="IG7" s="121" t="str">
        <f>IF(ISBLANK(tbl_task2[[คะแนนเต็ม]:[คะแนนเต็ม]]),"",(tbl_task2[71]/tbl_task2[[คะแนนเต็ม]:[คะแนนเต็ม]])*tbl_task2[[%]:[%]])</f>
        <v/>
      </c>
      <c r="IH7" s="121" t="str">
        <f>IF(ISBLANK(tbl_task2[[คะแนนเต็ม]:[คะแนนเต็ม]]),"",(tbl_task2[72]/tbl_task2[[คะแนนเต็ม]:[คะแนนเต็ม]])*tbl_task2[[%]:[%]])</f>
        <v/>
      </c>
      <c r="II7" s="121" t="str">
        <f>IF(ISBLANK(tbl_task2[[คะแนนเต็ม]:[คะแนนเต็ม]]),"",(tbl_task2[73]/tbl_task2[[คะแนนเต็ม]:[คะแนนเต็ม]])*tbl_task2[[%]:[%]])</f>
        <v/>
      </c>
      <c r="IJ7" s="121" t="str">
        <f>IF(ISBLANK(tbl_task2[[คะแนนเต็ม]:[คะแนนเต็ม]]),"",(tbl_task2[74]/tbl_task2[[คะแนนเต็ม]:[คะแนนเต็ม]])*tbl_task2[[%]:[%]])</f>
        <v/>
      </c>
      <c r="IK7" s="121" t="str">
        <f>IF(ISBLANK(tbl_task2[[คะแนนเต็ม]:[คะแนนเต็ม]]),"",(tbl_task2[75]/tbl_task2[[คะแนนเต็ม]:[คะแนนเต็ม]])*tbl_task2[[%]:[%]])</f>
        <v/>
      </c>
      <c r="IL7" s="121" t="str">
        <f>IF(ISBLANK(tbl_task2[[คะแนนเต็ม]:[คะแนนเต็ม]]),"",(tbl_task2[76]/tbl_task2[[คะแนนเต็ม]:[คะแนนเต็ม]])*tbl_task2[[%]:[%]])</f>
        <v/>
      </c>
      <c r="IM7" s="121" t="str">
        <f>IF(ISBLANK(tbl_task2[[คะแนนเต็ม]:[คะแนนเต็ม]]),"",(tbl_task2[77]/tbl_task2[[คะแนนเต็ม]:[คะแนนเต็ม]])*tbl_task2[[%]:[%]])</f>
        <v/>
      </c>
      <c r="IN7" s="121" t="str">
        <f>IF(ISBLANK(tbl_task2[[คะแนนเต็ม]:[คะแนนเต็ม]]),"",(tbl_task2[78]/tbl_task2[[คะแนนเต็ม]:[คะแนนเต็ม]])*tbl_task2[[%]:[%]])</f>
        <v/>
      </c>
      <c r="IO7" s="121" t="str">
        <f>IF(ISBLANK(tbl_task2[[คะแนนเต็ม]:[คะแนนเต็ม]]),"",(tbl_task2[79]/tbl_task2[[คะแนนเต็ม]:[คะแนนเต็ม]])*tbl_task2[[%]:[%]])</f>
        <v/>
      </c>
      <c r="IP7" s="121" t="str">
        <f>IF(ISBLANK(tbl_task2[[คะแนนเต็ม]:[คะแนนเต็ม]]),"",(tbl_task2[80]/tbl_task2[[คะแนนเต็ม]:[คะแนนเต็ม]])*tbl_task2[[%]:[%]])</f>
        <v/>
      </c>
      <c r="IQ7" s="121" t="str">
        <f>IF(ISBLANK(tbl_task2[[คะแนนเต็ม]:[คะแนนเต็ม]]),"",(tbl_task2[81]/tbl_task2[[คะแนนเต็ม]:[คะแนนเต็ม]])*tbl_task2[[%]:[%]])</f>
        <v/>
      </c>
      <c r="IR7" s="121" t="str">
        <f>IF(ISBLANK(tbl_task2[[คะแนนเต็ม]:[คะแนนเต็ม]]),"",(tbl_task2[82]/tbl_task2[[คะแนนเต็ม]:[คะแนนเต็ม]])*tbl_task2[[%]:[%]])</f>
        <v/>
      </c>
      <c r="IS7" s="121" t="str">
        <f>IF(ISBLANK(tbl_task2[[คะแนนเต็ม]:[คะแนนเต็ม]]),"",(tbl_task2[83]/tbl_task2[[คะแนนเต็ม]:[คะแนนเต็ม]])*tbl_task2[[%]:[%]])</f>
        <v/>
      </c>
      <c r="IT7" s="121" t="str">
        <f>IF(ISBLANK(tbl_task2[[คะแนนเต็ม]:[คะแนนเต็ม]]),"",(tbl_task2[84]/tbl_task2[[คะแนนเต็ม]:[คะแนนเต็ม]])*tbl_task2[[%]:[%]])</f>
        <v/>
      </c>
      <c r="IU7" s="121" t="str">
        <f>IF(ISBLANK(tbl_task2[[คะแนนเต็ม]:[คะแนนเต็ม]]),"",(tbl_task2[85]/tbl_task2[[คะแนนเต็ม]:[คะแนนเต็ม]])*tbl_task2[[%]:[%]])</f>
        <v/>
      </c>
      <c r="IV7" s="121" t="str">
        <f>IF(ISBLANK(tbl_task2[[คะแนนเต็ม]:[คะแนนเต็ม]]),"",(tbl_task2[86]/tbl_task2[[คะแนนเต็ม]:[คะแนนเต็ม]])*tbl_task2[[%]:[%]])</f>
        <v/>
      </c>
      <c r="IW7" s="121" t="str">
        <f>IF(ISBLANK(tbl_task2[[คะแนนเต็ม]:[คะแนนเต็ม]]),"",(tbl_task2[87]/tbl_task2[[คะแนนเต็ม]:[คะแนนเต็ม]])*tbl_task2[[%]:[%]])</f>
        <v/>
      </c>
      <c r="IX7" s="121" t="str">
        <f>IF(ISBLANK(tbl_task2[[คะแนนเต็ม]:[คะแนนเต็ม]]),"",(tbl_task2[88]/tbl_task2[[คะแนนเต็ม]:[คะแนนเต็ม]])*tbl_task2[[%]:[%]])</f>
        <v/>
      </c>
      <c r="IY7" s="121" t="str">
        <f>IF(ISBLANK(tbl_task2[[คะแนนเต็ม]:[คะแนนเต็ม]]),"",(tbl_task2[89]/tbl_task2[[คะแนนเต็ม]:[คะแนนเต็ม]])*tbl_task2[[%]:[%]])</f>
        <v/>
      </c>
      <c r="IZ7" s="121" t="str">
        <f>IF(ISBLANK(tbl_task2[[คะแนนเต็ม]:[คะแนนเต็ม]]),"",(tbl_task2[90]/tbl_task2[[คะแนนเต็ม]:[คะแนนเต็ม]])*tbl_task2[[%]:[%]])</f>
        <v/>
      </c>
      <c r="JA7" s="121" t="str">
        <f>IF(ISBLANK(tbl_task2[[คะแนนเต็ม]:[คะแนนเต็ม]]),"",(tbl_task2[91]/tbl_task2[[คะแนนเต็ม]:[คะแนนเต็ม]])*tbl_task2[[%]:[%]])</f>
        <v/>
      </c>
      <c r="JB7" s="121" t="str">
        <f>IF(ISBLANK(tbl_task2[[คะแนนเต็ม]:[คะแนนเต็ม]]),"",(tbl_task2[92]/tbl_task2[[คะแนนเต็ม]:[คะแนนเต็ม]])*tbl_task2[[%]:[%]])</f>
        <v/>
      </c>
      <c r="JC7" s="121" t="str">
        <f>IF(ISBLANK(tbl_task2[[คะแนนเต็ม]:[คะแนนเต็ม]]),"",(tbl_task2[93]/tbl_task2[[คะแนนเต็ม]:[คะแนนเต็ม]])*tbl_task2[[%]:[%]])</f>
        <v/>
      </c>
      <c r="JD7" s="121" t="str">
        <f>IF(ISBLANK(tbl_task2[[คะแนนเต็ม]:[คะแนนเต็ม]]),"",(tbl_task2[94]/tbl_task2[[คะแนนเต็ม]:[คะแนนเต็ม]])*tbl_task2[[%]:[%]])</f>
        <v/>
      </c>
      <c r="JE7" s="121" t="str">
        <f>IF(ISBLANK(tbl_task2[[คะแนนเต็ม]:[คะแนนเต็ม]]),"",(tbl_task2[95]/tbl_task2[[คะแนนเต็ม]:[คะแนนเต็ม]])*tbl_task2[[%]:[%]])</f>
        <v/>
      </c>
      <c r="JF7" s="121" t="str">
        <f>IF(ISBLANK(tbl_task2[[คะแนนเต็ม]:[คะแนนเต็ม]]),"",(tbl_task2[96]/tbl_task2[[คะแนนเต็ม]:[คะแนนเต็ม]])*tbl_task2[[%]:[%]])</f>
        <v/>
      </c>
      <c r="JG7" s="121" t="str">
        <f>IF(ISBLANK(tbl_task2[[คะแนนเต็ม]:[คะแนนเต็ม]]),"",(tbl_task2[97]/tbl_task2[[คะแนนเต็ม]:[คะแนนเต็ม]])*tbl_task2[[%]:[%]])</f>
        <v/>
      </c>
      <c r="JH7" s="121" t="str">
        <f>IF(ISBLANK(tbl_task2[[คะแนนเต็ม]:[คะแนนเต็ม]]),"",(tbl_task2[98]/tbl_task2[[คะแนนเต็ม]:[คะแนนเต็ม]])*tbl_task2[[%]:[%]])</f>
        <v/>
      </c>
      <c r="JI7" s="121" t="str">
        <f>IF(ISBLANK(tbl_task2[[คะแนนเต็ม]:[คะแนนเต็ม]]),"",(tbl_task2[99]/tbl_task2[[คะแนนเต็ม]:[คะแนนเต็ม]])*tbl_task2[[%]:[%]])</f>
        <v/>
      </c>
      <c r="JJ7" s="121" t="str">
        <f>IF(ISBLANK(tbl_task2[[คะแนนเต็ม]:[คะแนนเต็ม]]),"",(tbl_task2[100]/tbl_task2[[คะแนนเต็ม]:[คะแนนเต็ม]])*tbl_task2[[%]:[%]])</f>
        <v/>
      </c>
      <c r="JK7" s="121" t="str">
        <f>IF(ISBLANK(tbl_task2[[คะแนนเต็ม]:[คะแนนเต็ม]]),"",(tbl_task2[101]/tbl_task2[[คะแนนเต็ม]:[คะแนนเต็ม]])*tbl_task2[[%]:[%]])</f>
        <v/>
      </c>
      <c r="JL7" s="121" t="str">
        <f>IF(ISBLANK(tbl_task2[[คะแนนเต็ม]:[คะแนนเต็ม]]),"",(tbl_task2[102]/tbl_task2[[คะแนนเต็ม]:[คะแนนเต็ม]])*tbl_task2[[%]:[%]])</f>
        <v/>
      </c>
      <c r="JM7" s="121" t="str">
        <f>IF(ISBLANK(tbl_task2[[คะแนนเต็ม]:[คะแนนเต็ม]]),"",(tbl_task2[103]/tbl_task2[[คะแนนเต็ม]:[คะแนนเต็ม]])*tbl_task2[[%]:[%]])</f>
        <v/>
      </c>
      <c r="JN7" s="121" t="str">
        <f>IF(ISBLANK(tbl_task2[[คะแนนเต็ม]:[คะแนนเต็ม]]),"",(tbl_task2[104]/tbl_task2[[คะแนนเต็ม]:[คะแนนเต็ม]])*tbl_task2[[%]:[%]])</f>
        <v/>
      </c>
      <c r="JO7" s="121" t="str">
        <f>IF(ISBLANK(tbl_task2[[คะแนนเต็ม]:[คะแนนเต็ม]]),"",(tbl_task2[105]/tbl_task2[[คะแนนเต็ม]:[คะแนนเต็ม]])*tbl_task2[[%]:[%]])</f>
        <v/>
      </c>
      <c r="JP7" s="121" t="str">
        <f>IF(ISBLANK(tbl_task2[[คะแนนเต็ม]:[คะแนนเต็ม]]),"",(tbl_task2[106]/tbl_task2[[คะแนนเต็ม]:[คะแนนเต็ม]])*tbl_task2[[%]:[%]])</f>
        <v/>
      </c>
      <c r="JQ7" s="121" t="str">
        <f>IF(ISBLANK(tbl_task2[[คะแนนเต็ม]:[คะแนนเต็ม]]),"",(tbl_task2[107]/tbl_task2[[คะแนนเต็ม]:[คะแนนเต็ม]])*tbl_task2[[%]:[%]])</f>
        <v/>
      </c>
      <c r="JR7" s="121" t="str">
        <f>IF(ISBLANK(tbl_task2[[คะแนนเต็ม]:[คะแนนเต็ม]]),"",(tbl_task2[108]/tbl_task2[[คะแนนเต็ม]:[คะแนนเต็ม]])*tbl_task2[[%]:[%]])</f>
        <v/>
      </c>
      <c r="JS7" s="121" t="str">
        <f>IF(ISBLANK(tbl_task2[[คะแนนเต็ม]:[คะแนนเต็ม]]),"",(tbl_task2[109]/tbl_task2[[คะแนนเต็ม]:[คะแนนเต็ม]])*tbl_task2[[%]:[%]])</f>
        <v/>
      </c>
      <c r="JT7" s="121" t="str">
        <f>IF(ISBLANK(tbl_task2[[คะแนนเต็ม]:[คะแนนเต็ม]]),"",(tbl_task2[110]/tbl_task2[[คะแนนเต็ม]:[คะแนนเต็ม]])*tbl_task2[[%]:[%]])</f>
        <v/>
      </c>
      <c r="JU7" s="121" t="str">
        <f>IF(ISBLANK(tbl_task2[[คะแนนเต็ม]:[คะแนนเต็ม]]),"",(tbl_task2[111]/tbl_task2[[คะแนนเต็ม]:[คะแนนเต็ม]])*tbl_task2[[%]:[%]])</f>
        <v/>
      </c>
      <c r="JV7" s="121" t="str">
        <f>IF(ISBLANK(tbl_task2[[คะแนนเต็ม]:[คะแนนเต็ม]]),"",(tbl_task2[112]/tbl_task2[[คะแนนเต็ม]:[คะแนนเต็ม]])*tbl_task2[[%]:[%]])</f>
        <v/>
      </c>
      <c r="JW7" s="121" t="str">
        <f>IF(ISBLANK(tbl_task2[[คะแนนเต็ม]:[คะแนนเต็ม]]),"",(tbl_task2[113]/tbl_task2[[คะแนนเต็ม]:[คะแนนเต็ม]])*tbl_task2[[%]:[%]])</f>
        <v/>
      </c>
      <c r="JX7" s="121" t="str">
        <f>IF(ISBLANK(tbl_task2[[คะแนนเต็ม]:[คะแนนเต็ม]]),"",(tbl_task2[114]/tbl_task2[[คะแนนเต็ม]:[คะแนนเต็ม]])*tbl_task2[[%]:[%]])</f>
        <v/>
      </c>
      <c r="JY7" s="121" t="str">
        <f>IF(ISBLANK(tbl_task2[[คะแนนเต็ม]:[คะแนนเต็ม]]),"",(tbl_task2[115]/tbl_task2[[คะแนนเต็ม]:[คะแนนเต็ม]])*tbl_task2[[%]:[%]])</f>
        <v/>
      </c>
      <c r="JZ7" s="121" t="str">
        <f>IF(ISBLANK(tbl_task2[[คะแนนเต็ม]:[คะแนนเต็ม]]),"",(tbl_task2[116]/tbl_task2[[คะแนนเต็ม]:[คะแนนเต็ม]])*tbl_task2[[%]:[%]])</f>
        <v/>
      </c>
      <c r="KA7" s="121" t="str">
        <f>IF(ISBLANK(tbl_task2[[คะแนนเต็ม]:[คะแนนเต็ม]]),"",(tbl_task2[117]/tbl_task2[[คะแนนเต็ม]:[คะแนนเต็ม]])*tbl_task2[[%]:[%]])</f>
        <v/>
      </c>
      <c r="KB7" s="121" t="str">
        <f>IF(ISBLANK(tbl_task2[[คะแนนเต็ม]:[คะแนนเต็ม]]),"",(tbl_task2[118]/tbl_task2[[คะแนนเต็ม]:[คะแนนเต็ม]])*tbl_task2[[%]:[%]])</f>
        <v/>
      </c>
      <c r="KC7" s="121" t="str">
        <f>IF(ISBLANK(tbl_task2[[คะแนนเต็ม]:[คะแนนเต็ม]]),"",(tbl_task2[119]/tbl_task2[[คะแนนเต็ม]:[คะแนนเต็ม]])*tbl_task2[[%]:[%]])</f>
        <v/>
      </c>
      <c r="KD7" s="121" t="str">
        <f>IF(ISBLANK(tbl_task2[[คะแนนเต็ม]:[คะแนนเต็ม]]),"",(tbl_task2[120]/tbl_task2[[คะแนนเต็ม]:[คะแนนเต็ม]])*tbl_task2[[%]:[%]])</f>
        <v/>
      </c>
      <c r="KE7" s="121" t="str">
        <f>IF(ISBLANK(tbl_task2[[คะแนนเต็ม]:[คะแนนเต็ม]]),"",(tbl_task2[121]/tbl_task2[[คะแนนเต็ม]:[คะแนนเต็ม]])*tbl_task2[[%]:[%]])</f>
        <v/>
      </c>
      <c r="KF7" s="121" t="str">
        <f>IF(ISBLANK(tbl_task2[[คะแนนเต็ม]:[คะแนนเต็ม]]),"",(tbl_task2[122]/tbl_task2[[คะแนนเต็ม]:[คะแนนเต็ม]])*tbl_task2[[%]:[%]])</f>
        <v/>
      </c>
      <c r="KG7" s="121" t="str">
        <f>IF(ISBLANK(tbl_task2[[คะแนนเต็ม]:[คะแนนเต็ม]]),"",(tbl_task2[123]/tbl_task2[[คะแนนเต็ม]:[คะแนนเต็ม]])*tbl_task2[[%]:[%]])</f>
        <v/>
      </c>
      <c r="KH7" s="121" t="str">
        <f>IF(ISBLANK(tbl_task2[[คะแนนเต็ม]:[คะแนนเต็ม]]),"",(tbl_task2[124]/tbl_task2[[คะแนนเต็ม]:[คะแนนเต็ม]])*tbl_task2[[%]:[%]])</f>
        <v/>
      </c>
      <c r="KI7" s="121" t="str">
        <f>IF(ISBLANK(tbl_task2[[คะแนนเต็ม]:[คะแนนเต็ม]]),"",(tbl_task2[125]/tbl_task2[[คะแนนเต็ม]:[คะแนนเต็ม]])*tbl_task2[[%]:[%]])</f>
        <v/>
      </c>
      <c r="KJ7" s="121" t="str">
        <f>IF(ISBLANK(tbl_task2[[คะแนนเต็ม]:[คะแนนเต็ม]]),"",(tbl_task2[126]/tbl_task2[[คะแนนเต็ม]:[คะแนนเต็ม]])*tbl_task2[[%]:[%]])</f>
        <v/>
      </c>
      <c r="KK7" s="121" t="str">
        <f>IF(ISBLANK(tbl_task2[[คะแนนเต็ม]:[คะแนนเต็ม]]),"",(tbl_task2[127]/tbl_task2[[คะแนนเต็ม]:[คะแนนเต็ม]])*tbl_task2[[%]:[%]])</f>
        <v/>
      </c>
      <c r="KL7" s="121" t="str">
        <f>IF(ISBLANK(tbl_task2[[คะแนนเต็ม]:[คะแนนเต็ม]]),"",(tbl_task2[128]/tbl_task2[[คะแนนเต็ม]:[คะแนนเต็ม]])*tbl_task2[[%]:[%]])</f>
        <v/>
      </c>
      <c r="KM7" s="121" t="str">
        <f>IF(ISBLANK(tbl_task2[[คะแนนเต็ม]:[คะแนนเต็ม]]),"",(tbl_task2[129]/tbl_task2[[คะแนนเต็ม]:[คะแนนเต็ม]])*tbl_task2[[%]:[%]])</f>
        <v/>
      </c>
      <c r="KN7" s="121" t="str">
        <f>IF(ISBLANK(tbl_task2[[คะแนนเต็ม]:[คะแนนเต็ม]]),"",(tbl_task2[130]/tbl_task2[[คะแนนเต็ม]:[คะแนนเต็ม]])*tbl_task2[[%]:[%]])</f>
        <v/>
      </c>
      <c r="KO7" s="121" t="str">
        <f>IF(ISBLANK(tbl_task2[[คะแนนเต็ม]:[คะแนนเต็ม]]),"",(tbl_task2[131]/tbl_task2[[คะแนนเต็ม]:[คะแนนเต็ม]])*tbl_task2[[%]:[%]])</f>
        <v/>
      </c>
      <c r="KP7" s="121" t="str">
        <f>IF(ISBLANK(tbl_task2[[คะแนนเต็ม]:[คะแนนเต็ม]]),"",(tbl_task2[132]/tbl_task2[[คะแนนเต็ม]:[คะแนนเต็ม]])*tbl_task2[[%]:[%]])</f>
        <v/>
      </c>
      <c r="KQ7" s="121" t="str">
        <f>IF(ISBLANK(tbl_task2[[คะแนนเต็ม]:[คะแนนเต็ม]]),"",(tbl_task2[133]/tbl_task2[[คะแนนเต็ม]:[คะแนนเต็ม]])*tbl_task2[[%]:[%]])</f>
        <v/>
      </c>
      <c r="KR7" s="121" t="str">
        <f>IF(ISBLANK(tbl_task2[[คะแนนเต็ม]:[คะแนนเต็ม]]),"",(tbl_task2[134]/tbl_task2[[คะแนนเต็ม]:[คะแนนเต็ม]])*tbl_task2[[%]:[%]])</f>
        <v/>
      </c>
      <c r="KS7" s="121" t="str">
        <f>IF(ISBLANK(tbl_task2[[คะแนนเต็ม]:[คะแนนเต็ม]]),"",(tbl_task2[135]/tbl_task2[[คะแนนเต็ม]:[คะแนนเต็ม]])*tbl_task2[[%]:[%]])</f>
        <v/>
      </c>
      <c r="KT7" s="121" t="str">
        <f>IF(ISBLANK(tbl_task2[[คะแนนเต็ม]:[คะแนนเต็ม]]),"",(tbl_task2[136]/tbl_task2[[คะแนนเต็ม]:[คะแนนเต็ม]])*tbl_task2[[%]:[%]])</f>
        <v/>
      </c>
      <c r="KU7" s="121" t="str">
        <f>IF(ISBLANK(tbl_task2[[คะแนนเต็ม]:[คะแนนเต็ม]]),"",(tbl_task2[137]/tbl_task2[[คะแนนเต็ม]:[คะแนนเต็ม]])*tbl_task2[[%]:[%]])</f>
        <v/>
      </c>
      <c r="KV7" s="121" t="str">
        <f>IF(ISBLANK(tbl_task2[[คะแนนเต็ม]:[คะแนนเต็ม]]),"",(tbl_task2[138]/tbl_task2[[คะแนนเต็ม]:[คะแนนเต็ม]])*tbl_task2[[%]:[%]])</f>
        <v/>
      </c>
      <c r="KW7" s="121" t="str">
        <f>IF(ISBLANK(tbl_task2[[คะแนนเต็ม]:[คะแนนเต็ม]]),"",(tbl_task2[139]/tbl_task2[[คะแนนเต็ม]:[คะแนนเต็ม]])*tbl_task2[[%]:[%]])</f>
        <v/>
      </c>
      <c r="KX7" s="121" t="str">
        <f>IF(ISBLANK(tbl_task2[[คะแนนเต็ม]:[คะแนนเต็ม]]),"",(tbl_task2[140]/tbl_task2[[คะแนนเต็ม]:[คะแนนเต็ม]])*tbl_task2[[%]:[%]])</f>
        <v/>
      </c>
      <c r="KY7" s="121" t="str">
        <f>IF(ISBLANK(tbl_task2[[คะแนนเต็ม]:[คะแนนเต็ม]]),"",(tbl_task2[141]/tbl_task2[[คะแนนเต็ม]:[คะแนนเต็ม]])*tbl_task2[[%]:[%]])</f>
        <v/>
      </c>
      <c r="KZ7" s="121" t="str">
        <f>IF(ISBLANK(tbl_task2[[คะแนนเต็ม]:[คะแนนเต็ม]]),"",(tbl_task2[142]/tbl_task2[[คะแนนเต็ม]:[คะแนนเต็ม]])*tbl_task2[[%]:[%]])</f>
        <v/>
      </c>
      <c r="LA7" s="121" t="str">
        <f>IF(ISBLANK(tbl_task2[[คะแนนเต็ม]:[คะแนนเต็ม]]),"",(tbl_task2[143]/tbl_task2[[คะแนนเต็ม]:[คะแนนเต็ม]])*tbl_task2[[%]:[%]])</f>
        <v/>
      </c>
      <c r="LB7" s="121" t="str">
        <f>IF(ISBLANK(tbl_task2[[คะแนนเต็ม]:[คะแนนเต็ม]]),"",(tbl_task2[144]/tbl_task2[[คะแนนเต็ม]:[คะแนนเต็ม]])*tbl_task2[[%]:[%]])</f>
        <v/>
      </c>
      <c r="LC7" s="121" t="str">
        <f>IF(ISBLANK(tbl_task2[[คะแนนเต็ม]:[คะแนนเต็ม]]),"",(tbl_task2[145]/tbl_task2[[คะแนนเต็ม]:[คะแนนเต็ม]])*tbl_task2[[%]:[%]])</f>
        <v/>
      </c>
      <c r="LD7" s="121" t="str">
        <f>IF(ISBLANK(tbl_task2[[คะแนนเต็ม]:[คะแนนเต็ม]]),"",(tbl_task2[146]/tbl_task2[[คะแนนเต็ม]:[คะแนนเต็ม]])*tbl_task2[[%]:[%]])</f>
        <v/>
      </c>
      <c r="LE7" s="121" t="str">
        <f>IF(ISBLANK(tbl_task2[[คะแนนเต็ม]:[คะแนนเต็ม]]),"",(tbl_task2[147]/tbl_task2[[คะแนนเต็ม]:[คะแนนเต็ม]])*tbl_task2[[%]:[%]])</f>
        <v/>
      </c>
      <c r="LF7" s="121" t="str">
        <f>IF(ISBLANK(tbl_task2[[คะแนนเต็ม]:[คะแนนเต็ม]]),"",(tbl_task2[148]/tbl_task2[[คะแนนเต็ม]:[คะแนนเต็ม]])*tbl_task2[[%]:[%]])</f>
        <v/>
      </c>
      <c r="LG7" s="121" t="str">
        <f>IF(ISBLANK(tbl_task2[[คะแนนเต็ม]:[คะแนนเต็ม]]),"",(tbl_task2[149]/tbl_task2[[คะแนนเต็ม]:[คะแนนเต็ม]])*tbl_task2[[%]:[%]])</f>
        <v/>
      </c>
      <c r="LH7" s="121" t="str">
        <f>IF(ISBLANK(tbl_task2[[คะแนนเต็ม]:[คะแนนเต็ม]]),"",(tbl_task2[150]/tbl_task2[[คะแนนเต็ม]:[คะแนนเต็ม]])*tbl_task2[[%]:[%]])</f>
        <v/>
      </c>
      <c r="LI7" s="121" t="str">
        <f>IF(ISBLANK(tbl_task2[[คะแนนเต็ม]:[คะแนนเต็ม]]),"",(tbl_task2[151]/tbl_task2[[คะแนนเต็ม]:[คะแนนเต็ม]])*tbl_task2[[%]:[%]])</f>
        <v/>
      </c>
      <c r="LJ7" s="121" t="str">
        <f>IF(ISBLANK(tbl_task2[[คะแนนเต็ม]:[คะแนนเต็ม]]),"",(tbl_task2[152]/tbl_task2[[คะแนนเต็ม]:[คะแนนเต็ม]])*tbl_task2[[%]:[%]])</f>
        <v/>
      </c>
      <c r="LK7" s="121" t="str">
        <f>IF(ISBLANK(tbl_task2[[คะแนนเต็ม]:[คะแนนเต็ม]]),"",(tbl_task2[153]/tbl_task2[[คะแนนเต็ม]:[คะแนนเต็ม]])*tbl_task2[[%]:[%]])</f>
        <v/>
      </c>
      <c r="LL7" s="121" t="str">
        <f>IF(ISBLANK(tbl_task2[[คะแนนเต็ม]:[คะแนนเต็ม]]),"",(tbl_task2[154]/tbl_task2[[คะแนนเต็ม]:[คะแนนเต็ม]])*tbl_task2[[%]:[%]])</f>
        <v/>
      </c>
      <c r="LM7" s="121" t="str">
        <f>IF(ISBLANK(tbl_task2[[คะแนนเต็ม]:[คะแนนเต็ม]]),"",(tbl_task2[155]/tbl_task2[[คะแนนเต็ม]:[คะแนนเต็ม]])*tbl_task2[[%]:[%]])</f>
        <v/>
      </c>
      <c r="LN7" s="121" t="str">
        <f>IF(ISBLANK(tbl_task2[[คะแนนเต็ม]:[คะแนนเต็ม]]),"",(tbl_task2[156]/tbl_task2[[คะแนนเต็ม]:[คะแนนเต็ม]])*tbl_task2[[%]:[%]])</f>
        <v/>
      </c>
      <c r="LO7" s="121" t="str">
        <f>IF(ISBLANK(tbl_task2[[คะแนนเต็ม]:[คะแนนเต็ม]]),"",(tbl_task2[157]/tbl_task2[[คะแนนเต็ม]:[คะแนนเต็ม]])*tbl_task2[[%]:[%]])</f>
        <v/>
      </c>
      <c r="LP7" s="121" t="str">
        <f>IF(ISBLANK(tbl_task2[[คะแนนเต็ม]:[คะแนนเต็ม]]),"",(tbl_task2[158]/tbl_task2[[คะแนนเต็ม]:[คะแนนเต็ม]])*tbl_task2[[%]:[%]])</f>
        <v/>
      </c>
      <c r="LQ7" s="121" t="str">
        <f>IF(ISBLANK(tbl_task2[[คะแนนเต็ม]:[คะแนนเต็ม]]),"",(tbl_task2[159]/tbl_task2[[คะแนนเต็ม]:[คะแนนเต็ม]])*tbl_task2[[%]:[%]])</f>
        <v/>
      </c>
      <c r="LR7" s="121" t="str">
        <f>IF(ISBLANK(tbl_task2[[คะแนนเต็ม]:[คะแนนเต็ม]]),"",(tbl_task2[160]/tbl_task2[[คะแนนเต็ม]:[คะแนนเต็ม]])*tbl_task2[[%]:[%]])</f>
        <v/>
      </c>
      <c r="LS7" s="121" t="str">
        <f>IF(ISBLANK(tbl_task2[[คะแนนเต็ม]:[คะแนนเต็ม]]),"",(tbl_task2[161]/tbl_task2[[คะแนนเต็ม]:[คะแนนเต็ม]])*tbl_task2[[%]:[%]])</f>
        <v/>
      </c>
      <c r="LT7" s="121" t="str">
        <f>IF(ISBLANK(tbl_task2[[คะแนนเต็ม]:[คะแนนเต็ม]]),"",(tbl_task2[162]/tbl_task2[[คะแนนเต็ม]:[คะแนนเต็ม]])*tbl_task2[[%]:[%]])</f>
        <v/>
      </c>
      <c r="LU7" s="121" t="str">
        <f>IF(ISBLANK(tbl_task2[[คะแนนเต็ม]:[คะแนนเต็ม]]),"",(tbl_task2[163]/tbl_task2[[คะแนนเต็ม]:[คะแนนเต็ม]])*tbl_task2[[%]:[%]])</f>
        <v/>
      </c>
      <c r="LV7" s="121" t="str">
        <f>IF(ISBLANK(tbl_task2[[คะแนนเต็ม]:[คะแนนเต็ม]]),"",(tbl_task2[164]/tbl_task2[[คะแนนเต็ม]:[คะแนนเต็ม]])*tbl_task2[[%]:[%]])</f>
        <v/>
      </c>
      <c r="LW7" s="121" t="str">
        <f>IF(ISBLANK(tbl_task2[[คะแนนเต็ม]:[คะแนนเต็ม]]),"",(tbl_task2[165]/tbl_task2[[คะแนนเต็ม]:[คะแนนเต็ม]])*tbl_task2[[%]:[%]])</f>
        <v/>
      </c>
    </row>
    <row r="8" spans="1:335" ht="24.75" customHeight="1" x14ac:dyDescent="0.25">
      <c r="A8" s="24">
        <v>5</v>
      </c>
      <c r="B8" s="33"/>
      <c r="C8" s="5" t="str">
        <f>IF(ISBLANK(B8),"",VLOOKUP(B8,tbl_PLOs[],2,0))</f>
        <v/>
      </c>
      <c r="D8" s="102"/>
      <c r="E8" s="10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22"/>
      <c r="FO8" s="121" t="str">
        <f>IF(ISBLANK(tbl_task2[[คะแนนเต็ม]:[คะแนนเต็ม]]),"",(tbl_task2[1]/tbl_task2[[คะแนนเต็ม]:[คะแนนเต็ม]])*tbl_task2[[%]:[%]])</f>
        <v/>
      </c>
      <c r="FP8" s="121" t="str">
        <f>IF(ISBLANK(tbl_task2[[คะแนนเต็ม]:[คะแนนเต็ม]]),"",(tbl_task2[2]/tbl_task2[[คะแนนเต็ม]:[คะแนนเต็ม]])*tbl_task2[[%]:[%]])</f>
        <v/>
      </c>
      <c r="FQ8" s="121" t="str">
        <f>IF(ISBLANK(tbl_task2[[คะแนนเต็ม]:[คะแนนเต็ม]]),"",(tbl_task2[3]/tbl_task2[[คะแนนเต็ม]:[คะแนนเต็ม]])*tbl_task2[[%]:[%]])</f>
        <v/>
      </c>
      <c r="FR8" s="121" t="str">
        <f>IF(ISBLANK(tbl_task2[[คะแนนเต็ม]:[คะแนนเต็ม]]),"",(tbl_task2[4]/tbl_task2[[คะแนนเต็ม]:[คะแนนเต็ม]])*tbl_task2[[%]:[%]])</f>
        <v/>
      </c>
      <c r="FS8" s="121" t="str">
        <f>IF(ISBLANK(tbl_task2[[คะแนนเต็ม]:[คะแนนเต็ม]]),"",(tbl_task2[5]/tbl_task2[[คะแนนเต็ม]:[คะแนนเต็ม]])*tbl_task2[[%]:[%]])</f>
        <v/>
      </c>
      <c r="FT8" s="121" t="str">
        <f>IF(ISBLANK(tbl_task2[[คะแนนเต็ม]:[คะแนนเต็ม]]),"",(tbl_task2[6]/tbl_task2[[คะแนนเต็ม]:[คะแนนเต็ม]])*tbl_task2[[%]:[%]])</f>
        <v/>
      </c>
      <c r="FU8" s="121" t="str">
        <f>IF(ISBLANK(tbl_task2[[คะแนนเต็ม]:[คะแนนเต็ม]]),"",(tbl_task2[7]/tbl_task2[[คะแนนเต็ม]:[คะแนนเต็ม]])*tbl_task2[[%]:[%]])</f>
        <v/>
      </c>
      <c r="FV8" s="121" t="str">
        <f>IF(ISBLANK(tbl_task2[[คะแนนเต็ม]:[คะแนนเต็ม]]),"",(tbl_task2[8]/tbl_task2[[คะแนนเต็ม]:[คะแนนเต็ม]])*tbl_task2[[%]:[%]])</f>
        <v/>
      </c>
      <c r="FW8" s="121" t="str">
        <f>IF(ISBLANK(tbl_task2[[คะแนนเต็ม]:[คะแนนเต็ม]]),"",(tbl_task2[9]/tbl_task2[[คะแนนเต็ม]:[คะแนนเต็ม]])*tbl_task2[[%]:[%]])</f>
        <v/>
      </c>
      <c r="FX8" s="121" t="str">
        <f>IF(ISBLANK(tbl_task2[[คะแนนเต็ม]:[คะแนนเต็ม]]),"",(tbl_task2[10]/tbl_task2[[คะแนนเต็ม]:[คะแนนเต็ม]])*tbl_task2[[%]:[%]])</f>
        <v/>
      </c>
      <c r="FY8" s="121" t="str">
        <f>IF(ISBLANK(tbl_task2[[คะแนนเต็ม]:[คะแนนเต็ม]]),"",(tbl_task2[11]/tbl_task2[[คะแนนเต็ม]:[คะแนนเต็ม]])*tbl_task2[[%]:[%]])</f>
        <v/>
      </c>
      <c r="FZ8" s="121" t="str">
        <f>IF(ISBLANK(tbl_task2[[คะแนนเต็ม]:[คะแนนเต็ม]]),"",(tbl_task2[12]/tbl_task2[[คะแนนเต็ม]:[คะแนนเต็ม]])*tbl_task2[[%]:[%]])</f>
        <v/>
      </c>
      <c r="GA8" s="121" t="str">
        <f>IF(ISBLANK(tbl_task2[[คะแนนเต็ม]:[คะแนนเต็ม]]),"",(tbl_task2[13]/tbl_task2[[คะแนนเต็ม]:[คะแนนเต็ม]])*tbl_task2[[%]:[%]])</f>
        <v/>
      </c>
      <c r="GB8" s="121" t="str">
        <f>IF(ISBLANK(tbl_task2[[คะแนนเต็ม]:[คะแนนเต็ม]]),"",(tbl_task2[14]/tbl_task2[[คะแนนเต็ม]:[คะแนนเต็ม]])*tbl_task2[[%]:[%]])</f>
        <v/>
      </c>
      <c r="GC8" s="121" t="str">
        <f>IF(ISBLANK(tbl_task2[[คะแนนเต็ม]:[คะแนนเต็ม]]),"",(tbl_task2[15]/tbl_task2[[คะแนนเต็ม]:[คะแนนเต็ม]])*tbl_task2[[%]:[%]])</f>
        <v/>
      </c>
      <c r="GD8" s="121" t="str">
        <f>IF(ISBLANK(tbl_task2[[คะแนนเต็ม]:[คะแนนเต็ม]]),"",(tbl_task2[16]/tbl_task2[[คะแนนเต็ม]:[คะแนนเต็ม]])*tbl_task2[[%]:[%]])</f>
        <v/>
      </c>
      <c r="GE8" s="121" t="str">
        <f>IF(ISBLANK(tbl_task2[[คะแนนเต็ม]:[คะแนนเต็ม]]),"",(tbl_task2[17]/tbl_task2[[คะแนนเต็ม]:[คะแนนเต็ม]])*tbl_task2[[%]:[%]])</f>
        <v/>
      </c>
      <c r="GF8" s="121" t="str">
        <f>IF(ISBLANK(tbl_task2[[คะแนนเต็ม]:[คะแนนเต็ม]]),"",(tbl_task2[18]/tbl_task2[[คะแนนเต็ม]:[คะแนนเต็ม]])*tbl_task2[[%]:[%]])</f>
        <v/>
      </c>
      <c r="GG8" s="121" t="str">
        <f>IF(ISBLANK(tbl_task2[[คะแนนเต็ม]:[คะแนนเต็ม]]),"",(tbl_task2[19]/tbl_task2[[คะแนนเต็ม]:[คะแนนเต็ม]])*tbl_task2[[%]:[%]])</f>
        <v/>
      </c>
      <c r="GH8" s="121" t="str">
        <f>IF(ISBLANK(tbl_task2[[คะแนนเต็ม]:[คะแนนเต็ม]]),"",(tbl_task2[20]/tbl_task2[[คะแนนเต็ม]:[คะแนนเต็ม]])*tbl_task2[[%]:[%]])</f>
        <v/>
      </c>
      <c r="GI8" s="121" t="str">
        <f>IF(ISBLANK(tbl_task2[[คะแนนเต็ม]:[คะแนนเต็ม]]),"",(tbl_task2[21]/tbl_task2[[คะแนนเต็ม]:[คะแนนเต็ม]])*tbl_task2[[%]:[%]])</f>
        <v/>
      </c>
      <c r="GJ8" s="121" t="str">
        <f>IF(ISBLANK(tbl_task2[[คะแนนเต็ม]:[คะแนนเต็ม]]),"",(tbl_task2[22]/tbl_task2[[คะแนนเต็ม]:[คะแนนเต็ม]])*tbl_task2[[%]:[%]])</f>
        <v/>
      </c>
      <c r="GK8" s="121" t="str">
        <f>IF(ISBLANK(tbl_task2[[คะแนนเต็ม]:[คะแนนเต็ม]]),"",(tbl_task2[23]/tbl_task2[[คะแนนเต็ม]:[คะแนนเต็ม]])*tbl_task2[[%]:[%]])</f>
        <v/>
      </c>
      <c r="GL8" s="121" t="str">
        <f>IF(ISBLANK(tbl_task2[[คะแนนเต็ม]:[คะแนนเต็ม]]),"",(tbl_task2[24]/tbl_task2[[คะแนนเต็ม]:[คะแนนเต็ม]])*tbl_task2[[%]:[%]])</f>
        <v/>
      </c>
      <c r="GM8" s="121" t="str">
        <f>IF(ISBLANK(tbl_task2[[คะแนนเต็ม]:[คะแนนเต็ม]]),"",(tbl_task2[25]/tbl_task2[[คะแนนเต็ม]:[คะแนนเต็ม]])*tbl_task2[[%]:[%]])</f>
        <v/>
      </c>
      <c r="GN8" s="121" t="str">
        <f>IF(ISBLANK(tbl_task2[[คะแนนเต็ม]:[คะแนนเต็ม]]),"",(tbl_task2[26]/tbl_task2[[คะแนนเต็ม]:[คะแนนเต็ม]])*tbl_task2[[%]:[%]])</f>
        <v/>
      </c>
      <c r="GO8" s="121" t="str">
        <f>IF(ISBLANK(tbl_task2[[คะแนนเต็ม]:[คะแนนเต็ม]]),"",(tbl_task2[27]/tbl_task2[[คะแนนเต็ม]:[คะแนนเต็ม]])*tbl_task2[[%]:[%]])</f>
        <v/>
      </c>
      <c r="GP8" s="121" t="str">
        <f>IF(ISBLANK(tbl_task2[[คะแนนเต็ม]:[คะแนนเต็ม]]),"",(tbl_task2[28]/tbl_task2[[คะแนนเต็ม]:[คะแนนเต็ม]])*tbl_task2[[%]:[%]])</f>
        <v/>
      </c>
      <c r="GQ8" s="121" t="str">
        <f>IF(ISBLANK(tbl_task2[[คะแนนเต็ม]:[คะแนนเต็ม]]),"",(tbl_task2[29]/tbl_task2[[คะแนนเต็ม]:[คะแนนเต็ม]])*tbl_task2[[%]:[%]])</f>
        <v/>
      </c>
      <c r="GR8" s="121" t="str">
        <f>IF(ISBLANK(tbl_task2[[คะแนนเต็ม]:[คะแนนเต็ม]]),"",(tbl_task2[30]/tbl_task2[[คะแนนเต็ม]:[คะแนนเต็ม]])*tbl_task2[[%]:[%]])</f>
        <v/>
      </c>
      <c r="GS8" s="121" t="str">
        <f>IF(ISBLANK(tbl_task2[[คะแนนเต็ม]:[คะแนนเต็ม]]),"",(tbl_task2[31]/tbl_task2[[คะแนนเต็ม]:[คะแนนเต็ม]])*tbl_task2[[%]:[%]])</f>
        <v/>
      </c>
      <c r="GT8" s="121" t="str">
        <f>IF(ISBLANK(tbl_task2[[คะแนนเต็ม]:[คะแนนเต็ม]]),"",(tbl_task2[32]/tbl_task2[[คะแนนเต็ม]:[คะแนนเต็ม]])*tbl_task2[[%]:[%]])</f>
        <v/>
      </c>
      <c r="GU8" s="121" t="str">
        <f>IF(ISBLANK(tbl_task2[[คะแนนเต็ม]:[คะแนนเต็ม]]),"",(tbl_task2[33]/tbl_task2[[คะแนนเต็ม]:[คะแนนเต็ม]])*tbl_task2[[%]:[%]])</f>
        <v/>
      </c>
      <c r="GV8" s="121" t="str">
        <f>IF(ISBLANK(tbl_task2[[คะแนนเต็ม]:[คะแนนเต็ม]]),"",(tbl_task2[34]/tbl_task2[[คะแนนเต็ม]:[คะแนนเต็ม]])*tbl_task2[[%]:[%]])</f>
        <v/>
      </c>
      <c r="GW8" s="121" t="str">
        <f>IF(ISBLANK(tbl_task2[[คะแนนเต็ม]:[คะแนนเต็ม]]),"",(tbl_task2[35]/tbl_task2[[คะแนนเต็ม]:[คะแนนเต็ม]])*tbl_task2[[%]:[%]])</f>
        <v/>
      </c>
      <c r="GX8" s="121" t="str">
        <f>IF(ISBLANK(tbl_task2[[คะแนนเต็ม]:[คะแนนเต็ม]]),"",(tbl_task2[36]/tbl_task2[[คะแนนเต็ม]:[คะแนนเต็ม]])*tbl_task2[[%]:[%]])</f>
        <v/>
      </c>
      <c r="GY8" s="121" t="str">
        <f>IF(ISBLANK(tbl_task2[[คะแนนเต็ม]:[คะแนนเต็ม]]),"",(tbl_task2[37]/tbl_task2[[คะแนนเต็ม]:[คะแนนเต็ม]])*tbl_task2[[%]:[%]])</f>
        <v/>
      </c>
      <c r="GZ8" s="121" t="str">
        <f>IF(ISBLANK(tbl_task2[[คะแนนเต็ม]:[คะแนนเต็ม]]),"",(tbl_task2[38]/tbl_task2[[คะแนนเต็ม]:[คะแนนเต็ม]])*tbl_task2[[%]:[%]])</f>
        <v/>
      </c>
      <c r="HA8" s="121" t="str">
        <f>IF(ISBLANK(tbl_task2[[คะแนนเต็ม]:[คะแนนเต็ม]]),"",(tbl_task2[39]/tbl_task2[[คะแนนเต็ม]:[คะแนนเต็ม]])*tbl_task2[[%]:[%]])</f>
        <v/>
      </c>
      <c r="HB8" s="121" t="str">
        <f>IF(ISBLANK(tbl_task2[[คะแนนเต็ม]:[คะแนนเต็ม]]),"",(tbl_task2[40]/tbl_task2[[คะแนนเต็ม]:[คะแนนเต็ม]])*tbl_task2[[%]:[%]])</f>
        <v/>
      </c>
      <c r="HC8" s="121" t="str">
        <f>IF(ISBLANK(tbl_task2[[คะแนนเต็ม]:[คะแนนเต็ม]]),"",(tbl_task2[41]/tbl_task2[[คะแนนเต็ม]:[คะแนนเต็ม]])*tbl_task2[[%]:[%]])</f>
        <v/>
      </c>
      <c r="HD8" s="121" t="str">
        <f>IF(ISBLANK(tbl_task2[[คะแนนเต็ม]:[คะแนนเต็ม]]),"",(tbl_task2[42]/tbl_task2[[คะแนนเต็ม]:[คะแนนเต็ม]])*tbl_task2[[%]:[%]])</f>
        <v/>
      </c>
      <c r="HE8" s="121" t="str">
        <f>IF(ISBLANK(tbl_task2[[คะแนนเต็ม]:[คะแนนเต็ม]]),"",(tbl_task2[43]/tbl_task2[[คะแนนเต็ม]:[คะแนนเต็ม]])*tbl_task2[[%]:[%]])</f>
        <v/>
      </c>
      <c r="HF8" s="121" t="str">
        <f>IF(ISBLANK(tbl_task2[[คะแนนเต็ม]:[คะแนนเต็ม]]),"",(tbl_task2[44]/tbl_task2[[คะแนนเต็ม]:[คะแนนเต็ม]])*tbl_task2[[%]:[%]])</f>
        <v/>
      </c>
      <c r="HG8" s="121" t="str">
        <f>IF(ISBLANK(tbl_task2[[คะแนนเต็ม]:[คะแนนเต็ม]]),"",(tbl_task2[45]/tbl_task2[[คะแนนเต็ม]:[คะแนนเต็ม]])*tbl_task2[[%]:[%]])</f>
        <v/>
      </c>
      <c r="HH8" s="121" t="str">
        <f>IF(ISBLANK(tbl_task2[[คะแนนเต็ม]:[คะแนนเต็ม]]),"",(tbl_task2[46]/tbl_task2[[คะแนนเต็ม]:[คะแนนเต็ม]])*tbl_task2[[%]:[%]])</f>
        <v/>
      </c>
      <c r="HI8" s="121" t="str">
        <f>IF(ISBLANK(tbl_task2[[คะแนนเต็ม]:[คะแนนเต็ม]]),"",(tbl_task2[47]/tbl_task2[[คะแนนเต็ม]:[คะแนนเต็ม]])*tbl_task2[[%]:[%]])</f>
        <v/>
      </c>
      <c r="HJ8" s="121" t="str">
        <f>IF(ISBLANK(tbl_task2[[คะแนนเต็ม]:[คะแนนเต็ม]]),"",(tbl_task2[48]/tbl_task2[[คะแนนเต็ม]:[คะแนนเต็ม]])*tbl_task2[[%]:[%]])</f>
        <v/>
      </c>
      <c r="HK8" s="121" t="str">
        <f>IF(ISBLANK(tbl_task2[[คะแนนเต็ม]:[คะแนนเต็ม]]),"",(tbl_task2[49]/tbl_task2[[คะแนนเต็ม]:[คะแนนเต็ม]])*tbl_task2[[%]:[%]])</f>
        <v/>
      </c>
      <c r="HL8" s="121" t="str">
        <f>IF(ISBLANK(tbl_task2[[คะแนนเต็ม]:[คะแนนเต็ม]]),"",(tbl_task2[50]/tbl_task2[[คะแนนเต็ม]:[คะแนนเต็ม]])*tbl_task2[[%]:[%]])</f>
        <v/>
      </c>
      <c r="HM8" s="121" t="str">
        <f>IF(ISBLANK(tbl_task2[[คะแนนเต็ม]:[คะแนนเต็ม]]),"",(tbl_task2[51]/tbl_task2[[คะแนนเต็ม]:[คะแนนเต็ม]])*tbl_task2[[%]:[%]])</f>
        <v/>
      </c>
      <c r="HN8" s="121" t="str">
        <f>IF(ISBLANK(tbl_task2[[คะแนนเต็ม]:[คะแนนเต็ม]]),"",(tbl_task2[52]/tbl_task2[[คะแนนเต็ม]:[คะแนนเต็ม]])*tbl_task2[[%]:[%]])</f>
        <v/>
      </c>
      <c r="HO8" s="121" t="str">
        <f>IF(ISBLANK(tbl_task2[[คะแนนเต็ม]:[คะแนนเต็ม]]),"",(tbl_task2[53]/tbl_task2[[คะแนนเต็ม]:[คะแนนเต็ม]])*tbl_task2[[%]:[%]])</f>
        <v/>
      </c>
      <c r="HP8" s="121" t="str">
        <f>IF(ISBLANK(tbl_task2[[คะแนนเต็ม]:[คะแนนเต็ม]]),"",(tbl_task2[54]/tbl_task2[[คะแนนเต็ม]:[คะแนนเต็ม]])*tbl_task2[[%]:[%]])</f>
        <v/>
      </c>
      <c r="HQ8" s="121" t="str">
        <f>IF(ISBLANK(tbl_task2[[คะแนนเต็ม]:[คะแนนเต็ม]]),"",(tbl_task2[55]/tbl_task2[[คะแนนเต็ม]:[คะแนนเต็ม]])*tbl_task2[[%]:[%]])</f>
        <v/>
      </c>
      <c r="HR8" s="121" t="str">
        <f>IF(ISBLANK(tbl_task2[[คะแนนเต็ม]:[คะแนนเต็ม]]),"",(tbl_task2[56]/tbl_task2[[คะแนนเต็ม]:[คะแนนเต็ม]])*tbl_task2[[%]:[%]])</f>
        <v/>
      </c>
      <c r="HS8" s="121" t="str">
        <f>IF(ISBLANK(tbl_task2[[คะแนนเต็ม]:[คะแนนเต็ม]]),"",(tbl_task2[57]/tbl_task2[[คะแนนเต็ม]:[คะแนนเต็ม]])*tbl_task2[[%]:[%]])</f>
        <v/>
      </c>
      <c r="HT8" s="121" t="str">
        <f>IF(ISBLANK(tbl_task2[[คะแนนเต็ม]:[คะแนนเต็ม]]),"",(tbl_task2[58]/tbl_task2[[คะแนนเต็ม]:[คะแนนเต็ม]])*tbl_task2[[%]:[%]])</f>
        <v/>
      </c>
      <c r="HU8" s="121" t="str">
        <f>IF(ISBLANK(tbl_task2[[คะแนนเต็ม]:[คะแนนเต็ม]]),"",(tbl_task2[59]/tbl_task2[[คะแนนเต็ม]:[คะแนนเต็ม]])*tbl_task2[[%]:[%]])</f>
        <v/>
      </c>
      <c r="HV8" s="121" t="str">
        <f>IF(ISBLANK(tbl_task2[[คะแนนเต็ม]:[คะแนนเต็ม]]),"",(tbl_task2[60]/tbl_task2[[คะแนนเต็ม]:[คะแนนเต็ม]])*tbl_task2[[%]:[%]])</f>
        <v/>
      </c>
      <c r="HW8" s="121" t="str">
        <f>IF(ISBLANK(tbl_task2[[คะแนนเต็ม]:[คะแนนเต็ม]]),"",(tbl_task2[61]/tbl_task2[[คะแนนเต็ม]:[คะแนนเต็ม]])*tbl_task2[[%]:[%]])</f>
        <v/>
      </c>
      <c r="HX8" s="121" t="str">
        <f>IF(ISBLANK(tbl_task2[[คะแนนเต็ม]:[คะแนนเต็ม]]),"",(tbl_task2[62]/tbl_task2[[คะแนนเต็ม]:[คะแนนเต็ม]])*tbl_task2[[%]:[%]])</f>
        <v/>
      </c>
      <c r="HY8" s="121" t="str">
        <f>IF(ISBLANK(tbl_task2[[คะแนนเต็ม]:[คะแนนเต็ม]]),"",(tbl_task2[63]/tbl_task2[[คะแนนเต็ม]:[คะแนนเต็ม]])*tbl_task2[[%]:[%]])</f>
        <v/>
      </c>
      <c r="HZ8" s="121" t="str">
        <f>IF(ISBLANK(tbl_task2[[คะแนนเต็ม]:[คะแนนเต็ม]]),"",(tbl_task2[64]/tbl_task2[[คะแนนเต็ม]:[คะแนนเต็ม]])*tbl_task2[[%]:[%]])</f>
        <v/>
      </c>
      <c r="IA8" s="121" t="str">
        <f>IF(ISBLANK(tbl_task2[[คะแนนเต็ม]:[คะแนนเต็ม]]),"",(tbl_task2[65]/tbl_task2[[คะแนนเต็ม]:[คะแนนเต็ม]])*tbl_task2[[%]:[%]])</f>
        <v/>
      </c>
      <c r="IB8" s="121" t="str">
        <f>IF(ISBLANK(tbl_task2[[คะแนนเต็ม]:[คะแนนเต็ม]]),"",(tbl_task2[66]/tbl_task2[[คะแนนเต็ม]:[คะแนนเต็ม]])*tbl_task2[[%]:[%]])</f>
        <v/>
      </c>
      <c r="IC8" s="121" t="str">
        <f>IF(ISBLANK(tbl_task2[[คะแนนเต็ม]:[คะแนนเต็ม]]),"",(tbl_task2[67]/tbl_task2[[คะแนนเต็ม]:[คะแนนเต็ม]])*tbl_task2[[%]:[%]])</f>
        <v/>
      </c>
      <c r="ID8" s="121" t="str">
        <f>IF(ISBLANK(tbl_task2[[คะแนนเต็ม]:[คะแนนเต็ม]]),"",(tbl_task2[68]/tbl_task2[[คะแนนเต็ม]:[คะแนนเต็ม]])*tbl_task2[[%]:[%]])</f>
        <v/>
      </c>
      <c r="IE8" s="121" t="str">
        <f>IF(ISBLANK(tbl_task2[[คะแนนเต็ม]:[คะแนนเต็ม]]),"",(tbl_task2[69]/tbl_task2[[คะแนนเต็ม]:[คะแนนเต็ม]])*tbl_task2[[%]:[%]])</f>
        <v/>
      </c>
      <c r="IF8" s="121" t="str">
        <f>IF(ISBLANK(tbl_task2[[คะแนนเต็ม]:[คะแนนเต็ม]]),"",(tbl_task2[70]/tbl_task2[[คะแนนเต็ม]:[คะแนนเต็ม]])*tbl_task2[[%]:[%]])</f>
        <v/>
      </c>
      <c r="IG8" s="121" t="str">
        <f>IF(ISBLANK(tbl_task2[[คะแนนเต็ม]:[คะแนนเต็ม]]),"",(tbl_task2[71]/tbl_task2[[คะแนนเต็ม]:[คะแนนเต็ม]])*tbl_task2[[%]:[%]])</f>
        <v/>
      </c>
      <c r="IH8" s="121" t="str">
        <f>IF(ISBLANK(tbl_task2[[คะแนนเต็ม]:[คะแนนเต็ม]]),"",(tbl_task2[72]/tbl_task2[[คะแนนเต็ม]:[คะแนนเต็ม]])*tbl_task2[[%]:[%]])</f>
        <v/>
      </c>
      <c r="II8" s="121" t="str">
        <f>IF(ISBLANK(tbl_task2[[คะแนนเต็ม]:[คะแนนเต็ม]]),"",(tbl_task2[73]/tbl_task2[[คะแนนเต็ม]:[คะแนนเต็ม]])*tbl_task2[[%]:[%]])</f>
        <v/>
      </c>
      <c r="IJ8" s="121" t="str">
        <f>IF(ISBLANK(tbl_task2[[คะแนนเต็ม]:[คะแนนเต็ม]]),"",(tbl_task2[74]/tbl_task2[[คะแนนเต็ม]:[คะแนนเต็ม]])*tbl_task2[[%]:[%]])</f>
        <v/>
      </c>
      <c r="IK8" s="121" t="str">
        <f>IF(ISBLANK(tbl_task2[[คะแนนเต็ม]:[คะแนนเต็ม]]),"",(tbl_task2[75]/tbl_task2[[คะแนนเต็ม]:[คะแนนเต็ม]])*tbl_task2[[%]:[%]])</f>
        <v/>
      </c>
      <c r="IL8" s="121" t="str">
        <f>IF(ISBLANK(tbl_task2[[คะแนนเต็ม]:[คะแนนเต็ม]]),"",(tbl_task2[76]/tbl_task2[[คะแนนเต็ม]:[คะแนนเต็ม]])*tbl_task2[[%]:[%]])</f>
        <v/>
      </c>
      <c r="IM8" s="121" t="str">
        <f>IF(ISBLANK(tbl_task2[[คะแนนเต็ม]:[คะแนนเต็ม]]),"",(tbl_task2[77]/tbl_task2[[คะแนนเต็ม]:[คะแนนเต็ม]])*tbl_task2[[%]:[%]])</f>
        <v/>
      </c>
      <c r="IN8" s="121" t="str">
        <f>IF(ISBLANK(tbl_task2[[คะแนนเต็ม]:[คะแนนเต็ม]]),"",(tbl_task2[78]/tbl_task2[[คะแนนเต็ม]:[คะแนนเต็ม]])*tbl_task2[[%]:[%]])</f>
        <v/>
      </c>
      <c r="IO8" s="121" t="str">
        <f>IF(ISBLANK(tbl_task2[[คะแนนเต็ม]:[คะแนนเต็ม]]),"",(tbl_task2[79]/tbl_task2[[คะแนนเต็ม]:[คะแนนเต็ม]])*tbl_task2[[%]:[%]])</f>
        <v/>
      </c>
      <c r="IP8" s="121" t="str">
        <f>IF(ISBLANK(tbl_task2[[คะแนนเต็ม]:[คะแนนเต็ม]]),"",(tbl_task2[80]/tbl_task2[[คะแนนเต็ม]:[คะแนนเต็ม]])*tbl_task2[[%]:[%]])</f>
        <v/>
      </c>
      <c r="IQ8" s="121" t="str">
        <f>IF(ISBLANK(tbl_task2[[คะแนนเต็ม]:[คะแนนเต็ม]]),"",(tbl_task2[81]/tbl_task2[[คะแนนเต็ม]:[คะแนนเต็ม]])*tbl_task2[[%]:[%]])</f>
        <v/>
      </c>
      <c r="IR8" s="121" t="str">
        <f>IF(ISBLANK(tbl_task2[[คะแนนเต็ม]:[คะแนนเต็ม]]),"",(tbl_task2[82]/tbl_task2[[คะแนนเต็ม]:[คะแนนเต็ม]])*tbl_task2[[%]:[%]])</f>
        <v/>
      </c>
      <c r="IS8" s="121" t="str">
        <f>IF(ISBLANK(tbl_task2[[คะแนนเต็ม]:[คะแนนเต็ม]]),"",(tbl_task2[83]/tbl_task2[[คะแนนเต็ม]:[คะแนนเต็ม]])*tbl_task2[[%]:[%]])</f>
        <v/>
      </c>
      <c r="IT8" s="121" t="str">
        <f>IF(ISBLANK(tbl_task2[[คะแนนเต็ม]:[คะแนนเต็ม]]),"",(tbl_task2[84]/tbl_task2[[คะแนนเต็ม]:[คะแนนเต็ม]])*tbl_task2[[%]:[%]])</f>
        <v/>
      </c>
      <c r="IU8" s="121" t="str">
        <f>IF(ISBLANK(tbl_task2[[คะแนนเต็ม]:[คะแนนเต็ม]]),"",(tbl_task2[85]/tbl_task2[[คะแนนเต็ม]:[คะแนนเต็ม]])*tbl_task2[[%]:[%]])</f>
        <v/>
      </c>
      <c r="IV8" s="121" t="str">
        <f>IF(ISBLANK(tbl_task2[[คะแนนเต็ม]:[คะแนนเต็ม]]),"",(tbl_task2[86]/tbl_task2[[คะแนนเต็ม]:[คะแนนเต็ม]])*tbl_task2[[%]:[%]])</f>
        <v/>
      </c>
      <c r="IW8" s="121" t="str">
        <f>IF(ISBLANK(tbl_task2[[คะแนนเต็ม]:[คะแนนเต็ม]]),"",(tbl_task2[87]/tbl_task2[[คะแนนเต็ม]:[คะแนนเต็ม]])*tbl_task2[[%]:[%]])</f>
        <v/>
      </c>
      <c r="IX8" s="121" t="str">
        <f>IF(ISBLANK(tbl_task2[[คะแนนเต็ม]:[คะแนนเต็ม]]),"",(tbl_task2[88]/tbl_task2[[คะแนนเต็ม]:[คะแนนเต็ม]])*tbl_task2[[%]:[%]])</f>
        <v/>
      </c>
      <c r="IY8" s="121" t="str">
        <f>IF(ISBLANK(tbl_task2[[คะแนนเต็ม]:[คะแนนเต็ม]]),"",(tbl_task2[89]/tbl_task2[[คะแนนเต็ม]:[คะแนนเต็ม]])*tbl_task2[[%]:[%]])</f>
        <v/>
      </c>
      <c r="IZ8" s="121" t="str">
        <f>IF(ISBLANK(tbl_task2[[คะแนนเต็ม]:[คะแนนเต็ม]]),"",(tbl_task2[90]/tbl_task2[[คะแนนเต็ม]:[คะแนนเต็ม]])*tbl_task2[[%]:[%]])</f>
        <v/>
      </c>
      <c r="JA8" s="121" t="str">
        <f>IF(ISBLANK(tbl_task2[[คะแนนเต็ม]:[คะแนนเต็ม]]),"",(tbl_task2[91]/tbl_task2[[คะแนนเต็ม]:[คะแนนเต็ม]])*tbl_task2[[%]:[%]])</f>
        <v/>
      </c>
      <c r="JB8" s="121" t="str">
        <f>IF(ISBLANK(tbl_task2[[คะแนนเต็ม]:[คะแนนเต็ม]]),"",(tbl_task2[92]/tbl_task2[[คะแนนเต็ม]:[คะแนนเต็ม]])*tbl_task2[[%]:[%]])</f>
        <v/>
      </c>
      <c r="JC8" s="121" t="str">
        <f>IF(ISBLANK(tbl_task2[[คะแนนเต็ม]:[คะแนนเต็ม]]),"",(tbl_task2[93]/tbl_task2[[คะแนนเต็ม]:[คะแนนเต็ม]])*tbl_task2[[%]:[%]])</f>
        <v/>
      </c>
      <c r="JD8" s="121" t="str">
        <f>IF(ISBLANK(tbl_task2[[คะแนนเต็ม]:[คะแนนเต็ม]]),"",(tbl_task2[94]/tbl_task2[[คะแนนเต็ม]:[คะแนนเต็ม]])*tbl_task2[[%]:[%]])</f>
        <v/>
      </c>
      <c r="JE8" s="121" t="str">
        <f>IF(ISBLANK(tbl_task2[[คะแนนเต็ม]:[คะแนนเต็ม]]),"",(tbl_task2[95]/tbl_task2[[คะแนนเต็ม]:[คะแนนเต็ม]])*tbl_task2[[%]:[%]])</f>
        <v/>
      </c>
      <c r="JF8" s="121" t="str">
        <f>IF(ISBLANK(tbl_task2[[คะแนนเต็ม]:[คะแนนเต็ม]]),"",(tbl_task2[96]/tbl_task2[[คะแนนเต็ม]:[คะแนนเต็ม]])*tbl_task2[[%]:[%]])</f>
        <v/>
      </c>
      <c r="JG8" s="121" t="str">
        <f>IF(ISBLANK(tbl_task2[[คะแนนเต็ม]:[คะแนนเต็ม]]),"",(tbl_task2[97]/tbl_task2[[คะแนนเต็ม]:[คะแนนเต็ม]])*tbl_task2[[%]:[%]])</f>
        <v/>
      </c>
      <c r="JH8" s="121" t="str">
        <f>IF(ISBLANK(tbl_task2[[คะแนนเต็ม]:[คะแนนเต็ม]]),"",(tbl_task2[98]/tbl_task2[[คะแนนเต็ม]:[คะแนนเต็ม]])*tbl_task2[[%]:[%]])</f>
        <v/>
      </c>
      <c r="JI8" s="121" t="str">
        <f>IF(ISBLANK(tbl_task2[[คะแนนเต็ม]:[คะแนนเต็ม]]),"",(tbl_task2[99]/tbl_task2[[คะแนนเต็ม]:[คะแนนเต็ม]])*tbl_task2[[%]:[%]])</f>
        <v/>
      </c>
      <c r="JJ8" s="121" t="str">
        <f>IF(ISBLANK(tbl_task2[[คะแนนเต็ม]:[คะแนนเต็ม]]),"",(tbl_task2[100]/tbl_task2[[คะแนนเต็ม]:[คะแนนเต็ม]])*tbl_task2[[%]:[%]])</f>
        <v/>
      </c>
      <c r="JK8" s="121" t="str">
        <f>IF(ISBLANK(tbl_task2[[คะแนนเต็ม]:[คะแนนเต็ม]]),"",(tbl_task2[101]/tbl_task2[[คะแนนเต็ม]:[คะแนนเต็ม]])*tbl_task2[[%]:[%]])</f>
        <v/>
      </c>
      <c r="JL8" s="121" t="str">
        <f>IF(ISBLANK(tbl_task2[[คะแนนเต็ม]:[คะแนนเต็ม]]),"",(tbl_task2[102]/tbl_task2[[คะแนนเต็ม]:[คะแนนเต็ม]])*tbl_task2[[%]:[%]])</f>
        <v/>
      </c>
      <c r="JM8" s="121" t="str">
        <f>IF(ISBLANK(tbl_task2[[คะแนนเต็ม]:[คะแนนเต็ม]]),"",(tbl_task2[103]/tbl_task2[[คะแนนเต็ม]:[คะแนนเต็ม]])*tbl_task2[[%]:[%]])</f>
        <v/>
      </c>
      <c r="JN8" s="121" t="str">
        <f>IF(ISBLANK(tbl_task2[[คะแนนเต็ม]:[คะแนนเต็ม]]),"",(tbl_task2[104]/tbl_task2[[คะแนนเต็ม]:[คะแนนเต็ม]])*tbl_task2[[%]:[%]])</f>
        <v/>
      </c>
      <c r="JO8" s="121" t="str">
        <f>IF(ISBLANK(tbl_task2[[คะแนนเต็ม]:[คะแนนเต็ม]]),"",(tbl_task2[105]/tbl_task2[[คะแนนเต็ม]:[คะแนนเต็ม]])*tbl_task2[[%]:[%]])</f>
        <v/>
      </c>
      <c r="JP8" s="121" t="str">
        <f>IF(ISBLANK(tbl_task2[[คะแนนเต็ม]:[คะแนนเต็ม]]),"",(tbl_task2[106]/tbl_task2[[คะแนนเต็ม]:[คะแนนเต็ม]])*tbl_task2[[%]:[%]])</f>
        <v/>
      </c>
      <c r="JQ8" s="121" t="str">
        <f>IF(ISBLANK(tbl_task2[[คะแนนเต็ม]:[คะแนนเต็ม]]),"",(tbl_task2[107]/tbl_task2[[คะแนนเต็ม]:[คะแนนเต็ม]])*tbl_task2[[%]:[%]])</f>
        <v/>
      </c>
      <c r="JR8" s="121" t="str">
        <f>IF(ISBLANK(tbl_task2[[คะแนนเต็ม]:[คะแนนเต็ม]]),"",(tbl_task2[108]/tbl_task2[[คะแนนเต็ม]:[คะแนนเต็ม]])*tbl_task2[[%]:[%]])</f>
        <v/>
      </c>
      <c r="JS8" s="121" t="str">
        <f>IF(ISBLANK(tbl_task2[[คะแนนเต็ม]:[คะแนนเต็ม]]),"",(tbl_task2[109]/tbl_task2[[คะแนนเต็ม]:[คะแนนเต็ม]])*tbl_task2[[%]:[%]])</f>
        <v/>
      </c>
      <c r="JT8" s="121" t="str">
        <f>IF(ISBLANK(tbl_task2[[คะแนนเต็ม]:[คะแนนเต็ม]]),"",(tbl_task2[110]/tbl_task2[[คะแนนเต็ม]:[คะแนนเต็ม]])*tbl_task2[[%]:[%]])</f>
        <v/>
      </c>
      <c r="JU8" s="121" t="str">
        <f>IF(ISBLANK(tbl_task2[[คะแนนเต็ม]:[คะแนนเต็ม]]),"",(tbl_task2[111]/tbl_task2[[คะแนนเต็ม]:[คะแนนเต็ม]])*tbl_task2[[%]:[%]])</f>
        <v/>
      </c>
      <c r="JV8" s="121" t="str">
        <f>IF(ISBLANK(tbl_task2[[คะแนนเต็ม]:[คะแนนเต็ม]]),"",(tbl_task2[112]/tbl_task2[[คะแนนเต็ม]:[คะแนนเต็ม]])*tbl_task2[[%]:[%]])</f>
        <v/>
      </c>
      <c r="JW8" s="121" t="str">
        <f>IF(ISBLANK(tbl_task2[[คะแนนเต็ม]:[คะแนนเต็ม]]),"",(tbl_task2[113]/tbl_task2[[คะแนนเต็ม]:[คะแนนเต็ม]])*tbl_task2[[%]:[%]])</f>
        <v/>
      </c>
      <c r="JX8" s="121" t="str">
        <f>IF(ISBLANK(tbl_task2[[คะแนนเต็ม]:[คะแนนเต็ม]]),"",(tbl_task2[114]/tbl_task2[[คะแนนเต็ม]:[คะแนนเต็ม]])*tbl_task2[[%]:[%]])</f>
        <v/>
      </c>
      <c r="JY8" s="121" t="str">
        <f>IF(ISBLANK(tbl_task2[[คะแนนเต็ม]:[คะแนนเต็ม]]),"",(tbl_task2[115]/tbl_task2[[คะแนนเต็ม]:[คะแนนเต็ม]])*tbl_task2[[%]:[%]])</f>
        <v/>
      </c>
      <c r="JZ8" s="121" t="str">
        <f>IF(ISBLANK(tbl_task2[[คะแนนเต็ม]:[คะแนนเต็ม]]),"",(tbl_task2[116]/tbl_task2[[คะแนนเต็ม]:[คะแนนเต็ม]])*tbl_task2[[%]:[%]])</f>
        <v/>
      </c>
      <c r="KA8" s="121" t="str">
        <f>IF(ISBLANK(tbl_task2[[คะแนนเต็ม]:[คะแนนเต็ม]]),"",(tbl_task2[117]/tbl_task2[[คะแนนเต็ม]:[คะแนนเต็ม]])*tbl_task2[[%]:[%]])</f>
        <v/>
      </c>
      <c r="KB8" s="121" t="str">
        <f>IF(ISBLANK(tbl_task2[[คะแนนเต็ม]:[คะแนนเต็ม]]),"",(tbl_task2[118]/tbl_task2[[คะแนนเต็ม]:[คะแนนเต็ม]])*tbl_task2[[%]:[%]])</f>
        <v/>
      </c>
      <c r="KC8" s="121" t="str">
        <f>IF(ISBLANK(tbl_task2[[คะแนนเต็ม]:[คะแนนเต็ม]]),"",(tbl_task2[119]/tbl_task2[[คะแนนเต็ม]:[คะแนนเต็ม]])*tbl_task2[[%]:[%]])</f>
        <v/>
      </c>
      <c r="KD8" s="121" t="str">
        <f>IF(ISBLANK(tbl_task2[[คะแนนเต็ม]:[คะแนนเต็ม]]),"",(tbl_task2[120]/tbl_task2[[คะแนนเต็ม]:[คะแนนเต็ม]])*tbl_task2[[%]:[%]])</f>
        <v/>
      </c>
      <c r="KE8" s="121" t="str">
        <f>IF(ISBLANK(tbl_task2[[คะแนนเต็ม]:[คะแนนเต็ม]]),"",(tbl_task2[121]/tbl_task2[[คะแนนเต็ม]:[คะแนนเต็ม]])*tbl_task2[[%]:[%]])</f>
        <v/>
      </c>
      <c r="KF8" s="121" t="str">
        <f>IF(ISBLANK(tbl_task2[[คะแนนเต็ม]:[คะแนนเต็ม]]),"",(tbl_task2[122]/tbl_task2[[คะแนนเต็ม]:[คะแนนเต็ม]])*tbl_task2[[%]:[%]])</f>
        <v/>
      </c>
      <c r="KG8" s="121" t="str">
        <f>IF(ISBLANK(tbl_task2[[คะแนนเต็ม]:[คะแนนเต็ม]]),"",(tbl_task2[123]/tbl_task2[[คะแนนเต็ม]:[คะแนนเต็ม]])*tbl_task2[[%]:[%]])</f>
        <v/>
      </c>
      <c r="KH8" s="121" t="str">
        <f>IF(ISBLANK(tbl_task2[[คะแนนเต็ม]:[คะแนนเต็ม]]),"",(tbl_task2[124]/tbl_task2[[คะแนนเต็ม]:[คะแนนเต็ม]])*tbl_task2[[%]:[%]])</f>
        <v/>
      </c>
      <c r="KI8" s="121" t="str">
        <f>IF(ISBLANK(tbl_task2[[คะแนนเต็ม]:[คะแนนเต็ม]]),"",(tbl_task2[125]/tbl_task2[[คะแนนเต็ม]:[คะแนนเต็ม]])*tbl_task2[[%]:[%]])</f>
        <v/>
      </c>
      <c r="KJ8" s="121" t="str">
        <f>IF(ISBLANK(tbl_task2[[คะแนนเต็ม]:[คะแนนเต็ม]]),"",(tbl_task2[126]/tbl_task2[[คะแนนเต็ม]:[คะแนนเต็ม]])*tbl_task2[[%]:[%]])</f>
        <v/>
      </c>
      <c r="KK8" s="121" t="str">
        <f>IF(ISBLANK(tbl_task2[[คะแนนเต็ม]:[คะแนนเต็ม]]),"",(tbl_task2[127]/tbl_task2[[คะแนนเต็ม]:[คะแนนเต็ม]])*tbl_task2[[%]:[%]])</f>
        <v/>
      </c>
      <c r="KL8" s="121" t="str">
        <f>IF(ISBLANK(tbl_task2[[คะแนนเต็ม]:[คะแนนเต็ม]]),"",(tbl_task2[128]/tbl_task2[[คะแนนเต็ม]:[คะแนนเต็ม]])*tbl_task2[[%]:[%]])</f>
        <v/>
      </c>
      <c r="KM8" s="121" t="str">
        <f>IF(ISBLANK(tbl_task2[[คะแนนเต็ม]:[คะแนนเต็ม]]),"",(tbl_task2[129]/tbl_task2[[คะแนนเต็ม]:[คะแนนเต็ม]])*tbl_task2[[%]:[%]])</f>
        <v/>
      </c>
      <c r="KN8" s="121" t="str">
        <f>IF(ISBLANK(tbl_task2[[คะแนนเต็ม]:[คะแนนเต็ม]]),"",(tbl_task2[130]/tbl_task2[[คะแนนเต็ม]:[คะแนนเต็ม]])*tbl_task2[[%]:[%]])</f>
        <v/>
      </c>
      <c r="KO8" s="121" t="str">
        <f>IF(ISBLANK(tbl_task2[[คะแนนเต็ม]:[คะแนนเต็ม]]),"",(tbl_task2[131]/tbl_task2[[คะแนนเต็ม]:[คะแนนเต็ม]])*tbl_task2[[%]:[%]])</f>
        <v/>
      </c>
      <c r="KP8" s="121" t="str">
        <f>IF(ISBLANK(tbl_task2[[คะแนนเต็ม]:[คะแนนเต็ม]]),"",(tbl_task2[132]/tbl_task2[[คะแนนเต็ม]:[คะแนนเต็ม]])*tbl_task2[[%]:[%]])</f>
        <v/>
      </c>
      <c r="KQ8" s="121" t="str">
        <f>IF(ISBLANK(tbl_task2[[คะแนนเต็ม]:[คะแนนเต็ม]]),"",(tbl_task2[133]/tbl_task2[[คะแนนเต็ม]:[คะแนนเต็ม]])*tbl_task2[[%]:[%]])</f>
        <v/>
      </c>
      <c r="KR8" s="121" t="str">
        <f>IF(ISBLANK(tbl_task2[[คะแนนเต็ม]:[คะแนนเต็ม]]),"",(tbl_task2[134]/tbl_task2[[คะแนนเต็ม]:[คะแนนเต็ม]])*tbl_task2[[%]:[%]])</f>
        <v/>
      </c>
      <c r="KS8" s="121" t="str">
        <f>IF(ISBLANK(tbl_task2[[คะแนนเต็ม]:[คะแนนเต็ม]]),"",(tbl_task2[135]/tbl_task2[[คะแนนเต็ม]:[คะแนนเต็ม]])*tbl_task2[[%]:[%]])</f>
        <v/>
      </c>
      <c r="KT8" s="121" t="str">
        <f>IF(ISBLANK(tbl_task2[[คะแนนเต็ม]:[คะแนนเต็ม]]),"",(tbl_task2[136]/tbl_task2[[คะแนนเต็ม]:[คะแนนเต็ม]])*tbl_task2[[%]:[%]])</f>
        <v/>
      </c>
      <c r="KU8" s="121" t="str">
        <f>IF(ISBLANK(tbl_task2[[คะแนนเต็ม]:[คะแนนเต็ม]]),"",(tbl_task2[137]/tbl_task2[[คะแนนเต็ม]:[คะแนนเต็ม]])*tbl_task2[[%]:[%]])</f>
        <v/>
      </c>
      <c r="KV8" s="121" t="str">
        <f>IF(ISBLANK(tbl_task2[[คะแนนเต็ม]:[คะแนนเต็ม]]),"",(tbl_task2[138]/tbl_task2[[คะแนนเต็ม]:[คะแนนเต็ม]])*tbl_task2[[%]:[%]])</f>
        <v/>
      </c>
      <c r="KW8" s="121" t="str">
        <f>IF(ISBLANK(tbl_task2[[คะแนนเต็ม]:[คะแนนเต็ม]]),"",(tbl_task2[139]/tbl_task2[[คะแนนเต็ม]:[คะแนนเต็ม]])*tbl_task2[[%]:[%]])</f>
        <v/>
      </c>
      <c r="KX8" s="121" t="str">
        <f>IF(ISBLANK(tbl_task2[[คะแนนเต็ม]:[คะแนนเต็ม]]),"",(tbl_task2[140]/tbl_task2[[คะแนนเต็ม]:[คะแนนเต็ม]])*tbl_task2[[%]:[%]])</f>
        <v/>
      </c>
      <c r="KY8" s="121" t="str">
        <f>IF(ISBLANK(tbl_task2[[คะแนนเต็ม]:[คะแนนเต็ม]]),"",(tbl_task2[141]/tbl_task2[[คะแนนเต็ม]:[คะแนนเต็ม]])*tbl_task2[[%]:[%]])</f>
        <v/>
      </c>
      <c r="KZ8" s="121" t="str">
        <f>IF(ISBLANK(tbl_task2[[คะแนนเต็ม]:[คะแนนเต็ม]]),"",(tbl_task2[142]/tbl_task2[[คะแนนเต็ม]:[คะแนนเต็ม]])*tbl_task2[[%]:[%]])</f>
        <v/>
      </c>
      <c r="LA8" s="121" t="str">
        <f>IF(ISBLANK(tbl_task2[[คะแนนเต็ม]:[คะแนนเต็ม]]),"",(tbl_task2[143]/tbl_task2[[คะแนนเต็ม]:[คะแนนเต็ม]])*tbl_task2[[%]:[%]])</f>
        <v/>
      </c>
      <c r="LB8" s="121" t="str">
        <f>IF(ISBLANK(tbl_task2[[คะแนนเต็ม]:[คะแนนเต็ม]]),"",(tbl_task2[144]/tbl_task2[[คะแนนเต็ม]:[คะแนนเต็ม]])*tbl_task2[[%]:[%]])</f>
        <v/>
      </c>
      <c r="LC8" s="121" t="str">
        <f>IF(ISBLANK(tbl_task2[[คะแนนเต็ม]:[คะแนนเต็ม]]),"",(tbl_task2[145]/tbl_task2[[คะแนนเต็ม]:[คะแนนเต็ม]])*tbl_task2[[%]:[%]])</f>
        <v/>
      </c>
      <c r="LD8" s="121" t="str">
        <f>IF(ISBLANK(tbl_task2[[คะแนนเต็ม]:[คะแนนเต็ม]]),"",(tbl_task2[146]/tbl_task2[[คะแนนเต็ม]:[คะแนนเต็ม]])*tbl_task2[[%]:[%]])</f>
        <v/>
      </c>
      <c r="LE8" s="121" t="str">
        <f>IF(ISBLANK(tbl_task2[[คะแนนเต็ม]:[คะแนนเต็ม]]),"",(tbl_task2[147]/tbl_task2[[คะแนนเต็ม]:[คะแนนเต็ม]])*tbl_task2[[%]:[%]])</f>
        <v/>
      </c>
      <c r="LF8" s="121" t="str">
        <f>IF(ISBLANK(tbl_task2[[คะแนนเต็ม]:[คะแนนเต็ม]]),"",(tbl_task2[148]/tbl_task2[[คะแนนเต็ม]:[คะแนนเต็ม]])*tbl_task2[[%]:[%]])</f>
        <v/>
      </c>
      <c r="LG8" s="121" t="str">
        <f>IF(ISBLANK(tbl_task2[[คะแนนเต็ม]:[คะแนนเต็ม]]),"",(tbl_task2[149]/tbl_task2[[คะแนนเต็ม]:[คะแนนเต็ม]])*tbl_task2[[%]:[%]])</f>
        <v/>
      </c>
      <c r="LH8" s="121" t="str">
        <f>IF(ISBLANK(tbl_task2[[คะแนนเต็ม]:[คะแนนเต็ม]]),"",(tbl_task2[150]/tbl_task2[[คะแนนเต็ม]:[คะแนนเต็ม]])*tbl_task2[[%]:[%]])</f>
        <v/>
      </c>
      <c r="LI8" s="121" t="str">
        <f>IF(ISBLANK(tbl_task2[[คะแนนเต็ม]:[คะแนนเต็ม]]),"",(tbl_task2[151]/tbl_task2[[คะแนนเต็ม]:[คะแนนเต็ม]])*tbl_task2[[%]:[%]])</f>
        <v/>
      </c>
      <c r="LJ8" s="121" t="str">
        <f>IF(ISBLANK(tbl_task2[[คะแนนเต็ม]:[คะแนนเต็ม]]),"",(tbl_task2[152]/tbl_task2[[คะแนนเต็ม]:[คะแนนเต็ม]])*tbl_task2[[%]:[%]])</f>
        <v/>
      </c>
      <c r="LK8" s="121" t="str">
        <f>IF(ISBLANK(tbl_task2[[คะแนนเต็ม]:[คะแนนเต็ม]]),"",(tbl_task2[153]/tbl_task2[[คะแนนเต็ม]:[คะแนนเต็ม]])*tbl_task2[[%]:[%]])</f>
        <v/>
      </c>
      <c r="LL8" s="121" t="str">
        <f>IF(ISBLANK(tbl_task2[[คะแนนเต็ม]:[คะแนนเต็ม]]),"",(tbl_task2[154]/tbl_task2[[คะแนนเต็ม]:[คะแนนเต็ม]])*tbl_task2[[%]:[%]])</f>
        <v/>
      </c>
      <c r="LM8" s="121" t="str">
        <f>IF(ISBLANK(tbl_task2[[คะแนนเต็ม]:[คะแนนเต็ม]]),"",(tbl_task2[155]/tbl_task2[[คะแนนเต็ม]:[คะแนนเต็ม]])*tbl_task2[[%]:[%]])</f>
        <v/>
      </c>
      <c r="LN8" s="121" t="str">
        <f>IF(ISBLANK(tbl_task2[[คะแนนเต็ม]:[คะแนนเต็ม]]),"",(tbl_task2[156]/tbl_task2[[คะแนนเต็ม]:[คะแนนเต็ม]])*tbl_task2[[%]:[%]])</f>
        <v/>
      </c>
      <c r="LO8" s="121" t="str">
        <f>IF(ISBLANK(tbl_task2[[คะแนนเต็ม]:[คะแนนเต็ม]]),"",(tbl_task2[157]/tbl_task2[[คะแนนเต็ม]:[คะแนนเต็ม]])*tbl_task2[[%]:[%]])</f>
        <v/>
      </c>
      <c r="LP8" s="121" t="str">
        <f>IF(ISBLANK(tbl_task2[[คะแนนเต็ม]:[คะแนนเต็ม]]),"",(tbl_task2[158]/tbl_task2[[คะแนนเต็ม]:[คะแนนเต็ม]])*tbl_task2[[%]:[%]])</f>
        <v/>
      </c>
      <c r="LQ8" s="121" t="str">
        <f>IF(ISBLANK(tbl_task2[[คะแนนเต็ม]:[คะแนนเต็ม]]),"",(tbl_task2[159]/tbl_task2[[คะแนนเต็ม]:[คะแนนเต็ม]])*tbl_task2[[%]:[%]])</f>
        <v/>
      </c>
      <c r="LR8" s="121" t="str">
        <f>IF(ISBLANK(tbl_task2[[คะแนนเต็ม]:[คะแนนเต็ม]]),"",(tbl_task2[160]/tbl_task2[[คะแนนเต็ม]:[คะแนนเต็ม]])*tbl_task2[[%]:[%]])</f>
        <v/>
      </c>
      <c r="LS8" s="121" t="str">
        <f>IF(ISBLANK(tbl_task2[[คะแนนเต็ม]:[คะแนนเต็ม]]),"",(tbl_task2[161]/tbl_task2[[คะแนนเต็ม]:[คะแนนเต็ม]])*tbl_task2[[%]:[%]])</f>
        <v/>
      </c>
      <c r="LT8" s="121" t="str">
        <f>IF(ISBLANK(tbl_task2[[คะแนนเต็ม]:[คะแนนเต็ม]]),"",(tbl_task2[162]/tbl_task2[[คะแนนเต็ม]:[คะแนนเต็ม]])*tbl_task2[[%]:[%]])</f>
        <v/>
      </c>
      <c r="LU8" s="121" t="str">
        <f>IF(ISBLANK(tbl_task2[[คะแนนเต็ม]:[คะแนนเต็ม]]),"",(tbl_task2[163]/tbl_task2[[คะแนนเต็ม]:[คะแนนเต็ม]])*tbl_task2[[%]:[%]])</f>
        <v/>
      </c>
      <c r="LV8" s="121" t="str">
        <f>IF(ISBLANK(tbl_task2[[คะแนนเต็ม]:[คะแนนเต็ม]]),"",(tbl_task2[164]/tbl_task2[[คะแนนเต็ม]:[คะแนนเต็ม]])*tbl_task2[[%]:[%]])</f>
        <v/>
      </c>
      <c r="LW8" s="121" t="str">
        <f>IF(ISBLANK(tbl_task2[[คะแนนเต็ม]:[คะแนนเต็ม]]),"",(tbl_task2[165]/tbl_task2[[คะแนนเต็ม]:[คะแนนเต็ม]])*tbl_task2[[%]:[%]])</f>
        <v/>
      </c>
    </row>
    <row r="9" spans="1:335" x14ac:dyDescent="0.25">
      <c r="A9" s="24">
        <v>6</v>
      </c>
      <c r="B9" s="20"/>
      <c r="C9" s="5" t="str">
        <f>IF(ISBLANK(B9),"",VLOOKUP(B9,tbl_PLOs[],2,0))</f>
        <v/>
      </c>
      <c r="D9" s="102"/>
      <c r="E9" s="106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22"/>
      <c r="FO9" s="121" t="str">
        <f>IF(ISBLANK(tbl_task2[[คะแนนเต็ม]:[คะแนนเต็ม]]),"",(tbl_task2[1]/tbl_task2[[คะแนนเต็ม]:[คะแนนเต็ม]])*tbl_task2[[%]:[%]])</f>
        <v/>
      </c>
      <c r="FP9" s="121" t="str">
        <f>IF(ISBLANK(tbl_task2[[คะแนนเต็ม]:[คะแนนเต็ม]]),"",(tbl_task2[2]/tbl_task2[[คะแนนเต็ม]:[คะแนนเต็ม]])*tbl_task2[[%]:[%]])</f>
        <v/>
      </c>
      <c r="FQ9" s="121" t="str">
        <f>IF(ISBLANK(tbl_task2[[คะแนนเต็ม]:[คะแนนเต็ม]]),"",(tbl_task2[3]/tbl_task2[[คะแนนเต็ม]:[คะแนนเต็ม]])*tbl_task2[[%]:[%]])</f>
        <v/>
      </c>
      <c r="FR9" s="121" t="str">
        <f>IF(ISBLANK(tbl_task2[[คะแนนเต็ม]:[คะแนนเต็ม]]),"",(tbl_task2[4]/tbl_task2[[คะแนนเต็ม]:[คะแนนเต็ม]])*tbl_task2[[%]:[%]])</f>
        <v/>
      </c>
      <c r="FS9" s="121" t="str">
        <f>IF(ISBLANK(tbl_task2[[คะแนนเต็ม]:[คะแนนเต็ม]]),"",(tbl_task2[5]/tbl_task2[[คะแนนเต็ม]:[คะแนนเต็ม]])*tbl_task2[[%]:[%]])</f>
        <v/>
      </c>
      <c r="FT9" s="121" t="str">
        <f>IF(ISBLANK(tbl_task2[[คะแนนเต็ม]:[คะแนนเต็ม]]),"",(tbl_task2[6]/tbl_task2[[คะแนนเต็ม]:[คะแนนเต็ม]])*tbl_task2[[%]:[%]])</f>
        <v/>
      </c>
      <c r="FU9" s="121" t="str">
        <f>IF(ISBLANK(tbl_task2[[คะแนนเต็ม]:[คะแนนเต็ม]]),"",(tbl_task2[7]/tbl_task2[[คะแนนเต็ม]:[คะแนนเต็ม]])*tbl_task2[[%]:[%]])</f>
        <v/>
      </c>
      <c r="FV9" s="121" t="str">
        <f>IF(ISBLANK(tbl_task2[[คะแนนเต็ม]:[คะแนนเต็ม]]),"",(tbl_task2[8]/tbl_task2[[คะแนนเต็ม]:[คะแนนเต็ม]])*tbl_task2[[%]:[%]])</f>
        <v/>
      </c>
      <c r="FW9" s="121" t="str">
        <f>IF(ISBLANK(tbl_task2[[คะแนนเต็ม]:[คะแนนเต็ม]]),"",(tbl_task2[9]/tbl_task2[[คะแนนเต็ม]:[คะแนนเต็ม]])*tbl_task2[[%]:[%]])</f>
        <v/>
      </c>
      <c r="FX9" s="121" t="str">
        <f>IF(ISBLANK(tbl_task2[[คะแนนเต็ม]:[คะแนนเต็ม]]),"",(tbl_task2[10]/tbl_task2[[คะแนนเต็ม]:[คะแนนเต็ม]])*tbl_task2[[%]:[%]])</f>
        <v/>
      </c>
      <c r="FY9" s="121" t="str">
        <f>IF(ISBLANK(tbl_task2[[คะแนนเต็ม]:[คะแนนเต็ม]]),"",(tbl_task2[11]/tbl_task2[[คะแนนเต็ม]:[คะแนนเต็ม]])*tbl_task2[[%]:[%]])</f>
        <v/>
      </c>
      <c r="FZ9" s="121" t="str">
        <f>IF(ISBLANK(tbl_task2[[คะแนนเต็ม]:[คะแนนเต็ม]]),"",(tbl_task2[12]/tbl_task2[[คะแนนเต็ม]:[คะแนนเต็ม]])*tbl_task2[[%]:[%]])</f>
        <v/>
      </c>
      <c r="GA9" s="121" t="str">
        <f>IF(ISBLANK(tbl_task2[[คะแนนเต็ม]:[คะแนนเต็ม]]),"",(tbl_task2[13]/tbl_task2[[คะแนนเต็ม]:[คะแนนเต็ม]])*tbl_task2[[%]:[%]])</f>
        <v/>
      </c>
      <c r="GB9" s="121" t="str">
        <f>IF(ISBLANK(tbl_task2[[คะแนนเต็ม]:[คะแนนเต็ม]]),"",(tbl_task2[14]/tbl_task2[[คะแนนเต็ม]:[คะแนนเต็ม]])*tbl_task2[[%]:[%]])</f>
        <v/>
      </c>
      <c r="GC9" s="121" t="str">
        <f>IF(ISBLANK(tbl_task2[[คะแนนเต็ม]:[คะแนนเต็ม]]),"",(tbl_task2[15]/tbl_task2[[คะแนนเต็ม]:[คะแนนเต็ม]])*tbl_task2[[%]:[%]])</f>
        <v/>
      </c>
      <c r="GD9" s="121" t="str">
        <f>IF(ISBLANK(tbl_task2[[คะแนนเต็ม]:[คะแนนเต็ม]]),"",(tbl_task2[16]/tbl_task2[[คะแนนเต็ม]:[คะแนนเต็ม]])*tbl_task2[[%]:[%]])</f>
        <v/>
      </c>
      <c r="GE9" s="121" t="str">
        <f>IF(ISBLANK(tbl_task2[[คะแนนเต็ม]:[คะแนนเต็ม]]),"",(tbl_task2[17]/tbl_task2[[คะแนนเต็ม]:[คะแนนเต็ม]])*tbl_task2[[%]:[%]])</f>
        <v/>
      </c>
      <c r="GF9" s="121" t="str">
        <f>IF(ISBLANK(tbl_task2[[คะแนนเต็ม]:[คะแนนเต็ม]]),"",(tbl_task2[18]/tbl_task2[[คะแนนเต็ม]:[คะแนนเต็ม]])*tbl_task2[[%]:[%]])</f>
        <v/>
      </c>
      <c r="GG9" s="121" t="str">
        <f>IF(ISBLANK(tbl_task2[[คะแนนเต็ม]:[คะแนนเต็ม]]),"",(tbl_task2[19]/tbl_task2[[คะแนนเต็ม]:[คะแนนเต็ม]])*tbl_task2[[%]:[%]])</f>
        <v/>
      </c>
      <c r="GH9" s="121" t="str">
        <f>IF(ISBLANK(tbl_task2[[คะแนนเต็ม]:[คะแนนเต็ม]]),"",(tbl_task2[20]/tbl_task2[[คะแนนเต็ม]:[คะแนนเต็ม]])*tbl_task2[[%]:[%]])</f>
        <v/>
      </c>
      <c r="GI9" s="121" t="str">
        <f>IF(ISBLANK(tbl_task2[[คะแนนเต็ม]:[คะแนนเต็ม]]),"",(tbl_task2[21]/tbl_task2[[คะแนนเต็ม]:[คะแนนเต็ม]])*tbl_task2[[%]:[%]])</f>
        <v/>
      </c>
      <c r="GJ9" s="121" t="str">
        <f>IF(ISBLANK(tbl_task2[[คะแนนเต็ม]:[คะแนนเต็ม]]),"",(tbl_task2[22]/tbl_task2[[คะแนนเต็ม]:[คะแนนเต็ม]])*tbl_task2[[%]:[%]])</f>
        <v/>
      </c>
      <c r="GK9" s="121" t="str">
        <f>IF(ISBLANK(tbl_task2[[คะแนนเต็ม]:[คะแนนเต็ม]]),"",(tbl_task2[23]/tbl_task2[[คะแนนเต็ม]:[คะแนนเต็ม]])*tbl_task2[[%]:[%]])</f>
        <v/>
      </c>
      <c r="GL9" s="121" t="str">
        <f>IF(ISBLANK(tbl_task2[[คะแนนเต็ม]:[คะแนนเต็ม]]),"",(tbl_task2[24]/tbl_task2[[คะแนนเต็ม]:[คะแนนเต็ม]])*tbl_task2[[%]:[%]])</f>
        <v/>
      </c>
      <c r="GM9" s="121" t="str">
        <f>IF(ISBLANK(tbl_task2[[คะแนนเต็ม]:[คะแนนเต็ม]]),"",(tbl_task2[25]/tbl_task2[[คะแนนเต็ม]:[คะแนนเต็ม]])*tbl_task2[[%]:[%]])</f>
        <v/>
      </c>
      <c r="GN9" s="121" t="str">
        <f>IF(ISBLANK(tbl_task2[[คะแนนเต็ม]:[คะแนนเต็ม]]),"",(tbl_task2[26]/tbl_task2[[คะแนนเต็ม]:[คะแนนเต็ม]])*tbl_task2[[%]:[%]])</f>
        <v/>
      </c>
      <c r="GO9" s="121" t="str">
        <f>IF(ISBLANK(tbl_task2[[คะแนนเต็ม]:[คะแนนเต็ม]]),"",(tbl_task2[27]/tbl_task2[[คะแนนเต็ม]:[คะแนนเต็ม]])*tbl_task2[[%]:[%]])</f>
        <v/>
      </c>
      <c r="GP9" s="121" t="str">
        <f>IF(ISBLANK(tbl_task2[[คะแนนเต็ม]:[คะแนนเต็ม]]),"",(tbl_task2[28]/tbl_task2[[คะแนนเต็ม]:[คะแนนเต็ม]])*tbl_task2[[%]:[%]])</f>
        <v/>
      </c>
      <c r="GQ9" s="121" t="str">
        <f>IF(ISBLANK(tbl_task2[[คะแนนเต็ม]:[คะแนนเต็ม]]),"",(tbl_task2[29]/tbl_task2[[คะแนนเต็ม]:[คะแนนเต็ม]])*tbl_task2[[%]:[%]])</f>
        <v/>
      </c>
      <c r="GR9" s="121" t="str">
        <f>IF(ISBLANK(tbl_task2[[คะแนนเต็ม]:[คะแนนเต็ม]]),"",(tbl_task2[30]/tbl_task2[[คะแนนเต็ม]:[คะแนนเต็ม]])*tbl_task2[[%]:[%]])</f>
        <v/>
      </c>
      <c r="GS9" s="121" t="str">
        <f>IF(ISBLANK(tbl_task2[[คะแนนเต็ม]:[คะแนนเต็ม]]),"",(tbl_task2[31]/tbl_task2[[คะแนนเต็ม]:[คะแนนเต็ม]])*tbl_task2[[%]:[%]])</f>
        <v/>
      </c>
      <c r="GT9" s="121" t="str">
        <f>IF(ISBLANK(tbl_task2[[คะแนนเต็ม]:[คะแนนเต็ม]]),"",(tbl_task2[32]/tbl_task2[[คะแนนเต็ม]:[คะแนนเต็ม]])*tbl_task2[[%]:[%]])</f>
        <v/>
      </c>
      <c r="GU9" s="121" t="str">
        <f>IF(ISBLANK(tbl_task2[[คะแนนเต็ม]:[คะแนนเต็ม]]),"",(tbl_task2[33]/tbl_task2[[คะแนนเต็ม]:[คะแนนเต็ม]])*tbl_task2[[%]:[%]])</f>
        <v/>
      </c>
      <c r="GV9" s="121" t="str">
        <f>IF(ISBLANK(tbl_task2[[คะแนนเต็ม]:[คะแนนเต็ม]]),"",(tbl_task2[34]/tbl_task2[[คะแนนเต็ม]:[คะแนนเต็ม]])*tbl_task2[[%]:[%]])</f>
        <v/>
      </c>
      <c r="GW9" s="121" t="str">
        <f>IF(ISBLANK(tbl_task2[[คะแนนเต็ม]:[คะแนนเต็ม]]),"",(tbl_task2[35]/tbl_task2[[คะแนนเต็ม]:[คะแนนเต็ม]])*tbl_task2[[%]:[%]])</f>
        <v/>
      </c>
      <c r="GX9" s="121" t="str">
        <f>IF(ISBLANK(tbl_task2[[คะแนนเต็ม]:[คะแนนเต็ม]]),"",(tbl_task2[36]/tbl_task2[[คะแนนเต็ม]:[คะแนนเต็ม]])*tbl_task2[[%]:[%]])</f>
        <v/>
      </c>
      <c r="GY9" s="121" t="str">
        <f>IF(ISBLANK(tbl_task2[[คะแนนเต็ม]:[คะแนนเต็ม]]),"",(tbl_task2[37]/tbl_task2[[คะแนนเต็ม]:[คะแนนเต็ม]])*tbl_task2[[%]:[%]])</f>
        <v/>
      </c>
      <c r="GZ9" s="121" t="str">
        <f>IF(ISBLANK(tbl_task2[[คะแนนเต็ม]:[คะแนนเต็ม]]),"",(tbl_task2[38]/tbl_task2[[คะแนนเต็ม]:[คะแนนเต็ม]])*tbl_task2[[%]:[%]])</f>
        <v/>
      </c>
      <c r="HA9" s="121" t="str">
        <f>IF(ISBLANK(tbl_task2[[คะแนนเต็ม]:[คะแนนเต็ม]]),"",(tbl_task2[39]/tbl_task2[[คะแนนเต็ม]:[คะแนนเต็ม]])*tbl_task2[[%]:[%]])</f>
        <v/>
      </c>
      <c r="HB9" s="121" t="str">
        <f>IF(ISBLANK(tbl_task2[[คะแนนเต็ม]:[คะแนนเต็ม]]),"",(tbl_task2[40]/tbl_task2[[คะแนนเต็ม]:[คะแนนเต็ม]])*tbl_task2[[%]:[%]])</f>
        <v/>
      </c>
      <c r="HC9" s="121" t="str">
        <f>IF(ISBLANK(tbl_task2[[คะแนนเต็ม]:[คะแนนเต็ม]]),"",(tbl_task2[41]/tbl_task2[[คะแนนเต็ม]:[คะแนนเต็ม]])*tbl_task2[[%]:[%]])</f>
        <v/>
      </c>
      <c r="HD9" s="121" t="str">
        <f>IF(ISBLANK(tbl_task2[[คะแนนเต็ม]:[คะแนนเต็ม]]),"",(tbl_task2[42]/tbl_task2[[คะแนนเต็ม]:[คะแนนเต็ม]])*tbl_task2[[%]:[%]])</f>
        <v/>
      </c>
      <c r="HE9" s="121" t="str">
        <f>IF(ISBLANK(tbl_task2[[คะแนนเต็ม]:[คะแนนเต็ม]]),"",(tbl_task2[43]/tbl_task2[[คะแนนเต็ม]:[คะแนนเต็ม]])*tbl_task2[[%]:[%]])</f>
        <v/>
      </c>
      <c r="HF9" s="121" t="str">
        <f>IF(ISBLANK(tbl_task2[[คะแนนเต็ม]:[คะแนนเต็ม]]),"",(tbl_task2[44]/tbl_task2[[คะแนนเต็ม]:[คะแนนเต็ม]])*tbl_task2[[%]:[%]])</f>
        <v/>
      </c>
      <c r="HG9" s="121" t="str">
        <f>IF(ISBLANK(tbl_task2[[คะแนนเต็ม]:[คะแนนเต็ม]]),"",(tbl_task2[45]/tbl_task2[[คะแนนเต็ม]:[คะแนนเต็ม]])*tbl_task2[[%]:[%]])</f>
        <v/>
      </c>
      <c r="HH9" s="121" t="str">
        <f>IF(ISBLANK(tbl_task2[[คะแนนเต็ม]:[คะแนนเต็ม]]),"",(tbl_task2[46]/tbl_task2[[คะแนนเต็ม]:[คะแนนเต็ม]])*tbl_task2[[%]:[%]])</f>
        <v/>
      </c>
      <c r="HI9" s="121" t="str">
        <f>IF(ISBLANK(tbl_task2[[คะแนนเต็ม]:[คะแนนเต็ม]]),"",(tbl_task2[47]/tbl_task2[[คะแนนเต็ม]:[คะแนนเต็ม]])*tbl_task2[[%]:[%]])</f>
        <v/>
      </c>
      <c r="HJ9" s="121" t="str">
        <f>IF(ISBLANK(tbl_task2[[คะแนนเต็ม]:[คะแนนเต็ม]]),"",(tbl_task2[48]/tbl_task2[[คะแนนเต็ม]:[คะแนนเต็ม]])*tbl_task2[[%]:[%]])</f>
        <v/>
      </c>
      <c r="HK9" s="121" t="str">
        <f>IF(ISBLANK(tbl_task2[[คะแนนเต็ม]:[คะแนนเต็ม]]),"",(tbl_task2[49]/tbl_task2[[คะแนนเต็ม]:[คะแนนเต็ม]])*tbl_task2[[%]:[%]])</f>
        <v/>
      </c>
      <c r="HL9" s="121" t="str">
        <f>IF(ISBLANK(tbl_task2[[คะแนนเต็ม]:[คะแนนเต็ม]]),"",(tbl_task2[50]/tbl_task2[[คะแนนเต็ม]:[คะแนนเต็ม]])*tbl_task2[[%]:[%]])</f>
        <v/>
      </c>
      <c r="HM9" s="121" t="str">
        <f>IF(ISBLANK(tbl_task2[[คะแนนเต็ม]:[คะแนนเต็ม]]),"",(tbl_task2[51]/tbl_task2[[คะแนนเต็ม]:[คะแนนเต็ม]])*tbl_task2[[%]:[%]])</f>
        <v/>
      </c>
      <c r="HN9" s="121" t="str">
        <f>IF(ISBLANK(tbl_task2[[คะแนนเต็ม]:[คะแนนเต็ม]]),"",(tbl_task2[52]/tbl_task2[[คะแนนเต็ม]:[คะแนนเต็ม]])*tbl_task2[[%]:[%]])</f>
        <v/>
      </c>
      <c r="HO9" s="121" t="str">
        <f>IF(ISBLANK(tbl_task2[[คะแนนเต็ม]:[คะแนนเต็ม]]),"",(tbl_task2[53]/tbl_task2[[คะแนนเต็ม]:[คะแนนเต็ม]])*tbl_task2[[%]:[%]])</f>
        <v/>
      </c>
      <c r="HP9" s="121" t="str">
        <f>IF(ISBLANK(tbl_task2[[คะแนนเต็ม]:[คะแนนเต็ม]]),"",(tbl_task2[54]/tbl_task2[[คะแนนเต็ม]:[คะแนนเต็ม]])*tbl_task2[[%]:[%]])</f>
        <v/>
      </c>
      <c r="HQ9" s="121" t="str">
        <f>IF(ISBLANK(tbl_task2[[คะแนนเต็ม]:[คะแนนเต็ม]]),"",(tbl_task2[55]/tbl_task2[[คะแนนเต็ม]:[คะแนนเต็ม]])*tbl_task2[[%]:[%]])</f>
        <v/>
      </c>
      <c r="HR9" s="121" t="str">
        <f>IF(ISBLANK(tbl_task2[[คะแนนเต็ม]:[คะแนนเต็ม]]),"",(tbl_task2[56]/tbl_task2[[คะแนนเต็ม]:[คะแนนเต็ม]])*tbl_task2[[%]:[%]])</f>
        <v/>
      </c>
      <c r="HS9" s="121" t="str">
        <f>IF(ISBLANK(tbl_task2[[คะแนนเต็ม]:[คะแนนเต็ม]]),"",(tbl_task2[57]/tbl_task2[[คะแนนเต็ม]:[คะแนนเต็ม]])*tbl_task2[[%]:[%]])</f>
        <v/>
      </c>
      <c r="HT9" s="121" t="str">
        <f>IF(ISBLANK(tbl_task2[[คะแนนเต็ม]:[คะแนนเต็ม]]),"",(tbl_task2[58]/tbl_task2[[คะแนนเต็ม]:[คะแนนเต็ม]])*tbl_task2[[%]:[%]])</f>
        <v/>
      </c>
      <c r="HU9" s="121" t="str">
        <f>IF(ISBLANK(tbl_task2[[คะแนนเต็ม]:[คะแนนเต็ม]]),"",(tbl_task2[59]/tbl_task2[[คะแนนเต็ม]:[คะแนนเต็ม]])*tbl_task2[[%]:[%]])</f>
        <v/>
      </c>
      <c r="HV9" s="121" t="str">
        <f>IF(ISBLANK(tbl_task2[[คะแนนเต็ม]:[คะแนนเต็ม]]),"",(tbl_task2[60]/tbl_task2[[คะแนนเต็ม]:[คะแนนเต็ม]])*tbl_task2[[%]:[%]])</f>
        <v/>
      </c>
      <c r="HW9" s="121" t="str">
        <f>IF(ISBLANK(tbl_task2[[คะแนนเต็ม]:[คะแนนเต็ม]]),"",(tbl_task2[61]/tbl_task2[[คะแนนเต็ม]:[คะแนนเต็ม]])*tbl_task2[[%]:[%]])</f>
        <v/>
      </c>
      <c r="HX9" s="121" t="str">
        <f>IF(ISBLANK(tbl_task2[[คะแนนเต็ม]:[คะแนนเต็ม]]),"",(tbl_task2[62]/tbl_task2[[คะแนนเต็ม]:[คะแนนเต็ม]])*tbl_task2[[%]:[%]])</f>
        <v/>
      </c>
      <c r="HY9" s="121" t="str">
        <f>IF(ISBLANK(tbl_task2[[คะแนนเต็ม]:[คะแนนเต็ม]]),"",(tbl_task2[63]/tbl_task2[[คะแนนเต็ม]:[คะแนนเต็ม]])*tbl_task2[[%]:[%]])</f>
        <v/>
      </c>
      <c r="HZ9" s="121" t="str">
        <f>IF(ISBLANK(tbl_task2[[คะแนนเต็ม]:[คะแนนเต็ม]]),"",(tbl_task2[64]/tbl_task2[[คะแนนเต็ม]:[คะแนนเต็ม]])*tbl_task2[[%]:[%]])</f>
        <v/>
      </c>
      <c r="IA9" s="121" t="str">
        <f>IF(ISBLANK(tbl_task2[[คะแนนเต็ม]:[คะแนนเต็ม]]),"",(tbl_task2[65]/tbl_task2[[คะแนนเต็ม]:[คะแนนเต็ม]])*tbl_task2[[%]:[%]])</f>
        <v/>
      </c>
      <c r="IB9" s="121" t="str">
        <f>IF(ISBLANK(tbl_task2[[คะแนนเต็ม]:[คะแนนเต็ม]]),"",(tbl_task2[66]/tbl_task2[[คะแนนเต็ม]:[คะแนนเต็ม]])*tbl_task2[[%]:[%]])</f>
        <v/>
      </c>
      <c r="IC9" s="121" t="str">
        <f>IF(ISBLANK(tbl_task2[[คะแนนเต็ม]:[คะแนนเต็ม]]),"",(tbl_task2[67]/tbl_task2[[คะแนนเต็ม]:[คะแนนเต็ม]])*tbl_task2[[%]:[%]])</f>
        <v/>
      </c>
      <c r="ID9" s="121" t="str">
        <f>IF(ISBLANK(tbl_task2[[คะแนนเต็ม]:[คะแนนเต็ม]]),"",(tbl_task2[68]/tbl_task2[[คะแนนเต็ม]:[คะแนนเต็ม]])*tbl_task2[[%]:[%]])</f>
        <v/>
      </c>
      <c r="IE9" s="121" t="str">
        <f>IF(ISBLANK(tbl_task2[[คะแนนเต็ม]:[คะแนนเต็ม]]),"",(tbl_task2[69]/tbl_task2[[คะแนนเต็ม]:[คะแนนเต็ม]])*tbl_task2[[%]:[%]])</f>
        <v/>
      </c>
      <c r="IF9" s="121" t="str">
        <f>IF(ISBLANK(tbl_task2[[คะแนนเต็ม]:[คะแนนเต็ม]]),"",(tbl_task2[70]/tbl_task2[[คะแนนเต็ม]:[คะแนนเต็ม]])*tbl_task2[[%]:[%]])</f>
        <v/>
      </c>
      <c r="IG9" s="121" t="str">
        <f>IF(ISBLANK(tbl_task2[[คะแนนเต็ม]:[คะแนนเต็ม]]),"",(tbl_task2[71]/tbl_task2[[คะแนนเต็ม]:[คะแนนเต็ม]])*tbl_task2[[%]:[%]])</f>
        <v/>
      </c>
      <c r="IH9" s="121" t="str">
        <f>IF(ISBLANK(tbl_task2[[คะแนนเต็ม]:[คะแนนเต็ม]]),"",(tbl_task2[72]/tbl_task2[[คะแนนเต็ม]:[คะแนนเต็ม]])*tbl_task2[[%]:[%]])</f>
        <v/>
      </c>
      <c r="II9" s="121" t="str">
        <f>IF(ISBLANK(tbl_task2[[คะแนนเต็ม]:[คะแนนเต็ม]]),"",(tbl_task2[73]/tbl_task2[[คะแนนเต็ม]:[คะแนนเต็ม]])*tbl_task2[[%]:[%]])</f>
        <v/>
      </c>
      <c r="IJ9" s="121" t="str">
        <f>IF(ISBLANK(tbl_task2[[คะแนนเต็ม]:[คะแนนเต็ม]]),"",(tbl_task2[74]/tbl_task2[[คะแนนเต็ม]:[คะแนนเต็ม]])*tbl_task2[[%]:[%]])</f>
        <v/>
      </c>
      <c r="IK9" s="121" t="str">
        <f>IF(ISBLANK(tbl_task2[[คะแนนเต็ม]:[คะแนนเต็ม]]),"",(tbl_task2[75]/tbl_task2[[คะแนนเต็ม]:[คะแนนเต็ม]])*tbl_task2[[%]:[%]])</f>
        <v/>
      </c>
      <c r="IL9" s="121" t="str">
        <f>IF(ISBLANK(tbl_task2[[คะแนนเต็ม]:[คะแนนเต็ม]]),"",(tbl_task2[76]/tbl_task2[[คะแนนเต็ม]:[คะแนนเต็ม]])*tbl_task2[[%]:[%]])</f>
        <v/>
      </c>
      <c r="IM9" s="121" t="str">
        <f>IF(ISBLANK(tbl_task2[[คะแนนเต็ม]:[คะแนนเต็ม]]),"",(tbl_task2[77]/tbl_task2[[คะแนนเต็ม]:[คะแนนเต็ม]])*tbl_task2[[%]:[%]])</f>
        <v/>
      </c>
      <c r="IN9" s="121" t="str">
        <f>IF(ISBLANK(tbl_task2[[คะแนนเต็ม]:[คะแนนเต็ม]]),"",(tbl_task2[78]/tbl_task2[[คะแนนเต็ม]:[คะแนนเต็ม]])*tbl_task2[[%]:[%]])</f>
        <v/>
      </c>
      <c r="IO9" s="121" t="str">
        <f>IF(ISBLANK(tbl_task2[[คะแนนเต็ม]:[คะแนนเต็ม]]),"",(tbl_task2[79]/tbl_task2[[คะแนนเต็ม]:[คะแนนเต็ม]])*tbl_task2[[%]:[%]])</f>
        <v/>
      </c>
      <c r="IP9" s="121" t="str">
        <f>IF(ISBLANK(tbl_task2[[คะแนนเต็ม]:[คะแนนเต็ม]]),"",(tbl_task2[80]/tbl_task2[[คะแนนเต็ม]:[คะแนนเต็ม]])*tbl_task2[[%]:[%]])</f>
        <v/>
      </c>
      <c r="IQ9" s="121" t="str">
        <f>IF(ISBLANK(tbl_task2[[คะแนนเต็ม]:[คะแนนเต็ม]]),"",(tbl_task2[81]/tbl_task2[[คะแนนเต็ม]:[คะแนนเต็ม]])*tbl_task2[[%]:[%]])</f>
        <v/>
      </c>
      <c r="IR9" s="121" t="str">
        <f>IF(ISBLANK(tbl_task2[[คะแนนเต็ม]:[คะแนนเต็ม]]),"",(tbl_task2[82]/tbl_task2[[คะแนนเต็ม]:[คะแนนเต็ม]])*tbl_task2[[%]:[%]])</f>
        <v/>
      </c>
      <c r="IS9" s="121" t="str">
        <f>IF(ISBLANK(tbl_task2[[คะแนนเต็ม]:[คะแนนเต็ม]]),"",(tbl_task2[83]/tbl_task2[[คะแนนเต็ม]:[คะแนนเต็ม]])*tbl_task2[[%]:[%]])</f>
        <v/>
      </c>
      <c r="IT9" s="121" t="str">
        <f>IF(ISBLANK(tbl_task2[[คะแนนเต็ม]:[คะแนนเต็ม]]),"",(tbl_task2[84]/tbl_task2[[คะแนนเต็ม]:[คะแนนเต็ม]])*tbl_task2[[%]:[%]])</f>
        <v/>
      </c>
      <c r="IU9" s="121" t="str">
        <f>IF(ISBLANK(tbl_task2[[คะแนนเต็ม]:[คะแนนเต็ม]]),"",(tbl_task2[85]/tbl_task2[[คะแนนเต็ม]:[คะแนนเต็ม]])*tbl_task2[[%]:[%]])</f>
        <v/>
      </c>
      <c r="IV9" s="121" t="str">
        <f>IF(ISBLANK(tbl_task2[[คะแนนเต็ม]:[คะแนนเต็ม]]),"",(tbl_task2[86]/tbl_task2[[คะแนนเต็ม]:[คะแนนเต็ม]])*tbl_task2[[%]:[%]])</f>
        <v/>
      </c>
      <c r="IW9" s="121" t="str">
        <f>IF(ISBLANK(tbl_task2[[คะแนนเต็ม]:[คะแนนเต็ม]]),"",(tbl_task2[87]/tbl_task2[[คะแนนเต็ม]:[คะแนนเต็ม]])*tbl_task2[[%]:[%]])</f>
        <v/>
      </c>
      <c r="IX9" s="121" t="str">
        <f>IF(ISBLANK(tbl_task2[[คะแนนเต็ม]:[คะแนนเต็ม]]),"",(tbl_task2[88]/tbl_task2[[คะแนนเต็ม]:[คะแนนเต็ม]])*tbl_task2[[%]:[%]])</f>
        <v/>
      </c>
      <c r="IY9" s="121" t="str">
        <f>IF(ISBLANK(tbl_task2[[คะแนนเต็ม]:[คะแนนเต็ม]]),"",(tbl_task2[89]/tbl_task2[[คะแนนเต็ม]:[คะแนนเต็ม]])*tbl_task2[[%]:[%]])</f>
        <v/>
      </c>
      <c r="IZ9" s="121" t="str">
        <f>IF(ISBLANK(tbl_task2[[คะแนนเต็ม]:[คะแนนเต็ม]]),"",(tbl_task2[90]/tbl_task2[[คะแนนเต็ม]:[คะแนนเต็ม]])*tbl_task2[[%]:[%]])</f>
        <v/>
      </c>
      <c r="JA9" s="121" t="str">
        <f>IF(ISBLANK(tbl_task2[[คะแนนเต็ม]:[คะแนนเต็ม]]),"",(tbl_task2[91]/tbl_task2[[คะแนนเต็ม]:[คะแนนเต็ม]])*tbl_task2[[%]:[%]])</f>
        <v/>
      </c>
      <c r="JB9" s="121" t="str">
        <f>IF(ISBLANK(tbl_task2[[คะแนนเต็ม]:[คะแนนเต็ม]]),"",(tbl_task2[92]/tbl_task2[[คะแนนเต็ม]:[คะแนนเต็ม]])*tbl_task2[[%]:[%]])</f>
        <v/>
      </c>
      <c r="JC9" s="121" t="str">
        <f>IF(ISBLANK(tbl_task2[[คะแนนเต็ม]:[คะแนนเต็ม]]),"",(tbl_task2[93]/tbl_task2[[คะแนนเต็ม]:[คะแนนเต็ม]])*tbl_task2[[%]:[%]])</f>
        <v/>
      </c>
      <c r="JD9" s="121" t="str">
        <f>IF(ISBLANK(tbl_task2[[คะแนนเต็ม]:[คะแนนเต็ม]]),"",(tbl_task2[94]/tbl_task2[[คะแนนเต็ม]:[คะแนนเต็ม]])*tbl_task2[[%]:[%]])</f>
        <v/>
      </c>
      <c r="JE9" s="121" t="str">
        <f>IF(ISBLANK(tbl_task2[[คะแนนเต็ม]:[คะแนนเต็ม]]),"",(tbl_task2[95]/tbl_task2[[คะแนนเต็ม]:[คะแนนเต็ม]])*tbl_task2[[%]:[%]])</f>
        <v/>
      </c>
      <c r="JF9" s="121" t="str">
        <f>IF(ISBLANK(tbl_task2[[คะแนนเต็ม]:[คะแนนเต็ม]]),"",(tbl_task2[96]/tbl_task2[[คะแนนเต็ม]:[คะแนนเต็ม]])*tbl_task2[[%]:[%]])</f>
        <v/>
      </c>
      <c r="JG9" s="121" t="str">
        <f>IF(ISBLANK(tbl_task2[[คะแนนเต็ม]:[คะแนนเต็ม]]),"",(tbl_task2[97]/tbl_task2[[คะแนนเต็ม]:[คะแนนเต็ม]])*tbl_task2[[%]:[%]])</f>
        <v/>
      </c>
      <c r="JH9" s="121" t="str">
        <f>IF(ISBLANK(tbl_task2[[คะแนนเต็ม]:[คะแนนเต็ม]]),"",(tbl_task2[98]/tbl_task2[[คะแนนเต็ม]:[คะแนนเต็ม]])*tbl_task2[[%]:[%]])</f>
        <v/>
      </c>
      <c r="JI9" s="121" t="str">
        <f>IF(ISBLANK(tbl_task2[[คะแนนเต็ม]:[คะแนนเต็ม]]),"",(tbl_task2[99]/tbl_task2[[คะแนนเต็ม]:[คะแนนเต็ม]])*tbl_task2[[%]:[%]])</f>
        <v/>
      </c>
      <c r="JJ9" s="121" t="str">
        <f>IF(ISBLANK(tbl_task2[[คะแนนเต็ม]:[คะแนนเต็ม]]),"",(tbl_task2[100]/tbl_task2[[คะแนนเต็ม]:[คะแนนเต็ม]])*tbl_task2[[%]:[%]])</f>
        <v/>
      </c>
      <c r="JK9" s="121" t="str">
        <f>IF(ISBLANK(tbl_task2[[คะแนนเต็ม]:[คะแนนเต็ม]]),"",(tbl_task2[101]/tbl_task2[[คะแนนเต็ม]:[คะแนนเต็ม]])*tbl_task2[[%]:[%]])</f>
        <v/>
      </c>
      <c r="JL9" s="121" t="str">
        <f>IF(ISBLANK(tbl_task2[[คะแนนเต็ม]:[คะแนนเต็ม]]),"",(tbl_task2[102]/tbl_task2[[คะแนนเต็ม]:[คะแนนเต็ม]])*tbl_task2[[%]:[%]])</f>
        <v/>
      </c>
      <c r="JM9" s="121" t="str">
        <f>IF(ISBLANK(tbl_task2[[คะแนนเต็ม]:[คะแนนเต็ม]]),"",(tbl_task2[103]/tbl_task2[[คะแนนเต็ม]:[คะแนนเต็ม]])*tbl_task2[[%]:[%]])</f>
        <v/>
      </c>
      <c r="JN9" s="121" t="str">
        <f>IF(ISBLANK(tbl_task2[[คะแนนเต็ม]:[คะแนนเต็ม]]),"",(tbl_task2[104]/tbl_task2[[คะแนนเต็ม]:[คะแนนเต็ม]])*tbl_task2[[%]:[%]])</f>
        <v/>
      </c>
      <c r="JO9" s="121" t="str">
        <f>IF(ISBLANK(tbl_task2[[คะแนนเต็ม]:[คะแนนเต็ม]]),"",(tbl_task2[105]/tbl_task2[[คะแนนเต็ม]:[คะแนนเต็ม]])*tbl_task2[[%]:[%]])</f>
        <v/>
      </c>
      <c r="JP9" s="121" t="str">
        <f>IF(ISBLANK(tbl_task2[[คะแนนเต็ม]:[คะแนนเต็ม]]),"",(tbl_task2[106]/tbl_task2[[คะแนนเต็ม]:[คะแนนเต็ม]])*tbl_task2[[%]:[%]])</f>
        <v/>
      </c>
      <c r="JQ9" s="121" t="str">
        <f>IF(ISBLANK(tbl_task2[[คะแนนเต็ม]:[คะแนนเต็ม]]),"",(tbl_task2[107]/tbl_task2[[คะแนนเต็ม]:[คะแนนเต็ม]])*tbl_task2[[%]:[%]])</f>
        <v/>
      </c>
      <c r="JR9" s="121" t="str">
        <f>IF(ISBLANK(tbl_task2[[คะแนนเต็ม]:[คะแนนเต็ม]]),"",(tbl_task2[108]/tbl_task2[[คะแนนเต็ม]:[คะแนนเต็ม]])*tbl_task2[[%]:[%]])</f>
        <v/>
      </c>
      <c r="JS9" s="121" t="str">
        <f>IF(ISBLANK(tbl_task2[[คะแนนเต็ม]:[คะแนนเต็ม]]),"",(tbl_task2[109]/tbl_task2[[คะแนนเต็ม]:[คะแนนเต็ม]])*tbl_task2[[%]:[%]])</f>
        <v/>
      </c>
      <c r="JT9" s="121" t="str">
        <f>IF(ISBLANK(tbl_task2[[คะแนนเต็ม]:[คะแนนเต็ม]]),"",(tbl_task2[110]/tbl_task2[[คะแนนเต็ม]:[คะแนนเต็ม]])*tbl_task2[[%]:[%]])</f>
        <v/>
      </c>
      <c r="JU9" s="121" t="str">
        <f>IF(ISBLANK(tbl_task2[[คะแนนเต็ม]:[คะแนนเต็ม]]),"",(tbl_task2[111]/tbl_task2[[คะแนนเต็ม]:[คะแนนเต็ม]])*tbl_task2[[%]:[%]])</f>
        <v/>
      </c>
      <c r="JV9" s="121" t="str">
        <f>IF(ISBLANK(tbl_task2[[คะแนนเต็ม]:[คะแนนเต็ม]]),"",(tbl_task2[112]/tbl_task2[[คะแนนเต็ม]:[คะแนนเต็ม]])*tbl_task2[[%]:[%]])</f>
        <v/>
      </c>
      <c r="JW9" s="121" t="str">
        <f>IF(ISBLANK(tbl_task2[[คะแนนเต็ม]:[คะแนนเต็ม]]),"",(tbl_task2[113]/tbl_task2[[คะแนนเต็ม]:[คะแนนเต็ม]])*tbl_task2[[%]:[%]])</f>
        <v/>
      </c>
      <c r="JX9" s="121" t="str">
        <f>IF(ISBLANK(tbl_task2[[คะแนนเต็ม]:[คะแนนเต็ม]]),"",(tbl_task2[114]/tbl_task2[[คะแนนเต็ม]:[คะแนนเต็ม]])*tbl_task2[[%]:[%]])</f>
        <v/>
      </c>
      <c r="JY9" s="121" t="str">
        <f>IF(ISBLANK(tbl_task2[[คะแนนเต็ม]:[คะแนนเต็ม]]),"",(tbl_task2[115]/tbl_task2[[คะแนนเต็ม]:[คะแนนเต็ม]])*tbl_task2[[%]:[%]])</f>
        <v/>
      </c>
      <c r="JZ9" s="121" t="str">
        <f>IF(ISBLANK(tbl_task2[[คะแนนเต็ม]:[คะแนนเต็ม]]),"",(tbl_task2[116]/tbl_task2[[คะแนนเต็ม]:[คะแนนเต็ม]])*tbl_task2[[%]:[%]])</f>
        <v/>
      </c>
      <c r="KA9" s="121" t="str">
        <f>IF(ISBLANK(tbl_task2[[คะแนนเต็ม]:[คะแนนเต็ม]]),"",(tbl_task2[117]/tbl_task2[[คะแนนเต็ม]:[คะแนนเต็ม]])*tbl_task2[[%]:[%]])</f>
        <v/>
      </c>
      <c r="KB9" s="121" t="str">
        <f>IF(ISBLANK(tbl_task2[[คะแนนเต็ม]:[คะแนนเต็ม]]),"",(tbl_task2[118]/tbl_task2[[คะแนนเต็ม]:[คะแนนเต็ม]])*tbl_task2[[%]:[%]])</f>
        <v/>
      </c>
      <c r="KC9" s="121" t="str">
        <f>IF(ISBLANK(tbl_task2[[คะแนนเต็ม]:[คะแนนเต็ม]]),"",(tbl_task2[119]/tbl_task2[[คะแนนเต็ม]:[คะแนนเต็ม]])*tbl_task2[[%]:[%]])</f>
        <v/>
      </c>
      <c r="KD9" s="121" t="str">
        <f>IF(ISBLANK(tbl_task2[[คะแนนเต็ม]:[คะแนนเต็ม]]),"",(tbl_task2[120]/tbl_task2[[คะแนนเต็ม]:[คะแนนเต็ม]])*tbl_task2[[%]:[%]])</f>
        <v/>
      </c>
      <c r="KE9" s="121" t="str">
        <f>IF(ISBLANK(tbl_task2[[คะแนนเต็ม]:[คะแนนเต็ม]]),"",(tbl_task2[121]/tbl_task2[[คะแนนเต็ม]:[คะแนนเต็ม]])*tbl_task2[[%]:[%]])</f>
        <v/>
      </c>
      <c r="KF9" s="121" t="str">
        <f>IF(ISBLANK(tbl_task2[[คะแนนเต็ม]:[คะแนนเต็ม]]),"",(tbl_task2[122]/tbl_task2[[คะแนนเต็ม]:[คะแนนเต็ม]])*tbl_task2[[%]:[%]])</f>
        <v/>
      </c>
      <c r="KG9" s="121" t="str">
        <f>IF(ISBLANK(tbl_task2[[คะแนนเต็ม]:[คะแนนเต็ม]]),"",(tbl_task2[123]/tbl_task2[[คะแนนเต็ม]:[คะแนนเต็ม]])*tbl_task2[[%]:[%]])</f>
        <v/>
      </c>
      <c r="KH9" s="121" t="str">
        <f>IF(ISBLANK(tbl_task2[[คะแนนเต็ม]:[คะแนนเต็ม]]),"",(tbl_task2[124]/tbl_task2[[คะแนนเต็ม]:[คะแนนเต็ม]])*tbl_task2[[%]:[%]])</f>
        <v/>
      </c>
      <c r="KI9" s="121" t="str">
        <f>IF(ISBLANK(tbl_task2[[คะแนนเต็ม]:[คะแนนเต็ม]]),"",(tbl_task2[125]/tbl_task2[[คะแนนเต็ม]:[คะแนนเต็ม]])*tbl_task2[[%]:[%]])</f>
        <v/>
      </c>
      <c r="KJ9" s="121" t="str">
        <f>IF(ISBLANK(tbl_task2[[คะแนนเต็ม]:[คะแนนเต็ม]]),"",(tbl_task2[126]/tbl_task2[[คะแนนเต็ม]:[คะแนนเต็ม]])*tbl_task2[[%]:[%]])</f>
        <v/>
      </c>
      <c r="KK9" s="121" t="str">
        <f>IF(ISBLANK(tbl_task2[[คะแนนเต็ม]:[คะแนนเต็ม]]),"",(tbl_task2[127]/tbl_task2[[คะแนนเต็ม]:[คะแนนเต็ม]])*tbl_task2[[%]:[%]])</f>
        <v/>
      </c>
      <c r="KL9" s="121" t="str">
        <f>IF(ISBLANK(tbl_task2[[คะแนนเต็ม]:[คะแนนเต็ม]]),"",(tbl_task2[128]/tbl_task2[[คะแนนเต็ม]:[คะแนนเต็ม]])*tbl_task2[[%]:[%]])</f>
        <v/>
      </c>
      <c r="KM9" s="121" t="str">
        <f>IF(ISBLANK(tbl_task2[[คะแนนเต็ม]:[คะแนนเต็ม]]),"",(tbl_task2[129]/tbl_task2[[คะแนนเต็ม]:[คะแนนเต็ม]])*tbl_task2[[%]:[%]])</f>
        <v/>
      </c>
      <c r="KN9" s="121" t="str">
        <f>IF(ISBLANK(tbl_task2[[คะแนนเต็ม]:[คะแนนเต็ม]]),"",(tbl_task2[130]/tbl_task2[[คะแนนเต็ม]:[คะแนนเต็ม]])*tbl_task2[[%]:[%]])</f>
        <v/>
      </c>
      <c r="KO9" s="121" t="str">
        <f>IF(ISBLANK(tbl_task2[[คะแนนเต็ม]:[คะแนนเต็ม]]),"",(tbl_task2[131]/tbl_task2[[คะแนนเต็ม]:[คะแนนเต็ม]])*tbl_task2[[%]:[%]])</f>
        <v/>
      </c>
      <c r="KP9" s="121" t="str">
        <f>IF(ISBLANK(tbl_task2[[คะแนนเต็ม]:[คะแนนเต็ม]]),"",(tbl_task2[132]/tbl_task2[[คะแนนเต็ม]:[คะแนนเต็ม]])*tbl_task2[[%]:[%]])</f>
        <v/>
      </c>
      <c r="KQ9" s="121" t="str">
        <f>IF(ISBLANK(tbl_task2[[คะแนนเต็ม]:[คะแนนเต็ม]]),"",(tbl_task2[133]/tbl_task2[[คะแนนเต็ม]:[คะแนนเต็ม]])*tbl_task2[[%]:[%]])</f>
        <v/>
      </c>
      <c r="KR9" s="121" t="str">
        <f>IF(ISBLANK(tbl_task2[[คะแนนเต็ม]:[คะแนนเต็ม]]),"",(tbl_task2[134]/tbl_task2[[คะแนนเต็ม]:[คะแนนเต็ม]])*tbl_task2[[%]:[%]])</f>
        <v/>
      </c>
      <c r="KS9" s="121" t="str">
        <f>IF(ISBLANK(tbl_task2[[คะแนนเต็ม]:[คะแนนเต็ม]]),"",(tbl_task2[135]/tbl_task2[[คะแนนเต็ม]:[คะแนนเต็ม]])*tbl_task2[[%]:[%]])</f>
        <v/>
      </c>
      <c r="KT9" s="121" t="str">
        <f>IF(ISBLANK(tbl_task2[[คะแนนเต็ม]:[คะแนนเต็ม]]),"",(tbl_task2[136]/tbl_task2[[คะแนนเต็ม]:[คะแนนเต็ม]])*tbl_task2[[%]:[%]])</f>
        <v/>
      </c>
      <c r="KU9" s="121" t="str">
        <f>IF(ISBLANK(tbl_task2[[คะแนนเต็ม]:[คะแนนเต็ม]]),"",(tbl_task2[137]/tbl_task2[[คะแนนเต็ม]:[คะแนนเต็ม]])*tbl_task2[[%]:[%]])</f>
        <v/>
      </c>
      <c r="KV9" s="121" t="str">
        <f>IF(ISBLANK(tbl_task2[[คะแนนเต็ม]:[คะแนนเต็ม]]),"",(tbl_task2[138]/tbl_task2[[คะแนนเต็ม]:[คะแนนเต็ม]])*tbl_task2[[%]:[%]])</f>
        <v/>
      </c>
      <c r="KW9" s="121" t="str">
        <f>IF(ISBLANK(tbl_task2[[คะแนนเต็ม]:[คะแนนเต็ม]]),"",(tbl_task2[139]/tbl_task2[[คะแนนเต็ม]:[คะแนนเต็ม]])*tbl_task2[[%]:[%]])</f>
        <v/>
      </c>
      <c r="KX9" s="121" t="str">
        <f>IF(ISBLANK(tbl_task2[[คะแนนเต็ม]:[คะแนนเต็ม]]),"",(tbl_task2[140]/tbl_task2[[คะแนนเต็ม]:[คะแนนเต็ม]])*tbl_task2[[%]:[%]])</f>
        <v/>
      </c>
      <c r="KY9" s="121" t="str">
        <f>IF(ISBLANK(tbl_task2[[คะแนนเต็ม]:[คะแนนเต็ม]]),"",(tbl_task2[141]/tbl_task2[[คะแนนเต็ม]:[คะแนนเต็ม]])*tbl_task2[[%]:[%]])</f>
        <v/>
      </c>
      <c r="KZ9" s="121" t="str">
        <f>IF(ISBLANK(tbl_task2[[คะแนนเต็ม]:[คะแนนเต็ม]]),"",(tbl_task2[142]/tbl_task2[[คะแนนเต็ม]:[คะแนนเต็ม]])*tbl_task2[[%]:[%]])</f>
        <v/>
      </c>
      <c r="LA9" s="121" t="str">
        <f>IF(ISBLANK(tbl_task2[[คะแนนเต็ม]:[คะแนนเต็ม]]),"",(tbl_task2[143]/tbl_task2[[คะแนนเต็ม]:[คะแนนเต็ม]])*tbl_task2[[%]:[%]])</f>
        <v/>
      </c>
      <c r="LB9" s="121" t="str">
        <f>IF(ISBLANK(tbl_task2[[คะแนนเต็ม]:[คะแนนเต็ม]]),"",(tbl_task2[144]/tbl_task2[[คะแนนเต็ม]:[คะแนนเต็ม]])*tbl_task2[[%]:[%]])</f>
        <v/>
      </c>
      <c r="LC9" s="121" t="str">
        <f>IF(ISBLANK(tbl_task2[[คะแนนเต็ม]:[คะแนนเต็ม]]),"",(tbl_task2[145]/tbl_task2[[คะแนนเต็ม]:[คะแนนเต็ม]])*tbl_task2[[%]:[%]])</f>
        <v/>
      </c>
      <c r="LD9" s="121" t="str">
        <f>IF(ISBLANK(tbl_task2[[คะแนนเต็ม]:[คะแนนเต็ม]]),"",(tbl_task2[146]/tbl_task2[[คะแนนเต็ม]:[คะแนนเต็ม]])*tbl_task2[[%]:[%]])</f>
        <v/>
      </c>
      <c r="LE9" s="121" t="str">
        <f>IF(ISBLANK(tbl_task2[[คะแนนเต็ม]:[คะแนนเต็ม]]),"",(tbl_task2[147]/tbl_task2[[คะแนนเต็ม]:[คะแนนเต็ม]])*tbl_task2[[%]:[%]])</f>
        <v/>
      </c>
      <c r="LF9" s="121" t="str">
        <f>IF(ISBLANK(tbl_task2[[คะแนนเต็ม]:[คะแนนเต็ม]]),"",(tbl_task2[148]/tbl_task2[[คะแนนเต็ม]:[คะแนนเต็ม]])*tbl_task2[[%]:[%]])</f>
        <v/>
      </c>
      <c r="LG9" s="121" t="str">
        <f>IF(ISBLANK(tbl_task2[[คะแนนเต็ม]:[คะแนนเต็ม]]),"",(tbl_task2[149]/tbl_task2[[คะแนนเต็ม]:[คะแนนเต็ม]])*tbl_task2[[%]:[%]])</f>
        <v/>
      </c>
      <c r="LH9" s="121" t="str">
        <f>IF(ISBLANK(tbl_task2[[คะแนนเต็ม]:[คะแนนเต็ม]]),"",(tbl_task2[150]/tbl_task2[[คะแนนเต็ม]:[คะแนนเต็ม]])*tbl_task2[[%]:[%]])</f>
        <v/>
      </c>
      <c r="LI9" s="121" t="str">
        <f>IF(ISBLANK(tbl_task2[[คะแนนเต็ม]:[คะแนนเต็ม]]),"",(tbl_task2[151]/tbl_task2[[คะแนนเต็ม]:[คะแนนเต็ม]])*tbl_task2[[%]:[%]])</f>
        <v/>
      </c>
      <c r="LJ9" s="121" t="str">
        <f>IF(ISBLANK(tbl_task2[[คะแนนเต็ม]:[คะแนนเต็ม]]),"",(tbl_task2[152]/tbl_task2[[คะแนนเต็ม]:[คะแนนเต็ม]])*tbl_task2[[%]:[%]])</f>
        <v/>
      </c>
      <c r="LK9" s="121" t="str">
        <f>IF(ISBLANK(tbl_task2[[คะแนนเต็ม]:[คะแนนเต็ม]]),"",(tbl_task2[153]/tbl_task2[[คะแนนเต็ม]:[คะแนนเต็ม]])*tbl_task2[[%]:[%]])</f>
        <v/>
      </c>
      <c r="LL9" s="121" t="str">
        <f>IF(ISBLANK(tbl_task2[[คะแนนเต็ม]:[คะแนนเต็ม]]),"",(tbl_task2[154]/tbl_task2[[คะแนนเต็ม]:[คะแนนเต็ม]])*tbl_task2[[%]:[%]])</f>
        <v/>
      </c>
      <c r="LM9" s="121" t="str">
        <f>IF(ISBLANK(tbl_task2[[คะแนนเต็ม]:[คะแนนเต็ม]]),"",(tbl_task2[155]/tbl_task2[[คะแนนเต็ม]:[คะแนนเต็ม]])*tbl_task2[[%]:[%]])</f>
        <v/>
      </c>
      <c r="LN9" s="121" t="str">
        <f>IF(ISBLANK(tbl_task2[[คะแนนเต็ม]:[คะแนนเต็ม]]),"",(tbl_task2[156]/tbl_task2[[คะแนนเต็ม]:[คะแนนเต็ม]])*tbl_task2[[%]:[%]])</f>
        <v/>
      </c>
      <c r="LO9" s="121" t="str">
        <f>IF(ISBLANK(tbl_task2[[คะแนนเต็ม]:[คะแนนเต็ม]]),"",(tbl_task2[157]/tbl_task2[[คะแนนเต็ม]:[คะแนนเต็ม]])*tbl_task2[[%]:[%]])</f>
        <v/>
      </c>
      <c r="LP9" s="121" t="str">
        <f>IF(ISBLANK(tbl_task2[[คะแนนเต็ม]:[คะแนนเต็ม]]),"",(tbl_task2[158]/tbl_task2[[คะแนนเต็ม]:[คะแนนเต็ม]])*tbl_task2[[%]:[%]])</f>
        <v/>
      </c>
      <c r="LQ9" s="121" t="str">
        <f>IF(ISBLANK(tbl_task2[[คะแนนเต็ม]:[คะแนนเต็ม]]),"",(tbl_task2[159]/tbl_task2[[คะแนนเต็ม]:[คะแนนเต็ม]])*tbl_task2[[%]:[%]])</f>
        <v/>
      </c>
      <c r="LR9" s="121" t="str">
        <f>IF(ISBLANK(tbl_task2[[คะแนนเต็ม]:[คะแนนเต็ม]]),"",(tbl_task2[160]/tbl_task2[[คะแนนเต็ม]:[คะแนนเต็ม]])*tbl_task2[[%]:[%]])</f>
        <v/>
      </c>
      <c r="LS9" s="121" t="str">
        <f>IF(ISBLANK(tbl_task2[[คะแนนเต็ม]:[คะแนนเต็ม]]),"",(tbl_task2[161]/tbl_task2[[คะแนนเต็ม]:[คะแนนเต็ม]])*tbl_task2[[%]:[%]])</f>
        <v/>
      </c>
      <c r="LT9" s="121" t="str">
        <f>IF(ISBLANK(tbl_task2[[คะแนนเต็ม]:[คะแนนเต็ม]]),"",(tbl_task2[162]/tbl_task2[[คะแนนเต็ม]:[คะแนนเต็ม]])*tbl_task2[[%]:[%]])</f>
        <v/>
      </c>
      <c r="LU9" s="121" t="str">
        <f>IF(ISBLANK(tbl_task2[[คะแนนเต็ม]:[คะแนนเต็ม]]),"",(tbl_task2[163]/tbl_task2[[คะแนนเต็ม]:[คะแนนเต็ม]])*tbl_task2[[%]:[%]])</f>
        <v/>
      </c>
      <c r="LV9" s="121" t="str">
        <f>IF(ISBLANK(tbl_task2[[คะแนนเต็ม]:[คะแนนเต็ม]]),"",(tbl_task2[164]/tbl_task2[[คะแนนเต็ม]:[คะแนนเต็ม]])*tbl_task2[[%]:[%]])</f>
        <v/>
      </c>
      <c r="LW9" s="121" t="str">
        <f>IF(ISBLANK(tbl_task2[[คะแนนเต็ม]:[คะแนนเต็ม]]),"",(tbl_task2[165]/tbl_task2[[คะแนนเต็ม]:[คะแนนเต็ม]])*tbl_task2[[%]:[%]])</f>
        <v/>
      </c>
    </row>
    <row r="10" spans="1:335" ht="24" customHeight="1" x14ac:dyDescent="0.25">
      <c r="A10" s="24">
        <v>7</v>
      </c>
      <c r="B10" s="20"/>
      <c r="C10" s="5" t="str">
        <f>IF(ISBLANK(B10),"",VLOOKUP(B10,tbl_PLOs[],2,0))</f>
        <v/>
      </c>
      <c r="D10" s="102"/>
      <c r="E10" s="106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22"/>
      <c r="FO10" s="121" t="str">
        <f>IF(ISBLANK(tbl_task2[[คะแนนเต็ม]:[คะแนนเต็ม]]),"",(tbl_task2[1]/tbl_task2[[คะแนนเต็ม]:[คะแนนเต็ม]])*tbl_task2[[%]:[%]])</f>
        <v/>
      </c>
      <c r="FP10" s="121" t="str">
        <f>IF(ISBLANK(tbl_task2[[คะแนนเต็ม]:[คะแนนเต็ม]]),"",(tbl_task2[2]/tbl_task2[[คะแนนเต็ม]:[คะแนนเต็ม]])*tbl_task2[[%]:[%]])</f>
        <v/>
      </c>
      <c r="FQ10" s="121" t="str">
        <f>IF(ISBLANK(tbl_task2[[คะแนนเต็ม]:[คะแนนเต็ม]]),"",(tbl_task2[3]/tbl_task2[[คะแนนเต็ม]:[คะแนนเต็ม]])*tbl_task2[[%]:[%]])</f>
        <v/>
      </c>
      <c r="FR10" s="121" t="str">
        <f>IF(ISBLANK(tbl_task2[[คะแนนเต็ม]:[คะแนนเต็ม]]),"",(tbl_task2[4]/tbl_task2[[คะแนนเต็ม]:[คะแนนเต็ม]])*tbl_task2[[%]:[%]])</f>
        <v/>
      </c>
      <c r="FS10" s="121" t="str">
        <f>IF(ISBLANK(tbl_task2[[คะแนนเต็ม]:[คะแนนเต็ม]]),"",(tbl_task2[5]/tbl_task2[[คะแนนเต็ม]:[คะแนนเต็ม]])*tbl_task2[[%]:[%]])</f>
        <v/>
      </c>
      <c r="FT10" s="121" t="str">
        <f>IF(ISBLANK(tbl_task2[[คะแนนเต็ม]:[คะแนนเต็ม]]),"",(tbl_task2[6]/tbl_task2[[คะแนนเต็ม]:[คะแนนเต็ม]])*tbl_task2[[%]:[%]])</f>
        <v/>
      </c>
      <c r="FU10" s="121" t="str">
        <f>IF(ISBLANK(tbl_task2[[คะแนนเต็ม]:[คะแนนเต็ม]]),"",(tbl_task2[7]/tbl_task2[[คะแนนเต็ม]:[คะแนนเต็ม]])*tbl_task2[[%]:[%]])</f>
        <v/>
      </c>
      <c r="FV10" s="121" t="str">
        <f>IF(ISBLANK(tbl_task2[[คะแนนเต็ม]:[คะแนนเต็ม]]),"",(tbl_task2[8]/tbl_task2[[คะแนนเต็ม]:[คะแนนเต็ม]])*tbl_task2[[%]:[%]])</f>
        <v/>
      </c>
      <c r="FW10" s="121" t="str">
        <f>IF(ISBLANK(tbl_task2[[คะแนนเต็ม]:[คะแนนเต็ม]]),"",(tbl_task2[9]/tbl_task2[[คะแนนเต็ม]:[คะแนนเต็ม]])*tbl_task2[[%]:[%]])</f>
        <v/>
      </c>
      <c r="FX10" s="121" t="str">
        <f>IF(ISBLANK(tbl_task2[[คะแนนเต็ม]:[คะแนนเต็ม]]),"",(tbl_task2[10]/tbl_task2[[คะแนนเต็ม]:[คะแนนเต็ม]])*tbl_task2[[%]:[%]])</f>
        <v/>
      </c>
      <c r="FY10" s="121" t="str">
        <f>IF(ISBLANK(tbl_task2[[คะแนนเต็ม]:[คะแนนเต็ม]]),"",(tbl_task2[11]/tbl_task2[[คะแนนเต็ม]:[คะแนนเต็ม]])*tbl_task2[[%]:[%]])</f>
        <v/>
      </c>
      <c r="FZ10" s="121" t="str">
        <f>IF(ISBLANK(tbl_task2[[คะแนนเต็ม]:[คะแนนเต็ม]]),"",(tbl_task2[12]/tbl_task2[[คะแนนเต็ม]:[คะแนนเต็ม]])*tbl_task2[[%]:[%]])</f>
        <v/>
      </c>
      <c r="GA10" s="121" t="str">
        <f>IF(ISBLANK(tbl_task2[[คะแนนเต็ม]:[คะแนนเต็ม]]),"",(tbl_task2[13]/tbl_task2[[คะแนนเต็ม]:[คะแนนเต็ม]])*tbl_task2[[%]:[%]])</f>
        <v/>
      </c>
      <c r="GB10" s="121" t="str">
        <f>IF(ISBLANK(tbl_task2[[คะแนนเต็ม]:[คะแนนเต็ม]]),"",(tbl_task2[14]/tbl_task2[[คะแนนเต็ม]:[คะแนนเต็ม]])*tbl_task2[[%]:[%]])</f>
        <v/>
      </c>
      <c r="GC10" s="121" t="str">
        <f>IF(ISBLANK(tbl_task2[[คะแนนเต็ม]:[คะแนนเต็ม]]),"",(tbl_task2[15]/tbl_task2[[คะแนนเต็ม]:[คะแนนเต็ม]])*tbl_task2[[%]:[%]])</f>
        <v/>
      </c>
      <c r="GD10" s="121" t="str">
        <f>IF(ISBLANK(tbl_task2[[คะแนนเต็ม]:[คะแนนเต็ม]]),"",(tbl_task2[16]/tbl_task2[[คะแนนเต็ม]:[คะแนนเต็ม]])*tbl_task2[[%]:[%]])</f>
        <v/>
      </c>
      <c r="GE10" s="121" t="str">
        <f>IF(ISBLANK(tbl_task2[[คะแนนเต็ม]:[คะแนนเต็ม]]),"",(tbl_task2[17]/tbl_task2[[คะแนนเต็ม]:[คะแนนเต็ม]])*tbl_task2[[%]:[%]])</f>
        <v/>
      </c>
      <c r="GF10" s="121" t="str">
        <f>IF(ISBLANK(tbl_task2[[คะแนนเต็ม]:[คะแนนเต็ม]]),"",(tbl_task2[18]/tbl_task2[[คะแนนเต็ม]:[คะแนนเต็ม]])*tbl_task2[[%]:[%]])</f>
        <v/>
      </c>
      <c r="GG10" s="121" t="str">
        <f>IF(ISBLANK(tbl_task2[[คะแนนเต็ม]:[คะแนนเต็ม]]),"",(tbl_task2[19]/tbl_task2[[คะแนนเต็ม]:[คะแนนเต็ม]])*tbl_task2[[%]:[%]])</f>
        <v/>
      </c>
      <c r="GH10" s="121" t="str">
        <f>IF(ISBLANK(tbl_task2[[คะแนนเต็ม]:[คะแนนเต็ม]]),"",(tbl_task2[20]/tbl_task2[[คะแนนเต็ม]:[คะแนนเต็ม]])*tbl_task2[[%]:[%]])</f>
        <v/>
      </c>
      <c r="GI10" s="121" t="str">
        <f>IF(ISBLANK(tbl_task2[[คะแนนเต็ม]:[คะแนนเต็ม]]),"",(tbl_task2[21]/tbl_task2[[คะแนนเต็ม]:[คะแนนเต็ม]])*tbl_task2[[%]:[%]])</f>
        <v/>
      </c>
      <c r="GJ10" s="121" t="str">
        <f>IF(ISBLANK(tbl_task2[[คะแนนเต็ม]:[คะแนนเต็ม]]),"",(tbl_task2[22]/tbl_task2[[คะแนนเต็ม]:[คะแนนเต็ม]])*tbl_task2[[%]:[%]])</f>
        <v/>
      </c>
      <c r="GK10" s="121" t="str">
        <f>IF(ISBLANK(tbl_task2[[คะแนนเต็ม]:[คะแนนเต็ม]]),"",(tbl_task2[23]/tbl_task2[[คะแนนเต็ม]:[คะแนนเต็ม]])*tbl_task2[[%]:[%]])</f>
        <v/>
      </c>
      <c r="GL10" s="121" t="str">
        <f>IF(ISBLANK(tbl_task2[[คะแนนเต็ม]:[คะแนนเต็ม]]),"",(tbl_task2[24]/tbl_task2[[คะแนนเต็ม]:[คะแนนเต็ม]])*tbl_task2[[%]:[%]])</f>
        <v/>
      </c>
      <c r="GM10" s="121" t="str">
        <f>IF(ISBLANK(tbl_task2[[คะแนนเต็ม]:[คะแนนเต็ม]]),"",(tbl_task2[25]/tbl_task2[[คะแนนเต็ม]:[คะแนนเต็ม]])*tbl_task2[[%]:[%]])</f>
        <v/>
      </c>
      <c r="GN10" s="121" t="str">
        <f>IF(ISBLANK(tbl_task2[[คะแนนเต็ม]:[คะแนนเต็ม]]),"",(tbl_task2[26]/tbl_task2[[คะแนนเต็ม]:[คะแนนเต็ม]])*tbl_task2[[%]:[%]])</f>
        <v/>
      </c>
      <c r="GO10" s="121" t="str">
        <f>IF(ISBLANK(tbl_task2[[คะแนนเต็ม]:[คะแนนเต็ม]]),"",(tbl_task2[27]/tbl_task2[[คะแนนเต็ม]:[คะแนนเต็ม]])*tbl_task2[[%]:[%]])</f>
        <v/>
      </c>
      <c r="GP10" s="121" t="str">
        <f>IF(ISBLANK(tbl_task2[[คะแนนเต็ม]:[คะแนนเต็ม]]),"",(tbl_task2[28]/tbl_task2[[คะแนนเต็ม]:[คะแนนเต็ม]])*tbl_task2[[%]:[%]])</f>
        <v/>
      </c>
      <c r="GQ10" s="121" t="str">
        <f>IF(ISBLANK(tbl_task2[[คะแนนเต็ม]:[คะแนนเต็ม]]),"",(tbl_task2[29]/tbl_task2[[คะแนนเต็ม]:[คะแนนเต็ม]])*tbl_task2[[%]:[%]])</f>
        <v/>
      </c>
      <c r="GR10" s="121" t="str">
        <f>IF(ISBLANK(tbl_task2[[คะแนนเต็ม]:[คะแนนเต็ม]]),"",(tbl_task2[30]/tbl_task2[[คะแนนเต็ม]:[คะแนนเต็ม]])*tbl_task2[[%]:[%]])</f>
        <v/>
      </c>
      <c r="GS10" s="121" t="str">
        <f>IF(ISBLANK(tbl_task2[[คะแนนเต็ม]:[คะแนนเต็ม]]),"",(tbl_task2[31]/tbl_task2[[คะแนนเต็ม]:[คะแนนเต็ม]])*tbl_task2[[%]:[%]])</f>
        <v/>
      </c>
      <c r="GT10" s="121" t="str">
        <f>IF(ISBLANK(tbl_task2[[คะแนนเต็ม]:[คะแนนเต็ม]]),"",(tbl_task2[32]/tbl_task2[[คะแนนเต็ม]:[คะแนนเต็ม]])*tbl_task2[[%]:[%]])</f>
        <v/>
      </c>
      <c r="GU10" s="121" t="str">
        <f>IF(ISBLANK(tbl_task2[[คะแนนเต็ม]:[คะแนนเต็ม]]),"",(tbl_task2[33]/tbl_task2[[คะแนนเต็ม]:[คะแนนเต็ม]])*tbl_task2[[%]:[%]])</f>
        <v/>
      </c>
      <c r="GV10" s="121" t="str">
        <f>IF(ISBLANK(tbl_task2[[คะแนนเต็ม]:[คะแนนเต็ม]]),"",(tbl_task2[34]/tbl_task2[[คะแนนเต็ม]:[คะแนนเต็ม]])*tbl_task2[[%]:[%]])</f>
        <v/>
      </c>
      <c r="GW10" s="121" t="str">
        <f>IF(ISBLANK(tbl_task2[[คะแนนเต็ม]:[คะแนนเต็ม]]),"",(tbl_task2[35]/tbl_task2[[คะแนนเต็ม]:[คะแนนเต็ม]])*tbl_task2[[%]:[%]])</f>
        <v/>
      </c>
      <c r="GX10" s="121" t="str">
        <f>IF(ISBLANK(tbl_task2[[คะแนนเต็ม]:[คะแนนเต็ม]]),"",(tbl_task2[36]/tbl_task2[[คะแนนเต็ม]:[คะแนนเต็ม]])*tbl_task2[[%]:[%]])</f>
        <v/>
      </c>
      <c r="GY10" s="121" t="str">
        <f>IF(ISBLANK(tbl_task2[[คะแนนเต็ม]:[คะแนนเต็ม]]),"",(tbl_task2[37]/tbl_task2[[คะแนนเต็ม]:[คะแนนเต็ม]])*tbl_task2[[%]:[%]])</f>
        <v/>
      </c>
      <c r="GZ10" s="121" t="str">
        <f>IF(ISBLANK(tbl_task2[[คะแนนเต็ม]:[คะแนนเต็ม]]),"",(tbl_task2[38]/tbl_task2[[คะแนนเต็ม]:[คะแนนเต็ม]])*tbl_task2[[%]:[%]])</f>
        <v/>
      </c>
      <c r="HA10" s="121" t="str">
        <f>IF(ISBLANK(tbl_task2[[คะแนนเต็ม]:[คะแนนเต็ม]]),"",(tbl_task2[39]/tbl_task2[[คะแนนเต็ม]:[คะแนนเต็ม]])*tbl_task2[[%]:[%]])</f>
        <v/>
      </c>
      <c r="HB10" s="121" t="str">
        <f>IF(ISBLANK(tbl_task2[[คะแนนเต็ม]:[คะแนนเต็ม]]),"",(tbl_task2[40]/tbl_task2[[คะแนนเต็ม]:[คะแนนเต็ม]])*tbl_task2[[%]:[%]])</f>
        <v/>
      </c>
      <c r="HC10" s="121" t="str">
        <f>IF(ISBLANK(tbl_task2[[คะแนนเต็ม]:[คะแนนเต็ม]]),"",(tbl_task2[41]/tbl_task2[[คะแนนเต็ม]:[คะแนนเต็ม]])*tbl_task2[[%]:[%]])</f>
        <v/>
      </c>
      <c r="HD10" s="121" t="str">
        <f>IF(ISBLANK(tbl_task2[[คะแนนเต็ม]:[คะแนนเต็ม]]),"",(tbl_task2[42]/tbl_task2[[คะแนนเต็ม]:[คะแนนเต็ม]])*tbl_task2[[%]:[%]])</f>
        <v/>
      </c>
      <c r="HE10" s="121" t="str">
        <f>IF(ISBLANK(tbl_task2[[คะแนนเต็ม]:[คะแนนเต็ม]]),"",(tbl_task2[43]/tbl_task2[[คะแนนเต็ม]:[คะแนนเต็ม]])*tbl_task2[[%]:[%]])</f>
        <v/>
      </c>
      <c r="HF10" s="121" t="str">
        <f>IF(ISBLANK(tbl_task2[[คะแนนเต็ม]:[คะแนนเต็ม]]),"",(tbl_task2[44]/tbl_task2[[คะแนนเต็ม]:[คะแนนเต็ม]])*tbl_task2[[%]:[%]])</f>
        <v/>
      </c>
      <c r="HG10" s="121" t="str">
        <f>IF(ISBLANK(tbl_task2[[คะแนนเต็ม]:[คะแนนเต็ม]]),"",(tbl_task2[45]/tbl_task2[[คะแนนเต็ม]:[คะแนนเต็ม]])*tbl_task2[[%]:[%]])</f>
        <v/>
      </c>
      <c r="HH10" s="121" t="str">
        <f>IF(ISBLANK(tbl_task2[[คะแนนเต็ม]:[คะแนนเต็ม]]),"",(tbl_task2[46]/tbl_task2[[คะแนนเต็ม]:[คะแนนเต็ม]])*tbl_task2[[%]:[%]])</f>
        <v/>
      </c>
      <c r="HI10" s="121" t="str">
        <f>IF(ISBLANK(tbl_task2[[คะแนนเต็ม]:[คะแนนเต็ม]]),"",(tbl_task2[47]/tbl_task2[[คะแนนเต็ม]:[คะแนนเต็ม]])*tbl_task2[[%]:[%]])</f>
        <v/>
      </c>
      <c r="HJ10" s="121" t="str">
        <f>IF(ISBLANK(tbl_task2[[คะแนนเต็ม]:[คะแนนเต็ม]]),"",(tbl_task2[48]/tbl_task2[[คะแนนเต็ม]:[คะแนนเต็ม]])*tbl_task2[[%]:[%]])</f>
        <v/>
      </c>
      <c r="HK10" s="121" t="str">
        <f>IF(ISBLANK(tbl_task2[[คะแนนเต็ม]:[คะแนนเต็ม]]),"",(tbl_task2[49]/tbl_task2[[คะแนนเต็ม]:[คะแนนเต็ม]])*tbl_task2[[%]:[%]])</f>
        <v/>
      </c>
      <c r="HL10" s="121" t="str">
        <f>IF(ISBLANK(tbl_task2[[คะแนนเต็ม]:[คะแนนเต็ม]]),"",(tbl_task2[50]/tbl_task2[[คะแนนเต็ม]:[คะแนนเต็ม]])*tbl_task2[[%]:[%]])</f>
        <v/>
      </c>
      <c r="HM10" s="121" t="str">
        <f>IF(ISBLANK(tbl_task2[[คะแนนเต็ม]:[คะแนนเต็ม]]),"",(tbl_task2[51]/tbl_task2[[คะแนนเต็ม]:[คะแนนเต็ม]])*tbl_task2[[%]:[%]])</f>
        <v/>
      </c>
      <c r="HN10" s="121" t="str">
        <f>IF(ISBLANK(tbl_task2[[คะแนนเต็ม]:[คะแนนเต็ม]]),"",(tbl_task2[52]/tbl_task2[[คะแนนเต็ม]:[คะแนนเต็ม]])*tbl_task2[[%]:[%]])</f>
        <v/>
      </c>
      <c r="HO10" s="121" t="str">
        <f>IF(ISBLANK(tbl_task2[[คะแนนเต็ม]:[คะแนนเต็ม]]),"",(tbl_task2[53]/tbl_task2[[คะแนนเต็ม]:[คะแนนเต็ม]])*tbl_task2[[%]:[%]])</f>
        <v/>
      </c>
      <c r="HP10" s="121" t="str">
        <f>IF(ISBLANK(tbl_task2[[คะแนนเต็ม]:[คะแนนเต็ม]]),"",(tbl_task2[54]/tbl_task2[[คะแนนเต็ม]:[คะแนนเต็ม]])*tbl_task2[[%]:[%]])</f>
        <v/>
      </c>
      <c r="HQ10" s="121" t="str">
        <f>IF(ISBLANK(tbl_task2[[คะแนนเต็ม]:[คะแนนเต็ม]]),"",(tbl_task2[55]/tbl_task2[[คะแนนเต็ม]:[คะแนนเต็ม]])*tbl_task2[[%]:[%]])</f>
        <v/>
      </c>
      <c r="HR10" s="121" t="str">
        <f>IF(ISBLANK(tbl_task2[[คะแนนเต็ม]:[คะแนนเต็ม]]),"",(tbl_task2[56]/tbl_task2[[คะแนนเต็ม]:[คะแนนเต็ม]])*tbl_task2[[%]:[%]])</f>
        <v/>
      </c>
      <c r="HS10" s="121" t="str">
        <f>IF(ISBLANK(tbl_task2[[คะแนนเต็ม]:[คะแนนเต็ม]]),"",(tbl_task2[57]/tbl_task2[[คะแนนเต็ม]:[คะแนนเต็ม]])*tbl_task2[[%]:[%]])</f>
        <v/>
      </c>
      <c r="HT10" s="121" t="str">
        <f>IF(ISBLANK(tbl_task2[[คะแนนเต็ม]:[คะแนนเต็ม]]),"",(tbl_task2[58]/tbl_task2[[คะแนนเต็ม]:[คะแนนเต็ม]])*tbl_task2[[%]:[%]])</f>
        <v/>
      </c>
      <c r="HU10" s="121" t="str">
        <f>IF(ISBLANK(tbl_task2[[คะแนนเต็ม]:[คะแนนเต็ม]]),"",(tbl_task2[59]/tbl_task2[[คะแนนเต็ม]:[คะแนนเต็ม]])*tbl_task2[[%]:[%]])</f>
        <v/>
      </c>
      <c r="HV10" s="121" t="str">
        <f>IF(ISBLANK(tbl_task2[[คะแนนเต็ม]:[คะแนนเต็ม]]),"",(tbl_task2[60]/tbl_task2[[คะแนนเต็ม]:[คะแนนเต็ม]])*tbl_task2[[%]:[%]])</f>
        <v/>
      </c>
      <c r="HW10" s="121" t="str">
        <f>IF(ISBLANK(tbl_task2[[คะแนนเต็ม]:[คะแนนเต็ม]]),"",(tbl_task2[61]/tbl_task2[[คะแนนเต็ม]:[คะแนนเต็ม]])*tbl_task2[[%]:[%]])</f>
        <v/>
      </c>
      <c r="HX10" s="121" t="str">
        <f>IF(ISBLANK(tbl_task2[[คะแนนเต็ม]:[คะแนนเต็ม]]),"",(tbl_task2[62]/tbl_task2[[คะแนนเต็ม]:[คะแนนเต็ม]])*tbl_task2[[%]:[%]])</f>
        <v/>
      </c>
      <c r="HY10" s="121" t="str">
        <f>IF(ISBLANK(tbl_task2[[คะแนนเต็ม]:[คะแนนเต็ม]]),"",(tbl_task2[63]/tbl_task2[[คะแนนเต็ม]:[คะแนนเต็ม]])*tbl_task2[[%]:[%]])</f>
        <v/>
      </c>
      <c r="HZ10" s="121" t="str">
        <f>IF(ISBLANK(tbl_task2[[คะแนนเต็ม]:[คะแนนเต็ม]]),"",(tbl_task2[64]/tbl_task2[[คะแนนเต็ม]:[คะแนนเต็ม]])*tbl_task2[[%]:[%]])</f>
        <v/>
      </c>
      <c r="IA10" s="121" t="str">
        <f>IF(ISBLANK(tbl_task2[[คะแนนเต็ม]:[คะแนนเต็ม]]),"",(tbl_task2[65]/tbl_task2[[คะแนนเต็ม]:[คะแนนเต็ม]])*tbl_task2[[%]:[%]])</f>
        <v/>
      </c>
      <c r="IB10" s="121" t="str">
        <f>IF(ISBLANK(tbl_task2[[คะแนนเต็ม]:[คะแนนเต็ม]]),"",(tbl_task2[66]/tbl_task2[[คะแนนเต็ม]:[คะแนนเต็ม]])*tbl_task2[[%]:[%]])</f>
        <v/>
      </c>
      <c r="IC10" s="121" t="str">
        <f>IF(ISBLANK(tbl_task2[[คะแนนเต็ม]:[คะแนนเต็ม]]),"",(tbl_task2[67]/tbl_task2[[คะแนนเต็ม]:[คะแนนเต็ม]])*tbl_task2[[%]:[%]])</f>
        <v/>
      </c>
      <c r="ID10" s="121" t="str">
        <f>IF(ISBLANK(tbl_task2[[คะแนนเต็ม]:[คะแนนเต็ม]]),"",(tbl_task2[68]/tbl_task2[[คะแนนเต็ม]:[คะแนนเต็ม]])*tbl_task2[[%]:[%]])</f>
        <v/>
      </c>
      <c r="IE10" s="121" t="str">
        <f>IF(ISBLANK(tbl_task2[[คะแนนเต็ม]:[คะแนนเต็ม]]),"",(tbl_task2[69]/tbl_task2[[คะแนนเต็ม]:[คะแนนเต็ม]])*tbl_task2[[%]:[%]])</f>
        <v/>
      </c>
      <c r="IF10" s="121" t="str">
        <f>IF(ISBLANK(tbl_task2[[คะแนนเต็ม]:[คะแนนเต็ม]]),"",(tbl_task2[70]/tbl_task2[[คะแนนเต็ม]:[คะแนนเต็ม]])*tbl_task2[[%]:[%]])</f>
        <v/>
      </c>
      <c r="IG10" s="121" t="str">
        <f>IF(ISBLANK(tbl_task2[[คะแนนเต็ม]:[คะแนนเต็ม]]),"",(tbl_task2[71]/tbl_task2[[คะแนนเต็ม]:[คะแนนเต็ม]])*tbl_task2[[%]:[%]])</f>
        <v/>
      </c>
      <c r="IH10" s="121" t="str">
        <f>IF(ISBLANK(tbl_task2[[คะแนนเต็ม]:[คะแนนเต็ม]]),"",(tbl_task2[72]/tbl_task2[[คะแนนเต็ม]:[คะแนนเต็ม]])*tbl_task2[[%]:[%]])</f>
        <v/>
      </c>
      <c r="II10" s="121" t="str">
        <f>IF(ISBLANK(tbl_task2[[คะแนนเต็ม]:[คะแนนเต็ม]]),"",(tbl_task2[73]/tbl_task2[[คะแนนเต็ม]:[คะแนนเต็ม]])*tbl_task2[[%]:[%]])</f>
        <v/>
      </c>
      <c r="IJ10" s="121" t="str">
        <f>IF(ISBLANK(tbl_task2[[คะแนนเต็ม]:[คะแนนเต็ม]]),"",(tbl_task2[74]/tbl_task2[[คะแนนเต็ม]:[คะแนนเต็ม]])*tbl_task2[[%]:[%]])</f>
        <v/>
      </c>
      <c r="IK10" s="121" t="str">
        <f>IF(ISBLANK(tbl_task2[[คะแนนเต็ม]:[คะแนนเต็ม]]),"",(tbl_task2[75]/tbl_task2[[คะแนนเต็ม]:[คะแนนเต็ม]])*tbl_task2[[%]:[%]])</f>
        <v/>
      </c>
      <c r="IL10" s="121" t="str">
        <f>IF(ISBLANK(tbl_task2[[คะแนนเต็ม]:[คะแนนเต็ม]]),"",(tbl_task2[76]/tbl_task2[[คะแนนเต็ม]:[คะแนนเต็ม]])*tbl_task2[[%]:[%]])</f>
        <v/>
      </c>
      <c r="IM10" s="121" t="str">
        <f>IF(ISBLANK(tbl_task2[[คะแนนเต็ม]:[คะแนนเต็ม]]),"",(tbl_task2[77]/tbl_task2[[คะแนนเต็ม]:[คะแนนเต็ม]])*tbl_task2[[%]:[%]])</f>
        <v/>
      </c>
      <c r="IN10" s="121" t="str">
        <f>IF(ISBLANK(tbl_task2[[คะแนนเต็ม]:[คะแนนเต็ม]]),"",(tbl_task2[78]/tbl_task2[[คะแนนเต็ม]:[คะแนนเต็ม]])*tbl_task2[[%]:[%]])</f>
        <v/>
      </c>
      <c r="IO10" s="121" t="str">
        <f>IF(ISBLANK(tbl_task2[[คะแนนเต็ม]:[คะแนนเต็ม]]),"",(tbl_task2[79]/tbl_task2[[คะแนนเต็ม]:[คะแนนเต็ม]])*tbl_task2[[%]:[%]])</f>
        <v/>
      </c>
      <c r="IP10" s="121" t="str">
        <f>IF(ISBLANK(tbl_task2[[คะแนนเต็ม]:[คะแนนเต็ม]]),"",(tbl_task2[80]/tbl_task2[[คะแนนเต็ม]:[คะแนนเต็ม]])*tbl_task2[[%]:[%]])</f>
        <v/>
      </c>
      <c r="IQ10" s="121" t="str">
        <f>IF(ISBLANK(tbl_task2[[คะแนนเต็ม]:[คะแนนเต็ม]]),"",(tbl_task2[81]/tbl_task2[[คะแนนเต็ม]:[คะแนนเต็ม]])*tbl_task2[[%]:[%]])</f>
        <v/>
      </c>
      <c r="IR10" s="121" t="str">
        <f>IF(ISBLANK(tbl_task2[[คะแนนเต็ม]:[คะแนนเต็ม]]),"",(tbl_task2[82]/tbl_task2[[คะแนนเต็ม]:[คะแนนเต็ม]])*tbl_task2[[%]:[%]])</f>
        <v/>
      </c>
      <c r="IS10" s="121" t="str">
        <f>IF(ISBLANK(tbl_task2[[คะแนนเต็ม]:[คะแนนเต็ม]]),"",(tbl_task2[83]/tbl_task2[[คะแนนเต็ม]:[คะแนนเต็ม]])*tbl_task2[[%]:[%]])</f>
        <v/>
      </c>
      <c r="IT10" s="121" t="str">
        <f>IF(ISBLANK(tbl_task2[[คะแนนเต็ม]:[คะแนนเต็ม]]),"",(tbl_task2[84]/tbl_task2[[คะแนนเต็ม]:[คะแนนเต็ม]])*tbl_task2[[%]:[%]])</f>
        <v/>
      </c>
      <c r="IU10" s="121" t="str">
        <f>IF(ISBLANK(tbl_task2[[คะแนนเต็ม]:[คะแนนเต็ม]]),"",(tbl_task2[85]/tbl_task2[[คะแนนเต็ม]:[คะแนนเต็ม]])*tbl_task2[[%]:[%]])</f>
        <v/>
      </c>
      <c r="IV10" s="121" t="str">
        <f>IF(ISBLANK(tbl_task2[[คะแนนเต็ม]:[คะแนนเต็ม]]),"",(tbl_task2[86]/tbl_task2[[คะแนนเต็ม]:[คะแนนเต็ม]])*tbl_task2[[%]:[%]])</f>
        <v/>
      </c>
      <c r="IW10" s="121" t="str">
        <f>IF(ISBLANK(tbl_task2[[คะแนนเต็ม]:[คะแนนเต็ม]]),"",(tbl_task2[87]/tbl_task2[[คะแนนเต็ม]:[คะแนนเต็ม]])*tbl_task2[[%]:[%]])</f>
        <v/>
      </c>
      <c r="IX10" s="121" t="str">
        <f>IF(ISBLANK(tbl_task2[[คะแนนเต็ม]:[คะแนนเต็ม]]),"",(tbl_task2[88]/tbl_task2[[คะแนนเต็ม]:[คะแนนเต็ม]])*tbl_task2[[%]:[%]])</f>
        <v/>
      </c>
      <c r="IY10" s="121" t="str">
        <f>IF(ISBLANK(tbl_task2[[คะแนนเต็ม]:[คะแนนเต็ม]]),"",(tbl_task2[89]/tbl_task2[[คะแนนเต็ม]:[คะแนนเต็ม]])*tbl_task2[[%]:[%]])</f>
        <v/>
      </c>
      <c r="IZ10" s="121" t="str">
        <f>IF(ISBLANK(tbl_task2[[คะแนนเต็ม]:[คะแนนเต็ม]]),"",(tbl_task2[90]/tbl_task2[[คะแนนเต็ม]:[คะแนนเต็ม]])*tbl_task2[[%]:[%]])</f>
        <v/>
      </c>
      <c r="JA10" s="121" t="str">
        <f>IF(ISBLANK(tbl_task2[[คะแนนเต็ม]:[คะแนนเต็ม]]),"",(tbl_task2[91]/tbl_task2[[คะแนนเต็ม]:[คะแนนเต็ม]])*tbl_task2[[%]:[%]])</f>
        <v/>
      </c>
      <c r="JB10" s="121" t="str">
        <f>IF(ISBLANK(tbl_task2[[คะแนนเต็ม]:[คะแนนเต็ม]]),"",(tbl_task2[92]/tbl_task2[[คะแนนเต็ม]:[คะแนนเต็ม]])*tbl_task2[[%]:[%]])</f>
        <v/>
      </c>
      <c r="JC10" s="121" t="str">
        <f>IF(ISBLANK(tbl_task2[[คะแนนเต็ม]:[คะแนนเต็ม]]),"",(tbl_task2[93]/tbl_task2[[คะแนนเต็ม]:[คะแนนเต็ม]])*tbl_task2[[%]:[%]])</f>
        <v/>
      </c>
      <c r="JD10" s="121" t="str">
        <f>IF(ISBLANK(tbl_task2[[คะแนนเต็ม]:[คะแนนเต็ม]]),"",(tbl_task2[94]/tbl_task2[[คะแนนเต็ม]:[คะแนนเต็ม]])*tbl_task2[[%]:[%]])</f>
        <v/>
      </c>
      <c r="JE10" s="121" t="str">
        <f>IF(ISBLANK(tbl_task2[[คะแนนเต็ม]:[คะแนนเต็ม]]),"",(tbl_task2[95]/tbl_task2[[คะแนนเต็ม]:[คะแนนเต็ม]])*tbl_task2[[%]:[%]])</f>
        <v/>
      </c>
      <c r="JF10" s="121" t="str">
        <f>IF(ISBLANK(tbl_task2[[คะแนนเต็ม]:[คะแนนเต็ม]]),"",(tbl_task2[96]/tbl_task2[[คะแนนเต็ม]:[คะแนนเต็ม]])*tbl_task2[[%]:[%]])</f>
        <v/>
      </c>
      <c r="JG10" s="121" t="str">
        <f>IF(ISBLANK(tbl_task2[[คะแนนเต็ม]:[คะแนนเต็ม]]),"",(tbl_task2[97]/tbl_task2[[คะแนนเต็ม]:[คะแนนเต็ม]])*tbl_task2[[%]:[%]])</f>
        <v/>
      </c>
      <c r="JH10" s="121" t="str">
        <f>IF(ISBLANK(tbl_task2[[คะแนนเต็ม]:[คะแนนเต็ม]]),"",(tbl_task2[98]/tbl_task2[[คะแนนเต็ม]:[คะแนนเต็ม]])*tbl_task2[[%]:[%]])</f>
        <v/>
      </c>
      <c r="JI10" s="121" t="str">
        <f>IF(ISBLANK(tbl_task2[[คะแนนเต็ม]:[คะแนนเต็ม]]),"",(tbl_task2[99]/tbl_task2[[คะแนนเต็ม]:[คะแนนเต็ม]])*tbl_task2[[%]:[%]])</f>
        <v/>
      </c>
      <c r="JJ10" s="121" t="str">
        <f>IF(ISBLANK(tbl_task2[[คะแนนเต็ม]:[คะแนนเต็ม]]),"",(tbl_task2[100]/tbl_task2[[คะแนนเต็ม]:[คะแนนเต็ม]])*tbl_task2[[%]:[%]])</f>
        <v/>
      </c>
      <c r="JK10" s="121" t="str">
        <f>IF(ISBLANK(tbl_task2[[คะแนนเต็ม]:[คะแนนเต็ม]]),"",(tbl_task2[101]/tbl_task2[[คะแนนเต็ม]:[คะแนนเต็ม]])*tbl_task2[[%]:[%]])</f>
        <v/>
      </c>
      <c r="JL10" s="121" t="str">
        <f>IF(ISBLANK(tbl_task2[[คะแนนเต็ม]:[คะแนนเต็ม]]),"",(tbl_task2[102]/tbl_task2[[คะแนนเต็ม]:[คะแนนเต็ม]])*tbl_task2[[%]:[%]])</f>
        <v/>
      </c>
      <c r="JM10" s="121" t="str">
        <f>IF(ISBLANK(tbl_task2[[คะแนนเต็ม]:[คะแนนเต็ม]]),"",(tbl_task2[103]/tbl_task2[[คะแนนเต็ม]:[คะแนนเต็ม]])*tbl_task2[[%]:[%]])</f>
        <v/>
      </c>
      <c r="JN10" s="121" t="str">
        <f>IF(ISBLANK(tbl_task2[[คะแนนเต็ม]:[คะแนนเต็ม]]),"",(tbl_task2[104]/tbl_task2[[คะแนนเต็ม]:[คะแนนเต็ม]])*tbl_task2[[%]:[%]])</f>
        <v/>
      </c>
      <c r="JO10" s="121" t="str">
        <f>IF(ISBLANK(tbl_task2[[คะแนนเต็ม]:[คะแนนเต็ม]]),"",(tbl_task2[105]/tbl_task2[[คะแนนเต็ม]:[คะแนนเต็ม]])*tbl_task2[[%]:[%]])</f>
        <v/>
      </c>
      <c r="JP10" s="121" t="str">
        <f>IF(ISBLANK(tbl_task2[[คะแนนเต็ม]:[คะแนนเต็ม]]),"",(tbl_task2[106]/tbl_task2[[คะแนนเต็ม]:[คะแนนเต็ม]])*tbl_task2[[%]:[%]])</f>
        <v/>
      </c>
      <c r="JQ10" s="121" t="str">
        <f>IF(ISBLANK(tbl_task2[[คะแนนเต็ม]:[คะแนนเต็ม]]),"",(tbl_task2[107]/tbl_task2[[คะแนนเต็ม]:[คะแนนเต็ม]])*tbl_task2[[%]:[%]])</f>
        <v/>
      </c>
      <c r="JR10" s="121" t="str">
        <f>IF(ISBLANK(tbl_task2[[คะแนนเต็ม]:[คะแนนเต็ม]]),"",(tbl_task2[108]/tbl_task2[[คะแนนเต็ม]:[คะแนนเต็ม]])*tbl_task2[[%]:[%]])</f>
        <v/>
      </c>
      <c r="JS10" s="121" t="str">
        <f>IF(ISBLANK(tbl_task2[[คะแนนเต็ม]:[คะแนนเต็ม]]),"",(tbl_task2[109]/tbl_task2[[คะแนนเต็ม]:[คะแนนเต็ม]])*tbl_task2[[%]:[%]])</f>
        <v/>
      </c>
      <c r="JT10" s="121" t="str">
        <f>IF(ISBLANK(tbl_task2[[คะแนนเต็ม]:[คะแนนเต็ม]]),"",(tbl_task2[110]/tbl_task2[[คะแนนเต็ม]:[คะแนนเต็ม]])*tbl_task2[[%]:[%]])</f>
        <v/>
      </c>
      <c r="JU10" s="121" t="str">
        <f>IF(ISBLANK(tbl_task2[[คะแนนเต็ม]:[คะแนนเต็ม]]),"",(tbl_task2[111]/tbl_task2[[คะแนนเต็ม]:[คะแนนเต็ม]])*tbl_task2[[%]:[%]])</f>
        <v/>
      </c>
      <c r="JV10" s="121" t="str">
        <f>IF(ISBLANK(tbl_task2[[คะแนนเต็ม]:[คะแนนเต็ม]]),"",(tbl_task2[112]/tbl_task2[[คะแนนเต็ม]:[คะแนนเต็ม]])*tbl_task2[[%]:[%]])</f>
        <v/>
      </c>
      <c r="JW10" s="121" t="str">
        <f>IF(ISBLANK(tbl_task2[[คะแนนเต็ม]:[คะแนนเต็ม]]),"",(tbl_task2[113]/tbl_task2[[คะแนนเต็ม]:[คะแนนเต็ม]])*tbl_task2[[%]:[%]])</f>
        <v/>
      </c>
      <c r="JX10" s="121" t="str">
        <f>IF(ISBLANK(tbl_task2[[คะแนนเต็ม]:[คะแนนเต็ม]]),"",(tbl_task2[114]/tbl_task2[[คะแนนเต็ม]:[คะแนนเต็ม]])*tbl_task2[[%]:[%]])</f>
        <v/>
      </c>
      <c r="JY10" s="121" t="str">
        <f>IF(ISBLANK(tbl_task2[[คะแนนเต็ม]:[คะแนนเต็ม]]),"",(tbl_task2[115]/tbl_task2[[คะแนนเต็ม]:[คะแนนเต็ม]])*tbl_task2[[%]:[%]])</f>
        <v/>
      </c>
      <c r="JZ10" s="121" t="str">
        <f>IF(ISBLANK(tbl_task2[[คะแนนเต็ม]:[คะแนนเต็ม]]),"",(tbl_task2[116]/tbl_task2[[คะแนนเต็ม]:[คะแนนเต็ม]])*tbl_task2[[%]:[%]])</f>
        <v/>
      </c>
      <c r="KA10" s="121" t="str">
        <f>IF(ISBLANK(tbl_task2[[คะแนนเต็ม]:[คะแนนเต็ม]]),"",(tbl_task2[117]/tbl_task2[[คะแนนเต็ม]:[คะแนนเต็ม]])*tbl_task2[[%]:[%]])</f>
        <v/>
      </c>
      <c r="KB10" s="121" t="str">
        <f>IF(ISBLANK(tbl_task2[[คะแนนเต็ม]:[คะแนนเต็ม]]),"",(tbl_task2[118]/tbl_task2[[คะแนนเต็ม]:[คะแนนเต็ม]])*tbl_task2[[%]:[%]])</f>
        <v/>
      </c>
      <c r="KC10" s="121" t="str">
        <f>IF(ISBLANK(tbl_task2[[คะแนนเต็ม]:[คะแนนเต็ม]]),"",(tbl_task2[119]/tbl_task2[[คะแนนเต็ม]:[คะแนนเต็ม]])*tbl_task2[[%]:[%]])</f>
        <v/>
      </c>
      <c r="KD10" s="121" t="str">
        <f>IF(ISBLANK(tbl_task2[[คะแนนเต็ม]:[คะแนนเต็ม]]),"",(tbl_task2[120]/tbl_task2[[คะแนนเต็ม]:[คะแนนเต็ม]])*tbl_task2[[%]:[%]])</f>
        <v/>
      </c>
      <c r="KE10" s="121" t="str">
        <f>IF(ISBLANK(tbl_task2[[คะแนนเต็ม]:[คะแนนเต็ม]]),"",(tbl_task2[121]/tbl_task2[[คะแนนเต็ม]:[คะแนนเต็ม]])*tbl_task2[[%]:[%]])</f>
        <v/>
      </c>
      <c r="KF10" s="121" t="str">
        <f>IF(ISBLANK(tbl_task2[[คะแนนเต็ม]:[คะแนนเต็ม]]),"",(tbl_task2[122]/tbl_task2[[คะแนนเต็ม]:[คะแนนเต็ม]])*tbl_task2[[%]:[%]])</f>
        <v/>
      </c>
      <c r="KG10" s="121" t="str">
        <f>IF(ISBLANK(tbl_task2[[คะแนนเต็ม]:[คะแนนเต็ม]]),"",(tbl_task2[123]/tbl_task2[[คะแนนเต็ม]:[คะแนนเต็ม]])*tbl_task2[[%]:[%]])</f>
        <v/>
      </c>
      <c r="KH10" s="121" t="str">
        <f>IF(ISBLANK(tbl_task2[[คะแนนเต็ม]:[คะแนนเต็ม]]),"",(tbl_task2[124]/tbl_task2[[คะแนนเต็ม]:[คะแนนเต็ม]])*tbl_task2[[%]:[%]])</f>
        <v/>
      </c>
      <c r="KI10" s="121" t="str">
        <f>IF(ISBLANK(tbl_task2[[คะแนนเต็ม]:[คะแนนเต็ม]]),"",(tbl_task2[125]/tbl_task2[[คะแนนเต็ม]:[คะแนนเต็ม]])*tbl_task2[[%]:[%]])</f>
        <v/>
      </c>
      <c r="KJ10" s="121" t="str">
        <f>IF(ISBLANK(tbl_task2[[คะแนนเต็ม]:[คะแนนเต็ม]]),"",(tbl_task2[126]/tbl_task2[[คะแนนเต็ม]:[คะแนนเต็ม]])*tbl_task2[[%]:[%]])</f>
        <v/>
      </c>
      <c r="KK10" s="121" t="str">
        <f>IF(ISBLANK(tbl_task2[[คะแนนเต็ม]:[คะแนนเต็ม]]),"",(tbl_task2[127]/tbl_task2[[คะแนนเต็ม]:[คะแนนเต็ม]])*tbl_task2[[%]:[%]])</f>
        <v/>
      </c>
      <c r="KL10" s="121" t="str">
        <f>IF(ISBLANK(tbl_task2[[คะแนนเต็ม]:[คะแนนเต็ม]]),"",(tbl_task2[128]/tbl_task2[[คะแนนเต็ม]:[คะแนนเต็ม]])*tbl_task2[[%]:[%]])</f>
        <v/>
      </c>
      <c r="KM10" s="121" t="str">
        <f>IF(ISBLANK(tbl_task2[[คะแนนเต็ม]:[คะแนนเต็ม]]),"",(tbl_task2[129]/tbl_task2[[คะแนนเต็ม]:[คะแนนเต็ม]])*tbl_task2[[%]:[%]])</f>
        <v/>
      </c>
      <c r="KN10" s="121" t="str">
        <f>IF(ISBLANK(tbl_task2[[คะแนนเต็ม]:[คะแนนเต็ม]]),"",(tbl_task2[130]/tbl_task2[[คะแนนเต็ม]:[คะแนนเต็ม]])*tbl_task2[[%]:[%]])</f>
        <v/>
      </c>
      <c r="KO10" s="121" t="str">
        <f>IF(ISBLANK(tbl_task2[[คะแนนเต็ม]:[คะแนนเต็ม]]),"",(tbl_task2[131]/tbl_task2[[คะแนนเต็ม]:[คะแนนเต็ม]])*tbl_task2[[%]:[%]])</f>
        <v/>
      </c>
      <c r="KP10" s="121" t="str">
        <f>IF(ISBLANK(tbl_task2[[คะแนนเต็ม]:[คะแนนเต็ม]]),"",(tbl_task2[132]/tbl_task2[[คะแนนเต็ม]:[คะแนนเต็ม]])*tbl_task2[[%]:[%]])</f>
        <v/>
      </c>
      <c r="KQ10" s="121" t="str">
        <f>IF(ISBLANK(tbl_task2[[คะแนนเต็ม]:[คะแนนเต็ม]]),"",(tbl_task2[133]/tbl_task2[[คะแนนเต็ม]:[คะแนนเต็ม]])*tbl_task2[[%]:[%]])</f>
        <v/>
      </c>
      <c r="KR10" s="121" t="str">
        <f>IF(ISBLANK(tbl_task2[[คะแนนเต็ม]:[คะแนนเต็ม]]),"",(tbl_task2[134]/tbl_task2[[คะแนนเต็ม]:[คะแนนเต็ม]])*tbl_task2[[%]:[%]])</f>
        <v/>
      </c>
      <c r="KS10" s="121" t="str">
        <f>IF(ISBLANK(tbl_task2[[คะแนนเต็ม]:[คะแนนเต็ม]]),"",(tbl_task2[135]/tbl_task2[[คะแนนเต็ม]:[คะแนนเต็ม]])*tbl_task2[[%]:[%]])</f>
        <v/>
      </c>
      <c r="KT10" s="121" t="str">
        <f>IF(ISBLANK(tbl_task2[[คะแนนเต็ม]:[คะแนนเต็ม]]),"",(tbl_task2[136]/tbl_task2[[คะแนนเต็ม]:[คะแนนเต็ม]])*tbl_task2[[%]:[%]])</f>
        <v/>
      </c>
      <c r="KU10" s="121" t="str">
        <f>IF(ISBLANK(tbl_task2[[คะแนนเต็ม]:[คะแนนเต็ม]]),"",(tbl_task2[137]/tbl_task2[[คะแนนเต็ม]:[คะแนนเต็ม]])*tbl_task2[[%]:[%]])</f>
        <v/>
      </c>
      <c r="KV10" s="121" t="str">
        <f>IF(ISBLANK(tbl_task2[[คะแนนเต็ม]:[คะแนนเต็ม]]),"",(tbl_task2[138]/tbl_task2[[คะแนนเต็ม]:[คะแนนเต็ม]])*tbl_task2[[%]:[%]])</f>
        <v/>
      </c>
      <c r="KW10" s="121" t="str">
        <f>IF(ISBLANK(tbl_task2[[คะแนนเต็ม]:[คะแนนเต็ม]]),"",(tbl_task2[139]/tbl_task2[[คะแนนเต็ม]:[คะแนนเต็ม]])*tbl_task2[[%]:[%]])</f>
        <v/>
      </c>
      <c r="KX10" s="121" t="str">
        <f>IF(ISBLANK(tbl_task2[[คะแนนเต็ม]:[คะแนนเต็ม]]),"",(tbl_task2[140]/tbl_task2[[คะแนนเต็ม]:[คะแนนเต็ม]])*tbl_task2[[%]:[%]])</f>
        <v/>
      </c>
      <c r="KY10" s="121" t="str">
        <f>IF(ISBLANK(tbl_task2[[คะแนนเต็ม]:[คะแนนเต็ม]]),"",(tbl_task2[141]/tbl_task2[[คะแนนเต็ม]:[คะแนนเต็ม]])*tbl_task2[[%]:[%]])</f>
        <v/>
      </c>
      <c r="KZ10" s="121" t="str">
        <f>IF(ISBLANK(tbl_task2[[คะแนนเต็ม]:[คะแนนเต็ม]]),"",(tbl_task2[142]/tbl_task2[[คะแนนเต็ม]:[คะแนนเต็ม]])*tbl_task2[[%]:[%]])</f>
        <v/>
      </c>
      <c r="LA10" s="121" t="str">
        <f>IF(ISBLANK(tbl_task2[[คะแนนเต็ม]:[คะแนนเต็ม]]),"",(tbl_task2[143]/tbl_task2[[คะแนนเต็ม]:[คะแนนเต็ม]])*tbl_task2[[%]:[%]])</f>
        <v/>
      </c>
      <c r="LB10" s="121" t="str">
        <f>IF(ISBLANK(tbl_task2[[คะแนนเต็ม]:[คะแนนเต็ม]]),"",(tbl_task2[144]/tbl_task2[[คะแนนเต็ม]:[คะแนนเต็ม]])*tbl_task2[[%]:[%]])</f>
        <v/>
      </c>
      <c r="LC10" s="121" t="str">
        <f>IF(ISBLANK(tbl_task2[[คะแนนเต็ม]:[คะแนนเต็ม]]),"",(tbl_task2[145]/tbl_task2[[คะแนนเต็ม]:[คะแนนเต็ม]])*tbl_task2[[%]:[%]])</f>
        <v/>
      </c>
      <c r="LD10" s="121" t="str">
        <f>IF(ISBLANK(tbl_task2[[คะแนนเต็ม]:[คะแนนเต็ม]]),"",(tbl_task2[146]/tbl_task2[[คะแนนเต็ม]:[คะแนนเต็ม]])*tbl_task2[[%]:[%]])</f>
        <v/>
      </c>
      <c r="LE10" s="121" t="str">
        <f>IF(ISBLANK(tbl_task2[[คะแนนเต็ม]:[คะแนนเต็ม]]),"",(tbl_task2[147]/tbl_task2[[คะแนนเต็ม]:[คะแนนเต็ม]])*tbl_task2[[%]:[%]])</f>
        <v/>
      </c>
      <c r="LF10" s="121" t="str">
        <f>IF(ISBLANK(tbl_task2[[คะแนนเต็ม]:[คะแนนเต็ม]]),"",(tbl_task2[148]/tbl_task2[[คะแนนเต็ม]:[คะแนนเต็ม]])*tbl_task2[[%]:[%]])</f>
        <v/>
      </c>
      <c r="LG10" s="121" t="str">
        <f>IF(ISBLANK(tbl_task2[[คะแนนเต็ม]:[คะแนนเต็ม]]),"",(tbl_task2[149]/tbl_task2[[คะแนนเต็ม]:[คะแนนเต็ม]])*tbl_task2[[%]:[%]])</f>
        <v/>
      </c>
      <c r="LH10" s="121" t="str">
        <f>IF(ISBLANK(tbl_task2[[คะแนนเต็ม]:[คะแนนเต็ม]]),"",(tbl_task2[150]/tbl_task2[[คะแนนเต็ม]:[คะแนนเต็ม]])*tbl_task2[[%]:[%]])</f>
        <v/>
      </c>
      <c r="LI10" s="121" t="str">
        <f>IF(ISBLANK(tbl_task2[[คะแนนเต็ม]:[คะแนนเต็ม]]),"",(tbl_task2[151]/tbl_task2[[คะแนนเต็ม]:[คะแนนเต็ม]])*tbl_task2[[%]:[%]])</f>
        <v/>
      </c>
      <c r="LJ10" s="121" t="str">
        <f>IF(ISBLANK(tbl_task2[[คะแนนเต็ม]:[คะแนนเต็ม]]),"",(tbl_task2[152]/tbl_task2[[คะแนนเต็ม]:[คะแนนเต็ม]])*tbl_task2[[%]:[%]])</f>
        <v/>
      </c>
      <c r="LK10" s="121" t="str">
        <f>IF(ISBLANK(tbl_task2[[คะแนนเต็ม]:[คะแนนเต็ม]]),"",(tbl_task2[153]/tbl_task2[[คะแนนเต็ม]:[คะแนนเต็ม]])*tbl_task2[[%]:[%]])</f>
        <v/>
      </c>
      <c r="LL10" s="121" t="str">
        <f>IF(ISBLANK(tbl_task2[[คะแนนเต็ม]:[คะแนนเต็ม]]),"",(tbl_task2[154]/tbl_task2[[คะแนนเต็ม]:[คะแนนเต็ม]])*tbl_task2[[%]:[%]])</f>
        <v/>
      </c>
      <c r="LM10" s="121" t="str">
        <f>IF(ISBLANK(tbl_task2[[คะแนนเต็ม]:[คะแนนเต็ม]]),"",(tbl_task2[155]/tbl_task2[[คะแนนเต็ม]:[คะแนนเต็ม]])*tbl_task2[[%]:[%]])</f>
        <v/>
      </c>
      <c r="LN10" s="121" t="str">
        <f>IF(ISBLANK(tbl_task2[[คะแนนเต็ม]:[คะแนนเต็ม]]),"",(tbl_task2[156]/tbl_task2[[คะแนนเต็ม]:[คะแนนเต็ม]])*tbl_task2[[%]:[%]])</f>
        <v/>
      </c>
      <c r="LO10" s="121" t="str">
        <f>IF(ISBLANK(tbl_task2[[คะแนนเต็ม]:[คะแนนเต็ม]]),"",(tbl_task2[157]/tbl_task2[[คะแนนเต็ม]:[คะแนนเต็ม]])*tbl_task2[[%]:[%]])</f>
        <v/>
      </c>
      <c r="LP10" s="121" t="str">
        <f>IF(ISBLANK(tbl_task2[[คะแนนเต็ม]:[คะแนนเต็ม]]),"",(tbl_task2[158]/tbl_task2[[คะแนนเต็ม]:[คะแนนเต็ม]])*tbl_task2[[%]:[%]])</f>
        <v/>
      </c>
      <c r="LQ10" s="121" t="str">
        <f>IF(ISBLANK(tbl_task2[[คะแนนเต็ม]:[คะแนนเต็ม]]),"",(tbl_task2[159]/tbl_task2[[คะแนนเต็ม]:[คะแนนเต็ม]])*tbl_task2[[%]:[%]])</f>
        <v/>
      </c>
      <c r="LR10" s="121" t="str">
        <f>IF(ISBLANK(tbl_task2[[คะแนนเต็ม]:[คะแนนเต็ม]]),"",(tbl_task2[160]/tbl_task2[[คะแนนเต็ม]:[คะแนนเต็ม]])*tbl_task2[[%]:[%]])</f>
        <v/>
      </c>
      <c r="LS10" s="121" t="str">
        <f>IF(ISBLANK(tbl_task2[[คะแนนเต็ม]:[คะแนนเต็ม]]),"",(tbl_task2[161]/tbl_task2[[คะแนนเต็ม]:[คะแนนเต็ม]])*tbl_task2[[%]:[%]])</f>
        <v/>
      </c>
      <c r="LT10" s="121" t="str">
        <f>IF(ISBLANK(tbl_task2[[คะแนนเต็ม]:[คะแนนเต็ม]]),"",(tbl_task2[162]/tbl_task2[[คะแนนเต็ม]:[คะแนนเต็ม]])*tbl_task2[[%]:[%]])</f>
        <v/>
      </c>
      <c r="LU10" s="121" t="str">
        <f>IF(ISBLANK(tbl_task2[[คะแนนเต็ม]:[คะแนนเต็ม]]),"",(tbl_task2[163]/tbl_task2[[คะแนนเต็ม]:[คะแนนเต็ม]])*tbl_task2[[%]:[%]])</f>
        <v/>
      </c>
      <c r="LV10" s="121" t="str">
        <f>IF(ISBLANK(tbl_task2[[คะแนนเต็ม]:[คะแนนเต็ม]]),"",(tbl_task2[164]/tbl_task2[[คะแนนเต็ม]:[คะแนนเต็ม]])*tbl_task2[[%]:[%]])</f>
        <v/>
      </c>
      <c r="LW10" s="121" t="str">
        <f>IF(ISBLANK(tbl_task2[[คะแนนเต็ม]:[คะแนนเต็ม]]),"",(tbl_task2[165]/tbl_task2[[คะแนนเต็ม]:[คะแนนเต็ม]])*tbl_task2[[%]:[%]])</f>
        <v/>
      </c>
    </row>
    <row r="11" spans="1:335" ht="24" customHeight="1" x14ac:dyDescent="0.25">
      <c r="A11" s="24">
        <v>8</v>
      </c>
      <c r="B11" s="20"/>
      <c r="C11" s="5" t="str">
        <f>IF(ISBLANK(B11),"",VLOOKUP(B11,tbl_PLOs[],2,0))</f>
        <v/>
      </c>
      <c r="D11" s="102"/>
      <c r="E11" s="106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22"/>
      <c r="FO11" s="121" t="str">
        <f>IF(ISBLANK(tbl_task2[[คะแนนเต็ม]:[คะแนนเต็ม]]),"",(tbl_task2[1]/tbl_task2[[คะแนนเต็ม]:[คะแนนเต็ม]])*tbl_task2[[%]:[%]])</f>
        <v/>
      </c>
      <c r="FP11" s="121" t="str">
        <f>IF(ISBLANK(tbl_task2[[คะแนนเต็ม]:[คะแนนเต็ม]]),"",(tbl_task2[2]/tbl_task2[[คะแนนเต็ม]:[คะแนนเต็ม]])*tbl_task2[[%]:[%]])</f>
        <v/>
      </c>
      <c r="FQ11" s="121" t="str">
        <f>IF(ISBLANK(tbl_task2[[คะแนนเต็ม]:[คะแนนเต็ม]]),"",(tbl_task2[3]/tbl_task2[[คะแนนเต็ม]:[คะแนนเต็ม]])*tbl_task2[[%]:[%]])</f>
        <v/>
      </c>
      <c r="FR11" s="121" t="str">
        <f>IF(ISBLANK(tbl_task2[[คะแนนเต็ม]:[คะแนนเต็ม]]),"",(tbl_task2[4]/tbl_task2[[คะแนนเต็ม]:[คะแนนเต็ม]])*tbl_task2[[%]:[%]])</f>
        <v/>
      </c>
      <c r="FS11" s="121" t="str">
        <f>IF(ISBLANK(tbl_task2[[คะแนนเต็ม]:[คะแนนเต็ม]]),"",(tbl_task2[5]/tbl_task2[[คะแนนเต็ม]:[คะแนนเต็ม]])*tbl_task2[[%]:[%]])</f>
        <v/>
      </c>
      <c r="FT11" s="121" t="str">
        <f>IF(ISBLANK(tbl_task2[[คะแนนเต็ม]:[คะแนนเต็ม]]),"",(tbl_task2[6]/tbl_task2[[คะแนนเต็ม]:[คะแนนเต็ม]])*tbl_task2[[%]:[%]])</f>
        <v/>
      </c>
      <c r="FU11" s="121" t="str">
        <f>IF(ISBLANK(tbl_task2[[คะแนนเต็ม]:[คะแนนเต็ม]]),"",(tbl_task2[7]/tbl_task2[[คะแนนเต็ม]:[คะแนนเต็ม]])*tbl_task2[[%]:[%]])</f>
        <v/>
      </c>
      <c r="FV11" s="121" t="str">
        <f>IF(ISBLANK(tbl_task2[[คะแนนเต็ม]:[คะแนนเต็ม]]),"",(tbl_task2[8]/tbl_task2[[คะแนนเต็ม]:[คะแนนเต็ม]])*tbl_task2[[%]:[%]])</f>
        <v/>
      </c>
      <c r="FW11" s="121" t="str">
        <f>IF(ISBLANK(tbl_task2[[คะแนนเต็ม]:[คะแนนเต็ม]]),"",(tbl_task2[9]/tbl_task2[[คะแนนเต็ม]:[คะแนนเต็ม]])*tbl_task2[[%]:[%]])</f>
        <v/>
      </c>
      <c r="FX11" s="121" t="str">
        <f>IF(ISBLANK(tbl_task2[[คะแนนเต็ม]:[คะแนนเต็ม]]),"",(tbl_task2[10]/tbl_task2[[คะแนนเต็ม]:[คะแนนเต็ม]])*tbl_task2[[%]:[%]])</f>
        <v/>
      </c>
      <c r="FY11" s="121" t="str">
        <f>IF(ISBLANK(tbl_task2[[คะแนนเต็ม]:[คะแนนเต็ม]]),"",(tbl_task2[11]/tbl_task2[[คะแนนเต็ม]:[คะแนนเต็ม]])*tbl_task2[[%]:[%]])</f>
        <v/>
      </c>
      <c r="FZ11" s="121" t="str">
        <f>IF(ISBLANK(tbl_task2[[คะแนนเต็ม]:[คะแนนเต็ม]]),"",(tbl_task2[12]/tbl_task2[[คะแนนเต็ม]:[คะแนนเต็ม]])*tbl_task2[[%]:[%]])</f>
        <v/>
      </c>
      <c r="GA11" s="121" t="str">
        <f>IF(ISBLANK(tbl_task2[[คะแนนเต็ม]:[คะแนนเต็ม]]),"",(tbl_task2[13]/tbl_task2[[คะแนนเต็ม]:[คะแนนเต็ม]])*tbl_task2[[%]:[%]])</f>
        <v/>
      </c>
      <c r="GB11" s="121" t="str">
        <f>IF(ISBLANK(tbl_task2[[คะแนนเต็ม]:[คะแนนเต็ม]]),"",(tbl_task2[14]/tbl_task2[[คะแนนเต็ม]:[คะแนนเต็ม]])*tbl_task2[[%]:[%]])</f>
        <v/>
      </c>
      <c r="GC11" s="121" t="str">
        <f>IF(ISBLANK(tbl_task2[[คะแนนเต็ม]:[คะแนนเต็ม]]),"",(tbl_task2[15]/tbl_task2[[คะแนนเต็ม]:[คะแนนเต็ม]])*tbl_task2[[%]:[%]])</f>
        <v/>
      </c>
      <c r="GD11" s="121" t="str">
        <f>IF(ISBLANK(tbl_task2[[คะแนนเต็ม]:[คะแนนเต็ม]]),"",(tbl_task2[16]/tbl_task2[[คะแนนเต็ม]:[คะแนนเต็ม]])*tbl_task2[[%]:[%]])</f>
        <v/>
      </c>
      <c r="GE11" s="121" t="str">
        <f>IF(ISBLANK(tbl_task2[[คะแนนเต็ม]:[คะแนนเต็ม]]),"",(tbl_task2[17]/tbl_task2[[คะแนนเต็ม]:[คะแนนเต็ม]])*tbl_task2[[%]:[%]])</f>
        <v/>
      </c>
      <c r="GF11" s="121" t="str">
        <f>IF(ISBLANK(tbl_task2[[คะแนนเต็ม]:[คะแนนเต็ม]]),"",(tbl_task2[18]/tbl_task2[[คะแนนเต็ม]:[คะแนนเต็ม]])*tbl_task2[[%]:[%]])</f>
        <v/>
      </c>
      <c r="GG11" s="121" t="str">
        <f>IF(ISBLANK(tbl_task2[[คะแนนเต็ม]:[คะแนนเต็ม]]),"",(tbl_task2[19]/tbl_task2[[คะแนนเต็ม]:[คะแนนเต็ม]])*tbl_task2[[%]:[%]])</f>
        <v/>
      </c>
      <c r="GH11" s="121" t="str">
        <f>IF(ISBLANK(tbl_task2[[คะแนนเต็ม]:[คะแนนเต็ม]]),"",(tbl_task2[20]/tbl_task2[[คะแนนเต็ม]:[คะแนนเต็ม]])*tbl_task2[[%]:[%]])</f>
        <v/>
      </c>
      <c r="GI11" s="121" t="str">
        <f>IF(ISBLANK(tbl_task2[[คะแนนเต็ม]:[คะแนนเต็ม]]),"",(tbl_task2[21]/tbl_task2[[คะแนนเต็ม]:[คะแนนเต็ม]])*tbl_task2[[%]:[%]])</f>
        <v/>
      </c>
      <c r="GJ11" s="121" t="str">
        <f>IF(ISBLANK(tbl_task2[[คะแนนเต็ม]:[คะแนนเต็ม]]),"",(tbl_task2[22]/tbl_task2[[คะแนนเต็ม]:[คะแนนเต็ม]])*tbl_task2[[%]:[%]])</f>
        <v/>
      </c>
      <c r="GK11" s="121" t="str">
        <f>IF(ISBLANK(tbl_task2[[คะแนนเต็ม]:[คะแนนเต็ม]]),"",(tbl_task2[23]/tbl_task2[[คะแนนเต็ม]:[คะแนนเต็ม]])*tbl_task2[[%]:[%]])</f>
        <v/>
      </c>
      <c r="GL11" s="121" t="str">
        <f>IF(ISBLANK(tbl_task2[[คะแนนเต็ม]:[คะแนนเต็ม]]),"",(tbl_task2[24]/tbl_task2[[คะแนนเต็ม]:[คะแนนเต็ม]])*tbl_task2[[%]:[%]])</f>
        <v/>
      </c>
      <c r="GM11" s="121" t="str">
        <f>IF(ISBLANK(tbl_task2[[คะแนนเต็ม]:[คะแนนเต็ม]]),"",(tbl_task2[25]/tbl_task2[[คะแนนเต็ม]:[คะแนนเต็ม]])*tbl_task2[[%]:[%]])</f>
        <v/>
      </c>
      <c r="GN11" s="121" t="str">
        <f>IF(ISBLANK(tbl_task2[[คะแนนเต็ม]:[คะแนนเต็ม]]),"",(tbl_task2[26]/tbl_task2[[คะแนนเต็ม]:[คะแนนเต็ม]])*tbl_task2[[%]:[%]])</f>
        <v/>
      </c>
      <c r="GO11" s="121" t="str">
        <f>IF(ISBLANK(tbl_task2[[คะแนนเต็ม]:[คะแนนเต็ม]]),"",(tbl_task2[27]/tbl_task2[[คะแนนเต็ม]:[คะแนนเต็ม]])*tbl_task2[[%]:[%]])</f>
        <v/>
      </c>
      <c r="GP11" s="121" t="str">
        <f>IF(ISBLANK(tbl_task2[[คะแนนเต็ม]:[คะแนนเต็ม]]),"",(tbl_task2[28]/tbl_task2[[คะแนนเต็ม]:[คะแนนเต็ม]])*tbl_task2[[%]:[%]])</f>
        <v/>
      </c>
      <c r="GQ11" s="121" t="str">
        <f>IF(ISBLANK(tbl_task2[[คะแนนเต็ม]:[คะแนนเต็ม]]),"",(tbl_task2[29]/tbl_task2[[คะแนนเต็ม]:[คะแนนเต็ม]])*tbl_task2[[%]:[%]])</f>
        <v/>
      </c>
      <c r="GR11" s="121" t="str">
        <f>IF(ISBLANK(tbl_task2[[คะแนนเต็ม]:[คะแนนเต็ม]]),"",(tbl_task2[30]/tbl_task2[[คะแนนเต็ม]:[คะแนนเต็ม]])*tbl_task2[[%]:[%]])</f>
        <v/>
      </c>
      <c r="GS11" s="121" t="str">
        <f>IF(ISBLANK(tbl_task2[[คะแนนเต็ม]:[คะแนนเต็ม]]),"",(tbl_task2[31]/tbl_task2[[คะแนนเต็ม]:[คะแนนเต็ม]])*tbl_task2[[%]:[%]])</f>
        <v/>
      </c>
      <c r="GT11" s="121" t="str">
        <f>IF(ISBLANK(tbl_task2[[คะแนนเต็ม]:[คะแนนเต็ม]]),"",(tbl_task2[32]/tbl_task2[[คะแนนเต็ม]:[คะแนนเต็ม]])*tbl_task2[[%]:[%]])</f>
        <v/>
      </c>
      <c r="GU11" s="121" t="str">
        <f>IF(ISBLANK(tbl_task2[[คะแนนเต็ม]:[คะแนนเต็ม]]),"",(tbl_task2[33]/tbl_task2[[คะแนนเต็ม]:[คะแนนเต็ม]])*tbl_task2[[%]:[%]])</f>
        <v/>
      </c>
      <c r="GV11" s="121" t="str">
        <f>IF(ISBLANK(tbl_task2[[คะแนนเต็ม]:[คะแนนเต็ม]]),"",(tbl_task2[34]/tbl_task2[[คะแนนเต็ม]:[คะแนนเต็ม]])*tbl_task2[[%]:[%]])</f>
        <v/>
      </c>
      <c r="GW11" s="121" t="str">
        <f>IF(ISBLANK(tbl_task2[[คะแนนเต็ม]:[คะแนนเต็ม]]),"",(tbl_task2[35]/tbl_task2[[คะแนนเต็ม]:[คะแนนเต็ม]])*tbl_task2[[%]:[%]])</f>
        <v/>
      </c>
      <c r="GX11" s="121" t="str">
        <f>IF(ISBLANK(tbl_task2[[คะแนนเต็ม]:[คะแนนเต็ม]]),"",(tbl_task2[36]/tbl_task2[[คะแนนเต็ม]:[คะแนนเต็ม]])*tbl_task2[[%]:[%]])</f>
        <v/>
      </c>
      <c r="GY11" s="121" t="str">
        <f>IF(ISBLANK(tbl_task2[[คะแนนเต็ม]:[คะแนนเต็ม]]),"",(tbl_task2[37]/tbl_task2[[คะแนนเต็ม]:[คะแนนเต็ม]])*tbl_task2[[%]:[%]])</f>
        <v/>
      </c>
      <c r="GZ11" s="121" t="str">
        <f>IF(ISBLANK(tbl_task2[[คะแนนเต็ม]:[คะแนนเต็ม]]),"",(tbl_task2[38]/tbl_task2[[คะแนนเต็ม]:[คะแนนเต็ม]])*tbl_task2[[%]:[%]])</f>
        <v/>
      </c>
      <c r="HA11" s="121" t="str">
        <f>IF(ISBLANK(tbl_task2[[คะแนนเต็ม]:[คะแนนเต็ม]]),"",(tbl_task2[39]/tbl_task2[[คะแนนเต็ม]:[คะแนนเต็ม]])*tbl_task2[[%]:[%]])</f>
        <v/>
      </c>
      <c r="HB11" s="121" t="str">
        <f>IF(ISBLANK(tbl_task2[[คะแนนเต็ม]:[คะแนนเต็ม]]),"",(tbl_task2[40]/tbl_task2[[คะแนนเต็ม]:[คะแนนเต็ม]])*tbl_task2[[%]:[%]])</f>
        <v/>
      </c>
      <c r="HC11" s="121" t="str">
        <f>IF(ISBLANK(tbl_task2[[คะแนนเต็ม]:[คะแนนเต็ม]]),"",(tbl_task2[41]/tbl_task2[[คะแนนเต็ม]:[คะแนนเต็ม]])*tbl_task2[[%]:[%]])</f>
        <v/>
      </c>
      <c r="HD11" s="121" t="str">
        <f>IF(ISBLANK(tbl_task2[[คะแนนเต็ม]:[คะแนนเต็ม]]),"",(tbl_task2[42]/tbl_task2[[คะแนนเต็ม]:[คะแนนเต็ม]])*tbl_task2[[%]:[%]])</f>
        <v/>
      </c>
      <c r="HE11" s="121" t="str">
        <f>IF(ISBLANK(tbl_task2[[คะแนนเต็ม]:[คะแนนเต็ม]]),"",(tbl_task2[43]/tbl_task2[[คะแนนเต็ม]:[คะแนนเต็ม]])*tbl_task2[[%]:[%]])</f>
        <v/>
      </c>
      <c r="HF11" s="121" t="str">
        <f>IF(ISBLANK(tbl_task2[[คะแนนเต็ม]:[คะแนนเต็ม]]),"",(tbl_task2[44]/tbl_task2[[คะแนนเต็ม]:[คะแนนเต็ม]])*tbl_task2[[%]:[%]])</f>
        <v/>
      </c>
      <c r="HG11" s="121" t="str">
        <f>IF(ISBLANK(tbl_task2[[คะแนนเต็ม]:[คะแนนเต็ม]]),"",(tbl_task2[45]/tbl_task2[[คะแนนเต็ม]:[คะแนนเต็ม]])*tbl_task2[[%]:[%]])</f>
        <v/>
      </c>
      <c r="HH11" s="121" t="str">
        <f>IF(ISBLANK(tbl_task2[[คะแนนเต็ม]:[คะแนนเต็ม]]),"",(tbl_task2[46]/tbl_task2[[คะแนนเต็ม]:[คะแนนเต็ม]])*tbl_task2[[%]:[%]])</f>
        <v/>
      </c>
      <c r="HI11" s="121" t="str">
        <f>IF(ISBLANK(tbl_task2[[คะแนนเต็ม]:[คะแนนเต็ม]]),"",(tbl_task2[47]/tbl_task2[[คะแนนเต็ม]:[คะแนนเต็ม]])*tbl_task2[[%]:[%]])</f>
        <v/>
      </c>
      <c r="HJ11" s="121" t="str">
        <f>IF(ISBLANK(tbl_task2[[คะแนนเต็ม]:[คะแนนเต็ม]]),"",(tbl_task2[48]/tbl_task2[[คะแนนเต็ม]:[คะแนนเต็ม]])*tbl_task2[[%]:[%]])</f>
        <v/>
      </c>
      <c r="HK11" s="121" t="str">
        <f>IF(ISBLANK(tbl_task2[[คะแนนเต็ม]:[คะแนนเต็ม]]),"",(tbl_task2[49]/tbl_task2[[คะแนนเต็ม]:[คะแนนเต็ม]])*tbl_task2[[%]:[%]])</f>
        <v/>
      </c>
      <c r="HL11" s="121" t="str">
        <f>IF(ISBLANK(tbl_task2[[คะแนนเต็ม]:[คะแนนเต็ม]]),"",(tbl_task2[50]/tbl_task2[[คะแนนเต็ม]:[คะแนนเต็ม]])*tbl_task2[[%]:[%]])</f>
        <v/>
      </c>
      <c r="HM11" s="121" t="str">
        <f>IF(ISBLANK(tbl_task2[[คะแนนเต็ม]:[คะแนนเต็ม]]),"",(tbl_task2[51]/tbl_task2[[คะแนนเต็ม]:[คะแนนเต็ม]])*tbl_task2[[%]:[%]])</f>
        <v/>
      </c>
      <c r="HN11" s="121" t="str">
        <f>IF(ISBLANK(tbl_task2[[คะแนนเต็ม]:[คะแนนเต็ม]]),"",(tbl_task2[52]/tbl_task2[[คะแนนเต็ม]:[คะแนนเต็ม]])*tbl_task2[[%]:[%]])</f>
        <v/>
      </c>
      <c r="HO11" s="121" t="str">
        <f>IF(ISBLANK(tbl_task2[[คะแนนเต็ม]:[คะแนนเต็ม]]),"",(tbl_task2[53]/tbl_task2[[คะแนนเต็ม]:[คะแนนเต็ม]])*tbl_task2[[%]:[%]])</f>
        <v/>
      </c>
      <c r="HP11" s="121" t="str">
        <f>IF(ISBLANK(tbl_task2[[คะแนนเต็ม]:[คะแนนเต็ม]]),"",(tbl_task2[54]/tbl_task2[[คะแนนเต็ม]:[คะแนนเต็ม]])*tbl_task2[[%]:[%]])</f>
        <v/>
      </c>
      <c r="HQ11" s="121" t="str">
        <f>IF(ISBLANK(tbl_task2[[คะแนนเต็ม]:[คะแนนเต็ม]]),"",(tbl_task2[55]/tbl_task2[[คะแนนเต็ม]:[คะแนนเต็ม]])*tbl_task2[[%]:[%]])</f>
        <v/>
      </c>
      <c r="HR11" s="121" t="str">
        <f>IF(ISBLANK(tbl_task2[[คะแนนเต็ม]:[คะแนนเต็ม]]),"",(tbl_task2[56]/tbl_task2[[คะแนนเต็ม]:[คะแนนเต็ม]])*tbl_task2[[%]:[%]])</f>
        <v/>
      </c>
      <c r="HS11" s="121" t="str">
        <f>IF(ISBLANK(tbl_task2[[คะแนนเต็ม]:[คะแนนเต็ม]]),"",(tbl_task2[57]/tbl_task2[[คะแนนเต็ม]:[คะแนนเต็ม]])*tbl_task2[[%]:[%]])</f>
        <v/>
      </c>
      <c r="HT11" s="121" t="str">
        <f>IF(ISBLANK(tbl_task2[[คะแนนเต็ม]:[คะแนนเต็ม]]),"",(tbl_task2[58]/tbl_task2[[คะแนนเต็ม]:[คะแนนเต็ม]])*tbl_task2[[%]:[%]])</f>
        <v/>
      </c>
      <c r="HU11" s="121" t="str">
        <f>IF(ISBLANK(tbl_task2[[คะแนนเต็ม]:[คะแนนเต็ม]]),"",(tbl_task2[59]/tbl_task2[[คะแนนเต็ม]:[คะแนนเต็ม]])*tbl_task2[[%]:[%]])</f>
        <v/>
      </c>
      <c r="HV11" s="121" t="str">
        <f>IF(ISBLANK(tbl_task2[[คะแนนเต็ม]:[คะแนนเต็ม]]),"",(tbl_task2[60]/tbl_task2[[คะแนนเต็ม]:[คะแนนเต็ม]])*tbl_task2[[%]:[%]])</f>
        <v/>
      </c>
      <c r="HW11" s="121" t="str">
        <f>IF(ISBLANK(tbl_task2[[คะแนนเต็ม]:[คะแนนเต็ม]]),"",(tbl_task2[61]/tbl_task2[[คะแนนเต็ม]:[คะแนนเต็ม]])*tbl_task2[[%]:[%]])</f>
        <v/>
      </c>
      <c r="HX11" s="121" t="str">
        <f>IF(ISBLANK(tbl_task2[[คะแนนเต็ม]:[คะแนนเต็ม]]),"",(tbl_task2[62]/tbl_task2[[คะแนนเต็ม]:[คะแนนเต็ม]])*tbl_task2[[%]:[%]])</f>
        <v/>
      </c>
      <c r="HY11" s="121" t="str">
        <f>IF(ISBLANK(tbl_task2[[คะแนนเต็ม]:[คะแนนเต็ม]]),"",(tbl_task2[63]/tbl_task2[[คะแนนเต็ม]:[คะแนนเต็ม]])*tbl_task2[[%]:[%]])</f>
        <v/>
      </c>
      <c r="HZ11" s="121" t="str">
        <f>IF(ISBLANK(tbl_task2[[คะแนนเต็ม]:[คะแนนเต็ม]]),"",(tbl_task2[64]/tbl_task2[[คะแนนเต็ม]:[คะแนนเต็ม]])*tbl_task2[[%]:[%]])</f>
        <v/>
      </c>
      <c r="IA11" s="121" t="str">
        <f>IF(ISBLANK(tbl_task2[[คะแนนเต็ม]:[คะแนนเต็ม]]),"",(tbl_task2[65]/tbl_task2[[คะแนนเต็ม]:[คะแนนเต็ม]])*tbl_task2[[%]:[%]])</f>
        <v/>
      </c>
      <c r="IB11" s="121" t="str">
        <f>IF(ISBLANK(tbl_task2[[คะแนนเต็ม]:[คะแนนเต็ม]]),"",(tbl_task2[66]/tbl_task2[[คะแนนเต็ม]:[คะแนนเต็ม]])*tbl_task2[[%]:[%]])</f>
        <v/>
      </c>
      <c r="IC11" s="121" t="str">
        <f>IF(ISBLANK(tbl_task2[[คะแนนเต็ม]:[คะแนนเต็ม]]),"",(tbl_task2[67]/tbl_task2[[คะแนนเต็ม]:[คะแนนเต็ม]])*tbl_task2[[%]:[%]])</f>
        <v/>
      </c>
      <c r="ID11" s="121" t="str">
        <f>IF(ISBLANK(tbl_task2[[คะแนนเต็ม]:[คะแนนเต็ม]]),"",(tbl_task2[68]/tbl_task2[[คะแนนเต็ม]:[คะแนนเต็ม]])*tbl_task2[[%]:[%]])</f>
        <v/>
      </c>
      <c r="IE11" s="121" t="str">
        <f>IF(ISBLANK(tbl_task2[[คะแนนเต็ม]:[คะแนนเต็ม]]),"",(tbl_task2[69]/tbl_task2[[คะแนนเต็ม]:[คะแนนเต็ม]])*tbl_task2[[%]:[%]])</f>
        <v/>
      </c>
      <c r="IF11" s="121" t="str">
        <f>IF(ISBLANK(tbl_task2[[คะแนนเต็ม]:[คะแนนเต็ม]]),"",(tbl_task2[70]/tbl_task2[[คะแนนเต็ม]:[คะแนนเต็ม]])*tbl_task2[[%]:[%]])</f>
        <v/>
      </c>
      <c r="IG11" s="121" t="str">
        <f>IF(ISBLANK(tbl_task2[[คะแนนเต็ม]:[คะแนนเต็ม]]),"",(tbl_task2[71]/tbl_task2[[คะแนนเต็ม]:[คะแนนเต็ม]])*tbl_task2[[%]:[%]])</f>
        <v/>
      </c>
      <c r="IH11" s="121" t="str">
        <f>IF(ISBLANK(tbl_task2[[คะแนนเต็ม]:[คะแนนเต็ม]]),"",(tbl_task2[72]/tbl_task2[[คะแนนเต็ม]:[คะแนนเต็ม]])*tbl_task2[[%]:[%]])</f>
        <v/>
      </c>
      <c r="II11" s="121" t="str">
        <f>IF(ISBLANK(tbl_task2[[คะแนนเต็ม]:[คะแนนเต็ม]]),"",(tbl_task2[73]/tbl_task2[[คะแนนเต็ม]:[คะแนนเต็ม]])*tbl_task2[[%]:[%]])</f>
        <v/>
      </c>
      <c r="IJ11" s="121" t="str">
        <f>IF(ISBLANK(tbl_task2[[คะแนนเต็ม]:[คะแนนเต็ม]]),"",(tbl_task2[74]/tbl_task2[[คะแนนเต็ม]:[คะแนนเต็ม]])*tbl_task2[[%]:[%]])</f>
        <v/>
      </c>
      <c r="IK11" s="121" t="str">
        <f>IF(ISBLANK(tbl_task2[[คะแนนเต็ม]:[คะแนนเต็ม]]),"",(tbl_task2[75]/tbl_task2[[คะแนนเต็ม]:[คะแนนเต็ม]])*tbl_task2[[%]:[%]])</f>
        <v/>
      </c>
      <c r="IL11" s="121" t="str">
        <f>IF(ISBLANK(tbl_task2[[คะแนนเต็ม]:[คะแนนเต็ม]]),"",(tbl_task2[76]/tbl_task2[[คะแนนเต็ม]:[คะแนนเต็ม]])*tbl_task2[[%]:[%]])</f>
        <v/>
      </c>
      <c r="IM11" s="121" t="str">
        <f>IF(ISBLANK(tbl_task2[[คะแนนเต็ม]:[คะแนนเต็ม]]),"",(tbl_task2[77]/tbl_task2[[คะแนนเต็ม]:[คะแนนเต็ม]])*tbl_task2[[%]:[%]])</f>
        <v/>
      </c>
      <c r="IN11" s="121" t="str">
        <f>IF(ISBLANK(tbl_task2[[คะแนนเต็ม]:[คะแนนเต็ม]]),"",(tbl_task2[78]/tbl_task2[[คะแนนเต็ม]:[คะแนนเต็ม]])*tbl_task2[[%]:[%]])</f>
        <v/>
      </c>
      <c r="IO11" s="121" t="str">
        <f>IF(ISBLANK(tbl_task2[[คะแนนเต็ม]:[คะแนนเต็ม]]),"",(tbl_task2[79]/tbl_task2[[คะแนนเต็ม]:[คะแนนเต็ม]])*tbl_task2[[%]:[%]])</f>
        <v/>
      </c>
      <c r="IP11" s="121" t="str">
        <f>IF(ISBLANK(tbl_task2[[คะแนนเต็ม]:[คะแนนเต็ม]]),"",(tbl_task2[80]/tbl_task2[[คะแนนเต็ม]:[คะแนนเต็ม]])*tbl_task2[[%]:[%]])</f>
        <v/>
      </c>
      <c r="IQ11" s="121" t="str">
        <f>IF(ISBLANK(tbl_task2[[คะแนนเต็ม]:[คะแนนเต็ม]]),"",(tbl_task2[81]/tbl_task2[[คะแนนเต็ม]:[คะแนนเต็ม]])*tbl_task2[[%]:[%]])</f>
        <v/>
      </c>
      <c r="IR11" s="121" t="str">
        <f>IF(ISBLANK(tbl_task2[[คะแนนเต็ม]:[คะแนนเต็ม]]),"",(tbl_task2[82]/tbl_task2[[คะแนนเต็ม]:[คะแนนเต็ม]])*tbl_task2[[%]:[%]])</f>
        <v/>
      </c>
      <c r="IS11" s="121" t="str">
        <f>IF(ISBLANK(tbl_task2[[คะแนนเต็ม]:[คะแนนเต็ม]]),"",(tbl_task2[83]/tbl_task2[[คะแนนเต็ม]:[คะแนนเต็ม]])*tbl_task2[[%]:[%]])</f>
        <v/>
      </c>
      <c r="IT11" s="121" t="str">
        <f>IF(ISBLANK(tbl_task2[[คะแนนเต็ม]:[คะแนนเต็ม]]),"",(tbl_task2[84]/tbl_task2[[คะแนนเต็ม]:[คะแนนเต็ม]])*tbl_task2[[%]:[%]])</f>
        <v/>
      </c>
      <c r="IU11" s="121" t="str">
        <f>IF(ISBLANK(tbl_task2[[คะแนนเต็ม]:[คะแนนเต็ม]]),"",(tbl_task2[85]/tbl_task2[[คะแนนเต็ม]:[คะแนนเต็ม]])*tbl_task2[[%]:[%]])</f>
        <v/>
      </c>
      <c r="IV11" s="121" t="str">
        <f>IF(ISBLANK(tbl_task2[[คะแนนเต็ม]:[คะแนนเต็ม]]),"",(tbl_task2[86]/tbl_task2[[คะแนนเต็ม]:[คะแนนเต็ม]])*tbl_task2[[%]:[%]])</f>
        <v/>
      </c>
      <c r="IW11" s="121" t="str">
        <f>IF(ISBLANK(tbl_task2[[คะแนนเต็ม]:[คะแนนเต็ม]]),"",(tbl_task2[87]/tbl_task2[[คะแนนเต็ม]:[คะแนนเต็ม]])*tbl_task2[[%]:[%]])</f>
        <v/>
      </c>
      <c r="IX11" s="121" t="str">
        <f>IF(ISBLANK(tbl_task2[[คะแนนเต็ม]:[คะแนนเต็ม]]),"",(tbl_task2[88]/tbl_task2[[คะแนนเต็ม]:[คะแนนเต็ม]])*tbl_task2[[%]:[%]])</f>
        <v/>
      </c>
      <c r="IY11" s="121" t="str">
        <f>IF(ISBLANK(tbl_task2[[คะแนนเต็ม]:[คะแนนเต็ม]]),"",(tbl_task2[89]/tbl_task2[[คะแนนเต็ม]:[คะแนนเต็ม]])*tbl_task2[[%]:[%]])</f>
        <v/>
      </c>
      <c r="IZ11" s="121" t="str">
        <f>IF(ISBLANK(tbl_task2[[คะแนนเต็ม]:[คะแนนเต็ม]]),"",(tbl_task2[90]/tbl_task2[[คะแนนเต็ม]:[คะแนนเต็ม]])*tbl_task2[[%]:[%]])</f>
        <v/>
      </c>
      <c r="JA11" s="121" t="str">
        <f>IF(ISBLANK(tbl_task2[[คะแนนเต็ม]:[คะแนนเต็ม]]),"",(tbl_task2[91]/tbl_task2[[คะแนนเต็ม]:[คะแนนเต็ม]])*tbl_task2[[%]:[%]])</f>
        <v/>
      </c>
      <c r="JB11" s="121" t="str">
        <f>IF(ISBLANK(tbl_task2[[คะแนนเต็ม]:[คะแนนเต็ม]]),"",(tbl_task2[92]/tbl_task2[[คะแนนเต็ม]:[คะแนนเต็ม]])*tbl_task2[[%]:[%]])</f>
        <v/>
      </c>
      <c r="JC11" s="121" t="str">
        <f>IF(ISBLANK(tbl_task2[[คะแนนเต็ม]:[คะแนนเต็ม]]),"",(tbl_task2[93]/tbl_task2[[คะแนนเต็ม]:[คะแนนเต็ม]])*tbl_task2[[%]:[%]])</f>
        <v/>
      </c>
      <c r="JD11" s="121" t="str">
        <f>IF(ISBLANK(tbl_task2[[คะแนนเต็ม]:[คะแนนเต็ม]]),"",(tbl_task2[94]/tbl_task2[[คะแนนเต็ม]:[คะแนนเต็ม]])*tbl_task2[[%]:[%]])</f>
        <v/>
      </c>
      <c r="JE11" s="121" t="str">
        <f>IF(ISBLANK(tbl_task2[[คะแนนเต็ม]:[คะแนนเต็ม]]),"",(tbl_task2[95]/tbl_task2[[คะแนนเต็ม]:[คะแนนเต็ม]])*tbl_task2[[%]:[%]])</f>
        <v/>
      </c>
      <c r="JF11" s="121" t="str">
        <f>IF(ISBLANK(tbl_task2[[คะแนนเต็ม]:[คะแนนเต็ม]]),"",(tbl_task2[96]/tbl_task2[[คะแนนเต็ม]:[คะแนนเต็ม]])*tbl_task2[[%]:[%]])</f>
        <v/>
      </c>
      <c r="JG11" s="121" t="str">
        <f>IF(ISBLANK(tbl_task2[[คะแนนเต็ม]:[คะแนนเต็ม]]),"",(tbl_task2[97]/tbl_task2[[คะแนนเต็ม]:[คะแนนเต็ม]])*tbl_task2[[%]:[%]])</f>
        <v/>
      </c>
      <c r="JH11" s="121" t="str">
        <f>IF(ISBLANK(tbl_task2[[คะแนนเต็ม]:[คะแนนเต็ม]]),"",(tbl_task2[98]/tbl_task2[[คะแนนเต็ม]:[คะแนนเต็ม]])*tbl_task2[[%]:[%]])</f>
        <v/>
      </c>
      <c r="JI11" s="121" t="str">
        <f>IF(ISBLANK(tbl_task2[[คะแนนเต็ม]:[คะแนนเต็ม]]),"",(tbl_task2[99]/tbl_task2[[คะแนนเต็ม]:[คะแนนเต็ม]])*tbl_task2[[%]:[%]])</f>
        <v/>
      </c>
      <c r="JJ11" s="121" t="str">
        <f>IF(ISBLANK(tbl_task2[[คะแนนเต็ม]:[คะแนนเต็ม]]),"",(tbl_task2[100]/tbl_task2[[คะแนนเต็ม]:[คะแนนเต็ม]])*tbl_task2[[%]:[%]])</f>
        <v/>
      </c>
      <c r="JK11" s="121" t="str">
        <f>IF(ISBLANK(tbl_task2[[คะแนนเต็ม]:[คะแนนเต็ม]]),"",(tbl_task2[101]/tbl_task2[[คะแนนเต็ม]:[คะแนนเต็ม]])*tbl_task2[[%]:[%]])</f>
        <v/>
      </c>
      <c r="JL11" s="121" t="str">
        <f>IF(ISBLANK(tbl_task2[[คะแนนเต็ม]:[คะแนนเต็ม]]),"",(tbl_task2[102]/tbl_task2[[คะแนนเต็ม]:[คะแนนเต็ม]])*tbl_task2[[%]:[%]])</f>
        <v/>
      </c>
      <c r="JM11" s="121" t="str">
        <f>IF(ISBLANK(tbl_task2[[คะแนนเต็ม]:[คะแนนเต็ม]]),"",(tbl_task2[103]/tbl_task2[[คะแนนเต็ม]:[คะแนนเต็ม]])*tbl_task2[[%]:[%]])</f>
        <v/>
      </c>
      <c r="JN11" s="121" t="str">
        <f>IF(ISBLANK(tbl_task2[[คะแนนเต็ม]:[คะแนนเต็ม]]),"",(tbl_task2[104]/tbl_task2[[คะแนนเต็ม]:[คะแนนเต็ม]])*tbl_task2[[%]:[%]])</f>
        <v/>
      </c>
      <c r="JO11" s="121" t="str">
        <f>IF(ISBLANK(tbl_task2[[คะแนนเต็ม]:[คะแนนเต็ม]]),"",(tbl_task2[105]/tbl_task2[[คะแนนเต็ม]:[คะแนนเต็ม]])*tbl_task2[[%]:[%]])</f>
        <v/>
      </c>
      <c r="JP11" s="121" t="str">
        <f>IF(ISBLANK(tbl_task2[[คะแนนเต็ม]:[คะแนนเต็ม]]),"",(tbl_task2[106]/tbl_task2[[คะแนนเต็ม]:[คะแนนเต็ม]])*tbl_task2[[%]:[%]])</f>
        <v/>
      </c>
      <c r="JQ11" s="121" t="str">
        <f>IF(ISBLANK(tbl_task2[[คะแนนเต็ม]:[คะแนนเต็ม]]),"",(tbl_task2[107]/tbl_task2[[คะแนนเต็ม]:[คะแนนเต็ม]])*tbl_task2[[%]:[%]])</f>
        <v/>
      </c>
      <c r="JR11" s="121" t="str">
        <f>IF(ISBLANK(tbl_task2[[คะแนนเต็ม]:[คะแนนเต็ม]]),"",(tbl_task2[108]/tbl_task2[[คะแนนเต็ม]:[คะแนนเต็ม]])*tbl_task2[[%]:[%]])</f>
        <v/>
      </c>
      <c r="JS11" s="121" t="str">
        <f>IF(ISBLANK(tbl_task2[[คะแนนเต็ม]:[คะแนนเต็ม]]),"",(tbl_task2[109]/tbl_task2[[คะแนนเต็ม]:[คะแนนเต็ม]])*tbl_task2[[%]:[%]])</f>
        <v/>
      </c>
      <c r="JT11" s="121" t="str">
        <f>IF(ISBLANK(tbl_task2[[คะแนนเต็ม]:[คะแนนเต็ม]]),"",(tbl_task2[110]/tbl_task2[[คะแนนเต็ม]:[คะแนนเต็ม]])*tbl_task2[[%]:[%]])</f>
        <v/>
      </c>
      <c r="JU11" s="121" t="str">
        <f>IF(ISBLANK(tbl_task2[[คะแนนเต็ม]:[คะแนนเต็ม]]),"",(tbl_task2[111]/tbl_task2[[คะแนนเต็ม]:[คะแนนเต็ม]])*tbl_task2[[%]:[%]])</f>
        <v/>
      </c>
      <c r="JV11" s="121" t="str">
        <f>IF(ISBLANK(tbl_task2[[คะแนนเต็ม]:[คะแนนเต็ม]]),"",(tbl_task2[112]/tbl_task2[[คะแนนเต็ม]:[คะแนนเต็ม]])*tbl_task2[[%]:[%]])</f>
        <v/>
      </c>
      <c r="JW11" s="121" t="str">
        <f>IF(ISBLANK(tbl_task2[[คะแนนเต็ม]:[คะแนนเต็ม]]),"",(tbl_task2[113]/tbl_task2[[คะแนนเต็ม]:[คะแนนเต็ม]])*tbl_task2[[%]:[%]])</f>
        <v/>
      </c>
      <c r="JX11" s="121" t="str">
        <f>IF(ISBLANK(tbl_task2[[คะแนนเต็ม]:[คะแนนเต็ม]]),"",(tbl_task2[114]/tbl_task2[[คะแนนเต็ม]:[คะแนนเต็ม]])*tbl_task2[[%]:[%]])</f>
        <v/>
      </c>
      <c r="JY11" s="121" t="str">
        <f>IF(ISBLANK(tbl_task2[[คะแนนเต็ม]:[คะแนนเต็ม]]),"",(tbl_task2[115]/tbl_task2[[คะแนนเต็ม]:[คะแนนเต็ม]])*tbl_task2[[%]:[%]])</f>
        <v/>
      </c>
      <c r="JZ11" s="121" t="str">
        <f>IF(ISBLANK(tbl_task2[[คะแนนเต็ม]:[คะแนนเต็ม]]),"",(tbl_task2[116]/tbl_task2[[คะแนนเต็ม]:[คะแนนเต็ม]])*tbl_task2[[%]:[%]])</f>
        <v/>
      </c>
      <c r="KA11" s="121" t="str">
        <f>IF(ISBLANK(tbl_task2[[คะแนนเต็ม]:[คะแนนเต็ม]]),"",(tbl_task2[117]/tbl_task2[[คะแนนเต็ม]:[คะแนนเต็ม]])*tbl_task2[[%]:[%]])</f>
        <v/>
      </c>
      <c r="KB11" s="121" t="str">
        <f>IF(ISBLANK(tbl_task2[[คะแนนเต็ม]:[คะแนนเต็ม]]),"",(tbl_task2[118]/tbl_task2[[คะแนนเต็ม]:[คะแนนเต็ม]])*tbl_task2[[%]:[%]])</f>
        <v/>
      </c>
      <c r="KC11" s="121" t="str">
        <f>IF(ISBLANK(tbl_task2[[คะแนนเต็ม]:[คะแนนเต็ม]]),"",(tbl_task2[119]/tbl_task2[[คะแนนเต็ม]:[คะแนนเต็ม]])*tbl_task2[[%]:[%]])</f>
        <v/>
      </c>
      <c r="KD11" s="121" t="str">
        <f>IF(ISBLANK(tbl_task2[[คะแนนเต็ม]:[คะแนนเต็ม]]),"",(tbl_task2[120]/tbl_task2[[คะแนนเต็ม]:[คะแนนเต็ม]])*tbl_task2[[%]:[%]])</f>
        <v/>
      </c>
      <c r="KE11" s="121" t="str">
        <f>IF(ISBLANK(tbl_task2[[คะแนนเต็ม]:[คะแนนเต็ม]]),"",(tbl_task2[121]/tbl_task2[[คะแนนเต็ม]:[คะแนนเต็ม]])*tbl_task2[[%]:[%]])</f>
        <v/>
      </c>
      <c r="KF11" s="121" t="str">
        <f>IF(ISBLANK(tbl_task2[[คะแนนเต็ม]:[คะแนนเต็ม]]),"",(tbl_task2[122]/tbl_task2[[คะแนนเต็ม]:[คะแนนเต็ม]])*tbl_task2[[%]:[%]])</f>
        <v/>
      </c>
      <c r="KG11" s="121" t="str">
        <f>IF(ISBLANK(tbl_task2[[คะแนนเต็ม]:[คะแนนเต็ม]]),"",(tbl_task2[123]/tbl_task2[[คะแนนเต็ม]:[คะแนนเต็ม]])*tbl_task2[[%]:[%]])</f>
        <v/>
      </c>
      <c r="KH11" s="121" t="str">
        <f>IF(ISBLANK(tbl_task2[[คะแนนเต็ม]:[คะแนนเต็ม]]),"",(tbl_task2[124]/tbl_task2[[คะแนนเต็ม]:[คะแนนเต็ม]])*tbl_task2[[%]:[%]])</f>
        <v/>
      </c>
      <c r="KI11" s="121" t="str">
        <f>IF(ISBLANK(tbl_task2[[คะแนนเต็ม]:[คะแนนเต็ม]]),"",(tbl_task2[125]/tbl_task2[[คะแนนเต็ม]:[คะแนนเต็ม]])*tbl_task2[[%]:[%]])</f>
        <v/>
      </c>
      <c r="KJ11" s="121" t="str">
        <f>IF(ISBLANK(tbl_task2[[คะแนนเต็ม]:[คะแนนเต็ม]]),"",(tbl_task2[126]/tbl_task2[[คะแนนเต็ม]:[คะแนนเต็ม]])*tbl_task2[[%]:[%]])</f>
        <v/>
      </c>
      <c r="KK11" s="121" t="str">
        <f>IF(ISBLANK(tbl_task2[[คะแนนเต็ม]:[คะแนนเต็ม]]),"",(tbl_task2[127]/tbl_task2[[คะแนนเต็ม]:[คะแนนเต็ม]])*tbl_task2[[%]:[%]])</f>
        <v/>
      </c>
      <c r="KL11" s="121" t="str">
        <f>IF(ISBLANK(tbl_task2[[คะแนนเต็ม]:[คะแนนเต็ม]]),"",(tbl_task2[128]/tbl_task2[[คะแนนเต็ม]:[คะแนนเต็ม]])*tbl_task2[[%]:[%]])</f>
        <v/>
      </c>
      <c r="KM11" s="121" t="str">
        <f>IF(ISBLANK(tbl_task2[[คะแนนเต็ม]:[คะแนนเต็ม]]),"",(tbl_task2[129]/tbl_task2[[คะแนนเต็ม]:[คะแนนเต็ม]])*tbl_task2[[%]:[%]])</f>
        <v/>
      </c>
      <c r="KN11" s="121" t="str">
        <f>IF(ISBLANK(tbl_task2[[คะแนนเต็ม]:[คะแนนเต็ม]]),"",(tbl_task2[130]/tbl_task2[[คะแนนเต็ม]:[คะแนนเต็ม]])*tbl_task2[[%]:[%]])</f>
        <v/>
      </c>
      <c r="KO11" s="121" t="str">
        <f>IF(ISBLANK(tbl_task2[[คะแนนเต็ม]:[คะแนนเต็ม]]),"",(tbl_task2[131]/tbl_task2[[คะแนนเต็ม]:[คะแนนเต็ม]])*tbl_task2[[%]:[%]])</f>
        <v/>
      </c>
      <c r="KP11" s="121" t="str">
        <f>IF(ISBLANK(tbl_task2[[คะแนนเต็ม]:[คะแนนเต็ม]]),"",(tbl_task2[132]/tbl_task2[[คะแนนเต็ม]:[คะแนนเต็ม]])*tbl_task2[[%]:[%]])</f>
        <v/>
      </c>
      <c r="KQ11" s="121" t="str">
        <f>IF(ISBLANK(tbl_task2[[คะแนนเต็ม]:[คะแนนเต็ม]]),"",(tbl_task2[133]/tbl_task2[[คะแนนเต็ม]:[คะแนนเต็ม]])*tbl_task2[[%]:[%]])</f>
        <v/>
      </c>
      <c r="KR11" s="121" t="str">
        <f>IF(ISBLANK(tbl_task2[[คะแนนเต็ม]:[คะแนนเต็ม]]),"",(tbl_task2[134]/tbl_task2[[คะแนนเต็ม]:[คะแนนเต็ม]])*tbl_task2[[%]:[%]])</f>
        <v/>
      </c>
      <c r="KS11" s="121" t="str">
        <f>IF(ISBLANK(tbl_task2[[คะแนนเต็ม]:[คะแนนเต็ม]]),"",(tbl_task2[135]/tbl_task2[[คะแนนเต็ม]:[คะแนนเต็ม]])*tbl_task2[[%]:[%]])</f>
        <v/>
      </c>
      <c r="KT11" s="121" t="str">
        <f>IF(ISBLANK(tbl_task2[[คะแนนเต็ม]:[คะแนนเต็ม]]),"",(tbl_task2[136]/tbl_task2[[คะแนนเต็ม]:[คะแนนเต็ม]])*tbl_task2[[%]:[%]])</f>
        <v/>
      </c>
      <c r="KU11" s="121" t="str">
        <f>IF(ISBLANK(tbl_task2[[คะแนนเต็ม]:[คะแนนเต็ม]]),"",(tbl_task2[137]/tbl_task2[[คะแนนเต็ม]:[คะแนนเต็ม]])*tbl_task2[[%]:[%]])</f>
        <v/>
      </c>
      <c r="KV11" s="121" t="str">
        <f>IF(ISBLANK(tbl_task2[[คะแนนเต็ม]:[คะแนนเต็ม]]),"",(tbl_task2[138]/tbl_task2[[คะแนนเต็ม]:[คะแนนเต็ม]])*tbl_task2[[%]:[%]])</f>
        <v/>
      </c>
      <c r="KW11" s="121" t="str">
        <f>IF(ISBLANK(tbl_task2[[คะแนนเต็ม]:[คะแนนเต็ม]]),"",(tbl_task2[139]/tbl_task2[[คะแนนเต็ม]:[คะแนนเต็ม]])*tbl_task2[[%]:[%]])</f>
        <v/>
      </c>
      <c r="KX11" s="121" t="str">
        <f>IF(ISBLANK(tbl_task2[[คะแนนเต็ม]:[คะแนนเต็ม]]),"",(tbl_task2[140]/tbl_task2[[คะแนนเต็ม]:[คะแนนเต็ม]])*tbl_task2[[%]:[%]])</f>
        <v/>
      </c>
      <c r="KY11" s="121" t="str">
        <f>IF(ISBLANK(tbl_task2[[คะแนนเต็ม]:[คะแนนเต็ม]]),"",(tbl_task2[141]/tbl_task2[[คะแนนเต็ม]:[คะแนนเต็ม]])*tbl_task2[[%]:[%]])</f>
        <v/>
      </c>
      <c r="KZ11" s="121" t="str">
        <f>IF(ISBLANK(tbl_task2[[คะแนนเต็ม]:[คะแนนเต็ม]]),"",(tbl_task2[142]/tbl_task2[[คะแนนเต็ม]:[คะแนนเต็ม]])*tbl_task2[[%]:[%]])</f>
        <v/>
      </c>
      <c r="LA11" s="121" t="str">
        <f>IF(ISBLANK(tbl_task2[[คะแนนเต็ม]:[คะแนนเต็ม]]),"",(tbl_task2[143]/tbl_task2[[คะแนนเต็ม]:[คะแนนเต็ม]])*tbl_task2[[%]:[%]])</f>
        <v/>
      </c>
      <c r="LB11" s="121" t="str">
        <f>IF(ISBLANK(tbl_task2[[คะแนนเต็ม]:[คะแนนเต็ม]]),"",(tbl_task2[144]/tbl_task2[[คะแนนเต็ม]:[คะแนนเต็ม]])*tbl_task2[[%]:[%]])</f>
        <v/>
      </c>
      <c r="LC11" s="121" t="str">
        <f>IF(ISBLANK(tbl_task2[[คะแนนเต็ม]:[คะแนนเต็ม]]),"",(tbl_task2[145]/tbl_task2[[คะแนนเต็ม]:[คะแนนเต็ม]])*tbl_task2[[%]:[%]])</f>
        <v/>
      </c>
      <c r="LD11" s="121" t="str">
        <f>IF(ISBLANK(tbl_task2[[คะแนนเต็ม]:[คะแนนเต็ม]]),"",(tbl_task2[146]/tbl_task2[[คะแนนเต็ม]:[คะแนนเต็ม]])*tbl_task2[[%]:[%]])</f>
        <v/>
      </c>
      <c r="LE11" s="121" t="str">
        <f>IF(ISBLANK(tbl_task2[[คะแนนเต็ม]:[คะแนนเต็ม]]),"",(tbl_task2[147]/tbl_task2[[คะแนนเต็ม]:[คะแนนเต็ม]])*tbl_task2[[%]:[%]])</f>
        <v/>
      </c>
      <c r="LF11" s="121" t="str">
        <f>IF(ISBLANK(tbl_task2[[คะแนนเต็ม]:[คะแนนเต็ม]]),"",(tbl_task2[148]/tbl_task2[[คะแนนเต็ม]:[คะแนนเต็ม]])*tbl_task2[[%]:[%]])</f>
        <v/>
      </c>
      <c r="LG11" s="121" t="str">
        <f>IF(ISBLANK(tbl_task2[[คะแนนเต็ม]:[คะแนนเต็ม]]),"",(tbl_task2[149]/tbl_task2[[คะแนนเต็ม]:[คะแนนเต็ม]])*tbl_task2[[%]:[%]])</f>
        <v/>
      </c>
      <c r="LH11" s="121" t="str">
        <f>IF(ISBLANK(tbl_task2[[คะแนนเต็ม]:[คะแนนเต็ม]]),"",(tbl_task2[150]/tbl_task2[[คะแนนเต็ม]:[คะแนนเต็ม]])*tbl_task2[[%]:[%]])</f>
        <v/>
      </c>
      <c r="LI11" s="121" t="str">
        <f>IF(ISBLANK(tbl_task2[[คะแนนเต็ม]:[คะแนนเต็ม]]),"",(tbl_task2[151]/tbl_task2[[คะแนนเต็ม]:[คะแนนเต็ม]])*tbl_task2[[%]:[%]])</f>
        <v/>
      </c>
      <c r="LJ11" s="121" t="str">
        <f>IF(ISBLANK(tbl_task2[[คะแนนเต็ม]:[คะแนนเต็ม]]),"",(tbl_task2[152]/tbl_task2[[คะแนนเต็ม]:[คะแนนเต็ม]])*tbl_task2[[%]:[%]])</f>
        <v/>
      </c>
      <c r="LK11" s="121" t="str">
        <f>IF(ISBLANK(tbl_task2[[คะแนนเต็ม]:[คะแนนเต็ม]]),"",(tbl_task2[153]/tbl_task2[[คะแนนเต็ม]:[คะแนนเต็ม]])*tbl_task2[[%]:[%]])</f>
        <v/>
      </c>
      <c r="LL11" s="121" t="str">
        <f>IF(ISBLANK(tbl_task2[[คะแนนเต็ม]:[คะแนนเต็ม]]),"",(tbl_task2[154]/tbl_task2[[คะแนนเต็ม]:[คะแนนเต็ม]])*tbl_task2[[%]:[%]])</f>
        <v/>
      </c>
      <c r="LM11" s="121" t="str">
        <f>IF(ISBLANK(tbl_task2[[คะแนนเต็ม]:[คะแนนเต็ม]]),"",(tbl_task2[155]/tbl_task2[[คะแนนเต็ม]:[คะแนนเต็ม]])*tbl_task2[[%]:[%]])</f>
        <v/>
      </c>
      <c r="LN11" s="121" t="str">
        <f>IF(ISBLANK(tbl_task2[[คะแนนเต็ม]:[คะแนนเต็ม]]),"",(tbl_task2[156]/tbl_task2[[คะแนนเต็ม]:[คะแนนเต็ม]])*tbl_task2[[%]:[%]])</f>
        <v/>
      </c>
      <c r="LO11" s="121" t="str">
        <f>IF(ISBLANK(tbl_task2[[คะแนนเต็ม]:[คะแนนเต็ม]]),"",(tbl_task2[157]/tbl_task2[[คะแนนเต็ม]:[คะแนนเต็ม]])*tbl_task2[[%]:[%]])</f>
        <v/>
      </c>
      <c r="LP11" s="121" t="str">
        <f>IF(ISBLANK(tbl_task2[[คะแนนเต็ม]:[คะแนนเต็ม]]),"",(tbl_task2[158]/tbl_task2[[คะแนนเต็ม]:[คะแนนเต็ม]])*tbl_task2[[%]:[%]])</f>
        <v/>
      </c>
      <c r="LQ11" s="121" t="str">
        <f>IF(ISBLANK(tbl_task2[[คะแนนเต็ม]:[คะแนนเต็ม]]),"",(tbl_task2[159]/tbl_task2[[คะแนนเต็ม]:[คะแนนเต็ม]])*tbl_task2[[%]:[%]])</f>
        <v/>
      </c>
      <c r="LR11" s="121" t="str">
        <f>IF(ISBLANK(tbl_task2[[คะแนนเต็ม]:[คะแนนเต็ม]]),"",(tbl_task2[160]/tbl_task2[[คะแนนเต็ม]:[คะแนนเต็ม]])*tbl_task2[[%]:[%]])</f>
        <v/>
      </c>
      <c r="LS11" s="121" t="str">
        <f>IF(ISBLANK(tbl_task2[[คะแนนเต็ม]:[คะแนนเต็ม]]),"",(tbl_task2[161]/tbl_task2[[คะแนนเต็ม]:[คะแนนเต็ม]])*tbl_task2[[%]:[%]])</f>
        <v/>
      </c>
      <c r="LT11" s="121" t="str">
        <f>IF(ISBLANK(tbl_task2[[คะแนนเต็ม]:[คะแนนเต็ม]]),"",(tbl_task2[162]/tbl_task2[[คะแนนเต็ม]:[คะแนนเต็ม]])*tbl_task2[[%]:[%]])</f>
        <v/>
      </c>
      <c r="LU11" s="121" t="str">
        <f>IF(ISBLANK(tbl_task2[[คะแนนเต็ม]:[คะแนนเต็ม]]),"",(tbl_task2[163]/tbl_task2[[คะแนนเต็ม]:[คะแนนเต็ม]])*tbl_task2[[%]:[%]])</f>
        <v/>
      </c>
      <c r="LV11" s="121" t="str">
        <f>IF(ISBLANK(tbl_task2[[คะแนนเต็ม]:[คะแนนเต็ม]]),"",(tbl_task2[164]/tbl_task2[[คะแนนเต็ม]:[คะแนนเต็ม]])*tbl_task2[[%]:[%]])</f>
        <v/>
      </c>
      <c r="LW11" s="121" t="str">
        <f>IF(ISBLANK(tbl_task2[[คะแนนเต็ม]:[คะแนนเต็ม]]),"",(tbl_task2[165]/tbl_task2[[คะแนนเต็ม]:[คะแนนเต็ม]])*tbl_task2[[%]:[%]])</f>
        <v/>
      </c>
    </row>
    <row r="12" spans="1:335" ht="24" customHeight="1" x14ac:dyDescent="0.25">
      <c r="A12" s="24">
        <v>9</v>
      </c>
      <c r="B12" s="20"/>
      <c r="C12" s="5" t="str">
        <f>IF(ISBLANK(B12),"",VLOOKUP(B12,tbl_PLOs[],2,0))</f>
        <v/>
      </c>
      <c r="D12" s="102"/>
      <c r="E12" s="106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22"/>
      <c r="FO12" s="121" t="str">
        <f>IF(ISBLANK(tbl_task2[[คะแนนเต็ม]:[คะแนนเต็ม]]),"",(tbl_task2[1]/tbl_task2[[คะแนนเต็ม]:[คะแนนเต็ม]])*tbl_task2[[%]:[%]])</f>
        <v/>
      </c>
      <c r="FP12" s="121" t="str">
        <f>IF(ISBLANK(tbl_task2[[คะแนนเต็ม]:[คะแนนเต็ม]]),"",(tbl_task2[2]/tbl_task2[[คะแนนเต็ม]:[คะแนนเต็ม]])*tbl_task2[[%]:[%]])</f>
        <v/>
      </c>
      <c r="FQ12" s="121" t="str">
        <f>IF(ISBLANK(tbl_task2[[คะแนนเต็ม]:[คะแนนเต็ม]]),"",(tbl_task2[3]/tbl_task2[[คะแนนเต็ม]:[คะแนนเต็ม]])*tbl_task2[[%]:[%]])</f>
        <v/>
      </c>
      <c r="FR12" s="121" t="str">
        <f>IF(ISBLANK(tbl_task2[[คะแนนเต็ม]:[คะแนนเต็ม]]),"",(tbl_task2[4]/tbl_task2[[คะแนนเต็ม]:[คะแนนเต็ม]])*tbl_task2[[%]:[%]])</f>
        <v/>
      </c>
      <c r="FS12" s="121" t="str">
        <f>IF(ISBLANK(tbl_task2[[คะแนนเต็ม]:[คะแนนเต็ม]]),"",(tbl_task2[5]/tbl_task2[[คะแนนเต็ม]:[คะแนนเต็ม]])*tbl_task2[[%]:[%]])</f>
        <v/>
      </c>
      <c r="FT12" s="121" t="str">
        <f>IF(ISBLANK(tbl_task2[[คะแนนเต็ม]:[คะแนนเต็ม]]),"",(tbl_task2[6]/tbl_task2[[คะแนนเต็ม]:[คะแนนเต็ม]])*tbl_task2[[%]:[%]])</f>
        <v/>
      </c>
      <c r="FU12" s="121" t="str">
        <f>IF(ISBLANK(tbl_task2[[คะแนนเต็ม]:[คะแนนเต็ม]]),"",(tbl_task2[7]/tbl_task2[[คะแนนเต็ม]:[คะแนนเต็ม]])*tbl_task2[[%]:[%]])</f>
        <v/>
      </c>
      <c r="FV12" s="121" t="str">
        <f>IF(ISBLANK(tbl_task2[[คะแนนเต็ม]:[คะแนนเต็ม]]),"",(tbl_task2[8]/tbl_task2[[คะแนนเต็ม]:[คะแนนเต็ม]])*tbl_task2[[%]:[%]])</f>
        <v/>
      </c>
      <c r="FW12" s="121" t="str">
        <f>IF(ISBLANK(tbl_task2[[คะแนนเต็ม]:[คะแนนเต็ม]]),"",(tbl_task2[9]/tbl_task2[[คะแนนเต็ม]:[คะแนนเต็ม]])*tbl_task2[[%]:[%]])</f>
        <v/>
      </c>
      <c r="FX12" s="121" t="str">
        <f>IF(ISBLANK(tbl_task2[[คะแนนเต็ม]:[คะแนนเต็ม]]),"",(tbl_task2[10]/tbl_task2[[คะแนนเต็ม]:[คะแนนเต็ม]])*tbl_task2[[%]:[%]])</f>
        <v/>
      </c>
      <c r="FY12" s="121" t="str">
        <f>IF(ISBLANK(tbl_task2[[คะแนนเต็ม]:[คะแนนเต็ม]]),"",(tbl_task2[11]/tbl_task2[[คะแนนเต็ม]:[คะแนนเต็ม]])*tbl_task2[[%]:[%]])</f>
        <v/>
      </c>
      <c r="FZ12" s="121" t="str">
        <f>IF(ISBLANK(tbl_task2[[คะแนนเต็ม]:[คะแนนเต็ม]]),"",(tbl_task2[12]/tbl_task2[[คะแนนเต็ม]:[คะแนนเต็ม]])*tbl_task2[[%]:[%]])</f>
        <v/>
      </c>
      <c r="GA12" s="121" t="str">
        <f>IF(ISBLANK(tbl_task2[[คะแนนเต็ม]:[คะแนนเต็ม]]),"",(tbl_task2[13]/tbl_task2[[คะแนนเต็ม]:[คะแนนเต็ม]])*tbl_task2[[%]:[%]])</f>
        <v/>
      </c>
      <c r="GB12" s="121" t="str">
        <f>IF(ISBLANK(tbl_task2[[คะแนนเต็ม]:[คะแนนเต็ม]]),"",(tbl_task2[14]/tbl_task2[[คะแนนเต็ม]:[คะแนนเต็ม]])*tbl_task2[[%]:[%]])</f>
        <v/>
      </c>
      <c r="GC12" s="121" t="str">
        <f>IF(ISBLANK(tbl_task2[[คะแนนเต็ม]:[คะแนนเต็ม]]),"",(tbl_task2[15]/tbl_task2[[คะแนนเต็ม]:[คะแนนเต็ม]])*tbl_task2[[%]:[%]])</f>
        <v/>
      </c>
      <c r="GD12" s="121" t="str">
        <f>IF(ISBLANK(tbl_task2[[คะแนนเต็ม]:[คะแนนเต็ม]]),"",(tbl_task2[16]/tbl_task2[[คะแนนเต็ม]:[คะแนนเต็ม]])*tbl_task2[[%]:[%]])</f>
        <v/>
      </c>
      <c r="GE12" s="121" t="str">
        <f>IF(ISBLANK(tbl_task2[[คะแนนเต็ม]:[คะแนนเต็ม]]),"",(tbl_task2[17]/tbl_task2[[คะแนนเต็ม]:[คะแนนเต็ม]])*tbl_task2[[%]:[%]])</f>
        <v/>
      </c>
      <c r="GF12" s="121" t="str">
        <f>IF(ISBLANK(tbl_task2[[คะแนนเต็ม]:[คะแนนเต็ม]]),"",(tbl_task2[18]/tbl_task2[[คะแนนเต็ม]:[คะแนนเต็ม]])*tbl_task2[[%]:[%]])</f>
        <v/>
      </c>
      <c r="GG12" s="121" t="str">
        <f>IF(ISBLANK(tbl_task2[[คะแนนเต็ม]:[คะแนนเต็ม]]),"",(tbl_task2[19]/tbl_task2[[คะแนนเต็ม]:[คะแนนเต็ม]])*tbl_task2[[%]:[%]])</f>
        <v/>
      </c>
      <c r="GH12" s="121" t="str">
        <f>IF(ISBLANK(tbl_task2[[คะแนนเต็ม]:[คะแนนเต็ม]]),"",(tbl_task2[20]/tbl_task2[[คะแนนเต็ม]:[คะแนนเต็ม]])*tbl_task2[[%]:[%]])</f>
        <v/>
      </c>
      <c r="GI12" s="121" t="str">
        <f>IF(ISBLANK(tbl_task2[[คะแนนเต็ม]:[คะแนนเต็ม]]),"",(tbl_task2[21]/tbl_task2[[คะแนนเต็ม]:[คะแนนเต็ม]])*tbl_task2[[%]:[%]])</f>
        <v/>
      </c>
      <c r="GJ12" s="121" t="str">
        <f>IF(ISBLANK(tbl_task2[[คะแนนเต็ม]:[คะแนนเต็ม]]),"",(tbl_task2[22]/tbl_task2[[คะแนนเต็ม]:[คะแนนเต็ม]])*tbl_task2[[%]:[%]])</f>
        <v/>
      </c>
      <c r="GK12" s="121" t="str">
        <f>IF(ISBLANK(tbl_task2[[คะแนนเต็ม]:[คะแนนเต็ม]]),"",(tbl_task2[23]/tbl_task2[[คะแนนเต็ม]:[คะแนนเต็ม]])*tbl_task2[[%]:[%]])</f>
        <v/>
      </c>
      <c r="GL12" s="121" t="str">
        <f>IF(ISBLANK(tbl_task2[[คะแนนเต็ม]:[คะแนนเต็ม]]),"",(tbl_task2[24]/tbl_task2[[คะแนนเต็ม]:[คะแนนเต็ม]])*tbl_task2[[%]:[%]])</f>
        <v/>
      </c>
      <c r="GM12" s="121" t="str">
        <f>IF(ISBLANK(tbl_task2[[คะแนนเต็ม]:[คะแนนเต็ม]]),"",(tbl_task2[25]/tbl_task2[[คะแนนเต็ม]:[คะแนนเต็ม]])*tbl_task2[[%]:[%]])</f>
        <v/>
      </c>
      <c r="GN12" s="121" t="str">
        <f>IF(ISBLANK(tbl_task2[[คะแนนเต็ม]:[คะแนนเต็ม]]),"",(tbl_task2[26]/tbl_task2[[คะแนนเต็ม]:[คะแนนเต็ม]])*tbl_task2[[%]:[%]])</f>
        <v/>
      </c>
      <c r="GO12" s="121" t="str">
        <f>IF(ISBLANK(tbl_task2[[คะแนนเต็ม]:[คะแนนเต็ม]]),"",(tbl_task2[27]/tbl_task2[[คะแนนเต็ม]:[คะแนนเต็ม]])*tbl_task2[[%]:[%]])</f>
        <v/>
      </c>
      <c r="GP12" s="121" t="str">
        <f>IF(ISBLANK(tbl_task2[[คะแนนเต็ม]:[คะแนนเต็ม]]),"",(tbl_task2[28]/tbl_task2[[คะแนนเต็ม]:[คะแนนเต็ม]])*tbl_task2[[%]:[%]])</f>
        <v/>
      </c>
      <c r="GQ12" s="121" t="str">
        <f>IF(ISBLANK(tbl_task2[[คะแนนเต็ม]:[คะแนนเต็ม]]),"",(tbl_task2[29]/tbl_task2[[คะแนนเต็ม]:[คะแนนเต็ม]])*tbl_task2[[%]:[%]])</f>
        <v/>
      </c>
      <c r="GR12" s="121" t="str">
        <f>IF(ISBLANK(tbl_task2[[คะแนนเต็ม]:[คะแนนเต็ม]]),"",(tbl_task2[30]/tbl_task2[[คะแนนเต็ม]:[คะแนนเต็ม]])*tbl_task2[[%]:[%]])</f>
        <v/>
      </c>
      <c r="GS12" s="121" t="str">
        <f>IF(ISBLANK(tbl_task2[[คะแนนเต็ม]:[คะแนนเต็ม]]),"",(tbl_task2[31]/tbl_task2[[คะแนนเต็ม]:[คะแนนเต็ม]])*tbl_task2[[%]:[%]])</f>
        <v/>
      </c>
      <c r="GT12" s="121" t="str">
        <f>IF(ISBLANK(tbl_task2[[คะแนนเต็ม]:[คะแนนเต็ม]]),"",(tbl_task2[32]/tbl_task2[[คะแนนเต็ม]:[คะแนนเต็ม]])*tbl_task2[[%]:[%]])</f>
        <v/>
      </c>
      <c r="GU12" s="121" t="str">
        <f>IF(ISBLANK(tbl_task2[[คะแนนเต็ม]:[คะแนนเต็ม]]),"",(tbl_task2[33]/tbl_task2[[คะแนนเต็ม]:[คะแนนเต็ม]])*tbl_task2[[%]:[%]])</f>
        <v/>
      </c>
      <c r="GV12" s="121" t="str">
        <f>IF(ISBLANK(tbl_task2[[คะแนนเต็ม]:[คะแนนเต็ม]]),"",(tbl_task2[34]/tbl_task2[[คะแนนเต็ม]:[คะแนนเต็ม]])*tbl_task2[[%]:[%]])</f>
        <v/>
      </c>
      <c r="GW12" s="121" t="str">
        <f>IF(ISBLANK(tbl_task2[[คะแนนเต็ม]:[คะแนนเต็ม]]),"",(tbl_task2[35]/tbl_task2[[คะแนนเต็ม]:[คะแนนเต็ม]])*tbl_task2[[%]:[%]])</f>
        <v/>
      </c>
      <c r="GX12" s="121" t="str">
        <f>IF(ISBLANK(tbl_task2[[คะแนนเต็ม]:[คะแนนเต็ม]]),"",(tbl_task2[36]/tbl_task2[[คะแนนเต็ม]:[คะแนนเต็ม]])*tbl_task2[[%]:[%]])</f>
        <v/>
      </c>
      <c r="GY12" s="121" t="str">
        <f>IF(ISBLANK(tbl_task2[[คะแนนเต็ม]:[คะแนนเต็ม]]),"",(tbl_task2[37]/tbl_task2[[คะแนนเต็ม]:[คะแนนเต็ม]])*tbl_task2[[%]:[%]])</f>
        <v/>
      </c>
      <c r="GZ12" s="121" t="str">
        <f>IF(ISBLANK(tbl_task2[[คะแนนเต็ม]:[คะแนนเต็ม]]),"",(tbl_task2[38]/tbl_task2[[คะแนนเต็ม]:[คะแนนเต็ม]])*tbl_task2[[%]:[%]])</f>
        <v/>
      </c>
      <c r="HA12" s="121" t="str">
        <f>IF(ISBLANK(tbl_task2[[คะแนนเต็ม]:[คะแนนเต็ม]]),"",(tbl_task2[39]/tbl_task2[[คะแนนเต็ม]:[คะแนนเต็ม]])*tbl_task2[[%]:[%]])</f>
        <v/>
      </c>
      <c r="HB12" s="121" t="str">
        <f>IF(ISBLANK(tbl_task2[[คะแนนเต็ม]:[คะแนนเต็ม]]),"",(tbl_task2[40]/tbl_task2[[คะแนนเต็ม]:[คะแนนเต็ม]])*tbl_task2[[%]:[%]])</f>
        <v/>
      </c>
      <c r="HC12" s="121" t="str">
        <f>IF(ISBLANK(tbl_task2[[คะแนนเต็ม]:[คะแนนเต็ม]]),"",(tbl_task2[41]/tbl_task2[[คะแนนเต็ม]:[คะแนนเต็ม]])*tbl_task2[[%]:[%]])</f>
        <v/>
      </c>
      <c r="HD12" s="121" t="str">
        <f>IF(ISBLANK(tbl_task2[[คะแนนเต็ม]:[คะแนนเต็ม]]),"",(tbl_task2[42]/tbl_task2[[คะแนนเต็ม]:[คะแนนเต็ม]])*tbl_task2[[%]:[%]])</f>
        <v/>
      </c>
      <c r="HE12" s="121" t="str">
        <f>IF(ISBLANK(tbl_task2[[คะแนนเต็ม]:[คะแนนเต็ม]]),"",(tbl_task2[43]/tbl_task2[[คะแนนเต็ม]:[คะแนนเต็ม]])*tbl_task2[[%]:[%]])</f>
        <v/>
      </c>
      <c r="HF12" s="121" t="str">
        <f>IF(ISBLANK(tbl_task2[[คะแนนเต็ม]:[คะแนนเต็ม]]),"",(tbl_task2[44]/tbl_task2[[คะแนนเต็ม]:[คะแนนเต็ม]])*tbl_task2[[%]:[%]])</f>
        <v/>
      </c>
      <c r="HG12" s="121" t="str">
        <f>IF(ISBLANK(tbl_task2[[คะแนนเต็ม]:[คะแนนเต็ม]]),"",(tbl_task2[45]/tbl_task2[[คะแนนเต็ม]:[คะแนนเต็ม]])*tbl_task2[[%]:[%]])</f>
        <v/>
      </c>
      <c r="HH12" s="121" t="str">
        <f>IF(ISBLANK(tbl_task2[[คะแนนเต็ม]:[คะแนนเต็ม]]),"",(tbl_task2[46]/tbl_task2[[คะแนนเต็ม]:[คะแนนเต็ม]])*tbl_task2[[%]:[%]])</f>
        <v/>
      </c>
      <c r="HI12" s="121" t="str">
        <f>IF(ISBLANK(tbl_task2[[คะแนนเต็ม]:[คะแนนเต็ม]]),"",(tbl_task2[47]/tbl_task2[[คะแนนเต็ม]:[คะแนนเต็ม]])*tbl_task2[[%]:[%]])</f>
        <v/>
      </c>
      <c r="HJ12" s="121" t="str">
        <f>IF(ISBLANK(tbl_task2[[คะแนนเต็ม]:[คะแนนเต็ม]]),"",(tbl_task2[48]/tbl_task2[[คะแนนเต็ม]:[คะแนนเต็ม]])*tbl_task2[[%]:[%]])</f>
        <v/>
      </c>
      <c r="HK12" s="121" t="str">
        <f>IF(ISBLANK(tbl_task2[[คะแนนเต็ม]:[คะแนนเต็ม]]),"",(tbl_task2[49]/tbl_task2[[คะแนนเต็ม]:[คะแนนเต็ม]])*tbl_task2[[%]:[%]])</f>
        <v/>
      </c>
      <c r="HL12" s="121" t="str">
        <f>IF(ISBLANK(tbl_task2[[คะแนนเต็ม]:[คะแนนเต็ม]]),"",(tbl_task2[50]/tbl_task2[[คะแนนเต็ม]:[คะแนนเต็ม]])*tbl_task2[[%]:[%]])</f>
        <v/>
      </c>
      <c r="HM12" s="121" t="str">
        <f>IF(ISBLANK(tbl_task2[[คะแนนเต็ม]:[คะแนนเต็ม]]),"",(tbl_task2[51]/tbl_task2[[คะแนนเต็ม]:[คะแนนเต็ม]])*tbl_task2[[%]:[%]])</f>
        <v/>
      </c>
      <c r="HN12" s="121" t="str">
        <f>IF(ISBLANK(tbl_task2[[คะแนนเต็ม]:[คะแนนเต็ม]]),"",(tbl_task2[52]/tbl_task2[[คะแนนเต็ม]:[คะแนนเต็ม]])*tbl_task2[[%]:[%]])</f>
        <v/>
      </c>
      <c r="HO12" s="121" t="str">
        <f>IF(ISBLANK(tbl_task2[[คะแนนเต็ม]:[คะแนนเต็ม]]),"",(tbl_task2[53]/tbl_task2[[คะแนนเต็ม]:[คะแนนเต็ม]])*tbl_task2[[%]:[%]])</f>
        <v/>
      </c>
      <c r="HP12" s="121" t="str">
        <f>IF(ISBLANK(tbl_task2[[คะแนนเต็ม]:[คะแนนเต็ม]]),"",(tbl_task2[54]/tbl_task2[[คะแนนเต็ม]:[คะแนนเต็ม]])*tbl_task2[[%]:[%]])</f>
        <v/>
      </c>
      <c r="HQ12" s="121" t="str">
        <f>IF(ISBLANK(tbl_task2[[คะแนนเต็ม]:[คะแนนเต็ม]]),"",(tbl_task2[55]/tbl_task2[[คะแนนเต็ม]:[คะแนนเต็ม]])*tbl_task2[[%]:[%]])</f>
        <v/>
      </c>
      <c r="HR12" s="121" t="str">
        <f>IF(ISBLANK(tbl_task2[[คะแนนเต็ม]:[คะแนนเต็ม]]),"",(tbl_task2[56]/tbl_task2[[คะแนนเต็ม]:[คะแนนเต็ม]])*tbl_task2[[%]:[%]])</f>
        <v/>
      </c>
      <c r="HS12" s="121" t="str">
        <f>IF(ISBLANK(tbl_task2[[คะแนนเต็ม]:[คะแนนเต็ม]]),"",(tbl_task2[57]/tbl_task2[[คะแนนเต็ม]:[คะแนนเต็ม]])*tbl_task2[[%]:[%]])</f>
        <v/>
      </c>
      <c r="HT12" s="121" t="str">
        <f>IF(ISBLANK(tbl_task2[[คะแนนเต็ม]:[คะแนนเต็ม]]),"",(tbl_task2[58]/tbl_task2[[คะแนนเต็ม]:[คะแนนเต็ม]])*tbl_task2[[%]:[%]])</f>
        <v/>
      </c>
      <c r="HU12" s="121" t="str">
        <f>IF(ISBLANK(tbl_task2[[คะแนนเต็ม]:[คะแนนเต็ม]]),"",(tbl_task2[59]/tbl_task2[[คะแนนเต็ม]:[คะแนนเต็ม]])*tbl_task2[[%]:[%]])</f>
        <v/>
      </c>
      <c r="HV12" s="121" t="str">
        <f>IF(ISBLANK(tbl_task2[[คะแนนเต็ม]:[คะแนนเต็ม]]),"",(tbl_task2[60]/tbl_task2[[คะแนนเต็ม]:[คะแนนเต็ม]])*tbl_task2[[%]:[%]])</f>
        <v/>
      </c>
      <c r="HW12" s="121" t="str">
        <f>IF(ISBLANK(tbl_task2[[คะแนนเต็ม]:[คะแนนเต็ม]]),"",(tbl_task2[61]/tbl_task2[[คะแนนเต็ม]:[คะแนนเต็ม]])*tbl_task2[[%]:[%]])</f>
        <v/>
      </c>
      <c r="HX12" s="121" t="str">
        <f>IF(ISBLANK(tbl_task2[[คะแนนเต็ม]:[คะแนนเต็ม]]),"",(tbl_task2[62]/tbl_task2[[คะแนนเต็ม]:[คะแนนเต็ม]])*tbl_task2[[%]:[%]])</f>
        <v/>
      </c>
      <c r="HY12" s="121" t="str">
        <f>IF(ISBLANK(tbl_task2[[คะแนนเต็ม]:[คะแนนเต็ม]]),"",(tbl_task2[63]/tbl_task2[[คะแนนเต็ม]:[คะแนนเต็ม]])*tbl_task2[[%]:[%]])</f>
        <v/>
      </c>
      <c r="HZ12" s="121" t="str">
        <f>IF(ISBLANK(tbl_task2[[คะแนนเต็ม]:[คะแนนเต็ม]]),"",(tbl_task2[64]/tbl_task2[[คะแนนเต็ม]:[คะแนนเต็ม]])*tbl_task2[[%]:[%]])</f>
        <v/>
      </c>
      <c r="IA12" s="121" t="str">
        <f>IF(ISBLANK(tbl_task2[[คะแนนเต็ม]:[คะแนนเต็ม]]),"",(tbl_task2[65]/tbl_task2[[คะแนนเต็ม]:[คะแนนเต็ม]])*tbl_task2[[%]:[%]])</f>
        <v/>
      </c>
      <c r="IB12" s="121" t="str">
        <f>IF(ISBLANK(tbl_task2[[คะแนนเต็ม]:[คะแนนเต็ม]]),"",(tbl_task2[66]/tbl_task2[[คะแนนเต็ม]:[คะแนนเต็ม]])*tbl_task2[[%]:[%]])</f>
        <v/>
      </c>
      <c r="IC12" s="121" t="str">
        <f>IF(ISBLANK(tbl_task2[[คะแนนเต็ม]:[คะแนนเต็ม]]),"",(tbl_task2[67]/tbl_task2[[คะแนนเต็ม]:[คะแนนเต็ม]])*tbl_task2[[%]:[%]])</f>
        <v/>
      </c>
      <c r="ID12" s="121" t="str">
        <f>IF(ISBLANK(tbl_task2[[คะแนนเต็ม]:[คะแนนเต็ม]]),"",(tbl_task2[68]/tbl_task2[[คะแนนเต็ม]:[คะแนนเต็ม]])*tbl_task2[[%]:[%]])</f>
        <v/>
      </c>
      <c r="IE12" s="121" t="str">
        <f>IF(ISBLANK(tbl_task2[[คะแนนเต็ม]:[คะแนนเต็ม]]),"",(tbl_task2[69]/tbl_task2[[คะแนนเต็ม]:[คะแนนเต็ม]])*tbl_task2[[%]:[%]])</f>
        <v/>
      </c>
      <c r="IF12" s="121" t="str">
        <f>IF(ISBLANK(tbl_task2[[คะแนนเต็ม]:[คะแนนเต็ม]]),"",(tbl_task2[70]/tbl_task2[[คะแนนเต็ม]:[คะแนนเต็ม]])*tbl_task2[[%]:[%]])</f>
        <v/>
      </c>
      <c r="IG12" s="121" t="str">
        <f>IF(ISBLANK(tbl_task2[[คะแนนเต็ม]:[คะแนนเต็ม]]),"",(tbl_task2[71]/tbl_task2[[คะแนนเต็ม]:[คะแนนเต็ม]])*tbl_task2[[%]:[%]])</f>
        <v/>
      </c>
      <c r="IH12" s="121" t="str">
        <f>IF(ISBLANK(tbl_task2[[คะแนนเต็ม]:[คะแนนเต็ม]]),"",(tbl_task2[72]/tbl_task2[[คะแนนเต็ม]:[คะแนนเต็ม]])*tbl_task2[[%]:[%]])</f>
        <v/>
      </c>
      <c r="II12" s="121" t="str">
        <f>IF(ISBLANK(tbl_task2[[คะแนนเต็ม]:[คะแนนเต็ม]]),"",(tbl_task2[73]/tbl_task2[[คะแนนเต็ม]:[คะแนนเต็ม]])*tbl_task2[[%]:[%]])</f>
        <v/>
      </c>
      <c r="IJ12" s="121" t="str">
        <f>IF(ISBLANK(tbl_task2[[คะแนนเต็ม]:[คะแนนเต็ม]]),"",(tbl_task2[74]/tbl_task2[[คะแนนเต็ม]:[คะแนนเต็ม]])*tbl_task2[[%]:[%]])</f>
        <v/>
      </c>
      <c r="IK12" s="121" t="str">
        <f>IF(ISBLANK(tbl_task2[[คะแนนเต็ม]:[คะแนนเต็ม]]),"",(tbl_task2[75]/tbl_task2[[คะแนนเต็ม]:[คะแนนเต็ม]])*tbl_task2[[%]:[%]])</f>
        <v/>
      </c>
      <c r="IL12" s="121" t="str">
        <f>IF(ISBLANK(tbl_task2[[คะแนนเต็ม]:[คะแนนเต็ม]]),"",(tbl_task2[76]/tbl_task2[[คะแนนเต็ม]:[คะแนนเต็ม]])*tbl_task2[[%]:[%]])</f>
        <v/>
      </c>
      <c r="IM12" s="121" t="str">
        <f>IF(ISBLANK(tbl_task2[[คะแนนเต็ม]:[คะแนนเต็ม]]),"",(tbl_task2[77]/tbl_task2[[คะแนนเต็ม]:[คะแนนเต็ม]])*tbl_task2[[%]:[%]])</f>
        <v/>
      </c>
      <c r="IN12" s="121" t="str">
        <f>IF(ISBLANK(tbl_task2[[คะแนนเต็ม]:[คะแนนเต็ม]]),"",(tbl_task2[78]/tbl_task2[[คะแนนเต็ม]:[คะแนนเต็ม]])*tbl_task2[[%]:[%]])</f>
        <v/>
      </c>
      <c r="IO12" s="121" t="str">
        <f>IF(ISBLANK(tbl_task2[[คะแนนเต็ม]:[คะแนนเต็ม]]),"",(tbl_task2[79]/tbl_task2[[คะแนนเต็ม]:[คะแนนเต็ม]])*tbl_task2[[%]:[%]])</f>
        <v/>
      </c>
      <c r="IP12" s="121" t="str">
        <f>IF(ISBLANK(tbl_task2[[คะแนนเต็ม]:[คะแนนเต็ม]]),"",(tbl_task2[80]/tbl_task2[[คะแนนเต็ม]:[คะแนนเต็ม]])*tbl_task2[[%]:[%]])</f>
        <v/>
      </c>
      <c r="IQ12" s="121" t="str">
        <f>IF(ISBLANK(tbl_task2[[คะแนนเต็ม]:[คะแนนเต็ม]]),"",(tbl_task2[81]/tbl_task2[[คะแนนเต็ม]:[คะแนนเต็ม]])*tbl_task2[[%]:[%]])</f>
        <v/>
      </c>
      <c r="IR12" s="121" t="str">
        <f>IF(ISBLANK(tbl_task2[[คะแนนเต็ม]:[คะแนนเต็ม]]),"",(tbl_task2[82]/tbl_task2[[คะแนนเต็ม]:[คะแนนเต็ม]])*tbl_task2[[%]:[%]])</f>
        <v/>
      </c>
      <c r="IS12" s="121" t="str">
        <f>IF(ISBLANK(tbl_task2[[คะแนนเต็ม]:[คะแนนเต็ม]]),"",(tbl_task2[83]/tbl_task2[[คะแนนเต็ม]:[คะแนนเต็ม]])*tbl_task2[[%]:[%]])</f>
        <v/>
      </c>
      <c r="IT12" s="121" t="str">
        <f>IF(ISBLANK(tbl_task2[[คะแนนเต็ม]:[คะแนนเต็ม]]),"",(tbl_task2[84]/tbl_task2[[คะแนนเต็ม]:[คะแนนเต็ม]])*tbl_task2[[%]:[%]])</f>
        <v/>
      </c>
      <c r="IU12" s="121" t="str">
        <f>IF(ISBLANK(tbl_task2[[คะแนนเต็ม]:[คะแนนเต็ม]]),"",(tbl_task2[85]/tbl_task2[[คะแนนเต็ม]:[คะแนนเต็ม]])*tbl_task2[[%]:[%]])</f>
        <v/>
      </c>
      <c r="IV12" s="121" t="str">
        <f>IF(ISBLANK(tbl_task2[[คะแนนเต็ม]:[คะแนนเต็ม]]),"",(tbl_task2[86]/tbl_task2[[คะแนนเต็ม]:[คะแนนเต็ม]])*tbl_task2[[%]:[%]])</f>
        <v/>
      </c>
      <c r="IW12" s="121" t="str">
        <f>IF(ISBLANK(tbl_task2[[คะแนนเต็ม]:[คะแนนเต็ม]]),"",(tbl_task2[87]/tbl_task2[[คะแนนเต็ม]:[คะแนนเต็ม]])*tbl_task2[[%]:[%]])</f>
        <v/>
      </c>
      <c r="IX12" s="121" t="str">
        <f>IF(ISBLANK(tbl_task2[[คะแนนเต็ม]:[คะแนนเต็ม]]),"",(tbl_task2[88]/tbl_task2[[คะแนนเต็ม]:[คะแนนเต็ม]])*tbl_task2[[%]:[%]])</f>
        <v/>
      </c>
      <c r="IY12" s="121" t="str">
        <f>IF(ISBLANK(tbl_task2[[คะแนนเต็ม]:[คะแนนเต็ม]]),"",(tbl_task2[89]/tbl_task2[[คะแนนเต็ม]:[คะแนนเต็ม]])*tbl_task2[[%]:[%]])</f>
        <v/>
      </c>
      <c r="IZ12" s="121" t="str">
        <f>IF(ISBLANK(tbl_task2[[คะแนนเต็ม]:[คะแนนเต็ม]]),"",(tbl_task2[90]/tbl_task2[[คะแนนเต็ม]:[คะแนนเต็ม]])*tbl_task2[[%]:[%]])</f>
        <v/>
      </c>
      <c r="JA12" s="121" t="str">
        <f>IF(ISBLANK(tbl_task2[[คะแนนเต็ม]:[คะแนนเต็ม]]),"",(tbl_task2[91]/tbl_task2[[คะแนนเต็ม]:[คะแนนเต็ม]])*tbl_task2[[%]:[%]])</f>
        <v/>
      </c>
      <c r="JB12" s="121" t="str">
        <f>IF(ISBLANK(tbl_task2[[คะแนนเต็ม]:[คะแนนเต็ม]]),"",(tbl_task2[92]/tbl_task2[[คะแนนเต็ม]:[คะแนนเต็ม]])*tbl_task2[[%]:[%]])</f>
        <v/>
      </c>
      <c r="JC12" s="121" t="str">
        <f>IF(ISBLANK(tbl_task2[[คะแนนเต็ม]:[คะแนนเต็ม]]),"",(tbl_task2[93]/tbl_task2[[คะแนนเต็ม]:[คะแนนเต็ม]])*tbl_task2[[%]:[%]])</f>
        <v/>
      </c>
      <c r="JD12" s="121" t="str">
        <f>IF(ISBLANK(tbl_task2[[คะแนนเต็ม]:[คะแนนเต็ม]]),"",(tbl_task2[94]/tbl_task2[[คะแนนเต็ม]:[คะแนนเต็ม]])*tbl_task2[[%]:[%]])</f>
        <v/>
      </c>
      <c r="JE12" s="121" t="str">
        <f>IF(ISBLANK(tbl_task2[[คะแนนเต็ม]:[คะแนนเต็ม]]),"",(tbl_task2[95]/tbl_task2[[คะแนนเต็ม]:[คะแนนเต็ม]])*tbl_task2[[%]:[%]])</f>
        <v/>
      </c>
      <c r="JF12" s="121" t="str">
        <f>IF(ISBLANK(tbl_task2[[คะแนนเต็ม]:[คะแนนเต็ม]]),"",(tbl_task2[96]/tbl_task2[[คะแนนเต็ม]:[คะแนนเต็ม]])*tbl_task2[[%]:[%]])</f>
        <v/>
      </c>
      <c r="JG12" s="121" t="str">
        <f>IF(ISBLANK(tbl_task2[[คะแนนเต็ม]:[คะแนนเต็ม]]),"",(tbl_task2[97]/tbl_task2[[คะแนนเต็ม]:[คะแนนเต็ม]])*tbl_task2[[%]:[%]])</f>
        <v/>
      </c>
      <c r="JH12" s="121" t="str">
        <f>IF(ISBLANK(tbl_task2[[คะแนนเต็ม]:[คะแนนเต็ม]]),"",(tbl_task2[98]/tbl_task2[[คะแนนเต็ม]:[คะแนนเต็ม]])*tbl_task2[[%]:[%]])</f>
        <v/>
      </c>
      <c r="JI12" s="121" t="str">
        <f>IF(ISBLANK(tbl_task2[[คะแนนเต็ม]:[คะแนนเต็ม]]),"",(tbl_task2[99]/tbl_task2[[คะแนนเต็ม]:[คะแนนเต็ม]])*tbl_task2[[%]:[%]])</f>
        <v/>
      </c>
      <c r="JJ12" s="121" t="str">
        <f>IF(ISBLANK(tbl_task2[[คะแนนเต็ม]:[คะแนนเต็ม]]),"",(tbl_task2[100]/tbl_task2[[คะแนนเต็ม]:[คะแนนเต็ม]])*tbl_task2[[%]:[%]])</f>
        <v/>
      </c>
      <c r="JK12" s="121" t="str">
        <f>IF(ISBLANK(tbl_task2[[คะแนนเต็ม]:[คะแนนเต็ม]]),"",(tbl_task2[101]/tbl_task2[[คะแนนเต็ม]:[คะแนนเต็ม]])*tbl_task2[[%]:[%]])</f>
        <v/>
      </c>
      <c r="JL12" s="121" t="str">
        <f>IF(ISBLANK(tbl_task2[[คะแนนเต็ม]:[คะแนนเต็ม]]),"",(tbl_task2[102]/tbl_task2[[คะแนนเต็ม]:[คะแนนเต็ม]])*tbl_task2[[%]:[%]])</f>
        <v/>
      </c>
      <c r="JM12" s="121" t="str">
        <f>IF(ISBLANK(tbl_task2[[คะแนนเต็ม]:[คะแนนเต็ม]]),"",(tbl_task2[103]/tbl_task2[[คะแนนเต็ม]:[คะแนนเต็ม]])*tbl_task2[[%]:[%]])</f>
        <v/>
      </c>
      <c r="JN12" s="121" t="str">
        <f>IF(ISBLANK(tbl_task2[[คะแนนเต็ม]:[คะแนนเต็ม]]),"",(tbl_task2[104]/tbl_task2[[คะแนนเต็ม]:[คะแนนเต็ม]])*tbl_task2[[%]:[%]])</f>
        <v/>
      </c>
      <c r="JO12" s="121" t="str">
        <f>IF(ISBLANK(tbl_task2[[คะแนนเต็ม]:[คะแนนเต็ม]]),"",(tbl_task2[105]/tbl_task2[[คะแนนเต็ม]:[คะแนนเต็ม]])*tbl_task2[[%]:[%]])</f>
        <v/>
      </c>
      <c r="JP12" s="121" t="str">
        <f>IF(ISBLANK(tbl_task2[[คะแนนเต็ม]:[คะแนนเต็ม]]),"",(tbl_task2[106]/tbl_task2[[คะแนนเต็ม]:[คะแนนเต็ม]])*tbl_task2[[%]:[%]])</f>
        <v/>
      </c>
      <c r="JQ12" s="121" t="str">
        <f>IF(ISBLANK(tbl_task2[[คะแนนเต็ม]:[คะแนนเต็ม]]),"",(tbl_task2[107]/tbl_task2[[คะแนนเต็ม]:[คะแนนเต็ม]])*tbl_task2[[%]:[%]])</f>
        <v/>
      </c>
      <c r="JR12" s="121" t="str">
        <f>IF(ISBLANK(tbl_task2[[คะแนนเต็ม]:[คะแนนเต็ม]]),"",(tbl_task2[108]/tbl_task2[[คะแนนเต็ม]:[คะแนนเต็ม]])*tbl_task2[[%]:[%]])</f>
        <v/>
      </c>
      <c r="JS12" s="121" t="str">
        <f>IF(ISBLANK(tbl_task2[[คะแนนเต็ม]:[คะแนนเต็ม]]),"",(tbl_task2[109]/tbl_task2[[คะแนนเต็ม]:[คะแนนเต็ม]])*tbl_task2[[%]:[%]])</f>
        <v/>
      </c>
      <c r="JT12" s="121" t="str">
        <f>IF(ISBLANK(tbl_task2[[คะแนนเต็ม]:[คะแนนเต็ม]]),"",(tbl_task2[110]/tbl_task2[[คะแนนเต็ม]:[คะแนนเต็ม]])*tbl_task2[[%]:[%]])</f>
        <v/>
      </c>
      <c r="JU12" s="121" t="str">
        <f>IF(ISBLANK(tbl_task2[[คะแนนเต็ม]:[คะแนนเต็ม]]),"",(tbl_task2[111]/tbl_task2[[คะแนนเต็ม]:[คะแนนเต็ม]])*tbl_task2[[%]:[%]])</f>
        <v/>
      </c>
      <c r="JV12" s="121" t="str">
        <f>IF(ISBLANK(tbl_task2[[คะแนนเต็ม]:[คะแนนเต็ม]]),"",(tbl_task2[112]/tbl_task2[[คะแนนเต็ม]:[คะแนนเต็ม]])*tbl_task2[[%]:[%]])</f>
        <v/>
      </c>
      <c r="JW12" s="121" t="str">
        <f>IF(ISBLANK(tbl_task2[[คะแนนเต็ม]:[คะแนนเต็ม]]),"",(tbl_task2[113]/tbl_task2[[คะแนนเต็ม]:[คะแนนเต็ม]])*tbl_task2[[%]:[%]])</f>
        <v/>
      </c>
      <c r="JX12" s="121" t="str">
        <f>IF(ISBLANK(tbl_task2[[คะแนนเต็ม]:[คะแนนเต็ม]]),"",(tbl_task2[114]/tbl_task2[[คะแนนเต็ม]:[คะแนนเต็ม]])*tbl_task2[[%]:[%]])</f>
        <v/>
      </c>
      <c r="JY12" s="121" t="str">
        <f>IF(ISBLANK(tbl_task2[[คะแนนเต็ม]:[คะแนนเต็ม]]),"",(tbl_task2[115]/tbl_task2[[คะแนนเต็ม]:[คะแนนเต็ม]])*tbl_task2[[%]:[%]])</f>
        <v/>
      </c>
      <c r="JZ12" s="121" t="str">
        <f>IF(ISBLANK(tbl_task2[[คะแนนเต็ม]:[คะแนนเต็ม]]),"",(tbl_task2[116]/tbl_task2[[คะแนนเต็ม]:[คะแนนเต็ม]])*tbl_task2[[%]:[%]])</f>
        <v/>
      </c>
      <c r="KA12" s="121" t="str">
        <f>IF(ISBLANK(tbl_task2[[คะแนนเต็ม]:[คะแนนเต็ม]]),"",(tbl_task2[117]/tbl_task2[[คะแนนเต็ม]:[คะแนนเต็ม]])*tbl_task2[[%]:[%]])</f>
        <v/>
      </c>
      <c r="KB12" s="121" t="str">
        <f>IF(ISBLANK(tbl_task2[[คะแนนเต็ม]:[คะแนนเต็ม]]),"",(tbl_task2[118]/tbl_task2[[คะแนนเต็ม]:[คะแนนเต็ม]])*tbl_task2[[%]:[%]])</f>
        <v/>
      </c>
      <c r="KC12" s="121" t="str">
        <f>IF(ISBLANK(tbl_task2[[คะแนนเต็ม]:[คะแนนเต็ม]]),"",(tbl_task2[119]/tbl_task2[[คะแนนเต็ม]:[คะแนนเต็ม]])*tbl_task2[[%]:[%]])</f>
        <v/>
      </c>
      <c r="KD12" s="121" t="str">
        <f>IF(ISBLANK(tbl_task2[[คะแนนเต็ม]:[คะแนนเต็ม]]),"",(tbl_task2[120]/tbl_task2[[คะแนนเต็ม]:[คะแนนเต็ม]])*tbl_task2[[%]:[%]])</f>
        <v/>
      </c>
      <c r="KE12" s="121" t="str">
        <f>IF(ISBLANK(tbl_task2[[คะแนนเต็ม]:[คะแนนเต็ม]]),"",(tbl_task2[121]/tbl_task2[[คะแนนเต็ม]:[คะแนนเต็ม]])*tbl_task2[[%]:[%]])</f>
        <v/>
      </c>
      <c r="KF12" s="121" t="str">
        <f>IF(ISBLANK(tbl_task2[[คะแนนเต็ม]:[คะแนนเต็ม]]),"",(tbl_task2[122]/tbl_task2[[คะแนนเต็ม]:[คะแนนเต็ม]])*tbl_task2[[%]:[%]])</f>
        <v/>
      </c>
      <c r="KG12" s="121" t="str">
        <f>IF(ISBLANK(tbl_task2[[คะแนนเต็ม]:[คะแนนเต็ม]]),"",(tbl_task2[123]/tbl_task2[[คะแนนเต็ม]:[คะแนนเต็ม]])*tbl_task2[[%]:[%]])</f>
        <v/>
      </c>
      <c r="KH12" s="121" t="str">
        <f>IF(ISBLANK(tbl_task2[[คะแนนเต็ม]:[คะแนนเต็ม]]),"",(tbl_task2[124]/tbl_task2[[คะแนนเต็ม]:[คะแนนเต็ม]])*tbl_task2[[%]:[%]])</f>
        <v/>
      </c>
      <c r="KI12" s="121" t="str">
        <f>IF(ISBLANK(tbl_task2[[คะแนนเต็ม]:[คะแนนเต็ม]]),"",(tbl_task2[125]/tbl_task2[[คะแนนเต็ม]:[คะแนนเต็ม]])*tbl_task2[[%]:[%]])</f>
        <v/>
      </c>
      <c r="KJ12" s="121" t="str">
        <f>IF(ISBLANK(tbl_task2[[คะแนนเต็ม]:[คะแนนเต็ม]]),"",(tbl_task2[126]/tbl_task2[[คะแนนเต็ม]:[คะแนนเต็ม]])*tbl_task2[[%]:[%]])</f>
        <v/>
      </c>
      <c r="KK12" s="121" t="str">
        <f>IF(ISBLANK(tbl_task2[[คะแนนเต็ม]:[คะแนนเต็ม]]),"",(tbl_task2[127]/tbl_task2[[คะแนนเต็ม]:[คะแนนเต็ม]])*tbl_task2[[%]:[%]])</f>
        <v/>
      </c>
      <c r="KL12" s="121" t="str">
        <f>IF(ISBLANK(tbl_task2[[คะแนนเต็ม]:[คะแนนเต็ม]]),"",(tbl_task2[128]/tbl_task2[[คะแนนเต็ม]:[คะแนนเต็ม]])*tbl_task2[[%]:[%]])</f>
        <v/>
      </c>
      <c r="KM12" s="121" t="str">
        <f>IF(ISBLANK(tbl_task2[[คะแนนเต็ม]:[คะแนนเต็ม]]),"",(tbl_task2[129]/tbl_task2[[คะแนนเต็ม]:[คะแนนเต็ม]])*tbl_task2[[%]:[%]])</f>
        <v/>
      </c>
      <c r="KN12" s="121" t="str">
        <f>IF(ISBLANK(tbl_task2[[คะแนนเต็ม]:[คะแนนเต็ม]]),"",(tbl_task2[130]/tbl_task2[[คะแนนเต็ม]:[คะแนนเต็ม]])*tbl_task2[[%]:[%]])</f>
        <v/>
      </c>
      <c r="KO12" s="121" t="str">
        <f>IF(ISBLANK(tbl_task2[[คะแนนเต็ม]:[คะแนนเต็ม]]),"",(tbl_task2[131]/tbl_task2[[คะแนนเต็ม]:[คะแนนเต็ม]])*tbl_task2[[%]:[%]])</f>
        <v/>
      </c>
      <c r="KP12" s="121" t="str">
        <f>IF(ISBLANK(tbl_task2[[คะแนนเต็ม]:[คะแนนเต็ม]]),"",(tbl_task2[132]/tbl_task2[[คะแนนเต็ม]:[คะแนนเต็ม]])*tbl_task2[[%]:[%]])</f>
        <v/>
      </c>
      <c r="KQ12" s="121" t="str">
        <f>IF(ISBLANK(tbl_task2[[คะแนนเต็ม]:[คะแนนเต็ม]]),"",(tbl_task2[133]/tbl_task2[[คะแนนเต็ม]:[คะแนนเต็ม]])*tbl_task2[[%]:[%]])</f>
        <v/>
      </c>
      <c r="KR12" s="121" t="str">
        <f>IF(ISBLANK(tbl_task2[[คะแนนเต็ม]:[คะแนนเต็ม]]),"",(tbl_task2[134]/tbl_task2[[คะแนนเต็ม]:[คะแนนเต็ม]])*tbl_task2[[%]:[%]])</f>
        <v/>
      </c>
      <c r="KS12" s="121" t="str">
        <f>IF(ISBLANK(tbl_task2[[คะแนนเต็ม]:[คะแนนเต็ม]]),"",(tbl_task2[135]/tbl_task2[[คะแนนเต็ม]:[คะแนนเต็ม]])*tbl_task2[[%]:[%]])</f>
        <v/>
      </c>
      <c r="KT12" s="121" t="str">
        <f>IF(ISBLANK(tbl_task2[[คะแนนเต็ม]:[คะแนนเต็ม]]),"",(tbl_task2[136]/tbl_task2[[คะแนนเต็ม]:[คะแนนเต็ม]])*tbl_task2[[%]:[%]])</f>
        <v/>
      </c>
      <c r="KU12" s="121" t="str">
        <f>IF(ISBLANK(tbl_task2[[คะแนนเต็ม]:[คะแนนเต็ม]]),"",(tbl_task2[137]/tbl_task2[[คะแนนเต็ม]:[คะแนนเต็ม]])*tbl_task2[[%]:[%]])</f>
        <v/>
      </c>
      <c r="KV12" s="121" t="str">
        <f>IF(ISBLANK(tbl_task2[[คะแนนเต็ม]:[คะแนนเต็ม]]),"",(tbl_task2[138]/tbl_task2[[คะแนนเต็ม]:[คะแนนเต็ม]])*tbl_task2[[%]:[%]])</f>
        <v/>
      </c>
      <c r="KW12" s="121" t="str">
        <f>IF(ISBLANK(tbl_task2[[คะแนนเต็ม]:[คะแนนเต็ม]]),"",(tbl_task2[139]/tbl_task2[[คะแนนเต็ม]:[คะแนนเต็ม]])*tbl_task2[[%]:[%]])</f>
        <v/>
      </c>
      <c r="KX12" s="121" t="str">
        <f>IF(ISBLANK(tbl_task2[[คะแนนเต็ม]:[คะแนนเต็ม]]),"",(tbl_task2[140]/tbl_task2[[คะแนนเต็ม]:[คะแนนเต็ม]])*tbl_task2[[%]:[%]])</f>
        <v/>
      </c>
      <c r="KY12" s="121" t="str">
        <f>IF(ISBLANK(tbl_task2[[คะแนนเต็ม]:[คะแนนเต็ม]]),"",(tbl_task2[141]/tbl_task2[[คะแนนเต็ม]:[คะแนนเต็ม]])*tbl_task2[[%]:[%]])</f>
        <v/>
      </c>
      <c r="KZ12" s="121" t="str">
        <f>IF(ISBLANK(tbl_task2[[คะแนนเต็ม]:[คะแนนเต็ม]]),"",(tbl_task2[142]/tbl_task2[[คะแนนเต็ม]:[คะแนนเต็ม]])*tbl_task2[[%]:[%]])</f>
        <v/>
      </c>
      <c r="LA12" s="121" t="str">
        <f>IF(ISBLANK(tbl_task2[[คะแนนเต็ม]:[คะแนนเต็ม]]),"",(tbl_task2[143]/tbl_task2[[คะแนนเต็ม]:[คะแนนเต็ม]])*tbl_task2[[%]:[%]])</f>
        <v/>
      </c>
      <c r="LB12" s="121" t="str">
        <f>IF(ISBLANK(tbl_task2[[คะแนนเต็ม]:[คะแนนเต็ม]]),"",(tbl_task2[144]/tbl_task2[[คะแนนเต็ม]:[คะแนนเต็ม]])*tbl_task2[[%]:[%]])</f>
        <v/>
      </c>
      <c r="LC12" s="121" t="str">
        <f>IF(ISBLANK(tbl_task2[[คะแนนเต็ม]:[คะแนนเต็ม]]),"",(tbl_task2[145]/tbl_task2[[คะแนนเต็ม]:[คะแนนเต็ม]])*tbl_task2[[%]:[%]])</f>
        <v/>
      </c>
      <c r="LD12" s="121" t="str">
        <f>IF(ISBLANK(tbl_task2[[คะแนนเต็ม]:[คะแนนเต็ม]]),"",(tbl_task2[146]/tbl_task2[[คะแนนเต็ม]:[คะแนนเต็ม]])*tbl_task2[[%]:[%]])</f>
        <v/>
      </c>
      <c r="LE12" s="121" t="str">
        <f>IF(ISBLANK(tbl_task2[[คะแนนเต็ม]:[คะแนนเต็ม]]),"",(tbl_task2[147]/tbl_task2[[คะแนนเต็ม]:[คะแนนเต็ม]])*tbl_task2[[%]:[%]])</f>
        <v/>
      </c>
      <c r="LF12" s="121" t="str">
        <f>IF(ISBLANK(tbl_task2[[คะแนนเต็ม]:[คะแนนเต็ม]]),"",(tbl_task2[148]/tbl_task2[[คะแนนเต็ม]:[คะแนนเต็ม]])*tbl_task2[[%]:[%]])</f>
        <v/>
      </c>
      <c r="LG12" s="121" t="str">
        <f>IF(ISBLANK(tbl_task2[[คะแนนเต็ม]:[คะแนนเต็ม]]),"",(tbl_task2[149]/tbl_task2[[คะแนนเต็ม]:[คะแนนเต็ม]])*tbl_task2[[%]:[%]])</f>
        <v/>
      </c>
      <c r="LH12" s="121" t="str">
        <f>IF(ISBLANK(tbl_task2[[คะแนนเต็ม]:[คะแนนเต็ม]]),"",(tbl_task2[150]/tbl_task2[[คะแนนเต็ม]:[คะแนนเต็ม]])*tbl_task2[[%]:[%]])</f>
        <v/>
      </c>
      <c r="LI12" s="121" t="str">
        <f>IF(ISBLANK(tbl_task2[[คะแนนเต็ม]:[คะแนนเต็ม]]),"",(tbl_task2[151]/tbl_task2[[คะแนนเต็ม]:[คะแนนเต็ม]])*tbl_task2[[%]:[%]])</f>
        <v/>
      </c>
      <c r="LJ12" s="121" t="str">
        <f>IF(ISBLANK(tbl_task2[[คะแนนเต็ม]:[คะแนนเต็ม]]),"",(tbl_task2[152]/tbl_task2[[คะแนนเต็ม]:[คะแนนเต็ม]])*tbl_task2[[%]:[%]])</f>
        <v/>
      </c>
      <c r="LK12" s="121" t="str">
        <f>IF(ISBLANK(tbl_task2[[คะแนนเต็ม]:[คะแนนเต็ม]]),"",(tbl_task2[153]/tbl_task2[[คะแนนเต็ม]:[คะแนนเต็ม]])*tbl_task2[[%]:[%]])</f>
        <v/>
      </c>
      <c r="LL12" s="121" t="str">
        <f>IF(ISBLANK(tbl_task2[[คะแนนเต็ม]:[คะแนนเต็ม]]),"",(tbl_task2[154]/tbl_task2[[คะแนนเต็ม]:[คะแนนเต็ม]])*tbl_task2[[%]:[%]])</f>
        <v/>
      </c>
      <c r="LM12" s="121" t="str">
        <f>IF(ISBLANK(tbl_task2[[คะแนนเต็ม]:[คะแนนเต็ม]]),"",(tbl_task2[155]/tbl_task2[[คะแนนเต็ม]:[คะแนนเต็ม]])*tbl_task2[[%]:[%]])</f>
        <v/>
      </c>
      <c r="LN12" s="121" t="str">
        <f>IF(ISBLANK(tbl_task2[[คะแนนเต็ม]:[คะแนนเต็ม]]),"",(tbl_task2[156]/tbl_task2[[คะแนนเต็ม]:[คะแนนเต็ม]])*tbl_task2[[%]:[%]])</f>
        <v/>
      </c>
      <c r="LO12" s="121" t="str">
        <f>IF(ISBLANK(tbl_task2[[คะแนนเต็ม]:[คะแนนเต็ม]]),"",(tbl_task2[157]/tbl_task2[[คะแนนเต็ม]:[คะแนนเต็ม]])*tbl_task2[[%]:[%]])</f>
        <v/>
      </c>
      <c r="LP12" s="121" t="str">
        <f>IF(ISBLANK(tbl_task2[[คะแนนเต็ม]:[คะแนนเต็ม]]),"",(tbl_task2[158]/tbl_task2[[คะแนนเต็ม]:[คะแนนเต็ม]])*tbl_task2[[%]:[%]])</f>
        <v/>
      </c>
      <c r="LQ12" s="121" t="str">
        <f>IF(ISBLANK(tbl_task2[[คะแนนเต็ม]:[คะแนนเต็ม]]),"",(tbl_task2[159]/tbl_task2[[คะแนนเต็ม]:[คะแนนเต็ม]])*tbl_task2[[%]:[%]])</f>
        <v/>
      </c>
      <c r="LR12" s="121" t="str">
        <f>IF(ISBLANK(tbl_task2[[คะแนนเต็ม]:[คะแนนเต็ม]]),"",(tbl_task2[160]/tbl_task2[[คะแนนเต็ม]:[คะแนนเต็ม]])*tbl_task2[[%]:[%]])</f>
        <v/>
      </c>
      <c r="LS12" s="121" t="str">
        <f>IF(ISBLANK(tbl_task2[[คะแนนเต็ม]:[คะแนนเต็ม]]),"",(tbl_task2[161]/tbl_task2[[คะแนนเต็ม]:[คะแนนเต็ม]])*tbl_task2[[%]:[%]])</f>
        <v/>
      </c>
      <c r="LT12" s="121" t="str">
        <f>IF(ISBLANK(tbl_task2[[คะแนนเต็ม]:[คะแนนเต็ม]]),"",(tbl_task2[162]/tbl_task2[[คะแนนเต็ม]:[คะแนนเต็ม]])*tbl_task2[[%]:[%]])</f>
        <v/>
      </c>
      <c r="LU12" s="121" t="str">
        <f>IF(ISBLANK(tbl_task2[[คะแนนเต็ม]:[คะแนนเต็ม]]),"",(tbl_task2[163]/tbl_task2[[คะแนนเต็ม]:[คะแนนเต็ม]])*tbl_task2[[%]:[%]])</f>
        <v/>
      </c>
      <c r="LV12" s="121" t="str">
        <f>IF(ISBLANK(tbl_task2[[คะแนนเต็ม]:[คะแนนเต็ม]]),"",(tbl_task2[164]/tbl_task2[[คะแนนเต็ม]:[คะแนนเต็ม]])*tbl_task2[[%]:[%]])</f>
        <v/>
      </c>
      <c r="LW12" s="121" t="str">
        <f>IF(ISBLANK(tbl_task2[[คะแนนเต็ม]:[คะแนนเต็ม]]),"",(tbl_task2[165]/tbl_task2[[คะแนนเต็ม]:[คะแนนเต็ม]])*tbl_task2[[%]:[%]])</f>
        <v/>
      </c>
    </row>
    <row r="13" spans="1:335" ht="24" customHeight="1" x14ac:dyDescent="0.25">
      <c r="A13" s="24">
        <v>10</v>
      </c>
      <c r="B13" s="20"/>
      <c r="C13" s="5" t="str">
        <f>IF(ISBLANK(B13),"",VLOOKUP(B13,tbl_PLOs[],2,0))</f>
        <v/>
      </c>
      <c r="D13" s="102"/>
      <c r="E13" s="106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22"/>
      <c r="FO13" s="121" t="str">
        <f>IF(ISBLANK(tbl_task2[[คะแนนเต็ม]:[คะแนนเต็ม]]),"",(tbl_task2[1]/tbl_task2[[คะแนนเต็ม]:[คะแนนเต็ม]])*tbl_task2[[%]:[%]])</f>
        <v/>
      </c>
      <c r="FP13" s="121" t="str">
        <f>IF(ISBLANK(tbl_task2[[คะแนนเต็ม]:[คะแนนเต็ม]]),"",(tbl_task2[2]/tbl_task2[[คะแนนเต็ม]:[คะแนนเต็ม]])*tbl_task2[[%]:[%]])</f>
        <v/>
      </c>
      <c r="FQ13" s="121" t="str">
        <f>IF(ISBLANK(tbl_task2[[คะแนนเต็ม]:[คะแนนเต็ม]]),"",(tbl_task2[3]/tbl_task2[[คะแนนเต็ม]:[คะแนนเต็ม]])*tbl_task2[[%]:[%]])</f>
        <v/>
      </c>
      <c r="FR13" s="121" t="str">
        <f>IF(ISBLANK(tbl_task2[[คะแนนเต็ม]:[คะแนนเต็ม]]),"",(tbl_task2[4]/tbl_task2[[คะแนนเต็ม]:[คะแนนเต็ม]])*tbl_task2[[%]:[%]])</f>
        <v/>
      </c>
      <c r="FS13" s="121" t="str">
        <f>IF(ISBLANK(tbl_task2[[คะแนนเต็ม]:[คะแนนเต็ม]]),"",(tbl_task2[5]/tbl_task2[[คะแนนเต็ม]:[คะแนนเต็ม]])*tbl_task2[[%]:[%]])</f>
        <v/>
      </c>
      <c r="FT13" s="121" t="str">
        <f>IF(ISBLANK(tbl_task2[[คะแนนเต็ม]:[คะแนนเต็ม]]),"",(tbl_task2[6]/tbl_task2[[คะแนนเต็ม]:[คะแนนเต็ม]])*tbl_task2[[%]:[%]])</f>
        <v/>
      </c>
      <c r="FU13" s="121" t="str">
        <f>IF(ISBLANK(tbl_task2[[คะแนนเต็ม]:[คะแนนเต็ม]]),"",(tbl_task2[7]/tbl_task2[[คะแนนเต็ม]:[คะแนนเต็ม]])*tbl_task2[[%]:[%]])</f>
        <v/>
      </c>
      <c r="FV13" s="121" t="str">
        <f>IF(ISBLANK(tbl_task2[[คะแนนเต็ม]:[คะแนนเต็ม]]),"",(tbl_task2[8]/tbl_task2[[คะแนนเต็ม]:[คะแนนเต็ม]])*tbl_task2[[%]:[%]])</f>
        <v/>
      </c>
      <c r="FW13" s="121" t="str">
        <f>IF(ISBLANK(tbl_task2[[คะแนนเต็ม]:[คะแนนเต็ม]]),"",(tbl_task2[9]/tbl_task2[[คะแนนเต็ม]:[คะแนนเต็ม]])*tbl_task2[[%]:[%]])</f>
        <v/>
      </c>
      <c r="FX13" s="121" t="str">
        <f>IF(ISBLANK(tbl_task2[[คะแนนเต็ม]:[คะแนนเต็ม]]),"",(tbl_task2[10]/tbl_task2[[คะแนนเต็ม]:[คะแนนเต็ม]])*tbl_task2[[%]:[%]])</f>
        <v/>
      </c>
      <c r="FY13" s="121" t="str">
        <f>IF(ISBLANK(tbl_task2[[คะแนนเต็ม]:[คะแนนเต็ม]]),"",(tbl_task2[11]/tbl_task2[[คะแนนเต็ม]:[คะแนนเต็ม]])*tbl_task2[[%]:[%]])</f>
        <v/>
      </c>
      <c r="FZ13" s="121" t="str">
        <f>IF(ISBLANK(tbl_task2[[คะแนนเต็ม]:[คะแนนเต็ม]]),"",(tbl_task2[12]/tbl_task2[[คะแนนเต็ม]:[คะแนนเต็ม]])*tbl_task2[[%]:[%]])</f>
        <v/>
      </c>
      <c r="GA13" s="121" t="str">
        <f>IF(ISBLANK(tbl_task2[[คะแนนเต็ม]:[คะแนนเต็ม]]),"",(tbl_task2[13]/tbl_task2[[คะแนนเต็ม]:[คะแนนเต็ม]])*tbl_task2[[%]:[%]])</f>
        <v/>
      </c>
      <c r="GB13" s="121" t="str">
        <f>IF(ISBLANK(tbl_task2[[คะแนนเต็ม]:[คะแนนเต็ม]]),"",(tbl_task2[14]/tbl_task2[[คะแนนเต็ม]:[คะแนนเต็ม]])*tbl_task2[[%]:[%]])</f>
        <v/>
      </c>
      <c r="GC13" s="121" t="str">
        <f>IF(ISBLANK(tbl_task2[[คะแนนเต็ม]:[คะแนนเต็ม]]),"",(tbl_task2[15]/tbl_task2[[คะแนนเต็ม]:[คะแนนเต็ม]])*tbl_task2[[%]:[%]])</f>
        <v/>
      </c>
      <c r="GD13" s="121" t="str">
        <f>IF(ISBLANK(tbl_task2[[คะแนนเต็ม]:[คะแนนเต็ม]]),"",(tbl_task2[16]/tbl_task2[[คะแนนเต็ม]:[คะแนนเต็ม]])*tbl_task2[[%]:[%]])</f>
        <v/>
      </c>
      <c r="GE13" s="121" t="str">
        <f>IF(ISBLANK(tbl_task2[[คะแนนเต็ม]:[คะแนนเต็ม]]),"",(tbl_task2[17]/tbl_task2[[คะแนนเต็ม]:[คะแนนเต็ม]])*tbl_task2[[%]:[%]])</f>
        <v/>
      </c>
      <c r="GF13" s="121" t="str">
        <f>IF(ISBLANK(tbl_task2[[คะแนนเต็ม]:[คะแนนเต็ม]]),"",(tbl_task2[18]/tbl_task2[[คะแนนเต็ม]:[คะแนนเต็ม]])*tbl_task2[[%]:[%]])</f>
        <v/>
      </c>
      <c r="GG13" s="121" t="str">
        <f>IF(ISBLANK(tbl_task2[[คะแนนเต็ม]:[คะแนนเต็ม]]),"",(tbl_task2[19]/tbl_task2[[คะแนนเต็ม]:[คะแนนเต็ม]])*tbl_task2[[%]:[%]])</f>
        <v/>
      </c>
      <c r="GH13" s="121" t="str">
        <f>IF(ISBLANK(tbl_task2[[คะแนนเต็ม]:[คะแนนเต็ม]]),"",(tbl_task2[20]/tbl_task2[[คะแนนเต็ม]:[คะแนนเต็ม]])*tbl_task2[[%]:[%]])</f>
        <v/>
      </c>
      <c r="GI13" s="121" t="str">
        <f>IF(ISBLANK(tbl_task2[[คะแนนเต็ม]:[คะแนนเต็ม]]),"",(tbl_task2[21]/tbl_task2[[คะแนนเต็ม]:[คะแนนเต็ม]])*tbl_task2[[%]:[%]])</f>
        <v/>
      </c>
      <c r="GJ13" s="121" t="str">
        <f>IF(ISBLANK(tbl_task2[[คะแนนเต็ม]:[คะแนนเต็ม]]),"",(tbl_task2[22]/tbl_task2[[คะแนนเต็ม]:[คะแนนเต็ม]])*tbl_task2[[%]:[%]])</f>
        <v/>
      </c>
      <c r="GK13" s="121" t="str">
        <f>IF(ISBLANK(tbl_task2[[คะแนนเต็ม]:[คะแนนเต็ม]]),"",(tbl_task2[23]/tbl_task2[[คะแนนเต็ม]:[คะแนนเต็ม]])*tbl_task2[[%]:[%]])</f>
        <v/>
      </c>
      <c r="GL13" s="121" t="str">
        <f>IF(ISBLANK(tbl_task2[[คะแนนเต็ม]:[คะแนนเต็ม]]),"",(tbl_task2[24]/tbl_task2[[คะแนนเต็ม]:[คะแนนเต็ม]])*tbl_task2[[%]:[%]])</f>
        <v/>
      </c>
      <c r="GM13" s="121" t="str">
        <f>IF(ISBLANK(tbl_task2[[คะแนนเต็ม]:[คะแนนเต็ม]]),"",(tbl_task2[25]/tbl_task2[[คะแนนเต็ม]:[คะแนนเต็ม]])*tbl_task2[[%]:[%]])</f>
        <v/>
      </c>
      <c r="GN13" s="121" t="str">
        <f>IF(ISBLANK(tbl_task2[[คะแนนเต็ม]:[คะแนนเต็ม]]),"",(tbl_task2[26]/tbl_task2[[คะแนนเต็ม]:[คะแนนเต็ม]])*tbl_task2[[%]:[%]])</f>
        <v/>
      </c>
      <c r="GO13" s="121" t="str">
        <f>IF(ISBLANK(tbl_task2[[คะแนนเต็ม]:[คะแนนเต็ม]]),"",(tbl_task2[27]/tbl_task2[[คะแนนเต็ม]:[คะแนนเต็ม]])*tbl_task2[[%]:[%]])</f>
        <v/>
      </c>
      <c r="GP13" s="121" t="str">
        <f>IF(ISBLANK(tbl_task2[[คะแนนเต็ม]:[คะแนนเต็ม]]),"",(tbl_task2[28]/tbl_task2[[คะแนนเต็ม]:[คะแนนเต็ม]])*tbl_task2[[%]:[%]])</f>
        <v/>
      </c>
      <c r="GQ13" s="121" t="str">
        <f>IF(ISBLANK(tbl_task2[[คะแนนเต็ม]:[คะแนนเต็ม]]),"",(tbl_task2[29]/tbl_task2[[คะแนนเต็ม]:[คะแนนเต็ม]])*tbl_task2[[%]:[%]])</f>
        <v/>
      </c>
      <c r="GR13" s="121" t="str">
        <f>IF(ISBLANK(tbl_task2[[คะแนนเต็ม]:[คะแนนเต็ม]]),"",(tbl_task2[30]/tbl_task2[[คะแนนเต็ม]:[คะแนนเต็ม]])*tbl_task2[[%]:[%]])</f>
        <v/>
      </c>
      <c r="GS13" s="121" t="str">
        <f>IF(ISBLANK(tbl_task2[[คะแนนเต็ม]:[คะแนนเต็ม]]),"",(tbl_task2[31]/tbl_task2[[คะแนนเต็ม]:[คะแนนเต็ม]])*tbl_task2[[%]:[%]])</f>
        <v/>
      </c>
      <c r="GT13" s="121" t="str">
        <f>IF(ISBLANK(tbl_task2[[คะแนนเต็ม]:[คะแนนเต็ม]]),"",(tbl_task2[32]/tbl_task2[[คะแนนเต็ม]:[คะแนนเต็ม]])*tbl_task2[[%]:[%]])</f>
        <v/>
      </c>
      <c r="GU13" s="121" t="str">
        <f>IF(ISBLANK(tbl_task2[[คะแนนเต็ม]:[คะแนนเต็ม]]),"",(tbl_task2[33]/tbl_task2[[คะแนนเต็ม]:[คะแนนเต็ม]])*tbl_task2[[%]:[%]])</f>
        <v/>
      </c>
      <c r="GV13" s="121" t="str">
        <f>IF(ISBLANK(tbl_task2[[คะแนนเต็ม]:[คะแนนเต็ม]]),"",(tbl_task2[34]/tbl_task2[[คะแนนเต็ม]:[คะแนนเต็ม]])*tbl_task2[[%]:[%]])</f>
        <v/>
      </c>
      <c r="GW13" s="121" t="str">
        <f>IF(ISBLANK(tbl_task2[[คะแนนเต็ม]:[คะแนนเต็ม]]),"",(tbl_task2[35]/tbl_task2[[คะแนนเต็ม]:[คะแนนเต็ม]])*tbl_task2[[%]:[%]])</f>
        <v/>
      </c>
      <c r="GX13" s="121" t="str">
        <f>IF(ISBLANK(tbl_task2[[คะแนนเต็ม]:[คะแนนเต็ม]]),"",(tbl_task2[36]/tbl_task2[[คะแนนเต็ม]:[คะแนนเต็ม]])*tbl_task2[[%]:[%]])</f>
        <v/>
      </c>
      <c r="GY13" s="121" t="str">
        <f>IF(ISBLANK(tbl_task2[[คะแนนเต็ม]:[คะแนนเต็ม]]),"",(tbl_task2[37]/tbl_task2[[คะแนนเต็ม]:[คะแนนเต็ม]])*tbl_task2[[%]:[%]])</f>
        <v/>
      </c>
      <c r="GZ13" s="121" t="str">
        <f>IF(ISBLANK(tbl_task2[[คะแนนเต็ม]:[คะแนนเต็ม]]),"",(tbl_task2[38]/tbl_task2[[คะแนนเต็ม]:[คะแนนเต็ม]])*tbl_task2[[%]:[%]])</f>
        <v/>
      </c>
      <c r="HA13" s="121" t="str">
        <f>IF(ISBLANK(tbl_task2[[คะแนนเต็ม]:[คะแนนเต็ม]]),"",(tbl_task2[39]/tbl_task2[[คะแนนเต็ม]:[คะแนนเต็ม]])*tbl_task2[[%]:[%]])</f>
        <v/>
      </c>
      <c r="HB13" s="121" t="str">
        <f>IF(ISBLANK(tbl_task2[[คะแนนเต็ม]:[คะแนนเต็ม]]),"",(tbl_task2[40]/tbl_task2[[คะแนนเต็ม]:[คะแนนเต็ม]])*tbl_task2[[%]:[%]])</f>
        <v/>
      </c>
      <c r="HC13" s="121" t="str">
        <f>IF(ISBLANK(tbl_task2[[คะแนนเต็ม]:[คะแนนเต็ม]]),"",(tbl_task2[41]/tbl_task2[[คะแนนเต็ม]:[คะแนนเต็ม]])*tbl_task2[[%]:[%]])</f>
        <v/>
      </c>
      <c r="HD13" s="121" t="str">
        <f>IF(ISBLANK(tbl_task2[[คะแนนเต็ม]:[คะแนนเต็ม]]),"",(tbl_task2[42]/tbl_task2[[คะแนนเต็ม]:[คะแนนเต็ม]])*tbl_task2[[%]:[%]])</f>
        <v/>
      </c>
      <c r="HE13" s="121" t="str">
        <f>IF(ISBLANK(tbl_task2[[คะแนนเต็ม]:[คะแนนเต็ม]]),"",(tbl_task2[43]/tbl_task2[[คะแนนเต็ม]:[คะแนนเต็ม]])*tbl_task2[[%]:[%]])</f>
        <v/>
      </c>
      <c r="HF13" s="121" t="str">
        <f>IF(ISBLANK(tbl_task2[[คะแนนเต็ม]:[คะแนนเต็ม]]),"",(tbl_task2[44]/tbl_task2[[คะแนนเต็ม]:[คะแนนเต็ม]])*tbl_task2[[%]:[%]])</f>
        <v/>
      </c>
      <c r="HG13" s="121" t="str">
        <f>IF(ISBLANK(tbl_task2[[คะแนนเต็ม]:[คะแนนเต็ม]]),"",(tbl_task2[45]/tbl_task2[[คะแนนเต็ม]:[คะแนนเต็ม]])*tbl_task2[[%]:[%]])</f>
        <v/>
      </c>
      <c r="HH13" s="121" t="str">
        <f>IF(ISBLANK(tbl_task2[[คะแนนเต็ม]:[คะแนนเต็ม]]),"",(tbl_task2[46]/tbl_task2[[คะแนนเต็ม]:[คะแนนเต็ม]])*tbl_task2[[%]:[%]])</f>
        <v/>
      </c>
      <c r="HI13" s="121" t="str">
        <f>IF(ISBLANK(tbl_task2[[คะแนนเต็ม]:[คะแนนเต็ม]]),"",(tbl_task2[47]/tbl_task2[[คะแนนเต็ม]:[คะแนนเต็ม]])*tbl_task2[[%]:[%]])</f>
        <v/>
      </c>
      <c r="HJ13" s="121" t="str">
        <f>IF(ISBLANK(tbl_task2[[คะแนนเต็ม]:[คะแนนเต็ม]]),"",(tbl_task2[48]/tbl_task2[[คะแนนเต็ม]:[คะแนนเต็ม]])*tbl_task2[[%]:[%]])</f>
        <v/>
      </c>
      <c r="HK13" s="121" t="str">
        <f>IF(ISBLANK(tbl_task2[[คะแนนเต็ม]:[คะแนนเต็ม]]),"",(tbl_task2[49]/tbl_task2[[คะแนนเต็ม]:[คะแนนเต็ม]])*tbl_task2[[%]:[%]])</f>
        <v/>
      </c>
      <c r="HL13" s="121" t="str">
        <f>IF(ISBLANK(tbl_task2[[คะแนนเต็ม]:[คะแนนเต็ม]]),"",(tbl_task2[50]/tbl_task2[[คะแนนเต็ม]:[คะแนนเต็ม]])*tbl_task2[[%]:[%]])</f>
        <v/>
      </c>
      <c r="HM13" s="121" t="str">
        <f>IF(ISBLANK(tbl_task2[[คะแนนเต็ม]:[คะแนนเต็ม]]),"",(tbl_task2[51]/tbl_task2[[คะแนนเต็ม]:[คะแนนเต็ม]])*tbl_task2[[%]:[%]])</f>
        <v/>
      </c>
      <c r="HN13" s="121" t="str">
        <f>IF(ISBLANK(tbl_task2[[คะแนนเต็ม]:[คะแนนเต็ม]]),"",(tbl_task2[52]/tbl_task2[[คะแนนเต็ม]:[คะแนนเต็ม]])*tbl_task2[[%]:[%]])</f>
        <v/>
      </c>
      <c r="HO13" s="121" t="str">
        <f>IF(ISBLANK(tbl_task2[[คะแนนเต็ม]:[คะแนนเต็ม]]),"",(tbl_task2[53]/tbl_task2[[คะแนนเต็ม]:[คะแนนเต็ม]])*tbl_task2[[%]:[%]])</f>
        <v/>
      </c>
      <c r="HP13" s="121" t="str">
        <f>IF(ISBLANK(tbl_task2[[คะแนนเต็ม]:[คะแนนเต็ม]]),"",(tbl_task2[54]/tbl_task2[[คะแนนเต็ม]:[คะแนนเต็ม]])*tbl_task2[[%]:[%]])</f>
        <v/>
      </c>
      <c r="HQ13" s="121" t="str">
        <f>IF(ISBLANK(tbl_task2[[คะแนนเต็ม]:[คะแนนเต็ม]]),"",(tbl_task2[55]/tbl_task2[[คะแนนเต็ม]:[คะแนนเต็ม]])*tbl_task2[[%]:[%]])</f>
        <v/>
      </c>
      <c r="HR13" s="121" t="str">
        <f>IF(ISBLANK(tbl_task2[[คะแนนเต็ม]:[คะแนนเต็ม]]),"",(tbl_task2[56]/tbl_task2[[คะแนนเต็ม]:[คะแนนเต็ม]])*tbl_task2[[%]:[%]])</f>
        <v/>
      </c>
      <c r="HS13" s="121" t="str">
        <f>IF(ISBLANK(tbl_task2[[คะแนนเต็ม]:[คะแนนเต็ม]]),"",(tbl_task2[57]/tbl_task2[[คะแนนเต็ม]:[คะแนนเต็ม]])*tbl_task2[[%]:[%]])</f>
        <v/>
      </c>
      <c r="HT13" s="121" t="str">
        <f>IF(ISBLANK(tbl_task2[[คะแนนเต็ม]:[คะแนนเต็ม]]),"",(tbl_task2[58]/tbl_task2[[คะแนนเต็ม]:[คะแนนเต็ม]])*tbl_task2[[%]:[%]])</f>
        <v/>
      </c>
      <c r="HU13" s="121" t="str">
        <f>IF(ISBLANK(tbl_task2[[คะแนนเต็ม]:[คะแนนเต็ม]]),"",(tbl_task2[59]/tbl_task2[[คะแนนเต็ม]:[คะแนนเต็ม]])*tbl_task2[[%]:[%]])</f>
        <v/>
      </c>
      <c r="HV13" s="121" t="str">
        <f>IF(ISBLANK(tbl_task2[[คะแนนเต็ม]:[คะแนนเต็ม]]),"",(tbl_task2[60]/tbl_task2[[คะแนนเต็ม]:[คะแนนเต็ม]])*tbl_task2[[%]:[%]])</f>
        <v/>
      </c>
      <c r="HW13" s="121" t="str">
        <f>IF(ISBLANK(tbl_task2[[คะแนนเต็ม]:[คะแนนเต็ม]]),"",(tbl_task2[61]/tbl_task2[[คะแนนเต็ม]:[คะแนนเต็ม]])*tbl_task2[[%]:[%]])</f>
        <v/>
      </c>
      <c r="HX13" s="121" t="str">
        <f>IF(ISBLANK(tbl_task2[[คะแนนเต็ม]:[คะแนนเต็ม]]),"",(tbl_task2[62]/tbl_task2[[คะแนนเต็ม]:[คะแนนเต็ม]])*tbl_task2[[%]:[%]])</f>
        <v/>
      </c>
      <c r="HY13" s="121" t="str">
        <f>IF(ISBLANK(tbl_task2[[คะแนนเต็ม]:[คะแนนเต็ม]]),"",(tbl_task2[63]/tbl_task2[[คะแนนเต็ม]:[คะแนนเต็ม]])*tbl_task2[[%]:[%]])</f>
        <v/>
      </c>
      <c r="HZ13" s="121" t="str">
        <f>IF(ISBLANK(tbl_task2[[คะแนนเต็ม]:[คะแนนเต็ม]]),"",(tbl_task2[64]/tbl_task2[[คะแนนเต็ม]:[คะแนนเต็ม]])*tbl_task2[[%]:[%]])</f>
        <v/>
      </c>
      <c r="IA13" s="121" t="str">
        <f>IF(ISBLANK(tbl_task2[[คะแนนเต็ม]:[คะแนนเต็ม]]),"",(tbl_task2[65]/tbl_task2[[คะแนนเต็ม]:[คะแนนเต็ม]])*tbl_task2[[%]:[%]])</f>
        <v/>
      </c>
      <c r="IB13" s="121" t="str">
        <f>IF(ISBLANK(tbl_task2[[คะแนนเต็ม]:[คะแนนเต็ม]]),"",(tbl_task2[66]/tbl_task2[[คะแนนเต็ม]:[คะแนนเต็ม]])*tbl_task2[[%]:[%]])</f>
        <v/>
      </c>
      <c r="IC13" s="121" t="str">
        <f>IF(ISBLANK(tbl_task2[[คะแนนเต็ม]:[คะแนนเต็ม]]),"",(tbl_task2[67]/tbl_task2[[คะแนนเต็ม]:[คะแนนเต็ม]])*tbl_task2[[%]:[%]])</f>
        <v/>
      </c>
      <c r="ID13" s="121" t="str">
        <f>IF(ISBLANK(tbl_task2[[คะแนนเต็ม]:[คะแนนเต็ม]]),"",(tbl_task2[68]/tbl_task2[[คะแนนเต็ม]:[คะแนนเต็ม]])*tbl_task2[[%]:[%]])</f>
        <v/>
      </c>
      <c r="IE13" s="121" t="str">
        <f>IF(ISBLANK(tbl_task2[[คะแนนเต็ม]:[คะแนนเต็ม]]),"",(tbl_task2[69]/tbl_task2[[คะแนนเต็ม]:[คะแนนเต็ม]])*tbl_task2[[%]:[%]])</f>
        <v/>
      </c>
      <c r="IF13" s="121" t="str">
        <f>IF(ISBLANK(tbl_task2[[คะแนนเต็ม]:[คะแนนเต็ม]]),"",(tbl_task2[70]/tbl_task2[[คะแนนเต็ม]:[คะแนนเต็ม]])*tbl_task2[[%]:[%]])</f>
        <v/>
      </c>
      <c r="IG13" s="121" t="str">
        <f>IF(ISBLANK(tbl_task2[[คะแนนเต็ม]:[คะแนนเต็ม]]),"",(tbl_task2[71]/tbl_task2[[คะแนนเต็ม]:[คะแนนเต็ม]])*tbl_task2[[%]:[%]])</f>
        <v/>
      </c>
      <c r="IH13" s="121" t="str">
        <f>IF(ISBLANK(tbl_task2[[คะแนนเต็ม]:[คะแนนเต็ม]]),"",(tbl_task2[72]/tbl_task2[[คะแนนเต็ม]:[คะแนนเต็ม]])*tbl_task2[[%]:[%]])</f>
        <v/>
      </c>
      <c r="II13" s="121" t="str">
        <f>IF(ISBLANK(tbl_task2[[คะแนนเต็ม]:[คะแนนเต็ม]]),"",(tbl_task2[73]/tbl_task2[[คะแนนเต็ม]:[คะแนนเต็ม]])*tbl_task2[[%]:[%]])</f>
        <v/>
      </c>
      <c r="IJ13" s="121" t="str">
        <f>IF(ISBLANK(tbl_task2[[คะแนนเต็ม]:[คะแนนเต็ม]]),"",(tbl_task2[74]/tbl_task2[[คะแนนเต็ม]:[คะแนนเต็ม]])*tbl_task2[[%]:[%]])</f>
        <v/>
      </c>
      <c r="IK13" s="121" t="str">
        <f>IF(ISBLANK(tbl_task2[[คะแนนเต็ม]:[คะแนนเต็ม]]),"",(tbl_task2[75]/tbl_task2[[คะแนนเต็ม]:[คะแนนเต็ม]])*tbl_task2[[%]:[%]])</f>
        <v/>
      </c>
      <c r="IL13" s="121" t="str">
        <f>IF(ISBLANK(tbl_task2[[คะแนนเต็ม]:[คะแนนเต็ม]]),"",(tbl_task2[76]/tbl_task2[[คะแนนเต็ม]:[คะแนนเต็ม]])*tbl_task2[[%]:[%]])</f>
        <v/>
      </c>
      <c r="IM13" s="121" t="str">
        <f>IF(ISBLANK(tbl_task2[[คะแนนเต็ม]:[คะแนนเต็ม]]),"",(tbl_task2[77]/tbl_task2[[คะแนนเต็ม]:[คะแนนเต็ม]])*tbl_task2[[%]:[%]])</f>
        <v/>
      </c>
      <c r="IN13" s="121" t="str">
        <f>IF(ISBLANK(tbl_task2[[คะแนนเต็ม]:[คะแนนเต็ม]]),"",(tbl_task2[78]/tbl_task2[[คะแนนเต็ม]:[คะแนนเต็ม]])*tbl_task2[[%]:[%]])</f>
        <v/>
      </c>
      <c r="IO13" s="121" t="str">
        <f>IF(ISBLANK(tbl_task2[[คะแนนเต็ม]:[คะแนนเต็ม]]),"",(tbl_task2[79]/tbl_task2[[คะแนนเต็ม]:[คะแนนเต็ม]])*tbl_task2[[%]:[%]])</f>
        <v/>
      </c>
      <c r="IP13" s="121" t="str">
        <f>IF(ISBLANK(tbl_task2[[คะแนนเต็ม]:[คะแนนเต็ม]]),"",(tbl_task2[80]/tbl_task2[[คะแนนเต็ม]:[คะแนนเต็ม]])*tbl_task2[[%]:[%]])</f>
        <v/>
      </c>
      <c r="IQ13" s="121" t="str">
        <f>IF(ISBLANK(tbl_task2[[คะแนนเต็ม]:[คะแนนเต็ม]]),"",(tbl_task2[81]/tbl_task2[[คะแนนเต็ม]:[คะแนนเต็ม]])*tbl_task2[[%]:[%]])</f>
        <v/>
      </c>
      <c r="IR13" s="121" t="str">
        <f>IF(ISBLANK(tbl_task2[[คะแนนเต็ม]:[คะแนนเต็ม]]),"",(tbl_task2[82]/tbl_task2[[คะแนนเต็ม]:[คะแนนเต็ม]])*tbl_task2[[%]:[%]])</f>
        <v/>
      </c>
      <c r="IS13" s="121" t="str">
        <f>IF(ISBLANK(tbl_task2[[คะแนนเต็ม]:[คะแนนเต็ม]]),"",(tbl_task2[83]/tbl_task2[[คะแนนเต็ม]:[คะแนนเต็ม]])*tbl_task2[[%]:[%]])</f>
        <v/>
      </c>
      <c r="IT13" s="121" t="str">
        <f>IF(ISBLANK(tbl_task2[[คะแนนเต็ม]:[คะแนนเต็ม]]),"",(tbl_task2[84]/tbl_task2[[คะแนนเต็ม]:[คะแนนเต็ม]])*tbl_task2[[%]:[%]])</f>
        <v/>
      </c>
      <c r="IU13" s="121" t="str">
        <f>IF(ISBLANK(tbl_task2[[คะแนนเต็ม]:[คะแนนเต็ม]]),"",(tbl_task2[85]/tbl_task2[[คะแนนเต็ม]:[คะแนนเต็ม]])*tbl_task2[[%]:[%]])</f>
        <v/>
      </c>
      <c r="IV13" s="121" t="str">
        <f>IF(ISBLANK(tbl_task2[[คะแนนเต็ม]:[คะแนนเต็ม]]),"",(tbl_task2[86]/tbl_task2[[คะแนนเต็ม]:[คะแนนเต็ม]])*tbl_task2[[%]:[%]])</f>
        <v/>
      </c>
      <c r="IW13" s="121" t="str">
        <f>IF(ISBLANK(tbl_task2[[คะแนนเต็ม]:[คะแนนเต็ม]]),"",(tbl_task2[87]/tbl_task2[[คะแนนเต็ม]:[คะแนนเต็ม]])*tbl_task2[[%]:[%]])</f>
        <v/>
      </c>
      <c r="IX13" s="121" t="str">
        <f>IF(ISBLANK(tbl_task2[[คะแนนเต็ม]:[คะแนนเต็ม]]),"",(tbl_task2[88]/tbl_task2[[คะแนนเต็ม]:[คะแนนเต็ม]])*tbl_task2[[%]:[%]])</f>
        <v/>
      </c>
      <c r="IY13" s="121" t="str">
        <f>IF(ISBLANK(tbl_task2[[คะแนนเต็ม]:[คะแนนเต็ม]]),"",(tbl_task2[89]/tbl_task2[[คะแนนเต็ม]:[คะแนนเต็ม]])*tbl_task2[[%]:[%]])</f>
        <v/>
      </c>
      <c r="IZ13" s="121" t="str">
        <f>IF(ISBLANK(tbl_task2[[คะแนนเต็ม]:[คะแนนเต็ม]]),"",(tbl_task2[90]/tbl_task2[[คะแนนเต็ม]:[คะแนนเต็ม]])*tbl_task2[[%]:[%]])</f>
        <v/>
      </c>
      <c r="JA13" s="121" t="str">
        <f>IF(ISBLANK(tbl_task2[[คะแนนเต็ม]:[คะแนนเต็ม]]),"",(tbl_task2[91]/tbl_task2[[คะแนนเต็ม]:[คะแนนเต็ม]])*tbl_task2[[%]:[%]])</f>
        <v/>
      </c>
      <c r="JB13" s="121" t="str">
        <f>IF(ISBLANK(tbl_task2[[คะแนนเต็ม]:[คะแนนเต็ม]]),"",(tbl_task2[92]/tbl_task2[[คะแนนเต็ม]:[คะแนนเต็ม]])*tbl_task2[[%]:[%]])</f>
        <v/>
      </c>
      <c r="JC13" s="121" t="str">
        <f>IF(ISBLANK(tbl_task2[[คะแนนเต็ม]:[คะแนนเต็ม]]),"",(tbl_task2[93]/tbl_task2[[คะแนนเต็ม]:[คะแนนเต็ม]])*tbl_task2[[%]:[%]])</f>
        <v/>
      </c>
      <c r="JD13" s="121" t="str">
        <f>IF(ISBLANK(tbl_task2[[คะแนนเต็ม]:[คะแนนเต็ม]]),"",(tbl_task2[94]/tbl_task2[[คะแนนเต็ม]:[คะแนนเต็ม]])*tbl_task2[[%]:[%]])</f>
        <v/>
      </c>
      <c r="JE13" s="121" t="str">
        <f>IF(ISBLANK(tbl_task2[[คะแนนเต็ม]:[คะแนนเต็ม]]),"",(tbl_task2[95]/tbl_task2[[คะแนนเต็ม]:[คะแนนเต็ม]])*tbl_task2[[%]:[%]])</f>
        <v/>
      </c>
      <c r="JF13" s="121" t="str">
        <f>IF(ISBLANK(tbl_task2[[คะแนนเต็ม]:[คะแนนเต็ม]]),"",(tbl_task2[96]/tbl_task2[[คะแนนเต็ม]:[คะแนนเต็ม]])*tbl_task2[[%]:[%]])</f>
        <v/>
      </c>
      <c r="JG13" s="121" t="str">
        <f>IF(ISBLANK(tbl_task2[[คะแนนเต็ม]:[คะแนนเต็ม]]),"",(tbl_task2[97]/tbl_task2[[คะแนนเต็ม]:[คะแนนเต็ม]])*tbl_task2[[%]:[%]])</f>
        <v/>
      </c>
      <c r="JH13" s="121" t="str">
        <f>IF(ISBLANK(tbl_task2[[คะแนนเต็ม]:[คะแนนเต็ม]]),"",(tbl_task2[98]/tbl_task2[[คะแนนเต็ม]:[คะแนนเต็ม]])*tbl_task2[[%]:[%]])</f>
        <v/>
      </c>
      <c r="JI13" s="121" t="str">
        <f>IF(ISBLANK(tbl_task2[[คะแนนเต็ม]:[คะแนนเต็ม]]),"",(tbl_task2[99]/tbl_task2[[คะแนนเต็ม]:[คะแนนเต็ม]])*tbl_task2[[%]:[%]])</f>
        <v/>
      </c>
      <c r="JJ13" s="121" t="str">
        <f>IF(ISBLANK(tbl_task2[[คะแนนเต็ม]:[คะแนนเต็ม]]),"",(tbl_task2[100]/tbl_task2[[คะแนนเต็ม]:[คะแนนเต็ม]])*tbl_task2[[%]:[%]])</f>
        <v/>
      </c>
      <c r="JK13" s="121" t="str">
        <f>IF(ISBLANK(tbl_task2[[คะแนนเต็ม]:[คะแนนเต็ม]]),"",(tbl_task2[101]/tbl_task2[[คะแนนเต็ม]:[คะแนนเต็ม]])*tbl_task2[[%]:[%]])</f>
        <v/>
      </c>
      <c r="JL13" s="121" t="str">
        <f>IF(ISBLANK(tbl_task2[[คะแนนเต็ม]:[คะแนนเต็ม]]),"",(tbl_task2[102]/tbl_task2[[คะแนนเต็ม]:[คะแนนเต็ม]])*tbl_task2[[%]:[%]])</f>
        <v/>
      </c>
      <c r="JM13" s="121" t="str">
        <f>IF(ISBLANK(tbl_task2[[คะแนนเต็ม]:[คะแนนเต็ม]]),"",(tbl_task2[103]/tbl_task2[[คะแนนเต็ม]:[คะแนนเต็ม]])*tbl_task2[[%]:[%]])</f>
        <v/>
      </c>
      <c r="JN13" s="121" t="str">
        <f>IF(ISBLANK(tbl_task2[[คะแนนเต็ม]:[คะแนนเต็ม]]),"",(tbl_task2[104]/tbl_task2[[คะแนนเต็ม]:[คะแนนเต็ม]])*tbl_task2[[%]:[%]])</f>
        <v/>
      </c>
      <c r="JO13" s="121" t="str">
        <f>IF(ISBLANK(tbl_task2[[คะแนนเต็ม]:[คะแนนเต็ม]]),"",(tbl_task2[105]/tbl_task2[[คะแนนเต็ม]:[คะแนนเต็ม]])*tbl_task2[[%]:[%]])</f>
        <v/>
      </c>
      <c r="JP13" s="121" t="str">
        <f>IF(ISBLANK(tbl_task2[[คะแนนเต็ม]:[คะแนนเต็ม]]),"",(tbl_task2[106]/tbl_task2[[คะแนนเต็ม]:[คะแนนเต็ม]])*tbl_task2[[%]:[%]])</f>
        <v/>
      </c>
      <c r="JQ13" s="121" t="str">
        <f>IF(ISBLANK(tbl_task2[[คะแนนเต็ม]:[คะแนนเต็ม]]),"",(tbl_task2[107]/tbl_task2[[คะแนนเต็ม]:[คะแนนเต็ม]])*tbl_task2[[%]:[%]])</f>
        <v/>
      </c>
      <c r="JR13" s="121" t="str">
        <f>IF(ISBLANK(tbl_task2[[คะแนนเต็ม]:[คะแนนเต็ม]]),"",(tbl_task2[108]/tbl_task2[[คะแนนเต็ม]:[คะแนนเต็ม]])*tbl_task2[[%]:[%]])</f>
        <v/>
      </c>
      <c r="JS13" s="121" t="str">
        <f>IF(ISBLANK(tbl_task2[[คะแนนเต็ม]:[คะแนนเต็ม]]),"",(tbl_task2[109]/tbl_task2[[คะแนนเต็ม]:[คะแนนเต็ม]])*tbl_task2[[%]:[%]])</f>
        <v/>
      </c>
      <c r="JT13" s="121" t="str">
        <f>IF(ISBLANK(tbl_task2[[คะแนนเต็ม]:[คะแนนเต็ม]]),"",(tbl_task2[110]/tbl_task2[[คะแนนเต็ม]:[คะแนนเต็ม]])*tbl_task2[[%]:[%]])</f>
        <v/>
      </c>
      <c r="JU13" s="121" t="str">
        <f>IF(ISBLANK(tbl_task2[[คะแนนเต็ม]:[คะแนนเต็ม]]),"",(tbl_task2[111]/tbl_task2[[คะแนนเต็ม]:[คะแนนเต็ม]])*tbl_task2[[%]:[%]])</f>
        <v/>
      </c>
      <c r="JV13" s="121" t="str">
        <f>IF(ISBLANK(tbl_task2[[คะแนนเต็ม]:[คะแนนเต็ม]]),"",(tbl_task2[112]/tbl_task2[[คะแนนเต็ม]:[คะแนนเต็ม]])*tbl_task2[[%]:[%]])</f>
        <v/>
      </c>
      <c r="JW13" s="121" t="str">
        <f>IF(ISBLANK(tbl_task2[[คะแนนเต็ม]:[คะแนนเต็ม]]),"",(tbl_task2[113]/tbl_task2[[คะแนนเต็ม]:[คะแนนเต็ม]])*tbl_task2[[%]:[%]])</f>
        <v/>
      </c>
      <c r="JX13" s="121" t="str">
        <f>IF(ISBLANK(tbl_task2[[คะแนนเต็ม]:[คะแนนเต็ม]]),"",(tbl_task2[114]/tbl_task2[[คะแนนเต็ม]:[คะแนนเต็ม]])*tbl_task2[[%]:[%]])</f>
        <v/>
      </c>
      <c r="JY13" s="121" t="str">
        <f>IF(ISBLANK(tbl_task2[[คะแนนเต็ม]:[คะแนนเต็ม]]),"",(tbl_task2[115]/tbl_task2[[คะแนนเต็ม]:[คะแนนเต็ม]])*tbl_task2[[%]:[%]])</f>
        <v/>
      </c>
      <c r="JZ13" s="121" t="str">
        <f>IF(ISBLANK(tbl_task2[[คะแนนเต็ม]:[คะแนนเต็ม]]),"",(tbl_task2[116]/tbl_task2[[คะแนนเต็ม]:[คะแนนเต็ม]])*tbl_task2[[%]:[%]])</f>
        <v/>
      </c>
      <c r="KA13" s="121" t="str">
        <f>IF(ISBLANK(tbl_task2[[คะแนนเต็ม]:[คะแนนเต็ม]]),"",(tbl_task2[117]/tbl_task2[[คะแนนเต็ม]:[คะแนนเต็ม]])*tbl_task2[[%]:[%]])</f>
        <v/>
      </c>
      <c r="KB13" s="121" t="str">
        <f>IF(ISBLANK(tbl_task2[[คะแนนเต็ม]:[คะแนนเต็ม]]),"",(tbl_task2[118]/tbl_task2[[คะแนนเต็ม]:[คะแนนเต็ม]])*tbl_task2[[%]:[%]])</f>
        <v/>
      </c>
      <c r="KC13" s="121" t="str">
        <f>IF(ISBLANK(tbl_task2[[คะแนนเต็ม]:[คะแนนเต็ม]]),"",(tbl_task2[119]/tbl_task2[[คะแนนเต็ม]:[คะแนนเต็ม]])*tbl_task2[[%]:[%]])</f>
        <v/>
      </c>
      <c r="KD13" s="121" t="str">
        <f>IF(ISBLANK(tbl_task2[[คะแนนเต็ม]:[คะแนนเต็ม]]),"",(tbl_task2[120]/tbl_task2[[คะแนนเต็ม]:[คะแนนเต็ม]])*tbl_task2[[%]:[%]])</f>
        <v/>
      </c>
      <c r="KE13" s="121" t="str">
        <f>IF(ISBLANK(tbl_task2[[คะแนนเต็ม]:[คะแนนเต็ม]]),"",(tbl_task2[121]/tbl_task2[[คะแนนเต็ม]:[คะแนนเต็ม]])*tbl_task2[[%]:[%]])</f>
        <v/>
      </c>
      <c r="KF13" s="121" t="str">
        <f>IF(ISBLANK(tbl_task2[[คะแนนเต็ม]:[คะแนนเต็ม]]),"",(tbl_task2[122]/tbl_task2[[คะแนนเต็ม]:[คะแนนเต็ม]])*tbl_task2[[%]:[%]])</f>
        <v/>
      </c>
      <c r="KG13" s="121" t="str">
        <f>IF(ISBLANK(tbl_task2[[คะแนนเต็ม]:[คะแนนเต็ม]]),"",(tbl_task2[123]/tbl_task2[[คะแนนเต็ม]:[คะแนนเต็ม]])*tbl_task2[[%]:[%]])</f>
        <v/>
      </c>
      <c r="KH13" s="121" t="str">
        <f>IF(ISBLANK(tbl_task2[[คะแนนเต็ม]:[คะแนนเต็ม]]),"",(tbl_task2[124]/tbl_task2[[คะแนนเต็ม]:[คะแนนเต็ม]])*tbl_task2[[%]:[%]])</f>
        <v/>
      </c>
      <c r="KI13" s="121" t="str">
        <f>IF(ISBLANK(tbl_task2[[คะแนนเต็ม]:[คะแนนเต็ม]]),"",(tbl_task2[125]/tbl_task2[[คะแนนเต็ม]:[คะแนนเต็ม]])*tbl_task2[[%]:[%]])</f>
        <v/>
      </c>
      <c r="KJ13" s="121" t="str">
        <f>IF(ISBLANK(tbl_task2[[คะแนนเต็ม]:[คะแนนเต็ม]]),"",(tbl_task2[126]/tbl_task2[[คะแนนเต็ม]:[คะแนนเต็ม]])*tbl_task2[[%]:[%]])</f>
        <v/>
      </c>
      <c r="KK13" s="121" t="str">
        <f>IF(ISBLANK(tbl_task2[[คะแนนเต็ม]:[คะแนนเต็ม]]),"",(tbl_task2[127]/tbl_task2[[คะแนนเต็ม]:[คะแนนเต็ม]])*tbl_task2[[%]:[%]])</f>
        <v/>
      </c>
      <c r="KL13" s="121" t="str">
        <f>IF(ISBLANK(tbl_task2[[คะแนนเต็ม]:[คะแนนเต็ม]]),"",(tbl_task2[128]/tbl_task2[[คะแนนเต็ม]:[คะแนนเต็ม]])*tbl_task2[[%]:[%]])</f>
        <v/>
      </c>
      <c r="KM13" s="121" t="str">
        <f>IF(ISBLANK(tbl_task2[[คะแนนเต็ม]:[คะแนนเต็ม]]),"",(tbl_task2[129]/tbl_task2[[คะแนนเต็ม]:[คะแนนเต็ม]])*tbl_task2[[%]:[%]])</f>
        <v/>
      </c>
      <c r="KN13" s="121" t="str">
        <f>IF(ISBLANK(tbl_task2[[คะแนนเต็ม]:[คะแนนเต็ม]]),"",(tbl_task2[130]/tbl_task2[[คะแนนเต็ม]:[คะแนนเต็ม]])*tbl_task2[[%]:[%]])</f>
        <v/>
      </c>
      <c r="KO13" s="121" t="str">
        <f>IF(ISBLANK(tbl_task2[[คะแนนเต็ม]:[คะแนนเต็ม]]),"",(tbl_task2[131]/tbl_task2[[คะแนนเต็ม]:[คะแนนเต็ม]])*tbl_task2[[%]:[%]])</f>
        <v/>
      </c>
      <c r="KP13" s="121" t="str">
        <f>IF(ISBLANK(tbl_task2[[คะแนนเต็ม]:[คะแนนเต็ม]]),"",(tbl_task2[132]/tbl_task2[[คะแนนเต็ม]:[คะแนนเต็ม]])*tbl_task2[[%]:[%]])</f>
        <v/>
      </c>
      <c r="KQ13" s="121" t="str">
        <f>IF(ISBLANK(tbl_task2[[คะแนนเต็ม]:[คะแนนเต็ม]]),"",(tbl_task2[133]/tbl_task2[[คะแนนเต็ม]:[คะแนนเต็ม]])*tbl_task2[[%]:[%]])</f>
        <v/>
      </c>
      <c r="KR13" s="121" t="str">
        <f>IF(ISBLANK(tbl_task2[[คะแนนเต็ม]:[คะแนนเต็ม]]),"",(tbl_task2[134]/tbl_task2[[คะแนนเต็ม]:[คะแนนเต็ม]])*tbl_task2[[%]:[%]])</f>
        <v/>
      </c>
      <c r="KS13" s="121" t="str">
        <f>IF(ISBLANK(tbl_task2[[คะแนนเต็ม]:[คะแนนเต็ม]]),"",(tbl_task2[135]/tbl_task2[[คะแนนเต็ม]:[คะแนนเต็ม]])*tbl_task2[[%]:[%]])</f>
        <v/>
      </c>
      <c r="KT13" s="121" t="str">
        <f>IF(ISBLANK(tbl_task2[[คะแนนเต็ม]:[คะแนนเต็ม]]),"",(tbl_task2[136]/tbl_task2[[คะแนนเต็ม]:[คะแนนเต็ม]])*tbl_task2[[%]:[%]])</f>
        <v/>
      </c>
      <c r="KU13" s="121" t="str">
        <f>IF(ISBLANK(tbl_task2[[คะแนนเต็ม]:[คะแนนเต็ม]]),"",(tbl_task2[137]/tbl_task2[[คะแนนเต็ม]:[คะแนนเต็ม]])*tbl_task2[[%]:[%]])</f>
        <v/>
      </c>
      <c r="KV13" s="121" t="str">
        <f>IF(ISBLANK(tbl_task2[[คะแนนเต็ม]:[คะแนนเต็ม]]),"",(tbl_task2[138]/tbl_task2[[คะแนนเต็ม]:[คะแนนเต็ม]])*tbl_task2[[%]:[%]])</f>
        <v/>
      </c>
      <c r="KW13" s="121" t="str">
        <f>IF(ISBLANK(tbl_task2[[คะแนนเต็ม]:[คะแนนเต็ม]]),"",(tbl_task2[139]/tbl_task2[[คะแนนเต็ม]:[คะแนนเต็ม]])*tbl_task2[[%]:[%]])</f>
        <v/>
      </c>
      <c r="KX13" s="121" t="str">
        <f>IF(ISBLANK(tbl_task2[[คะแนนเต็ม]:[คะแนนเต็ม]]),"",(tbl_task2[140]/tbl_task2[[คะแนนเต็ม]:[คะแนนเต็ม]])*tbl_task2[[%]:[%]])</f>
        <v/>
      </c>
      <c r="KY13" s="121" t="str">
        <f>IF(ISBLANK(tbl_task2[[คะแนนเต็ม]:[คะแนนเต็ม]]),"",(tbl_task2[141]/tbl_task2[[คะแนนเต็ม]:[คะแนนเต็ม]])*tbl_task2[[%]:[%]])</f>
        <v/>
      </c>
      <c r="KZ13" s="121" t="str">
        <f>IF(ISBLANK(tbl_task2[[คะแนนเต็ม]:[คะแนนเต็ม]]),"",(tbl_task2[142]/tbl_task2[[คะแนนเต็ม]:[คะแนนเต็ม]])*tbl_task2[[%]:[%]])</f>
        <v/>
      </c>
      <c r="LA13" s="121" t="str">
        <f>IF(ISBLANK(tbl_task2[[คะแนนเต็ม]:[คะแนนเต็ม]]),"",(tbl_task2[143]/tbl_task2[[คะแนนเต็ม]:[คะแนนเต็ม]])*tbl_task2[[%]:[%]])</f>
        <v/>
      </c>
      <c r="LB13" s="121" t="str">
        <f>IF(ISBLANK(tbl_task2[[คะแนนเต็ม]:[คะแนนเต็ม]]),"",(tbl_task2[144]/tbl_task2[[คะแนนเต็ม]:[คะแนนเต็ม]])*tbl_task2[[%]:[%]])</f>
        <v/>
      </c>
      <c r="LC13" s="121" t="str">
        <f>IF(ISBLANK(tbl_task2[[คะแนนเต็ม]:[คะแนนเต็ม]]),"",(tbl_task2[145]/tbl_task2[[คะแนนเต็ม]:[คะแนนเต็ม]])*tbl_task2[[%]:[%]])</f>
        <v/>
      </c>
      <c r="LD13" s="121" t="str">
        <f>IF(ISBLANK(tbl_task2[[คะแนนเต็ม]:[คะแนนเต็ม]]),"",(tbl_task2[146]/tbl_task2[[คะแนนเต็ม]:[คะแนนเต็ม]])*tbl_task2[[%]:[%]])</f>
        <v/>
      </c>
      <c r="LE13" s="121" t="str">
        <f>IF(ISBLANK(tbl_task2[[คะแนนเต็ม]:[คะแนนเต็ม]]),"",(tbl_task2[147]/tbl_task2[[คะแนนเต็ม]:[คะแนนเต็ม]])*tbl_task2[[%]:[%]])</f>
        <v/>
      </c>
      <c r="LF13" s="121" t="str">
        <f>IF(ISBLANK(tbl_task2[[คะแนนเต็ม]:[คะแนนเต็ม]]),"",(tbl_task2[148]/tbl_task2[[คะแนนเต็ม]:[คะแนนเต็ม]])*tbl_task2[[%]:[%]])</f>
        <v/>
      </c>
      <c r="LG13" s="121" t="str">
        <f>IF(ISBLANK(tbl_task2[[คะแนนเต็ม]:[คะแนนเต็ม]]),"",(tbl_task2[149]/tbl_task2[[คะแนนเต็ม]:[คะแนนเต็ม]])*tbl_task2[[%]:[%]])</f>
        <v/>
      </c>
      <c r="LH13" s="121" t="str">
        <f>IF(ISBLANK(tbl_task2[[คะแนนเต็ม]:[คะแนนเต็ม]]),"",(tbl_task2[150]/tbl_task2[[คะแนนเต็ม]:[คะแนนเต็ม]])*tbl_task2[[%]:[%]])</f>
        <v/>
      </c>
      <c r="LI13" s="121" t="str">
        <f>IF(ISBLANK(tbl_task2[[คะแนนเต็ม]:[คะแนนเต็ม]]),"",(tbl_task2[151]/tbl_task2[[คะแนนเต็ม]:[คะแนนเต็ม]])*tbl_task2[[%]:[%]])</f>
        <v/>
      </c>
      <c r="LJ13" s="121" t="str">
        <f>IF(ISBLANK(tbl_task2[[คะแนนเต็ม]:[คะแนนเต็ม]]),"",(tbl_task2[152]/tbl_task2[[คะแนนเต็ม]:[คะแนนเต็ม]])*tbl_task2[[%]:[%]])</f>
        <v/>
      </c>
      <c r="LK13" s="121" t="str">
        <f>IF(ISBLANK(tbl_task2[[คะแนนเต็ม]:[คะแนนเต็ม]]),"",(tbl_task2[153]/tbl_task2[[คะแนนเต็ม]:[คะแนนเต็ม]])*tbl_task2[[%]:[%]])</f>
        <v/>
      </c>
      <c r="LL13" s="121" t="str">
        <f>IF(ISBLANK(tbl_task2[[คะแนนเต็ม]:[คะแนนเต็ม]]),"",(tbl_task2[154]/tbl_task2[[คะแนนเต็ม]:[คะแนนเต็ม]])*tbl_task2[[%]:[%]])</f>
        <v/>
      </c>
      <c r="LM13" s="121" t="str">
        <f>IF(ISBLANK(tbl_task2[[คะแนนเต็ม]:[คะแนนเต็ม]]),"",(tbl_task2[155]/tbl_task2[[คะแนนเต็ม]:[คะแนนเต็ม]])*tbl_task2[[%]:[%]])</f>
        <v/>
      </c>
      <c r="LN13" s="121" t="str">
        <f>IF(ISBLANK(tbl_task2[[คะแนนเต็ม]:[คะแนนเต็ม]]),"",(tbl_task2[156]/tbl_task2[[คะแนนเต็ม]:[คะแนนเต็ม]])*tbl_task2[[%]:[%]])</f>
        <v/>
      </c>
      <c r="LO13" s="121" t="str">
        <f>IF(ISBLANK(tbl_task2[[คะแนนเต็ม]:[คะแนนเต็ม]]),"",(tbl_task2[157]/tbl_task2[[คะแนนเต็ม]:[คะแนนเต็ม]])*tbl_task2[[%]:[%]])</f>
        <v/>
      </c>
      <c r="LP13" s="121" t="str">
        <f>IF(ISBLANK(tbl_task2[[คะแนนเต็ม]:[คะแนนเต็ม]]),"",(tbl_task2[158]/tbl_task2[[คะแนนเต็ม]:[คะแนนเต็ม]])*tbl_task2[[%]:[%]])</f>
        <v/>
      </c>
      <c r="LQ13" s="121" t="str">
        <f>IF(ISBLANK(tbl_task2[[คะแนนเต็ม]:[คะแนนเต็ม]]),"",(tbl_task2[159]/tbl_task2[[คะแนนเต็ม]:[คะแนนเต็ม]])*tbl_task2[[%]:[%]])</f>
        <v/>
      </c>
      <c r="LR13" s="121" t="str">
        <f>IF(ISBLANK(tbl_task2[[คะแนนเต็ม]:[คะแนนเต็ม]]),"",(tbl_task2[160]/tbl_task2[[คะแนนเต็ม]:[คะแนนเต็ม]])*tbl_task2[[%]:[%]])</f>
        <v/>
      </c>
      <c r="LS13" s="121" t="str">
        <f>IF(ISBLANK(tbl_task2[[คะแนนเต็ม]:[คะแนนเต็ม]]),"",(tbl_task2[161]/tbl_task2[[คะแนนเต็ม]:[คะแนนเต็ม]])*tbl_task2[[%]:[%]])</f>
        <v/>
      </c>
      <c r="LT13" s="121" t="str">
        <f>IF(ISBLANK(tbl_task2[[คะแนนเต็ม]:[คะแนนเต็ม]]),"",(tbl_task2[162]/tbl_task2[[คะแนนเต็ม]:[คะแนนเต็ม]])*tbl_task2[[%]:[%]])</f>
        <v/>
      </c>
      <c r="LU13" s="121" t="str">
        <f>IF(ISBLANK(tbl_task2[[คะแนนเต็ม]:[คะแนนเต็ม]]),"",(tbl_task2[163]/tbl_task2[[คะแนนเต็ม]:[คะแนนเต็ม]])*tbl_task2[[%]:[%]])</f>
        <v/>
      </c>
      <c r="LV13" s="121" t="str">
        <f>IF(ISBLANK(tbl_task2[[คะแนนเต็ม]:[คะแนนเต็ม]]),"",(tbl_task2[164]/tbl_task2[[คะแนนเต็ม]:[คะแนนเต็ม]])*tbl_task2[[%]:[%]])</f>
        <v/>
      </c>
      <c r="LW13" s="121" t="str">
        <f>IF(ISBLANK(tbl_task2[[คะแนนเต็ม]:[คะแนนเต็ม]]),"",(tbl_task2[165]/tbl_task2[[คะแนนเต็ม]:[คะแนนเต็ม]])*tbl_task2[[%]:[%]])</f>
        <v/>
      </c>
    </row>
    <row r="14" spans="1:335" ht="24" customHeight="1" x14ac:dyDescent="0.25">
      <c r="A14" s="24">
        <v>11</v>
      </c>
      <c r="B14" s="20"/>
      <c r="C14" s="5" t="str">
        <f>IF(ISBLANK(B14),"",VLOOKUP(B14,tbl_PLOs[],2,0))</f>
        <v/>
      </c>
      <c r="D14" s="102"/>
      <c r="E14" s="106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21" t="str">
        <f>IF(ISBLANK(tbl_task2[[คะแนนเต็ม]:[คะแนนเต็ม]]),"",(tbl_task2[1]/tbl_task2[[คะแนนเต็ม]:[คะแนนเต็ม]])*tbl_task2[[%]:[%]])</f>
        <v/>
      </c>
      <c r="FP14" s="121" t="str">
        <f>IF(ISBLANK(tbl_task2[[คะแนนเต็ม]:[คะแนนเต็ม]]),"",(tbl_task2[2]/tbl_task2[[คะแนนเต็ม]:[คะแนนเต็ม]])*tbl_task2[[%]:[%]])</f>
        <v/>
      </c>
      <c r="FQ14" s="121" t="str">
        <f>IF(ISBLANK(tbl_task2[[คะแนนเต็ม]:[คะแนนเต็ม]]),"",(tbl_task2[3]/tbl_task2[[คะแนนเต็ม]:[คะแนนเต็ม]])*tbl_task2[[%]:[%]])</f>
        <v/>
      </c>
      <c r="FR14" s="121" t="str">
        <f>IF(ISBLANK(tbl_task2[[คะแนนเต็ม]:[คะแนนเต็ม]]),"",(tbl_task2[4]/tbl_task2[[คะแนนเต็ม]:[คะแนนเต็ม]])*tbl_task2[[%]:[%]])</f>
        <v/>
      </c>
      <c r="FS14" s="121" t="str">
        <f>IF(ISBLANK(tbl_task2[[คะแนนเต็ม]:[คะแนนเต็ม]]),"",(tbl_task2[5]/tbl_task2[[คะแนนเต็ม]:[คะแนนเต็ม]])*tbl_task2[[%]:[%]])</f>
        <v/>
      </c>
      <c r="FT14" s="121" t="str">
        <f>IF(ISBLANK(tbl_task2[[คะแนนเต็ม]:[คะแนนเต็ม]]),"",(tbl_task2[6]/tbl_task2[[คะแนนเต็ม]:[คะแนนเต็ม]])*tbl_task2[[%]:[%]])</f>
        <v/>
      </c>
      <c r="FU14" s="121" t="str">
        <f>IF(ISBLANK(tbl_task2[[คะแนนเต็ม]:[คะแนนเต็ม]]),"",(tbl_task2[7]/tbl_task2[[คะแนนเต็ม]:[คะแนนเต็ม]])*tbl_task2[[%]:[%]])</f>
        <v/>
      </c>
      <c r="FV14" s="121" t="str">
        <f>IF(ISBLANK(tbl_task2[[คะแนนเต็ม]:[คะแนนเต็ม]]),"",(tbl_task2[8]/tbl_task2[[คะแนนเต็ม]:[คะแนนเต็ม]])*tbl_task2[[%]:[%]])</f>
        <v/>
      </c>
      <c r="FW14" s="121" t="str">
        <f>IF(ISBLANK(tbl_task2[[คะแนนเต็ม]:[คะแนนเต็ม]]),"",(tbl_task2[9]/tbl_task2[[คะแนนเต็ม]:[คะแนนเต็ม]])*tbl_task2[[%]:[%]])</f>
        <v/>
      </c>
      <c r="FX14" s="121" t="str">
        <f>IF(ISBLANK(tbl_task2[[คะแนนเต็ม]:[คะแนนเต็ม]]),"",(tbl_task2[10]/tbl_task2[[คะแนนเต็ม]:[คะแนนเต็ม]])*tbl_task2[[%]:[%]])</f>
        <v/>
      </c>
      <c r="FY14" s="121" t="str">
        <f>IF(ISBLANK(tbl_task2[[คะแนนเต็ม]:[คะแนนเต็ม]]),"",(tbl_task2[11]/tbl_task2[[คะแนนเต็ม]:[คะแนนเต็ม]])*tbl_task2[[%]:[%]])</f>
        <v/>
      </c>
      <c r="FZ14" s="121" t="str">
        <f>IF(ISBLANK(tbl_task2[[คะแนนเต็ม]:[คะแนนเต็ม]]),"",(tbl_task2[12]/tbl_task2[[คะแนนเต็ม]:[คะแนนเต็ม]])*tbl_task2[[%]:[%]])</f>
        <v/>
      </c>
      <c r="GA14" s="121" t="str">
        <f>IF(ISBLANK(tbl_task2[[คะแนนเต็ม]:[คะแนนเต็ม]]),"",(tbl_task2[13]/tbl_task2[[คะแนนเต็ม]:[คะแนนเต็ม]])*tbl_task2[[%]:[%]])</f>
        <v/>
      </c>
      <c r="GB14" s="121" t="str">
        <f>IF(ISBLANK(tbl_task2[[คะแนนเต็ม]:[คะแนนเต็ม]]),"",(tbl_task2[14]/tbl_task2[[คะแนนเต็ม]:[คะแนนเต็ม]])*tbl_task2[[%]:[%]])</f>
        <v/>
      </c>
      <c r="GC14" s="121" t="str">
        <f>IF(ISBLANK(tbl_task2[[คะแนนเต็ม]:[คะแนนเต็ม]]),"",(tbl_task2[15]/tbl_task2[[คะแนนเต็ม]:[คะแนนเต็ม]])*tbl_task2[[%]:[%]])</f>
        <v/>
      </c>
      <c r="GD14" s="121" t="str">
        <f>IF(ISBLANK(tbl_task2[[คะแนนเต็ม]:[คะแนนเต็ม]]),"",(tbl_task2[16]/tbl_task2[[คะแนนเต็ม]:[คะแนนเต็ม]])*tbl_task2[[%]:[%]])</f>
        <v/>
      </c>
      <c r="GE14" s="121" t="str">
        <f>IF(ISBLANK(tbl_task2[[คะแนนเต็ม]:[คะแนนเต็ม]]),"",(tbl_task2[17]/tbl_task2[[คะแนนเต็ม]:[คะแนนเต็ม]])*tbl_task2[[%]:[%]])</f>
        <v/>
      </c>
      <c r="GF14" s="121" t="str">
        <f>IF(ISBLANK(tbl_task2[[คะแนนเต็ม]:[คะแนนเต็ม]]),"",(tbl_task2[18]/tbl_task2[[คะแนนเต็ม]:[คะแนนเต็ม]])*tbl_task2[[%]:[%]])</f>
        <v/>
      </c>
      <c r="GG14" s="121" t="str">
        <f>IF(ISBLANK(tbl_task2[[คะแนนเต็ม]:[คะแนนเต็ม]]),"",(tbl_task2[19]/tbl_task2[[คะแนนเต็ม]:[คะแนนเต็ม]])*tbl_task2[[%]:[%]])</f>
        <v/>
      </c>
      <c r="GH14" s="121" t="str">
        <f>IF(ISBLANK(tbl_task2[[คะแนนเต็ม]:[คะแนนเต็ม]]),"",(tbl_task2[20]/tbl_task2[[คะแนนเต็ม]:[คะแนนเต็ม]])*tbl_task2[[%]:[%]])</f>
        <v/>
      </c>
      <c r="GI14" s="121" t="str">
        <f>IF(ISBLANK(tbl_task2[[คะแนนเต็ม]:[คะแนนเต็ม]]),"",(tbl_task2[21]/tbl_task2[[คะแนนเต็ม]:[คะแนนเต็ม]])*tbl_task2[[%]:[%]])</f>
        <v/>
      </c>
      <c r="GJ14" s="121" t="str">
        <f>IF(ISBLANK(tbl_task2[[คะแนนเต็ม]:[คะแนนเต็ม]]),"",(tbl_task2[22]/tbl_task2[[คะแนนเต็ม]:[คะแนนเต็ม]])*tbl_task2[[%]:[%]])</f>
        <v/>
      </c>
      <c r="GK14" s="121" t="str">
        <f>IF(ISBLANK(tbl_task2[[คะแนนเต็ม]:[คะแนนเต็ม]]),"",(tbl_task2[23]/tbl_task2[[คะแนนเต็ม]:[คะแนนเต็ม]])*tbl_task2[[%]:[%]])</f>
        <v/>
      </c>
      <c r="GL14" s="121" t="str">
        <f>IF(ISBLANK(tbl_task2[[คะแนนเต็ม]:[คะแนนเต็ม]]),"",(tbl_task2[24]/tbl_task2[[คะแนนเต็ม]:[คะแนนเต็ม]])*tbl_task2[[%]:[%]])</f>
        <v/>
      </c>
      <c r="GM14" s="121" t="str">
        <f>IF(ISBLANK(tbl_task2[[คะแนนเต็ม]:[คะแนนเต็ม]]),"",(tbl_task2[25]/tbl_task2[[คะแนนเต็ม]:[คะแนนเต็ม]])*tbl_task2[[%]:[%]])</f>
        <v/>
      </c>
      <c r="GN14" s="121" t="str">
        <f>IF(ISBLANK(tbl_task2[[คะแนนเต็ม]:[คะแนนเต็ม]]),"",(tbl_task2[26]/tbl_task2[[คะแนนเต็ม]:[คะแนนเต็ม]])*tbl_task2[[%]:[%]])</f>
        <v/>
      </c>
      <c r="GO14" s="121" t="str">
        <f>IF(ISBLANK(tbl_task2[[คะแนนเต็ม]:[คะแนนเต็ม]]),"",(tbl_task2[27]/tbl_task2[[คะแนนเต็ม]:[คะแนนเต็ม]])*tbl_task2[[%]:[%]])</f>
        <v/>
      </c>
      <c r="GP14" s="121" t="str">
        <f>IF(ISBLANK(tbl_task2[[คะแนนเต็ม]:[คะแนนเต็ม]]),"",(tbl_task2[28]/tbl_task2[[คะแนนเต็ม]:[คะแนนเต็ม]])*tbl_task2[[%]:[%]])</f>
        <v/>
      </c>
      <c r="GQ14" s="121" t="str">
        <f>IF(ISBLANK(tbl_task2[[คะแนนเต็ม]:[คะแนนเต็ม]]),"",(tbl_task2[29]/tbl_task2[[คะแนนเต็ม]:[คะแนนเต็ม]])*tbl_task2[[%]:[%]])</f>
        <v/>
      </c>
      <c r="GR14" s="121" t="str">
        <f>IF(ISBLANK(tbl_task2[[คะแนนเต็ม]:[คะแนนเต็ม]]),"",(tbl_task2[30]/tbl_task2[[คะแนนเต็ม]:[คะแนนเต็ม]])*tbl_task2[[%]:[%]])</f>
        <v/>
      </c>
      <c r="GS14" s="121" t="str">
        <f>IF(ISBLANK(tbl_task2[[คะแนนเต็ม]:[คะแนนเต็ม]]),"",(tbl_task2[31]/tbl_task2[[คะแนนเต็ม]:[คะแนนเต็ม]])*tbl_task2[[%]:[%]])</f>
        <v/>
      </c>
      <c r="GT14" s="121" t="str">
        <f>IF(ISBLANK(tbl_task2[[คะแนนเต็ม]:[คะแนนเต็ม]]),"",(tbl_task2[32]/tbl_task2[[คะแนนเต็ม]:[คะแนนเต็ม]])*tbl_task2[[%]:[%]])</f>
        <v/>
      </c>
      <c r="GU14" s="121" t="str">
        <f>IF(ISBLANK(tbl_task2[[คะแนนเต็ม]:[คะแนนเต็ม]]),"",(tbl_task2[33]/tbl_task2[[คะแนนเต็ม]:[คะแนนเต็ม]])*tbl_task2[[%]:[%]])</f>
        <v/>
      </c>
      <c r="GV14" s="121" t="str">
        <f>IF(ISBLANK(tbl_task2[[คะแนนเต็ม]:[คะแนนเต็ม]]),"",(tbl_task2[34]/tbl_task2[[คะแนนเต็ม]:[คะแนนเต็ม]])*tbl_task2[[%]:[%]])</f>
        <v/>
      </c>
      <c r="GW14" s="121" t="str">
        <f>IF(ISBLANK(tbl_task2[[คะแนนเต็ม]:[คะแนนเต็ม]]),"",(tbl_task2[35]/tbl_task2[[คะแนนเต็ม]:[คะแนนเต็ม]])*tbl_task2[[%]:[%]])</f>
        <v/>
      </c>
      <c r="GX14" s="121" t="str">
        <f>IF(ISBLANK(tbl_task2[[คะแนนเต็ม]:[คะแนนเต็ม]]),"",(tbl_task2[36]/tbl_task2[[คะแนนเต็ม]:[คะแนนเต็ม]])*tbl_task2[[%]:[%]])</f>
        <v/>
      </c>
      <c r="GY14" s="121" t="str">
        <f>IF(ISBLANK(tbl_task2[[คะแนนเต็ม]:[คะแนนเต็ม]]),"",(tbl_task2[37]/tbl_task2[[คะแนนเต็ม]:[คะแนนเต็ม]])*tbl_task2[[%]:[%]])</f>
        <v/>
      </c>
      <c r="GZ14" s="121" t="str">
        <f>IF(ISBLANK(tbl_task2[[คะแนนเต็ม]:[คะแนนเต็ม]]),"",(tbl_task2[38]/tbl_task2[[คะแนนเต็ม]:[คะแนนเต็ม]])*tbl_task2[[%]:[%]])</f>
        <v/>
      </c>
      <c r="HA14" s="121" t="str">
        <f>IF(ISBLANK(tbl_task2[[คะแนนเต็ม]:[คะแนนเต็ม]]),"",(tbl_task2[39]/tbl_task2[[คะแนนเต็ม]:[คะแนนเต็ม]])*tbl_task2[[%]:[%]])</f>
        <v/>
      </c>
      <c r="HB14" s="121" t="str">
        <f>IF(ISBLANK(tbl_task2[[คะแนนเต็ม]:[คะแนนเต็ม]]),"",(tbl_task2[40]/tbl_task2[[คะแนนเต็ม]:[คะแนนเต็ม]])*tbl_task2[[%]:[%]])</f>
        <v/>
      </c>
      <c r="HC14" s="121" t="str">
        <f>IF(ISBLANK(tbl_task2[[คะแนนเต็ม]:[คะแนนเต็ม]]),"",(tbl_task2[41]/tbl_task2[[คะแนนเต็ม]:[คะแนนเต็ม]])*tbl_task2[[%]:[%]])</f>
        <v/>
      </c>
      <c r="HD14" s="121" t="str">
        <f>IF(ISBLANK(tbl_task2[[คะแนนเต็ม]:[คะแนนเต็ม]]),"",(tbl_task2[42]/tbl_task2[[คะแนนเต็ม]:[คะแนนเต็ม]])*tbl_task2[[%]:[%]])</f>
        <v/>
      </c>
      <c r="HE14" s="121" t="str">
        <f>IF(ISBLANK(tbl_task2[[คะแนนเต็ม]:[คะแนนเต็ม]]),"",(tbl_task2[43]/tbl_task2[[คะแนนเต็ม]:[คะแนนเต็ม]])*tbl_task2[[%]:[%]])</f>
        <v/>
      </c>
      <c r="HF14" s="121" t="str">
        <f>IF(ISBLANK(tbl_task2[[คะแนนเต็ม]:[คะแนนเต็ม]]),"",(tbl_task2[44]/tbl_task2[[คะแนนเต็ม]:[คะแนนเต็ม]])*tbl_task2[[%]:[%]])</f>
        <v/>
      </c>
      <c r="HG14" s="121" t="str">
        <f>IF(ISBLANK(tbl_task2[[คะแนนเต็ม]:[คะแนนเต็ม]]),"",(tbl_task2[45]/tbl_task2[[คะแนนเต็ม]:[คะแนนเต็ม]])*tbl_task2[[%]:[%]])</f>
        <v/>
      </c>
      <c r="HH14" s="121" t="str">
        <f>IF(ISBLANK(tbl_task2[[คะแนนเต็ม]:[คะแนนเต็ม]]),"",(tbl_task2[46]/tbl_task2[[คะแนนเต็ม]:[คะแนนเต็ม]])*tbl_task2[[%]:[%]])</f>
        <v/>
      </c>
      <c r="HI14" s="121" t="str">
        <f>IF(ISBLANK(tbl_task2[[คะแนนเต็ม]:[คะแนนเต็ม]]),"",(tbl_task2[47]/tbl_task2[[คะแนนเต็ม]:[คะแนนเต็ม]])*tbl_task2[[%]:[%]])</f>
        <v/>
      </c>
      <c r="HJ14" s="121" t="str">
        <f>IF(ISBLANK(tbl_task2[[คะแนนเต็ม]:[คะแนนเต็ม]]),"",(tbl_task2[48]/tbl_task2[[คะแนนเต็ม]:[คะแนนเต็ม]])*tbl_task2[[%]:[%]])</f>
        <v/>
      </c>
      <c r="HK14" s="121" t="str">
        <f>IF(ISBLANK(tbl_task2[[คะแนนเต็ม]:[คะแนนเต็ม]]),"",(tbl_task2[49]/tbl_task2[[คะแนนเต็ม]:[คะแนนเต็ม]])*tbl_task2[[%]:[%]])</f>
        <v/>
      </c>
      <c r="HL14" s="121" t="str">
        <f>IF(ISBLANK(tbl_task2[[คะแนนเต็ม]:[คะแนนเต็ม]]),"",(tbl_task2[50]/tbl_task2[[คะแนนเต็ม]:[คะแนนเต็ม]])*tbl_task2[[%]:[%]])</f>
        <v/>
      </c>
      <c r="HM14" s="121" t="str">
        <f>IF(ISBLANK(tbl_task2[[คะแนนเต็ม]:[คะแนนเต็ม]]),"",(tbl_task2[51]/tbl_task2[[คะแนนเต็ม]:[คะแนนเต็ม]])*tbl_task2[[%]:[%]])</f>
        <v/>
      </c>
      <c r="HN14" s="121" t="str">
        <f>IF(ISBLANK(tbl_task2[[คะแนนเต็ม]:[คะแนนเต็ม]]),"",(tbl_task2[52]/tbl_task2[[คะแนนเต็ม]:[คะแนนเต็ม]])*tbl_task2[[%]:[%]])</f>
        <v/>
      </c>
      <c r="HO14" s="121" t="str">
        <f>IF(ISBLANK(tbl_task2[[คะแนนเต็ม]:[คะแนนเต็ม]]),"",(tbl_task2[53]/tbl_task2[[คะแนนเต็ม]:[คะแนนเต็ม]])*tbl_task2[[%]:[%]])</f>
        <v/>
      </c>
      <c r="HP14" s="121" t="str">
        <f>IF(ISBLANK(tbl_task2[[คะแนนเต็ม]:[คะแนนเต็ม]]),"",(tbl_task2[54]/tbl_task2[[คะแนนเต็ม]:[คะแนนเต็ม]])*tbl_task2[[%]:[%]])</f>
        <v/>
      </c>
      <c r="HQ14" s="121" t="str">
        <f>IF(ISBLANK(tbl_task2[[คะแนนเต็ม]:[คะแนนเต็ม]]),"",(tbl_task2[55]/tbl_task2[[คะแนนเต็ม]:[คะแนนเต็ม]])*tbl_task2[[%]:[%]])</f>
        <v/>
      </c>
      <c r="HR14" s="121" t="str">
        <f>IF(ISBLANK(tbl_task2[[คะแนนเต็ม]:[คะแนนเต็ม]]),"",(tbl_task2[56]/tbl_task2[[คะแนนเต็ม]:[คะแนนเต็ม]])*tbl_task2[[%]:[%]])</f>
        <v/>
      </c>
      <c r="HS14" s="121" t="str">
        <f>IF(ISBLANK(tbl_task2[[คะแนนเต็ม]:[คะแนนเต็ม]]),"",(tbl_task2[57]/tbl_task2[[คะแนนเต็ม]:[คะแนนเต็ม]])*tbl_task2[[%]:[%]])</f>
        <v/>
      </c>
      <c r="HT14" s="121" t="str">
        <f>IF(ISBLANK(tbl_task2[[คะแนนเต็ม]:[คะแนนเต็ม]]),"",(tbl_task2[58]/tbl_task2[[คะแนนเต็ม]:[คะแนนเต็ม]])*tbl_task2[[%]:[%]])</f>
        <v/>
      </c>
      <c r="HU14" s="121" t="str">
        <f>IF(ISBLANK(tbl_task2[[คะแนนเต็ม]:[คะแนนเต็ม]]),"",(tbl_task2[59]/tbl_task2[[คะแนนเต็ม]:[คะแนนเต็ม]])*tbl_task2[[%]:[%]])</f>
        <v/>
      </c>
      <c r="HV14" s="121" t="str">
        <f>IF(ISBLANK(tbl_task2[[คะแนนเต็ม]:[คะแนนเต็ม]]),"",(tbl_task2[60]/tbl_task2[[คะแนนเต็ม]:[คะแนนเต็ม]])*tbl_task2[[%]:[%]])</f>
        <v/>
      </c>
      <c r="HW14" s="121" t="str">
        <f>IF(ISBLANK(tbl_task2[[คะแนนเต็ม]:[คะแนนเต็ม]]),"",(tbl_task2[61]/tbl_task2[[คะแนนเต็ม]:[คะแนนเต็ม]])*tbl_task2[[%]:[%]])</f>
        <v/>
      </c>
      <c r="HX14" s="121" t="str">
        <f>IF(ISBLANK(tbl_task2[[คะแนนเต็ม]:[คะแนนเต็ม]]),"",(tbl_task2[62]/tbl_task2[[คะแนนเต็ม]:[คะแนนเต็ม]])*tbl_task2[[%]:[%]])</f>
        <v/>
      </c>
      <c r="HY14" s="121" t="str">
        <f>IF(ISBLANK(tbl_task2[[คะแนนเต็ม]:[คะแนนเต็ม]]),"",(tbl_task2[63]/tbl_task2[[คะแนนเต็ม]:[คะแนนเต็ม]])*tbl_task2[[%]:[%]])</f>
        <v/>
      </c>
      <c r="HZ14" s="121" t="str">
        <f>IF(ISBLANK(tbl_task2[[คะแนนเต็ม]:[คะแนนเต็ม]]),"",(tbl_task2[64]/tbl_task2[[คะแนนเต็ม]:[คะแนนเต็ม]])*tbl_task2[[%]:[%]])</f>
        <v/>
      </c>
      <c r="IA14" s="121" t="str">
        <f>IF(ISBLANK(tbl_task2[[คะแนนเต็ม]:[คะแนนเต็ม]]),"",(tbl_task2[65]/tbl_task2[[คะแนนเต็ม]:[คะแนนเต็ม]])*tbl_task2[[%]:[%]])</f>
        <v/>
      </c>
      <c r="IB14" s="121" t="str">
        <f>IF(ISBLANK(tbl_task2[[คะแนนเต็ม]:[คะแนนเต็ม]]),"",(tbl_task2[66]/tbl_task2[[คะแนนเต็ม]:[คะแนนเต็ม]])*tbl_task2[[%]:[%]])</f>
        <v/>
      </c>
      <c r="IC14" s="121" t="str">
        <f>IF(ISBLANK(tbl_task2[[คะแนนเต็ม]:[คะแนนเต็ม]]),"",(tbl_task2[67]/tbl_task2[[คะแนนเต็ม]:[คะแนนเต็ม]])*tbl_task2[[%]:[%]])</f>
        <v/>
      </c>
      <c r="ID14" s="121" t="str">
        <f>IF(ISBLANK(tbl_task2[[คะแนนเต็ม]:[คะแนนเต็ม]]),"",(tbl_task2[68]/tbl_task2[[คะแนนเต็ม]:[คะแนนเต็ม]])*tbl_task2[[%]:[%]])</f>
        <v/>
      </c>
      <c r="IE14" s="121" t="str">
        <f>IF(ISBLANK(tbl_task2[[คะแนนเต็ม]:[คะแนนเต็ม]]),"",(tbl_task2[69]/tbl_task2[[คะแนนเต็ม]:[คะแนนเต็ม]])*tbl_task2[[%]:[%]])</f>
        <v/>
      </c>
      <c r="IF14" s="121" t="str">
        <f>IF(ISBLANK(tbl_task2[[คะแนนเต็ม]:[คะแนนเต็ม]]),"",(tbl_task2[70]/tbl_task2[[คะแนนเต็ม]:[คะแนนเต็ม]])*tbl_task2[[%]:[%]])</f>
        <v/>
      </c>
      <c r="IG14" s="121" t="str">
        <f>IF(ISBLANK(tbl_task2[[คะแนนเต็ม]:[คะแนนเต็ม]]),"",(tbl_task2[71]/tbl_task2[[คะแนนเต็ม]:[คะแนนเต็ม]])*tbl_task2[[%]:[%]])</f>
        <v/>
      </c>
      <c r="IH14" s="121" t="str">
        <f>IF(ISBLANK(tbl_task2[[คะแนนเต็ม]:[คะแนนเต็ม]]),"",(tbl_task2[72]/tbl_task2[[คะแนนเต็ม]:[คะแนนเต็ม]])*tbl_task2[[%]:[%]])</f>
        <v/>
      </c>
      <c r="II14" s="121" t="str">
        <f>IF(ISBLANK(tbl_task2[[คะแนนเต็ม]:[คะแนนเต็ม]]),"",(tbl_task2[73]/tbl_task2[[คะแนนเต็ม]:[คะแนนเต็ม]])*tbl_task2[[%]:[%]])</f>
        <v/>
      </c>
      <c r="IJ14" s="121" t="str">
        <f>IF(ISBLANK(tbl_task2[[คะแนนเต็ม]:[คะแนนเต็ม]]),"",(tbl_task2[74]/tbl_task2[[คะแนนเต็ม]:[คะแนนเต็ม]])*tbl_task2[[%]:[%]])</f>
        <v/>
      </c>
      <c r="IK14" s="121" t="str">
        <f>IF(ISBLANK(tbl_task2[[คะแนนเต็ม]:[คะแนนเต็ม]]),"",(tbl_task2[75]/tbl_task2[[คะแนนเต็ม]:[คะแนนเต็ม]])*tbl_task2[[%]:[%]])</f>
        <v/>
      </c>
      <c r="IL14" s="121" t="str">
        <f>IF(ISBLANK(tbl_task2[[คะแนนเต็ม]:[คะแนนเต็ม]]),"",(tbl_task2[76]/tbl_task2[[คะแนนเต็ม]:[คะแนนเต็ม]])*tbl_task2[[%]:[%]])</f>
        <v/>
      </c>
      <c r="IM14" s="121" t="str">
        <f>IF(ISBLANK(tbl_task2[[คะแนนเต็ม]:[คะแนนเต็ม]]),"",(tbl_task2[77]/tbl_task2[[คะแนนเต็ม]:[คะแนนเต็ม]])*tbl_task2[[%]:[%]])</f>
        <v/>
      </c>
      <c r="IN14" s="121" t="str">
        <f>IF(ISBLANK(tbl_task2[[คะแนนเต็ม]:[คะแนนเต็ม]]),"",(tbl_task2[78]/tbl_task2[[คะแนนเต็ม]:[คะแนนเต็ม]])*tbl_task2[[%]:[%]])</f>
        <v/>
      </c>
      <c r="IO14" s="121" t="str">
        <f>IF(ISBLANK(tbl_task2[[คะแนนเต็ม]:[คะแนนเต็ม]]),"",(tbl_task2[79]/tbl_task2[[คะแนนเต็ม]:[คะแนนเต็ม]])*tbl_task2[[%]:[%]])</f>
        <v/>
      </c>
      <c r="IP14" s="121" t="str">
        <f>IF(ISBLANK(tbl_task2[[คะแนนเต็ม]:[คะแนนเต็ม]]),"",(tbl_task2[80]/tbl_task2[[คะแนนเต็ม]:[คะแนนเต็ม]])*tbl_task2[[%]:[%]])</f>
        <v/>
      </c>
      <c r="IQ14" s="121" t="str">
        <f>IF(ISBLANK(tbl_task2[[คะแนนเต็ม]:[คะแนนเต็ม]]),"",(tbl_task2[81]/tbl_task2[[คะแนนเต็ม]:[คะแนนเต็ม]])*tbl_task2[[%]:[%]])</f>
        <v/>
      </c>
      <c r="IR14" s="121" t="str">
        <f>IF(ISBLANK(tbl_task2[[คะแนนเต็ม]:[คะแนนเต็ม]]),"",(tbl_task2[82]/tbl_task2[[คะแนนเต็ม]:[คะแนนเต็ม]])*tbl_task2[[%]:[%]])</f>
        <v/>
      </c>
      <c r="IS14" s="121" t="str">
        <f>IF(ISBLANK(tbl_task2[[คะแนนเต็ม]:[คะแนนเต็ม]]),"",(tbl_task2[83]/tbl_task2[[คะแนนเต็ม]:[คะแนนเต็ม]])*tbl_task2[[%]:[%]])</f>
        <v/>
      </c>
      <c r="IT14" s="121" t="str">
        <f>IF(ISBLANK(tbl_task2[[คะแนนเต็ม]:[คะแนนเต็ม]]),"",(tbl_task2[84]/tbl_task2[[คะแนนเต็ม]:[คะแนนเต็ม]])*tbl_task2[[%]:[%]])</f>
        <v/>
      </c>
      <c r="IU14" s="121" t="str">
        <f>IF(ISBLANK(tbl_task2[[คะแนนเต็ม]:[คะแนนเต็ม]]),"",(tbl_task2[85]/tbl_task2[[คะแนนเต็ม]:[คะแนนเต็ม]])*tbl_task2[[%]:[%]])</f>
        <v/>
      </c>
      <c r="IV14" s="121" t="str">
        <f>IF(ISBLANK(tbl_task2[[คะแนนเต็ม]:[คะแนนเต็ม]]),"",(tbl_task2[86]/tbl_task2[[คะแนนเต็ม]:[คะแนนเต็ม]])*tbl_task2[[%]:[%]])</f>
        <v/>
      </c>
      <c r="IW14" s="121" t="str">
        <f>IF(ISBLANK(tbl_task2[[คะแนนเต็ม]:[คะแนนเต็ม]]),"",(tbl_task2[87]/tbl_task2[[คะแนนเต็ม]:[คะแนนเต็ม]])*tbl_task2[[%]:[%]])</f>
        <v/>
      </c>
      <c r="IX14" s="121" t="str">
        <f>IF(ISBLANK(tbl_task2[[คะแนนเต็ม]:[คะแนนเต็ม]]),"",(tbl_task2[88]/tbl_task2[[คะแนนเต็ม]:[คะแนนเต็ม]])*tbl_task2[[%]:[%]])</f>
        <v/>
      </c>
      <c r="IY14" s="121" t="str">
        <f>IF(ISBLANK(tbl_task2[[คะแนนเต็ม]:[คะแนนเต็ม]]),"",(tbl_task2[89]/tbl_task2[[คะแนนเต็ม]:[คะแนนเต็ม]])*tbl_task2[[%]:[%]])</f>
        <v/>
      </c>
      <c r="IZ14" s="121" t="str">
        <f>IF(ISBLANK(tbl_task2[[คะแนนเต็ม]:[คะแนนเต็ม]]),"",(tbl_task2[90]/tbl_task2[[คะแนนเต็ม]:[คะแนนเต็ม]])*tbl_task2[[%]:[%]])</f>
        <v/>
      </c>
      <c r="JA14" s="121" t="str">
        <f>IF(ISBLANK(tbl_task2[[คะแนนเต็ม]:[คะแนนเต็ม]]),"",(tbl_task2[91]/tbl_task2[[คะแนนเต็ม]:[คะแนนเต็ม]])*tbl_task2[[%]:[%]])</f>
        <v/>
      </c>
      <c r="JB14" s="121" t="str">
        <f>IF(ISBLANK(tbl_task2[[คะแนนเต็ม]:[คะแนนเต็ม]]),"",(tbl_task2[92]/tbl_task2[[คะแนนเต็ม]:[คะแนนเต็ม]])*tbl_task2[[%]:[%]])</f>
        <v/>
      </c>
      <c r="JC14" s="121" t="str">
        <f>IF(ISBLANK(tbl_task2[[คะแนนเต็ม]:[คะแนนเต็ม]]),"",(tbl_task2[93]/tbl_task2[[คะแนนเต็ม]:[คะแนนเต็ม]])*tbl_task2[[%]:[%]])</f>
        <v/>
      </c>
      <c r="JD14" s="121" t="str">
        <f>IF(ISBLANK(tbl_task2[[คะแนนเต็ม]:[คะแนนเต็ม]]),"",(tbl_task2[94]/tbl_task2[[คะแนนเต็ม]:[คะแนนเต็ม]])*tbl_task2[[%]:[%]])</f>
        <v/>
      </c>
      <c r="JE14" s="121" t="str">
        <f>IF(ISBLANK(tbl_task2[[คะแนนเต็ม]:[คะแนนเต็ม]]),"",(tbl_task2[95]/tbl_task2[[คะแนนเต็ม]:[คะแนนเต็ม]])*tbl_task2[[%]:[%]])</f>
        <v/>
      </c>
      <c r="JF14" s="121" t="str">
        <f>IF(ISBLANK(tbl_task2[[คะแนนเต็ม]:[คะแนนเต็ม]]),"",(tbl_task2[96]/tbl_task2[[คะแนนเต็ม]:[คะแนนเต็ม]])*tbl_task2[[%]:[%]])</f>
        <v/>
      </c>
      <c r="JG14" s="121" t="str">
        <f>IF(ISBLANK(tbl_task2[[คะแนนเต็ม]:[คะแนนเต็ม]]),"",(tbl_task2[97]/tbl_task2[[คะแนนเต็ม]:[คะแนนเต็ม]])*tbl_task2[[%]:[%]])</f>
        <v/>
      </c>
      <c r="JH14" s="121" t="str">
        <f>IF(ISBLANK(tbl_task2[[คะแนนเต็ม]:[คะแนนเต็ม]]),"",(tbl_task2[98]/tbl_task2[[คะแนนเต็ม]:[คะแนนเต็ม]])*tbl_task2[[%]:[%]])</f>
        <v/>
      </c>
      <c r="JI14" s="121" t="str">
        <f>IF(ISBLANK(tbl_task2[[คะแนนเต็ม]:[คะแนนเต็ม]]),"",(tbl_task2[99]/tbl_task2[[คะแนนเต็ม]:[คะแนนเต็ม]])*tbl_task2[[%]:[%]])</f>
        <v/>
      </c>
      <c r="JJ14" s="121" t="str">
        <f>IF(ISBLANK(tbl_task2[[คะแนนเต็ม]:[คะแนนเต็ม]]),"",(tbl_task2[100]/tbl_task2[[คะแนนเต็ม]:[คะแนนเต็ม]])*tbl_task2[[%]:[%]])</f>
        <v/>
      </c>
      <c r="JK14" s="121" t="str">
        <f>IF(ISBLANK(tbl_task2[[คะแนนเต็ม]:[คะแนนเต็ม]]),"",(tbl_task2[101]/tbl_task2[[คะแนนเต็ม]:[คะแนนเต็ม]])*tbl_task2[[%]:[%]])</f>
        <v/>
      </c>
      <c r="JL14" s="121" t="str">
        <f>IF(ISBLANK(tbl_task2[[คะแนนเต็ม]:[คะแนนเต็ม]]),"",(tbl_task2[102]/tbl_task2[[คะแนนเต็ม]:[คะแนนเต็ม]])*tbl_task2[[%]:[%]])</f>
        <v/>
      </c>
      <c r="JM14" s="121" t="str">
        <f>IF(ISBLANK(tbl_task2[[คะแนนเต็ม]:[คะแนนเต็ม]]),"",(tbl_task2[103]/tbl_task2[[คะแนนเต็ม]:[คะแนนเต็ม]])*tbl_task2[[%]:[%]])</f>
        <v/>
      </c>
      <c r="JN14" s="121" t="str">
        <f>IF(ISBLANK(tbl_task2[[คะแนนเต็ม]:[คะแนนเต็ม]]),"",(tbl_task2[104]/tbl_task2[[คะแนนเต็ม]:[คะแนนเต็ม]])*tbl_task2[[%]:[%]])</f>
        <v/>
      </c>
      <c r="JO14" s="121" t="str">
        <f>IF(ISBLANK(tbl_task2[[คะแนนเต็ม]:[คะแนนเต็ม]]),"",(tbl_task2[105]/tbl_task2[[คะแนนเต็ม]:[คะแนนเต็ม]])*tbl_task2[[%]:[%]])</f>
        <v/>
      </c>
      <c r="JP14" s="121" t="str">
        <f>IF(ISBLANK(tbl_task2[[คะแนนเต็ม]:[คะแนนเต็ม]]),"",(tbl_task2[106]/tbl_task2[[คะแนนเต็ม]:[คะแนนเต็ม]])*tbl_task2[[%]:[%]])</f>
        <v/>
      </c>
      <c r="JQ14" s="121" t="str">
        <f>IF(ISBLANK(tbl_task2[[คะแนนเต็ม]:[คะแนนเต็ม]]),"",(tbl_task2[107]/tbl_task2[[คะแนนเต็ม]:[คะแนนเต็ม]])*tbl_task2[[%]:[%]])</f>
        <v/>
      </c>
      <c r="JR14" s="121" t="str">
        <f>IF(ISBLANK(tbl_task2[[คะแนนเต็ม]:[คะแนนเต็ม]]),"",(tbl_task2[108]/tbl_task2[[คะแนนเต็ม]:[คะแนนเต็ม]])*tbl_task2[[%]:[%]])</f>
        <v/>
      </c>
      <c r="JS14" s="121" t="str">
        <f>IF(ISBLANK(tbl_task2[[คะแนนเต็ม]:[คะแนนเต็ม]]),"",(tbl_task2[109]/tbl_task2[[คะแนนเต็ม]:[คะแนนเต็ม]])*tbl_task2[[%]:[%]])</f>
        <v/>
      </c>
      <c r="JT14" s="121" t="str">
        <f>IF(ISBLANK(tbl_task2[[คะแนนเต็ม]:[คะแนนเต็ม]]),"",(tbl_task2[110]/tbl_task2[[คะแนนเต็ม]:[คะแนนเต็ม]])*tbl_task2[[%]:[%]])</f>
        <v/>
      </c>
      <c r="JU14" s="121" t="str">
        <f>IF(ISBLANK(tbl_task2[[คะแนนเต็ม]:[คะแนนเต็ม]]),"",(tbl_task2[111]/tbl_task2[[คะแนนเต็ม]:[คะแนนเต็ม]])*tbl_task2[[%]:[%]])</f>
        <v/>
      </c>
      <c r="JV14" s="121" t="str">
        <f>IF(ISBLANK(tbl_task2[[คะแนนเต็ม]:[คะแนนเต็ม]]),"",(tbl_task2[112]/tbl_task2[[คะแนนเต็ม]:[คะแนนเต็ม]])*tbl_task2[[%]:[%]])</f>
        <v/>
      </c>
      <c r="JW14" s="121" t="str">
        <f>IF(ISBLANK(tbl_task2[[คะแนนเต็ม]:[คะแนนเต็ม]]),"",(tbl_task2[113]/tbl_task2[[คะแนนเต็ม]:[คะแนนเต็ม]])*tbl_task2[[%]:[%]])</f>
        <v/>
      </c>
      <c r="JX14" s="121" t="str">
        <f>IF(ISBLANK(tbl_task2[[คะแนนเต็ม]:[คะแนนเต็ม]]),"",(tbl_task2[114]/tbl_task2[[คะแนนเต็ม]:[คะแนนเต็ม]])*tbl_task2[[%]:[%]])</f>
        <v/>
      </c>
      <c r="JY14" s="121" t="str">
        <f>IF(ISBLANK(tbl_task2[[คะแนนเต็ม]:[คะแนนเต็ม]]),"",(tbl_task2[115]/tbl_task2[[คะแนนเต็ม]:[คะแนนเต็ม]])*tbl_task2[[%]:[%]])</f>
        <v/>
      </c>
      <c r="JZ14" s="121" t="str">
        <f>IF(ISBLANK(tbl_task2[[คะแนนเต็ม]:[คะแนนเต็ม]]),"",(tbl_task2[116]/tbl_task2[[คะแนนเต็ม]:[คะแนนเต็ม]])*tbl_task2[[%]:[%]])</f>
        <v/>
      </c>
      <c r="KA14" s="121" t="str">
        <f>IF(ISBLANK(tbl_task2[[คะแนนเต็ม]:[คะแนนเต็ม]]),"",(tbl_task2[117]/tbl_task2[[คะแนนเต็ม]:[คะแนนเต็ม]])*tbl_task2[[%]:[%]])</f>
        <v/>
      </c>
      <c r="KB14" s="121" t="str">
        <f>IF(ISBLANK(tbl_task2[[คะแนนเต็ม]:[คะแนนเต็ม]]),"",(tbl_task2[118]/tbl_task2[[คะแนนเต็ม]:[คะแนนเต็ม]])*tbl_task2[[%]:[%]])</f>
        <v/>
      </c>
      <c r="KC14" s="121" t="str">
        <f>IF(ISBLANK(tbl_task2[[คะแนนเต็ม]:[คะแนนเต็ม]]),"",(tbl_task2[119]/tbl_task2[[คะแนนเต็ม]:[คะแนนเต็ม]])*tbl_task2[[%]:[%]])</f>
        <v/>
      </c>
      <c r="KD14" s="121" t="str">
        <f>IF(ISBLANK(tbl_task2[[คะแนนเต็ม]:[คะแนนเต็ม]]),"",(tbl_task2[120]/tbl_task2[[คะแนนเต็ม]:[คะแนนเต็ม]])*tbl_task2[[%]:[%]])</f>
        <v/>
      </c>
      <c r="KE14" s="121" t="str">
        <f>IF(ISBLANK(tbl_task2[[คะแนนเต็ม]:[คะแนนเต็ม]]),"",(tbl_task2[121]/tbl_task2[[คะแนนเต็ม]:[คะแนนเต็ม]])*tbl_task2[[%]:[%]])</f>
        <v/>
      </c>
      <c r="KF14" s="121" t="str">
        <f>IF(ISBLANK(tbl_task2[[คะแนนเต็ม]:[คะแนนเต็ม]]),"",(tbl_task2[122]/tbl_task2[[คะแนนเต็ม]:[คะแนนเต็ม]])*tbl_task2[[%]:[%]])</f>
        <v/>
      </c>
      <c r="KG14" s="121" t="str">
        <f>IF(ISBLANK(tbl_task2[[คะแนนเต็ม]:[คะแนนเต็ม]]),"",(tbl_task2[123]/tbl_task2[[คะแนนเต็ม]:[คะแนนเต็ม]])*tbl_task2[[%]:[%]])</f>
        <v/>
      </c>
      <c r="KH14" s="121" t="str">
        <f>IF(ISBLANK(tbl_task2[[คะแนนเต็ม]:[คะแนนเต็ม]]),"",(tbl_task2[124]/tbl_task2[[คะแนนเต็ม]:[คะแนนเต็ม]])*tbl_task2[[%]:[%]])</f>
        <v/>
      </c>
      <c r="KI14" s="121" t="str">
        <f>IF(ISBLANK(tbl_task2[[คะแนนเต็ม]:[คะแนนเต็ม]]),"",(tbl_task2[125]/tbl_task2[[คะแนนเต็ม]:[คะแนนเต็ม]])*tbl_task2[[%]:[%]])</f>
        <v/>
      </c>
      <c r="KJ14" s="121" t="str">
        <f>IF(ISBLANK(tbl_task2[[คะแนนเต็ม]:[คะแนนเต็ม]]),"",(tbl_task2[126]/tbl_task2[[คะแนนเต็ม]:[คะแนนเต็ม]])*tbl_task2[[%]:[%]])</f>
        <v/>
      </c>
      <c r="KK14" s="121" t="str">
        <f>IF(ISBLANK(tbl_task2[[คะแนนเต็ม]:[คะแนนเต็ม]]),"",(tbl_task2[127]/tbl_task2[[คะแนนเต็ม]:[คะแนนเต็ม]])*tbl_task2[[%]:[%]])</f>
        <v/>
      </c>
      <c r="KL14" s="121" t="str">
        <f>IF(ISBLANK(tbl_task2[[คะแนนเต็ม]:[คะแนนเต็ม]]),"",(tbl_task2[128]/tbl_task2[[คะแนนเต็ม]:[คะแนนเต็ม]])*tbl_task2[[%]:[%]])</f>
        <v/>
      </c>
      <c r="KM14" s="121" t="str">
        <f>IF(ISBLANK(tbl_task2[[คะแนนเต็ม]:[คะแนนเต็ม]]),"",(tbl_task2[129]/tbl_task2[[คะแนนเต็ม]:[คะแนนเต็ม]])*tbl_task2[[%]:[%]])</f>
        <v/>
      </c>
      <c r="KN14" s="121" t="str">
        <f>IF(ISBLANK(tbl_task2[[คะแนนเต็ม]:[คะแนนเต็ม]]),"",(tbl_task2[130]/tbl_task2[[คะแนนเต็ม]:[คะแนนเต็ม]])*tbl_task2[[%]:[%]])</f>
        <v/>
      </c>
      <c r="KO14" s="121" t="str">
        <f>IF(ISBLANK(tbl_task2[[คะแนนเต็ม]:[คะแนนเต็ม]]),"",(tbl_task2[131]/tbl_task2[[คะแนนเต็ม]:[คะแนนเต็ม]])*tbl_task2[[%]:[%]])</f>
        <v/>
      </c>
      <c r="KP14" s="121" t="str">
        <f>IF(ISBLANK(tbl_task2[[คะแนนเต็ม]:[คะแนนเต็ม]]),"",(tbl_task2[132]/tbl_task2[[คะแนนเต็ม]:[คะแนนเต็ม]])*tbl_task2[[%]:[%]])</f>
        <v/>
      </c>
      <c r="KQ14" s="121" t="str">
        <f>IF(ISBLANK(tbl_task2[[คะแนนเต็ม]:[คะแนนเต็ม]]),"",(tbl_task2[133]/tbl_task2[[คะแนนเต็ม]:[คะแนนเต็ม]])*tbl_task2[[%]:[%]])</f>
        <v/>
      </c>
      <c r="KR14" s="121" t="str">
        <f>IF(ISBLANK(tbl_task2[[คะแนนเต็ม]:[คะแนนเต็ม]]),"",(tbl_task2[134]/tbl_task2[[คะแนนเต็ม]:[คะแนนเต็ม]])*tbl_task2[[%]:[%]])</f>
        <v/>
      </c>
      <c r="KS14" s="121" t="str">
        <f>IF(ISBLANK(tbl_task2[[คะแนนเต็ม]:[คะแนนเต็ม]]),"",(tbl_task2[135]/tbl_task2[[คะแนนเต็ม]:[คะแนนเต็ม]])*tbl_task2[[%]:[%]])</f>
        <v/>
      </c>
      <c r="KT14" s="121" t="str">
        <f>IF(ISBLANK(tbl_task2[[คะแนนเต็ม]:[คะแนนเต็ม]]),"",(tbl_task2[136]/tbl_task2[[คะแนนเต็ม]:[คะแนนเต็ม]])*tbl_task2[[%]:[%]])</f>
        <v/>
      </c>
      <c r="KU14" s="121" t="str">
        <f>IF(ISBLANK(tbl_task2[[คะแนนเต็ม]:[คะแนนเต็ม]]),"",(tbl_task2[137]/tbl_task2[[คะแนนเต็ม]:[คะแนนเต็ม]])*tbl_task2[[%]:[%]])</f>
        <v/>
      </c>
      <c r="KV14" s="121" t="str">
        <f>IF(ISBLANK(tbl_task2[[คะแนนเต็ม]:[คะแนนเต็ม]]),"",(tbl_task2[138]/tbl_task2[[คะแนนเต็ม]:[คะแนนเต็ม]])*tbl_task2[[%]:[%]])</f>
        <v/>
      </c>
      <c r="KW14" s="121" t="str">
        <f>IF(ISBLANK(tbl_task2[[คะแนนเต็ม]:[คะแนนเต็ม]]),"",(tbl_task2[139]/tbl_task2[[คะแนนเต็ม]:[คะแนนเต็ม]])*tbl_task2[[%]:[%]])</f>
        <v/>
      </c>
      <c r="KX14" s="121" t="str">
        <f>IF(ISBLANK(tbl_task2[[คะแนนเต็ม]:[คะแนนเต็ม]]),"",(tbl_task2[140]/tbl_task2[[คะแนนเต็ม]:[คะแนนเต็ม]])*tbl_task2[[%]:[%]])</f>
        <v/>
      </c>
      <c r="KY14" s="121" t="str">
        <f>IF(ISBLANK(tbl_task2[[คะแนนเต็ม]:[คะแนนเต็ม]]),"",(tbl_task2[141]/tbl_task2[[คะแนนเต็ม]:[คะแนนเต็ม]])*tbl_task2[[%]:[%]])</f>
        <v/>
      </c>
      <c r="KZ14" s="121" t="str">
        <f>IF(ISBLANK(tbl_task2[[คะแนนเต็ม]:[คะแนนเต็ม]]),"",(tbl_task2[142]/tbl_task2[[คะแนนเต็ม]:[คะแนนเต็ม]])*tbl_task2[[%]:[%]])</f>
        <v/>
      </c>
      <c r="LA14" s="121" t="str">
        <f>IF(ISBLANK(tbl_task2[[คะแนนเต็ม]:[คะแนนเต็ม]]),"",(tbl_task2[143]/tbl_task2[[คะแนนเต็ม]:[คะแนนเต็ม]])*tbl_task2[[%]:[%]])</f>
        <v/>
      </c>
      <c r="LB14" s="121" t="str">
        <f>IF(ISBLANK(tbl_task2[[คะแนนเต็ม]:[คะแนนเต็ม]]),"",(tbl_task2[144]/tbl_task2[[คะแนนเต็ม]:[คะแนนเต็ม]])*tbl_task2[[%]:[%]])</f>
        <v/>
      </c>
      <c r="LC14" s="121" t="str">
        <f>IF(ISBLANK(tbl_task2[[คะแนนเต็ม]:[คะแนนเต็ม]]),"",(tbl_task2[145]/tbl_task2[[คะแนนเต็ม]:[คะแนนเต็ม]])*tbl_task2[[%]:[%]])</f>
        <v/>
      </c>
      <c r="LD14" s="121" t="str">
        <f>IF(ISBLANK(tbl_task2[[คะแนนเต็ม]:[คะแนนเต็ม]]),"",(tbl_task2[146]/tbl_task2[[คะแนนเต็ม]:[คะแนนเต็ม]])*tbl_task2[[%]:[%]])</f>
        <v/>
      </c>
      <c r="LE14" s="121" t="str">
        <f>IF(ISBLANK(tbl_task2[[คะแนนเต็ม]:[คะแนนเต็ม]]),"",(tbl_task2[147]/tbl_task2[[คะแนนเต็ม]:[คะแนนเต็ม]])*tbl_task2[[%]:[%]])</f>
        <v/>
      </c>
      <c r="LF14" s="121" t="str">
        <f>IF(ISBLANK(tbl_task2[[คะแนนเต็ม]:[คะแนนเต็ม]]),"",(tbl_task2[148]/tbl_task2[[คะแนนเต็ม]:[คะแนนเต็ม]])*tbl_task2[[%]:[%]])</f>
        <v/>
      </c>
      <c r="LG14" s="121" t="str">
        <f>IF(ISBLANK(tbl_task2[[คะแนนเต็ม]:[คะแนนเต็ม]]),"",(tbl_task2[149]/tbl_task2[[คะแนนเต็ม]:[คะแนนเต็ม]])*tbl_task2[[%]:[%]])</f>
        <v/>
      </c>
      <c r="LH14" s="121" t="str">
        <f>IF(ISBLANK(tbl_task2[[คะแนนเต็ม]:[คะแนนเต็ม]]),"",(tbl_task2[150]/tbl_task2[[คะแนนเต็ม]:[คะแนนเต็ม]])*tbl_task2[[%]:[%]])</f>
        <v/>
      </c>
      <c r="LI14" s="121" t="str">
        <f>IF(ISBLANK(tbl_task2[[คะแนนเต็ม]:[คะแนนเต็ม]]),"",(tbl_task2[151]/tbl_task2[[คะแนนเต็ม]:[คะแนนเต็ม]])*tbl_task2[[%]:[%]])</f>
        <v/>
      </c>
      <c r="LJ14" s="121" t="str">
        <f>IF(ISBLANK(tbl_task2[[คะแนนเต็ม]:[คะแนนเต็ม]]),"",(tbl_task2[152]/tbl_task2[[คะแนนเต็ม]:[คะแนนเต็ม]])*tbl_task2[[%]:[%]])</f>
        <v/>
      </c>
      <c r="LK14" s="121" t="str">
        <f>IF(ISBLANK(tbl_task2[[คะแนนเต็ม]:[คะแนนเต็ม]]),"",(tbl_task2[153]/tbl_task2[[คะแนนเต็ม]:[คะแนนเต็ม]])*tbl_task2[[%]:[%]])</f>
        <v/>
      </c>
      <c r="LL14" s="121" t="str">
        <f>IF(ISBLANK(tbl_task2[[คะแนนเต็ม]:[คะแนนเต็ม]]),"",(tbl_task2[154]/tbl_task2[[คะแนนเต็ม]:[คะแนนเต็ม]])*tbl_task2[[%]:[%]])</f>
        <v/>
      </c>
      <c r="LM14" s="121" t="str">
        <f>IF(ISBLANK(tbl_task2[[คะแนนเต็ม]:[คะแนนเต็ม]]),"",(tbl_task2[155]/tbl_task2[[คะแนนเต็ม]:[คะแนนเต็ม]])*tbl_task2[[%]:[%]])</f>
        <v/>
      </c>
      <c r="LN14" s="121" t="str">
        <f>IF(ISBLANK(tbl_task2[[คะแนนเต็ม]:[คะแนนเต็ม]]),"",(tbl_task2[156]/tbl_task2[[คะแนนเต็ม]:[คะแนนเต็ม]])*tbl_task2[[%]:[%]])</f>
        <v/>
      </c>
      <c r="LO14" s="121" t="str">
        <f>IF(ISBLANK(tbl_task2[[คะแนนเต็ม]:[คะแนนเต็ม]]),"",(tbl_task2[157]/tbl_task2[[คะแนนเต็ม]:[คะแนนเต็ม]])*tbl_task2[[%]:[%]])</f>
        <v/>
      </c>
      <c r="LP14" s="121" t="str">
        <f>IF(ISBLANK(tbl_task2[[คะแนนเต็ม]:[คะแนนเต็ม]]),"",(tbl_task2[158]/tbl_task2[[คะแนนเต็ม]:[คะแนนเต็ม]])*tbl_task2[[%]:[%]])</f>
        <v/>
      </c>
      <c r="LQ14" s="121" t="str">
        <f>IF(ISBLANK(tbl_task2[[คะแนนเต็ม]:[คะแนนเต็ม]]),"",(tbl_task2[159]/tbl_task2[[คะแนนเต็ม]:[คะแนนเต็ม]])*tbl_task2[[%]:[%]])</f>
        <v/>
      </c>
      <c r="LR14" s="121" t="str">
        <f>IF(ISBLANK(tbl_task2[[คะแนนเต็ม]:[คะแนนเต็ม]]),"",(tbl_task2[160]/tbl_task2[[คะแนนเต็ม]:[คะแนนเต็ม]])*tbl_task2[[%]:[%]])</f>
        <v/>
      </c>
      <c r="LS14" s="121" t="str">
        <f>IF(ISBLANK(tbl_task2[[คะแนนเต็ม]:[คะแนนเต็ม]]),"",(tbl_task2[161]/tbl_task2[[คะแนนเต็ม]:[คะแนนเต็ม]])*tbl_task2[[%]:[%]])</f>
        <v/>
      </c>
      <c r="LT14" s="121" t="str">
        <f>IF(ISBLANK(tbl_task2[[คะแนนเต็ม]:[คะแนนเต็ม]]),"",(tbl_task2[162]/tbl_task2[[คะแนนเต็ม]:[คะแนนเต็ม]])*tbl_task2[[%]:[%]])</f>
        <v/>
      </c>
      <c r="LU14" s="121" t="str">
        <f>IF(ISBLANK(tbl_task2[[คะแนนเต็ม]:[คะแนนเต็ม]]),"",(tbl_task2[163]/tbl_task2[[คะแนนเต็ม]:[คะแนนเต็ม]])*tbl_task2[[%]:[%]])</f>
        <v/>
      </c>
      <c r="LV14" s="121" t="str">
        <f>IF(ISBLANK(tbl_task2[[คะแนนเต็ม]:[คะแนนเต็ม]]),"",(tbl_task2[164]/tbl_task2[[คะแนนเต็ม]:[คะแนนเต็ม]])*tbl_task2[[%]:[%]])</f>
        <v/>
      </c>
      <c r="LW14" s="121" t="str">
        <f>IF(ISBLANK(tbl_task2[[คะแนนเต็ม]:[คะแนนเต็ม]]),"",(tbl_task2[165]/tbl_task2[[คะแนนเต็ม]:[คะแนนเต็ม]])*tbl_task2[[%]:[%]])</f>
        <v/>
      </c>
    </row>
    <row r="15" spans="1:335" ht="24" customHeight="1" x14ac:dyDescent="0.25">
      <c r="A15" s="24">
        <v>12</v>
      </c>
      <c r="B15" s="20"/>
      <c r="C15" s="5" t="str">
        <f>IF(ISBLANK(B15),"",VLOOKUP(B15,tbl_PLOs[],2,0))</f>
        <v/>
      </c>
      <c r="D15" s="102"/>
      <c r="E15" s="106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121" t="str">
        <f>IF(ISBLANK(tbl_task2[[คะแนนเต็ม]:[คะแนนเต็ม]]),"",(tbl_task2[1]/tbl_task2[[คะแนนเต็ม]:[คะแนนเต็ม]])*tbl_task2[[%]:[%]])</f>
        <v/>
      </c>
      <c r="FP15" s="121" t="str">
        <f>IF(ISBLANK(tbl_task2[[คะแนนเต็ม]:[คะแนนเต็ม]]),"",(tbl_task2[2]/tbl_task2[[คะแนนเต็ม]:[คะแนนเต็ม]])*tbl_task2[[%]:[%]])</f>
        <v/>
      </c>
      <c r="FQ15" s="121" t="str">
        <f>IF(ISBLANK(tbl_task2[[คะแนนเต็ม]:[คะแนนเต็ม]]),"",(tbl_task2[3]/tbl_task2[[คะแนนเต็ม]:[คะแนนเต็ม]])*tbl_task2[[%]:[%]])</f>
        <v/>
      </c>
      <c r="FR15" s="121" t="str">
        <f>IF(ISBLANK(tbl_task2[[คะแนนเต็ม]:[คะแนนเต็ม]]),"",(tbl_task2[4]/tbl_task2[[คะแนนเต็ม]:[คะแนนเต็ม]])*tbl_task2[[%]:[%]])</f>
        <v/>
      </c>
      <c r="FS15" s="121" t="str">
        <f>IF(ISBLANK(tbl_task2[[คะแนนเต็ม]:[คะแนนเต็ม]]),"",(tbl_task2[5]/tbl_task2[[คะแนนเต็ม]:[คะแนนเต็ม]])*tbl_task2[[%]:[%]])</f>
        <v/>
      </c>
      <c r="FT15" s="121" t="str">
        <f>IF(ISBLANK(tbl_task2[[คะแนนเต็ม]:[คะแนนเต็ม]]),"",(tbl_task2[6]/tbl_task2[[คะแนนเต็ม]:[คะแนนเต็ม]])*tbl_task2[[%]:[%]])</f>
        <v/>
      </c>
      <c r="FU15" s="121" t="str">
        <f>IF(ISBLANK(tbl_task2[[คะแนนเต็ม]:[คะแนนเต็ม]]),"",(tbl_task2[7]/tbl_task2[[คะแนนเต็ม]:[คะแนนเต็ม]])*tbl_task2[[%]:[%]])</f>
        <v/>
      </c>
      <c r="FV15" s="121" t="str">
        <f>IF(ISBLANK(tbl_task2[[คะแนนเต็ม]:[คะแนนเต็ม]]),"",(tbl_task2[8]/tbl_task2[[คะแนนเต็ม]:[คะแนนเต็ม]])*tbl_task2[[%]:[%]])</f>
        <v/>
      </c>
      <c r="FW15" s="121" t="str">
        <f>IF(ISBLANK(tbl_task2[[คะแนนเต็ม]:[คะแนนเต็ม]]),"",(tbl_task2[9]/tbl_task2[[คะแนนเต็ม]:[คะแนนเต็ม]])*tbl_task2[[%]:[%]])</f>
        <v/>
      </c>
      <c r="FX15" s="121" t="str">
        <f>IF(ISBLANK(tbl_task2[[คะแนนเต็ม]:[คะแนนเต็ม]]),"",(tbl_task2[10]/tbl_task2[[คะแนนเต็ม]:[คะแนนเต็ม]])*tbl_task2[[%]:[%]])</f>
        <v/>
      </c>
      <c r="FY15" s="121" t="str">
        <f>IF(ISBLANK(tbl_task2[[คะแนนเต็ม]:[คะแนนเต็ม]]),"",(tbl_task2[11]/tbl_task2[[คะแนนเต็ม]:[คะแนนเต็ม]])*tbl_task2[[%]:[%]])</f>
        <v/>
      </c>
      <c r="FZ15" s="121" t="str">
        <f>IF(ISBLANK(tbl_task2[[คะแนนเต็ม]:[คะแนนเต็ม]]),"",(tbl_task2[12]/tbl_task2[[คะแนนเต็ม]:[คะแนนเต็ม]])*tbl_task2[[%]:[%]])</f>
        <v/>
      </c>
      <c r="GA15" s="121" t="str">
        <f>IF(ISBLANK(tbl_task2[[คะแนนเต็ม]:[คะแนนเต็ม]]),"",(tbl_task2[13]/tbl_task2[[คะแนนเต็ม]:[คะแนนเต็ม]])*tbl_task2[[%]:[%]])</f>
        <v/>
      </c>
      <c r="GB15" s="121" t="str">
        <f>IF(ISBLANK(tbl_task2[[คะแนนเต็ม]:[คะแนนเต็ม]]),"",(tbl_task2[14]/tbl_task2[[คะแนนเต็ม]:[คะแนนเต็ม]])*tbl_task2[[%]:[%]])</f>
        <v/>
      </c>
      <c r="GC15" s="121" t="str">
        <f>IF(ISBLANK(tbl_task2[[คะแนนเต็ม]:[คะแนนเต็ม]]),"",(tbl_task2[15]/tbl_task2[[คะแนนเต็ม]:[คะแนนเต็ม]])*tbl_task2[[%]:[%]])</f>
        <v/>
      </c>
      <c r="GD15" s="121" t="str">
        <f>IF(ISBLANK(tbl_task2[[คะแนนเต็ม]:[คะแนนเต็ม]]),"",(tbl_task2[16]/tbl_task2[[คะแนนเต็ม]:[คะแนนเต็ม]])*tbl_task2[[%]:[%]])</f>
        <v/>
      </c>
      <c r="GE15" s="121" t="str">
        <f>IF(ISBLANK(tbl_task2[[คะแนนเต็ม]:[คะแนนเต็ม]]),"",(tbl_task2[17]/tbl_task2[[คะแนนเต็ม]:[คะแนนเต็ม]])*tbl_task2[[%]:[%]])</f>
        <v/>
      </c>
      <c r="GF15" s="121" t="str">
        <f>IF(ISBLANK(tbl_task2[[คะแนนเต็ม]:[คะแนนเต็ม]]),"",(tbl_task2[18]/tbl_task2[[คะแนนเต็ม]:[คะแนนเต็ม]])*tbl_task2[[%]:[%]])</f>
        <v/>
      </c>
      <c r="GG15" s="121" t="str">
        <f>IF(ISBLANK(tbl_task2[[คะแนนเต็ม]:[คะแนนเต็ม]]),"",(tbl_task2[19]/tbl_task2[[คะแนนเต็ม]:[คะแนนเต็ม]])*tbl_task2[[%]:[%]])</f>
        <v/>
      </c>
      <c r="GH15" s="121" t="str">
        <f>IF(ISBLANK(tbl_task2[[คะแนนเต็ม]:[คะแนนเต็ม]]),"",(tbl_task2[20]/tbl_task2[[คะแนนเต็ม]:[คะแนนเต็ม]])*tbl_task2[[%]:[%]])</f>
        <v/>
      </c>
      <c r="GI15" s="121" t="str">
        <f>IF(ISBLANK(tbl_task2[[คะแนนเต็ม]:[คะแนนเต็ม]]),"",(tbl_task2[21]/tbl_task2[[คะแนนเต็ม]:[คะแนนเต็ม]])*tbl_task2[[%]:[%]])</f>
        <v/>
      </c>
      <c r="GJ15" s="121" t="str">
        <f>IF(ISBLANK(tbl_task2[[คะแนนเต็ม]:[คะแนนเต็ม]]),"",(tbl_task2[22]/tbl_task2[[คะแนนเต็ม]:[คะแนนเต็ม]])*tbl_task2[[%]:[%]])</f>
        <v/>
      </c>
      <c r="GK15" s="121" t="str">
        <f>IF(ISBLANK(tbl_task2[[คะแนนเต็ม]:[คะแนนเต็ม]]),"",(tbl_task2[23]/tbl_task2[[คะแนนเต็ม]:[คะแนนเต็ม]])*tbl_task2[[%]:[%]])</f>
        <v/>
      </c>
      <c r="GL15" s="121" t="str">
        <f>IF(ISBLANK(tbl_task2[[คะแนนเต็ม]:[คะแนนเต็ม]]),"",(tbl_task2[24]/tbl_task2[[คะแนนเต็ม]:[คะแนนเต็ม]])*tbl_task2[[%]:[%]])</f>
        <v/>
      </c>
      <c r="GM15" s="121" t="str">
        <f>IF(ISBLANK(tbl_task2[[คะแนนเต็ม]:[คะแนนเต็ม]]),"",(tbl_task2[25]/tbl_task2[[คะแนนเต็ม]:[คะแนนเต็ม]])*tbl_task2[[%]:[%]])</f>
        <v/>
      </c>
      <c r="GN15" s="121" t="str">
        <f>IF(ISBLANK(tbl_task2[[คะแนนเต็ม]:[คะแนนเต็ม]]),"",(tbl_task2[26]/tbl_task2[[คะแนนเต็ม]:[คะแนนเต็ม]])*tbl_task2[[%]:[%]])</f>
        <v/>
      </c>
      <c r="GO15" s="121" t="str">
        <f>IF(ISBLANK(tbl_task2[[คะแนนเต็ม]:[คะแนนเต็ม]]),"",(tbl_task2[27]/tbl_task2[[คะแนนเต็ม]:[คะแนนเต็ม]])*tbl_task2[[%]:[%]])</f>
        <v/>
      </c>
      <c r="GP15" s="121" t="str">
        <f>IF(ISBLANK(tbl_task2[[คะแนนเต็ม]:[คะแนนเต็ม]]),"",(tbl_task2[28]/tbl_task2[[คะแนนเต็ม]:[คะแนนเต็ม]])*tbl_task2[[%]:[%]])</f>
        <v/>
      </c>
      <c r="GQ15" s="121" t="str">
        <f>IF(ISBLANK(tbl_task2[[คะแนนเต็ม]:[คะแนนเต็ม]]),"",(tbl_task2[29]/tbl_task2[[คะแนนเต็ม]:[คะแนนเต็ม]])*tbl_task2[[%]:[%]])</f>
        <v/>
      </c>
      <c r="GR15" s="121" t="str">
        <f>IF(ISBLANK(tbl_task2[[คะแนนเต็ม]:[คะแนนเต็ม]]),"",(tbl_task2[30]/tbl_task2[[คะแนนเต็ม]:[คะแนนเต็ม]])*tbl_task2[[%]:[%]])</f>
        <v/>
      </c>
      <c r="GS15" s="121" t="str">
        <f>IF(ISBLANK(tbl_task2[[คะแนนเต็ม]:[คะแนนเต็ม]]),"",(tbl_task2[31]/tbl_task2[[คะแนนเต็ม]:[คะแนนเต็ม]])*tbl_task2[[%]:[%]])</f>
        <v/>
      </c>
      <c r="GT15" s="121" t="str">
        <f>IF(ISBLANK(tbl_task2[[คะแนนเต็ม]:[คะแนนเต็ม]]),"",(tbl_task2[32]/tbl_task2[[คะแนนเต็ม]:[คะแนนเต็ม]])*tbl_task2[[%]:[%]])</f>
        <v/>
      </c>
      <c r="GU15" s="121" t="str">
        <f>IF(ISBLANK(tbl_task2[[คะแนนเต็ม]:[คะแนนเต็ม]]),"",(tbl_task2[33]/tbl_task2[[คะแนนเต็ม]:[คะแนนเต็ม]])*tbl_task2[[%]:[%]])</f>
        <v/>
      </c>
      <c r="GV15" s="121" t="str">
        <f>IF(ISBLANK(tbl_task2[[คะแนนเต็ม]:[คะแนนเต็ม]]),"",(tbl_task2[34]/tbl_task2[[คะแนนเต็ม]:[คะแนนเต็ม]])*tbl_task2[[%]:[%]])</f>
        <v/>
      </c>
      <c r="GW15" s="121" t="str">
        <f>IF(ISBLANK(tbl_task2[[คะแนนเต็ม]:[คะแนนเต็ม]]),"",(tbl_task2[35]/tbl_task2[[คะแนนเต็ม]:[คะแนนเต็ม]])*tbl_task2[[%]:[%]])</f>
        <v/>
      </c>
      <c r="GX15" s="121" t="str">
        <f>IF(ISBLANK(tbl_task2[[คะแนนเต็ม]:[คะแนนเต็ม]]),"",(tbl_task2[36]/tbl_task2[[คะแนนเต็ม]:[คะแนนเต็ม]])*tbl_task2[[%]:[%]])</f>
        <v/>
      </c>
      <c r="GY15" s="121" t="str">
        <f>IF(ISBLANK(tbl_task2[[คะแนนเต็ม]:[คะแนนเต็ม]]),"",(tbl_task2[37]/tbl_task2[[คะแนนเต็ม]:[คะแนนเต็ม]])*tbl_task2[[%]:[%]])</f>
        <v/>
      </c>
      <c r="GZ15" s="121" t="str">
        <f>IF(ISBLANK(tbl_task2[[คะแนนเต็ม]:[คะแนนเต็ม]]),"",(tbl_task2[38]/tbl_task2[[คะแนนเต็ม]:[คะแนนเต็ม]])*tbl_task2[[%]:[%]])</f>
        <v/>
      </c>
      <c r="HA15" s="121" t="str">
        <f>IF(ISBLANK(tbl_task2[[คะแนนเต็ม]:[คะแนนเต็ม]]),"",(tbl_task2[39]/tbl_task2[[คะแนนเต็ม]:[คะแนนเต็ม]])*tbl_task2[[%]:[%]])</f>
        <v/>
      </c>
      <c r="HB15" s="121" t="str">
        <f>IF(ISBLANK(tbl_task2[[คะแนนเต็ม]:[คะแนนเต็ม]]),"",(tbl_task2[40]/tbl_task2[[คะแนนเต็ม]:[คะแนนเต็ม]])*tbl_task2[[%]:[%]])</f>
        <v/>
      </c>
      <c r="HC15" s="121" t="str">
        <f>IF(ISBLANK(tbl_task2[[คะแนนเต็ม]:[คะแนนเต็ม]]),"",(tbl_task2[41]/tbl_task2[[คะแนนเต็ม]:[คะแนนเต็ม]])*tbl_task2[[%]:[%]])</f>
        <v/>
      </c>
      <c r="HD15" s="121" t="str">
        <f>IF(ISBLANK(tbl_task2[[คะแนนเต็ม]:[คะแนนเต็ม]]),"",(tbl_task2[42]/tbl_task2[[คะแนนเต็ม]:[คะแนนเต็ม]])*tbl_task2[[%]:[%]])</f>
        <v/>
      </c>
      <c r="HE15" s="121" t="str">
        <f>IF(ISBLANK(tbl_task2[[คะแนนเต็ม]:[คะแนนเต็ม]]),"",(tbl_task2[43]/tbl_task2[[คะแนนเต็ม]:[คะแนนเต็ม]])*tbl_task2[[%]:[%]])</f>
        <v/>
      </c>
      <c r="HF15" s="121" t="str">
        <f>IF(ISBLANK(tbl_task2[[คะแนนเต็ม]:[คะแนนเต็ม]]),"",(tbl_task2[44]/tbl_task2[[คะแนนเต็ม]:[คะแนนเต็ม]])*tbl_task2[[%]:[%]])</f>
        <v/>
      </c>
      <c r="HG15" s="121" t="str">
        <f>IF(ISBLANK(tbl_task2[[คะแนนเต็ม]:[คะแนนเต็ม]]),"",(tbl_task2[45]/tbl_task2[[คะแนนเต็ม]:[คะแนนเต็ม]])*tbl_task2[[%]:[%]])</f>
        <v/>
      </c>
      <c r="HH15" s="121" t="str">
        <f>IF(ISBLANK(tbl_task2[[คะแนนเต็ม]:[คะแนนเต็ม]]),"",(tbl_task2[46]/tbl_task2[[คะแนนเต็ม]:[คะแนนเต็ม]])*tbl_task2[[%]:[%]])</f>
        <v/>
      </c>
      <c r="HI15" s="121" t="str">
        <f>IF(ISBLANK(tbl_task2[[คะแนนเต็ม]:[คะแนนเต็ม]]),"",(tbl_task2[47]/tbl_task2[[คะแนนเต็ม]:[คะแนนเต็ม]])*tbl_task2[[%]:[%]])</f>
        <v/>
      </c>
      <c r="HJ15" s="121" t="str">
        <f>IF(ISBLANK(tbl_task2[[คะแนนเต็ม]:[คะแนนเต็ม]]),"",(tbl_task2[48]/tbl_task2[[คะแนนเต็ม]:[คะแนนเต็ม]])*tbl_task2[[%]:[%]])</f>
        <v/>
      </c>
      <c r="HK15" s="121" t="str">
        <f>IF(ISBLANK(tbl_task2[[คะแนนเต็ม]:[คะแนนเต็ม]]),"",(tbl_task2[49]/tbl_task2[[คะแนนเต็ม]:[คะแนนเต็ม]])*tbl_task2[[%]:[%]])</f>
        <v/>
      </c>
      <c r="HL15" s="121" t="str">
        <f>IF(ISBLANK(tbl_task2[[คะแนนเต็ม]:[คะแนนเต็ม]]),"",(tbl_task2[50]/tbl_task2[[คะแนนเต็ม]:[คะแนนเต็ม]])*tbl_task2[[%]:[%]])</f>
        <v/>
      </c>
      <c r="HM15" s="121" t="str">
        <f>IF(ISBLANK(tbl_task2[[คะแนนเต็ม]:[คะแนนเต็ม]]),"",(tbl_task2[51]/tbl_task2[[คะแนนเต็ม]:[คะแนนเต็ม]])*tbl_task2[[%]:[%]])</f>
        <v/>
      </c>
      <c r="HN15" s="121" t="str">
        <f>IF(ISBLANK(tbl_task2[[คะแนนเต็ม]:[คะแนนเต็ม]]),"",(tbl_task2[52]/tbl_task2[[คะแนนเต็ม]:[คะแนนเต็ม]])*tbl_task2[[%]:[%]])</f>
        <v/>
      </c>
      <c r="HO15" s="121" t="str">
        <f>IF(ISBLANK(tbl_task2[[คะแนนเต็ม]:[คะแนนเต็ม]]),"",(tbl_task2[53]/tbl_task2[[คะแนนเต็ม]:[คะแนนเต็ม]])*tbl_task2[[%]:[%]])</f>
        <v/>
      </c>
      <c r="HP15" s="121" t="str">
        <f>IF(ISBLANK(tbl_task2[[คะแนนเต็ม]:[คะแนนเต็ม]]),"",(tbl_task2[54]/tbl_task2[[คะแนนเต็ม]:[คะแนนเต็ม]])*tbl_task2[[%]:[%]])</f>
        <v/>
      </c>
      <c r="HQ15" s="121" t="str">
        <f>IF(ISBLANK(tbl_task2[[คะแนนเต็ม]:[คะแนนเต็ม]]),"",(tbl_task2[55]/tbl_task2[[คะแนนเต็ม]:[คะแนนเต็ม]])*tbl_task2[[%]:[%]])</f>
        <v/>
      </c>
      <c r="HR15" s="121" t="str">
        <f>IF(ISBLANK(tbl_task2[[คะแนนเต็ม]:[คะแนนเต็ม]]),"",(tbl_task2[56]/tbl_task2[[คะแนนเต็ม]:[คะแนนเต็ม]])*tbl_task2[[%]:[%]])</f>
        <v/>
      </c>
      <c r="HS15" s="121" t="str">
        <f>IF(ISBLANK(tbl_task2[[คะแนนเต็ม]:[คะแนนเต็ม]]),"",(tbl_task2[57]/tbl_task2[[คะแนนเต็ม]:[คะแนนเต็ม]])*tbl_task2[[%]:[%]])</f>
        <v/>
      </c>
      <c r="HT15" s="121" t="str">
        <f>IF(ISBLANK(tbl_task2[[คะแนนเต็ม]:[คะแนนเต็ม]]),"",(tbl_task2[58]/tbl_task2[[คะแนนเต็ม]:[คะแนนเต็ม]])*tbl_task2[[%]:[%]])</f>
        <v/>
      </c>
      <c r="HU15" s="121" t="str">
        <f>IF(ISBLANK(tbl_task2[[คะแนนเต็ม]:[คะแนนเต็ม]]),"",(tbl_task2[59]/tbl_task2[[คะแนนเต็ม]:[คะแนนเต็ม]])*tbl_task2[[%]:[%]])</f>
        <v/>
      </c>
      <c r="HV15" s="121" t="str">
        <f>IF(ISBLANK(tbl_task2[[คะแนนเต็ม]:[คะแนนเต็ม]]),"",(tbl_task2[60]/tbl_task2[[คะแนนเต็ม]:[คะแนนเต็ม]])*tbl_task2[[%]:[%]])</f>
        <v/>
      </c>
      <c r="HW15" s="121" t="str">
        <f>IF(ISBLANK(tbl_task2[[คะแนนเต็ม]:[คะแนนเต็ม]]),"",(tbl_task2[61]/tbl_task2[[คะแนนเต็ม]:[คะแนนเต็ม]])*tbl_task2[[%]:[%]])</f>
        <v/>
      </c>
      <c r="HX15" s="121" t="str">
        <f>IF(ISBLANK(tbl_task2[[คะแนนเต็ม]:[คะแนนเต็ม]]),"",(tbl_task2[62]/tbl_task2[[คะแนนเต็ม]:[คะแนนเต็ม]])*tbl_task2[[%]:[%]])</f>
        <v/>
      </c>
      <c r="HY15" s="121" t="str">
        <f>IF(ISBLANK(tbl_task2[[คะแนนเต็ม]:[คะแนนเต็ม]]),"",(tbl_task2[63]/tbl_task2[[คะแนนเต็ม]:[คะแนนเต็ม]])*tbl_task2[[%]:[%]])</f>
        <v/>
      </c>
      <c r="HZ15" s="121" t="str">
        <f>IF(ISBLANK(tbl_task2[[คะแนนเต็ม]:[คะแนนเต็ม]]),"",(tbl_task2[64]/tbl_task2[[คะแนนเต็ม]:[คะแนนเต็ม]])*tbl_task2[[%]:[%]])</f>
        <v/>
      </c>
      <c r="IA15" s="121" t="str">
        <f>IF(ISBLANK(tbl_task2[[คะแนนเต็ม]:[คะแนนเต็ม]]),"",(tbl_task2[65]/tbl_task2[[คะแนนเต็ม]:[คะแนนเต็ม]])*tbl_task2[[%]:[%]])</f>
        <v/>
      </c>
      <c r="IB15" s="121" t="str">
        <f>IF(ISBLANK(tbl_task2[[คะแนนเต็ม]:[คะแนนเต็ม]]),"",(tbl_task2[66]/tbl_task2[[คะแนนเต็ม]:[คะแนนเต็ม]])*tbl_task2[[%]:[%]])</f>
        <v/>
      </c>
      <c r="IC15" s="121" t="str">
        <f>IF(ISBLANK(tbl_task2[[คะแนนเต็ม]:[คะแนนเต็ม]]),"",(tbl_task2[67]/tbl_task2[[คะแนนเต็ม]:[คะแนนเต็ม]])*tbl_task2[[%]:[%]])</f>
        <v/>
      </c>
      <c r="ID15" s="121" t="str">
        <f>IF(ISBLANK(tbl_task2[[คะแนนเต็ม]:[คะแนนเต็ม]]),"",(tbl_task2[68]/tbl_task2[[คะแนนเต็ม]:[คะแนนเต็ม]])*tbl_task2[[%]:[%]])</f>
        <v/>
      </c>
      <c r="IE15" s="121" t="str">
        <f>IF(ISBLANK(tbl_task2[[คะแนนเต็ม]:[คะแนนเต็ม]]),"",(tbl_task2[69]/tbl_task2[[คะแนนเต็ม]:[คะแนนเต็ม]])*tbl_task2[[%]:[%]])</f>
        <v/>
      </c>
      <c r="IF15" s="121" t="str">
        <f>IF(ISBLANK(tbl_task2[[คะแนนเต็ม]:[คะแนนเต็ม]]),"",(tbl_task2[70]/tbl_task2[[คะแนนเต็ม]:[คะแนนเต็ม]])*tbl_task2[[%]:[%]])</f>
        <v/>
      </c>
      <c r="IG15" s="121" t="str">
        <f>IF(ISBLANK(tbl_task2[[คะแนนเต็ม]:[คะแนนเต็ม]]),"",(tbl_task2[71]/tbl_task2[[คะแนนเต็ม]:[คะแนนเต็ม]])*tbl_task2[[%]:[%]])</f>
        <v/>
      </c>
      <c r="IH15" s="121" t="str">
        <f>IF(ISBLANK(tbl_task2[[คะแนนเต็ม]:[คะแนนเต็ม]]),"",(tbl_task2[72]/tbl_task2[[คะแนนเต็ม]:[คะแนนเต็ม]])*tbl_task2[[%]:[%]])</f>
        <v/>
      </c>
      <c r="II15" s="121" t="str">
        <f>IF(ISBLANK(tbl_task2[[คะแนนเต็ม]:[คะแนนเต็ม]]),"",(tbl_task2[73]/tbl_task2[[คะแนนเต็ม]:[คะแนนเต็ม]])*tbl_task2[[%]:[%]])</f>
        <v/>
      </c>
      <c r="IJ15" s="121" t="str">
        <f>IF(ISBLANK(tbl_task2[[คะแนนเต็ม]:[คะแนนเต็ม]]),"",(tbl_task2[74]/tbl_task2[[คะแนนเต็ม]:[คะแนนเต็ม]])*tbl_task2[[%]:[%]])</f>
        <v/>
      </c>
      <c r="IK15" s="121" t="str">
        <f>IF(ISBLANK(tbl_task2[[คะแนนเต็ม]:[คะแนนเต็ม]]),"",(tbl_task2[75]/tbl_task2[[คะแนนเต็ม]:[คะแนนเต็ม]])*tbl_task2[[%]:[%]])</f>
        <v/>
      </c>
      <c r="IL15" s="121" t="str">
        <f>IF(ISBLANK(tbl_task2[[คะแนนเต็ม]:[คะแนนเต็ม]]),"",(tbl_task2[76]/tbl_task2[[คะแนนเต็ม]:[คะแนนเต็ม]])*tbl_task2[[%]:[%]])</f>
        <v/>
      </c>
      <c r="IM15" s="121" t="str">
        <f>IF(ISBLANK(tbl_task2[[คะแนนเต็ม]:[คะแนนเต็ม]]),"",(tbl_task2[77]/tbl_task2[[คะแนนเต็ม]:[คะแนนเต็ม]])*tbl_task2[[%]:[%]])</f>
        <v/>
      </c>
      <c r="IN15" s="121" t="str">
        <f>IF(ISBLANK(tbl_task2[[คะแนนเต็ม]:[คะแนนเต็ม]]),"",(tbl_task2[78]/tbl_task2[[คะแนนเต็ม]:[คะแนนเต็ม]])*tbl_task2[[%]:[%]])</f>
        <v/>
      </c>
      <c r="IO15" s="121" t="str">
        <f>IF(ISBLANK(tbl_task2[[คะแนนเต็ม]:[คะแนนเต็ม]]),"",(tbl_task2[79]/tbl_task2[[คะแนนเต็ม]:[คะแนนเต็ม]])*tbl_task2[[%]:[%]])</f>
        <v/>
      </c>
      <c r="IP15" s="121" t="str">
        <f>IF(ISBLANK(tbl_task2[[คะแนนเต็ม]:[คะแนนเต็ม]]),"",(tbl_task2[80]/tbl_task2[[คะแนนเต็ม]:[คะแนนเต็ม]])*tbl_task2[[%]:[%]])</f>
        <v/>
      </c>
      <c r="IQ15" s="121" t="str">
        <f>IF(ISBLANK(tbl_task2[[คะแนนเต็ม]:[คะแนนเต็ม]]),"",(tbl_task2[81]/tbl_task2[[คะแนนเต็ม]:[คะแนนเต็ม]])*tbl_task2[[%]:[%]])</f>
        <v/>
      </c>
      <c r="IR15" s="121" t="str">
        <f>IF(ISBLANK(tbl_task2[[คะแนนเต็ม]:[คะแนนเต็ม]]),"",(tbl_task2[82]/tbl_task2[[คะแนนเต็ม]:[คะแนนเต็ม]])*tbl_task2[[%]:[%]])</f>
        <v/>
      </c>
      <c r="IS15" s="121" t="str">
        <f>IF(ISBLANK(tbl_task2[[คะแนนเต็ม]:[คะแนนเต็ม]]),"",(tbl_task2[83]/tbl_task2[[คะแนนเต็ม]:[คะแนนเต็ม]])*tbl_task2[[%]:[%]])</f>
        <v/>
      </c>
      <c r="IT15" s="121" t="str">
        <f>IF(ISBLANK(tbl_task2[[คะแนนเต็ม]:[คะแนนเต็ม]]),"",(tbl_task2[84]/tbl_task2[[คะแนนเต็ม]:[คะแนนเต็ม]])*tbl_task2[[%]:[%]])</f>
        <v/>
      </c>
      <c r="IU15" s="121" t="str">
        <f>IF(ISBLANK(tbl_task2[[คะแนนเต็ม]:[คะแนนเต็ม]]),"",(tbl_task2[85]/tbl_task2[[คะแนนเต็ม]:[คะแนนเต็ม]])*tbl_task2[[%]:[%]])</f>
        <v/>
      </c>
      <c r="IV15" s="121" t="str">
        <f>IF(ISBLANK(tbl_task2[[คะแนนเต็ม]:[คะแนนเต็ม]]),"",(tbl_task2[86]/tbl_task2[[คะแนนเต็ม]:[คะแนนเต็ม]])*tbl_task2[[%]:[%]])</f>
        <v/>
      </c>
      <c r="IW15" s="121" t="str">
        <f>IF(ISBLANK(tbl_task2[[คะแนนเต็ม]:[คะแนนเต็ม]]),"",(tbl_task2[87]/tbl_task2[[คะแนนเต็ม]:[คะแนนเต็ม]])*tbl_task2[[%]:[%]])</f>
        <v/>
      </c>
      <c r="IX15" s="121" t="str">
        <f>IF(ISBLANK(tbl_task2[[คะแนนเต็ม]:[คะแนนเต็ม]]),"",(tbl_task2[88]/tbl_task2[[คะแนนเต็ม]:[คะแนนเต็ม]])*tbl_task2[[%]:[%]])</f>
        <v/>
      </c>
      <c r="IY15" s="121" t="str">
        <f>IF(ISBLANK(tbl_task2[[คะแนนเต็ม]:[คะแนนเต็ม]]),"",(tbl_task2[89]/tbl_task2[[คะแนนเต็ม]:[คะแนนเต็ม]])*tbl_task2[[%]:[%]])</f>
        <v/>
      </c>
      <c r="IZ15" s="121" t="str">
        <f>IF(ISBLANK(tbl_task2[[คะแนนเต็ม]:[คะแนนเต็ม]]),"",(tbl_task2[90]/tbl_task2[[คะแนนเต็ม]:[คะแนนเต็ม]])*tbl_task2[[%]:[%]])</f>
        <v/>
      </c>
      <c r="JA15" s="121" t="str">
        <f>IF(ISBLANK(tbl_task2[[คะแนนเต็ม]:[คะแนนเต็ม]]),"",(tbl_task2[91]/tbl_task2[[คะแนนเต็ม]:[คะแนนเต็ม]])*tbl_task2[[%]:[%]])</f>
        <v/>
      </c>
      <c r="JB15" s="121" t="str">
        <f>IF(ISBLANK(tbl_task2[[คะแนนเต็ม]:[คะแนนเต็ม]]),"",(tbl_task2[92]/tbl_task2[[คะแนนเต็ม]:[คะแนนเต็ม]])*tbl_task2[[%]:[%]])</f>
        <v/>
      </c>
      <c r="JC15" s="121" t="str">
        <f>IF(ISBLANK(tbl_task2[[คะแนนเต็ม]:[คะแนนเต็ม]]),"",(tbl_task2[93]/tbl_task2[[คะแนนเต็ม]:[คะแนนเต็ม]])*tbl_task2[[%]:[%]])</f>
        <v/>
      </c>
      <c r="JD15" s="121" t="str">
        <f>IF(ISBLANK(tbl_task2[[คะแนนเต็ม]:[คะแนนเต็ม]]),"",(tbl_task2[94]/tbl_task2[[คะแนนเต็ม]:[คะแนนเต็ม]])*tbl_task2[[%]:[%]])</f>
        <v/>
      </c>
      <c r="JE15" s="121" t="str">
        <f>IF(ISBLANK(tbl_task2[[คะแนนเต็ม]:[คะแนนเต็ม]]),"",(tbl_task2[95]/tbl_task2[[คะแนนเต็ม]:[คะแนนเต็ม]])*tbl_task2[[%]:[%]])</f>
        <v/>
      </c>
      <c r="JF15" s="121" t="str">
        <f>IF(ISBLANK(tbl_task2[[คะแนนเต็ม]:[คะแนนเต็ม]]),"",(tbl_task2[96]/tbl_task2[[คะแนนเต็ม]:[คะแนนเต็ม]])*tbl_task2[[%]:[%]])</f>
        <v/>
      </c>
      <c r="JG15" s="121" t="str">
        <f>IF(ISBLANK(tbl_task2[[คะแนนเต็ม]:[คะแนนเต็ม]]),"",(tbl_task2[97]/tbl_task2[[คะแนนเต็ม]:[คะแนนเต็ม]])*tbl_task2[[%]:[%]])</f>
        <v/>
      </c>
      <c r="JH15" s="121" t="str">
        <f>IF(ISBLANK(tbl_task2[[คะแนนเต็ม]:[คะแนนเต็ม]]),"",(tbl_task2[98]/tbl_task2[[คะแนนเต็ม]:[คะแนนเต็ม]])*tbl_task2[[%]:[%]])</f>
        <v/>
      </c>
      <c r="JI15" s="121" t="str">
        <f>IF(ISBLANK(tbl_task2[[คะแนนเต็ม]:[คะแนนเต็ม]]),"",(tbl_task2[99]/tbl_task2[[คะแนนเต็ม]:[คะแนนเต็ม]])*tbl_task2[[%]:[%]])</f>
        <v/>
      </c>
      <c r="JJ15" s="121" t="str">
        <f>IF(ISBLANK(tbl_task2[[คะแนนเต็ม]:[คะแนนเต็ม]]),"",(tbl_task2[100]/tbl_task2[[คะแนนเต็ม]:[คะแนนเต็ม]])*tbl_task2[[%]:[%]])</f>
        <v/>
      </c>
      <c r="JK15" s="121" t="str">
        <f>IF(ISBLANK(tbl_task2[[คะแนนเต็ม]:[คะแนนเต็ม]]),"",(tbl_task2[101]/tbl_task2[[คะแนนเต็ม]:[คะแนนเต็ม]])*tbl_task2[[%]:[%]])</f>
        <v/>
      </c>
      <c r="JL15" s="121" t="str">
        <f>IF(ISBLANK(tbl_task2[[คะแนนเต็ม]:[คะแนนเต็ม]]),"",(tbl_task2[102]/tbl_task2[[คะแนนเต็ม]:[คะแนนเต็ม]])*tbl_task2[[%]:[%]])</f>
        <v/>
      </c>
      <c r="JM15" s="121" t="str">
        <f>IF(ISBLANK(tbl_task2[[คะแนนเต็ม]:[คะแนนเต็ม]]),"",(tbl_task2[103]/tbl_task2[[คะแนนเต็ม]:[คะแนนเต็ม]])*tbl_task2[[%]:[%]])</f>
        <v/>
      </c>
      <c r="JN15" s="121" t="str">
        <f>IF(ISBLANK(tbl_task2[[คะแนนเต็ม]:[คะแนนเต็ม]]),"",(tbl_task2[104]/tbl_task2[[คะแนนเต็ม]:[คะแนนเต็ม]])*tbl_task2[[%]:[%]])</f>
        <v/>
      </c>
      <c r="JO15" s="121" t="str">
        <f>IF(ISBLANK(tbl_task2[[คะแนนเต็ม]:[คะแนนเต็ม]]),"",(tbl_task2[105]/tbl_task2[[คะแนนเต็ม]:[คะแนนเต็ม]])*tbl_task2[[%]:[%]])</f>
        <v/>
      </c>
      <c r="JP15" s="121" t="str">
        <f>IF(ISBLANK(tbl_task2[[คะแนนเต็ม]:[คะแนนเต็ม]]),"",(tbl_task2[106]/tbl_task2[[คะแนนเต็ม]:[คะแนนเต็ม]])*tbl_task2[[%]:[%]])</f>
        <v/>
      </c>
      <c r="JQ15" s="121" t="str">
        <f>IF(ISBLANK(tbl_task2[[คะแนนเต็ม]:[คะแนนเต็ม]]),"",(tbl_task2[107]/tbl_task2[[คะแนนเต็ม]:[คะแนนเต็ม]])*tbl_task2[[%]:[%]])</f>
        <v/>
      </c>
      <c r="JR15" s="121" t="str">
        <f>IF(ISBLANK(tbl_task2[[คะแนนเต็ม]:[คะแนนเต็ม]]),"",(tbl_task2[108]/tbl_task2[[คะแนนเต็ม]:[คะแนนเต็ม]])*tbl_task2[[%]:[%]])</f>
        <v/>
      </c>
      <c r="JS15" s="121" t="str">
        <f>IF(ISBLANK(tbl_task2[[คะแนนเต็ม]:[คะแนนเต็ม]]),"",(tbl_task2[109]/tbl_task2[[คะแนนเต็ม]:[คะแนนเต็ม]])*tbl_task2[[%]:[%]])</f>
        <v/>
      </c>
      <c r="JT15" s="121" t="str">
        <f>IF(ISBLANK(tbl_task2[[คะแนนเต็ม]:[คะแนนเต็ม]]),"",(tbl_task2[110]/tbl_task2[[คะแนนเต็ม]:[คะแนนเต็ม]])*tbl_task2[[%]:[%]])</f>
        <v/>
      </c>
      <c r="JU15" s="121" t="str">
        <f>IF(ISBLANK(tbl_task2[[คะแนนเต็ม]:[คะแนนเต็ม]]),"",(tbl_task2[111]/tbl_task2[[คะแนนเต็ม]:[คะแนนเต็ม]])*tbl_task2[[%]:[%]])</f>
        <v/>
      </c>
      <c r="JV15" s="121" t="str">
        <f>IF(ISBLANK(tbl_task2[[คะแนนเต็ม]:[คะแนนเต็ม]]),"",(tbl_task2[112]/tbl_task2[[คะแนนเต็ม]:[คะแนนเต็ม]])*tbl_task2[[%]:[%]])</f>
        <v/>
      </c>
      <c r="JW15" s="121" t="str">
        <f>IF(ISBLANK(tbl_task2[[คะแนนเต็ม]:[คะแนนเต็ม]]),"",(tbl_task2[113]/tbl_task2[[คะแนนเต็ม]:[คะแนนเต็ม]])*tbl_task2[[%]:[%]])</f>
        <v/>
      </c>
      <c r="JX15" s="121" t="str">
        <f>IF(ISBLANK(tbl_task2[[คะแนนเต็ม]:[คะแนนเต็ม]]),"",(tbl_task2[114]/tbl_task2[[คะแนนเต็ม]:[คะแนนเต็ม]])*tbl_task2[[%]:[%]])</f>
        <v/>
      </c>
      <c r="JY15" s="121" t="str">
        <f>IF(ISBLANK(tbl_task2[[คะแนนเต็ม]:[คะแนนเต็ม]]),"",(tbl_task2[115]/tbl_task2[[คะแนนเต็ม]:[คะแนนเต็ม]])*tbl_task2[[%]:[%]])</f>
        <v/>
      </c>
      <c r="JZ15" s="121" t="str">
        <f>IF(ISBLANK(tbl_task2[[คะแนนเต็ม]:[คะแนนเต็ม]]),"",(tbl_task2[116]/tbl_task2[[คะแนนเต็ม]:[คะแนนเต็ม]])*tbl_task2[[%]:[%]])</f>
        <v/>
      </c>
      <c r="KA15" s="121" t="str">
        <f>IF(ISBLANK(tbl_task2[[คะแนนเต็ม]:[คะแนนเต็ม]]),"",(tbl_task2[117]/tbl_task2[[คะแนนเต็ม]:[คะแนนเต็ม]])*tbl_task2[[%]:[%]])</f>
        <v/>
      </c>
      <c r="KB15" s="121" t="str">
        <f>IF(ISBLANK(tbl_task2[[คะแนนเต็ม]:[คะแนนเต็ม]]),"",(tbl_task2[118]/tbl_task2[[คะแนนเต็ม]:[คะแนนเต็ม]])*tbl_task2[[%]:[%]])</f>
        <v/>
      </c>
      <c r="KC15" s="121" t="str">
        <f>IF(ISBLANK(tbl_task2[[คะแนนเต็ม]:[คะแนนเต็ม]]),"",(tbl_task2[119]/tbl_task2[[คะแนนเต็ม]:[คะแนนเต็ม]])*tbl_task2[[%]:[%]])</f>
        <v/>
      </c>
      <c r="KD15" s="121" t="str">
        <f>IF(ISBLANK(tbl_task2[[คะแนนเต็ม]:[คะแนนเต็ม]]),"",(tbl_task2[120]/tbl_task2[[คะแนนเต็ม]:[คะแนนเต็ม]])*tbl_task2[[%]:[%]])</f>
        <v/>
      </c>
      <c r="KE15" s="121" t="str">
        <f>IF(ISBLANK(tbl_task2[[คะแนนเต็ม]:[คะแนนเต็ม]]),"",(tbl_task2[121]/tbl_task2[[คะแนนเต็ม]:[คะแนนเต็ม]])*tbl_task2[[%]:[%]])</f>
        <v/>
      </c>
      <c r="KF15" s="121" t="str">
        <f>IF(ISBLANK(tbl_task2[[คะแนนเต็ม]:[คะแนนเต็ม]]),"",(tbl_task2[122]/tbl_task2[[คะแนนเต็ม]:[คะแนนเต็ม]])*tbl_task2[[%]:[%]])</f>
        <v/>
      </c>
      <c r="KG15" s="121" t="str">
        <f>IF(ISBLANK(tbl_task2[[คะแนนเต็ม]:[คะแนนเต็ม]]),"",(tbl_task2[123]/tbl_task2[[คะแนนเต็ม]:[คะแนนเต็ม]])*tbl_task2[[%]:[%]])</f>
        <v/>
      </c>
      <c r="KH15" s="121" t="str">
        <f>IF(ISBLANK(tbl_task2[[คะแนนเต็ม]:[คะแนนเต็ม]]),"",(tbl_task2[124]/tbl_task2[[คะแนนเต็ม]:[คะแนนเต็ม]])*tbl_task2[[%]:[%]])</f>
        <v/>
      </c>
      <c r="KI15" s="121" t="str">
        <f>IF(ISBLANK(tbl_task2[[คะแนนเต็ม]:[คะแนนเต็ม]]),"",(tbl_task2[125]/tbl_task2[[คะแนนเต็ม]:[คะแนนเต็ม]])*tbl_task2[[%]:[%]])</f>
        <v/>
      </c>
      <c r="KJ15" s="121" t="str">
        <f>IF(ISBLANK(tbl_task2[[คะแนนเต็ม]:[คะแนนเต็ม]]),"",(tbl_task2[126]/tbl_task2[[คะแนนเต็ม]:[คะแนนเต็ม]])*tbl_task2[[%]:[%]])</f>
        <v/>
      </c>
      <c r="KK15" s="121" t="str">
        <f>IF(ISBLANK(tbl_task2[[คะแนนเต็ม]:[คะแนนเต็ม]]),"",(tbl_task2[127]/tbl_task2[[คะแนนเต็ม]:[คะแนนเต็ม]])*tbl_task2[[%]:[%]])</f>
        <v/>
      </c>
      <c r="KL15" s="121" t="str">
        <f>IF(ISBLANK(tbl_task2[[คะแนนเต็ม]:[คะแนนเต็ม]]),"",(tbl_task2[128]/tbl_task2[[คะแนนเต็ม]:[คะแนนเต็ม]])*tbl_task2[[%]:[%]])</f>
        <v/>
      </c>
      <c r="KM15" s="121" t="str">
        <f>IF(ISBLANK(tbl_task2[[คะแนนเต็ม]:[คะแนนเต็ม]]),"",(tbl_task2[129]/tbl_task2[[คะแนนเต็ม]:[คะแนนเต็ม]])*tbl_task2[[%]:[%]])</f>
        <v/>
      </c>
      <c r="KN15" s="121" t="str">
        <f>IF(ISBLANK(tbl_task2[[คะแนนเต็ม]:[คะแนนเต็ม]]),"",(tbl_task2[130]/tbl_task2[[คะแนนเต็ม]:[คะแนนเต็ม]])*tbl_task2[[%]:[%]])</f>
        <v/>
      </c>
      <c r="KO15" s="121" t="str">
        <f>IF(ISBLANK(tbl_task2[[คะแนนเต็ม]:[คะแนนเต็ม]]),"",(tbl_task2[131]/tbl_task2[[คะแนนเต็ม]:[คะแนนเต็ม]])*tbl_task2[[%]:[%]])</f>
        <v/>
      </c>
      <c r="KP15" s="121" t="str">
        <f>IF(ISBLANK(tbl_task2[[คะแนนเต็ม]:[คะแนนเต็ม]]),"",(tbl_task2[132]/tbl_task2[[คะแนนเต็ม]:[คะแนนเต็ม]])*tbl_task2[[%]:[%]])</f>
        <v/>
      </c>
      <c r="KQ15" s="121" t="str">
        <f>IF(ISBLANK(tbl_task2[[คะแนนเต็ม]:[คะแนนเต็ม]]),"",(tbl_task2[133]/tbl_task2[[คะแนนเต็ม]:[คะแนนเต็ม]])*tbl_task2[[%]:[%]])</f>
        <v/>
      </c>
      <c r="KR15" s="121" t="str">
        <f>IF(ISBLANK(tbl_task2[[คะแนนเต็ม]:[คะแนนเต็ม]]),"",(tbl_task2[134]/tbl_task2[[คะแนนเต็ม]:[คะแนนเต็ม]])*tbl_task2[[%]:[%]])</f>
        <v/>
      </c>
      <c r="KS15" s="121" t="str">
        <f>IF(ISBLANK(tbl_task2[[คะแนนเต็ม]:[คะแนนเต็ม]]),"",(tbl_task2[135]/tbl_task2[[คะแนนเต็ม]:[คะแนนเต็ม]])*tbl_task2[[%]:[%]])</f>
        <v/>
      </c>
      <c r="KT15" s="121" t="str">
        <f>IF(ISBLANK(tbl_task2[[คะแนนเต็ม]:[คะแนนเต็ม]]),"",(tbl_task2[136]/tbl_task2[[คะแนนเต็ม]:[คะแนนเต็ม]])*tbl_task2[[%]:[%]])</f>
        <v/>
      </c>
      <c r="KU15" s="121" t="str">
        <f>IF(ISBLANK(tbl_task2[[คะแนนเต็ม]:[คะแนนเต็ม]]),"",(tbl_task2[137]/tbl_task2[[คะแนนเต็ม]:[คะแนนเต็ม]])*tbl_task2[[%]:[%]])</f>
        <v/>
      </c>
      <c r="KV15" s="121" t="str">
        <f>IF(ISBLANK(tbl_task2[[คะแนนเต็ม]:[คะแนนเต็ม]]),"",(tbl_task2[138]/tbl_task2[[คะแนนเต็ม]:[คะแนนเต็ม]])*tbl_task2[[%]:[%]])</f>
        <v/>
      </c>
      <c r="KW15" s="121" t="str">
        <f>IF(ISBLANK(tbl_task2[[คะแนนเต็ม]:[คะแนนเต็ม]]),"",(tbl_task2[139]/tbl_task2[[คะแนนเต็ม]:[คะแนนเต็ม]])*tbl_task2[[%]:[%]])</f>
        <v/>
      </c>
      <c r="KX15" s="121" t="str">
        <f>IF(ISBLANK(tbl_task2[[คะแนนเต็ม]:[คะแนนเต็ม]]),"",(tbl_task2[140]/tbl_task2[[คะแนนเต็ม]:[คะแนนเต็ม]])*tbl_task2[[%]:[%]])</f>
        <v/>
      </c>
      <c r="KY15" s="121" t="str">
        <f>IF(ISBLANK(tbl_task2[[คะแนนเต็ม]:[คะแนนเต็ม]]),"",(tbl_task2[141]/tbl_task2[[คะแนนเต็ม]:[คะแนนเต็ม]])*tbl_task2[[%]:[%]])</f>
        <v/>
      </c>
      <c r="KZ15" s="121" t="str">
        <f>IF(ISBLANK(tbl_task2[[คะแนนเต็ม]:[คะแนนเต็ม]]),"",(tbl_task2[142]/tbl_task2[[คะแนนเต็ม]:[คะแนนเต็ม]])*tbl_task2[[%]:[%]])</f>
        <v/>
      </c>
      <c r="LA15" s="121" t="str">
        <f>IF(ISBLANK(tbl_task2[[คะแนนเต็ม]:[คะแนนเต็ม]]),"",(tbl_task2[143]/tbl_task2[[คะแนนเต็ม]:[คะแนนเต็ม]])*tbl_task2[[%]:[%]])</f>
        <v/>
      </c>
      <c r="LB15" s="121" t="str">
        <f>IF(ISBLANK(tbl_task2[[คะแนนเต็ม]:[คะแนนเต็ม]]),"",(tbl_task2[144]/tbl_task2[[คะแนนเต็ม]:[คะแนนเต็ม]])*tbl_task2[[%]:[%]])</f>
        <v/>
      </c>
      <c r="LC15" s="121" t="str">
        <f>IF(ISBLANK(tbl_task2[[คะแนนเต็ม]:[คะแนนเต็ม]]),"",(tbl_task2[145]/tbl_task2[[คะแนนเต็ม]:[คะแนนเต็ม]])*tbl_task2[[%]:[%]])</f>
        <v/>
      </c>
      <c r="LD15" s="121" t="str">
        <f>IF(ISBLANK(tbl_task2[[คะแนนเต็ม]:[คะแนนเต็ม]]),"",(tbl_task2[146]/tbl_task2[[คะแนนเต็ม]:[คะแนนเต็ม]])*tbl_task2[[%]:[%]])</f>
        <v/>
      </c>
      <c r="LE15" s="121" t="str">
        <f>IF(ISBLANK(tbl_task2[[คะแนนเต็ม]:[คะแนนเต็ม]]),"",(tbl_task2[147]/tbl_task2[[คะแนนเต็ม]:[คะแนนเต็ม]])*tbl_task2[[%]:[%]])</f>
        <v/>
      </c>
      <c r="LF15" s="121" t="str">
        <f>IF(ISBLANK(tbl_task2[[คะแนนเต็ม]:[คะแนนเต็ม]]),"",(tbl_task2[148]/tbl_task2[[คะแนนเต็ม]:[คะแนนเต็ม]])*tbl_task2[[%]:[%]])</f>
        <v/>
      </c>
      <c r="LG15" s="121" t="str">
        <f>IF(ISBLANK(tbl_task2[[คะแนนเต็ม]:[คะแนนเต็ม]]),"",(tbl_task2[149]/tbl_task2[[คะแนนเต็ม]:[คะแนนเต็ม]])*tbl_task2[[%]:[%]])</f>
        <v/>
      </c>
      <c r="LH15" s="121" t="str">
        <f>IF(ISBLANK(tbl_task2[[คะแนนเต็ม]:[คะแนนเต็ม]]),"",(tbl_task2[150]/tbl_task2[[คะแนนเต็ม]:[คะแนนเต็ม]])*tbl_task2[[%]:[%]])</f>
        <v/>
      </c>
      <c r="LI15" s="121" t="str">
        <f>IF(ISBLANK(tbl_task2[[คะแนนเต็ม]:[คะแนนเต็ม]]),"",(tbl_task2[151]/tbl_task2[[คะแนนเต็ม]:[คะแนนเต็ม]])*tbl_task2[[%]:[%]])</f>
        <v/>
      </c>
      <c r="LJ15" s="121" t="str">
        <f>IF(ISBLANK(tbl_task2[[คะแนนเต็ม]:[คะแนนเต็ม]]),"",(tbl_task2[152]/tbl_task2[[คะแนนเต็ม]:[คะแนนเต็ม]])*tbl_task2[[%]:[%]])</f>
        <v/>
      </c>
      <c r="LK15" s="121" t="str">
        <f>IF(ISBLANK(tbl_task2[[คะแนนเต็ม]:[คะแนนเต็ม]]),"",(tbl_task2[153]/tbl_task2[[คะแนนเต็ม]:[คะแนนเต็ม]])*tbl_task2[[%]:[%]])</f>
        <v/>
      </c>
      <c r="LL15" s="121" t="str">
        <f>IF(ISBLANK(tbl_task2[[คะแนนเต็ม]:[คะแนนเต็ม]]),"",(tbl_task2[154]/tbl_task2[[คะแนนเต็ม]:[คะแนนเต็ม]])*tbl_task2[[%]:[%]])</f>
        <v/>
      </c>
      <c r="LM15" s="121" t="str">
        <f>IF(ISBLANK(tbl_task2[[คะแนนเต็ม]:[คะแนนเต็ม]]),"",(tbl_task2[155]/tbl_task2[[คะแนนเต็ม]:[คะแนนเต็ม]])*tbl_task2[[%]:[%]])</f>
        <v/>
      </c>
      <c r="LN15" s="121" t="str">
        <f>IF(ISBLANK(tbl_task2[[คะแนนเต็ม]:[คะแนนเต็ม]]),"",(tbl_task2[156]/tbl_task2[[คะแนนเต็ม]:[คะแนนเต็ม]])*tbl_task2[[%]:[%]])</f>
        <v/>
      </c>
      <c r="LO15" s="121" t="str">
        <f>IF(ISBLANK(tbl_task2[[คะแนนเต็ม]:[คะแนนเต็ม]]),"",(tbl_task2[157]/tbl_task2[[คะแนนเต็ม]:[คะแนนเต็ม]])*tbl_task2[[%]:[%]])</f>
        <v/>
      </c>
      <c r="LP15" s="121" t="str">
        <f>IF(ISBLANK(tbl_task2[[คะแนนเต็ม]:[คะแนนเต็ม]]),"",(tbl_task2[158]/tbl_task2[[คะแนนเต็ม]:[คะแนนเต็ม]])*tbl_task2[[%]:[%]])</f>
        <v/>
      </c>
      <c r="LQ15" s="121" t="str">
        <f>IF(ISBLANK(tbl_task2[[คะแนนเต็ม]:[คะแนนเต็ม]]),"",(tbl_task2[159]/tbl_task2[[คะแนนเต็ม]:[คะแนนเต็ม]])*tbl_task2[[%]:[%]])</f>
        <v/>
      </c>
      <c r="LR15" s="121" t="str">
        <f>IF(ISBLANK(tbl_task2[[คะแนนเต็ม]:[คะแนนเต็ม]]),"",(tbl_task2[160]/tbl_task2[[คะแนนเต็ม]:[คะแนนเต็ม]])*tbl_task2[[%]:[%]])</f>
        <v/>
      </c>
      <c r="LS15" s="121" t="str">
        <f>IF(ISBLANK(tbl_task2[[คะแนนเต็ม]:[คะแนนเต็ม]]),"",(tbl_task2[161]/tbl_task2[[คะแนนเต็ม]:[คะแนนเต็ม]])*tbl_task2[[%]:[%]])</f>
        <v/>
      </c>
      <c r="LT15" s="121" t="str">
        <f>IF(ISBLANK(tbl_task2[[คะแนนเต็ม]:[คะแนนเต็ม]]),"",(tbl_task2[162]/tbl_task2[[คะแนนเต็ม]:[คะแนนเต็ม]])*tbl_task2[[%]:[%]])</f>
        <v/>
      </c>
      <c r="LU15" s="121" t="str">
        <f>IF(ISBLANK(tbl_task2[[คะแนนเต็ม]:[คะแนนเต็ม]]),"",(tbl_task2[163]/tbl_task2[[คะแนนเต็ม]:[คะแนนเต็ม]])*tbl_task2[[%]:[%]])</f>
        <v/>
      </c>
      <c r="LV15" s="121" t="str">
        <f>IF(ISBLANK(tbl_task2[[คะแนนเต็ม]:[คะแนนเต็ม]]),"",(tbl_task2[164]/tbl_task2[[คะแนนเต็ม]:[คะแนนเต็ม]])*tbl_task2[[%]:[%]])</f>
        <v/>
      </c>
      <c r="LW15" s="121" t="str">
        <f>IF(ISBLANK(tbl_task2[[คะแนนเต็ม]:[คะแนนเต็ม]]),"",(tbl_task2[165]/tbl_task2[[คะแนนเต็ม]:[คะแนนเต็ม]])*tbl_task2[[%]:[%]])</f>
        <v/>
      </c>
    </row>
    <row r="16" spans="1:335" ht="24" customHeight="1" x14ac:dyDescent="0.25">
      <c r="A16" s="24">
        <v>13</v>
      </c>
      <c r="B16" s="20"/>
      <c r="C16" s="5" t="str">
        <f>IF(ISBLANK(B16),"",VLOOKUP(B16,tbl_PLOs[],2,0))</f>
        <v/>
      </c>
      <c r="D16" s="102"/>
      <c r="E16" s="106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121" t="str">
        <f>IF(ISBLANK(tbl_task2[[คะแนนเต็ม]:[คะแนนเต็ม]]),"",(tbl_task2[1]/tbl_task2[[คะแนนเต็ม]:[คะแนนเต็ม]])*tbl_task2[[%]:[%]])</f>
        <v/>
      </c>
      <c r="FP16" s="121" t="str">
        <f>IF(ISBLANK(tbl_task2[[คะแนนเต็ม]:[คะแนนเต็ม]]),"",(tbl_task2[2]/tbl_task2[[คะแนนเต็ม]:[คะแนนเต็ม]])*tbl_task2[[%]:[%]])</f>
        <v/>
      </c>
      <c r="FQ16" s="121" t="str">
        <f>IF(ISBLANK(tbl_task2[[คะแนนเต็ม]:[คะแนนเต็ม]]),"",(tbl_task2[3]/tbl_task2[[คะแนนเต็ม]:[คะแนนเต็ม]])*tbl_task2[[%]:[%]])</f>
        <v/>
      </c>
      <c r="FR16" s="121" t="str">
        <f>IF(ISBLANK(tbl_task2[[คะแนนเต็ม]:[คะแนนเต็ม]]),"",(tbl_task2[4]/tbl_task2[[คะแนนเต็ม]:[คะแนนเต็ม]])*tbl_task2[[%]:[%]])</f>
        <v/>
      </c>
      <c r="FS16" s="121" t="str">
        <f>IF(ISBLANK(tbl_task2[[คะแนนเต็ม]:[คะแนนเต็ม]]),"",(tbl_task2[5]/tbl_task2[[คะแนนเต็ม]:[คะแนนเต็ม]])*tbl_task2[[%]:[%]])</f>
        <v/>
      </c>
      <c r="FT16" s="121" t="str">
        <f>IF(ISBLANK(tbl_task2[[คะแนนเต็ม]:[คะแนนเต็ม]]),"",(tbl_task2[6]/tbl_task2[[คะแนนเต็ม]:[คะแนนเต็ม]])*tbl_task2[[%]:[%]])</f>
        <v/>
      </c>
      <c r="FU16" s="121" t="str">
        <f>IF(ISBLANK(tbl_task2[[คะแนนเต็ม]:[คะแนนเต็ม]]),"",(tbl_task2[7]/tbl_task2[[คะแนนเต็ม]:[คะแนนเต็ม]])*tbl_task2[[%]:[%]])</f>
        <v/>
      </c>
      <c r="FV16" s="121" t="str">
        <f>IF(ISBLANK(tbl_task2[[คะแนนเต็ม]:[คะแนนเต็ม]]),"",(tbl_task2[8]/tbl_task2[[คะแนนเต็ม]:[คะแนนเต็ม]])*tbl_task2[[%]:[%]])</f>
        <v/>
      </c>
      <c r="FW16" s="121" t="str">
        <f>IF(ISBLANK(tbl_task2[[คะแนนเต็ม]:[คะแนนเต็ม]]),"",(tbl_task2[9]/tbl_task2[[คะแนนเต็ม]:[คะแนนเต็ม]])*tbl_task2[[%]:[%]])</f>
        <v/>
      </c>
      <c r="FX16" s="121" t="str">
        <f>IF(ISBLANK(tbl_task2[[คะแนนเต็ม]:[คะแนนเต็ม]]),"",(tbl_task2[10]/tbl_task2[[คะแนนเต็ม]:[คะแนนเต็ม]])*tbl_task2[[%]:[%]])</f>
        <v/>
      </c>
      <c r="FY16" s="121" t="str">
        <f>IF(ISBLANK(tbl_task2[[คะแนนเต็ม]:[คะแนนเต็ม]]),"",(tbl_task2[11]/tbl_task2[[คะแนนเต็ม]:[คะแนนเต็ม]])*tbl_task2[[%]:[%]])</f>
        <v/>
      </c>
      <c r="FZ16" s="121" t="str">
        <f>IF(ISBLANK(tbl_task2[[คะแนนเต็ม]:[คะแนนเต็ม]]),"",(tbl_task2[12]/tbl_task2[[คะแนนเต็ม]:[คะแนนเต็ม]])*tbl_task2[[%]:[%]])</f>
        <v/>
      </c>
      <c r="GA16" s="121" t="str">
        <f>IF(ISBLANK(tbl_task2[[คะแนนเต็ม]:[คะแนนเต็ม]]),"",(tbl_task2[13]/tbl_task2[[คะแนนเต็ม]:[คะแนนเต็ม]])*tbl_task2[[%]:[%]])</f>
        <v/>
      </c>
      <c r="GB16" s="121" t="str">
        <f>IF(ISBLANK(tbl_task2[[คะแนนเต็ม]:[คะแนนเต็ม]]),"",(tbl_task2[14]/tbl_task2[[คะแนนเต็ม]:[คะแนนเต็ม]])*tbl_task2[[%]:[%]])</f>
        <v/>
      </c>
      <c r="GC16" s="121" t="str">
        <f>IF(ISBLANK(tbl_task2[[คะแนนเต็ม]:[คะแนนเต็ม]]),"",(tbl_task2[15]/tbl_task2[[คะแนนเต็ม]:[คะแนนเต็ม]])*tbl_task2[[%]:[%]])</f>
        <v/>
      </c>
      <c r="GD16" s="121" t="str">
        <f>IF(ISBLANK(tbl_task2[[คะแนนเต็ม]:[คะแนนเต็ม]]),"",(tbl_task2[16]/tbl_task2[[คะแนนเต็ม]:[คะแนนเต็ม]])*tbl_task2[[%]:[%]])</f>
        <v/>
      </c>
      <c r="GE16" s="121" t="str">
        <f>IF(ISBLANK(tbl_task2[[คะแนนเต็ม]:[คะแนนเต็ม]]),"",(tbl_task2[17]/tbl_task2[[คะแนนเต็ม]:[คะแนนเต็ม]])*tbl_task2[[%]:[%]])</f>
        <v/>
      </c>
      <c r="GF16" s="121" t="str">
        <f>IF(ISBLANK(tbl_task2[[คะแนนเต็ม]:[คะแนนเต็ม]]),"",(tbl_task2[18]/tbl_task2[[คะแนนเต็ม]:[คะแนนเต็ม]])*tbl_task2[[%]:[%]])</f>
        <v/>
      </c>
      <c r="GG16" s="121" t="str">
        <f>IF(ISBLANK(tbl_task2[[คะแนนเต็ม]:[คะแนนเต็ม]]),"",(tbl_task2[19]/tbl_task2[[คะแนนเต็ม]:[คะแนนเต็ม]])*tbl_task2[[%]:[%]])</f>
        <v/>
      </c>
      <c r="GH16" s="121" t="str">
        <f>IF(ISBLANK(tbl_task2[[คะแนนเต็ม]:[คะแนนเต็ม]]),"",(tbl_task2[20]/tbl_task2[[คะแนนเต็ม]:[คะแนนเต็ม]])*tbl_task2[[%]:[%]])</f>
        <v/>
      </c>
      <c r="GI16" s="121" t="str">
        <f>IF(ISBLANK(tbl_task2[[คะแนนเต็ม]:[คะแนนเต็ม]]),"",(tbl_task2[21]/tbl_task2[[คะแนนเต็ม]:[คะแนนเต็ม]])*tbl_task2[[%]:[%]])</f>
        <v/>
      </c>
      <c r="GJ16" s="121" t="str">
        <f>IF(ISBLANK(tbl_task2[[คะแนนเต็ม]:[คะแนนเต็ม]]),"",(tbl_task2[22]/tbl_task2[[คะแนนเต็ม]:[คะแนนเต็ม]])*tbl_task2[[%]:[%]])</f>
        <v/>
      </c>
      <c r="GK16" s="121" t="str">
        <f>IF(ISBLANK(tbl_task2[[คะแนนเต็ม]:[คะแนนเต็ม]]),"",(tbl_task2[23]/tbl_task2[[คะแนนเต็ม]:[คะแนนเต็ม]])*tbl_task2[[%]:[%]])</f>
        <v/>
      </c>
      <c r="GL16" s="121" t="str">
        <f>IF(ISBLANK(tbl_task2[[คะแนนเต็ม]:[คะแนนเต็ม]]),"",(tbl_task2[24]/tbl_task2[[คะแนนเต็ม]:[คะแนนเต็ม]])*tbl_task2[[%]:[%]])</f>
        <v/>
      </c>
      <c r="GM16" s="121" t="str">
        <f>IF(ISBLANK(tbl_task2[[คะแนนเต็ม]:[คะแนนเต็ม]]),"",(tbl_task2[25]/tbl_task2[[คะแนนเต็ม]:[คะแนนเต็ม]])*tbl_task2[[%]:[%]])</f>
        <v/>
      </c>
      <c r="GN16" s="121" t="str">
        <f>IF(ISBLANK(tbl_task2[[คะแนนเต็ม]:[คะแนนเต็ม]]),"",(tbl_task2[26]/tbl_task2[[คะแนนเต็ม]:[คะแนนเต็ม]])*tbl_task2[[%]:[%]])</f>
        <v/>
      </c>
      <c r="GO16" s="121" t="str">
        <f>IF(ISBLANK(tbl_task2[[คะแนนเต็ม]:[คะแนนเต็ม]]),"",(tbl_task2[27]/tbl_task2[[คะแนนเต็ม]:[คะแนนเต็ม]])*tbl_task2[[%]:[%]])</f>
        <v/>
      </c>
      <c r="GP16" s="121" t="str">
        <f>IF(ISBLANK(tbl_task2[[คะแนนเต็ม]:[คะแนนเต็ม]]),"",(tbl_task2[28]/tbl_task2[[คะแนนเต็ม]:[คะแนนเต็ม]])*tbl_task2[[%]:[%]])</f>
        <v/>
      </c>
      <c r="GQ16" s="121" t="str">
        <f>IF(ISBLANK(tbl_task2[[คะแนนเต็ม]:[คะแนนเต็ม]]),"",(tbl_task2[29]/tbl_task2[[คะแนนเต็ม]:[คะแนนเต็ม]])*tbl_task2[[%]:[%]])</f>
        <v/>
      </c>
      <c r="GR16" s="121" t="str">
        <f>IF(ISBLANK(tbl_task2[[คะแนนเต็ม]:[คะแนนเต็ม]]),"",(tbl_task2[30]/tbl_task2[[คะแนนเต็ม]:[คะแนนเต็ม]])*tbl_task2[[%]:[%]])</f>
        <v/>
      </c>
      <c r="GS16" s="121" t="str">
        <f>IF(ISBLANK(tbl_task2[[คะแนนเต็ม]:[คะแนนเต็ม]]),"",(tbl_task2[31]/tbl_task2[[คะแนนเต็ม]:[คะแนนเต็ม]])*tbl_task2[[%]:[%]])</f>
        <v/>
      </c>
      <c r="GT16" s="121" t="str">
        <f>IF(ISBLANK(tbl_task2[[คะแนนเต็ม]:[คะแนนเต็ม]]),"",(tbl_task2[32]/tbl_task2[[คะแนนเต็ม]:[คะแนนเต็ม]])*tbl_task2[[%]:[%]])</f>
        <v/>
      </c>
      <c r="GU16" s="121" t="str">
        <f>IF(ISBLANK(tbl_task2[[คะแนนเต็ม]:[คะแนนเต็ม]]),"",(tbl_task2[33]/tbl_task2[[คะแนนเต็ม]:[คะแนนเต็ม]])*tbl_task2[[%]:[%]])</f>
        <v/>
      </c>
      <c r="GV16" s="121" t="str">
        <f>IF(ISBLANK(tbl_task2[[คะแนนเต็ม]:[คะแนนเต็ม]]),"",(tbl_task2[34]/tbl_task2[[คะแนนเต็ม]:[คะแนนเต็ม]])*tbl_task2[[%]:[%]])</f>
        <v/>
      </c>
      <c r="GW16" s="121" t="str">
        <f>IF(ISBLANK(tbl_task2[[คะแนนเต็ม]:[คะแนนเต็ม]]),"",(tbl_task2[35]/tbl_task2[[คะแนนเต็ม]:[คะแนนเต็ม]])*tbl_task2[[%]:[%]])</f>
        <v/>
      </c>
      <c r="GX16" s="121" t="str">
        <f>IF(ISBLANK(tbl_task2[[คะแนนเต็ม]:[คะแนนเต็ม]]),"",(tbl_task2[36]/tbl_task2[[คะแนนเต็ม]:[คะแนนเต็ม]])*tbl_task2[[%]:[%]])</f>
        <v/>
      </c>
      <c r="GY16" s="121" t="str">
        <f>IF(ISBLANK(tbl_task2[[คะแนนเต็ม]:[คะแนนเต็ม]]),"",(tbl_task2[37]/tbl_task2[[คะแนนเต็ม]:[คะแนนเต็ม]])*tbl_task2[[%]:[%]])</f>
        <v/>
      </c>
      <c r="GZ16" s="121" t="str">
        <f>IF(ISBLANK(tbl_task2[[คะแนนเต็ม]:[คะแนนเต็ม]]),"",(tbl_task2[38]/tbl_task2[[คะแนนเต็ม]:[คะแนนเต็ม]])*tbl_task2[[%]:[%]])</f>
        <v/>
      </c>
      <c r="HA16" s="121" t="str">
        <f>IF(ISBLANK(tbl_task2[[คะแนนเต็ม]:[คะแนนเต็ม]]),"",(tbl_task2[39]/tbl_task2[[คะแนนเต็ม]:[คะแนนเต็ม]])*tbl_task2[[%]:[%]])</f>
        <v/>
      </c>
      <c r="HB16" s="121" t="str">
        <f>IF(ISBLANK(tbl_task2[[คะแนนเต็ม]:[คะแนนเต็ม]]),"",(tbl_task2[40]/tbl_task2[[คะแนนเต็ม]:[คะแนนเต็ม]])*tbl_task2[[%]:[%]])</f>
        <v/>
      </c>
      <c r="HC16" s="121" t="str">
        <f>IF(ISBLANK(tbl_task2[[คะแนนเต็ม]:[คะแนนเต็ม]]),"",(tbl_task2[41]/tbl_task2[[คะแนนเต็ม]:[คะแนนเต็ม]])*tbl_task2[[%]:[%]])</f>
        <v/>
      </c>
      <c r="HD16" s="121" t="str">
        <f>IF(ISBLANK(tbl_task2[[คะแนนเต็ม]:[คะแนนเต็ม]]),"",(tbl_task2[42]/tbl_task2[[คะแนนเต็ม]:[คะแนนเต็ม]])*tbl_task2[[%]:[%]])</f>
        <v/>
      </c>
      <c r="HE16" s="121" t="str">
        <f>IF(ISBLANK(tbl_task2[[คะแนนเต็ม]:[คะแนนเต็ม]]),"",(tbl_task2[43]/tbl_task2[[คะแนนเต็ม]:[คะแนนเต็ม]])*tbl_task2[[%]:[%]])</f>
        <v/>
      </c>
      <c r="HF16" s="121" t="str">
        <f>IF(ISBLANK(tbl_task2[[คะแนนเต็ม]:[คะแนนเต็ม]]),"",(tbl_task2[44]/tbl_task2[[คะแนนเต็ม]:[คะแนนเต็ม]])*tbl_task2[[%]:[%]])</f>
        <v/>
      </c>
      <c r="HG16" s="121" t="str">
        <f>IF(ISBLANK(tbl_task2[[คะแนนเต็ม]:[คะแนนเต็ม]]),"",(tbl_task2[45]/tbl_task2[[คะแนนเต็ม]:[คะแนนเต็ม]])*tbl_task2[[%]:[%]])</f>
        <v/>
      </c>
      <c r="HH16" s="121" t="str">
        <f>IF(ISBLANK(tbl_task2[[คะแนนเต็ม]:[คะแนนเต็ม]]),"",(tbl_task2[46]/tbl_task2[[คะแนนเต็ม]:[คะแนนเต็ม]])*tbl_task2[[%]:[%]])</f>
        <v/>
      </c>
      <c r="HI16" s="121" t="str">
        <f>IF(ISBLANK(tbl_task2[[คะแนนเต็ม]:[คะแนนเต็ม]]),"",(tbl_task2[47]/tbl_task2[[คะแนนเต็ม]:[คะแนนเต็ม]])*tbl_task2[[%]:[%]])</f>
        <v/>
      </c>
      <c r="HJ16" s="121" t="str">
        <f>IF(ISBLANK(tbl_task2[[คะแนนเต็ม]:[คะแนนเต็ม]]),"",(tbl_task2[48]/tbl_task2[[คะแนนเต็ม]:[คะแนนเต็ม]])*tbl_task2[[%]:[%]])</f>
        <v/>
      </c>
      <c r="HK16" s="121" t="str">
        <f>IF(ISBLANK(tbl_task2[[คะแนนเต็ม]:[คะแนนเต็ม]]),"",(tbl_task2[49]/tbl_task2[[คะแนนเต็ม]:[คะแนนเต็ม]])*tbl_task2[[%]:[%]])</f>
        <v/>
      </c>
      <c r="HL16" s="121" t="str">
        <f>IF(ISBLANK(tbl_task2[[คะแนนเต็ม]:[คะแนนเต็ม]]),"",(tbl_task2[50]/tbl_task2[[คะแนนเต็ม]:[คะแนนเต็ม]])*tbl_task2[[%]:[%]])</f>
        <v/>
      </c>
      <c r="HM16" s="121" t="str">
        <f>IF(ISBLANK(tbl_task2[[คะแนนเต็ม]:[คะแนนเต็ม]]),"",(tbl_task2[51]/tbl_task2[[คะแนนเต็ม]:[คะแนนเต็ม]])*tbl_task2[[%]:[%]])</f>
        <v/>
      </c>
      <c r="HN16" s="121" t="str">
        <f>IF(ISBLANK(tbl_task2[[คะแนนเต็ม]:[คะแนนเต็ม]]),"",(tbl_task2[52]/tbl_task2[[คะแนนเต็ม]:[คะแนนเต็ม]])*tbl_task2[[%]:[%]])</f>
        <v/>
      </c>
      <c r="HO16" s="121" t="str">
        <f>IF(ISBLANK(tbl_task2[[คะแนนเต็ม]:[คะแนนเต็ม]]),"",(tbl_task2[53]/tbl_task2[[คะแนนเต็ม]:[คะแนนเต็ม]])*tbl_task2[[%]:[%]])</f>
        <v/>
      </c>
      <c r="HP16" s="121" t="str">
        <f>IF(ISBLANK(tbl_task2[[คะแนนเต็ม]:[คะแนนเต็ม]]),"",(tbl_task2[54]/tbl_task2[[คะแนนเต็ม]:[คะแนนเต็ม]])*tbl_task2[[%]:[%]])</f>
        <v/>
      </c>
      <c r="HQ16" s="121" t="str">
        <f>IF(ISBLANK(tbl_task2[[คะแนนเต็ม]:[คะแนนเต็ม]]),"",(tbl_task2[55]/tbl_task2[[คะแนนเต็ม]:[คะแนนเต็ม]])*tbl_task2[[%]:[%]])</f>
        <v/>
      </c>
      <c r="HR16" s="121" t="str">
        <f>IF(ISBLANK(tbl_task2[[คะแนนเต็ม]:[คะแนนเต็ม]]),"",(tbl_task2[56]/tbl_task2[[คะแนนเต็ม]:[คะแนนเต็ม]])*tbl_task2[[%]:[%]])</f>
        <v/>
      </c>
      <c r="HS16" s="121" t="str">
        <f>IF(ISBLANK(tbl_task2[[คะแนนเต็ม]:[คะแนนเต็ม]]),"",(tbl_task2[57]/tbl_task2[[คะแนนเต็ม]:[คะแนนเต็ม]])*tbl_task2[[%]:[%]])</f>
        <v/>
      </c>
      <c r="HT16" s="121" t="str">
        <f>IF(ISBLANK(tbl_task2[[คะแนนเต็ม]:[คะแนนเต็ม]]),"",(tbl_task2[58]/tbl_task2[[คะแนนเต็ม]:[คะแนนเต็ม]])*tbl_task2[[%]:[%]])</f>
        <v/>
      </c>
      <c r="HU16" s="121" t="str">
        <f>IF(ISBLANK(tbl_task2[[คะแนนเต็ม]:[คะแนนเต็ม]]),"",(tbl_task2[59]/tbl_task2[[คะแนนเต็ม]:[คะแนนเต็ม]])*tbl_task2[[%]:[%]])</f>
        <v/>
      </c>
      <c r="HV16" s="121" t="str">
        <f>IF(ISBLANK(tbl_task2[[คะแนนเต็ม]:[คะแนนเต็ม]]),"",(tbl_task2[60]/tbl_task2[[คะแนนเต็ม]:[คะแนนเต็ม]])*tbl_task2[[%]:[%]])</f>
        <v/>
      </c>
      <c r="HW16" s="121" t="str">
        <f>IF(ISBLANK(tbl_task2[[คะแนนเต็ม]:[คะแนนเต็ม]]),"",(tbl_task2[61]/tbl_task2[[คะแนนเต็ม]:[คะแนนเต็ม]])*tbl_task2[[%]:[%]])</f>
        <v/>
      </c>
      <c r="HX16" s="121" t="str">
        <f>IF(ISBLANK(tbl_task2[[คะแนนเต็ม]:[คะแนนเต็ม]]),"",(tbl_task2[62]/tbl_task2[[คะแนนเต็ม]:[คะแนนเต็ม]])*tbl_task2[[%]:[%]])</f>
        <v/>
      </c>
      <c r="HY16" s="121" t="str">
        <f>IF(ISBLANK(tbl_task2[[คะแนนเต็ม]:[คะแนนเต็ม]]),"",(tbl_task2[63]/tbl_task2[[คะแนนเต็ม]:[คะแนนเต็ม]])*tbl_task2[[%]:[%]])</f>
        <v/>
      </c>
      <c r="HZ16" s="121" t="str">
        <f>IF(ISBLANK(tbl_task2[[คะแนนเต็ม]:[คะแนนเต็ม]]),"",(tbl_task2[64]/tbl_task2[[คะแนนเต็ม]:[คะแนนเต็ม]])*tbl_task2[[%]:[%]])</f>
        <v/>
      </c>
      <c r="IA16" s="121" t="str">
        <f>IF(ISBLANK(tbl_task2[[คะแนนเต็ม]:[คะแนนเต็ม]]),"",(tbl_task2[65]/tbl_task2[[คะแนนเต็ม]:[คะแนนเต็ม]])*tbl_task2[[%]:[%]])</f>
        <v/>
      </c>
      <c r="IB16" s="121" t="str">
        <f>IF(ISBLANK(tbl_task2[[คะแนนเต็ม]:[คะแนนเต็ม]]),"",(tbl_task2[66]/tbl_task2[[คะแนนเต็ม]:[คะแนนเต็ม]])*tbl_task2[[%]:[%]])</f>
        <v/>
      </c>
      <c r="IC16" s="121" t="str">
        <f>IF(ISBLANK(tbl_task2[[คะแนนเต็ม]:[คะแนนเต็ม]]),"",(tbl_task2[67]/tbl_task2[[คะแนนเต็ม]:[คะแนนเต็ม]])*tbl_task2[[%]:[%]])</f>
        <v/>
      </c>
      <c r="ID16" s="121" t="str">
        <f>IF(ISBLANK(tbl_task2[[คะแนนเต็ม]:[คะแนนเต็ม]]),"",(tbl_task2[68]/tbl_task2[[คะแนนเต็ม]:[คะแนนเต็ม]])*tbl_task2[[%]:[%]])</f>
        <v/>
      </c>
      <c r="IE16" s="121" t="str">
        <f>IF(ISBLANK(tbl_task2[[คะแนนเต็ม]:[คะแนนเต็ม]]),"",(tbl_task2[69]/tbl_task2[[คะแนนเต็ม]:[คะแนนเต็ม]])*tbl_task2[[%]:[%]])</f>
        <v/>
      </c>
      <c r="IF16" s="121" t="str">
        <f>IF(ISBLANK(tbl_task2[[คะแนนเต็ม]:[คะแนนเต็ม]]),"",(tbl_task2[70]/tbl_task2[[คะแนนเต็ม]:[คะแนนเต็ม]])*tbl_task2[[%]:[%]])</f>
        <v/>
      </c>
      <c r="IG16" s="121" t="str">
        <f>IF(ISBLANK(tbl_task2[[คะแนนเต็ม]:[คะแนนเต็ม]]),"",(tbl_task2[71]/tbl_task2[[คะแนนเต็ม]:[คะแนนเต็ม]])*tbl_task2[[%]:[%]])</f>
        <v/>
      </c>
      <c r="IH16" s="121" t="str">
        <f>IF(ISBLANK(tbl_task2[[คะแนนเต็ม]:[คะแนนเต็ม]]),"",(tbl_task2[72]/tbl_task2[[คะแนนเต็ม]:[คะแนนเต็ม]])*tbl_task2[[%]:[%]])</f>
        <v/>
      </c>
      <c r="II16" s="121" t="str">
        <f>IF(ISBLANK(tbl_task2[[คะแนนเต็ม]:[คะแนนเต็ม]]),"",(tbl_task2[73]/tbl_task2[[คะแนนเต็ม]:[คะแนนเต็ม]])*tbl_task2[[%]:[%]])</f>
        <v/>
      </c>
      <c r="IJ16" s="121" t="str">
        <f>IF(ISBLANK(tbl_task2[[คะแนนเต็ม]:[คะแนนเต็ม]]),"",(tbl_task2[74]/tbl_task2[[คะแนนเต็ม]:[คะแนนเต็ม]])*tbl_task2[[%]:[%]])</f>
        <v/>
      </c>
      <c r="IK16" s="121" t="str">
        <f>IF(ISBLANK(tbl_task2[[คะแนนเต็ม]:[คะแนนเต็ม]]),"",(tbl_task2[75]/tbl_task2[[คะแนนเต็ม]:[คะแนนเต็ม]])*tbl_task2[[%]:[%]])</f>
        <v/>
      </c>
      <c r="IL16" s="121" t="str">
        <f>IF(ISBLANK(tbl_task2[[คะแนนเต็ม]:[คะแนนเต็ม]]),"",(tbl_task2[76]/tbl_task2[[คะแนนเต็ม]:[คะแนนเต็ม]])*tbl_task2[[%]:[%]])</f>
        <v/>
      </c>
      <c r="IM16" s="121" t="str">
        <f>IF(ISBLANK(tbl_task2[[คะแนนเต็ม]:[คะแนนเต็ม]]),"",(tbl_task2[77]/tbl_task2[[คะแนนเต็ม]:[คะแนนเต็ม]])*tbl_task2[[%]:[%]])</f>
        <v/>
      </c>
      <c r="IN16" s="121" t="str">
        <f>IF(ISBLANK(tbl_task2[[คะแนนเต็ม]:[คะแนนเต็ม]]),"",(tbl_task2[78]/tbl_task2[[คะแนนเต็ม]:[คะแนนเต็ม]])*tbl_task2[[%]:[%]])</f>
        <v/>
      </c>
      <c r="IO16" s="121" t="str">
        <f>IF(ISBLANK(tbl_task2[[คะแนนเต็ม]:[คะแนนเต็ม]]),"",(tbl_task2[79]/tbl_task2[[คะแนนเต็ม]:[คะแนนเต็ม]])*tbl_task2[[%]:[%]])</f>
        <v/>
      </c>
      <c r="IP16" s="121" t="str">
        <f>IF(ISBLANK(tbl_task2[[คะแนนเต็ม]:[คะแนนเต็ม]]),"",(tbl_task2[80]/tbl_task2[[คะแนนเต็ม]:[คะแนนเต็ม]])*tbl_task2[[%]:[%]])</f>
        <v/>
      </c>
      <c r="IQ16" s="121" t="str">
        <f>IF(ISBLANK(tbl_task2[[คะแนนเต็ม]:[คะแนนเต็ม]]),"",(tbl_task2[81]/tbl_task2[[คะแนนเต็ม]:[คะแนนเต็ม]])*tbl_task2[[%]:[%]])</f>
        <v/>
      </c>
      <c r="IR16" s="121" t="str">
        <f>IF(ISBLANK(tbl_task2[[คะแนนเต็ม]:[คะแนนเต็ม]]),"",(tbl_task2[82]/tbl_task2[[คะแนนเต็ม]:[คะแนนเต็ม]])*tbl_task2[[%]:[%]])</f>
        <v/>
      </c>
      <c r="IS16" s="121" t="str">
        <f>IF(ISBLANK(tbl_task2[[คะแนนเต็ม]:[คะแนนเต็ม]]),"",(tbl_task2[83]/tbl_task2[[คะแนนเต็ม]:[คะแนนเต็ม]])*tbl_task2[[%]:[%]])</f>
        <v/>
      </c>
      <c r="IT16" s="121" t="str">
        <f>IF(ISBLANK(tbl_task2[[คะแนนเต็ม]:[คะแนนเต็ม]]),"",(tbl_task2[84]/tbl_task2[[คะแนนเต็ม]:[คะแนนเต็ม]])*tbl_task2[[%]:[%]])</f>
        <v/>
      </c>
      <c r="IU16" s="121" t="str">
        <f>IF(ISBLANK(tbl_task2[[คะแนนเต็ม]:[คะแนนเต็ม]]),"",(tbl_task2[85]/tbl_task2[[คะแนนเต็ม]:[คะแนนเต็ม]])*tbl_task2[[%]:[%]])</f>
        <v/>
      </c>
      <c r="IV16" s="121" t="str">
        <f>IF(ISBLANK(tbl_task2[[คะแนนเต็ม]:[คะแนนเต็ม]]),"",(tbl_task2[86]/tbl_task2[[คะแนนเต็ม]:[คะแนนเต็ม]])*tbl_task2[[%]:[%]])</f>
        <v/>
      </c>
      <c r="IW16" s="121" t="str">
        <f>IF(ISBLANK(tbl_task2[[คะแนนเต็ม]:[คะแนนเต็ม]]),"",(tbl_task2[87]/tbl_task2[[คะแนนเต็ม]:[คะแนนเต็ม]])*tbl_task2[[%]:[%]])</f>
        <v/>
      </c>
      <c r="IX16" s="121" t="str">
        <f>IF(ISBLANK(tbl_task2[[คะแนนเต็ม]:[คะแนนเต็ม]]),"",(tbl_task2[88]/tbl_task2[[คะแนนเต็ม]:[คะแนนเต็ม]])*tbl_task2[[%]:[%]])</f>
        <v/>
      </c>
      <c r="IY16" s="121" t="str">
        <f>IF(ISBLANK(tbl_task2[[คะแนนเต็ม]:[คะแนนเต็ม]]),"",(tbl_task2[89]/tbl_task2[[คะแนนเต็ม]:[คะแนนเต็ม]])*tbl_task2[[%]:[%]])</f>
        <v/>
      </c>
      <c r="IZ16" s="121" t="str">
        <f>IF(ISBLANK(tbl_task2[[คะแนนเต็ม]:[คะแนนเต็ม]]),"",(tbl_task2[90]/tbl_task2[[คะแนนเต็ม]:[คะแนนเต็ม]])*tbl_task2[[%]:[%]])</f>
        <v/>
      </c>
      <c r="JA16" s="121" t="str">
        <f>IF(ISBLANK(tbl_task2[[คะแนนเต็ม]:[คะแนนเต็ม]]),"",(tbl_task2[91]/tbl_task2[[คะแนนเต็ม]:[คะแนนเต็ม]])*tbl_task2[[%]:[%]])</f>
        <v/>
      </c>
      <c r="JB16" s="121" t="str">
        <f>IF(ISBLANK(tbl_task2[[คะแนนเต็ม]:[คะแนนเต็ม]]),"",(tbl_task2[92]/tbl_task2[[คะแนนเต็ม]:[คะแนนเต็ม]])*tbl_task2[[%]:[%]])</f>
        <v/>
      </c>
      <c r="JC16" s="121" t="str">
        <f>IF(ISBLANK(tbl_task2[[คะแนนเต็ม]:[คะแนนเต็ม]]),"",(tbl_task2[93]/tbl_task2[[คะแนนเต็ม]:[คะแนนเต็ม]])*tbl_task2[[%]:[%]])</f>
        <v/>
      </c>
      <c r="JD16" s="121" t="str">
        <f>IF(ISBLANK(tbl_task2[[คะแนนเต็ม]:[คะแนนเต็ม]]),"",(tbl_task2[94]/tbl_task2[[คะแนนเต็ม]:[คะแนนเต็ม]])*tbl_task2[[%]:[%]])</f>
        <v/>
      </c>
      <c r="JE16" s="121" t="str">
        <f>IF(ISBLANK(tbl_task2[[คะแนนเต็ม]:[คะแนนเต็ม]]),"",(tbl_task2[95]/tbl_task2[[คะแนนเต็ม]:[คะแนนเต็ม]])*tbl_task2[[%]:[%]])</f>
        <v/>
      </c>
      <c r="JF16" s="121" t="str">
        <f>IF(ISBLANK(tbl_task2[[คะแนนเต็ม]:[คะแนนเต็ม]]),"",(tbl_task2[96]/tbl_task2[[คะแนนเต็ม]:[คะแนนเต็ม]])*tbl_task2[[%]:[%]])</f>
        <v/>
      </c>
      <c r="JG16" s="121" t="str">
        <f>IF(ISBLANK(tbl_task2[[คะแนนเต็ม]:[คะแนนเต็ม]]),"",(tbl_task2[97]/tbl_task2[[คะแนนเต็ม]:[คะแนนเต็ม]])*tbl_task2[[%]:[%]])</f>
        <v/>
      </c>
      <c r="JH16" s="121" t="str">
        <f>IF(ISBLANK(tbl_task2[[คะแนนเต็ม]:[คะแนนเต็ม]]),"",(tbl_task2[98]/tbl_task2[[คะแนนเต็ม]:[คะแนนเต็ม]])*tbl_task2[[%]:[%]])</f>
        <v/>
      </c>
      <c r="JI16" s="121" t="str">
        <f>IF(ISBLANK(tbl_task2[[คะแนนเต็ม]:[คะแนนเต็ม]]),"",(tbl_task2[99]/tbl_task2[[คะแนนเต็ม]:[คะแนนเต็ม]])*tbl_task2[[%]:[%]])</f>
        <v/>
      </c>
      <c r="JJ16" s="121" t="str">
        <f>IF(ISBLANK(tbl_task2[[คะแนนเต็ม]:[คะแนนเต็ม]]),"",(tbl_task2[100]/tbl_task2[[คะแนนเต็ม]:[คะแนนเต็ม]])*tbl_task2[[%]:[%]])</f>
        <v/>
      </c>
      <c r="JK16" s="121" t="str">
        <f>IF(ISBLANK(tbl_task2[[คะแนนเต็ม]:[คะแนนเต็ม]]),"",(tbl_task2[101]/tbl_task2[[คะแนนเต็ม]:[คะแนนเต็ม]])*tbl_task2[[%]:[%]])</f>
        <v/>
      </c>
      <c r="JL16" s="121" t="str">
        <f>IF(ISBLANK(tbl_task2[[คะแนนเต็ม]:[คะแนนเต็ม]]),"",(tbl_task2[102]/tbl_task2[[คะแนนเต็ม]:[คะแนนเต็ม]])*tbl_task2[[%]:[%]])</f>
        <v/>
      </c>
      <c r="JM16" s="121" t="str">
        <f>IF(ISBLANK(tbl_task2[[คะแนนเต็ม]:[คะแนนเต็ม]]),"",(tbl_task2[103]/tbl_task2[[คะแนนเต็ม]:[คะแนนเต็ม]])*tbl_task2[[%]:[%]])</f>
        <v/>
      </c>
      <c r="JN16" s="121" t="str">
        <f>IF(ISBLANK(tbl_task2[[คะแนนเต็ม]:[คะแนนเต็ม]]),"",(tbl_task2[104]/tbl_task2[[คะแนนเต็ม]:[คะแนนเต็ม]])*tbl_task2[[%]:[%]])</f>
        <v/>
      </c>
      <c r="JO16" s="121" t="str">
        <f>IF(ISBLANK(tbl_task2[[คะแนนเต็ม]:[คะแนนเต็ม]]),"",(tbl_task2[105]/tbl_task2[[คะแนนเต็ม]:[คะแนนเต็ม]])*tbl_task2[[%]:[%]])</f>
        <v/>
      </c>
      <c r="JP16" s="121" t="str">
        <f>IF(ISBLANK(tbl_task2[[คะแนนเต็ม]:[คะแนนเต็ม]]),"",(tbl_task2[106]/tbl_task2[[คะแนนเต็ม]:[คะแนนเต็ม]])*tbl_task2[[%]:[%]])</f>
        <v/>
      </c>
      <c r="JQ16" s="121" t="str">
        <f>IF(ISBLANK(tbl_task2[[คะแนนเต็ม]:[คะแนนเต็ม]]),"",(tbl_task2[107]/tbl_task2[[คะแนนเต็ม]:[คะแนนเต็ม]])*tbl_task2[[%]:[%]])</f>
        <v/>
      </c>
      <c r="JR16" s="121" t="str">
        <f>IF(ISBLANK(tbl_task2[[คะแนนเต็ม]:[คะแนนเต็ม]]),"",(tbl_task2[108]/tbl_task2[[คะแนนเต็ม]:[คะแนนเต็ม]])*tbl_task2[[%]:[%]])</f>
        <v/>
      </c>
      <c r="JS16" s="121" t="str">
        <f>IF(ISBLANK(tbl_task2[[คะแนนเต็ม]:[คะแนนเต็ม]]),"",(tbl_task2[109]/tbl_task2[[คะแนนเต็ม]:[คะแนนเต็ม]])*tbl_task2[[%]:[%]])</f>
        <v/>
      </c>
      <c r="JT16" s="121" t="str">
        <f>IF(ISBLANK(tbl_task2[[คะแนนเต็ม]:[คะแนนเต็ม]]),"",(tbl_task2[110]/tbl_task2[[คะแนนเต็ม]:[คะแนนเต็ม]])*tbl_task2[[%]:[%]])</f>
        <v/>
      </c>
      <c r="JU16" s="121" t="str">
        <f>IF(ISBLANK(tbl_task2[[คะแนนเต็ม]:[คะแนนเต็ม]]),"",(tbl_task2[111]/tbl_task2[[คะแนนเต็ม]:[คะแนนเต็ม]])*tbl_task2[[%]:[%]])</f>
        <v/>
      </c>
      <c r="JV16" s="121" t="str">
        <f>IF(ISBLANK(tbl_task2[[คะแนนเต็ม]:[คะแนนเต็ม]]),"",(tbl_task2[112]/tbl_task2[[คะแนนเต็ม]:[คะแนนเต็ม]])*tbl_task2[[%]:[%]])</f>
        <v/>
      </c>
      <c r="JW16" s="121" t="str">
        <f>IF(ISBLANK(tbl_task2[[คะแนนเต็ม]:[คะแนนเต็ม]]),"",(tbl_task2[113]/tbl_task2[[คะแนนเต็ม]:[คะแนนเต็ม]])*tbl_task2[[%]:[%]])</f>
        <v/>
      </c>
      <c r="JX16" s="121" t="str">
        <f>IF(ISBLANK(tbl_task2[[คะแนนเต็ม]:[คะแนนเต็ม]]),"",(tbl_task2[114]/tbl_task2[[คะแนนเต็ม]:[คะแนนเต็ม]])*tbl_task2[[%]:[%]])</f>
        <v/>
      </c>
      <c r="JY16" s="121" t="str">
        <f>IF(ISBLANK(tbl_task2[[คะแนนเต็ม]:[คะแนนเต็ม]]),"",(tbl_task2[115]/tbl_task2[[คะแนนเต็ม]:[คะแนนเต็ม]])*tbl_task2[[%]:[%]])</f>
        <v/>
      </c>
      <c r="JZ16" s="121" t="str">
        <f>IF(ISBLANK(tbl_task2[[คะแนนเต็ม]:[คะแนนเต็ม]]),"",(tbl_task2[116]/tbl_task2[[คะแนนเต็ม]:[คะแนนเต็ม]])*tbl_task2[[%]:[%]])</f>
        <v/>
      </c>
      <c r="KA16" s="121" t="str">
        <f>IF(ISBLANK(tbl_task2[[คะแนนเต็ม]:[คะแนนเต็ม]]),"",(tbl_task2[117]/tbl_task2[[คะแนนเต็ม]:[คะแนนเต็ม]])*tbl_task2[[%]:[%]])</f>
        <v/>
      </c>
      <c r="KB16" s="121" t="str">
        <f>IF(ISBLANK(tbl_task2[[คะแนนเต็ม]:[คะแนนเต็ม]]),"",(tbl_task2[118]/tbl_task2[[คะแนนเต็ม]:[คะแนนเต็ม]])*tbl_task2[[%]:[%]])</f>
        <v/>
      </c>
      <c r="KC16" s="121" t="str">
        <f>IF(ISBLANK(tbl_task2[[คะแนนเต็ม]:[คะแนนเต็ม]]),"",(tbl_task2[119]/tbl_task2[[คะแนนเต็ม]:[คะแนนเต็ม]])*tbl_task2[[%]:[%]])</f>
        <v/>
      </c>
      <c r="KD16" s="121" t="str">
        <f>IF(ISBLANK(tbl_task2[[คะแนนเต็ม]:[คะแนนเต็ม]]),"",(tbl_task2[120]/tbl_task2[[คะแนนเต็ม]:[คะแนนเต็ม]])*tbl_task2[[%]:[%]])</f>
        <v/>
      </c>
      <c r="KE16" s="121" t="str">
        <f>IF(ISBLANK(tbl_task2[[คะแนนเต็ม]:[คะแนนเต็ม]]),"",(tbl_task2[121]/tbl_task2[[คะแนนเต็ม]:[คะแนนเต็ม]])*tbl_task2[[%]:[%]])</f>
        <v/>
      </c>
      <c r="KF16" s="121" t="str">
        <f>IF(ISBLANK(tbl_task2[[คะแนนเต็ม]:[คะแนนเต็ม]]),"",(tbl_task2[122]/tbl_task2[[คะแนนเต็ม]:[คะแนนเต็ม]])*tbl_task2[[%]:[%]])</f>
        <v/>
      </c>
      <c r="KG16" s="121" t="str">
        <f>IF(ISBLANK(tbl_task2[[คะแนนเต็ม]:[คะแนนเต็ม]]),"",(tbl_task2[123]/tbl_task2[[คะแนนเต็ม]:[คะแนนเต็ม]])*tbl_task2[[%]:[%]])</f>
        <v/>
      </c>
      <c r="KH16" s="121" t="str">
        <f>IF(ISBLANK(tbl_task2[[คะแนนเต็ม]:[คะแนนเต็ม]]),"",(tbl_task2[124]/tbl_task2[[คะแนนเต็ม]:[คะแนนเต็ม]])*tbl_task2[[%]:[%]])</f>
        <v/>
      </c>
      <c r="KI16" s="121" t="str">
        <f>IF(ISBLANK(tbl_task2[[คะแนนเต็ม]:[คะแนนเต็ม]]),"",(tbl_task2[125]/tbl_task2[[คะแนนเต็ม]:[คะแนนเต็ม]])*tbl_task2[[%]:[%]])</f>
        <v/>
      </c>
      <c r="KJ16" s="121" t="str">
        <f>IF(ISBLANK(tbl_task2[[คะแนนเต็ม]:[คะแนนเต็ม]]),"",(tbl_task2[126]/tbl_task2[[คะแนนเต็ม]:[คะแนนเต็ม]])*tbl_task2[[%]:[%]])</f>
        <v/>
      </c>
      <c r="KK16" s="121" t="str">
        <f>IF(ISBLANK(tbl_task2[[คะแนนเต็ม]:[คะแนนเต็ม]]),"",(tbl_task2[127]/tbl_task2[[คะแนนเต็ม]:[คะแนนเต็ม]])*tbl_task2[[%]:[%]])</f>
        <v/>
      </c>
      <c r="KL16" s="121" t="str">
        <f>IF(ISBLANK(tbl_task2[[คะแนนเต็ม]:[คะแนนเต็ม]]),"",(tbl_task2[128]/tbl_task2[[คะแนนเต็ม]:[คะแนนเต็ม]])*tbl_task2[[%]:[%]])</f>
        <v/>
      </c>
      <c r="KM16" s="121" t="str">
        <f>IF(ISBLANK(tbl_task2[[คะแนนเต็ม]:[คะแนนเต็ม]]),"",(tbl_task2[129]/tbl_task2[[คะแนนเต็ม]:[คะแนนเต็ม]])*tbl_task2[[%]:[%]])</f>
        <v/>
      </c>
      <c r="KN16" s="121" t="str">
        <f>IF(ISBLANK(tbl_task2[[คะแนนเต็ม]:[คะแนนเต็ม]]),"",(tbl_task2[130]/tbl_task2[[คะแนนเต็ม]:[คะแนนเต็ม]])*tbl_task2[[%]:[%]])</f>
        <v/>
      </c>
      <c r="KO16" s="121" t="str">
        <f>IF(ISBLANK(tbl_task2[[คะแนนเต็ม]:[คะแนนเต็ม]]),"",(tbl_task2[131]/tbl_task2[[คะแนนเต็ม]:[คะแนนเต็ม]])*tbl_task2[[%]:[%]])</f>
        <v/>
      </c>
      <c r="KP16" s="121" t="str">
        <f>IF(ISBLANK(tbl_task2[[คะแนนเต็ม]:[คะแนนเต็ม]]),"",(tbl_task2[132]/tbl_task2[[คะแนนเต็ม]:[คะแนนเต็ม]])*tbl_task2[[%]:[%]])</f>
        <v/>
      </c>
      <c r="KQ16" s="121" t="str">
        <f>IF(ISBLANK(tbl_task2[[คะแนนเต็ม]:[คะแนนเต็ม]]),"",(tbl_task2[133]/tbl_task2[[คะแนนเต็ม]:[คะแนนเต็ม]])*tbl_task2[[%]:[%]])</f>
        <v/>
      </c>
      <c r="KR16" s="121" t="str">
        <f>IF(ISBLANK(tbl_task2[[คะแนนเต็ม]:[คะแนนเต็ม]]),"",(tbl_task2[134]/tbl_task2[[คะแนนเต็ม]:[คะแนนเต็ม]])*tbl_task2[[%]:[%]])</f>
        <v/>
      </c>
      <c r="KS16" s="121" t="str">
        <f>IF(ISBLANK(tbl_task2[[คะแนนเต็ม]:[คะแนนเต็ม]]),"",(tbl_task2[135]/tbl_task2[[คะแนนเต็ม]:[คะแนนเต็ม]])*tbl_task2[[%]:[%]])</f>
        <v/>
      </c>
      <c r="KT16" s="121" t="str">
        <f>IF(ISBLANK(tbl_task2[[คะแนนเต็ม]:[คะแนนเต็ม]]),"",(tbl_task2[136]/tbl_task2[[คะแนนเต็ม]:[คะแนนเต็ม]])*tbl_task2[[%]:[%]])</f>
        <v/>
      </c>
      <c r="KU16" s="121" t="str">
        <f>IF(ISBLANK(tbl_task2[[คะแนนเต็ม]:[คะแนนเต็ม]]),"",(tbl_task2[137]/tbl_task2[[คะแนนเต็ม]:[คะแนนเต็ม]])*tbl_task2[[%]:[%]])</f>
        <v/>
      </c>
      <c r="KV16" s="121" t="str">
        <f>IF(ISBLANK(tbl_task2[[คะแนนเต็ม]:[คะแนนเต็ม]]),"",(tbl_task2[138]/tbl_task2[[คะแนนเต็ม]:[คะแนนเต็ม]])*tbl_task2[[%]:[%]])</f>
        <v/>
      </c>
      <c r="KW16" s="121" t="str">
        <f>IF(ISBLANK(tbl_task2[[คะแนนเต็ม]:[คะแนนเต็ม]]),"",(tbl_task2[139]/tbl_task2[[คะแนนเต็ม]:[คะแนนเต็ม]])*tbl_task2[[%]:[%]])</f>
        <v/>
      </c>
      <c r="KX16" s="121" t="str">
        <f>IF(ISBLANK(tbl_task2[[คะแนนเต็ม]:[คะแนนเต็ม]]),"",(tbl_task2[140]/tbl_task2[[คะแนนเต็ม]:[คะแนนเต็ม]])*tbl_task2[[%]:[%]])</f>
        <v/>
      </c>
      <c r="KY16" s="121" t="str">
        <f>IF(ISBLANK(tbl_task2[[คะแนนเต็ม]:[คะแนนเต็ม]]),"",(tbl_task2[141]/tbl_task2[[คะแนนเต็ม]:[คะแนนเต็ม]])*tbl_task2[[%]:[%]])</f>
        <v/>
      </c>
      <c r="KZ16" s="121" t="str">
        <f>IF(ISBLANK(tbl_task2[[คะแนนเต็ม]:[คะแนนเต็ม]]),"",(tbl_task2[142]/tbl_task2[[คะแนนเต็ม]:[คะแนนเต็ม]])*tbl_task2[[%]:[%]])</f>
        <v/>
      </c>
      <c r="LA16" s="121" t="str">
        <f>IF(ISBLANK(tbl_task2[[คะแนนเต็ม]:[คะแนนเต็ม]]),"",(tbl_task2[143]/tbl_task2[[คะแนนเต็ม]:[คะแนนเต็ม]])*tbl_task2[[%]:[%]])</f>
        <v/>
      </c>
      <c r="LB16" s="121" t="str">
        <f>IF(ISBLANK(tbl_task2[[คะแนนเต็ม]:[คะแนนเต็ม]]),"",(tbl_task2[144]/tbl_task2[[คะแนนเต็ม]:[คะแนนเต็ม]])*tbl_task2[[%]:[%]])</f>
        <v/>
      </c>
      <c r="LC16" s="121" t="str">
        <f>IF(ISBLANK(tbl_task2[[คะแนนเต็ม]:[คะแนนเต็ม]]),"",(tbl_task2[145]/tbl_task2[[คะแนนเต็ม]:[คะแนนเต็ม]])*tbl_task2[[%]:[%]])</f>
        <v/>
      </c>
      <c r="LD16" s="121" t="str">
        <f>IF(ISBLANK(tbl_task2[[คะแนนเต็ม]:[คะแนนเต็ม]]),"",(tbl_task2[146]/tbl_task2[[คะแนนเต็ม]:[คะแนนเต็ม]])*tbl_task2[[%]:[%]])</f>
        <v/>
      </c>
      <c r="LE16" s="121" t="str">
        <f>IF(ISBLANK(tbl_task2[[คะแนนเต็ม]:[คะแนนเต็ม]]),"",(tbl_task2[147]/tbl_task2[[คะแนนเต็ม]:[คะแนนเต็ม]])*tbl_task2[[%]:[%]])</f>
        <v/>
      </c>
      <c r="LF16" s="121" t="str">
        <f>IF(ISBLANK(tbl_task2[[คะแนนเต็ม]:[คะแนนเต็ม]]),"",(tbl_task2[148]/tbl_task2[[คะแนนเต็ม]:[คะแนนเต็ม]])*tbl_task2[[%]:[%]])</f>
        <v/>
      </c>
      <c r="LG16" s="121" t="str">
        <f>IF(ISBLANK(tbl_task2[[คะแนนเต็ม]:[คะแนนเต็ม]]),"",(tbl_task2[149]/tbl_task2[[คะแนนเต็ม]:[คะแนนเต็ม]])*tbl_task2[[%]:[%]])</f>
        <v/>
      </c>
      <c r="LH16" s="121" t="str">
        <f>IF(ISBLANK(tbl_task2[[คะแนนเต็ม]:[คะแนนเต็ม]]),"",(tbl_task2[150]/tbl_task2[[คะแนนเต็ม]:[คะแนนเต็ม]])*tbl_task2[[%]:[%]])</f>
        <v/>
      </c>
      <c r="LI16" s="121" t="str">
        <f>IF(ISBLANK(tbl_task2[[คะแนนเต็ม]:[คะแนนเต็ม]]),"",(tbl_task2[151]/tbl_task2[[คะแนนเต็ม]:[คะแนนเต็ม]])*tbl_task2[[%]:[%]])</f>
        <v/>
      </c>
      <c r="LJ16" s="121" t="str">
        <f>IF(ISBLANK(tbl_task2[[คะแนนเต็ม]:[คะแนนเต็ม]]),"",(tbl_task2[152]/tbl_task2[[คะแนนเต็ม]:[คะแนนเต็ม]])*tbl_task2[[%]:[%]])</f>
        <v/>
      </c>
      <c r="LK16" s="121" t="str">
        <f>IF(ISBLANK(tbl_task2[[คะแนนเต็ม]:[คะแนนเต็ม]]),"",(tbl_task2[153]/tbl_task2[[คะแนนเต็ม]:[คะแนนเต็ม]])*tbl_task2[[%]:[%]])</f>
        <v/>
      </c>
      <c r="LL16" s="121" t="str">
        <f>IF(ISBLANK(tbl_task2[[คะแนนเต็ม]:[คะแนนเต็ม]]),"",(tbl_task2[154]/tbl_task2[[คะแนนเต็ม]:[คะแนนเต็ม]])*tbl_task2[[%]:[%]])</f>
        <v/>
      </c>
      <c r="LM16" s="121" t="str">
        <f>IF(ISBLANK(tbl_task2[[คะแนนเต็ม]:[คะแนนเต็ม]]),"",(tbl_task2[155]/tbl_task2[[คะแนนเต็ม]:[คะแนนเต็ม]])*tbl_task2[[%]:[%]])</f>
        <v/>
      </c>
      <c r="LN16" s="121" t="str">
        <f>IF(ISBLANK(tbl_task2[[คะแนนเต็ม]:[คะแนนเต็ม]]),"",(tbl_task2[156]/tbl_task2[[คะแนนเต็ม]:[คะแนนเต็ม]])*tbl_task2[[%]:[%]])</f>
        <v/>
      </c>
      <c r="LO16" s="121" t="str">
        <f>IF(ISBLANK(tbl_task2[[คะแนนเต็ม]:[คะแนนเต็ม]]),"",(tbl_task2[157]/tbl_task2[[คะแนนเต็ม]:[คะแนนเต็ม]])*tbl_task2[[%]:[%]])</f>
        <v/>
      </c>
      <c r="LP16" s="121" t="str">
        <f>IF(ISBLANK(tbl_task2[[คะแนนเต็ม]:[คะแนนเต็ม]]),"",(tbl_task2[158]/tbl_task2[[คะแนนเต็ม]:[คะแนนเต็ม]])*tbl_task2[[%]:[%]])</f>
        <v/>
      </c>
      <c r="LQ16" s="121" t="str">
        <f>IF(ISBLANK(tbl_task2[[คะแนนเต็ม]:[คะแนนเต็ม]]),"",(tbl_task2[159]/tbl_task2[[คะแนนเต็ม]:[คะแนนเต็ม]])*tbl_task2[[%]:[%]])</f>
        <v/>
      </c>
      <c r="LR16" s="121" t="str">
        <f>IF(ISBLANK(tbl_task2[[คะแนนเต็ม]:[คะแนนเต็ม]]),"",(tbl_task2[160]/tbl_task2[[คะแนนเต็ม]:[คะแนนเต็ม]])*tbl_task2[[%]:[%]])</f>
        <v/>
      </c>
      <c r="LS16" s="121" t="str">
        <f>IF(ISBLANK(tbl_task2[[คะแนนเต็ม]:[คะแนนเต็ม]]),"",(tbl_task2[161]/tbl_task2[[คะแนนเต็ม]:[คะแนนเต็ม]])*tbl_task2[[%]:[%]])</f>
        <v/>
      </c>
      <c r="LT16" s="121" t="str">
        <f>IF(ISBLANK(tbl_task2[[คะแนนเต็ม]:[คะแนนเต็ม]]),"",(tbl_task2[162]/tbl_task2[[คะแนนเต็ม]:[คะแนนเต็ม]])*tbl_task2[[%]:[%]])</f>
        <v/>
      </c>
      <c r="LU16" s="121" t="str">
        <f>IF(ISBLANK(tbl_task2[[คะแนนเต็ม]:[คะแนนเต็ม]]),"",(tbl_task2[163]/tbl_task2[[คะแนนเต็ม]:[คะแนนเต็ม]])*tbl_task2[[%]:[%]])</f>
        <v/>
      </c>
      <c r="LV16" s="121" t="str">
        <f>IF(ISBLANK(tbl_task2[[คะแนนเต็ม]:[คะแนนเต็ม]]),"",(tbl_task2[164]/tbl_task2[[คะแนนเต็ม]:[คะแนนเต็ม]])*tbl_task2[[%]:[%]])</f>
        <v/>
      </c>
      <c r="LW16" s="121" t="str">
        <f>IF(ISBLANK(tbl_task2[[คะแนนเต็ม]:[คะแนนเต็ม]]),"",(tbl_task2[165]/tbl_task2[[คะแนนเต็ม]:[คะแนนเต็ม]])*tbl_task2[[%]:[%]])</f>
        <v/>
      </c>
    </row>
    <row r="17" spans="1:335" ht="24" customHeight="1" x14ac:dyDescent="0.25">
      <c r="A17" s="24">
        <v>14</v>
      </c>
      <c r="B17" s="20"/>
      <c r="C17" s="5" t="str">
        <f>IF(ISBLANK(B17),"",VLOOKUP(B17,tbl_PLOs[],2,0))</f>
        <v/>
      </c>
      <c r="D17" s="102"/>
      <c r="E17" s="10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121" t="str">
        <f>IF(ISBLANK(tbl_task2[[คะแนนเต็ม]:[คะแนนเต็ม]]),"",(tbl_task2[1]/tbl_task2[[คะแนนเต็ม]:[คะแนนเต็ม]])*tbl_task2[[%]:[%]])</f>
        <v/>
      </c>
      <c r="FP17" s="121" t="str">
        <f>IF(ISBLANK(tbl_task2[[คะแนนเต็ม]:[คะแนนเต็ม]]),"",(tbl_task2[2]/tbl_task2[[คะแนนเต็ม]:[คะแนนเต็ม]])*tbl_task2[[%]:[%]])</f>
        <v/>
      </c>
      <c r="FQ17" s="121" t="str">
        <f>IF(ISBLANK(tbl_task2[[คะแนนเต็ม]:[คะแนนเต็ม]]),"",(tbl_task2[3]/tbl_task2[[คะแนนเต็ม]:[คะแนนเต็ม]])*tbl_task2[[%]:[%]])</f>
        <v/>
      </c>
      <c r="FR17" s="121" t="str">
        <f>IF(ISBLANK(tbl_task2[[คะแนนเต็ม]:[คะแนนเต็ม]]),"",(tbl_task2[4]/tbl_task2[[คะแนนเต็ม]:[คะแนนเต็ม]])*tbl_task2[[%]:[%]])</f>
        <v/>
      </c>
      <c r="FS17" s="121" t="str">
        <f>IF(ISBLANK(tbl_task2[[คะแนนเต็ม]:[คะแนนเต็ม]]),"",(tbl_task2[5]/tbl_task2[[คะแนนเต็ม]:[คะแนนเต็ม]])*tbl_task2[[%]:[%]])</f>
        <v/>
      </c>
      <c r="FT17" s="121" t="str">
        <f>IF(ISBLANK(tbl_task2[[คะแนนเต็ม]:[คะแนนเต็ม]]),"",(tbl_task2[6]/tbl_task2[[คะแนนเต็ม]:[คะแนนเต็ม]])*tbl_task2[[%]:[%]])</f>
        <v/>
      </c>
      <c r="FU17" s="121" t="str">
        <f>IF(ISBLANK(tbl_task2[[คะแนนเต็ม]:[คะแนนเต็ม]]),"",(tbl_task2[7]/tbl_task2[[คะแนนเต็ม]:[คะแนนเต็ม]])*tbl_task2[[%]:[%]])</f>
        <v/>
      </c>
      <c r="FV17" s="121" t="str">
        <f>IF(ISBLANK(tbl_task2[[คะแนนเต็ม]:[คะแนนเต็ม]]),"",(tbl_task2[8]/tbl_task2[[คะแนนเต็ม]:[คะแนนเต็ม]])*tbl_task2[[%]:[%]])</f>
        <v/>
      </c>
      <c r="FW17" s="121" t="str">
        <f>IF(ISBLANK(tbl_task2[[คะแนนเต็ม]:[คะแนนเต็ม]]),"",(tbl_task2[9]/tbl_task2[[คะแนนเต็ม]:[คะแนนเต็ม]])*tbl_task2[[%]:[%]])</f>
        <v/>
      </c>
      <c r="FX17" s="121" t="str">
        <f>IF(ISBLANK(tbl_task2[[คะแนนเต็ม]:[คะแนนเต็ม]]),"",(tbl_task2[10]/tbl_task2[[คะแนนเต็ม]:[คะแนนเต็ม]])*tbl_task2[[%]:[%]])</f>
        <v/>
      </c>
      <c r="FY17" s="121" t="str">
        <f>IF(ISBLANK(tbl_task2[[คะแนนเต็ม]:[คะแนนเต็ม]]),"",(tbl_task2[11]/tbl_task2[[คะแนนเต็ม]:[คะแนนเต็ม]])*tbl_task2[[%]:[%]])</f>
        <v/>
      </c>
      <c r="FZ17" s="121" t="str">
        <f>IF(ISBLANK(tbl_task2[[คะแนนเต็ม]:[คะแนนเต็ม]]),"",(tbl_task2[12]/tbl_task2[[คะแนนเต็ม]:[คะแนนเต็ม]])*tbl_task2[[%]:[%]])</f>
        <v/>
      </c>
      <c r="GA17" s="121" t="str">
        <f>IF(ISBLANK(tbl_task2[[คะแนนเต็ม]:[คะแนนเต็ม]]),"",(tbl_task2[13]/tbl_task2[[คะแนนเต็ม]:[คะแนนเต็ม]])*tbl_task2[[%]:[%]])</f>
        <v/>
      </c>
      <c r="GB17" s="121" t="str">
        <f>IF(ISBLANK(tbl_task2[[คะแนนเต็ม]:[คะแนนเต็ม]]),"",(tbl_task2[14]/tbl_task2[[คะแนนเต็ม]:[คะแนนเต็ม]])*tbl_task2[[%]:[%]])</f>
        <v/>
      </c>
      <c r="GC17" s="121" t="str">
        <f>IF(ISBLANK(tbl_task2[[คะแนนเต็ม]:[คะแนนเต็ม]]),"",(tbl_task2[15]/tbl_task2[[คะแนนเต็ม]:[คะแนนเต็ม]])*tbl_task2[[%]:[%]])</f>
        <v/>
      </c>
      <c r="GD17" s="121" t="str">
        <f>IF(ISBLANK(tbl_task2[[คะแนนเต็ม]:[คะแนนเต็ม]]),"",(tbl_task2[16]/tbl_task2[[คะแนนเต็ม]:[คะแนนเต็ม]])*tbl_task2[[%]:[%]])</f>
        <v/>
      </c>
      <c r="GE17" s="121" t="str">
        <f>IF(ISBLANK(tbl_task2[[คะแนนเต็ม]:[คะแนนเต็ม]]),"",(tbl_task2[17]/tbl_task2[[คะแนนเต็ม]:[คะแนนเต็ม]])*tbl_task2[[%]:[%]])</f>
        <v/>
      </c>
      <c r="GF17" s="121" t="str">
        <f>IF(ISBLANK(tbl_task2[[คะแนนเต็ม]:[คะแนนเต็ม]]),"",(tbl_task2[18]/tbl_task2[[คะแนนเต็ม]:[คะแนนเต็ม]])*tbl_task2[[%]:[%]])</f>
        <v/>
      </c>
      <c r="GG17" s="121" t="str">
        <f>IF(ISBLANK(tbl_task2[[คะแนนเต็ม]:[คะแนนเต็ม]]),"",(tbl_task2[19]/tbl_task2[[คะแนนเต็ม]:[คะแนนเต็ม]])*tbl_task2[[%]:[%]])</f>
        <v/>
      </c>
      <c r="GH17" s="121" t="str">
        <f>IF(ISBLANK(tbl_task2[[คะแนนเต็ม]:[คะแนนเต็ม]]),"",(tbl_task2[20]/tbl_task2[[คะแนนเต็ม]:[คะแนนเต็ม]])*tbl_task2[[%]:[%]])</f>
        <v/>
      </c>
      <c r="GI17" s="121" t="str">
        <f>IF(ISBLANK(tbl_task2[[คะแนนเต็ม]:[คะแนนเต็ม]]),"",(tbl_task2[21]/tbl_task2[[คะแนนเต็ม]:[คะแนนเต็ม]])*tbl_task2[[%]:[%]])</f>
        <v/>
      </c>
      <c r="GJ17" s="121" t="str">
        <f>IF(ISBLANK(tbl_task2[[คะแนนเต็ม]:[คะแนนเต็ม]]),"",(tbl_task2[22]/tbl_task2[[คะแนนเต็ม]:[คะแนนเต็ม]])*tbl_task2[[%]:[%]])</f>
        <v/>
      </c>
      <c r="GK17" s="121" t="str">
        <f>IF(ISBLANK(tbl_task2[[คะแนนเต็ม]:[คะแนนเต็ม]]),"",(tbl_task2[23]/tbl_task2[[คะแนนเต็ม]:[คะแนนเต็ม]])*tbl_task2[[%]:[%]])</f>
        <v/>
      </c>
      <c r="GL17" s="121" t="str">
        <f>IF(ISBLANK(tbl_task2[[คะแนนเต็ม]:[คะแนนเต็ม]]),"",(tbl_task2[24]/tbl_task2[[คะแนนเต็ม]:[คะแนนเต็ม]])*tbl_task2[[%]:[%]])</f>
        <v/>
      </c>
      <c r="GM17" s="121" t="str">
        <f>IF(ISBLANK(tbl_task2[[คะแนนเต็ม]:[คะแนนเต็ม]]),"",(tbl_task2[25]/tbl_task2[[คะแนนเต็ม]:[คะแนนเต็ม]])*tbl_task2[[%]:[%]])</f>
        <v/>
      </c>
      <c r="GN17" s="121" t="str">
        <f>IF(ISBLANK(tbl_task2[[คะแนนเต็ม]:[คะแนนเต็ม]]),"",(tbl_task2[26]/tbl_task2[[คะแนนเต็ม]:[คะแนนเต็ม]])*tbl_task2[[%]:[%]])</f>
        <v/>
      </c>
      <c r="GO17" s="121" t="str">
        <f>IF(ISBLANK(tbl_task2[[คะแนนเต็ม]:[คะแนนเต็ม]]),"",(tbl_task2[27]/tbl_task2[[คะแนนเต็ม]:[คะแนนเต็ม]])*tbl_task2[[%]:[%]])</f>
        <v/>
      </c>
      <c r="GP17" s="121" t="str">
        <f>IF(ISBLANK(tbl_task2[[คะแนนเต็ม]:[คะแนนเต็ม]]),"",(tbl_task2[28]/tbl_task2[[คะแนนเต็ม]:[คะแนนเต็ม]])*tbl_task2[[%]:[%]])</f>
        <v/>
      </c>
      <c r="GQ17" s="121" t="str">
        <f>IF(ISBLANK(tbl_task2[[คะแนนเต็ม]:[คะแนนเต็ม]]),"",(tbl_task2[29]/tbl_task2[[คะแนนเต็ม]:[คะแนนเต็ม]])*tbl_task2[[%]:[%]])</f>
        <v/>
      </c>
      <c r="GR17" s="121" t="str">
        <f>IF(ISBLANK(tbl_task2[[คะแนนเต็ม]:[คะแนนเต็ม]]),"",(tbl_task2[30]/tbl_task2[[คะแนนเต็ม]:[คะแนนเต็ม]])*tbl_task2[[%]:[%]])</f>
        <v/>
      </c>
      <c r="GS17" s="121" t="str">
        <f>IF(ISBLANK(tbl_task2[[คะแนนเต็ม]:[คะแนนเต็ม]]),"",(tbl_task2[31]/tbl_task2[[คะแนนเต็ม]:[คะแนนเต็ม]])*tbl_task2[[%]:[%]])</f>
        <v/>
      </c>
      <c r="GT17" s="121" t="str">
        <f>IF(ISBLANK(tbl_task2[[คะแนนเต็ม]:[คะแนนเต็ม]]),"",(tbl_task2[32]/tbl_task2[[คะแนนเต็ม]:[คะแนนเต็ม]])*tbl_task2[[%]:[%]])</f>
        <v/>
      </c>
      <c r="GU17" s="121" t="str">
        <f>IF(ISBLANK(tbl_task2[[คะแนนเต็ม]:[คะแนนเต็ม]]),"",(tbl_task2[33]/tbl_task2[[คะแนนเต็ม]:[คะแนนเต็ม]])*tbl_task2[[%]:[%]])</f>
        <v/>
      </c>
      <c r="GV17" s="121" t="str">
        <f>IF(ISBLANK(tbl_task2[[คะแนนเต็ม]:[คะแนนเต็ม]]),"",(tbl_task2[34]/tbl_task2[[คะแนนเต็ม]:[คะแนนเต็ม]])*tbl_task2[[%]:[%]])</f>
        <v/>
      </c>
      <c r="GW17" s="121" t="str">
        <f>IF(ISBLANK(tbl_task2[[คะแนนเต็ม]:[คะแนนเต็ม]]),"",(tbl_task2[35]/tbl_task2[[คะแนนเต็ม]:[คะแนนเต็ม]])*tbl_task2[[%]:[%]])</f>
        <v/>
      </c>
      <c r="GX17" s="121" t="str">
        <f>IF(ISBLANK(tbl_task2[[คะแนนเต็ม]:[คะแนนเต็ม]]),"",(tbl_task2[36]/tbl_task2[[คะแนนเต็ม]:[คะแนนเต็ม]])*tbl_task2[[%]:[%]])</f>
        <v/>
      </c>
      <c r="GY17" s="121" t="str">
        <f>IF(ISBLANK(tbl_task2[[คะแนนเต็ม]:[คะแนนเต็ม]]),"",(tbl_task2[37]/tbl_task2[[คะแนนเต็ม]:[คะแนนเต็ม]])*tbl_task2[[%]:[%]])</f>
        <v/>
      </c>
      <c r="GZ17" s="121" t="str">
        <f>IF(ISBLANK(tbl_task2[[คะแนนเต็ม]:[คะแนนเต็ม]]),"",(tbl_task2[38]/tbl_task2[[คะแนนเต็ม]:[คะแนนเต็ม]])*tbl_task2[[%]:[%]])</f>
        <v/>
      </c>
      <c r="HA17" s="121" t="str">
        <f>IF(ISBLANK(tbl_task2[[คะแนนเต็ม]:[คะแนนเต็ม]]),"",(tbl_task2[39]/tbl_task2[[คะแนนเต็ม]:[คะแนนเต็ม]])*tbl_task2[[%]:[%]])</f>
        <v/>
      </c>
      <c r="HB17" s="121" t="str">
        <f>IF(ISBLANK(tbl_task2[[คะแนนเต็ม]:[คะแนนเต็ม]]),"",(tbl_task2[40]/tbl_task2[[คะแนนเต็ม]:[คะแนนเต็ม]])*tbl_task2[[%]:[%]])</f>
        <v/>
      </c>
      <c r="HC17" s="121" t="str">
        <f>IF(ISBLANK(tbl_task2[[คะแนนเต็ม]:[คะแนนเต็ม]]),"",(tbl_task2[41]/tbl_task2[[คะแนนเต็ม]:[คะแนนเต็ม]])*tbl_task2[[%]:[%]])</f>
        <v/>
      </c>
      <c r="HD17" s="121" t="str">
        <f>IF(ISBLANK(tbl_task2[[คะแนนเต็ม]:[คะแนนเต็ม]]),"",(tbl_task2[42]/tbl_task2[[คะแนนเต็ม]:[คะแนนเต็ม]])*tbl_task2[[%]:[%]])</f>
        <v/>
      </c>
      <c r="HE17" s="121" t="str">
        <f>IF(ISBLANK(tbl_task2[[คะแนนเต็ม]:[คะแนนเต็ม]]),"",(tbl_task2[43]/tbl_task2[[คะแนนเต็ม]:[คะแนนเต็ม]])*tbl_task2[[%]:[%]])</f>
        <v/>
      </c>
      <c r="HF17" s="121" t="str">
        <f>IF(ISBLANK(tbl_task2[[คะแนนเต็ม]:[คะแนนเต็ม]]),"",(tbl_task2[44]/tbl_task2[[คะแนนเต็ม]:[คะแนนเต็ม]])*tbl_task2[[%]:[%]])</f>
        <v/>
      </c>
      <c r="HG17" s="121" t="str">
        <f>IF(ISBLANK(tbl_task2[[คะแนนเต็ม]:[คะแนนเต็ม]]),"",(tbl_task2[45]/tbl_task2[[คะแนนเต็ม]:[คะแนนเต็ม]])*tbl_task2[[%]:[%]])</f>
        <v/>
      </c>
      <c r="HH17" s="121" t="str">
        <f>IF(ISBLANK(tbl_task2[[คะแนนเต็ม]:[คะแนนเต็ม]]),"",(tbl_task2[46]/tbl_task2[[คะแนนเต็ม]:[คะแนนเต็ม]])*tbl_task2[[%]:[%]])</f>
        <v/>
      </c>
      <c r="HI17" s="121" t="str">
        <f>IF(ISBLANK(tbl_task2[[คะแนนเต็ม]:[คะแนนเต็ม]]),"",(tbl_task2[47]/tbl_task2[[คะแนนเต็ม]:[คะแนนเต็ม]])*tbl_task2[[%]:[%]])</f>
        <v/>
      </c>
      <c r="HJ17" s="121" t="str">
        <f>IF(ISBLANK(tbl_task2[[คะแนนเต็ม]:[คะแนนเต็ม]]),"",(tbl_task2[48]/tbl_task2[[คะแนนเต็ม]:[คะแนนเต็ม]])*tbl_task2[[%]:[%]])</f>
        <v/>
      </c>
      <c r="HK17" s="121" t="str">
        <f>IF(ISBLANK(tbl_task2[[คะแนนเต็ม]:[คะแนนเต็ม]]),"",(tbl_task2[49]/tbl_task2[[คะแนนเต็ม]:[คะแนนเต็ม]])*tbl_task2[[%]:[%]])</f>
        <v/>
      </c>
      <c r="HL17" s="121" t="str">
        <f>IF(ISBLANK(tbl_task2[[คะแนนเต็ม]:[คะแนนเต็ม]]),"",(tbl_task2[50]/tbl_task2[[คะแนนเต็ม]:[คะแนนเต็ม]])*tbl_task2[[%]:[%]])</f>
        <v/>
      </c>
      <c r="HM17" s="121" t="str">
        <f>IF(ISBLANK(tbl_task2[[คะแนนเต็ม]:[คะแนนเต็ม]]),"",(tbl_task2[51]/tbl_task2[[คะแนนเต็ม]:[คะแนนเต็ม]])*tbl_task2[[%]:[%]])</f>
        <v/>
      </c>
      <c r="HN17" s="121" t="str">
        <f>IF(ISBLANK(tbl_task2[[คะแนนเต็ม]:[คะแนนเต็ม]]),"",(tbl_task2[52]/tbl_task2[[คะแนนเต็ม]:[คะแนนเต็ม]])*tbl_task2[[%]:[%]])</f>
        <v/>
      </c>
      <c r="HO17" s="121" t="str">
        <f>IF(ISBLANK(tbl_task2[[คะแนนเต็ม]:[คะแนนเต็ม]]),"",(tbl_task2[53]/tbl_task2[[คะแนนเต็ม]:[คะแนนเต็ม]])*tbl_task2[[%]:[%]])</f>
        <v/>
      </c>
      <c r="HP17" s="121" t="str">
        <f>IF(ISBLANK(tbl_task2[[คะแนนเต็ม]:[คะแนนเต็ม]]),"",(tbl_task2[54]/tbl_task2[[คะแนนเต็ม]:[คะแนนเต็ม]])*tbl_task2[[%]:[%]])</f>
        <v/>
      </c>
      <c r="HQ17" s="121" t="str">
        <f>IF(ISBLANK(tbl_task2[[คะแนนเต็ม]:[คะแนนเต็ม]]),"",(tbl_task2[55]/tbl_task2[[คะแนนเต็ม]:[คะแนนเต็ม]])*tbl_task2[[%]:[%]])</f>
        <v/>
      </c>
      <c r="HR17" s="121" t="str">
        <f>IF(ISBLANK(tbl_task2[[คะแนนเต็ม]:[คะแนนเต็ม]]),"",(tbl_task2[56]/tbl_task2[[คะแนนเต็ม]:[คะแนนเต็ม]])*tbl_task2[[%]:[%]])</f>
        <v/>
      </c>
      <c r="HS17" s="121" t="str">
        <f>IF(ISBLANK(tbl_task2[[คะแนนเต็ม]:[คะแนนเต็ม]]),"",(tbl_task2[57]/tbl_task2[[คะแนนเต็ม]:[คะแนนเต็ม]])*tbl_task2[[%]:[%]])</f>
        <v/>
      </c>
      <c r="HT17" s="121" t="str">
        <f>IF(ISBLANK(tbl_task2[[คะแนนเต็ม]:[คะแนนเต็ม]]),"",(tbl_task2[58]/tbl_task2[[คะแนนเต็ม]:[คะแนนเต็ม]])*tbl_task2[[%]:[%]])</f>
        <v/>
      </c>
      <c r="HU17" s="121" t="str">
        <f>IF(ISBLANK(tbl_task2[[คะแนนเต็ม]:[คะแนนเต็ม]]),"",(tbl_task2[59]/tbl_task2[[คะแนนเต็ม]:[คะแนนเต็ม]])*tbl_task2[[%]:[%]])</f>
        <v/>
      </c>
      <c r="HV17" s="121" t="str">
        <f>IF(ISBLANK(tbl_task2[[คะแนนเต็ม]:[คะแนนเต็ม]]),"",(tbl_task2[60]/tbl_task2[[คะแนนเต็ม]:[คะแนนเต็ม]])*tbl_task2[[%]:[%]])</f>
        <v/>
      </c>
      <c r="HW17" s="121" t="str">
        <f>IF(ISBLANK(tbl_task2[[คะแนนเต็ม]:[คะแนนเต็ม]]),"",(tbl_task2[61]/tbl_task2[[คะแนนเต็ม]:[คะแนนเต็ม]])*tbl_task2[[%]:[%]])</f>
        <v/>
      </c>
      <c r="HX17" s="121" t="str">
        <f>IF(ISBLANK(tbl_task2[[คะแนนเต็ม]:[คะแนนเต็ม]]),"",(tbl_task2[62]/tbl_task2[[คะแนนเต็ม]:[คะแนนเต็ม]])*tbl_task2[[%]:[%]])</f>
        <v/>
      </c>
      <c r="HY17" s="121" t="str">
        <f>IF(ISBLANK(tbl_task2[[คะแนนเต็ม]:[คะแนนเต็ม]]),"",(tbl_task2[63]/tbl_task2[[คะแนนเต็ม]:[คะแนนเต็ม]])*tbl_task2[[%]:[%]])</f>
        <v/>
      </c>
      <c r="HZ17" s="121" t="str">
        <f>IF(ISBLANK(tbl_task2[[คะแนนเต็ม]:[คะแนนเต็ม]]),"",(tbl_task2[64]/tbl_task2[[คะแนนเต็ม]:[คะแนนเต็ม]])*tbl_task2[[%]:[%]])</f>
        <v/>
      </c>
      <c r="IA17" s="121" t="str">
        <f>IF(ISBLANK(tbl_task2[[คะแนนเต็ม]:[คะแนนเต็ม]]),"",(tbl_task2[65]/tbl_task2[[คะแนนเต็ม]:[คะแนนเต็ม]])*tbl_task2[[%]:[%]])</f>
        <v/>
      </c>
      <c r="IB17" s="121" t="str">
        <f>IF(ISBLANK(tbl_task2[[คะแนนเต็ม]:[คะแนนเต็ม]]),"",(tbl_task2[66]/tbl_task2[[คะแนนเต็ม]:[คะแนนเต็ม]])*tbl_task2[[%]:[%]])</f>
        <v/>
      </c>
      <c r="IC17" s="121" t="str">
        <f>IF(ISBLANK(tbl_task2[[คะแนนเต็ม]:[คะแนนเต็ม]]),"",(tbl_task2[67]/tbl_task2[[คะแนนเต็ม]:[คะแนนเต็ม]])*tbl_task2[[%]:[%]])</f>
        <v/>
      </c>
      <c r="ID17" s="121" t="str">
        <f>IF(ISBLANK(tbl_task2[[คะแนนเต็ม]:[คะแนนเต็ม]]),"",(tbl_task2[68]/tbl_task2[[คะแนนเต็ม]:[คะแนนเต็ม]])*tbl_task2[[%]:[%]])</f>
        <v/>
      </c>
      <c r="IE17" s="121" t="str">
        <f>IF(ISBLANK(tbl_task2[[คะแนนเต็ม]:[คะแนนเต็ม]]),"",(tbl_task2[69]/tbl_task2[[คะแนนเต็ม]:[คะแนนเต็ม]])*tbl_task2[[%]:[%]])</f>
        <v/>
      </c>
      <c r="IF17" s="121" t="str">
        <f>IF(ISBLANK(tbl_task2[[คะแนนเต็ม]:[คะแนนเต็ม]]),"",(tbl_task2[70]/tbl_task2[[คะแนนเต็ม]:[คะแนนเต็ม]])*tbl_task2[[%]:[%]])</f>
        <v/>
      </c>
      <c r="IG17" s="121" t="str">
        <f>IF(ISBLANK(tbl_task2[[คะแนนเต็ม]:[คะแนนเต็ม]]),"",(tbl_task2[71]/tbl_task2[[คะแนนเต็ม]:[คะแนนเต็ม]])*tbl_task2[[%]:[%]])</f>
        <v/>
      </c>
      <c r="IH17" s="121" t="str">
        <f>IF(ISBLANK(tbl_task2[[คะแนนเต็ม]:[คะแนนเต็ม]]),"",(tbl_task2[72]/tbl_task2[[คะแนนเต็ม]:[คะแนนเต็ม]])*tbl_task2[[%]:[%]])</f>
        <v/>
      </c>
      <c r="II17" s="121" t="str">
        <f>IF(ISBLANK(tbl_task2[[คะแนนเต็ม]:[คะแนนเต็ม]]),"",(tbl_task2[73]/tbl_task2[[คะแนนเต็ม]:[คะแนนเต็ม]])*tbl_task2[[%]:[%]])</f>
        <v/>
      </c>
      <c r="IJ17" s="121" t="str">
        <f>IF(ISBLANK(tbl_task2[[คะแนนเต็ม]:[คะแนนเต็ม]]),"",(tbl_task2[74]/tbl_task2[[คะแนนเต็ม]:[คะแนนเต็ม]])*tbl_task2[[%]:[%]])</f>
        <v/>
      </c>
      <c r="IK17" s="121" t="str">
        <f>IF(ISBLANK(tbl_task2[[คะแนนเต็ม]:[คะแนนเต็ม]]),"",(tbl_task2[75]/tbl_task2[[คะแนนเต็ม]:[คะแนนเต็ม]])*tbl_task2[[%]:[%]])</f>
        <v/>
      </c>
      <c r="IL17" s="121" t="str">
        <f>IF(ISBLANK(tbl_task2[[คะแนนเต็ม]:[คะแนนเต็ม]]),"",(tbl_task2[76]/tbl_task2[[คะแนนเต็ม]:[คะแนนเต็ม]])*tbl_task2[[%]:[%]])</f>
        <v/>
      </c>
      <c r="IM17" s="121" t="str">
        <f>IF(ISBLANK(tbl_task2[[คะแนนเต็ม]:[คะแนนเต็ม]]),"",(tbl_task2[77]/tbl_task2[[คะแนนเต็ม]:[คะแนนเต็ม]])*tbl_task2[[%]:[%]])</f>
        <v/>
      </c>
      <c r="IN17" s="121" t="str">
        <f>IF(ISBLANK(tbl_task2[[คะแนนเต็ม]:[คะแนนเต็ม]]),"",(tbl_task2[78]/tbl_task2[[คะแนนเต็ม]:[คะแนนเต็ม]])*tbl_task2[[%]:[%]])</f>
        <v/>
      </c>
      <c r="IO17" s="121" t="str">
        <f>IF(ISBLANK(tbl_task2[[คะแนนเต็ม]:[คะแนนเต็ม]]),"",(tbl_task2[79]/tbl_task2[[คะแนนเต็ม]:[คะแนนเต็ม]])*tbl_task2[[%]:[%]])</f>
        <v/>
      </c>
      <c r="IP17" s="121" t="str">
        <f>IF(ISBLANK(tbl_task2[[คะแนนเต็ม]:[คะแนนเต็ม]]),"",(tbl_task2[80]/tbl_task2[[คะแนนเต็ม]:[คะแนนเต็ม]])*tbl_task2[[%]:[%]])</f>
        <v/>
      </c>
      <c r="IQ17" s="121" t="str">
        <f>IF(ISBLANK(tbl_task2[[คะแนนเต็ม]:[คะแนนเต็ม]]),"",(tbl_task2[81]/tbl_task2[[คะแนนเต็ม]:[คะแนนเต็ม]])*tbl_task2[[%]:[%]])</f>
        <v/>
      </c>
      <c r="IR17" s="121" t="str">
        <f>IF(ISBLANK(tbl_task2[[คะแนนเต็ม]:[คะแนนเต็ม]]),"",(tbl_task2[82]/tbl_task2[[คะแนนเต็ม]:[คะแนนเต็ม]])*tbl_task2[[%]:[%]])</f>
        <v/>
      </c>
      <c r="IS17" s="121" t="str">
        <f>IF(ISBLANK(tbl_task2[[คะแนนเต็ม]:[คะแนนเต็ม]]),"",(tbl_task2[83]/tbl_task2[[คะแนนเต็ม]:[คะแนนเต็ม]])*tbl_task2[[%]:[%]])</f>
        <v/>
      </c>
      <c r="IT17" s="121" t="str">
        <f>IF(ISBLANK(tbl_task2[[คะแนนเต็ม]:[คะแนนเต็ม]]),"",(tbl_task2[84]/tbl_task2[[คะแนนเต็ม]:[คะแนนเต็ม]])*tbl_task2[[%]:[%]])</f>
        <v/>
      </c>
      <c r="IU17" s="121" t="str">
        <f>IF(ISBLANK(tbl_task2[[คะแนนเต็ม]:[คะแนนเต็ม]]),"",(tbl_task2[85]/tbl_task2[[คะแนนเต็ม]:[คะแนนเต็ม]])*tbl_task2[[%]:[%]])</f>
        <v/>
      </c>
      <c r="IV17" s="121" t="str">
        <f>IF(ISBLANK(tbl_task2[[คะแนนเต็ม]:[คะแนนเต็ม]]),"",(tbl_task2[86]/tbl_task2[[คะแนนเต็ม]:[คะแนนเต็ม]])*tbl_task2[[%]:[%]])</f>
        <v/>
      </c>
      <c r="IW17" s="121" t="str">
        <f>IF(ISBLANK(tbl_task2[[คะแนนเต็ม]:[คะแนนเต็ม]]),"",(tbl_task2[87]/tbl_task2[[คะแนนเต็ม]:[คะแนนเต็ม]])*tbl_task2[[%]:[%]])</f>
        <v/>
      </c>
      <c r="IX17" s="121" t="str">
        <f>IF(ISBLANK(tbl_task2[[คะแนนเต็ม]:[คะแนนเต็ม]]),"",(tbl_task2[88]/tbl_task2[[คะแนนเต็ม]:[คะแนนเต็ม]])*tbl_task2[[%]:[%]])</f>
        <v/>
      </c>
      <c r="IY17" s="121" t="str">
        <f>IF(ISBLANK(tbl_task2[[คะแนนเต็ม]:[คะแนนเต็ม]]),"",(tbl_task2[89]/tbl_task2[[คะแนนเต็ม]:[คะแนนเต็ม]])*tbl_task2[[%]:[%]])</f>
        <v/>
      </c>
      <c r="IZ17" s="121" t="str">
        <f>IF(ISBLANK(tbl_task2[[คะแนนเต็ม]:[คะแนนเต็ม]]),"",(tbl_task2[90]/tbl_task2[[คะแนนเต็ม]:[คะแนนเต็ม]])*tbl_task2[[%]:[%]])</f>
        <v/>
      </c>
      <c r="JA17" s="121" t="str">
        <f>IF(ISBLANK(tbl_task2[[คะแนนเต็ม]:[คะแนนเต็ม]]),"",(tbl_task2[91]/tbl_task2[[คะแนนเต็ม]:[คะแนนเต็ม]])*tbl_task2[[%]:[%]])</f>
        <v/>
      </c>
      <c r="JB17" s="121" t="str">
        <f>IF(ISBLANK(tbl_task2[[คะแนนเต็ม]:[คะแนนเต็ม]]),"",(tbl_task2[92]/tbl_task2[[คะแนนเต็ม]:[คะแนนเต็ม]])*tbl_task2[[%]:[%]])</f>
        <v/>
      </c>
      <c r="JC17" s="121" t="str">
        <f>IF(ISBLANK(tbl_task2[[คะแนนเต็ม]:[คะแนนเต็ม]]),"",(tbl_task2[93]/tbl_task2[[คะแนนเต็ม]:[คะแนนเต็ม]])*tbl_task2[[%]:[%]])</f>
        <v/>
      </c>
      <c r="JD17" s="121" t="str">
        <f>IF(ISBLANK(tbl_task2[[คะแนนเต็ม]:[คะแนนเต็ม]]),"",(tbl_task2[94]/tbl_task2[[คะแนนเต็ม]:[คะแนนเต็ม]])*tbl_task2[[%]:[%]])</f>
        <v/>
      </c>
      <c r="JE17" s="121" t="str">
        <f>IF(ISBLANK(tbl_task2[[คะแนนเต็ม]:[คะแนนเต็ม]]),"",(tbl_task2[95]/tbl_task2[[คะแนนเต็ม]:[คะแนนเต็ม]])*tbl_task2[[%]:[%]])</f>
        <v/>
      </c>
      <c r="JF17" s="121" t="str">
        <f>IF(ISBLANK(tbl_task2[[คะแนนเต็ม]:[คะแนนเต็ม]]),"",(tbl_task2[96]/tbl_task2[[คะแนนเต็ม]:[คะแนนเต็ม]])*tbl_task2[[%]:[%]])</f>
        <v/>
      </c>
      <c r="JG17" s="121" t="str">
        <f>IF(ISBLANK(tbl_task2[[คะแนนเต็ม]:[คะแนนเต็ม]]),"",(tbl_task2[97]/tbl_task2[[คะแนนเต็ม]:[คะแนนเต็ม]])*tbl_task2[[%]:[%]])</f>
        <v/>
      </c>
      <c r="JH17" s="121" t="str">
        <f>IF(ISBLANK(tbl_task2[[คะแนนเต็ม]:[คะแนนเต็ม]]),"",(tbl_task2[98]/tbl_task2[[คะแนนเต็ม]:[คะแนนเต็ม]])*tbl_task2[[%]:[%]])</f>
        <v/>
      </c>
      <c r="JI17" s="121" t="str">
        <f>IF(ISBLANK(tbl_task2[[คะแนนเต็ม]:[คะแนนเต็ม]]),"",(tbl_task2[99]/tbl_task2[[คะแนนเต็ม]:[คะแนนเต็ม]])*tbl_task2[[%]:[%]])</f>
        <v/>
      </c>
      <c r="JJ17" s="121" t="str">
        <f>IF(ISBLANK(tbl_task2[[คะแนนเต็ม]:[คะแนนเต็ม]]),"",(tbl_task2[100]/tbl_task2[[คะแนนเต็ม]:[คะแนนเต็ม]])*tbl_task2[[%]:[%]])</f>
        <v/>
      </c>
      <c r="JK17" s="121" t="str">
        <f>IF(ISBLANK(tbl_task2[[คะแนนเต็ม]:[คะแนนเต็ม]]),"",(tbl_task2[101]/tbl_task2[[คะแนนเต็ม]:[คะแนนเต็ม]])*tbl_task2[[%]:[%]])</f>
        <v/>
      </c>
      <c r="JL17" s="121" t="str">
        <f>IF(ISBLANK(tbl_task2[[คะแนนเต็ม]:[คะแนนเต็ม]]),"",(tbl_task2[102]/tbl_task2[[คะแนนเต็ม]:[คะแนนเต็ม]])*tbl_task2[[%]:[%]])</f>
        <v/>
      </c>
      <c r="JM17" s="121" t="str">
        <f>IF(ISBLANK(tbl_task2[[คะแนนเต็ม]:[คะแนนเต็ม]]),"",(tbl_task2[103]/tbl_task2[[คะแนนเต็ม]:[คะแนนเต็ม]])*tbl_task2[[%]:[%]])</f>
        <v/>
      </c>
      <c r="JN17" s="121" t="str">
        <f>IF(ISBLANK(tbl_task2[[คะแนนเต็ม]:[คะแนนเต็ม]]),"",(tbl_task2[104]/tbl_task2[[คะแนนเต็ม]:[คะแนนเต็ม]])*tbl_task2[[%]:[%]])</f>
        <v/>
      </c>
      <c r="JO17" s="121" t="str">
        <f>IF(ISBLANK(tbl_task2[[คะแนนเต็ม]:[คะแนนเต็ม]]),"",(tbl_task2[105]/tbl_task2[[คะแนนเต็ม]:[คะแนนเต็ม]])*tbl_task2[[%]:[%]])</f>
        <v/>
      </c>
      <c r="JP17" s="121" t="str">
        <f>IF(ISBLANK(tbl_task2[[คะแนนเต็ม]:[คะแนนเต็ม]]),"",(tbl_task2[106]/tbl_task2[[คะแนนเต็ม]:[คะแนนเต็ม]])*tbl_task2[[%]:[%]])</f>
        <v/>
      </c>
      <c r="JQ17" s="121" t="str">
        <f>IF(ISBLANK(tbl_task2[[คะแนนเต็ม]:[คะแนนเต็ม]]),"",(tbl_task2[107]/tbl_task2[[คะแนนเต็ม]:[คะแนนเต็ม]])*tbl_task2[[%]:[%]])</f>
        <v/>
      </c>
      <c r="JR17" s="121" t="str">
        <f>IF(ISBLANK(tbl_task2[[คะแนนเต็ม]:[คะแนนเต็ม]]),"",(tbl_task2[108]/tbl_task2[[คะแนนเต็ม]:[คะแนนเต็ม]])*tbl_task2[[%]:[%]])</f>
        <v/>
      </c>
      <c r="JS17" s="121" t="str">
        <f>IF(ISBLANK(tbl_task2[[คะแนนเต็ม]:[คะแนนเต็ม]]),"",(tbl_task2[109]/tbl_task2[[คะแนนเต็ม]:[คะแนนเต็ม]])*tbl_task2[[%]:[%]])</f>
        <v/>
      </c>
      <c r="JT17" s="121" t="str">
        <f>IF(ISBLANK(tbl_task2[[คะแนนเต็ม]:[คะแนนเต็ม]]),"",(tbl_task2[110]/tbl_task2[[คะแนนเต็ม]:[คะแนนเต็ม]])*tbl_task2[[%]:[%]])</f>
        <v/>
      </c>
      <c r="JU17" s="121" t="str">
        <f>IF(ISBLANK(tbl_task2[[คะแนนเต็ม]:[คะแนนเต็ม]]),"",(tbl_task2[111]/tbl_task2[[คะแนนเต็ม]:[คะแนนเต็ม]])*tbl_task2[[%]:[%]])</f>
        <v/>
      </c>
      <c r="JV17" s="121" t="str">
        <f>IF(ISBLANK(tbl_task2[[คะแนนเต็ม]:[คะแนนเต็ม]]),"",(tbl_task2[112]/tbl_task2[[คะแนนเต็ม]:[คะแนนเต็ม]])*tbl_task2[[%]:[%]])</f>
        <v/>
      </c>
      <c r="JW17" s="121" t="str">
        <f>IF(ISBLANK(tbl_task2[[คะแนนเต็ม]:[คะแนนเต็ม]]),"",(tbl_task2[113]/tbl_task2[[คะแนนเต็ม]:[คะแนนเต็ม]])*tbl_task2[[%]:[%]])</f>
        <v/>
      </c>
      <c r="JX17" s="121" t="str">
        <f>IF(ISBLANK(tbl_task2[[คะแนนเต็ม]:[คะแนนเต็ม]]),"",(tbl_task2[114]/tbl_task2[[คะแนนเต็ม]:[คะแนนเต็ม]])*tbl_task2[[%]:[%]])</f>
        <v/>
      </c>
      <c r="JY17" s="121" t="str">
        <f>IF(ISBLANK(tbl_task2[[คะแนนเต็ม]:[คะแนนเต็ม]]),"",(tbl_task2[115]/tbl_task2[[คะแนนเต็ม]:[คะแนนเต็ม]])*tbl_task2[[%]:[%]])</f>
        <v/>
      </c>
      <c r="JZ17" s="121" t="str">
        <f>IF(ISBLANK(tbl_task2[[คะแนนเต็ม]:[คะแนนเต็ม]]),"",(tbl_task2[116]/tbl_task2[[คะแนนเต็ม]:[คะแนนเต็ม]])*tbl_task2[[%]:[%]])</f>
        <v/>
      </c>
      <c r="KA17" s="121" t="str">
        <f>IF(ISBLANK(tbl_task2[[คะแนนเต็ม]:[คะแนนเต็ม]]),"",(tbl_task2[117]/tbl_task2[[คะแนนเต็ม]:[คะแนนเต็ม]])*tbl_task2[[%]:[%]])</f>
        <v/>
      </c>
      <c r="KB17" s="121" t="str">
        <f>IF(ISBLANK(tbl_task2[[คะแนนเต็ม]:[คะแนนเต็ม]]),"",(tbl_task2[118]/tbl_task2[[คะแนนเต็ม]:[คะแนนเต็ม]])*tbl_task2[[%]:[%]])</f>
        <v/>
      </c>
      <c r="KC17" s="121" t="str">
        <f>IF(ISBLANK(tbl_task2[[คะแนนเต็ม]:[คะแนนเต็ม]]),"",(tbl_task2[119]/tbl_task2[[คะแนนเต็ม]:[คะแนนเต็ม]])*tbl_task2[[%]:[%]])</f>
        <v/>
      </c>
      <c r="KD17" s="121" t="str">
        <f>IF(ISBLANK(tbl_task2[[คะแนนเต็ม]:[คะแนนเต็ม]]),"",(tbl_task2[120]/tbl_task2[[คะแนนเต็ม]:[คะแนนเต็ม]])*tbl_task2[[%]:[%]])</f>
        <v/>
      </c>
      <c r="KE17" s="121" t="str">
        <f>IF(ISBLANK(tbl_task2[[คะแนนเต็ม]:[คะแนนเต็ม]]),"",(tbl_task2[121]/tbl_task2[[คะแนนเต็ม]:[คะแนนเต็ม]])*tbl_task2[[%]:[%]])</f>
        <v/>
      </c>
      <c r="KF17" s="121" t="str">
        <f>IF(ISBLANK(tbl_task2[[คะแนนเต็ม]:[คะแนนเต็ม]]),"",(tbl_task2[122]/tbl_task2[[คะแนนเต็ม]:[คะแนนเต็ม]])*tbl_task2[[%]:[%]])</f>
        <v/>
      </c>
      <c r="KG17" s="121" t="str">
        <f>IF(ISBLANK(tbl_task2[[คะแนนเต็ม]:[คะแนนเต็ม]]),"",(tbl_task2[123]/tbl_task2[[คะแนนเต็ม]:[คะแนนเต็ม]])*tbl_task2[[%]:[%]])</f>
        <v/>
      </c>
      <c r="KH17" s="121" t="str">
        <f>IF(ISBLANK(tbl_task2[[คะแนนเต็ม]:[คะแนนเต็ม]]),"",(tbl_task2[124]/tbl_task2[[คะแนนเต็ม]:[คะแนนเต็ม]])*tbl_task2[[%]:[%]])</f>
        <v/>
      </c>
      <c r="KI17" s="121" t="str">
        <f>IF(ISBLANK(tbl_task2[[คะแนนเต็ม]:[คะแนนเต็ม]]),"",(tbl_task2[125]/tbl_task2[[คะแนนเต็ม]:[คะแนนเต็ม]])*tbl_task2[[%]:[%]])</f>
        <v/>
      </c>
      <c r="KJ17" s="121" t="str">
        <f>IF(ISBLANK(tbl_task2[[คะแนนเต็ม]:[คะแนนเต็ม]]),"",(tbl_task2[126]/tbl_task2[[คะแนนเต็ม]:[คะแนนเต็ม]])*tbl_task2[[%]:[%]])</f>
        <v/>
      </c>
      <c r="KK17" s="121" t="str">
        <f>IF(ISBLANK(tbl_task2[[คะแนนเต็ม]:[คะแนนเต็ม]]),"",(tbl_task2[127]/tbl_task2[[คะแนนเต็ม]:[คะแนนเต็ม]])*tbl_task2[[%]:[%]])</f>
        <v/>
      </c>
      <c r="KL17" s="121" t="str">
        <f>IF(ISBLANK(tbl_task2[[คะแนนเต็ม]:[คะแนนเต็ม]]),"",(tbl_task2[128]/tbl_task2[[คะแนนเต็ม]:[คะแนนเต็ม]])*tbl_task2[[%]:[%]])</f>
        <v/>
      </c>
      <c r="KM17" s="121" t="str">
        <f>IF(ISBLANK(tbl_task2[[คะแนนเต็ม]:[คะแนนเต็ม]]),"",(tbl_task2[129]/tbl_task2[[คะแนนเต็ม]:[คะแนนเต็ม]])*tbl_task2[[%]:[%]])</f>
        <v/>
      </c>
      <c r="KN17" s="121" t="str">
        <f>IF(ISBLANK(tbl_task2[[คะแนนเต็ม]:[คะแนนเต็ม]]),"",(tbl_task2[130]/tbl_task2[[คะแนนเต็ม]:[คะแนนเต็ม]])*tbl_task2[[%]:[%]])</f>
        <v/>
      </c>
      <c r="KO17" s="121" t="str">
        <f>IF(ISBLANK(tbl_task2[[คะแนนเต็ม]:[คะแนนเต็ม]]),"",(tbl_task2[131]/tbl_task2[[คะแนนเต็ม]:[คะแนนเต็ม]])*tbl_task2[[%]:[%]])</f>
        <v/>
      </c>
      <c r="KP17" s="121" t="str">
        <f>IF(ISBLANK(tbl_task2[[คะแนนเต็ม]:[คะแนนเต็ม]]),"",(tbl_task2[132]/tbl_task2[[คะแนนเต็ม]:[คะแนนเต็ม]])*tbl_task2[[%]:[%]])</f>
        <v/>
      </c>
      <c r="KQ17" s="121" t="str">
        <f>IF(ISBLANK(tbl_task2[[คะแนนเต็ม]:[คะแนนเต็ม]]),"",(tbl_task2[133]/tbl_task2[[คะแนนเต็ม]:[คะแนนเต็ม]])*tbl_task2[[%]:[%]])</f>
        <v/>
      </c>
      <c r="KR17" s="121" t="str">
        <f>IF(ISBLANK(tbl_task2[[คะแนนเต็ม]:[คะแนนเต็ม]]),"",(tbl_task2[134]/tbl_task2[[คะแนนเต็ม]:[คะแนนเต็ม]])*tbl_task2[[%]:[%]])</f>
        <v/>
      </c>
      <c r="KS17" s="121" t="str">
        <f>IF(ISBLANK(tbl_task2[[คะแนนเต็ม]:[คะแนนเต็ม]]),"",(tbl_task2[135]/tbl_task2[[คะแนนเต็ม]:[คะแนนเต็ม]])*tbl_task2[[%]:[%]])</f>
        <v/>
      </c>
      <c r="KT17" s="121" t="str">
        <f>IF(ISBLANK(tbl_task2[[คะแนนเต็ม]:[คะแนนเต็ม]]),"",(tbl_task2[136]/tbl_task2[[คะแนนเต็ม]:[คะแนนเต็ม]])*tbl_task2[[%]:[%]])</f>
        <v/>
      </c>
      <c r="KU17" s="121" t="str">
        <f>IF(ISBLANK(tbl_task2[[คะแนนเต็ม]:[คะแนนเต็ม]]),"",(tbl_task2[137]/tbl_task2[[คะแนนเต็ม]:[คะแนนเต็ม]])*tbl_task2[[%]:[%]])</f>
        <v/>
      </c>
      <c r="KV17" s="121" t="str">
        <f>IF(ISBLANK(tbl_task2[[คะแนนเต็ม]:[คะแนนเต็ม]]),"",(tbl_task2[138]/tbl_task2[[คะแนนเต็ม]:[คะแนนเต็ม]])*tbl_task2[[%]:[%]])</f>
        <v/>
      </c>
      <c r="KW17" s="121" t="str">
        <f>IF(ISBLANK(tbl_task2[[คะแนนเต็ม]:[คะแนนเต็ม]]),"",(tbl_task2[139]/tbl_task2[[คะแนนเต็ม]:[คะแนนเต็ม]])*tbl_task2[[%]:[%]])</f>
        <v/>
      </c>
      <c r="KX17" s="121" t="str">
        <f>IF(ISBLANK(tbl_task2[[คะแนนเต็ม]:[คะแนนเต็ม]]),"",(tbl_task2[140]/tbl_task2[[คะแนนเต็ม]:[คะแนนเต็ม]])*tbl_task2[[%]:[%]])</f>
        <v/>
      </c>
      <c r="KY17" s="121" t="str">
        <f>IF(ISBLANK(tbl_task2[[คะแนนเต็ม]:[คะแนนเต็ม]]),"",(tbl_task2[141]/tbl_task2[[คะแนนเต็ม]:[คะแนนเต็ม]])*tbl_task2[[%]:[%]])</f>
        <v/>
      </c>
      <c r="KZ17" s="121" t="str">
        <f>IF(ISBLANK(tbl_task2[[คะแนนเต็ม]:[คะแนนเต็ม]]),"",(tbl_task2[142]/tbl_task2[[คะแนนเต็ม]:[คะแนนเต็ม]])*tbl_task2[[%]:[%]])</f>
        <v/>
      </c>
      <c r="LA17" s="121" t="str">
        <f>IF(ISBLANK(tbl_task2[[คะแนนเต็ม]:[คะแนนเต็ม]]),"",(tbl_task2[143]/tbl_task2[[คะแนนเต็ม]:[คะแนนเต็ม]])*tbl_task2[[%]:[%]])</f>
        <v/>
      </c>
      <c r="LB17" s="121" t="str">
        <f>IF(ISBLANK(tbl_task2[[คะแนนเต็ม]:[คะแนนเต็ม]]),"",(tbl_task2[144]/tbl_task2[[คะแนนเต็ม]:[คะแนนเต็ม]])*tbl_task2[[%]:[%]])</f>
        <v/>
      </c>
      <c r="LC17" s="121" t="str">
        <f>IF(ISBLANK(tbl_task2[[คะแนนเต็ม]:[คะแนนเต็ม]]),"",(tbl_task2[145]/tbl_task2[[คะแนนเต็ม]:[คะแนนเต็ม]])*tbl_task2[[%]:[%]])</f>
        <v/>
      </c>
      <c r="LD17" s="121" t="str">
        <f>IF(ISBLANK(tbl_task2[[คะแนนเต็ม]:[คะแนนเต็ม]]),"",(tbl_task2[146]/tbl_task2[[คะแนนเต็ม]:[คะแนนเต็ม]])*tbl_task2[[%]:[%]])</f>
        <v/>
      </c>
      <c r="LE17" s="121" t="str">
        <f>IF(ISBLANK(tbl_task2[[คะแนนเต็ม]:[คะแนนเต็ม]]),"",(tbl_task2[147]/tbl_task2[[คะแนนเต็ม]:[คะแนนเต็ม]])*tbl_task2[[%]:[%]])</f>
        <v/>
      </c>
      <c r="LF17" s="121" t="str">
        <f>IF(ISBLANK(tbl_task2[[คะแนนเต็ม]:[คะแนนเต็ม]]),"",(tbl_task2[148]/tbl_task2[[คะแนนเต็ม]:[คะแนนเต็ม]])*tbl_task2[[%]:[%]])</f>
        <v/>
      </c>
      <c r="LG17" s="121" t="str">
        <f>IF(ISBLANK(tbl_task2[[คะแนนเต็ม]:[คะแนนเต็ม]]),"",(tbl_task2[149]/tbl_task2[[คะแนนเต็ม]:[คะแนนเต็ม]])*tbl_task2[[%]:[%]])</f>
        <v/>
      </c>
      <c r="LH17" s="121" t="str">
        <f>IF(ISBLANK(tbl_task2[[คะแนนเต็ม]:[คะแนนเต็ม]]),"",(tbl_task2[150]/tbl_task2[[คะแนนเต็ม]:[คะแนนเต็ม]])*tbl_task2[[%]:[%]])</f>
        <v/>
      </c>
      <c r="LI17" s="121" t="str">
        <f>IF(ISBLANK(tbl_task2[[คะแนนเต็ม]:[คะแนนเต็ม]]),"",(tbl_task2[151]/tbl_task2[[คะแนนเต็ม]:[คะแนนเต็ม]])*tbl_task2[[%]:[%]])</f>
        <v/>
      </c>
      <c r="LJ17" s="121" t="str">
        <f>IF(ISBLANK(tbl_task2[[คะแนนเต็ม]:[คะแนนเต็ม]]),"",(tbl_task2[152]/tbl_task2[[คะแนนเต็ม]:[คะแนนเต็ม]])*tbl_task2[[%]:[%]])</f>
        <v/>
      </c>
      <c r="LK17" s="121" t="str">
        <f>IF(ISBLANK(tbl_task2[[คะแนนเต็ม]:[คะแนนเต็ม]]),"",(tbl_task2[153]/tbl_task2[[คะแนนเต็ม]:[คะแนนเต็ม]])*tbl_task2[[%]:[%]])</f>
        <v/>
      </c>
      <c r="LL17" s="121" t="str">
        <f>IF(ISBLANK(tbl_task2[[คะแนนเต็ม]:[คะแนนเต็ม]]),"",(tbl_task2[154]/tbl_task2[[คะแนนเต็ม]:[คะแนนเต็ม]])*tbl_task2[[%]:[%]])</f>
        <v/>
      </c>
      <c r="LM17" s="121" t="str">
        <f>IF(ISBLANK(tbl_task2[[คะแนนเต็ม]:[คะแนนเต็ม]]),"",(tbl_task2[155]/tbl_task2[[คะแนนเต็ม]:[คะแนนเต็ม]])*tbl_task2[[%]:[%]])</f>
        <v/>
      </c>
      <c r="LN17" s="121" t="str">
        <f>IF(ISBLANK(tbl_task2[[คะแนนเต็ม]:[คะแนนเต็ม]]),"",(tbl_task2[156]/tbl_task2[[คะแนนเต็ม]:[คะแนนเต็ม]])*tbl_task2[[%]:[%]])</f>
        <v/>
      </c>
      <c r="LO17" s="121" t="str">
        <f>IF(ISBLANK(tbl_task2[[คะแนนเต็ม]:[คะแนนเต็ม]]),"",(tbl_task2[157]/tbl_task2[[คะแนนเต็ม]:[คะแนนเต็ม]])*tbl_task2[[%]:[%]])</f>
        <v/>
      </c>
      <c r="LP17" s="121" t="str">
        <f>IF(ISBLANK(tbl_task2[[คะแนนเต็ม]:[คะแนนเต็ม]]),"",(tbl_task2[158]/tbl_task2[[คะแนนเต็ม]:[คะแนนเต็ม]])*tbl_task2[[%]:[%]])</f>
        <v/>
      </c>
      <c r="LQ17" s="121" t="str">
        <f>IF(ISBLANK(tbl_task2[[คะแนนเต็ม]:[คะแนนเต็ม]]),"",(tbl_task2[159]/tbl_task2[[คะแนนเต็ม]:[คะแนนเต็ม]])*tbl_task2[[%]:[%]])</f>
        <v/>
      </c>
      <c r="LR17" s="121" t="str">
        <f>IF(ISBLANK(tbl_task2[[คะแนนเต็ม]:[คะแนนเต็ม]]),"",(tbl_task2[160]/tbl_task2[[คะแนนเต็ม]:[คะแนนเต็ม]])*tbl_task2[[%]:[%]])</f>
        <v/>
      </c>
      <c r="LS17" s="121" t="str">
        <f>IF(ISBLANK(tbl_task2[[คะแนนเต็ม]:[คะแนนเต็ม]]),"",(tbl_task2[161]/tbl_task2[[คะแนนเต็ม]:[คะแนนเต็ม]])*tbl_task2[[%]:[%]])</f>
        <v/>
      </c>
      <c r="LT17" s="121" t="str">
        <f>IF(ISBLANK(tbl_task2[[คะแนนเต็ม]:[คะแนนเต็ม]]),"",(tbl_task2[162]/tbl_task2[[คะแนนเต็ม]:[คะแนนเต็ม]])*tbl_task2[[%]:[%]])</f>
        <v/>
      </c>
      <c r="LU17" s="121" t="str">
        <f>IF(ISBLANK(tbl_task2[[คะแนนเต็ม]:[คะแนนเต็ม]]),"",(tbl_task2[163]/tbl_task2[[คะแนนเต็ม]:[คะแนนเต็ม]])*tbl_task2[[%]:[%]])</f>
        <v/>
      </c>
      <c r="LV17" s="121" t="str">
        <f>IF(ISBLANK(tbl_task2[[คะแนนเต็ม]:[คะแนนเต็ม]]),"",(tbl_task2[164]/tbl_task2[[คะแนนเต็ม]:[คะแนนเต็ม]])*tbl_task2[[%]:[%]])</f>
        <v/>
      </c>
      <c r="LW17" s="121" t="str">
        <f>IF(ISBLANK(tbl_task2[[คะแนนเต็ม]:[คะแนนเต็ม]]),"",(tbl_task2[165]/tbl_task2[[คะแนนเต็ม]:[คะแนนเต็ม]])*tbl_task2[[%]:[%]])</f>
        <v/>
      </c>
    </row>
    <row r="18" spans="1:335" ht="24" customHeight="1" x14ac:dyDescent="0.25">
      <c r="A18" s="24">
        <v>15</v>
      </c>
      <c r="B18" s="20"/>
      <c r="C18" s="5" t="str">
        <f>IF(ISBLANK(B18),"",VLOOKUP(B18,tbl_PLOs[],2,0))</f>
        <v/>
      </c>
      <c r="D18" s="102"/>
      <c r="E18" s="106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121" t="str">
        <f>IF(ISBLANK(tbl_task2[[คะแนนเต็ม]:[คะแนนเต็ม]]),"",(tbl_task2[1]/tbl_task2[[คะแนนเต็ม]:[คะแนนเต็ม]])*tbl_task2[[%]:[%]])</f>
        <v/>
      </c>
      <c r="FP18" s="121" t="str">
        <f>IF(ISBLANK(tbl_task2[[คะแนนเต็ม]:[คะแนนเต็ม]]),"",(tbl_task2[2]/tbl_task2[[คะแนนเต็ม]:[คะแนนเต็ม]])*tbl_task2[[%]:[%]])</f>
        <v/>
      </c>
      <c r="FQ18" s="121" t="str">
        <f>IF(ISBLANK(tbl_task2[[คะแนนเต็ม]:[คะแนนเต็ม]]),"",(tbl_task2[3]/tbl_task2[[คะแนนเต็ม]:[คะแนนเต็ม]])*tbl_task2[[%]:[%]])</f>
        <v/>
      </c>
      <c r="FR18" s="121" t="str">
        <f>IF(ISBLANK(tbl_task2[[คะแนนเต็ม]:[คะแนนเต็ม]]),"",(tbl_task2[4]/tbl_task2[[คะแนนเต็ม]:[คะแนนเต็ม]])*tbl_task2[[%]:[%]])</f>
        <v/>
      </c>
      <c r="FS18" s="121" t="str">
        <f>IF(ISBLANK(tbl_task2[[คะแนนเต็ม]:[คะแนนเต็ม]]),"",(tbl_task2[5]/tbl_task2[[คะแนนเต็ม]:[คะแนนเต็ม]])*tbl_task2[[%]:[%]])</f>
        <v/>
      </c>
      <c r="FT18" s="121" t="str">
        <f>IF(ISBLANK(tbl_task2[[คะแนนเต็ม]:[คะแนนเต็ม]]),"",(tbl_task2[6]/tbl_task2[[คะแนนเต็ม]:[คะแนนเต็ม]])*tbl_task2[[%]:[%]])</f>
        <v/>
      </c>
      <c r="FU18" s="121" t="str">
        <f>IF(ISBLANK(tbl_task2[[คะแนนเต็ม]:[คะแนนเต็ม]]),"",(tbl_task2[7]/tbl_task2[[คะแนนเต็ม]:[คะแนนเต็ม]])*tbl_task2[[%]:[%]])</f>
        <v/>
      </c>
      <c r="FV18" s="121" t="str">
        <f>IF(ISBLANK(tbl_task2[[คะแนนเต็ม]:[คะแนนเต็ม]]),"",(tbl_task2[8]/tbl_task2[[คะแนนเต็ม]:[คะแนนเต็ม]])*tbl_task2[[%]:[%]])</f>
        <v/>
      </c>
      <c r="FW18" s="121" t="str">
        <f>IF(ISBLANK(tbl_task2[[คะแนนเต็ม]:[คะแนนเต็ม]]),"",(tbl_task2[9]/tbl_task2[[คะแนนเต็ม]:[คะแนนเต็ม]])*tbl_task2[[%]:[%]])</f>
        <v/>
      </c>
      <c r="FX18" s="121" t="str">
        <f>IF(ISBLANK(tbl_task2[[คะแนนเต็ม]:[คะแนนเต็ม]]),"",(tbl_task2[10]/tbl_task2[[คะแนนเต็ม]:[คะแนนเต็ม]])*tbl_task2[[%]:[%]])</f>
        <v/>
      </c>
      <c r="FY18" s="121" t="str">
        <f>IF(ISBLANK(tbl_task2[[คะแนนเต็ม]:[คะแนนเต็ม]]),"",(tbl_task2[11]/tbl_task2[[คะแนนเต็ม]:[คะแนนเต็ม]])*tbl_task2[[%]:[%]])</f>
        <v/>
      </c>
      <c r="FZ18" s="121" t="str">
        <f>IF(ISBLANK(tbl_task2[[คะแนนเต็ม]:[คะแนนเต็ม]]),"",(tbl_task2[12]/tbl_task2[[คะแนนเต็ม]:[คะแนนเต็ม]])*tbl_task2[[%]:[%]])</f>
        <v/>
      </c>
      <c r="GA18" s="121" t="str">
        <f>IF(ISBLANK(tbl_task2[[คะแนนเต็ม]:[คะแนนเต็ม]]),"",(tbl_task2[13]/tbl_task2[[คะแนนเต็ม]:[คะแนนเต็ม]])*tbl_task2[[%]:[%]])</f>
        <v/>
      </c>
      <c r="GB18" s="121" t="str">
        <f>IF(ISBLANK(tbl_task2[[คะแนนเต็ม]:[คะแนนเต็ม]]),"",(tbl_task2[14]/tbl_task2[[คะแนนเต็ม]:[คะแนนเต็ม]])*tbl_task2[[%]:[%]])</f>
        <v/>
      </c>
      <c r="GC18" s="121" t="str">
        <f>IF(ISBLANK(tbl_task2[[คะแนนเต็ม]:[คะแนนเต็ม]]),"",(tbl_task2[15]/tbl_task2[[คะแนนเต็ม]:[คะแนนเต็ม]])*tbl_task2[[%]:[%]])</f>
        <v/>
      </c>
      <c r="GD18" s="121" t="str">
        <f>IF(ISBLANK(tbl_task2[[คะแนนเต็ม]:[คะแนนเต็ม]]),"",(tbl_task2[16]/tbl_task2[[คะแนนเต็ม]:[คะแนนเต็ม]])*tbl_task2[[%]:[%]])</f>
        <v/>
      </c>
      <c r="GE18" s="121" t="str">
        <f>IF(ISBLANK(tbl_task2[[คะแนนเต็ม]:[คะแนนเต็ม]]),"",(tbl_task2[17]/tbl_task2[[คะแนนเต็ม]:[คะแนนเต็ม]])*tbl_task2[[%]:[%]])</f>
        <v/>
      </c>
      <c r="GF18" s="121" t="str">
        <f>IF(ISBLANK(tbl_task2[[คะแนนเต็ม]:[คะแนนเต็ม]]),"",(tbl_task2[18]/tbl_task2[[คะแนนเต็ม]:[คะแนนเต็ม]])*tbl_task2[[%]:[%]])</f>
        <v/>
      </c>
      <c r="GG18" s="121" t="str">
        <f>IF(ISBLANK(tbl_task2[[คะแนนเต็ม]:[คะแนนเต็ม]]),"",(tbl_task2[19]/tbl_task2[[คะแนนเต็ม]:[คะแนนเต็ม]])*tbl_task2[[%]:[%]])</f>
        <v/>
      </c>
      <c r="GH18" s="121" t="str">
        <f>IF(ISBLANK(tbl_task2[[คะแนนเต็ม]:[คะแนนเต็ม]]),"",(tbl_task2[20]/tbl_task2[[คะแนนเต็ม]:[คะแนนเต็ม]])*tbl_task2[[%]:[%]])</f>
        <v/>
      </c>
      <c r="GI18" s="121" t="str">
        <f>IF(ISBLANK(tbl_task2[[คะแนนเต็ม]:[คะแนนเต็ม]]),"",(tbl_task2[21]/tbl_task2[[คะแนนเต็ม]:[คะแนนเต็ม]])*tbl_task2[[%]:[%]])</f>
        <v/>
      </c>
      <c r="GJ18" s="121" t="str">
        <f>IF(ISBLANK(tbl_task2[[คะแนนเต็ม]:[คะแนนเต็ม]]),"",(tbl_task2[22]/tbl_task2[[คะแนนเต็ม]:[คะแนนเต็ม]])*tbl_task2[[%]:[%]])</f>
        <v/>
      </c>
      <c r="GK18" s="121" t="str">
        <f>IF(ISBLANK(tbl_task2[[คะแนนเต็ม]:[คะแนนเต็ม]]),"",(tbl_task2[23]/tbl_task2[[คะแนนเต็ม]:[คะแนนเต็ม]])*tbl_task2[[%]:[%]])</f>
        <v/>
      </c>
      <c r="GL18" s="121" t="str">
        <f>IF(ISBLANK(tbl_task2[[คะแนนเต็ม]:[คะแนนเต็ม]]),"",(tbl_task2[24]/tbl_task2[[คะแนนเต็ม]:[คะแนนเต็ม]])*tbl_task2[[%]:[%]])</f>
        <v/>
      </c>
      <c r="GM18" s="121" t="str">
        <f>IF(ISBLANK(tbl_task2[[คะแนนเต็ม]:[คะแนนเต็ม]]),"",(tbl_task2[25]/tbl_task2[[คะแนนเต็ม]:[คะแนนเต็ม]])*tbl_task2[[%]:[%]])</f>
        <v/>
      </c>
      <c r="GN18" s="121" t="str">
        <f>IF(ISBLANK(tbl_task2[[คะแนนเต็ม]:[คะแนนเต็ม]]),"",(tbl_task2[26]/tbl_task2[[คะแนนเต็ม]:[คะแนนเต็ม]])*tbl_task2[[%]:[%]])</f>
        <v/>
      </c>
      <c r="GO18" s="121" t="str">
        <f>IF(ISBLANK(tbl_task2[[คะแนนเต็ม]:[คะแนนเต็ม]]),"",(tbl_task2[27]/tbl_task2[[คะแนนเต็ม]:[คะแนนเต็ม]])*tbl_task2[[%]:[%]])</f>
        <v/>
      </c>
      <c r="GP18" s="121" t="str">
        <f>IF(ISBLANK(tbl_task2[[คะแนนเต็ม]:[คะแนนเต็ม]]),"",(tbl_task2[28]/tbl_task2[[คะแนนเต็ม]:[คะแนนเต็ม]])*tbl_task2[[%]:[%]])</f>
        <v/>
      </c>
      <c r="GQ18" s="121" t="str">
        <f>IF(ISBLANK(tbl_task2[[คะแนนเต็ม]:[คะแนนเต็ม]]),"",(tbl_task2[29]/tbl_task2[[คะแนนเต็ม]:[คะแนนเต็ม]])*tbl_task2[[%]:[%]])</f>
        <v/>
      </c>
      <c r="GR18" s="121" t="str">
        <f>IF(ISBLANK(tbl_task2[[คะแนนเต็ม]:[คะแนนเต็ม]]),"",(tbl_task2[30]/tbl_task2[[คะแนนเต็ม]:[คะแนนเต็ม]])*tbl_task2[[%]:[%]])</f>
        <v/>
      </c>
      <c r="GS18" s="121" t="str">
        <f>IF(ISBLANK(tbl_task2[[คะแนนเต็ม]:[คะแนนเต็ม]]),"",(tbl_task2[31]/tbl_task2[[คะแนนเต็ม]:[คะแนนเต็ม]])*tbl_task2[[%]:[%]])</f>
        <v/>
      </c>
      <c r="GT18" s="121" t="str">
        <f>IF(ISBLANK(tbl_task2[[คะแนนเต็ม]:[คะแนนเต็ม]]),"",(tbl_task2[32]/tbl_task2[[คะแนนเต็ม]:[คะแนนเต็ม]])*tbl_task2[[%]:[%]])</f>
        <v/>
      </c>
      <c r="GU18" s="121" t="str">
        <f>IF(ISBLANK(tbl_task2[[คะแนนเต็ม]:[คะแนนเต็ม]]),"",(tbl_task2[33]/tbl_task2[[คะแนนเต็ม]:[คะแนนเต็ม]])*tbl_task2[[%]:[%]])</f>
        <v/>
      </c>
      <c r="GV18" s="121" t="str">
        <f>IF(ISBLANK(tbl_task2[[คะแนนเต็ม]:[คะแนนเต็ม]]),"",(tbl_task2[34]/tbl_task2[[คะแนนเต็ม]:[คะแนนเต็ม]])*tbl_task2[[%]:[%]])</f>
        <v/>
      </c>
      <c r="GW18" s="121" t="str">
        <f>IF(ISBLANK(tbl_task2[[คะแนนเต็ม]:[คะแนนเต็ม]]),"",(tbl_task2[35]/tbl_task2[[คะแนนเต็ม]:[คะแนนเต็ม]])*tbl_task2[[%]:[%]])</f>
        <v/>
      </c>
      <c r="GX18" s="121" t="str">
        <f>IF(ISBLANK(tbl_task2[[คะแนนเต็ม]:[คะแนนเต็ม]]),"",(tbl_task2[36]/tbl_task2[[คะแนนเต็ม]:[คะแนนเต็ม]])*tbl_task2[[%]:[%]])</f>
        <v/>
      </c>
      <c r="GY18" s="121" t="str">
        <f>IF(ISBLANK(tbl_task2[[คะแนนเต็ม]:[คะแนนเต็ม]]),"",(tbl_task2[37]/tbl_task2[[คะแนนเต็ม]:[คะแนนเต็ม]])*tbl_task2[[%]:[%]])</f>
        <v/>
      </c>
      <c r="GZ18" s="121" t="str">
        <f>IF(ISBLANK(tbl_task2[[คะแนนเต็ม]:[คะแนนเต็ม]]),"",(tbl_task2[38]/tbl_task2[[คะแนนเต็ม]:[คะแนนเต็ม]])*tbl_task2[[%]:[%]])</f>
        <v/>
      </c>
      <c r="HA18" s="121" t="str">
        <f>IF(ISBLANK(tbl_task2[[คะแนนเต็ม]:[คะแนนเต็ม]]),"",(tbl_task2[39]/tbl_task2[[คะแนนเต็ม]:[คะแนนเต็ม]])*tbl_task2[[%]:[%]])</f>
        <v/>
      </c>
      <c r="HB18" s="121" t="str">
        <f>IF(ISBLANK(tbl_task2[[คะแนนเต็ม]:[คะแนนเต็ม]]),"",(tbl_task2[40]/tbl_task2[[คะแนนเต็ม]:[คะแนนเต็ม]])*tbl_task2[[%]:[%]])</f>
        <v/>
      </c>
      <c r="HC18" s="121" t="str">
        <f>IF(ISBLANK(tbl_task2[[คะแนนเต็ม]:[คะแนนเต็ม]]),"",(tbl_task2[41]/tbl_task2[[คะแนนเต็ม]:[คะแนนเต็ม]])*tbl_task2[[%]:[%]])</f>
        <v/>
      </c>
      <c r="HD18" s="121" t="str">
        <f>IF(ISBLANK(tbl_task2[[คะแนนเต็ม]:[คะแนนเต็ม]]),"",(tbl_task2[42]/tbl_task2[[คะแนนเต็ม]:[คะแนนเต็ม]])*tbl_task2[[%]:[%]])</f>
        <v/>
      </c>
      <c r="HE18" s="121" t="str">
        <f>IF(ISBLANK(tbl_task2[[คะแนนเต็ม]:[คะแนนเต็ม]]),"",(tbl_task2[43]/tbl_task2[[คะแนนเต็ม]:[คะแนนเต็ม]])*tbl_task2[[%]:[%]])</f>
        <v/>
      </c>
      <c r="HF18" s="121" t="str">
        <f>IF(ISBLANK(tbl_task2[[คะแนนเต็ม]:[คะแนนเต็ม]]),"",(tbl_task2[44]/tbl_task2[[คะแนนเต็ม]:[คะแนนเต็ม]])*tbl_task2[[%]:[%]])</f>
        <v/>
      </c>
      <c r="HG18" s="121" t="str">
        <f>IF(ISBLANK(tbl_task2[[คะแนนเต็ม]:[คะแนนเต็ม]]),"",(tbl_task2[45]/tbl_task2[[คะแนนเต็ม]:[คะแนนเต็ม]])*tbl_task2[[%]:[%]])</f>
        <v/>
      </c>
      <c r="HH18" s="121" t="str">
        <f>IF(ISBLANK(tbl_task2[[คะแนนเต็ม]:[คะแนนเต็ม]]),"",(tbl_task2[46]/tbl_task2[[คะแนนเต็ม]:[คะแนนเต็ม]])*tbl_task2[[%]:[%]])</f>
        <v/>
      </c>
      <c r="HI18" s="121" t="str">
        <f>IF(ISBLANK(tbl_task2[[คะแนนเต็ม]:[คะแนนเต็ม]]),"",(tbl_task2[47]/tbl_task2[[คะแนนเต็ม]:[คะแนนเต็ม]])*tbl_task2[[%]:[%]])</f>
        <v/>
      </c>
      <c r="HJ18" s="121" t="str">
        <f>IF(ISBLANK(tbl_task2[[คะแนนเต็ม]:[คะแนนเต็ม]]),"",(tbl_task2[48]/tbl_task2[[คะแนนเต็ม]:[คะแนนเต็ม]])*tbl_task2[[%]:[%]])</f>
        <v/>
      </c>
      <c r="HK18" s="121" t="str">
        <f>IF(ISBLANK(tbl_task2[[คะแนนเต็ม]:[คะแนนเต็ม]]),"",(tbl_task2[49]/tbl_task2[[คะแนนเต็ม]:[คะแนนเต็ม]])*tbl_task2[[%]:[%]])</f>
        <v/>
      </c>
      <c r="HL18" s="121" t="str">
        <f>IF(ISBLANK(tbl_task2[[คะแนนเต็ม]:[คะแนนเต็ม]]),"",(tbl_task2[50]/tbl_task2[[คะแนนเต็ม]:[คะแนนเต็ม]])*tbl_task2[[%]:[%]])</f>
        <v/>
      </c>
      <c r="HM18" s="121" t="str">
        <f>IF(ISBLANK(tbl_task2[[คะแนนเต็ม]:[คะแนนเต็ม]]),"",(tbl_task2[51]/tbl_task2[[คะแนนเต็ม]:[คะแนนเต็ม]])*tbl_task2[[%]:[%]])</f>
        <v/>
      </c>
      <c r="HN18" s="121" t="str">
        <f>IF(ISBLANK(tbl_task2[[คะแนนเต็ม]:[คะแนนเต็ม]]),"",(tbl_task2[52]/tbl_task2[[คะแนนเต็ม]:[คะแนนเต็ม]])*tbl_task2[[%]:[%]])</f>
        <v/>
      </c>
      <c r="HO18" s="121" t="str">
        <f>IF(ISBLANK(tbl_task2[[คะแนนเต็ม]:[คะแนนเต็ม]]),"",(tbl_task2[53]/tbl_task2[[คะแนนเต็ม]:[คะแนนเต็ม]])*tbl_task2[[%]:[%]])</f>
        <v/>
      </c>
      <c r="HP18" s="121" t="str">
        <f>IF(ISBLANK(tbl_task2[[คะแนนเต็ม]:[คะแนนเต็ม]]),"",(tbl_task2[54]/tbl_task2[[คะแนนเต็ม]:[คะแนนเต็ม]])*tbl_task2[[%]:[%]])</f>
        <v/>
      </c>
      <c r="HQ18" s="121" t="str">
        <f>IF(ISBLANK(tbl_task2[[คะแนนเต็ม]:[คะแนนเต็ม]]),"",(tbl_task2[55]/tbl_task2[[คะแนนเต็ม]:[คะแนนเต็ม]])*tbl_task2[[%]:[%]])</f>
        <v/>
      </c>
      <c r="HR18" s="121" t="str">
        <f>IF(ISBLANK(tbl_task2[[คะแนนเต็ม]:[คะแนนเต็ม]]),"",(tbl_task2[56]/tbl_task2[[คะแนนเต็ม]:[คะแนนเต็ม]])*tbl_task2[[%]:[%]])</f>
        <v/>
      </c>
      <c r="HS18" s="121" t="str">
        <f>IF(ISBLANK(tbl_task2[[คะแนนเต็ม]:[คะแนนเต็ม]]),"",(tbl_task2[57]/tbl_task2[[คะแนนเต็ม]:[คะแนนเต็ม]])*tbl_task2[[%]:[%]])</f>
        <v/>
      </c>
      <c r="HT18" s="121" t="str">
        <f>IF(ISBLANK(tbl_task2[[คะแนนเต็ม]:[คะแนนเต็ม]]),"",(tbl_task2[58]/tbl_task2[[คะแนนเต็ม]:[คะแนนเต็ม]])*tbl_task2[[%]:[%]])</f>
        <v/>
      </c>
      <c r="HU18" s="121" t="str">
        <f>IF(ISBLANK(tbl_task2[[คะแนนเต็ม]:[คะแนนเต็ม]]),"",(tbl_task2[59]/tbl_task2[[คะแนนเต็ม]:[คะแนนเต็ม]])*tbl_task2[[%]:[%]])</f>
        <v/>
      </c>
      <c r="HV18" s="121" t="str">
        <f>IF(ISBLANK(tbl_task2[[คะแนนเต็ม]:[คะแนนเต็ม]]),"",(tbl_task2[60]/tbl_task2[[คะแนนเต็ม]:[คะแนนเต็ม]])*tbl_task2[[%]:[%]])</f>
        <v/>
      </c>
      <c r="HW18" s="121" t="str">
        <f>IF(ISBLANK(tbl_task2[[คะแนนเต็ม]:[คะแนนเต็ม]]),"",(tbl_task2[61]/tbl_task2[[คะแนนเต็ม]:[คะแนนเต็ม]])*tbl_task2[[%]:[%]])</f>
        <v/>
      </c>
      <c r="HX18" s="121" t="str">
        <f>IF(ISBLANK(tbl_task2[[คะแนนเต็ม]:[คะแนนเต็ม]]),"",(tbl_task2[62]/tbl_task2[[คะแนนเต็ม]:[คะแนนเต็ม]])*tbl_task2[[%]:[%]])</f>
        <v/>
      </c>
      <c r="HY18" s="121" t="str">
        <f>IF(ISBLANK(tbl_task2[[คะแนนเต็ม]:[คะแนนเต็ม]]),"",(tbl_task2[63]/tbl_task2[[คะแนนเต็ม]:[คะแนนเต็ม]])*tbl_task2[[%]:[%]])</f>
        <v/>
      </c>
      <c r="HZ18" s="121" t="str">
        <f>IF(ISBLANK(tbl_task2[[คะแนนเต็ม]:[คะแนนเต็ม]]),"",(tbl_task2[64]/tbl_task2[[คะแนนเต็ม]:[คะแนนเต็ม]])*tbl_task2[[%]:[%]])</f>
        <v/>
      </c>
      <c r="IA18" s="121" t="str">
        <f>IF(ISBLANK(tbl_task2[[คะแนนเต็ม]:[คะแนนเต็ม]]),"",(tbl_task2[65]/tbl_task2[[คะแนนเต็ม]:[คะแนนเต็ม]])*tbl_task2[[%]:[%]])</f>
        <v/>
      </c>
      <c r="IB18" s="121" t="str">
        <f>IF(ISBLANK(tbl_task2[[คะแนนเต็ม]:[คะแนนเต็ม]]),"",(tbl_task2[66]/tbl_task2[[คะแนนเต็ม]:[คะแนนเต็ม]])*tbl_task2[[%]:[%]])</f>
        <v/>
      </c>
      <c r="IC18" s="121" t="str">
        <f>IF(ISBLANK(tbl_task2[[คะแนนเต็ม]:[คะแนนเต็ม]]),"",(tbl_task2[67]/tbl_task2[[คะแนนเต็ม]:[คะแนนเต็ม]])*tbl_task2[[%]:[%]])</f>
        <v/>
      </c>
      <c r="ID18" s="121" t="str">
        <f>IF(ISBLANK(tbl_task2[[คะแนนเต็ม]:[คะแนนเต็ม]]),"",(tbl_task2[68]/tbl_task2[[คะแนนเต็ม]:[คะแนนเต็ม]])*tbl_task2[[%]:[%]])</f>
        <v/>
      </c>
      <c r="IE18" s="121" t="str">
        <f>IF(ISBLANK(tbl_task2[[คะแนนเต็ม]:[คะแนนเต็ม]]),"",(tbl_task2[69]/tbl_task2[[คะแนนเต็ม]:[คะแนนเต็ม]])*tbl_task2[[%]:[%]])</f>
        <v/>
      </c>
      <c r="IF18" s="121" t="str">
        <f>IF(ISBLANK(tbl_task2[[คะแนนเต็ม]:[คะแนนเต็ม]]),"",(tbl_task2[70]/tbl_task2[[คะแนนเต็ม]:[คะแนนเต็ม]])*tbl_task2[[%]:[%]])</f>
        <v/>
      </c>
      <c r="IG18" s="121" t="str">
        <f>IF(ISBLANK(tbl_task2[[คะแนนเต็ม]:[คะแนนเต็ม]]),"",(tbl_task2[71]/tbl_task2[[คะแนนเต็ม]:[คะแนนเต็ม]])*tbl_task2[[%]:[%]])</f>
        <v/>
      </c>
      <c r="IH18" s="121" t="str">
        <f>IF(ISBLANK(tbl_task2[[คะแนนเต็ม]:[คะแนนเต็ม]]),"",(tbl_task2[72]/tbl_task2[[คะแนนเต็ม]:[คะแนนเต็ม]])*tbl_task2[[%]:[%]])</f>
        <v/>
      </c>
      <c r="II18" s="121" t="str">
        <f>IF(ISBLANK(tbl_task2[[คะแนนเต็ม]:[คะแนนเต็ม]]),"",(tbl_task2[73]/tbl_task2[[คะแนนเต็ม]:[คะแนนเต็ม]])*tbl_task2[[%]:[%]])</f>
        <v/>
      </c>
      <c r="IJ18" s="121" t="str">
        <f>IF(ISBLANK(tbl_task2[[คะแนนเต็ม]:[คะแนนเต็ม]]),"",(tbl_task2[74]/tbl_task2[[คะแนนเต็ม]:[คะแนนเต็ม]])*tbl_task2[[%]:[%]])</f>
        <v/>
      </c>
      <c r="IK18" s="121" t="str">
        <f>IF(ISBLANK(tbl_task2[[คะแนนเต็ม]:[คะแนนเต็ม]]),"",(tbl_task2[75]/tbl_task2[[คะแนนเต็ม]:[คะแนนเต็ม]])*tbl_task2[[%]:[%]])</f>
        <v/>
      </c>
      <c r="IL18" s="121" t="str">
        <f>IF(ISBLANK(tbl_task2[[คะแนนเต็ม]:[คะแนนเต็ม]]),"",(tbl_task2[76]/tbl_task2[[คะแนนเต็ม]:[คะแนนเต็ม]])*tbl_task2[[%]:[%]])</f>
        <v/>
      </c>
      <c r="IM18" s="121" t="str">
        <f>IF(ISBLANK(tbl_task2[[คะแนนเต็ม]:[คะแนนเต็ม]]),"",(tbl_task2[77]/tbl_task2[[คะแนนเต็ม]:[คะแนนเต็ม]])*tbl_task2[[%]:[%]])</f>
        <v/>
      </c>
      <c r="IN18" s="121" t="str">
        <f>IF(ISBLANK(tbl_task2[[คะแนนเต็ม]:[คะแนนเต็ม]]),"",(tbl_task2[78]/tbl_task2[[คะแนนเต็ม]:[คะแนนเต็ม]])*tbl_task2[[%]:[%]])</f>
        <v/>
      </c>
      <c r="IO18" s="121" t="str">
        <f>IF(ISBLANK(tbl_task2[[คะแนนเต็ม]:[คะแนนเต็ม]]),"",(tbl_task2[79]/tbl_task2[[คะแนนเต็ม]:[คะแนนเต็ม]])*tbl_task2[[%]:[%]])</f>
        <v/>
      </c>
      <c r="IP18" s="121" t="str">
        <f>IF(ISBLANK(tbl_task2[[คะแนนเต็ม]:[คะแนนเต็ม]]),"",(tbl_task2[80]/tbl_task2[[คะแนนเต็ม]:[คะแนนเต็ม]])*tbl_task2[[%]:[%]])</f>
        <v/>
      </c>
      <c r="IQ18" s="121" t="str">
        <f>IF(ISBLANK(tbl_task2[[คะแนนเต็ม]:[คะแนนเต็ม]]),"",(tbl_task2[81]/tbl_task2[[คะแนนเต็ม]:[คะแนนเต็ม]])*tbl_task2[[%]:[%]])</f>
        <v/>
      </c>
      <c r="IR18" s="121" t="str">
        <f>IF(ISBLANK(tbl_task2[[คะแนนเต็ม]:[คะแนนเต็ม]]),"",(tbl_task2[82]/tbl_task2[[คะแนนเต็ม]:[คะแนนเต็ม]])*tbl_task2[[%]:[%]])</f>
        <v/>
      </c>
      <c r="IS18" s="121" t="str">
        <f>IF(ISBLANK(tbl_task2[[คะแนนเต็ม]:[คะแนนเต็ม]]),"",(tbl_task2[83]/tbl_task2[[คะแนนเต็ม]:[คะแนนเต็ม]])*tbl_task2[[%]:[%]])</f>
        <v/>
      </c>
      <c r="IT18" s="121" t="str">
        <f>IF(ISBLANK(tbl_task2[[คะแนนเต็ม]:[คะแนนเต็ม]]),"",(tbl_task2[84]/tbl_task2[[คะแนนเต็ม]:[คะแนนเต็ม]])*tbl_task2[[%]:[%]])</f>
        <v/>
      </c>
      <c r="IU18" s="121" t="str">
        <f>IF(ISBLANK(tbl_task2[[คะแนนเต็ม]:[คะแนนเต็ม]]),"",(tbl_task2[85]/tbl_task2[[คะแนนเต็ม]:[คะแนนเต็ม]])*tbl_task2[[%]:[%]])</f>
        <v/>
      </c>
      <c r="IV18" s="121" t="str">
        <f>IF(ISBLANK(tbl_task2[[คะแนนเต็ม]:[คะแนนเต็ม]]),"",(tbl_task2[86]/tbl_task2[[คะแนนเต็ม]:[คะแนนเต็ม]])*tbl_task2[[%]:[%]])</f>
        <v/>
      </c>
      <c r="IW18" s="121" t="str">
        <f>IF(ISBLANK(tbl_task2[[คะแนนเต็ม]:[คะแนนเต็ม]]),"",(tbl_task2[87]/tbl_task2[[คะแนนเต็ม]:[คะแนนเต็ม]])*tbl_task2[[%]:[%]])</f>
        <v/>
      </c>
      <c r="IX18" s="121" t="str">
        <f>IF(ISBLANK(tbl_task2[[คะแนนเต็ม]:[คะแนนเต็ม]]),"",(tbl_task2[88]/tbl_task2[[คะแนนเต็ม]:[คะแนนเต็ม]])*tbl_task2[[%]:[%]])</f>
        <v/>
      </c>
      <c r="IY18" s="121" t="str">
        <f>IF(ISBLANK(tbl_task2[[คะแนนเต็ม]:[คะแนนเต็ม]]),"",(tbl_task2[89]/tbl_task2[[คะแนนเต็ม]:[คะแนนเต็ม]])*tbl_task2[[%]:[%]])</f>
        <v/>
      </c>
      <c r="IZ18" s="121" t="str">
        <f>IF(ISBLANK(tbl_task2[[คะแนนเต็ม]:[คะแนนเต็ม]]),"",(tbl_task2[90]/tbl_task2[[คะแนนเต็ม]:[คะแนนเต็ม]])*tbl_task2[[%]:[%]])</f>
        <v/>
      </c>
      <c r="JA18" s="121" t="str">
        <f>IF(ISBLANK(tbl_task2[[คะแนนเต็ม]:[คะแนนเต็ม]]),"",(tbl_task2[91]/tbl_task2[[คะแนนเต็ม]:[คะแนนเต็ม]])*tbl_task2[[%]:[%]])</f>
        <v/>
      </c>
      <c r="JB18" s="121" t="str">
        <f>IF(ISBLANK(tbl_task2[[คะแนนเต็ม]:[คะแนนเต็ม]]),"",(tbl_task2[92]/tbl_task2[[คะแนนเต็ม]:[คะแนนเต็ม]])*tbl_task2[[%]:[%]])</f>
        <v/>
      </c>
      <c r="JC18" s="121" t="str">
        <f>IF(ISBLANK(tbl_task2[[คะแนนเต็ม]:[คะแนนเต็ม]]),"",(tbl_task2[93]/tbl_task2[[คะแนนเต็ม]:[คะแนนเต็ม]])*tbl_task2[[%]:[%]])</f>
        <v/>
      </c>
      <c r="JD18" s="121" t="str">
        <f>IF(ISBLANK(tbl_task2[[คะแนนเต็ม]:[คะแนนเต็ม]]),"",(tbl_task2[94]/tbl_task2[[คะแนนเต็ม]:[คะแนนเต็ม]])*tbl_task2[[%]:[%]])</f>
        <v/>
      </c>
      <c r="JE18" s="121" t="str">
        <f>IF(ISBLANK(tbl_task2[[คะแนนเต็ม]:[คะแนนเต็ม]]),"",(tbl_task2[95]/tbl_task2[[คะแนนเต็ม]:[คะแนนเต็ม]])*tbl_task2[[%]:[%]])</f>
        <v/>
      </c>
      <c r="JF18" s="121" t="str">
        <f>IF(ISBLANK(tbl_task2[[คะแนนเต็ม]:[คะแนนเต็ม]]),"",(tbl_task2[96]/tbl_task2[[คะแนนเต็ม]:[คะแนนเต็ม]])*tbl_task2[[%]:[%]])</f>
        <v/>
      </c>
      <c r="JG18" s="121" t="str">
        <f>IF(ISBLANK(tbl_task2[[คะแนนเต็ม]:[คะแนนเต็ม]]),"",(tbl_task2[97]/tbl_task2[[คะแนนเต็ม]:[คะแนนเต็ม]])*tbl_task2[[%]:[%]])</f>
        <v/>
      </c>
      <c r="JH18" s="121" t="str">
        <f>IF(ISBLANK(tbl_task2[[คะแนนเต็ม]:[คะแนนเต็ม]]),"",(tbl_task2[98]/tbl_task2[[คะแนนเต็ม]:[คะแนนเต็ม]])*tbl_task2[[%]:[%]])</f>
        <v/>
      </c>
      <c r="JI18" s="121" t="str">
        <f>IF(ISBLANK(tbl_task2[[คะแนนเต็ม]:[คะแนนเต็ม]]),"",(tbl_task2[99]/tbl_task2[[คะแนนเต็ม]:[คะแนนเต็ม]])*tbl_task2[[%]:[%]])</f>
        <v/>
      </c>
      <c r="JJ18" s="121" t="str">
        <f>IF(ISBLANK(tbl_task2[[คะแนนเต็ม]:[คะแนนเต็ม]]),"",(tbl_task2[100]/tbl_task2[[คะแนนเต็ม]:[คะแนนเต็ม]])*tbl_task2[[%]:[%]])</f>
        <v/>
      </c>
      <c r="JK18" s="121" t="str">
        <f>IF(ISBLANK(tbl_task2[[คะแนนเต็ม]:[คะแนนเต็ม]]),"",(tbl_task2[101]/tbl_task2[[คะแนนเต็ม]:[คะแนนเต็ม]])*tbl_task2[[%]:[%]])</f>
        <v/>
      </c>
      <c r="JL18" s="121" t="str">
        <f>IF(ISBLANK(tbl_task2[[คะแนนเต็ม]:[คะแนนเต็ม]]),"",(tbl_task2[102]/tbl_task2[[คะแนนเต็ม]:[คะแนนเต็ม]])*tbl_task2[[%]:[%]])</f>
        <v/>
      </c>
      <c r="JM18" s="121" t="str">
        <f>IF(ISBLANK(tbl_task2[[คะแนนเต็ม]:[คะแนนเต็ม]]),"",(tbl_task2[103]/tbl_task2[[คะแนนเต็ม]:[คะแนนเต็ม]])*tbl_task2[[%]:[%]])</f>
        <v/>
      </c>
      <c r="JN18" s="121" t="str">
        <f>IF(ISBLANK(tbl_task2[[คะแนนเต็ม]:[คะแนนเต็ม]]),"",(tbl_task2[104]/tbl_task2[[คะแนนเต็ม]:[คะแนนเต็ม]])*tbl_task2[[%]:[%]])</f>
        <v/>
      </c>
      <c r="JO18" s="121" t="str">
        <f>IF(ISBLANK(tbl_task2[[คะแนนเต็ม]:[คะแนนเต็ม]]),"",(tbl_task2[105]/tbl_task2[[คะแนนเต็ม]:[คะแนนเต็ม]])*tbl_task2[[%]:[%]])</f>
        <v/>
      </c>
      <c r="JP18" s="121" t="str">
        <f>IF(ISBLANK(tbl_task2[[คะแนนเต็ม]:[คะแนนเต็ม]]),"",(tbl_task2[106]/tbl_task2[[คะแนนเต็ม]:[คะแนนเต็ม]])*tbl_task2[[%]:[%]])</f>
        <v/>
      </c>
      <c r="JQ18" s="121" t="str">
        <f>IF(ISBLANK(tbl_task2[[คะแนนเต็ม]:[คะแนนเต็ม]]),"",(tbl_task2[107]/tbl_task2[[คะแนนเต็ม]:[คะแนนเต็ม]])*tbl_task2[[%]:[%]])</f>
        <v/>
      </c>
      <c r="JR18" s="121" t="str">
        <f>IF(ISBLANK(tbl_task2[[คะแนนเต็ม]:[คะแนนเต็ม]]),"",(tbl_task2[108]/tbl_task2[[คะแนนเต็ม]:[คะแนนเต็ม]])*tbl_task2[[%]:[%]])</f>
        <v/>
      </c>
      <c r="JS18" s="121" t="str">
        <f>IF(ISBLANK(tbl_task2[[คะแนนเต็ม]:[คะแนนเต็ม]]),"",(tbl_task2[109]/tbl_task2[[คะแนนเต็ม]:[คะแนนเต็ม]])*tbl_task2[[%]:[%]])</f>
        <v/>
      </c>
      <c r="JT18" s="121" t="str">
        <f>IF(ISBLANK(tbl_task2[[คะแนนเต็ม]:[คะแนนเต็ม]]),"",(tbl_task2[110]/tbl_task2[[คะแนนเต็ม]:[คะแนนเต็ม]])*tbl_task2[[%]:[%]])</f>
        <v/>
      </c>
      <c r="JU18" s="121" t="str">
        <f>IF(ISBLANK(tbl_task2[[คะแนนเต็ม]:[คะแนนเต็ม]]),"",(tbl_task2[111]/tbl_task2[[คะแนนเต็ม]:[คะแนนเต็ม]])*tbl_task2[[%]:[%]])</f>
        <v/>
      </c>
      <c r="JV18" s="121" t="str">
        <f>IF(ISBLANK(tbl_task2[[คะแนนเต็ม]:[คะแนนเต็ม]]),"",(tbl_task2[112]/tbl_task2[[คะแนนเต็ม]:[คะแนนเต็ม]])*tbl_task2[[%]:[%]])</f>
        <v/>
      </c>
      <c r="JW18" s="121" t="str">
        <f>IF(ISBLANK(tbl_task2[[คะแนนเต็ม]:[คะแนนเต็ม]]),"",(tbl_task2[113]/tbl_task2[[คะแนนเต็ม]:[คะแนนเต็ม]])*tbl_task2[[%]:[%]])</f>
        <v/>
      </c>
      <c r="JX18" s="121" t="str">
        <f>IF(ISBLANK(tbl_task2[[คะแนนเต็ม]:[คะแนนเต็ม]]),"",(tbl_task2[114]/tbl_task2[[คะแนนเต็ม]:[คะแนนเต็ม]])*tbl_task2[[%]:[%]])</f>
        <v/>
      </c>
      <c r="JY18" s="121" t="str">
        <f>IF(ISBLANK(tbl_task2[[คะแนนเต็ม]:[คะแนนเต็ม]]),"",(tbl_task2[115]/tbl_task2[[คะแนนเต็ม]:[คะแนนเต็ม]])*tbl_task2[[%]:[%]])</f>
        <v/>
      </c>
      <c r="JZ18" s="121" t="str">
        <f>IF(ISBLANK(tbl_task2[[คะแนนเต็ม]:[คะแนนเต็ม]]),"",(tbl_task2[116]/tbl_task2[[คะแนนเต็ม]:[คะแนนเต็ม]])*tbl_task2[[%]:[%]])</f>
        <v/>
      </c>
      <c r="KA18" s="121" t="str">
        <f>IF(ISBLANK(tbl_task2[[คะแนนเต็ม]:[คะแนนเต็ม]]),"",(tbl_task2[117]/tbl_task2[[คะแนนเต็ม]:[คะแนนเต็ม]])*tbl_task2[[%]:[%]])</f>
        <v/>
      </c>
      <c r="KB18" s="121" t="str">
        <f>IF(ISBLANK(tbl_task2[[คะแนนเต็ม]:[คะแนนเต็ม]]),"",(tbl_task2[118]/tbl_task2[[คะแนนเต็ม]:[คะแนนเต็ม]])*tbl_task2[[%]:[%]])</f>
        <v/>
      </c>
      <c r="KC18" s="121" t="str">
        <f>IF(ISBLANK(tbl_task2[[คะแนนเต็ม]:[คะแนนเต็ม]]),"",(tbl_task2[119]/tbl_task2[[คะแนนเต็ม]:[คะแนนเต็ม]])*tbl_task2[[%]:[%]])</f>
        <v/>
      </c>
      <c r="KD18" s="121" t="str">
        <f>IF(ISBLANK(tbl_task2[[คะแนนเต็ม]:[คะแนนเต็ม]]),"",(tbl_task2[120]/tbl_task2[[คะแนนเต็ม]:[คะแนนเต็ม]])*tbl_task2[[%]:[%]])</f>
        <v/>
      </c>
      <c r="KE18" s="121" t="str">
        <f>IF(ISBLANK(tbl_task2[[คะแนนเต็ม]:[คะแนนเต็ม]]),"",(tbl_task2[121]/tbl_task2[[คะแนนเต็ม]:[คะแนนเต็ม]])*tbl_task2[[%]:[%]])</f>
        <v/>
      </c>
      <c r="KF18" s="121" t="str">
        <f>IF(ISBLANK(tbl_task2[[คะแนนเต็ม]:[คะแนนเต็ม]]),"",(tbl_task2[122]/tbl_task2[[คะแนนเต็ม]:[คะแนนเต็ม]])*tbl_task2[[%]:[%]])</f>
        <v/>
      </c>
      <c r="KG18" s="121" t="str">
        <f>IF(ISBLANK(tbl_task2[[คะแนนเต็ม]:[คะแนนเต็ม]]),"",(tbl_task2[123]/tbl_task2[[คะแนนเต็ม]:[คะแนนเต็ม]])*tbl_task2[[%]:[%]])</f>
        <v/>
      </c>
      <c r="KH18" s="121" t="str">
        <f>IF(ISBLANK(tbl_task2[[คะแนนเต็ม]:[คะแนนเต็ม]]),"",(tbl_task2[124]/tbl_task2[[คะแนนเต็ม]:[คะแนนเต็ม]])*tbl_task2[[%]:[%]])</f>
        <v/>
      </c>
      <c r="KI18" s="121" t="str">
        <f>IF(ISBLANK(tbl_task2[[คะแนนเต็ม]:[คะแนนเต็ม]]),"",(tbl_task2[125]/tbl_task2[[คะแนนเต็ม]:[คะแนนเต็ม]])*tbl_task2[[%]:[%]])</f>
        <v/>
      </c>
      <c r="KJ18" s="121" t="str">
        <f>IF(ISBLANK(tbl_task2[[คะแนนเต็ม]:[คะแนนเต็ม]]),"",(tbl_task2[126]/tbl_task2[[คะแนนเต็ม]:[คะแนนเต็ม]])*tbl_task2[[%]:[%]])</f>
        <v/>
      </c>
      <c r="KK18" s="121" t="str">
        <f>IF(ISBLANK(tbl_task2[[คะแนนเต็ม]:[คะแนนเต็ม]]),"",(tbl_task2[127]/tbl_task2[[คะแนนเต็ม]:[คะแนนเต็ม]])*tbl_task2[[%]:[%]])</f>
        <v/>
      </c>
      <c r="KL18" s="121" t="str">
        <f>IF(ISBLANK(tbl_task2[[คะแนนเต็ม]:[คะแนนเต็ม]]),"",(tbl_task2[128]/tbl_task2[[คะแนนเต็ม]:[คะแนนเต็ม]])*tbl_task2[[%]:[%]])</f>
        <v/>
      </c>
      <c r="KM18" s="121" t="str">
        <f>IF(ISBLANK(tbl_task2[[คะแนนเต็ม]:[คะแนนเต็ม]]),"",(tbl_task2[129]/tbl_task2[[คะแนนเต็ม]:[คะแนนเต็ม]])*tbl_task2[[%]:[%]])</f>
        <v/>
      </c>
      <c r="KN18" s="121" t="str">
        <f>IF(ISBLANK(tbl_task2[[คะแนนเต็ม]:[คะแนนเต็ม]]),"",(tbl_task2[130]/tbl_task2[[คะแนนเต็ม]:[คะแนนเต็ม]])*tbl_task2[[%]:[%]])</f>
        <v/>
      </c>
      <c r="KO18" s="121" t="str">
        <f>IF(ISBLANK(tbl_task2[[คะแนนเต็ม]:[คะแนนเต็ม]]),"",(tbl_task2[131]/tbl_task2[[คะแนนเต็ม]:[คะแนนเต็ม]])*tbl_task2[[%]:[%]])</f>
        <v/>
      </c>
      <c r="KP18" s="121" t="str">
        <f>IF(ISBLANK(tbl_task2[[คะแนนเต็ม]:[คะแนนเต็ม]]),"",(tbl_task2[132]/tbl_task2[[คะแนนเต็ม]:[คะแนนเต็ม]])*tbl_task2[[%]:[%]])</f>
        <v/>
      </c>
      <c r="KQ18" s="121" t="str">
        <f>IF(ISBLANK(tbl_task2[[คะแนนเต็ม]:[คะแนนเต็ม]]),"",(tbl_task2[133]/tbl_task2[[คะแนนเต็ม]:[คะแนนเต็ม]])*tbl_task2[[%]:[%]])</f>
        <v/>
      </c>
      <c r="KR18" s="121" t="str">
        <f>IF(ISBLANK(tbl_task2[[คะแนนเต็ม]:[คะแนนเต็ม]]),"",(tbl_task2[134]/tbl_task2[[คะแนนเต็ม]:[คะแนนเต็ม]])*tbl_task2[[%]:[%]])</f>
        <v/>
      </c>
      <c r="KS18" s="121" t="str">
        <f>IF(ISBLANK(tbl_task2[[คะแนนเต็ม]:[คะแนนเต็ม]]),"",(tbl_task2[135]/tbl_task2[[คะแนนเต็ม]:[คะแนนเต็ม]])*tbl_task2[[%]:[%]])</f>
        <v/>
      </c>
      <c r="KT18" s="121" t="str">
        <f>IF(ISBLANK(tbl_task2[[คะแนนเต็ม]:[คะแนนเต็ม]]),"",(tbl_task2[136]/tbl_task2[[คะแนนเต็ม]:[คะแนนเต็ม]])*tbl_task2[[%]:[%]])</f>
        <v/>
      </c>
      <c r="KU18" s="121" t="str">
        <f>IF(ISBLANK(tbl_task2[[คะแนนเต็ม]:[คะแนนเต็ม]]),"",(tbl_task2[137]/tbl_task2[[คะแนนเต็ม]:[คะแนนเต็ม]])*tbl_task2[[%]:[%]])</f>
        <v/>
      </c>
      <c r="KV18" s="121" t="str">
        <f>IF(ISBLANK(tbl_task2[[คะแนนเต็ม]:[คะแนนเต็ม]]),"",(tbl_task2[138]/tbl_task2[[คะแนนเต็ม]:[คะแนนเต็ม]])*tbl_task2[[%]:[%]])</f>
        <v/>
      </c>
      <c r="KW18" s="121" t="str">
        <f>IF(ISBLANK(tbl_task2[[คะแนนเต็ม]:[คะแนนเต็ม]]),"",(tbl_task2[139]/tbl_task2[[คะแนนเต็ม]:[คะแนนเต็ม]])*tbl_task2[[%]:[%]])</f>
        <v/>
      </c>
      <c r="KX18" s="121" t="str">
        <f>IF(ISBLANK(tbl_task2[[คะแนนเต็ม]:[คะแนนเต็ม]]),"",(tbl_task2[140]/tbl_task2[[คะแนนเต็ม]:[คะแนนเต็ม]])*tbl_task2[[%]:[%]])</f>
        <v/>
      </c>
      <c r="KY18" s="121" t="str">
        <f>IF(ISBLANK(tbl_task2[[คะแนนเต็ม]:[คะแนนเต็ม]]),"",(tbl_task2[141]/tbl_task2[[คะแนนเต็ม]:[คะแนนเต็ม]])*tbl_task2[[%]:[%]])</f>
        <v/>
      </c>
      <c r="KZ18" s="121" t="str">
        <f>IF(ISBLANK(tbl_task2[[คะแนนเต็ม]:[คะแนนเต็ม]]),"",(tbl_task2[142]/tbl_task2[[คะแนนเต็ม]:[คะแนนเต็ม]])*tbl_task2[[%]:[%]])</f>
        <v/>
      </c>
      <c r="LA18" s="121" t="str">
        <f>IF(ISBLANK(tbl_task2[[คะแนนเต็ม]:[คะแนนเต็ม]]),"",(tbl_task2[143]/tbl_task2[[คะแนนเต็ม]:[คะแนนเต็ม]])*tbl_task2[[%]:[%]])</f>
        <v/>
      </c>
      <c r="LB18" s="121" t="str">
        <f>IF(ISBLANK(tbl_task2[[คะแนนเต็ม]:[คะแนนเต็ม]]),"",(tbl_task2[144]/tbl_task2[[คะแนนเต็ม]:[คะแนนเต็ม]])*tbl_task2[[%]:[%]])</f>
        <v/>
      </c>
      <c r="LC18" s="121" t="str">
        <f>IF(ISBLANK(tbl_task2[[คะแนนเต็ม]:[คะแนนเต็ม]]),"",(tbl_task2[145]/tbl_task2[[คะแนนเต็ม]:[คะแนนเต็ม]])*tbl_task2[[%]:[%]])</f>
        <v/>
      </c>
      <c r="LD18" s="121" t="str">
        <f>IF(ISBLANK(tbl_task2[[คะแนนเต็ม]:[คะแนนเต็ม]]),"",(tbl_task2[146]/tbl_task2[[คะแนนเต็ม]:[คะแนนเต็ม]])*tbl_task2[[%]:[%]])</f>
        <v/>
      </c>
      <c r="LE18" s="121" t="str">
        <f>IF(ISBLANK(tbl_task2[[คะแนนเต็ม]:[คะแนนเต็ม]]),"",(tbl_task2[147]/tbl_task2[[คะแนนเต็ม]:[คะแนนเต็ม]])*tbl_task2[[%]:[%]])</f>
        <v/>
      </c>
      <c r="LF18" s="121" t="str">
        <f>IF(ISBLANK(tbl_task2[[คะแนนเต็ม]:[คะแนนเต็ม]]),"",(tbl_task2[148]/tbl_task2[[คะแนนเต็ม]:[คะแนนเต็ม]])*tbl_task2[[%]:[%]])</f>
        <v/>
      </c>
      <c r="LG18" s="121" t="str">
        <f>IF(ISBLANK(tbl_task2[[คะแนนเต็ม]:[คะแนนเต็ม]]),"",(tbl_task2[149]/tbl_task2[[คะแนนเต็ม]:[คะแนนเต็ม]])*tbl_task2[[%]:[%]])</f>
        <v/>
      </c>
      <c r="LH18" s="121" t="str">
        <f>IF(ISBLANK(tbl_task2[[คะแนนเต็ม]:[คะแนนเต็ม]]),"",(tbl_task2[150]/tbl_task2[[คะแนนเต็ม]:[คะแนนเต็ม]])*tbl_task2[[%]:[%]])</f>
        <v/>
      </c>
      <c r="LI18" s="121" t="str">
        <f>IF(ISBLANK(tbl_task2[[คะแนนเต็ม]:[คะแนนเต็ม]]),"",(tbl_task2[151]/tbl_task2[[คะแนนเต็ม]:[คะแนนเต็ม]])*tbl_task2[[%]:[%]])</f>
        <v/>
      </c>
      <c r="LJ18" s="121" t="str">
        <f>IF(ISBLANK(tbl_task2[[คะแนนเต็ม]:[คะแนนเต็ม]]),"",(tbl_task2[152]/tbl_task2[[คะแนนเต็ม]:[คะแนนเต็ม]])*tbl_task2[[%]:[%]])</f>
        <v/>
      </c>
      <c r="LK18" s="121" t="str">
        <f>IF(ISBLANK(tbl_task2[[คะแนนเต็ม]:[คะแนนเต็ม]]),"",(tbl_task2[153]/tbl_task2[[คะแนนเต็ม]:[คะแนนเต็ม]])*tbl_task2[[%]:[%]])</f>
        <v/>
      </c>
      <c r="LL18" s="121" t="str">
        <f>IF(ISBLANK(tbl_task2[[คะแนนเต็ม]:[คะแนนเต็ม]]),"",(tbl_task2[154]/tbl_task2[[คะแนนเต็ม]:[คะแนนเต็ม]])*tbl_task2[[%]:[%]])</f>
        <v/>
      </c>
      <c r="LM18" s="121" t="str">
        <f>IF(ISBLANK(tbl_task2[[คะแนนเต็ม]:[คะแนนเต็ม]]),"",(tbl_task2[155]/tbl_task2[[คะแนนเต็ม]:[คะแนนเต็ม]])*tbl_task2[[%]:[%]])</f>
        <v/>
      </c>
      <c r="LN18" s="121" t="str">
        <f>IF(ISBLANK(tbl_task2[[คะแนนเต็ม]:[คะแนนเต็ม]]),"",(tbl_task2[156]/tbl_task2[[คะแนนเต็ม]:[คะแนนเต็ม]])*tbl_task2[[%]:[%]])</f>
        <v/>
      </c>
      <c r="LO18" s="121" t="str">
        <f>IF(ISBLANK(tbl_task2[[คะแนนเต็ม]:[คะแนนเต็ม]]),"",(tbl_task2[157]/tbl_task2[[คะแนนเต็ม]:[คะแนนเต็ม]])*tbl_task2[[%]:[%]])</f>
        <v/>
      </c>
      <c r="LP18" s="121" t="str">
        <f>IF(ISBLANK(tbl_task2[[คะแนนเต็ม]:[คะแนนเต็ม]]),"",(tbl_task2[158]/tbl_task2[[คะแนนเต็ม]:[คะแนนเต็ม]])*tbl_task2[[%]:[%]])</f>
        <v/>
      </c>
      <c r="LQ18" s="121" t="str">
        <f>IF(ISBLANK(tbl_task2[[คะแนนเต็ม]:[คะแนนเต็ม]]),"",(tbl_task2[159]/tbl_task2[[คะแนนเต็ม]:[คะแนนเต็ม]])*tbl_task2[[%]:[%]])</f>
        <v/>
      </c>
      <c r="LR18" s="121" t="str">
        <f>IF(ISBLANK(tbl_task2[[คะแนนเต็ม]:[คะแนนเต็ม]]),"",(tbl_task2[160]/tbl_task2[[คะแนนเต็ม]:[คะแนนเต็ม]])*tbl_task2[[%]:[%]])</f>
        <v/>
      </c>
      <c r="LS18" s="121" t="str">
        <f>IF(ISBLANK(tbl_task2[[คะแนนเต็ม]:[คะแนนเต็ม]]),"",(tbl_task2[161]/tbl_task2[[คะแนนเต็ม]:[คะแนนเต็ม]])*tbl_task2[[%]:[%]])</f>
        <v/>
      </c>
      <c r="LT18" s="121" t="str">
        <f>IF(ISBLANK(tbl_task2[[คะแนนเต็ม]:[คะแนนเต็ม]]),"",(tbl_task2[162]/tbl_task2[[คะแนนเต็ม]:[คะแนนเต็ม]])*tbl_task2[[%]:[%]])</f>
        <v/>
      </c>
      <c r="LU18" s="121" t="str">
        <f>IF(ISBLANK(tbl_task2[[คะแนนเต็ม]:[คะแนนเต็ม]]),"",(tbl_task2[163]/tbl_task2[[คะแนนเต็ม]:[คะแนนเต็ม]])*tbl_task2[[%]:[%]])</f>
        <v/>
      </c>
      <c r="LV18" s="121" t="str">
        <f>IF(ISBLANK(tbl_task2[[คะแนนเต็ม]:[คะแนนเต็ม]]),"",(tbl_task2[164]/tbl_task2[[คะแนนเต็ม]:[คะแนนเต็ม]])*tbl_task2[[%]:[%]])</f>
        <v/>
      </c>
      <c r="LW18" s="121" t="str">
        <f>IF(ISBLANK(tbl_task2[[คะแนนเต็ม]:[คะแนนเต็ม]]),"",(tbl_task2[165]/tbl_task2[[คะแนนเต็ม]:[คะแนนเต็ม]])*tbl_task2[[%]:[%]])</f>
        <v/>
      </c>
    </row>
    <row r="19" spans="1:335" ht="24" customHeight="1" x14ac:dyDescent="0.25">
      <c r="A19" s="24">
        <v>16</v>
      </c>
      <c r="B19" s="20"/>
      <c r="C19" s="5" t="str">
        <f>IF(ISBLANK(B19),"",VLOOKUP(B19,tbl_PLOs[],2,0))</f>
        <v/>
      </c>
      <c r="D19" s="102"/>
      <c r="E19" s="106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121" t="str">
        <f>IF(ISBLANK(tbl_task2[[คะแนนเต็ม]:[คะแนนเต็ม]]),"",(tbl_task2[1]/tbl_task2[[คะแนนเต็ม]:[คะแนนเต็ม]])*tbl_task2[[%]:[%]])</f>
        <v/>
      </c>
      <c r="FP19" s="121" t="str">
        <f>IF(ISBLANK(tbl_task2[[คะแนนเต็ม]:[คะแนนเต็ม]]),"",(tbl_task2[2]/tbl_task2[[คะแนนเต็ม]:[คะแนนเต็ม]])*tbl_task2[[%]:[%]])</f>
        <v/>
      </c>
      <c r="FQ19" s="121" t="str">
        <f>IF(ISBLANK(tbl_task2[[คะแนนเต็ม]:[คะแนนเต็ม]]),"",(tbl_task2[3]/tbl_task2[[คะแนนเต็ม]:[คะแนนเต็ม]])*tbl_task2[[%]:[%]])</f>
        <v/>
      </c>
      <c r="FR19" s="121" t="str">
        <f>IF(ISBLANK(tbl_task2[[คะแนนเต็ม]:[คะแนนเต็ม]]),"",(tbl_task2[4]/tbl_task2[[คะแนนเต็ม]:[คะแนนเต็ม]])*tbl_task2[[%]:[%]])</f>
        <v/>
      </c>
      <c r="FS19" s="121" t="str">
        <f>IF(ISBLANK(tbl_task2[[คะแนนเต็ม]:[คะแนนเต็ม]]),"",(tbl_task2[5]/tbl_task2[[คะแนนเต็ม]:[คะแนนเต็ม]])*tbl_task2[[%]:[%]])</f>
        <v/>
      </c>
      <c r="FT19" s="121" t="str">
        <f>IF(ISBLANK(tbl_task2[[คะแนนเต็ม]:[คะแนนเต็ม]]),"",(tbl_task2[6]/tbl_task2[[คะแนนเต็ม]:[คะแนนเต็ม]])*tbl_task2[[%]:[%]])</f>
        <v/>
      </c>
      <c r="FU19" s="121" t="str">
        <f>IF(ISBLANK(tbl_task2[[คะแนนเต็ม]:[คะแนนเต็ม]]),"",(tbl_task2[7]/tbl_task2[[คะแนนเต็ม]:[คะแนนเต็ม]])*tbl_task2[[%]:[%]])</f>
        <v/>
      </c>
      <c r="FV19" s="121" t="str">
        <f>IF(ISBLANK(tbl_task2[[คะแนนเต็ม]:[คะแนนเต็ม]]),"",(tbl_task2[8]/tbl_task2[[คะแนนเต็ม]:[คะแนนเต็ม]])*tbl_task2[[%]:[%]])</f>
        <v/>
      </c>
      <c r="FW19" s="121" t="str">
        <f>IF(ISBLANK(tbl_task2[[คะแนนเต็ม]:[คะแนนเต็ม]]),"",(tbl_task2[9]/tbl_task2[[คะแนนเต็ม]:[คะแนนเต็ม]])*tbl_task2[[%]:[%]])</f>
        <v/>
      </c>
      <c r="FX19" s="121" t="str">
        <f>IF(ISBLANK(tbl_task2[[คะแนนเต็ม]:[คะแนนเต็ม]]),"",(tbl_task2[10]/tbl_task2[[คะแนนเต็ม]:[คะแนนเต็ม]])*tbl_task2[[%]:[%]])</f>
        <v/>
      </c>
      <c r="FY19" s="121" t="str">
        <f>IF(ISBLANK(tbl_task2[[คะแนนเต็ม]:[คะแนนเต็ม]]),"",(tbl_task2[11]/tbl_task2[[คะแนนเต็ม]:[คะแนนเต็ม]])*tbl_task2[[%]:[%]])</f>
        <v/>
      </c>
      <c r="FZ19" s="121" t="str">
        <f>IF(ISBLANK(tbl_task2[[คะแนนเต็ม]:[คะแนนเต็ม]]),"",(tbl_task2[12]/tbl_task2[[คะแนนเต็ม]:[คะแนนเต็ม]])*tbl_task2[[%]:[%]])</f>
        <v/>
      </c>
      <c r="GA19" s="121" t="str">
        <f>IF(ISBLANK(tbl_task2[[คะแนนเต็ม]:[คะแนนเต็ม]]),"",(tbl_task2[13]/tbl_task2[[คะแนนเต็ม]:[คะแนนเต็ม]])*tbl_task2[[%]:[%]])</f>
        <v/>
      </c>
      <c r="GB19" s="121" t="str">
        <f>IF(ISBLANK(tbl_task2[[คะแนนเต็ม]:[คะแนนเต็ม]]),"",(tbl_task2[14]/tbl_task2[[คะแนนเต็ม]:[คะแนนเต็ม]])*tbl_task2[[%]:[%]])</f>
        <v/>
      </c>
      <c r="GC19" s="121" t="str">
        <f>IF(ISBLANK(tbl_task2[[คะแนนเต็ม]:[คะแนนเต็ม]]),"",(tbl_task2[15]/tbl_task2[[คะแนนเต็ม]:[คะแนนเต็ม]])*tbl_task2[[%]:[%]])</f>
        <v/>
      </c>
      <c r="GD19" s="121" t="str">
        <f>IF(ISBLANK(tbl_task2[[คะแนนเต็ม]:[คะแนนเต็ม]]),"",(tbl_task2[16]/tbl_task2[[คะแนนเต็ม]:[คะแนนเต็ม]])*tbl_task2[[%]:[%]])</f>
        <v/>
      </c>
      <c r="GE19" s="121" t="str">
        <f>IF(ISBLANK(tbl_task2[[คะแนนเต็ม]:[คะแนนเต็ม]]),"",(tbl_task2[17]/tbl_task2[[คะแนนเต็ม]:[คะแนนเต็ม]])*tbl_task2[[%]:[%]])</f>
        <v/>
      </c>
      <c r="GF19" s="121" t="str">
        <f>IF(ISBLANK(tbl_task2[[คะแนนเต็ม]:[คะแนนเต็ม]]),"",(tbl_task2[18]/tbl_task2[[คะแนนเต็ม]:[คะแนนเต็ม]])*tbl_task2[[%]:[%]])</f>
        <v/>
      </c>
      <c r="GG19" s="121" t="str">
        <f>IF(ISBLANK(tbl_task2[[คะแนนเต็ม]:[คะแนนเต็ม]]),"",(tbl_task2[19]/tbl_task2[[คะแนนเต็ม]:[คะแนนเต็ม]])*tbl_task2[[%]:[%]])</f>
        <v/>
      </c>
      <c r="GH19" s="121" t="str">
        <f>IF(ISBLANK(tbl_task2[[คะแนนเต็ม]:[คะแนนเต็ม]]),"",(tbl_task2[20]/tbl_task2[[คะแนนเต็ม]:[คะแนนเต็ม]])*tbl_task2[[%]:[%]])</f>
        <v/>
      </c>
      <c r="GI19" s="121" t="str">
        <f>IF(ISBLANK(tbl_task2[[คะแนนเต็ม]:[คะแนนเต็ม]]),"",(tbl_task2[21]/tbl_task2[[คะแนนเต็ม]:[คะแนนเต็ม]])*tbl_task2[[%]:[%]])</f>
        <v/>
      </c>
      <c r="GJ19" s="121" t="str">
        <f>IF(ISBLANK(tbl_task2[[คะแนนเต็ม]:[คะแนนเต็ม]]),"",(tbl_task2[22]/tbl_task2[[คะแนนเต็ม]:[คะแนนเต็ม]])*tbl_task2[[%]:[%]])</f>
        <v/>
      </c>
      <c r="GK19" s="121" t="str">
        <f>IF(ISBLANK(tbl_task2[[คะแนนเต็ม]:[คะแนนเต็ม]]),"",(tbl_task2[23]/tbl_task2[[คะแนนเต็ม]:[คะแนนเต็ม]])*tbl_task2[[%]:[%]])</f>
        <v/>
      </c>
      <c r="GL19" s="121" t="str">
        <f>IF(ISBLANK(tbl_task2[[คะแนนเต็ม]:[คะแนนเต็ม]]),"",(tbl_task2[24]/tbl_task2[[คะแนนเต็ม]:[คะแนนเต็ม]])*tbl_task2[[%]:[%]])</f>
        <v/>
      </c>
      <c r="GM19" s="121" t="str">
        <f>IF(ISBLANK(tbl_task2[[คะแนนเต็ม]:[คะแนนเต็ม]]),"",(tbl_task2[25]/tbl_task2[[คะแนนเต็ม]:[คะแนนเต็ม]])*tbl_task2[[%]:[%]])</f>
        <v/>
      </c>
      <c r="GN19" s="121" t="str">
        <f>IF(ISBLANK(tbl_task2[[คะแนนเต็ม]:[คะแนนเต็ม]]),"",(tbl_task2[26]/tbl_task2[[คะแนนเต็ม]:[คะแนนเต็ม]])*tbl_task2[[%]:[%]])</f>
        <v/>
      </c>
      <c r="GO19" s="121" t="str">
        <f>IF(ISBLANK(tbl_task2[[คะแนนเต็ม]:[คะแนนเต็ม]]),"",(tbl_task2[27]/tbl_task2[[คะแนนเต็ม]:[คะแนนเต็ม]])*tbl_task2[[%]:[%]])</f>
        <v/>
      </c>
      <c r="GP19" s="121" t="str">
        <f>IF(ISBLANK(tbl_task2[[คะแนนเต็ม]:[คะแนนเต็ม]]),"",(tbl_task2[28]/tbl_task2[[คะแนนเต็ม]:[คะแนนเต็ม]])*tbl_task2[[%]:[%]])</f>
        <v/>
      </c>
      <c r="GQ19" s="121" t="str">
        <f>IF(ISBLANK(tbl_task2[[คะแนนเต็ม]:[คะแนนเต็ม]]),"",(tbl_task2[29]/tbl_task2[[คะแนนเต็ม]:[คะแนนเต็ม]])*tbl_task2[[%]:[%]])</f>
        <v/>
      </c>
      <c r="GR19" s="121" t="str">
        <f>IF(ISBLANK(tbl_task2[[คะแนนเต็ม]:[คะแนนเต็ม]]),"",(tbl_task2[30]/tbl_task2[[คะแนนเต็ม]:[คะแนนเต็ม]])*tbl_task2[[%]:[%]])</f>
        <v/>
      </c>
      <c r="GS19" s="121" t="str">
        <f>IF(ISBLANK(tbl_task2[[คะแนนเต็ม]:[คะแนนเต็ม]]),"",(tbl_task2[31]/tbl_task2[[คะแนนเต็ม]:[คะแนนเต็ม]])*tbl_task2[[%]:[%]])</f>
        <v/>
      </c>
      <c r="GT19" s="121" t="str">
        <f>IF(ISBLANK(tbl_task2[[คะแนนเต็ม]:[คะแนนเต็ม]]),"",(tbl_task2[32]/tbl_task2[[คะแนนเต็ม]:[คะแนนเต็ม]])*tbl_task2[[%]:[%]])</f>
        <v/>
      </c>
      <c r="GU19" s="121" t="str">
        <f>IF(ISBLANK(tbl_task2[[คะแนนเต็ม]:[คะแนนเต็ม]]),"",(tbl_task2[33]/tbl_task2[[คะแนนเต็ม]:[คะแนนเต็ม]])*tbl_task2[[%]:[%]])</f>
        <v/>
      </c>
      <c r="GV19" s="121" t="str">
        <f>IF(ISBLANK(tbl_task2[[คะแนนเต็ม]:[คะแนนเต็ม]]),"",(tbl_task2[34]/tbl_task2[[คะแนนเต็ม]:[คะแนนเต็ม]])*tbl_task2[[%]:[%]])</f>
        <v/>
      </c>
      <c r="GW19" s="121" t="str">
        <f>IF(ISBLANK(tbl_task2[[คะแนนเต็ม]:[คะแนนเต็ม]]),"",(tbl_task2[35]/tbl_task2[[คะแนนเต็ม]:[คะแนนเต็ม]])*tbl_task2[[%]:[%]])</f>
        <v/>
      </c>
      <c r="GX19" s="121" t="str">
        <f>IF(ISBLANK(tbl_task2[[คะแนนเต็ม]:[คะแนนเต็ม]]),"",(tbl_task2[36]/tbl_task2[[คะแนนเต็ม]:[คะแนนเต็ม]])*tbl_task2[[%]:[%]])</f>
        <v/>
      </c>
      <c r="GY19" s="121" t="str">
        <f>IF(ISBLANK(tbl_task2[[คะแนนเต็ม]:[คะแนนเต็ม]]),"",(tbl_task2[37]/tbl_task2[[คะแนนเต็ม]:[คะแนนเต็ม]])*tbl_task2[[%]:[%]])</f>
        <v/>
      </c>
      <c r="GZ19" s="121" t="str">
        <f>IF(ISBLANK(tbl_task2[[คะแนนเต็ม]:[คะแนนเต็ม]]),"",(tbl_task2[38]/tbl_task2[[คะแนนเต็ม]:[คะแนนเต็ม]])*tbl_task2[[%]:[%]])</f>
        <v/>
      </c>
      <c r="HA19" s="121" t="str">
        <f>IF(ISBLANK(tbl_task2[[คะแนนเต็ม]:[คะแนนเต็ม]]),"",(tbl_task2[39]/tbl_task2[[คะแนนเต็ม]:[คะแนนเต็ม]])*tbl_task2[[%]:[%]])</f>
        <v/>
      </c>
      <c r="HB19" s="121" t="str">
        <f>IF(ISBLANK(tbl_task2[[คะแนนเต็ม]:[คะแนนเต็ม]]),"",(tbl_task2[40]/tbl_task2[[คะแนนเต็ม]:[คะแนนเต็ม]])*tbl_task2[[%]:[%]])</f>
        <v/>
      </c>
      <c r="HC19" s="121" t="str">
        <f>IF(ISBLANK(tbl_task2[[คะแนนเต็ม]:[คะแนนเต็ม]]),"",(tbl_task2[41]/tbl_task2[[คะแนนเต็ม]:[คะแนนเต็ม]])*tbl_task2[[%]:[%]])</f>
        <v/>
      </c>
      <c r="HD19" s="121" t="str">
        <f>IF(ISBLANK(tbl_task2[[คะแนนเต็ม]:[คะแนนเต็ม]]),"",(tbl_task2[42]/tbl_task2[[คะแนนเต็ม]:[คะแนนเต็ม]])*tbl_task2[[%]:[%]])</f>
        <v/>
      </c>
      <c r="HE19" s="121" t="str">
        <f>IF(ISBLANK(tbl_task2[[คะแนนเต็ม]:[คะแนนเต็ม]]),"",(tbl_task2[43]/tbl_task2[[คะแนนเต็ม]:[คะแนนเต็ม]])*tbl_task2[[%]:[%]])</f>
        <v/>
      </c>
      <c r="HF19" s="121" t="str">
        <f>IF(ISBLANK(tbl_task2[[คะแนนเต็ม]:[คะแนนเต็ม]]),"",(tbl_task2[44]/tbl_task2[[คะแนนเต็ม]:[คะแนนเต็ม]])*tbl_task2[[%]:[%]])</f>
        <v/>
      </c>
      <c r="HG19" s="121" t="str">
        <f>IF(ISBLANK(tbl_task2[[คะแนนเต็ม]:[คะแนนเต็ม]]),"",(tbl_task2[45]/tbl_task2[[คะแนนเต็ม]:[คะแนนเต็ม]])*tbl_task2[[%]:[%]])</f>
        <v/>
      </c>
      <c r="HH19" s="121" t="str">
        <f>IF(ISBLANK(tbl_task2[[คะแนนเต็ม]:[คะแนนเต็ม]]),"",(tbl_task2[46]/tbl_task2[[คะแนนเต็ม]:[คะแนนเต็ม]])*tbl_task2[[%]:[%]])</f>
        <v/>
      </c>
      <c r="HI19" s="121" t="str">
        <f>IF(ISBLANK(tbl_task2[[คะแนนเต็ม]:[คะแนนเต็ม]]),"",(tbl_task2[47]/tbl_task2[[คะแนนเต็ม]:[คะแนนเต็ม]])*tbl_task2[[%]:[%]])</f>
        <v/>
      </c>
      <c r="HJ19" s="121" t="str">
        <f>IF(ISBLANK(tbl_task2[[คะแนนเต็ม]:[คะแนนเต็ม]]),"",(tbl_task2[48]/tbl_task2[[คะแนนเต็ม]:[คะแนนเต็ม]])*tbl_task2[[%]:[%]])</f>
        <v/>
      </c>
      <c r="HK19" s="121" t="str">
        <f>IF(ISBLANK(tbl_task2[[คะแนนเต็ม]:[คะแนนเต็ม]]),"",(tbl_task2[49]/tbl_task2[[คะแนนเต็ม]:[คะแนนเต็ม]])*tbl_task2[[%]:[%]])</f>
        <v/>
      </c>
      <c r="HL19" s="121" t="str">
        <f>IF(ISBLANK(tbl_task2[[คะแนนเต็ม]:[คะแนนเต็ม]]),"",(tbl_task2[50]/tbl_task2[[คะแนนเต็ม]:[คะแนนเต็ม]])*tbl_task2[[%]:[%]])</f>
        <v/>
      </c>
      <c r="HM19" s="121" t="str">
        <f>IF(ISBLANK(tbl_task2[[คะแนนเต็ม]:[คะแนนเต็ม]]),"",(tbl_task2[51]/tbl_task2[[คะแนนเต็ม]:[คะแนนเต็ม]])*tbl_task2[[%]:[%]])</f>
        <v/>
      </c>
      <c r="HN19" s="121" t="str">
        <f>IF(ISBLANK(tbl_task2[[คะแนนเต็ม]:[คะแนนเต็ม]]),"",(tbl_task2[52]/tbl_task2[[คะแนนเต็ม]:[คะแนนเต็ม]])*tbl_task2[[%]:[%]])</f>
        <v/>
      </c>
      <c r="HO19" s="121" t="str">
        <f>IF(ISBLANK(tbl_task2[[คะแนนเต็ม]:[คะแนนเต็ม]]),"",(tbl_task2[53]/tbl_task2[[คะแนนเต็ม]:[คะแนนเต็ม]])*tbl_task2[[%]:[%]])</f>
        <v/>
      </c>
      <c r="HP19" s="121" t="str">
        <f>IF(ISBLANK(tbl_task2[[คะแนนเต็ม]:[คะแนนเต็ม]]),"",(tbl_task2[54]/tbl_task2[[คะแนนเต็ม]:[คะแนนเต็ม]])*tbl_task2[[%]:[%]])</f>
        <v/>
      </c>
      <c r="HQ19" s="121" t="str">
        <f>IF(ISBLANK(tbl_task2[[คะแนนเต็ม]:[คะแนนเต็ม]]),"",(tbl_task2[55]/tbl_task2[[คะแนนเต็ม]:[คะแนนเต็ม]])*tbl_task2[[%]:[%]])</f>
        <v/>
      </c>
      <c r="HR19" s="121" t="str">
        <f>IF(ISBLANK(tbl_task2[[คะแนนเต็ม]:[คะแนนเต็ม]]),"",(tbl_task2[56]/tbl_task2[[คะแนนเต็ม]:[คะแนนเต็ม]])*tbl_task2[[%]:[%]])</f>
        <v/>
      </c>
      <c r="HS19" s="121" t="str">
        <f>IF(ISBLANK(tbl_task2[[คะแนนเต็ม]:[คะแนนเต็ม]]),"",(tbl_task2[57]/tbl_task2[[คะแนนเต็ม]:[คะแนนเต็ม]])*tbl_task2[[%]:[%]])</f>
        <v/>
      </c>
      <c r="HT19" s="121" t="str">
        <f>IF(ISBLANK(tbl_task2[[คะแนนเต็ม]:[คะแนนเต็ม]]),"",(tbl_task2[58]/tbl_task2[[คะแนนเต็ม]:[คะแนนเต็ม]])*tbl_task2[[%]:[%]])</f>
        <v/>
      </c>
      <c r="HU19" s="121" t="str">
        <f>IF(ISBLANK(tbl_task2[[คะแนนเต็ม]:[คะแนนเต็ม]]),"",(tbl_task2[59]/tbl_task2[[คะแนนเต็ม]:[คะแนนเต็ม]])*tbl_task2[[%]:[%]])</f>
        <v/>
      </c>
      <c r="HV19" s="121" t="str">
        <f>IF(ISBLANK(tbl_task2[[คะแนนเต็ม]:[คะแนนเต็ม]]),"",(tbl_task2[60]/tbl_task2[[คะแนนเต็ม]:[คะแนนเต็ม]])*tbl_task2[[%]:[%]])</f>
        <v/>
      </c>
      <c r="HW19" s="121" t="str">
        <f>IF(ISBLANK(tbl_task2[[คะแนนเต็ม]:[คะแนนเต็ม]]),"",(tbl_task2[61]/tbl_task2[[คะแนนเต็ม]:[คะแนนเต็ม]])*tbl_task2[[%]:[%]])</f>
        <v/>
      </c>
      <c r="HX19" s="121" t="str">
        <f>IF(ISBLANK(tbl_task2[[คะแนนเต็ม]:[คะแนนเต็ม]]),"",(tbl_task2[62]/tbl_task2[[คะแนนเต็ม]:[คะแนนเต็ม]])*tbl_task2[[%]:[%]])</f>
        <v/>
      </c>
      <c r="HY19" s="121" t="str">
        <f>IF(ISBLANK(tbl_task2[[คะแนนเต็ม]:[คะแนนเต็ม]]),"",(tbl_task2[63]/tbl_task2[[คะแนนเต็ม]:[คะแนนเต็ม]])*tbl_task2[[%]:[%]])</f>
        <v/>
      </c>
      <c r="HZ19" s="121" t="str">
        <f>IF(ISBLANK(tbl_task2[[คะแนนเต็ม]:[คะแนนเต็ม]]),"",(tbl_task2[64]/tbl_task2[[คะแนนเต็ม]:[คะแนนเต็ม]])*tbl_task2[[%]:[%]])</f>
        <v/>
      </c>
      <c r="IA19" s="121" t="str">
        <f>IF(ISBLANK(tbl_task2[[คะแนนเต็ม]:[คะแนนเต็ม]]),"",(tbl_task2[65]/tbl_task2[[คะแนนเต็ม]:[คะแนนเต็ม]])*tbl_task2[[%]:[%]])</f>
        <v/>
      </c>
      <c r="IB19" s="121" t="str">
        <f>IF(ISBLANK(tbl_task2[[คะแนนเต็ม]:[คะแนนเต็ม]]),"",(tbl_task2[66]/tbl_task2[[คะแนนเต็ม]:[คะแนนเต็ม]])*tbl_task2[[%]:[%]])</f>
        <v/>
      </c>
      <c r="IC19" s="121" t="str">
        <f>IF(ISBLANK(tbl_task2[[คะแนนเต็ม]:[คะแนนเต็ม]]),"",(tbl_task2[67]/tbl_task2[[คะแนนเต็ม]:[คะแนนเต็ม]])*tbl_task2[[%]:[%]])</f>
        <v/>
      </c>
      <c r="ID19" s="121" t="str">
        <f>IF(ISBLANK(tbl_task2[[คะแนนเต็ม]:[คะแนนเต็ม]]),"",(tbl_task2[68]/tbl_task2[[คะแนนเต็ม]:[คะแนนเต็ม]])*tbl_task2[[%]:[%]])</f>
        <v/>
      </c>
      <c r="IE19" s="121" t="str">
        <f>IF(ISBLANK(tbl_task2[[คะแนนเต็ม]:[คะแนนเต็ม]]),"",(tbl_task2[69]/tbl_task2[[คะแนนเต็ม]:[คะแนนเต็ม]])*tbl_task2[[%]:[%]])</f>
        <v/>
      </c>
      <c r="IF19" s="121" t="str">
        <f>IF(ISBLANK(tbl_task2[[คะแนนเต็ม]:[คะแนนเต็ม]]),"",(tbl_task2[70]/tbl_task2[[คะแนนเต็ม]:[คะแนนเต็ม]])*tbl_task2[[%]:[%]])</f>
        <v/>
      </c>
      <c r="IG19" s="121" t="str">
        <f>IF(ISBLANK(tbl_task2[[คะแนนเต็ม]:[คะแนนเต็ม]]),"",(tbl_task2[71]/tbl_task2[[คะแนนเต็ม]:[คะแนนเต็ม]])*tbl_task2[[%]:[%]])</f>
        <v/>
      </c>
      <c r="IH19" s="121" t="str">
        <f>IF(ISBLANK(tbl_task2[[คะแนนเต็ม]:[คะแนนเต็ม]]),"",(tbl_task2[72]/tbl_task2[[คะแนนเต็ม]:[คะแนนเต็ม]])*tbl_task2[[%]:[%]])</f>
        <v/>
      </c>
      <c r="II19" s="121" t="str">
        <f>IF(ISBLANK(tbl_task2[[คะแนนเต็ม]:[คะแนนเต็ม]]),"",(tbl_task2[73]/tbl_task2[[คะแนนเต็ม]:[คะแนนเต็ม]])*tbl_task2[[%]:[%]])</f>
        <v/>
      </c>
      <c r="IJ19" s="121" t="str">
        <f>IF(ISBLANK(tbl_task2[[คะแนนเต็ม]:[คะแนนเต็ม]]),"",(tbl_task2[74]/tbl_task2[[คะแนนเต็ม]:[คะแนนเต็ม]])*tbl_task2[[%]:[%]])</f>
        <v/>
      </c>
      <c r="IK19" s="121" t="str">
        <f>IF(ISBLANK(tbl_task2[[คะแนนเต็ม]:[คะแนนเต็ม]]),"",(tbl_task2[75]/tbl_task2[[คะแนนเต็ม]:[คะแนนเต็ม]])*tbl_task2[[%]:[%]])</f>
        <v/>
      </c>
      <c r="IL19" s="121" t="str">
        <f>IF(ISBLANK(tbl_task2[[คะแนนเต็ม]:[คะแนนเต็ม]]),"",(tbl_task2[76]/tbl_task2[[คะแนนเต็ม]:[คะแนนเต็ม]])*tbl_task2[[%]:[%]])</f>
        <v/>
      </c>
      <c r="IM19" s="121" t="str">
        <f>IF(ISBLANK(tbl_task2[[คะแนนเต็ม]:[คะแนนเต็ม]]),"",(tbl_task2[77]/tbl_task2[[คะแนนเต็ม]:[คะแนนเต็ม]])*tbl_task2[[%]:[%]])</f>
        <v/>
      </c>
      <c r="IN19" s="121" t="str">
        <f>IF(ISBLANK(tbl_task2[[คะแนนเต็ม]:[คะแนนเต็ม]]),"",(tbl_task2[78]/tbl_task2[[คะแนนเต็ม]:[คะแนนเต็ม]])*tbl_task2[[%]:[%]])</f>
        <v/>
      </c>
      <c r="IO19" s="121" t="str">
        <f>IF(ISBLANK(tbl_task2[[คะแนนเต็ม]:[คะแนนเต็ม]]),"",(tbl_task2[79]/tbl_task2[[คะแนนเต็ม]:[คะแนนเต็ม]])*tbl_task2[[%]:[%]])</f>
        <v/>
      </c>
      <c r="IP19" s="121" t="str">
        <f>IF(ISBLANK(tbl_task2[[คะแนนเต็ม]:[คะแนนเต็ม]]),"",(tbl_task2[80]/tbl_task2[[คะแนนเต็ม]:[คะแนนเต็ม]])*tbl_task2[[%]:[%]])</f>
        <v/>
      </c>
      <c r="IQ19" s="121" t="str">
        <f>IF(ISBLANK(tbl_task2[[คะแนนเต็ม]:[คะแนนเต็ม]]),"",(tbl_task2[81]/tbl_task2[[คะแนนเต็ม]:[คะแนนเต็ม]])*tbl_task2[[%]:[%]])</f>
        <v/>
      </c>
      <c r="IR19" s="121" t="str">
        <f>IF(ISBLANK(tbl_task2[[คะแนนเต็ม]:[คะแนนเต็ม]]),"",(tbl_task2[82]/tbl_task2[[คะแนนเต็ม]:[คะแนนเต็ม]])*tbl_task2[[%]:[%]])</f>
        <v/>
      </c>
      <c r="IS19" s="121" t="str">
        <f>IF(ISBLANK(tbl_task2[[คะแนนเต็ม]:[คะแนนเต็ม]]),"",(tbl_task2[83]/tbl_task2[[คะแนนเต็ม]:[คะแนนเต็ม]])*tbl_task2[[%]:[%]])</f>
        <v/>
      </c>
      <c r="IT19" s="121" t="str">
        <f>IF(ISBLANK(tbl_task2[[คะแนนเต็ม]:[คะแนนเต็ม]]),"",(tbl_task2[84]/tbl_task2[[คะแนนเต็ม]:[คะแนนเต็ม]])*tbl_task2[[%]:[%]])</f>
        <v/>
      </c>
      <c r="IU19" s="121" t="str">
        <f>IF(ISBLANK(tbl_task2[[คะแนนเต็ม]:[คะแนนเต็ม]]),"",(tbl_task2[85]/tbl_task2[[คะแนนเต็ม]:[คะแนนเต็ม]])*tbl_task2[[%]:[%]])</f>
        <v/>
      </c>
      <c r="IV19" s="121" t="str">
        <f>IF(ISBLANK(tbl_task2[[คะแนนเต็ม]:[คะแนนเต็ม]]),"",(tbl_task2[86]/tbl_task2[[คะแนนเต็ม]:[คะแนนเต็ม]])*tbl_task2[[%]:[%]])</f>
        <v/>
      </c>
      <c r="IW19" s="121" t="str">
        <f>IF(ISBLANK(tbl_task2[[คะแนนเต็ม]:[คะแนนเต็ม]]),"",(tbl_task2[87]/tbl_task2[[คะแนนเต็ม]:[คะแนนเต็ม]])*tbl_task2[[%]:[%]])</f>
        <v/>
      </c>
      <c r="IX19" s="121" t="str">
        <f>IF(ISBLANK(tbl_task2[[คะแนนเต็ม]:[คะแนนเต็ม]]),"",(tbl_task2[88]/tbl_task2[[คะแนนเต็ม]:[คะแนนเต็ม]])*tbl_task2[[%]:[%]])</f>
        <v/>
      </c>
      <c r="IY19" s="121" t="str">
        <f>IF(ISBLANK(tbl_task2[[คะแนนเต็ม]:[คะแนนเต็ม]]),"",(tbl_task2[89]/tbl_task2[[คะแนนเต็ม]:[คะแนนเต็ม]])*tbl_task2[[%]:[%]])</f>
        <v/>
      </c>
      <c r="IZ19" s="121" t="str">
        <f>IF(ISBLANK(tbl_task2[[คะแนนเต็ม]:[คะแนนเต็ม]]),"",(tbl_task2[90]/tbl_task2[[คะแนนเต็ม]:[คะแนนเต็ม]])*tbl_task2[[%]:[%]])</f>
        <v/>
      </c>
      <c r="JA19" s="121" t="str">
        <f>IF(ISBLANK(tbl_task2[[คะแนนเต็ม]:[คะแนนเต็ม]]),"",(tbl_task2[91]/tbl_task2[[คะแนนเต็ม]:[คะแนนเต็ม]])*tbl_task2[[%]:[%]])</f>
        <v/>
      </c>
      <c r="JB19" s="121" t="str">
        <f>IF(ISBLANK(tbl_task2[[คะแนนเต็ม]:[คะแนนเต็ม]]),"",(tbl_task2[92]/tbl_task2[[คะแนนเต็ม]:[คะแนนเต็ม]])*tbl_task2[[%]:[%]])</f>
        <v/>
      </c>
      <c r="JC19" s="121" t="str">
        <f>IF(ISBLANK(tbl_task2[[คะแนนเต็ม]:[คะแนนเต็ม]]),"",(tbl_task2[93]/tbl_task2[[คะแนนเต็ม]:[คะแนนเต็ม]])*tbl_task2[[%]:[%]])</f>
        <v/>
      </c>
      <c r="JD19" s="121" t="str">
        <f>IF(ISBLANK(tbl_task2[[คะแนนเต็ม]:[คะแนนเต็ม]]),"",(tbl_task2[94]/tbl_task2[[คะแนนเต็ม]:[คะแนนเต็ม]])*tbl_task2[[%]:[%]])</f>
        <v/>
      </c>
      <c r="JE19" s="121" t="str">
        <f>IF(ISBLANK(tbl_task2[[คะแนนเต็ม]:[คะแนนเต็ม]]),"",(tbl_task2[95]/tbl_task2[[คะแนนเต็ม]:[คะแนนเต็ม]])*tbl_task2[[%]:[%]])</f>
        <v/>
      </c>
      <c r="JF19" s="121" t="str">
        <f>IF(ISBLANK(tbl_task2[[คะแนนเต็ม]:[คะแนนเต็ม]]),"",(tbl_task2[96]/tbl_task2[[คะแนนเต็ม]:[คะแนนเต็ม]])*tbl_task2[[%]:[%]])</f>
        <v/>
      </c>
      <c r="JG19" s="121" t="str">
        <f>IF(ISBLANK(tbl_task2[[คะแนนเต็ม]:[คะแนนเต็ม]]),"",(tbl_task2[97]/tbl_task2[[คะแนนเต็ม]:[คะแนนเต็ม]])*tbl_task2[[%]:[%]])</f>
        <v/>
      </c>
      <c r="JH19" s="121" t="str">
        <f>IF(ISBLANK(tbl_task2[[คะแนนเต็ม]:[คะแนนเต็ม]]),"",(tbl_task2[98]/tbl_task2[[คะแนนเต็ม]:[คะแนนเต็ม]])*tbl_task2[[%]:[%]])</f>
        <v/>
      </c>
      <c r="JI19" s="121" t="str">
        <f>IF(ISBLANK(tbl_task2[[คะแนนเต็ม]:[คะแนนเต็ม]]),"",(tbl_task2[99]/tbl_task2[[คะแนนเต็ม]:[คะแนนเต็ม]])*tbl_task2[[%]:[%]])</f>
        <v/>
      </c>
      <c r="JJ19" s="121" t="str">
        <f>IF(ISBLANK(tbl_task2[[คะแนนเต็ม]:[คะแนนเต็ม]]),"",(tbl_task2[100]/tbl_task2[[คะแนนเต็ม]:[คะแนนเต็ม]])*tbl_task2[[%]:[%]])</f>
        <v/>
      </c>
      <c r="JK19" s="121" t="str">
        <f>IF(ISBLANK(tbl_task2[[คะแนนเต็ม]:[คะแนนเต็ม]]),"",(tbl_task2[101]/tbl_task2[[คะแนนเต็ม]:[คะแนนเต็ม]])*tbl_task2[[%]:[%]])</f>
        <v/>
      </c>
      <c r="JL19" s="121" t="str">
        <f>IF(ISBLANK(tbl_task2[[คะแนนเต็ม]:[คะแนนเต็ม]]),"",(tbl_task2[102]/tbl_task2[[คะแนนเต็ม]:[คะแนนเต็ม]])*tbl_task2[[%]:[%]])</f>
        <v/>
      </c>
      <c r="JM19" s="121" t="str">
        <f>IF(ISBLANK(tbl_task2[[คะแนนเต็ม]:[คะแนนเต็ม]]),"",(tbl_task2[103]/tbl_task2[[คะแนนเต็ม]:[คะแนนเต็ม]])*tbl_task2[[%]:[%]])</f>
        <v/>
      </c>
      <c r="JN19" s="121" t="str">
        <f>IF(ISBLANK(tbl_task2[[คะแนนเต็ม]:[คะแนนเต็ม]]),"",(tbl_task2[104]/tbl_task2[[คะแนนเต็ม]:[คะแนนเต็ม]])*tbl_task2[[%]:[%]])</f>
        <v/>
      </c>
      <c r="JO19" s="121" t="str">
        <f>IF(ISBLANK(tbl_task2[[คะแนนเต็ม]:[คะแนนเต็ม]]),"",(tbl_task2[105]/tbl_task2[[คะแนนเต็ม]:[คะแนนเต็ม]])*tbl_task2[[%]:[%]])</f>
        <v/>
      </c>
      <c r="JP19" s="121" t="str">
        <f>IF(ISBLANK(tbl_task2[[คะแนนเต็ม]:[คะแนนเต็ม]]),"",(tbl_task2[106]/tbl_task2[[คะแนนเต็ม]:[คะแนนเต็ม]])*tbl_task2[[%]:[%]])</f>
        <v/>
      </c>
      <c r="JQ19" s="121" t="str">
        <f>IF(ISBLANK(tbl_task2[[คะแนนเต็ม]:[คะแนนเต็ม]]),"",(tbl_task2[107]/tbl_task2[[คะแนนเต็ม]:[คะแนนเต็ม]])*tbl_task2[[%]:[%]])</f>
        <v/>
      </c>
      <c r="JR19" s="121" t="str">
        <f>IF(ISBLANK(tbl_task2[[คะแนนเต็ม]:[คะแนนเต็ม]]),"",(tbl_task2[108]/tbl_task2[[คะแนนเต็ม]:[คะแนนเต็ม]])*tbl_task2[[%]:[%]])</f>
        <v/>
      </c>
      <c r="JS19" s="121" t="str">
        <f>IF(ISBLANK(tbl_task2[[คะแนนเต็ม]:[คะแนนเต็ม]]),"",(tbl_task2[109]/tbl_task2[[คะแนนเต็ม]:[คะแนนเต็ม]])*tbl_task2[[%]:[%]])</f>
        <v/>
      </c>
      <c r="JT19" s="121" t="str">
        <f>IF(ISBLANK(tbl_task2[[คะแนนเต็ม]:[คะแนนเต็ม]]),"",(tbl_task2[110]/tbl_task2[[คะแนนเต็ม]:[คะแนนเต็ม]])*tbl_task2[[%]:[%]])</f>
        <v/>
      </c>
      <c r="JU19" s="121" t="str">
        <f>IF(ISBLANK(tbl_task2[[คะแนนเต็ม]:[คะแนนเต็ม]]),"",(tbl_task2[111]/tbl_task2[[คะแนนเต็ม]:[คะแนนเต็ม]])*tbl_task2[[%]:[%]])</f>
        <v/>
      </c>
      <c r="JV19" s="121" t="str">
        <f>IF(ISBLANK(tbl_task2[[คะแนนเต็ม]:[คะแนนเต็ม]]),"",(tbl_task2[112]/tbl_task2[[คะแนนเต็ม]:[คะแนนเต็ม]])*tbl_task2[[%]:[%]])</f>
        <v/>
      </c>
      <c r="JW19" s="121" t="str">
        <f>IF(ISBLANK(tbl_task2[[คะแนนเต็ม]:[คะแนนเต็ม]]),"",(tbl_task2[113]/tbl_task2[[คะแนนเต็ม]:[คะแนนเต็ม]])*tbl_task2[[%]:[%]])</f>
        <v/>
      </c>
      <c r="JX19" s="121" t="str">
        <f>IF(ISBLANK(tbl_task2[[คะแนนเต็ม]:[คะแนนเต็ม]]),"",(tbl_task2[114]/tbl_task2[[คะแนนเต็ม]:[คะแนนเต็ม]])*tbl_task2[[%]:[%]])</f>
        <v/>
      </c>
      <c r="JY19" s="121" t="str">
        <f>IF(ISBLANK(tbl_task2[[คะแนนเต็ม]:[คะแนนเต็ม]]),"",(tbl_task2[115]/tbl_task2[[คะแนนเต็ม]:[คะแนนเต็ม]])*tbl_task2[[%]:[%]])</f>
        <v/>
      </c>
      <c r="JZ19" s="121" t="str">
        <f>IF(ISBLANK(tbl_task2[[คะแนนเต็ม]:[คะแนนเต็ม]]),"",(tbl_task2[116]/tbl_task2[[คะแนนเต็ม]:[คะแนนเต็ม]])*tbl_task2[[%]:[%]])</f>
        <v/>
      </c>
      <c r="KA19" s="121" t="str">
        <f>IF(ISBLANK(tbl_task2[[คะแนนเต็ม]:[คะแนนเต็ม]]),"",(tbl_task2[117]/tbl_task2[[คะแนนเต็ม]:[คะแนนเต็ม]])*tbl_task2[[%]:[%]])</f>
        <v/>
      </c>
      <c r="KB19" s="121" t="str">
        <f>IF(ISBLANK(tbl_task2[[คะแนนเต็ม]:[คะแนนเต็ม]]),"",(tbl_task2[118]/tbl_task2[[คะแนนเต็ม]:[คะแนนเต็ม]])*tbl_task2[[%]:[%]])</f>
        <v/>
      </c>
      <c r="KC19" s="121" t="str">
        <f>IF(ISBLANK(tbl_task2[[คะแนนเต็ม]:[คะแนนเต็ม]]),"",(tbl_task2[119]/tbl_task2[[คะแนนเต็ม]:[คะแนนเต็ม]])*tbl_task2[[%]:[%]])</f>
        <v/>
      </c>
      <c r="KD19" s="121" t="str">
        <f>IF(ISBLANK(tbl_task2[[คะแนนเต็ม]:[คะแนนเต็ม]]),"",(tbl_task2[120]/tbl_task2[[คะแนนเต็ม]:[คะแนนเต็ม]])*tbl_task2[[%]:[%]])</f>
        <v/>
      </c>
      <c r="KE19" s="121" t="str">
        <f>IF(ISBLANK(tbl_task2[[คะแนนเต็ม]:[คะแนนเต็ม]]),"",(tbl_task2[121]/tbl_task2[[คะแนนเต็ม]:[คะแนนเต็ม]])*tbl_task2[[%]:[%]])</f>
        <v/>
      </c>
      <c r="KF19" s="121" t="str">
        <f>IF(ISBLANK(tbl_task2[[คะแนนเต็ม]:[คะแนนเต็ม]]),"",(tbl_task2[122]/tbl_task2[[คะแนนเต็ม]:[คะแนนเต็ม]])*tbl_task2[[%]:[%]])</f>
        <v/>
      </c>
      <c r="KG19" s="121" t="str">
        <f>IF(ISBLANK(tbl_task2[[คะแนนเต็ม]:[คะแนนเต็ม]]),"",(tbl_task2[123]/tbl_task2[[คะแนนเต็ม]:[คะแนนเต็ม]])*tbl_task2[[%]:[%]])</f>
        <v/>
      </c>
      <c r="KH19" s="121" t="str">
        <f>IF(ISBLANK(tbl_task2[[คะแนนเต็ม]:[คะแนนเต็ม]]),"",(tbl_task2[124]/tbl_task2[[คะแนนเต็ม]:[คะแนนเต็ม]])*tbl_task2[[%]:[%]])</f>
        <v/>
      </c>
      <c r="KI19" s="121" t="str">
        <f>IF(ISBLANK(tbl_task2[[คะแนนเต็ม]:[คะแนนเต็ม]]),"",(tbl_task2[125]/tbl_task2[[คะแนนเต็ม]:[คะแนนเต็ม]])*tbl_task2[[%]:[%]])</f>
        <v/>
      </c>
      <c r="KJ19" s="121" t="str">
        <f>IF(ISBLANK(tbl_task2[[คะแนนเต็ม]:[คะแนนเต็ม]]),"",(tbl_task2[126]/tbl_task2[[คะแนนเต็ม]:[คะแนนเต็ม]])*tbl_task2[[%]:[%]])</f>
        <v/>
      </c>
      <c r="KK19" s="121" t="str">
        <f>IF(ISBLANK(tbl_task2[[คะแนนเต็ม]:[คะแนนเต็ม]]),"",(tbl_task2[127]/tbl_task2[[คะแนนเต็ม]:[คะแนนเต็ม]])*tbl_task2[[%]:[%]])</f>
        <v/>
      </c>
      <c r="KL19" s="121" t="str">
        <f>IF(ISBLANK(tbl_task2[[คะแนนเต็ม]:[คะแนนเต็ม]]),"",(tbl_task2[128]/tbl_task2[[คะแนนเต็ม]:[คะแนนเต็ม]])*tbl_task2[[%]:[%]])</f>
        <v/>
      </c>
      <c r="KM19" s="121" t="str">
        <f>IF(ISBLANK(tbl_task2[[คะแนนเต็ม]:[คะแนนเต็ม]]),"",(tbl_task2[129]/tbl_task2[[คะแนนเต็ม]:[คะแนนเต็ม]])*tbl_task2[[%]:[%]])</f>
        <v/>
      </c>
      <c r="KN19" s="121" t="str">
        <f>IF(ISBLANK(tbl_task2[[คะแนนเต็ม]:[คะแนนเต็ม]]),"",(tbl_task2[130]/tbl_task2[[คะแนนเต็ม]:[คะแนนเต็ม]])*tbl_task2[[%]:[%]])</f>
        <v/>
      </c>
      <c r="KO19" s="121" t="str">
        <f>IF(ISBLANK(tbl_task2[[คะแนนเต็ม]:[คะแนนเต็ม]]),"",(tbl_task2[131]/tbl_task2[[คะแนนเต็ม]:[คะแนนเต็ม]])*tbl_task2[[%]:[%]])</f>
        <v/>
      </c>
      <c r="KP19" s="121" t="str">
        <f>IF(ISBLANK(tbl_task2[[คะแนนเต็ม]:[คะแนนเต็ม]]),"",(tbl_task2[132]/tbl_task2[[คะแนนเต็ม]:[คะแนนเต็ม]])*tbl_task2[[%]:[%]])</f>
        <v/>
      </c>
      <c r="KQ19" s="121" t="str">
        <f>IF(ISBLANK(tbl_task2[[คะแนนเต็ม]:[คะแนนเต็ม]]),"",(tbl_task2[133]/tbl_task2[[คะแนนเต็ม]:[คะแนนเต็ม]])*tbl_task2[[%]:[%]])</f>
        <v/>
      </c>
      <c r="KR19" s="121" t="str">
        <f>IF(ISBLANK(tbl_task2[[คะแนนเต็ม]:[คะแนนเต็ม]]),"",(tbl_task2[134]/tbl_task2[[คะแนนเต็ม]:[คะแนนเต็ม]])*tbl_task2[[%]:[%]])</f>
        <v/>
      </c>
      <c r="KS19" s="121" t="str">
        <f>IF(ISBLANK(tbl_task2[[คะแนนเต็ม]:[คะแนนเต็ม]]),"",(tbl_task2[135]/tbl_task2[[คะแนนเต็ม]:[คะแนนเต็ม]])*tbl_task2[[%]:[%]])</f>
        <v/>
      </c>
      <c r="KT19" s="121" t="str">
        <f>IF(ISBLANK(tbl_task2[[คะแนนเต็ม]:[คะแนนเต็ม]]),"",(tbl_task2[136]/tbl_task2[[คะแนนเต็ม]:[คะแนนเต็ม]])*tbl_task2[[%]:[%]])</f>
        <v/>
      </c>
      <c r="KU19" s="121" t="str">
        <f>IF(ISBLANK(tbl_task2[[คะแนนเต็ม]:[คะแนนเต็ม]]),"",(tbl_task2[137]/tbl_task2[[คะแนนเต็ม]:[คะแนนเต็ม]])*tbl_task2[[%]:[%]])</f>
        <v/>
      </c>
      <c r="KV19" s="121" t="str">
        <f>IF(ISBLANK(tbl_task2[[คะแนนเต็ม]:[คะแนนเต็ม]]),"",(tbl_task2[138]/tbl_task2[[คะแนนเต็ม]:[คะแนนเต็ม]])*tbl_task2[[%]:[%]])</f>
        <v/>
      </c>
      <c r="KW19" s="121" t="str">
        <f>IF(ISBLANK(tbl_task2[[คะแนนเต็ม]:[คะแนนเต็ม]]),"",(tbl_task2[139]/tbl_task2[[คะแนนเต็ม]:[คะแนนเต็ม]])*tbl_task2[[%]:[%]])</f>
        <v/>
      </c>
      <c r="KX19" s="121" t="str">
        <f>IF(ISBLANK(tbl_task2[[คะแนนเต็ม]:[คะแนนเต็ม]]),"",(tbl_task2[140]/tbl_task2[[คะแนนเต็ม]:[คะแนนเต็ม]])*tbl_task2[[%]:[%]])</f>
        <v/>
      </c>
      <c r="KY19" s="121" t="str">
        <f>IF(ISBLANK(tbl_task2[[คะแนนเต็ม]:[คะแนนเต็ม]]),"",(tbl_task2[141]/tbl_task2[[คะแนนเต็ม]:[คะแนนเต็ม]])*tbl_task2[[%]:[%]])</f>
        <v/>
      </c>
      <c r="KZ19" s="121" t="str">
        <f>IF(ISBLANK(tbl_task2[[คะแนนเต็ม]:[คะแนนเต็ม]]),"",(tbl_task2[142]/tbl_task2[[คะแนนเต็ม]:[คะแนนเต็ม]])*tbl_task2[[%]:[%]])</f>
        <v/>
      </c>
      <c r="LA19" s="121" t="str">
        <f>IF(ISBLANK(tbl_task2[[คะแนนเต็ม]:[คะแนนเต็ม]]),"",(tbl_task2[143]/tbl_task2[[คะแนนเต็ม]:[คะแนนเต็ม]])*tbl_task2[[%]:[%]])</f>
        <v/>
      </c>
      <c r="LB19" s="121" t="str">
        <f>IF(ISBLANK(tbl_task2[[คะแนนเต็ม]:[คะแนนเต็ม]]),"",(tbl_task2[144]/tbl_task2[[คะแนนเต็ม]:[คะแนนเต็ม]])*tbl_task2[[%]:[%]])</f>
        <v/>
      </c>
      <c r="LC19" s="121" t="str">
        <f>IF(ISBLANK(tbl_task2[[คะแนนเต็ม]:[คะแนนเต็ม]]),"",(tbl_task2[145]/tbl_task2[[คะแนนเต็ม]:[คะแนนเต็ม]])*tbl_task2[[%]:[%]])</f>
        <v/>
      </c>
      <c r="LD19" s="121" t="str">
        <f>IF(ISBLANK(tbl_task2[[คะแนนเต็ม]:[คะแนนเต็ม]]),"",(tbl_task2[146]/tbl_task2[[คะแนนเต็ม]:[คะแนนเต็ม]])*tbl_task2[[%]:[%]])</f>
        <v/>
      </c>
      <c r="LE19" s="121" t="str">
        <f>IF(ISBLANK(tbl_task2[[คะแนนเต็ม]:[คะแนนเต็ม]]),"",(tbl_task2[147]/tbl_task2[[คะแนนเต็ม]:[คะแนนเต็ม]])*tbl_task2[[%]:[%]])</f>
        <v/>
      </c>
      <c r="LF19" s="121" t="str">
        <f>IF(ISBLANK(tbl_task2[[คะแนนเต็ม]:[คะแนนเต็ม]]),"",(tbl_task2[148]/tbl_task2[[คะแนนเต็ม]:[คะแนนเต็ม]])*tbl_task2[[%]:[%]])</f>
        <v/>
      </c>
      <c r="LG19" s="121" t="str">
        <f>IF(ISBLANK(tbl_task2[[คะแนนเต็ม]:[คะแนนเต็ม]]),"",(tbl_task2[149]/tbl_task2[[คะแนนเต็ม]:[คะแนนเต็ม]])*tbl_task2[[%]:[%]])</f>
        <v/>
      </c>
      <c r="LH19" s="121" t="str">
        <f>IF(ISBLANK(tbl_task2[[คะแนนเต็ม]:[คะแนนเต็ม]]),"",(tbl_task2[150]/tbl_task2[[คะแนนเต็ม]:[คะแนนเต็ม]])*tbl_task2[[%]:[%]])</f>
        <v/>
      </c>
      <c r="LI19" s="121" t="str">
        <f>IF(ISBLANK(tbl_task2[[คะแนนเต็ม]:[คะแนนเต็ม]]),"",(tbl_task2[151]/tbl_task2[[คะแนนเต็ม]:[คะแนนเต็ม]])*tbl_task2[[%]:[%]])</f>
        <v/>
      </c>
      <c r="LJ19" s="121" t="str">
        <f>IF(ISBLANK(tbl_task2[[คะแนนเต็ม]:[คะแนนเต็ม]]),"",(tbl_task2[152]/tbl_task2[[คะแนนเต็ม]:[คะแนนเต็ม]])*tbl_task2[[%]:[%]])</f>
        <v/>
      </c>
      <c r="LK19" s="121" t="str">
        <f>IF(ISBLANK(tbl_task2[[คะแนนเต็ม]:[คะแนนเต็ม]]),"",(tbl_task2[153]/tbl_task2[[คะแนนเต็ม]:[คะแนนเต็ม]])*tbl_task2[[%]:[%]])</f>
        <v/>
      </c>
      <c r="LL19" s="121" t="str">
        <f>IF(ISBLANK(tbl_task2[[คะแนนเต็ม]:[คะแนนเต็ม]]),"",(tbl_task2[154]/tbl_task2[[คะแนนเต็ม]:[คะแนนเต็ม]])*tbl_task2[[%]:[%]])</f>
        <v/>
      </c>
      <c r="LM19" s="121" t="str">
        <f>IF(ISBLANK(tbl_task2[[คะแนนเต็ม]:[คะแนนเต็ม]]),"",(tbl_task2[155]/tbl_task2[[คะแนนเต็ม]:[คะแนนเต็ม]])*tbl_task2[[%]:[%]])</f>
        <v/>
      </c>
      <c r="LN19" s="121" t="str">
        <f>IF(ISBLANK(tbl_task2[[คะแนนเต็ม]:[คะแนนเต็ม]]),"",(tbl_task2[156]/tbl_task2[[คะแนนเต็ม]:[คะแนนเต็ม]])*tbl_task2[[%]:[%]])</f>
        <v/>
      </c>
      <c r="LO19" s="121" t="str">
        <f>IF(ISBLANK(tbl_task2[[คะแนนเต็ม]:[คะแนนเต็ม]]),"",(tbl_task2[157]/tbl_task2[[คะแนนเต็ม]:[คะแนนเต็ม]])*tbl_task2[[%]:[%]])</f>
        <v/>
      </c>
      <c r="LP19" s="121" t="str">
        <f>IF(ISBLANK(tbl_task2[[คะแนนเต็ม]:[คะแนนเต็ม]]),"",(tbl_task2[158]/tbl_task2[[คะแนนเต็ม]:[คะแนนเต็ม]])*tbl_task2[[%]:[%]])</f>
        <v/>
      </c>
      <c r="LQ19" s="121" t="str">
        <f>IF(ISBLANK(tbl_task2[[คะแนนเต็ม]:[คะแนนเต็ม]]),"",(tbl_task2[159]/tbl_task2[[คะแนนเต็ม]:[คะแนนเต็ม]])*tbl_task2[[%]:[%]])</f>
        <v/>
      </c>
      <c r="LR19" s="121" t="str">
        <f>IF(ISBLANK(tbl_task2[[คะแนนเต็ม]:[คะแนนเต็ม]]),"",(tbl_task2[160]/tbl_task2[[คะแนนเต็ม]:[คะแนนเต็ม]])*tbl_task2[[%]:[%]])</f>
        <v/>
      </c>
      <c r="LS19" s="121" t="str">
        <f>IF(ISBLANK(tbl_task2[[คะแนนเต็ม]:[คะแนนเต็ม]]),"",(tbl_task2[161]/tbl_task2[[คะแนนเต็ม]:[คะแนนเต็ม]])*tbl_task2[[%]:[%]])</f>
        <v/>
      </c>
      <c r="LT19" s="121" t="str">
        <f>IF(ISBLANK(tbl_task2[[คะแนนเต็ม]:[คะแนนเต็ม]]),"",(tbl_task2[162]/tbl_task2[[คะแนนเต็ม]:[คะแนนเต็ม]])*tbl_task2[[%]:[%]])</f>
        <v/>
      </c>
      <c r="LU19" s="121" t="str">
        <f>IF(ISBLANK(tbl_task2[[คะแนนเต็ม]:[คะแนนเต็ม]]),"",(tbl_task2[163]/tbl_task2[[คะแนนเต็ม]:[คะแนนเต็ม]])*tbl_task2[[%]:[%]])</f>
        <v/>
      </c>
      <c r="LV19" s="121" t="str">
        <f>IF(ISBLANK(tbl_task2[[คะแนนเต็ม]:[คะแนนเต็ม]]),"",(tbl_task2[164]/tbl_task2[[คะแนนเต็ม]:[คะแนนเต็ม]])*tbl_task2[[%]:[%]])</f>
        <v/>
      </c>
      <c r="LW19" s="121" t="str">
        <f>IF(ISBLANK(tbl_task2[[คะแนนเต็ม]:[คะแนนเต็ม]]),"",(tbl_task2[165]/tbl_task2[[คะแนนเต็ม]:[คะแนนเต็ม]])*tbl_task2[[%]:[%]])</f>
        <v/>
      </c>
    </row>
    <row r="20" spans="1:335" ht="24" customHeight="1" x14ac:dyDescent="0.25">
      <c r="A20" s="24">
        <v>17</v>
      </c>
      <c r="B20" s="20"/>
      <c r="C20" s="5" t="str">
        <f>IF(ISBLANK(B20),"",VLOOKUP(B20,tbl_PLOs[],2,0))</f>
        <v/>
      </c>
      <c r="D20" s="102"/>
      <c r="E20" s="106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121" t="str">
        <f>IF(ISBLANK(tbl_task2[[คะแนนเต็ม]:[คะแนนเต็ม]]),"",(tbl_task2[1]/tbl_task2[[คะแนนเต็ม]:[คะแนนเต็ม]])*tbl_task2[[%]:[%]])</f>
        <v/>
      </c>
      <c r="FP20" s="121" t="str">
        <f>IF(ISBLANK(tbl_task2[[คะแนนเต็ม]:[คะแนนเต็ม]]),"",(tbl_task2[2]/tbl_task2[[คะแนนเต็ม]:[คะแนนเต็ม]])*tbl_task2[[%]:[%]])</f>
        <v/>
      </c>
      <c r="FQ20" s="121" t="str">
        <f>IF(ISBLANK(tbl_task2[[คะแนนเต็ม]:[คะแนนเต็ม]]),"",(tbl_task2[3]/tbl_task2[[คะแนนเต็ม]:[คะแนนเต็ม]])*tbl_task2[[%]:[%]])</f>
        <v/>
      </c>
      <c r="FR20" s="121" t="str">
        <f>IF(ISBLANK(tbl_task2[[คะแนนเต็ม]:[คะแนนเต็ม]]),"",(tbl_task2[4]/tbl_task2[[คะแนนเต็ม]:[คะแนนเต็ม]])*tbl_task2[[%]:[%]])</f>
        <v/>
      </c>
      <c r="FS20" s="121" t="str">
        <f>IF(ISBLANK(tbl_task2[[คะแนนเต็ม]:[คะแนนเต็ม]]),"",(tbl_task2[5]/tbl_task2[[คะแนนเต็ม]:[คะแนนเต็ม]])*tbl_task2[[%]:[%]])</f>
        <v/>
      </c>
      <c r="FT20" s="121" t="str">
        <f>IF(ISBLANK(tbl_task2[[คะแนนเต็ม]:[คะแนนเต็ม]]),"",(tbl_task2[6]/tbl_task2[[คะแนนเต็ม]:[คะแนนเต็ม]])*tbl_task2[[%]:[%]])</f>
        <v/>
      </c>
      <c r="FU20" s="121" t="str">
        <f>IF(ISBLANK(tbl_task2[[คะแนนเต็ม]:[คะแนนเต็ม]]),"",(tbl_task2[7]/tbl_task2[[คะแนนเต็ม]:[คะแนนเต็ม]])*tbl_task2[[%]:[%]])</f>
        <v/>
      </c>
      <c r="FV20" s="121" t="str">
        <f>IF(ISBLANK(tbl_task2[[คะแนนเต็ม]:[คะแนนเต็ม]]),"",(tbl_task2[8]/tbl_task2[[คะแนนเต็ม]:[คะแนนเต็ม]])*tbl_task2[[%]:[%]])</f>
        <v/>
      </c>
      <c r="FW20" s="121" t="str">
        <f>IF(ISBLANK(tbl_task2[[คะแนนเต็ม]:[คะแนนเต็ม]]),"",(tbl_task2[9]/tbl_task2[[คะแนนเต็ม]:[คะแนนเต็ม]])*tbl_task2[[%]:[%]])</f>
        <v/>
      </c>
      <c r="FX20" s="121" t="str">
        <f>IF(ISBLANK(tbl_task2[[คะแนนเต็ม]:[คะแนนเต็ม]]),"",(tbl_task2[10]/tbl_task2[[คะแนนเต็ม]:[คะแนนเต็ม]])*tbl_task2[[%]:[%]])</f>
        <v/>
      </c>
      <c r="FY20" s="121" t="str">
        <f>IF(ISBLANK(tbl_task2[[คะแนนเต็ม]:[คะแนนเต็ม]]),"",(tbl_task2[11]/tbl_task2[[คะแนนเต็ม]:[คะแนนเต็ม]])*tbl_task2[[%]:[%]])</f>
        <v/>
      </c>
      <c r="FZ20" s="121" t="str">
        <f>IF(ISBLANK(tbl_task2[[คะแนนเต็ม]:[คะแนนเต็ม]]),"",(tbl_task2[12]/tbl_task2[[คะแนนเต็ม]:[คะแนนเต็ม]])*tbl_task2[[%]:[%]])</f>
        <v/>
      </c>
      <c r="GA20" s="121" t="str">
        <f>IF(ISBLANK(tbl_task2[[คะแนนเต็ม]:[คะแนนเต็ม]]),"",(tbl_task2[13]/tbl_task2[[คะแนนเต็ม]:[คะแนนเต็ม]])*tbl_task2[[%]:[%]])</f>
        <v/>
      </c>
      <c r="GB20" s="121" t="str">
        <f>IF(ISBLANK(tbl_task2[[คะแนนเต็ม]:[คะแนนเต็ม]]),"",(tbl_task2[14]/tbl_task2[[คะแนนเต็ม]:[คะแนนเต็ม]])*tbl_task2[[%]:[%]])</f>
        <v/>
      </c>
      <c r="GC20" s="121" t="str">
        <f>IF(ISBLANK(tbl_task2[[คะแนนเต็ม]:[คะแนนเต็ม]]),"",(tbl_task2[15]/tbl_task2[[คะแนนเต็ม]:[คะแนนเต็ม]])*tbl_task2[[%]:[%]])</f>
        <v/>
      </c>
      <c r="GD20" s="121" t="str">
        <f>IF(ISBLANK(tbl_task2[[คะแนนเต็ม]:[คะแนนเต็ม]]),"",(tbl_task2[16]/tbl_task2[[คะแนนเต็ม]:[คะแนนเต็ม]])*tbl_task2[[%]:[%]])</f>
        <v/>
      </c>
      <c r="GE20" s="121" t="str">
        <f>IF(ISBLANK(tbl_task2[[คะแนนเต็ม]:[คะแนนเต็ม]]),"",(tbl_task2[17]/tbl_task2[[คะแนนเต็ม]:[คะแนนเต็ม]])*tbl_task2[[%]:[%]])</f>
        <v/>
      </c>
      <c r="GF20" s="121" t="str">
        <f>IF(ISBLANK(tbl_task2[[คะแนนเต็ม]:[คะแนนเต็ม]]),"",(tbl_task2[18]/tbl_task2[[คะแนนเต็ม]:[คะแนนเต็ม]])*tbl_task2[[%]:[%]])</f>
        <v/>
      </c>
      <c r="GG20" s="121" t="str">
        <f>IF(ISBLANK(tbl_task2[[คะแนนเต็ม]:[คะแนนเต็ม]]),"",(tbl_task2[19]/tbl_task2[[คะแนนเต็ม]:[คะแนนเต็ม]])*tbl_task2[[%]:[%]])</f>
        <v/>
      </c>
      <c r="GH20" s="121" t="str">
        <f>IF(ISBLANK(tbl_task2[[คะแนนเต็ม]:[คะแนนเต็ม]]),"",(tbl_task2[20]/tbl_task2[[คะแนนเต็ม]:[คะแนนเต็ม]])*tbl_task2[[%]:[%]])</f>
        <v/>
      </c>
      <c r="GI20" s="121" t="str">
        <f>IF(ISBLANK(tbl_task2[[คะแนนเต็ม]:[คะแนนเต็ม]]),"",(tbl_task2[21]/tbl_task2[[คะแนนเต็ม]:[คะแนนเต็ม]])*tbl_task2[[%]:[%]])</f>
        <v/>
      </c>
      <c r="GJ20" s="121" t="str">
        <f>IF(ISBLANK(tbl_task2[[คะแนนเต็ม]:[คะแนนเต็ม]]),"",(tbl_task2[22]/tbl_task2[[คะแนนเต็ม]:[คะแนนเต็ม]])*tbl_task2[[%]:[%]])</f>
        <v/>
      </c>
      <c r="GK20" s="121" t="str">
        <f>IF(ISBLANK(tbl_task2[[คะแนนเต็ม]:[คะแนนเต็ม]]),"",(tbl_task2[23]/tbl_task2[[คะแนนเต็ม]:[คะแนนเต็ม]])*tbl_task2[[%]:[%]])</f>
        <v/>
      </c>
      <c r="GL20" s="121" t="str">
        <f>IF(ISBLANK(tbl_task2[[คะแนนเต็ม]:[คะแนนเต็ม]]),"",(tbl_task2[24]/tbl_task2[[คะแนนเต็ม]:[คะแนนเต็ม]])*tbl_task2[[%]:[%]])</f>
        <v/>
      </c>
      <c r="GM20" s="121" t="str">
        <f>IF(ISBLANK(tbl_task2[[คะแนนเต็ม]:[คะแนนเต็ม]]),"",(tbl_task2[25]/tbl_task2[[คะแนนเต็ม]:[คะแนนเต็ม]])*tbl_task2[[%]:[%]])</f>
        <v/>
      </c>
      <c r="GN20" s="121" t="str">
        <f>IF(ISBLANK(tbl_task2[[คะแนนเต็ม]:[คะแนนเต็ม]]),"",(tbl_task2[26]/tbl_task2[[คะแนนเต็ม]:[คะแนนเต็ม]])*tbl_task2[[%]:[%]])</f>
        <v/>
      </c>
      <c r="GO20" s="121" t="str">
        <f>IF(ISBLANK(tbl_task2[[คะแนนเต็ม]:[คะแนนเต็ม]]),"",(tbl_task2[27]/tbl_task2[[คะแนนเต็ม]:[คะแนนเต็ม]])*tbl_task2[[%]:[%]])</f>
        <v/>
      </c>
      <c r="GP20" s="121" t="str">
        <f>IF(ISBLANK(tbl_task2[[คะแนนเต็ม]:[คะแนนเต็ม]]),"",(tbl_task2[28]/tbl_task2[[คะแนนเต็ม]:[คะแนนเต็ม]])*tbl_task2[[%]:[%]])</f>
        <v/>
      </c>
      <c r="GQ20" s="121" t="str">
        <f>IF(ISBLANK(tbl_task2[[คะแนนเต็ม]:[คะแนนเต็ม]]),"",(tbl_task2[29]/tbl_task2[[คะแนนเต็ม]:[คะแนนเต็ม]])*tbl_task2[[%]:[%]])</f>
        <v/>
      </c>
      <c r="GR20" s="121" t="str">
        <f>IF(ISBLANK(tbl_task2[[คะแนนเต็ม]:[คะแนนเต็ม]]),"",(tbl_task2[30]/tbl_task2[[คะแนนเต็ม]:[คะแนนเต็ม]])*tbl_task2[[%]:[%]])</f>
        <v/>
      </c>
      <c r="GS20" s="121" t="str">
        <f>IF(ISBLANK(tbl_task2[[คะแนนเต็ม]:[คะแนนเต็ม]]),"",(tbl_task2[31]/tbl_task2[[คะแนนเต็ม]:[คะแนนเต็ม]])*tbl_task2[[%]:[%]])</f>
        <v/>
      </c>
      <c r="GT20" s="121" t="str">
        <f>IF(ISBLANK(tbl_task2[[คะแนนเต็ม]:[คะแนนเต็ม]]),"",(tbl_task2[32]/tbl_task2[[คะแนนเต็ม]:[คะแนนเต็ม]])*tbl_task2[[%]:[%]])</f>
        <v/>
      </c>
      <c r="GU20" s="121" t="str">
        <f>IF(ISBLANK(tbl_task2[[คะแนนเต็ม]:[คะแนนเต็ม]]),"",(tbl_task2[33]/tbl_task2[[คะแนนเต็ม]:[คะแนนเต็ม]])*tbl_task2[[%]:[%]])</f>
        <v/>
      </c>
      <c r="GV20" s="121" t="str">
        <f>IF(ISBLANK(tbl_task2[[คะแนนเต็ม]:[คะแนนเต็ม]]),"",(tbl_task2[34]/tbl_task2[[คะแนนเต็ม]:[คะแนนเต็ม]])*tbl_task2[[%]:[%]])</f>
        <v/>
      </c>
      <c r="GW20" s="121" t="str">
        <f>IF(ISBLANK(tbl_task2[[คะแนนเต็ม]:[คะแนนเต็ม]]),"",(tbl_task2[35]/tbl_task2[[คะแนนเต็ม]:[คะแนนเต็ม]])*tbl_task2[[%]:[%]])</f>
        <v/>
      </c>
      <c r="GX20" s="121" t="str">
        <f>IF(ISBLANK(tbl_task2[[คะแนนเต็ม]:[คะแนนเต็ม]]),"",(tbl_task2[36]/tbl_task2[[คะแนนเต็ม]:[คะแนนเต็ม]])*tbl_task2[[%]:[%]])</f>
        <v/>
      </c>
      <c r="GY20" s="121" t="str">
        <f>IF(ISBLANK(tbl_task2[[คะแนนเต็ม]:[คะแนนเต็ม]]),"",(tbl_task2[37]/tbl_task2[[คะแนนเต็ม]:[คะแนนเต็ม]])*tbl_task2[[%]:[%]])</f>
        <v/>
      </c>
      <c r="GZ20" s="121" t="str">
        <f>IF(ISBLANK(tbl_task2[[คะแนนเต็ม]:[คะแนนเต็ม]]),"",(tbl_task2[38]/tbl_task2[[คะแนนเต็ม]:[คะแนนเต็ม]])*tbl_task2[[%]:[%]])</f>
        <v/>
      </c>
      <c r="HA20" s="121" t="str">
        <f>IF(ISBLANK(tbl_task2[[คะแนนเต็ม]:[คะแนนเต็ม]]),"",(tbl_task2[39]/tbl_task2[[คะแนนเต็ม]:[คะแนนเต็ม]])*tbl_task2[[%]:[%]])</f>
        <v/>
      </c>
      <c r="HB20" s="121" t="str">
        <f>IF(ISBLANK(tbl_task2[[คะแนนเต็ม]:[คะแนนเต็ม]]),"",(tbl_task2[40]/tbl_task2[[คะแนนเต็ม]:[คะแนนเต็ม]])*tbl_task2[[%]:[%]])</f>
        <v/>
      </c>
      <c r="HC20" s="121" t="str">
        <f>IF(ISBLANK(tbl_task2[[คะแนนเต็ม]:[คะแนนเต็ม]]),"",(tbl_task2[41]/tbl_task2[[คะแนนเต็ม]:[คะแนนเต็ม]])*tbl_task2[[%]:[%]])</f>
        <v/>
      </c>
      <c r="HD20" s="121" t="str">
        <f>IF(ISBLANK(tbl_task2[[คะแนนเต็ม]:[คะแนนเต็ม]]),"",(tbl_task2[42]/tbl_task2[[คะแนนเต็ม]:[คะแนนเต็ม]])*tbl_task2[[%]:[%]])</f>
        <v/>
      </c>
      <c r="HE20" s="121" t="str">
        <f>IF(ISBLANK(tbl_task2[[คะแนนเต็ม]:[คะแนนเต็ม]]),"",(tbl_task2[43]/tbl_task2[[คะแนนเต็ม]:[คะแนนเต็ม]])*tbl_task2[[%]:[%]])</f>
        <v/>
      </c>
      <c r="HF20" s="121" t="str">
        <f>IF(ISBLANK(tbl_task2[[คะแนนเต็ม]:[คะแนนเต็ม]]),"",(tbl_task2[44]/tbl_task2[[คะแนนเต็ม]:[คะแนนเต็ม]])*tbl_task2[[%]:[%]])</f>
        <v/>
      </c>
      <c r="HG20" s="121" t="str">
        <f>IF(ISBLANK(tbl_task2[[คะแนนเต็ม]:[คะแนนเต็ม]]),"",(tbl_task2[45]/tbl_task2[[คะแนนเต็ม]:[คะแนนเต็ม]])*tbl_task2[[%]:[%]])</f>
        <v/>
      </c>
      <c r="HH20" s="121" t="str">
        <f>IF(ISBLANK(tbl_task2[[คะแนนเต็ม]:[คะแนนเต็ม]]),"",(tbl_task2[46]/tbl_task2[[คะแนนเต็ม]:[คะแนนเต็ม]])*tbl_task2[[%]:[%]])</f>
        <v/>
      </c>
      <c r="HI20" s="121" t="str">
        <f>IF(ISBLANK(tbl_task2[[คะแนนเต็ม]:[คะแนนเต็ม]]),"",(tbl_task2[47]/tbl_task2[[คะแนนเต็ม]:[คะแนนเต็ม]])*tbl_task2[[%]:[%]])</f>
        <v/>
      </c>
      <c r="HJ20" s="121" t="str">
        <f>IF(ISBLANK(tbl_task2[[คะแนนเต็ม]:[คะแนนเต็ม]]),"",(tbl_task2[48]/tbl_task2[[คะแนนเต็ม]:[คะแนนเต็ม]])*tbl_task2[[%]:[%]])</f>
        <v/>
      </c>
      <c r="HK20" s="121" t="str">
        <f>IF(ISBLANK(tbl_task2[[คะแนนเต็ม]:[คะแนนเต็ม]]),"",(tbl_task2[49]/tbl_task2[[คะแนนเต็ม]:[คะแนนเต็ม]])*tbl_task2[[%]:[%]])</f>
        <v/>
      </c>
      <c r="HL20" s="121" t="str">
        <f>IF(ISBLANK(tbl_task2[[คะแนนเต็ม]:[คะแนนเต็ม]]),"",(tbl_task2[50]/tbl_task2[[คะแนนเต็ม]:[คะแนนเต็ม]])*tbl_task2[[%]:[%]])</f>
        <v/>
      </c>
      <c r="HM20" s="121" t="str">
        <f>IF(ISBLANK(tbl_task2[[คะแนนเต็ม]:[คะแนนเต็ม]]),"",(tbl_task2[51]/tbl_task2[[คะแนนเต็ม]:[คะแนนเต็ม]])*tbl_task2[[%]:[%]])</f>
        <v/>
      </c>
      <c r="HN20" s="121" t="str">
        <f>IF(ISBLANK(tbl_task2[[คะแนนเต็ม]:[คะแนนเต็ม]]),"",(tbl_task2[52]/tbl_task2[[คะแนนเต็ม]:[คะแนนเต็ม]])*tbl_task2[[%]:[%]])</f>
        <v/>
      </c>
      <c r="HO20" s="121" t="str">
        <f>IF(ISBLANK(tbl_task2[[คะแนนเต็ม]:[คะแนนเต็ม]]),"",(tbl_task2[53]/tbl_task2[[คะแนนเต็ม]:[คะแนนเต็ม]])*tbl_task2[[%]:[%]])</f>
        <v/>
      </c>
      <c r="HP20" s="121" t="str">
        <f>IF(ISBLANK(tbl_task2[[คะแนนเต็ม]:[คะแนนเต็ม]]),"",(tbl_task2[54]/tbl_task2[[คะแนนเต็ม]:[คะแนนเต็ม]])*tbl_task2[[%]:[%]])</f>
        <v/>
      </c>
      <c r="HQ20" s="121" t="str">
        <f>IF(ISBLANK(tbl_task2[[คะแนนเต็ม]:[คะแนนเต็ม]]),"",(tbl_task2[55]/tbl_task2[[คะแนนเต็ม]:[คะแนนเต็ม]])*tbl_task2[[%]:[%]])</f>
        <v/>
      </c>
      <c r="HR20" s="121" t="str">
        <f>IF(ISBLANK(tbl_task2[[คะแนนเต็ม]:[คะแนนเต็ม]]),"",(tbl_task2[56]/tbl_task2[[คะแนนเต็ม]:[คะแนนเต็ม]])*tbl_task2[[%]:[%]])</f>
        <v/>
      </c>
      <c r="HS20" s="121" t="str">
        <f>IF(ISBLANK(tbl_task2[[คะแนนเต็ม]:[คะแนนเต็ม]]),"",(tbl_task2[57]/tbl_task2[[คะแนนเต็ม]:[คะแนนเต็ม]])*tbl_task2[[%]:[%]])</f>
        <v/>
      </c>
      <c r="HT20" s="121" t="str">
        <f>IF(ISBLANK(tbl_task2[[คะแนนเต็ม]:[คะแนนเต็ม]]),"",(tbl_task2[58]/tbl_task2[[คะแนนเต็ม]:[คะแนนเต็ม]])*tbl_task2[[%]:[%]])</f>
        <v/>
      </c>
      <c r="HU20" s="121" t="str">
        <f>IF(ISBLANK(tbl_task2[[คะแนนเต็ม]:[คะแนนเต็ม]]),"",(tbl_task2[59]/tbl_task2[[คะแนนเต็ม]:[คะแนนเต็ม]])*tbl_task2[[%]:[%]])</f>
        <v/>
      </c>
      <c r="HV20" s="121" t="str">
        <f>IF(ISBLANK(tbl_task2[[คะแนนเต็ม]:[คะแนนเต็ม]]),"",(tbl_task2[60]/tbl_task2[[คะแนนเต็ม]:[คะแนนเต็ม]])*tbl_task2[[%]:[%]])</f>
        <v/>
      </c>
      <c r="HW20" s="121" t="str">
        <f>IF(ISBLANK(tbl_task2[[คะแนนเต็ม]:[คะแนนเต็ม]]),"",(tbl_task2[61]/tbl_task2[[คะแนนเต็ม]:[คะแนนเต็ม]])*tbl_task2[[%]:[%]])</f>
        <v/>
      </c>
      <c r="HX20" s="121" t="str">
        <f>IF(ISBLANK(tbl_task2[[คะแนนเต็ม]:[คะแนนเต็ม]]),"",(tbl_task2[62]/tbl_task2[[คะแนนเต็ม]:[คะแนนเต็ม]])*tbl_task2[[%]:[%]])</f>
        <v/>
      </c>
      <c r="HY20" s="121" t="str">
        <f>IF(ISBLANK(tbl_task2[[คะแนนเต็ม]:[คะแนนเต็ม]]),"",(tbl_task2[63]/tbl_task2[[คะแนนเต็ม]:[คะแนนเต็ม]])*tbl_task2[[%]:[%]])</f>
        <v/>
      </c>
      <c r="HZ20" s="121" t="str">
        <f>IF(ISBLANK(tbl_task2[[คะแนนเต็ม]:[คะแนนเต็ม]]),"",(tbl_task2[64]/tbl_task2[[คะแนนเต็ม]:[คะแนนเต็ม]])*tbl_task2[[%]:[%]])</f>
        <v/>
      </c>
      <c r="IA20" s="121" t="str">
        <f>IF(ISBLANK(tbl_task2[[คะแนนเต็ม]:[คะแนนเต็ม]]),"",(tbl_task2[65]/tbl_task2[[คะแนนเต็ม]:[คะแนนเต็ม]])*tbl_task2[[%]:[%]])</f>
        <v/>
      </c>
      <c r="IB20" s="121" t="str">
        <f>IF(ISBLANK(tbl_task2[[คะแนนเต็ม]:[คะแนนเต็ม]]),"",(tbl_task2[66]/tbl_task2[[คะแนนเต็ม]:[คะแนนเต็ม]])*tbl_task2[[%]:[%]])</f>
        <v/>
      </c>
      <c r="IC20" s="121" t="str">
        <f>IF(ISBLANK(tbl_task2[[คะแนนเต็ม]:[คะแนนเต็ม]]),"",(tbl_task2[67]/tbl_task2[[คะแนนเต็ม]:[คะแนนเต็ม]])*tbl_task2[[%]:[%]])</f>
        <v/>
      </c>
      <c r="ID20" s="121" t="str">
        <f>IF(ISBLANK(tbl_task2[[คะแนนเต็ม]:[คะแนนเต็ม]]),"",(tbl_task2[68]/tbl_task2[[คะแนนเต็ม]:[คะแนนเต็ม]])*tbl_task2[[%]:[%]])</f>
        <v/>
      </c>
      <c r="IE20" s="121" t="str">
        <f>IF(ISBLANK(tbl_task2[[คะแนนเต็ม]:[คะแนนเต็ม]]),"",(tbl_task2[69]/tbl_task2[[คะแนนเต็ม]:[คะแนนเต็ม]])*tbl_task2[[%]:[%]])</f>
        <v/>
      </c>
      <c r="IF20" s="121" t="str">
        <f>IF(ISBLANK(tbl_task2[[คะแนนเต็ม]:[คะแนนเต็ม]]),"",(tbl_task2[70]/tbl_task2[[คะแนนเต็ม]:[คะแนนเต็ม]])*tbl_task2[[%]:[%]])</f>
        <v/>
      </c>
      <c r="IG20" s="121" t="str">
        <f>IF(ISBLANK(tbl_task2[[คะแนนเต็ม]:[คะแนนเต็ม]]),"",(tbl_task2[71]/tbl_task2[[คะแนนเต็ม]:[คะแนนเต็ม]])*tbl_task2[[%]:[%]])</f>
        <v/>
      </c>
      <c r="IH20" s="121" t="str">
        <f>IF(ISBLANK(tbl_task2[[คะแนนเต็ม]:[คะแนนเต็ม]]),"",(tbl_task2[72]/tbl_task2[[คะแนนเต็ม]:[คะแนนเต็ม]])*tbl_task2[[%]:[%]])</f>
        <v/>
      </c>
      <c r="II20" s="121" t="str">
        <f>IF(ISBLANK(tbl_task2[[คะแนนเต็ม]:[คะแนนเต็ม]]),"",(tbl_task2[73]/tbl_task2[[คะแนนเต็ม]:[คะแนนเต็ม]])*tbl_task2[[%]:[%]])</f>
        <v/>
      </c>
      <c r="IJ20" s="121" t="str">
        <f>IF(ISBLANK(tbl_task2[[คะแนนเต็ม]:[คะแนนเต็ม]]),"",(tbl_task2[74]/tbl_task2[[คะแนนเต็ม]:[คะแนนเต็ม]])*tbl_task2[[%]:[%]])</f>
        <v/>
      </c>
      <c r="IK20" s="121" t="str">
        <f>IF(ISBLANK(tbl_task2[[คะแนนเต็ม]:[คะแนนเต็ม]]),"",(tbl_task2[75]/tbl_task2[[คะแนนเต็ม]:[คะแนนเต็ม]])*tbl_task2[[%]:[%]])</f>
        <v/>
      </c>
      <c r="IL20" s="121" t="str">
        <f>IF(ISBLANK(tbl_task2[[คะแนนเต็ม]:[คะแนนเต็ม]]),"",(tbl_task2[76]/tbl_task2[[คะแนนเต็ม]:[คะแนนเต็ม]])*tbl_task2[[%]:[%]])</f>
        <v/>
      </c>
      <c r="IM20" s="121" t="str">
        <f>IF(ISBLANK(tbl_task2[[คะแนนเต็ม]:[คะแนนเต็ม]]),"",(tbl_task2[77]/tbl_task2[[คะแนนเต็ม]:[คะแนนเต็ม]])*tbl_task2[[%]:[%]])</f>
        <v/>
      </c>
      <c r="IN20" s="121" t="str">
        <f>IF(ISBLANK(tbl_task2[[คะแนนเต็ม]:[คะแนนเต็ม]]),"",(tbl_task2[78]/tbl_task2[[คะแนนเต็ม]:[คะแนนเต็ม]])*tbl_task2[[%]:[%]])</f>
        <v/>
      </c>
      <c r="IO20" s="121" t="str">
        <f>IF(ISBLANK(tbl_task2[[คะแนนเต็ม]:[คะแนนเต็ม]]),"",(tbl_task2[79]/tbl_task2[[คะแนนเต็ม]:[คะแนนเต็ม]])*tbl_task2[[%]:[%]])</f>
        <v/>
      </c>
      <c r="IP20" s="121" t="str">
        <f>IF(ISBLANK(tbl_task2[[คะแนนเต็ม]:[คะแนนเต็ม]]),"",(tbl_task2[80]/tbl_task2[[คะแนนเต็ม]:[คะแนนเต็ม]])*tbl_task2[[%]:[%]])</f>
        <v/>
      </c>
      <c r="IQ20" s="121" t="str">
        <f>IF(ISBLANK(tbl_task2[[คะแนนเต็ม]:[คะแนนเต็ม]]),"",(tbl_task2[81]/tbl_task2[[คะแนนเต็ม]:[คะแนนเต็ม]])*tbl_task2[[%]:[%]])</f>
        <v/>
      </c>
      <c r="IR20" s="121" t="str">
        <f>IF(ISBLANK(tbl_task2[[คะแนนเต็ม]:[คะแนนเต็ม]]),"",(tbl_task2[82]/tbl_task2[[คะแนนเต็ม]:[คะแนนเต็ม]])*tbl_task2[[%]:[%]])</f>
        <v/>
      </c>
      <c r="IS20" s="121" t="str">
        <f>IF(ISBLANK(tbl_task2[[คะแนนเต็ม]:[คะแนนเต็ม]]),"",(tbl_task2[83]/tbl_task2[[คะแนนเต็ม]:[คะแนนเต็ม]])*tbl_task2[[%]:[%]])</f>
        <v/>
      </c>
      <c r="IT20" s="121" t="str">
        <f>IF(ISBLANK(tbl_task2[[คะแนนเต็ม]:[คะแนนเต็ม]]),"",(tbl_task2[84]/tbl_task2[[คะแนนเต็ม]:[คะแนนเต็ม]])*tbl_task2[[%]:[%]])</f>
        <v/>
      </c>
      <c r="IU20" s="121" t="str">
        <f>IF(ISBLANK(tbl_task2[[คะแนนเต็ม]:[คะแนนเต็ม]]),"",(tbl_task2[85]/tbl_task2[[คะแนนเต็ม]:[คะแนนเต็ม]])*tbl_task2[[%]:[%]])</f>
        <v/>
      </c>
      <c r="IV20" s="121" t="str">
        <f>IF(ISBLANK(tbl_task2[[คะแนนเต็ม]:[คะแนนเต็ม]]),"",(tbl_task2[86]/tbl_task2[[คะแนนเต็ม]:[คะแนนเต็ม]])*tbl_task2[[%]:[%]])</f>
        <v/>
      </c>
      <c r="IW20" s="121" t="str">
        <f>IF(ISBLANK(tbl_task2[[คะแนนเต็ม]:[คะแนนเต็ม]]),"",(tbl_task2[87]/tbl_task2[[คะแนนเต็ม]:[คะแนนเต็ม]])*tbl_task2[[%]:[%]])</f>
        <v/>
      </c>
      <c r="IX20" s="121" t="str">
        <f>IF(ISBLANK(tbl_task2[[คะแนนเต็ม]:[คะแนนเต็ม]]),"",(tbl_task2[88]/tbl_task2[[คะแนนเต็ม]:[คะแนนเต็ม]])*tbl_task2[[%]:[%]])</f>
        <v/>
      </c>
      <c r="IY20" s="121" t="str">
        <f>IF(ISBLANK(tbl_task2[[คะแนนเต็ม]:[คะแนนเต็ม]]),"",(tbl_task2[89]/tbl_task2[[คะแนนเต็ม]:[คะแนนเต็ม]])*tbl_task2[[%]:[%]])</f>
        <v/>
      </c>
      <c r="IZ20" s="121" t="str">
        <f>IF(ISBLANK(tbl_task2[[คะแนนเต็ม]:[คะแนนเต็ม]]),"",(tbl_task2[90]/tbl_task2[[คะแนนเต็ม]:[คะแนนเต็ม]])*tbl_task2[[%]:[%]])</f>
        <v/>
      </c>
      <c r="JA20" s="121" t="str">
        <f>IF(ISBLANK(tbl_task2[[คะแนนเต็ม]:[คะแนนเต็ม]]),"",(tbl_task2[91]/tbl_task2[[คะแนนเต็ม]:[คะแนนเต็ม]])*tbl_task2[[%]:[%]])</f>
        <v/>
      </c>
      <c r="JB20" s="121" t="str">
        <f>IF(ISBLANK(tbl_task2[[คะแนนเต็ม]:[คะแนนเต็ม]]),"",(tbl_task2[92]/tbl_task2[[คะแนนเต็ม]:[คะแนนเต็ม]])*tbl_task2[[%]:[%]])</f>
        <v/>
      </c>
      <c r="JC20" s="121" t="str">
        <f>IF(ISBLANK(tbl_task2[[คะแนนเต็ม]:[คะแนนเต็ม]]),"",(tbl_task2[93]/tbl_task2[[คะแนนเต็ม]:[คะแนนเต็ม]])*tbl_task2[[%]:[%]])</f>
        <v/>
      </c>
      <c r="JD20" s="121" t="str">
        <f>IF(ISBLANK(tbl_task2[[คะแนนเต็ม]:[คะแนนเต็ม]]),"",(tbl_task2[94]/tbl_task2[[คะแนนเต็ม]:[คะแนนเต็ม]])*tbl_task2[[%]:[%]])</f>
        <v/>
      </c>
      <c r="JE20" s="121" t="str">
        <f>IF(ISBLANK(tbl_task2[[คะแนนเต็ม]:[คะแนนเต็ม]]),"",(tbl_task2[95]/tbl_task2[[คะแนนเต็ม]:[คะแนนเต็ม]])*tbl_task2[[%]:[%]])</f>
        <v/>
      </c>
      <c r="JF20" s="121" t="str">
        <f>IF(ISBLANK(tbl_task2[[คะแนนเต็ม]:[คะแนนเต็ม]]),"",(tbl_task2[96]/tbl_task2[[คะแนนเต็ม]:[คะแนนเต็ม]])*tbl_task2[[%]:[%]])</f>
        <v/>
      </c>
      <c r="JG20" s="121" t="str">
        <f>IF(ISBLANK(tbl_task2[[คะแนนเต็ม]:[คะแนนเต็ม]]),"",(tbl_task2[97]/tbl_task2[[คะแนนเต็ม]:[คะแนนเต็ม]])*tbl_task2[[%]:[%]])</f>
        <v/>
      </c>
      <c r="JH20" s="121" t="str">
        <f>IF(ISBLANK(tbl_task2[[คะแนนเต็ม]:[คะแนนเต็ม]]),"",(tbl_task2[98]/tbl_task2[[คะแนนเต็ม]:[คะแนนเต็ม]])*tbl_task2[[%]:[%]])</f>
        <v/>
      </c>
      <c r="JI20" s="121" t="str">
        <f>IF(ISBLANK(tbl_task2[[คะแนนเต็ม]:[คะแนนเต็ม]]),"",(tbl_task2[99]/tbl_task2[[คะแนนเต็ม]:[คะแนนเต็ม]])*tbl_task2[[%]:[%]])</f>
        <v/>
      </c>
      <c r="JJ20" s="121" t="str">
        <f>IF(ISBLANK(tbl_task2[[คะแนนเต็ม]:[คะแนนเต็ม]]),"",(tbl_task2[100]/tbl_task2[[คะแนนเต็ม]:[คะแนนเต็ม]])*tbl_task2[[%]:[%]])</f>
        <v/>
      </c>
      <c r="JK20" s="121" t="str">
        <f>IF(ISBLANK(tbl_task2[[คะแนนเต็ม]:[คะแนนเต็ม]]),"",(tbl_task2[101]/tbl_task2[[คะแนนเต็ม]:[คะแนนเต็ม]])*tbl_task2[[%]:[%]])</f>
        <v/>
      </c>
      <c r="JL20" s="121" t="str">
        <f>IF(ISBLANK(tbl_task2[[คะแนนเต็ม]:[คะแนนเต็ม]]),"",(tbl_task2[102]/tbl_task2[[คะแนนเต็ม]:[คะแนนเต็ม]])*tbl_task2[[%]:[%]])</f>
        <v/>
      </c>
      <c r="JM20" s="121" t="str">
        <f>IF(ISBLANK(tbl_task2[[คะแนนเต็ม]:[คะแนนเต็ม]]),"",(tbl_task2[103]/tbl_task2[[คะแนนเต็ม]:[คะแนนเต็ม]])*tbl_task2[[%]:[%]])</f>
        <v/>
      </c>
      <c r="JN20" s="121" t="str">
        <f>IF(ISBLANK(tbl_task2[[คะแนนเต็ม]:[คะแนนเต็ม]]),"",(tbl_task2[104]/tbl_task2[[คะแนนเต็ม]:[คะแนนเต็ม]])*tbl_task2[[%]:[%]])</f>
        <v/>
      </c>
      <c r="JO20" s="121" t="str">
        <f>IF(ISBLANK(tbl_task2[[คะแนนเต็ม]:[คะแนนเต็ม]]),"",(tbl_task2[105]/tbl_task2[[คะแนนเต็ม]:[คะแนนเต็ม]])*tbl_task2[[%]:[%]])</f>
        <v/>
      </c>
      <c r="JP20" s="121" t="str">
        <f>IF(ISBLANK(tbl_task2[[คะแนนเต็ม]:[คะแนนเต็ม]]),"",(tbl_task2[106]/tbl_task2[[คะแนนเต็ม]:[คะแนนเต็ม]])*tbl_task2[[%]:[%]])</f>
        <v/>
      </c>
      <c r="JQ20" s="121" t="str">
        <f>IF(ISBLANK(tbl_task2[[คะแนนเต็ม]:[คะแนนเต็ม]]),"",(tbl_task2[107]/tbl_task2[[คะแนนเต็ม]:[คะแนนเต็ม]])*tbl_task2[[%]:[%]])</f>
        <v/>
      </c>
      <c r="JR20" s="121" t="str">
        <f>IF(ISBLANK(tbl_task2[[คะแนนเต็ม]:[คะแนนเต็ม]]),"",(tbl_task2[108]/tbl_task2[[คะแนนเต็ม]:[คะแนนเต็ม]])*tbl_task2[[%]:[%]])</f>
        <v/>
      </c>
      <c r="JS20" s="121" t="str">
        <f>IF(ISBLANK(tbl_task2[[คะแนนเต็ม]:[คะแนนเต็ม]]),"",(tbl_task2[109]/tbl_task2[[คะแนนเต็ม]:[คะแนนเต็ม]])*tbl_task2[[%]:[%]])</f>
        <v/>
      </c>
      <c r="JT20" s="121" t="str">
        <f>IF(ISBLANK(tbl_task2[[คะแนนเต็ม]:[คะแนนเต็ม]]),"",(tbl_task2[110]/tbl_task2[[คะแนนเต็ม]:[คะแนนเต็ม]])*tbl_task2[[%]:[%]])</f>
        <v/>
      </c>
      <c r="JU20" s="121" t="str">
        <f>IF(ISBLANK(tbl_task2[[คะแนนเต็ม]:[คะแนนเต็ม]]),"",(tbl_task2[111]/tbl_task2[[คะแนนเต็ม]:[คะแนนเต็ม]])*tbl_task2[[%]:[%]])</f>
        <v/>
      </c>
      <c r="JV20" s="121" t="str">
        <f>IF(ISBLANK(tbl_task2[[คะแนนเต็ม]:[คะแนนเต็ม]]),"",(tbl_task2[112]/tbl_task2[[คะแนนเต็ม]:[คะแนนเต็ม]])*tbl_task2[[%]:[%]])</f>
        <v/>
      </c>
      <c r="JW20" s="121" t="str">
        <f>IF(ISBLANK(tbl_task2[[คะแนนเต็ม]:[คะแนนเต็ม]]),"",(tbl_task2[113]/tbl_task2[[คะแนนเต็ม]:[คะแนนเต็ม]])*tbl_task2[[%]:[%]])</f>
        <v/>
      </c>
      <c r="JX20" s="121" t="str">
        <f>IF(ISBLANK(tbl_task2[[คะแนนเต็ม]:[คะแนนเต็ม]]),"",(tbl_task2[114]/tbl_task2[[คะแนนเต็ม]:[คะแนนเต็ม]])*tbl_task2[[%]:[%]])</f>
        <v/>
      </c>
      <c r="JY20" s="121" t="str">
        <f>IF(ISBLANK(tbl_task2[[คะแนนเต็ม]:[คะแนนเต็ม]]),"",(tbl_task2[115]/tbl_task2[[คะแนนเต็ม]:[คะแนนเต็ม]])*tbl_task2[[%]:[%]])</f>
        <v/>
      </c>
      <c r="JZ20" s="121" t="str">
        <f>IF(ISBLANK(tbl_task2[[คะแนนเต็ม]:[คะแนนเต็ม]]),"",(tbl_task2[116]/tbl_task2[[คะแนนเต็ม]:[คะแนนเต็ม]])*tbl_task2[[%]:[%]])</f>
        <v/>
      </c>
      <c r="KA20" s="121" t="str">
        <f>IF(ISBLANK(tbl_task2[[คะแนนเต็ม]:[คะแนนเต็ม]]),"",(tbl_task2[117]/tbl_task2[[คะแนนเต็ม]:[คะแนนเต็ม]])*tbl_task2[[%]:[%]])</f>
        <v/>
      </c>
      <c r="KB20" s="121" t="str">
        <f>IF(ISBLANK(tbl_task2[[คะแนนเต็ม]:[คะแนนเต็ม]]),"",(tbl_task2[118]/tbl_task2[[คะแนนเต็ม]:[คะแนนเต็ม]])*tbl_task2[[%]:[%]])</f>
        <v/>
      </c>
      <c r="KC20" s="121" t="str">
        <f>IF(ISBLANK(tbl_task2[[คะแนนเต็ม]:[คะแนนเต็ม]]),"",(tbl_task2[119]/tbl_task2[[คะแนนเต็ม]:[คะแนนเต็ม]])*tbl_task2[[%]:[%]])</f>
        <v/>
      </c>
      <c r="KD20" s="121" t="str">
        <f>IF(ISBLANK(tbl_task2[[คะแนนเต็ม]:[คะแนนเต็ม]]),"",(tbl_task2[120]/tbl_task2[[คะแนนเต็ม]:[คะแนนเต็ม]])*tbl_task2[[%]:[%]])</f>
        <v/>
      </c>
      <c r="KE20" s="121" t="str">
        <f>IF(ISBLANK(tbl_task2[[คะแนนเต็ม]:[คะแนนเต็ม]]),"",(tbl_task2[121]/tbl_task2[[คะแนนเต็ม]:[คะแนนเต็ม]])*tbl_task2[[%]:[%]])</f>
        <v/>
      </c>
      <c r="KF20" s="121" t="str">
        <f>IF(ISBLANK(tbl_task2[[คะแนนเต็ม]:[คะแนนเต็ม]]),"",(tbl_task2[122]/tbl_task2[[คะแนนเต็ม]:[คะแนนเต็ม]])*tbl_task2[[%]:[%]])</f>
        <v/>
      </c>
      <c r="KG20" s="121" t="str">
        <f>IF(ISBLANK(tbl_task2[[คะแนนเต็ม]:[คะแนนเต็ม]]),"",(tbl_task2[123]/tbl_task2[[คะแนนเต็ม]:[คะแนนเต็ม]])*tbl_task2[[%]:[%]])</f>
        <v/>
      </c>
      <c r="KH20" s="121" t="str">
        <f>IF(ISBLANK(tbl_task2[[คะแนนเต็ม]:[คะแนนเต็ม]]),"",(tbl_task2[124]/tbl_task2[[คะแนนเต็ม]:[คะแนนเต็ม]])*tbl_task2[[%]:[%]])</f>
        <v/>
      </c>
      <c r="KI20" s="121" t="str">
        <f>IF(ISBLANK(tbl_task2[[คะแนนเต็ม]:[คะแนนเต็ม]]),"",(tbl_task2[125]/tbl_task2[[คะแนนเต็ม]:[คะแนนเต็ม]])*tbl_task2[[%]:[%]])</f>
        <v/>
      </c>
      <c r="KJ20" s="121" t="str">
        <f>IF(ISBLANK(tbl_task2[[คะแนนเต็ม]:[คะแนนเต็ม]]),"",(tbl_task2[126]/tbl_task2[[คะแนนเต็ม]:[คะแนนเต็ม]])*tbl_task2[[%]:[%]])</f>
        <v/>
      </c>
      <c r="KK20" s="121" t="str">
        <f>IF(ISBLANK(tbl_task2[[คะแนนเต็ม]:[คะแนนเต็ม]]),"",(tbl_task2[127]/tbl_task2[[คะแนนเต็ม]:[คะแนนเต็ม]])*tbl_task2[[%]:[%]])</f>
        <v/>
      </c>
      <c r="KL20" s="121" t="str">
        <f>IF(ISBLANK(tbl_task2[[คะแนนเต็ม]:[คะแนนเต็ม]]),"",(tbl_task2[128]/tbl_task2[[คะแนนเต็ม]:[คะแนนเต็ม]])*tbl_task2[[%]:[%]])</f>
        <v/>
      </c>
      <c r="KM20" s="121" t="str">
        <f>IF(ISBLANK(tbl_task2[[คะแนนเต็ม]:[คะแนนเต็ม]]),"",(tbl_task2[129]/tbl_task2[[คะแนนเต็ม]:[คะแนนเต็ม]])*tbl_task2[[%]:[%]])</f>
        <v/>
      </c>
      <c r="KN20" s="121" t="str">
        <f>IF(ISBLANK(tbl_task2[[คะแนนเต็ม]:[คะแนนเต็ม]]),"",(tbl_task2[130]/tbl_task2[[คะแนนเต็ม]:[คะแนนเต็ม]])*tbl_task2[[%]:[%]])</f>
        <v/>
      </c>
      <c r="KO20" s="121" t="str">
        <f>IF(ISBLANK(tbl_task2[[คะแนนเต็ม]:[คะแนนเต็ม]]),"",(tbl_task2[131]/tbl_task2[[คะแนนเต็ม]:[คะแนนเต็ม]])*tbl_task2[[%]:[%]])</f>
        <v/>
      </c>
      <c r="KP20" s="121" t="str">
        <f>IF(ISBLANK(tbl_task2[[คะแนนเต็ม]:[คะแนนเต็ม]]),"",(tbl_task2[132]/tbl_task2[[คะแนนเต็ม]:[คะแนนเต็ม]])*tbl_task2[[%]:[%]])</f>
        <v/>
      </c>
      <c r="KQ20" s="121" t="str">
        <f>IF(ISBLANK(tbl_task2[[คะแนนเต็ม]:[คะแนนเต็ม]]),"",(tbl_task2[133]/tbl_task2[[คะแนนเต็ม]:[คะแนนเต็ม]])*tbl_task2[[%]:[%]])</f>
        <v/>
      </c>
      <c r="KR20" s="121" t="str">
        <f>IF(ISBLANK(tbl_task2[[คะแนนเต็ม]:[คะแนนเต็ม]]),"",(tbl_task2[134]/tbl_task2[[คะแนนเต็ม]:[คะแนนเต็ม]])*tbl_task2[[%]:[%]])</f>
        <v/>
      </c>
      <c r="KS20" s="121" t="str">
        <f>IF(ISBLANK(tbl_task2[[คะแนนเต็ม]:[คะแนนเต็ม]]),"",(tbl_task2[135]/tbl_task2[[คะแนนเต็ม]:[คะแนนเต็ม]])*tbl_task2[[%]:[%]])</f>
        <v/>
      </c>
      <c r="KT20" s="121" t="str">
        <f>IF(ISBLANK(tbl_task2[[คะแนนเต็ม]:[คะแนนเต็ม]]),"",(tbl_task2[136]/tbl_task2[[คะแนนเต็ม]:[คะแนนเต็ม]])*tbl_task2[[%]:[%]])</f>
        <v/>
      </c>
      <c r="KU20" s="121" t="str">
        <f>IF(ISBLANK(tbl_task2[[คะแนนเต็ม]:[คะแนนเต็ม]]),"",(tbl_task2[137]/tbl_task2[[คะแนนเต็ม]:[คะแนนเต็ม]])*tbl_task2[[%]:[%]])</f>
        <v/>
      </c>
      <c r="KV20" s="121" t="str">
        <f>IF(ISBLANK(tbl_task2[[คะแนนเต็ม]:[คะแนนเต็ม]]),"",(tbl_task2[138]/tbl_task2[[คะแนนเต็ม]:[คะแนนเต็ม]])*tbl_task2[[%]:[%]])</f>
        <v/>
      </c>
      <c r="KW20" s="121" t="str">
        <f>IF(ISBLANK(tbl_task2[[คะแนนเต็ม]:[คะแนนเต็ม]]),"",(tbl_task2[139]/tbl_task2[[คะแนนเต็ม]:[คะแนนเต็ม]])*tbl_task2[[%]:[%]])</f>
        <v/>
      </c>
      <c r="KX20" s="121" t="str">
        <f>IF(ISBLANK(tbl_task2[[คะแนนเต็ม]:[คะแนนเต็ม]]),"",(tbl_task2[140]/tbl_task2[[คะแนนเต็ม]:[คะแนนเต็ม]])*tbl_task2[[%]:[%]])</f>
        <v/>
      </c>
      <c r="KY20" s="121" t="str">
        <f>IF(ISBLANK(tbl_task2[[คะแนนเต็ม]:[คะแนนเต็ม]]),"",(tbl_task2[141]/tbl_task2[[คะแนนเต็ม]:[คะแนนเต็ม]])*tbl_task2[[%]:[%]])</f>
        <v/>
      </c>
      <c r="KZ20" s="121" t="str">
        <f>IF(ISBLANK(tbl_task2[[คะแนนเต็ม]:[คะแนนเต็ม]]),"",(tbl_task2[142]/tbl_task2[[คะแนนเต็ม]:[คะแนนเต็ม]])*tbl_task2[[%]:[%]])</f>
        <v/>
      </c>
      <c r="LA20" s="121" t="str">
        <f>IF(ISBLANK(tbl_task2[[คะแนนเต็ม]:[คะแนนเต็ม]]),"",(tbl_task2[143]/tbl_task2[[คะแนนเต็ม]:[คะแนนเต็ม]])*tbl_task2[[%]:[%]])</f>
        <v/>
      </c>
      <c r="LB20" s="121" t="str">
        <f>IF(ISBLANK(tbl_task2[[คะแนนเต็ม]:[คะแนนเต็ม]]),"",(tbl_task2[144]/tbl_task2[[คะแนนเต็ม]:[คะแนนเต็ม]])*tbl_task2[[%]:[%]])</f>
        <v/>
      </c>
      <c r="LC20" s="121" t="str">
        <f>IF(ISBLANK(tbl_task2[[คะแนนเต็ม]:[คะแนนเต็ม]]),"",(tbl_task2[145]/tbl_task2[[คะแนนเต็ม]:[คะแนนเต็ม]])*tbl_task2[[%]:[%]])</f>
        <v/>
      </c>
      <c r="LD20" s="121" t="str">
        <f>IF(ISBLANK(tbl_task2[[คะแนนเต็ม]:[คะแนนเต็ม]]),"",(tbl_task2[146]/tbl_task2[[คะแนนเต็ม]:[คะแนนเต็ม]])*tbl_task2[[%]:[%]])</f>
        <v/>
      </c>
      <c r="LE20" s="121" t="str">
        <f>IF(ISBLANK(tbl_task2[[คะแนนเต็ม]:[คะแนนเต็ม]]),"",(tbl_task2[147]/tbl_task2[[คะแนนเต็ม]:[คะแนนเต็ม]])*tbl_task2[[%]:[%]])</f>
        <v/>
      </c>
      <c r="LF20" s="121" t="str">
        <f>IF(ISBLANK(tbl_task2[[คะแนนเต็ม]:[คะแนนเต็ม]]),"",(tbl_task2[148]/tbl_task2[[คะแนนเต็ม]:[คะแนนเต็ม]])*tbl_task2[[%]:[%]])</f>
        <v/>
      </c>
      <c r="LG20" s="121" t="str">
        <f>IF(ISBLANK(tbl_task2[[คะแนนเต็ม]:[คะแนนเต็ม]]),"",(tbl_task2[149]/tbl_task2[[คะแนนเต็ม]:[คะแนนเต็ม]])*tbl_task2[[%]:[%]])</f>
        <v/>
      </c>
      <c r="LH20" s="121" t="str">
        <f>IF(ISBLANK(tbl_task2[[คะแนนเต็ม]:[คะแนนเต็ม]]),"",(tbl_task2[150]/tbl_task2[[คะแนนเต็ม]:[คะแนนเต็ม]])*tbl_task2[[%]:[%]])</f>
        <v/>
      </c>
      <c r="LI20" s="121" t="str">
        <f>IF(ISBLANK(tbl_task2[[คะแนนเต็ม]:[คะแนนเต็ม]]),"",(tbl_task2[151]/tbl_task2[[คะแนนเต็ม]:[คะแนนเต็ม]])*tbl_task2[[%]:[%]])</f>
        <v/>
      </c>
      <c r="LJ20" s="121" t="str">
        <f>IF(ISBLANK(tbl_task2[[คะแนนเต็ม]:[คะแนนเต็ม]]),"",(tbl_task2[152]/tbl_task2[[คะแนนเต็ม]:[คะแนนเต็ม]])*tbl_task2[[%]:[%]])</f>
        <v/>
      </c>
      <c r="LK20" s="121" t="str">
        <f>IF(ISBLANK(tbl_task2[[คะแนนเต็ม]:[คะแนนเต็ม]]),"",(tbl_task2[153]/tbl_task2[[คะแนนเต็ม]:[คะแนนเต็ม]])*tbl_task2[[%]:[%]])</f>
        <v/>
      </c>
      <c r="LL20" s="121" t="str">
        <f>IF(ISBLANK(tbl_task2[[คะแนนเต็ม]:[คะแนนเต็ม]]),"",(tbl_task2[154]/tbl_task2[[คะแนนเต็ม]:[คะแนนเต็ม]])*tbl_task2[[%]:[%]])</f>
        <v/>
      </c>
      <c r="LM20" s="121" t="str">
        <f>IF(ISBLANK(tbl_task2[[คะแนนเต็ม]:[คะแนนเต็ม]]),"",(tbl_task2[155]/tbl_task2[[คะแนนเต็ม]:[คะแนนเต็ม]])*tbl_task2[[%]:[%]])</f>
        <v/>
      </c>
      <c r="LN20" s="121" t="str">
        <f>IF(ISBLANK(tbl_task2[[คะแนนเต็ม]:[คะแนนเต็ม]]),"",(tbl_task2[156]/tbl_task2[[คะแนนเต็ม]:[คะแนนเต็ม]])*tbl_task2[[%]:[%]])</f>
        <v/>
      </c>
      <c r="LO20" s="121" t="str">
        <f>IF(ISBLANK(tbl_task2[[คะแนนเต็ม]:[คะแนนเต็ม]]),"",(tbl_task2[157]/tbl_task2[[คะแนนเต็ม]:[คะแนนเต็ม]])*tbl_task2[[%]:[%]])</f>
        <v/>
      </c>
      <c r="LP20" s="121" t="str">
        <f>IF(ISBLANK(tbl_task2[[คะแนนเต็ม]:[คะแนนเต็ม]]),"",(tbl_task2[158]/tbl_task2[[คะแนนเต็ม]:[คะแนนเต็ม]])*tbl_task2[[%]:[%]])</f>
        <v/>
      </c>
      <c r="LQ20" s="121" t="str">
        <f>IF(ISBLANK(tbl_task2[[คะแนนเต็ม]:[คะแนนเต็ม]]),"",(tbl_task2[159]/tbl_task2[[คะแนนเต็ม]:[คะแนนเต็ม]])*tbl_task2[[%]:[%]])</f>
        <v/>
      </c>
      <c r="LR20" s="121" t="str">
        <f>IF(ISBLANK(tbl_task2[[คะแนนเต็ม]:[คะแนนเต็ม]]),"",(tbl_task2[160]/tbl_task2[[คะแนนเต็ม]:[คะแนนเต็ม]])*tbl_task2[[%]:[%]])</f>
        <v/>
      </c>
      <c r="LS20" s="121" t="str">
        <f>IF(ISBLANK(tbl_task2[[คะแนนเต็ม]:[คะแนนเต็ม]]),"",(tbl_task2[161]/tbl_task2[[คะแนนเต็ม]:[คะแนนเต็ม]])*tbl_task2[[%]:[%]])</f>
        <v/>
      </c>
      <c r="LT20" s="121" t="str">
        <f>IF(ISBLANK(tbl_task2[[คะแนนเต็ม]:[คะแนนเต็ม]]),"",(tbl_task2[162]/tbl_task2[[คะแนนเต็ม]:[คะแนนเต็ม]])*tbl_task2[[%]:[%]])</f>
        <v/>
      </c>
      <c r="LU20" s="121" t="str">
        <f>IF(ISBLANK(tbl_task2[[คะแนนเต็ม]:[คะแนนเต็ม]]),"",(tbl_task2[163]/tbl_task2[[คะแนนเต็ม]:[คะแนนเต็ม]])*tbl_task2[[%]:[%]])</f>
        <v/>
      </c>
      <c r="LV20" s="121" t="str">
        <f>IF(ISBLANK(tbl_task2[[คะแนนเต็ม]:[คะแนนเต็ม]]),"",(tbl_task2[164]/tbl_task2[[คะแนนเต็ม]:[คะแนนเต็ม]])*tbl_task2[[%]:[%]])</f>
        <v/>
      </c>
      <c r="LW20" s="121" t="str">
        <f>IF(ISBLANK(tbl_task2[[คะแนนเต็ม]:[คะแนนเต็ม]]),"",(tbl_task2[165]/tbl_task2[[คะแนนเต็ม]:[คะแนนเต็ม]])*tbl_task2[[%]:[%]])</f>
        <v/>
      </c>
    </row>
    <row r="21" spans="1:335" ht="24" customHeight="1" x14ac:dyDescent="0.25">
      <c r="A21" s="24">
        <v>18</v>
      </c>
      <c r="B21" s="20"/>
      <c r="C21" s="5" t="str">
        <f>IF(ISBLANK(B21),"",VLOOKUP(B21,tbl_PLOs[],2,0))</f>
        <v/>
      </c>
      <c r="D21" s="102"/>
      <c r="E21" s="106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21" t="str">
        <f>IF(ISBLANK(tbl_task2[[คะแนนเต็ม]:[คะแนนเต็ม]]),"",(tbl_task2[1]/tbl_task2[[คะแนนเต็ม]:[คะแนนเต็ม]])*tbl_task2[[%]:[%]])</f>
        <v/>
      </c>
      <c r="FP21" s="121" t="str">
        <f>IF(ISBLANK(tbl_task2[[คะแนนเต็ม]:[คะแนนเต็ม]]),"",(tbl_task2[2]/tbl_task2[[คะแนนเต็ม]:[คะแนนเต็ม]])*tbl_task2[[%]:[%]])</f>
        <v/>
      </c>
      <c r="FQ21" s="121" t="str">
        <f>IF(ISBLANK(tbl_task2[[คะแนนเต็ม]:[คะแนนเต็ม]]),"",(tbl_task2[3]/tbl_task2[[คะแนนเต็ม]:[คะแนนเต็ม]])*tbl_task2[[%]:[%]])</f>
        <v/>
      </c>
      <c r="FR21" s="121" t="str">
        <f>IF(ISBLANK(tbl_task2[[คะแนนเต็ม]:[คะแนนเต็ม]]),"",(tbl_task2[4]/tbl_task2[[คะแนนเต็ม]:[คะแนนเต็ม]])*tbl_task2[[%]:[%]])</f>
        <v/>
      </c>
      <c r="FS21" s="121" t="str">
        <f>IF(ISBLANK(tbl_task2[[คะแนนเต็ม]:[คะแนนเต็ม]]),"",(tbl_task2[5]/tbl_task2[[คะแนนเต็ม]:[คะแนนเต็ม]])*tbl_task2[[%]:[%]])</f>
        <v/>
      </c>
      <c r="FT21" s="121" t="str">
        <f>IF(ISBLANK(tbl_task2[[คะแนนเต็ม]:[คะแนนเต็ม]]),"",(tbl_task2[6]/tbl_task2[[คะแนนเต็ม]:[คะแนนเต็ม]])*tbl_task2[[%]:[%]])</f>
        <v/>
      </c>
      <c r="FU21" s="121" t="str">
        <f>IF(ISBLANK(tbl_task2[[คะแนนเต็ม]:[คะแนนเต็ม]]),"",(tbl_task2[7]/tbl_task2[[คะแนนเต็ม]:[คะแนนเต็ม]])*tbl_task2[[%]:[%]])</f>
        <v/>
      </c>
      <c r="FV21" s="121" t="str">
        <f>IF(ISBLANK(tbl_task2[[คะแนนเต็ม]:[คะแนนเต็ม]]),"",(tbl_task2[8]/tbl_task2[[คะแนนเต็ม]:[คะแนนเต็ม]])*tbl_task2[[%]:[%]])</f>
        <v/>
      </c>
      <c r="FW21" s="121" t="str">
        <f>IF(ISBLANK(tbl_task2[[คะแนนเต็ม]:[คะแนนเต็ม]]),"",(tbl_task2[9]/tbl_task2[[คะแนนเต็ม]:[คะแนนเต็ม]])*tbl_task2[[%]:[%]])</f>
        <v/>
      </c>
      <c r="FX21" s="121" t="str">
        <f>IF(ISBLANK(tbl_task2[[คะแนนเต็ม]:[คะแนนเต็ม]]),"",(tbl_task2[10]/tbl_task2[[คะแนนเต็ม]:[คะแนนเต็ม]])*tbl_task2[[%]:[%]])</f>
        <v/>
      </c>
      <c r="FY21" s="121" t="str">
        <f>IF(ISBLANK(tbl_task2[[คะแนนเต็ม]:[คะแนนเต็ม]]),"",(tbl_task2[11]/tbl_task2[[คะแนนเต็ม]:[คะแนนเต็ม]])*tbl_task2[[%]:[%]])</f>
        <v/>
      </c>
      <c r="FZ21" s="121" t="str">
        <f>IF(ISBLANK(tbl_task2[[คะแนนเต็ม]:[คะแนนเต็ม]]),"",(tbl_task2[12]/tbl_task2[[คะแนนเต็ม]:[คะแนนเต็ม]])*tbl_task2[[%]:[%]])</f>
        <v/>
      </c>
      <c r="GA21" s="121" t="str">
        <f>IF(ISBLANK(tbl_task2[[คะแนนเต็ม]:[คะแนนเต็ม]]),"",(tbl_task2[13]/tbl_task2[[คะแนนเต็ม]:[คะแนนเต็ม]])*tbl_task2[[%]:[%]])</f>
        <v/>
      </c>
      <c r="GB21" s="121" t="str">
        <f>IF(ISBLANK(tbl_task2[[คะแนนเต็ม]:[คะแนนเต็ม]]),"",(tbl_task2[14]/tbl_task2[[คะแนนเต็ม]:[คะแนนเต็ม]])*tbl_task2[[%]:[%]])</f>
        <v/>
      </c>
      <c r="GC21" s="121" t="str">
        <f>IF(ISBLANK(tbl_task2[[คะแนนเต็ม]:[คะแนนเต็ม]]),"",(tbl_task2[15]/tbl_task2[[คะแนนเต็ม]:[คะแนนเต็ม]])*tbl_task2[[%]:[%]])</f>
        <v/>
      </c>
      <c r="GD21" s="121" t="str">
        <f>IF(ISBLANK(tbl_task2[[คะแนนเต็ม]:[คะแนนเต็ม]]),"",(tbl_task2[16]/tbl_task2[[คะแนนเต็ม]:[คะแนนเต็ม]])*tbl_task2[[%]:[%]])</f>
        <v/>
      </c>
      <c r="GE21" s="121" t="str">
        <f>IF(ISBLANK(tbl_task2[[คะแนนเต็ม]:[คะแนนเต็ม]]),"",(tbl_task2[17]/tbl_task2[[คะแนนเต็ม]:[คะแนนเต็ม]])*tbl_task2[[%]:[%]])</f>
        <v/>
      </c>
      <c r="GF21" s="121" t="str">
        <f>IF(ISBLANK(tbl_task2[[คะแนนเต็ม]:[คะแนนเต็ม]]),"",(tbl_task2[18]/tbl_task2[[คะแนนเต็ม]:[คะแนนเต็ม]])*tbl_task2[[%]:[%]])</f>
        <v/>
      </c>
      <c r="GG21" s="121" t="str">
        <f>IF(ISBLANK(tbl_task2[[คะแนนเต็ม]:[คะแนนเต็ม]]),"",(tbl_task2[19]/tbl_task2[[คะแนนเต็ม]:[คะแนนเต็ม]])*tbl_task2[[%]:[%]])</f>
        <v/>
      </c>
      <c r="GH21" s="121" t="str">
        <f>IF(ISBLANK(tbl_task2[[คะแนนเต็ม]:[คะแนนเต็ม]]),"",(tbl_task2[20]/tbl_task2[[คะแนนเต็ม]:[คะแนนเต็ม]])*tbl_task2[[%]:[%]])</f>
        <v/>
      </c>
      <c r="GI21" s="121" t="str">
        <f>IF(ISBLANK(tbl_task2[[คะแนนเต็ม]:[คะแนนเต็ม]]),"",(tbl_task2[21]/tbl_task2[[คะแนนเต็ม]:[คะแนนเต็ม]])*tbl_task2[[%]:[%]])</f>
        <v/>
      </c>
      <c r="GJ21" s="121" t="str">
        <f>IF(ISBLANK(tbl_task2[[คะแนนเต็ม]:[คะแนนเต็ม]]),"",(tbl_task2[22]/tbl_task2[[คะแนนเต็ม]:[คะแนนเต็ม]])*tbl_task2[[%]:[%]])</f>
        <v/>
      </c>
      <c r="GK21" s="121" t="str">
        <f>IF(ISBLANK(tbl_task2[[คะแนนเต็ม]:[คะแนนเต็ม]]),"",(tbl_task2[23]/tbl_task2[[คะแนนเต็ม]:[คะแนนเต็ม]])*tbl_task2[[%]:[%]])</f>
        <v/>
      </c>
      <c r="GL21" s="121" t="str">
        <f>IF(ISBLANK(tbl_task2[[คะแนนเต็ม]:[คะแนนเต็ม]]),"",(tbl_task2[24]/tbl_task2[[คะแนนเต็ม]:[คะแนนเต็ม]])*tbl_task2[[%]:[%]])</f>
        <v/>
      </c>
      <c r="GM21" s="121" t="str">
        <f>IF(ISBLANK(tbl_task2[[คะแนนเต็ม]:[คะแนนเต็ม]]),"",(tbl_task2[25]/tbl_task2[[คะแนนเต็ม]:[คะแนนเต็ม]])*tbl_task2[[%]:[%]])</f>
        <v/>
      </c>
      <c r="GN21" s="121" t="str">
        <f>IF(ISBLANK(tbl_task2[[คะแนนเต็ม]:[คะแนนเต็ม]]),"",(tbl_task2[26]/tbl_task2[[คะแนนเต็ม]:[คะแนนเต็ม]])*tbl_task2[[%]:[%]])</f>
        <v/>
      </c>
      <c r="GO21" s="121" t="str">
        <f>IF(ISBLANK(tbl_task2[[คะแนนเต็ม]:[คะแนนเต็ม]]),"",(tbl_task2[27]/tbl_task2[[คะแนนเต็ม]:[คะแนนเต็ม]])*tbl_task2[[%]:[%]])</f>
        <v/>
      </c>
      <c r="GP21" s="121" t="str">
        <f>IF(ISBLANK(tbl_task2[[คะแนนเต็ม]:[คะแนนเต็ม]]),"",(tbl_task2[28]/tbl_task2[[คะแนนเต็ม]:[คะแนนเต็ม]])*tbl_task2[[%]:[%]])</f>
        <v/>
      </c>
      <c r="GQ21" s="121" t="str">
        <f>IF(ISBLANK(tbl_task2[[คะแนนเต็ม]:[คะแนนเต็ม]]),"",(tbl_task2[29]/tbl_task2[[คะแนนเต็ม]:[คะแนนเต็ม]])*tbl_task2[[%]:[%]])</f>
        <v/>
      </c>
      <c r="GR21" s="121" t="str">
        <f>IF(ISBLANK(tbl_task2[[คะแนนเต็ม]:[คะแนนเต็ม]]),"",(tbl_task2[30]/tbl_task2[[คะแนนเต็ม]:[คะแนนเต็ม]])*tbl_task2[[%]:[%]])</f>
        <v/>
      </c>
      <c r="GS21" s="121" t="str">
        <f>IF(ISBLANK(tbl_task2[[คะแนนเต็ม]:[คะแนนเต็ม]]),"",(tbl_task2[31]/tbl_task2[[คะแนนเต็ม]:[คะแนนเต็ม]])*tbl_task2[[%]:[%]])</f>
        <v/>
      </c>
      <c r="GT21" s="121" t="str">
        <f>IF(ISBLANK(tbl_task2[[คะแนนเต็ม]:[คะแนนเต็ม]]),"",(tbl_task2[32]/tbl_task2[[คะแนนเต็ม]:[คะแนนเต็ม]])*tbl_task2[[%]:[%]])</f>
        <v/>
      </c>
      <c r="GU21" s="121" t="str">
        <f>IF(ISBLANK(tbl_task2[[คะแนนเต็ม]:[คะแนนเต็ม]]),"",(tbl_task2[33]/tbl_task2[[คะแนนเต็ม]:[คะแนนเต็ม]])*tbl_task2[[%]:[%]])</f>
        <v/>
      </c>
      <c r="GV21" s="121" t="str">
        <f>IF(ISBLANK(tbl_task2[[คะแนนเต็ม]:[คะแนนเต็ม]]),"",(tbl_task2[34]/tbl_task2[[คะแนนเต็ม]:[คะแนนเต็ม]])*tbl_task2[[%]:[%]])</f>
        <v/>
      </c>
      <c r="GW21" s="121" t="str">
        <f>IF(ISBLANK(tbl_task2[[คะแนนเต็ม]:[คะแนนเต็ม]]),"",(tbl_task2[35]/tbl_task2[[คะแนนเต็ม]:[คะแนนเต็ม]])*tbl_task2[[%]:[%]])</f>
        <v/>
      </c>
      <c r="GX21" s="121" t="str">
        <f>IF(ISBLANK(tbl_task2[[คะแนนเต็ม]:[คะแนนเต็ม]]),"",(tbl_task2[36]/tbl_task2[[คะแนนเต็ม]:[คะแนนเต็ม]])*tbl_task2[[%]:[%]])</f>
        <v/>
      </c>
      <c r="GY21" s="121" t="str">
        <f>IF(ISBLANK(tbl_task2[[คะแนนเต็ม]:[คะแนนเต็ม]]),"",(tbl_task2[37]/tbl_task2[[คะแนนเต็ม]:[คะแนนเต็ม]])*tbl_task2[[%]:[%]])</f>
        <v/>
      </c>
      <c r="GZ21" s="121" t="str">
        <f>IF(ISBLANK(tbl_task2[[คะแนนเต็ม]:[คะแนนเต็ม]]),"",(tbl_task2[38]/tbl_task2[[คะแนนเต็ม]:[คะแนนเต็ม]])*tbl_task2[[%]:[%]])</f>
        <v/>
      </c>
      <c r="HA21" s="121" t="str">
        <f>IF(ISBLANK(tbl_task2[[คะแนนเต็ม]:[คะแนนเต็ม]]),"",(tbl_task2[39]/tbl_task2[[คะแนนเต็ม]:[คะแนนเต็ม]])*tbl_task2[[%]:[%]])</f>
        <v/>
      </c>
      <c r="HB21" s="121" t="str">
        <f>IF(ISBLANK(tbl_task2[[คะแนนเต็ม]:[คะแนนเต็ม]]),"",(tbl_task2[40]/tbl_task2[[คะแนนเต็ม]:[คะแนนเต็ม]])*tbl_task2[[%]:[%]])</f>
        <v/>
      </c>
      <c r="HC21" s="121" t="str">
        <f>IF(ISBLANK(tbl_task2[[คะแนนเต็ม]:[คะแนนเต็ม]]),"",(tbl_task2[41]/tbl_task2[[คะแนนเต็ม]:[คะแนนเต็ม]])*tbl_task2[[%]:[%]])</f>
        <v/>
      </c>
      <c r="HD21" s="121" t="str">
        <f>IF(ISBLANK(tbl_task2[[คะแนนเต็ม]:[คะแนนเต็ม]]),"",(tbl_task2[42]/tbl_task2[[คะแนนเต็ม]:[คะแนนเต็ม]])*tbl_task2[[%]:[%]])</f>
        <v/>
      </c>
      <c r="HE21" s="121" t="str">
        <f>IF(ISBLANK(tbl_task2[[คะแนนเต็ม]:[คะแนนเต็ม]]),"",(tbl_task2[43]/tbl_task2[[คะแนนเต็ม]:[คะแนนเต็ม]])*tbl_task2[[%]:[%]])</f>
        <v/>
      </c>
      <c r="HF21" s="121" t="str">
        <f>IF(ISBLANK(tbl_task2[[คะแนนเต็ม]:[คะแนนเต็ม]]),"",(tbl_task2[44]/tbl_task2[[คะแนนเต็ม]:[คะแนนเต็ม]])*tbl_task2[[%]:[%]])</f>
        <v/>
      </c>
      <c r="HG21" s="121" t="str">
        <f>IF(ISBLANK(tbl_task2[[คะแนนเต็ม]:[คะแนนเต็ม]]),"",(tbl_task2[45]/tbl_task2[[คะแนนเต็ม]:[คะแนนเต็ม]])*tbl_task2[[%]:[%]])</f>
        <v/>
      </c>
      <c r="HH21" s="121" t="str">
        <f>IF(ISBLANK(tbl_task2[[คะแนนเต็ม]:[คะแนนเต็ม]]),"",(tbl_task2[46]/tbl_task2[[คะแนนเต็ม]:[คะแนนเต็ม]])*tbl_task2[[%]:[%]])</f>
        <v/>
      </c>
      <c r="HI21" s="121" t="str">
        <f>IF(ISBLANK(tbl_task2[[คะแนนเต็ม]:[คะแนนเต็ม]]),"",(tbl_task2[47]/tbl_task2[[คะแนนเต็ม]:[คะแนนเต็ม]])*tbl_task2[[%]:[%]])</f>
        <v/>
      </c>
      <c r="HJ21" s="121" t="str">
        <f>IF(ISBLANK(tbl_task2[[คะแนนเต็ม]:[คะแนนเต็ม]]),"",(tbl_task2[48]/tbl_task2[[คะแนนเต็ม]:[คะแนนเต็ม]])*tbl_task2[[%]:[%]])</f>
        <v/>
      </c>
      <c r="HK21" s="121" t="str">
        <f>IF(ISBLANK(tbl_task2[[คะแนนเต็ม]:[คะแนนเต็ม]]),"",(tbl_task2[49]/tbl_task2[[คะแนนเต็ม]:[คะแนนเต็ม]])*tbl_task2[[%]:[%]])</f>
        <v/>
      </c>
      <c r="HL21" s="121" t="str">
        <f>IF(ISBLANK(tbl_task2[[คะแนนเต็ม]:[คะแนนเต็ม]]),"",(tbl_task2[50]/tbl_task2[[คะแนนเต็ม]:[คะแนนเต็ม]])*tbl_task2[[%]:[%]])</f>
        <v/>
      </c>
      <c r="HM21" s="121" t="str">
        <f>IF(ISBLANK(tbl_task2[[คะแนนเต็ม]:[คะแนนเต็ม]]),"",(tbl_task2[51]/tbl_task2[[คะแนนเต็ม]:[คะแนนเต็ม]])*tbl_task2[[%]:[%]])</f>
        <v/>
      </c>
      <c r="HN21" s="121" t="str">
        <f>IF(ISBLANK(tbl_task2[[คะแนนเต็ม]:[คะแนนเต็ม]]),"",(tbl_task2[52]/tbl_task2[[คะแนนเต็ม]:[คะแนนเต็ม]])*tbl_task2[[%]:[%]])</f>
        <v/>
      </c>
      <c r="HO21" s="121" t="str">
        <f>IF(ISBLANK(tbl_task2[[คะแนนเต็ม]:[คะแนนเต็ม]]),"",(tbl_task2[53]/tbl_task2[[คะแนนเต็ม]:[คะแนนเต็ม]])*tbl_task2[[%]:[%]])</f>
        <v/>
      </c>
      <c r="HP21" s="121" t="str">
        <f>IF(ISBLANK(tbl_task2[[คะแนนเต็ม]:[คะแนนเต็ม]]),"",(tbl_task2[54]/tbl_task2[[คะแนนเต็ม]:[คะแนนเต็ม]])*tbl_task2[[%]:[%]])</f>
        <v/>
      </c>
      <c r="HQ21" s="121" t="str">
        <f>IF(ISBLANK(tbl_task2[[คะแนนเต็ม]:[คะแนนเต็ม]]),"",(tbl_task2[55]/tbl_task2[[คะแนนเต็ม]:[คะแนนเต็ม]])*tbl_task2[[%]:[%]])</f>
        <v/>
      </c>
      <c r="HR21" s="121" t="str">
        <f>IF(ISBLANK(tbl_task2[[คะแนนเต็ม]:[คะแนนเต็ม]]),"",(tbl_task2[56]/tbl_task2[[คะแนนเต็ม]:[คะแนนเต็ม]])*tbl_task2[[%]:[%]])</f>
        <v/>
      </c>
      <c r="HS21" s="121" t="str">
        <f>IF(ISBLANK(tbl_task2[[คะแนนเต็ม]:[คะแนนเต็ม]]),"",(tbl_task2[57]/tbl_task2[[คะแนนเต็ม]:[คะแนนเต็ม]])*tbl_task2[[%]:[%]])</f>
        <v/>
      </c>
      <c r="HT21" s="121" t="str">
        <f>IF(ISBLANK(tbl_task2[[คะแนนเต็ม]:[คะแนนเต็ม]]),"",(tbl_task2[58]/tbl_task2[[คะแนนเต็ม]:[คะแนนเต็ม]])*tbl_task2[[%]:[%]])</f>
        <v/>
      </c>
      <c r="HU21" s="121" t="str">
        <f>IF(ISBLANK(tbl_task2[[คะแนนเต็ม]:[คะแนนเต็ม]]),"",(tbl_task2[59]/tbl_task2[[คะแนนเต็ม]:[คะแนนเต็ม]])*tbl_task2[[%]:[%]])</f>
        <v/>
      </c>
      <c r="HV21" s="121" t="str">
        <f>IF(ISBLANK(tbl_task2[[คะแนนเต็ม]:[คะแนนเต็ม]]),"",(tbl_task2[60]/tbl_task2[[คะแนนเต็ม]:[คะแนนเต็ม]])*tbl_task2[[%]:[%]])</f>
        <v/>
      </c>
      <c r="HW21" s="121" t="str">
        <f>IF(ISBLANK(tbl_task2[[คะแนนเต็ม]:[คะแนนเต็ม]]),"",(tbl_task2[61]/tbl_task2[[คะแนนเต็ม]:[คะแนนเต็ม]])*tbl_task2[[%]:[%]])</f>
        <v/>
      </c>
      <c r="HX21" s="121" t="str">
        <f>IF(ISBLANK(tbl_task2[[คะแนนเต็ม]:[คะแนนเต็ม]]),"",(tbl_task2[62]/tbl_task2[[คะแนนเต็ม]:[คะแนนเต็ม]])*tbl_task2[[%]:[%]])</f>
        <v/>
      </c>
      <c r="HY21" s="121" t="str">
        <f>IF(ISBLANK(tbl_task2[[คะแนนเต็ม]:[คะแนนเต็ม]]),"",(tbl_task2[63]/tbl_task2[[คะแนนเต็ม]:[คะแนนเต็ม]])*tbl_task2[[%]:[%]])</f>
        <v/>
      </c>
      <c r="HZ21" s="121" t="str">
        <f>IF(ISBLANK(tbl_task2[[คะแนนเต็ม]:[คะแนนเต็ม]]),"",(tbl_task2[64]/tbl_task2[[คะแนนเต็ม]:[คะแนนเต็ม]])*tbl_task2[[%]:[%]])</f>
        <v/>
      </c>
      <c r="IA21" s="121" t="str">
        <f>IF(ISBLANK(tbl_task2[[คะแนนเต็ม]:[คะแนนเต็ม]]),"",(tbl_task2[65]/tbl_task2[[คะแนนเต็ม]:[คะแนนเต็ม]])*tbl_task2[[%]:[%]])</f>
        <v/>
      </c>
      <c r="IB21" s="121" t="str">
        <f>IF(ISBLANK(tbl_task2[[คะแนนเต็ม]:[คะแนนเต็ม]]),"",(tbl_task2[66]/tbl_task2[[คะแนนเต็ม]:[คะแนนเต็ม]])*tbl_task2[[%]:[%]])</f>
        <v/>
      </c>
      <c r="IC21" s="121" t="str">
        <f>IF(ISBLANK(tbl_task2[[คะแนนเต็ม]:[คะแนนเต็ม]]),"",(tbl_task2[67]/tbl_task2[[คะแนนเต็ม]:[คะแนนเต็ม]])*tbl_task2[[%]:[%]])</f>
        <v/>
      </c>
      <c r="ID21" s="121" t="str">
        <f>IF(ISBLANK(tbl_task2[[คะแนนเต็ม]:[คะแนนเต็ม]]),"",(tbl_task2[68]/tbl_task2[[คะแนนเต็ม]:[คะแนนเต็ม]])*tbl_task2[[%]:[%]])</f>
        <v/>
      </c>
      <c r="IE21" s="121" t="str">
        <f>IF(ISBLANK(tbl_task2[[คะแนนเต็ม]:[คะแนนเต็ม]]),"",(tbl_task2[69]/tbl_task2[[คะแนนเต็ม]:[คะแนนเต็ม]])*tbl_task2[[%]:[%]])</f>
        <v/>
      </c>
      <c r="IF21" s="121" t="str">
        <f>IF(ISBLANK(tbl_task2[[คะแนนเต็ม]:[คะแนนเต็ม]]),"",(tbl_task2[70]/tbl_task2[[คะแนนเต็ม]:[คะแนนเต็ม]])*tbl_task2[[%]:[%]])</f>
        <v/>
      </c>
      <c r="IG21" s="121" t="str">
        <f>IF(ISBLANK(tbl_task2[[คะแนนเต็ม]:[คะแนนเต็ม]]),"",(tbl_task2[71]/tbl_task2[[คะแนนเต็ม]:[คะแนนเต็ม]])*tbl_task2[[%]:[%]])</f>
        <v/>
      </c>
      <c r="IH21" s="121" t="str">
        <f>IF(ISBLANK(tbl_task2[[คะแนนเต็ม]:[คะแนนเต็ม]]),"",(tbl_task2[72]/tbl_task2[[คะแนนเต็ม]:[คะแนนเต็ม]])*tbl_task2[[%]:[%]])</f>
        <v/>
      </c>
      <c r="II21" s="121" t="str">
        <f>IF(ISBLANK(tbl_task2[[คะแนนเต็ม]:[คะแนนเต็ม]]),"",(tbl_task2[73]/tbl_task2[[คะแนนเต็ม]:[คะแนนเต็ม]])*tbl_task2[[%]:[%]])</f>
        <v/>
      </c>
      <c r="IJ21" s="121" t="str">
        <f>IF(ISBLANK(tbl_task2[[คะแนนเต็ม]:[คะแนนเต็ม]]),"",(tbl_task2[74]/tbl_task2[[คะแนนเต็ม]:[คะแนนเต็ม]])*tbl_task2[[%]:[%]])</f>
        <v/>
      </c>
      <c r="IK21" s="121" t="str">
        <f>IF(ISBLANK(tbl_task2[[คะแนนเต็ม]:[คะแนนเต็ม]]),"",(tbl_task2[75]/tbl_task2[[คะแนนเต็ม]:[คะแนนเต็ม]])*tbl_task2[[%]:[%]])</f>
        <v/>
      </c>
      <c r="IL21" s="121" t="str">
        <f>IF(ISBLANK(tbl_task2[[คะแนนเต็ม]:[คะแนนเต็ม]]),"",(tbl_task2[76]/tbl_task2[[คะแนนเต็ม]:[คะแนนเต็ม]])*tbl_task2[[%]:[%]])</f>
        <v/>
      </c>
      <c r="IM21" s="121" t="str">
        <f>IF(ISBLANK(tbl_task2[[คะแนนเต็ม]:[คะแนนเต็ม]]),"",(tbl_task2[77]/tbl_task2[[คะแนนเต็ม]:[คะแนนเต็ม]])*tbl_task2[[%]:[%]])</f>
        <v/>
      </c>
      <c r="IN21" s="121" t="str">
        <f>IF(ISBLANK(tbl_task2[[คะแนนเต็ม]:[คะแนนเต็ม]]),"",(tbl_task2[78]/tbl_task2[[คะแนนเต็ม]:[คะแนนเต็ม]])*tbl_task2[[%]:[%]])</f>
        <v/>
      </c>
      <c r="IO21" s="121" t="str">
        <f>IF(ISBLANK(tbl_task2[[คะแนนเต็ม]:[คะแนนเต็ม]]),"",(tbl_task2[79]/tbl_task2[[คะแนนเต็ม]:[คะแนนเต็ม]])*tbl_task2[[%]:[%]])</f>
        <v/>
      </c>
      <c r="IP21" s="121" t="str">
        <f>IF(ISBLANK(tbl_task2[[คะแนนเต็ม]:[คะแนนเต็ม]]),"",(tbl_task2[80]/tbl_task2[[คะแนนเต็ม]:[คะแนนเต็ม]])*tbl_task2[[%]:[%]])</f>
        <v/>
      </c>
      <c r="IQ21" s="121" t="str">
        <f>IF(ISBLANK(tbl_task2[[คะแนนเต็ม]:[คะแนนเต็ม]]),"",(tbl_task2[81]/tbl_task2[[คะแนนเต็ม]:[คะแนนเต็ม]])*tbl_task2[[%]:[%]])</f>
        <v/>
      </c>
      <c r="IR21" s="121" t="str">
        <f>IF(ISBLANK(tbl_task2[[คะแนนเต็ม]:[คะแนนเต็ม]]),"",(tbl_task2[82]/tbl_task2[[คะแนนเต็ม]:[คะแนนเต็ม]])*tbl_task2[[%]:[%]])</f>
        <v/>
      </c>
      <c r="IS21" s="121" t="str">
        <f>IF(ISBLANK(tbl_task2[[คะแนนเต็ม]:[คะแนนเต็ม]]),"",(tbl_task2[83]/tbl_task2[[คะแนนเต็ม]:[คะแนนเต็ม]])*tbl_task2[[%]:[%]])</f>
        <v/>
      </c>
      <c r="IT21" s="121" t="str">
        <f>IF(ISBLANK(tbl_task2[[คะแนนเต็ม]:[คะแนนเต็ม]]),"",(tbl_task2[84]/tbl_task2[[คะแนนเต็ม]:[คะแนนเต็ม]])*tbl_task2[[%]:[%]])</f>
        <v/>
      </c>
      <c r="IU21" s="121" t="str">
        <f>IF(ISBLANK(tbl_task2[[คะแนนเต็ม]:[คะแนนเต็ม]]),"",(tbl_task2[85]/tbl_task2[[คะแนนเต็ม]:[คะแนนเต็ม]])*tbl_task2[[%]:[%]])</f>
        <v/>
      </c>
      <c r="IV21" s="121" t="str">
        <f>IF(ISBLANK(tbl_task2[[คะแนนเต็ม]:[คะแนนเต็ม]]),"",(tbl_task2[86]/tbl_task2[[คะแนนเต็ม]:[คะแนนเต็ม]])*tbl_task2[[%]:[%]])</f>
        <v/>
      </c>
      <c r="IW21" s="121" t="str">
        <f>IF(ISBLANK(tbl_task2[[คะแนนเต็ม]:[คะแนนเต็ม]]),"",(tbl_task2[87]/tbl_task2[[คะแนนเต็ม]:[คะแนนเต็ม]])*tbl_task2[[%]:[%]])</f>
        <v/>
      </c>
      <c r="IX21" s="121" t="str">
        <f>IF(ISBLANK(tbl_task2[[คะแนนเต็ม]:[คะแนนเต็ม]]),"",(tbl_task2[88]/tbl_task2[[คะแนนเต็ม]:[คะแนนเต็ม]])*tbl_task2[[%]:[%]])</f>
        <v/>
      </c>
      <c r="IY21" s="121" t="str">
        <f>IF(ISBLANK(tbl_task2[[คะแนนเต็ม]:[คะแนนเต็ม]]),"",(tbl_task2[89]/tbl_task2[[คะแนนเต็ม]:[คะแนนเต็ม]])*tbl_task2[[%]:[%]])</f>
        <v/>
      </c>
      <c r="IZ21" s="121" t="str">
        <f>IF(ISBLANK(tbl_task2[[คะแนนเต็ม]:[คะแนนเต็ม]]),"",(tbl_task2[90]/tbl_task2[[คะแนนเต็ม]:[คะแนนเต็ม]])*tbl_task2[[%]:[%]])</f>
        <v/>
      </c>
      <c r="JA21" s="121" t="str">
        <f>IF(ISBLANK(tbl_task2[[คะแนนเต็ม]:[คะแนนเต็ม]]),"",(tbl_task2[91]/tbl_task2[[คะแนนเต็ม]:[คะแนนเต็ม]])*tbl_task2[[%]:[%]])</f>
        <v/>
      </c>
      <c r="JB21" s="121" t="str">
        <f>IF(ISBLANK(tbl_task2[[คะแนนเต็ม]:[คะแนนเต็ม]]),"",(tbl_task2[92]/tbl_task2[[คะแนนเต็ม]:[คะแนนเต็ม]])*tbl_task2[[%]:[%]])</f>
        <v/>
      </c>
      <c r="JC21" s="121" t="str">
        <f>IF(ISBLANK(tbl_task2[[คะแนนเต็ม]:[คะแนนเต็ม]]),"",(tbl_task2[93]/tbl_task2[[คะแนนเต็ม]:[คะแนนเต็ม]])*tbl_task2[[%]:[%]])</f>
        <v/>
      </c>
      <c r="JD21" s="121" t="str">
        <f>IF(ISBLANK(tbl_task2[[คะแนนเต็ม]:[คะแนนเต็ม]]),"",(tbl_task2[94]/tbl_task2[[คะแนนเต็ม]:[คะแนนเต็ม]])*tbl_task2[[%]:[%]])</f>
        <v/>
      </c>
      <c r="JE21" s="121" t="str">
        <f>IF(ISBLANK(tbl_task2[[คะแนนเต็ม]:[คะแนนเต็ม]]),"",(tbl_task2[95]/tbl_task2[[คะแนนเต็ม]:[คะแนนเต็ม]])*tbl_task2[[%]:[%]])</f>
        <v/>
      </c>
      <c r="JF21" s="121" t="str">
        <f>IF(ISBLANK(tbl_task2[[คะแนนเต็ม]:[คะแนนเต็ม]]),"",(tbl_task2[96]/tbl_task2[[คะแนนเต็ม]:[คะแนนเต็ม]])*tbl_task2[[%]:[%]])</f>
        <v/>
      </c>
      <c r="JG21" s="121" t="str">
        <f>IF(ISBLANK(tbl_task2[[คะแนนเต็ม]:[คะแนนเต็ม]]),"",(tbl_task2[97]/tbl_task2[[คะแนนเต็ม]:[คะแนนเต็ม]])*tbl_task2[[%]:[%]])</f>
        <v/>
      </c>
      <c r="JH21" s="121" t="str">
        <f>IF(ISBLANK(tbl_task2[[คะแนนเต็ม]:[คะแนนเต็ม]]),"",(tbl_task2[98]/tbl_task2[[คะแนนเต็ม]:[คะแนนเต็ม]])*tbl_task2[[%]:[%]])</f>
        <v/>
      </c>
      <c r="JI21" s="121" t="str">
        <f>IF(ISBLANK(tbl_task2[[คะแนนเต็ม]:[คะแนนเต็ม]]),"",(tbl_task2[99]/tbl_task2[[คะแนนเต็ม]:[คะแนนเต็ม]])*tbl_task2[[%]:[%]])</f>
        <v/>
      </c>
      <c r="JJ21" s="121" t="str">
        <f>IF(ISBLANK(tbl_task2[[คะแนนเต็ม]:[คะแนนเต็ม]]),"",(tbl_task2[100]/tbl_task2[[คะแนนเต็ม]:[คะแนนเต็ม]])*tbl_task2[[%]:[%]])</f>
        <v/>
      </c>
      <c r="JK21" s="121" t="str">
        <f>IF(ISBLANK(tbl_task2[[คะแนนเต็ม]:[คะแนนเต็ม]]),"",(tbl_task2[101]/tbl_task2[[คะแนนเต็ม]:[คะแนนเต็ม]])*tbl_task2[[%]:[%]])</f>
        <v/>
      </c>
      <c r="JL21" s="121" t="str">
        <f>IF(ISBLANK(tbl_task2[[คะแนนเต็ม]:[คะแนนเต็ม]]),"",(tbl_task2[102]/tbl_task2[[คะแนนเต็ม]:[คะแนนเต็ม]])*tbl_task2[[%]:[%]])</f>
        <v/>
      </c>
      <c r="JM21" s="121" t="str">
        <f>IF(ISBLANK(tbl_task2[[คะแนนเต็ม]:[คะแนนเต็ม]]),"",(tbl_task2[103]/tbl_task2[[คะแนนเต็ม]:[คะแนนเต็ม]])*tbl_task2[[%]:[%]])</f>
        <v/>
      </c>
      <c r="JN21" s="121" t="str">
        <f>IF(ISBLANK(tbl_task2[[คะแนนเต็ม]:[คะแนนเต็ม]]),"",(tbl_task2[104]/tbl_task2[[คะแนนเต็ม]:[คะแนนเต็ม]])*tbl_task2[[%]:[%]])</f>
        <v/>
      </c>
      <c r="JO21" s="121" t="str">
        <f>IF(ISBLANK(tbl_task2[[คะแนนเต็ม]:[คะแนนเต็ม]]),"",(tbl_task2[105]/tbl_task2[[คะแนนเต็ม]:[คะแนนเต็ม]])*tbl_task2[[%]:[%]])</f>
        <v/>
      </c>
      <c r="JP21" s="121" t="str">
        <f>IF(ISBLANK(tbl_task2[[คะแนนเต็ม]:[คะแนนเต็ม]]),"",(tbl_task2[106]/tbl_task2[[คะแนนเต็ม]:[คะแนนเต็ม]])*tbl_task2[[%]:[%]])</f>
        <v/>
      </c>
      <c r="JQ21" s="121" t="str">
        <f>IF(ISBLANK(tbl_task2[[คะแนนเต็ม]:[คะแนนเต็ม]]),"",(tbl_task2[107]/tbl_task2[[คะแนนเต็ม]:[คะแนนเต็ม]])*tbl_task2[[%]:[%]])</f>
        <v/>
      </c>
      <c r="JR21" s="121" t="str">
        <f>IF(ISBLANK(tbl_task2[[คะแนนเต็ม]:[คะแนนเต็ม]]),"",(tbl_task2[108]/tbl_task2[[คะแนนเต็ม]:[คะแนนเต็ม]])*tbl_task2[[%]:[%]])</f>
        <v/>
      </c>
      <c r="JS21" s="121" t="str">
        <f>IF(ISBLANK(tbl_task2[[คะแนนเต็ม]:[คะแนนเต็ม]]),"",(tbl_task2[109]/tbl_task2[[คะแนนเต็ม]:[คะแนนเต็ม]])*tbl_task2[[%]:[%]])</f>
        <v/>
      </c>
      <c r="JT21" s="121" t="str">
        <f>IF(ISBLANK(tbl_task2[[คะแนนเต็ม]:[คะแนนเต็ม]]),"",(tbl_task2[110]/tbl_task2[[คะแนนเต็ม]:[คะแนนเต็ม]])*tbl_task2[[%]:[%]])</f>
        <v/>
      </c>
      <c r="JU21" s="121" t="str">
        <f>IF(ISBLANK(tbl_task2[[คะแนนเต็ม]:[คะแนนเต็ม]]),"",(tbl_task2[111]/tbl_task2[[คะแนนเต็ม]:[คะแนนเต็ม]])*tbl_task2[[%]:[%]])</f>
        <v/>
      </c>
      <c r="JV21" s="121" t="str">
        <f>IF(ISBLANK(tbl_task2[[คะแนนเต็ม]:[คะแนนเต็ม]]),"",(tbl_task2[112]/tbl_task2[[คะแนนเต็ม]:[คะแนนเต็ม]])*tbl_task2[[%]:[%]])</f>
        <v/>
      </c>
      <c r="JW21" s="121" t="str">
        <f>IF(ISBLANK(tbl_task2[[คะแนนเต็ม]:[คะแนนเต็ม]]),"",(tbl_task2[113]/tbl_task2[[คะแนนเต็ม]:[คะแนนเต็ม]])*tbl_task2[[%]:[%]])</f>
        <v/>
      </c>
      <c r="JX21" s="121" t="str">
        <f>IF(ISBLANK(tbl_task2[[คะแนนเต็ม]:[คะแนนเต็ม]]),"",(tbl_task2[114]/tbl_task2[[คะแนนเต็ม]:[คะแนนเต็ม]])*tbl_task2[[%]:[%]])</f>
        <v/>
      </c>
      <c r="JY21" s="121" t="str">
        <f>IF(ISBLANK(tbl_task2[[คะแนนเต็ม]:[คะแนนเต็ม]]),"",(tbl_task2[115]/tbl_task2[[คะแนนเต็ม]:[คะแนนเต็ม]])*tbl_task2[[%]:[%]])</f>
        <v/>
      </c>
      <c r="JZ21" s="121" t="str">
        <f>IF(ISBLANK(tbl_task2[[คะแนนเต็ม]:[คะแนนเต็ม]]),"",(tbl_task2[116]/tbl_task2[[คะแนนเต็ม]:[คะแนนเต็ม]])*tbl_task2[[%]:[%]])</f>
        <v/>
      </c>
      <c r="KA21" s="121" t="str">
        <f>IF(ISBLANK(tbl_task2[[คะแนนเต็ม]:[คะแนนเต็ม]]),"",(tbl_task2[117]/tbl_task2[[คะแนนเต็ม]:[คะแนนเต็ม]])*tbl_task2[[%]:[%]])</f>
        <v/>
      </c>
      <c r="KB21" s="121" t="str">
        <f>IF(ISBLANK(tbl_task2[[คะแนนเต็ม]:[คะแนนเต็ม]]),"",(tbl_task2[118]/tbl_task2[[คะแนนเต็ม]:[คะแนนเต็ม]])*tbl_task2[[%]:[%]])</f>
        <v/>
      </c>
      <c r="KC21" s="121" t="str">
        <f>IF(ISBLANK(tbl_task2[[คะแนนเต็ม]:[คะแนนเต็ม]]),"",(tbl_task2[119]/tbl_task2[[คะแนนเต็ม]:[คะแนนเต็ม]])*tbl_task2[[%]:[%]])</f>
        <v/>
      </c>
      <c r="KD21" s="121" t="str">
        <f>IF(ISBLANK(tbl_task2[[คะแนนเต็ม]:[คะแนนเต็ม]]),"",(tbl_task2[120]/tbl_task2[[คะแนนเต็ม]:[คะแนนเต็ม]])*tbl_task2[[%]:[%]])</f>
        <v/>
      </c>
      <c r="KE21" s="121" t="str">
        <f>IF(ISBLANK(tbl_task2[[คะแนนเต็ม]:[คะแนนเต็ม]]),"",(tbl_task2[121]/tbl_task2[[คะแนนเต็ม]:[คะแนนเต็ม]])*tbl_task2[[%]:[%]])</f>
        <v/>
      </c>
      <c r="KF21" s="121" t="str">
        <f>IF(ISBLANK(tbl_task2[[คะแนนเต็ม]:[คะแนนเต็ม]]),"",(tbl_task2[122]/tbl_task2[[คะแนนเต็ม]:[คะแนนเต็ม]])*tbl_task2[[%]:[%]])</f>
        <v/>
      </c>
      <c r="KG21" s="121" t="str">
        <f>IF(ISBLANK(tbl_task2[[คะแนนเต็ม]:[คะแนนเต็ม]]),"",(tbl_task2[123]/tbl_task2[[คะแนนเต็ม]:[คะแนนเต็ม]])*tbl_task2[[%]:[%]])</f>
        <v/>
      </c>
      <c r="KH21" s="121" t="str">
        <f>IF(ISBLANK(tbl_task2[[คะแนนเต็ม]:[คะแนนเต็ม]]),"",(tbl_task2[124]/tbl_task2[[คะแนนเต็ม]:[คะแนนเต็ม]])*tbl_task2[[%]:[%]])</f>
        <v/>
      </c>
      <c r="KI21" s="121" t="str">
        <f>IF(ISBLANK(tbl_task2[[คะแนนเต็ม]:[คะแนนเต็ม]]),"",(tbl_task2[125]/tbl_task2[[คะแนนเต็ม]:[คะแนนเต็ม]])*tbl_task2[[%]:[%]])</f>
        <v/>
      </c>
      <c r="KJ21" s="121" t="str">
        <f>IF(ISBLANK(tbl_task2[[คะแนนเต็ม]:[คะแนนเต็ม]]),"",(tbl_task2[126]/tbl_task2[[คะแนนเต็ม]:[คะแนนเต็ม]])*tbl_task2[[%]:[%]])</f>
        <v/>
      </c>
      <c r="KK21" s="121" t="str">
        <f>IF(ISBLANK(tbl_task2[[คะแนนเต็ม]:[คะแนนเต็ม]]),"",(tbl_task2[127]/tbl_task2[[คะแนนเต็ม]:[คะแนนเต็ม]])*tbl_task2[[%]:[%]])</f>
        <v/>
      </c>
      <c r="KL21" s="121" t="str">
        <f>IF(ISBLANK(tbl_task2[[คะแนนเต็ม]:[คะแนนเต็ม]]),"",(tbl_task2[128]/tbl_task2[[คะแนนเต็ม]:[คะแนนเต็ม]])*tbl_task2[[%]:[%]])</f>
        <v/>
      </c>
      <c r="KM21" s="121" t="str">
        <f>IF(ISBLANK(tbl_task2[[คะแนนเต็ม]:[คะแนนเต็ม]]),"",(tbl_task2[129]/tbl_task2[[คะแนนเต็ม]:[คะแนนเต็ม]])*tbl_task2[[%]:[%]])</f>
        <v/>
      </c>
      <c r="KN21" s="121" t="str">
        <f>IF(ISBLANK(tbl_task2[[คะแนนเต็ม]:[คะแนนเต็ม]]),"",(tbl_task2[130]/tbl_task2[[คะแนนเต็ม]:[คะแนนเต็ม]])*tbl_task2[[%]:[%]])</f>
        <v/>
      </c>
      <c r="KO21" s="121" t="str">
        <f>IF(ISBLANK(tbl_task2[[คะแนนเต็ม]:[คะแนนเต็ม]]),"",(tbl_task2[131]/tbl_task2[[คะแนนเต็ม]:[คะแนนเต็ม]])*tbl_task2[[%]:[%]])</f>
        <v/>
      </c>
      <c r="KP21" s="121" t="str">
        <f>IF(ISBLANK(tbl_task2[[คะแนนเต็ม]:[คะแนนเต็ม]]),"",(tbl_task2[132]/tbl_task2[[คะแนนเต็ม]:[คะแนนเต็ม]])*tbl_task2[[%]:[%]])</f>
        <v/>
      </c>
      <c r="KQ21" s="121" t="str">
        <f>IF(ISBLANK(tbl_task2[[คะแนนเต็ม]:[คะแนนเต็ม]]),"",(tbl_task2[133]/tbl_task2[[คะแนนเต็ม]:[คะแนนเต็ม]])*tbl_task2[[%]:[%]])</f>
        <v/>
      </c>
      <c r="KR21" s="121" t="str">
        <f>IF(ISBLANK(tbl_task2[[คะแนนเต็ม]:[คะแนนเต็ม]]),"",(tbl_task2[134]/tbl_task2[[คะแนนเต็ม]:[คะแนนเต็ม]])*tbl_task2[[%]:[%]])</f>
        <v/>
      </c>
      <c r="KS21" s="121" t="str">
        <f>IF(ISBLANK(tbl_task2[[คะแนนเต็ม]:[คะแนนเต็ม]]),"",(tbl_task2[135]/tbl_task2[[คะแนนเต็ม]:[คะแนนเต็ม]])*tbl_task2[[%]:[%]])</f>
        <v/>
      </c>
      <c r="KT21" s="121" t="str">
        <f>IF(ISBLANK(tbl_task2[[คะแนนเต็ม]:[คะแนนเต็ม]]),"",(tbl_task2[136]/tbl_task2[[คะแนนเต็ม]:[คะแนนเต็ม]])*tbl_task2[[%]:[%]])</f>
        <v/>
      </c>
      <c r="KU21" s="121" t="str">
        <f>IF(ISBLANK(tbl_task2[[คะแนนเต็ม]:[คะแนนเต็ม]]),"",(tbl_task2[137]/tbl_task2[[คะแนนเต็ม]:[คะแนนเต็ม]])*tbl_task2[[%]:[%]])</f>
        <v/>
      </c>
      <c r="KV21" s="121" t="str">
        <f>IF(ISBLANK(tbl_task2[[คะแนนเต็ม]:[คะแนนเต็ม]]),"",(tbl_task2[138]/tbl_task2[[คะแนนเต็ม]:[คะแนนเต็ม]])*tbl_task2[[%]:[%]])</f>
        <v/>
      </c>
      <c r="KW21" s="121" t="str">
        <f>IF(ISBLANK(tbl_task2[[คะแนนเต็ม]:[คะแนนเต็ม]]),"",(tbl_task2[139]/tbl_task2[[คะแนนเต็ม]:[คะแนนเต็ม]])*tbl_task2[[%]:[%]])</f>
        <v/>
      </c>
      <c r="KX21" s="121" t="str">
        <f>IF(ISBLANK(tbl_task2[[คะแนนเต็ม]:[คะแนนเต็ม]]),"",(tbl_task2[140]/tbl_task2[[คะแนนเต็ม]:[คะแนนเต็ม]])*tbl_task2[[%]:[%]])</f>
        <v/>
      </c>
      <c r="KY21" s="121" t="str">
        <f>IF(ISBLANK(tbl_task2[[คะแนนเต็ม]:[คะแนนเต็ม]]),"",(tbl_task2[141]/tbl_task2[[คะแนนเต็ม]:[คะแนนเต็ม]])*tbl_task2[[%]:[%]])</f>
        <v/>
      </c>
      <c r="KZ21" s="121" t="str">
        <f>IF(ISBLANK(tbl_task2[[คะแนนเต็ม]:[คะแนนเต็ม]]),"",(tbl_task2[142]/tbl_task2[[คะแนนเต็ม]:[คะแนนเต็ม]])*tbl_task2[[%]:[%]])</f>
        <v/>
      </c>
      <c r="LA21" s="121" t="str">
        <f>IF(ISBLANK(tbl_task2[[คะแนนเต็ม]:[คะแนนเต็ม]]),"",(tbl_task2[143]/tbl_task2[[คะแนนเต็ม]:[คะแนนเต็ม]])*tbl_task2[[%]:[%]])</f>
        <v/>
      </c>
      <c r="LB21" s="121" t="str">
        <f>IF(ISBLANK(tbl_task2[[คะแนนเต็ม]:[คะแนนเต็ม]]),"",(tbl_task2[144]/tbl_task2[[คะแนนเต็ม]:[คะแนนเต็ม]])*tbl_task2[[%]:[%]])</f>
        <v/>
      </c>
      <c r="LC21" s="121" t="str">
        <f>IF(ISBLANK(tbl_task2[[คะแนนเต็ม]:[คะแนนเต็ม]]),"",(tbl_task2[145]/tbl_task2[[คะแนนเต็ม]:[คะแนนเต็ม]])*tbl_task2[[%]:[%]])</f>
        <v/>
      </c>
      <c r="LD21" s="121" t="str">
        <f>IF(ISBLANK(tbl_task2[[คะแนนเต็ม]:[คะแนนเต็ม]]),"",(tbl_task2[146]/tbl_task2[[คะแนนเต็ม]:[คะแนนเต็ม]])*tbl_task2[[%]:[%]])</f>
        <v/>
      </c>
      <c r="LE21" s="121" t="str">
        <f>IF(ISBLANK(tbl_task2[[คะแนนเต็ม]:[คะแนนเต็ม]]),"",(tbl_task2[147]/tbl_task2[[คะแนนเต็ม]:[คะแนนเต็ม]])*tbl_task2[[%]:[%]])</f>
        <v/>
      </c>
      <c r="LF21" s="121" t="str">
        <f>IF(ISBLANK(tbl_task2[[คะแนนเต็ม]:[คะแนนเต็ม]]),"",(tbl_task2[148]/tbl_task2[[คะแนนเต็ม]:[คะแนนเต็ม]])*tbl_task2[[%]:[%]])</f>
        <v/>
      </c>
      <c r="LG21" s="121" t="str">
        <f>IF(ISBLANK(tbl_task2[[คะแนนเต็ม]:[คะแนนเต็ม]]),"",(tbl_task2[149]/tbl_task2[[คะแนนเต็ม]:[คะแนนเต็ม]])*tbl_task2[[%]:[%]])</f>
        <v/>
      </c>
      <c r="LH21" s="121" t="str">
        <f>IF(ISBLANK(tbl_task2[[คะแนนเต็ม]:[คะแนนเต็ม]]),"",(tbl_task2[150]/tbl_task2[[คะแนนเต็ม]:[คะแนนเต็ม]])*tbl_task2[[%]:[%]])</f>
        <v/>
      </c>
      <c r="LI21" s="121" t="str">
        <f>IF(ISBLANK(tbl_task2[[คะแนนเต็ม]:[คะแนนเต็ม]]),"",(tbl_task2[151]/tbl_task2[[คะแนนเต็ม]:[คะแนนเต็ม]])*tbl_task2[[%]:[%]])</f>
        <v/>
      </c>
      <c r="LJ21" s="121" t="str">
        <f>IF(ISBLANK(tbl_task2[[คะแนนเต็ม]:[คะแนนเต็ม]]),"",(tbl_task2[152]/tbl_task2[[คะแนนเต็ม]:[คะแนนเต็ม]])*tbl_task2[[%]:[%]])</f>
        <v/>
      </c>
      <c r="LK21" s="121" t="str">
        <f>IF(ISBLANK(tbl_task2[[คะแนนเต็ม]:[คะแนนเต็ม]]),"",(tbl_task2[153]/tbl_task2[[คะแนนเต็ม]:[คะแนนเต็ม]])*tbl_task2[[%]:[%]])</f>
        <v/>
      </c>
      <c r="LL21" s="121" t="str">
        <f>IF(ISBLANK(tbl_task2[[คะแนนเต็ม]:[คะแนนเต็ม]]),"",(tbl_task2[154]/tbl_task2[[คะแนนเต็ม]:[คะแนนเต็ม]])*tbl_task2[[%]:[%]])</f>
        <v/>
      </c>
      <c r="LM21" s="121" t="str">
        <f>IF(ISBLANK(tbl_task2[[คะแนนเต็ม]:[คะแนนเต็ม]]),"",(tbl_task2[155]/tbl_task2[[คะแนนเต็ม]:[คะแนนเต็ม]])*tbl_task2[[%]:[%]])</f>
        <v/>
      </c>
      <c r="LN21" s="121" t="str">
        <f>IF(ISBLANK(tbl_task2[[คะแนนเต็ม]:[คะแนนเต็ม]]),"",(tbl_task2[156]/tbl_task2[[คะแนนเต็ม]:[คะแนนเต็ม]])*tbl_task2[[%]:[%]])</f>
        <v/>
      </c>
      <c r="LO21" s="121" t="str">
        <f>IF(ISBLANK(tbl_task2[[คะแนนเต็ม]:[คะแนนเต็ม]]),"",(tbl_task2[157]/tbl_task2[[คะแนนเต็ม]:[คะแนนเต็ม]])*tbl_task2[[%]:[%]])</f>
        <v/>
      </c>
      <c r="LP21" s="121" t="str">
        <f>IF(ISBLANK(tbl_task2[[คะแนนเต็ม]:[คะแนนเต็ม]]),"",(tbl_task2[158]/tbl_task2[[คะแนนเต็ม]:[คะแนนเต็ม]])*tbl_task2[[%]:[%]])</f>
        <v/>
      </c>
      <c r="LQ21" s="121" t="str">
        <f>IF(ISBLANK(tbl_task2[[คะแนนเต็ม]:[คะแนนเต็ม]]),"",(tbl_task2[159]/tbl_task2[[คะแนนเต็ม]:[คะแนนเต็ม]])*tbl_task2[[%]:[%]])</f>
        <v/>
      </c>
      <c r="LR21" s="121" t="str">
        <f>IF(ISBLANK(tbl_task2[[คะแนนเต็ม]:[คะแนนเต็ม]]),"",(tbl_task2[160]/tbl_task2[[คะแนนเต็ม]:[คะแนนเต็ม]])*tbl_task2[[%]:[%]])</f>
        <v/>
      </c>
      <c r="LS21" s="121" t="str">
        <f>IF(ISBLANK(tbl_task2[[คะแนนเต็ม]:[คะแนนเต็ม]]),"",(tbl_task2[161]/tbl_task2[[คะแนนเต็ม]:[คะแนนเต็ม]])*tbl_task2[[%]:[%]])</f>
        <v/>
      </c>
      <c r="LT21" s="121" t="str">
        <f>IF(ISBLANK(tbl_task2[[คะแนนเต็ม]:[คะแนนเต็ม]]),"",(tbl_task2[162]/tbl_task2[[คะแนนเต็ม]:[คะแนนเต็ม]])*tbl_task2[[%]:[%]])</f>
        <v/>
      </c>
      <c r="LU21" s="121" t="str">
        <f>IF(ISBLANK(tbl_task2[[คะแนนเต็ม]:[คะแนนเต็ม]]),"",(tbl_task2[163]/tbl_task2[[คะแนนเต็ม]:[คะแนนเต็ม]])*tbl_task2[[%]:[%]])</f>
        <v/>
      </c>
      <c r="LV21" s="121" t="str">
        <f>IF(ISBLANK(tbl_task2[[คะแนนเต็ม]:[คะแนนเต็ม]]),"",(tbl_task2[164]/tbl_task2[[คะแนนเต็ม]:[คะแนนเต็ม]])*tbl_task2[[%]:[%]])</f>
        <v/>
      </c>
      <c r="LW21" s="121" t="str">
        <f>IF(ISBLANK(tbl_task2[[คะแนนเต็ม]:[คะแนนเต็ม]]),"",(tbl_task2[165]/tbl_task2[[คะแนนเต็ม]:[คะแนนเต็ม]])*tbl_task2[[%]:[%]])</f>
        <v/>
      </c>
    </row>
    <row r="22" spans="1:335" ht="24" customHeight="1" x14ac:dyDescent="0.25">
      <c r="A22" s="24">
        <v>19</v>
      </c>
      <c r="B22" s="20"/>
      <c r="C22" s="5" t="str">
        <f>IF(ISBLANK(B22),"",VLOOKUP(B22,tbl_PLOs[],2,0))</f>
        <v/>
      </c>
      <c r="D22" s="102"/>
      <c r="E22" s="106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121" t="str">
        <f>IF(ISBLANK(tbl_task2[[คะแนนเต็ม]:[คะแนนเต็ม]]),"",(tbl_task2[1]/tbl_task2[[คะแนนเต็ม]:[คะแนนเต็ม]])*tbl_task2[[%]:[%]])</f>
        <v/>
      </c>
      <c r="FP22" s="121" t="str">
        <f>IF(ISBLANK(tbl_task2[[คะแนนเต็ม]:[คะแนนเต็ม]]),"",(tbl_task2[2]/tbl_task2[[คะแนนเต็ม]:[คะแนนเต็ม]])*tbl_task2[[%]:[%]])</f>
        <v/>
      </c>
      <c r="FQ22" s="121" t="str">
        <f>IF(ISBLANK(tbl_task2[[คะแนนเต็ม]:[คะแนนเต็ม]]),"",(tbl_task2[3]/tbl_task2[[คะแนนเต็ม]:[คะแนนเต็ม]])*tbl_task2[[%]:[%]])</f>
        <v/>
      </c>
      <c r="FR22" s="121" t="str">
        <f>IF(ISBLANK(tbl_task2[[คะแนนเต็ม]:[คะแนนเต็ม]]),"",(tbl_task2[4]/tbl_task2[[คะแนนเต็ม]:[คะแนนเต็ม]])*tbl_task2[[%]:[%]])</f>
        <v/>
      </c>
      <c r="FS22" s="121" t="str">
        <f>IF(ISBLANK(tbl_task2[[คะแนนเต็ม]:[คะแนนเต็ม]]),"",(tbl_task2[5]/tbl_task2[[คะแนนเต็ม]:[คะแนนเต็ม]])*tbl_task2[[%]:[%]])</f>
        <v/>
      </c>
      <c r="FT22" s="121" t="str">
        <f>IF(ISBLANK(tbl_task2[[คะแนนเต็ม]:[คะแนนเต็ม]]),"",(tbl_task2[6]/tbl_task2[[คะแนนเต็ม]:[คะแนนเต็ม]])*tbl_task2[[%]:[%]])</f>
        <v/>
      </c>
      <c r="FU22" s="121" t="str">
        <f>IF(ISBLANK(tbl_task2[[คะแนนเต็ม]:[คะแนนเต็ม]]),"",(tbl_task2[7]/tbl_task2[[คะแนนเต็ม]:[คะแนนเต็ม]])*tbl_task2[[%]:[%]])</f>
        <v/>
      </c>
      <c r="FV22" s="121" t="str">
        <f>IF(ISBLANK(tbl_task2[[คะแนนเต็ม]:[คะแนนเต็ม]]),"",(tbl_task2[8]/tbl_task2[[คะแนนเต็ม]:[คะแนนเต็ม]])*tbl_task2[[%]:[%]])</f>
        <v/>
      </c>
      <c r="FW22" s="121" t="str">
        <f>IF(ISBLANK(tbl_task2[[คะแนนเต็ม]:[คะแนนเต็ม]]),"",(tbl_task2[9]/tbl_task2[[คะแนนเต็ม]:[คะแนนเต็ม]])*tbl_task2[[%]:[%]])</f>
        <v/>
      </c>
      <c r="FX22" s="121" t="str">
        <f>IF(ISBLANK(tbl_task2[[คะแนนเต็ม]:[คะแนนเต็ม]]),"",(tbl_task2[10]/tbl_task2[[คะแนนเต็ม]:[คะแนนเต็ม]])*tbl_task2[[%]:[%]])</f>
        <v/>
      </c>
      <c r="FY22" s="121" t="str">
        <f>IF(ISBLANK(tbl_task2[[คะแนนเต็ม]:[คะแนนเต็ม]]),"",(tbl_task2[11]/tbl_task2[[คะแนนเต็ม]:[คะแนนเต็ม]])*tbl_task2[[%]:[%]])</f>
        <v/>
      </c>
      <c r="FZ22" s="121" t="str">
        <f>IF(ISBLANK(tbl_task2[[คะแนนเต็ม]:[คะแนนเต็ม]]),"",(tbl_task2[12]/tbl_task2[[คะแนนเต็ม]:[คะแนนเต็ม]])*tbl_task2[[%]:[%]])</f>
        <v/>
      </c>
      <c r="GA22" s="121" t="str">
        <f>IF(ISBLANK(tbl_task2[[คะแนนเต็ม]:[คะแนนเต็ม]]),"",(tbl_task2[13]/tbl_task2[[คะแนนเต็ม]:[คะแนนเต็ม]])*tbl_task2[[%]:[%]])</f>
        <v/>
      </c>
      <c r="GB22" s="121" t="str">
        <f>IF(ISBLANK(tbl_task2[[คะแนนเต็ม]:[คะแนนเต็ม]]),"",(tbl_task2[14]/tbl_task2[[คะแนนเต็ม]:[คะแนนเต็ม]])*tbl_task2[[%]:[%]])</f>
        <v/>
      </c>
      <c r="GC22" s="121" t="str">
        <f>IF(ISBLANK(tbl_task2[[คะแนนเต็ม]:[คะแนนเต็ม]]),"",(tbl_task2[15]/tbl_task2[[คะแนนเต็ม]:[คะแนนเต็ม]])*tbl_task2[[%]:[%]])</f>
        <v/>
      </c>
      <c r="GD22" s="121" t="str">
        <f>IF(ISBLANK(tbl_task2[[คะแนนเต็ม]:[คะแนนเต็ม]]),"",(tbl_task2[16]/tbl_task2[[คะแนนเต็ม]:[คะแนนเต็ม]])*tbl_task2[[%]:[%]])</f>
        <v/>
      </c>
      <c r="GE22" s="121" t="str">
        <f>IF(ISBLANK(tbl_task2[[คะแนนเต็ม]:[คะแนนเต็ม]]),"",(tbl_task2[17]/tbl_task2[[คะแนนเต็ม]:[คะแนนเต็ม]])*tbl_task2[[%]:[%]])</f>
        <v/>
      </c>
      <c r="GF22" s="121" t="str">
        <f>IF(ISBLANK(tbl_task2[[คะแนนเต็ม]:[คะแนนเต็ม]]),"",(tbl_task2[18]/tbl_task2[[คะแนนเต็ม]:[คะแนนเต็ม]])*tbl_task2[[%]:[%]])</f>
        <v/>
      </c>
      <c r="GG22" s="121" t="str">
        <f>IF(ISBLANK(tbl_task2[[คะแนนเต็ม]:[คะแนนเต็ม]]),"",(tbl_task2[19]/tbl_task2[[คะแนนเต็ม]:[คะแนนเต็ม]])*tbl_task2[[%]:[%]])</f>
        <v/>
      </c>
      <c r="GH22" s="121" t="str">
        <f>IF(ISBLANK(tbl_task2[[คะแนนเต็ม]:[คะแนนเต็ม]]),"",(tbl_task2[20]/tbl_task2[[คะแนนเต็ม]:[คะแนนเต็ม]])*tbl_task2[[%]:[%]])</f>
        <v/>
      </c>
      <c r="GI22" s="121" t="str">
        <f>IF(ISBLANK(tbl_task2[[คะแนนเต็ม]:[คะแนนเต็ม]]),"",(tbl_task2[21]/tbl_task2[[คะแนนเต็ม]:[คะแนนเต็ม]])*tbl_task2[[%]:[%]])</f>
        <v/>
      </c>
      <c r="GJ22" s="121" t="str">
        <f>IF(ISBLANK(tbl_task2[[คะแนนเต็ม]:[คะแนนเต็ม]]),"",(tbl_task2[22]/tbl_task2[[คะแนนเต็ม]:[คะแนนเต็ม]])*tbl_task2[[%]:[%]])</f>
        <v/>
      </c>
      <c r="GK22" s="121" t="str">
        <f>IF(ISBLANK(tbl_task2[[คะแนนเต็ม]:[คะแนนเต็ม]]),"",(tbl_task2[23]/tbl_task2[[คะแนนเต็ม]:[คะแนนเต็ม]])*tbl_task2[[%]:[%]])</f>
        <v/>
      </c>
      <c r="GL22" s="121" t="str">
        <f>IF(ISBLANK(tbl_task2[[คะแนนเต็ม]:[คะแนนเต็ม]]),"",(tbl_task2[24]/tbl_task2[[คะแนนเต็ม]:[คะแนนเต็ม]])*tbl_task2[[%]:[%]])</f>
        <v/>
      </c>
      <c r="GM22" s="121" t="str">
        <f>IF(ISBLANK(tbl_task2[[คะแนนเต็ม]:[คะแนนเต็ม]]),"",(tbl_task2[25]/tbl_task2[[คะแนนเต็ม]:[คะแนนเต็ม]])*tbl_task2[[%]:[%]])</f>
        <v/>
      </c>
      <c r="GN22" s="121" t="str">
        <f>IF(ISBLANK(tbl_task2[[คะแนนเต็ม]:[คะแนนเต็ม]]),"",(tbl_task2[26]/tbl_task2[[คะแนนเต็ม]:[คะแนนเต็ม]])*tbl_task2[[%]:[%]])</f>
        <v/>
      </c>
      <c r="GO22" s="121" t="str">
        <f>IF(ISBLANK(tbl_task2[[คะแนนเต็ม]:[คะแนนเต็ม]]),"",(tbl_task2[27]/tbl_task2[[คะแนนเต็ม]:[คะแนนเต็ม]])*tbl_task2[[%]:[%]])</f>
        <v/>
      </c>
      <c r="GP22" s="121" t="str">
        <f>IF(ISBLANK(tbl_task2[[คะแนนเต็ม]:[คะแนนเต็ม]]),"",(tbl_task2[28]/tbl_task2[[คะแนนเต็ม]:[คะแนนเต็ม]])*tbl_task2[[%]:[%]])</f>
        <v/>
      </c>
      <c r="GQ22" s="121" t="str">
        <f>IF(ISBLANK(tbl_task2[[คะแนนเต็ม]:[คะแนนเต็ม]]),"",(tbl_task2[29]/tbl_task2[[คะแนนเต็ม]:[คะแนนเต็ม]])*tbl_task2[[%]:[%]])</f>
        <v/>
      </c>
      <c r="GR22" s="121" t="str">
        <f>IF(ISBLANK(tbl_task2[[คะแนนเต็ม]:[คะแนนเต็ม]]),"",(tbl_task2[30]/tbl_task2[[คะแนนเต็ม]:[คะแนนเต็ม]])*tbl_task2[[%]:[%]])</f>
        <v/>
      </c>
      <c r="GS22" s="121" t="str">
        <f>IF(ISBLANK(tbl_task2[[คะแนนเต็ม]:[คะแนนเต็ม]]),"",(tbl_task2[31]/tbl_task2[[คะแนนเต็ม]:[คะแนนเต็ม]])*tbl_task2[[%]:[%]])</f>
        <v/>
      </c>
      <c r="GT22" s="121" t="str">
        <f>IF(ISBLANK(tbl_task2[[คะแนนเต็ม]:[คะแนนเต็ม]]),"",(tbl_task2[32]/tbl_task2[[คะแนนเต็ม]:[คะแนนเต็ม]])*tbl_task2[[%]:[%]])</f>
        <v/>
      </c>
      <c r="GU22" s="121" t="str">
        <f>IF(ISBLANK(tbl_task2[[คะแนนเต็ม]:[คะแนนเต็ม]]),"",(tbl_task2[33]/tbl_task2[[คะแนนเต็ม]:[คะแนนเต็ม]])*tbl_task2[[%]:[%]])</f>
        <v/>
      </c>
      <c r="GV22" s="121" t="str">
        <f>IF(ISBLANK(tbl_task2[[คะแนนเต็ม]:[คะแนนเต็ม]]),"",(tbl_task2[34]/tbl_task2[[คะแนนเต็ม]:[คะแนนเต็ม]])*tbl_task2[[%]:[%]])</f>
        <v/>
      </c>
      <c r="GW22" s="121" t="str">
        <f>IF(ISBLANK(tbl_task2[[คะแนนเต็ม]:[คะแนนเต็ม]]),"",(tbl_task2[35]/tbl_task2[[คะแนนเต็ม]:[คะแนนเต็ม]])*tbl_task2[[%]:[%]])</f>
        <v/>
      </c>
      <c r="GX22" s="121" t="str">
        <f>IF(ISBLANK(tbl_task2[[คะแนนเต็ม]:[คะแนนเต็ม]]),"",(tbl_task2[36]/tbl_task2[[คะแนนเต็ม]:[คะแนนเต็ม]])*tbl_task2[[%]:[%]])</f>
        <v/>
      </c>
      <c r="GY22" s="121" t="str">
        <f>IF(ISBLANK(tbl_task2[[คะแนนเต็ม]:[คะแนนเต็ม]]),"",(tbl_task2[37]/tbl_task2[[คะแนนเต็ม]:[คะแนนเต็ม]])*tbl_task2[[%]:[%]])</f>
        <v/>
      </c>
      <c r="GZ22" s="121" t="str">
        <f>IF(ISBLANK(tbl_task2[[คะแนนเต็ม]:[คะแนนเต็ม]]),"",(tbl_task2[38]/tbl_task2[[คะแนนเต็ม]:[คะแนนเต็ม]])*tbl_task2[[%]:[%]])</f>
        <v/>
      </c>
      <c r="HA22" s="121" t="str">
        <f>IF(ISBLANK(tbl_task2[[คะแนนเต็ม]:[คะแนนเต็ม]]),"",(tbl_task2[39]/tbl_task2[[คะแนนเต็ม]:[คะแนนเต็ม]])*tbl_task2[[%]:[%]])</f>
        <v/>
      </c>
      <c r="HB22" s="121" t="str">
        <f>IF(ISBLANK(tbl_task2[[คะแนนเต็ม]:[คะแนนเต็ม]]),"",(tbl_task2[40]/tbl_task2[[คะแนนเต็ม]:[คะแนนเต็ม]])*tbl_task2[[%]:[%]])</f>
        <v/>
      </c>
      <c r="HC22" s="121" t="str">
        <f>IF(ISBLANK(tbl_task2[[คะแนนเต็ม]:[คะแนนเต็ม]]),"",(tbl_task2[41]/tbl_task2[[คะแนนเต็ม]:[คะแนนเต็ม]])*tbl_task2[[%]:[%]])</f>
        <v/>
      </c>
      <c r="HD22" s="121" t="str">
        <f>IF(ISBLANK(tbl_task2[[คะแนนเต็ม]:[คะแนนเต็ม]]),"",(tbl_task2[42]/tbl_task2[[คะแนนเต็ม]:[คะแนนเต็ม]])*tbl_task2[[%]:[%]])</f>
        <v/>
      </c>
      <c r="HE22" s="121" t="str">
        <f>IF(ISBLANK(tbl_task2[[คะแนนเต็ม]:[คะแนนเต็ม]]),"",(tbl_task2[43]/tbl_task2[[คะแนนเต็ม]:[คะแนนเต็ม]])*tbl_task2[[%]:[%]])</f>
        <v/>
      </c>
      <c r="HF22" s="121" t="str">
        <f>IF(ISBLANK(tbl_task2[[คะแนนเต็ม]:[คะแนนเต็ม]]),"",(tbl_task2[44]/tbl_task2[[คะแนนเต็ม]:[คะแนนเต็ม]])*tbl_task2[[%]:[%]])</f>
        <v/>
      </c>
      <c r="HG22" s="121" t="str">
        <f>IF(ISBLANK(tbl_task2[[คะแนนเต็ม]:[คะแนนเต็ม]]),"",(tbl_task2[45]/tbl_task2[[คะแนนเต็ม]:[คะแนนเต็ม]])*tbl_task2[[%]:[%]])</f>
        <v/>
      </c>
      <c r="HH22" s="121" t="str">
        <f>IF(ISBLANK(tbl_task2[[คะแนนเต็ม]:[คะแนนเต็ม]]),"",(tbl_task2[46]/tbl_task2[[คะแนนเต็ม]:[คะแนนเต็ม]])*tbl_task2[[%]:[%]])</f>
        <v/>
      </c>
      <c r="HI22" s="121" t="str">
        <f>IF(ISBLANK(tbl_task2[[คะแนนเต็ม]:[คะแนนเต็ม]]),"",(tbl_task2[47]/tbl_task2[[คะแนนเต็ม]:[คะแนนเต็ม]])*tbl_task2[[%]:[%]])</f>
        <v/>
      </c>
      <c r="HJ22" s="121" t="str">
        <f>IF(ISBLANK(tbl_task2[[คะแนนเต็ม]:[คะแนนเต็ม]]),"",(tbl_task2[48]/tbl_task2[[คะแนนเต็ม]:[คะแนนเต็ม]])*tbl_task2[[%]:[%]])</f>
        <v/>
      </c>
      <c r="HK22" s="121" t="str">
        <f>IF(ISBLANK(tbl_task2[[คะแนนเต็ม]:[คะแนนเต็ม]]),"",(tbl_task2[49]/tbl_task2[[คะแนนเต็ม]:[คะแนนเต็ม]])*tbl_task2[[%]:[%]])</f>
        <v/>
      </c>
      <c r="HL22" s="121" t="str">
        <f>IF(ISBLANK(tbl_task2[[คะแนนเต็ม]:[คะแนนเต็ม]]),"",(tbl_task2[50]/tbl_task2[[คะแนนเต็ม]:[คะแนนเต็ม]])*tbl_task2[[%]:[%]])</f>
        <v/>
      </c>
      <c r="HM22" s="121" t="str">
        <f>IF(ISBLANK(tbl_task2[[คะแนนเต็ม]:[คะแนนเต็ม]]),"",(tbl_task2[51]/tbl_task2[[คะแนนเต็ม]:[คะแนนเต็ม]])*tbl_task2[[%]:[%]])</f>
        <v/>
      </c>
      <c r="HN22" s="121" t="str">
        <f>IF(ISBLANK(tbl_task2[[คะแนนเต็ม]:[คะแนนเต็ม]]),"",(tbl_task2[52]/tbl_task2[[คะแนนเต็ม]:[คะแนนเต็ม]])*tbl_task2[[%]:[%]])</f>
        <v/>
      </c>
      <c r="HO22" s="121" t="str">
        <f>IF(ISBLANK(tbl_task2[[คะแนนเต็ม]:[คะแนนเต็ม]]),"",(tbl_task2[53]/tbl_task2[[คะแนนเต็ม]:[คะแนนเต็ม]])*tbl_task2[[%]:[%]])</f>
        <v/>
      </c>
      <c r="HP22" s="121" t="str">
        <f>IF(ISBLANK(tbl_task2[[คะแนนเต็ม]:[คะแนนเต็ม]]),"",(tbl_task2[54]/tbl_task2[[คะแนนเต็ม]:[คะแนนเต็ม]])*tbl_task2[[%]:[%]])</f>
        <v/>
      </c>
      <c r="HQ22" s="121" t="str">
        <f>IF(ISBLANK(tbl_task2[[คะแนนเต็ม]:[คะแนนเต็ม]]),"",(tbl_task2[55]/tbl_task2[[คะแนนเต็ม]:[คะแนนเต็ม]])*tbl_task2[[%]:[%]])</f>
        <v/>
      </c>
      <c r="HR22" s="121" t="str">
        <f>IF(ISBLANK(tbl_task2[[คะแนนเต็ม]:[คะแนนเต็ม]]),"",(tbl_task2[56]/tbl_task2[[คะแนนเต็ม]:[คะแนนเต็ม]])*tbl_task2[[%]:[%]])</f>
        <v/>
      </c>
      <c r="HS22" s="121" t="str">
        <f>IF(ISBLANK(tbl_task2[[คะแนนเต็ม]:[คะแนนเต็ม]]),"",(tbl_task2[57]/tbl_task2[[คะแนนเต็ม]:[คะแนนเต็ม]])*tbl_task2[[%]:[%]])</f>
        <v/>
      </c>
      <c r="HT22" s="121" t="str">
        <f>IF(ISBLANK(tbl_task2[[คะแนนเต็ม]:[คะแนนเต็ม]]),"",(tbl_task2[58]/tbl_task2[[คะแนนเต็ม]:[คะแนนเต็ม]])*tbl_task2[[%]:[%]])</f>
        <v/>
      </c>
      <c r="HU22" s="121" t="str">
        <f>IF(ISBLANK(tbl_task2[[คะแนนเต็ม]:[คะแนนเต็ม]]),"",(tbl_task2[59]/tbl_task2[[คะแนนเต็ม]:[คะแนนเต็ม]])*tbl_task2[[%]:[%]])</f>
        <v/>
      </c>
      <c r="HV22" s="121" t="str">
        <f>IF(ISBLANK(tbl_task2[[คะแนนเต็ม]:[คะแนนเต็ม]]),"",(tbl_task2[60]/tbl_task2[[คะแนนเต็ม]:[คะแนนเต็ม]])*tbl_task2[[%]:[%]])</f>
        <v/>
      </c>
      <c r="HW22" s="121" t="str">
        <f>IF(ISBLANK(tbl_task2[[คะแนนเต็ม]:[คะแนนเต็ม]]),"",(tbl_task2[61]/tbl_task2[[คะแนนเต็ม]:[คะแนนเต็ม]])*tbl_task2[[%]:[%]])</f>
        <v/>
      </c>
      <c r="HX22" s="121" t="str">
        <f>IF(ISBLANK(tbl_task2[[คะแนนเต็ม]:[คะแนนเต็ม]]),"",(tbl_task2[62]/tbl_task2[[คะแนนเต็ม]:[คะแนนเต็ม]])*tbl_task2[[%]:[%]])</f>
        <v/>
      </c>
      <c r="HY22" s="121" t="str">
        <f>IF(ISBLANK(tbl_task2[[คะแนนเต็ม]:[คะแนนเต็ม]]),"",(tbl_task2[63]/tbl_task2[[คะแนนเต็ม]:[คะแนนเต็ม]])*tbl_task2[[%]:[%]])</f>
        <v/>
      </c>
      <c r="HZ22" s="121" t="str">
        <f>IF(ISBLANK(tbl_task2[[คะแนนเต็ม]:[คะแนนเต็ม]]),"",(tbl_task2[64]/tbl_task2[[คะแนนเต็ม]:[คะแนนเต็ม]])*tbl_task2[[%]:[%]])</f>
        <v/>
      </c>
      <c r="IA22" s="121" t="str">
        <f>IF(ISBLANK(tbl_task2[[คะแนนเต็ม]:[คะแนนเต็ม]]),"",(tbl_task2[65]/tbl_task2[[คะแนนเต็ม]:[คะแนนเต็ม]])*tbl_task2[[%]:[%]])</f>
        <v/>
      </c>
      <c r="IB22" s="121" t="str">
        <f>IF(ISBLANK(tbl_task2[[คะแนนเต็ม]:[คะแนนเต็ม]]),"",(tbl_task2[66]/tbl_task2[[คะแนนเต็ม]:[คะแนนเต็ม]])*tbl_task2[[%]:[%]])</f>
        <v/>
      </c>
      <c r="IC22" s="121" t="str">
        <f>IF(ISBLANK(tbl_task2[[คะแนนเต็ม]:[คะแนนเต็ม]]),"",(tbl_task2[67]/tbl_task2[[คะแนนเต็ม]:[คะแนนเต็ม]])*tbl_task2[[%]:[%]])</f>
        <v/>
      </c>
      <c r="ID22" s="121" t="str">
        <f>IF(ISBLANK(tbl_task2[[คะแนนเต็ม]:[คะแนนเต็ม]]),"",(tbl_task2[68]/tbl_task2[[คะแนนเต็ม]:[คะแนนเต็ม]])*tbl_task2[[%]:[%]])</f>
        <v/>
      </c>
      <c r="IE22" s="121" t="str">
        <f>IF(ISBLANK(tbl_task2[[คะแนนเต็ม]:[คะแนนเต็ม]]),"",(tbl_task2[69]/tbl_task2[[คะแนนเต็ม]:[คะแนนเต็ม]])*tbl_task2[[%]:[%]])</f>
        <v/>
      </c>
      <c r="IF22" s="121" t="str">
        <f>IF(ISBLANK(tbl_task2[[คะแนนเต็ม]:[คะแนนเต็ม]]),"",(tbl_task2[70]/tbl_task2[[คะแนนเต็ม]:[คะแนนเต็ม]])*tbl_task2[[%]:[%]])</f>
        <v/>
      </c>
      <c r="IG22" s="121" t="str">
        <f>IF(ISBLANK(tbl_task2[[คะแนนเต็ม]:[คะแนนเต็ม]]),"",(tbl_task2[71]/tbl_task2[[คะแนนเต็ม]:[คะแนนเต็ม]])*tbl_task2[[%]:[%]])</f>
        <v/>
      </c>
      <c r="IH22" s="121" t="str">
        <f>IF(ISBLANK(tbl_task2[[คะแนนเต็ม]:[คะแนนเต็ม]]),"",(tbl_task2[72]/tbl_task2[[คะแนนเต็ม]:[คะแนนเต็ม]])*tbl_task2[[%]:[%]])</f>
        <v/>
      </c>
      <c r="II22" s="121" t="str">
        <f>IF(ISBLANK(tbl_task2[[คะแนนเต็ม]:[คะแนนเต็ม]]),"",(tbl_task2[73]/tbl_task2[[คะแนนเต็ม]:[คะแนนเต็ม]])*tbl_task2[[%]:[%]])</f>
        <v/>
      </c>
      <c r="IJ22" s="121" t="str">
        <f>IF(ISBLANK(tbl_task2[[คะแนนเต็ม]:[คะแนนเต็ม]]),"",(tbl_task2[74]/tbl_task2[[คะแนนเต็ม]:[คะแนนเต็ม]])*tbl_task2[[%]:[%]])</f>
        <v/>
      </c>
      <c r="IK22" s="121" t="str">
        <f>IF(ISBLANK(tbl_task2[[คะแนนเต็ม]:[คะแนนเต็ม]]),"",(tbl_task2[75]/tbl_task2[[คะแนนเต็ม]:[คะแนนเต็ม]])*tbl_task2[[%]:[%]])</f>
        <v/>
      </c>
      <c r="IL22" s="121" t="str">
        <f>IF(ISBLANK(tbl_task2[[คะแนนเต็ม]:[คะแนนเต็ม]]),"",(tbl_task2[76]/tbl_task2[[คะแนนเต็ม]:[คะแนนเต็ม]])*tbl_task2[[%]:[%]])</f>
        <v/>
      </c>
      <c r="IM22" s="121" t="str">
        <f>IF(ISBLANK(tbl_task2[[คะแนนเต็ม]:[คะแนนเต็ม]]),"",(tbl_task2[77]/tbl_task2[[คะแนนเต็ม]:[คะแนนเต็ม]])*tbl_task2[[%]:[%]])</f>
        <v/>
      </c>
      <c r="IN22" s="121" t="str">
        <f>IF(ISBLANK(tbl_task2[[คะแนนเต็ม]:[คะแนนเต็ม]]),"",(tbl_task2[78]/tbl_task2[[คะแนนเต็ม]:[คะแนนเต็ม]])*tbl_task2[[%]:[%]])</f>
        <v/>
      </c>
      <c r="IO22" s="121" t="str">
        <f>IF(ISBLANK(tbl_task2[[คะแนนเต็ม]:[คะแนนเต็ม]]),"",(tbl_task2[79]/tbl_task2[[คะแนนเต็ม]:[คะแนนเต็ม]])*tbl_task2[[%]:[%]])</f>
        <v/>
      </c>
      <c r="IP22" s="121" t="str">
        <f>IF(ISBLANK(tbl_task2[[คะแนนเต็ม]:[คะแนนเต็ม]]),"",(tbl_task2[80]/tbl_task2[[คะแนนเต็ม]:[คะแนนเต็ม]])*tbl_task2[[%]:[%]])</f>
        <v/>
      </c>
      <c r="IQ22" s="121" t="str">
        <f>IF(ISBLANK(tbl_task2[[คะแนนเต็ม]:[คะแนนเต็ม]]),"",(tbl_task2[81]/tbl_task2[[คะแนนเต็ม]:[คะแนนเต็ม]])*tbl_task2[[%]:[%]])</f>
        <v/>
      </c>
      <c r="IR22" s="121" t="str">
        <f>IF(ISBLANK(tbl_task2[[คะแนนเต็ม]:[คะแนนเต็ม]]),"",(tbl_task2[82]/tbl_task2[[คะแนนเต็ม]:[คะแนนเต็ม]])*tbl_task2[[%]:[%]])</f>
        <v/>
      </c>
      <c r="IS22" s="121" t="str">
        <f>IF(ISBLANK(tbl_task2[[คะแนนเต็ม]:[คะแนนเต็ม]]),"",(tbl_task2[83]/tbl_task2[[คะแนนเต็ม]:[คะแนนเต็ม]])*tbl_task2[[%]:[%]])</f>
        <v/>
      </c>
      <c r="IT22" s="121" t="str">
        <f>IF(ISBLANK(tbl_task2[[คะแนนเต็ม]:[คะแนนเต็ม]]),"",(tbl_task2[84]/tbl_task2[[คะแนนเต็ม]:[คะแนนเต็ม]])*tbl_task2[[%]:[%]])</f>
        <v/>
      </c>
      <c r="IU22" s="121" t="str">
        <f>IF(ISBLANK(tbl_task2[[คะแนนเต็ม]:[คะแนนเต็ม]]),"",(tbl_task2[85]/tbl_task2[[คะแนนเต็ม]:[คะแนนเต็ม]])*tbl_task2[[%]:[%]])</f>
        <v/>
      </c>
      <c r="IV22" s="121" t="str">
        <f>IF(ISBLANK(tbl_task2[[คะแนนเต็ม]:[คะแนนเต็ม]]),"",(tbl_task2[86]/tbl_task2[[คะแนนเต็ม]:[คะแนนเต็ม]])*tbl_task2[[%]:[%]])</f>
        <v/>
      </c>
      <c r="IW22" s="121" t="str">
        <f>IF(ISBLANK(tbl_task2[[คะแนนเต็ม]:[คะแนนเต็ม]]),"",(tbl_task2[87]/tbl_task2[[คะแนนเต็ม]:[คะแนนเต็ม]])*tbl_task2[[%]:[%]])</f>
        <v/>
      </c>
      <c r="IX22" s="121" t="str">
        <f>IF(ISBLANK(tbl_task2[[คะแนนเต็ม]:[คะแนนเต็ม]]),"",(tbl_task2[88]/tbl_task2[[คะแนนเต็ม]:[คะแนนเต็ม]])*tbl_task2[[%]:[%]])</f>
        <v/>
      </c>
      <c r="IY22" s="121" t="str">
        <f>IF(ISBLANK(tbl_task2[[คะแนนเต็ม]:[คะแนนเต็ม]]),"",(tbl_task2[89]/tbl_task2[[คะแนนเต็ม]:[คะแนนเต็ม]])*tbl_task2[[%]:[%]])</f>
        <v/>
      </c>
      <c r="IZ22" s="121" t="str">
        <f>IF(ISBLANK(tbl_task2[[คะแนนเต็ม]:[คะแนนเต็ม]]),"",(tbl_task2[90]/tbl_task2[[คะแนนเต็ม]:[คะแนนเต็ม]])*tbl_task2[[%]:[%]])</f>
        <v/>
      </c>
      <c r="JA22" s="121" t="str">
        <f>IF(ISBLANK(tbl_task2[[คะแนนเต็ม]:[คะแนนเต็ม]]),"",(tbl_task2[91]/tbl_task2[[คะแนนเต็ม]:[คะแนนเต็ม]])*tbl_task2[[%]:[%]])</f>
        <v/>
      </c>
      <c r="JB22" s="121" t="str">
        <f>IF(ISBLANK(tbl_task2[[คะแนนเต็ม]:[คะแนนเต็ม]]),"",(tbl_task2[92]/tbl_task2[[คะแนนเต็ม]:[คะแนนเต็ม]])*tbl_task2[[%]:[%]])</f>
        <v/>
      </c>
      <c r="JC22" s="121" t="str">
        <f>IF(ISBLANK(tbl_task2[[คะแนนเต็ม]:[คะแนนเต็ม]]),"",(tbl_task2[93]/tbl_task2[[คะแนนเต็ม]:[คะแนนเต็ม]])*tbl_task2[[%]:[%]])</f>
        <v/>
      </c>
      <c r="JD22" s="121" t="str">
        <f>IF(ISBLANK(tbl_task2[[คะแนนเต็ม]:[คะแนนเต็ม]]),"",(tbl_task2[94]/tbl_task2[[คะแนนเต็ม]:[คะแนนเต็ม]])*tbl_task2[[%]:[%]])</f>
        <v/>
      </c>
      <c r="JE22" s="121" t="str">
        <f>IF(ISBLANK(tbl_task2[[คะแนนเต็ม]:[คะแนนเต็ม]]),"",(tbl_task2[95]/tbl_task2[[คะแนนเต็ม]:[คะแนนเต็ม]])*tbl_task2[[%]:[%]])</f>
        <v/>
      </c>
      <c r="JF22" s="121" t="str">
        <f>IF(ISBLANK(tbl_task2[[คะแนนเต็ม]:[คะแนนเต็ม]]),"",(tbl_task2[96]/tbl_task2[[คะแนนเต็ม]:[คะแนนเต็ม]])*tbl_task2[[%]:[%]])</f>
        <v/>
      </c>
      <c r="JG22" s="121" t="str">
        <f>IF(ISBLANK(tbl_task2[[คะแนนเต็ม]:[คะแนนเต็ม]]),"",(tbl_task2[97]/tbl_task2[[คะแนนเต็ม]:[คะแนนเต็ม]])*tbl_task2[[%]:[%]])</f>
        <v/>
      </c>
      <c r="JH22" s="121" t="str">
        <f>IF(ISBLANK(tbl_task2[[คะแนนเต็ม]:[คะแนนเต็ม]]),"",(tbl_task2[98]/tbl_task2[[คะแนนเต็ม]:[คะแนนเต็ม]])*tbl_task2[[%]:[%]])</f>
        <v/>
      </c>
      <c r="JI22" s="121" t="str">
        <f>IF(ISBLANK(tbl_task2[[คะแนนเต็ม]:[คะแนนเต็ม]]),"",(tbl_task2[99]/tbl_task2[[คะแนนเต็ม]:[คะแนนเต็ม]])*tbl_task2[[%]:[%]])</f>
        <v/>
      </c>
      <c r="JJ22" s="121" t="str">
        <f>IF(ISBLANK(tbl_task2[[คะแนนเต็ม]:[คะแนนเต็ม]]),"",(tbl_task2[100]/tbl_task2[[คะแนนเต็ม]:[คะแนนเต็ม]])*tbl_task2[[%]:[%]])</f>
        <v/>
      </c>
      <c r="JK22" s="121" t="str">
        <f>IF(ISBLANK(tbl_task2[[คะแนนเต็ม]:[คะแนนเต็ม]]),"",(tbl_task2[101]/tbl_task2[[คะแนนเต็ม]:[คะแนนเต็ม]])*tbl_task2[[%]:[%]])</f>
        <v/>
      </c>
      <c r="JL22" s="121" t="str">
        <f>IF(ISBLANK(tbl_task2[[คะแนนเต็ม]:[คะแนนเต็ม]]),"",(tbl_task2[102]/tbl_task2[[คะแนนเต็ม]:[คะแนนเต็ม]])*tbl_task2[[%]:[%]])</f>
        <v/>
      </c>
      <c r="JM22" s="121" t="str">
        <f>IF(ISBLANK(tbl_task2[[คะแนนเต็ม]:[คะแนนเต็ม]]),"",(tbl_task2[103]/tbl_task2[[คะแนนเต็ม]:[คะแนนเต็ม]])*tbl_task2[[%]:[%]])</f>
        <v/>
      </c>
      <c r="JN22" s="121" t="str">
        <f>IF(ISBLANK(tbl_task2[[คะแนนเต็ม]:[คะแนนเต็ม]]),"",(tbl_task2[104]/tbl_task2[[คะแนนเต็ม]:[คะแนนเต็ม]])*tbl_task2[[%]:[%]])</f>
        <v/>
      </c>
      <c r="JO22" s="121" t="str">
        <f>IF(ISBLANK(tbl_task2[[คะแนนเต็ม]:[คะแนนเต็ม]]),"",(tbl_task2[105]/tbl_task2[[คะแนนเต็ม]:[คะแนนเต็ม]])*tbl_task2[[%]:[%]])</f>
        <v/>
      </c>
      <c r="JP22" s="121" t="str">
        <f>IF(ISBLANK(tbl_task2[[คะแนนเต็ม]:[คะแนนเต็ม]]),"",(tbl_task2[106]/tbl_task2[[คะแนนเต็ม]:[คะแนนเต็ม]])*tbl_task2[[%]:[%]])</f>
        <v/>
      </c>
      <c r="JQ22" s="121" t="str">
        <f>IF(ISBLANK(tbl_task2[[คะแนนเต็ม]:[คะแนนเต็ม]]),"",(tbl_task2[107]/tbl_task2[[คะแนนเต็ม]:[คะแนนเต็ม]])*tbl_task2[[%]:[%]])</f>
        <v/>
      </c>
      <c r="JR22" s="121" t="str">
        <f>IF(ISBLANK(tbl_task2[[คะแนนเต็ม]:[คะแนนเต็ม]]),"",(tbl_task2[108]/tbl_task2[[คะแนนเต็ม]:[คะแนนเต็ม]])*tbl_task2[[%]:[%]])</f>
        <v/>
      </c>
      <c r="JS22" s="121" t="str">
        <f>IF(ISBLANK(tbl_task2[[คะแนนเต็ม]:[คะแนนเต็ม]]),"",(tbl_task2[109]/tbl_task2[[คะแนนเต็ม]:[คะแนนเต็ม]])*tbl_task2[[%]:[%]])</f>
        <v/>
      </c>
      <c r="JT22" s="121" t="str">
        <f>IF(ISBLANK(tbl_task2[[คะแนนเต็ม]:[คะแนนเต็ม]]),"",(tbl_task2[110]/tbl_task2[[คะแนนเต็ม]:[คะแนนเต็ม]])*tbl_task2[[%]:[%]])</f>
        <v/>
      </c>
      <c r="JU22" s="121" t="str">
        <f>IF(ISBLANK(tbl_task2[[คะแนนเต็ม]:[คะแนนเต็ม]]),"",(tbl_task2[111]/tbl_task2[[คะแนนเต็ม]:[คะแนนเต็ม]])*tbl_task2[[%]:[%]])</f>
        <v/>
      </c>
      <c r="JV22" s="121" t="str">
        <f>IF(ISBLANK(tbl_task2[[คะแนนเต็ม]:[คะแนนเต็ม]]),"",(tbl_task2[112]/tbl_task2[[คะแนนเต็ม]:[คะแนนเต็ม]])*tbl_task2[[%]:[%]])</f>
        <v/>
      </c>
      <c r="JW22" s="121" t="str">
        <f>IF(ISBLANK(tbl_task2[[คะแนนเต็ม]:[คะแนนเต็ม]]),"",(tbl_task2[113]/tbl_task2[[คะแนนเต็ม]:[คะแนนเต็ม]])*tbl_task2[[%]:[%]])</f>
        <v/>
      </c>
      <c r="JX22" s="121" t="str">
        <f>IF(ISBLANK(tbl_task2[[คะแนนเต็ม]:[คะแนนเต็ม]]),"",(tbl_task2[114]/tbl_task2[[คะแนนเต็ม]:[คะแนนเต็ม]])*tbl_task2[[%]:[%]])</f>
        <v/>
      </c>
      <c r="JY22" s="121" t="str">
        <f>IF(ISBLANK(tbl_task2[[คะแนนเต็ม]:[คะแนนเต็ม]]),"",(tbl_task2[115]/tbl_task2[[คะแนนเต็ม]:[คะแนนเต็ม]])*tbl_task2[[%]:[%]])</f>
        <v/>
      </c>
      <c r="JZ22" s="121" t="str">
        <f>IF(ISBLANK(tbl_task2[[คะแนนเต็ม]:[คะแนนเต็ม]]),"",(tbl_task2[116]/tbl_task2[[คะแนนเต็ม]:[คะแนนเต็ม]])*tbl_task2[[%]:[%]])</f>
        <v/>
      </c>
      <c r="KA22" s="121" t="str">
        <f>IF(ISBLANK(tbl_task2[[คะแนนเต็ม]:[คะแนนเต็ม]]),"",(tbl_task2[117]/tbl_task2[[คะแนนเต็ม]:[คะแนนเต็ม]])*tbl_task2[[%]:[%]])</f>
        <v/>
      </c>
      <c r="KB22" s="121" t="str">
        <f>IF(ISBLANK(tbl_task2[[คะแนนเต็ม]:[คะแนนเต็ม]]),"",(tbl_task2[118]/tbl_task2[[คะแนนเต็ม]:[คะแนนเต็ม]])*tbl_task2[[%]:[%]])</f>
        <v/>
      </c>
      <c r="KC22" s="121" t="str">
        <f>IF(ISBLANK(tbl_task2[[คะแนนเต็ม]:[คะแนนเต็ม]]),"",(tbl_task2[119]/tbl_task2[[คะแนนเต็ม]:[คะแนนเต็ม]])*tbl_task2[[%]:[%]])</f>
        <v/>
      </c>
      <c r="KD22" s="121" t="str">
        <f>IF(ISBLANK(tbl_task2[[คะแนนเต็ม]:[คะแนนเต็ม]]),"",(tbl_task2[120]/tbl_task2[[คะแนนเต็ม]:[คะแนนเต็ม]])*tbl_task2[[%]:[%]])</f>
        <v/>
      </c>
      <c r="KE22" s="121" t="str">
        <f>IF(ISBLANK(tbl_task2[[คะแนนเต็ม]:[คะแนนเต็ม]]),"",(tbl_task2[121]/tbl_task2[[คะแนนเต็ม]:[คะแนนเต็ม]])*tbl_task2[[%]:[%]])</f>
        <v/>
      </c>
      <c r="KF22" s="121" t="str">
        <f>IF(ISBLANK(tbl_task2[[คะแนนเต็ม]:[คะแนนเต็ม]]),"",(tbl_task2[122]/tbl_task2[[คะแนนเต็ม]:[คะแนนเต็ม]])*tbl_task2[[%]:[%]])</f>
        <v/>
      </c>
      <c r="KG22" s="121" t="str">
        <f>IF(ISBLANK(tbl_task2[[คะแนนเต็ม]:[คะแนนเต็ม]]),"",(tbl_task2[123]/tbl_task2[[คะแนนเต็ม]:[คะแนนเต็ม]])*tbl_task2[[%]:[%]])</f>
        <v/>
      </c>
      <c r="KH22" s="121" t="str">
        <f>IF(ISBLANK(tbl_task2[[คะแนนเต็ม]:[คะแนนเต็ม]]),"",(tbl_task2[124]/tbl_task2[[คะแนนเต็ม]:[คะแนนเต็ม]])*tbl_task2[[%]:[%]])</f>
        <v/>
      </c>
      <c r="KI22" s="121" t="str">
        <f>IF(ISBLANK(tbl_task2[[คะแนนเต็ม]:[คะแนนเต็ม]]),"",(tbl_task2[125]/tbl_task2[[คะแนนเต็ม]:[คะแนนเต็ม]])*tbl_task2[[%]:[%]])</f>
        <v/>
      </c>
      <c r="KJ22" s="121" t="str">
        <f>IF(ISBLANK(tbl_task2[[คะแนนเต็ม]:[คะแนนเต็ม]]),"",(tbl_task2[126]/tbl_task2[[คะแนนเต็ม]:[คะแนนเต็ม]])*tbl_task2[[%]:[%]])</f>
        <v/>
      </c>
      <c r="KK22" s="121" t="str">
        <f>IF(ISBLANK(tbl_task2[[คะแนนเต็ม]:[คะแนนเต็ม]]),"",(tbl_task2[127]/tbl_task2[[คะแนนเต็ม]:[คะแนนเต็ม]])*tbl_task2[[%]:[%]])</f>
        <v/>
      </c>
      <c r="KL22" s="121" t="str">
        <f>IF(ISBLANK(tbl_task2[[คะแนนเต็ม]:[คะแนนเต็ม]]),"",(tbl_task2[128]/tbl_task2[[คะแนนเต็ม]:[คะแนนเต็ม]])*tbl_task2[[%]:[%]])</f>
        <v/>
      </c>
      <c r="KM22" s="121" t="str">
        <f>IF(ISBLANK(tbl_task2[[คะแนนเต็ม]:[คะแนนเต็ม]]),"",(tbl_task2[129]/tbl_task2[[คะแนนเต็ม]:[คะแนนเต็ม]])*tbl_task2[[%]:[%]])</f>
        <v/>
      </c>
      <c r="KN22" s="121" t="str">
        <f>IF(ISBLANK(tbl_task2[[คะแนนเต็ม]:[คะแนนเต็ม]]),"",(tbl_task2[130]/tbl_task2[[คะแนนเต็ม]:[คะแนนเต็ม]])*tbl_task2[[%]:[%]])</f>
        <v/>
      </c>
      <c r="KO22" s="121" t="str">
        <f>IF(ISBLANK(tbl_task2[[คะแนนเต็ม]:[คะแนนเต็ม]]),"",(tbl_task2[131]/tbl_task2[[คะแนนเต็ม]:[คะแนนเต็ม]])*tbl_task2[[%]:[%]])</f>
        <v/>
      </c>
      <c r="KP22" s="121" t="str">
        <f>IF(ISBLANK(tbl_task2[[คะแนนเต็ม]:[คะแนนเต็ม]]),"",(tbl_task2[132]/tbl_task2[[คะแนนเต็ม]:[คะแนนเต็ม]])*tbl_task2[[%]:[%]])</f>
        <v/>
      </c>
      <c r="KQ22" s="121" t="str">
        <f>IF(ISBLANK(tbl_task2[[คะแนนเต็ม]:[คะแนนเต็ม]]),"",(tbl_task2[133]/tbl_task2[[คะแนนเต็ม]:[คะแนนเต็ม]])*tbl_task2[[%]:[%]])</f>
        <v/>
      </c>
      <c r="KR22" s="121" t="str">
        <f>IF(ISBLANK(tbl_task2[[คะแนนเต็ม]:[คะแนนเต็ม]]),"",(tbl_task2[134]/tbl_task2[[คะแนนเต็ม]:[คะแนนเต็ม]])*tbl_task2[[%]:[%]])</f>
        <v/>
      </c>
      <c r="KS22" s="121" t="str">
        <f>IF(ISBLANK(tbl_task2[[คะแนนเต็ม]:[คะแนนเต็ม]]),"",(tbl_task2[135]/tbl_task2[[คะแนนเต็ม]:[คะแนนเต็ม]])*tbl_task2[[%]:[%]])</f>
        <v/>
      </c>
      <c r="KT22" s="121" t="str">
        <f>IF(ISBLANK(tbl_task2[[คะแนนเต็ม]:[คะแนนเต็ม]]),"",(tbl_task2[136]/tbl_task2[[คะแนนเต็ม]:[คะแนนเต็ม]])*tbl_task2[[%]:[%]])</f>
        <v/>
      </c>
      <c r="KU22" s="121" t="str">
        <f>IF(ISBLANK(tbl_task2[[คะแนนเต็ม]:[คะแนนเต็ม]]),"",(tbl_task2[137]/tbl_task2[[คะแนนเต็ม]:[คะแนนเต็ม]])*tbl_task2[[%]:[%]])</f>
        <v/>
      </c>
      <c r="KV22" s="121" t="str">
        <f>IF(ISBLANK(tbl_task2[[คะแนนเต็ม]:[คะแนนเต็ม]]),"",(tbl_task2[138]/tbl_task2[[คะแนนเต็ม]:[คะแนนเต็ม]])*tbl_task2[[%]:[%]])</f>
        <v/>
      </c>
      <c r="KW22" s="121" t="str">
        <f>IF(ISBLANK(tbl_task2[[คะแนนเต็ม]:[คะแนนเต็ม]]),"",(tbl_task2[139]/tbl_task2[[คะแนนเต็ม]:[คะแนนเต็ม]])*tbl_task2[[%]:[%]])</f>
        <v/>
      </c>
      <c r="KX22" s="121" t="str">
        <f>IF(ISBLANK(tbl_task2[[คะแนนเต็ม]:[คะแนนเต็ม]]),"",(tbl_task2[140]/tbl_task2[[คะแนนเต็ม]:[คะแนนเต็ม]])*tbl_task2[[%]:[%]])</f>
        <v/>
      </c>
      <c r="KY22" s="121" t="str">
        <f>IF(ISBLANK(tbl_task2[[คะแนนเต็ม]:[คะแนนเต็ม]]),"",(tbl_task2[141]/tbl_task2[[คะแนนเต็ม]:[คะแนนเต็ม]])*tbl_task2[[%]:[%]])</f>
        <v/>
      </c>
      <c r="KZ22" s="121" t="str">
        <f>IF(ISBLANK(tbl_task2[[คะแนนเต็ม]:[คะแนนเต็ม]]),"",(tbl_task2[142]/tbl_task2[[คะแนนเต็ม]:[คะแนนเต็ม]])*tbl_task2[[%]:[%]])</f>
        <v/>
      </c>
      <c r="LA22" s="121" t="str">
        <f>IF(ISBLANK(tbl_task2[[คะแนนเต็ม]:[คะแนนเต็ม]]),"",(tbl_task2[143]/tbl_task2[[คะแนนเต็ม]:[คะแนนเต็ม]])*tbl_task2[[%]:[%]])</f>
        <v/>
      </c>
      <c r="LB22" s="121" t="str">
        <f>IF(ISBLANK(tbl_task2[[คะแนนเต็ม]:[คะแนนเต็ม]]),"",(tbl_task2[144]/tbl_task2[[คะแนนเต็ม]:[คะแนนเต็ม]])*tbl_task2[[%]:[%]])</f>
        <v/>
      </c>
      <c r="LC22" s="121" t="str">
        <f>IF(ISBLANK(tbl_task2[[คะแนนเต็ม]:[คะแนนเต็ม]]),"",(tbl_task2[145]/tbl_task2[[คะแนนเต็ม]:[คะแนนเต็ม]])*tbl_task2[[%]:[%]])</f>
        <v/>
      </c>
      <c r="LD22" s="121" t="str">
        <f>IF(ISBLANK(tbl_task2[[คะแนนเต็ม]:[คะแนนเต็ม]]),"",(tbl_task2[146]/tbl_task2[[คะแนนเต็ม]:[คะแนนเต็ม]])*tbl_task2[[%]:[%]])</f>
        <v/>
      </c>
      <c r="LE22" s="121" t="str">
        <f>IF(ISBLANK(tbl_task2[[คะแนนเต็ม]:[คะแนนเต็ม]]),"",(tbl_task2[147]/tbl_task2[[คะแนนเต็ม]:[คะแนนเต็ม]])*tbl_task2[[%]:[%]])</f>
        <v/>
      </c>
      <c r="LF22" s="121" t="str">
        <f>IF(ISBLANK(tbl_task2[[คะแนนเต็ม]:[คะแนนเต็ม]]),"",(tbl_task2[148]/tbl_task2[[คะแนนเต็ม]:[คะแนนเต็ม]])*tbl_task2[[%]:[%]])</f>
        <v/>
      </c>
      <c r="LG22" s="121" t="str">
        <f>IF(ISBLANK(tbl_task2[[คะแนนเต็ม]:[คะแนนเต็ม]]),"",(tbl_task2[149]/tbl_task2[[คะแนนเต็ม]:[คะแนนเต็ม]])*tbl_task2[[%]:[%]])</f>
        <v/>
      </c>
      <c r="LH22" s="121" t="str">
        <f>IF(ISBLANK(tbl_task2[[คะแนนเต็ม]:[คะแนนเต็ม]]),"",(tbl_task2[150]/tbl_task2[[คะแนนเต็ม]:[คะแนนเต็ม]])*tbl_task2[[%]:[%]])</f>
        <v/>
      </c>
      <c r="LI22" s="121" t="str">
        <f>IF(ISBLANK(tbl_task2[[คะแนนเต็ม]:[คะแนนเต็ม]]),"",(tbl_task2[151]/tbl_task2[[คะแนนเต็ม]:[คะแนนเต็ม]])*tbl_task2[[%]:[%]])</f>
        <v/>
      </c>
      <c r="LJ22" s="121" t="str">
        <f>IF(ISBLANK(tbl_task2[[คะแนนเต็ม]:[คะแนนเต็ม]]),"",(tbl_task2[152]/tbl_task2[[คะแนนเต็ม]:[คะแนนเต็ม]])*tbl_task2[[%]:[%]])</f>
        <v/>
      </c>
      <c r="LK22" s="121" t="str">
        <f>IF(ISBLANK(tbl_task2[[คะแนนเต็ม]:[คะแนนเต็ม]]),"",(tbl_task2[153]/tbl_task2[[คะแนนเต็ม]:[คะแนนเต็ม]])*tbl_task2[[%]:[%]])</f>
        <v/>
      </c>
      <c r="LL22" s="121" t="str">
        <f>IF(ISBLANK(tbl_task2[[คะแนนเต็ม]:[คะแนนเต็ม]]),"",(tbl_task2[154]/tbl_task2[[คะแนนเต็ม]:[คะแนนเต็ม]])*tbl_task2[[%]:[%]])</f>
        <v/>
      </c>
      <c r="LM22" s="121" t="str">
        <f>IF(ISBLANK(tbl_task2[[คะแนนเต็ม]:[คะแนนเต็ม]]),"",(tbl_task2[155]/tbl_task2[[คะแนนเต็ม]:[คะแนนเต็ม]])*tbl_task2[[%]:[%]])</f>
        <v/>
      </c>
      <c r="LN22" s="121" t="str">
        <f>IF(ISBLANK(tbl_task2[[คะแนนเต็ม]:[คะแนนเต็ม]]),"",(tbl_task2[156]/tbl_task2[[คะแนนเต็ม]:[คะแนนเต็ม]])*tbl_task2[[%]:[%]])</f>
        <v/>
      </c>
      <c r="LO22" s="121" t="str">
        <f>IF(ISBLANK(tbl_task2[[คะแนนเต็ม]:[คะแนนเต็ม]]),"",(tbl_task2[157]/tbl_task2[[คะแนนเต็ม]:[คะแนนเต็ม]])*tbl_task2[[%]:[%]])</f>
        <v/>
      </c>
      <c r="LP22" s="121" t="str">
        <f>IF(ISBLANK(tbl_task2[[คะแนนเต็ม]:[คะแนนเต็ม]]),"",(tbl_task2[158]/tbl_task2[[คะแนนเต็ม]:[คะแนนเต็ม]])*tbl_task2[[%]:[%]])</f>
        <v/>
      </c>
      <c r="LQ22" s="121" t="str">
        <f>IF(ISBLANK(tbl_task2[[คะแนนเต็ม]:[คะแนนเต็ม]]),"",(tbl_task2[159]/tbl_task2[[คะแนนเต็ม]:[คะแนนเต็ม]])*tbl_task2[[%]:[%]])</f>
        <v/>
      </c>
      <c r="LR22" s="121" t="str">
        <f>IF(ISBLANK(tbl_task2[[คะแนนเต็ม]:[คะแนนเต็ม]]),"",(tbl_task2[160]/tbl_task2[[คะแนนเต็ม]:[คะแนนเต็ม]])*tbl_task2[[%]:[%]])</f>
        <v/>
      </c>
      <c r="LS22" s="121" t="str">
        <f>IF(ISBLANK(tbl_task2[[คะแนนเต็ม]:[คะแนนเต็ม]]),"",(tbl_task2[161]/tbl_task2[[คะแนนเต็ม]:[คะแนนเต็ม]])*tbl_task2[[%]:[%]])</f>
        <v/>
      </c>
      <c r="LT22" s="121" t="str">
        <f>IF(ISBLANK(tbl_task2[[คะแนนเต็ม]:[คะแนนเต็ม]]),"",(tbl_task2[162]/tbl_task2[[คะแนนเต็ม]:[คะแนนเต็ม]])*tbl_task2[[%]:[%]])</f>
        <v/>
      </c>
      <c r="LU22" s="121" t="str">
        <f>IF(ISBLANK(tbl_task2[[คะแนนเต็ม]:[คะแนนเต็ม]]),"",(tbl_task2[163]/tbl_task2[[คะแนนเต็ม]:[คะแนนเต็ม]])*tbl_task2[[%]:[%]])</f>
        <v/>
      </c>
      <c r="LV22" s="121" t="str">
        <f>IF(ISBLANK(tbl_task2[[คะแนนเต็ม]:[คะแนนเต็ม]]),"",(tbl_task2[164]/tbl_task2[[คะแนนเต็ม]:[คะแนนเต็ม]])*tbl_task2[[%]:[%]])</f>
        <v/>
      </c>
      <c r="LW22" s="121" t="str">
        <f>IF(ISBLANK(tbl_task2[[คะแนนเต็ม]:[คะแนนเต็ม]]),"",(tbl_task2[165]/tbl_task2[[คะแนนเต็ม]:[คะแนนเต็ม]])*tbl_task2[[%]:[%]])</f>
        <v/>
      </c>
    </row>
    <row r="23" spans="1:335" ht="24" customHeight="1" x14ac:dyDescent="0.25">
      <c r="A23" s="24">
        <v>20</v>
      </c>
      <c r="B23" s="25"/>
      <c r="C23" s="26" t="str">
        <f>IF(ISBLANK(B23),"",VLOOKUP(B23,tbl_PLOs[],2,0))</f>
        <v/>
      </c>
      <c r="D23" s="103"/>
      <c r="E23" s="10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21" t="str">
        <f>IF(ISBLANK(tbl_task2[[คะแนนเต็ม]:[คะแนนเต็ม]]),"",(tbl_task2[1]/tbl_task2[[คะแนนเต็ม]:[คะแนนเต็ม]])*tbl_task2[[%]:[%]])</f>
        <v/>
      </c>
      <c r="FP23" s="121" t="str">
        <f>IF(ISBLANK(tbl_task2[[คะแนนเต็ม]:[คะแนนเต็ม]]),"",(tbl_task2[2]/tbl_task2[[คะแนนเต็ม]:[คะแนนเต็ม]])*tbl_task2[[%]:[%]])</f>
        <v/>
      </c>
      <c r="FQ23" s="121" t="str">
        <f>IF(ISBLANK(tbl_task2[[คะแนนเต็ม]:[คะแนนเต็ม]]),"",(tbl_task2[3]/tbl_task2[[คะแนนเต็ม]:[คะแนนเต็ม]])*tbl_task2[[%]:[%]])</f>
        <v/>
      </c>
      <c r="FR23" s="121" t="str">
        <f>IF(ISBLANK(tbl_task2[[คะแนนเต็ม]:[คะแนนเต็ม]]),"",(tbl_task2[4]/tbl_task2[[คะแนนเต็ม]:[คะแนนเต็ม]])*tbl_task2[[%]:[%]])</f>
        <v/>
      </c>
      <c r="FS23" s="121" t="str">
        <f>IF(ISBLANK(tbl_task2[[คะแนนเต็ม]:[คะแนนเต็ม]]),"",(tbl_task2[5]/tbl_task2[[คะแนนเต็ม]:[คะแนนเต็ม]])*tbl_task2[[%]:[%]])</f>
        <v/>
      </c>
      <c r="FT23" s="121" t="str">
        <f>IF(ISBLANK(tbl_task2[[คะแนนเต็ม]:[คะแนนเต็ม]]),"",(tbl_task2[6]/tbl_task2[[คะแนนเต็ม]:[คะแนนเต็ม]])*tbl_task2[[%]:[%]])</f>
        <v/>
      </c>
      <c r="FU23" s="121" t="str">
        <f>IF(ISBLANK(tbl_task2[[คะแนนเต็ม]:[คะแนนเต็ม]]),"",(tbl_task2[7]/tbl_task2[[คะแนนเต็ม]:[คะแนนเต็ม]])*tbl_task2[[%]:[%]])</f>
        <v/>
      </c>
      <c r="FV23" s="121" t="str">
        <f>IF(ISBLANK(tbl_task2[[คะแนนเต็ม]:[คะแนนเต็ม]]),"",(tbl_task2[8]/tbl_task2[[คะแนนเต็ม]:[คะแนนเต็ม]])*tbl_task2[[%]:[%]])</f>
        <v/>
      </c>
      <c r="FW23" s="121" t="str">
        <f>IF(ISBLANK(tbl_task2[[คะแนนเต็ม]:[คะแนนเต็ม]]),"",(tbl_task2[9]/tbl_task2[[คะแนนเต็ม]:[คะแนนเต็ม]])*tbl_task2[[%]:[%]])</f>
        <v/>
      </c>
      <c r="FX23" s="121" t="str">
        <f>IF(ISBLANK(tbl_task2[[คะแนนเต็ม]:[คะแนนเต็ม]]),"",(tbl_task2[10]/tbl_task2[[คะแนนเต็ม]:[คะแนนเต็ม]])*tbl_task2[[%]:[%]])</f>
        <v/>
      </c>
      <c r="FY23" s="121" t="str">
        <f>IF(ISBLANK(tbl_task2[[คะแนนเต็ม]:[คะแนนเต็ม]]),"",(tbl_task2[11]/tbl_task2[[คะแนนเต็ม]:[คะแนนเต็ม]])*tbl_task2[[%]:[%]])</f>
        <v/>
      </c>
      <c r="FZ23" s="121" t="str">
        <f>IF(ISBLANK(tbl_task2[[คะแนนเต็ม]:[คะแนนเต็ม]]),"",(tbl_task2[12]/tbl_task2[[คะแนนเต็ม]:[คะแนนเต็ม]])*tbl_task2[[%]:[%]])</f>
        <v/>
      </c>
      <c r="GA23" s="121" t="str">
        <f>IF(ISBLANK(tbl_task2[[คะแนนเต็ม]:[คะแนนเต็ม]]),"",(tbl_task2[13]/tbl_task2[[คะแนนเต็ม]:[คะแนนเต็ม]])*tbl_task2[[%]:[%]])</f>
        <v/>
      </c>
      <c r="GB23" s="121" t="str">
        <f>IF(ISBLANK(tbl_task2[[คะแนนเต็ม]:[คะแนนเต็ม]]),"",(tbl_task2[14]/tbl_task2[[คะแนนเต็ม]:[คะแนนเต็ม]])*tbl_task2[[%]:[%]])</f>
        <v/>
      </c>
      <c r="GC23" s="121" t="str">
        <f>IF(ISBLANK(tbl_task2[[คะแนนเต็ม]:[คะแนนเต็ม]]),"",(tbl_task2[15]/tbl_task2[[คะแนนเต็ม]:[คะแนนเต็ม]])*tbl_task2[[%]:[%]])</f>
        <v/>
      </c>
      <c r="GD23" s="121" t="str">
        <f>IF(ISBLANK(tbl_task2[[คะแนนเต็ม]:[คะแนนเต็ม]]),"",(tbl_task2[16]/tbl_task2[[คะแนนเต็ม]:[คะแนนเต็ม]])*tbl_task2[[%]:[%]])</f>
        <v/>
      </c>
      <c r="GE23" s="121" t="str">
        <f>IF(ISBLANK(tbl_task2[[คะแนนเต็ม]:[คะแนนเต็ม]]),"",(tbl_task2[17]/tbl_task2[[คะแนนเต็ม]:[คะแนนเต็ม]])*tbl_task2[[%]:[%]])</f>
        <v/>
      </c>
      <c r="GF23" s="121" t="str">
        <f>IF(ISBLANK(tbl_task2[[คะแนนเต็ม]:[คะแนนเต็ม]]),"",(tbl_task2[18]/tbl_task2[[คะแนนเต็ม]:[คะแนนเต็ม]])*tbl_task2[[%]:[%]])</f>
        <v/>
      </c>
      <c r="GG23" s="121" t="str">
        <f>IF(ISBLANK(tbl_task2[[คะแนนเต็ม]:[คะแนนเต็ม]]),"",(tbl_task2[19]/tbl_task2[[คะแนนเต็ม]:[คะแนนเต็ม]])*tbl_task2[[%]:[%]])</f>
        <v/>
      </c>
      <c r="GH23" s="121" t="str">
        <f>IF(ISBLANK(tbl_task2[[คะแนนเต็ม]:[คะแนนเต็ม]]),"",(tbl_task2[20]/tbl_task2[[คะแนนเต็ม]:[คะแนนเต็ม]])*tbl_task2[[%]:[%]])</f>
        <v/>
      </c>
      <c r="GI23" s="121" t="str">
        <f>IF(ISBLANK(tbl_task2[[คะแนนเต็ม]:[คะแนนเต็ม]]),"",(tbl_task2[21]/tbl_task2[[คะแนนเต็ม]:[คะแนนเต็ม]])*tbl_task2[[%]:[%]])</f>
        <v/>
      </c>
      <c r="GJ23" s="121" t="str">
        <f>IF(ISBLANK(tbl_task2[[คะแนนเต็ม]:[คะแนนเต็ม]]),"",(tbl_task2[22]/tbl_task2[[คะแนนเต็ม]:[คะแนนเต็ม]])*tbl_task2[[%]:[%]])</f>
        <v/>
      </c>
      <c r="GK23" s="121" t="str">
        <f>IF(ISBLANK(tbl_task2[[คะแนนเต็ม]:[คะแนนเต็ม]]),"",(tbl_task2[23]/tbl_task2[[คะแนนเต็ม]:[คะแนนเต็ม]])*tbl_task2[[%]:[%]])</f>
        <v/>
      </c>
      <c r="GL23" s="121" t="str">
        <f>IF(ISBLANK(tbl_task2[[คะแนนเต็ม]:[คะแนนเต็ม]]),"",(tbl_task2[24]/tbl_task2[[คะแนนเต็ม]:[คะแนนเต็ม]])*tbl_task2[[%]:[%]])</f>
        <v/>
      </c>
      <c r="GM23" s="121" t="str">
        <f>IF(ISBLANK(tbl_task2[[คะแนนเต็ม]:[คะแนนเต็ม]]),"",(tbl_task2[25]/tbl_task2[[คะแนนเต็ม]:[คะแนนเต็ม]])*tbl_task2[[%]:[%]])</f>
        <v/>
      </c>
      <c r="GN23" s="121" t="str">
        <f>IF(ISBLANK(tbl_task2[[คะแนนเต็ม]:[คะแนนเต็ม]]),"",(tbl_task2[26]/tbl_task2[[คะแนนเต็ม]:[คะแนนเต็ม]])*tbl_task2[[%]:[%]])</f>
        <v/>
      </c>
      <c r="GO23" s="121" t="str">
        <f>IF(ISBLANK(tbl_task2[[คะแนนเต็ม]:[คะแนนเต็ม]]),"",(tbl_task2[27]/tbl_task2[[คะแนนเต็ม]:[คะแนนเต็ม]])*tbl_task2[[%]:[%]])</f>
        <v/>
      </c>
      <c r="GP23" s="121" t="str">
        <f>IF(ISBLANK(tbl_task2[[คะแนนเต็ม]:[คะแนนเต็ม]]),"",(tbl_task2[28]/tbl_task2[[คะแนนเต็ม]:[คะแนนเต็ม]])*tbl_task2[[%]:[%]])</f>
        <v/>
      </c>
      <c r="GQ23" s="121" t="str">
        <f>IF(ISBLANK(tbl_task2[[คะแนนเต็ม]:[คะแนนเต็ม]]),"",(tbl_task2[29]/tbl_task2[[คะแนนเต็ม]:[คะแนนเต็ม]])*tbl_task2[[%]:[%]])</f>
        <v/>
      </c>
      <c r="GR23" s="121" t="str">
        <f>IF(ISBLANK(tbl_task2[[คะแนนเต็ม]:[คะแนนเต็ม]]),"",(tbl_task2[30]/tbl_task2[[คะแนนเต็ม]:[คะแนนเต็ม]])*tbl_task2[[%]:[%]])</f>
        <v/>
      </c>
      <c r="GS23" s="121" t="str">
        <f>IF(ISBLANK(tbl_task2[[คะแนนเต็ม]:[คะแนนเต็ม]]),"",(tbl_task2[31]/tbl_task2[[คะแนนเต็ม]:[คะแนนเต็ม]])*tbl_task2[[%]:[%]])</f>
        <v/>
      </c>
      <c r="GT23" s="121" t="str">
        <f>IF(ISBLANK(tbl_task2[[คะแนนเต็ม]:[คะแนนเต็ม]]),"",(tbl_task2[32]/tbl_task2[[คะแนนเต็ม]:[คะแนนเต็ม]])*tbl_task2[[%]:[%]])</f>
        <v/>
      </c>
      <c r="GU23" s="121" t="str">
        <f>IF(ISBLANK(tbl_task2[[คะแนนเต็ม]:[คะแนนเต็ม]]),"",(tbl_task2[33]/tbl_task2[[คะแนนเต็ม]:[คะแนนเต็ม]])*tbl_task2[[%]:[%]])</f>
        <v/>
      </c>
      <c r="GV23" s="121" t="str">
        <f>IF(ISBLANK(tbl_task2[[คะแนนเต็ม]:[คะแนนเต็ม]]),"",(tbl_task2[34]/tbl_task2[[คะแนนเต็ม]:[คะแนนเต็ม]])*tbl_task2[[%]:[%]])</f>
        <v/>
      </c>
      <c r="GW23" s="121" t="str">
        <f>IF(ISBLANK(tbl_task2[[คะแนนเต็ม]:[คะแนนเต็ม]]),"",(tbl_task2[35]/tbl_task2[[คะแนนเต็ม]:[คะแนนเต็ม]])*tbl_task2[[%]:[%]])</f>
        <v/>
      </c>
      <c r="GX23" s="121" t="str">
        <f>IF(ISBLANK(tbl_task2[[คะแนนเต็ม]:[คะแนนเต็ม]]),"",(tbl_task2[36]/tbl_task2[[คะแนนเต็ม]:[คะแนนเต็ม]])*tbl_task2[[%]:[%]])</f>
        <v/>
      </c>
      <c r="GY23" s="121" t="str">
        <f>IF(ISBLANK(tbl_task2[[คะแนนเต็ม]:[คะแนนเต็ม]]),"",(tbl_task2[37]/tbl_task2[[คะแนนเต็ม]:[คะแนนเต็ม]])*tbl_task2[[%]:[%]])</f>
        <v/>
      </c>
      <c r="GZ23" s="121" t="str">
        <f>IF(ISBLANK(tbl_task2[[คะแนนเต็ม]:[คะแนนเต็ม]]),"",(tbl_task2[38]/tbl_task2[[คะแนนเต็ม]:[คะแนนเต็ม]])*tbl_task2[[%]:[%]])</f>
        <v/>
      </c>
      <c r="HA23" s="121" t="str">
        <f>IF(ISBLANK(tbl_task2[[คะแนนเต็ม]:[คะแนนเต็ม]]),"",(tbl_task2[39]/tbl_task2[[คะแนนเต็ม]:[คะแนนเต็ม]])*tbl_task2[[%]:[%]])</f>
        <v/>
      </c>
      <c r="HB23" s="121" t="str">
        <f>IF(ISBLANK(tbl_task2[[คะแนนเต็ม]:[คะแนนเต็ม]]),"",(tbl_task2[40]/tbl_task2[[คะแนนเต็ม]:[คะแนนเต็ม]])*tbl_task2[[%]:[%]])</f>
        <v/>
      </c>
      <c r="HC23" s="121" t="str">
        <f>IF(ISBLANK(tbl_task2[[คะแนนเต็ม]:[คะแนนเต็ม]]),"",(tbl_task2[41]/tbl_task2[[คะแนนเต็ม]:[คะแนนเต็ม]])*tbl_task2[[%]:[%]])</f>
        <v/>
      </c>
      <c r="HD23" s="121" t="str">
        <f>IF(ISBLANK(tbl_task2[[คะแนนเต็ม]:[คะแนนเต็ม]]),"",(tbl_task2[42]/tbl_task2[[คะแนนเต็ม]:[คะแนนเต็ม]])*tbl_task2[[%]:[%]])</f>
        <v/>
      </c>
      <c r="HE23" s="121" t="str">
        <f>IF(ISBLANK(tbl_task2[[คะแนนเต็ม]:[คะแนนเต็ม]]),"",(tbl_task2[43]/tbl_task2[[คะแนนเต็ม]:[คะแนนเต็ม]])*tbl_task2[[%]:[%]])</f>
        <v/>
      </c>
      <c r="HF23" s="121" t="str">
        <f>IF(ISBLANK(tbl_task2[[คะแนนเต็ม]:[คะแนนเต็ม]]),"",(tbl_task2[44]/tbl_task2[[คะแนนเต็ม]:[คะแนนเต็ม]])*tbl_task2[[%]:[%]])</f>
        <v/>
      </c>
      <c r="HG23" s="121" t="str">
        <f>IF(ISBLANK(tbl_task2[[คะแนนเต็ม]:[คะแนนเต็ม]]),"",(tbl_task2[45]/tbl_task2[[คะแนนเต็ม]:[คะแนนเต็ม]])*tbl_task2[[%]:[%]])</f>
        <v/>
      </c>
      <c r="HH23" s="121" t="str">
        <f>IF(ISBLANK(tbl_task2[[คะแนนเต็ม]:[คะแนนเต็ม]]),"",(tbl_task2[46]/tbl_task2[[คะแนนเต็ม]:[คะแนนเต็ม]])*tbl_task2[[%]:[%]])</f>
        <v/>
      </c>
      <c r="HI23" s="121" t="str">
        <f>IF(ISBLANK(tbl_task2[[คะแนนเต็ม]:[คะแนนเต็ม]]),"",(tbl_task2[47]/tbl_task2[[คะแนนเต็ม]:[คะแนนเต็ม]])*tbl_task2[[%]:[%]])</f>
        <v/>
      </c>
      <c r="HJ23" s="121" t="str">
        <f>IF(ISBLANK(tbl_task2[[คะแนนเต็ม]:[คะแนนเต็ม]]),"",(tbl_task2[48]/tbl_task2[[คะแนนเต็ม]:[คะแนนเต็ม]])*tbl_task2[[%]:[%]])</f>
        <v/>
      </c>
      <c r="HK23" s="121" t="str">
        <f>IF(ISBLANK(tbl_task2[[คะแนนเต็ม]:[คะแนนเต็ม]]),"",(tbl_task2[49]/tbl_task2[[คะแนนเต็ม]:[คะแนนเต็ม]])*tbl_task2[[%]:[%]])</f>
        <v/>
      </c>
      <c r="HL23" s="121" t="str">
        <f>IF(ISBLANK(tbl_task2[[คะแนนเต็ม]:[คะแนนเต็ม]]),"",(tbl_task2[50]/tbl_task2[[คะแนนเต็ม]:[คะแนนเต็ม]])*tbl_task2[[%]:[%]])</f>
        <v/>
      </c>
      <c r="HM23" s="121" t="str">
        <f>IF(ISBLANK(tbl_task2[[คะแนนเต็ม]:[คะแนนเต็ม]]),"",(tbl_task2[51]/tbl_task2[[คะแนนเต็ม]:[คะแนนเต็ม]])*tbl_task2[[%]:[%]])</f>
        <v/>
      </c>
      <c r="HN23" s="121" t="str">
        <f>IF(ISBLANK(tbl_task2[[คะแนนเต็ม]:[คะแนนเต็ม]]),"",(tbl_task2[52]/tbl_task2[[คะแนนเต็ม]:[คะแนนเต็ม]])*tbl_task2[[%]:[%]])</f>
        <v/>
      </c>
      <c r="HO23" s="121" t="str">
        <f>IF(ISBLANK(tbl_task2[[คะแนนเต็ม]:[คะแนนเต็ม]]),"",(tbl_task2[53]/tbl_task2[[คะแนนเต็ม]:[คะแนนเต็ม]])*tbl_task2[[%]:[%]])</f>
        <v/>
      </c>
      <c r="HP23" s="121" t="str">
        <f>IF(ISBLANK(tbl_task2[[คะแนนเต็ม]:[คะแนนเต็ม]]),"",(tbl_task2[54]/tbl_task2[[คะแนนเต็ม]:[คะแนนเต็ม]])*tbl_task2[[%]:[%]])</f>
        <v/>
      </c>
      <c r="HQ23" s="121" t="str">
        <f>IF(ISBLANK(tbl_task2[[คะแนนเต็ม]:[คะแนนเต็ม]]),"",(tbl_task2[55]/tbl_task2[[คะแนนเต็ม]:[คะแนนเต็ม]])*tbl_task2[[%]:[%]])</f>
        <v/>
      </c>
      <c r="HR23" s="121" t="str">
        <f>IF(ISBLANK(tbl_task2[[คะแนนเต็ม]:[คะแนนเต็ม]]),"",(tbl_task2[56]/tbl_task2[[คะแนนเต็ม]:[คะแนนเต็ม]])*tbl_task2[[%]:[%]])</f>
        <v/>
      </c>
      <c r="HS23" s="121" t="str">
        <f>IF(ISBLANK(tbl_task2[[คะแนนเต็ม]:[คะแนนเต็ม]]),"",(tbl_task2[57]/tbl_task2[[คะแนนเต็ม]:[คะแนนเต็ม]])*tbl_task2[[%]:[%]])</f>
        <v/>
      </c>
      <c r="HT23" s="121" t="str">
        <f>IF(ISBLANK(tbl_task2[[คะแนนเต็ม]:[คะแนนเต็ม]]),"",(tbl_task2[58]/tbl_task2[[คะแนนเต็ม]:[คะแนนเต็ม]])*tbl_task2[[%]:[%]])</f>
        <v/>
      </c>
      <c r="HU23" s="121" t="str">
        <f>IF(ISBLANK(tbl_task2[[คะแนนเต็ม]:[คะแนนเต็ม]]),"",(tbl_task2[59]/tbl_task2[[คะแนนเต็ม]:[คะแนนเต็ม]])*tbl_task2[[%]:[%]])</f>
        <v/>
      </c>
      <c r="HV23" s="121" t="str">
        <f>IF(ISBLANK(tbl_task2[[คะแนนเต็ม]:[คะแนนเต็ม]]),"",(tbl_task2[60]/tbl_task2[[คะแนนเต็ม]:[คะแนนเต็ม]])*tbl_task2[[%]:[%]])</f>
        <v/>
      </c>
      <c r="HW23" s="121" t="str">
        <f>IF(ISBLANK(tbl_task2[[คะแนนเต็ม]:[คะแนนเต็ม]]),"",(tbl_task2[61]/tbl_task2[[คะแนนเต็ม]:[คะแนนเต็ม]])*tbl_task2[[%]:[%]])</f>
        <v/>
      </c>
      <c r="HX23" s="121" t="str">
        <f>IF(ISBLANK(tbl_task2[[คะแนนเต็ม]:[คะแนนเต็ม]]),"",(tbl_task2[62]/tbl_task2[[คะแนนเต็ม]:[คะแนนเต็ม]])*tbl_task2[[%]:[%]])</f>
        <v/>
      </c>
      <c r="HY23" s="121" t="str">
        <f>IF(ISBLANK(tbl_task2[[คะแนนเต็ม]:[คะแนนเต็ม]]),"",(tbl_task2[63]/tbl_task2[[คะแนนเต็ม]:[คะแนนเต็ม]])*tbl_task2[[%]:[%]])</f>
        <v/>
      </c>
      <c r="HZ23" s="121" t="str">
        <f>IF(ISBLANK(tbl_task2[[คะแนนเต็ม]:[คะแนนเต็ม]]),"",(tbl_task2[64]/tbl_task2[[คะแนนเต็ม]:[คะแนนเต็ม]])*tbl_task2[[%]:[%]])</f>
        <v/>
      </c>
      <c r="IA23" s="121" t="str">
        <f>IF(ISBLANK(tbl_task2[[คะแนนเต็ม]:[คะแนนเต็ม]]),"",(tbl_task2[65]/tbl_task2[[คะแนนเต็ม]:[คะแนนเต็ม]])*tbl_task2[[%]:[%]])</f>
        <v/>
      </c>
      <c r="IB23" s="121" t="str">
        <f>IF(ISBLANK(tbl_task2[[คะแนนเต็ม]:[คะแนนเต็ม]]),"",(tbl_task2[66]/tbl_task2[[คะแนนเต็ม]:[คะแนนเต็ม]])*tbl_task2[[%]:[%]])</f>
        <v/>
      </c>
      <c r="IC23" s="121" t="str">
        <f>IF(ISBLANK(tbl_task2[[คะแนนเต็ม]:[คะแนนเต็ม]]),"",(tbl_task2[67]/tbl_task2[[คะแนนเต็ม]:[คะแนนเต็ม]])*tbl_task2[[%]:[%]])</f>
        <v/>
      </c>
      <c r="ID23" s="121" t="str">
        <f>IF(ISBLANK(tbl_task2[[คะแนนเต็ม]:[คะแนนเต็ม]]),"",(tbl_task2[68]/tbl_task2[[คะแนนเต็ม]:[คะแนนเต็ม]])*tbl_task2[[%]:[%]])</f>
        <v/>
      </c>
      <c r="IE23" s="121" t="str">
        <f>IF(ISBLANK(tbl_task2[[คะแนนเต็ม]:[คะแนนเต็ม]]),"",(tbl_task2[69]/tbl_task2[[คะแนนเต็ม]:[คะแนนเต็ม]])*tbl_task2[[%]:[%]])</f>
        <v/>
      </c>
      <c r="IF23" s="121" t="str">
        <f>IF(ISBLANK(tbl_task2[[คะแนนเต็ม]:[คะแนนเต็ม]]),"",(tbl_task2[70]/tbl_task2[[คะแนนเต็ม]:[คะแนนเต็ม]])*tbl_task2[[%]:[%]])</f>
        <v/>
      </c>
      <c r="IG23" s="121" t="str">
        <f>IF(ISBLANK(tbl_task2[[คะแนนเต็ม]:[คะแนนเต็ม]]),"",(tbl_task2[71]/tbl_task2[[คะแนนเต็ม]:[คะแนนเต็ม]])*tbl_task2[[%]:[%]])</f>
        <v/>
      </c>
      <c r="IH23" s="121" t="str">
        <f>IF(ISBLANK(tbl_task2[[คะแนนเต็ม]:[คะแนนเต็ม]]),"",(tbl_task2[72]/tbl_task2[[คะแนนเต็ม]:[คะแนนเต็ม]])*tbl_task2[[%]:[%]])</f>
        <v/>
      </c>
      <c r="II23" s="121" t="str">
        <f>IF(ISBLANK(tbl_task2[[คะแนนเต็ม]:[คะแนนเต็ม]]),"",(tbl_task2[73]/tbl_task2[[คะแนนเต็ม]:[คะแนนเต็ม]])*tbl_task2[[%]:[%]])</f>
        <v/>
      </c>
      <c r="IJ23" s="121" t="str">
        <f>IF(ISBLANK(tbl_task2[[คะแนนเต็ม]:[คะแนนเต็ม]]),"",(tbl_task2[74]/tbl_task2[[คะแนนเต็ม]:[คะแนนเต็ม]])*tbl_task2[[%]:[%]])</f>
        <v/>
      </c>
      <c r="IK23" s="121" t="str">
        <f>IF(ISBLANK(tbl_task2[[คะแนนเต็ม]:[คะแนนเต็ม]]),"",(tbl_task2[75]/tbl_task2[[คะแนนเต็ม]:[คะแนนเต็ม]])*tbl_task2[[%]:[%]])</f>
        <v/>
      </c>
      <c r="IL23" s="121" t="str">
        <f>IF(ISBLANK(tbl_task2[[คะแนนเต็ม]:[คะแนนเต็ม]]),"",(tbl_task2[76]/tbl_task2[[คะแนนเต็ม]:[คะแนนเต็ม]])*tbl_task2[[%]:[%]])</f>
        <v/>
      </c>
      <c r="IM23" s="121" t="str">
        <f>IF(ISBLANK(tbl_task2[[คะแนนเต็ม]:[คะแนนเต็ม]]),"",(tbl_task2[77]/tbl_task2[[คะแนนเต็ม]:[คะแนนเต็ม]])*tbl_task2[[%]:[%]])</f>
        <v/>
      </c>
      <c r="IN23" s="121" t="str">
        <f>IF(ISBLANK(tbl_task2[[คะแนนเต็ม]:[คะแนนเต็ม]]),"",(tbl_task2[78]/tbl_task2[[คะแนนเต็ม]:[คะแนนเต็ม]])*tbl_task2[[%]:[%]])</f>
        <v/>
      </c>
      <c r="IO23" s="121" t="str">
        <f>IF(ISBLANK(tbl_task2[[คะแนนเต็ม]:[คะแนนเต็ม]]),"",(tbl_task2[79]/tbl_task2[[คะแนนเต็ม]:[คะแนนเต็ม]])*tbl_task2[[%]:[%]])</f>
        <v/>
      </c>
      <c r="IP23" s="121" t="str">
        <f>IF(ISBLANK(tbl_task2[[คะแนนเต็ม]:[คะแนนเต็ม]]),"",(tbl_task2[80]/tbl_task2[[คะแนนเต็ม]:[คะแนนเต็ม]])*tbl_task2[[%]:[%]])</f>
        <v/>
      </c>
      <c r="IQ23" s="121" t="str">
        <f>IF(ISBLANK(tbl_task2[[คะแนนเต็ม]:[คะแนนเต็ม]]),"",(tbl_task2[81]/tbl_task2[[คะแนนเต็ม]:[คะแนนเต็ม]])*tbl_task2[[%]:[%]])</f>
        <v/>
      </c>
      <c r="IR23" s="121" t="str">
        <f>IF(ISBLANK(tbl_task2[[คะแนนเต็ม]:[คะแนนเต็ม]]),"",(tbl_task2[82]/tbl_task2[[คะแนนเต็ม]:[คะแนนเต็ม]])*tbl_task2[[%]:[%]])</f>
        <v/>
      </c>
      <c r="IS23" s="121" t="str">
        <f>IF(ISBLANK(tbl_task2[[คะแนนเต็ม]:[คะแนนเต็ม]]),"",(tbl_task2[83]/tbl_task2[[คะแนนเต็ม]:[คะแนนเต็ม]])*tbl_task2[[%]:[%]])</f>
        <v/>
      </c>
      <c r="IT23" s="121" t="str">
        <f>IF(ISBLANK(tbl_task2[[คะแนนเต็ม]:[คะแนนเต็ม]]),"",(tbl_task2[84]/tbl_task2[[คะแนนเต็ม]:[คะแนนเต็ม]])*tbl_task2[[%]:[%]])</f>
        <v/>
      </c>
      <c r="IU23" s="121" t="str">
        <f>IF(ISBLANK(tbl_task2[[คะแนนเต็ม]:[คะแนนเต็ม]]),"",(tbl_task2[85]/tbl_task2[[คะแนนเต็ม]:[คะแนนเต็ม]])*tbl_task2[[%]:[%]])</f>
        <v/>
      </c>
      <c r="IV23" s="121" t="str">
        <f>IF(ISBLANK(tbl_task2[[คะแนนเต็ม]:[คะแนนเต็ม]]),"",(tbl_task2[86]/tbl_task2[[คะแนนเต็ม]:[คะแนนเต็ม]])*tbl_task2[[%]:[%]])</f>
        <v/>
      </c>
      <c r="IW23" s="121" t="str">
        <f>IF(ISBLANK(tbl_task2[[คะแนนเต็ม]:[คะแนนเต็ม]]),"",(tbl_task2[87]/tbl_task2[[คะแนนเต็ม]:[คะแนนเต็ม]])*tbl_task2[[%]:[%]])</f>
        <v/>
      </c>
      <c r="IX23" s="121" t="str">
        <f>IF(ISBLANK(tbl_task2[[คะแนนเต็ม]:[คะแนนเต็ม]]),"",(tbl_task2[88]/tbl_task2[[คะแนนเต็ม]:[คะแนนเต็ม]])*tbl_task2[[%]:[%]])</f>
        <v/>
      </c>
      <c r="IY23" s="121" t="str">
        <f>IF(ISBLANK(tbl_task2[[คะแนนเต็ม]:[คะแนนเต็ม]]),"",(tbl_task2[89]/tbl_task2[[คะแนนเต็ม]:[คะแนนเต็ม]])*tbl_task2[[%]:[%]])</f>
        <v/>
      </c>
      <c r="IZ23" s="121" t="str">
        <f>IF(ISBLANK(tbl_task2[[คะแนนเต็ม]:[คะแนนเต็ม]]),"",(tbl_task2[90]/tbl_task2[[คะแนนเต็ม]:[คะแนนเต็ม]])*tbl_task2[[%]:[%]])</f>
        <v/>
      </c>
      <c r="JA23" s="121" t="str">
        <f>IF(ISBLANK(tbl_task2[[คะแนนเต็ม]:[คะแนนเต็ม]]),"",(tbl_task2[91]/tbl_task2[[คะแนนเต็ม]:[คะแนนเต็ม]])*tbl_task2[[%]:[%]])</f>
        <v/>
      </c>
      <c r="JB23" s="121" t="str">
        <f>IF(ISBLANK(tbl_task2[[คะแนนเต็ม]:[คะแนนเต็ม]]),"",(tbl_task2[92]/tbl_task2[[คะแนนเต็ม]:[คะแนนเต็ม]])*tbl_task2[[%]:[%]])</f>
        <v/>
      </c>
      <c r="JC23" s="121" t="str">
        <f>IF(ISBLANK(tbl_task2[[คะแนนเต็ม]:[คะแนนเต็ม]]),"",(tbl_task2[93]/tbl_task2[[คะแนนเต็ม]:[คะแนนเต็ม]])*tbl_task2[[%]:[%]])</f>
        <v/>
      </c>
      <c r="JD23" s="121" t="str">
        <f>IF(ISBLANK(tbl_task2[[คะแนนเต็ม]:[คะแนนเต็ม]]),"",(tbl_task2[94]/tbl_task2[[คะแนนเต็ม]:[คะแนนเต็ม]])*tbl_task2[[%]:[%]])</f>
        <v/>
      </c>
      <c r="JE23" s="121" t="str">
        <f>IF(ISBLANK(tbl_task2[[คะแนนเต็ม]:[คะแนนเต็ม]]),"",(tbl_task2[95]/tbl_task2[[คะแนนเต็ม]:[คะแนนเต็ม]])*tbl_task2[[%]:[%]])</f>
        <v/>
      </c>
      <c r="JF23" s="121" t="str">
        <f>IF(ISBLANK(tbl_task2[[คะแนนเต็ม]:[คะแนนเต็ม]]),"",(tbl_task2[96]/tbl_task2[[คะแนนเต็ม]:[คะแนนเต็ม]])*tbl_task2[[%]:[%]])</f>
        <v/>
      </c>
      <c r="JG23" s="121" t="str">
        <f>IF(ISBLANK(tbl_task2[[คะแนนเต็ม]:[คะแนนเต็ม]]),"",(tbl_task2[97]/tbl_task2[[คะแนนเต็ม]:[คะแนนเต็ม]])*tbl_task2[[%]:[%]])</f>
        <v/>
      </c>
      <c r="JH23" s="121" t="str">
        <f>IF(ISBLANK(tbl_task2[[คะแนนเต็ม]:[คะแนนเต็ม]]),"",(tbl_task2[98]/tbl_task2[[คะแนนเต็ม]:[คะแนนเต็ม]])*tbl_task2[[%]:[%]])</f>
        <v/>
      </c>
      <c r="JI23" s="121" t="str">
        <f>IF(ISBLANK(tbl_task2[[คะแนนเต็ม]:[คะแนนเต็ม]]),"",(tbl_task2[99]/tbl_task2[[คะแนนเต็ม]:[คะแนนเต็ม]])*tbl_task2[[%]:[%]])</f>
        <v/>
      </c>
      <c r="JJ23" s="121" t="str">
        <f>IF(ISBLANK(tbl_task2[[คะแนนเต็ม]:[คะแนนเต็ม]]),"",(tbl_task2[100]/tbl_task2[[คะแนนเต็ม]:[คะแนนเต็ม]])*tbl_task2[[%]:[%]])</f>
        <v/>
      </c>
      <c r="JK23" s="121" t="str">
        <f>IF(ISBLANK(tbl_task2[[คะแนนเต็ม]:[คะแนนเต็ม]]),"",(tbl_task2[101]/tbl_task2[[คะแนนเต็ม]:[คะแนนเต็ม]])*tbl_task2[[%]:[%]])</f>
        <v/>
      </c>
      <c r="JL23" s="121" t="str">
        <f>IF(ISBLANK(tbl_task2[[คะแนนเต็ม]:[คะแนนเต็ม]]),"",(tbl_task2[102]/tbl_task2[[คะแนนเต็ม]:[คะแนนเต็ม]])*tbl_task2[[%]:[%]])</f>
        <v/>
      </c>
      <c r="JM23" s="121" t="str">
        <f>IF(ISBLANK(tbl_task2[[คะแนนเต็ม]:[คะแนนเต็ม]]),"",(tbl_task2[103]/tbl_task2[[คะแนนเต็ม]:[คะแนนเต็ม]])*tbl_task2[[%]:[%]])</f>
        <v/>
      </c>
      <c r="JN23" s="121" t="str">
        <f>IF(ISBLANK(tbl_task2[[คะแนนเต็ม]:[คะแนนเต็ม]]),"",(tbl_task2[104]/tbl_task2[[คะแนนเต็ม]:[คะแนนเต็ม]])*tbl_task2[[%]:[%]])</f>
        <v/>
      </c>
      <c r="JO23" s="121" t="str">
        <f>IF(ISBLANK(tbl_task2[[คะแนนเต็ม]:[คะแนนเต็ม]]),"",(tbl_task2[105]/tbl_task2[[คะแนนเต็ม]:[คะแนนเต็ม]])*tbl_task2[[%]:[%]])</f>
        <v/>
      </c>
      <c r="JP23" s="121" t="str">
        <f>IF(ISBLANK(tbl_task2[[คะแนนเต็ม]:[คะแนนเต็ม]]),"",(tbl_task2[106]/tbl_task2[[คะแนนเต็ม]:[คะแนนเต็ม]])*tbl_task2[[%]:[%]])</f>
        <v/>
      </c>
      <c r="JQ23" s="121" t="str">
        <f>IF(ISBLANK(tbl_task2[[คะแนนเต็ม]:[คะแนนเต็ม]]),"",(tbl_task2[107]/tbl_task2[[คะแนนเต็ม]:[คะแนนเต็ม]])*tbl_task2[[%]:[%]])</f>
        <v/>
      </c>
      <c r="JR23" s="121" t="str">
        <f>IF(ISBLANK(tbl_task2[[คะแนนเต็ม]:[คะแนนเต็ม]]),"",(tbl_task2[108]/tbl_task2[[คะแนนเต็ม]:[คะแนนเต็ม]])*tbl_task2[[%]:[%]])</f>
        <v/>
      </c>
      <c r="JS23" s="121" t="str">
        <f>IF(ISBLANK(tbl_task2[[คะแนนเต็ม]:[คะแนนเต็ม]]),"",(tbl_task2[109]/tbl_task2[[คะแนนเต็ม]:[คะแนนเต็ม]])*tbl_task2[[%]:[%]])</f>
        <v/>
      </c>
      <c r="JT23" s="121" t="str">
        <f>IF(ISBLANK(tbl_task2[[คะแนนเต็ม]:[คะแนนเต็ม]]),"",(tbl_task2[110]/tbl_task2[[คะแนนเต็ม]:[คะแนนเต็ม]])*tbl_task2[[%]:[%]])</f>
        <v/>
      </c>
      <c r="JU23" s="121" t="str">
        <f>IF(ISBLANK(tbl_task2[[คะแนนเต็ม]:[คะแนนเต็ม]]),"",(tbl_task2[111]/tbl_task2[[คะแนนเต็ม]:[คะแนนเต็ม]])*tbl_task2[[%]:[%]])</f>
        <v/>
      </c>
      <c r="JV23" s="121" t="str">
        <f>IF(ISBLANK(tbl_task2[[คะแนนเต็ม]:[คะแนนเต็ม]]),"",(tbl_task2[112]/tbl_task2[[คะแนนเต็ม]:[คะแนนเต็ม]])*tbl_task2[[%]:[%]])</f>
        <v/>
      </c>
      <c r="JW23" s="121" t="str">
        <f>IF(ISBLANK(tbl_task2[[คะแนนเต็ม]:[คะแนนเต็ม]]),"",(tbl_task2[113]/tbl_task2[[คะแนนเต็ม]:[คะแนนเต็ม]])*tbl_task2[[%]:[%]])</f>
        <v/>
      </c>
      <c r="JX23" s="121" t="str">
        <f>IF(ISBLANK(tbl_task2[[คะแนนเต็ม]:[คะแนนเต็ม]]),"",(tbl_task2[114]/tbl_task2[[คะแนนเต็ม]:[คะแนนเต็ม]])*tbl_task2[[%]:[%]])</f>
        <v/>
      </c>
      <c r="JY23" s="121" t="str">
        <f>IF(ISBLANK(tbl_task2[[คะแนนเต็ม]:[คะแนนเต็ม]]),"",(tbl_task2[115]/tbl_task2[[คะแนนเต็ม]:[คะแนนเต็ม]])*tbl_task2[[%]:[%]])</f>
        <v/>
      </c>
      <c r="JZ23" s="121" t="str">
        <f>IF(ISBLANK(tbl_task2[[คะแนนเต็ม]:[คะแนนเต็ม]]),"",(tbl_task2[116]/tbl_task2[[คะแนนเต็ม]:[คะแนนเต็ม]])*tbl_task2[[%]:[%]])</f>
        <v/>
      </c>
      <c r="KA23" s="121" t="str">
        <f>IF(ISBLANK(tbl_task2[[คะแนนเต็ม]:[คะแนนเต็ม]]),"",(tbl_task2[117]/tbl_task2[[คะแนนเต็ม]:[คะแนนเต็ม]])*tbl_task2[[%]:[%]])</f>
        <v/>
      </c>
      <c r="KB23" s="121" t="str">
        <f>IF(ISBLANK(tbl_task2[[คะแนนเต็ม]:[คะแนนเต็ม]]),"",(tbl_task2[118]/tbl_task2[[คะแนนเต็ม]:[คะแนนเต็ม]])*tbl_task2[[%]:[%]])</f>
        <v/>
      </c>
      <c r="KC23" s="121" t="str">
        <f>IF(ISBLANK(tbl_task2[[คะแนนเต็ม]:[คะแนนเต็ม]]),"",(tbl_task2[119]/tbl_task2[[คะแนนเต็ม]:[คะแนนเต็ม]])*tbl_task2[[%]:[%]])</f>
        <v/>
      </c>
      <c r="KD23" s="121" t="str">
        <f>IF(ISBLANK(tbl_task2[[คะแนนเต็ม]:[คะแนนเต็ม]]),"",(tbl_task2[120]/tbl_task2[[คะแนนเต็ม]:[คะแนนเต็ม]])*tbl_task2[[%]:[%]])</f>
        <v/>
      </c>
      <c r="KE23" s="121" t="str">
        <f>IF(ISBLANK(tbl_task2[[คะแนนเต็ม]:[คะแนนเต็ม]]),"",(tbl_task2[121]/tbl_task2[[คะแนนเต็ม]:[คะแนนเต็ม]])*tbl_task2[[%]:[%]])</f>
        <v/>
      </c>
      <c r="KF23" s="121" t="str">
        <f>IF(ISBLANK(tbl_task2[[คะแนนเต็ม]:[คะแนนเต็ม]]),"",(tbl_task2[122]/tbl_task2[[คะแนนเต็ม]:[คะแนนเต็ม]])*tbl_task2[[%]:[%]])</f>
        <v/>
      </c>
      <c r="KG23" s="121" t="str">
        <f>IF(ISBLANK(tbl_task2[[คะแนนเต็ม]:[คะแนนเต็ม]]),"",(tbl_task2[123]/tbl_task2[[คะแนนเต็ม]:[คะแนนเต็ม]])*tbl_task2[[%]:[%]])</f>
        <v/>
      </c>
      <c r="KH23" s="121" t="str">
        <f>IF(ISBLANK(tbl_task2[[คะแนนเต็ม]:[คะแนนเต็ม]]),"",(tbl_task2[124]/tbl_task2[[คะแนนเต็ม]:[คะแนนเต็ม]])*tbl_task2[[%]:[%]])</f>
        <v/>
      </c>
      <c r="KI23" s="121" t="str">
        <f>IF(ISBLANK(tbl_task2[[คะแนนเต็ม]:[คะแนนเต็ม]]),"",(tbl_task2[125]/tbl_task2[[คะแนนเต็ม]:[คะแนนเต็ม]])*tbl_task2[[%]:[%]])</f>
        <v/>
      </c>
      <c r="KJ23" s="121" t="str">
        <f>IF(ISBLANK(tbl_task2[[คะแนนเต็ม]:[คะแนนเต็ม]]),"",(tbl_task2[126]/tbl_task2[[คะแนนเต็ม]:[คะแนนเต็ม]])*tbl_task2[[%]:[%]])</f>
        <v/>
      </c>
      <c r="KK23" s="121" t="str">
        <f>IF(ISBLANK(tbl_task2[[คะแนนเต็ม]:[คะแนนเต็ม]]),"",(tbl_task2[127]/tbl_task2[[คะแนนเต็ม]:[คะแนนเต็ม]])*tbl_task2[[%]:[%]])</f>
        <v/>
      </c>
      <c r="KL23" s="121" t="str">
        <f>IF(ISBLANK(tbl_task2[[คะแนนเต็ม]:[คะแนนเต็ม]]),"",(tbl_task2[128]/tbl_task2[[คะแนนเต็ม]:[คะแนนเต็ม]])*tbl_task2[[%]:[%]])</f>
        <v/>
      </c>
      <c r="KM23" s="121" t="str">
        <f>IF(ISBLANK(tbl_task2[[คะแนนเต็ม]:[คะแนนเต็ม]]),"",(tbl_task2[129]/tbl_task2[[คะแนนเต็ม]:[คะแนนเต็ม]])*tbl_task2[[%]:[%]])</f>
        <v/>
      </c>
      <c r="KN23" s="121" t="str">
        <f>IF(ISBLANK(tbl_task2[[คะแนนเต็ม]:[คะแนนเต็ม]]),"",(tbl_task2[130]/tbl_task2[[คะแนนเต็ม]:[คะแนนเต็ม]])*tbl_task2[[%]:[%]])</f>
        <v/>
      </c>
      <c r="KO23" s="121" t="str">
        <f>IF(ISBLANK(tbl_task2[[คะแนนเต็ม]:[คะแนนเต็ม]]),"",(tbl_task2[131]/tbl_task2[[คะแนนเต็ม]:[คะแนนเต็ม]])*tbl_task2[[%]:[%]])</f>
        <v/>
      </c>
      <c r="KP23" s="121" t="str">
        <f>IF(ISBLANK(tbl_task2[[คะแนนเต็ม]:[คะแนนเต็ม]]),"",(tbl_task2[132]/tbl_task2[[คะแนนเต็ม]:[คะแนนเต็ม]])*tbl_task2[[%]:[%]])</f>
        <v/>
      </c>
      <c r="KQ23" s="121" t="str">
        <f>IF(ISBLANK(tbl_task2[[คะแนนเต็ม]:[คะแนนเต็ม]]),"",(tbl_task2[133]/tbl_task2[[คะแนนเต็ม]:[คะแนนเต็ม]])*tbl_task2[[%]:[%]])</f>
        <v/>
      </c>
      <c r="KR23" s="121" t="str">
        <f>IF(ISBLANK(tbl_task2[[คะแนนเต็ม]:[คะแนนเต็ม]]),"",(tbl_task2[134]/tbl_task2[[คะแนนเต็ม]:[คะแนนเต็ม]])*tbl_task2[[%]:[%]])</f>
        <v/>
      </c>
      <c r="KS23" s="121" t="str">
        <f>IF(ISBLANK(tbl_task2[[คะแนนเต็ม]:[คะแนนเต็ม]]),"",(tbl_task2[135]/tbl_task2[[คะแนนเต็ม]:[คะแนนเต็ม]])*tbl_task2[[%]:[%]])</f>
        <v/>
      </c>
      <c r="KT23" s="121" t="str">
        <f>IF(ISBLANK(tbl_task2[[คะแนนเต็ม]:[คะแนนเต็ม]]),"",(tbl_task2[136]/tbl_task2[[คะแนนเต็ม]:[คะแนนเต็ม]])*tbl_task2[[%]:[%]])</f>
        <v/>
      </c>
      <c r="KU23" s="121" t="str">
        <f>IF(ISBLANK(tbl_task2[[คะแนนเต็ม]:[คะแนนเต็ม]]),"",(tbl_task2[137]/tbl_task2[[คะแนนเต็ม]:[คะแนนเต็ม]])*tbl_task2[[%]:[%]])</f>
        <v/>
      </c>
      <c r="KV23" s="121" t="str">
        <f>IF(ISBLANK(tbl_task2[[คะแนนเต็ม]:[คะแนนเต็ม]]),"",(tbl_task2[138]/tbl_task2[[คะแนนเต็ม]:[คะแนนเต็ม]])*tbl_task2[[%]:[%]])</f>
        <v/>
      </c>
      <c r="KW23" s="121" t="str">
        <f>IF(ISBLANK(tbl_task2[[คะแนนเต็ม]:[คะแนนเต็ม]]),"",(tbl_task2[139]/tbl_task2[[คะแนนเต็ม]:[คะแนนเต็ม]])*tbl_task2[[%]:[%]])</f>
        <v/>
      </c>
      <c r="KX23" s="121" t="str">
        <f>IF(ISBLANK(tbl_task2[[คะแนนเต็ม]:[คะแนนเต็ม]]),"",(tbl_task2[140]/tbl_task2[[คะแนนเต็ม]:[คะแนนเต็ม]])*tbl_task2[[%]:[%]])</f>
        <v/>
      </c>
      <c r="KY23" s="121" t="str">
        <f>IF(ISBLANK(tbl_task2[[คะแนนเต็ม]:[คะแนนเต็ม]]),"",(tbl_task2[141]/tbl_task2[[คะแนนเต็ม]:[คะแนนเต็ม]])*tbl_task2[[%]:[%]])</f>
        <v/>
      </c>
      <c r="KZ23" s="121" t="str">
        <f>IF(ISBLANK(tbl_task2[[คะแนนเต็ม]:[คะแนนเต็ม]]),"",(tbl_task2[142]/tbl_task2[[คะแนนเต็ม]:[คะแนนเต็ม]])*tbl_task2[[%]:[%]])</f>
        <v/>
      </c>
      <c r="LA23" s="121" t="str">
        <f>IF(ISBLANK(tbl_task2[[คะแนนเต็ม]:[คะแนนเต็ม]]),"",(tbl_task2[143]/tbl_task2[[คะแนนเต็ม]:[คะแนนเต็ม]])*tbl_task2[[%]:[%]])</f>
        <v/>
      </c>
      <c r="LB23" s="121" t="str">
        <f>IF(ISBLANK(tbl_task2[[คะแนนเต็ม]:[คะแนนเต็ม]]),"",(tbl_task2[144]/tbl_task2[[คะแนนเต็ม]:[คะแนนเต็ม]])*tbl_task2[[%]:[%]])</f>
        <v/>
      </c>
      <c r="LC23" s="121" t="str">
        <f>IF(ISBLANK(tbl_task2[[คะแนนเต็ม]:[คะแนนเต็ม]]),"",(tbl_task2[145]/tbl_task2[[คะแนนเต็ม]:[คะแนนเต็ม]])*tbl_task2[[%]:[%]])</f>
        <v/>
      </c>
      <c r="LD23" s="121" t="str">
        <f>IF(ISBLANK(tbl_task2[[คะแนนเต็ม]:[คะแนนเต็ม]]),"",(tbl_task2[146]/tbl_task2[[คะแนนเต็ม]:[คะแนนเต็ม]])*tbl_task2[[%]:[%]])</f>
        <v/>
      </c>
      <c r="LE23" s="121" t="str">
        <f>IF(ISBLANK(tbl_task2[[คะแนนเต็ม]:[คะแนนเต็ม]]),"",(tbl_task2[147]/tbl_task2[[คะแนนเต็ม]:[คะแนนเต็ม]])*tbl_task2[[%]:[%]])</f>
        <v/>
      </c>
      <c r="LF23" s="121" t="str">
        <f>IF(ISBLANK(tbl_task2[[คะแนนเต็ม]:[คะแนนเต็ม]]),"",(tbl_task2[148]/tbl_task2[[คะแนนเต็ม]:[คะแนนเต็ม]])*tbl_task2[[%]:[%]])</f>
        <v/>
      </c>
      <c r="LG23" s="121" t="str">
        <f>IF(ISBLANK(tbl_task2[[คะแนนเต็ม]:[คะแนนเต็ม]]),"",(tbl_task2[149]/tbl_task2[[คะแนนเต็ม]:[คะแนนเต็ม]])*tbl_task2[[%]:[%]])</f>
        <v/>
      </c>
      <c r="LH23" s="121" t="str">
        <f>IF(ISBLANK(tbl_task2[[คะแนนเต็ม]:[คะแนนเต็ม]]),"",(tbl_task2[150]/tbl_task2[[คะแนนเต็ม]:[คะแนนเต็ม]])*tbl_task2[[%]:[%]])</f>
        <v/>
      </c>
      <c r="LI23" s="121" t="str">
        <f>IF(ISBLANK(tbl_task2[[คะแนนเต็ม]:[คะแนนเต็ม]]),"",(tbl_task2[151]/tbl_task2[[คะแนนเต็ม]:[คะแนนเต็ม]])*tbl_task2[[%]:[%]])</f>
        <v/>
      </c>
      <c r="LJ23" s="121" t="str">
        <f>IF(ISBLANK(tbl_task2[[คะแนนเต็ม]:[คะแนนเต็ม]]),"",(tbl_task2[152]/tbl_task2[[คะแนนเต็ม]:[คะแนนเต็ม]])*tbl_task2[[%]:[%]])</f>
        <v/>
      </c>
      <c r="LK23" s="121" t="str">
        <f>IF(ISBLANK(tbl_task2[[คะแนนเต็ม]:[คะแนนเต็ม]]),"",(tbl_task2[153]/tbl_task2[[คะแนนเต็ม]:[คะแนนเต็ม]])*tbl_task2[[%]:[%]])</f>
        <v/>
      </c>
      <c r="LL23" s="121" t="str">
        <f>IF(ISBLANK(tbl_task2[[คะแนนเต็ม]:[คะแนนเต็ม]]),"",(tbl_task2[154]/tbl_task2[[คะแนนเต็ม]:[คะแนนเต็ม]])*tbl_task2[[%]:[%]])</f>
        <v/>
      </c>
      <c r="LM23" s="121" t="str">
        <f>IF(ISBLANK(tbl_task2[[คะแนนเต็ม]:[คะแนนเต็ม]]),"",(tbl_task2[155]/tbl_task2[[คะแนนเต็ม]:[คะแนนเต็ม]])*tbl_task2[[%]:[%]])</f>
        <v/>
      </c>
      <c r="LN23" s="121" t="str">
        <f>IF(ISBLANK(tbl_task2[[คะแนนเต็ม]:[คะแนนเต็ม]]),"",(tbl_task2[156]/tbl_task2[[คะแนนเต็ม]:[คะแนนเต็ม]])*tbl_task2[[%]:[%]])</f>
        <v/>
      </c>
      <c r="LO23" s="121" t="str">
        <f>IF(ISBLANK(tbl_task2[[คะแนนเต็ม]:[คะแนนเต็ม]]),"",(tbl_task2[157]/tbl_task2[[คะแนนเต็ม]:[คะแนนเต็ม]])*tbl_task2[[%]:[%]])</f>
        <v/>
      </c>
      <c r="LP23" s="121" t="str">
        <f>IF(ISBLANK(tbl_task2[[คะแนนเต็ม]:[คะแนนเต็ม]]),"",(tbl_task2[158]/tbl_task2[[คะแนนเต็ม]:[คะแนนเต็ม]])*tbl_task2[[%]:[%]])</f>
        <v/>
      </c>
      <c r="LQ23" s="121" t="str">
        <f>IF(ISBLANK(tbl_task2[[คะแนนเต็ม]:[คะแนนเต็ม]]),"",(tbl_task2[159]/tbl_task2[[คะแนนเต็ม]:[คะแนนเต็ม]])*tbl_task2[[%]:[%]])</f>
        <v/>
      </c>
      <c r="LR23" s="121" t="str">
        <f>IF(ISBLANK(tbl_task2[[คะแนนเต็ม]:[คะแนนเต็ม]]),"",(tbl_task2[160]/tbl_task2[[คะแนนเต็ม]:[คะแนนเต็ม]])*tbl_task2[[%]:[%]])</f>
        <v/>
      </c>
      <c r="LS23" s="121" t="str">
        <f>IF(ISBLANK(tbl_task2[[คะแนนเต็ม]:[คะแนนเต็ม]]),"",(tbl_task2[161]/tbl_task2[[คะแนนเต็ม]:[คะแนนเต็ม]])*tbl_task2[[%]:[%]])</f>
        <v/>
      </c>
      <c r="LT23" s="121" t="str">
        <f>IF(ISBLANK(tbl_task2[[คะแนนเต็ม]:[คะแนนเต็ม]]),"",(tbl_task2[162]/tbl_task2[[คะแนนเต็ม]:[คะแนนเต็ม]])*tbl_task2[[%]:[%]])</f>
        <v/>
      </c>
      <c r="LU23" s="121" t="str">
        <f>IF(ISBLANK(tbl_task2[[คะแนนเต็ม]:[คะแนนเต็ม]]),"",(tbl_task2[163]/tbl_task2[[คะแนนเต็ม]:[คะแนนเต็ม]])*tbl_task2[[%]:[%]])</f>
        <v/>
      </c>
      <c r="LV23" s="121" t="str">
        <f>IF(ISBLANK(tbl_task2[[คะแนนเต็ม]:[คะแนนเต็ม]]),"",(tbl_task2[164]/tbl_task2[[คะแนนเต็ม]:[คะแนนเต็ม]])*tbl_task2[[%]:[%]])</f>
        <v/>
      </c>
      <c r="LW23" s="121" t="str">
        <f>IF(ISBLANK(tbl_task2[[คะแนนเต็ม]:[คะแนนเต็ม]]),"",(tbl_task2[165]/tbl_task2[[คะแนนเต็ม]:[คะแนนเต็ม]])*tbl_task2[[%]:[%]])</f>
        <v/>
      </c>
    </row>
    <row r="24" spans="1:335" ht="24" customHeight="1" x14ac:dyDescent="0.25">
      <c r="A24" s="24">
        <v>21</v>
      </c>
      <c r="B24" s="20"/>
      <c r="C24" s="5" t="str">
        <f>IF(ISBLANK(B24),"",VLOOKUP(B24,tbl_PLOs[],2,0))</f>
        <v/>
      </c>
      <c r="D24" s="102"/>
      <c r="E24" s="106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21" t="str">
        <f>IF(ISBLANK(tbl_task2[[คะแนนเต็ม]:[คะแนนเต็ม]]),"",(tbl_task2[1]/tbl_task2[[คะแนนเต็ม]:[คะแนนเต็ม]])*tbl_task2[[%]:[%]])</f>
        <v/>
      </c>
      <c r="FP24" s="121" t="str">
        <f>IF(ISBLANK(tbl_task2[[คะแนนเต็ม]:[คะแนนเต็ม]]),"",(tbl_task2[2]/tbl_task2[[คะแนนเต็ม]:[คะแนนเต็ม]])*tbl_task2[[%]:[%]])</f>
        <v/>
      </c>
      <c r="FQ24" s="121" t="str">
        <f>IF(ISBLANK(tbl_task2[[คะแนนเต็ม]:[คะแนนเต็ม]]),"",(tbl_task2[3]/tbl_task2[[คะแนนเต็ม]:[คะแนนเต็ม]])*tbl_task2[[%]:[%]])</f>
        <v/>
      </c>
      <c r="FR24" s="121" t="str">
        <f>IF(ISBLANK(tbl_task2[[คะแนนเต็ม]:[คะแนนเต็ม]]),"",(tbl_task2[4]/tbl_task2[[คะแนนเต็ม]:[คะแนนเต็ม]])*tbl_task2[[%]:[%]])</f>
        <v/>
      </c>
      <c r="FS24" s="121" t="str">
        <f>IF(ISBLANK(tbl_task2[[คะแนนเต็ม]:[คะแนนเต็ม]]),"",(tbl_task2[5]/tbl_task2[[คะแนนเต็ม]:[คะแนนเต็ม]])*tbl_task2[[%]:[%]])</f>
        <v/>
      </c>
      <c r="FT24" s="121" t="str">
        <f>IF(ISBLANK(tbl_task2[[คะแนนเต็ม]:[คะแนนเต็ม]]),"",(tbl_task2[6]/tbl_task2[[คะแนนเต็ม]:[คะแนนเต็ม]])*tbl_task2[[%]:[%]])</f>
        <v/>
      </c>
      <c r="FU24" s="121" t="str">
        <f>IF(ISBLANK(tbl_task2[[คะแนนเต็ม]:[คะแนนเต็ม]]),"",(tbl_task2[7]/tbl_task2[[คะแนนเต็ม]:[คะแนนเต็ม]])*tbl_task2[[%]:[%]])</f>
        <v/>
      </c>
      <c r="FV24" s="121" t="str">
        <f>IF(ISBLANK(tbl_task2[[คะแนนเต็ม]:[คะแนนเต็ม]]),"",(tbl_task2[8]/tbl_task2[[คะแนนเต็ม]:[คะแนนเต็ม]])*tbl_task2[[%]:[%]])</f>
        <v/>
      </c>
      <c r="FW24" s="121" t="str">
        <f>IF(ISBLANK(tbl_task2[[คะแนนเต็ม]:[คะแนนเต็ม]]),"",(tbl_task2[9]/tbl_task2[[คะแนนเต็ม]:[คะแนนเต็ม]])*tbl_task2[[%]:[%]])</f>
        <v/>
      </c>
      <c r="FX24" s="121" t="str">
        <f>IF(ISBLANK(tbl_task2[[คะแนนเต็ม]:[คะแนนเต็ม]]),"",(tbl_task2[10]/tbl_task2[[คะแนนเต็ม]:[คะแนนเต็ม]])*tbl_task2[[%]:[%]])</f>
        <v/>
      </c>
      <c r="FY24" s="121" t="str">
        <f>IF(ISBLANK(tbl_task2[[คะแนนเต็ม]:[คะแนนเต็ม]]),"",(tbl_task2[11]/tbl_task2[[คะแนนเต็ม]:[คะแนนเต็ม]])*tbl_task2[[%]:[%]])</f>
        <v/>
      </c>
      <c r="FZ24" s="121" t="str">
        <f>IF(ISBLANK(tbl_task2[[คะแนนเต็ม]:[คะแนนเต็ม]]),"",(tbl_task2[12]/tbl_task2[[คะแนนเต็ม]:[คะแนนเต็ม]])*tbl_task2[[%]:[%]])</f>
        <v/>
      </c>
      <c r="GA24" s="121" t="str">
        <f>IF(ISBLANK(tbl_task2[[คะแนนเต็ม]:[คะแนนเต็ม]]),"",(tbl_task2[13]/tbl_task2[[คะแนนเต็ม]:[คะแนนเต็ม]])*tbl_task2[[%]:[%]])</f>
        <v/>
      </c>
      <c r="GB24" s="121" t="str">
        <f>IF(ISBLANK(tbl_task2[[คะแนนเต็ม]:[คะแนนเต็ม]]),"",(tbl_task2[14]/tbl_task2[[คะแนนเต็ม]:[คะแนนเต็ม]])*tbl_task2[[%]:[%]])</f>
        <v/>
      </c>
      <c r="GC24" s="121" t="str">
        <f>IF(ISBLANK(tbl_task2[[คะแนนเต็ม]:[คะแนนเต็ม]]),"",(tbl_task2[15]/tbl_task2[[คะแนนเต็ม]:[คะแนนเต็ม]])*tbl_task2[[%]:[%]])</f>
        <v/>
      </c>
      <c r="GD24" s="121" t="str">
        <f>IF(ISBLANK(tbl_task2[[คะแนนเต็ม]:[คะแนนเต็ม]]),"",(tbl_task2[16]/tbl_task2[[คะแนนเต็ม]:[คะแนนเต็ม]])*tbl_task2[[%]:[%]])</f>
        <v/>
      </c>
      <c r="GE24" s="121" t="str">
        <f>IF(ISBLANK(tbl_task2[[คะแนนเต็ม]:[คะแนนเต็ม]]),"",(tbl_task2[17]/tbl_task2[[คะแนนเต็ม]:[คะแนนเต็ม]])*tbl_task2[[%]:[%]])</f>
        <v/>
      </c>
      <c r="GF24" s="121" t="str">
        <f>IF(ISBLANK(tbl_task2[[คะแนนเต็ม]:[คะแนนเต็ม]]),"",(tbl_task2[18]/tbl_task2[[คะแนนเต็ม]:[คะแนนเต็ม]])*tbl_task2[[%]:[%]])</f>
        <v/>
      </c>
      <c r="GG24" s="121" t="str">
        <f>IF(ISBLANK(tbl_task2[[คะแนนเต็ม]:[คะแนนเต็ม]]),"",(tbl_task2[19]/tbl_task2[[คะแนนเต็ม]:[คะแนนเต็ม]])*tbl_task2[[%]:[%]])</f>
        <v/>
      </c>
      <c r="GH24" s="121" t="str">
        <f>IF(ISBLANK(tbl_task2[[คะแนนเต็ม]:[คะแนนเต็ม]]),"",(tbl_task2[20]/tbl_task2[[คะแนนเต็ม]:[คะแนนเต็ม]])*tbl_task2[[%]:[%]])</f>
        <v/>
      </c>
      <c r="GI24" s="121" t="str">
        <f>IF(ISBLANK(tbl_task2[[คะแนนเต็ม]:[คะแนนเต็ม]]),"",(tbl_task2[21]/tbl_task2[[คะแนนเต็ม]:[คะแนนเต็ม]])*tbl_task2[[%]:[%]])</f>
        <v/>
      </c>
      <c r="GJ24" s="121" t="str">
        <f>IF(ISBLANK(tbl_task2[[คะแนนเต็ม]:[คะแนนเต็ม]]),"",(tbl_task2[22]/tbl_task2[[คะแนนเต็ม]:[คะแนนเต็ม]])*tbl_task2[[%]:[%]])</f>
        <v/>
      </c>
      <c r="GK24" s="121" t="str">
        <f>IF(ISBLANK(tbl_task2[[คะแนนเต็ม]:[คะแนนเต็ม]]),"",(tbl_task2[23]/tbl_task2[[คะแนนเต็ม]:[คะแนนเต็ม]])*tbl_task2[[%]:[%]])</f>
        <v/>
      </c>
      <c r="GL24" s="121" t="str">
        <f>IF(ISBLANK(tbl_task2[[คะแนนเต็ม]:[คะแนนเต็ม]]),"",(tbl_task2[24]/tbl_task2[[คะแนนเต็ม]:[คะแนนเต็ม]])*tbl_task2[[%]:[%]])</f>
        <v/>
      </c>
      <c r="GM24" s="121" t="str">
        <f>IF(ISBLANK(tbl_task2[[คะแนนเต็ม]:[คะแนนเต็ม]]),"",(tbl_task2[25]/tbl_task2[[คะแนนเต็ม]:[คะแนนเต็ม]])*tbl_task2[[%]:[%]])</f>
        <v/>
      </c>
      <c r="GN24" s="121" t="str">
        <f>IF(ISBLANK(tbl_task2[[คะแนนเต็ม]:[คะแนนเต็ม]]),"",(tbl_task2[26]/tbl_task2[[คะแนนเต็ม]:[คะแนนเต็ม]])*tbl_task2[[%]:[%]])</f>
        <v/>
      </c>
      <c r="GO24" s="121" t="str">
        <f>IF(ISBLANK(tbl_task2[[คะแนนเต็ม]:[คะแนนเต็ม]]),"",(tbl_task2[27]/tbl_task2[[คะแนนเต็ม]:[คะแนนเต็ม]])*tbl_task2[[%]:[%]])</f>
        <v/>
      </c>
      <c r="GP24" s="121" t="str">
        <f>IF(ISBLANK(tbl_task2[[คะแนนเต็ม]:[คะแนนเต็ม]]),"",(tbl_task2[28]/tbl_task2[[คะแนนเต็ม]:[คะแนนเต็ม]])*tbl_task2[[%]:[%]])</f>
        <v/>
      </c>
      <c r="GQ24" s="121" t="str">
        <f>IF(ISBLANK(tbl_task2[[คะแนนเต็ม]:[คะแนนเต็ม]]),"",(tbl_task2[29]/tbl_task2[[คะแนนเต็ม]:[คะแนนเต็ม]])*tbl_task2[[%]:[%]])</f>
        <v/>
      </c>
      <c r="GR24" s="121" t="str">
        <f>IF(ISBLANK(tbl_task2[[คะแนนเต็ม]:[คะแนนเต็ม]]),"",(tbl_task2[30]/tbl_task2[[คะแนนเต็ม]:[คะแนนเต็ม]])*tbl_task2[[%]:[%]])</f>
        <v/>
      </c>
      <c r="GS24" s="121" t="str">
        <f>IF(ISBLANK(tbl_task2[[คะแนนเต็ม]:[คะแนนเต็ม]]),"",(tbl_task2[31]/tbl_task2[[คะแนนเต็ม]:[คะแนนเต็ม]])*tbl_task2[[%]:[%]])</f>
        <v/>
      </c>
      <c r="GT24" s="121" t="str">
        <f>IF(ISBLANK(tbl_task2[[คะแนนเต็ม]:[คะแนนเต็ม]]),"",(tbl_task2[32]/tbl_task2[[คะแนนเต็ม]:[คะแนนเต็ม]])*tbl_task2[[%]:[%]])</f>
        <v/>
      </c>
      <c r="GU24" s="121" t="str">
        <f>IF(ISBLANK(tbl_task2[[คะแนนเต็ม]:[คะแนนเต็ม]]),"",(tbl_task2[33]/tbl_task2[[คะแนนเต็ม]:[คะแนนเต็ม]])*tbl_task2[[%]:[%]])</f>
        <v/>
      </c>
      <c r="GV24" s="121" t="str">
        <f>IF(ISBLANK(tbl_task2[[คะแนนเต็ม]:[คะแนนเต็ม]]),"",(tbl_task2[34]/tbl_task2[[คะแนนเต็ม]:[คะแนนเต็ม]])*tbl_task2[[%]:[%]])</f>
        <v/>
      </c>
      <c r="GW24" s="121" t="str">
        <f>IF(ISBLANK(tbl_task2[[คะแนนเต็ม]:[คะแนนเต็ม]]),"",(tbl_task2[35]/tbl_task2[[คะแนนเต็ม]:[คะแนนเต็ม]])*tbl_task2[[%]:[%]])</f>
        <v/>
      </c>
      <c r="GX24" s="121" t="str">
        <f>IF(ISBLANK(tbl_task2[[คะแนนเต็ม]:[คะแนนเต็ม]]),"",(tbl_task2[36]/tbl_task2[[คะแนนเต็ม]:[คะแนนเต็ม]])*tbl_task2[[%]:[%]])</f>
        <v/>
      </c>
      <c r="GY24" s="121" t="str">
        <f>IF(ISBLANK(tbl_task2[[คะแนนเต็ม]:[คะแนนเต็ม]]),"",(tbl_task2[37]/tbl_task2[[คะแนนเต็ม]:[คะแนนเต็ม]])*tbl_task2[[%]:[%]])</f>
        <v/>
      </c>
      <c r="GZ24" s="121" t="str">
        <f>IF(ISBLANK(tbl_task2[[คะแนนเต็ม]:[คะแนนเต็ม]]),"",(tbl_task2[38]/tbl_task2[[คะแนนเต็ม]:[คะแนนเต็ม]])*tbl_task2[[%]:[%]])</f>
        <v/>
      </c>
      <c r="HA24" s="121" t="str">
        <f>IF(ISBLANK(tbl_task2[[คะแนนเต็ม]:[คะแนนเต็ม]]),"",(tbl_task2[39]/tbl_task2[[คะแนนเต็ม]:[คะแนนเต็ม]])*tbl_task2[[%]:[%]])</f>
        <v/>
      </c>
      <c r="HB24" s="121" t="str">
        <f>IF(ISBLANK(tbl_task2[[คะแนนเต็ม]:[คะแนนเต็ม]]),"",(tbl_task2[40]/tbl_task2[[คะแนนเต็ม]:[คะแนนเต็ม]])*tbl_task2[[%]:[%]])</f>
        <v/>
      </c>
      <c r="HC24" s="121" t="str">
        <f>IF(ISBLANK(tbl_task2[[คะแนนเต็ม]:[คะแนนเต็ม]]),"",(tbl_task2[41]/tbl_task2[[คะแนนเต็ม]:[คะแนนเต็ม]])*tbl_task2[[%]:[%]])</f>
        <v/>
      </c>
      <c r="HD24" s="121" t="str">
        <f>IF(ISBLANK(tbl_task2[[คะแนนเต็ม]:[คะแนนเต็ม]]),"",(tbl_task2[42]/tbl_task2[[คะแนนเต็ม]:[คะแนนเต็ม]])*tbl_task2[[%]:[%]])</f>
        <v/>
      </c>
      <c r="HE24" s="121" t="str">
        <f>IF(ISBLANK(tbl_task2[[คะแนนเต็ม]:[คะแนนเต็ม]]),"",(tbl_task2[43]/tbl_task2[[คะแนนเต็ม]:[คะแนนเต็ม]])*tbl_task2[[%]:[%]])</f>
        <v/>
      </c>
      <c r="HF24" s="121" t="str">
        <f>IF(ISBLANK(tbl_task2[[คะแนนเต็ม]:[คะแนนเต็ม]]),"",(tbl_task2[44]/tbl_task2[[คะแนนเต็ม]:[คะแนนเต็ม]])*tbl_task2[[%]:[%]])</f>
        <v/>
      </c>
      <c r="HG24" s="121" t="str">
        <f>IF(ISBLANK(tbl_task2[[คะแนนเต็ม]:[คะแนนเต็ม]]),"",(tbl_task2[45]/tbl_task2[[คะแนนเต็ม]:[คะแนนเต็ม]])*tbl_task2[[%]:[%]])</f>
        <v/>
      </c>
      <c r="HH24" s="121" t="str">
        <f>IF(ISBLANK(tbl_task2[[คะแนนเต็ม]:[คะแนนเต็ม]]),"",(tbl_task2[46]/tbl_task2[[คะแนนเต็ม]:[คะแนนเต็ม]])*tbl_task2[[%]:[%]])</f>
        <v/>
      </c>
      <c r="HI24" s="121" t="str">
        <f>IF(ISBLANK(tbl_task2[[คะแนนเต็ม]:[คะแนนเต็ม]]),"",(tbl_task2[47]/tbl_task2[[คะแนนเต็ม]:[คะแนนเต็ม]])*tbl_task2[[%]:[%]])</f>
        <v/>
      </c>
      <c r="HJ24" s="121" t="str">
        <f>IF(ISBLANK(tbl_task2[[คะแนนเต็ม]:[คะแนนเต็ม]]),"",(tbl_task2[48]/tbl_task2[[คะแนนเต็ม]:[คะแนนเต็ม]])*tbl_task2[[%]:[%]])</f>
        <v/>
      </c>
      <c r="HK24" s="121" t="str">
        <f>IF(ISBLANK(tbl_task2[[คะแนนเต็ม]:[คะแนนเต็ม]]),"",(tbl_task2[49]/tbl_task2[[คะแนนเต็ม]:[คะแนนเต็ม]])*tbl_task2[[%]:[%]])</f>
        <v/>
      </c>
      <c r="HL24" s="121" t="str">
        <f>IF(ISBLANK(tbl_task2[[คะแนนเต็ม]:[คะแนนเต็ม]]),"",(tbl_task2[50]/tbl_task2[[คะแนนเต็ม]:[คะแนนเต็ม]])*tbl_task2[[%]:[%]])</f>
        <v/>
      </c>
      <c r="HM24" s="121" t="str">
        <f>IF(ISBLANK(tbl_task2[[คะแนนเต็ม]:[คะแนนเต็ม]]),"",(tbl_task2[51]/tbl_task2[[คะแนนเต็ม]:[คะแนนเต็ม]])*tbl_task2[[%]:[%]])</f>
        <v/>
      </c>
      <c r="HN24" s="121" t="str">
        <f>IF(ISBLANK(tbl_task2[[คะแนนเต็ม]:[คะแนนเต็ม]]),"",(tbl_task2[52]/tbl_task2[[คะแนนเต็ม]:[คะแนนเต็ม]])*tbl_task2[[%]:[%]])</f>
        <v/>
      </c>
      <c r="HO24" s="121" t="str">
        <f>IF(ISBLANK(tbl_task2[[คะแนนเต็ม]:[คะแนนเต็ม]]),"",(tbl_task2[53]/tbl_task2[[คะแนนเต็ม]:[คะแนนเต็ม]])*tbl_task2[[%]:[%]])</f>
        <v/>
      </c>
      <c r="HP24" s="121" t="str">
        <f>IF(ISBLANK(tbl_task2[[คะแนนเต็ม]:[คะแนนเต็ม]]),"",(tbl_task2[54]/tbl_task2[[คะแนนเต็ม]:[คะแนนเต็ม]])*tbl_task2[[%]:[%]])</f>
        <v/>
      </c>
      <c r="HQ24" s="121" t="str">
        <f>IF(ISBLANK(tbl_task2[[คะแนนเต็ม]:[คะแนนเต็ม]]),"",(tbl_task2[55]/tbl_task2[[คะแนนเต็ม]:[คะแนนเต็ม]])*tbl_task2[[%]:[%]])</f>
        <v/>
      </c>
      <c r="HR24" s="121" t="str">
        <f>IF(ISBLANK(tbl_task2[[คะแนนเต็ม]:[คะแนนเต็ม]]),"",(tbl_task2[56]/tbl_task2[[คะแนนเต็ม]:[คะแนนเต็ม]])*tbl_task2[[%]:[%]])</f>
        <v/>
      </c>
      <c r="HS24" s="121" t="str">
        <f>IF(ISBLANK(tbl_task2[[คะแนนเต็ม]:[คะแนนเต็ม]]),"",(tbl_task2[57]/tbl_task2[[คะแนนเต็ม]:[คะแนนเต็ม]])*tbl_task2[[%]:[%]])</f>
        <v/>
      </c>
      <c r="HT24" s="121" t="str">
        <f>IF(ISBLANK(tbl_task2[[คะแนนเต็ม]:[คะแนนเต็ม]]),"",(tbl_task2[58]/tbl_task2[[คะแนนเต็ม]:[คะแนนเต็ม]])*tbl_task2[[%]:[%]])</f>
        <v/>
      </c>
      <c r="HU24" s="121" t="str">
        <f>IF(ISBLANK(tbl_task2[[คะแนนเต็ม]:[คะแนนเต็ม]]),"",(tbl_task2[59]/tbl_task2[[คะแนนเต็ม]:[คะแนนเต็ม]])*tbl_task2[[%]:[%]])</f>
        <v/>
      </c>
      <c r="HV24" s="121" t="str">
        <f>IF(ISBLANK(tbl_task2[[คะแนนเต็ม]:[คะแนนเต็ม]]),"",(tbl_task2[60]/tbl_task2[[คะแนนเต็ม]:[คะแนนเต็ม]])*tbl_task2[[%]:[%]])</f>
        <v/>
      </c>
      <c r="HW24" s="121" t="str">
        <f>IF(ISBLANK(tbl_task2[[คะแนนเต็ม]:[คะแนนเต็ม]]),"",(tbl_task2[61]/tbl_task2[[คะแนนเต็ม]:[คะแนนเต็ม]])*tbl_task2[[%]:[%]])</f>
        <v/>
      </c>
      <c r="HX24" s="121" t="str">
        <f>IF(ISBLANK(tbl_task2[[คะแนนเต็ม]:[คะแนนเต็ม]]),"",(tbl_task2[62]/tbl_task2[[คะแนนเต็ม]:[คะแนนเต็ม]])*tbl_task2[[%]:[%]])</f>
        <v/>
      </c>
      <c r="HY24" s="121" t="str">
        <f>IF(ISBLANK(tbl_task2[[คะแนนเต็ม]:[คะแนนเต็ม]]),"",(tbl_task2[63]/tbl_task2[[คะแนนเต็ม]:[คะแนนเต็ม]])*tbl_task2[[%]:[%]])</f>
        <v/>
      </c>
      <c r="HZ24" s="121" t="str">
        <f>IF(ISBLANK(tbl_task2[[คะแนนเต็ม]:[คะแนนเต็ม]]),"",(tbl_task2[64]/tbl_task2[[คะแนนเต็ม]:[คะแนนเต็ม]])*tbl_task2[[%]:[%]])</f>
        <v/>
      </c>
      <c r="IA24" s="121" t="str">
        <f>IF(ISBLANK(tbl_task2[[คะแนนเต็ม]:[คะแนนเต็ม]]),"",(tbl_task2[65]/tbl_task2[[คะแนนเต็ม]:[คะแนนเต็ม]])*tbl_task2[[%]:[%]])</f>
        <v/>
      </c>
      <c r="IB24" s="121" t="str">
        <f>IF(ISBLANK(tbl_task2[[คะแนนเต็ม]:[คะแนนเต็ม]]),"",(tbl_task2[66]/tbl_task2[[คะแนนเต็ม]:[คะแนนเต็ม]])*tbl_task2[[%]:[%]])</f>
        <v/>
      </c>
      <c r="IC24" s="121" t="str">
        <f>IF(ISBLANK(tbl_task2[[คะแนนเต็ม]:[คะแนนเต็ม]]),"",(tbl_task2[67]/tbl_task2[[คะแนนเต็ม]:[คะแนนเต็ม]])*tbl_task2[[%]:[%]])</f>
        <v/>
      </c>
      <c r="ID24" s="121" t="str">
        <f>IF(ISBLANK(tbl_task2[[คะแนนเต็ม]:[คะแนนเต็ม]]),"",(tbl_task2[68]/tbl_task2[[คะแนนเต็ม]:[คะแนนเต็ม]])*tbl_task2[[%]:[%]])</f>
        <v/>
      </c>
      <c r="IE24" s="121" t="str">
        <f>IF(ISBLANK(tbl_task2[[คะแนนเต็ม]:[คะแนนเต็ม]]),"",(tbl_task2[69]/tbl_task2[[คะแนนเต็ม]:[คะแนนเต็ม]])*tbl_task2[[%]:[%]])</f>
        <v/>
      </c>
      <c r="IF24" s="121" t="str">
        <f>IF(ISBLANK(tbl_task2[[คะแนนเต็ม]:[คะแนนเต็ม]]),"",(tbl_task2[70]/tbl_task2[[คะแนนเต็ม]:[คะแนนเต็ม]])*tbl_task2[[%]:[%]])</f>
        <v/>
      </c>
      <c r="IG24" s="121" t="str">
        <f>IF(ISBLANK(tbl_task2[[คะแนนเต็ม]:[คะแนนเต็ม]]),"",(tbl_task2[71]/tbl_task2[[คะแนนเต็ม]:[คะแนนเต็ม]])*tbl_task2[[%]:[%]])</f>
        <v/>
      </c>
      <c r="IH24" s="121" t="str">
        <f>IF(ISBLANK(tbl_task2[[คะแนนเต็ม]:[คะแนนเต็ม]]),"",(tbl_task2[72]/tbl_task2[[คะแนนเต็ม]:[คะแนนเต็ม]])*tbl_task2[[%]:[%]])</f>
        <v/>
      </c>
      <c r="II24" s="121" t="str">
        <f>IF(ISBLANK(tbl_task2[[คะแนนเต็ม]:[คะแนนเต็ม]]),"",(tbl_task2[73]/tbl_task2[[คะแนนเต็ม]:[คะแนนเต็ม]])*tbl_task2[[%]:[%]])</f>
        <v/>
      </c>
      <c r="IJ24" s="121" t="str">
        <f>IF(ISBLANK(tbl_task2[[คะแนนเต็ม]:[คะแนนเต็ม]]),"",(tbl_task2[74]/tbl_task2[[คะแนนเต็ม]:[คะแนนเต็ม]])*tbl_task2[[%]:[%]])</f>
        <v/>
      </c>
      <c r="IK24" s="121" t="str">
        <f>IF(ISBLANK(tbl_task2[[คะแนนเต็ม]:[คะแนนเต็ม]]),"",(tbl_task2[75]/tbl_task2[[คะแนนเต็ม]:[คะแนนเต็ม]])*tbl_task2[[%]:[%]])</f>
        <v/>
      </c>
      <c r="IL24" s="121" t="str">
        <f>IF(ISBLANK(tbl_task2[[คะแนนเต็ม]:[คะแนนเต็ม]]),"",(tbl_task2[76]/tbl_task2[[คะแนนเต็ม]:[คะแนนเต็ม]])*tbl_task2[[%]:[%]])</f>
        <v/>
      </c>
      <c r="IM24" s="121" t="str">
        <f>IF(ISBLANK(tbl_task2[[คะแนนเต็ม]:[คะแนนเต็ม]]),"",(tbl_task2[77]/tbl_task2[[คะแนนเต็ม]:[คะแนนเต็ม]])*tbl_task2[[%]:[%]])</f>
        <v/>
      </c>
      <c r="IN24" s="121" t="str">
        <f>IF(ISBLANK(tbl_task2[[คะแนนเต็ม]:[คะแนนเต็ม]]),"",(tbl_task2[78]/tbl_task2[[คะแนนเต็ม]:[คะแนนเต็ม]])*tbl_task2[[%]:[%]])</f>
        <v/>
      </c>
      <c r="IO24" s="121" t="str">
        <f>IF(ISBLANK(tbl_task2[[คะแนนเต็ม]:[คะแนนเต็ม]]),"",(tbl_task2[79]/tbl_task2[[คะแนนเต็ม]:[คะแนนเต็ม]])*tbl_task2[[%]:[%]])</f>
        <v/>
      </c>
      <c r="IP24" s="121" t="str">
        <f>IF(ISBLANK(tbl_task2[[คะแนนเต็ม]:[คะแนนเต็ม]]),"",(tbl_task2[80]/tbl_task2[[คะแนนเต็ม]:[คะแนนเต็ม]])*tbl_task2[[%]:[%]])</f>
        <v/>
      </c>
      <c r="IQ24" s="121" t="str">
        <f>IF(ISBLANK(tbl_task2[[คะแนนเต็ม]:[คะแนนเต็ม]]),"",(tbl_task2[81]/tbl_task2[[คะแนนเต็ม]:[คะแนนเต็ม]])*tbl_task2[[%]:[%]])</f>
        <v/>
      </c>
      <c r="IR24" s="121" t="str">
        <f>IF(ISBLANK(tbl_task2[[คะแนนเต็ม]:[คะแนนเต็ม]]),"",(tbl_task2[82]/tbl_task2[[คะแนนเต็ม]:[คะแนนเต็ม]])*tbl_task2[[%]:[%]])</f>
        <v/>
      </c>
      <c r="IS24" s="121" t="str">
        <f>IF(ISBLANK(tbl_task2[[คะแนนเต็ม]:[คะแนนเต็ม]]),"",(tbl_task2[83]/tbl_task2[[คะแนนเต็ม]:[คะแนนเต็ม]])*tbl_task2[[%]:[%]])</f>
        <v/>
      </c>
      <c r="IT24" s="121" t="str">
        <f>IF(ISBLANK(tbl_task2[[คะแนนเต็ม]:[คะแนนเต็ม]]),"",(tbl_task2[84]/tbl_task2[[คะแนนเต็ม]:[คะแนนเต็ม]])*tbl_task2[[%]:[%]])</f>
        <v/>
      </c>
      <c r="IU24" s="121" t="str">
        <f>IF(ISBLANK(tbl_task2[[คะแนนเต็ม]:[คะแนนเต็ม]]),"",(tbl_task2[85]/tbl_task2[[คะแนนเต็ม]:[คะแนนเต็ม]])*tbl_task2[[%]:[%]])</f>
        <v/>
      </c>
      <c r="IV24" s="121" t="str">
        <f>IF(ISBLANK(tbl_task2[[คะแนนเต็ม]:[คะแนนเต็ม]]),"",(tbl_task2[86]/tbl_task2[[คะแนนเต็ม]:[คะแนนเต็ม]])*tbl_task2[[%]:[%]])</f>
        <v/>
      </c>
      <c r="IW24" s="121" t="str">
        <f>IF(ISBLANK(tbl_task2[[คะแนนเต็ม]:[คะแนนเต็ม]]),"",(tbl_task2[87]/tbl_task2[[คะแนนเต็ม]:[คะแนนเต็ม]])*tbl_task2[[%]:[%]])</f>
        <v/>
      </c>
      <c r="IX24" s="121" t="str">
        <f>IF(ISBLANK(tbl_task2[[คะแนนเต็ม]:[คะแนนเต็ม]]),"",(tbl_task2[88]/tbl_task2[[คะแนนเต็ม]:[คะแนนเต็ม]])*tbl_task2[[%]:[%]])</f>
        <v/>
      </c>
      <c r="IY24" s="121" t="str">
        <f>IF(ISBLANK(tbl_task2[[คะแนนเต็ม]:[คะแนนเต็ม]]),"",(tbl_task2[89]/tbl_task2[[คะแนนเต็ม]:[คะแนนเต็ม]])*tbl_task2[[%]:[%]])</f>
        <v/>
      </c>
      <c r="IZ24" s="121" t="str">
        <f>IF(ISBLANK(tbl_task2[[คะแนนเต็ม]:[คะแนนเต็ม]]),"",(tbl_task2[90]/tbl_task2[[คะแนนเต็ม]:[คะแนนเต็ม]])*tbl_task2[[%]:[%]])</f>
        <v/>
      </c>
      <c r="JA24" s="121" t="str">
        <f>IF(ISBLANK(tbl_task2[[คะแนนเต็ม]:[คะแนนเต็ม]]),"",(tbl_task2[91]/tbl_task2[[คะแนนเต็ม]:[คะแนนเต็ม]])*tbl_task2[[%]:[%]])</f>
        <v/>
      </c>
      <c r="JB24" s="121" t="str">
        <f>IF(ISBLANK(tbl_task2[[คะแนนเต็ม]:[คะแนนเต็ม]]),"",(tbl_task2[92]/tbl_task2[[คะแนนเต็ม]:[คะแนนเต็ม]])*tbl_task2[[%]:[%]])</f>
        <v/>
      </c>
      <c r="JC24" s="121" t="str">
        <f>IF(ISBLANK(tbl_task2[[คะแนนเต็ม]:[คะแนนเต็ม]]),"",(tbl_task2[93]/tbl_task2[[คะแนนเต็ม]:[คะแนนเต็ม]])*tbl_task2[[%]:[%]])</f>
        <v/>
      </c>
      <c r="JD24" s="121" t="str">
        <f>IF(ISBLANK(tbl_task2[[คะแนนเต็ม]:[คะแนนเต็ม]]),"",(tbl_task2[94]/tbl_task2[[คะแนนเต็ม]:[คะแนนเต็ม]])*tbl_task2[[%]:[%]])</f>
        <v/>
      </c>
      <c r="JE24" s="121" t="str">
        <f>IF(ISBLANK(tbl_task2[[คะแนนเต็ม]:[คะแนนเต็ม]]),"",(tbl_task2[95]/tbl_task2[[คะแนนเต็ม]:[คะแนนเต็ม]])*tbl_task2[[%]:[%]])</f>
        <v/>
      </c>
      <c r="JF24" s="121" t="str">
        <f>IF(ISBLANK(tbl_task2[[คะแนนเต็ม]:[คะแนนเต็ม]]),"",(tbl_task2[96]/tbl_task2[[คะแนนเต็ม]:[คะแนนเต็ม]])*tbl_task2[[%]:[%]])</f>
        <v/>
      </c>
      <c r="JG24" s="121" t="str">
        <f>IF(ISBLANK(tbl_task2[[คะแนนเต็ม]:[คะแนนเต็ม]]),"",(tbl_task2[97]/tbl_task2[[คะแนนเต็ม]:[คะแนนเต็ม]])*tbl_task2[[%]:[%]])</f>
        <v/>
      </c>
      <c r="JH24" s="121" t="str">
        <f>IF(ISBLANK(tbl_task2[[คะแนนเต็ม]:[คะแนนเต็ม]]),"",(tbl_task2[98]/tbl_task2[[คะแนนเต็ม]:[คะแนนเต็ม]])*tbl_task2[[%]:[%]])</f>
        <v/>
      </c>
      <c r="JI24" s="121" t="str">
        <f>IF(ISBLANK(tbl_task2[[คะแนนเต็ม]:[คะแนนเต็ม]]),"",(tbl_task2[99]/tbl_task2[[คะแนนเต็ม]:[คะแนนเต็ม]])*tbl_task2[[%]:[%]])</f>
        <v/>
      </c>
      <c r="JJ24" s="121" t="str">
        <f>IF(ISBLANK(tbl_task2[[คะแนนเต็ม]:[คะแนนเต็ม]]),"",(tbl_task2[100]/tbl_task2[[คะแนนเต็ม]:[คะแนนเต็ม]])*tbl_task2[[%]:[%]])</f>
        <v/>
      </c>
      <c r="JK24" s="121" t="str">
        <f>IF(ISBLANK(tbl_task2[[คะแนนเต็ม]:[คะแนนเต็ม]]),"",(tbl_task2[101]/tbl_task2[[คะแนนเต็ม]:[คะแนนเต็ม]])*tbl_task2[[%]:[%]])</f>
        <v/>
      </c>
      <c r="JL24" s="121" t="str">
        <f>IF(ISBLANK(tbl_task2[[คะแนนเต็ม]:[คะแนนเต็ม]]),"",(tbl_task2[102]/tbl_task2[[คะแนนเต็ม]:[คะแนนเต็ม]])*tbl_task2[[%]:[%]])</f>
        <v/>
      </c>
      <c r="JM24" s="121" t="str">
        <f>IF(ISBLANK(tbl_task2[[คะแนนเต็ม]:[คะแนนเต็ม]]),"",(tbl_task2[103]/tbl_task2[[คะแนนเต็ม]:[คะแนนเต็ม]])*tbl_task2[[%]:[%]])</f>
        <v/>
      </c>
      <c r="JN24" s="121" t="str">
        <f>IF(ISBLANK(tbl_task2[[คะแนนเต็ม]:[คะแนนเต็ม]]),"",(tbl_task2[104]/tbl_task2[[คะแนนเต็ม]:[คะแนนเต็ม]])*tbl_task2[[%]:[%]])</f>
        <v/>
      </c>
      <c r="JO24" s="121" t="str">
        <f>IF(ISBLANK(tbl_task2[[คะแนนเต็ม]:[คะแนนเต็ม]]),"",(tbl_task2[105]/tbl_task2[[คะแนนเต็ม]:[คะแนนเต็ม]])*tbl_task2[[%]:[%]])</f>
        <v/>
      </c>
      <c r="JP24" s="121" t="str">
        <f>IF(ISBLANK(tbl_task2[[คะแนนเต็ม]:[คะแนนเต็ม]]),"",(tbl_task2[106]/tbl_task2[[คะแนนเต็ม]:[คะแนนเต็ม]])*tbl_task2[[%]:[%]])</f>
        <v/>
      </c>
      <c r="JQ24" s="121" t="str">
        <f>IF(ISBLANK(tbl_task2[[คะแนนเต็ม]:[คะแนนเต็ม]]),"",(tbl_task2[107]/tbl_task2[[คะแนนเต็ม]:[คะแนนเต็ม]])*tbl_task2[[%]:[%]])</f>
        <v/>
      </c>
      <c r="JR24" s="121" t="str">
        <f>IF(ISBLANK(tbl_task2[[คะแนนเต็ม]:[คะแนนเต็ม]]),"",(tbl_task2[108]/tbl_task2[[คะแนนเต็ม]:[คะแนนเต็ม]])*tbl_task2[[%]:[%]])</f>
        <v/>
      </c>
      <c r="JS24" s="121" t="str">
        <f>IF(ISBLANK(tbl_task2[[คะแนนเต็ม]:[คะแนนเต็ม]]),"",(tbl_task2[109]/tbl_task2[[คะแนนเต็ม]:[คะแนนเต็ม]])*tbl_task2[[%]:[%]])</f>
        <v/>
      </c>
      <c r="JT24" s="121" t="str">
        <f>IF(ISBLANK(tbl_task2[[คะแนนเต็ม]:[คะแนนเต็ม]]),"",(tbl_task2[110]/tbl_task2[[คะแนนเต็ม]:[คะแนนเต็ม]])*tbl_task2[[%]:[%]])</f>
        <v/>
      </c>
      <c r="JU24" s="121" t="str">
        <f>IF(ISBLANK(tbl_task2[[คะแนนเต็ม]:[คะแนนเต็ม]]),"",(tbl_task2[111]/tbl_task2[[คะแนนเต็ม]:[คะแนนเต็ม]])*tbl_task2[[%]:[%]])</f>
        <v/>
      </c>
      <c r="JV24" s="121" t="str">
        <f>IF(ISBLANK(tbl_task2[[คะแนนเต็ม]:[คะแนนเต็ม]]),"",(tbl_task2[112]/tbl_task2[[คะแนนเต็ม]:[คะแนนเต็ม]])*tbl_task2[[%]:[%]])</f>
        <v/>
      </c>
      <c r="JW24" s="121" t="str">
        <f>IF(ISBLANK(tbl_task2[[คะแนนเต็ม]:[คะแนนเต็ม]]),"",(tbl_task2[113]/tbl_task2[[คะแนนเต็ม]:[คะแนนเต็ม]])*tbl_task2[[%]:[%]])</f>
        <v/>
      </c>
      <c r="JX24" s="121" t="str">
        <f>IF(ISBLANK(tbl_task2[[คะแนนเต็ม]:[คะแนนเต็ม]]),"",(tbl_task2[114]/tbl_task2[[คะแนนเต็ม]:[คะแนนเต็ม]])*tbl_task2[[%]:[%]])</f>
        <v/>
      </c>
      <c r="JY24" s="121" t="str">
        <f>IF(ISBLANK(tbl_task2[[คะแนนเต็ม]:[คะแนนเต็ม]]),"",(tbl_task2[115]/tbl_task2[[คะแนนเต็ม]:[คะแนนเต็ม]])*tbl_task2[[%]:[%]])</f>
        <v/>
      </c>
      <c r="JZ24" s="121" t="str">
        <f>IF(ISBLANK(tbl_task2[[คะแนนเต็ม]:[คะแนนเต็ม]]),"",(tbl_task2[116]/tbl_task2[[คะแนนเต็ม]:[คะแนนเต็ม]])*tbl_task2[[%]:[%]])</f>
        <v/>
      </c>
      <c r="KA24" s="121" t="str">
        <f>IF(ISBLANK(tbl_task2[[คะแนนเต็ม]:[คะแนนเต็ม]]),"",(tbl_task2[117]/tbl_task2[[คะแนนเต็ม]:[คะแนนเต็ม]])*tbl_task2[[%]:[%]])</f>
        <v/>
      </c>
      <c r="KB24" s="121" t="str">
        <f>IF(ISBLANK(tbl_task2[[คะแนนเต็ม]:[คะแนนเต็ม]]),"",(tbl_task2[118]/tbl_task2[[คะแนนเต็ม]:[คะแนนเต็ม]])*tbl_task2[[%]:[%]])</f>
        <v/>
      </c>
      <c r="KC24" s="121" t="str">
        <f>IF(ISBLANK(tbl_task2[[คะแนนเต็ม]:[คะแนนเต็ม]]),"",(tbl_task2[119]/tbl_task2[[คะแนนเต็ม]:[คะแนนเต็ม]])*tbl_task2[[%]:[%]])</f>
        <v/>
      </c>
      <c r="KD24" s="121" t="str">
        <f>IF(ISBLANK(tbl_task2[[คะแนนเต็ม]:[คะแนนเต็ม]]),"",(tbl_task2[120]/tbl_task2[[คะแนนเต็ม]:[คะแนนเต็ม]])*tbl_task2[[%]:[%]])</f>
        <v/>
      </c>
      <c r="KE24" s="121" t="str">
        <f>IF(ISBLANK(tbl_task2[[คะแนนเต็ม]:[คะแนนเต็ม]]),"",(tbl_task2[121]/tbl_task2[[คะแนนเต็ม]:[คะแนนเต็ม]])*tbl_task2[[%]:[%]])</f>
        <v/>
      </c>
      <c r="KF24" s="121" t="str">
        <f>IF(ISBLANK(tbl_task2[[คะแนนเต็ม]:[คะแนนเต็ม]]),"",(tbl_task2[122]/tbl_task2[[คะแนนเต็ม]:[คะแนนเต็ม]])*tbl_task2[[%]:[%]])</f>
        <v/>
      </c>
      <c r="KG24" s="121" t="str">
        <f>IF(ISBLANK(tbl_task2[[คะแนนเต็ม]:[คะแนนเต็ม]]),"",(tbl_task2[123]/tbl_task2[[คะแนนเต็ม]:[คะแนนเต็ม]])*tbl_task2[[%]:[%]])</f>
        <v/>
      </c>
      <c r="KH24" s="121" t="str">
        <f>IF(ISBLANK(tbl_task2[[คะแนนเต็ม]:[คะแนนเต็ม]]),"",(tbl_task2[124]/tbl_task2[[คะแนนเต็ม]:[คะแนนเต็ม]])*tbl_task2[[%]:[%]])</f>
        <v/>
      </c>
      <c r="KI24" s="121" t="str">
        <f>IF(ISBLANK(tbl_task2[[คะแนนเต็ม]:[คะแนนเต็ม]]),"",(tbl_task2[125]/tbl_task2[[คะแนนเต็ม]:[คะแนนเต็ม]])*tbl_task2[[%]:[%]])</f>
        <v/>
      </c>
      <c r="KJ24" s="121" t="str">
        <f>IF(ISBLANK(tbl_task2[[คะแนนเต็ม]:[คะแนนเต็ม]]),"",(tbl_task2[126]/tbl_task2[[คะแนนเต็ม]:[คะแนนเต็ม]])*tbl_task2[[%]:[%]])</f>
        <v/>
      </c>
      <c r="KK24" s="121" t="str">
        <f>IF(ISBLANK(tbl_task2[[คะแนนเต็ม]:[คะแนนเต็ม]]),"",(tbl_task2[127]/tbl_task2[[คะแนนเต็ม]:[คะแนนเต็ม]])*tbl_task2[[%]:[%]])</f>
        <v/>
      </c>
      <c r="KL24" s="121" t="str">
        <f>IF(ISBLANK(tbl_task2[[คะแนนเต็ม]:[คะแนนเต็ม]]),"",(tbl_task2[128]/tbl_task2[[คะแนนเต็ม]:[คะแนนเต็ม]])*tbl_task2[[%]:[%]])</f>
        <v/>
      </c>
      <c r="KM24" s="121" t="str">
        <f>IF(ISBLANK(tbl_task2[[คะแนนเต็ม]:[คะแนนเต็ม]]),"",(tbl_task2[129]/tbl_task2[[คะแนนเต็ม]:[คะแนนเต็ม]])*tbl_task2[[%]:[%]])</f>
        <v/>
      </c>
      <c r="KN24" s="121" t="str">
        <f>IF(ISBLANK(tbl_task2[[คะแนนเต็ม]:[คะแนนเต็ม]]),"",(tbl_task2[130]/tbl_task2[[คะแนนเต็ม]:[คะแนนเต็ม]])*tbl_task2[[%]:[%]])</f>
        <v/>
      </c>
      <c r="KO24" s="121" t="str">
        <f>IF(ISBLANK(tbl_task2[[คะแนนเต็ม]:[คะแนนเต็ม]]),"",(tbl_task2[131]/tbl_task2[[คะแนนเต็ม]:[คะแนนเต็ม]])*tbl_task2[[%]:[%]])</f>
        <v/>
      </c>
      <c r="KP24" s="121" t="str">
        <f>IF(ISBLANK(tbl_task2[[คะแนนเต็ม]:[คะแนนเต็ม]]),"",(tbl_task2[132]/tbl_task2[[คะแนนเต็ม]:[คะแนนเต็ม]])*tbl_task2[[%]:[%]])</f>
        <v/>
      </c>
      <c r="KQ24" s="121" t="str">
        <f>IF(ISBLANK(tbl_task2[[คะแนนเต็ม]:[คะแนนเต็ม]]),"",(tbl_task2[133]/tbl_task2[[คะแนนเต็ม]:[คะแนนเต็ม]])*tbl_task2[[%]:[%]])</f>
        <v/>
      </c>
      <c r="KR24" s="121" t="str">
        <f>IF(ISBLANK(tbl_task2[[คะแนนเต็ม]:[คะแนนเต็ม]]),"",(tbl_task2[134]/tbl_task2[[คะแนนเต็ม]:[คะแนนเต็ม]])*tbl_task2[[%]:[%]])</f>
        <v/>
      </c>
      <c r="KS24" s="121" t="str">
        <f>IF(ISBLANK(tbl_task2[[คะแนนเต็ม]:[คะแนนเต็ม]]),"",(tbl_task2[135]/tbl_task2[[คะแนนเต็ม]:[คะแนนเต็ม]])*tbl_task2[[%]:[%]])</f>
        <v/>
      </c>
      <c r="KT24" s="121" t="str">
        <f>IF(ISBLANK(tbl_task2[[คะแนนเต็ม]:[คะแนนเต็ม]]),"",(tbl_task2[136]/tbl_task2[[คะแนนเต็ม]:[คะแนนเต็ม]])*tbl_task2[[%]:[%]])</f>
        <v/>
      </c>
      <c r="KU24" s="121" t="str">
        <f>IF(ISBLANK(tbl_task2[[คะแนนเต็ม]:[คะแนนเต็ม]]),"",(tbl_task2[137]/tbl_task2[[คะแนนเต็ม]:[คะแนนเต็ม]])*tbl_task2[[%]:[%]])</f>
        <v/>
      </c>
      <c r="KV24" s="121" t="str">
        <f>IF(ISBLANK(tbl_task2[[คะแนนเต็ม]:[คะแนนเต็ม]]),"",(tbl_task2[138]/tbl_task2[[คะแนนเต็ม]:[คะแนนเต็ม]])*tbl_task2[[%]:[%]])</f>
        <v/>
      </c>
      <c r="KW24" s="121" t="str">
        <f>IF(ISBLANK(tbl_task2[[คะแนนเต็ม]:[คะแนนเต็ม]]),"",(tbl_task2[139]/tbl_task2[[คะแนนเต็ม]:[คะแนนเต็ม]])*tbl_task2[[%]:[%]])</f>
        <v/>
      </c>
      <c r="KX24" s="121" t="str">
        <f>IF(ISBLANK(tbl_task2[[คะแนนเต็ม]:[คะแนนเต็ม]]),"",(tbl_task2[140]/tbl_task2[[คะแนนเต็ม]:[คะแนนเต็ม]])*tbl_task2[[%]:[%]])</f>
        <v/>
      </c>
      <c r="KY24" s="121" t="str">
        <f>IF(ISBLANK(tbl_task2[[คะแนนเต็ม]:[คะแนนเต็ม]]),"",(tbl_task2[141]/tbl_task2[[คะแนนเต็ม]:[คะแนนเต็ม]])*tbl_task2[[%]:[%]])</f>
        <v/>
      </c>
      <c r="KZ24" s="121" t="str">
        <f>IF(ISBLANK(tbl_task2[[คะแนนเต็ม]:[คะแนนเต็ม]]),"",(tbl_task2[142]/tbl_task2[[คะแนนเต็ม]:[คะแนนเต็ม]])*tbl_task2[[%]:[%]])</f>
        <v/>
      </c>
      <c r="LA24" s="121" t="str">
        <f>IF(ISBLANK(tbl_task2[[คะแนนเต็ม]:[คะแนนเต็ม]]),"",(tbl_task2[143]/tbl_task2[[คะแนนเต็ม]:[คะแนนเต็ม]])*tbl_task2[[%]:[%]])</f>
        <v/>
      </c>
      <c r="LB24" s="121" t="str">
        <f>IF(ISBLANK(tbl_task2[[คะแนนเต็ม]:[คะแนนเต็ม]]),"",(tbl_task2[144]/tbl_task2[[คะแนนเต็ม]:[คะแนนเต็ม]])*tbl_task2[[%]:[%]])</f>
        <v/>
      </c>
      <c r="LC24" s="121" t="str">
        <f>IF(ISBLANK(tbl_task2[[คะแนนเต็ม]:[คะแนนเต็ม]]),"",(tbl_task2[145]/tbl_task2[[คะแนนเต็ม]:[คะแนนเต็ม]])*tbl_task2[[%]:[%]])</f>
        <v/>
      </c>
      <c r="LD24" s="121" t="str">
        <f>IF(ISBLANK(tbl_task2[[คะแนนเต็ม]:[คะแนนเต็ม]]),"",(tbl_task2[146]/tbl_task2[[คะแนนเต็ม]:[คะแนนเต็ม]])*tbl_task2[[%]:[%]])</f>
        <v/>
      </c>
      <c r="LE24" s="121" t="str">
        <f>IF(ISBLANK(tbl_task2[[คะแนนเต็ม]:[คะแนนเต็ม]]),"",(tbl_task2[147]/tbl_task2[[คะแนนเต็ม]:[คะแนนเต็ม]])*tbl_task2[[%]:[%]])</f>
        <v/>
      </c>
      <c r="LF24" s="121" t="str">
        <f>IF(ISBLANK(tbl_task2[[คะแนนเต็ม]:[คะแนนเต็ม]]),"",(tbl_task2[148]/tbl_task2[[คะแนนเต็ม]:[คะแนนเต็ม]])*tbl_task2[[%]:[%]])</f>
        <v/>
      </c>
      <c r="LG24" s="121" t="str">
        <f>IF(ISBLANK(tbl_task2[[คะแนนเต็ม]:[คะแนนเต็ม]]),"",(tbl_task2[149]/tbl_task2[[คะแนนเต็ม]:[คะแนนเต็ม]])*tbl_task2[[%]:[%]])</f>
        <v/>
      </c>
      <c r="LH24" s="121" t="str">
        <f>IF(ISBLANK(tbl_task2[[คะแนนเต็ม]:[คะแนนเต็ม]]),"",(tbl_task2[150]/tbl_task2[[คะแนนเต็ม]:[คะแนนเต็ม]])*tbl_task2[[%]:[%]])</f>
        <v/>
      </c>
      <c r="LI24" s="121" t="str">
        <f>IF(ISBLANK(tbl_task2[[คะแนนเต็ม]:[คะแนนเต็ม]]),"",(tbl_task2[151]/tbl_task2[[คะแนนเต็ม]:[คะแนนเต็ม]])*tbl_task2[[%]:[%]])</f>
        <v/>
      </c>
      <c r="LJ24" s="121" t="str">
        <f>IF(ISBLANK(tbl_task2[[คะแนนเต็ม]:[คะแนนเต็ม]]),"",(tbl_task2[152]/tbl_task2[[คะแนนเต็ม]:[คะแนนเต็ม]])*tbl_task2[[%]:[%]])</f>
        <v/>
      </c>
      <c r="LK24" s="121" t="str">
        <f>IF(ISBLANK(tbl_task2[[คะแนนเต็ม]:[คะแนนเต็ม]]),"",(tbl_task2[153]/tbl_task2[[คะแนนเต็ม]:[คะแนนเต็ม]])*tbl_task2[[%]:[%]])</f>
        <v/>
      </c>
      <c r="LL24" s="121" t="str">
        <f>IF(ISBLANK(tbl_task2[[คะแนนเต็ม]:[คะแนนเต็ม]]),"",(tbl_task2[154]/tbl_task2[[คะแนนเต็ม]:[คะแนนเต็ม]])*tbl_task2[[%]:[%]])</f>
        <v/>
      </c>
      <c r="LM24" s="121" t="str">
        <f>IF(ISBLANK(tbl_task2[[คะแนนเต็ม]:[คะแนนเต็ม]]),"",(tbl_task2[155]/tbl_task2[[คะแนนเต็ม]:[คะแนนเต็ม]])*tbl_task2[[%]:[%]])</f>
        <v/>
      </c>
      <c r="LN24" s="121" t="str">
        <f>IF(ISBLANK(tbl_task2[[คะแนนเต็ม]:[คะแนนเต็ม]]),"",(tbl_task2[156]/tbl_task2[[คะแนนเต็ม]:[คะแนนเต็ม]])*tbl_task2[[%]:[%]])</f>
        <v/>
      </c>
      <c r="LO24" s="121" t="str">
        <f>IF(ISBLANK(tbl_task2[[คะแนนเต็ม]:[คะแนนเต็ม]]),"",(tbl_task2[157]/tbl_task2[[คะแนนเต็ม]:[คะแนนเต็ม]])*tbl_task2[[%]:[%]])</f>
        <v/>
      </c>
      <c r="LP24" s="121" t="str">
        <f>IF(ISBLANK(tbl_task2[[คะแนนเต็ม]:[คะแนนเต็ม]]),"",(tbl_task2[158]/tbl_task2[[คะแนนเต็ม]:[คะแนนเต็ม]])*tbl_task2[[%]:[%]])</f>
        <v/>
      </c>
      <c r="LQ24" s="121" t="str">
        <f>IF(ISBLANK(tbl_task2[[คะแนนเต็ม]:[คะแนนเต็ม]]),"",(tbl_task2[159]/tbl_task2[[คะแนนเต็ม]:[คะแนนเต็ม]])*tbl_task2[[%]:[%]])</f>
        <v/>
      </c>
      <c r="LR24" s="121" t="str">
        <f>IF(ISBLANK(tbl_task2[[คะแนนเต็ม]:[คะแนนเต็ม]]),"",(tbl_task2[160]/tbl_task2[[คะแนนเต็ม]:[คะแนนเต็ม]])*tbl_task2[[%]:[%]])</f>
        <v/>
      </c>
      <c r="LS24" s="121" t="str">
        <f>IF(ISBLANK(tbl_task2[[คะแนนเต็ม]:[คะแนนเต็ม]]),"",(tbl_task2[161]/tbl_task2[[คะแนนเต็ม]:[คะแนนเต็ม]])*tbl_task2[[%]:[%]])</f>
        <v/>
      </c>
      <c r="LT24" s="121" t="str">
        <f>IF(ISBLANK(tbl_task2[[คะแนนเต็ม]:[คะแนนเต็ม]]),"",(tbl_task2[162]/tbl_task2[[คะแนนเต็ม]:[คะแนนเต็ม]])*tbl_task2[[%]:[%]])</f>
        <v/>
      </c>
      <c r="LU24" s="121" t="str">
        <f>IF(ISBLANK(tbl_task2[[คะแนนเต็ม]:[คะแนนเต็ม]]),"",(tbl_task2[163]/tbl_task2[[คะแนนเต็ม]:[คะแนนเต็ม]])*tbl_task2[[%]:[%]])</f>
        <v/>
      </c>
      <c r="LV24" s="121" t="str">
        <f>IF(ISBLANK(tbl_task2[[คะแนนเต็ม]:[คะแนนเต็ม]]),"",(tbl_task2[164]/tbl_task2[[คะแนนเต็ม]:[คะแนนเต็ม]])*tbl_task2[[%]:[%]])</f>
        <v/>
      </c>
      <c r="LW24" s="121" t="str">
        <f>IF(ISBLANK(tbl_task2[[คะแนนเต็ม]:[คะแนนเต็ม]]),"",(tbl_task2[165]/tbl_task2[[คะแนนเต็ม]:[คะแนนเต็ม]])*tbl_task2[[%]:[%]])</f>
        <v/>
      </c>
    </row>
    <row r="25" spans="1:335" ht="24" customHeight="1" x14ac:dyDescent="0.25">
      <c r="A25" s="24">
        <v>22</v>
      </c>
      <c r="B25" s="20"/>
      <c r="C25" s="5" t="str">
        <f>IF(ISBLANK(B25),"",VLOOKUP(B25,tbl_PLOs[],2,0))</f>
        <v/>
      </c>
      <c r="D25" s="102"/>
      <c r="E25" s="106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21" t="str">
        <f>IF(ISBLANK(tbl_task2[[คะแนนเต็ม]:[คะแนนเต็ม]]),"",(tbl_task2[1]/tbl_task2[[คะแนนเต็ม]:[คะแนนเต็ม]])*tbl_task2[[%]:[%]])</f>
        <v/>
      </c>
      <c r="FP25" s="121" t="str">
        <f>IF(ISBLANK(tbl_task2[[คะแนนเต็ม]:[คะแนนเต็ม]]),"",(tbl_task2[2]/tbl_task2[[คะแนนเต็ม]:[คะแนนเต็ม]])*tbl_task2[[%]:[%]])</f>
        <v/>
      </c>
      <c r="FQ25" s="121" t="str">
        <f>IF(ISBLANK(tbl_task2[[คะแนนเต็ม]:[คะแนนเต็ม]]),"",(tbl_task2[3]/tbl_task2[[คะแนนเต็ม]:[คะแนนเต็ม]])*tbl_task2[[%]:[%]])</f>
        <v/>
      </c>
      <c r="FR25" s="121" t="str">
        <f>IF(ISBLANK(tbl_task2[[คะแนนเต็ม]:[คะแนนเต็ม]]),"",(tbl_task2[4]/tbl_task2[[คะแนนเต็ม]:[คะแนนเต็ม]])*tbl_task2[[%]:[%]])</f>
        <v/>
      </c>
      <c r="FS25" s="121" t="str">
        <f>IF(ISBLANK(tbl_task2[[คะแนนเต็ม]:[คะแนนเต็ม]]),"",(tbl_task2[5]/tbl_task2[[คะแนนเต็ม]:[คะแนนเต็ม]])*tbl_task2[[%]:[%]])</f>
        <v/>
      </c>
      <c r="FT25" s="121" t="str">
        <f>IF(ISBLANK(tbl_task2[[คะแนนเต็ม]:[คะแนนเต็ม]]),"",(tbl_task2[6]/tbl_task2[[คะแนนเต็ม]:[คะแนนเต็ม]])*tbl_task2[[%]:[%]])</f>
        <v/>
      </c>
      <c r="FU25" s="121" t="str">
        <f>IF(ISBLANK(tbl_task2[[คะแนนเต็ม]:[คะแนนเต็ม]]),"",(tbl_task2[7]/tbl_task2[[คะแนนเต็ม]:[คะแนนเต็ม]])*tbl_task2[[%]:[%]])</f>
        <v/>
      </c>
      <c r="FV25" s="121" t="str">
        <f>IF(ISBLANK(tbl_task2[[คะแนนเต็ม]:[คะแนนเต็ม]]),"",(tbl_task2[8]/tbl_task2[[คะแนนเต็ม]:[คะแนนเต็ม]])*tbl_task2[[%]:[%]])</f>
        <v/>
      </c>
      <c r="FW25" s="121" t="str">
        <f>IF(ISBLANK(tbl_task2[[คะแนนเต็ม]:[คะแนนเต็ม]]),"",(tbl_task2[9]/tbl_task2[[คะแนนเต็ม]:[คะแนนเต็ม]])*tbl_task2[[%]:[%]])</f>
        <v/>
      </c>
      <c r="FX25" s="121" t="str">
        <f>IF(ISBLANK(tbl_task2[[คะแนนเต็ม]:[คะแนนเต็ม]]),"",(tbl_task2[10]/tbl_task2[[คะแนนเต็ม]:[คะแนนเต็ม]])*tbl_task2[[%]:[%]])</f>
        <v/>
      </c>
      <c r="FY25" s="121" t="str">
        <f>IF(ISBLANK(tbl_task2[[คะแนนเต็ม]:[คะแนนเต็ม]]),"",(tbl_task2[11]/tbl_task2[[คะแนนเต็ม]:[คะแนนเต็ม]])*tbl_task2[[%]:[%]])</f>
        <v/>
      </c>
      <c r="FZ25" s="121" t="str">
        <f>IF(ISBLANK(tbl_task2[[คะแนนเต็ม]:[คะแนนเต็ม]]),"",(tbl_task2[12]/tbl_task2[[คะแนนเต็ม]:[คะแนนเต็ม]])*tbl_task2[[%]:[%]])</f>
        <v/>
      </c>
      <c r="GA25" s="121" t="str">
        <f>IF(ISBLANK(tbl_task2[[คะแนนเต็ม]:[คะแนนเต็ม]]),"",(tbl_task2[13]/tbl_task2[[คะแนนเต็ม]:[คะแนนเต็ม]])*tbl_task2[[%]:[%]])</f>
        <v/>
      </c>
      <c r="GB25" s="121" t="str">
        <f>IF(ISBLANK(tbl_task2[[คะแนนเต็ม]:[คะแนนเต็ม]]),"",(tbl_task2[14]/tbl_task2[[คะแนนเต็ม]:[คะแนนเต็ม]])*tbl_task2[[%]:[%]])</f>
        <v/>
      </c>
      <c r="GC25" s="121" t="str">
        <f>IF(ISBLANK(tbl_task2[[คะแนนเต็ม]:[คะแนนเต็ม]]),"",(tbl_task2[15]/tbl_task2[[คะแนนเต็ม]:[คะแนนเต็ม]])*tbl_task2[[%]:[%]])</f>
        <v/>
      </c>
      <c r="GD25" s="121" t="str">
        <f>IF(ISBLANK(tbl_task2[[คะแนนเต็ม]:[คะแนนเต็ม]]),"",(tbl_task2[16]/tbl_task2[[คะแนนเต็ม]:[คะแนนเต็ม]])*tbl_task2[[%]:[%]])</f>
        <v/>
      </c>
      <c r="GE25" s="121" t="str">
        <f>IF(ISBLANK(tbl_task2[[คะแนนเต็ม]:[คะแนนเต็ม]]),"",(tbl_task2[17]/tbl_task2[[คะแนนเต็ม]:[คะแนนเต็ม]])*tbl_task2[[%]:[%]])</f>
        <v/>
      </c>
      <c r="GF25" s="121" t="str">
        <f>IF(ISBLANK(tbl_task2[[คะแนนเต็ม]:[คะแนนเต็ม]]),"",(tbl_task2[18]/tbl_task2[[คะแนนเต็ม]:[คะแนนเต็ม]])*tbl_task2[[%]:[%]])</f>
        <v/>
      </c>
      <c r="GG25" s="121" t="str">
        <f>IF(ISBLANK(tbl_task2[[คะแนนเต็ม]:[คะแนนเต็ม]]),"",(tbl_task2[19]/tbl_task2[[คะแนนเต็ม]:[คะแนนเต็ม]])*tbl_task2[[%]:[%]])</f>
        <v/>
      </c>
      <c r="GH25" s="121" t="str">
        <f>IF(ISBLANK(tbl_task2[[คะแนนเต็ม]:[คะแนนเต็ม]]),"",(tbl_task2[20]/tbl_task2[[คะแนนเต็ม]:[คะแนนเต็ม]])*tbl_task2[[%]:[%]])</f>
        <v/>
      </c>
      <c r="GI25" s="121" t="str">
        <f>IF(ISBLANK(tbl_task2[[คะแนนเต็ม]:[คะแนนเต็ม]]),"",(tbl_task2[21]/tbl_task2[[คะแนนเต็ม]:[คะแนนเต็ม]])*tbl_task2[[%]:[%]])</f>
        <v/>
      </c>
      <c r="GJ25" s="121" t="str">
        <f>IF(ISBLANK(tbl_task2[[คะแนนเต็ม]:[คะแนนเต็ม]]),"",(tbl_task2[22]/tbl_task2[[คะแนนเต็ม]:[คะแนนเต็ม]])*tbl_task2[[%]:[%]])</f>
        <v/>
      </c>
      <c r="GK25" s="121" t="str">
        <f>IF(ISBLANK(tbl_task2[[คะแนนเต็ม]:[คะแนนเต็ม]]),"",(tbl_task2[23]/tbl_task2[[คะแนนเต็ม]:[คะแนนเต็ม]])*tbl_task2[[%]:[%]])</f>
        <v/>
      </c>
      <c r="GL25" s="121" t="str">
        <f>IF(ISBLANK(tbl_task2[[คะแนนเต็ม]:[คะแนนเต็ม]]),"",(tbl_task2[24]/tbl_task2[[คะแนนเต็ม]:[คะแนนเต็ม]])*tbl_task2[[%]:[%]])</f>
        <v/>
      </c>
      <c r="GM25" s="121" t="str">
        <f>IF(ISBLANK(tbl_task2[[คะแนนเต็ม]:[คะแนนเต็ม]]),"",(tbl_task2[25]/tbl_task2[[คะแนนเต็ม]:[คะแนนเต็ม]])*tbl_task2[[%]:[%]])</f>
        <v/>
      </c>
      <c r="GN25" s="121" t="str">
        <f>IF(ISBLANK(tbl_task2[[คะแนนเต็ม]:[คะแนนเต็ม]]),"",(tbl_task2[26]/tbl_task2[[คะแนนเต็ม]:[คะแนนเต็ม]])*tbl_task2[[%]:[%]])</f>
        <v/>
      </c>
      <c r="GO25" s="121" t="str">
        <f>IF(ISBLANK(tbl_task2[[คะแนนเต็ม]:[คะแนนเต็ม]]),"",(tbl_task2[27]/tbl_task2[[คะแนนเต็ม]:[คะแนนเต็ม]])*tbl_task2[[%]:[%]])</f>
        <v/>
      </c>
      <c r="GP25" s="121" t="str">
        <f>IF(ISBLANK(tbl_task2[[คะแนนเต็ม]:[คะแนนเต็ม]]),"",(tbl_task2[28]/tbl_task2[[คะแนนเต็ม]:[คะแนนเต็ม]])*tbl_task2[[%]:[%]])</f>
        <v/>
      </c>
      <c r="GQ25" s="121" t="str">
        <f>IF(ISBLANK(tbl_task2[[คะแนนเต็ม]:[คะแนนเต็ม]]),"",(tbl_task2[29]/tbl_task2[[คะแนนเต็ม]:[คะแนนเต็ม]])*tbl_task2[[%]:[%]])</f>
        <v/>
      </c>
      <c r="GR25" s="121" t="str">
        <f>IF(ISBLANK(tbl_task2[[คะแนนเต็ม]:[คะแนนเต็ม]]),"",(tbl_task2[30]/tbl_task2[[คะแนนเต็ม]:[คะแนนเต็ม]])*tbl_task2[[%]:[%]])</f>
        <v/>
      </c>
      <c r="GS25" s="121" t="str">
        <f>IF(ISBLANK(tbl_task2[[คะแนนเต็ม]:[คะแนนเต็ม]]),"",(tbl_task2[31]/tbl_task2[[คะแนนเต็ม]:[คะแนนเต็ม]])*tbl_task2[[%]:[%]])</f>
        <v/>
      </c>
      <c r="GT25" s="121" t="str">
        <f>IF(ISBLANK(tbl_task2[[คะแนนเต็ม]:[คะแนนเต็ม]]),"",(tbl_task2[32]/tbl_task2[[คะแนนเต็ม]:[คะแนนเต็ม]])*tbl_task2[[%]:[%]])</f>
        <v/>
      </c>
      <c r="GU25" s="121" t="str">
        <f>IF(ISBLANK(tbl_task2[[คะแนนเต็ม]:[คะแนนเต็ม]]),"",(tbl_task2[33]/tbl_task2[[คะแนนเต็ม]:[คะแนนเต็ม]])*tbl_task2[[%]:[%]])</f>
        <v/>
      </c>
      <c r="GV25" s="121" t="str">
        <f>IF(ISBLANK(tbl_task2[[คะแนนเต็ม]:[คะแนนเต็ม]]),"",(tbl_task2[34]/tbl_task2[[คะแนนเต็ม]:[คะแนนเต็ม]])*tbl_task2[[%]:[%]])</f>
        <v/>
      </c>
      <c r="GW25" s="121" t="str">
        <f>IF(ISBLANK(tbl_task2[[คะแนนเต็ม]:[คะแนนเต็ม]]),"",(tbl_task2[35]/tbl_task2[[คะแนนเต็ม]:[คะแนนเต็ม]])*tbl_task2[[%]:[%]])</f>
        <v/>
      </c>
      <c r="GX25" s="121" t="str">
        <f>IF(ISBLANK(tbl_task2[[คะแนนเต็ม]:[คะแนนเต็ม]]),"",(tbl_task2[36]/tbl_task2[[คะแนนเต็ม]:[คะแนนเต็ม]])*tbl_task2[[%]:[%]])</f>
        <v/>
      </c>
      <c r="GY25" s="121" t="str">
        <f>IF(ISBLANK(tbl_task2[[คะแนนเต็ม]:[คะแนนเต็ม]]),"",(tbl_task2[37]/tbl_task2[[คะแนนเต็ม]:[คะแนนเต็ม]])*tbl_task2[[%]:[%]])</f>
        <v/>
      </c>
      <c r="GZ25" s="121" t="str">
        <f>IF(ISBLANK(tbl_task2[[คะแนนเต็ม]:[คะแนนเต็ม]]),"",(tbl_task2[38]/tbl_task2[[คะแนนเต็ม]:[คะแนนเต็ม]])*tbl_task2[[%]:[%]])</f>
        <v/>
      </c>
      <c r="HA25" s="121" t="str">
        <f>IF(ISBLANK(tbl_task2[[คะแนนเต็ม]:[คะแนนเต็ม]]),"",(tbl_task2[39]/tbl_task2[[คะแนนเต็ม]:[คะแนนเต็ม]])*tbl_task2[[%]:[%]])</f>
        <v/>
      </c>
      <c r="HB25" s="121" t="str">
        <f>IF(ISBLANK(tbl_task2[[คะแนนเต็ม]:[คะแนนเต็ม]]),"",(tbl_task2[40]/tbl_task2[[คะแนนเต็ม]:[คะแนนเต็ม]])*tbl_task2[[%]:[%]])</f>
        <v/>
      </c>
      <c r="HC25" s="121" t="str">
        <f>IF(ISBLANK(tbl_task2[[คะแนนเต็ม]:[คะแนนเต็ม]]),"",(tbl_task2[41]/tbl_task2[[คะแนนเต็ม]:[คะแนนเต็ม]])*tbl_task2[[%]:[%]])</f>
        <v/>
      </c>
      <c r="HD25" s="121" t="str">
        <f>IF(ISBLANK(tbl_task2[[คะแนนเต็ม]:[คะแนนเต็ม]]),"",(tbl_task2[42]/tbl_task2[[คะแนนเต็ม]:[คะแนนเต็ม]])*tbl_task2[[%]:[%]])</f>
        <v/>
      </c>
      <c r="HE25" s="121" t="str">
        <f>IF(ISBLANK(tbl_task2[[คะแนนเต็ม]:[คะแนนเต็ม]]),"",(tbl_task2[43]/tbl_task2[[คะแนนเต็ม]:[คะแนนเต็ม]])*tbl_task2[[%]:[%]])</f>
        <v/>
      </c>
      <c r="HF25" s="121" t="str">
        <f>IF(ISBLANK(tbl_task2[[คะแนนเต็ม]:[คะแนนเต็ม]]),"",(tbl_task2[44]/tbl_task2[[คะแนนเต็ม]:[คะแนนเต็ม]])*tbl_task2[[%]:[%]])</f>
        <v/>
      </c>
      <c r="HG25" s="121" t="str">
        <f>IF(ISBLANK(tbl_task2[[คะแนนเต็ม]:[คะแนนเต็ม]]),"",(tbl_task2[45]/tbl_task2[[คะแนนเต็ม]:[คะแนนเต็ม]])*tbl_task2[[%]:[%]])</f>
        <v/>
      </c>
      <c r="HH25" s="121" t="str">
        <f>IF(ISBLANK(tbl_task2[[คะแนนเต็ม]:[คะแนนเต็ม]]),"",(tbl_task2[46]/tbl_task2[[คะแนนเต็ม]:[คะแนนเต็ม]])*tbl_task2[[%]:[%]])</f>
        <v/>
      </c>
      <c r="HI25" s="121" t="str">
        <f>IF(ISBLANK(tbl_task2[[คะแนนเต็ม]:[คะแนนเต็ม]]),"",(tbl_task2[47]/tbl_task2[[คะแนนเต็ม]:[คะแนนเต็ม]])*tbl_task2[[%]:[%]])</f>
        <v/>
      </c>
      <c r="HJ25" s="121" t="str">
        <f>IF(ISBLANK(tbl_task2[[คะแนนเต็ม]:[คะแนนเต็ม]]),"",(tbl_task2[48]/tbl_task2[[คะแนนเต็ม]:[คะแนนเต็ม]])*tbl_task2[[%]:[%]])</f>
        <v/>
      </c>
      <c r="HK25" s="121" t="str">
        <f>IF(ISBLANK(tbl_task2[[คะแนนเต็ม]:[คะแนนเต็ม]]),"",(tbl_task2[49]/tbl_task2[[คะแนนเต็ม]:[คะแนนเต็ม]])*tbl_task2[[%]:[%]])</f>
        <v/>
      </c>
      <c r="HL25" s="121" t="str">
        <f>IF(ISBLANK(tbl_task2[[คะแนนเต็ม]:[คะแนนเต็ม]]),"",(tbl_task2[50]/tbl_task2[[คะแนนเต็ม]:[คะแนนเต็ม]])*tbl_task2[[%]:[%]])</f>
        <v/>
      </c>
      <c r="HM25" s="121" t="str">
        <f>IF(ISBLANK(tbl_task2[[คะแนนเต็ม]:[คะแนนเต็ม]]),"",(tbl_task2[51]/tbl_task2[[คะแนนเต็ม]:[คะแนนเต็ม]])*tbl_task2[[%]:[%]])</f>
        <v/>
      </c>
      <c r="HN25" s="121" t="str">
        <f>IF(ISBLANK(tbl_task2[[คะแนนเต็ม]:[คะแนนเต็ม]]),"",(tbl_task2[52]/tbl_task2[[คะแนนเต็ม]:[คะแนนเต็ม]])*tbl_task2[[%]:[%]])</f>
        <v/>
      </c>
      <c r="HO25" s="121" t="str">
        <f>IF(ISBLANK(tbl_task2[[คะแนนเต็ม]:[คะแนนเต็ม]]),"",(tbl_task2[53]/tbl_task2[[คะแนนเต็ม]:[คะแนนเต็ม]])*tbl_task2[[%]:[%]])</f>
        <v/>
      </c>
      <c r="HP25" s="121" t="str">
        <f>IF(ISBLANK(tbl_task2[[คะแนนเต็ม]:[คะแนนเต็ม]]),"",(tbl_task2[54]/tbl_task2[[คะแนนเต็ม]:[คะแนนเต็ม]])*tbl_task2[[%]:[%]])</f>
        <v/>
      </c>
      <c r="HQ25" s="121" t="str">
        <f>IF(ISBLANK(tbl_task2[[คะแนนเต็ม]:[คะแนนเต็ม]]),"",(tbl_task2[55]/tbl_task2[[คะแนนเต็ม]:[คะแนนเต็ม]])*tbl_task2[[%]:[%]])</f>
        <v/>
      </c>
      <c r="HR25" s="121" t="str">
        <f>IF(ISBLANK(tbl_task2[[คะแนนเต็ม]:[คะแนนเต็ม]]),"",(tbl_task2[56]/tbl_task2[[คะแนนเต็ม]:[คะแนนเต็ม]])*tbl_task2[[%]:[%]])</f>
        <v/>
      </c>
      <c r="HS25" s="121" t="str">
        <f>IF(ISBLANK(tbl_task2[[คะแนนเต็ม]:[คะแนนเต็ม]]),"",(tbl_task2[57]/tbl_task2[[คะแนนเต็ม]:[คะแนนเต็ม]])*tbl_task2[[%]:[%]])</f>
        <v/>
      </c>
      <c r="HT25" s="121" t="str">
        <f>IF(ISBLANK(tbl_task2[[คะแนนเต็ม]:[คะแนนเต็ม]]),"",(tbl_task2[58]/tbl_task2[[คะแนนเต็ม]:[คะแนนเต็ม]])*tbl_task2[[%]:[%]])</f>
        <v/>
      </c>
      <c r="HU25" s="121" t="str">
        <f>IF(ISBLANK(tbl_task2[[คะแนนเต็ม]:[คะแนนเต็ม]]),"",(tbl_task2[59]/tbl_task2[[คะแนนเต็ม]:[คะแนนเต็ม]])*tbl_task2[[%]:[%]])</f>
        <v/>
      </c>
      <c r="HV25" s="121" t="str">
        <f>IF(ISBLANK(tbl_task2[[คะแนนเต็ม]:[คะแนนเต็ม]]),"",(tbl_task2[60]/tbl_task2[[คะแนนเต็ม]:[คะแนนเต็ม]])*tbl_task2[[%]:[%]])</f>
        <v/>
      </c>
      <c r="HW25" s="121" t="str">
        <f>IF(ISBLANK(tbl_task2[[คะแนนเต็ม]:[คะแนนเต็ม]]),"",(tbl_task2[61]/tbl_task2[[คะแนนเต็ม]:[คะแนนเต็ม]])*tbl_task2[[%]:[%]])</f>
        <v/>
      </c>
      <c r="HX25" s="121" t="str">
        <f>IF(ISBLANK(tbl_task2[[คะแนนเต็ม]:[คะแนนเต็ม]]),"",(tbl_task2[62]/tbl_task2[[คะแนนเต็ม]:[คะแนนเต็ม]])*tbl_task2[[%]:[%]])</f>
        <v/>
      </c>
      <c r="HY25" s="121" t="str">
        <f>IF(ISBLANK(tbl_task2[[คะแนนเต็ม]:[คะแนนเต็ม]]),"",(tbl_task2[63]/tbl_task2[[คะแนนเต็ม]:[คะแนนเต็ม]])*tbl_task2[[%]:[%]])</f>
        <v/>
      </c>
      <c r="HZ25" s="121" t="str">
        <f>IF(ISBLANK(tbl_task2[[คะแนนเต็ม]:[คะแนนเต็ม]]),"",(tbl_task2[64]/tbl_task2[[คะแนนเต็ม]:[คะแนนเต็ม]])*tbl_task2[[%]:[%]])</f>
        <v/>
      </c>
      <c r="IA25" s="121" t="str">
        <f>IF(ISBLANK(tbl_task2[[คะแนนเต็ม]:[คะแนนเต็ม]]),"",(tbl_task2[65]/tbl_task2[[คะแนนเต็ม]:[คะแนนเต็ม]])*tbl_task2[[%]:[%]])</f>
        <v/>
      </c>
      <c r="IB25" s="121" t="str">
        <f>IF(ISBLANK(tbl_task2[[คะแนนเต็ม]:[คะแนนเต็ม]]),"",(tbl_task2[66]/tbl_task2[[คะแนนเต็ม]:[คะแนนเต็ม]])*tbl_task2[[%]:[%]])</f>
        <v/>
      </c>
      <c r="IC25" s="121" t="str">
        <f>IF(ISBLANK(tbl_task2[[คะแนนเต็ม]:[คะแนนเต็ม]]),"",(tbl_task2[67]/tbl_task2[[คะแนนเต็ม]:[คะแนนเต็ม]])*tbl_task2[[%]:[%]])</f>
        <v/>
      </c>
      <c r="ID25" s="121" t="str">
        <f>IF(ISBLANK(tbl_task2[[คะแนนเต็ม]:[คะแนนเต็ม]]),"",(tbl_task2[68]/tbl_task2[[คะแนนเต็ม]:[คะแนนเต็ม]])*tbl_task2[[%]:[%]])</f>
        <v/>
      </c>
      <c r="IE25" s="121" t="str">
        <f>IF(ISBLANK(tbl_task2[[คะแนนเต็ม]:[คะแนนเต็ม]]),"",(tbl_task2[69]/tbl_task2[[คะแนนเต็ม]:[คะแนนเต็ม]])*tbl_task2[[%]:[%]])</f>
        <v/>
      </c>
      <c r="IF25" s="121" t="str">
        <f>IF(ISBLANK(tbl_task2[[คะแนนเต็ม]:[คะแนนเต็ม]]),"",(tbl_task2[70]/tbl_task2[[คะแนนเต็ม]:[คะแนนเต็ม]])*tbl_task2[[%]:[%]])</f>
        <v/>
      </c>
      <c r="IG25" s="121" t="str">
        <f>IF(ISBLANK(tbl_task2[[คะแนนเต็ม]:[คะแนนเต็ม]]),"",(tbl_task2[71]/tbl_task2[[คะแนนเต็ม]:[คะแนนเต็ม]])*tbl_task2[[%]:[%]])</f>
        <v/>
      </c>
      <c r="IH25" s="121" t="str">
        <f>IF(ISBLANK(tbl_task2[[คะแนนเต็ม]:[คะแนนเต็ม]]),"",(tbl_task2[72]/tbl_task2[[คะแนนเต็ม]:[คะแนนเต็ม]])*tbl_task2[[%]:[%]])</f>
        <v/>
      </c>
      <c r="II25" s="121" t="str">
        <f>IF(ISBLANK(tbl_task2[[คะแนนเต็ม]:[คะแนนเต็ม]]),"",(tbl_task2[73]/tbl_task2[[คะแนนเต็ม]:[คะแนนเต็ม]])*tbl_task2[[%]:[%]])</f>
        <v/>
      </c>
      <c r="IJ25" s="121" t="str">
        <f>IF(ISBLANK(tbl_task2[[คะแนนเต็ม]:[คะแนนเต็ม]]),"",(tbl_task2[74]/tbl_task2[[คะแนนเต็ม]:[คะแนนเต็ม]])*tbl_task2[[%]:[%]])</f>
        <v/>
      </c>
      <c r="IK25" s="121" t="str">
        <f>IF(ISBLANK(tbl_task2[[คะแนนเต็ม]:[คะแนนเต็ม]]),"",(tbl_task2[75]/tbl_task2[[คะแนนเต็ม]:[คะแนนเต็ม]])*tbl_task2[[%]:[%]])</f>
        <v/>
      </c>
      <c r="IL25" s="121" t="str">
        <f>IF(ISBLANK(tbl_task2[[คะแนนเต็ม]:[คะแนนเต็ม]]),"",(tbl_task2[76]/tbl_task2[[คะแนนเต็ม]:[คะแนนเต็ม]])*tbl_task2[[%]:[%]])</f>
        <v/>
      </c>
      <c r="IM25" s="121" t="str">
        <f>IF(ISBLANK(tbl_task2[[คะแนนเต็ม]:[คะแนนเต็ม]]),"",(tbl_task2[77]/tbl_task2[[คะแนนเต็ม]:[คะแนนเต็ม]])*tbl_task2[[%]:[%]])</f>
        <v/>
      </c>
      <c r="IN25" s="121" t="str">
        <f>IF(ISBLANK(tbl_task2[[คะแนนเต็ม]:[คะแนนเต็ม]]),"",(tbl_task2[78]/tbl_task2[[คะแนนเต็ม]:[คะแนนเต็ม]])*tbl_task2[[%]:[%]])</f>
        <v/>
      </c>
      <c r="IO25" s="121" t="str">
        <f>IF(ISBLANK(tbl_task2[[คะแนนเต็ม]:[คะแนนเต็ม]]),"",(tbl_task2[79]/tbl_task2[[คะแนนเต็ม]:[คะแนนเต็ม]])*tbl_task2[[%]:[%]])</f>
        <v/>
      </c>
      <c r="IP25" s="121" t="str">
        <f>IF(ISBLANK(tbl_task2[[คะแนนเต็ม]:[คะแนนเต็ม]]),"",(tbl_task2[80]/tbl_task2[[คะแนนเต็ม]:[คะแนนเต็ม]])*tbl_task2[[%]:[%]])</f>
        <v/>
      </c>
      <c r="IQ25" s="121" t="str">
        <f>IF(ISBLANK(tbl_task2[[คะแนนเต็ม]:[คะแนนเต็ม]]),"",(tbl_task2[81]/tbl_task2[[คะแนนเต็ม]:[คะแนนเต็ม]])*tbl_task2[[%]:[%]])</f>
        <v/>
      </c>
      <c r="IR25" s="121" t="str">
        <f>IF(ISBLANK(tbl_task2[[คะแนนเต็ม]:[คะแนนเต็ม]]),"",(tbl_task2[82]/tbl_task2[[คะแนนเต็ม]:[คะแนนเต็ม]])*tbl_task2[[%]:[%]])</f>
        <v/>
      </c>
      <c r="IS25" s="121" t="str">
        <f>IF(ISBLANK(tbl_task2[[คะแนนเต็ม]:[คะแนนเต็ม]]),"",(tbl_task2[83]/tbl_task2[[คะแนนเต็ม]:[คะแนนเต็ม]])*tbl_task2[[%]:[%]])</f>
        <v/>
      </c>
      <c r="IT25" s="121" t="str">
        <f>IF(ISBLANK(tbl_task2[[คะแนนเต็ม]:[คะแนนเต็ม]]),"",(tbl_task2[84]/tbl_task2[[คะแนนเต็ม]:[คะแนนเต็ม]])*tbl_task2[[%]:[%]])</f>
        <v/>
      </c>
      <c r="IU25" s="121" t="str">
        <f>IF(ISBLANK(tbl_task2[[คะแนนเต็ม]:[คะแนนเต็ม]]),"",(tbl_task2[85]/tbl_task2[[คะแนนเต็ม]:[คะแนนเต็ม]])*tbl_task2[[%]:[%]])</f>
        <v/>
      </c>
      <c r="IV25" s="121" t="str">
        <f>IF(ISBLANK(tbl_task2[[คะแนนเต็ม]:[คะแนนเต็ม]]),"",(tbl_task2[86]/tbl_task2[[คะแนนเต็ม]:[คะแนนเต็ม]])*tbl_task2[[%]:[%]])</f>
        <v/>
      </c>
      <c r="IW25" s="121" t="str">
        <f>IF(ISBLANK(tbl_task2[[คะแนนเต็ม]:[คะแนนเต็ม]]),"",(tbl_task2[87]/tbl_task2[[คะแนนเต็ม]:[คะแนนเต็ม]])*tbl_task2[[%]:[%]])</f>
        <v/>
      </c>
      <c r="IX25" s="121" t="str">
        <f>IF(ISBLANK(tbl_task2[[คะแนนเต็ม]:[คะแนนเต็ม]]),"",(tbl_task2[88]/tbl_task2[[คะแนนเต็ม]:[คะแนนเต็ม]])*tbl_task2[[%]:[%]])</f>
        <v/>
      </c>
      <c r="IY25" s="121" t="str">
        <f>IF(ISBLANK(tbl_task2[[คะแนนเต็ม]:[คะแนนเต็ม]]),"",(tbl_task2[89]/tbl_task2[[คะแนนเต็ม]:[คะแนนเต็ม]])*tbl_task2[[%]:[%]])</f>
        <v/>
      </c>
      <c r="IZ25" s="121" t="str">
        <f>IF(ISBLANK(tbl_task2[[คะแนนเต็ม]:[คะแนนเต็ม]]),"",(tbl_task2[90]/tbl_task2[[คะแนนเต็ม]:[คะแนนเต็ม]])*tbl_task2[[%]:[%]])</f>
        <v/>
      </c>
      <c r="JA25" s="121" t="str">
        <f>IF(ISBLANK(tbl_task2[[คะแนนเต็ม]:[คะแนนเต็ม]]),"",(tbl_task2[91]/tbl_task2[[คะแนนเต็ม]:[คะแนนเต็ม]])*tbl_task2[[%]:[%]])</f>
        <v/>
      </c>
      <c r="JB25" s="121" t="str">
        <f>IF(ISBLANK(tbl_task2[[คะแนนเต็ม]:[คะแนนเต็ม]]),"",(tbl_task2[92]/tbl_task2[[คะแนนเต็ม]:[คะแนนเต็ม]])*tbl_task2[[%]:[%]])</f>
        <v/>
      </c>
      <c r="JC25" s="121" t="str">
        <f>IF(ISBLANK(tbl_task2[[คะแนนเต็ม]:[คะแนนเต็ม]]),"",(tbl_task2[93]/tbl_task2[[คะแนนเต็ม]:[คะแนนเต็ม]])*tbl_task2[[%]:[%]])</f>
        <v/>
      </c>
      <c r="JD25" s="121" t="str">
        <f>IF(ISBLANK(tbl_task2[[คะแนนเต็ม]:[คะแนนเต็ม]]),"",(tbl_task2[94]/tbl_task2[[คะแนนเต็ม]:[คะแนนเต็ม]])*tbl_task2[[%]:[%]])</f>
        <v/>
      </c>
      <c r="JE25" s="121" t="str">
        <f>IF(ISBLANK(tbl_task2[[คะแนนเต็ม]:[คะแนนเต็ม]]),"",(tbl_task2[95]/tbl_task2[[คะแนนเต็ม]:[คะแนนเต็ม]])*tbl_task2[[%]:[%]])</f>
        <v/>
      </c>
      <c r="JF25" s="121" t="str">
        <f>IF(ISBLANK(tbl_task2[[คะแนนเต็ม]:[คะแนนเต็ม]]),"",(tbl_task2[96]/tbl_task2[[คะแนนเต็ม]:[คะแนนเต็ม]])*tbl_task2[[%]:[%]])</f>
        <v/>
      </c>
      <c r="JG25" s="121" t="str">
        <f>IF(ISBLANK(tbl_task2[[คะแนนเต็ม]:[คะแนนเต็ม]]),"",(tbl_task2[97]/tbl_task2[[คะแนนเต็ม]:[คะแนนเต็ม]])*tbl_task2[[%]:[%]])</f>
        <v/>
      </c>
      <c r="JH25" s="121" t="str">
        <f>IF(ISBLANK(tbl_task2[[คะแนนเต็ม]:[คะแนนเต็ม]]),"",(tbl_task2[98]/tbl_task2[[คะแนนเต็ม]:[คะแนนเต็ม]])*tbl_task2[[%]:[%]])</f>
        <v/>
      </c>
      <c r="JI25" s="121" t="str">
        <f>IF(ISBLANK(tbl_task2[[คะแนนเต็ม]:[คะแนนเต็ม]]),"",(tbl_task2[99]/tbl_task2[[คะแนนเต็ม]:[คะแนนเต็ม]])*tbl_task2[[%]:[%]])</f>
        <v/>
      </c>
      <c r="JJ25" s="121" t="str">
        <f>IF(ISBLANK(tbl_task2[[คะแนนเต็ม]:[คะแนนเต็ม]]),"",(tbl_task2[100]/tbl_task2[[คะแนนเต็ม]:[คะแนนเต็ม]])*tbl_task2[[%]:[%]])</f>
        <v/>
      </c>
      <c r="JK25" s="121" t="str">
        <f>IF(ISBLANK(tbl_task2[[คะแนนเต็ม]:[คะแนนเต็ม]]),"",(tbl_task2[101]/tbl_task2[[คะแนนเต็ม]:[คะแนนเต็ม]])*tbl_task2[[%]:[%]])</f>
        <v/>
      </c>
      <c r="JL25" s="121" t="str">
        <f>IF(ISBLANK(tbl_task2[[คะแนนเต็ม]:[คะแนนเต็ม]]),"",(tbl_task2[102]/tbl_task2[[คะแนนเต็ม]:[คะแนนเต็ม]])*tbl_task2[[%]:[%]])</f>
        <v/>
      </c>
      <c r="JM25" s="121" t="str">
        <f>IF(ISBLANK(tbl_task2[[คะแนนเต็ม]:[คะแนนเต็ม]]),"",(tbl_task2[103]/tbl_task2[[คะแนนเต็ม]:[คะแนนเต็ม]])*tbl_task2[[%]:[%]])</f>
        <v/>
      </c>
      <c r="JN25" s="121" t="str">
        <f>IF(ISBLANK(tbl_task2[[คะแนนเต็ม]:[คะแนนเต็ม]]),"",(tbl_task2[104]/tbl_task2[[คะแนนเต็ม]:[คะแนนเต็ม]])*tbl_task2[[%]:[%]])</f>
        <v/>
      </c>
      <c r="JO25" s="121" t="str">
        <f>IF(ISBLANK(tbl_task2[[คะแนนเต็ม]:[คะแนนเต็ม]]),"",(tbl_task2[105]/tbl_task2[[คะแนนเต็ม]:[คะแนนเต็ม]])*tbl_task2[[%]:[%]])</f>
        <v/>
      </c>
      <c r="JP25" s="121" t="str">
        <f>IF(ISBLANK(tbl_task2[[คะแนนเต็ม]:[คะแนนเต็ม]]),"",(tbl_task2[106]/tbl_task2[[คะแนนเต็ม]:[คะแนนเต็ม]])*tbl_task2[[%]:[%]])</f>
        <v/>
      </c>
      <c r="JQ25" s="121" t="str">
        <f>IF(ISBLANK(tbl_task2[[คะแนนเต็ม]:[คะแนนเต็ม]]),"",(tbl_task2[107]/tbl_task2[[คะแนนเต็ม]:[คะแนนเต็ม]])*tbl_task2[[%]:[%]])</f>
        <v/>
      </c>
      <c r="JR25" s="121" t="str">
        <f>IF(ISBLANK(tbl_task2[[คะแนนเต็ม]:[คะแนนเต็ม]]),"",(tbl_task2[108]/tbl_task2[[คะแนนเต็ม]:[คะแนนเต็ม]])*tbl_task2[[%]:[%]])</f>
        <v/>
      </c>
      <c r="JS25" s="121" t="str">
        <f>IF(ISBLANK(tbl_task2[[คะแนนเต็ม]:[คะแนนเต็ม]]),"",(tbl_task2[109]/tbl_task2[[คะแนนเต็ม]:[คะแนนเต็ม]])*tbl_task2[[%]:[%]])</f>
        <v/>
      </c>
      <c r="JT25" s="121" t="str">
        <f>IF(ISBLANK(tbl_task2[[คะแนนเต็ม]:[คะแนนเต็ม]]),"",(tbl_task2[110]/tbl_task2[[คะแนนเต็ม]:[คะแนนเต็ม]])*tbl_task2[[%]:[%]])</f>
        <v/>
      </c>
      <c r="JU25" s="121" t="str">
        <f>IF(ISBLANK(tbl_task2[[คะแนนเต็ม]:[คะแนนเต็ม]]),"",(tbl_task2[111]/tbl_task2[[คะแนนเต็ม]:[คะแนนเต็ม]])*tbl_task2[[%]:[%]])</f>
        <v/>
      </c>
      <c r="JV25" s="121" t="str">
        <f>IF(ISBLANK(tbl_task2[[คะแนนเต็ม]:[คะแนนเต็ม]]),"",(tbl_task2[112]/tbl_task2[[คะแนนเต็ม]:[คะแนนเต็ม]])*tbl_task2[[%]:[%]])</f>
        <v/>
      </c>
      <c r="JW25" s="121" t="str">
        <f>IF(ISBLANK(tbl_task2[[คะแนนเต็ม]:[คะแนนเต็ม]]),"",(tbl_task2[113]/tbl_task2[[คะแนนเต็ม]:[คะแนนเต็ม]])*tbl_task2[[%]:[%]])</f>
        <v/>
      </c>
      <c r="JX25" s="121" t="str">
        <f>IF(ISBLANK(tbl_task2[[คะแนนเต็ม]:[คะแนนเต็ม]]),"",(tbl_task2[114]/tbl_task2[[คะแนนเต็ม]:[คะแนนเต็ม]])*tbl_task2[[%]:[%]])</f>
        <v/>
      </c>
      <c r="JY25" s="121" t="str">
        <f>IF(ISBLANK(tbl_task2[[คะแนนเต็ม]:[คะแนนเต็ม]]),"",(tbl_task2[115]/tbl_task2[[คะแนนเต็ม]:[คะแนนเต็ม]])*tbl_task2[[%]:[%]])</f>
        <v/>
      </c>
      <c r="JZ25" s="121" t="str">
        <f>IF(ISBLANK(tbl_task2[[คะแนนเต็ม]:[คะแนนเต็ม]]),"",(tbl_task2[116]/tbl_task2[[คะแนนเต็ม]:[คะแนนเต็ม]])*tbl_task2[[%]:[%]])</f>
        <v/>
      </c>
      <c r="KA25" s="121" t="str">
        <f>IF(ISBLANK(tbl_task2[[คะแนนเต็ม]:[คะแนนเต็ม]]),"",(tbl_task2[117]/tbl_task2[[คะแนนเต็ม]:[คะแนนเต็ม]])*tbl_task2[[%]:[%]])</f>
        <v/>
      </c>
      <c r="KB25" s="121" t="str">
        <f>IF(ISBLANK(tbl_task2[[คะแนนเต็ม]:[คะแนนเต็ม]]),"",(tbl_task2[118]/tbl_task2[[คะแนนเต็ม]:[คะแนนเต็ม]])*tbl_task2[[%]:[%]])</f>
        <v/>
      </c>
      <c r="KC25" s="121" t="str">
        <f>IF(ISBLANK(tbl_task2[[คะแนนเต็ม]:[คะแนนเต็ม]]),"",(tbl_task2[119]/tbl_task2[[คะแนนเต็ม]:[คะแนนเต็ม]])*tbl_task2[[%]:[%]])</f>
        <v/>
      </c>
      <c r="KD25" s="121" t="str">
        <f>IF(ISBLANK(tbl_task2[[คะแนนเต็ม]:[คะแนนเต็ม]]),"",(tbl_task2[120]/tbl_task2[[คะแนนเต็ม]:[คะแนนเต็ม]])*tbl_task2[[%]:[%]])</f>
        <v/>
      </c>
      <c r="KE25" s="121" t="str">
        <f>IF(ISBLANK(tbl_task2[[คะแนนเต็ม]:[คะแนนเต็ม]]),"",(tbl_task2[121]/tbl_task2[[คะแนนเต็ม]:[คะแนนเต็ม]])*tbl_task2[[%]:[%]])</f>
        <v/>
      </c>
      <c r="KF25" s="121" t="str">
        <f>IF(ISBLANK(tbl_task2[[คะแนนเต็ม]:[คะแนนเต็ม]]),"",(tbl_task2[122]/tbl_task2[[คะแนนเต็ม]:[คะแนนเต็ม]])*tbl_task2[[%]:[%]])</f>
        <v/>
      </c>
      <c r="KG25" s="121" t="str">
        <f>IF(ISBLANK(tbl_task2[[คะแนนเต็ม]:[คะแนนเต็ม]]),"",(tbl_task2[123]/tbl_task2[[คะแนนเต็ม]:[คะแนนเต็ม]])*tbl_task2[[%]:[%]])</f>
        <v/>
      </c>
      <c r="KH25" s="121" t="str">
        <f>IF(ISBLANK(tbl_task2[[คะแนนเต็ม]:[คะแนนเต็ม]]),"",(tbl_task2[124]/tbl_task2[[คะแนนเต็ม]:[คะแนนเต็ม]])*tbl_task2[[%]:[%]])</f>
        <v/>
      </c>
      <c r="KI25" s="121" t="str">
        <f>IF(ISBLANK(tbl_task2[[คะแนนเต็ม]:[คะแนนเต็ม]]),"",(tbl_task2[125]/tbl_task2[[คะแนนเต็ม]:[คะแนนเต็ม]])*tbl_task2[[%]:[%]])</f>
        <v/>
      </c>
      <c r="KJ25" s="121" t="str">
        <f>IF(ISBLANK(tbl_task2[[คะแนนเต็ม]:[คะแนนเต็ม]]),"",(tbl_task2[126]/tbl_task2[[คะแนนเต็ม]:[คะแนนเต็ม]])*tbl_task2[[%]:[%]])</f>
        <v/>
      </c>
      <c r="KK25" s="121" t="str">
        <f>IF(ISBLANK(tbl_task2[[คะแนนเต็ม]:[คะแนนเต็ม]]),"",(tbl_task2[127]/tbl_task2[[คะแนนเต็ม]:[คะแนนเต็ม]])*tbl_task2[[%]:[%]])</f>
        <v/>
      </c>
      <c r="KL25" s="121" t="str">
        <f>IF(ISBLANK(tbl_task2[[คะแนนเต็ม]:[คะแนนเต็ม]]),"",(tbl_task2[128]/tbl_task2[[คะแนนเต็ม]:[คะแนนเต็ม]])*tbl_task2[[%]:[%]])</f>
        <v/>
      </c>
      <c r="KM25" s="121" t="str">
        <f>IF(ISBLANK(tbl_task2[[คะแนนเต็ม]:[คะแนนเต็ม]]),"",(tbl_task2[129]/tbl_task2[[คะแนนเต็ม]:[คะแนนเต็ม]])*tbl_task2[[%]:[%]])</f>
        <v/>
      </c>
      <c r="KN25" s="121" t="str">
        <f>IF(ISBLANK(tbl_task2[[คะแนนเต็ม]:[คะแนนเต็ม]]),"",(tbl_task2[130]/tbl_task2[[คะแนนเต็ม]:[คะแนนเต็ม]])*tbl_task2[[%]:[%]])</f>
        <v/>
      </c>
      <c r="KO25" s="121" t="str">
        <f>IF(ISBLANK(tbl_task2[[คะแนนเต็ม]:[คะแนนเต็ม]]),"",(tbl_task2[131]/tbl_task2[[คะแนนเต็ม]:[คะแนนเต็ม]])*tbl_task2[[%]:[%]])</f>
        <v/>
      </c>
      <c r="KP25" s="121" t="str">
        <f>IF(ISBLANK(tbl_task2[[คะแนนเต็ม]:[คะแนนเต็ม]]),"",(tbl_task2[132]/tbl_task2[[คะแนนเต็ม]:[คะแนนเต็ม]])*tbl_task2[[%]:[%]])</f>
        <v/>
      </c>
      <c r="KQ25" s="121" t="str">
        <f>IF(ISBLANK(tbl_task2[[คะแนนเต็ม]:[คะแนนเต็ม]]),"",(tbl_task2[133]/tbl_task2[[คะแนนเต็ม]:[คะแนนเต็ม]])*tbl_task2[[%]:[%]])</f>
        <v/>
      </c>
      <c r="KR25" s="121" t="str">
        <f>IF(ISBLANK(tbl_task2[[คะแนนเต็ม]:[คะแนนเต็ม]]),"",(tbl_task2[134]/tbl_task2[[คะแนนเต็ม]:[คะแนนเต็ม]])*tbl_task2[[%]:[%]])</f>
        <v/>
      </c>
      <c r="KS25" s="121" t="str">
        <f>IF(ISBLANK(tbl_task2[[คะแนนเต็ม]:[คะแนนเต็ม]]),"",(tbl_task2[135]/tbl_task2[[คะแนนเต็ม]:[คะแนนเต็ม]])*tbl_task2[[%]:[%]])</f>
        <v/>
      </c>
      <c r="KT25" s="121" t="str">
        <f>IF(ISBLANK(tbl_task2[[คะแนนเต็ม]:[คะแนนเต็ม]]),"",(tbl_task2[136]/tbl_task2[[คะแนนเต็ม]:[คะแนนเต็ม]])*tbl_task2[[%]:[%]])</f>
        <v/>
      </c>
      <c r="KU25" s="121" t="str">
        <f>IF(ISBLANK(tbl_task2[[คะแนนเต็ม]:[คะแนนเต็ม]]),"",(tbl_task2[137]/tbl_task2[[คะแนนเต็ม]:[คะแนนเต็ม]])*tbl_task2[[%]:[%]])</f>
        <v/>
      </c>
      <c r="KV25" s="121" t="str">
        <f>IF(ISBLANK(tbl_task2[[คะแนนเต็ม]:[คะแนนเต็ม]]),"",(tbl_task2[138]/tbl_task2[[คะแนนเต็ม]:[คะแนนเต็ม]])*tbl_task2[[%]:[%]])</f>
        <v/>
      </c>
      <c r="KW25" s="121" t="str">
        <f>IF(ISBLANK(tbl_task2[[คะแนนเต็ม]:[คะแนนเต็ม]]),"",(tbl_task2[139]/tbl_task2[[คะแนนเต็ม]:[คะแนนเต็ม]])*tbl_task2[[%]:[%]])</f>
        <v/>
      </c>
      <c r="KX25" s="121" t="str">
        <f>IF(ISBLANK(tbl_task2[[คะแนนเต็ม]:[คะแนนเต็ม]]),"",(tbl_task2[140]/tbl_task2[[คะแนนเต็ม]:[คะแนนเต็ม]])*tbl_task2[[%]:[%]])</f>
        <v/>
      </c>
      <c r="KY25" s="121" t="str">
        <f>IF(ISBLANK(tbl_task2[[คะแนนเต็ม]:[คะแนนเต็ม]]),"",(tbl_task2[141]/tbl_task2[[คะแนนเต็ม]:[คะแนนเต็ม]])*tbl_task2[[%]:[%]])</f>
        <v/>
      </c>
      <c r="KZ25" s="121" t="str">
        <f>IF(ISBLANK(tbl_task2[[คะแนนเต็ม]:[คะแนนเต็ม]]),"",(tbl_task2[142]/tbl_task2[[คะแนนเต็ม]:[คะแนนเต็ม]])*tbl_task2[[%]:[%]])</f>
        <v/>
      </c>
      <c r="LA25" s="121" t="str">
        <f>IF(ISBLANK(tbl_task2[[คะแนนเต็ม]:[คะแนนเต็ม]]),"",(tbl_task2[143]/tbl_task2[[คะแนนเต็ม]:[คะแนนเต็ม]])*tbl_task2[[%]:[%]])</f>
        <v/>
      </c>
      <c r="LB25" s="121" t="str">
        <f>IF(ISBLANK(tbl_task2[[คะแนนเต็ม]:[คะแนนเต็ม]]),"",(tbl_task2[144]/tbl_task2[[คะแนนเต็ม]:[คะแนนเต็ม]])*tbl_task2[[%]:[%]])</f>
        <v/>
      </c>
      <c r="LC25" s="121" t="str">
        <f>IF(ISBLANK(tbl_task2[[คะแนนเต็ม]:[คะแนนเต็ม]]),"",(tbl_task2[145]/tbl_task2[[คะแนนเต็ม]:[คะแนนเต็ม]])*tbl_task2[[%]:[%]])</f>
        <v/>
      </c>
      <c r="LD25" s="121" t="str">
        <f>IF(ISBLANK(tbl_task2[[คะแนนเต็ม]:[คะแนนเต็ม]]),"",(tbl_task2[146]/tbl_task2[[คะแนนเต็ม]:[คะแนนเต็ม]])*tbl_task2[[%]:[%]])</f>
        <v/>
      </c>
      <c r="LE25" s="121" t="str">
        <f>IF(ISBLANK(tbl_task2[[คะแนนเต็ม]:[คะแนนเต็ม]]),"",(tbl_task2[147]/tbl_task2[[คะแนนเต็ม]:[คะแนนเต็ม]])*tbl_task2[[%]:[%]])</f>
        <v/>
      </c>
      <c r="LF25" s="121" t="str">
        <f>IF(ISBLANK(tbl_task2[[คะแนนเต็ม]:[คะแนนเต็ม]]),"",(tbl_task2[148]/tbl_task2[[คะแนนเต็ม]:[คะแนนเต็ม]])*tbl_task2[[%]:[%]])</f>
        <v/>
      </c>
      <c r="LG25" s="121" t="str">
        <f>IF(ISBLANK(tbl_task2[[คะแนนเต็ม]:[คะแนนเต็ม]]),"",(tbl_task2[149]/tbl_task2[[คะแนนเต็ม]:[คะแนนเต็ม]])*tbl_task2[[%]:[%]])</f>
        <v/>
      </c>
      <c r="LH25" s="121" t="str">
        <f>IF(ISBLANK(tbl_task2[[คะแนนเต็ม]:[คะแนนเต็ม]]),"",(tbl_task2[150]/tbl_task2[[คะแนนเต็ม]:[คะแนนเต็ม]])*tbl_task2[[%]:[%]])</f>
        <v/>
      </c>
      <c r="LI25" s="121" t="str">
        <f>IF(ISBLANK(tbl_task2[[คะแนนเต็ม]:[คะแนนเต็ม]]),"",(tbl_task2[151]/tbl_task2[[คะแนนเต็ม]:[คะแนนเต็ม]])*tbl_task2[[%]:[%]])</f>
        <v/>
      </c>
      <c r="LJ25" s="121" t="str">
        <f>IF(ISBLANK(tbl_task2[[คะแนนเต็ม]:[คะแนนเต็ม]]),"",(tbl_task2[152]/tbl_task2[[คะแนนเต็ม]:[คะแนนเต็ม]])*tbl_task2[[%]:[%]])</f>
        <v/>
      </c>
      <c r="LK25" s="121" t="str">
        <f>IF(ISBLANK(tbl_task2[[คะแนนเต็ม]:[คะแนนเต็ม]]),"",(tbl_task2[153]/tbl_task2[[คะแนนเต็ม]:[คะแนนเต็ม]])*tbl_task2[[%]:[%]])</f>
        <v/>
      </c>
      <c r="LL25" s="121" t="str">
        <f>IF(ISBLANK(tbl_task2[[คะแนนเต็ม]:[คะแนนเต็ม]]),"",(tbl_task2[154]/tbl_task2[[คะแนนเต็ม]:[คะแนนเต็ม]])*tbl_task2[[%]:[%]])</f>
        <v/>
      </c>
      <c r="LM25" s="121" t="str">
        <f>IF(ISBLANK(tbl_task2[[คะแนนเต็ม]:[คะแนนเต็ม]]),"",(tbl_task2[155]/tbl_task2[[คะแนนเต็ม]:[คะแนนเต็ม]])*tbl_task2[[%]:[%]])</f>
        <v/>
      </c>
      <c r="LN25" s="121" t="str">
        <f>IF(ISBLANK(tbl_task2[[คะแนนเต็ม]:[คะแนนเต็ม]]),"",(tbl_task2[156]/tbl_task2[[คะแนนเต็ม]:[คะแนนเต็ม]])*tbl_task2[[%]:[%]])</f>
        <v/>
      </c>
      <c r="LO25" s="121" t="str">
        <f>IF(ISBLANK(tbl_task2[[คะแนนเต็ม]:[คะแนนเต็ม]]),"",(tbl_task2[157]/tbl_task2[[คะแนนเต็ม]:[คะแนนเต็ม]])*tbl_task2[[%]:[%]])</f>
        <v/>
      </c>
      <c r="LP25" s="121" t="str">
        <f>IF(ISBLANK(tbl_task2[[คะแนนเต็ม]:[คะแนนเต็ม]]),"",(tbl_task2[158]/tbl_task2[[คะแนนเต็ม]:[คะแนนเต็ม]])*tbl_task2[[%]:[%]])</f>
        <v/>
      </c>
      <c r="LQ25" s="121" t="str">
        <f>IF(ISBLANK(tbl_task2[[คะแนนเต็ม]:[คะแนนเต็ม]]),"",(tbl_task2[159]/tbl_task2[[คะแนนเต็ม]:[คะแนนเต็ม]])*tbl_task2[[%]:[%]])</f>
        <v/>
      </c>
      <c r="LR25" s="121" t="str">
        <f>IF(ISBLANK(tbl_task2[[คะแนนเต็ม]:[คะแนนเต็ม]]),"",(tbl_task2[160]/tbl_task2[[คะแนนเต็ม]:[คะแนนเต็ม]])*tbl_task2[[%]:[%]])</f>
        <v/>
      </c>
      <c r="LS25" s="121" t="str">
        <f>IF(ISBLANK(tbl_task2[[คะแนนเต็ม]:[คะแนนเต็ม]]),"",(tbl_task2[161]/tbl_task2[[คะแนนเต็ม]:[คะแนนเต็ม]])*tbl_task2[[%]:[%]])</f>
        <v/>
      </c>
      <c r="LT25" s="121" t="str">
        <f>IF(ISBLANK(tbl_task2[[คะแนนเต็ม]:[คะแนนเต็ม]]),"",(tbl_task2[162]/tbl_task2[[คะแนนเต็ม]:[คะแนนเต็ม]])*tbl_task2[[%]:[%]])</f>
        <v/>
      </c>
      <c r="LU25" s="121" t="str">
        <f>IF(ISBLANK(tbl_task2[[คะแนนเต็ม]:[คะแนนเต็ม]]),"",(tbl_task2[163]/tbl_task2[[คะแนนเต็ม]:[คะแนนเต็ม]])*tbl_task2[[%]:[%]])</f>
        <v/>
      </c>
      <c r="LV25" s="121" t="str">
        <f>IF(ISBLANK(tbl_task2[[คะแนนเต็ม]:[คะแนนเต็ม]]),"",(tbl_task2[164]/tbl_task2[[คะแนนเต็ม]:[คะแนนเต็ม]])*tbl_task2[[%]:[%]])</f>
        <v/>
      </c>
      <c r="LW25" s="121" t="str">
        <f>IF(ISBLANK(tbl_task2[[คะแนนเต็ม]:[คะแนนเต็ม]]),"",(tbl_task2[165]/tbl_task2[[คะแนนเต็ม]:[คะแนนเต็ม]])*tbl_task2[[%]:[%]])</f>
        <v/>
      </c>
    </row>
    <row r="26" spans="1:335" ht="24" customHeight="1" x14ac:dyDescent="0.25">
      <c r="A26" s="24">
        <v>23</v>
      </c>
      <c r="B26" s="20"/>
      <c r="C26" s="5" t="str">
        <f>IF(ISBLANK(B26),"",VLOOKUP(B26,tbl_PLOs[],2,0))</f>
        <v/>
      </c>
      <c r="D26" s="102"/>
      <c r="E26" s="106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21" t="str">
        <f>IF(ISBLANK(tbl_task2[[คะแนนเต็ม]:[คะแนนเต็ม]]),"",(tbl_task2[1]/tbl_task2[[คะแนนเต็ม]:[คะแนนเต็ม]])*tbl_task2[[%]:[%]])</f>
        <v/>
      </c>
      <c r="FP26" s="121" t="str">
        <f>IF(ISBLANK(tbl_task2[[คะแนนเต็ม]:[คะแนนเต็ม]]),"",(tbl_task2[2]/tbl_task2[[คะแนนเต็ม]:[คะแนนเต็ม]])*tbl_task2[[%]:[%]])</f>
        <v/>
      </c>
      <c r="FQ26" s="121" t="str">
        <f>IF(ISBLANK(tbl_task2[[คะแนนเต็ม]:[คะแนนเต็ม]]),"",(tbl_task2[3]/tbl_task2[[คะแนนเต็ม]:[คะแนนเต็ม]])*tbl_task2[[%]:[%]])</f>
        <v/>
      </c>
      <c r="FR26" s="121" t="str">
        <f>IF(ISBLANK(tbl_task2[[คะแนนเต็ม]:[คะแนนเต็ม]]),"",(tbl_task2[4]/tbl_task2[[คะแนนเต็ม]:[คะแนนเต็ม]])*tbl_task2[[%]:[%]])</f>
        <v/>
      </c>
      <c r="FS26" s="121" t="str">
        <f>IF(ISBLANK(tbl_task2[[คะแนนเต็ม]:[คะแนนเต็ม]]),"",(tbl_task2[5]/tbl_task2[[คะแนนเต็ม]:[คะแนนเต็ม]])*tbl_task2[[%]:[%]])</f>
        <v/>
      </c>
      <c r="FT26" s="121" t="str">
        <f>IF(ISBLANK(tbl_task2[[คะแนนเต็ม]:[คะแนนเต็ม]]),"",(tbl_task2[6]/tbl_task2[[คะแนนเต็ม]:[คะแนนเต็ม]])*tbl_task2[[%]:[%]])</f>
        <v/>
      </c>
      <c r="FU26" s="121" t="str">
        <f>IF(ISBLANK(tbl_task2[[คะแนนเต็ม]:[คะแนนเต็ม]]),"",(tbl_task2[7]/tbl_task2[[คะแนนเต็ม]:[คะแนนเต็ม]])*tbl_task2[[%]:[%]])</f>
        <v/>
      </c>
      <c r="FV26" s="121" t="str">
        <f>IF(ISBLANK(tbl_task2[[คะแนนเต็ม]:[คะแนนเต็ม]]),"",(tbl_task2[8]/tbl_task2[[คะแนนเต็ม]:[คะแนนเต็ม]])*tbl_task2[[%]:[%]])</f>
        <v/>
      </c>
      <c r="FW26" s="121" t="str">
        <f>IF(ISBLANK(tbl_task2[[คะแนนเต็ม]:[คะแนนเต็ม]]),"",(tbl_task2[9]/tbl_task2[[คะแนนเต็ม]:[คะแนนเต็ม]])*tbl_task2[[%]:[%]])</f>
        <v/>
      </c>
      <c r="FX26" s="121" t="str">
        <f>IF(ISBLANK(tbl_task2[[คะแนนเต็ม]:[คะแนนเต็ม]]),"",(tbl_task2[10]/tbl_task2[[คะแนนเต็ม]:[คะแนนเต็ม]])*tbl_task2[[%]:[%]])</f>
        <v/>
      </c>
      <c r="FY26" s="121" t="str">
        <f>IF(ISBLANK(tbl_task2[[คะแนนเต็ม]:[คะแนนเต็ม]]),"",(tbl_task2[11]/tbl_task2[[คะแนนเต็ม]:[คะแนนเต็ม]])*tbl_task2[[%]:[%]])</f>
        <v/>
      </c>
      <c r="FZ26" s="121" t="str">
        <f>IF(ISBLANK(tbl_task2[[คะแนนเต็ม]:[คะแนนเต็ม]]),"",(tbl_task2[12]/tbl_task2[[คะแนนเต็ม]:[คะแนนเต็ม]])*tbl_task2[[%]:[%]])</f>
        <v/>
      </c>
      <c r="GA26" s="121" t="str">
        <f>IF(ISBLANK(tbl_task2[[คะแนนเต็ม]:[คะแนนเต็ม]]),"",(tbl_task2[13]/tbl_task2[[คะแนนเต็ม]:[คะแนนเต็ม]])*tbl_task2[[%]:[%]])</f>
        <v/>
      </c>
      <c r="GB26" s="121" t="str">
        <f>IF(ISBLANK(tbl_task2[[คะแนนเต็ม]:[คะแนนเต็ม]]),"",(tbl_task2[14]/tbl_task2[[คะแนนเต็ม]:[คะแนนเต็ม]])*tbl_task2[[%]:[%]])</f>
        <v/>
      </c>
      <c r="GC26" s="121" t="str">
        <f>IF(ISBLANK(tbl_task2[[คะแนนเต็ม]:[คะแนนเต็ม]]),"",(tbl_task2[15]/tbl_task2[[คะแนนเต็ม]:[คะแนนเต็ม]])*tbl_task2[[%]:[%]])</f>
        <v/>
      </c>
      <c r="GD26" s="121" t="str">
        <f>IF(ISBLANK(tbl_task2[[คะแนนเต็ม]:[คะแนนเต็ม]]),"",(tbl_task2[16]/tbl_task2[[คะแนนเต็ม]:[คะแนนเต็ม]])*tbl_task2[[%]:[%]])</f>
        <v/>
      </c>
      <c r="GE26" s="121" t="str">
        <f>IF(ISBLANK(tbl_task2[[คะแนนเต็ม]:[คะแนนเต็ม]]),"",(tbl_task2[17]/tbl_task2[[คะแนนเต็ม]:[คะแนนเต็ม]])*tbl_task2[[%]:[%]])</f>
        <v/>
      </c>
      <c r="GF26" s="121" t="str">
        <f>IF(ISBLANK(tbl_task2[[คะแนนเต็ม]:[คะแนนเต็ม]]),"",(tbl_task2[18]/tbl_task2[[คะแนนเต็ม]:[คะแนนเต็ม]])*tbl_task2[[%]:[%]])</f>
        <v/>
      </c>
      <c r="GG26" s="121" t="str">
        <f>IF(ISBLANK(tbl_task2[[คะแนนเต็ม]:[คะแนนเต็ม]]),"",(tbl_task2[19]/tbl_task2[[คะแนนเต็ม]:[คะแนนเต็ม]])*tbl_task2[[%]:[%]])</f>
        <v/>
      </c>
      <c r="GH26" s="121" t="str">
        <f>IF(ISBLANK(tbl_task2[[คะแนนเต็ม]:[คะแนนเต็ม]]),"",(tbl_task2[20]/tbl_task2[[คะแนนเต็ม]:[คะแนนเต็ม]])*tbl_task2[[%]:[%]])</f>
        <v/>
      </c>
      <c r="GI26" s="121" t="str">
        <f>IF(ISBLANK(tbl_task2[[คะแนนเต็ม]:[คะแนนเต็ม]]),"",(tbl_task2[21]/tbl_task2[[คะแนนเต็ม]:[คะแนนเต็ม]])*tbl_task2[[%]:[%]])</f>
        <v/>
      </c>
      <c r="GJ26" s="121" t="str">
        <f>IF(ISBLANK(tbl_task2[[คะแนนเต็ม]:[คะแนนเต็ม]]),"",(tbl_task2[22]/tbl_task2[[คะแนนเต็ม]:[คะแนนเต็ม]])*tbl_task2[[%]:[%]])</f>
        <v/>
      </c>
      <c r="GK26" s="121" t="str">
        <f>IF(ISBLANK(tbl_task2[[คะแนนเต็ม]:[คะแนนเต็ม]]),"",(tbl_task2[23]/tbl_task2[[คะแนนเต็ม]:[คะแนนเต็ม]])*tbl_task2[[%]:[%]])</f>
        <v/>
      </c>
      <c r="GL26" s="121" t="str">
        <f>IF(ISBLANK(tbl_task2[[คะแนนเต็ม]:[คะแนนเต็ม]]),"",(tbl_task2[24]/tbl_task2[[คะแนนเต็ม]:[คะแนนเต็ม]])*tbl_task2[[%]:[%]])</f>
        <v/>
      </c>
      <c r="GM26" s="121" t="str">
        <f>IF(ISBLANK(tbl_task2[[คะแนนเต็ม]:[คะแนนเต็ม]]),"",(tbl_task2[25]/tbl_task2[[คะแนนเต็ม]:[คะแนนเต็ม]])*tbl_task2[[%]:[%]])</f>
        <v/>
      </c>
      <c r="GN26" s="121" t="str">
        <f>IF(ISBLANK(tbl_task2[[คะแนนเต็ม]:[คะแนนเต็ม]]),"",(tbl_task2[26]/tbl_task2[[คะแนนเต็ม]:[คะแนนเต็ม]])*tbl_task2[[%]:[%]])</f>
        <v/>
      </c>
      <c r="GO26" s="121" t="str">
        <f>IF(ISBLANK(tbl_task2[[คะแนนเต็ม]:[คะแนนเต็ม]]),"",(tbl_task2[27]/tbl_task2[[คะแนนเต็ม]:[คะแนนเต็ม]])*tbl_task2[[%]:[%]])</f>
        <v/>
      </c>
      <c r="GP26" s="121" t="str">
        <f>IF(ISBLANK(tbl_task2[[คะแนนเต็ม]:[คะแนนเต็ม]]),"",(tbl_task2[28]/tbl_task2[[คะแนนเต็ม]:[คะแนนเต็ม]])*tbl_task2[[%]:[%]])</f>
        <v/>
      </c>
      <c r="GQ26" s="121" t="str">
        <f>IF(ISBLANK(tbl_task2[[คะแนนเต็ม]:[คะแนนเต็ม]]),"",(tbl_task2[29]/tbl_task2[[คะแนนเต็ม]:[คะแนนเต็ม]])*tbl_task2[[%]:[%]])</f>
        <v/>
      </c>
      <c r="GR26" s="121" t="str">
        <f>IF(ISBLANK(tbl_task2[[คะแนนเต็ม]:[คะแนนเต็ม]]),"",(tbl_task2[30]/tbl_task2[[คะแนนเต็ม]:[คะแนนเต็ม]])*tbl_task2[[%]:[%]])</f>
        <v/>
      </c>
      <c r="GS26" s="121" t="str">
        <f>IF(ISBLANK(tbl_task2[[คะแนนเต็ม]:[คะแนนเต็ม]]),"",(tbl_task2[31]/tbl_task2[[คะแนนเต็ม]:[คะแนนเต็ม]])*tbl_task2[[%]:[%]])</f>
        <v/>
      </c>
      <c r="GT26" s="121" t="str">
        <f>IF(ISBLANK(tbl_task2[[คะแนนเต็ม]:[คะแนนเต็ม]]),"",(tbl_task2[32]/tbl_task2[[คะแนนเต็ม]:[คะแนนเต็ม]])*tbl_task2[[%]:[%]])</f>
        <v/>
      </c>
      <c r="GU26" s="121" t="str">
        <f>IF(ISBLANK(tbl_task2[[คะแนนเต็ม]:[คะแนนเต็ม]]),"",(tbl_task2[33]/tbl_task2[[คะแนนเต็ม]:[คะแนนเต็ม]])*tbl_task2[[%]:[%]])</f>
        <v/>
      </c>
      <c r="GV26" s="121" t="str">
        <f>IF(ISBLANK(tbl_task2[[คะแนนเต็ม]:[คะแนนเต็ม]]),"",(tbl_task2[34]/tbl_task2[[คะแนนเต็ม]:[คะแนนเต็ม]])*tbl_task2[[%]:[%]])</f>
        <v/>
      </c>
      <c r="GW26" s="121" t="str">
        <f>IF(ISBLANK(tbl_task2[[คะแนนเต็ม]:[คะแนนเต็ม]]),"",(tbl_task2[35]/tbl_task2[[คะแนนเต็ม]:[คะแนนเต็ม]])*tbl_task2[[%]:[%]])</f>
        <v/>
      </c>
      <c r="GX26" s="121" t="str">
        <f>IF(ISBLANK(tbl_task2[[คะแนนเต็ม]:[คะแนนเต็ม]]),"",(tbl_task2[36]/tbl_task2[[คะแนนเต็ม]:[คะแนนเต็ม]])*tbl_task2[[%]:[%]])</f>
        <v/>
      </c>
      <c r="GY26" s="121" t="str">
        <f>IF(ISBLANK(tbl_task2[[คะแนนเต็ม]:[คะแนนเต็ม]]),"",(tbl_task2[37]/tbl_task2[[คะแนนเต็ม]:[คะแนนเต็ม]])*tbl_task2[[%]:[%]])</f>
        <v/>
      </c>
      <c r="GZ26" s="121" t="str">
        <f>IF(ISBLANK(tbl_task2[[คะแนนเต็ม]:[คะแนนเต็ม]]),"",(tbl_task2[38]/tbl_task2[[คะแนนเต็ม]:[คะแนนเต็ม]])*tbl_task2[[%]:[%]])</f>
        <v/>
      </c>
      <c r="HA26" s="121" t="str">
        <f>IF(ISBLANK(tbl_task2[[คะแนนเต็ม]:[คะแนนเต็ม]]),"",(tbl_task2[39]/tbl_task2[[คะแนนเต็ม]:[คะแนนเต็ม]])*tbl_task2[[%]:[%]])</f>
        <v/>
      </c>
      <c r="HB26" s="121" t="str">
        <f>IF(ISBLANK(tbl_task2[[คะแนนเต็ม]:[คะแนนเต็ม]]),"",(tbl_task2[40]/tbl_task2[[คะแนนเต็ม]:[คะแนนเต็ม]])*tbl_task2[[%]:[%]])</f>
        <v/>
      </c>
      <c r="HC26" s="121" t="str">
        <f>IF(ISBLANK(tbl_task2[[คะแนนเต็ม]:[คะแนนเต็ม]]),"",(tbl_task2[41]/tbl_task2[[คะแนนเต็ม]:[คะแนนเต็ม]])*tbl_task2[[%]:[%]])</f>
        <v/>
      </c>
      <c r="HD26" s="121" t="str">
        <f>IF(ISBLANK(tbl_task2[[คะแนนเต็ม]:[คะแนนเต็ม]]),"",(tbl_task2[42]/tbl_task2[[คะแนนเต็ม]:[คะแนนเต็ม]])*tbl_task2[[%]:[%]])</f>
        <v/>
      </c>
      <c r="HE26" s="121" t="str">
        <f>IF(ISBLANK(tbl_task2[[คะแนนเต็ม]:[คะแนนเต็ม]]),"",(tbl_task2[43]/tbl_task2[[คะแนนเต็ม]:[คะแนนเต็ม]])*tbl_task2[[%]:[%]])</f>
        <v/>
      </c>
      <c r="HF26" s="121" t="str">
        <f>IF(ISBLANK(tbl_task2[[คะแนนเต็ม]:[คะแนนเต็ม]]),"",(tbl_task2[44]/tbl_task2[[คะแนนเต็ม]:[คะแนนเต็ม]])*tbl_task2[[%]:[%]])</f>
        <v/>
      </c>
      <c r="HG26" s="121" t="str">
        <f>IF(ISBLANK(tbl_task2[[คะแนนเต็ม]:[คะแนนเต็ม]]),"",(tbl_task2[45]/tbl_task2[[คะแนนเต็ม]:[คะแนนเต็ม]])*tbl_task2[[%]:[%]])</f>
        <v/>
      </c>
      <c r="HH26" s="121" t="str">
        <f>IF(ISBLANK(tbl_task2[[คะแนนเต็ม]:[คะแนนเต็ม]]),"",(tbl_task2[46]/tbl_task2[[คะแนนเต็ม]:[คะแนนเต็ม]])*tbl_task2[[%]:[%]])</f>
        <v/>
      </c>
      <c r="HI26" s="121" t="str">
        <f>IF(ISBLANK(tbl_task2[[คะแนนเต็ม]:[คะแนนเต็ม]]),"",(tbl_task2[47]/tbl_task2[[คะแนนเต็ม]:[คะแนนเต็ม]])*tbl_task2[[%]:[%]])</f>
        <v/>
      </c>
      <c r="HJ26" s="121" t="str">
        <f>IF(ISBLANK(tbl_task2[[คะแนนเต็ม]:[คะแนนเต็ม]]),"",(tbl_task2[48]/tbl_task2[[คะแนนเต็ม]:[คะแนนเต็ม]])*tbl_task2[[%]:[%]])</f>
        <v/>
      </c>
      <c r="HK26" s="121" t="str">
        <f>IF(ISBLANK(tbl_task2[[คะแนนเต็ม]:[คะแนนเต็ม]]),"",(tbl_task2[49]/tbl_task2[[คะแนนเต็ม]:[คะแนนเต็ม]])*tbl_task2[[%]:[%]])</f>
        <v/>
      </c>
      <c r="HL26" s="121" t="str">
        <f>IF(ISBLANK(tbl_task2[[คะแนนเต็ม]:[คะแนนเต็ม]]),"",(tbl_task2[50]/tbl_task2[[คะแนนเต็ม]:[คะแนนเต็ม]])*tbl_task2[[%]:[%]])</f>
        <v/>
      </c>
      <c r="HM26" s="121" t="str">
        <f>IF(ISBLANK(tbl_task2[[คะแนนเต็ม]:[คะแนนเต็ม]]),"",(tbl_task2[51]/tbl_task2[[คะแนนเต็ม]:[คะแนนเต็ม]])*tbl_task2[[%]:[%]])</f>
        <v/>
      </c>
      <c r="HN26" s="121" t="str">
        <f>IF(ISBLANK(tbl_task2[[คะแนนเต็ม]:[คะแนนเต็ม]]),"",(tbl_task2[52]/tbl_task2[[คะแนนเต็ม]:[คะแนนเต็ม]])*tbl_task2[[%]:[%]])</f>
        <v/>
      </c>
      <c r="HO26" s="121" t="str">
        <f>IF(ISBLANK(tbl_task2[[คะแนนเต็ม]:[คะแนนเต็ม]]),"",(tbl_task2[53]/tbl_task2[[คะแนนเต็ม]:[คะแนนเต็ม]])*tbl_task2[[%]:[%]])</f>
        <v/>
      </c>
      <c r="HP26" s="121" t="str">
        <f>IF(ISBLANK(tbl_task2[[คะแนนเต็ม]:[คะแนนเต็ม]]),"",(tbl_task2[54]/tbl_task2[[คะแนนเต็ม]:[คะแนนเต็ม]])*tbl_task2[[%]:[%]])</f>
        <v/>
      </c>
      <c r="HQ26" s="121" t="str">
        <f>IF(ISBLANK(tbl_task2[[คะแนนเต็ม]:[คะแนนเต็ม]]),"",(tbl_task2[55]/tbl_task2[[คะแนนเต็ม]:[คะแนนเต็ม]])*tbl_task2[[%]:[%]])</f>
        <v/>
      </c>
      <c r="HR26" s="121" t="str">
        <f>IF(ISBLANK(tbl_task2[[คะแนนเต็ม]:[คะแนนเต็ม]]),"",(tbl_task2[56]/tbl_task2[[คะแนนเต็ม]:[คะแนนเต็ม]])*tbl_task2[[%]:[%]])</f>
        <v/>
      </c>
      <c r="HS26" s="121" t="str">
        <f>IF(ISBLANK(tbl_task2[[คะแนนเต็ม]:[คะแนนเต็ม]]),"",(tbl_task2[57]/tbl_task2[[คะแนนเต็ม]:[คะแนนเต็ม]])*tbl_task2[[%]:[%]])</f>
        <v/>
      </c>
      <c r="HT26" s="121" t="str">
        <f>IF(ISBLANK(tbl_task2[[คะแนนเต็ม]:[คะแนนเต็ม]]),"",(tbl_task2[58]/tbl_task2[[คะแนนเต็ม]:[คะแนนเต็ม]])*tbl_task2[[%]:[%]])</f>
        <v/>
      </c>
      <c r="HU26" s="121" t="str">
        <f>IF(ISBLANK(tbl_task2[[คะแนนเต็ม]:[คะแนนเต็ม]]),"",(tbl_task2[59]/tbl_task2[[คะแนนเต็ม]:[คะแนนเต็ม]])*tbl_task2[[%]:[%]])</f>
        <v/>
      </c>
      <c r="HV26" s="121" t="str">
        <f>IF(ISBLANK(tbl_task2[[คะแนนเต็ม]:[คะแนนเต็ม]]),"",(tbl_task2[60]/tbl_task2[[คะแนนเต็ม]:[คะแนนเต็ม]])*tbl_task2[[%]:[%]])</f>
        <v/>
      </c>
      <c r="HW26" s="121" t="str">
        <f>IF(ISBLANK(tbl_task2[[คะแนนเต็ม]:[คะแนนเต็ม]]),"",(tbl_task2[61]/tbl_task2[[คะแนนเต็ม]:[คะแนนเต็ม]])*tbl_task2[[%]:[%]])</f>
        <v/>
      </c>
      <c r="HX26" s="121" t="str">
        <f>IF(ISBLANK(tbl_task2[[คะแนนเต็ม]:[คะแนนเต็ม]]),"",(tbl_task2[62]/tbl_task2[[คะแนนเต็ม]:[คะแนนเต็ม]])*tbl_task2[[%]:[%]])</f>
        <v/>
      </c>
      <c r="HY26" s="121" t="str">
        <f>IF(ISBLANK(tbl_task2[[คะแนนเต็ม]:[คะแนนเต็ม]]),"",(tbl_task2[63]/tbl_task2[[คะแนนเต็ม]:[คะแนนเต็ม]])*tbl_task2[[%]:[%]])</f>
        <v/>
      </c>
      <c r="HZ26" s="121" t="str">
        <f>IF(ISBLANK(tbl_task2[[คะแนนเต็ม]:[คะแนนเต็ม]]),"",(tbl_task2[64]/tbl_task2[[คะแนนเต็ม]:[คะแนนเต็ม]])*tbl_task2[[%]:[%]])</f>
        <v/>
      </c>
      <c r="IA26" s="121" t="str">
        <f>IF(ISBLANK(tbl_task2[[คะแนนเต็ม]:[คะแนนเต็ม]]),"",(tbl_task2[65]/tbl_task2[[คะแนนเต็ม]:[คะแนนเต็ม]])*tbl_task2[[%]:[%]])</f>
        <v/>
      </c>
      <c r="IB26" s="121" t="str">
        <f>IF(ISBLANK(tbl_task2[[คะแนนเต็ม]:[คะแนนเต็ม]]),"",(tbl_task2[66]/tbl_task2[[คะแนนเต็ม]:[คะแนนเต็ม]])*tbl_task2[[%]:[%]])</f>
        <v/>
      </c>
      <c r="IC26" s="121" t="str">
        <f>IF(ISBLANK(tbl_task2[[คะแนนเต็ม]:[คะแนนเต็ม]]),"",(tbl_task2[67]/tbl_task2[[คะแนนเต็ม]:[คะแนนเต็ม]])*tbl_task2[[%]:[%]])</f>
        <v/>
      </c>
      <c r="ID26" s="121" t="str">
        <f>IF(ISBLANK(tbl_task2[[คะแนนเต็ม]:[คะแนนเต็ม]]),"",(tbl_task2[68]/tbl_task2[[คะแนนเต็ม]:[คะแนนเต็ม]])*tbl_task2[[%]:[%]])</f>
        <v/>
      </c>
      <c r="IE26" s="121" t="str">
        <f>IF(ISBLANK(tbl_task2[[คะแนนเต็ม]:[คะแนนเต็ม]]),"",(tbl_task2[69]/tbl_task2[[คะแนนเต็ม]:[คะแนนเต็ม]])*tbl_task2[[%]:[%]])</f>
        <v/>
      </c>
      <c r="IF26" s="121" t="str">
        <f>IF(ISBLANK(tbl_task2[[คะแนนเต็ม]:[คะแนนเต็ม]]),"",(tbl_task2[70]/tbl_task2[[คะแนนเต็ม]:[คะแนนเต็ม]])*tbl_task2[[%]:[%]])</f>
        <v/>
      </c>
      <c r="IG26" s="121" t="str">
        <f>IF(ISBLANK(tbl_task2[[คะแนนเต็ม]:[คะแนนเต็ม]]),"",(tbl_task2[71]/tbl_task2[[คะแนนเต็ม]:[คะแนนเต็ม]])*tbl_task2[[%]:[%]])</f>
        <v/>
      </c>
      <c r="IH26" s="121" t="str">
        <f>IF(ISBLANK(tbl_task2[[คะแนนเต็ม]:[คะแนนเต็ม]]),"",(tbl_task2[72]/tbl_task2[[คะแนนเต็ม]:[คะแนนเต็ม]])*tbl_task2[[%]:[%]])</f>
        <v/>
      </c>
      <c r="II26" s="121" t="str">
        <f>IF(ISBLANK(tbl_task2[[คะแนนเต็ม]:[คะแนนเต็ม]]),"",(tbl_task2[73]/tbl_task2[[คะแนนเต็ม]:[คะแนนเต็ม]])*tbl_task2[[%]:[%]])</f>
        <v/>
      </c>
      <c r="IJ26" s="121" t="str">
        <f>IF(ISBLANK(tbl_task2[[คะแนนเต็ม]:[คะแนนเต็ม]]),"",(tbl_task2[74]/tbl_task2[[คะแนนเต็ม]:[คะแนนเต็ม]])*tbl_task2[[%]:[%]])</f>
        <v/>
      </c>
      <c r="IK26" s="121" t="str">
        <f>IF(ISBLANK(tbl_task2[[คะแนนเต็ม]:[คะแนนเต็ม]]),"",(tbl_task2[75]/tbl_task2[[คะแนนเต็ม]:[คะแนนเต็ม]])*tbl_task2[[%]:[%]])</f>
        <v/>
      </c>
      <c r="IL26" s="121" t="str">
        <f>IF(ISBLANK(tbl_task2[[คะแนนเต็ม]:[คะแนนเต็ม]]),"",(tbl_task2[76]/tbl_task2[[คะแนนเต็ม]:[คะแนนเต็ม]])*tbl_task2[[%]:[%]])</f>
        <v/>
      </c>
      <c r="IM26" s="121" t="str">
        <f>IF(ISBLANK(tbl_task2[[คะแนนเต็ม]:[คะแนนเต็ม]]),"",(tbl_task2[77]/tbl_task2[[คะแนนเต็ม]:[คะแนนเต็ม]])*tbl_task2[[%]:[%]])</f>
        <v/>
      </c>
      <c r="IN26" s="121" t="str">
        <f>IF(ISBLANK(tbl_task2[[คะแนนเต็ม]:[คะแนนเต็ม]]),"",(tbl_task2[78]/tbl_task2[[คะแนนเต็ม]:[คะแนนเต็ม]])*tbl_task2[[%]:[%]])</f>
        <v/>
      </c>
      <c r="IO26" s="121" t="str">
        <f>IF(ISBLANK(tbl_task2[[คะแนนเต็ม]:[คะแนนเต็ม]]),"",(tbl_task2[79]/tbl_task2[[คะแนนเต็ม]:[คะแนนเต็ม]])*tbl_task2[[%]:[%]])</f>
        <v/>
      </c>
      <c r="IP26" s="121" t="str">
        <f>IF(ISBLANK(tbl_task2[[คะแนนเต็ม]:[คะแนนเต็ม]]),"",(tbl_task2[80]/tbl_task2[[คะแนนเต็ม]:[คะแนนเต็ม]])*tbl_task2[[%]:[%]])</f>
        <v/>
      </c>
      <c r="IQ26" s="121" t="str">
        <f>IF(ISBLANK(tbl_task2[[คะแนนเต็ม]:[คะแนนเต็ม]]),"",(tbl_task2[81]/tbl_task2[[คะแนนเต็ม]:[คะแนนเต็ม]])*tbl_task2[[%]:[%]])</f>
        <v/>
      </c>
      <c r="IR26" s="121" t="str">
        <f>IF(ISBLANK(tbl_task2[[คะแนนเต็ม]:[คะแนนเต็ม]]),"",(tbl_task2[82]/tbl_task2[[คะแนนเต็ม]:[คะแนนเต็ม]])*tbl_task2[[%]:[%]])</f>
        <v/>
      </c>
      <c r="IS26" s="121" t="str">
        <f>IF(ISBLANK(tbl_task2[[คะแนนเต็ม]:[คะแนนเต็ม]]),"",(tbl_task2[83]/tbl_task2[[คะแนนเต็ม]:[คะแนนเต็ม]])*tbl_task2[[%]:[%]])</f>
        <v/>
      </c>
      <c r="IT26" s="121" t="str">
        <f>IF(ISBLANK(tbl_task2[[คะแนนเต็ม]:[คะแนนเต็ม]]),"",(tbl_task2[84]/tbl_task2[[คะแนนเต็ม]:[คะแนนเต็ม]])*tbl_task2[[%]:[%]])</f>
        <v/>
      </c>
      <c r="IU26" s="121" t="str">
        <f>IF(ISBLANK(tbl_task2[[คะแนนเต็ม]:[คะแนนเต็ม]]),"",(tbl_task2[85]/tbl_task2[[คะแนนเต็ม]:[คะแนนเต็ม]])*tbl_task2[[%]:[%]])</f>
        <v/>
      </c>
      <c r="IV26" s="121" t="str">
        <f>IF(ISBLANK(tbl_task2[[คะแนนเต็ม]:[คะแนนเต็ม]]),"",(tbl_task2[86]/tbl_task2[[คะแนนเต็ม]:[คะแนนเต็ม]])*tbl_task2[[%]:[%]])</f>
        <v/>
      </c>
      <c r="IW26" s="121" t="str">
        <f>IF(ISBLANK(tbl_task2[[คะแนนเต็ม]:[คะแนนเต็ม]]),"",(tbl_task2[87]/tbl_task2[[คะแนนเต็ม]:[คะแนนเต็ม]])*tbl_task2[[%]:[%]])</f>
        <v/>
      </c>
      <c r="IX26" s="121" t="str">
        <f>IF(ISBLANK(tbl_task2[[คะแนนเต็ม]:[คะแนนเต็ม]]),"",(tbl_task2[88]/tbl_task2[[คะแนนเต็ม]:[คะแนนเต็ม]])*tbl_task2[[%]:[%]])</f>
        <v/>
      </c>
      <c r="IY26" s="121" t="str">
        <f>IF(ISBLANK(tbl_task2[[คะแนนเต็ม]:[คะแนนเต็ม]]),"",(tbl_task2[89]/tbl_task2[[คะแนนเต็ม]:[คะแนนเต็ม]])*tbl_task2[[%]:[%]])</f>
        <v/>
      </c>
      <c r="IZ26" s="121" t="str">
        <f>IF(ISBLANK(tbl_task2[[คะแนนเต็ม]:[คะแนนเต็ม]]),"",(tbl_task2[90]/tbl_task2[[คะแนนเต็ม]:[คะแนนเต็ม]])*tbl_task2[[%]:[%]])</f>
        <v/>
      </c>
      <c r="JA26" s="121" t="str">
        <f>IF(ISBLANK(tbl_task2[[คะแนนเต็ม]:[คะแนนเต็ม]]),"",(tbl_task2[91]/tbl_task2[[คะแนนเต็ม]:[คะแนนเต็ม]])*tbl_task2[[%]:[%]])</f>
        <v/>
      </c>
      <c r="JB26" s="121" t="str">
        <f>IF(ISBLANK(tbl_task2[[คะแนนเต็ม]:[คะแนนเต็ม]]),"",(tbl_task2[92]/tbl_task2[[คะแนนเต็ม]:[คะแนนเต็ม]])*tbl_task2[[%]:[%]])</f>
        <v/>
      </c>
      <c r="JC26" s="121" t="str">
        <f>IF(ISBLANK(tbl_task2[[คะแนนเต็ม]:[คะแนนเต็ม]]),"",(tbl_task2[93]/tbl_task2[[คะแนนเต็ม]:[คะแนนเต็ม]])*tbl_task2[[%]:[%]])</f>
        <v/>
      </c>
      <c r="JD26" s="121" t="str">
        <f>IF(ISBLANK(tbl_task2[[คะแนนเต็ม]:[คะแนนเต็ม]]),"",(tbl_task2[94]/tbl_task2[[คะแนนเต็ม]:[คะแนนเต็ม]])*tbl_task2[[%]:[%]])</f>
        <v/>
      </c>
      <c r="JE26" s="121" t="str">
        <f>IF(ISBLANK(tbl_task2[[คะแนนเต็ม]:[คะแนนเต็ม]]),"",(tbl_task2[95]/tbl_task2[[คะแนนเต็ม]:[คะแนนเต็ม]])*tbl_task2[[%]:[%]])</f>
        <v/>
      </c>
      <c r="JF26" s="121" t="str">
        <f>IF(ISBLANK(tbl_task2[[คะแนนเต็ม]:[คะแนนเต็ม]]),"",(tbl_task2[96]/tbl_task2[[คะแนนเต็ม]:[คะแนนเต็ม]])*tbl_task2[[%]:[%]])</f>
        <v/>
      </c>
      <c r="JG26" s="121" t="str">
        <f>IF(ISBLANK(tbl_task2[[คะแนนเต็ม]:[คะแนนเต็ม]]),"",(tbl_task2[97]/tbl_task2[[คะแนนเต็ม]:[คะแนนเต็ม]])*tbl_task2[[%]:[%]])</f>
        <v/>
      </c>
      <c r="JH26" s="121" t="str">
        <f>IF(ISBLANK(tbl_task2[[คะแนนเต็ม]:[คะแนนเต็ม]]),"",(tbl_task2[98]/tbl_task2[[คะแนนเต็ม]:[คะแนนเต็ม]])*tbl_task2[[%]:[%]])</f>
        <v/>
      </c>
      <c r="JI26" s="121" t="str">
        <f>IF(ISBLANK(tbl_task2[[คะแนนเต็ม]:[คะแนนเต็ม]]),"",(tbl_task2[99]/tbl_task2[[คะแนนเต็ม]:[คะแนนเต็ม]])*tbl_task2[[%]:[%]])</f>
        <v/>
      </c>
      <c r="JJ26" s="121" t="str">
        <f>IF(ISBLANK(tbl_task2[[คะแนนเต็ม]:[คะแนนเต็ม]]),"",(tbl_task2[100]/tbl_task2[[คะแนนเต็ม]:[คะแนนเต็ม]])*tbl_task2[[%]:[%]])</f>
        <v/>
      </c>
      <c r="JK26" s="121" t="str">
        <f>IF(ISBLANK(tbl_task2[[คะแนนเต็ม]:[คะแนนเต็ม]]),"",(tbl_task2[101]/tbl_task2[[คะแนนเต็ม]:[คะแนนเต็ม]])*tbl_task2[[%]:[%]])</f>
        <v/>
      </c>
      <c r="JL26" s="121" t="str">
        <f>IF(ISBLANK(tbl_task2[[คะแนนเต็ม]:[คะแนนเต็ม]]),"",(tbl_task2[102]/tbl_task2[[คะแนนเต็ม]:[คะแนนเต็ม]])*tbl_task2[[%]:[%]])</f>
        <v/>
      </c>
      <c r="JM26" s="121" t="str">
        <f>IF(ISBLANK(tbl_task2[[คะแนนเต็ม]:[คะแนนเต็ม]]),"",(tbl_task2[103]/tbl_task2[[คะแนนเต็ม]:[คะแนนเต็ม]])*tbl_task2[[%]:[%]])</f>
        <v/>
      </c>
      <c r="JN26" s="121" t="str">
        <f>IF(ISBLANK(tbl_task2[[คะแนนเต็ม]:[คะแนนเต็ม]]),"",(tbl_task2[104]/tbl_task2[[คะแนนเต็ม]:[คะแนนเต็ม]])*tbl_task2[[%]:[%]])</f>
        <v/>
      </c>
      <c r="JO26" s="121" t="str">
        <f>IF(ISBLANK(tbl_task2[[คะแนนเต็ม]:[คะแนนเต็ม]]),"",(tbl_task2[105]/tbl_task2[[คะแนนเต็ม]:[คะแนนเต็ม]])*tbl_task2[[%]:[%]])</f>
        <v/>
      </c>
      <c r="JP26" s="121" t="str">
        <f>IF(ISBLANK(tbl_task2[[คะแนนเต็ม]:[คะแนนเต็ม]]),"",(tbl_task2[106]/tbl_task2[[คะแนนเต็ม]:[คะแนนเต็ม]])*tbl_task2[[%]:[%]])</f>
        <v/>
      </c>
      <c r="JQ26" s="121" t="str">
        <f>IF(ISBLANK(tbl_task2[[คะแนนเต็ม]:[คะแนนเต็ม]]),"",(tbl_task2[107]/tbl_task2[[คะแนนเต็ม]:[คะแนนเต็ม]])*tbl_task2[[%]:[%]])</f>
        <v/>
      </c>
      <c r="JR26" s="121" t="str">
        <f>IF(ISBLANK(tbl_task2[[คะแนนเต็ม]:[คะแนนเต็ม]]),"",(tbl_task2[108]/tbl_task2[[คะแนนเต็ม]:[คะแนนเต็ม]])*tbl_task2[[%]:[%]])</f>
        <v/>
      </c>
      <c r="JS26" s="121" t="str">
        <f>IF(ISBLANK(tbl_task2[[คะแนนเต็ม]:[คะแนนเต็ม]]),"",(tbl_task2[109]/tbl_task2[[คะแนนเต็ม]:[คะแนนเต็ม]])*tbl_task2[[%]:[%]])</f>
        <v/>
      </c>
      <c r="JT26" s="121" t="str">
        <f>IF(ISBLANK(tbl_task2[[คะแนนเต็ม]:[คะแนนเต็ม]]),"",(tbl_task2[110]/tbl_task2[[คะแนนเต็ม]:[คะแนนเต็ม]])*tbl_task2[[%]:[%]])</f>
        <v/>
      </c>
      <c r="JU26" s="121" t="str">
        <f>IF(ISBLANK(tbl_task2[[คะแนนเต็ม]:[คะแนนเต็ม]]),"",(tbl_task2[111]/tbl_task2[[คะแนนเต็ม]:[คะแนนเต็ม]])*tbl_task2[[%]:[%]])</f>
        <v/>
      </c>
      <c r="JV26" s="121" t="str">
        <f>IF(ISBLANK(tbl_task2[[คะแนนเต็ม]:[คะแนนเต็ม]]),"",(tbl_task2[112]/tbl_task2[[คะแนนเต็ม]:[คะแนนเต็ม]])*tbl_task2[[%]:[%]])</f>
        <v/>
      </c>
      <c r="JW26" s="121" t="str">
        <f>IF(ISBLANK(tbl_task2[[คะแนนเต็ม]:[คะแนนเต็ม]]),"",(tbl_task2[113]/tbl_task2[[คะแนนเต็ม]:[คะแนนเต็ม]])*tbl_task2[[%]:[%]])</f>
        <v/>
      </c>
      <c r="JX26" s="121" t="str">
        <f>IF(ISBLANK(tbl_task2[[คะแนนเต็ม]:[คะแนนเต็ม]]),"",(tbl_task2[114]/tbl_task2[[คะแนนเต็ม]:[คะแนนเต็ม]])*tbl_task2[[%]:[%]])</f>
        <v/>
      </c>
      <c r="JY26" s="121" t="str">
        <f>IF(ISBLANK(tbl_task2[[คะแนนเต็ม]:[คะแนนเต็ม]]),"",(tbl_task2[115]/tbl_task2[[คะแนนเต็ม]:[คะแนนเต็ม]])*tbl_task2[[%]:[%]])</f>
        <v/>
      </c>
      <c r="JZ26" s="121" t="str">
        <f>IF(ISBLANK(tbl_task2[[คะแนนเต็ม]:[คะแนนเต็ม]]),"",(tbl_task2[116]/tbl_task2[[คะแนนเต็ม]:[คะแนนเต็ม]])*tbl_task2[[%]:[%]])</f>
        <v/>
      </c>
      <c r="KA26" s="121" t="str">
        <f>IF(ISBLANK(tbl_task2[[คะแนนเต็ม]:[คะแนนเต็ม]]),"",(tbl_task2[117]/tbl_task2[[คะแนนเต็ม]:[คะแนนเต็ม]])*tbl_task2[[%]:[%]])</f>
        <v/>
      </c>
      <c r="KB26" s="121" t="str">
        <f>IF(ISBLANK(tbl_task2[[คะแนนเต็ม]:[คะแนนเต็ม]]),"",(tbl_task2[118]/tbl_task2[[คะแนนเต็ม]:[คะแนนเต็ม]])*tbl_task2[[%]:[%]])</f>
        <v/>
      </c>
      <c r="KC26" s="121" t="str">
        <f>IF(ISBLANK(tbl_task2[[คะแนนเต็ม]:[คะแนนเต็ม]]),"",(tbl_task2[119]/tbl_task2[[คะแนนเต็ม]:[คะแนนเต็ม]])*tbl_task2[[%]:[%]])</f>
        <v/>
      </c>
      <c r="KD26" s="121" t="str">
        <f>IF(ISBLANK(tbl_task2[[คะแนนเต็ม]:[คะแนนเต็ม]]),"",(tbl_task2[120]/tbl_task2[[คะแนนเต็ม]:[คะแนนเต็ม]])*tbl_task2[[%]:[%]])</f>
        <v/>
      </c>
      <c r="KE26" s="121" t="str">
        <f>IF(ISBLANK(tbl_task2[[คะแนนเต็ม]:[คะแนนเต็ม]]),"",(tbl_task2[121]/tbl_task2[[คะแนนเต็ม]:[คะแนนเต็ม]])*tbl_task2[[%]:[%]])</f>
        <v/>
      </c>
      <c r="KF26" s="121" t="str">
        <f>IF(ISBLANK(tbl_task2[[คะแนนเต็ม]:[คะแนนเต็ม]]),"",(tbl_task2[122]/tbl_task2[[คะแนนเต็ม]:[คะแนนเต็ม]])*tbl_task2[[%]:[%]])</f>
        <v/>
      </c>
      <c r="KG26" s="121" t="str">
        <f>IF(ISBLANK(tbl_task2[[คะแนนเต็ม]:[คะแนนเต็ม]]),"",(tbl_task2[123]/tbl_task2[[คะแนนเต็ม]:[คะแนนเต็ม]])*tbl_task2[[%]:[%]])</f>
        <v/>
      </c>
      <c r="KH26" s="121" t="str">
        <f>IF(ISBLANK(tbl_task2[[คะแนนเต็ม]:[คะแนนเต็ม]]),"",(tbl_task2[124]/tbl_task2[[คะแนนเต็ม]:[คะแนนเต็ม]])*tbl_task2[[%]:[%]])</f>
        <v/>
      </c>
      <c r="KI26" s="121" t="str">
        <f>IF(ISBLANK(tbl_task2[[คะแนนเต็ม]:[คะแนนเต็ม]]),"",(tbl_task2[125]/tbl_task2[[คะแนนเต็ม]:[คะแนนเต็ม]])*tbl_task2[[%]:[%]])</f>
        <v/>
      </c>
      <c r="KJ26" s="121" t="str">
        <f>IF(ISBLANK(tbl_task2[[คะแนนเต็ม]:[คะแนนเต็ม]]),"",(tbl_task2[126]/tbl_task2[[คะแนนเต็ม]:[คะแนนเต็ม]])*tbl_task2[[%]:[%]])</f>
        <v/>
      </c>
      <c r="KK26" s="121" t="str">
        <f>IF(ISBLANK(tbl_task2[[คะแนนเต็ม]:[คะแนนเต็ม]]),"",(tbl_task2[127]/tbl_task2[[คะแนนเต็ม]:[คะแนนเต็ม]])*tbl_task2[[%]:[%]])</f>
        <v/>
      </c>
      <c r="KL26" s="121" t="str">
        <f>IF(ISBLANK(tbl_task2[[คะแนนเต็ม]:[คะแนนเต็ม]]),"",(tbl_task2[128]/tbl_task2[[คะแนนเต็ม]:[คะแนนเต็ม]])*tbl_task2[[%]:[%]])</f>
        <v/>
      </c>
      <c r="KM26" s="121" t="str">
        <f>IF(ISBLANK(tbl_task2[[คะแนนเต็ม]:[คะแนนเต็ม]]),"",(tbl_task2[129]/tbl_task2[[คะแนนเต็ม]:[คะแนนเต็ม]])*tbl_task2[[%]:[%]])</f>
        <v/>
      </c>
      <c r="KN26" s="121" t="str">
        <f>IF(ISBLANK(tbl_task2[[คะแนนเต็ม]:[คะแนนเต็ม]]),"",(tbl_task2[130]/tbl_task2[[คะแนนเต็ม]:[คะแนนเต็ม]])*tbl_task2[[%]:[%]])</f>
        <v/>
      </c>
      <c r="KO26" s="121" t="str">
        <f>IF(ISBLANK(tbl_task2[[คะแนนเต็ม]:[คะแนนเต็ม]]),"",(tbl_task2[131]/tbl_task2[[คะแนนเต็ม]:[คะแนนเต็ม]])*tbl_task2[[%]:[%]])</f>
        <v/>
      </c>
      <c r="KP26" s="121" t="str">
        <f>IF(ISBLANK(tbl_task2[[คะแนนเต็ม]:[คะแนนเต็ม]]),"",(tbl_task2[132]/tbl_task2[[คะแนนเต็ม]:[คะแนนเต็ม]])*tbl_task2[[%]:[%]])</f>
        <v/>
      </c>
      <c r="KQ26" s="121" t="str">
        <f>IF(ISBLANK(tbl_task2[[คะแนนเต็ม]:[คะแนนเต็ม]]),"",(tbl_task2[133]/tbl_task2[[คะแนนเต็ม]:[คะแนนเต็ม]])*tbl_task2[[%]:[%]])</f>
        <v/>
      </c>
      <c r="KR26" s="121" t="str">
        <f>IF(ISBLANK(tbl_task2[[คะแนนเต็ม]:[คะแนนเต็ม]]),"",(tbl_task2[134]/tbl_task2[[คะแนนเต็ม]:[คะแนนเต็ม]])*tbl_task2[[%]:[%]])</f>
        <v/>
      </c>
      <c r="KS26" s="121" t="str">
        <f>IF(ISBLANK(tbl_task2[[คะแนนเต็ม]:[คะแนนเต็ม]]),"",(tbl_task2[135]/tbl_task2[[คะแนนเต็ม]:[คะแนนเต็ม]])*tbl_task2[[%]:[%]])</f>
        <v/>
      </c>
      <c r="KT26" s="121" t="str">
        <f>IF(ISBLANK(tbl_task2[[คะแนนเต็ม]:[คะแนนเต็ม]]),"",(tbl_task2[136]/tbl_task2[[คะแนนเต็ม]:[คะแนนเต็ม]])*tbl_task2[[%]:[%]])</f>
        <v/>
      </c>
      <c r="KU26" s="121" t="str">
        <f>IF(ISBLANK(tbl_task2[[คะแนนเต็ม]:[คะแนนเต็ม]]),"",(tbl_task2[137]/tbl_task2[[คะแนนเต็ม]:[คะแนนเต็ม]])*tbl_task2[[%]:[%]])</f>
        <v/>
      </c>
      <c r="KV26" s="121" t="str">
        <f>IF(ISBLANK(tbl_task2[[คะแนนเต็ม]:[คะแนนเต็ม]]),"",(tbl_task2[138]/tbl_task2[[คะแนนเต็ม]:[คะแนนเต็ม]])*tbl_task2[[%]:[%]])</f>
        <v/>
      </c>
      <c r="KW26" s="121" t="str">
        <f>IF(ISBLANK(tbl_task2[[คะแนนเต็ม]:[คะแนนเต็ม]]),"",(tbl_task2[139]/tbl_task2[[คะแนนเต็ม]:[คะแนนเต็ม]])*tbl_task2[[%]:[%]])</f>
        <v/>
      </c>
      <c r="KX26" s="121" t="str">
        <f>IF(ISBLANK(tbl_task2[[คะแนนเต็ม]:[คะแนนเต็ม]]),"",(tbl_task2[140]/tbl_task2[[คะแนนเต็ม]:[คะแนนเต็ม]])*tbl_task2[[%]:[%]])</f>
        <v/>
      </c>
      <c r="KY26" s="121" t="str">
        <f>IF(ISBLANK(tbl_task2[[คะแนนเต็ม]:[คะแนนเต็ม]]),"",(tbl_task2[141]/tbl_task2[[คะแนนเต็ม]:[คะแนนเต็ม]])*tbl_task2[[%]:[%]])</f>
        <v/>
      </c>
      <c r="KZ26" s="121" t="str">
        <f>IF(ISBLANK(tbl_task2[[คะแนนเต็ม]:[คะแนนเต็ม]]),"",(tbl_task2[142]/tbl_task2[[คะแนนเต็ม]:[คะแนนเต็ม]])*tbl_task2[[%]:[%]])</f>
        <v/>
      </c>
      <c r="LA26" s="121" t="str">
        <f>IF(ISBLANK(tbl_task2[[คะแนนเต็ม]:[คะแนนเต็ม]]),"",(tbl_task2[143]/tbl_task2[[คะแนนเต็ม]:[คะแนนเต็ม]])*tbl_task2[[%]:[%]])</f>
        <v/>
      </c>
      <c r="LB26" s="121" t="str">
        <f>IF(ISBLANK(tbl_task2[[คะแนนเต็ม]:[คะแนนเต็ม]]),"",(tbl_task2[144]/tbl_task2[[คะแนนเต็ม]:[คะแนนเต็ม]])*tbl_task2[[%]:[%]])</f>
        <v/>
      </c>
      <c r="LC26" s="121" t="str">
        <f>IF(ISBLANK(tbl_task2[[คะแนนเต็ม]:[คะแนนเต็ม]]),"",(tbl_task2[145]/tbl_task2[[คะแนนเต็ม]:[คะแนนเต็ม]])*tbl_task2[[%]:[%]])</f>
        <v/>
      </c>
      <c r="LD26" s="121" t="str">
        <f>IF(ISBLANK(tbl_task2[[คะแนนเต็ม]:[คะแนนเต็ม]]),"",(tbl_task2[146]/tbl_task2[[คะแนนเต็ม]:[คะแนนเต็ม]])*tbl_task2[[%]:[%]])</f>
        <v/>
      </c>
      <c r="LE26" s="121" t="str">
        <f>IF(ISBLANK(tbl_task2[[คะแนนเต็ม]:[คะแนนเต็ม]]),"",(tbl_task2[147]/tbl_task2[[คะแนนเต็ม]:[คะแนนเต็ม]])*tbl_task2[[%]:[%]])</f>
        <v/>
      </c>
      <c r="LF26" s="121" t="str">
        <f>IF(ISBLANK(tbl_task2[[คะแนนเต็ม]:[คะแนนเต็ม]]),"",(tbl_task2[148]/tbl_task2[[คะแนนเต็ม]:[คะแนนเต็ม]])*tbl_task2[[%]:[%]])</f>
        <v/>
      </c>
      <c r="LG26" s="121" t="str">
        <f>IF(ISBLANK(tbl_task2[[คะแนนเต็ม]:[คะแนนเต็ม]]),"",(tbl_task2[149]/tbl_task2[[คะแนนเต็ม]:[คะแนนเต็ม]])*tbl_task2[[%]:[%]])</f>
        <v/>
      </c>
      <c r="LH26" s="121" t="str">
        <f>IF(ISBLANK(tbl_task2[[คะแนนเต็ม]:[คะแนนเต็ม]]),"",(tbl_task2[150]/tbl_task2[[คะแนนเต็ม]:[คะแนนเต็ม]])*tbl_task2[[%]:[%]])</f>
        <v/>
      </c>
      <c r="LI26" s="121" t="str">
        <f>IF(ISBLANK(tbl_task2[[คะแนนเต็ม]:[คะแนนเต็ม]]),"",(tbl_task2[151]/tbl_task2[[คะแนนเต็ม]:[คะแนนเต็ม]])*tbl_task2[[%]:[%]])</f>
        <v/>
      </c>
      <c r="LJ26" s="121" t="str">
        <f>IF(ISBLANK(tbl_task2[[คะแนนเต็ม]:[คะแนนเต็ม]]),"",(tbl_task2[152]/tbl_task2[[คะแนนเต็ม]:[คะแนนเต็ม]])*tbl_task2[[%]:[%]])</f>
        <v/>
      </c>
      <c r="LK26" s="121" t="str">
        <f>IF(ISBLANK(tbl_task2[[คะแนนเต็ม]:[คะแนนเต็ม]]),"",(tbl_task2[153]/tbl_task2[[คะแนนเต็ม]:[คะแนนเต็ม]])*tbl_task2[[%]:[%]])</f>
        <v/>
      </c>
      <c r="LL26" s="121" t="str">
        <f>IF(ISBLANK(tbl_task2[[คะแนนเต็ม]:[คะแนนเต็ม]]),"",(tbl_task2[154]/tbl_task2[[คะแนนเต็ม]:[คะแนนเต็ม]])*tbl_task2[[%]:[%]])</f>
        <v/>
      </c>
      <c r="LM26" s="121" t="str">
        <f>IF(ISBLANK(tbl_task2[[คะแนนเต็ม]:[คะแนนเต็ม]]),"",(tbl_task2[155]/tbl_task2[[คะแนนเต็ม]:[คะแนนเต็ม]])*tbl_task2[[%]:[%]])</f>
        <v/>
      </c>
      <c r="LN26" s="121" t="str">
        <f>IF(ISBLANK(tbl_task2[[คะแนนเต็ม]:[คะแนนเต็ม]]),"",(tbl_task2[156]/tbl_task2[[คะแนนเต็ม]:[คะแนนเต็ม]])*tbl_task2[[%]:[%]])</f>
        <v/>
      </c>
      <c r="LO26" s="121" t="str">
        <f>IF(ISBLANK(tbl_task2[[คะแนนเต็ม]:[คะแนนเต็ม]]),"",(tbl_task2[157]/tbl_task2[[คะแนนเต็ม]:[คะแนนเต็ม]])*tbl_task2[[%]:[%]])</f>
        <v/>
      </c>
      <c r="LP26" s="121" t="str">
        <f>IF(ISBLANK(tbl_task2[[คะแนนเต็ม]:[คะแนนเต็ม]]),"",(tbl_task2[158]/tbl_task2[[คะแนนเต็ม]:[คะแนนเต็ม]])*tbl_task2[[%]:[%]])</f>
        <v/>
      </c>
      <c r="LQ26" s="121" t="str">
        <f>IF(ISBLANK(tbl_task2[[คะแนนเต็ม]:[คะแนนเต็ม]]),"",(tbl_task2[159]/tbl_task2[[คะแนนเต็ม]:[คะแนนเต็ม]])*tbl_task2[[%]:[%]])</f>
        <v/>
      </c>
      <c r="LR26" s="121" t="str">
        <f>IF(ISBLANK(tbl_task2[[คะแนนเต็ม]:[คะแนนเต็ม]]),"",(tbl_task2[160]/tbl_task2[[คะแนนเต็ม]:[คะแนนเต็ม]])*tbl_task2[[%]:[%]])</f>
        <v/>
      </c>
      <c r="LS26" s="121" t="str">
        <f>IF(ISBLANK(tbl_task2[[คะแนนเต็ม]:[คะแนนเต็ม]]),"",(tbl_task2[161]/tbl_task2[[คะแนนเต็ม]:[คะแนนเต็ม]])*tbl_task2[[%]:[%]])</f>
        <v/>
      </c>
      <c r="LT26" s="121" t="str">
        <f>IF(ISBLANK(tbl_task2[[คะแนนเต็ม]:[คะแนนเต็ม]]),"",(tbl_task2[162]/tbl_task2[[คะแนนเต็ม]:[คะแนนเต็ม]])*tbl_task2[[%]:[%]])</f>
        <v/>
      </c>
      <c r="LU26" s="121" t="str">
        <f>IF(ISBLANK(tbl_task2[[คะแนนเต็ม]:[คะแนนเต็ม]]),"",(tbl_task2[163]/tbl_task2[[คะแนนเต็ม]:[คะแนนเต็ม]])*tbl_task2[[%]:[%]])</f>
        <v/>
      </c>
      <c r="LV26" s="121" t="str">
        <f>IF(ISBLANK(tbl_task2[[คะแนนเต็ม]:[คะแนนเต็ม]]),"",(tbl_task2[164]/tbl_task2[[คะแนนเต็ม]:[คะแนนเต็ม]])*tbl_task2[[%]:[%]])</f>
        <v/>
      </c>
      <c r="LW26" s="121" t="str">
        <f>IF(ISBLANK(tbl_task2[[คะแนนเต็ม]:[คะแนนเต็ม]]),"",(tbl_task2[165]/tbl_task2[[คะแนนเต็ม]:[คะแนนเต็ม]])*tbl_task2[[%]:[%]])</f>
        <v/>
      </c>
    </row>
    <row r="27" spans="1:335" ht="24" customHeight="1" x14ac:dyDescent="0.25">
      <c r="A27" s="24">
        <v>24</v>
      </c>
      <c r="B27" s="20"/>
      <c r="C27" s="5" t="str">
        <f>IF(ISBLANK(B27),"",VLOOKUP(B27,tbl_PLOs[],2,0))</f>
        <v/>
      </c>
      <c r="D27" s="102"/>
      <c r="E27" s="106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21" t="str">
        <f>IF(ISBLANK(tbl_task2[[คะแนนเต็ม]:[คะแนนเต็ม]]),"",(tbl_task2[1]/tbl_task2[[คะแนนเต็ม]:[คะแนนเต็ม]])*tbl_task2[[%]:[%]])</f>
        <v/>
      </c>
      <c r="FP27" s="121" t="str">
        <f>IF(ISBLANK(tbl_task2[[คะแนนเต็ม]:[คะแนนเต็ม]]),"",(tbl_task2[2]/tbl_task2[[คะแนนเต็ม]:[คะแนนเต็ม]])*tbl_task2[[%]:[%]])</f>
        <v/>
      </c>
      <c r="FQ27" s="121" t="str">
        <f>IF(ISBLANK(tbl_task2[[คะแนนเต็ม]:[คะแนนเต็ม]]),"",(tbl_task2[3]/tbl_task2[[คะแนนเต็ม]:[คะแนนเต็ม]])*tbl_task2[[%]:[%]])</f>
        <v/>
      </c>
      <c r="FR27" s="121" t="str">
        <f>IF(ISBLANK(tbl_task2[[คะแนนเต็ม]:[คะแนนเต็ม]]),"",(tbl_task2[4]/tbl_task2[[คะแนนเต็ม]:[คะแนนเต็ม]])*tbl_task2[[%]:[%]])</f>
        <v/>
      </c>
      <c r="FS27" s="121" t="str">
        <f>IF(ISBLANK(tbl_task2[[คะแนนเต็ม]:[คะแนนเต็ม]]),"",(tbl_task2[5]/tbl_task2[[คะแนนเต็ม]:[คะแนนเต็ม]])*tbl_task2[[%]:[%]])</f>
        <v/>
      </c>
      <c r="FT27" s="121" t="str">
        <f>IF(ISBLANK(tbl_task2[[คะแนนเต็ม]:[คะแนนเต็ม]]),"",(tbl_task2[6]/tbl_task2[[คะแนนเต็ม]:[คะแนนเต็ม]])*tbl_task2[[%]:[%]])</f>
        <v/>
      </c>
      <c r="FU27" s="121" t="str">
        <f>IF(ISBLANK(tbl_task2[[คะแนนเต็ม]:[คะแนนเต็ม]]),"",(tbl_task2[7]/tbl_task2[[คะแนนเต็ม]:[คะแนนเต็ม]])*tbl_task2[[%]:[%]])</f>
        <v/>
      </c>
      <c r="FV27" s="121" t="str">
        <f>IF(ISBLANK(tbl_task2[[คะแนนเต็ม]:[คะแนนเต็ม]]),"",(tbl_task2[8]/tbl_task2[[คะแนนเต็ม]:[คะแนนเต็ม]])*tbl_task2[[%]:[%]])</f>
        <v/>
      </c>
      <c r="FW27" s="121" t="str">
        <f>IF(ISBLANK(tbl_task2[[คะแนนเต็ม]:[คะแนนเต็ม]]),"",(tbl_task2[9]/tbl_task2[[คะแนนเต็ม]:[คะแนนเต็ม]])*tbl_task2[[%]:[%]])</f>
        <v/>
      </c>
      <c r="FX27" s="121" t="str">
        <f>IF(ISBLANK(tbl_task2[[คะแนนเต็ม]:[คะแนนเต็ม]]),"",(tbl_task2[10]/tbl_task2[[คะแนนเต็ม]:[คะแนนเต็ม]])*tbl_task2[[%]:[%]])</f>
        <v/>
      </c>
      <c r="FY27" s="121" t="str">
        <f>IF(ISBLANK(tbl_task2[[คะแนนเต็ม]:[คะแนนเต็ม]]),"",(tbl_task2[11]/tbl_task2[[คะแนนเต็ม]:[คะแนนเต็ม]])*tbl_task2[[%]:[%]])</f>
        <v/>
      </c>
      <c r="FZ27" s="121" t="str">
        <f>IF(ISBLANK(tbl_task2[[คะแนนเต็ม]:[คะแนนเต็ม]]),"",(tbl_task2[12]/tbl_task2[[คะแนนเต็ม]:[คะแนนเต็ม]])*tbl_task2[[%]:[%]])</f>
        <v/>
      </c>
      <c r="GA27" s="121" t="str">
        <f>IF(ISBLANK(tbl_task2[[คะแนนเต็ม]:[คะแนนเต็ม]]),"",(tbl_task2[13]/tbl_task2[[คะแนนเต็ม]:[คะแนนเต็ม]])*tbl_task2[[%]:[%]])</f>
        <v/>
      </c>
      <c r="GB27" s="121" t="str">
        <f>IF(ISBLANK(tbl_task2[[คะแนนเต็ม]:[คะแนนเต็ม]]),"",(tbl_task2[14]/tbl_task2[[คะแนนเต็ม]:[คะแนนเต็ม]])*tbl_task2[[%]:[%]])</f>
        <v/>
      </c>
      <c r="GC27" s="121" t="str">
        <f>IF(ISBLANK(tbl_task2[[คะแนนเต็ม]:[คะแนนเต็ม]]),"",(tbl_task2[15]/tbl_task2[[คะแนนเต็ม]:[คะแนนเต็ม]])*tbl_task2[[%]:[%]])</f>
        <v/>
      </c>
      <c r="GD27" s="121" t="str">
        <f>IF(ISBLANK(tbl_task2[[คะแนนเต็ม]:[คะแนนเต็ม]]),"",(tbl_task2[16]/tbl_task2[[คะแนนเต็ม]:[คะแนนเต็ม]])*tbl_task2[[%]:[%]])</f>
        <v/>
      </c>
      <c r="GE27" s="121" t="str">
        <f>IF(ISBLANK(tbl_task2[[คะแนนเต็ม]:[คะแนนเต็ม]]),"",(tbl_task2[17]/tbl_task2[[คะแนนเต็ม]:[คะแนนเต็ม]])*tbl_task2[[%]:[%]])</f>
        <v/>
      </c>
      <c r="GF27" s="121" t="str">
        <f>IF(ISBLANK(tbl_task2[[คะแนนเต็ม]:[คะแนนเต็ม]]),"",(tbl_task2[18]/tbl_task2[[คะแนนเต็ม]:[คะแนนเต็ม]])*tbl_task2[[%]:[%]])</f>
        <v/>
      </c>
      <c r="GG27" s="121" t="str">
        <f>IF(ISBLANK(tbl_task2[[คะแนนเต็ม]:[คะแนนเต็ม]]),"",(tbl_task2[19]/tbl_task2[[คะแนนเต็ม]:[คะแนนเต็ม]])*tbl_task2[[%]:[%]])</f>
        <v/>
      </c>
      <c r="GH27" s="121" t="str">
        <f>IF(ISBLANK(tbl_task2[[คะแนนเต็ม]:[คะแนนเต็ม]]),"",(tbl_task2[20]/tbl_task2[[คะแนนเต็ม]:[คะแนนเต็ม]])*tbl_task2[[%]:[%]])</f>
        <v/>
      </c>
      <c r="GI27" s="121" t="str">
        <f>IF(ISBLANK(tbl_task2[[คะแนนเต็ม]:[คะแนนเต็ม]]),"",(tbl_task2[21]/tbl_task2[[คะแนนเต็ม]:[คะแนนเต็ม]])*tbl_task2[[%]:[%]])</f>
        <v/>
      </c>
      <c r="GJ27" s="121" t="str">
        <f>IF(ISBLANK(tbl_task2[[คะแนนเต็ม]:[คะแนนเต็ม]]),"",(tbl_task2[22]/tbl_task2[[คะแนนเต็ม]:[คะแนนเต็ม]])*tbl_task2[[%]:[%]])</f>
        <v/>
      </c>
      <c r="GK27" s="121" t="str">
        <f>IF(ISBLANK(tbl_task2[[คะแนนเต็ม]:[คะแนนเต็ม]]),"",(tbl_task2[23]/tbl_task2[[คะแนนเต็ม]:[คะแนนเต็ม]])*tbl_task2[[%]:[%]])</f>
        <v/>
      </c>
      <c r="GL27" s="121" t="str">
        <f>IF(ISBLANK(tbl_task2[[คะแนนเต็ม]:[คะแนนเต็ม]]),"",(tbl_task2[24]/tbl_task2[[คะแนนเต็ม]:[คะแนนเต็ม]])*tbl_task2[[%]:[%]])</f>
        <v/>
      </c>
      <c r="GM27" s="121" t="str">
        <f>IF(ISBLANK(tbl_task2[[คะแนนเต็ม]:[คะแนนเต็ม]]),"",(tbl_task2[25]/tbl_task2[[คะแนนเต็ม]:[คะแนนเต็ม]])*tbl_task2[[%]:[%]])</f>
        <v/>
      </c>
      <c r="GN27" s="121" t="str">
        <f>IF(ISBLANK(tbl_task2[[คะแนนเต็ม]:[คะแนนเต็ม]]),"",(tbl_task2[26]/tbl_task2[[คะแนนเต็ม]:[คะแนนเต็ม]])*tbl_task2[[%]:[%]])</f>
        <v/>
      </c>
      <c r="GO27" s="121" t="str">
        <f>IF(ISBLANK(tbl_task2[[คะแนนเต็ม]:[คะแนนเต็ม]]),"",(tbl_task2[27]/tbl_task2[[คะแนนเต็ม]:[คะแนนเต็ม]])*tbl_task2[[%]:[%]])</f>
        <v/>
      </c>
      <c r="GP27" s="121" t="str">
        <f>IF(ISBLANK(tbl_task2[[คะแนนเต็ม]:[คะแนนเต็ม]]),"",(tbl_task2[28]/tbl_task2[[คะแนนเต็ม]:[คะแนนเต็ม]])*tbl_task2[[%]:[%]])</f>
        <v/>
      </c>
      <c r="GQ27" s="121" t="str">
        <f>IF(ISBLANK(tbl_task2[[คะแนนเต็ม]:[คะแนนเต็ม]]),"",(tbl_task2[29]/tbl_task2[[คะแนนเต็ม]:[คะแนนเต็ม]])*tbl_task2[[%]:[%]])</f>
        <v/>
      </c>
      <c r="GR27" s="121" t="str">
        <f>IF(ISBLANK(tbl_task2[[คะแนนเต็ม]:[คะแนนเต็ม]]),"",(tbl_task2[30]/tbl_task2[[คะแนนเต็ม]:[คะแนนเต็ม]])*tbl_task2[[%]:[%]])</f>
        <v/>
      </c>
      <c r="GS27" s="121" t="str">
        <f>IF(ISBLANK(tbl_task2[[คะแนนเต็ม]:[คะแนนเต็ม]]),"",(tbl_task2[31]/tbl_task2[[คะแนนเต็ม]:[คะแนนเต็ม]])*tbl_task2[[%]:[%]])</f>
        <v/>
      </c>
      <c r="GT27" s="121" t="str">
        <f>IF(ISBLANK(tbl_task2[[คะแนนเต็ม]:[คะแนนเต็ม]]),"",(tbl_task2[32]/tbl_task2[[คะแนนเต็ม]:[คะแนนเต็ม]])*tbl_task2[[%]:[%]])</f>
        <v/>
      </c>
      <c r="GU27" s="121" t="str">
        <f>IF(ISBLANK(tbl_task2[[คะแนนเต็ม]:[คะแนนเต็ม]]),"",(tbl_task2[33]/tbl_task2[[คะแนนเต็ม]:[คะแนนเต็ม]])*tbl_task2[[%]:[%]])</f>
        <v/>
      </c>
      <c r="GV27" s="121" t="str">
        <f>IF(ISBLANK(tbl_task2[[คะแนนเต็ม]:[คะแนนเต็ม]]),"",(tbl_task2[34]/tbl_task2[[คะแนนเต็ม]:[คะแนนเต็ม]])*tbl_task2[[%]:[%]])</f>
        <v/>
      </c>
      <c r="GW27" s="121" t="str">
        <f>IF(ISBLANK(tbl_task2[[คะแนนเต็ม]:[คะแนนเต็ม]]),"",(tbl_task2[35]/tbl_task2[[คะแนนเต็ม]:[คะแนนเต็ม]])*tbl_task2[[%]:[%]])</f>
        <v/>
      </c>
      <c r="GX27" s="121" t="str">
        <f>IF(ISBLANK(tbl_task2[[คะแนนเต็ม]:[คะแนนเต็ม]]),"",(tbl_task2[36]/tbl_task2[[คะแนนเต็ม]:[คะแนนเต็ม]])*tbl_task2[[%]:[%]])</f>
        <v/>
      </c>
      <c r="GY27" s="121" t="str">
        <f>IF(ISBLANK(tbl_task2[[คะแนนเต็ม]:[คะแนนเต็ม]]),"",(tbl_task2[37]/tbl_task2[[คะแนนเต็ม]:[คะแนนเต็ม]])*tbl_task2[[%]:[%]])</f>
        <v/>
      </c>
      <c r="GZ27" s="121" t="str">
        <f>IF(ISBLANK(tbl_task2[[คะแนนเต็ม]:[คะแนนเต็ม]]),"",(tbl_task2[38]/tbl_task2[[คะแนนเต็ม]:[คะแนนเต็ม]])*tbl_task2[[%]:[%]])</f>
        <v/>
      </c>
      <c r="HA27" s="121" t="str">
        <f>IF(ISBLANK(tbl_task2[[คะแนนเต็ม]:[คะแนนเต็ม]]),"",(tbl_task2[39]/tbl_task2[[คะแนนเต็ม]:[คะแนนเต็ม]])*tbl_task2[[%]:[%]])</f>
        <v/>
      </c>
      <c r="HB27" s="121" t="str">
        <f>IF(ISBLANK(tbl_task2[[คะแนนเต็ม]:[คะแนนเต็ม]]),"",(tbl_task2[40]/tbl_task2[[คะแนนเต็ม]:[คะแนนเต็ม]])*tbl_task2[[%]:[%]])</f>
        <v/>
      </c>
      <c r="HC27" s="121" t="str">
        <f>IF(ISBLANK(tbl_task2[[คะแนนเต็ม]:[คะแนนเต็ม]]),"",(tbl_task2[41]/tbl_task2[[คะแนนเต็ม]:[คะแนนเต็ม]])*tbl_task2[[%]:[%]])</f>
        <v/>
      </c>
      <c r="HD27" s="121" t="str">
        <f>IF(ISBLANK(tbl_task2[[คะแนนเต็ม]:[คะแนนเต็ม]]),"",(tbl_task2[42]/tbl_task2[[คะแนนเต็ม]:[คะแนนเต็ม]])*tbl_task2[[%]:[%]])</f>
        <v/>
      </c>
      <c r="HE27" s="121" t="str">
        <f>IF(ISBLANK(tbl_task2[[คะแนนเต็ม]:[คะแนนเต็ม]]),"",(tbl_task2[43]/tbl_task2[[คะแนนเต็ม]:[คะแนนเต็ม]])*tbl_task2[[%]:[%]])</f>
        <v/>
      </c>
      <c r="HF27" s="121" t="str">
        <f>IF(ISBLANK(tbl_task2[[คะแนนเต็ม]:[คะแนนเต็ม]]),"",(tbl_task2[44]/tbl_task2[[คะแนนเต็ม]:[คะแนนเต็ม]])*tbl_task2[[%]:[%]])</f>
        <v/>
      </c>
      <c r="HG27" s="121" t="str">
        <f>IF(ISBLANK(tbl_task2[[คะแนนเต็ม]:[คะแนนเต็ม]]),"",(tbl_task2[45]/tbl_task2[[คะแนนเต็ม]:[คะแนนเต็ม]])*tbl_task2[[%]:[%]])</f>
        <v/>
      </c>
      <c r="HH27" s="121" t="str">
        <f>IF(ISBLANK(tbl_task2[[คะแนนเต็ม]:[คะแนนเต็ม]]),"",(tbl_task2[46]/tbl_task2[[คะแนนเต็ม]:[คะแนนเต็ม]])*tbl_task2[[%]:[%]])</f>
        <v/>
      </c>
      <c r="HI27" s="121" t="str">
        <f>IF(ISBLANK(tbl_task2[[คะแนนเต็ม]:[คะแนนเต็ม]]),"",(tbl_task2[47]/tbl_task2[[คะแนนเต็ม]:[คะแนนเต็ม]])*tbl_task2[[%]:[%]])</f>
        <v/>
      </c>
      <c r="HJ27" s="121" t="str">
        <f>IF(ISBLANK(tbl_task2[[คะแนนเต็ม]:[คะแนนเต็ม]]),"",(tbl_task2[48]/tbl_task2[[คะแนนเต็ม]:[คะแนนเต็ม]])*tbl_task2[[%]:[%]])</f>
        <v/>
      </c>
      <c r="HK27" s="121" t="str">
        <f>IF(ISBLANK(tbl_task2[[คะแนนเต็ม]:[คะแนนเต็ม]]),"",(tbl_task2[49]/tbl_task2[[คะแนนเต็ม]:[คะแนนเต็ม]])*tbl_task2[[%]:[%]])</f>
        <v/>
      </c>
      <c r="HL27" s="121" t="str">
        <f>IF(ISBLANK(tbl_task2[[คะแนนเต็ม]:[คะแนนเต็ม]]),"",(tbl_task2[50]/tbl_task2[[คะแนนเต็ม]:[คะแนนเต็ม]])*tbl_task2[[%]:[%]])</f>
        <v/>
      </c>
      <c r="HM27" s="121" t="str">
        <f>IF(ISBLANK(tbl_task2[[คะแนนเต็ม]:[คะแนนเต็ม]]),"",(tbl_task2[51]/tbl_task2[[คะแนนเต็ม]:[คะแนนเต็ม]])*tbl_task2[[%]:[%]])</f>
        <v/>
      </c>
      <c r="HN27" s="121" t="str">
        <f>IF(ISBLANK(tbl_task2[[คะแนนเต็ม]:[คะแนนเต็ม]]),"",(tbl_task2[52]/tbl_task2[[คะแนนเต็ม]:[คะแนนเต็ม]])*tbl_task2[[%]:[%]])</f>
        <v/>
      </c>
      <c r="HO27" s="121" t="str">
        <f>IF(ISBLANK(tbl_task2[[คะแนนเต็ม]:[คะแนนเต็ม]]),"",(tbl_task2[53]/tbl_task2[[คะแนนเต็ม]:[คะแนนเต็ม]])*tbl_task2[[%]:[%]])</f>
        <v/>
      </c>
      <c r="HP27" s="121" t="str">
        <f>IF(ISBLANK(tbl_task2[[คะแนนเต็ม]:[คะแนนเต็ม]]),"",(tbl_task2[54]/tbl_task2[[คะแนนเต็ม]:[คะแนนเต็ม]])*tbl_task2[[%]:[%]])</f>
        <v/>
      </c>
      <c r="HQ27" s="121" t="str">
        <f>IF(ISBLANK(tbl_task2[[คะแนนเต็ม]:[คะแนนเต็ม]]),"",(tbl_task2[55]/tbl_task2[[คะแนนเต็ม]:[คะแนนเต็ม]])*tbl_task2[[%]:[%]])</f>
        <v/>
      </c>
      <c r="HR27" s="121" t="str">
        <f>IF(ISBLANK(tbl_task2[[คะแนนเต็ม]:[คะแนนเต็ม]]),"",(tbl_task2[56]/tbl_task2[[คะแนนเต็ม]:[คะแนนเต็ม]])*tbl_task2[[%]:[%]])</f>
        <v/>
      </c>
      <c r="HS27" s="121" t="str">
        <f>IF(ISBLANK(tbl_task2[[คะแนนเต็ม]:[คะแนนเต็ม]]),"",(tbl_task2[57]/tbl_task2[[คะแนนเต็ม]:[คะแนนเต็ม]])*tbl_task2[[%]:[%]])</f>
        <v/>
      </c>
      <c r="HT27" s="121" t="str">
        <f>IF(ISBLANK(tbl_task2[[คะแนนเต็ม]:[คะแนนเต็ม]]),"",(tbl_task2[58]/tbl_task2[[คะแนนเต็ม]:[คะแนนเต็ม]])*tbl_task2[[%]:[%]])</f>
        <v/>
      </c>
      <c r="HU27" s="121" t="str">
        <f>IF(ISBLANK(tbl_task2[[คะแนนเต็ม]:[คะแนนเต็ม]]),"",(tbl_task2[59]/tbl_task2[[คะแนนเต็ม]:[คะแนนเต็ม]])*tbl_task2[[%]:[%]])</f>
        <v/>
      </c>
      <c r="HV27" s="121" t="str">
        <f>IF(ISBLANK(tbl_task2[[คะแนนเต็ม]:[คะแนนเต็ม]]),"",(tbl_task2[60]/tbl_task2[[คะแนนเต็ม]:[คะแนนเต็ม]])*tbl_task2[[%]:[%]])</f>
        <v/>
      </c>
      <c r="HW27" s="121" t="str">
        <f>IF(ISBLANK(tbl_task2[[คะแนนเต็ม]:[คะแนนเต็ม]]),"",(tbl_task2[61]/tbl_task2[[คะแนนเต็ม]:[คะแนนเต็ม]])*tbl_task2[[%]:[%]])</f>
        <v/>
      </c>
      <c r="HX27" s="121" t="str">
        <f>IF(ISBLANK(tbl_task2[[คะแนนเต็ม]:[คะแนนเต็ม]]),"",(tbl_task2[62]/tbl_task2[[คะแนนเต็ม]:[คะแนนเต็ม]])*tbl_task2[[%]:[%]])</f>
        <v/>
      </c>
      <c r="HY27" s="121" t="str">
        <f>IF(ISBLANK(tbl_task2[[คะแนนเต็ม]:[คะแนนเต็ม]]),"",(tbl_task2[63]/tbl_task2[[คะแนนเต็ม]:[คะแนนเต็ม]])*tbl_task2[[%]:[%]])</f>
        <v/>
      </c>
      <c r="HZ27" s="121" t="str">
        <f>IF(ISBLANK(tbl_task2[[คะแนนเต็ม]:[คะแนนเต็ม]]),"",(tbl_task2[64]/tbl_task2[[คะแนนเต็ม]:[คะแนนเต็ม]])*tbl_task2[[%]:[%]])</f>
        <v/>
      </c>
      <c r="IA27" s="121" t="str">
        <f>IF(ISBLANK(tbl_task2[[คะแนนเต็ม]:[คะแนนเต็ม]]),"",(tbl_task2[65]/tbl_task2[[คะแนนเต็ม]:[คะแนนเต็ม]])*tbl_task2[[%]:[%]])</f>
        <v/>
      </c>
      <c r="IB27" s="121" t="str">
        <f>IF(ISBLANK(tbl_task2[[คะแนนเต็ม]:[คะแนนเต็ม]]),"",(tbl_task2[66]/tbl_task2[[คะแนนเต็ม]:[คะแนนเต็ม]])*tbl_task2[[%]:[%]])</f>
        <v/>
      </c>
      <c r="IC27" s="121" t="str">
        <f>IF(ISBLANK(tbl_task2[[คะแนนเต็ม]:[คะแนนเต็ม]]),"",(tbl_task2[67]/tbl_task2[[คะแนนเต็ม]:[คะแนนเต็ม]])*tbl_task2[[%]:[%]])</f>
        <v/>
      </c>
      <c r="ID27" s="121" t="str">
        <f>IF(ISBLANK(tbl_task2[[คะแนนเต็ม]:[คะแนนเต็ม]]),"",(tbl_task2[68]/tbl_task2[[คะแนนเต็ม]:[คะแนนเต็ม]])*tbl_task2[[%]:[%]])</f>
        <v/>
      </c>
      <c r="IE27" s="121" t="str">
        <f>IF(ISBLANK(tbl_task2[[คะแนนเต็ม]:[คะแนนเต็ม]]),"",(tbl_task2[69]/tbl_task2[[คะแนนเต็ม]:[คะแนนเต็ม]])*tbl_task2[[%]:[%]])</f>
        <v/>
      </c>
      <c r="IF27" s="121" t="str">
        <f>IF(ISBLANK(tbl_task2[[คะแนนเต็ม]:[คะแนนเต็ม]]),"",(tbl_task2[70]/tbl_task2[[คะแนนเต็ม]:[คะแนนเต็ม]])*tbl_task2[[%]:[%]])</f>
        <v/>
      </c>
      <c r="IG27" s="121" t="str">
        <f>IF(ISBLANK(tbl_task2[[คะแนนเต็ม]:[คะแนนเต็ม]]),"",(tbl_task2[71]/tbl_task2[[คะแนนเต็ม]:[คะแนนเต็ม]])*tbl_task2[[%]:[%]])</f>
        <v/>
      </c>
      <c r="IH27" s="121" t="str">
        <f>IF(ISBLANK(tbl_task2[[คะแนนเต็ม]:[คะแนนเต็ม]]),"",(tbl_task2[72]/tbl_task2[[คะแนนเต็ม]:[คะแนนเต็ม]])*tbl_task2[[%]:[%]])</f>
        <v/>
      </c>
      <c r="II27" s="121" t="str">
        <f>IF(ISBLANK(tbl_task2[[คะแนนเต็ม]:[คะแนนเต็ม]]),"",(tbl_task2[73]/tbl_task2[[คะแนนเต็ม]:[คะแนนเต็ม]])*tbl_task2[[%]:[%]])</f>
        <v/>
      </c>
      <c r="IJ27" s="121" t="str">
        <f>IF(ISBLANK(tbl_task2[[คะแนนเต็ม]:[คะแนนเต็ม]]),"",(tbl_task2[74]/tbl_task2[[คะแนนเต็ม]:[คะแนนเต็ม]])*tbl_task2[[%]:[%]])</f>
        <v/>
      </c>
      <c r="IK27" s="121" t="str">
        <f>IF(ISBLANK(tbl_task2[[คะแนนเต็ม]:[คะแนนเต็ม]]),"",(tbl_task2[75]/tbl_task2[[คะแนนเต็ม]:[คะแนนเต็ม]])*tbl_task2[[%]:[%]])</f>
        <v/>
      </c>
      <c r="IL27" s="121" t="str">
        <f>IF(ISBLANK(tbl_task2[[คะแนนเต็ม]:[คะแนนเต็ม]]),"",(tbl_task2[76]/tbl_task2[[คะแนนเต็ม]:[คะแนนเต็ม]])*tbl_task2[[%]:[%]])</f>
        <v/>
      </c>
      <c r="IM27" s="121" t="str">
        <f>IF(ISBLANK(tbl_task2[[คะแนนเต็ม]:[คะแนนเต็ม]]),"",(tbl_task2[77]/tbl_task2[[คะแนนเต็ม]:[คะแนนเต็ม]])*tbl_task2[[%]:[%]])</f>
        <v/>
      </c>
      <c r="IN27" s="121" t="str">
        <f>IF(ISBLANK(tbl_task2[[คะแนนเต็ม]:[คะแนนเต็ม]]),"",(tbl_task2[78]/tbl_task2[[คะแนนเต็ม]:[คะแนนเต็ม]])*tbl_task2[[%]:[%]])</f>
        <v/>
      </c>
      <c r="IO27" s="121" t="str">
        <f>IF(ISBLANK(tbl_task2[[คะแนนเต็ม]:[คะแนนเต็ม]]),"",(tbl_task2[79]/tbl_task2[[คะแนนเต็ม]:[คะแนนเต็ม]])*tbl_task2[[%]:[%]])</f>
        <v/>
      </c>
      <c r="IP27" s="121" t="str">
        <f>IF(ISBLANK(tbl_task2[[คะแนนเต็ม]:[คะแนนเต็ม]]),"",(tbl_task2[80]/tbl_task2[[คะแนนเต็ม]:[คะแนนเต็ม]])*tbl_task2[[%]:[%]])</f>
        <v/>
      </c>
      <c r="IQ27" s="121" t="str">
        <f>IF(ISBLANK(tbl_task2[[คะแนนเต็ม]:[คะแนนเต็ม]]),"",(tbl_task2[81]/tbl_task2[[คะแนนเต็ม]:[คะแนนเต็ม]])*tbl_task2[[%]:[%]])</f>
        <v/>
      </c>
      <c r="IR27" s="121" t="str">
        <f>IF(ISBLANK(tbl_task2[[คะแนนเต็ม]:[คะแนนเต็ม]]),"",(tbl_task2[82]/tbl_task2[[คะแนนเต็ม]:[คะแนนเต็ม]])*tbl_task2[[%]:[%]])</f>
        <v/>
      </c>
      <c r="IS27" s="121" t="str">
        <f>IF(ISBLANK(tbl_task2[[คะแนนเต็ม]:[คะแนนเต็ม]]),"",(tbl_task2[83]/tbl_task2[[คะแนนเต็ม]:[คะแนนเต็ม]])*tbl_task2[[%]:[%]])</f>
        <v/>
      </c>
      <c r="IT27" s="121" t="str">
        <f>IF(ISBLANK(tbl_task2[[คะแนนเต็ม]:[คะแนนเต็ม]]),"",(tbl_task2[84]/tbl_task2[[คะแนนเต็ม]:[คะแนนเต็ม]])*tbl_task2[[%]:[%]])</f>
        <v/>
      </c>
      <c r="IU27" s="121" t="str">
        <f>IF(ISBLANK(tbl_task2[[คะแนนเต็ม]:[คะแนนเต็ม]]),"",(tbl_task2[85]/tbl_task2[[คะแนนเต็ม]:[คะแนนเต็ม]])*tbl_task2[[%]:[%]])</f>
        <v/>
      </c>
      <c r="IV27" s="121" t="str">
        <f>IF(ISBLANK(tbl_task2[[คะแนนเต็ม]:[คะแนนเต็ม]]),"",(tbl_task2[86]/tbl_task2[[คะแนนเต็ม]:[คะแนนเต็ม]])*tbl_task2[[%]:[%]])</f>
        <v/>
      </c>
      <c r="IW27" s="121" t="str">
        <f>IF(ISBLANK(tbl_task2[[คะแนนเต็ม]:[คะแนนเต็ม]]),"",(tbl_task2[87]/tbl_task2[[คะแนนเต็ม]:[คะแนนเต็ม]])*tbl_task2[[%]:[%]])</f>
        <v/>
      </c>
      <c r="IX27" s="121" t="str">
        <f>IF(ISBLANK(tbl_task2[[คะแนนเต็ม]:[คะแนนเต็ม]]),"",(tbl_task2[88]/tbl_task2[[คะแนนเต็ม]:[คะแนนเต็ม]])*tbl_task2[[%]:[%]])</f>
        <v/>
      </c>
      <c r="IY27" s="121" t="str">
        <f>IF(ISBLANK(tbl_task2[[คะแนนเต็ม]:[คะแนนเต็ม]]),"",(tbl_task2[89]/tbl_task2[[คะแนนเต็ม]:[คะแนนเต็ม]])*tbl_task2[[%]:[%]])</f>
        <v/>
      </c>
      <c r="IZ27" s="121" t="str">
        <f>IF(ISBLANK(tbl_task2[[คะแนนเต็ม]:[คะแนนเต็ม]]),"",(tbl_task2[90]/tbl_task2[[คะแนนเต็ม]:[คะแนนเต็ม]])*tbl_task2[[%]:[%]])</f>
        <v/>
      </c>
      <c r="JA27" s="121" t="str">
        <f>IF(ISBLANK(tbl_task2[[คะแนนเต็ม]:[คะแนนเต็ม]]),"",(tbl_task2[91]/tbl_task2[[คะแนนเต็ม]:[คะแนนเต็ม]])*tbl_task2[[%]:[%]])</f>
        <v/>
      </c>
      <c r="JB27" s="121" t="str">
        <f>IF(ISBLANK(tbl_task2[[คะแนนเต็ม]:[คะแนนเต็ม]]),"",(tbl_task2[92]/tbl_task2[[คะแนนเต็ม]:[คะแนนเต็ม]])*tbl_task2[[%]:[%]])</f>
        <v/>
      </c>
      <c r="JC27" s="121" t="str">
        <f>IF(ISBLANK(tbl_task2[[คะแนนเต็ม]:[คะแนนเต็ม]]),"",(tbl_task2[93]/tbl_task2[[คะแนนเต็ม]:[คะแนนเต็ม]])*tbl_task2[[%]:[%]])</f>
        <v/>
      </c>
      <c r="JD27" s="121" t="str">
        <f>IF(ISBLANK(tbl_task2[[คะแนนเต็ม]:[คะแนนเต็ม]]),"",(tbl_task2[94]/tbl_task2[[คะแนนเต็ม]:[คะแนนเต็ม]])*tbl_task2[[%]:[%]])</f>
        <v/>
      </c>
      <c r="JE27" s="121" t="str">
        <f>IF(ISBLANK(tbl_task2[[คะแนนเต็ม]:[คะแนนเต็ม]]),"",(tbl_task2[95]/tbl_task2[[คะแนนเต็ม]:[คะแนนเต็ม]])*tbl_task2[[%]:[%]])</f>
        <v/>
      </c>
      <c r="JF27" s="121" t="str">
        <f>IF(ISBLANK(tbl_task2[[คะแนนเต็ม]:[คะแนนเต็ม]]),"",(tbl_task2[96]/tbl_task2[[คะแนนเต็ม]:[คะแนนเต็ม]])*tbl_task2[[%]:[%]])</f>
        <v/>
      </c>
      <c r="JG27" s="121" t="str">
        <f>IF(ISBLANK(tbl_task2[[คะแนนเต็ม]:[คะแนนเต็ม]]),"",(tbl_task2[97]/tbl_task2[[คะแนนเต็ม]:[คะแนนเต็ม]])*tbl_task2[[%]:[%]])</f>
        <v/>
      </c>
      <c r="JH27" s="121" t="str">
        <f>IF(ISBLANK(tbl_task2[[คะแนนเต็ม]:[คะแนนเต็ม]]),"",(tbl_task2[98]/tbl_task2[[คะแนนเต็ม]:[คะแนนเต็ม]])*tbl_task2[[%]:[%]])</f>
        <v/>
      </c>
      <c r="JI27" s="121" t="str">
        <f>IF(ISBLANK(tbl_task2[[คะแนนเต็ม]:[คะแนนเต็ม]]),"",(tbl_task2[99]/tbl_task2[[คะแนนเต็ม]:[คะแนนเต็ม]])*tbl_task2[[%]:[%]])</f>
        <v/>
      </c>
      <c r="JJ27" s="121" t="str">
        <f>IF(ISBLANK(tbl_task2[[คะแนนเต็ม]:[คะแนนเต็ม]]),"",(tbl_task2[100]/tbl_task2[[คะแนนเต็ม]:[คะแนนเต็ม]])*tbl_task2[[%]:[%]])</f>
        <v/>
      </c>
      <c r="JK27" s="121" t="str">
        <f>IF(ISBLANK(tbl_task2[[คะแนนเต็ม]:[คะแนนเต็ม]]),"",(tbl_task2[101]/tbl_task2[[คะแนนเต็ม]:[คะแนนเต็ม]])*tbl_task2[[%]:[%]])</f>
        <v/>
      </c>
      <c r="JL27" s="121" t="str">
        <f>IF(ISBLANK(tbl_task2[[คะแนนเต็ม]:[คะแนนเต็ม]]),"",(tbl_task2[102]/tbl_task2[[คะแนนเต็ม]:[คะแนนเต็ม]])*tbl_task2[[%]:[%]])</f>
        <v/>
      </c>
      <c r="JM27" s="121" t="str">
        <f>IF(ISBLANK(tbl_task2[[คะแนนเต็ม]:[คะแนนเต็ม]]),"",(tbl_task2[103]/tbl_task2[[คะแนนเต็ม]:[คะแนนเต็ม]])*tbl_task2[[%]:[%]])</f>
        <v/>
      </c>
      <c r="JN27" s="121" t="str">
        <f>IF(ISBLANK(tbl_task2[[คะแนนเต็ม]:[คะแนนเต็ม]]),"",(tbl_task2[104]/tbl_task2[[คะแนนเต็ม]:[คะแนนเต็ม]])*tbl_task2[[%]:[%]])</f>
        <v/>
      </c>
      <c r="JO27" s="121" t="str">
        <f>IF(ISBLANK(tbl_task2[[คะแนนเต็ม]:[คะแนนเต็ม]]),"",(tbl_task2[105]/tbl_task2[[คะแนนเต็ม]:[คะแนนเต็ม]])*tbl_task2[[%]:[%]])</f>
        <v/>
      </c>
      <c r="JP27" s="121" t="str">
        <f>IF(ISBLANK(tbl_task2[[คะแนนเต็ม]:[คะแนนเต็ม]]),"",(tbl_task2[106]/tbl_task2[[คะแนนเต็ม]:[คะแนนเต็ม]])*tbl_task2[[%]:[%]])</f>
        <v/>
      </c>
      <c r="JQ27" s="121" t="str">
        <f>IF(ISBLANK(tbl_task2[[คะแนนเต็ม]:[คะแนนเต็ม]]),"",(tbl_task2[107]/tbl_task2[[คะแนนเต็ม]:[คะแนนเต็ม]])*tbl_task2[[%]:[%]])</f>
        <v/>
      </c>
      <c r="JR27" s="121" t="str">
        <f>IF(ISBLANK(tbl_task2[[คะแนนเต็ม]:[คะแนนเต็ม]]),"",(tbl_task2[108]/tbl_task2[[คะแนนเต็ม]:[คะแนนเต็ม]])*tbl_task2[[%]:[%]])</f>
        <v/>
      </c>
      <c r="JS27" s="121" t="str">
        <f>IF(ISBLANK(tbl_task2[[คะแนนเต็ม]:[คะแนนเต็ม]]),"",(tbl_task2[109]/tbl_task2[[คะแนนเต็ม]:[คะแนนเต็ม]])*tbl_task2[[%]:[%]])</f>
        <v/>
      </c>
      <c r="JT27" s="121" t="str">
        <f>IF(ISBLANK(tbl_task2[[คะแนนเต็ม]:[คะแนนเต็ม]]),"",(tbl_task2[110]/tbl_task2[[คะแนนเต็ม]:[คะแนนเต็ม]])*tbl_task2[[%]:[%]])</f>
        <v/>
      </c>
      <c r="JU27" s="121" t="str">
        <f>IF(ISBLANK(tbl_task2[[คะแนนเต็ม]:[คะแนนเต็ม]]),"",(tbl_task2[111]/tbl_task2[[คะแนนเต็ม]:[คะแนนเต็ม]])*tbl_task2[[%]:[%]])</f>
        <v/>
      </c>
      <c r="JV27" s="121" t="str">
        <f>IF(ISBLANK(tbl_task2[[คะแนนเต็ม]:[คะแนนเต็ม]]),"",(tbl_task2[112]/tbl_task2[[คะแนนเต็ม]:[คะแนนเต็ม]])*tbl_task2[[%]:[%]])</f>
        <v/>
      </c>
      <c r="JW27" s="121" t="str">
        <f>IF(ISBLANK(tbl_task2[[คะแนนเต็ม]:[คะแนนเต็ม]]),"",(tbl_task2[113]/tbl_task2[[คะแนนเต็ม]:[คะแนนเต็ม]])*tbl_task2[[%]:[%]])</f>
        <v/>
      </c>
      <c r="JX27" s="121" t="str">
        <f>IF(ISBLANK(tbl_task2[[คะแนนเต็ม]:[คะแนนเต็ม]]),"",(tbl_task2[114]/tbl_task2[[คะแนนเต็ม]:[คะแนนเต็ม]])*tbl_task2[[%]:[%]])</f>
        <v/>
      </c>
      <c r="JY27" s="121" t="str">
        <f>IF(ISBLANK(tbl_task2[[คะแนนเต็ม]:[คะแนนเต็ม]]),"",(tbl_task2[115]/tbl_task2[[คะแนนเต็ม]:[คะแนนเต็ม]])*tbl_task2[[%]:[%]])</f>
        <v/>
      </c>
      <c r="JZ27" s="121" t="str">
        <f>IF(ISBLANK(tbl_task2[[คะแนนเต็ม]:[คะแนนเต็ม]]),"",(tbl_task2[116]/tbl_task2[[คะแนนเต็ม]:[คะแนนเต็ม]])*tbl_task2[[%]:[%]])</f>
        <v/>
      </c>
      <c r="KA27" s="121" t="str">
        <f>IF(ISBLANK(tbl_task2[[คะแนนเต็ม]:[คะแนนเต็ม]]),"",(tbl_task2[117]/tbl_task2[[คะแนนเต็ม]:[คะแนนเต็ม]])*tbl_task2[[%]:[%]])</f>
        <v/>
      </c>
      <c r="KB27" s="121" t="str">
        <f>IF(ISBLANK(tbl_task2[[คะแนนเต็ม]:[คะแนนเต็ม]]),"",(tbl_task2[118]/tbl_task2[[คะแนนเต็ม]:[คะแนนเต็ม]])*tbl_task2[[%]:[%]])</f>
        <v/>
      </c>
      <c r="KC27" s="121" t="str">
        <f>IF(ISBLANK(tbl_task2[[คะแนนเต็ม]:[คะแนนเต็ม]]),"",(tbl_task2[119]/tbl_task2[[คะแนนเต็ม]:[คะแนนเต็ม]])*tbl_task2[[%]:[%]])</f>
        <v/>
      </c>
      <c r="KD27" s="121" t="str">
        <f>IF(ISBLANK(tbl_task2[[คะแนนเต็ม]:[คะแนนเต็ม]]),"",(tbl_task2[120]/tbl_task2[[คะแนนเต็ม]:[คะแนนเต็ม]])*tbl_task2[[%]:[%]])</f>
        <v/>
      </c>
      <c r="KE27" s="121" t="str">
        <f>IF(ISBLANK(tbl_task2[[คะแนนเต็ม]:[คะแนนเต็ม]]),"",(tbl_task2[121]/tbl_task2[[คะแนนเต็ม]:[คะแนนเต็ม]])*tbl_task2[[%]:[%]])</f>
        <v/>
      </c>
      <c r="KF27" s="121" t="str">
        <f>IF(ISBLANK(tbl_task2[[คะแนนเต็ม]:[คะแนนเต็ม]]),"",(tbl_task2[122]/tbl_task2[[คะแนนเต็ม]:[คะแนนเต็ม]])*tbl_task2[[%]:[%]])</f>
        <v/>
      </c>
      <c r="KG27" s="121" t="str">
        <f>IF(ISBLANK(tbl_task2[[คะแนนเต็ม]:[คะแนนเต็ม]]),"",(tbl_task2[123]/tbl_task2[[คะแนนเต็ม]:[คะแนนเต็ม]])*tbl_task2[[%]:[%]])</f>
        <v/>
      </c>
      <c r="KH27" s="121" t="str">
        <f>IF(ISBLANK(tbl_task2[[คะแนนเต็ม]:[คะแนนเต็ม]]),"",(tbl_task2[124]/tbl_task2[[คะแนนเต็ม]:[คะแนนเต็ม]])*tbl_task2[[%]:[%]])</f>
        <v/>
      </c>
      <c r="KI27" s="121" t="str">
        <f>IF(ISBLANK(tbl_task2[[คะแนนเต็ม]:[คะแนนเต็ม]]),"",(tbl_task2[125]/tbl_task2[[คะแนนเต็ม]:[คะแนนเต็ม]])*tbl_task2[[%]:[%]])</f>
        <v/>
      </c>
      <c r="KJ27" s="121" t="str">
        <f>IF(ISBLANK(tbl_task2[[คะแนนเต็ม]:[คะแนนเต็ม]]),"",(tbl_task2[126]/tbl_task2[[คะแนนเต็ม]:[คะแนนเต็ม]])*tbl_task2[[%]:[%]])</f>
        <v/>
      </c>
      <c r="KK27" s="121" t="str">
        <f>IF(ISBLANK(tbl_task2[[คะแนนเต็ม]:[คะแนนเต็ม]]),"",(tbl_task2[127]/tbl_task2[[คะแนนเต็ม]:[คะแนนเต็ม]])*tbl_task2[[%]:[%]])</f>
        <v/>
      </c>
      <c r="KL27" s="121" t="str">
        <f>IF(ISBLANK(tbl_task2[[คะแนนเต็ม]:[คะแนนเต็ม]]),"",(tbl_task2[128]/tbl_task2[[คะแนนเต็ม]:[คะแนนเต็ม]])*tbl_task2[[%]:[%]])</f>
        <v/>
      </c>
      <c r="KM27" s="121" t="str">
        <f>IF(ISBLANK(tbl_task2[[คะแนนเต็ม]:[คะแนนเต็ม]]),"",(tbl_task2[129]/tbl_task2[[คะแนนเต็ม]:[คะแนนเต็ม]])*tbl_task2[[%]:[%]])</f>
        <v/>
      </c>
      <c r="KN27" s="121" t="str">
        <f>IF(ISBLANK(tbl_task2[[คะแนนเต็ม]:[คะแนนเต็ม]]),"",(tbl_task2[130]/tbl_task2[[คะแนนเต็ม]:[คะแนนเต็ม]])*tbl_task2[[%]:[%]])</f>
        <v/>
      </c>
      <c r="KO27" s="121" t="str">
        <f>IF(ISBLANK(tbl_task2[[คะแนนเต็ม]:[คะแนนเต็ม]]),"",(tbl_task2[131]/tbl_task2[[คะแนนเต็ม]:[คะแนนเต็ม]])*tbl_task2[[%]:[%]])</f>
        <v/>
      </c>
      <c r="KP27" s="121" t="str">
        <f>IF(ISBLANK(tbl_task2[[คะแนนเต็ม]:[คะแนนเต็ม]]),"",(tbl_task2[132]/tbl_task2[[คะแนนเต็ม]:[คะแนนเต็ม]])*tbl_task2[[%]:[%]])</f>
        <v/>
      </c>
      <c r="KQ27" s="121" t="str">
        <f>IF(ISBLANK(tbl_task2[[คะแนนเต็ม]:[คะแนนเต็ม]]),"",(tbl_task2[133]/tbl_task2[[คะแนนเต็ม]:[คะแนนเต็ม]])*tbl_task2[[%]:[%]])</f>
        <v/>
      </c>
      <c r="KR27" s="121" t="str">
        <f>IF(ISBLANK(tbl_task2[[คะแนนเต็ม]:[คะแนนเต็ม]]),"",(tbl_task2[134]/tbl_task2[[คะแนนเต็ม]:[คะแนนเต็ม]])*tbl_task2[[%]:[%]])</f>
        <v/>
      </c>
      <c r="KS27" s="121" t="str">
        <f>IF(ISBLANK(tbl_task2[[คะแนนเต็ม]:[คะแนนเต็ม]]),"",(tbl_task2[135]/tbl_task2[[คะแนนเต็ม]:[คะแนนเต็ม]])*tbl_task2[[%]:[%]])</f>
        <v/>
      </c>
      <c r="KT27" s="121" t="str">
        <f>IF(ISBLANK(tbl_task2[[คะแนนเต็ม]:[คะแนนเต็ม]]),"",(tbl_task2[136]/tbl_task2[[คะแนนเต็ม]:[คะแนนเต็ม]])*tbl_task2[[%]:[%]])</f>
        <v/>
      </c>
      <c r="KU27" s="121" t="str">
        <f>IF(ISBLANK(tbl_task2[[คะแนนเต็ม]:[คะแนนเต็ม]]),"",(tbl_task2[137]/tbl_task2[[คะแนนเต็ม]:[คะแนนเต็ม]])*tbl_task2[[%]:[%]])</f>
        <v/>
      </c>
      <c r="KV27" s="121" t="str">
        <f>IF(ISBLANK(tbl_task2[[คะแนนเต็ม]:[คะแนนเต็ม]]),"",(tbl_task2[138]/tbl_task2[[คะแนนเต็ม]:[คะแนนเต็ม]])*tbl_task2[[%]:[%]])</f>
        <v/>
      </c>
      <c r="KW27" s="121" t="str">
        <f>IF(ISBLANK(tbl_task2[[คะแนนเต็ม]:[คะแนนเต็ม]]),"",(tbl_task2[139]/tbl_task2[[คะแนนเต็ม]:[คะแนนเต็ม]])*tbl_task2[[%]:[%]])</f>
        <v/>
      </c>
      <c r="KX27" s="121" t="str">
        <f>IF(ISBLANK(tbl_task2[[คะแนนเต็ม]:[คะแนนเต็ม]]),"",(tbl_task2[140]/tbl_task2[[คะแนนเต็ม]:[คะแนนเต็ม]])*tbl_task2[[%]:[%]])</f>
        <v/>
      </c>
      <c r="KY27" s="121" t="str">
        <f>IF(ISBLANK(tbl_task2[[คะแนนเต็ม]:[คะแนนเต็ม]]),"",(tbl_task2[141]/tbl_task2[[คะแนนเต็ม]:[คะแนนเต็ม]])*tbl_task2[[%]:[%]])</f>
        <v/>
      </c>
      <c r="KZ27" s="121" t="str">
        <f>IF(ISBLANK(tbl_task2[[คะแนนเต็ม]:[คะแนนเต็ม]]),"",(tbl_task2[142]/tbl_task2[[คะแนนเต็ม]:[คะแนนเต็ม]])*tbl_task2[[%]:[%]])</f>
        <v/>
      </c>
      <c r="LA27" s="121" t="str">
        <f>IF(ISBLANK(tbl_task2[[คะแนนเต็ม]:[คะแนนเต็ม]]),"",(tbl_task2[143]/tbl_task2[[คะแนนเต็ม]:[คะแนนเต็ม]])*tbl_task2[[%]:[%]])</f>
        <v/>
      </c>
      <c r="LB27" s="121" t="str">
        <f>IF(ISBLANK(tbl_task2[[คะแนนเต็ม]:[คะแนนเต็ม]]),"",(tbl_task2[144]/tbl_task2[[คะแนนเต็ม]:[คะแนนเต็ม]])*tbl_task2[[%]:[%]])</f>
        <v/>
      </c>
      <c r="LC27" s="121" t="str">
        <f>IF(ISBLANK(tbl_task2[[คะแนนเต็ม]:[คะแนนเต็ม]]),"",(tbl_task2[145]/tbl_task2[[คะแนนเต็ม]:[คะแนนเต็ม]])*tbl_task2[[%]:[%]])</f>
        <v/>
      </c>
      <c r="LD27" s="121" t="str">
        <f>IF(ISBLANK(tbl_task2[[คะแนนเต็ม]:[คะแนนเต็ม]]),"",(tbl_task2[146]/tbl_task2[[คะแนนเต็ม]:[คะแนนเต็ม]])*tbl_task2[[%]:[%]])</f>
        <v/>
      </c>
      <c r="LE27" s="121" t="str">
        <f>IF(ISBLANK(tbl_task2[[คะแนนเต็ม]:[คะแนนเต็ม]]),"",(tbl_task2[147]/tbl_task2[[คะแนนเต็ม]:[คะแนนเต็ม]])*tbl_task2[[%]:[%]])</f>
        <v/>
      </c>
      <c r="LF27" s="121" t="str">
        <f>IF(ISBLANK(tbl_task2[[คะแนนเต็ม]:[คะแนนเต็ม]]),"",(tbl_task2[148]/tbl_task2[[คะแนนเต็ม]:[คะแนนเต็ม]])*tbl_task2[[%]:[%]])</f>
        <v/>
      </c>
      <c r="LG27" s="121" t="str">
        <f>IF(ISBLANK(tbl_task2[[คะแนนเต็ม]:[คะแนนเต็ม]]),"",(tbl_task2[149]/tbl_task2[[คะแนนเต็ม]:[คะแนนเต็ม]])*tbl_task2[[%]:[%]])</f>
        <v/>
      </c>
      <c r="LH27" s="121" t="str">
        <f>IF(ISBLANK(tbl_task2[[คะแนนเต็ม]:[คะแนนเต็ม]]),"",(tbl_task2[150]/tbl_task2[[คะแนนเต็ม]:[คะแนนเต็ม]])*tbl_task2[[%]:[%]])</f>
        <v/>
      </c>
      <c r="LI27" s="121" t="str">
        <f>IF(ISBLANK(tbl_task2[[คะแนนเต็ม]:[คะแนนเต็ม]]),"",(tbl_task2[151]/tbl_task2[[คะแนนเต็ม]:[คะแนนเต็ม]])*tbl_task2[[%]:[%]])</f>
        <v/>
      </c>
      <c r="LJ27" s="121" t="str">
        <f>IF(ISBLANK(tbl_task2[[คะแนนเต็ม]:[คะแนนเต็ม]]),"",(tbl_task2[152]/tbl_task2[[คะแนนเต็ม]:[คะแนนเต็ม]])*tbl_task2[[%]:[%]])</f>
        <v/>
      </c>
      <c r="LK27" s="121" t="str">
        <f>IF(ISBLANK(tbl_task2[[คะแนนเต็ม]:[คะแนนเต็ม]]),"",(tbl_task2[153]/tbl_task2[[คะแนนเต็ม]:[คะแนนเต็ม]])*tbl_task2[[%]:[%]])</f>
        <v/>
      </c>
      <c r="LL27" s="121" t="str">
        <f>IF(ISBLANK(tbl_task2[[คะแนนเต็ม]:[คะแนนเต็ม]]),"",(tbl_task2[154]/tbl_task2[[คะแนนเต็ม]:[คะแนนเต็ม]])*tbl_task2[[%]:[%]])</f>
        <v/>
      </c>
      <c r="LM27" s="121" t="str">
        <f>IF(ISBLANK(tbl_task2[[คะแนนเต็ม]:[คะแนนเต็ม]]),"",(tbl_task2[155]/tbl_task2[[คะแนนเต็ม]:[คะแนนเต็ม]])*tbl_task2[[%]:[%]])</f>
        <v/>
      </c>
      <c r="LN27" s="121" t="str">
        <f>IF(ISBLANK(tbl_task2[[คะแนนเต็ม]:[คะแนนเต็ม]]),"",(tbl_task2[156]/tbl_task2[[คะแนนเต็ม]:[คะแนนเต็ม]])*tbl_task2[[%]:[%]])</f>
        <v/>
      </c>
      <c r="LO27" s="121" t="str">
        <f>IF(ISBLANK(tbl_task2[[คะแนนเต็ม]:[คะแนนเต็ม]]),"",(tbl_task2[157]/tbl_task2[[คะแนนเต็ม]:[คะแนนเต็ม]])*tbl_task2[[%]:[%]])</f>
        <v/>
      </c>
      <c r="LP27" s="121" t="str">
        <f>IF(ISBLANK(tbl_task2[[คะแนนเต็ม]:[คะแนนเต็ม]]),"",(tbl_task2[158]/tbl_task2[[คะแนนเต็ม]:[คะแนนเต็ม]])*tbl_task2[[%]:[%]])</f>
        <v/>
      </c>
      <c r="LQ27" s="121" t="str">
        <f>IF(ISBLANK(tbl_task2[[คะแนนเต็ม]:[คะแนนเต็ม]]),"",(tbl_task2[159]/tbl_task2[[คะแนนเต็ม]:[คะแนนเต็ม]])*tbl_task2[[%]:[%]])</f>
        <v/>
      </c>
      <c r="LR27" s="121" t="str">
        <f>IF(ISBLANK(tbl_task2[[คะแนนเต็ม]:[คะแนนเต็ม]]),"",(tbl_task2[160]/tbl_task2[[คะแนนเต็ม]:[คะแนนเต็ม]])*tbl_task2[[%]:[%]])</f>
        <v/>
      </c>
      <c r="LS27" s="121" t="str">
        <f>IF(ISBLANK(tbl_task2[[คะแนนเต็ม]:[คะแนนเต็ม]]),"",(tbl_task2[161]/tbl_task2[[คะแนนเต็ม]:[คะแนนเต็ม]])*tbl_task2[[%]:[%]])</f>
        <v/>
      </c>
      <c r="LT27" s="121" t="str">
        <f>IF(ISBLANK(tbl_task2[[คะแนนเต็ม]:[คะแนนเต็ม]]),"",(tbl_task2[162]/tbl_task2[[คะแนนเต็ม]:[คะแนนเต็ม]])*tbl_task2[[%]:[%]])</f>
        <v/>
      </c>
      <c r="LU27" s="121" t="str">
        <f>IF(ISBLANK(tbl_task2[[คะแนนเต็ม]:[คะแนนเต็ม]]),"",(tbl_task2[163]/tbl_task2[[คะแนนเต็ม]:[คะแนนเต็ม]])*tbl_task2[[%]:[%]])</f>
        <v/>
      </c>
      <c r="LV27" s="121" t="str">
        <f>IF(ISBLANK(tbl_task2[[คะแนนเต็ม]:[คะแนนเต็ม]]),"",(tbl_task2[164]/tbl_task2[[คะแนนเต็ม]:[คะแนนเต็ม]])*tbl_task2[[%]:[%]])</f>
        <v/>
      </c>
      <c r="LW27" s="121" t="str">
        <f>IF(ISBLANK(tbl_task2[[คะแนนเต็ม]:[คะแนนเต็ม]]),"",(tbl_task2[165]/tbl_task2[[คะแนนเต็ม]:[คะแนนเต็ม]])*tbl_task2[[%]:[%]])</f>
        <v/>
      </c>
    </row>
    <row r="28" spans="1:335" ht="24" customHeight="1" x14ac:dyDescent="0.25">
      <c r="A28" s="24">
        <v>25</v>
      </c>
      <c r="B28" s="25"/>
      <c r="C28" s="26" t="str">
        <f>IF(ISBLANK(B28),"",VLOOKUP(B28,tbl_PLOs[],2,0))</f>
        <v/>
      </c>
      <c r="D28" s="103"/>
      <c r="E28" s="10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121" t="str">
        <f>IF(ISBLANK(tbl_task2[[คะแนนเต็ม]:[คะแนนเต็ม]]),"",(tbl_task2[1]/tbl_task2[[คะแนนเต็ม]:[คะแนนเต็ม]])*tbl_task2[[%]:[%]])</f>
        <v/>
      </c>
      <c r="FP28" s="121" t="str">
        <f>IF(ISBLANK(tbl_task2[[คะแนนเต็ม]:[คะแนนเต็ม]]),"",(tbl_task2[2]/tbl_task2[[คะแนนเต็ม]:[คะแนนเต็ม]])*tbl_task2[[%]:[%]])</f>
        <v/>
      </c>
      <c r="FQ28" s="121" t="str">
        <f>IF(ISBLANK(tbl_task2[[คะแนนเต็ม]:[คะแนนเต็ม]]),"",(tbl_task2[3]/tbl_task2[[คะแนนเต็ม]:[คะแนนเต็ม]])*tbl_task2[[%]:[%]])</f>
        <v/>
      </c>
      <c r="FR28" s="121" t="str">
        <f>IF(ISBLANK(tbl_task2[[คะแนนเต็ม]:[คะแนนเต็ม]]),"",(tbl_task2[4]/tbl_task2[[คะแนนเต็ม]:[คะแนนเต็ม]])*tbl_task2[[%]:[%]])</f>
        <v/>
      </c>
      <c r="FS28" s="121" t="str">
        <f>IF(ISBLANK(tbl_task2[[คะแนนเต็ม]:[คะแนนเต็ม]]),"",(tbl_task2[5]/tbl_task2[[คะแนนเต็ม]:[คะแนนเต็ม]])*tbl_task2[[%]:[%]])</f>
        <v/>
      </c>
      <c r="FT28" s="121" t="str">
        <f>IF(ISBLANK(tbl_task2[[คะแนนเต็ม]:[คะแนนเต็ม]]),"",(tbl_task2[6]/tbl_task2[[คะแนนเต็ม]:[คะแนนเต็ม]])*tbl_task2[[%]:[%]])</f>
        <v/>
      </c>
      <c r="FU28" s="121" t="str">
        <f>IF(ISBLANK(tbl_task2[[คะแนนเต็ม]:[คะแนนเต็ม]]),"",(tbl_task2[7]/tbl_task2[[คะแนนเต็ม]:[คะแนนเต็ม]])*tbl_task2[[%]:[%]])</f>
        <v/>
      </c>
      <c r="FV28" s="121" t="str">
        <f>IF(ISBLANK(tbl_task2[[คะแนนเต็ม]:[คะแนนเต็ม]]),"",(tbl_task2[8]/tbl_task2[[คะแนนเต็ม]:[คะแนนเต็ม]])*tbl_task2[[%]:[%]])</f>
        <v/>
      </c>
      <c r="FW28" s="121" t="str">
        <f>IF(ISBLANK(tbl_task2[[คะแนนเต็ม]:[คะแนนเต็ม]]),"",(tbl_task2[9]/tbl_task2[[คะแนนเต็ม]:[คะแนนเต็ม]])*tbl_task2[[%]:[%]])</f>
        <v/>
      </c>
      <c r="FX28" s="121" t="str">
        <f>IF(ISBLANK(tbl_task2[[คะแนนเต็ม]:[คะแนนเต็ม]]),"",(tbl_task2[10]/tbl_task2[[คะแนนเต็ม]:[คะแนนเต็ม]])*tbl_task2[[%]:[%]])</f>
        <v/>
      </c>
      <c r="FY28" s="121" t="str">
        <f>IF(ISBLANK(tbl_task2[[คะแนนเต็ม]:[คะแนนเต็ม]]),"",(tbl_task2[11]/tbl_task2[[คะแนนเต็ม]:[คะแนนเต็ม]])*tbl_task2[[%]:[%]])</f>
        <v/>
      </c>
      <c r="FZ28" s="121" t="str">
        <f>IF(ISBLANK(tbl_task2[[คะแนนเต็ม]:[คะแนนเต็ม]]),"",(tbl_task2[12]/tbl_task2[[คะแนนเต็ม]:[คะแนนเต็ม]])*tbl_task2[[%]:[%]])</f>
        <v/>
      </c>
      <c r="GA28" s="121" t="str">
        <f>IF(ISBLANK(tbl_task2[[คะแนนเต็ม]:[คะแนนเต็ม]]),"",(tbl_task2[13]/tbl_task2[[คะแนนเต็ม]:[คะแนนเต็ม]])*tbl_task2[[%]:[%]])</f>
        <v/>
      </c>
      <c r="GB28" s="121" t="str">
        <f>IF(ISBLANK(tbl_task2[[คะแนนเต็ม]:[คะแนนเต็ม]]),"",(tbl_task2[14]/tbl_task2[[คะแนนเต็ม]:[คะแนนเต็ม]])*tbl_task2[[%]:[%]])</f>
        <v/>
      </c>
      <c r="GC28" s="121" t="str">
        <f>IF(ISBLANK(tbl_task2[[คะแนนเต็ม]:[คะแนนเต็ม]]),"",(tbl_task2[15]/tbl_task2[[คะแนนเต็ม]:[คะแนนเต็ม]])*tbl_task2[[%]:[%]])</f>
        <v/>
      </c>
      <c r="GD28" s="121" t="str">
        <f>IF(ISBLANK(tbl_task2[[คะแนนเต็ม]:[คะแนนเต็ม]]),"",(tbl_task2[16]/tbl_task2[[คะแนนเต็ม]:[คะแนนเต็ม]])*tbl_task2[[%]:[%]])</f>
        <v/>
      </c>
      <c r="GE28" s="121" t="str">
        <f>IF(ISBLANK(tbl_task2[[คะแนนเต็ม]:[คะแนนเต็ม]]),"",(tbl_task2[17]/tbl_task2[[คะแนนเต็ม]:[คะแนนเต็ม]])*tbl_task2[[%]:[%]])</f>
        <v/>
      </c>
      <c r="GF28" s="121" t="str">
        <f>IF(ISBLANK(tbl_task2[[คะแนนเต็ม]:[คะแนนเต็ม]]),"",(tbl_task2[18]/tbl_task2[[คะแนนเต็ม]:[คะแนนเต็ม]])*tbl_task2[[%]:[%]])</f>
        <v/>
      </c>
      <c r="GG28" s="121" t="str">
        <f>IF(ISBLANK(tbl_task2[[คะแนนเต็ม]:[คะแนนเต็ม]]),"",(tbl_task2[19]/tbl_task2[[คะแนนเต็ม]:[คะแนนเต็ม]])*tbl_task2[[%]:[%]])</f>
        <v/>
      </c>
      <c r="GH28" s="121" t="str">
        <f>IF(ISBLANK(tbl_task2[[คะแนนเต็ม]:[คะแนนเต็ม]]),"",(tbl_task2[20]/tbl_task2[[คะแนนเต็ม]:[คะแนนเต็ม]])*tbl_task2[[%]:[%]])</f>
        <v/>
      </c>
      <c r="GI28" s="121" t="str">
        <f>IF(ISBLANK(tbl_task2[[คะแนนเต็ม]:[คะแนนเต็ม]]),"",(tbl_task2[21]/tbl_task2[[คะแนนเต็ม]:[คะแนนเต็ม]])*tbl_task2[[%]:[%]])</f>
        <v/>
      </c>
      <c r="GJ28" s="121" t="str">
        <f>IF(ISBLANK(tbl_task2[[คะแนนเต็ม]:[คะแนนเต็ม]]),"",(tbl_task2[22]/tbl_task2[[คะแนนเต็ม]:[คะแนนเต็ม]])*tbl_task2[[%]:[%]])</f>
        <v/>
      </c>
      <c r="GK28" s="121" t="str">
        <f>IF(ISBLANK(tbl_task2[[คะแนนเต็ม]:[คะแนนเต็ม]]),"",(tbl_task2[23]/tbl_task2[[คะแนนเต็ม]:[คะแนนเต็ม]])*tbl_task2[[%]:[%]])</f>
        <v/>
      </c>
      <c r="GL28" s="121" t="str">
        <f>IF(ISBLANK(tbl_task2[[คะแนนเต็ม]:[คะแนนเต็ม]]),"",(tbl_task2[24]/tbl_task2[[คะแนนเต็ม]:[คะแนนเต็ม]])*tbl_task2[[%]:[%]])</f>
        <v/>
      </c>
      <c r="GM28" s="121" t="str">
        <f>IF(ISBLANK(tbl_task2[[คะแนนเต็ม]:[คะแนนเต็ม]]),"",(tbl_task2[25]/tbl_task2[[คะแนนเต็ม]:[คะแนนเต็ม]])*tbl_task2[[%]:[%]])</f>
        <v/>
      </c>
      <c r="GN28" s="121" t="str">
        <f>IF(ISBLANK(tbl_task2[[คะแนนเต็ม]:[คะแนนเต็ม]]),"",(tbl_task2[26]/tbl_task2[[คะแนนเต็ม]:[คะแนนเต็ม]])*tbl_task2[[%]:[%]])</f>
        <v/>
      </c>
      <c r="GO28" s="121" t="str">
        <f>IF(ISBLANK(tbl_task2[[คะแนนเต็ม]:[คะแนนเต็ม]]),"",(tbl_task2[27]/tbl_task2[[คะแนนเต็ม]:[คะแนนเต็ม]])*tbl_task2[[%]:[%]])</f>
        <v/>
      </c>
      <c r="GP28" s="121" t="str">
        <f>IF(ISBLANK(tbl_task2[[คะแนนเต็ม]:[คะแนนเต็ม]]),"",(tbl_task2[28]/tbl_task2[[คะแนนเต็ม]:[คะแนนเต็ม]])*tbl_task2[[%]:[%]])</f>
        <v/>
      </c>
      <c r="GQ28" s="121" t="str">
        <f>IF(ISBLANK(tbl_task2[[คะแนนเต็ม]:[คะแนนเต็ม]]),"",(tbl_task2[29]/tbl_task2[[คะแนนเต็ม]:[คะแนนเต็ม]])*tbl_task2[[%]:[%]])</f>
        <v/>
      </c>
      <c r="GR28" s="121" t="str">
        <f>IF(ISBLANK(tbl_task2[[คะแนนเต็ม]:[คะแนนเต็ม]]),"",(tbl_task2[30]/tbl_task2[[คะแนนเต็ม]:[คะแนนเต็ม]])*tbl_task2[[%]:[%]])</f>
        <v/>
      </c>
      <c r="GS28" s="121" t="str">
        <f>IF(ISBLANK(tbl_task2[[คะแนนเต็ม]:[คะแนนเต็ม]]),"",(tbl_task2[31]/tbl_task2[[คะแนนเต็ม]:[คะแนนเต็ม]])*tbl_task2[[%]:[%]])</f>
        <v/>
      </c>
      <c r="GT28" s="121" t="str">
        <f>IF(ISBLANK(tbl_task2[[คะแนนเต็ม]:[คะแนนเต็ม]]),"",(tbl_task2[32]/tbl_task2[[คะแนนเต็ม]:[คะแนนเต็ม]])*tbl_task2[[%]:[%]])</f>
        <v/>
      </c>
      <c r="GU28" s="121" t="str">
        <f>IF(ISBLANK(tbl_task2[[คะแนนเต็ม]:[คะแนนเต็ม]]),"",(tbl_task2[33]/tbl_task2[[คะแนนเต็ม]:[คะแนนเต็ม]])*tbl_task2[[%]:[%]])</f>
        <v/>
      </c>
      <c r="GV28" s="121" t="str">
        <f>IF(ISBLANK(tbl_task2[[คะแนนเต็ม]:[คะแนนเต็ม]]),"",(tbl_task2[34]/tbl_task2[[คะแนนเต็ม]:[คะแนนเต็ม]])*tbl_task2[[%]:[%]])</f>
        <v/>
      </c>
      <c r="GW28" s="121" t="str">
        <f>IF(ISBLANK(tbl_task2[[คะแนนเต็ม]:[คะแนนเต็ม]]),"",(tbl_task2[35]/tbl_task2[[คะแนนเต็ม]:[คะแนนเต็ม]])*tbl_task2[[%]:[%]])</f>
        <v/>
      </c>
      <c r="GX28" s="121" t="str">
        <f>IF(ISBLANK(tbl_task2[[คะแนนเต็ม]:[คะแนนเต็ม]]),"",(tbl_task2[36]/tbl_task2[[คะแนนเต็ม]:[คะแนนเต็ม]])*tbl_task2[[%]:[%]])</f>
        <v/>
      </c>
      <c r="GY28" s="121" t="str">
        <f>IF(ISBLANK(tbl_task2[[คะแนนเต็ม]:[คะแนนเต็ม]]),"",(tbl_task2[37]/tbl_task2[[คะแนนเต็ม]:[คะแนนเต็ม]])*tbl_task2[[%]:[%]])</f>
        <v/>
      </c>
      <c r="GZ28" s="121" t="str">
        <f>IF(ISBLANK(tbl_task2[[คะแนนเต็ม]:[คะแนนเต็ม]]),"",(tbl_task2[38]/tbl_task2[[คะแนนเต็ม]:[คะแนนเต็ม]])*tbl_task2[[%]:[%]])</f>
        <v/>
      </c>
      <c r="HA28" s="121" t="str">
        <f>IF(ISBLANK(tbl_task2[[คะแนนเต็ม]:[คะแนนเต็ม]]),"",(tbl_task2[39]/tbl_task2[[คะแนนเต็ม]:[คะแนนเต็ม]])*tbl_task2[[%]:[%]])</f>
        <v/>
      </c>
      <c r="HB28" s="121" t="str">
        <f>IF(ISBLANK(tbl_task2[[คะแนนเต็ม]:[คะแนนเต็ม]]),"",(tbl_task2[40]/tbl_task2[[คะแนนเต็ม]:[คะแนนเต็ม]])*tbl_task2[[%]:[%]])</f>
        <v/>
      </c>
      <c r="HC28" s="121" t="str">
        <f>IF(ISBLANK(tbl_task2[[คะแนนเต็ม]:[คะแนนเต็ม]]),"",(tbl_task2[41]/tbl_task2[[คะแนนเต็ม]:[คะแนนเต็ม]])*tbl_task2[[%]:[%]])</f>
        <v/>
      </c>
      <c r="HD28" s="121" t="str">
        <f>IF(ISBLANK(tbl_task2[[คะแนนเต็ม]:[คะแนนเต็ม]]),"",(tbl_task2[42]/tbl_task2[[คะแนนเต็ม]:[คะแนนเต็ม]])*tbl_task2[[%]:[%]])</f>
        <v/>
      </c>
      <c r="HE28" s="121" t="str">
        <f>IF(ISBLANK(tbl_task2[[คะแนนเต็ม]:[คะแนนเต็ม]]),"",(tbl_task2[43]/tbl_task2[[คะแนนเต็ม]:[คะแนนเต็ม]])*tbl_task2[[%]:[%]])</f>
        <v/>
      </c>
      <c r="HF28" s="121" t="str">
        <f>IF(ISBLANK(tbl_task2[[คะแนนเต็ม]:[คะแนนเต็ม]]),"",(tbl_task2[44]/tbl_task2[[คะแนนเต็ม]:[คะแนนเต็ม]])*tbl_task2[[%]:[%]])</f>
        <v/>
      </c>
      <c r="HG28" s="121" t="str">
        <f>IF(ISBLANK(tbl_task2[[คะแนนเต็ม]:[คะแนนเต็ม]]),"",(tbl_task2[45]/tbl_task2[[คะแนนเต็ม]:[คะแนนเต็ม]])*tbl_task2[[%]:[%]])</f>
        <v/>
      </c>
      <c r="HH28" s="121" t="str">
        <f>IF(ISBLANK(tbl_task2[[คะแนนเต็ม]:[คะแนนเต็ม]]),"",(tbl_task2[46]/tbl_task2[[คะแนนเต็ม]:[คะแนนเต็ม]])*tbl_task2[[%]:[%]])</f>
        <v/>
      </c>
      <c r="HI28" s="121" t="str">
        <f>IF(ISBLANK(tbl_task2[[คะแนนเต็ม]:[คะแนนเต็ม]]),"",(tbl_task2[47]/tbl_task2[[คะแนนเต็ม]:[คะแนนเต็ม]])*tbl_task2[[%]:[%]])</f>
        <v/>
      </c>
      <c r="HJ28" s="121" t="str">
        <f>IF(ISBLANK(tbl_task2[[คะแนนเต็ม]:[คะแนนเต็ม]]),"",(tbl_task2[48]/tbl_task2[[คะแนนเต็ม]:[คะแนนเต็ม]])*tbl_task2[[%]:[%]])</f>
        <v/>
      </c>
      <c r="HK28" s="121" t="str">
        <f>IF(ISBLANK(tbl_task2[[คะแนนเต็ม]:[คะแนนเต็ม]]),"",(tbl_task2[49]/tbl_task2[[คะแนนเต็ม]:[คะแนนเต็ม]])*tbl_task2[[%]:[%]])</f>
        <v/>
      </c>
      <c r="HL28" s="121" t="str">
        <f>IF(ISBLANK(tbl_task2[[คะแนนเต็ม]:[คะแนนเต็ม]]),"",(tbl_task2[50]/tbl_task2[[คะแนนเต็ม]:[คะแนนเต็ม]])*tbl_task2[[%]:[%]])</f>
        <v/>
      </c>
      <c r="HM28" s="121" t="str">
        <f>IF(ISBLANK(tbl_task2[[คะแนนเต็ม]:[คะแนนเต็ม]]),"",(tbl_task2[51]/tbl_task2[[คะแนนเต็ม]:[คะแนนเต็ม]])*tbl_task2[[%]:[%]])</f>
        <v/>
      </c>
      <c r="HN28" s="121" t="str">
        <f>IF(ISBLANK(tbl_task2[[คะแนนเต็ม]:[คะแนนเต็ม]]),"",(tbl_task2[52]/tbl_task2[[คะแนนเต็ม]:[คะแนนเต็ม]])*tbl_task2[[%]:[%]])</f>
        <v/>
      </c>
      <c r="HO28" s="121" t="str">
        <f>IF(ISBLANK(tbl_task2[[คะแนนเต็ม]:[คะแนนเต็ม]]),"",(tbl_task2[53]/tbl_task2[[คะแนนเต็ม]:[คะแนนเต็ม]])*tbl_task2[[%]:[%]])</f>
        <v/>
      </c>
      <c r="HP28" s="121" t="str">
        <f>IF(ISBLANK(tbl_task2[[คะแนนเต็ม]:[คะแนนเต็ม]]),"",(tbl_task2[54]/tbl_task2[[คะแนนเต็ม]:[คะแนนเต็ม]])*tbl_task2[[%]:[%]])</f>
        <v/>
      </c>
      <c r="HQ28" s="121" t="str">
        <f>IF(ISBLANK(tbl_task2[[คะแนนเต็ม]:[คะแนนเต็ม]]),"",(tbl_task2[55]/tbl_task2[[คะแนนเต็ม]:[คะแนนเต็ม]])*tbl_task2[[%]:[%]])</f>
        <v/>
      </c>
      <c r="HR28" s="121" t="str">
        <f>IF(ISBLANK(tbl_task2[[คะแนนเต็ม]:[คะแนนเต็ม]]),"",(tbl_task2[56]/tbl_task2[[คะแนนเต็ม]:[คะแนนเต็ม]])*tbl_task2[[%]:[%]])</f>
        <v/>
      </c>
      <c r="HS28" s="121" t="str">
        <f>IF(ISBLANK(tbl_task2[[คะแนนเต็ม]:[คะแนนเต็ม]]),"",(tbl_task2[57]/tbl_task2[[คะแนนเต็ม]:[คะแนนเต็ม]])*tbl_task2[[%]:[%]])</f>
        <v/>
      </c>
      <c r="HT28" s="121" t="str">
        <f>IF(ISBLANK(tbl_task2[[คะแนนเต็ม]:[คะแนนเต็ม]]),"",(tbl_task2[58]/tbl_task2[[คะแนนเต็ม]:[คะแนนเต็ม]])*tbl_task2[[%]:[%]])</f>
        <v/>
      </c>
      <c r="HU28" s="121" t="str">
        <f>IF(ISBLANK(tbl_task2[[คะแนนเต็ม]:[คะแนนเต็ม]]),"",(tbl_task2[59]/tbl_task2[[คะแนนเต็ม]:[คะแนนเต็ม]])*tbl_task2[[%]:[%]])</f>
        <v/>
      </c>
      <c r="HV28" s="121" t="str">
        <f>IF(ISBLANK(tbl_task2[[คะแนนเต็ม]:[คะแนนเต็ม]]),"",(tbl_task2[60]/tbl_task2[[คะแนนเต็ม]:[คะแนนเต็ม]])*tbl_task2[[%]:[%]])</f>
        <v/>
      </c>
      <c r="HW28" s="121" t="str">
        <f>IF(ISBLANK(tbl_task2[[คะแนนเต็ม]:[คะแนนเต็ม]]),"",(tbl_task2[61]/tbl_task2[[คะแนนเต็ม]:[คะแนนเต็ม]])*tbl_task2[[%]:[%]])</f>
        <v/>
      </c>
      <c r="HX28" s="121" t="str">
        <f>IF(ISBLANK(tbl_task2[[คะแนนเต็ม]:[คะแนนเต็ม]]),"",(tbl_task2[62]/tbl_task2[[คะแนนเต็ม]:[คะแนนเต็ม]])*tbl_task2[[%]:[%]])</f>
        <v/>
      </c>
      <c r="HY28" s="121" t="str">
        <f>IF(ISBLANK(tbl_task2[[คะแนนเต็ม]:[คะแนนเต็ม]]),"",(tbl_task2[63]/tbl_task2[[คะแนนเต็ม]:[คะแนนเต็ม]])*tbl_task2[[%]:[%]])</f>
        <v/>
      </c>
      <c r="HZ28" s="121" t="str">
        <f>IF(ISBLANK(tbl_task2[[คะแนนเต็ม]:[คะแนนเต็ม]]),"",(tbl_task2[64]/tbl_task2[[คะแนนเต็ม]:[คะแนนเต็ม]])*tbl_task2[[%]:[%]])</f>
        <v/>
      </c>
      <c r="IA28" s="121" t="str">
        <f>IF(ISBLANK(tbl_task2[[คะแนนเต็ม]:[คะแนนเต็ม]]),"",(tbl_task2[65]/tbl_task2[[คะแนนเต็ม]:[คะแนนเต็ม]])*tbl_task2[[%]:[%]])</f>
        <v/>
      </c>
      <c r="IB28" s="121" t="str">
        <f>IF(ISBLANK(tbl_task2[[คะแนนเต็ม]:[คะแนนเต็ม]]),"",(tbl_task2[66]/tbl_task2[[คะแนนเต็ม]:[คะแนนเต็ม]])*tbl_task2[[%]:[%]])</f>
        <v/>
      </c>
      <c r="IC28" s="121" t="str">
        <f>IF(ISBLANK(tbl_task2[[คะแนนเต็ม]:[คะแนนเต็ม]]),"",(tbl_task2[67]/tbl_task2[[คะแนนเต็ม]:[คะแนนเต็ม]])*tbl_task2[[%]:[%]])</f>
        <v/>
      </c>
      <c r="ID28" s="121" t="str">
        <f>IF(ISBLANK(tbl_task2[[คะแนนเต็ม]:[คะแนนเต็ม]]),"",(tbl_task2[68]/tbl_task2[[คะแนนเต็ม]:[คะแนนเต็ม]])*tbl_task2[[%]:[%]])</f>
        <v/>
      </c>
      <c r="IE28" s="121" t="str">
        <f>IF(ISBLANK(tbl_task2[[คะแนนเต็ม]:[คะแนนเต็ม]]),"",(tbl_task2[69]/tbl_task2[[คะแนนเต็ม]:[คะแนนเต็ม]])*tbl_task2[[%]:[%]])</f>
        <v/>
      </c>
      <c r="IF28" s="121" t="str">
        <f>IF(ISBLANK(tbl_task2[[คะแนนเต็ม]:[คะแนนเต็ม]]),"",(tbl_task2[70]/tbl_task2[[คะแนนเต็ม]:[คะแนนเต็ม]])*tbl_task2[[%]:[%]])</f>
        <v/>
      </c>
      <c r="IG28" s="121" t="str">
        <f>IF(ISBLANK(tbl_task2[[คะแนนเต็ม]:[คะแนนเต็ม]]),"",(tbl_task2[71]/tbl_task2[[คะแนนเต็ม]:[คะแนนเต็ม]])*tbl_task2[[%]:[%]])</f>
        <v/>
      </c>
      <c r="IH28" s="121" t="str">
        <f>IF(ISBLANK(tbl_task2[[คะแนนเต็ม]:[คะแนนเต็ม]]),"",(tbl_task2[72]/tbl_task2[[คะแนนเต็ม]:[คะแนนเต็ม]])*tbl_task2[[%]:[%]])</f>
        <v/>
      </c>
      <c r="II28" s="121" t="str">
        <f>IF(ISBLANK(tbl_task2[[คะแนนเต็ม]:[คะแนนเต็ม]]),"",(tbl_task2[73]/tbl_task2[[คะแนนเต็ม]:[คะแนนเต็ม]])*tbl_task2[[%]:[%]])</f>
        <v/>
      </c>
      <c r="IJ28" s="121" t="str">
        <f>IF(ISBLANK(tbl_task2[[คะแนนเต็ม]:[คะแนนเต็ม]]),"",(tbl_task2[74]/tbl_task2[[คะแนนเต็ม]:[คะแนนเต็ม]])*tbl_task2[[%]:[%]])</f>
        <v/>
      </c>
      <c r="IK28" s="121" t="str">
        <f>IF(ISBLANK(tbl_task2[[คะแนนเต็ม]:[คะแนนเต็ม]]),"",(tbl_task2[75]/tbl_task2[[คะแนนเต็ม]:[คะแนนเต็ม]])*tbl_task2[[%]:[%]])</f>
        <v/>
      </c>
      <c r="IL28" s="121" t="str">
        <f>IF(ISBLANK(tbl_task2[[คะแนนเต็ม]:[คะแนนเต็ม]]),"",(tbl_task2[76]/tbl_task2[[คะแนนเต็ม]:[คะแนนเต็ม]])*tbl_task2[[%]:[%]])</f>
        <v/>
      </c>
      <c r="IM28" s="121" t="str">
        <f>IF(ISBLANK(tbl_task2[[คะแนนเต็ม]:[คะแนนเต็ม]]),"",(tbl_task2[77]/tbl_task2[[คะแนนเต็ม]:[คะแนนเต็ม]])*tbl_task2[[%]:[%]])</f>
        <v/>
      </c>
      <c r="IN28" s="121" t="str">
        <f>IF(ISBLANK(tbl_task2[[คะแนนเต็ม]:[คะแนนเต็ม]]),"",(tbl_task2[78]/tbl_task2[[คะแนนเต็ม]:[คะแนนเต็ม]])*tbl_task2[[%]:[%]])</f>
        <v/>
      </c>
      <c r="IO28" s="121" t="str">
        <f>IF(ISBLANK(tbl_task2[[คะแนนเต็ม]:[คะแนนเต็ม]]),"",(tbl_task2[79]/tbl_task2[[คะแนนเต็ม]:[คะแนนเต็ม]])*tbl_task2[[%]:[%]])</f>
        <v/>
      </c>
      <c r="IP28" s="121" t="str">
        <f>IF(ISBLANK(tbl_task2[[คะแนนเต็ม]:[คะแนนเต็ม]]),"",(tbl_task2[80]/tbl_task2[[คะแนนเต็ม]:[คะแนนเต็ม]])*tbl_task2[[%]:[%]])</f>
        <v/>
      </c>
      <c r="IQ28" s="121" t="str">
        <f>IF(ISBLANK(tbl_task2[[คะแนนเต็ม]:[คะแนนเต็ม]]),"",(tbl_task2[81]/tbl_task2[[คะแนนเต็ม]:[คะแนนเต็ม]])*tbl_task2[[%]:[%]])</f>
        <v/>
      </c>
      <c r="IR28" s="121" t="str">
        <f>IF(ISBLANK(tbl_task2[[คะแนนเต็ม]:[คะแนนเต็ม]]),"",(tbl_task2[82]/tbl_task2[[คะแนนเต็ม]:[คะแนนเต็ม]])*tbl_task2[[%]:[%]])</f>
        <v/>
      </c>
      <c r="IS28" s="121" t="str">
        <f>IF(ISBLANK(tbl_task2[[คะแนนเต็ม]:[คะแนนเต็ม]]),"",(tbl_task2[83]/tbl_task2[[คะแนนเต็ม]:[คะแนนเต็ม]])*tbl_task2[[%]:[%]])</f>
        <v/>
      </c>
      <c r="IT28" s="121" t="str">
        <f>IF(ISBLANK(tbl_task2[[คะแนนเต็ม]:[คะแนนเต็ม]]),"",(tbl_task2[84]/tbl_task2[[คะแนนเต็ม]:[คะแนนเต็ม]])*tbl_task2[[%]:[%]])</f>
        <v/>
      </c>
      <c r="IU28" s="121" t="str">
        <f>IF(ISBLANK(tbl_task2[[คะแนนเต็ม]:[คะแนนเต็ม]]),"",(tbl_task2[85]/tbl_task2[[คะแนนเต็ม]:[คะแนนเต็ม]])*tbl_task2[[%]:[%]])</f>
        <v/>
      </c>
      <c r="IV28" s="121" t="str">
        <f>IF(ISBLANK(tbl_task2[[คะแนนเต็ม]:[คะแนนเต็ม]]),"",(tbl_task2[86]/tbl_task2[[คะแนนเต็ม]:[คะแนนเต็ม]])*tbl_task2[[%]:[%]])</f>
        <v/>
      </c>
      <c r="IW28" s="121" t="str">
        <f>IF(ISBLANK(tbl_task2[[คะแนนเต็ม]:[คะแนนเต็ม]]),"",(tbl_task2[87]/tbl_task2[[คะแนนเต็ม]:[คะแนนเต็ม]])*tbl_task2[[%]:[%]])</f>
        <v/>
      </c>
      <c r="IX28" s="121" t="str">
        <f>IF(ISBLANK(tbl_task2[[คะแนนเต็ม]:[คะแนนเต็ม]]),"",(tbl_task2[88]/tbl_task2[[คะแนนเต็ม]:[คะแนนเต็ม]])*tbl_task2[[%]:[%]])</f>
        <v/>
      </c>
      <c r="IY28" s="121" t="str">
        <f>IF(ISBLANK(tbl_task2[[คะแนนเต็ม]:[คะแนนเต็ม]]),"",(tbl_task2[89]/tbl_task2[[คะแนนเต็ม]:[คะแนนเต็ม]])*tbl_task2[[%]:[%]])</f>
        <v/>
      </c>
      <c r="IZ28" s="121" t="str">
        <f>IF(ISBLANK(tbl_task2[[คะแนนเต็ม]:[คะแนนเต็ม]]),"",(tbl_task2[90]/tbl_task2[[คะแนนเต็ม]:[คะแนนเต็ม]])*tbl_task2[[%]:[%]])</f>
        <v/>
      </c>
      <c r="JA28" s="121" t="str">
        <f>IF(ISBLANK(tbl_task2[[คะแนนเต็ม]:[คะแนนเต็ม]]),"",(tbl_task2[91]/tbl_task2[[คะแนนเต็ม]:[คะแนนเต็ม]])*tbl_task2[[%]:[%]])</f>
        <v/>
      </c>
      <c r="JB28" s="121" t="str">
        <f>IF(ISBLANK(tbl_task2[[คะแนนเต็ม]:[คะแนนเต็ม]]),"",(tbl_task2[92]/tbl_task2[[คะแนนเต็ม]:[คะแนนเต็ม]])*tbl_task2[[%]:[%]])</f>
        <v/>
      </c>
      <c r="JC28" s="121" t="str">
        <f>IF(ISBLANK(tbl_task2[[คะแนนเต็ม]:[คะแนนเต็ม]]),"",(tbl_task2[93]/tbl_task2[[คะแนนเต็ม]:[คะแนนเต็ม]])*tbl_task2[[%]:[%]])</f>
        <v/>
      </c>
      <c r="JD28" s="121" t="str">
        <f>IF(ISBLANK(tbl_task2[[คะแนนเต็ม]:[คะแนนเต็ม]]),"",(tbl_task2[94]/tbl_task2[[คะแนนเต็ม]:[คะแนนเต็ม]])*tbl_task2[[%]:[%]])</f>
        <v/>
      </c>
      <c r="JE28" s="121" t="str">
        <f>IF(ISBLANK(tbl_task2[[คะแนนเต็ม]:[คะแนนเต็ม]]),"",(tbl_task2[95]/tbl_task2[[คะแนนเต็ม]:[คะแนนเต็ม]])*tbl_task2[[%]:[%]])</f>
        <v/>
      </c>
      <c r="JF28" s="121" t="str">
        <f>IF(ISBLANK(tbl_task2[[คะแนนเต็ม]:[คะแนนเต็ม]]),"",(tbl_task2[96]/tbl_task2[[คะแนนเต็ม]:[คะแนนเต็ม]])*tbl_task2[[%]:[%]])</f>
        <v/>
      </c>
      <c r="JG28" s="121" t="str">
        <f>IF(ISBLANK(tbl_task2[[คะแนนเต็ม]:[คะแนนเต็ม]]),"",(tbl_task2[97]/tbl_task2[[คะแนนเต็ม]:[คะแนนเต็ม]])*tbl_task2[[%]:[%]])</f>
        <v/>
      </c>
      <c r="JH28" s="121" t="str">
        <f>IF(ISBLANK(tbl_task2[[คะแนนเต็ม]:[คะแนนเต็ม]]),"",(tbl_task2[98]/tbl_task2[[คะแนนเต็ม]:[คะแนนเต็ม]])*tbl_task2[[%]:[%]])</f>
        <v/>
      </c>
      <c r="JI28" s="121" t="str">
        <f>IF(ISBLANK(tbl_task2[[คะแนนเต็ม]:[คะแนนเต็ม]]),"",(tbl_task2[99]/tbl_task2[[คะแนนเต็ม]:[คะแนนเต็ม]])*tbl_task2[[%]:[%]])</f>
        <v/>
      </c>
      <c r="JJ28" s="121" t="str">
        <f>IF(ISBLANK(tbl_task2[[คะแนนเต็ม]:[คะแนนเต็ม]]),"",(tbl_task2[100]/tbl_task2[[คะแนนเต็ม]:[คะแนนเต็ม]])*tbl_task2[[%]:[%]])</f>
        <v/>
      </c>
      <c r="JK28" s="121" t="str">
        <f>IF(ISBLANK(tbl_task2[[คะแนนเต็ม]:[คะแนนเต็ม]]),"",(tbl_task2[101]/tbl_task2[[คะแนนเต็ม]:[คะแนนเต็ม]])*tbl_task2[[%]:[%]])</f>
        <v/>
      </c>
      <c r="JL28" s="121" t="str">
        <f>IF(ISBLANK(tbl_task2[[คะแนนเต็ม]:[คะแนนเต็ม]]),"",(tbl_task2[102]/tbl_task2[[คะแนนเต็ม]:[คะแนนเต็ม]])*tbl_task2[[%]:[%]])</f>
        <v/>
      </c>
      <c r="JM28" s="121" t="str">
        <f>IF(ISBLANK(tbl_task2[[คะแนนเต็ม]:[คะแนนเต็ม]]),"",(tbl_task2[103]/tbl_task2[[คะแนนเต็ม]:[คะแนนเต็ม]])*tbl_task2[[%]:[%]])</f>
        <v/>
      </c>
      <c r="JN28" s="121" t="str">
        <f>IF(ISBLANK(tbl_task2[[คะแนนเต็ม]:[คะแนนเต็ม]]),"",(tbl_task2[104]/tbl_task2[[คะแนนเต็ม]:[คะแนนเต็ม]])*tbl_task2[[%]:[%]])</f>
        <v/>
      </c>
      <c r="JO28" s="121" t="str">
        <f>IF(ISBLANK(tbl_task2[[คะแนนเต็ม]:[คะแนนเต็ม]]),"",(tbl_task2[105]/tbl_task2[[คะแนนเต็ม]:[คะแนนเต็ม]])*tbl_task2[[%]:[%]])</f>
        <v/>
      </c>
      <c r="JP28" s="121" t="str">
        <f>IF(ISBLANK(tbl_task2[[คะแนนเต็ม]:[คะแนนเต็ม]]),"",(tbl_task2[106]/tbl_task2[[คะแนนเต็ม]:[คะแนนเต็ม]])*tbl_task2[[%]:[%]])</f>
        <v/>
      </c>
      <c r="JQ28" s="121" t="str">
        <f>IF(ISBLANK(tbl_task2[[คะแนนเต็ม]:[คะแนนเต็ม]]),"",(tbl_task2[107]/tbl_task2[[คะแนนเต็ม]:[คะแนนเต็ม]])*tbl_task2[[%]:[%]])</f>
        <v/>
      </c>
      <c r="JR28" s="121" t="str">
        <f>IF(ISBLANK(tbl_task2[[คะแนนเต็ม]:[คะแนนเต็ม]]),"",(tbl_task2[108]/tbl_task2[[คะแนนเต็ม]:[คะแนนเต็ม]])*tbl_task2[[%]:[%]])</f>
        <v/>
      </c>
      <c r="JS28" s="121" t="str">
        <f>IF(ISBLANK(tbl_task2[[คะแนนเต็ม]:[คะแนนเต็ม]]),"",(tbl_task2[109]/tbl_task2[[คะแนนเต็ม]:[คะแนนเต็ม]])*tbl_task2[[%]:[%]])</f>
        <v/>
      </c>
      <c r="JT28" s="121" t="str">
        <f>IF(ISBLANK(tbl_task2[[คะแนนเต็ม]:[คะแนนเต็ม]]),"",(tbl_task2[110]/tbl_task2[[คะแนนเต็ม]:[คะแนนเต็ม]])*tbl_task2[[%]:[%]])</f>
        <v/>
      </c>
      <c r="JU28" s="121" t="str">
        <f>IF(ISBLANK(tbl_task2[[คะแนนเต็ม]:[คะแนนเต็ม]]),"",(tbl_task2[111]/tbl_task2[[คะแนนเต็ม]:[คะแนนเต็ม]])*tbl_task2[[%]:[%]])</f>
        <v/>
      </c>
      <c r="JV28" s="121" t="str">
        <f>IF(ISBLANK(tbl_task2[[คะแนนเต็ม]:[คะแนนเต็ม]]),"",(tbl_task2[112]/tbl_task2[[คะแนนเต็ม]:[คะแนนเต็ม]])*tbl_task2[[%]:[%]])</f>
        <v/>
      </c>
      <c r="JW28" s="121" t="str">
        <f>IF(ISBLANK(tbl_task2[[คะแนนเต็ม]:[คะแนนเต็ม]]),"",(tbl_task2[113]/tbl_task2[[คะแนนเต็ม]:[คะแนนเต็ม]])*tbl_task2[[%]:[%]])</f>
        <v/>
      </c>
      <c r="JX28" s="121" t="str">
        <f>IF(ISBLANK(tbl_task2[[คะแนนเต็ม]:[คะแนนเต็ม]]),"",(tbl_task2[114]/tbl_task2[[คะแนนเต็ม]:[คะแนนเต็ม]])*tbl_task2[[%]:[%]])</f>
        <v/>
      </c>
      <c r="JY28" s="121" t="str">
        <f>IF(ISBLANK(tbl_task2[[คะแนนเต็ม]:[คะแนนเต็ม]]),"",(tbl_task2[115]/tbl_task2[[คะแนนเต็ม]:[คะแนนเต็ม]])*tbl_task2[[%]:[%]])</f>
        <v/>
      </c>
      <c r="JZ28" s="121" t="str">
        <f>IF(ISBLANK(tbl_task2[[คะแนนเต็ม]:[คะแนนเต็ม]]),"",(tbl_task2[116]/tbl_task2[[คะแนนเต็ม]:[คะแนนเต็ม]])*tbl_task2[[%]:[%]])</f>
        <v/>
      </c>
      <c r="KA28" s="121" t="str">
        <f>IF(ISBLANK(tbl_task2[[คะแนนเต็ม]:[คะแนนเต็ม]]),"",(tbl_task2[117]/tbl_task2[[คะแนนเต็ม]:[คะแนนเต็ม]])*tbl_task2[[%]:[%]])</f>
        <v/>
      </c>
      <c r="KB28" s="121" t="str">
        <f>IF(ISBLANK(tbl_task2[[คะแนนเต็ม]:[คะแนนเต็ม]]),"",(tbl_task2[118]/tbl_task2[[คะแนนเต็ม]:[คะแนนเต็ม]])*tbl_task2[[%]:[%]])</f>
        <v/>
      </c>
      <c r="KC28" s="121" t="str">
        <f>IF(ISBLANK(tbl_task2[[คะแนนเต็ม]:[คะแนนเต็ม]]),"",(tbl_task2[119]/tbl_task2[[คะแนนเต็ม]:[คะแนนเต็ม]])*tbl_task2[[%]:[%]])</f>
        <v/>
      </c>
      <c r="KD28" s="121" t="str">
        <f>IF(ISBLANK(tbl_task2[[คะแนนเต็ม]:[คะแนนเต็ม]]),"",(tbl_task2[120]/tbl_task2[[คะแนนเต็ม]:[คะแนนเต็ม]])*tbl_task2[[%]:[%]])</f>
        <v/>
      </c>
      <c r="KE28" s="121" t="str">
        <f>IF(ISBLANK(tbl_task2[[คะแนนเต็ม]:[คะแนนเต็ม]]),"",(tbl_task2[121]/tbl_task2[[คะแนนเต็ม]:[คะแนนเต็ม]])*tbl_task2[[%]:[%]])</f>
        <v/>
      </c>
      <c r="KF28" s="121" t="str">
        <f>IF(ISBLANK(tbl_task2[[คะแนนเต็ม]:[คะแนนเต็ม]]),"",(tbl_task2[122]/tbl_task2[[คะแนนเต็ม]:[คะแนนเต็ม]])*tbl_task2[[%]:[%]])</f>
        <v/>
      </c>
      <c r="KG28" s="121" t="str">
        <f>IF(ISBLANK(tbl_task2[[คะแนนเต็ม]:[คะแนนเต็ม]]),"",(tbl_task2[123]/tbl_task2[[คะแนนเต็ม]:[คะแนนเต็ม]])*tbl_task2[[%]:[%]])</f>
        <v/>
      </c>
      <c r="KH28" s="121" t="str">
        <f>IF(ISBLANK(tbl_task2[[คะแนนเต็ม]:[คะแนนเต็ม]]),"",(tbl_task2[124]/tbl_task2[[คะแนนเต็ม]:[คะแนนเต็ม]])*tbl_task2[[%]:[%]])</f>
        <v/>
      </c>
      <c r="KI28" s="121" t="str">
        <f>IF(ISBLANK(tbl_task2[[คะแนนเต็ม]:[คะแนนเต็ม]]),"",(tbl_task2[125]/tbl_task2[[คะแนนเต็ม]:[คะแนนเต็ม]])*tbl_task2[[%]:[%]])</f>
        <v/>
      </c>
      <c r="KJ28" s="121" t="str">
        <f>IF(ISBLANK(tbl_task2[[คะแนนเต็ม]:[คะแนนเต็ม]]),"",(tbl_task2[126]/tbl_task2[[คะแนนเต็ม]:[คะแนนเต็ม]])*tbl_task2[[%]:[%]])</f>
        <v/>
      </c>
      <c r="KK28" s="121" t="str">
        <f>IF(ISBLANK(tbl_task2[[คะแนนเต็ม]:[คะแนนเต็ม]]),"",(tbl_task2[127]/tbl_task2[[คะแนนเต็ม]:[คะแนนเต็ม]])*tbl_task2[[%]:[%]])</f>
        <v/>
      </c>
      <c r="KL28" s="121" t="str">
        <f>IF(ISBLANK(tbl_task2[[คะแนนเต็ม]:[คะแนนเต็ม]]),"",(tbl_task2[128]/tbl_task2[[คะแนนเต็ม]:[คะแนนเต็ม]])*tbl_task2[[%]:[%]])</f>
        <v/>
      </c>
      <c r="KM28" s="121" t="str">
        <f>IF(ISBLANK(tbl_task2[[คะแนนเต็ม]:[คะแนนเต็ม]]),"",(tbl_task2[129]/tbl_task2[[คะแนนเต็ม]:[คะแนนเต็ม]])*tbl_task2[[%]:[%]])</f>
        <v/>
      </c>
      <c r="KN28" s="121" t="str">
        <f>IF(ISBLANK(tbl_task2[[คะแนนเต็ม]:[คะแนนเต็ม]]),"",(tbl_task2[130]/tbl_task2[[คะแนนเต็ม]:[คะแนนเต็ม]])*tbl_task2[[%]:[%]])</f>
        <v/>
      </c>
      <c r="KO28" s="121" t="str">
        <f>IF(ISBLANK(tbl_task2[[คะแนนเต็ม]:[คะแนนเต็ม]]),"",(tbl_task2[131]/tbl_task2[[คะแนนเต็ม]:[คะแนนเต็ม]])*tbl_task2[[%]:[%]])</f>
        <v/>
      </c>
      <c r="KP28" s="121" t="str">
        <f>IF(ISBLANK(tbl_task2[[คะแนนเต็ม]:[คะแนนเต็ม]]),"",(tbl_task2[132]/tbl_task2[[คะแนนเต็ม]:[คะแนนเต็ม]])*tbl_task2[[%]:[%]])</f>
        <v/>
      </c>
      <c r="KQ28" s="121" t="str">
        <f>IF(ISBLANK(tbl_task2[[คะแนนเต็ม]:[คะแนนเต็ม]]),"",(tbl_task2[133]/tbl_task2[[คะแนนเต็ม]:[คะแนนเต็ม]])*tbl_task2[[%]:[%]])</f>
        <v/>
      </c>
      <c r="KR28" s="121" t="str">
        <f>IF(ISBLANK(tbl_task2[[คะแนนเต็ม]:[คะแนนเต็ม]]),"",(tbl_task2[134]/tbl_task2[[คะแนนเต็ม]:[คะแนนเต็ม]])*tbl_task2[[%]:[%]])</f>
        <v/>
      </c>
      <c r="KS28" s="121" t="str">
        <f>IF(ISBLANK(tbl_task2[[คะแนนเต็ม]:[คะแนนเต็ม]]),"",(tbl_task2[135]/tbl_task2[[คะแนนเต็ม]:[คะแนนเต็ม]])*tbl_task2[[%]:[%]])</f>
        <v/>
      </c>
      <c r="KT28" s="121" t="str">
        <f>IF(ISBLANK(tbl_task2[[คะแนนเต็ม]:[คะแนนเต็ม]]),"",(tbl_task2[136]/tbl_task2[[คะแนนเต็ม]:[คะแนนเต็ม]])*tbl_task2[[%]:[%]])</f>
        <v/>
      </c>
      <c r="KU28" s="121" t="str">
        <f>IF(ISBLANK(tbl_task2[[คะแนนเต็ม]:[คะแนนเต็ม]]),"",(tbl_task2[137]/tbl_task2[[คะแนนเต็ม]:[คะแนนเต็ม]])*tbl_task2[[%]:[%]])</f>
        <v/>
      </c>
      <c r="KV28" s="121" t="str">
        <f>IF(ISBLANK(tbl_task2[[คะแนนเต็ม]:[คะแนนเต็ม]]),"",(tbl_task2[138]/tbl_task2[[คะแนนเต็ม]:[คะแนนเต็ม]])*tbl_task2[[%]:[%]])</f>
        <v/>
      </c>
      <c r="KW28" s="121" t="str">
        <f>IF(ISBLANK(tbl_task2[[คะแนนเต็ม]:[คะแนนเต็ม]]),"",(tbl_task2[139]/tbl_task2[[คะแนนเต็ม]:[คะแนนเต็ม]])*tbl_task2[[%]:[%]])</f>
        <v/>
      </c>
      <c r="KX28" s="121" t="str">
        <f>IF(ISBLANK(tbl_task2[[คะแนนเต็ม]:[คะแนนเต็ม]]),"",(tbl_task2[140]/tbl_task2[[คะแนนเต็ม]:[คะแนนเต็ม]])*tbl_task2[[%]:[%]])</f>
        <v/>
      </c>
      <c r="KY28" s="121" t="str">
        <f>IF(ISBLANK(tbl_task2[[คะแนนเต็ม]:[คะแนนเต็ม]]),"",(tbl_task2[141]/tbl_task2[[คะแนนเต็ม]:[คะแนนเต็ม]])*tbl_task2[[%]:[%]])</f>
        <v/>
      </c>
      <c r="KZ28" s="121" t="str">
        <f>IF(ISBLANK(tbl_task2[[คะแนนเต็ม]:[คะแนนเต็ม]]),"",(tbl_task2[142]/tbl_task2[[คะแนนเต็ม]:[คะแนนเต็ม]])*tbl_task2[[%]:[%]])</f>
        <v/>
      </c>
      <c r="LA28" s="121" t="str">
        <f>IF(ISBLANK(tbl_task2[[คะแนนเต็ม]:[คะแนนเต็ม]]),"",(tbl_task2[143]/tbl_task2[[คะแนนเต็ม]:[คะแนนเต็ม]])*tbl_task2[[%]:[%]])</f>
        <v/>
      </c>
      <c r="LB28" s="121" t="str">
        <f>IF(ISBLANK(tbl_task2[[คะแนนเต็ม]:[คะแนนเต็ม]]),"",(tbl_task2[144]/tbl_task2[[คะแนนเต็ม]:[คะแนนเต็ม]])*tbl_task2[[%]:[%]])</f>
        <v/>
      </c>
      <c r="LC28" s="121" t="str">
        <f>IF(ISBLANK(tbl_task2[[คะแนนเต็ม]:[คะแนนเต็ม]]),"",(tbl_task2[145]/tbl_task2[[คะแนนเต็ม]:[คะแนนเต็ม]])*tbl_task2[[%]:[%]])</f>
        <v/>
      </c>
      <c r="LD28" s="121" t="str">
        <f>IF(ISBLANK(tbl_task2[[คะแนนเต็ม]:[คะแนนเต็ม]]),"",(tbl_task2[146]/tbl_task2[[คะแนนเต็ม]:[คะแนนเต็ม]])*tbl_task2[[%]:[%]])</f>
        <v/>
      </c>
      <c r="LE28" s="121" t="str">
        <f>IF(ISBLANK(tbl_task2[[คะแนนเต็ม]:[คะแนนเต็ม]]),"",(tbl_task2[147]/tbl_task2[[คะแนนเต็ม]:[คะแนนเต็ม]])*tbl_task2[[%]:[%]])</f>
        <v/>
      </c>
      <c r="LF28" s="121" t="str">
        <f>IF(ISBLANK(tbl_task2[[คะแนนเต็ม]:[คะแนนเต็ม]]),"",(tbl_task2[148]/tbl_task2[[คะแนนเต็ม]:[คะแนนเต็ม]])*tbl_task2[[%]:[%]])</f>
        <v/>
      </c>
      <c r="LG28" s="121" t="str">
        <f>IF(ISBLANK(tbl_task2[[คะแนนเต็ม]:[คะแนนเต็ม]]),"",(tbl_task2[149]/tbl_task2[[คะแนนเต็ม]:[คะแนนเต็ม]])*tbl_task2[[%]:[%]])</f>
        <v/>
      </c>
      <c r="LH28" s="121" t="str">
        <f>IF(ISBLANK(tbl_task2[[คะแนนเต็ม]:[คะแนนเต็ม]]),"",(tbl_task2[150]/tbl_task2[[คะแนนเต็ม]:[คะแนนเต็ม]])*tbl_task2[[%]:[%]])</f>
        <v/>
      </c>
      <c r="LI28" s="121" t="str">
        <f>IF(ISBLANK(tbl_task2[[คะแนนเต็ม]:[คะแนนเต็ม]]),"",(tbl_task2[151]/tbl_task2[[คะแนนเต็ม]:[คะแนนเต็ม]])*tbl_task2[[%]:[%]])</f>
        <v/>
      </c>
      <c r="LJ28" s="121" t="str">
        <f>IF(ISBLANK(tbl_task2[[คะแนนเต็ม]:[คะแนนเต็ม]]),"",(tbl_task2[152]/tbl_task2[[คะแนนเต็ม]:[คะแนนเต็ม]])*tbl_task2[[%]:[%]])</f>
        <v/>
      </c>
      <c r="LK28" s="121" t="str">
        <f>IF(ISBLANK(tbl_task2[[คะแนนเต็ม]:[คะแนนเต็ม]]),"",(tbl_task2[153]/tbl_task2[[คะแนนเต็ม]:[คะแนนเต็ม]])*tbl_task2[[%]:[%]])</f>
        <v/>
      </c>
      <c r="LL28" s="121" t="str">
        <f>IF(ISBLANK(tbl_task2[[คะแนนเต็ม]:[คะแนนเต็ม]]),"",(tbl_task2[154]/tbl_task2[[คะแนนเต็ม]:[คะแนนเต็ม]])*tbl_task2[[%]:[%]])</f>
        <v/>
      </c>
      <c r="LM28" s="121" t="str">
        <f>IF(ISBLANK(tbl_task2[[คะแนนเต็ม]:[คะแนนเต็ม]]),"",(tbl_task2[155]/tbl_task2[[คะแนนเต็ม]:[คะแนนเต็ม]])*tbl_task2[[%]:[%]])</f>
        <v/>
      </c>
      <c r="LN28" s="121" t="str">
        <f>IF(ISBLANK(tbl_task2[[คะแนนเต็ม]:[คะแนนเต็ม]]),"",(tbl_task2[156]/tbl_task2[[คะแนนเต็ม]:[คะแนนเต็ม]])*tbl_task2[[%]:[%]])</f>
        <v/>
      </c>
      <c r="LO28" s="121" t="str">
        <f>IF(ISBLANK(tbl_task2[[คะแนนเต็ม]:[คะแนนเต็ม]]),"",(tbl_task2[157]/tbl_task2[[คะแนนเต็ม]:[คะแนนเต็ม]])*tbl_task2[[%]:[%]])</f>
        <v/>
      </c>
      <c r="LP28" s="121" t="str">
        <f>IF(ISBLANK(tbl_task2[[คะแนนเต็ม]:[คะแนนเต็ม]]),"",(tbl_task2[158]/tbl_task2[[คะแนนเต็ม]:[คะแนนเต็ม]])*tbl_task2[[%]:[%]])</f>
        <v/>
      </c>
      <c r="LQ28" s="121" t="str">
        <f>IF(ISBLANK(tbl_task2[[คะแนนเต็ม]:[คะแนนเต็ม]]),"",(tbl_task2[159]/tbl_task2[[คะแนนเต็ม]:[คะแนนเต็ม]])*tbl_task2[[%]:[%]])</f>
        <v/>
      </c>
      <c r="LR28" s="121" t="str">
        <f>IF(ISBLANK(tbl_task2[[คะแนนเต็ม]:[คะแนนเต็ม]]),"",(tbl_task2[160]/tbl_task2[[คะแนนเต็ม]:[คะแนนเต็ม]])*tbl_task2[[%]:[%]])</f>
        <v/>
      </c>
      <c r="LS28" s="121" t="str">
        <f>IF(ISBLANK(tbl_task2[[คะแนนเต็ม]:[คะแนนเต็ม]]),"",(tbl_task2[161]/tbl_task2[[คะแนนเต็ม]:[คะแนนเต็ม]])*tbl_task2[[%]:[%]])</f>
        <v/>
      </c>
      <c r="LT28" s="121" t="str">
        <f>IF(ISBLANK(tbl_task2[[คะแนนเต็ม]:[คะแนนเต็ม]]),"",(tbl_task2[162]/tbl_task2[[คะแนนเต็ม]:[คะแนนเต็ม]])*tbl_task2[[%]:[%]])</f>
        <v/>
      </c>
      <c r="LU28" s="121" t="str">
        <f>IF(ISBLANK(tbl_task2[[คะแนนเต็ม]:[คะแนนเต็ม]]),"",(tbl_task2[163]/tbl_task2[[คะแนนเต็ม]:[คะแนนเต็ม]])*tbl_task2[[%]:[%]])</f>
        <v/>
      </c>
      <c r="LV28" s="121" t="str">
        <f>IF(ISBLANK(tbl_task2[[คะแนนเต็ม]:[คะแนนเต็ม]]),"",(tbl_task2[164]/tbl_task2[[คะแนนเต็ม]:[คะแนนเต็ม]])*tbl_task2[[%]:[%]])</f>
        <v/>
      </c>
      <c r="LW28" s="121" t="str">
        <f>IF(ISBLANK(tbl_task2[[คะแนนเต็ม]:[คะแนนเต็ม]]),"",(tbl_task2[165]/tbl_task2[[คะแนนเต็ม]:[คะแนนเต็ม]])*tbl_task2[[%]:[%]])</f>
        <v/>
      </c>
    </row>
    <row r="29" spans="1:335" s="34" customFormat="1" ht="24" customHeight="1" x14ac:dyDescent="0.25">
      <c r="A29" s="42" t="s">
        <v>11</v>
      </c>
      <c r="B29" s="109">
        <f>COUNTA(tbl_task2[SubPLOs])</f>
        <v>0</v>
      </c>
      <c r="C29" s="129"/>
      <c r="D29" s="108">
        <f>SUM(tbl_task2[คะแนนเต็ม])</f>
        <v>0</v>
      </c>
      <c r="E29" s="108">
        <f>SUM(tbl_task2[%])</f>
        <v>0</v>
      </c>
      <c r="F29" s="124">
        <f>SUM(tbl_task2[1])</f>
        <v>0</v>
      </c>
      <c r="G29" s="124">
        <f>SUM(tbl_task2[2])</f>
        <v>0</v>
      </c>
      <c r="H29" s="124">
        <f>SUM(tbl_task2[3])</f>
        <v>0</v>
      </c>
      <c r="I29" s="124">
        <f>SUM(tbl_task2[4])</f>
        <v>0</v>
      </c>
      <c r="J29" s="124">
        <f>SUM(tbl_task2[5])</f>
        <v>0</v>
      </c>
      <c r="K29" s="124">
        <f>SUM(tbl_task2[6])</f>
        <v>0</v>
      </c>
      <c r="L29" s="124">
        <f>SUM(tbl_task2[7])</f>
        <v>0</v>
      </c>
      <c r="M29" s="124">
        <f>SUM(tbl_task2[8])</f>
        <v>0</v>
      </c>
      <c r="N29" s="124">
        <f>SUM(tbl_task2[9])</f>
        <v>0</v>
      </c>
      <c r="O29" s="124">
        <f>SUM(tbl_task2[10])</f>
        <v>0</v>
      </c>
      <c r="P29" s="124">
        <f>SUM(tbl_task2[11])</f>
        <v>0</v>
      </c>
      <c r="Q29" s="124">
        <f>SUM(tbl_task2[12])</f>
        <v>0</v>
      </c>
      <c r="R29" s="124">
        <f>SUM(tbl_task2[13])</f>
        <v>0</v>
      </c>
      <c r="S29" s="124">
        <f>SUM(tbl_task2[14])</f>
        <v>0</v>
      </c>
      <c r="T29" s="124">
        <f>SUM(tbl_task2[15])</f>
        <v>0</v>
      </c>
      <c r="U29" s="124">
        <f>SUM(tbl_task2[16])</f>
        <v>0</v>
      </c>
      <c r="V29" s="124">
        <f>SUM(tbl_task2[17])</f>
        <v>0</v>
      </c>
      <c r="W29" s="124">
        <f>SUM(tbl_task2[18])</f>
        <v>0</v>
      </c>
      <c r="X29" s="124">
        <f>SUM(tbl_task2[19])</f>
        <v>0</v>
      </c>
      <c r="Y29" s="124">
        <f>SUM(tbl_task2[20])</f>
        <v>0</v>
      </c>
      <c r="Z29" s="124">
        <f>SUM(tbl_task2[21])</f>
        <v>0</v>
      </c>
      <c r="AA29" s="124">
        <f>SUM(tbl_task2[22])</f>
        <v>0</v>
      </c>
      <c r="AB29" s="124">
        <f>SUM(tbl_task2[23])</f>
        <v>0</v>
      </c>
      <c r="AC29" s="124">
        <f>SUM(tbl_task2[24])</f>
        <v>0</v>
      </c>
      <c r="AD29" s="124">
        <f>SUM(tbl_task2[25])</f>
        <v>0</v>
      </c>
      <c r="AE29" s="124">
        <f>SUM(tbl_task2[26])</f>
        <v>0</v>
      </c>
      <c r="AF29" s="124">
        <f>SUM(tbl_task2[27])</f>
        <v>0</v>
      </c>
      <c r="AG29" s="124">
        <f>SUM(tbl_task2[28])</f>
        <v>0</v>
      </c>
      <c r="AH29" s="124">
        <f>SUM(tbl_task2[29])</f>
        <v>0</v>
      </c>
      <c r="AI29" s="124">
        <f>SUM(tbl_task2[30])</f>
        <v>0</v>
      </c>
      <c r="AJ29" s="124">
        <f>SUM(tbl_task2[31])</f>
        <v>0</v>
      </c>
      <c r="AK29" s="124">
        <f>SUM(tbl_task2[32])</f>
        <v>0</v>
      </c>
      <c r="AL29" s="124">
        <f>SUM(tbl_task2[33])</f>
        <v>0</v>
      </c>
      <c r="AM29" s="124">
        <f>SUM(tbl_task2[34])</f>
        <v>0</v>
      </c>
      <c r="AN29" s="124">
        <f>SUM(tbl_task2[35])</f>
        <v>0</v>
      </c>
      <c r="AO29" s="124">
        <f>SUM(tbl_task2[36])</f>
        <v>0</v>
      </c>
      <c r="AP29" s="124">
        <f>SUM(tbl_task2[37])</f>
        <v>0</v>
      </c>
      <c r="AQ29" s="124">
        <f>SUM(tbl_task2[38])</f>
        <v>0</v>
      </c>
      <c r="AR29" s="124">
        <f>SUM(tbl_task2[39])</f>
        <v>0</v>
      </c>
      <c r="AS29" s="124">
        <f>SUM(tbl_task2[40])</f>
        <v>0</v>
      </c>
      <c r="AT29" s="124">
        <f>SUM(tbl_task2[41])</f>
        <v>0</v>
      </c>
      <c r="AU29" s="124">
        <f>SUM(tbl_task2[42])</f>
        <v>0</v>
      </c>
      <c r="AV29" s="124">
        <f>SUM(tbl_task2[43])</f>
        <v>0</v>
      </c>
      <c r="AW29" s="124">
        <f>SUM(tbl_task2[44])</f>
        <v>0</v>
      </c>
      <c r="AX29" s="124">
        <f>SUM(tbl_task2[45])</f>
        <v>0</v>
      </c>
      <c r="AY29" s="124">
        <f>SUM(tbl_task2[46])</f>
        <v>0</v>
      </c>
      <c r="AZ29" s="124">
        <f>SUM(tbl_task2[47])</f>
        <v>0</v>
      </c>
      <c r="BA29" s="124">
        <f>SUM(tbl_task2[48])</f>
        <v>0</v>
      </c>
      <c r="BB29" s="124">
        <f>SUM(tbl_task2[49])</f>
        <v>0</v>
      </c>
      <c r="BC29" s="124">
        <f>SUM(tbl_task2[50])</f>
        <v>0</v>
      </c>
      <c r="BD29" s="124">
        <f>SUM(tbl_task2[51])</f>
        <v>0</v>
      </c>
      <c r="BE29" s="124">
        <f>SUM(tbl_task2[52])</f>
        <v>0</v>
      </c>
      <c r="BF29" s="124">
        <f>SUM(tbl_task2[53])</f>
        <v>0</v>
      </c>
      <c r="BG29" s="124">
        <f>SUM(tbl_task2[54])</f>
        <v>0</v>
      </c>
      <c r="BH29" s="124">
        <f>SUM(tbl_task2[55])</f>
        <v>0</v>
      </c>
      <c r="BI29" s="124">
        <f>SUM(tbl_task2[56])</f>
        <v>0</v>
      </c>
      <c r="BJ29" s="124">
        <f>SUM(tbl_task2[57])</f>
        <v>0</v>
      </c>
      <c r="BK29" s="124">
        <f>SUM(tbl_task2[58])</f>
        <v>0</v>
      </c>
      <c r="BL29" s="124">
        <f>SUM(tbl_task2[59])</f>
        <v>0</v>
      </c>
      <c r="BM29" s="124">
        <f>SUM(tbl_task2[60])</f>
        <v>0</v>
      </c>
      <c r="BN29" s="124">
        <f>SUM(tbl_task2[61])</f>
        <v>0</v>
      </c>
      <c r="BO29" s="124">
        <f>SUM(tbl_task2[62])</f>
        <v>0</v>
      </c>
      <c r="BP29" s="124">
        <f>SUM(tbl_task2[63])</f>
        <v>0</v>
      </c>
      <c r="BQ29" s="124">
        <f>SUM(tbl_task2[64])</f>
        <v>0</v>
      </c>
      <c r="BR29" s="124">
        <f>SUM(tbl_task2[65])</f>
        <v>0</v>
      </c>
      <c r="BS29" s="124">
        <f>SUM(tbl_task2[66])</f>
        <v>0</v>
      </c>
      <c r="BT29" s="124">
        <f>SUM(tbl_task2[67])</f>
        <v>0</v>
      </c>
      <c r="BU29" s="124">
        <f>SUM(tbl_task2[68])</f>
        <v>0</v>
      </c>
      <c r="BV29" s="124">
        <f>SUM(tbl_task2[69])</f>
        <v>0</v>
      </c>
      <c r="BW29" s="124">
        <f>SUM(tbl_task2[70])</f>
        <v>0</v>
      </c>
      <c r="BX29" s="124">
        <f>SUM(tbl_task2[71])</f>
        <v>0</v>
      </c>
      <c r="BY29" s="124">
        <f>SUM(tbl_task2[72])</f>
        <v>0</v>
      </c>
      <c r="BZ29" s="124">
        <f>SUM(tbl_task2[73])</f>
        <v>0</v>
      </c>
      <c r="CA29" s="124">
        <f>SUM(tbl_task2[74])</f>
        <v>0</v>
      </c>
      <c r="CB29" s="124">
        <f>SUM(tbl_task2[75])</f>
        <v>0</v>
      </c>
      <c r="CC29" s="124">
        <f>SUM(tbl_task2[76])</f>
        <v>0</v>
      </c>
      <c r="CD29" s="124">
        <f>SUM(tbl_task2[77])</f>
        <v>0</v>
      </c>
      <c r="CE29" s="124">
        <f>SUM(tbl_task2[78])</f>
        <v>0</v>
      </c>
      <c r="CF29" s="124">
        <f>SUM(tbl_task2[79])</f>
        <v>0</v>
      </c>
      <c r="CG29" s="124">
        <f>SUM(tbl_task2[80])</f>
        <v>0</v>
      </c>
      <c r="CH29" s="124">
        <f>SUM(tbl_task2[81])</f>
        <v>0</v>
      </c>
      <c r="CI29" s="124">
        <f>SUM(tbl_task2[82])</f>
        <v>0</v>
      </c>
      <c r="CJ29" s="124">
        <f>SUM(tbl_task2[83])</f>
        <v>0</v>
      </c>
      <c r="CK29" s="124">
        <f>SUM(tbl_task2[84])</f>
        <v>0</v>
      </c>
      <c r="CL29" s="124">
        <f>SUM(tbl_task2[85])</f>
        <v>0</v>
      </c>
      <c r="CM29" s="124">
        <f>SUM(tbl_task2[86])</f>
        <v>0</v>
      </c>
      <c r="CN29" s="124">
        <f>SUM(tbl_task2[87])</f>
        <v>0</v>
      </c>
      <c r="CO29" s="124">
        <f>SUM(tbl_task2[88])</f>
        <v>0</v>
      </c>
      <c r="CP29" s="124">
        <f>SUM(tbl_task2[89])</f>
        <v>0</v>
      </c>
      <c r="CQ29" s="124">
        <f>SUM(tbl_task2[90])</f>
        <v>0</v>
      </c>
      <c r="CR29" s="124">
        <f>SUM(tbl_task2[91])</f>
        <v>0</v>
      </c>
      <c r="CS29" s="124">
        <f>SUM(tbl_task2[92])</f>
        <v>0</v>
      </c>
      <c r="CT29" s="124">
        <f>SUM(tbl_task2[93])</f>
        <v>0</v>
      </c>
      <c r="CU29" s="124">
        <f>SUM(tbl_task2[94])</f>
        <v>0</v>
      </c>
      <c r="CV29" s="124">
        <f>SUM(tbl_task2[95])</f>
        <v>0</v>
      </c>
      <c r="CW29" s="124">
        <f>SUM(tbl_task2[96])</f>
        <v>0</v>
      </c>
      <c r="CX29" s="124">
        <f>SUM(tbl_task2[97])</f>
        <v>0</v>
      </c>
      <c r="CY29" s="124">
        <f>SUM(tbl_task2[98])</f>
        <v>0</v>
      </c>
      <c r="CZ29" s="124">
        <f>SUM(tbl_task2[99])</f>
        <v>0</v>
      </c>
      <c r="DA29" s="124">
        <f>SUM(tbl_task2[100])</f>
        <v>0</v>
      </c>
      <c r="DB29" s="124">
        <f>SUM(tbl_task2[101])</f>
        <v>0</v>
      </c>
      <c r="DC29" s="124">
        <f>SUM(tbl_task2[102])</f>
        <v>0</v>
      </c>
      <c r="DD29" s="124">
        <f>SUM(tbl_task2[103])</f>
        <v>0</v>
      </c>
      <c r="DE29" s="124">
        <f>SUM(tbl_task2[104])</f>
        <v>0</v>
      </c>
      <c r="DF29" s="124">
        <f>SUM(tbl_task2[105])</f>
        <v>0</v>
      </c>
      <c r="DG29" s="124">
        <f>SUM(tbl_task2[106])</f>
        <v>0</v>
      </c>
      <c r="DH29" s="124">
        <f>SUM(tbl_task2[107])</f>
        <v>0</v>
      </c>
      <c r="DI29" s="124">
        <f>SUM(tbl_task2[108])</f>
        <v>0</v>
      </c>
      <c r="DJ29" s="124">
        <f>SUM(tbl_task2[109])</f>
        <v>0</v>
      </c>
      <c r="DK29" s="124">
        <f>SUM(tbl_task2[110])</f>
        <v>0</v>
      </c>
      <c r="DL29" s="124">
        <f>SUM(tbl_task2[111])</f>
        <v>0</v>
      </c>
      <c r="DM29" s="124">
        <f>SUM(tbl_task2[112])</f>
        <v>0</v>
      </c>
      <c r="DN29" s="124">
        <f>SUM(tbl_task2[113])</f>
        <v>0</v>
      </c>
      <c r="DO29" s="124">
        <f>SUM(tbl_task2[114])</f>
        <v>0</v>
      </c>
      <c r="DP29" s="124">
        <f>SUM(tbl_task2[115])</f>
        <v>0</v>
      </c>
      <c r="DQ29" s="124">
        <f>SUM(tbl_task2[116])</f>
        <v>0</v>
      </c>
      <c r="DR29" s="124">
        <f>SUM(tbl_task2[117])</f>
        <v>0</v>
      </c>
      <c r="DS29" s="124">
        <f>SUM(tbl_task2[118])</f>
        <v>0</v>
      </c>
      <c r="DT29" s="124">
        <f>SUM(tbl_task2[119])</f>
        <v>0</v>
      </c>
      <c r="DU29" s="124">
        <f>SUM(tbl_task2[120])</f>
        <v>0</v>
      </c>
      <c r="DV29" s="124">
        <f>SUM(tbl_task2[121])</f>
        <v>0</v>
      </c>
      <c r="DW29" s="124">
        <f>SUM(tbl_task2[122])</f>
        <v>0</v>
      </c>
      <c r="DX29" s="124">
        <f>SUM(tbl_task2[123])</f>
        <v>0</v>
      </c>
      <c r="DY29" s="124">
        <f>SUM(tbl_task2[124])</f>
        <v>0</v>
      </c>
      <c r="DZ29" s="124">
        <f>SUM(tbl_task2[125])</f>
        <v>0</v>
      </c>
      <c r="EA29" s="124">
        <f>SUM(tbl_task2[126])</f>
        <v>0</v>
      </c>
      <c r="EB29" s="124">
        <f>SUM(tbl_task2[127])</f>
        <v>0</v>
      </c>
      <c r="EC29" s="124">
        <f>SUM(tbl_task2[128])</f>
        <v>0</v>
      </c>
      <c r="ED29" s="124">
        <f>SUM(tbl_task2[129])</f>
        <v>0</v>
      </c>
      <c r="EE29" s="124">
        <f>SUM(tbl_task2[130])</f>
        <v>0</v>
      </c>
      <c r="EF29" s="124">
        <f>SUM(tbl_task2[131])</f>
        <v>0</v>
      </c>
      <c r="EG29" s="124">
        <f>SUM(tbl_task2[132])</f>
        <v>0</v>
      </c>
      <c r="EH29" s="124">
        <f>SUM(tbl_task2[133])</f>
        <v>0</v>
      </c>
      <c r="EI29" s="124">
        <f>SUM(tbl_task2[134])</f>
        <v>0</v>
      </c>
      <c r="EJ29" s="124">
        <f>SUM(tbl_task2[135])</f>
        <v>0</v>
      </c>
      <c r="EK29" s="124">
        <f>SUM(tbl_task2[136])</f>
        <v>0</v>
      </c>
      <c r="EL29" s="124">
        <f>SUM(tbl_task2[137])</f>
        <v>0</v>
      </c>
      <c r="EM29" s="124">
        <f>SUM(tbl_task2[138])</f>
        <v>0</v>
      </c>
      <c r="EN29" s="124">
        <f>SUM(tbl_task2[139])</f>
        <v>0</v>
      </c>
      <c r="EO29" s="124">
        <f>SUM(tbl_task2[140])</f>
        <v>0</v>
      </c>
      <c r="EP29" s="124">
        <f>SUM(tbl_task2[141])</f>
        <v>0</v>
      </c>
      <c r="EQ29" s="124">
        <f>SUM(tbl_task2[142])</f>
        <v>0</v>
      </c>
      <c r="ER29" s="124">
        <f>SUM(tbl_task2[143])</f>
        <v>0</v>
      </c>
      <c r="ES29" s="124">
        <f>SUM(tbl_task2[144])</f>
        <v>0</v>
      </c>
      <c r="ET29" s="124">
        <f>SUM(tbl_task2[145])</f>
        <v>0</v>
      </c>
      <c r="EU29" s="124">
        <f>SUM(tbl_task2[146])</f>
        <v>0</v>
      </c>
      <c r="EV29" s="124">
        <f>SUM(tbl_task2[147])</f>
        <v>0</v>
      </c>
      <c r="EW29" s="124">
        <f>SUM(tbl_task2[148])</f>
        <v>0</v>
      </c>
      <c r="EX29" s="124">
        <f>SUM(tbl_task2[149])</f>
        <v>0</v>
      </c>
      <c r="EY29" s="124">
        <f>SUM(tbl_task2[150])</f>
        <v>0</v>
      </c>
      <c r="EZ29" s="124">
        <f>SUM(tbl_task2[151])</f>
        <v>0</v>
      </c>
      <c r="FA29" s="124">
        <f>SUM(tbl_task2[152])</f>
        <v>0</v>
      </c>
      <c r="FB29" s="124">
        <f>SUM(tbl_task2[153])</f>
        <v>0</v>
      </c>
      <c r="FC29" s="124">
        <f>SUM(tbl_task2[154])</f>
        <v>0</v>
      </c>
      <c r="FD29" s="124">
        <f>SUM(tbl_task2[155])</f>
        <v>0</v>
      </c>
      <c r="FE29" s="124">
        <f>SUM(tbl_task2[156])</f>
        <v>0</v>
      </c>
      <c r="FF29" s="124">
        <f>SUM(tbl_task2[157])</f>
        <v>0</v>
      </c>
      <c r="FG29" s="124">
        <f>SUM(tbl_task2[158])</f>
        <v>0</v>
      </c>
      <c r="FH29" s="124">
        <f>SUM(tbl_task2[159])</f>
        <v>0</v>
      </c>
      <c r="FI29" s="124">
        <f>SUM(tbl_task2[160])</f>
        <v>0</v>
      </c>
      <c r="FJ29" s="124">
        <f>SUM(tbl_task2[161])</f>
        <v>0</v>
      </c>
      <c r="FK29" s="124">
        <f>SUM(tbl_task2[162])</f>
        <v>0</v>
      </c>
      <c r="FL29" s="124">
        <f>SUM(tbl_task2[163])</f>
        <v>0</v>
      </c>
      <c r="FM29" s="124">
        <f>SUM(tbl_task2[164])</f>
        <v>0</v>
      </c>
      <c r="FN29" s="124">
        <f>SUM(tbl_task2[165])</f>
        <v>0</v>
      </c>
      <c r="FO29" s="124">
        <f>SUM(tbl_task2[S1])</f>
        <v>0</v>
      </c>
      <c r="FP29" s="124">
        <f>SUM(tbl_task2[S2])</f>
        <v>0</v>
      </c>
      <c r="FQ29" s="124">
        <f>SUM(tbl_task2[S3])</f>
        <v>0</v>
      </c>
      <c r="FR29" s="124">
        <f>SUM(tbl_task2[S4])</f>
        <v>0</v>
      </c>
      <c r="FS29" s="124">
        <f>SUM(tbl_task2[S5])</f>
        <v>0</v>
      </c>
      <c r="FT29" s="124">
        <f>SUM(tbl_task2[S6])</f>
        <v>0</v>
      </c>
      <c r="FU29" s="124">
        <f>SUM(tbl_task2[S7])</f>
        <v>0</v>
      </c>
      <c r="FV29" s="124">
        <f>SUM(tbl_task2[S8])</f>
        <v>0</v>
      </c>
      <c r="FW29" s="124">
        <f>SUM(tbl_task2[S9])</f>
        <v>0</v>
      </c>
      <c r="FX29" s="124">
        <f>SUM(tbl_task2[S10])</f>
        <v>0</v>
      </c>
      <c r="FY29" s="124">
        <f>SUM(tbl_task2[S11])</f>
        <v>0</v>
      </c>
      <c r="FZ29" s="124">
        <f>SUM(tbl_task2[S12])</f>
        <v>0</v>
      </c>
      <c r="GA29" s="124">
        <f>SUM(tbl_task2[S13])</f>
        <v>0</v>
      </c>
      <c r="GB29" s="124">
        <f>SUM(tbl_task2[S14])</f>
        <v>0</v>
      </c>
      <c r="GC29" s="124">
        <f>SUM(tbl_task2[S15])</f>
        <v>0</v>
      </c>
      <c r="GD29" s="124">
        <f>SUM(tbl_task2[S16])</f>
        <v>0</v>
      </c>
      <c r="GE29" s="124">
        <f>SUM(tbl_task2[S17])</f>
        <v>0</v>
      </c>
      <c r="GF29" s="124">
        <f>SUM(tbl_task2[S18])</f>
        <v>0</v>
      </c>
      <c r="GG29" s="124">
        <f>SUM(tbl_task2[S19])</f>
        <v>0</v>
      </c>
      <c r="GH29" s="124">
        <f>SUM(tbl_task2[S20])</f>
        <v>0</v>
      </c>
      <c r="GI29" s="124">
        <f>SUM(tbl_task2[S21])</f>
        <v>0</v>
      </c>
      <c r="GJ29" s="124">
        <f>SUM(tbl_task2[S22])</f>
        <v>0</v>
      </c>
      <c r="GK29" s="124">
        <f>SUM(tbl_task2[S23])</f>
        <v>0</v>
      </c>
      <c r="GL29" s="124">
        <f>SUM(tbl_task2[S24])</f>
        <v>0</v>
      </c>
      <c r="GM29" s="124">
        <f>SUM(tbl_task2[S25])</f>
        <v>0</v>
      </c>
      <c r="GN29" s="124">
        <f>SUM(tbl_task2[S26])</f>
        <v>0</v>
      </c>
      <c r="GO29" s="124">
        <f>SUM(tbl_task2[S27])</f>
        <v>0</v>
      </c>
      <c r="GP29" s="124">
        <f>SUM(tbl_task2[S28])</f>
        <v>0</v>
      </c>
      <c r="GQ29" s="124">
        <f>SUM(tbl_task2[S29])</f>
        <v>0</v>
      </c>
      <c r="GR29" s="124">
        <f>SUM(tbl_task2[S30])</f>
        <v>0</v>
      </c>
      <c r="GS29" s="124">
        <f>SUM(tbl_task2[S31])</f>
        <v>0</v>
      </c>
      <c r="GT29" s="124">
        <f>SUM(tbl_task2[S32])</f>
        <v>0</v>
      </c>
      <c r="GU29" s="124">
        <f>SUM(tbl_task2[S33])</f>
        <v>0</v>
      </c>
      <c r="GV29" s="124">
        <f>SUM(tbl_task2[S34])</f>
        <v>0</v>
      </c>
      <c r="GW29" s="124">
        <f>SUM(tbl_task2[S35])</f>
        <v>0</v>
      </c>
      <c r="GX29" s="124">
        <f>SUM(tbl_task2[S36])</f>
        <v>0</v>
      </c>
      <c r="GY29" s="124">
        <f>SUM(tbl_task2[S37])</f>
        <v>0</v>
      </c>
      <c r="GZ29" s="124">
        <f>SUM(tbl_task2[S38])</f>
        <v>0</v>
      </c>
      <c r="HA29" s="124">
        <f>SUM(tbl_task2[S39])</f>
        <v>0</v>
      </c>
      <c r="HB29" s="124">
        <f>SUM(tbl_task2[S40])</f>
        <v>0</v>
      </c>
      <c r="HC29" s="124">
        <f>SUM(tbl_task2[S41])</f>
        <v>0</v>
      </c>
      <c r="HD29" s="124">
        <f>SUM(tbl_task2[S42])</f>
        <v>0</v>
      </c>
      <c r="HE29" s="124">
        <f>SUM(tbl_task2[S43])</f>
        <v>0</v>
      </c>
      <c r="HF29" s="124">
        <f>SUM(tbl_task2[S44])</f>
        <v>0</v>
      </c>
      <c r="HG29" s="124">
        <f>SUM(tbl_task2[S45])</f>
        <v>0</v>
      </c>
      <c r="HH29" s="124">
        <f>SUM(tbl_task2[S46])</f>
        <v>0</v>
      </c>
      <c r="HI29" s="124">
        <f>SUM(tbl_task2[S47])</f>
        <v>0</v>
      </c>
      <c r="HJ29" s="124">
        <f>SUM(tbl_task2[S48])</f>
        <v>0</v>
      </c>
      <c r="HK29" s="124">
        <f>SUM(tbl_task2[S49])</f>
        <v>0</v>
      </c>
      <c r="HL29" s="124">
        <f>SUM(tbl_task2[S50])</f>
        <v>0</v>
      </c>
      <c r="HM29" s="124">
        <f>SUM(tbl_task2[S51])</f>
        <v>0</v>
      </c>
      <c r="HN29" s="124">
        <f>SUM(tbl_task2[S52])</f>
        <v>0</v>
      </c>
      <c r="HO29" s="124">
        <f>SUM(tbl_task2[S53])</f>
        <v>0</v>
      </c>
      <c r="HP29" s="124">
        <f>SUM(tbl_task2[S54])</f>
        <v>0</v>
      </c>
      <c r="HQ29" s="124">
        <f>SUM(tbl_task2[S55])</f>
        <v>0</v>
      </c>
      <c r="HR29" s="124">
        <f>SUM(tbl_task2[S56])</f>
        <v>0</v>
      </c>
      <c r="HS29" s="124">
        <f>SUM(tbl_task2[S57])</f>
        <v>0</v>
      </c>
      <c r="HT29" s="124">
        <f>SUM(tbl_task2[S58])</f>
        <v>0</v>
      </c>
      <c r="HU29" s="124">
        <f>SUM(tbl_task2[S59])</f>
        <v>0</v>
      </c>
      <c r="HV29" s="124">
        <f>SUM(tbl_task2[S60])</f>
        <v>0</v>
      </c>
      <c r="HW29" s="124">
        <f>SUM(tbl_task2[S61])</f>
        <v>0</v>
      </c>
      <c r="HX29" s="124">
        <f>SUM(tbl_task2[S62])</f>
        <v>0</v>
      </c>
      <c r="HY29" s="124">
        <f>SUM(tbl_task2[S63])</f>
        <v>0</v>
      </c>
      <c r="HZ29" s="124">
        <f>SUM(tbl_task2[S64])</f>
        <v>0</v>
      </c>
      <c r="IA29" s="124">
        <f>SUM(tbl_task2[S65])</f>
        <v>0</v>
      </c>
      <c r="IB29" s="124">
        <f>SUM(tbl_task2[S66])</f>
        <v>0</v>
      </c>
      <c r="IC29" s="124">
        <f>SUM(tbl_task2[S67])</f>
        <v>0</v>
      </c>
      <c r="ID29" s="124">
        <f>SUM(tbl_task2[S68])</f>
        <v>0</v>
      </c>
      <c r="IE29" s="124">
        <f>SUM(tbl_task2[S69])</f>
        <v>0</v>
      </c>
      <c r="IF29" s="124">
        <f>SUM(tbl_task2[S70])</f>
        <v>0</v>
      </c>
      <c r="IG29" s="124">
        <f>SUM(tbl_task2[S71])</f>
        <v>0</v>
      </c>
      <c r="IH29" s="124">
        <f>SUM(tbl_task2[S72])</f>
        <v>0</v>
      </c>
      <c r="II29" s="124">
        <f>SUM(tbl_task2[S73])</f>
        <v>0</v>
      </c>
      <c r="IJ29" s="124">
        <f>SUM(tbl_task2[S74])</f>
        <v>0</v>
      </c>
      <c r="IK29" s="124">
        <f>SUM(tbl_task2[S75])</f>
        <v>0</v>
      </c>
      <c r="IL29" s="124">
        <f>SUM(tbl_task2[S76])</f>
        <v>0</v>
      </c>
      <c r="IM29" s="124">
        <f>SUM(tbl_task2[S77])</f>
        <v>0</v>
      </c>
      <c r="IN29" s="124">
        <f>SUM(tbl_task2[S78])</f>
        <v>0</v>
      </c>
      <c r="IO29" s="124">
        <f>SUM(tbl_task2[S79])</f>
        <v>0</v>
      </c>
      <c r="IP29" s="124">
        <f>SUM(tbl_task2[S80])</f>
        <v>0</v>
      </c>
      <c r="IQ29" s="124">
        <f>SUM(tbl_task2[S81])</f>
        <v>0</v>
      </c>
      <c r="IR29" s="124">
        <f>SUM(tbl_task2[S82])</f>
        <v>0</v>
      </c>
      <c r="IS29" s="124">
        <f>SUM(tbl_task2[S83])</f>
        <v>0</v>
      </c>
      <c r="IT29" s="124">
        <f>SUM(tbl_task2[S84])</f>
        <v>0</v>
      </c>
      <c r="IU29" s="124">
        <f>SUM(tbl_task2[S85])</f>
        <v>0</v>
      </c>
      <c r="IV29" s="124">
        <f>SUM(tbl_task2[S86])</f>
        <v>0</v>
      </c>
      <c r="IW29" s="124">
        <f>SUM(tbl_task2[S87])</f>
        <v>0</v>
      </c>
      <c r="IX29" s="124">
        <f>SUM(tbl_task2[S88])</f>
        <v>0</v>
      </c>
      <c r="IY29" s="124">
        <f>SUM(tbl_task2[S89])</f>
        <v>0</v>
      </c>
      <c r="IZ29" s="124">
        <f>SUM(tbl_task2[S90])</f>
        <v>0</v>
      </c>
      <c r="JA29" s="124">
        <f>SUM(tbl_task2[S91])</f>
        <v>0</v>
      </c>
      <c r="JB29" s="124">
        <f>SUM(tbl_task2[S92])</f>
        <v>0</v>
      </c>
      <c r="JC29" s="124">
        <f>SUM(tbl_task2[S93])</f>
        <v>0</v>
      </c>
      <c r="JD29" s="124">
        <f>SUM(tbl_task2[S94])</f>
        <v>0</v>
      </c>
      <c r="JE29" s="124">
        <f>SUM(tbl_task2[S95])</f>
        <v>0</v>
      </c>
      <c r="JF29" s="124">
        <f>SUM(tbl_task2[S96])</f>
        <v>0</v>
      </c>
      <c r="JG29" s="124">
        <f>SUM(tbl_task2[S97])</f>
        <v>0</v>
      </c>
      <c r="JH29" s="124">
        <f>SUM(tbl_task2[S98])</f>
        <v>0</v>
      </c>
      <c r="JI29" s="124">
        <f>SUM(tbl_task2[S99])</f>
        <v>0</v>
      </c>
      <c r="JJ29" s="124">
        <f>SUM(tbl_task2[S100])</f>
        <v>0</v>
      </c>
      <c r="JK29" s="124">
        <f>SUM(tbl_task2[S101])</f>
        <v>0</v>
      </c>
      <c r="JL29" s="124">
        <f>SUM(tbl_task2[S102])</f>
        <v>0</v>
      </c>
      <c r="JM29" s="124">
        <f>SUM(tbl_task2[S103])</f>
        <v>0</v>
      </c>
      <c r="JN29" s="124">
        <f>SUM(tbl_task2[S104])</f>
        <v>0</v>
      </c>
      <c r="JO29" s="124">
        <f>SUM(tbl_task2[S105])</f>
        <v>0</v>
      </c>
      <c r="JP29" s="124">
        <f>SUM(tbl_task2[S106])</f>
        <v>0</v>
      </c>
      <c r="JQ29" s="124">
        <f>SUM(tbl_task2[S107])</f>
        <v>0</v>
      </c>
      <c r="JR29" s="124">
        <f>SUM(tbl_task2[S108])</f>
        <v>0</v>
      </c>
      <c r="JS29" s="124">
        <f>SUM(tbl_task2[S109])</f>
        <v>0</v>
      </c>
      <c r="JT29" s="124">
        <f>SUM(tbl_task2[S110])</f>
        <v>0</v>
      </c>
      <c r="JU29" s="124">
        <f>SUM(tbl_task2[S111])</f>
        <v>0</v>
      </c>
      <c r="JV29" s="124">
        <f>SUM(tbl_task2[S112])</f>
        <v>0</v>
      </c>
      <c r="JW29" s="124">
        <f>SUM(tbl_task2[S113])</f>
        <v>0</v>
      </c>
      <c r="JX29" s="124">
        <f>SUM(tbl_task2[S114])</f>
        <v>0</v>
      </c>
      <c r="JY29" s="124">
        <f>SUM(tbl_task2[S115])</f>
        <v>0</v>
      </c>
      <c r="JZ29" s="124">
        <f>SUM(tbl_task2[S116])</f>
        <v>0</v>
      </c>
      <c r="KA29" s="124">
        <f>SUM(tbl_task2[S117])</f>
        <v>0</v>
      </c>
      <c r="KB29" s="124">
        <f>SUM(tbl_task2[S118])</f>
        <v>0</v>
      </c>
      <c r="KC29" s="124">
        <f>SUM(tbl_task2[S119])</f>
        <v>0</v>
      </c>
      <c r="KD29" s="124">
        <f>SUM(tbl_task2[S120])</f>
        <v>0</v>
      </c>
      <c r="KE29" s="124">
        <f>SUM(tbl_task2[S121])</f>
        <v>0</v>
      </c>
      <c r="KF29" s="124">
        <f>SUM(tbl_task2[S122])</f>
        <v>0</v>
      </c>
      <c r="KG29" s="124">
        <f>SUM(tbl_task2[S123])</f>
        <v>0</v>
      </c>
      <c r="KH29" s="124">
        <f>SUM(tbl_task2[S124])</f>
        <v>0</v>
      </c>
      <c r="KI29" s="124">
        <f>SUM(tbl_task2[S125])</f>
        <v>0</v>
      </c>
      <c r="KJ29" s="124">
        <f>SUM(tbl_task2[S126])</f>
        <v>0</v>
      </c>
      <c r="KK29" s="124">
        <f>SUM(tbl_task2[S127])</f>
        <v>0</v>
      </c>
      <c r="KL29" s="124">
        <f>SUM(tbl_task2[S128])</f>
        <v>0</v>
      </c>
      <c r="KM29" s="124">
        <f>SUM(tbl_task2[S129])</f>
        <v>0</v>
      </c>
      <c r="KN29" s="124">
        <f>SUM(tbl_task2[S130])</f>
        <v>0</v>
      </c>
      <c r="KO29" s="124">
        <f>SUM(tbl_task2[S131])</f>
        <v>0</v>
      </c>
      <c r="KP29" s="124">
        <f>SUM(tbl_task2[S132])</f>
        <v>0</v>
      </c>
      <c r="KQ29" s="124">
        <f>SUM(tbl_task2[S133])</f>
        <v>0</v>
      </c>
      <c r="KR29" s="124">
        <f>SUM(tbl_task2[S134])</f>
        <v>0</v>
      </c>
      <c r="KS29" s="124">
        <f>SUM(tbl_task2[S135])</f>
        <v>0</v>
      </c>
      <c r="KT29" s="124">
        <f>SUM(tbl_task2[S136])</f>
        <v>0</v>
      </c>
      <c r="KU29" s="124">
        <f>SUM(tbl_task2[S137])</f>
        <v>0</v>
      </c>
      <c r="KV29" s="124">
        <f>SUM(tbl_task2[S138])</f>
        <v>0</v>
      </c>
      <c r="KW29" s="124">
        <f>SUM(tbl_task2[S139])</f>
        <v>0</v>
      </c>
      <c r="KX29" s="124">
        <f>SUM(tbl_task2[S140])</f>
        <v>0</v>
      </c>
      <c r="KY29" s="124">
        <f>SUM(tbl_task2[S141])</f>
        <v>0</v>
      </c>
      <c r="KZ29" s="124">
        <f>SUM(tbl_task2[S142])</f>
        <v>0</v>
      </c>
      <c r="LA29" s="124">
        <f>SUM(tbl_task2[S143])</f>
        <v>0</v>
      </c>
      <c r="LB29" s="124">
        <f>SUM(tbl_task2[S144])</f>
        <v>0</v>
      </c>
      <c r="LC29" s="124">
        <f>SUM(tbl_task2[S145])</f>
        <v>0</v>
      </c>
      <c r="LD29" s="124">
        <f>SUM(tbl_task2[S146])</f>
        <v>0</v>
      </c>
      <c r="LE29" s="124">
        <f>SUM(tbl_task2[S147])</f>
        <v>0</v>
      </c>
      <c r="LF29" s="124">
        <f>SUM(tbl_task2[S148])</f>
        <v>0</v>
      </c>
      <c r="LG29" s="124">
        <f>SUM(tbl_task2[S149])</f>
        <v>0</v>
      </c>
      <c r="LH29" s="124">
        <f>SUM(tbl_task2[S150])</f>
        <v>0</v>
      </c>
      <c r="LI29" s="124">
        <f>SUM(tbl_task2[S151])</f>
        <v>0</v>
      </c>
      <c r="LJ29" s="124">
        <f>SUM(tbl_task2[S152])</f>
        <v>0</v>
      </c>
      <c r="LK29" s="124">
        <f>SUM(tbl_task2[S153])</f>
        <v>0</v>
      </c>
      <c r="LL29" s="124">
        <f>SUM(tbl_task2[S154])</f>
        <v>0</v>
      </c>
      <c r="LM29" s="124">
        <f>SUM(tbl_task2[S155])</f>
        <v>0</v>
      </c>
      <c r="LN29" s="124">
        <f>SUM(tbl_task2[S156])</f>
        <v>0</v>
      </c>
      <c r="LO29" s="124">
        <f>SUM(tbl_task2[S157])</f>
        <v>0</v>
      </c>
      <c r="LP29" s="124">
        <f>SUM(tbl_task2[S158])</f>
        <v>0</v>
      </c>
      <c r="LQ29" s="124">
        <f>SUM(tbl_task2[S159])</f>
        <v>0</v>
      </c>
      <c r="LR29" s="124">
        <f>SUM(tbl_task2[S160])</f>
        <v>0</v>
      </c>
      <c r="LS29" s="124">
        <f>SUM(tbl_task2[S161])</f>
        <v>0</v>
      </c>
      <c r="LT29" s="124">
        <f>SUM(tbl_task2[S162])</f>
        <v>0</v>
      </c>
      <c r="LU29" s="124">
        <f>SUM(tbl_task2[S163])</f>
        <v>0</v>
      </c>
      <c r="LV29" s="124">
        <f>SUM(tbl_task2[S164])</f>
        <v>0</v>
      </c>
      <c r="LW29" s="124">
        <f>SUM(tbl_task2[S165])</f>
        <v>0</v>
      </c>
    </row>
    <row r="30" spans="1:335" s="39" customFormat="1" ht="9" customHeight="1" x14ac:dyDescent="0.25">
      <c r="A30" s="23"/>
      <c r="B30" s="35"/>
      <c r="C30" s="36"/>
      <c r="D30" s="100"/>
      <c r="E30" s="37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</row>
    <row r="31" spans="1:335" ht="10.5" customHeight="1" x14ac:dyDescent="0.25">
      <c r="A31" s="23"/>
      <c r="B31" s="35"/>
      <c r="C31" s="36"/>
      <c r="D31" s="100"/>
      <c r="E31" s="37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</row>
    <row r="32" spans="1:335" x14ac:dyDescent="0.25">
      <c r="A32" s="6" t="s">
        <v>410</v>
      </c>
    </row>
    <row r="33" spans="1:170" ht="42" x14ac:dyDescent="0.25">
      <c r="A33" s="7" t="s">
        <v>10</v>
      </c>
      <c r="B33" s="21" t="s">
        <v>286</v>
      </c>
      <c r="C33" s="21" t="s">
        <v>451</v>
      </c>
      <c r="D33" s="21" t="s">
        <v>409</v>
      </c>
      <c r="E33" s="43" t="s">
        <v>249</v>
      </c>
      <c r="F33" s="122" t="s">
        <v>22</v>
      </c>
      <c r="G33" s="122" t="s">
        <v>23</v>
      </c>
      <c r="H33" s="122" t="s">
        <v>24</v>
      </c>
      <c r="I33" s="122" t="s">
        <v>25</v>
      </c>
      <c r="J33" s="122" t="s">
        <v>26</v>
      </c>
      <c r="K33" s="122" t="s">
        <v>27</v>
      </c>
      <c r="L33" s="122" t="s">
        <v>28</v>
      </c>
      <c r="M33" s="122" t="s">
        <v>29</v>
      </c>
      <c r="N33" s="122" t="s">
        <v>30</v>
      </c>
      <c r="O33" s="122" t="s">
        <v>31</v>
      </c>
      <c r="P33" s="122" t="s">
        <v>32</v>
      </c>
      <c r="Q33" s="122" t="s">
        <v>33</v>
      </c>
      <c r="R33" s="122" t="s">
        <v>34</v>
      </c>
      <c r="S33" s="122" t="s">
        <v>35</v>
      </c>
      <c r="T33" s="122" t="s">
        <v>36</v>
      </c>
      <c r="U33" s="122" t="s">
        <v>37</v>
      </c>
      <c r="V33" s="122" t="s">
        <v>38</v>
      </c>
      <c r="W33" s="122" t="s">
        <v>39</v>
      </c>
      <c r="X33" s="122" t="s">
        <v>40</v>
      </c>
      <c r="Y33" s="122" t="s">
        <v>41</v>
      </c>
      <c r="Z33" s="122" t="s">
        <v>42</v>
      </c>
      <c r="AA33" s="122" t="s">
        <v>43</v>
      </c>
      <c r="AB33" s="122" t="s">
        <v>44</v>
      </c>
      <c r="AC33" s="122" t="s">
        <v>45</v>
      </c>
      <c r="AD33" s="122" t="s">
        <v>46</v>
      </c>
      <c r="AE33" s="122" t="s">
        <v>47</v>
      </c>
      <c r="AF33" s="122" t="s">
        <v>48</v>
      </c>
      <c r="AG33" s="122" t="s">
        <v>49</v>
      </c>
      <c r="AH33" s="122" t="s">
        <v>50</v>
      </c>
      <c r="AI33" s="122" t="s">
        <v>51</v>
      </c>
      <c r="AJ33" s="122" t="s">
        <v>52</v>
      </c>
      <c r="AK33" s="122" t="s">
        <v>53</v>
      </c>
      <c r="AL33" s="122" t="s">
        <v>54</v>
      </c>
      <c r="AM33" s="122" t="s">
        <v>55</v>
      </c>
      <c r="AN33" s="122" t="s">
        <v>56</v>
      </c>
      <c r="AO33" s="122" t="s">
        <v>57</v>
      </c>
      <c r="AP33" s="122" t="s">
        <v>58</v>
      </c>
      <c r="AQ33" s="122" t="s">
        <v>59</v>
      </c>
      <c r="AR33" s="122" t="s">
        <v>60</v>
      </c>
      <c r="AS33" s="122" t="s">
        <v>61</v>
      </c>
      <c r="AT33" s="122" t="s">
        <v>62</v>
      </c>
      <c r="AU33" s="122" t="s">
        <v>63</v>
      </c>
      <c r="AV33" s="122" t="s">
        <v>64</v>
      </c>
      <c r="AW33" s="122" t="s">
        <v>65</v>
      </c>
      <c r="AX33" s="122" t="s">
        <v>66</v>
      </c>
      <c r="AY33" s="122" t="s">
        <v>67</v>
      </c>
      <c r="AZ33" s="122" t="s">
        <v>68</v>
      </c>
      <c r="BA33" s="122" t="s">
        <v>69</v>
      </c>
      <c r="BB33" s="122" t="s">
        <v>70</v>
      </c>
      <c r="BC33" s="122" t="s">
        <v>71</v>
      </c>
      <c r="BD33" s="122" t="s">
        <v>72</v>
      </c>
      <c r="BE33" s="122" t="s">
        <v>73</v>
      </c>
      <c r="BF33" s="122" t="s">
        <v>74</v>
      </c>
      <c r="BG33" s="122" t="s">
        <v>75</v>
      </c>
      <c r="BH33" s="122" t="s">
        <v>76</v>
      </c>
      <c r="BI33" s="122" t="s">
        <v>77</v>
      </c>
      <c r="BJ33" s="122" t="s">
        <v>78</v>
      </c>
      <c r="BK33" s="122" t="s">
        <v>79</v>
      </c>
      <c r="BL33" s="122" t="s">
        <v>80</v>
      </c>
      <c r="BM33" s="122" t="s">
        <v>81</v>
      </c>
      <c r="BN33" s="122" t="s">
        <v>82</v>
      </c>
      <c r="BO33" s="122" t="s">
        <v>83</v>
      </c>
      <c r="BP33" s="122" t="s">
        <v>84</v>
      </c>
      <c r="BQ33" s="122" t="s">
        <v>85</v>
      </c>
      <c r="BR33" s="122" t="s">
        <v>86</v>
      </c>
      <c r="BS33" s="122" t="s">
        <v>87</v>
      </c>
      <c r="BT33" s="122" t="s">
        <v>88</v>
      </c>
      <c r="BU33" s="122" t="s">
        <v>89</v>
      </c>
      <c r="BV33" s="122" t="s">
        <v>90</v>
      </c>
      <c r="BW33" s="122" t="s">
        <v>91</v>
      </c>
      <c r="BX33" s="122" t="s">
        <v>92</v>
      </c>
      <c r="BY33" s="122" t="s">
        <v>93</v>
      </c>
      <c r="BZ33" s="122" t="s">
        <v>94</v>
      </c>
      <c r="CA33" s="122" t="s">
        <v>95</v>
      </c>
      <c r="CB33" s="122" t="s">
        <v>96</v>
      </c>
      <c r="CC33" s="122" t="s">
        <v>97</v>
      </c>
      <c r="CD33" s="122" t="s">
        <v>98</v>
      </c>
      <c r="CE33" s="122" t="s">
        <v>99</v>
      </c>
      <c r="CF33" s="122" t="s">
        <v>100</v>
      </c>
      <c r="CG33" s="122" t="s">
        <v>101</v>
      </c>
      <c r="CH33" s="122" t="s">
        <v>102</v>
      </c>
      <c r="CI33" s="122" t="s">
        <v>103</v>
      </c>
      <c r="CJ33" s="122" t="s">
        <v>104</v>
      </c>
      <c r="CK33" s="122" t="s">
        <v>105</v>
      </c>
      <c r="CL33" s="122" t="s">
        <v>106</v>
      </c>
      <c r="CM33" s="122" t="s">
        <v>107</v>
      </c>
      <c r="CN33" s="122" t="s">
        <v>108</v>
      </c>
      <c r="CO33" s="122" t="s">
        <v>109</v>
      </c>
      <c r="CP33" s="122" t="s">
        <v>110</v>
      </c>
      <c r="CQ33" s="122" t="s">
        <v>111</v>
      </c>
      <c r="CR33" s="122" t="s">
        <v>112</v>
      </c>
      <c r="CS33" s="122" t="s">
        <v>113</v>
      </c>
      <c r="CT33" s="122" t="s">
        <v>114</v>
      </c>
      <c r="CU33" s="122" t="s">
        <v>115</v>
      </c>
      <c r="CV33" s="122" t="s">
        <v>116</v>
      </c>
      <c r="CW33" s="122" t="s">
        <v>117</v>
      </c>
      <c r="CX33" s="122" t="s">
        <v>118</v>
      </c>
      <c r="CY33" s="122" t="s">
        <v>119</v>
      </c>
      <c r="CZ33" s="122" t="s">
        <v>120</v>
      </c>
      <c r="DA33" s="122" t="s">
        <v>121</v>
      </c>
      <c r="DB33" s="122" t="s">
        <v>122</v>
      </c>
      <c r="DC33" s="122" t="s">
        <v>123</v>
      </c>
      <c r="DD33" s="122" t="s">
        <v>124</v>
      </c>
      <c r="DE33" s="122" t="s">
        <v>125</v>
      </c>
      <c r="DF33" s="122" t="s">
        <v>126</v>
      </c>
      <c r="DG33" s="122" t="s">
        <v>127</v>
      </c>
      <c r="DH33" s="122" t="s">
        <v>128</v>
      </c>
      <c r="DI33" s="122" t="s">
        <v>129</v>
      </c>
      <c r="DJ33" s="122" t="s">
        <v>130</v>
      </c>
      <c r="DK33" s="122" t="s">
        <v>131</v>
      </c>
      <c r="DL33" s="122" t="s">
        <v>132</v>
      </c>
      <c r="DM33" s="122" t="s">
        <v>133</v>
      </c>
      <c r="DN33" s="122" t="s">
        <v>134</v>
      </c>
      <c r="DO33" s="122" t="s">
        <v>135</v>
      </c>
      <c r="DP33" s="122" t="s">
        <v>136</v>
      </c>
      <c r="DQ33" s="122" t="s">
        <v>359</v>
      </c>
      <c r="DR33" s="122" t="s">
        <v>360</v>
      </c>
      <c r="DS33" s="122" t="s">
        <v>361</v>
      </c>
      <c r="DT33" s="122" t="s">
        <v>362</v>
      </c>
      <c r="DU33" s="122" t="s">
        <v>363</v>
      </c>
      <c r="DV33" s="122" t="s">
        <v>364</v>
      </c>
      <c r="DW33" s="122" t="s">
        <v>365</v>
      </c>
      <c r="DX33" s="122" t="s">
        <v>366</v>
      </c>
      <c r="DY33" s="122" t="s">
        <v>367</v>
      </c>
      <c r="DZ33" s="122" t="s">
        <v>368</v>
      </c>
      <c r="EA33" s="122" t="s">
        <v>369</v>
      </c>
      <c r="EB33" s="122" t="s">
        <v>370</v>
      </c>
      <c r="EC33" s="122" t="s">
        <v>371</v>
      </c>
      <c r="ED33" s="122" t="s">
        <v>372</v>
      </c>
      <c r="EE33" s="122" t="s">
        <v>373</v>
      </c>
      <c r="EF33" s="122" t="s">
        <v>374</v>
      </c>
      <c r="EG33" s="122" t="s">
        <v>375</v>
      </c>
      <c r="EH33" s="122" t="s">
        <v>376</v>
      </c>
      <c r="EI33" s="122" t="s">
        <v>377</v>
      </c>
      <c r="EJ33" s="122" t="s">
        <v>378</v>
      </c>
      <c r="EK33" s="122" t="s">
        <v>379</v>
      </c>
      <c r="EL33" s="122" t="s">
        <v>380</v>
      </c>
      <c r="EM33" s="122" t="s">
        <v>381</v>
      </c>
      <c r="EN33" s="122" t="s">
        <v>382</v>
      </c>
      <c r="EO33" s="122" t="s">
        <v>383</v>
      </c>
      <c r="EP33" s="122" t="s">
        <v>384</v>
      </c>
      <c r="EQ33" s="122" t="s">
        <v>385</v>
      </c>
      <c r="ER33" s="122" t="s">
        <v>386</v>
      </c>
      <c r="ES33" s="122" t="s">
        <v>387</v>
      </c>
      <c r="ET33" s="122" t="s">
        <v>388</v>
      </c>
      <c r="EU33" s="122" t="s">
        <v>389</v>
      </c>
      <c r="EV33" s="122" t="s">
        <v>390</v>
      </c>
      <c r="EW33" s="122" t="s">
        <v>391</v>
      </c>
      <c r="EX33" s="122" t="s">
        <v>392</v>
      </c>
      <c r="EY33" s="122" t="s">
        <v>393</v>
      </c>
      <c r="EZ33" s="122" t="s">
        <v>394</v>
      </c>
      <c r="FA33" s="122" t="s">
        <v>395</v>
      </c>
      <c r="FB33" s="122" t="s">
        <v>396</v>
      </c>
      <c r="FC33" s="122" t="s">
        <v>397</v>
      </c>
      <c r="FD33" s="122" t="s">
        <v>398</v>
      </c>
      <c r="FE33" s="122" t="s">
        <v>399</v>
      </c>
      <c r="FF33" s="122" t="s">
        <v>400</v>
      </c>
      <c r="FG33" s="122" t="s">
        <v>401</v>
      </c>
      <c r="FH33" s="122" t="s">
        <v>402</v>
      </c>
      <c r="FI33" s="122" t="s">
        <v>403</v>
      </c>
      <c r="FJ33" s="122" t="s">
        <v>404</v>
      </c>
      <c r="FK33" s="122" t="s">
        <v>405</v>
      </c>
      <c r="FL33" s="122" t="s">
        <v>406</v>
      </c>
      <c r="FM33" s="122" t="s">
        <v>407</v>
      </c>
      <c r="FN33" s="122" t="s">
        <v>408</v>
      </c>
    </row>
    <row r="34" spans="1:170" ht="84" x14ac:dyDescent="0.25">
      <c r="A34" s="135">
        <v>1</v>
      </c>
      <c r="B34" s="5" t="s">
        <v>617</v>
      </c>
      <c r="C34" s="136">
        <f>COUNTIFS(tbl_task2[SubPLOs],"&gt;=1",tbl_task2[SubPLOs],"&lt;2")</f>
        <v>0</v>
      </c>
      <c r="D34" s="136">
        <f>SUMIFS(tbl_task2[คะแนนเต็ม],tbl_task2[SubPLOs],"&gt;=1",tbl_task2[SubPLOs],"&lt;2")</f>
        <v>0</v>
      </c>
      <c r="E34" s="137">
        <f>SUMIFS(tbl_task2[%],tbl_task2[SubPLOs],"&gt;=1",tbl_task2[SubPLOs],"&lt;2")</f>
        <v>0</v>
      </c>
      <c r="F34" s="138">
        <f>SUMIFS(tbl_task2[S1],tbl_task2[[SubPLOs]:[SubPLOs]],"&gt;=1",tbl_task2[[SubPLOs]:[SubPLOs]],"&lt;2")</f>
        <v>0</v>
      </c>
      <c r="G34" s="138">
        <f>SUMIFS(tbl_task2[S2],tbl_task2[[SubPLOs]:[SubPLOs]],"&gt;=1",tbl_task2[[SubPLOs]:[SubPLOs]],"&lt;2")</f>
        <v>0</v>
      </c>
      <c r="H34" s="138">
        <f>SUMIFS(tbl_task2[S3],tbl_task2[[SubPLOs]:[SubPLOs]],"&gt;=1",tbl_task2[[SubPLOs]:[SubPLOs]],"&lt;2")</f>
        <v>0</v>
      </c>
      <c r="I34" s="138">
        <f>SUMIFS(tbl_task2[S4],tbl_task2[[SubPLOs]:[SubPLOs]],"&gt;=1",tbl_task2[[SubPLOs]:[SubPLOs]],"&lt;2")</f>
        <v>0</v>
      </c>
      <c r="J34" s="138">
        <f>SUMIFS(tbl_task2[S5],tbl_task2[[SubPLOs]:[SubPLOs]],"&gt;=1",tbl_task2[[SubPLOs]:[SubPLOs]],"&lt;2")</f>
        <v>0</v>
      </c>
      <c r="K34" s="138">
        <f>SUMIFS(tbl_task2[S6],tbl_task2[[SubPLOs]:[SubPLOs]],"&gt;=1",tbl_task2[[SubPLOs]:[SubPLOs]],"&lt;2")</f>
        <v>0</v>
      </c>
      <c r="L34" s="138">
        <f>SUMIFS(tbl_task2[S7],tbl_task2[[SubPLOs]:[SubPLOs]],"&gt;=1",tbl_task2[[SubPLOs]:[SubPLOs]],"&lt;2")</f>
        <v>0</v>
      </c>
      <c r="M34" s="138">
        <f>SUMIFS(tbl_task2[S8],tbl_task2[[SubPLOs]:[SubPLOs]],"&gt;=1",tbl_task2[[SubPLOs]:[SubPLOs]],"&lt;2")</f>
        <v>0</v>
      </c>
      <c r="N34" s="138">
        <f>SUMIFS(tbl_task2[S9],tbl_task2[[SubPLOs]:[SubPLOs]],"&gt;=1",tbl_task2[[SubPLOs]:[SubPLOs]],"&lt;2")</f>
        <v>0</v>
      </c>
      <c r="O34" s="138">
        <f>SUMIFS(tbl_task2[S10],tbl_task2[[SubPLOs]:[SubPLOs]],"&gt;=1",tbl_task2[[SubPLOs]:[SubPLOs]],"&lt;2")</f>
        <v>0</v>
      </c>
      <c r="P34" s="138">
        <f>SUMIFS(tbl_task2[S11],tbl_task2[[SubPLOs]:[SubPLOs]],"&gt;=1",tbl_task2[[SubPLOs]:[SubPLOs]],"&lt;2")</f>
        <v>0</v>
      </c>
      <c r="Q34" s="138">
        <f>SUMIFS(tbl_task2[S12],tbl_task2[[SubPLOs]:[SubPLOs]],"&gt;=1",tbl_task2[[SubPLOs]:[SubPLOs]],"&lt;2")</f>
        <v>0</v>
      </c>
      <c r="R34" s="138">
        <f>SUMIFS(tbl_task2[S13],tbl_task2[[SubPLOs]:[SubPLOs]],"&gt;=1",tbl_task2[[SubPLOs]:[SubPLOs]],"&lt;2")</f>
        <v>0</v>
      </c>
      <c r="S34" s="138">
        <f>SUMIFS(tbl_task2[S14],tbl_task2[[SubPLOs]:[SubPLOs]],"&gt;=1",tbl_task2[[SubPLOs]:[SubPLOs]],"&lt;2")</f>
        <v>0</v>
      </c>
      <c r="T34" s="138">
        <f>SUMIFS(tbl_task2[S15],tbl_task2[[SubPLOs]:[SubPLOs]],"&gt;=1",tbl_task2[[SubPLOs]:[SubPLOs]],"&lt;2")</f>
        <v>0</v>
      </c>
      <c r="U34" s="138">
        <f>SUMIFS(tbl_task2[S16],tbl_task2[[SubPLOs]:[SubPLOs]],"&gt;=1",tbl_task2[[SubPLOs]:[SubPLOs]],"&lt;2")</f>
        <v>0</v>
      </c>
      <c r="V34" s="138">
        <f>SUMIFS(tbl_task2[S17],tbl_task2[[SubPLOs]:[SubPLOs]],"&gt;=1",tbl_task2[[SubPLOs]:[SubPLOs]],"&lt;2")</f>
        <v>0</v>
      </c>
      <c r="W34" s="138">
        <f>SUMIFS(tbl_task2[S18],tbl_task2[[SubPLOs]:[SubPLOs]],"&gt;=1",tbl_task2[[SubPLOs]:[SubPLOs]],"&lt;2")</f>
        <v>0</v>
      </c>
      <c r="X34" s="138">
        <f>SUMIFS(tbl_task2[S19],tbl_task2[[SubPLOs]:[SubPLOs]],"&gt;=1",tbl_task2[[SubPLOs]:[SubPLOs]],"&lt;2")</f>
        <v>0</v>
      </c>
      <c r="Y34" s="138">
        <f>SUMIFS(tbl_task2[S20],tbl_task2[[SubPLOs]:[SubPLOs]],"&gt;=1",tbl_task2[[SubPLOs]:[SubPLOs]],"&lt;2")</f>
        <v>0</v>
      </c>
      <c r="Z34" s="138">
        <f>SUMIFS(tbl_task2[S21],tbl_task2[[SubPLOs]:[SubPLOs]],"&gt;=1",tbl_task2[[SubPLOs]:[SubPLOs]],"&lt;2")</f>
        <v>0</v>
      </c>
      <c r="AA34" s="138">
        <f>SUMIFS(tbl_task2[S22],tbl_task2[[SubPLOs]:[SubPLOs]],"&gt;=1",tbl_task2[[SubPLOs]:[SubPLOs]],"&lt;2")</f>
        <v>0</v>
      </c>
      <c r="AB34" s="138">
        <f>SUMIFS(tbl_task2[S23],tbl_task2[[SubPLOs]:[SubPLOs]],"&gt;=1",tbl_task2[[SubPLOs]:[SubPLOs]],"&lt;2")</f>
        <v>0</v>
      </c>
      <c r="AC34" s="138">
        <f>SUMIFS(tbl_task2[S24],tbl_task2[[SubPLOs]:[SubPLOs]],"&gt;=1",tbl_task2[[SubPLOs]:[SubPLOs]],"&lt;2")</f>
        <v>0</v>
      </c>
      <c r="AD34" s="138">
        <f>SUMIFS(tbl_task2[S25],tbl_task2[[SubPLOs]:[SubPLOs]],"&gt;=1",tbl_task2[[SubPLOs]:[SubPLOs]],"&lt;2")</f>
        <v>0</v>
      </c>
      <c r="AE34" s="138">
        <f>SUMIFS(tbl_task2[S26],tbl_task2[[SubPLOs]:[SubPLOs]],"&gt;=1",tbl_task2[[SubPLOs]:[SubPLOs]],"&lt;2")</f>
        <v>0</v>
      </c>
      <c r="AF34" s="138">
        <f>SUMIFS(tbl_task2[S27],tbl_task2[[SubPLOs]:[SubPLOs]],"&gt;=1",tbl_task2[[SubPLOs]:[SubPLOs]],"&lt;2")</f>
        <v>0</v>
      </c>
      <c r="AG34" s="138">
        <f>SUMIFS(tbl_task2[S28],tbl_task2[[SubPLOs]:[SubPLOs]],"&gt;=1",tbl_task2[[SubPLOs]:[SubPLOs]],"&lt;2")</f>
        <v>0</v>
      </c>
      <c r="AH34" s="138">
        <f>SUMIFS(tbl_task2[S29],tbl_task2[[SubPLOs]:[SubPLOs]],"&gt;=1",tbl_task2[[SubPLOs]:[SubPLOs]],"&lt;2")</f>
        <v>0</v>
      </c>
      <c r="AI34" s="138">
        <f>SUMIFS(tbl_task2[S30],tbl_task2[[SubPLOs]:[SubPLOs]],"&gt;=1",tbl_task2[[SubPLOs]:[SubPLOs]],"&lt;2")</f>
        <v>0</v>
      </c>
      <c r="AJ34" s="138">
        <f>SUMIFS(tbl_task2[S31],tbl_task2[[SubPLOs]:[SubPLOs]],"&gt;=1",tbl_task2[[SubPLOs]:[SubPLOs]],"&lt;2")</f>
        <v>0</v>
      </c>
      <c r="AK34" s="138">
        <f>SUMIFS(tbl_task2[S32],tbl_task2[[SubPLOs]:[SubPLOs]],"&gt;=1",tbl_task2[[SubPLOs]:[SubPLOs]],"&lt;2")</f>
        <v>0</v>
      </c>
      <c r="AL34" s="138">
        <f>SUMIFS(tbl_task2[S33],tbl_task2[[SubPLOs]:[SubPLOs]],"&gt;=1",tbl_task2[[SubPLOs]:[SubPLOs]],"&lt;2")</f>
        <v>0</v>
      </c>
      <c r="AM34" s="138">
        <f>SUMIFS(tbl_task2[S34],tbl_task2[[SubPLOs]:[SubPLOs]],"&gt;=1",tbl_task2[[SubPLOs]:[SubPLOs]],"&lt;2")</f>
        <v>0</v>
      </c>
      <c r="AN34" s="138">
        <f>SUMIFS(tbl_task2[S35],tbl_task2[[SubPLOs]:[SubPLOs]],"&gt;=1",tbl_task2[[SubPLOs]:[SubPLOs]],"&lt;2")</f>
        <v>0</v>
      </c>
      <c r="AO34" s="138">
        <f>SUMIFS(tbl_task2[S36],tbl_task2[[SubPLOs]:[SubPLOs]],"&gt;=1",tbl_task2[[SubPLOs]:[SubPLOs]],"&lt;2")</f>
        <v>0</v>
      </c>
      <c r="AP34" s="138">
        <f>SUMIFS(tbl_task2[S37],tbl_task2[[SubPLOs]:[SubPLOs]],"&gt;=1",tbl_task2[[SubPLOs]:[SubPLOs]],"&lt;2")</f>
        <v>0</v>
      </c>
      <c r="AQ34" s="138">
        <f>SUMIFS(tbl_task2[S38],tbl_task2[[SubPLOs]:[SubPLOs]],"&gt;=1",tbl_task2[[SubPLOs]:[SubPLOs]],"&lt;2")</f>
        <v>0</v>
      </c>
      <c r="AR34" s="138">
        <f>SUMIFS(tbl_task2[S39],tbl_task2[[SubPLOs]:[SubPLOs]],"&gt;=1",tbl_task2[[SubPLOs]:[SubPLOs]],"&lt;2")</f>
        <v>0</v>
      </c>
      <c r="AS34" s="138">
        <f>SUMIFS(tbl_task2[S40],tbl_task2[[SubPLOs]:[SubPLOs]],"&gt;=1",tbl_task2[[SubPLOs]:[SubPLOs]],"&lt;2")</f>
        <v>0</v>
      </c>
      <c r="AT34" s="138">
        <f>SUMIFS(tbl_task2[S41],tbl_task2[[SubPLOs]:[SubPLOs]],"&gt;=1",tbl_task2[[SubPLOs]:[SubPLOs]],"&lt;2")</f>
        <v>0</v>
      </c>
      <c r="AU34" s="138">
        <f>SUMIFS(tbl_task2[S42],tbl_task2[[SubPLOs]:[SubPLOs]],"&gt;=1",tbl_task2[[SubPLOs]:[SubPLOs]],"&lt;2")</f>
        <v>0</v>
      </c>
      <c r="AV34" s="138">
        <f>SUMIFS(tbl_task2[S43],tbl_task2[[SubPLOs]:[SubPLOs]],"&gt;=1",tbl_task2[[SubPLOs]:[SubPLOs]],"&lt;2")</f>
        <v>0</v>
      </c>
      <c r="AW34" s="138">
        <f>SUMIFS(tbl_task2[S44],tbl_task2[[SubPLOs]:[SubPLOs]],"&gt;=1",tbl_task2[[SubPLOs]:[SubPLOs]],"&lt;2")</f>
        <v>0</v>
      </c>
      <c r="AX34" s="138">
        <f>SUMIFS(tbl_task2[S45],tbl_task2[[SubPLOs]:[SubPLOs]],"&gt;=1",tbl_task2[[SubPLOs]:[SubPLOs]],"&lt;2")</f>
        <v>0</v>
      </c>
      <c r="AY34" s="138">
        <f>SUMIFS(tbl_task2[S46],tbl_task2[[SubPLOs]:[SubPLOs]],"&gt;=1",tbl_task2[[SubPLOs]:[SubPLOs]],"&lt;2")</f>
        <v>0</v>
      </c>
      <c r="AZ34" s="138">
        <f>SUMIFS(tbl_task2[S47],tbl_task2[[SubPLOs]:[SubPLOs]],"&gt;=1",tbl_task2[[SubPLOs]:[SubPLOs]],"&lt;2")</f>
        <v>0</v>
      </c>
      <c r="BA34" s="138">
        <f>SUMIFS(tbl_task2[S48],tbl_task2[[SubPLOs]:[SubPLOs]],"&gt;=1",tbl_task2[[SubPLOs]:[SubPLOs]],"&lt;2")</f>
        <v>0</v>
      </c>
      <c r="BB34" s="138">
        <f>SUMIFS(tbl_task2[S49],tbl_task2[[SubPLOs]:[SubPLOs]],"&gt;=1",tbl_task2[[SubPLOs]:[SubPLOs]],"&lt;2")</f>
        <v>0</v>
      </c>
      <c r="BC34" s="138">
        <f>SUMIFS(tbl_task2[S50],tbl_task2[[SubPLOs]:[SubPLOs]],"&gt;=1",tbl_task2[[SubPLOs]:[SubPLOs]],"&lt;2")</f>
        <v>0</v>
      </c>
      <c r="BD34" s="138">
        <f>SUMIFS(tbl_task2[S51],tbl_task2[[SubPLOs]:[SubPLOs]],"&gt;=1",tbl_task2[[SubPLOs]:[SubPLOs]],"&lt;2")</f>
        <v>0</v>
      </c>
      <c r="BE34" s="138">
        <f>SUMIFS(tbl_task2[S52],tbl_task2[[SubPLOs]:[SubPLOs]],"&gt;=1",tbl_task2[[SubPLOs]:[SubPLOs]],"&lt;2")</f>
        <v>0</v>
      </c>
      <c r="BF34" s="138">
        <f>SUMIFS(tbl_task2[S53],tbl_task2[[SubPLOs]:[SubPLOs]],"&gt;=1",tbl_task2[[SubPLOs]:[SubPLOs]],"&lt;2")</f>
        <v>0</v>
      </c>
      <c r="BG34" s="138">
        <f>SUMIFS(tbl_task2[S54],tbl_task2[[SubPLOs]:[SubPLOs]],"&gt;=1",tbl_task2[[SubPLOs]:[SubPLOs]],"&lt;2")</f>
        <v>0</v>
      </c>
      <c r="BH34" s="138">
        <f>SUMIFS(tbl_task2[S55],tbl_task2[[SubPLOs]:[SubPLOs]],"&gt;=1",tbl_task2[[SubPLOs]:[SubPLOs]],"&lt;2")</f>
        <v>0</v>
      </c>
      <c r="BI34" s="138">
        <f>SUMIFS(tbl_task2[S56],tbl_task2[[SubPLOs]:[SubPLOs]],"&gt;=1",tbl_task2[[SubPLOs]:[SubPLOs]],"&lt;2")</f>
        <v>0</v>
      </c>
      <c r="BJ34" s="138">
        <f>SUMIFS(tbl_task2[S57],tbl_task2[[SubPLOs]:[SubPLOs]],"&gt;=1",tbl_task2[[SubPLOs]:[SubPLOs]],"&lt;2")</f>
        <v>0</v>
      </c>
      <c r="BK34" s="138">
        <f>SUMIFS(tbl_task2[S58],tbl_task2[[SubPLOs]:[SubPLOs]],"&gt;=1",tbl_task2[[SubPLOs]:[SubPLOs]],"&lt;2")</f>
        <v>0</v>
      </c>
      <c r="BL34" s="138">
        <f>SUMIFS(tbl_task2[S59],tbl_task2[[SubPLOs]:[SubPLOs]],"&gt;=1",tbl_task2[[SubPLOs]:[SubPLOs]],"&lt;2")</f>
        <v>0</v>
      </c>
      <c r="BM34" s="138">
        <f>SUMIFS(tbl_task2[S60],tbl_task2[[SubPLOs]:[SubPLOs]],"&gt;=1",tbl_task2[[SubPLOs]:[SubPLOs]],"&lt;2")</f>
        <v>0</v>
      </c>
      <c r="BN34" s="138">
        <f>SUMIFS(tbl_task2[S61],tbl_task2[[SubPLOs]:[SubPLOs]],"&gt;=1",tbl_task2[[SubPLOs]:[SubPLOs]],"&lt;2")</f>
        <v>0</v>
      </c>
      <c r="BO34" s="138">
        <f>SUMIFS(tbl_task2[S62],tbl_task2[[SubPLOs]:[SubPLOs]],"&gt;=1",tbl_task2[[SubPLOs]:[SubPLOs]],"&lt;2")</f>
        <v>0</v>
      </c>
      <c r="BP34" s="138">
        <f>SUMIFS(tbl_task2[S63],tbl_task2[[SubPLOs]:[SubPLOs]],"&gt;=1",tbl_task2[[SubPLOs]:[SubPLOs]],"&lt;2")</f>
        <v>0</v>
      </c>
      <c r="BQ34" s="138">
        <f>SUMIFS(tbl_task2[S64],tbl_task2[[SubPLOs]:[SubPLOs]],"&gt;=1",tbl_task2[[SubPLOs]:[SubPLOs]],"&lt;2")</f>
        <v>0</v>
      </c>
      <c r="BR34" s="138">
        <f>SUMIFS(tbl_task2[S65],tbl_task2[[SubPLOs]:[SubPLOs]],"&gt;=1",tbl_task2[[SubPLOs]:[SubPLOs]],"&lt;2")</f>
        <v>0</v>
      </c>
      <c r="BS34" s="138">
        <f>SUMIFS(tbl_task2[S66],tbl_task2[[SubPLOs]:[SubPLOs]],"&gt;=1",tbl_task2[[SubPLOs]:[SubPLOs]],"&lt;2")</f>
        <v>0</v>
      </c>
      <c r="BT34" s="138">
        <f>SUMIFS(tbl_task2[S67],tbl_task2[[SubPLOs]:[SubPLOs]],"&gt;=1",tbl_task2[[SubPLOs]:[SubPLOs]],"&lt;2")</f>
        <v>0</v>
      </c>
      <c r="BU34" s="138">
        <f>SUMIFS(tbl_task2[S68],tbl_task2[[SubPLOs]:[SubPLOs]],"&gt;=1",tbl_task2[[SubPLOs]:[SubPLOs]],"&lt;2")</f>
        <v>0</v>
      </c>
      <c r="BV34" s="138">
        <f>SUMIFS(tbl_task2[S69],tbl_task2[[SubPLOs]:[SubPLOs]],"&gt;=1",tbl_task2[[SubPLOs]:[SubPLOs]],"&lt;2")</f>
        <v>0</v>
      </c>
      <c r="BW34" s="138">
        <f>SUMIFS(tbl_task2[S70],tbl_task2[[SubPLOs]:[SubPLOs]],"&gt;=1",tbl_task2[[SubPLOs]:[SubPLOs]],"&lt;2")</f>
        <v>0</v>
      </c>
      <c r="BX34" s="138">
        <f>SUMIFS(tbl_task2[S71],tbl_task2[[SubPLOs]:[SubPLOs]],"&gt;=1",tbl_task2[[SubPLOs]:[SubPLOs]],"&lt;2")</f>
        <v>0</v>
      </c>
      <c r="BY34" s="138">
        <f>SUMIFS(tbl_task2[S72],tbl_task2[[SubPLOs]:[SubPLOs]],"&gt;=1",tbl_task2[[SubPLOs]:[SubPLOs]],"&lt;2")</f>
        <v>0</v>
      </c>
      <c r="BZ34" s="138">
        <f>SUMIFS(tbl_task2[S73],tbl_task2[[SubPLOs]:[SubPLOs]],"&gt;=1",tbl_task2[[SubPLOs]:[SubPLOs]],"&lt;2")</f>
        <v>0</v>
      </c>
      <c r="CA34" s="138">
        <f>SUMIFS(tbl_task2[S74],tbl_task2[[SubPLOs]:[SubPLOs]],"&gt;=1",tbl_task2[[SubPLOs]:[SubPLOs]],"&lt;2")</f>
        <v>0</v>
      </c>
      <c r="CB34" s="138">
        <f>SUMIFS(tbl_task2[S75],tbl_task2[[SubPLOs]:[SubPLOs]],"&gt;=1",tbl_task2[[SubPLOs]:[SubPLOs]],"&lt;2")</f>
        <v>0</v>
      </c>
      <c r="CC34" s="138">
        <f>SUMIFS(tbl_task2[S76],tbl_task2[[SubPLOs]:[SubPLOs]],"&gt;=1",tbl_task2[[SubPLOs]:[SubPLOs]],"&lt;2")</f>
        <v>0</v>
      </c>
      <c r="CD34" s="138">
        <f>SUMIFS(tbl_task2[S77],tbl_task2[[SubPLOs]:[SubPLOs]],"&gt;=1",tbl_task2[[SubPLOs]:[SubPLOs]],"&lt;2")</f>
        <v>0</v>
      </c>
      <c r="CE34" s="138">
        <f>SUMIFS(tbl_task2[S78],tbl_task2[[SubPLOs]:[SubPLOs]],"&gt;=1",tbl_task2[[SubPLOs]:[SubPLOs]],"&lt;2")</f>
        <v>0</v>
      </c>
      <c r="CF34" s="138">
        <f>SUMIFS(tbl_task2[S79],tbl_task2[[SubPLOs]:[SubPLOs]],"&gt;=1",tbl_task2[[SubPLOs]:[SubPLOs]],"&lt;2")</f>
        <v>0</v>
      </c>
      <c r="CG34" s="138">
        <f>SUMIFS(tbl_task2[S80],tbl_task2[[SubPLOs]:[SubPLOs]],"&gt;=1",tbl_task2[[SubPLOs]:[SubPLOs]],"&lt;2")</f>
        <v>0</v>
      </c>
      <c r="CH34" s="138">
        <f>SUMIFS(tbl_task2[S81],tbl_task2[[SubPLOs]:[SubPLOs]],"&gt;=1",tbl_task2[[SubPLOs]:[SubPLOs]],"&lt;2")</f>
        <v>0</v>
      </c>
      <c r="CI34" s="138">
        <f>SUMIFS(tbl_task2[S82],tbl_task2[[SubPLOs]:[SubPLOs]],"&gt;=1",tbl_task2[[SubPLOs]:[SubPLOs]],"&lt;2")</f>
        <v>0</v>
      </c>
      <c r="CJ34" s="138">
        <f>SUMIFS(tbl_task2[S83],tbl_task2[[SubPLOs]:[SubPLOs]],"&gt;=1",tbl_task2[[SubPLOs]:[SubPLOs]],"&lt;2")</f>
        <v>0</v>
      </c>
      <c r="CK34" s="138">
        <f>SUMIFS(tbl_task2[S84],tbl_task2[[SubPLOs]:[SubPLOs]],"&gt;=1",tbl_task2[[SubPLOs]:[SubPLOs]],"&lt;2")</f>
        <v>0</v>
      </c>
      <c r="CL34" s="138">
        <f>SUMIFS(tbl_task2[S85],tbl_task2[[SubPLOs]:[SubPLOs]],"&gt;=1",tbl_task2[[SubPLOs]:[SubPLOs]],"&lt;2")</f>
        <v>0</v>
      </c>
      <c r="CM34" s="138">
        <f>SUMIFS(tbl_task2[S86],tbl_task2[[SubPLOs]:[SubPLOs]],"&gt;=1",tbl_task2[[SubPLOs]:[SubPLOs]],"&lt;2")</f>
        <v>0</v>
      </c>
      <c r="CN34" s="138">
        <f>SUMIFS(tbl_task2[S87],tbl_task2[[SubPLOs]:[SubPLOs]],"&gt;=1",tbl_task2[[SubPLOs]:[SubPLOs]],"&lt;2")</f>
        <v>0</v>
      </c>
      <c r="CO34" s="138">
        <f>SUMIFS(tbl_task2[S88],tbl_task2[[SubPLOs]:[SubPLOs]],"&gt;=1",tbl_task2[[SubPLOs]:[SubPLOs]],"&lt;2")</f>
        <v>0</v>
      </c>
      <c r="CP34" s="138">
        <f>SUMIFS(tbl_task2[S89],tbl_task2[[SubPLOs]:[SubPLOs]],"&gt;=1",tbl_task2[[SubPLOs]:[SubPLOs]],"&lt;2")</f>
        <v>0</v>
      </c>
      <c r="CQ34" s="138">
        <f>SUMIFS(tbl_task2[S90],tbl_task2[[SubPLOs]:[SubPLOs]],"&gt;=1",tbl_task2[[SubPLOs]:[SubPLOs]],"&lt;2")</f>
        <v>0</v>
      </c>
      <c r="CR34" s="138">
        <f>SUMIFS(tbl_task2[S91],tbl_task2[[SubPLOs]:[SubPLOs]],"&gt;=1",tbl_task2[[SubPLOs]:[SubPLOs]],"&lt;2")</f>
        <v>0</v>
      </c>
      <c r="CS34" s="138">
        <f>SUMIFS(tbl_task2[S92],tbl_task2[[SubPLOs]:[SubPLOs]],"&gt;=1",tbl_task2[[SubPLOs]:[SubPLOs]],"&lt;2")</f>
        <v>0</v>
      </c>
      <c r="CT34" s="138">
        <f>SUMIFS(tbl_task2[S93],tbl_task2[[SubPLOs]:[SubPLOs]],"&gt;=1",tbl_task2[[SubPLOs]:[SubPLOs]],"&lt;2")</f>
        <v>0</v>
      </c>
      <c r="CU34" s="138">
        <f>SUMIFS(tbl_task2[S94],tbl_task2[[SubPLOs]:[SubPLOs]],"&gt;=1",tbl_task2[[SubPLOs]:[SubPLOs]],"&lt;2")</f>
        <v>0</v>
      </c>
      <c r="CV34" s="138">
        <f>SUMIFS(tbl_task2[S95],tbl_task2[[SubPLOs]:[SubPLOs]],"&gt;=1",tbl_task2[[SubPLOs]:[SubPLOs]],"&lt;2")</f>
        <v>0</v>
      </c>
      <c r="CW34" s="138">
        <f>SUMIFS(tbl_task2[S96],tbl_task2[[SubPLOs]:[SubPLOs]],"&gt;=1",tbl_task2[[SubPLOs]:[SubPLOs]],"&lt;2")</f>
        <v>0</v>
      </c>
      <c r="CX34" s="138">
        <f>SUMIFS(tbl_task2[S97],tbl_task2[[SubPLOs]:[SubPLOs]],"&gt;=1",tbl_task2[[SubPLOs]:[SubPLOs]],"&lt;2")</f>
        <v>0</v>
      </c>
      <c r="CY34" s="138">
        <f>SUMIFS(tbl_task2[S98],tbl_task2[[SubPLOs]:[SubPLOs]],"&gt;=1",tbl_task2[[SubPLOs]:[SubPLOs]],"&lt;2")</f>
        <v>0</v>
      </c>
      <c r="CZ34" s="138">
        <f>SUMIFS(tbl_task2[S99],tbl_task2[[SubPLOs]:[SubPLOs]],"&gt;=1",tbl_task2[[SubPLOs]:[SubPLOs]],"&lt;2")</f>
        <v>0</v>
      </c>
      <c r="DA34" s="138">
        <f>SUMIFS(tbl_task2[S100],tbl_task2[[SubPLOs]:[SubPLOs]],"&gt;=1",tbl_task2[[SubPLOs]:[SubPLOs]],"&lt;2")</f>
        <v>0</v>
      </c>
      <c r="DB34" s="138">
        <f>SUMIFS(tbl_task2[S101],tbl_task2[[SubPLOs]:[SubPLOs]],"&gt;=1",tbl_task2[[SubPLOs]:[SubPLOs]],"&lt;2")</f>
        <v>0</v>
      </c>
      <c r="DC34" s="138">
        <f>SUMIFS(tbl_task2[S102],tbl_task2[[SubPLOs]:[SubPLOs]],"&gt;=1",tbl_task2[[SubPLOs]:[SubPLOs]],"&lt;2")</f>
        <v>0</v>
      </c>
      <c r="DD34" s="138">
        <f>SUMIFS(tbl_task2[S103],tbl_task2[[SubPLOs]:[SubPLOs]],"&gt;=1",tbl_task2[[SubPLOs]:[SubPLOs]],"&lt;2")</f>
        <v>0</v>
      </c>
      <c r="DE34" s="138">
        <f>SUMIFS(tbl_task2[S104],tbl_task2[[SubPLOs]:[SubPLOs]],"&gt;=1",tbl_task2[[SubPLOs]:[SubPLOs]],"&lt;2")</f>
        <v>0</v>
      </c>
      <c r="DF34" s="138">
        <f>SUMIFS(tbl_task2[S105],tbl_task2[[SubPLOs]:[SubPLOs]],"&gt;=1",tbl_task2[[SubPLOs]:[SubPLOs]],"&lt;2")</f>
        <v>0</v>
      </c>
      <c r="DG34" s="138">
        <f>SUMIFS(tbl_task2[S106],tbl_task2[[SubPLOs]:[SubPLOs]],"&gt;=1",tbl_task2[[SubPLOs]:[SubPLOs]],"&lt;2")</f>
        <v>0</v>
      </c>
      <c r="DH34" s="138">
        <f>SUMIFS(tbl_task2[S106],tbl_task2[[SubPLOs]:[SubPLOs]],"&gt;=1",tbl_task2[[SubPLOs]:[SubPLOs]],"&lt;2")</f>
        <v>0</v>
      </c>
      <c r="DI34" s="138">
        <f>SUMIFS(tbl_task2[S108],tbl_task2[[SubPLOs]:[SubPLOs]],"&gt;=1",tbl_task2[[SubPLOs]:[SubPLOs]],"&lt;2")</f>
        <v>0</v>
      </c>
      <c r="DJ34" s="138">
        <f>SUMIFS(tbl_task2[S109],tbl_task2[[SubPLOs]:[SubPLOs]],"&gt;=1",tbl_task2[[SubPLOs]:[SubPLOs]],"&lt;2")</f>
        <v>0</v>
      </c>
      <c r="DK34" s="138">
        <f>SUMIFS(tbl_task2[S110],tbl_task2[[SubPLOs]:[SubPLOs]],"&gt;=1",tbl_task2[[SubPLOs]:[SubPLOs]],"&lt;2")</f>
        <v>0</v>
      </c>
      <c r="DL34" s="138">
        <f>SUMIFS(tbl_task2[S111],tbl_task2[[SubPLOs]:[SubPLOs]],"&gt;=1",tbl_task2[[SubPLOs]:[SubPLOs]],"&lt;2")</f>
        <v>0</v>
      </c>
      <c r="DM34" s="138">
        <f>SUMIFS(tbl_task2[S112],tbl_task2[[SubPLOs]:[SubPLOs]],"&gt;=1",tbl_task2[[SubPLOs]:[SubPLOs]],"&lt;2")</f>
        <v>0</v>
      </c>
      <c r="DN34" s="138">
        <f>SUMIFS(tbl_task2[S113],tbl_task2[[SubPLOs]:[SubPLOs]],"&gt;=1",tbl_task2[[SubPLOs]:[SubPLOs]],"&lt;2")</f>
        <v>0</v>
      </c>
      <c r="DO34" s="138">
        <f>SUMIFS(tbl_task2[S114],tbl_task2[[SubPLOs]:[SubPLOs]],"&gt;=1",tbl_task2[[SubPLOs]:[SubPLOs]],"&lt;2")</f>
        <v>0</v>
      </c>
      <c r="DP34" s="138">
        <f>SUMIFS(tbl_task2[S115],tbl_task2[[SubPLOs]:[SubPLOs]],"&gt;=1",tbl_task2[[SubPLOs]:[SubPLOs]],"&lt;2")</f>
        <v>0</v>
      </c>
      <c r="DQ34" s="138">
        <f>SUMIFS(tbl_task2[S116],tbl_task2[[SubPLOs]:[SubPLOs]],"&gt;=1",tbl_task2[[SubPLOs]:[SubPLOs]],"&lt;2")</f>
        <v>0</v>
      </c>
      <c r="DR34" s="138">
        <f>SUMIFS(tbl_task2[S117],tbl_task2[[SubPLOs]:[SubPLOs]],"&gt;=1",tbl_task2[[SubPLOs]:[SubPLOs]],"&lt;2")</f>
        <v>0</v>
      </c>
      <c r="DS34" s="138">
        <f>SUMIFS(tbl_task2[S118],tbl_task2[[SubPLOs]:[SubPLOs]],"&gt;=1",tbl_task2[[SubPLOs]:[SubPLOs]],"&lt;2")</f>
        <v>0</v>
      </c>
      <c r="DT34" s="138">
        <f>SUMIFS(tbl_task2[S119],tbl_task2[[SubPLOs]:[SubPLOs]],"&gt;=1",tbl_task2[[SubPLOs]:[SubPLOs]],"&lt;2")</f>
        <v>0</v>
      </c>
      <c r="DU34" s="138">
        <f>SUMIFS(tbl_task2[S120],tbl_task2[[SubPLOs]:[SubPLOs]],"&gt;=1",tbl_task2[[SubPLOs]:[SubPLOs]],"&lt;2")</f>
        <v>0</v>
      </c>
      <c r="DV34" s="138">
        <f>SUMIFS(tbl_task2[S121],tbl_task2[[SubPLOs]:[SubPLOs]],"&gt;=1",tbl_task2[[SubPLOs]:[SubPLOs]],"&lt;2")</f>
        <v>0</v>
      </c>
      <c r="DW34" s="138">
        <f>SUMIFS(tbl_task2[S122],tbl_task2[[SubPLOs]:[SubPLOs]],"&gt;=1",tbl_task2[[SubPLOs]:[SubPLOs]],"&lt;2")</f>
        <v>0</v>
      </c>
      <c r="DX34" s="138">
        <f>SUMIFS(tbl_task2[S123],tbl_task2[[SubPLOs]:[SubPLOs]],"&gt;=1",tbl_task2[[SubPLOs]:[SubPLOs]],"&lt;2")</f>
        <v>0</v>
      </c>
      <c r="DY34" s="138">
        <f>SUMIFS(tbl_task2[S124],tbl_task2[[SubPLOs]:[SubPLOs]],"&gt;=1",tbl_task2[[SubPLOs]:[SubPLOs]],"&lt;2")</f>
        <v>0</v>
      </c>
      <c r="DZ34" s="138">
        <f>SUMIFS(tbl_task2[S125],tbl_task2[[SubPLOs]:[SubPLOs]],"&gt;=1",tbl_task2[[SubPLOs]:[SubPLOs]],"&lt;2")</f>
        <v>0</v>
      </c>
      <c r="EA34" s="138">
        <f>SUMIFS(tbl_task2[S126],tbl_task2[[SubPLOs]:[SubPLOs]],"&gt;=1",tbl_task2[[SubPLOs]:[SubPLOs]],"&lt;2")</f>
        <v>0</v>
      </c>
      <c r="EB34" s="138">
        <f>SUMIFS(tbl_task2[S127],tbl_task2[[SubPLOs]:[SubPLOs]],"&gt;=1",tbl_task2[[SubPLOs]:[SubPLOs]],"&lt;2")</f>
        <v>0</v>
      </c>
      <c r="EC34" s="138">
        <f>SUMIFS(tbl_task2[S128],tbl_task2[[SubPLOs]:[SubPLOs]],"&gt;=1",tbl_task2[[SubPLOs]:[SubPLOs]],"&lt;2")</f>
        <v>0</v>
      </c>
      <c r="ED34" s="138">
        <f>SUMIFS(tbl_task2[S129],tbl_task2[[SubPLOs]:[SubPLOs]],"&gt;=1",tbl_task2[[SubPLOs]:[SubPLOs]],"&lt;2")</f>
        <v>0</v>
      </c>
      <c r="EE34" s="138">
        <f>SUMIFS(tbl_task2[S130],tbl_task2[[SubPLOs]:[SubPLOs]],"&gt;=1",tbl_task2[[SubPLOs]:[SubPLOs]],"&lt;2")</f>
        <v>0</v>
      </c>
      <c r="EF34" s="138">
        <f>SUMIFS(tbl_task2[S131],tbl_task2[[SubPLOs]:[SubPLOs]],"&gt;=1",tbl_task2[[SubPLOs]:[SubPLOs]],"&lt;2")</f>
        <v>0</v>
      </c>
      <c r="EG34" s="138">
        <f>SUMIFS(tbl_task2[S132],tbl_task2[[SubPLOs]:[SubPLOs]],"&gt;=1",tbl_task2[[SubPLOs]:[SubPLOs]],"&lt;2")</f>
        <v>0</v>
      </c>
      <c r="EH34" s="138">
        <f>SUMIFS(tbl_task2[S133],tbl_task2[[SubPLOs]:[SubPLOs]],"&gt;=1",tbl_task2[[SubPLOs]:[SubPLOs]],"&lt;2")</f>
        <v>0</v>
      </c>
      <c r="EI34" s="138">
        <f>SUMIFS(tbl_task2[S134],tbl_task2[[SubPLOs]:[SubPLOs]],"&gt;=1",tbl_task2[[SubPLOs]:[SubPLOs]],"&lt;2")</f>
        <v>0</v>
      </c>
      <c r="EJ34" s="138">
        <f>SUMIFS(tbl_task2[S135],tbl_task2[[SubPLOs]:[SubPLOs]],"&gt;=1",tbl_task2[[SubPLOs]:[SubPLOs]],"&lt;2")</f>
        <v>0</v>
      </c>
      <c r="EK34" s="138">
        <f>SUMIFS(tbl_task2[S136],tbl_task2[[SubPLOs]:[SubPLOs]],"&gt;=1",tbl_task2[[SubPLOs]:[SubPLOs]],"&lt;2")</f>
        <v>0</v>
      </c>
      <c r="EL34" s="138">
        <f>SUMIFS(tbl_task2[S137],tbl_task2[[SubPLOs]:[SubPLOs]],"&gt;=1",tbl_task2[[SubPLOs]:[SubPLOs]],"&lt;2")</f>
        <v>0</v>
      </c>
      <c r="EM34" s="138">
        <f>SUMIFS(tbl_task2[S138],tbl_task2[[SubPLOs]:[SubPLOs]],"&gt;=1",tbl_task2[[SubPLOs]:[SubPLOs]],"&lt;2")</f>
        <v>0</v>
      </c>
      <c r="EN34" s="138">
        <f>SUMIFS(tbl_task2[S139],tbl_task2[[SubPLOs]:[SubPLOs]],"&gt;=1",tbl_task2[[SubPLOs]:[SubPLOs]],"&lt;2")</f>
        <v>0</v>
      </c>
      <c r="EO34" s="138">
        <f>SUMIFS(tbl_task2[S140],tbl_task2[[SubPLOs]:[SubPLOs]],"&gt;=1",tbl_task2[[SubPLOs]:[SubPLOs]],"&lt;2")</f>
        <v>0</v>
      </c>
      <c r="EP34" s="138">
        <f>SUMIFS(tbl_task2[S141],tbl_task2[[SubPLOs]:[SubPLOs]],"&gt;=1",tbl_task2[[SubPLOs]:[SubPLOs]],"&lt;2")</f>
        <v>0</v>
      </c>
      <c r="EQ34" s="138">
        <f>SUMIFS(tbl_task2[S142],tbl_task2[[SubPLOs]:[SubPLOs]],"&gt;=1",tbl_task2[[SubPLOs]:[SubPLOs]],"&lt;2")</f>
        <v>0</v>
      </c>
      <c r="ER34" s="138">
        <f>SUMIFS(tbl_task2[S143],tbl_task2[[SubPLOs]:[SubPLOs]],"&gt;=1",tbl_task2[[SubPLOs]:[SubPLOs]],"&lt;2")</f>
        <v>0</v>
      </c>
      <c r="ES34" s="138">
        <f>SUMIFS(tbl_task2[S144],tbl_task2[[SubPLOs]:[SubPLOs]],"&gt;=1",tbl_task2[[SubPLOs]:[SubPLOs]],"&lt;2")</f>
        <v>0</v>
      </c>
      <c r="ET34" s="138">
        <f>SUMIFS(tbl_task2[S145],tbl_task2[[SubPLOs]:[SubPLOs]],"&gt;=1",tbl_task2[[SubPLOs]:[SubPLOs]],"&lt;2")</f>
        <v>0</v>
      </c>
      <c r="EU34" s="138">
        <f>SUMIFS(tbl_task2[S146],tbl_task2[[SubPLOs]:[SubPLOs]],"&gt;=1",tbl_task2[[SubPLOs]:[SubPLOs]],"&lt;2")</f>
        <v>0</v>
      </c>
      <c r="EV34" s="138">
        <f>SUMIFS(tbl_task2[S147],tbl_task2[[SubPLOs]:[SubPLOs]],"&gt;=1",tbl_task2[[SubPLOs]:[SubPLOs]],"&lt;2")</f>
        <v>0</v>
      </c>
      <c r="EW34" s="138">
        <f>SUMIFS(tbl_task2[S148],tbl_task2[[SubPLOs]:[SubPLOs]],"&gt;=1",tbl_task2[[SubPLOs]:[SubPLOs]],"&lt;2")</f>
        <v>0</v>
      </c>
      <c r="EX34" s="138">
        <f>SUMIFS(tbl_task2[S149],tbl_task2[[SubPLOs]:[SubPLOs]],"&gt;=1",tbl_task2[[SubPLOs]:[SubPLOs]],"&lt;2")</f>
        <v>0</v>
      </c>
      <c r="EY34" s="138">
        <f>SUMIFS(tbl_task2[S150],tbl_task2[[SubPLOs]:[SubPLOs]],"&gt;=1",tbl_task2[[SubPLOs]:[SubPLOs]],"&lt;2")</f>
        <v>0</v>
      </c>
      <c r="EZ34" s="138">
        <f>SUMIFS(tbl_task2[S151],tbl_task2[[SubPLOs]:[SubPLOs]],"&gt;=1",tbl_task2[[SubPLOs]:[SubPLOs]],"&lt;2")</f>
        <v>0</v>
      </c>
      <c r="FA34" s="138">
        <f>SUMIFS(tbl_task2[S152],tbl_task2[[SubPLOs]:[SubPLOs]],"&gt;=1",tbl_task2[[SubPLOs]:[SubPLOs]],"&lt;2")</f>
        <v>0</v>
      </c>
      <c r="FB34" s="138">
        <f>SUMIFS(tbl_task2[S153],tbl_task2[[SubPLOs]:[SubPLOs]],"&gt;=1",tbl_task2[[SubPLOs]:[SubPLOs]],"&lt;2")</f>
        <v>0</v>
      </c>
      <c r="FC34" s="138">
        <f>SUMIFS(tbl_task2[S154],tbl_task2[[SubPLOs]:[SubPLOs]],"&gt;=1",tbl_task2[[SubPLOs]:[SubPLOs]],"&lt;2")</f>
        <v>0</v>
      </c>
      <c r="FD34" s="138">
        <f>SUMIFS(tbl_task2[S155],tbl_task2[[SubPLOs]:[SubPLOs]],"&gt;=1",tbl_task2[[SubPLOs]:[SubPLOs]],"&lt;2")</f>
        <v>0</v>
      </c>
      <c r="FE34" s="138">
        <f>SUMIFS(tbl_task2[S156],tbl_task2[[SubPLOs]:[SubPLOs]],"&gt;=1",tbl_task2[[SubPLOs]:[SubPLOs]],"&lt;2")</f>
        <v>0</v>
      </c>
      <c r="FF34" s="138">
        <f>SUMIFS(tbl_task2[S157],tbl_task2[[SubPLOs]:[SubPLOs]],"&gt;=1",tbl_task2[[SubPLOs]:[SubPLOs]],"&lt;2")</f>
        <v>0</v>
      </c>
      <c r="FG34" s="138">
        <f>SUMIFS(tbl_task2[S158],tbl_task2[[SubPLOs]:[SubPLOs]],"&gt;=1",tbl_task2[[SubPLOs]:[SubPLOs]],"&lt;2")</f>
        <v>0</v>
      </c>
      <c r="FH34" s="138">
        <f>SUMIFS(tbl_task2[S159],tbl_task2[[SubPLOs]:[SubPLOs]],"&gt;=1",tbl_task2[[SubPLOs]:[SubPLOs]],"&lt;2")</f>
        <v>0</v>
      </c>
      <c r="FI34" s="138">
        <f>SUMIFS(tbl_task2[S160],tbl_task2[[SubPLOs]:[SubPLOs]],"&gt;=1",tbl_task2[[SubPLOs]:[SubPLOs]],"&lt;2")</f>
        <v>0</v>
      </c>
      <c r="FJ34" s="138">
        <f>SUMIFS(tbl_task2[S161],tbl_task2[[SubPLOs]:[SubPLOs]],"&gt;=1",tbl_task2[[SubPLOs]:[SubPLOs]],"&lt;2")</f>
        <v>0</v>
      </c>
      <c r="FK34" s="138">
        <f>SUMIFS(tbl_task2[S162],tbl_task2[[SubPLOs]:[SubPLOs]],"&gt;=1",tbl_task2[[SubPLOs]:[SubPLOs]],"&lt;2")</f>
        <v>0</v>
      </c>
      <c r="FL34" s="138">
        <f>SUMIFS(tbl_task2[S163],tbl_task2[[SubPLOs]:[SubPLOs]],"&gt;=1",tbl_task2[[SubPLOs]:[SubPLOs]],"&lt;2")</f>
        <v>0</v>
      </c>
      <c r="FM34" s="138">
        <f>SUMIFS(tbl_task2[S164],tbl_task2[[SubPLOs]:[SubPLOs]],"&gt;=1",tbl_task2[[SubPLOs]:[SubPLOs]],"&lt;2")</f>
        <v>0</v>
      </c>
      <c r="FN34" s="138">
        <f>SUMIFS(tbl_task2[S165],tbl_task2[[SubPLOs]:[SubPLOs]],"&gt;=1",tbl_task2[[SubPLOs]:[SubPLOs]],"&lt;2")</f>
        <v>0</v>
      </c>
    </row>
    <row r="35" spans="1:170" ht="147" x14ac:dyDescent="0.25">
      <c r="A35" s="135">
        <v>2</v>
      </c>
      <c r="B35" s="5" t="s">
        <v>435</v>
      </c>
      <c r="C35" s="136">
        <f>COUNTIFS(tbl_task2[SubPLOs],"&gt;=2",tbl_task2[SubPLOs],"&lt;3")</f>
        <v>0</v>
      </c>
      <c r="D35" s="136">
        <f>SUMIFS(tbl_task2[คะแนนเต็ม],tbl_task2[SubPLOs],"&gt;=2",tbl_task2[SubPLOs],"&lt;3")</f>
        <v>0</v>
      </c>
      <c r="E35" s="137">
        <f>SUMIFS(tbl_task2[%],tbl_task2[SubPLOs],"&gt;=2",tbl_task2[SubPLOs],"&lt;3")</f>
        <v>0</v>
      </c>
      <c r="F35" s="138">
        <f>SUMIFS(tbl_task2[S1],tbl_task2[[SubPLOs]:[SubPLOs]],"&gt;=2",tbl_task2[[SubPLOs]:[SubPLOs]],"&lt;3")</f>
        <v>0</v>
      </c>
      <c r="G35" s="138">
        <f>SUMIFS(tbl_task2[S2],tbl_task2[[SubPLOs]:[SubPLOs]],"&gt;=2",tbl_task2[[SubPLOs]:[SubPLOs]],"&lt;3")</f>
        <v>0</v>
      </c>
      <c r="H35" s="138">
        <f>SUMIFS(tbl_task2[S3],tbl_task2[[SubPLOs]:[SubPLOs]],"&gt;=2",tbl_task2[[SubPLOs]:[SubPLOs]],"&lt;3")</f>
        <v>0</v>
      </c>
      <c r="I35" s="138">
        <f>SUMIFS(tbl_task2[S4],tbl_task2[[SubPLOs]:[SubPLOs]],"&gt;=2",tbl_task2[[SubPLOs]:[SubPLOs]],"&lt;3")</f>
        <v>0</v>
      </c>
      <c r="J35" s="138">
        <f>SUMIFS(tbl_task2[S5],tbl_task2[[SubPLOs]:[SubPLOs]],"&gt;=2",tbl_task2[[SubPLOs]:[SubPLOs]],"&lt;3")</f>
        <v>0</v>
      </c>
      <c r="K35" s="138">
        <f>SUMIFS(tbl_task2[S6],tbl_task2[[SubPLOs]:[SubPLOs]],"&gt;=2",tbl_task2[[SubPLOs]:[SubPLOs]],"&lt;3")</f>
        <v>0</v>
      </c>
      <c r="L35" s="138">
        <f>SUMIFS(tbl_task2[S7],tbl_task2[[SubPLOs]:[SubPLOs]],"&gt;=2",tbl_task2[[SubPLOs]:[SubPLOs]],"&lt;3")</f>
        <v>0</v>
      </c>
      <c r="M35" s="138">
        <f>SUMIFS(tbl_task2[S8],tbl_task2[[SubPLOs]:[SubPLOs]],"&gt;=2",tbl_task2[[SubPLOs]:[SubPLOs]],"&lt;3")</f>
        <v>0</v>
      </c>
      <c r="N35" s="138">
        <f>SUMIFS(tbl_task2[S9],tbl_task2[[SubPLOs]:[SubPLOs]],"&gt;=2",tbl_task2[[SubPLOs]:[SubPLOs]],"&lt;3")</f>
        <v>0</v>
      </c>
      <c r="O35" s="138">
        <f>SUMIFS(tbl_task2[S10],tbl_task2[[SubPLOs]:[SubPLOs]],"&gt;=2",tbl_task2[[SubPLOs]:[SubPLOs]],"&lt;3")</f>
        <v>0</v>
      </c>
      <c r="P35" s="138">
        <f>SUMIFS(tbl_task2[S11],tbl_task2[[SubPLOs]:[SubPLOs]],"&gt;=2",tbl_task2[[SubPLOs]:[SubPLOs]],"&lt;3")</f>
        <v>0</v>
      </c>
      <c r="Q35" s="138">
        <f>SUMIFS(tbl_task2[S12],tbl_task2[[SubPLOs]:[SubPLOs]],"&gt;=2",tbl_task2[[SubPLOs]:[SubPLOs]],"&lt;3")</f>
        <v>0</v>
      </c>
      <c r="R35" s="138">
        <f>SUMIFS(tbl_task2[S13],tbl_task2[[SubPLOs]:[SubPLOs]],"&gt;=2",tbl_task2[[SubPLOs]:[SubPLOs]],"&lt;3")</f>
        <v>0</v>
      </c>
      <c r="S35" s="138">
        <f>SUMIFS(tbl_task2[S14],tbl_task2[[SubPLOs]:[SubPLOs]],"&gt;=2",tbl_task2[[SubPLOs]:[SubPLOs]],"&lt;3")</f>
        <v>0</v>
      </c>
      <c r="T35" s="138">
        <f>SUMIFS(tbl_task2[S15],tbl_task2[[SubPLOs]:[SubPLOs]],"&gt;=2",tbl_task2[[SubPLOs]:[SubPLOs]],"&lt;3")</f>
        <v>0</v>
      </c>
      <c r="U35" s="138">
        <f>SUMIFS(tbl_task2[S16],tbl_task2[[SubPLOs]:[SubPLOs]],"&gt;=2",tbl_task2[[SubPLOs]:[SubPLOs]],"&lt;3")</f>
        <v>0</v>
      </c>
      <c r="V35" s="138">
        <f>SUMIFS(tbl_task2[S17],tbl_task2[[SubPLOs]:[SubPLOs]],"&gt;=2",tbl_task2[[SubPLOs]:[SubPLOs]],"&lt;3")</f>
        <v>0</v>
      </c>
      <c r="W35" s="138">
        <f>SUMIFS(tbl_task2[S18],tbl_task2[[SubPLOs]:[SubPLOs]],"&gt;=2",tbl_task2[[SubPLOs]:[SubPLOs]],"&lt;3")</f>
        <v>0</v>
      </c>
      <c r="X35" s="138">
        <f>SUMIFS(tbl_task2[S19],tbl_task2[[SubPLOs]:[SubPLOs]],"&gt;=2",tbl_task2[[SubPLOs]:[SubPLOs]],"&lt;3")</f>
        <v>0</v>
      </c>
      <c r="Y35" s="138">
        <f>SUMIFS(tbl_task2[S20],tbl_task2[[SubPLOs]:[SubPLOs]],"&gt;=2",tbl_task2[[SubPLOs]:[SubPLOs]],"&lt;3")</f>
        <v>0</v>
      </c>
      <c r="Z35" s="138">
        <f>SUMIFS(tbl_task2[S21],tbl_task2[[SubPLOs]:[SubPLOs]],"&gt;=2",tbl_task2[[SubPLOs]:[SubPLOs]],"&lt;3")</f>
        <v>0</v>
      </c>
      <c r="AA35" s="138">
        <f>SUMIFS(tbl_task2[S22],tbl_task2[[SubPLOs]:[SubPLOs]],"&gt;=2",tbl_task2[[SubPLOs]:[SubPLOs]],"&lt;3")</f>
        <v>0</v>
      </c>
      <c r="AB35" s="138">
        <f>SUMIFS(tbl_task2[S23],tbl_task2[[SubPLOs]:[SubPLOs]],"&gt;=2",tbl_task2[[SubPLOs]:[SubPLOs]],"&lt;3")</f>
        <v>0</v>
      </c>
      <c r="AC35" s="138">
        <f>SUMIFS(tbl_task2[S24],tbl_task2[[SubPLOs]:[SubPLOs]],"&gt;=2",tbl_task2[[SubPLOs]:[SubPLOs]],"&lt;3")</f>
        <v>0</v>
      </c>
      <c r="AD35" s="138">
        <f>SUMIFS(tbl_task2[S25],tbl_task2[[SubPLOs]:[SubPLOs]],"&gt;=2",tbl_task2[[SubPLOs]:[SubPLOs]],"&lt;3")</f>
        <v>0</v>
      </c>
      <c r="AE35" s="138">
        <f>SUMIFS(tbl_task2[S26],tbl_task2[[SubPLOs]:[SubPLOs]],"&gt;=2",tbl_task2[[SubPLOs]:[SubPLOs]],"&lt;3")</f>
        <v>0</v>
      </c>
      <c r="AF35" s="138">
        <f>SUMIFS(tbl_task2[S27],tbl_task2[[SubPLOs]:[SubPLOs]],"&gt;=2",tbl_task2[[SubPLOs]:[SubPLOs]],"&lt;3")</f>
        <v>0</v>
      </c>
      <c r="AG35" s="138">
        <f>SUMIFS(tbl_task2[S28],tbl_task2[[SubPLOs]:[SubPLOs]],"&gt;=2",tbl_task2[[SubPLOs]:[SubPLOs]],"&lt;3")</f>
        <v>0</v>
      </c>
      <c r="AH35" s="138">
        <f>SUMIFS(tbl_task2[S29],tbl_task2[[SubPLOs]:[SubPLOs]],"&gt;=2",tbl_task2[[SubPLOs]:[SubPLOs]],"&lt;3")</f>
        <v>0</v>
      </c>
      <c r="AI35" s="138">
        <f>SUMIFS(tbl_task2[S30],tbl_task2[[SubPLOs]:[SubPLOs]],"&gt;=2",tbl_task2[[SubPLOs]:[SubPLOs]],"&lt;3")</f>
        <v>0</v>
      </c>
      <c r="AJ35" s="138">
        <f>SUMIFS(tbl_task2[S31],tbl_task2[[SubPLOs]:[SubPLOs]],"&gt;=2",tbl_task2[[SubPLOs]:[SubPLOs]],"&lt;3")</f>
        <v>0</v>
      </c>
      <c r="AK35" s="138">
        <f>SUMIFS(tbl_task2[S32],tbl_task2[[SubPLOs]:[SubPLOs]],"&gt;=2",tbl_task2[[SubPLOs]:[SubPLOs]],"&lt;3")</f>
        <v>0</v>
      </c>
      <c r="AL35" s="138">
        <f>SUMIFS(tbl_task2[S33],tbl_task2[[SubPLOs]:[SubPLOs]],"&gt;=2",tbl_task2[[SubPLOs]:[SubPLOs]],"&lt;3")</f>
        <v>0</v>
      </c>
      <c r="AM35" s="138">
        <f>SUMIFS(tbl_task2[S34],tbl_task2[[SubPLOs]:[SubPLOs]],"&gt;=2",tbl_task2[[SubPLOs]:[SubPLOs]],"&lt;3")</f>
        <v>0</v>
      </c>
      <c r="AN35" s="138">
        <f>SUMIFS(tbl_task2[S35],tbl_task2[[SubPLOs]:[SubPLOs]],"&gt;=2",tbl_task2[[SubPLOs]:[SubPLOs]],"&lt;3")</f>
        <v>0</v>
      </c>
      <c r="AO35" s="138">
        <f>SUMIFS(tbl_task2[S36],tbl_task2[[SubPLOs]:[SubPLOs]],"&gt;=2",tbl_task2[[SubPLOs]:[SubPLOs]],"&lt;3")</f>
        <v>0</v>
      </c>
      <c r="AP35" s="138">
        <f>SUMIFS(tbl_task2[S37],tbl_task2[[SubPLOs]:[SubPLOs]],"&gt;=2",tbl_task2[[SubPLOs]:[SubPLOs]],"&lt;3")</f>
        <v>0</v>
      </c>
      <c r="AQ35" s="138">
        <f>SUMIFS(tbl_task2[S38],tbl_task2[[SubPLOs]:[SubPLOs]],"&gt;=2",tbl_task2[[SubPLOs]:[SubPLOs]],"&lt;3")</f>
        <v>0</v>
      </c>
      <c r="AR35" s="138">
        <f>SUMIFS(tbl_task2[S39],tbl_task2[[SubPLOs]:[SubPLOs]],"&gt;=2",tbl_task2[[SubPLOs]:[SubPLOs]],"&lt;3")</f>
        <v>0</v>
      </c>
      <c r="AS35" s="138">
        <f>SUMIFS(tbl_task2[S40],tbl_task2[[SubPLOs]:[SubPLOs]],"&gt;=2",tbl_task2[[SubPLOs]:[SubPLOs]],"&lt;3")</f>
        <v>0</v>
      </c>
      <c r="AT35" s="138">
        <f>SUMIFS(tbl_task2[S41],tbl_task2[[SubPLOs]:[SubPLOs]],"&gt;=2",tbl_task2[[SubPLOs]:[SubPLOs]],"&lt;3")</f>
        <v>0</v>
      </c>
      <c r="AU35" s="138">
        <f>SUMIFS(tbl_task2[S42],tbl_task2[[SubPLOs]:[SubPLOs]],"&gt;=2",tbl_task2[[SubPLOs]:[SubPLOs]],"&lt;3")</f>
        <v>0</v>
      </c>
      <c r="AV35" s="138">
        <f>SUMIFS(tbl_task2[S43],tbl_task2[[SubPLOs]:[SubPLOs]],"&gt;=2",tbl_task2[[SubPLOs]:[SubPLOs]],"&lt;3")</f>
        <v>0</v>
      </c>
      <c r="AW35" s="138">
        <f>SUMIFS(tbl_task2[S44],tbl_task2[[SubPLOs]:[SubPLOs]],"&gt;=2",tbl_task2[[SubPLOs]:[SubPLOs]],"&lt;3")</f>
        <v>0</v>
      </c>
      <c r="AX35" s="138">
        <f>SUMIFS(tbl_task2[S45],tbl_task2[[SubPLOs]:[SubPLOs]],"&gt;=2",tbl_task2[[SubPLOs]:[SubPLOs]],"&lt;3")</f>
        <v>0</v>
      </c>
      <c r="AY35" s="138">
        <f>SUMIFS(tbl_task2[S46],tbl_task2[[SubPLOs]:[SubPLOs]],"&gt;=2",tbl_task2[[SubPLOs]:[SubPLOs]],"&lt;3")</f>
        <v>0</v>
      </c>
      <c r="AZ35" s="138">
        <f>SUMIFS(tbl_task2[S47],tbl_task2[[SubPLOs]:[SubPLOs]],"&gt;=2",tbl_task2[[SubPLOs]:[SubPLOs]],"&lt;3")</f>
        <v>0</v>
      </c>
      <c r="BA35" s="138">
        <f>SUMIFS(tbl_task2[S48],tbl_task2[[SubPLOs]:[SubPLOs]],"&gt;=2",tbl_task2[[SubPLOs]:[SubPLOs]],"&lt;3")</f>
        <v>0</v>
      </c>
      <c r="BB35" s="138">
        <f>SUMIFS(tbl_task2[S49],tbl_task2[[SubPLOs]:[SubPLOs]],"&gt;=2",tbl_task2[[SubPLOs]:[SubPLOs]],"&lt;3")</f>
        <v>0</v>
      </c>
      <c r="BC35" s="138">
        <f>SUMIFS(tbl_task2[S50],tbl_task2[[SubPLOs]:[SubPLOs]],"&gt;=2",tbl_task2[[SubPLOs]:[SubPLOs]],"&lt;3")</f>
        <v>0</v>
      </c>
      <c r="BD35" s="138">
        <f>SUMIFS(tbl_task2[S51],tbl_task2[[SubPLOs]:[SubPLOs]],"&gt;=2",tbl_task2[[SubPLOs]:[SubPLOs]],"&lt;3")</f>
        <v>0</v>
      </c>
      <c r="BE35" s="138">
        <f>SUMIFS(tbl_task2[S52],tbl_task2[[SubPLOs]:[SubPLOs]],"&gt;=2",tbl_task2[[SubPLOs]:[SubPLOs]],"&lt;3")</f>
        <v>0</v>
      </c>
      <c r="BF35" s="138">
        <f>SUMIFS(tbl_task2[S53],tbl_task2[[SubPLOs]:[SubPLOs]],"&gt;=2",tbl_task2[[SubPLOs]:[SubPLOs]],"&lt;3")</f>
        <v>0</v>
      </c>
      <c r="BG35" s="138">
        <f>SUMIFS(tbl_task2[S54],tbl_task2[[SubPLOs]:[SubPLOs]],"&gt;=2",tbl_task2[[SubPLOs]:[SubPLOs]],"&lt;3")</f>
        <v>0</v>
      </c>
      <c r="BH35" s="138">
        <f>SUMIFS(tbl_task2[S55],tbl_task2[[SubPLOs]:[SubPLOs]],"&gt;=2",tbl_task2[[SubPLOs]:[SubPLOs]],"&lt;3")</f>
        <v>0</v>
      </c>
      <c r="BI35" s="138">
        <f>SUMIFS(tbl_task2[S56],tbl_task2[[SubPLOs]:[SubPLOs]],"&gt;=2",tbl_task2[[SubPLOs]:[SubPLOs]],"&lt;3")</f>
        <v>0</v>
      </c>
      <c r="BJ35" s="138">
        <f>SUMIFS(tbl_task2[S57],tbl_task2[[SubPLOs]:[SubPLOs]],"&gt;=2",tbl_task2[[SubPLOs]:[SubPLOs]],"&lt;3")</f>
        <v>0</v>
      </c>
      <c r="BK35" s="138">
        <f>SUMIFS(tbl_task2[S58],tbl_task2[[SubPLOs]:[SubPLOs]],"&gt;=2",tbl_task2[[SubPLOs]:[SubPLOs]],"&lt;3")</f>
        <v>0</v>
      </c>
      <c r="BL35" s="138">
        <f>SUMIFS(tbl_task2[S59],tbl_task2[[SubPLOs]:[SubPLOs]],"&gt;=2",tbl_task2[[SubPLOs]:[SubPLOs]],"&lt;3")</f>
        <v>0</v>
      </c>
      <c r="BM35" s="138">
        <f>SUMIFS(tbl_task2[S60],tbl_task2[[SubPLOs]:[SubPLOs]],"&gt;=2",tbl_task2[[SubPLOs]:[SubPLOs]],"&lt;3")</f>
        <v>0</v>
      </c>
      <c r="BN35" s="138">
        <f>SUMIFS(tbl_task2[S61],tbl_task2[[SubPLOs]:[SubPLOs]],"&gt;=2",tbl_task2[[SubPLOs]:[SubPLOs]],"&lt;3")</f>
        <v>0</v>
      </c>
      <c r="BO35" s="138">
        <f>SUMIFS(tbl_task2[S62],tbl_task2[[SubPLOs]:[SubPLOs]],"&gt;=2",tbl_task2[[SubPLOs]:[SubPLOs]],"&lt;3")</f>
        <v>0</v>
      </c>
      <c r="BP35" s="138">
        <f>SUMIFS(tbl_task2[S63],tbl_task2[[SubPLOs]:[SubPLOs]],"&gt;=2",tbl_task2[[SubPLOs]:[SubPLOs]],"&lt;3")</f>
        <v>0</v>
      </c>
      <c r="BQ35" s="138">
        <f>SUMIFS(tbl_task2[S64],tbl_task2[[SubPLOs]:[SubPLOs]],"&gt;=2",tbl_task2[[SubPLOs]:[SubPLOs]],"&lt;3")</f>
        <v>0</v>
      </c>
      <c r="BR35" s="138">
        <f>SUMIFS(tbl_task2[S65],tbl_task2[[SubPLOs]:[SubPLOs]],"&gt;=2",tbl_task2[[SubPLOs]:[SubPLOs]],"&lt;3")</f>
        <v>0</v>
      </c>
      <c r="BS35" s="138">
        <f>SUMIFS(tbl_task2[S66],tbl_task2[[SubPLOs]:[SubPLOs]],"&gt;=2",tbl_task2[[SubPLOs]:[SubPLOs]],"&lt;3")</f>
        <v>0</v>
      </c>
      <c r="BT35" s="138">
        <f>SUMIFS(tbl_task2[S67],tbl_task2[[SubPLOs]:[SubPLOs]],"&gt;=2",tbl_task2[[SubPLOs]:[SubPLOs]],"&lt;3")</f>
        <v>0</v>
      </c>
      <c r="BU35" s="138">
        <f>SUMIFS(tbl_task2[S68],tbl_task2[[SubPLOs]:[SubPLOs]],"&gt;=2",tbl_task2[[SubPLOs]:[SubPLOs]],"&lt;3")</f>
        <v>0</v>
      </c>
      <c r="BV35" s="138">
        <f>SUMIFS(tbl_task2[S69],tbl_task2[[SubPLOs]:[SubPLOs]],"&gt;=2",tbl_task2[[SubPLOs]:[SubPLOs]],"&lt;3")</f>
        <v>0</v>
      </c>
      <c r="BW35" s="138">
        <f>SUMIFS(tbl_task2[S70],tbl_task2[[SubPLOs]:[SubPLOs]],"&gt;=2",tbl_task2[[SubPLOs]:[SubPLOs]],"&lt;3")</f>
        <v>0</v>
      </c>
      <c r="BX35" s="138">
        <f>SUMIFS(tbl_task2[S71],tbl_task2[[SubPLOs]:[SubPLOs]],"&gt;=2",tbl_task2[[SubPLOs]:[SubPLOs]],"&lt;3")</f>
        <v>0</v>
      </c>
      <c r="BY35" s="138">
        <f>SUMIFS(tbl_task2[S72],tbl_task2[[SubPLOs]:[SubPLOs]],"&gt;=2",tbl_task2[[SubPLOs]:[SubPLOs]],"&lt;3")</f>
        <v>0</v>
      </c>
      <c r="BZ35" s="138">
        <f>SUMIFS(tbl_task2[S73],tbl_task2[[SubPLOs]:[SubPLOs]],"&gt;=2",tbl_task2[[SubPLOs]:[SubPLOs]],"&lt;3")</f>
        <v>0</v>
      </c>
      <c r="CA35" s="138">
        <f>SUMIFS(tbl_task2[S74],tbl_task2[[SubPLOs]:[SubPLOs]],"&gt;=2",tbl_task2[[SubPLOs]:[SubPLOs]],"&lt;3")</f>
        <v>0</v>
      </c>
      <c r="CB35" s="138">
        <f>SUMIFS(tbl_task2[S75],tbl_task2[[SubPLOs]:[SubPLOs]],"&gt;=2",tbl_task2[[SubPLOs]:[SubPLOs]],"&lt;3")</f>
        <v>0</v>
      </c>
      <c r="CC35" s="138">
        <f>SUMIFS(tbl_task2[S76],tbl_task2[[SubPLOs]:[SubPLOs]],"&gt;=2",tbl_task2[[SubPLOs]:[SubPLOs]],"&lt;3")</f>
        <v>0</v>
      </c>
      <c r="CD35" s="138">
        <f>SUMIFS(tbl_task2[S77],tbl_task2[[SubPLOs]:[SubPLOs]],"&gt;=2",tbl_task2[[SubPLOs]:[SubPLOs]],"&lt;3")</f>
        <v>0</v>
      </c>
      <c r="CE35" s="138">
        <f>SUMIFS(tbl_task2[S78],tbl_task2[[SubPLOs]:[SubPLOs]],"&gt;=2",tbl_task2[[SubPLOs]:[SubPLOs]],"&lt;3")</f>
        <v>0</v>
      </c>
      <c r="CF35" s="138">
        <f>SUMIFS(tbl_task2[S79],tbl_task2[[SubPLOs]:[SubPLOs]],"&gt;=2",tbl_task2[[SubPLOs]:[SubPLOs]],"&lt;3")</f>
        <v>0</v>
      </c>
      <c r="CG35" s="138">
        <f>SUMIFS(tbl_task2[S80],tbl_task2[[SubPLOs]:[SubPLOs]],"&gt;=2",tbl_task2[[SubPLOs]:[SubPLOs]],"&lt;3")</f>
        <v>0</v>
      </c>
      <c r="CH35" s="138">
        <f>SUMIFS(tbl_task2[S81],tbl_task2[[SubPLOs]:[SubPLOs]],"&gt;=2",tbl_task2[[SubPLOs]:[SubPLOs]],"&lt;3")</f>
        <v>0</v>
      </c>
      <c r="CI35" s="138">
        <f>SUMIFS(tbl_task2[S82],tbl_task2[[SubPLOs]:[SubPLOs]],"&gt;=2",tbl_task2[[SubPLOs]:[SubPLOs]],"&lt;3")</f>
        <v>0</v>
      </c>
      <c r="CJ35" s="138">
        <f>SUMIFS(tbl_task2[S83],tbl_task2[[SubPLOs]:[SubPLOs]],"&gt;=2",tbl_task2[[SubPLOs]:[SubPLOs]],"&lt;3")</f>
        <v>0</v>
      </c>
      <c r="CK35" s="138">
        <f>SUMIFS(tbl_task2[S84],tbl_task2[[SubPLOs]:[SubPLOs]],"&gt;=2",tbl_task2[[SubPLOs]:[SubPLOs]],"&lt;3")</f>
        <v>0</v>
      </c>
      <c r="CL35" s="138">
        <f>SUMIFS(tbl_task2[S85],tbl_task2[[SubPLOs]:[SubPLOs]],"&gt;=2",tbl_task2[[SubPLOs]:[SubPLOs]],"&lt;3")</f>
        <v>0</v>
      </c>
      <c r="CM35" s="138">
        <f>SUMIFS(tbl_task2[S86],tbl_task2[[SubPLOs]:[SubPLOs]],"&gt;=2",tbl_task2[[SubPLOs]:[SubPLOs]],"&lt;3")</f>
        <v>0</v>
      </c>
      <c r="CN35" s="138">
        <f>SUMIFS(tbl_task2[S87],tbl_task2[[SubPLOs]:[SubPLOs]],"&gt;=2",tbl_task2[[SubPLOs]:[SubPLOs]],"&lt;3")</f>
        <v>0</v>
      </c>
      <c r="CO35" s="138">
        <f>SUMIFS(tbl_task2[S88],tbl_task2[[SubPLOs]:[SubPLOs]],"&gt;=2",tbl_task2[[SubPLOs]:[SubPLOs]],"&lt;3")</f>
        <v>0</v>
      </c>
      <c r="CP35" s="138">
        <f>SUMIFS(tbl_task2[S89],tbl_task2[[SubPLOs]:[SubPLOs]],"&gt;=2",tbl_task2[[SubPLOs]:[SubPLOs]],"&lt;3")</f>
        <v>0</v>
      </c>
      <c r="CQ35" s="138">
        <f>SUMIFS(tbl_task2[S90],tbl_task2[[SubPLOs]:[SubPLOs]],"&gt;=2",tbl_task2[[SubPLOs]:[SubPLOs]],"&lt;3")</f>
        <v>0</v>
      </c>
      <c r="CR35" s="138">
        <f>SUMIFS(tbl_task2[S91],tbl_task2[[SubPLOs]:[SubPLOs]],"&gt;=2",tbl_task2[[SubPLOs]:[SubPLOs]],"&lt;3")</f>
        <v>0</v>
      </c>
      <c r="CS35" s="138">
        <f>SUMIFS(tbl_task2[S92],tbl_task2[[SubPLOs]:[SubPLOs]],"&gt;=2",tbl_task2[[SubPLOs]:[SubPLOs]],"&lt;3")</f>
        <v>0</v>
      </c>
      <c r="CT35" s="138">
        <f>SUMIFS(tbl_task2[S93],tbl_task2[[SubPLOs]:[SubPLOs]],"&gt;=2",tbl_task2[[SubPLOs]:[SubPLOs]],"&lt;3")</f>
        <v>0</v>
      </c>
      <c r="CU35" s="138">
        <f>SUMIFS(tbl_task2[S94],tbl_task2[[SubPLOs]:[SubPLOs]],"&gt;=2",tbl_task2[[SubPLOs]:[SubPLOs]],"&lt;3")</f>
        <v>0</v>
      </c>
      <c r="CV35" s="138">
        <f>SUMIFS(tbl_task2[S95],tbl_task2[[SubPLOs]:[SubPLOs]],"&gt;=2",tbl_task2[[SubPLOs]:[SubPLOs]],"&lt;3")</f>
        <v>0</v>
      </c>
      <c r="CW35" s="138">
        <f>SUMIFS(tbl_task2[S96],tbl_task2[[SubPLOs]:[SubPLOs]],"&gt;=2",tbl_task2[[SubPLOs]:[SubPLOs]],"&lt;3")</f>
        <v>0</v>
      </c>
      <c r="CX35" s="138">
        <f>SUMIFS(tbl_task2[S97],tbl_task2[[SubPLOs]:[SubPLOs]],"&gt;=2",tbl_task2[[SubPLOs]:[SubPLOs]],"&lt;3")</f>
        <v>0</v>
      </c>
      <c r="CY35" s="138">
        <f>SUMIFS(tbl_task2[S98],tbl_task2[[SubPLOs]:[SubPLOs]],"&gt;=2",tbl_task2[[SubPLOs]:[SubPLOs]],"&lt;3")</f>
        <v>0</v>
      </c>
      <c r="CZ35" s="138">
        <f>SUMIFS(tbl_task2[S99],tbl_task2[[SubPLOs]:[SubPLOs]],"&gt;=2",tbl_task2[[SubPLOs]:[SubPLOs]],"&lt;3")</f>
        <v>0</v>
      </c>
      <c r="DA35" s="138">
        <f>SUMIFS(tbl_task2[S100],tbl_task2[[SubPLOs]:[SubPLOs]],"&gt;=2",tbl_task2[[SubPLOs]:[SubPLOs]],"&lt;3")</f>
        <v>0</v>
      </c>
      <c r="DB35" s="138">
        <f>SUMIFS(tbl_task2[S101],tbl_task2[[SubPLOs]:[SubPLOs]],"&gt;=2",tbl_task2[[SubPLOs]:[SubPLOs]],"&lt;3")</f>
        <v>0</v>
      </c>
      <c r="DC35" s="138">
        <f>SUMIFS(tbl_task2[S102],tbl_task2[[SubPLOs]:[SubPLOs]],"&gt;=2",tbl_task2[[SubPLOs]:[SubPLOs]],"&lt;3")</f>
        <v>0</v>
      </c>
      <c r="DD35" s="138">
        <f>SUMIFS(tbl_task2[S103],tbl_task2[[SubPLOs]:[SubPLOs]],"&gt;=2",tbl_task2[[SubPLOs]:[SubPLOs]],"&lt;3")</f>
        <v>0</v>
      </c>
      <c r="DE35" s="138">
        <f>SUMIFS(tbl_task2[S104],tbl_task2[[SubPLOs]:[SubPLOs]],"&gt;=2",tbl_task2[[SubPLOs]:[SubPLOs]],"&lt;3")</f>
        <v>0</v>
      </c>
      <c r="DF35" s="138">
        <f>SUMIFS(tbl_task2[S105],tbl_task2[[SubPLOs]:[SubPLOs]],"&gt;=2",tbl_task2[[SubPLOs]:[SubPLOs]],"&lt;3")</f>
        <v>0</v>
      </c>
      <c r="DG35" s="138">
        <f>SUMIFS(tbl_task2[S106],tbl_task2[[SubPLOs]:[SubPLOs]],"&gt;=2",tbl_task2[[SubPLOs]:[SubPLOs]],"&lt;3")</f>
        <v>0</v>
      </c>
      <c r="DH35" s="138">
        <f>SUMIFS(tbl_task2[S106],tbl_task2[[SubPLOs]:[SubPLOs]],"&gt;=2",tbl_task2[[SubPLOs]:[SubPLOs]],"&lt;3")</f>
        <v>0</v>
      </c>
      <c r="DI35" s="138">
        <f>SUMIFS(tbl_task2[S108],tbl_task2[[SubPLOs]:[SubPLOs]],"&gt;=2",tbl_task2[[SubPLOs]:[SubPLOs]],"&lt;3")</f>
        <v>0</v>
      </c>
      <c r="DJ35" s="138">
        <f>SUMIFS(tbl_task2[S109],tbl_task2[[SubPLOs]:[SubPLOs]],"&gt;=2",tbl_task2[[SubPLOs]:[SubPLOs]],"&lt;3")</f>
        <v>0</v>
      </c>
      <c r="DK35" s="138">
        <f>SUMIFS(tbl_task2[S110],tbl_task2[[SubPLOs]:[SubPLOs]],"&gt;=2",tbl_task2[[SubPLOs]:[SubPLOs]],"&lt;3")</f>
        <v>0</v>
      </c>
      <c r="DL35" s="138">
        <f>SUMIFS(tbl_task2[S111],tbl_task2[[SubPLOs]:[SubPLOs]],"&gt;=2",tbl_task2[[SubPLOs]:[SubPLOs]],"&lt;3")</f>
        <v>0</v>
      </c>
      <c r="DM35" s="138">
        <f>SUMIFS(tbl_task2[S112],tbl_task2[[SubPLOs]:[SubPLOs]],"&gt;=2",tbl_task2[[SubPLOs]:[SubPLOs]],"&lt;3")</f>
        <v>0</v>
      </c>
      <c r="DN35" s="138">
        <f>SUMIFS(tbl_task2[S113],tbl_task2[[SubPLOs]:[SubPLOs]],"&gt;=2",tbl_task2[[SubPLOs]:[SubPLOs]],"&lt;3")</f>
        <v>0</v>
      </c>
      <c r="DO35" s="138">
        <f>SUMIFS(tbl_task2[S114],tbl_task2[[SubPLOs]:[SubPLOs]],"&gt;=2",tbl_task2[[SubPLOs]:[SubPLOs]],"&lt;3")</f>
        <v>0</v>
      </c>
      <c r="DP35" s="138">
        <f>SUMIFS(tbl_task2[S115],tbl_task2[[SubPLOs]:[SubPLOs]],"&gt;=2",tbl_task2[[SubPLOs]:[SubPLOs]],"&lt;3")</f>
        <v>0</v>
      </c>
      <c r="DQ35" s="138">
        <f>SUMIFS(tbl_task2[S116],tbl_task2[[SubPLOs]:[SubPLOs]],"&gt;=2",tbl_task2[[SubPLOs]:[SubPLOs]],"&lt;3")</f>
        <v>0</v>
      </c>
      <c r="DR35" s="138">
        <f>SUMIFS(tbl_task2[S117],tbl_task2[[SubPLOs]:[SubPLOs]],"&gt;=2",tbl_task2[[SubPLOs]:[SubPLOs]],"&lt;3")</f>
        <v>0</v>
      </c>
      <c r="DS35" s="138">
        <f>SUMIFS(tbl_task2[S118],tbl_task2[[SubPLOs]:[SubPLOs]],"&gt;=2",tbl_task2[[SubPLOs]:[SubPLOs]],"&lt;3")</f>
        <v>0</v>
      </c>
      <c r="DT35" s="138">
        <f>SUMIFS(tbl_task2[S119],tbl_task2[[SubPLOs]:[SubPLOs]],"&gt;=2",tbl_task2[[SubPLOs]:[SubPLOs]],"&lt;3")</f>
        <v>0</v>
      </c>
      <c r="DU35" s="138">
        <f>SUMIFS(tbl_task2[S120],tbl_task2[[SubPLOs]:[SubPLOs]],"&gt;=2",tbl_task2[[SubPLOs]:[SubPLOs]],"&lt;3")</f>
        <v>0</v>
      </c>
      <c r="DV35" s="138">
        <f>SUMIFS(tbl_task2[S121],tbl_task2[[SubPLOs]:[SubPLOs]],"&gt;=2",tbl_task2[[SubPLOs]:[SubPLOs]],"&lt;3")</f>
        <v>0</v>
      </c>
      <c r="DW35" s="138">
        <f>SUMIFS(tbl_task2[S122],tbl_task2[[SubPLOs]:[SubPLOs]],"&gt;=2",tbl_task2[[SubPLOs]:[SubPLOs]],"&lt;3")</f>
        <v>0</v>
      </c>
      <c r="DX35" s="138">
        <f>SUMIFS(tbl_task2[S123],tbl_task2[[SubPLOs]:[SubPLOs]],"&gt;=2",tbl_task2[[SubPLOs]:[SubPLOs]],"&lt;3")</f>
        <v>0</v>
      </c>
      <c r="DY35" s="138">
        <f>SUMIFS(tbl_task2[S124],tbl_task2[[SubPLOs]:[SubPLOs]],"&gt;=2",tbl_task2[[SubPLOs]:[SubPLOs]],"&lt;3")</f>
        <v>0</v>
      </c>
      <c r="DZ35" s="138">
        <f>SUMIFS(tbl_task2[S125],tbl_task2[[SubPLOs]:[SubPLOs]],"&gt;=2",tbl_task2[[SubPLOs]:[SubPLOs]],"&lt;3")</f>
        <v>0</v>
      </c>
      <c r="EA35" s="138">
        <f>SUMIFS(tbl_task2[S126],tbl_task2[[SubPLOs]:[SubPLOs]],"&gt;=2",tbl_task2[[SubPLOs]:[SubPLOs]],"&lt;3")</f>
        <v>0</v>
      </c>
      <c r="EB35" s="138">
        <f>SUMIFS(tbl_task2[S127],tbl_task2[[SubPLOs]:[SubPLOs]],"&gt;=2",tbl_task2[[SubPLOs]:[SubPLOs]],"&lt;3")</f>
        <v>0</v>
      </c>
      <c r="EC35" s="138">
        <f>SUMIFS(tbl_task2[S128],tbl_task2[[SubPLOs]:[SubPLOs]],"&gt;=2",tbl_task2[[SubPLOs]:[SubPLOs]],"&lt;3")</f>
        <v>0</v>
      </c>
      <c r="ED35" s="138">
        <f>SUMIFS(tbl_task2[S129],tbl_task2[[SubPLOs]:[SubPLOs]],"&gt;=2",tbl_task2[[SubPLOs]:[SubPLOs]],"&lt;3")</f>
        <v>0</v>
      </c>
      <c r="EE35" s="138">
        <f>SUMIFS(tbl_task2[S130],tbl_task2[[SubPLOs]:[SubPLOs]],"&gt;=2",tbl_task2[[SubPLOs]:[SubPLOs]],"&lt;3")</f>
        <v>0</v>
      </c>
      <c r="EF35" s="138">
        <f>SUMIFS(tbl_task2[S131],tbl_task2[[SubPLOs]:[SubPLOs]],"&gt;=2",tbl_task2[[SubPLOs]:[SubPLOs]],"&lt;3")</f>
        <v>0</v>
      </c>
      <c r="EG35" s="138">
        <f>SUMIFS(tbl_task2[S132],tbl_task2[[SubPLOs]:[SubPLOs]],"&gt;=2",tbl_task2[[SubPLOs]:[SubPLOs]],"&lt;3")</f>
        <v>0</v>
      </c>
      <c r="EH35" s="138">
        <f>SUMIFS(tbl_task2[S133],tbl_task2[[SubPLOs]:[SubPLOs]],"&gt;=2",tbl_task2[[SubPLOs]:[SubPLOs]],"&lt;3")</f>
        <v>0</v>
      </c>
      <c r="EI35" s="138">
        <f>SUMIFS(tbl_task2[S134],tbl_task2[[SubPLOs]:[SubPLOs]],"&gt;=2",tbl_task2[[SubPLOs]:[SubPLOs]],"&lt;3")</f>
        <v>0</v>
      </c>
      <c r="EJ35" s="138">
        <f>SUMIFS(tbl_task2[S135],tbl_task2[[SubPLOs]:[SubPLOs]],"&gt;=2",tbl_task2[[SubPLOs]:[SubPLOs]],"&lt;3")</f>
        <v>0</v>
      </c>
      <c r="EK35" s="138">
        <f>SUMIFS(tbl_task2[S136],tbl_task2[[SubPLOs]:[SubPLOs]],"&gt;=2",tbl_task2[[SubPLOs]:[SubPLOs]],"&lt;3")</f>
        <v>0</v>
      </c>
      <c r="EL35" s="138">
        <f>SUMIFS(tbl_task2[S137],tbl_task2[[SubPLOs]:[SubPLOs]],"&gt;=2",tbl_task2[[SubPLOs]:[SubPLOs]],"&lt;3")</f>
        <v>0</v>
      </c>
      <c r="EM35" s="138">
        <f>SUMIFS(tbl_task2[S138],tbl_task2[[SubPLOs]:[SubPLOs]],"&gt;=2",tbl_task2[[SubPLOs]:[SubPLOs]],"&lt;3")</f>
        <v>0</v>
      </c>
      <c r="EN35" s="138">
        <f>SUMIFS(tbl_task2[S139],tbl_task2[[SubPLOs]:[SubPLOs]],"&gt;=2",tbl_task2[[SubPLOs]:[SubPLOs]],"&lt;3")</f>
        <v>0</v>
      </c>
      <c r="EO35" s="138">
        <f>SUMIFS(tbl_task2[S140],tbl_task2[[SubPLOs]:[SubPLOs]],"&gt;=2",tbl_task2[[SubPLOs]:[SubPLOs]],"&lt;3")</f>
        <v>0</v>
      </c>
      <c r="EP35" s="138">
        <f>SUMIFS(tbl_task2[S141],tbl_task2[[SubPLOs]:[SubPLOs]],"&gt;=2",tbl_task2[[SubPLOs]:[SubPLOs]],"&lt;3")</f>
        <v>0</v>
      </c>
      <c r="EQ35" s="138">
        <f>SUMIFS(tbl_task2[S142],tbl_task2[[SubPLOs]:[SubPLOs]],"&gt;=2",tbl_task2[[SubPLOs]:[SubPLOs]],"&lt;3")</f>
        <v>0</v>
      </c>
      <c r="ER35" s="138">
        <f>SUMIFS(tbl_task2[S143],tbl_task2[[SubPLOs]:[SubPLOs]],"&gt;=2",tbl_task2[[SubPLOs]:[SubPLOs]],"&lt;3")</f>
        <v>0</v>
      </c>
      <c r="ES35" s="138">
        <f>SUMIFS(tbl_task2[S144],tbl_task2[[SubPLOs]:[SubPLOs]],"&gt;=2",tbl_task2[[SubPLOs]:[SubPLOs]],"&lt;3")</f>
        <v>0</v>
      </c>
      <c r="ET35" s="138">
        <f>SUMIFS(tbl_task2[S145],tbl_task2[[SubPLOs]:[SubPLOs]],"&gt;=2",tbl_task2[[SubPLOs]:[SubPLOs]],"&lt;3")</f>
        <v>0</v>
      </c>
      <c r="EU35" s="138">
        <f>SUMIFS(tbl_task2[S146],tbl_task2[[SubPLOs]:[SubPLOs]],"&gt;=2",tbl_task2[[SubPLOs]:[SubPLOs]],"&lt;3")</f>
        <v>0</v>
      </c>
      <c r="EV35" s="138">
        <f>SUMIFS(tbl_task2[S147],tbl_task2[[SubPLOs]:[SubPLOs]],"&gt;=2",tbl_task2[[SubPLOs]:[SubPLOs]],"&lt;3")</f>
        <v>0</v>
      </c>
      <c r="EW35" s="138">
        <f>SUMIFS(tbl_task2[S148],tbl_task2[[SubPLOs]:[SubPLOs]],"&gt;=2",tbl_task2[[SubPLOs]:[SubPLOs]],"&lt;3")</f>
        <v>0</v>
      </c>
      <c r="EX35" s="138">
        <f>SUMIFS(tbl_task2[S149],tbl_task2[[SubPLOs]:[SubPLOs]],"&gt;=2",tbl_task2[[SubPLOs]:[SubPLOs]],"&lt;3")</f>
        <v>0</v>
      </c>
      <c r="EY35" s="138">
        <f>SUMIFS(tbl_task2[S150],tbl_task2[[SubPLOs]:[SubPLOs]],"&gt;=2",tbl_task2[[SubPLOs]:[SubPLOs]],"&lt;3")</f>
        <v>0</v>
      </c>
      <c r="EZ35" s="138">
        <f>SUMIFS(tbl_task2[S151],tbl_task2[[SubPLOs]:[SubPLOs]],"&gt;=2",tbl_task2[[SubPLOs]:[SubPLOs]],"&lt;3")</f>
        <v>0</v>
      </c>
      <c r="FA35" s="138">
        <f>SUMIFS(tbl_task2[S152],tbl_task2[[SubPLOs]:[SubPLOs]],"&gt;=2",tbl_task2[[SubPLOs]:[SubPLOs]],"&lt;3")</f>
        <v>0</v>
      </c>
      <c r="FB35" s="138">
        <f>SUMIFS(tbl_task2[S153],tbl_task2[[SubPLOs]:[SubPLOs]],"&gt;=2",tbl_task2[[SubPLOs]:[SubPLOs]],"&lt;3")</f>
        <v>0</v>
      </c>
      <c r="FC35" s="138">
        <f>SUMIFS(tbl_task2[S154],tbl_task2[[SubPLOs]:[SubPLOs]],"&gt;=2",tbl_task2[[SubPLOs]:[SubPLOs]],"&lt;3")</f>
        <v>0</v>
      </c>
      <c r="FD35" s="138">
        <f>SUMIFS(tbl_task2[S155],tbl_task2[[SubPLOs]:[SubPLOs]],"&gt;=2",tbl_task2[[SubPLOs]:[SubPLOs]],"&lt;3")</f>
        <v>0</v>
      </c>
      <c r="FE35" s="138">
        <f>SUMIFS(tbl_task2[S156],tbl_task2[[SubPLOs]:[SubPLOs]],"&gt;=2",tbl_task2[[SubPLOs]:[SubPLOs]],"&lt;3")</f>
        <v>0</v>
      </c>
      <c r="FF35" s="138">
        <f>SUMIFS(tbl_task2[S157],tbl_task2[[SubPLOs]:[SubPLOs]],"&gt;=2",tbl_task2[[SubPLOs]:[SubPLOs]],"&lt;3")</f>
        <v>0</v>
      </c>
      <c r="FG35" s="138">
        <f>SUMIFS(tbl_task2[S158],tbl_task2[[SubPLOs]:[SubPLOs]],"&gt;=2",tbl_task2[[SubPLOs]:[SubPLOs]],"&lt;3")</f>
        <v>0</v>
      </c>
      <c r="FH35" s="138">
        <f>SUMIFS(tbl_task2[S159],tbl_task2[[SubPLOs]:[SubPLOs]],"&gt;=2",tbl_task2[[SubPLOs]:[SubPLOs]],"&lt;3")</f>
        <v>0</v>
      </c>
      <c r="FI35" s="138">
        <f>SUMIFS(tbl_task2[S160],tbl_task2[[SubPLOs]:[SubPLOs]],"&gt;=2",tbl_task2[[SubPLOs]:[SubPLOs]],"&lt;3")</f>
        <v>0</v>
      </c>
      <c r="FJ35" s="138">
        <f>SUMIFS(tbl_task2[S161],tbl_task2[[SubPLOs]:[SubPLOs]],"&gt;=2",tbl_task2[[SubPLOs]:[SubPLOs]],"&lt;3")</f>
        <v>0</v>
      </c>
      <c r="FK35" s="138">
        <f>SUMIFS(tbl_task2[S162],tbl_task2[[SubPLOs]:[SubPLOs]],"&gt;=2",tbl_task2[[SubPLOs]:[SubPLOs]],"&lt;3")</f>
        <v>0</v>
      </c>
      <c r="FL35" s="138">
        <f>SUMIFS(tbl_task2[S163],tbl_task2[[SubPLOs]:[SubPLOs]],"&gt;=2",tbl_task2[[SubPLOs]:[SubPLOs]],"&lt;3")</f>
        <v>0</v>
      </c>
      <c r="FM35" s="138">
        <f>SUMIFS(tbl_task2[S164],tbl_task2[[SubPLOs]:[SubPLOs]],"&gt;=2",tbl_task2[[SubPLOs]:[SubPLOs]],"&lt;3")</f>
        <v>0</v>
      </c>
      <c r="FN35" s="138">
        <f>SUMIFS(tbl_task2[S165],tbl_task2[[SubPLOs]:[SubPLOs]],"&gt;=2",tbl_task2[[SubPLOs]:[SubPLOs]],"&lt;3")</f>
        <v>0</v>
      </c>
    </row>
    <row r="36" spans="1:170" ht="63" x14ac:dyDescent="0.25">
      <c r="A36" s="135">
        <v>3</v>
      </c>
      <c r="B36" s="5" t="s">
        <v>436</v>
      </c>
      <c r="C36" s="136">
        <f>COUNTIFS(tbl_task2[SubPLOs],"&gt;=3",tbl_task2[SubPLOs],"&lt;4")</f>
        <v>0</v>
      </c>
      <c r="D36" s="136">
        <f>SUMIFS(tbl_task2[คะแนนเต็ม],tbl_task2[SubPLOs],"&gt;=3",tbl_task2[SubPLOs],"&lt;4")</f>
        <v>0</v>
      </c>
      <c r="E36" s="137">
        <f>SUMIFS(tbl_task2[%],tbl_task2[SubPLOs],"&gt;=3",tbl_task2[SubPLOs],"&lt;4")</f>
        <v>0</v>
      </c>
      <c r="F36" s="138">
        <f>SUMIFS(tbl_task2[S1],tbl_task2[[SubPLOs]:[SubPLOs]],"&gt;=3",tbl_task2[[SubPLOs]:[SubPLOs]],"&lt;4")</f>
        <v>0</v>
      </c>
      <c r="G36" s="138">
        <f>SUMIFS(tbl_task2[S2],tbl_task2[[SubPLOs]:[SubPLOs]],"&gt;=3",tbl_task2[[SubPLOs]:[SubPLOs]],"&lt;4")</f>
        <v>0</v>
      </c>
      <c r="H36" s="138">
        <f>SUMIFS(tbl_task2[S3],tbl_task2[[SubPLOs]:[SubPLOs]],"&gt;=3",tbl_task2[[SubPLOs]:[SubPLOs]],"&lt;4")</f>
        <v>0</v>
      </c>
      <c r="I36" s="138">
        <f>SUMIFS(tbl_task2[S4],tbl_task2[[SubPLOs]:[SubPLOs]],"&gt;=3",tbl_task2[[SubPLOs]:[SubPLOs]],"&lt;4")</f>
        <v>0</v>
      </c>
      <c r="J36" s="138">
        <f>SUMIFS(tbl_task2[S5],tbl_task2[[SubPLOs]:[SubPLOs]],"&gt;=3",tbl_task2[[SubPLOs]:[SubPLOs]],"&lt;4")</f>
        <v>0</v>
      </c>
      <c r="K36" s="138">
        <f>SUMIFS(tbl_task2[S6],tbl_task2[[SubPLOs]:[SubPLOs]],"&gt;=3",tbl_task2[[SubPLOs]:[SubPLOs]],"&lt;4")</f>
        <v>0</v>
      </c>
      <c r="L36" s="138">
        <f>SUMIFS(tbl_task2[S7],tbl_task2[[SubPLOs]:[SubPLOs]],"&gt;=3",tbl_task2[[SubPLOs]:[SubPLOs]],"&lt;4")</f>
        <v>0</v>
      </c>
      <c r="M36" s="138">
        <f>SUMIFS(tbl_task2[S8],tbl_task2[[SubPLOs]:[SubPLOs]],"&gt;=3",tbl_task2[[SubPLOs]:[SubPLOs]],"&lt;4")</f>
        <v>0</v>
      </c>
      <c r="N36" s="138">
        <f>SUMIFS(tbl_task2[S9],tbl_task2[[SubPLOs]:[SubPLOs]],"&gt;=3",tbl_task2[[SubPLOs]:[SubPLOs]],"&lt;4")</f>
        <v>0</v>
      </c>
      <c r="O36" s="138">
        <f>SUMIFS(tbl_task2[S10],tbl_task2[[SubPLOs]:[SubPLOs]],"&gt;=3",tbl_task2[[SubPLOs]:[SubPLOs]],"&lt;4")</f>
        <v>0</v>
      </c>
      <c r="P36" s="138">
        <f>SUMIFS(tbl_task2[S11],tbl_task2[[SubPLOs]:[SubPLOs]],"&gt;=3",tbl_task2[[SubPLOs]:[SubPLOs]],"&lt;4")</f>
        <v>0</v>
      </c>
      <c r="Q36" s="138">
        <f>SUMIFS(tbl_task2[S12],tbl_task2[[SubPLOs]:[SubPLOs]],"&gt;=3",tbl_task2[[SubPLOs]:[SubPLOs]],"&lt;4")</f>
        <v>0</v>
      </c>
      <c r="R36" s="138">
        <f>SUMIFS(tbl_task2[S13],tbl_task2[[SubPLOs]:[SubPLOs]],"&gt;=3",tbl_task2[[SubPLOs]:[SubPLOs]],"&lt;4")</f>
        <v>0</v>
      </c>
      <c r="S36" s="138">
        <f>SUMIFS(tbl_task2[S14],tbl_task2[[SubPLOs]:[SubPLOs]],"&gt;=3",tbl_task2[[SubPLOs]:[SubPLOs]],"&lt;4")</f>
        <v>0</v>
      </c>
      <c r="T36" s="138">
        <f>SUMIFS(tbl_task2[S15],tbl_task2[[SubPLOs]:[SubPLOs]],"&gt;=3",tbl_task2[[SubPLOs]:[SubPLOs]],"&lt;4")</f>
        <v>0</v>
      </c>
      <c r="U36" s="138">
        <f>SUMIFS(tbl_task2[S16],tbl_task2[[SubPLOs]:[SubPLOs]],"&gt;=3",tbl_task2[[SubPLOs]:[SubPLOs]],"&lt;4")</f>
        <v>0</v>
      </c>
      <c r="V36" s="138">
        <f>SUMIFS(tbl_task2[S17],tbl_task2[[SubPLOs]:[SubPLOs]],"&gt;=3",tbl_task2[[SubPLOs]:[SubPLOs]],"&lt;4")</f>
        <v>0</v>
      </c>
      <c r="W36" s="138">
        <f>SUMIFS(tbl_task2[S18],tbl_task2[[SubPLOs]:[SubPLOs]],"&gt;=3",tbl_task2[[SubPLOs]:[SubPLOs]],"&lt;4")</f>
        <v>0</v>
      </c>
      <c r="X36" s="138">
        <f>SUMIFS(tbl_task2[S19],tbl_task2[[SubPLOs]:[SubPLOs]],"&gt;=3",tbl_task2[[SubPLOs]:[SubPLOs]],"&lt;4")</f>
        <v>0</v>
      </c>
      <c r="Y36" s="138">
        <f>SUMIFS(tbl_task2[S20],tbl_task2[[SubPLOs]:[SubPLOs]],"&gt;=3",tbl_task2[[SubPLOs]:[SubPLOs]],"&lt;4")</f>
        <v>0</v>
      </c>
      <c r="Z36" s="138">
        <f>SUMIFS(tbl_task2[S21],tbl_task2[[SubPLOs]:[SubPLOs]],"&gt;=3",tbl_task2[[SubPLOs]:[SubPLOs]],"&lt;4")</f>
        <v>0</v>
      </c>
      <c r="AA36" s="138">
        <f>SUMIFS(tbl_task2[S22],tbl_task2[[SubPLOs]:[SubPLOs]],"&gt;=3",tbl_task2[[SubPLOs]:[SubPLOs]],"&lt;4")</f>
        <v>0</v>
      </c>
      <c r="AB36" s="138">
        <f>SUMIFS(tbl_task2[S23],tbl_task2[[SubPLOs]:[SubPLOs]],"&gt;=3",tbl_task2[[SubPLOs]:[SubPLOs]],"&lt;4")</f>
        <v>0</v>
      </c>
      <c r="AC36" s="138">
        <f>SUMIFS(tbl_task2[S24],tbl_task2[[SubPLOs]:[SubPLOs]],"&gt;=3",tbl_task2[[SubPLOs]:[SubPLOs]],"&lt;4")</f>
        <v>0</v>
      </c>
      <c r="AD36" s="138">
        <f>SUMIFS(tbl_task2[S25],tbl_task2[[SubPLOs]:[SubPLOs]],"&gt;=3",tbl_task2[[SubPLOs]:[SubPLOs]],"&lt;4")</f>
        <v>0</v>
      </c>
      <c r="AE36" s="138">
        <f>SUMIFS(tbl_task2[S26],tbl_task2[[SubPLOs]:[SubPLOs]],"&gt;=3",tbl_task2[[SubPLOs]:[SubPLOs]],"&lt;4")</f>
        <v>0</v>
      </c>
      <c r="AF36" s="138">
        <f>SUMIFS(tbl_task2[S27],tbl_task2[[SubPLOs]:[SubPLOs]],"&gt;=3",tbl_task2[[SubPLOs]:[SubPLOs]],"&lt;4")</f>
        <v>0</v>
      </c>
      <c r="AG36" s="138">
        <f>SUMIFS(tbl_task2[S28],tbl_task2[[SubPLOs]:[SubPLOs]],"&gt;=3",tbl_task2[[SubPLOs]:[SubPLOs]],"&lt;4")</f>
        <v>0</v>
      </c>
      <c r="AH36" s="138">
        <f>SUMIFS(tbl_task2[S29],tbl_task2[[SubPLOs]:[SubPLOs]],"&gt;=3",tbl_task2[[SubPLOs]:[SubPLOs]],"&lt;4")</f>
        <v>0</v>
      </c>
      <c r="AI36" s="138">
        <f>SUMIFS(tbl_task2[S30],tbl_task2[[SubPLOs]:[SubPLOs]],"&gt;=3",tbl_task2[[SubPLOs]:[SubPLOs]],"&lt;4")</f>
        <v>0</v>
      </c>
      <c r="AJ36" s="138">
        <f>SUMIFS(tbl_task2[S31],tbl_task2[[SubPLOs]:[SubPLOs]],"&gt;=3",tbl_task2[[SubPLOs]:[SubPLOs]],"&lt;4")</f>
        <v>0</v>
      </c>
      <c r="AK36" s="138">
        <f>SUMIFS(tbl_task2[S32],tbl_task2[[SubPLOs]:[SubPLOs]],"&gt;=3",tbl_task2[[SubPLOs]:[SubPLOs]],"&lt;4")</f>
        <v>0</v>
      </c>
      <c r="AL36" s="138">
        <f>SUMIFS(tbl_task2[S33],tbl_task2[[SubPLOs]:[SubPLOs]],"&gt;=3",tbl_task2[[SubPLOs]:[SubPLOs]],"&lt;4")</f>
        <v>0</v>
      </c>
      <c r="AM36" s="138">
        <f>SUMIFS(tbl_task2[S34],tbl_task2[[SubPLOs]:[SubPLOs]],"&gt;=3",tbl_task2[[SubPLOs]:[SubPLOs]],"&lt;4")</f>
        <v>0</v>
      </c>
      <c r="AN36" s="138">
        <f>SUMIFS(tbl_task2[S35],tbl_task2[[SubPLOs]:[SubPLOs]],"&gt;=3",tbl_task2[[SubPLOs]:[SubPLOs]],"&lt;4")</f>
        <v>0</v>
      </c>
      <c r="AO36" s="138">
        <f>SUMIFS(tbl_task2[S36],tbl_task2[[SubPLOs]:[SubPLOs]],"&gt;=3",tbl_task2[[SubPLOs]:[SubPLOs]],"&lt;4")</f>
        <v>0</v>
      </c>
      <c r="AP36" s="138">
        <f>SUMIFS(tbl_task2[S37],tbl_task2[[SubPLOs]:[SubPLOs]],"&gt;=3",tbl_task2[[SubPLOs]:[SubPLOs]],"&lt;4")</f>
        <v>0</v>
      </c>
      <c r="AQ36" s="138">
        <f>SUMIFS(tbl_task2[S38],tbl_task2[[SubPLOs]:[SubPLOs]],"&gt;=3",tbl_task2[[SubPLOs]:[SubPLOs]],"&lt;4")</f>
        <v>0</v>
      </c>
      <c r="AR36" s="138">
        <f>SUMIFS(tbl_task2[S39],tbl_task2[[SubPLOs]:[SubPLOs]],"&gt;=3",tbl_task2[[SubPLOs]:[SubPLOs]],"&lt;4")</f>
        <v>0</v>
      </c>
      <c r="AS36" s="138">
        <f>SUMIFS(tbl_task2[S40],tbl_task2[[SubPLOs]:[SubPLOs]],"&gt;=3",tbl_task2[[SubPLOs]:[SubPLOs]],"&lt;4")</f>
        <v>0</v>
      </c>
      <c r="AT36" s="138">
        <f>SUMIFS(tbl_task2[S41],tbl_task2[[SubPLOs]:[SubPLOs]],"&gt;=3",tbl_task2[[SubPLOs]:[SubPLOs]],"&lt;4")</f>
        <v>0</v>
      </c>
      <c r="AU36" s="138">
        <f>SUMIFS(tbl_task2[S42],tbl_task2[[SubPLOs]:[SubPLOs]],"&gt;=3",tbl_task2[[SubPLOs]:[SubPLOs]],"&lt;4")</f>
        <v>0</v>
      </c>
      <c r="AV36" s="138">
        <f>SUMIFS(tbl_task2[S43],tbl_task2[[SubPLOs]:[SubPLOs]],"&gt;=3",tbl_task2[[SubPLOs]:[SubPLOs]],"&lt;4")</f>
        <v>0</v>
      </c>
      <c r="AW36" s="138">
        <f>SUMIFS(tbl_task2[S44],tbl_task2[[SubPLOs]:[SubPLOs]],"&gt;=3",tbl_task2[[SubPLOs]:[SubPLOs]],"&lt;4")</f>
        <v>0</v>
      </c>
      <c r="AX36" s="138">
        <f>SUMIFS(tbl_task2[S45],tbl_task2[[SubPLOs]:[SubPLOs]],"&gt;=3",tbl_task2[[SubPLOs]:[SubPLOs]],"&lt;4")</f>
        <v>0</v>
      </c>
      <c r="AY36" s="138">
        <f>SUMIFS(tbl_task2[S46],tbl_task2[[SubPLOs]:[SubPLOs]],"&gt;=3",tbl_task2[[SubPLOs]:[SubPLOs]],"&lt;4")</f>
        <v>0</v>
      </c>
      <c r="AZ36" s="138">
        <f>SUMIFS(tbl_task2[S47],tbl_task2[[SubPLOs]:[SubPLOs]],"&gt;=3",tbl_task2[[SubPLOs]:[SubPLOs]],"&lt;4")</f>
        <v>0</v>
      </c>
      <c r="BA36" s="138">
        <f>SUMIFS(tbl_task2[S48],tbl_task2[[SubPLOs]:[SubPLOs]],"&gt;=3",tbl_task2[[SubPLOs]:[SubPLOs]],"&lt;4")</f>
        <v>0</v>
      </c>
      <c r="BB36" s="138">
        <f>SUMIFS(tbl_task2[S49],tbl_task2[[SubPLOs]:[SubPLOs]],"&gt;=3",tbl_task2[[SubPLOs]:[SubPLOs]],"&lt;4")</f>
        <v>0</v>
      </c>
      <c r="BC36" s="138">
        <f>SUMIFS(tbl_task2[S50],tbl_task2[[SubPLOs]:[SubPLOs]],"&gt;=3",tbl_task2[[SubPLOs]:[SubPLOs]],"&lt;4")</f>
        <v>0</v>
      </c>
      <c r="BD36" s="138">
        <f>SUMIFS(tbl_task2[S51],tbl_task2[[SubPLOs]:[SubPLOs]],"&gt;=3",tbl_task2[[SubPLOs]:[SubPLOs]],"&lt;4")</f>
        <v>0</v>
      </c>
      <c r="BE36" s="138">
        <f>SUMIFS(tbl_task2[S52],tbl_task2[[SubPLOs]:[SubPLOs]],"&gt;=3",tbl_task2[[SubPLOs]:[SubPLOs]],"&lt;4")</f>
        <v>0</v>
      </c>
      <c r="BF36" s="138">
        <f>SUMIFS(tbl_task2[S53],tbl_task2[[SubPLOs]:[SubPLOs]],"&gt;=3",tbl_task2[[SubPLOs]:[SubPLOs]],"&lt;4")</f>
        <v>0</v>
      </c>
      <c r="BG36" s="138">
        <f>SUMIFS(tbl_task2[S54],tbl_task2[[SubPLOs]:[SubPLOs]],"&gt;=3",tbl_task2[[SubPLOs]:[SubPLOs]],"&lt;4")</f>
        <v>0</v>
      </c>
      <c r="BH36" s="138">
        <f>SUMIFS(tbl_task2[S55],tbl_task2[[SubPLOs]:[SubPLOs]],"&gt;=3",tbl_task2[[SubPLOs]:[SubPLOs]],"&lt;4")</f>
        <v>0</v>
      </c>
      <c r="BI36" s="138">
        <f>SUMIFS(tbl_task2[S56],tbl_task2[[SubPLOs]:[SubPLOs]],"&gt;=3",tbl_task2[[SubPLOs]:[SubPLOs]],"&lt;4")</f>
        <v>0</v>
      </c>
      <c r="BJ36" s="138">
        <f>SUMIFS(tbl_task2[S57],tbl_task2[[SubPLOs]:[SubPLOs]],"&gt;=3",tbl_task2[[SubPLOs]:[SubPLOs]],"&lt;4")</f>
        <v>0</v>
      </c>
      <c r="BK36" s="138">
        <f>SUMIFS(tbl_task2[S58],tbl_task2[[SubPLOs]:[SubPLOs]],"&gt;=3",tbl_task2[[SubPLOs]:[SubPLOs]],"&lt;4")</f>
        <v>0</v>
      </c>
      <c r="BL36" s="138">
        <f>SUMIFS(tbl_task2[S59],tbl_task2[[SubPLOs]:[SubPLOs]],"&gt;=3",tbl_task2[[SubPLOs]:[SubPLOs]],"&lt;4")</f>
        <v>0</v>
      </c>
      <c r="BM36" s="138">
        <f>SUMIFS(tbl_task2[S60],tbl_task2[[SubPLOs]:[SubPLOs]],"&gt;=3",tbl_task2[[SubPLOs]:[SubPLOs]],"&lt;4")</f>
        <v>0</v>
      </c>
      <c r="BN36" s="138">
        <f>SUMIFS(tbl_task2[S61],tbl_task2[[SubPLOs]:[SubPLOs]],"&gt;=3",tbl_task2[[SubPLOs]:[SubPLOs]],"&lt;4")</f>
        <v>0</v>
      </c>
      <c r="BO36" s="138">
        <f>SUMIFS(tbl_task2[S62],tbl_task2[[SubPLOs]:[SubPLOs]],"&gt;=3",tbl_task2[[SubPLOs]:[SubPLOs]],"&lt;4")</f>
        <v>0</v>
      </c>
      <c r="BP36" s="138">
        <f>SUMIFS(tbl_task2[S63],tbl_task2[[SubPLOs]:[SubPLOs]],"&gt;=3",tbl_task2[[SubPLOs]:[SubPLOs]],"&lt;4")</f>
        <v>0</v>
      </c>
      <c r="BQ36" s="138">
        <f>SUMIFS(tbl_task2[S64],tbl_task2[[SubPLOs]:[SubPLOs]],"&gt;=3",tbl_task2[[SubPLOs]:[SubPLOs]],"&lt;4")</f>
        <v>0</v>
      </c>
      <c r="BR36" s="138">
        <f>SUMIFS(tbl_task2[S65],tbl_task2[[SubPLOs]:[SubPLOs]],"&gt;=3",tbl_task2[[SubPLOs]:[SubPLOs]],"&lt;4")</f>
        <v>0</v>
      </c>
      <c r="BS36" s="138">
        <f>SUMIFS(tbl_task2[S66],tbl_task2[[SubPLOs]:[SubPLOs]],"&gt;=3",tbl_task2[[SubPLOs]:[SubPLOs]],"&lt;4")</f>
        <v>0</v>
      </c>
      <c r="BT36" s="138">
        <f>SUMIFS(tbl_task2[S67],tbl_task2[[SubPLOs]:[SubPLOs]],"&gt;=3",tbl_task2[[SubPLOs]:[SubPLOs]],"&lt;4")</f>
        <v>0</v>
      </c>
      <c r="BU36" s="138">
        <f>SUMIFS(tbl_task2[S68],tbl_task2[[SubPLOs]:[SubPLOs]],"&gt;=3",tbl_task2[[SubPLOs]:[SubPLOs]],"&lt;4")</f>
        <v>0</v>
      </c>
      <c r="BV36" s="138">
        <f>SUMIFS(tbl_task2[S69],tbl_task2[[SubPLOs]:[SubPLOs]],"&gt;=3",tbl_task2[[SubPLOs]:[SubPLOs]],"&lt;4")</f>
        <v>0</v>
      </c>
      <c r="BW36" s="138">
        <f>SUMIFS(tbl_task2[S70],tbl_task2[[SubPLOs]:[SubPLOs]],"&gt;=3",tbl_task2[[SubPLOs]:[SubPLOs]],"&lt;4")</f>
        <v>0</v>
      </c>
      <c r="BX36" s="138">
        <f>SUMIFS(tbl_task2[S71],tbl_task2[[SubPLOs]:[SubPLOs]],"&gt;=3",tbl_task2[[SubPLOs]:[SubPLOs]],"&lt;4")</f>
        <v>0</v>
      </c>
      <c r="BY36" s="138">
        <f>SUMIFS(tbl_task2[S72],tbl_task2[[SubPLOs]:[SubPLOs]],"&gt;=3",tbl_task2[[SubPLOs]:[SubPLOs]],"&lt;4")</f>
        <v>0</v>
      </c>
      <c r="BZ36" s="138">
        <f>SUMIFS(tbl_task2[S73],tbl_task2[[SubPLOs]:[SubPLOs]],"&gt;=3",tbl_task2[[SubPLOs]:[SubPLOs]],"&lt;4")</f>
        <v>0</v>
      </c>
      <c r="CA36" s="138">
        <f>SUMIFS(tbl_task2[S74],tbl_task2[[SubPLOs]:[SubPLOs]],"&gt;=3",tbl_task2[[SubPLOs]:[SubPLOs]],"&lt;4")</f>
        <v>0</v>
      </c>
      <c r="CB36" s="138">
        <f>SUMIFS(tbl_task2[S75],tbl_task2[[SubPLOs]:[SubPLOs]],"&gt;=3",tbl_task2[[SubPLOs]:[SubPLOs]],"&lt;4")</f>
        <v>0</v>
      </c>
      <c r="CC36" s="138">
        <f>SUMIFS(tbl_task2[S76],tbl_task2[[SubPLOs]:[SubPLOs]],"&gt;=3",tbl_task2[[SubPLOs]:[SubPLOs]],"&lt;4")</f>
        <v>0</v>
      </c>
      <c r="CD36" s="138">
        <f>SUMIFS(tbl_task2[S77],tbl_task2[[SubPLOs]:[SubPLOs]],"&gt;=3",tbl_task2[[SubPLOs]:[SubPLOs]],"&lt;4")</f>
        <v>0</v>
      </c>
      <c r="CE36" s="138">
        <f>SUMIFS(tbl_task2[S78],tbl_task2[[SubPLOs]:[SubPLOs]],"&gt;=3",tbl_task2[[SubPLOs]:[SubPLOs]],"&lt;4")</f>
        <v>0</v>
      </c>
      <c r="CF36" s="138">
        <f>SUMIFS(tbl_task2[S79],tbl_task2[[SubPLOs]:[SubPLOs]],"&gt;=3",tbl_task2[[SubPLOs]:[SubPLOs]],"&lt;4")</f>
        <v>0</v>
      </c>
      <c r="CG36" s="138">
        <f>SUMIFS(tbl_task2[S80],tbl_task2[[SubPLOs]:[SubPLOs]],"&gt;=3",tbl_task2[[SubPLOs]:[SubPLOs]],"&lt;4")</f>
        <v>0</v>
      </c>
      <c r="CH36" s="138">
        <f>SUMIFS(tbl_task2[S81],tbl_task2[[SubPLOs]:[SubPLOs]],"&gt;=3",tbl_task2[[SubPLOs]:[SubPLOs]],"&lt;4")</f>
        <v>0</v>
      </c>
      <c r="CI36" s="138">
        <f>SUMIFS(tbl_task2[S82],tbl_task2[[SubPLOs]:[SubPLOs]],"&gt;=3",tbl_task2[[SubPLOs]:[SubPLOs]],"&lt;4")</f>
        <v>0</v>
      </c>
      <c r="CJ36" s="138">
        <f>SUMIFS(tbl_task2[S83],tbl_task2[[SubPLOs]:[SubPLOs]],"&gt;=3",tbl_task2[[SubPLOs]:[SubPLOs]],"&lt;4")</f>
        <v>0</v>
      </c>
      <c r="CK36" s="138">
        <f>SUMIFS(tbl_task2[S84],tbl_task2[[SubPLOs]:[SubPLOs]],"&gt;=3",tbl_task2[[SubPLOs]:[SubPLOs]],"&lt;4")</f>
        <v>0</v>
      </c>
      <c r="CL36" s="138">
        <f>SUMIFS(tbl_task2[S85],tbl_task2[[SubPLOs]:[SubPLOs]],"&gt;=3",tbl_task2[[SubPLOs]:[SubPLOs]],"&lt;4")</f>
        <v>0</v>
      </c>
      <c r="CM36" s="138">
        <f>SUMIFS(tbl_task2[S86],tbl_task2[[SubPLOs]:[SubPLOs]],"&gt;=3",tbl_task2[[SubPLOs]:[SubPLOs]],"&lt;4")</f>
        <v>0</v>
      </c>
      <c r="CN36" s="138">
        <f>SUMIFS(tbl_task2[S87],tbl_task2[[SubPLOs]:[SubPLOs]],"&gt;=3",tbl_task2[[SubPLOs]:[SubPLOs]],"&lt;4")</f>
        <v>0</v>
      </c>
      <c r="CO36" s="138">
        <f>SUMIFS(tbl_task2[S88],tbl_task2[[SubPLOs]:[SubPLOs]],"&gt;=3",tbl_task2[[SubPLOs]:[SubPLOs]],"&lt;4")</f>
        <v>0</v>
      </c>
      <c r="CP36" s="138">
        <f>SUMIFS(tbl_task2[S89],tbl_task2[[SubPLOs]:[SubPLOs]],"&gt;=3",tbl_task2[[SubPLOs]:[SubPLOs]],"&lt;4")</f>
        <v>0</v>
      </c>
      <c r="CQ36" s="138">
        <f>SUMIFS(tbl_task2[S90],tbl_task2[[SubPLOs]:[SubPLOs]],"&gt;=3",tbl_task2[[SubPLOs]:[SubPLOs]],"&lt;4")</f>
        <v>0</v>
      </c>
      <c r="CR36" s="138">
        <f>SUMIFS(tbl_task2[S91],tbl_task2[[SubPLOs]:[SubPLOs]],"&gt;=3",tbl_task2[[SubPLOs]:[SubPLOs]],"&lt;4")</f>
        <v>0</v>
      </c>
      <c r="CS36" s="138">
        <f>SUMIFS(tbl_task2[S92],tbl_task2[[SubPLOs]:[SubPLOs]],"&gt;=3",tbl_task2[[SubPLOs]:[SubPLOs]],"&lt;4")</f>
        <v>0</v>
      </c>
      <c r="CT36" s="138">
        <f>SUMIFS(tbl_task2[S93],tbl_task2[[SubPLOs]:[SubPLOs]],"&gt;=3",tbl_task2[[SubPLOs]:[SubPLOs]],"&lt;4")</f>
        <v>0</v>
      </c>
      <c r="CU36" s="138">
        <f>SUMIFS(tbl_task2[S94],tbl_task2[[SubPLOs]:[SubPLOs]],"&gt;=3",tbl_task2[[SubPLOs]:[SubPLOs]],"&lt;4")</f>
        <v>0</v>
      </c>
      <c r="CV36" s="138">
        <f>SUMIFS(tbl_task2[S95],tbl_task2[[SubPLOs]:[SubPLOs]],"&gt;=3",tbl_task2[[SubPLOs]:[SubPLOs]],"&lt;4")</f>
        <v>0</v>
      </c>
      <c r="CW36" s="138">
        <f>SUMIFS(tbl_task2[S96],tbl_task2[[SubPLOs]:[SubPLOs]],"&gt;=3",tbl_task2[[SubPLOs]:[SubPLOs]],"&lt;4")</f>
        <v>0</v>
      </c>
      <c r="CX36" s="138">
        <f>SUMIFS(tbl_task2[S97],tbl_task2[[SubPLOs]:[SubPLOs]],"&gt;=3",tbl_task2[[SubPLOs]:[SubPLOs]],"&lt;4")</f>
        <v>0</v>
      </c>
      <c r="CY36" s="138">
        <f>SUMIFS(tbl_task2[S98],tbl_task2[[SubPLOs]:[SubPLOs]],"&gt;=3",tbl_task2[[SubPLOs]:[SubPLOs]],"&lt;4")</f>
        <v>0</v>
      </c>
      <c r="CZ36" s="138">
        <f>SUMIFS(tbl_task2[S99],tbl_task2[[SubPLOs]:[SubPLOs]],"&gt;=3",tbl_task2[[SubPLOs]:[SubPLOs]],"&lt;4")</f>
        <v>0</v>
      </c>
      <c r="DA36" s="138">
        <f>SUMIFS(tbl_task2[S100],tbl_task2[[SubPLOs]:[SubPLOs]],"&gt;=3",tbl_task2[[SubPLOs]:[SubPLOs]],"&lt;4")</f>
        <v>0</v>
      </c>
      <c r="DB36" s="138">
        <f>SUMIFS(tbl_task2[S101],tbl_task2[[SubPLOs]:[SubPLOs]],"&gt;=3",tbl_task2[[SubPLOs]:[SubPLOs]],"&lt;4")</f>
        <v>0</v>
      </c>
      <c r="DC36" s="138">
        <f>SUMIFS(tbl_task2[S102],tbl_task2[[SubPLOs]:[SubPLOs]],"&gt;=3",tbl_task2[[SubPLOs]:[SubPLOs]],"&lt;4")</f>
        <v>0</v>
      </c>
      <c r="DD36" s="138">
        <f>SUMIFS(tbl_task2[S103],tbl_task2[[SubPLOs]:[SubPLOs]],"&gt;=3",tbl_task2[[SubPLOs]:[SubPLOs]],"&lt;4")</f>
        <v>0</v>
      </c>
      <c r="DE36" s="138">
        <f>SUMIFS(tbl_task2[S104],tbl_task2[[SubPLOs]:[SubPLOs]],"&gt;=3",tbl_task2[[SubPLOs]:[SubPLOs]],"&lt;4")</f>
        <v>0</v>
      </c>
      <c r="DF36" s="138">
        <f>SUMIFS(tbl_task2[S105],tbl_task2[[SubPLOs]:[SubPLOs]],"&gt;=3",tbl_task2[[SubPLOs]:[SubPLOs]],"&lt;4")</f>
        <v>0</v>
      </c>
      <c r="DG36" s="138">
        <f>SUMIFS(tbl_task2[S106],tbl_task2[[SubPLOs]:[SubPLOs]],"&gt;=3",tbl_task2[[SubPLOs]:[SubPLOs]],"&lt;4")</f>
        <v>0</v>
      </c>
      <c r="DH36" s="138">
        <f>SUMIFS(tbl_task2[S106],tbl_task2[[SubPLOs]:[SubPLOs]],"&gt;=3",tbl_task2[[SubPLOs]:[SubPLOs]],"&lt;4")</f>
        <v>0</v>
      </c>
      <c r="DI36" s="138">
        <f>SUMIFS(tbl_task2[S108],tbl_task2[[SubPLOs]:[SubPLOs]],"&gt;=3",tbl_task2[[SubPLOs]:[SubPLOs]],"&lt;4")</f>
        <v>0</v>
      </c>
      <c r="DJ36" s="138">
        <f>SUMIFS(tbl_task2[S109],tbl_task2[[SubPLOs]:[SubPLOs]],"&gt;=3",tbl_task2[[SubPLOs]:[SubPLOs]],"&lt;4")</f>
        <v>0</v>
      </c>
      <c r="DK36" s="138">
        <f>SUMIFS(tbl_task2[S110],tbl_task2[[SubPLOs]:[SubPLOs]],"&gt;=3",tbl_task2[[SubPLOs]:[SubPLOs]],"&lt;4")</f>
        <v>0</v>
      </c>
      <c r="DL36" s="138">
        <f>SUMIFS(tbl_task2[S111],tbl_task2[[SubPLOs]:[SubPLOs]],"&gt;=3",tbl_task2[[SubPLOs]:[SubPLOs]],"&lt;4")</f>
        <v>0</v>
      </c>
      <c r="DM36" s="138">
        <f>SUMIFS(tbl_task2[S112],tbl_task2[[SubPLOs]:[SubPLOs]],"&gt;=3",tbl_task2[[SubPLOs]:[SubPLOs]],"&lt;4")</f>
        <v>0</v>
      </c>
      <c r="DN36" s="138">
        <f>SUMIFS(tbl_task2[S113],tbl_task2[[SubPLOs]:[SubPLOs]],"&gt;=3",tbl_task2[[SubPLOs]:[SubPLOs]],"&lt;4")</f>
        <v>0</v>
      </c>
      <c r="DO36" s="138">
        <f>SUMIFS(tbl_task2[S114],tbl_task2[[SubPLOs]:[SubPLOs]],"&gt;=3",tbl_task2[[SubPLOs]:[SubPLOs]],"&lt;4")</f>
        <v>0</v>
      </c>
      <c r="DP36" s="138">
        <f>SUMIFS(tbl_task2[S115],tbl_task2[[SubPLOs]:[SubPLOs]],"&gt;=3",tbl_task2[[SubPLOs]:[SubPLOs]],"&lt;4")</f>
        <v>0</v>
      </c>
      <c r="DQ36" s="138">
        <f>SUMIFS(tbl_task2[S116],tbl_task2[[SubPLOs]:[SubPLOs]],"&gt;=3",tbl_task2[[SubPLOs]:[SubPLOs]],"&lt;4")</f>
        <v>0</v>
      </c>
      <c r="DR36" s="138">
        <f>SUMIFS(tbl_task2[S117],tbl_task2[[SubPLOs]:[SubPLOs]],"&gt;=3",tbl_task2[[SubPLOs]:[SubPLOs]],"&lt;4")</f>
        <v>0</v>
      </c>
      <c r="DS36" s="138">
        <f>SUMIFS(tbl_task2[S118],tbl_task2[[SubPLOs]:[SubPLOs]],"&gt;=3",tbl_task2[[SubPLOs]:[SubPLOs]],"&lt;4")</f>
        <v>0</v>
      </c>
      <c r="DT36" s="138">
        <f>SUMIFS(tbl_task2[S119],tbl_task2[[SubPLOs]:[SubPLOs]],"&gt;=3",tbl_task2[[SubPLOs]:[SubPLOs]],"&lt;4")</f>
        <v>0</v>
      </c>
      <c r="DU36" s="138">
        <f>SUMIFS(tbl_task2[S120],tbl_task2[[SubPLOs]:[SubPLOs]],"&gt;=3",tbl_task2[[SubPLOs]:[SubPLOs]],"&lt;4")</f>
        <v>0</v>
      </c>
      <c r="DV36" s="138">
        <f>SUMIFS(tbl_task2[S121],tbl_task2[[SubPLOs]:[SubPLOs]],"&gt;=3",tbl_task2[[SubPLOs]:[SubPLOs]],"&lt;4")</f>
        <v>0</v>
      </c>
      <c r="DW36" s="138">
        <f>SUMIFS(tbl_task2[S122],tbl_task2[[SubPLOs]:[SubPLOs]],"&gt;=3",tbl_task2[[SubPLOs]:[SubPLOs]],"&lt;4")</f>
        <v>0</v>
      </c>
      <c r="DX36" s="138">
        <f>SUMIFS(tbl_task2[S123],tbl_task2[[SubPLOs]:[SubPLOs]],"&gt;=3",tbl_task2[[SubPLOs]:[SubPLOs]],"&lt;4")</f>
        <v>0</v>
      </c>
      <c r="DY36" s="138">
        <f>SUMIFS(tbl_task2[S124],tbl_task2[[SubPLOs]:[SubPLOs]],"&gt;=3",tbl_task2[[SubPLOs]:[SubPLOs]],"&lt;4")</f>
        <v>0</v>
      </c>
      <c r="DZ36" s="138">
        <f>SUMIFS(tbl_task2[S125],tbl_task2[[SubPLOs]:[SubPLOs]],"&gt;=3",tbl_task2[[SubPLOs]:[SubPLOs]],"&lt;4")</f>
        <v>0</v>
      </c>
      <c r="EA36" s="138">
        <f>SUMIFS(tbl_task2[S126],tbl_task2[[SubPLOs]:[SubPLOs]],"&gt;=3",tbl_task2[[SubPLOs]:[SubPLOs]],"&lt;4")</f>
        <v>0</v>
      </c>
      <c r="EB36" s="138">
        <f>SUMIFS(tbl_task2[S127],tbl_task2[[SubPLOs]:[SubPLOs]],"&gt;=3",tbl_task2[[SubPLOs]:[SubPLOs]],"&lt;4")</f>
        <v>0</v>
      </c>
      <c r="EC36" s="138">
        <f>SUMIFS(tbl_task2[S128],tbl_task2[[SubPLOs]:[SubPLOs]],"&gt;=3",tbl_task2[[SubPLOs]:[SubPLOs]],"&lt;4")</f>
        <v>0</v>
      </c>
      <c r="ED36" s="138">
        <f>SUMIFS(tbl_task2[S129],tbl_task2[[SubPLOs]:[SubPLOs]],"&gt;=3",tbl_task2[[SubPLOs]:[SubPLOs]],"&lt;4")</f>
        <v>0</v>
      </c>
      <c r="EE36" s="138">
        <f>SUMIFS(tbl_task2[S130],tbl_task2[[SubPLOs]:[SubPLOs]],"&gt;=3",tbl_task2[[SubPLOs]:[SubPLOs]],"&lt;4")</f>
        <v>0</v>
      </c>
      <c r="EF36" s="138">
        <f>SUMIFS(tbl_task2[S131],tbl_task2[[SubPLOs]:[SubPLOs]],"&gt;=3",tbl_task2[[SubPLOs]:[SubPLOs]],"&lt;4")</f>
        <v>0</v>
      </c>
      <c r="EG36" s="138">
        <f>SUMIFS(tbl_task2[S132],tbl_task2[[SubPLOs]:[SubPLOs]],"&gt;=3",tbl_task2[[SubPLOs]:[SubPLOs]],"&lt;4")</f>
        <v>0</v>
      </c>
      <c r="EH36" s="138">
        <f>SUMIFS(tbl_task2[S133],tbl_task2[[SubPLOs]:[SubPLOs]],"&gt;=3",tbl_task2[[SubPLOs]:[SubPLOs]],"&lt;4")</f>
        <v>0</v>
      </c>
      <c r="EI36" s="138">
        <f>SUMIFS(tbl_task2[S134],tbl_task2[[SubPLOs]:[SubPLOs]],"&gt;=3",tbl_task2[[SubPLOs]:[SubPLOs]],"&lt;4")</f>
        <v>0</v>
      </c>
      <c r="EJ36" s="138">
        <f>SUMIFS(tbl_task2[S135],tbl_task2[[SubPLOs]:[SubPLOs]],"&gt;=3",tbl_task2[[SubPLOs]:[SubPLOs]],"&lt;4")</f>
        <v>0</v>
      </c>
      <c r="EK36" s="138">
        <f>SUMIFS(tbl_task2[S136],tbl_task2[[SubPLOs]:[SubPLOs]],"&gt;=3",tbl_task2[[SubPLOs]:[SubPLOs]],"&lt;4")</f>
        <v>0</v>
      </c>
      <c r="EL36" s="138">
        <f>SUMIFS(tbl_task2[S137],tbl_task2[[SubPLOs]:[SubPLOs]],"&gt;=3",tbl_task2[[SubPLOs]:[SubPLOs]],"&lt;4")</f>
        <v>0</v>
      </c>
      <c r="EM36" s="138">
        <f>SUMIFS(tbl_task2[S138],tbl_task2[[SubPLOs]:[SubPLOs]],"&gt;=3",tbl_task2[[SubPLOs]:[SubPLOs]],"&lt;4")</f>
        <v>0</v>
      </c>
      <c r="EN36" s="138">
        <f>SUMIFS(tbl_task2[S139],tbl_task2[[SubPLOs]:[SubPLOs]],"&gt;=3",tbl_task2[[SubPLOs]:[SubPLOs]],"&lt;4")</f>
        <v>0</v>
      </c>
      <c r="EO36" s="138">
        <f>SUMIFS(tbl_task2[S140],tbl_task2[[SubPLOs]:[SubPLOs]],"&gt;=3",tbl_task2[[SubPLOs]:[SubPLOs]],"&lt;4")</f>
        <v>0</v>
      </c>
      <c r="EP36" s="138">
        <f>SUMIFS(tbl_task2[S141],tbl_task2[[SubPLOs]:[SubPLOs]],"&gt;=3",tbl_task2[[SubPLOs]:[SubPLOs]],"&lt;4")</f>
        <v>0</v>
      </c>
      <c r="EQ36" s="138">
        <f>SUMIFS(tbl_task2[S142],tbl_task2[[SubPLOs]:[SubPLOs]],"&gt;=3",tbl_task2[[SubPLOs]:[SubPLOs]],"&lt;4")</f>
        <v>0</v>
      </c>
      <c r="ER36" s="138">
        <f>SUMIFS(tbl_task2[S143],tbl_task2[[SubPLOs]:[SubPLOs]],"&gt;=3",tbl_task2[[SubPLOs]:[SubPLOs]],"&lt;4")</f>
        <v>0</v>
      </c>
      <c r="ES36" s="138">
        <f>SUMIFS(tbl_task2[S144],tbl_task2[[SubPLOs]:[SubPLOs]],"&gt;=3",tbl_task2[[SubPLOs]:[SubPLOs]],"&lt;4")</f>
        <v>0</v>
      </c>
      <c r="ET36" s="138">
        <f>SUMIFS(tbl_task2[S145],tbl_task2[[SubPLOs]:[SubPLOs]],"&gt;=3",tbl_task2[[SubPLOs]:[SubPLOs]],"&lt;4")</f>
        <v>0</v>
      </c>
      <c r="EU36" s="138">
        <f>SUMIFS(tbl_task2[S146],tbl_task2[[SubPLOs]:[SubPLOs]],"&gt;=3",tbl_task2[[SubPLOs]:[SubPLOs]],"&lt;4")</f>
        <v>0</v>
      </c>
      <c r="EV36" s="138">
        <f>SUMIFS(tbl_task2[S147],tbl_task2[[SubPLOs]:[SubPLOs]],"&gt;=3",tbl_task2[[SubPLOs]:[SubPLOs]],"&lt;4")</f>
        <v>0</v>
      </c>
      <c r="EW36" s="138">
        <f>SUMIFS(tbl_task2[S148],tbl_task2[[SubPLOs]:[SubPLOs]],"&gt;=3",tbl_task2[[SubPLOs]:[SubPLOs]],"&lt;4")</f>
        <v>0</v>
      </c>
      <c r="EX36" s="138">
        <f>SUMIFS(tbl_task2[S149],tbl_task2[[SubPLOs]:[SubPLOs]],"&gt;=3",tbl_task2[[SubPLOs]:[SubPLOs]],"&lt;4")</f>
        <v>0</v>
      </c>
      <c r="EY36" s="138">
        <f>SUMIFS(tbl_task2[S150],tbl_task2[[SubPLOs]:[SubPLOs]],"&gt;=3",tbl_task2[[SubPLOs]:[SubPLOs]],"&lt;4")</f>
        <v>0</v>
      </c>
      <c r="EZ36" s="138">
        <f>SUMIFS(tbl_task2[S151],tbl_task2[[SubPLOs]:[SubPLOs]],"&gt;=3",tbl_task2[[SubPLOs]:[SubPLOs]],"&lt;4")</f>
        <v>0</v>
      </c>
      <c r="FA36" s="138">
        <f>SUMIFS(tbl_task2[S152],tbl_task2[[SubPLOs]:[SubPLOs]],"&gt;=3",tbl_task2[[SubPLOs]:[SubPLOs]],"&lt;4")</f>
        <v>0</v>
      </c>
      <c r="FB36" s="138">
        <f>SUMIFS(tbl_task2[S153],tbl_task2[[SubPLOs]:[SubPLOs]],"&gt;=3",tbl_task2[[SubPLOs]:[SubPLOs]],"&lt;4")</f>
        <v>0</v>
      </c>
      <c r="FC36" s="138">
        <f>SUMIFS(tbl_task2[S154],tbl_task2[[SubPLOs]:[SubPLOs]],"&gt;=3",tbl_task2[[SubPLOs]:[SubPLOs]],"&lt;4")</f>
        <v>0</v>
      </c>
      <c r="FD36" s="138">
        <f>SUMIFS(tbl_task2[S155],tbl_task2[[SubPLOs]:[SubPLOs]],"&gt;=3",tbl_task2[[SubPLOs]:[SubPLOs]],"&lt;4")</f>
        <v>0</v>
      </c>
      <c r="FE36" s="138">
        <f>SUMIFS(tbl_task2[S156],tbl_task2[[SubPLOs]:[SubPLOs]],"&gt;=3",tbl_task2[[SubPLOs]:[SubPLOs]],"&lt;4")</f>
        <v>0</v>
      </c>
      <c r="FF36" s="138">
        <f>SUMIFS(tbl_task2[S157],tbl_task2[[SubPLOs]:[SubPLOs]],"&gt;=3",tbl_task2[[SubPLOs]:[SubPLOs]],"&lt;4")</f>
        <v>0</v>
      </c>
      <c r="FG36" s="138">
        <f>SUMIFS(tbl_task2[S158],tbl_task2[[SubPLOs]:[SubPLOs]],"&gt;=3",tbl_task2[[SubPLOs]:[SubPLOs]],"&lt;4")</f>
        <v>0</v>
      </c>
      <c r="FH36" s="138">
        <f>SUMIFS(tbl_task2[S159],tbl_task2[[SubPLOs]:[SubPLOs]],"&gt;=3",tbl_task2[[SubPLOs]:[SubPLOs]],"&lt;4")</f>
        <v>0</v>
      </c>
      <c r="FI36" s="138">
        <f>SUMIFS(tbl_task2[S160],tbl_task2[[SubPLOs]:[SubPLOs]],"&gt;=3",tbl_task2[[SubPLOs]:[SubPLOs]],"&lt;4")</f>
        <v>0</v>
      </c>
      <c r="FJ36" s="138">
        <f>SUMIFS(tbl_task2[S161],tbl_task2[[SubPLOs]:[SubPLOs]],"&gt;=3",tbl_task2[[SubPLOs]:[SubPLOs]],"&lt;4")</f>
        <v>0</v>
      </c>
      <c r="FK36" s="138">
        <f>SUMIFS(tbl_task2[S162],tbl_task2[[SubPLOs]:[SubPLOs]],"&gt;=3",tbl_task2[[SubPLOs]:[SubPLOs]],"&lt;4")</f>
        <v>0</v>
      </c>
      <c r="FL36" s="138">
        <f>SUMIFS(tbl_task2[S163],tbl_task2[[SubPLOs]:[SubPLOs]],"&gt;=3",tbl_task2[[SubPLOs]:[SubPLOs]],"&lt;4")</f>
        <v>0</v>
      </c>
      <c r="FM36" s="138">
        <f>SUMIFS(tbl_task2[S164],tbl_task2[[SubPLOs]:[SubPLOs]],"&gt;=3",tbl_task2[[SubPLOs]:[SubPLOs]],"&lt;4")</f>
        <v>0</v>
      </c>
      <c r="FN36" s="138">
        <f>SUMIFS(tbl_task2[S165],tbl_task2[[SubPLOs]:[SubPLOs]],"&gt;=3",tbl_task2[[SubPLOs]:[SubPLOs]],"&lt;4")</f>
        <v>0</v>
      </c>
    </row>
    <row r="37" spans="1:170" ht="63" x14ac:dyDescent="0.25">
      <c r="A37" s="135">
        <v>4</v>
      </c>
      <c r="B37" s="5" t="s">
        <v>437</v>
      </c>
      <c r="C37" s="136">
        <f>COUNTIFS(tbl_task2[SubPLOs],"&gt;=4",tbl_task2[SubPLOs],"&lt;5")</f>
        <v>0</v>
      </c>
      <c r="D37" s="136">
        <f>SUMIFS(tbl_task2[คะแนนเต็ม],tbl_task2[SubPLOs],"&gt;=4",tbl_task2[SubPLOs],"&lt;5")</f>
        <v>0</v>
      </c>
      <c r="E37" s="137">
        <f>SUMIFS(tbl_task2[%],tbl_task2[SubPLOs],"&gt;=4",tbl_task2[SubPLOs],"&lt;5")</f>
        <v>0</v>
      </c>
      <c r="F37" s="138">
        <f>SUMIFS(tbl_task2[S1],tbl_task2[[SubPLOs]:[SubPLOs]],"&gt;=4",tbl_task2[[SubPLOs]:[SubPLOs]],"&lt;5")</f>
        <v>0</v>
      </c>
      <c r="G37" s="138">
        <f>SUMIFS(tbl_task2[S2],tbl_task2[[SubPLOs]:[SubPLOs]],"&gt;=4",tbl_task2[[SubPLOs]:[SubPLOs]],"&lt;5")</f>
        <v>0</v>
      </c>
      <c r="H37" s="138">
        <f>SUMIFS(tbl_task2[S3],tbl_task2[[SubPLOs]:[SubPLOs]],"&gt;=4",tbl_task2[[SubPLOs]:[SubPLOs]],"&lt;5")</f>
        <v>0</v>
      </c>
      <c r="I37" s="138">
        <f>SUMIFS(tbl_task2[S4],tbl_task2[[SubPLOs]:[SubPLOs]],"&gt;=4",tbl_task2[[SubPLOs]:[SubPLOs]],"&lt;5")</f>
        <v>0</v>
      </c>
      <c r="J37" s="138">
        <f>SUMIFS(tbl_task2[S5],tbl_task2[[SubPLOs]:[SubPLOs]],"&gt;=4",tbl_task2[[SubPLOs]:[SubPLOs]],"&lt;5")</f>
        <v>0</v>
      </c>
      <c r="K37" s="138">
        <f>SUMIFS(tbl_task2[S6],tbl_task2[[SubPLOs]:[SubPLOs]],"&gt;=4",tbl_task2[[SubPLOs]:[SubPLOs]],"&lt;5")</f>
        <v>0</v>
      </c>
      <c r="L37" s="138">
        <f>SUMIFS(tbl_task2[S7],tbl_task2[[SubPLOs]:[SubPLOs]],"&gt;=4",tbl_task2[[SubPLOs]:[SubPLOs]],"&lt;5")</f>
        <v>0</v>
      </c>
      <c r="M37" s="138">
        <f>SUMIFS(tbl_task2[S8],tbl_task2[[SubPLOs]:[SubPLOs]],"&gt;=4",tbl_task2[[SubPLOs]:[SubPLOs]],"&lt;5")</f>
        <v>0</v>
      </c>
      <c r="N37" s="138">
        <f>SUMIFS(tbl_task2[S9],tbl_task2[[SubPLOs]:[SubPLOs]],"&gt;=4",tbl_task2[[SubPLOs]:[SubPLOs]],"&lt;5")</f>
        <v>0</v>
      </c>
      <c r="O37" s="138">
        <f>SUMIFS(tbl_task2[S10],tbl_task2[[SubPLOs]:[SubPLOs]],"&gt;=4",tbl_task2[[SubPLOs]:[SubPLOs]],"&lt;5")</f>
        <v>0</v>
      </c>
      <c r="P37" s="138">
        <f>SUMIFS(tbl_task2[S11],tbl_task2[[SubPLOs]:[SubPLOs]],"&gt;=4",tbl_task2[[SubPLOs]:[SubPLOs]],"&lt;5")</f>
        <v>0</v>
      </c>
      <c r="Q37" s="138">
        <f>SUMIFS(tbl_task2[S12],tbl_task2[[SubPLOs]:[SubPLOs]],"&gt;=4",tbl_task2[[SubPLOs]:[SubPLOs]],"&lt;5")</f>
        <v>0</v>
      </c>
      <c r="R37" s="138">
        <f>SUMIFS(tbl_task2[S13],tbl_task2[[SubPLOs]:[SubPLOs]],"&gt;=4",tbl_task2[[SubPLOs]:[SubPLOs]],"&lt;5")</f>
        <v>0</v>
      </c>
      <c r="S37" s="138">
        <f>SUMIFS(tbl_task2[S14],tbl_task2[[SubPLOs]:[SubPLOs]],"&gt;=4",tbl_task2[[SubPLOs]:[SubPLOs]],"&lt;5")</f>
        <v>0</v>
      </c>
      <c r="T37" s="138">
        <f>SUMIFS(tbl_task2[S15],tbl_task2[[SubPLOs]:[SubPLOs]],"&gt;=4",tbl_task2[[SubPLOs]:[SubPLOs]],"&lt;5")</f>
        <v>0</v>
      </c>
      <c r="U37" s="138">
        <f>SUMIFS(tbl_task2[S16],tbl_task2[[SubPLOs]:[SubPLOs]],"&gt;=4",tbl_task2[[SubPLOs]:[SubPLOs]],"&lt;5")</f>
        <v>0</v>
      </c>
      <c r="V37" s="138">
        <f>SUMIFS(tbl_task2[S17],tbl_task2[[SubPLOs]:[SubPLOs]],"&gt;=4",tbl_task2[[SubPLOs]:[SubPLOs]],"&lt;5")</f>
        <v>0</v>
      </c>
      <c r="W37" s="138">
        <f>SUMIFS(tbl_task2[S18],tbl_task2[[SubPLOs]:[SubPLOs]],"&gt;=4",tbl_task2[[SubPLOs]:[SubPLOs]],"&lt;5")</f>
        <v>0</v>
      </c>
      <c r="X37" s="138">
        <f>SUMIFS(tbl_task2[S19],tbl_task2[[SubPLOs]:[SubPLOs]],"&gt;=4",tbl_task2[[SubPLOs]:[SubPLOs]],"&lt;5")</f>
        <v>0</v>
      </c>
      <c r="Y37" s="138">
        <f>SUMIFS(tbl_task2[S20],tbl_task2[[SubPLOs]:[SubPLOs]],"&gt;=4",tbl_task2[[SubPLOs]:[SubPLOs]],"&lt;5")</f>
        <v>0</v>
      </c>
      <c r="Z37" s="138">
        <f>SUMIFS(tbl_task2[S21],tbl_task2[[SubPLOs]:[SubPLOs]],"&gt;=4",tbl_task2[[SubPLOs]:[SubPLOs]],"&lt;5")</f>
        <v>0</v>
      </c>
      <c r="AA37" s="138">
        <f>SUMIFS(tbl_task2[S22],tbl_task2[[SubPLOs]:[SubPLOs]],"&gt;=4",tbl_task2[[SubPLOs]:[SubPLOs]],"&lt;5")</f>
        <v>0</v>
      </c>
      <c r="AB37" s="138">
        <f>SUMIFS(tbl_task2[S23],tbl_task2[[SubPLOs]:[SubPLOs]],"&gt;=4",tbl_task2[[SubPLOs]:[SubPLOs]],"&lt;5")</f>
        <v>0</v>
      </c>
      <c r="AC37" s="138">
        <f>SUMIFS(tbl_task2[S24],tbl_task2[[SubPLOs]:[SubPLOs]],"&gt;=4",tbl_task2[[SubPLOs]:[SubPLOs]],"&lt;5")</f>
        <v>0</v>
      </c>
      <c r="AD37" s="138">
        <f>SUMIFS(tbl_task2[S25],tbl_task2[[SubPLOs]:[SubPLOs]],"&gt;=4",tbl_task2[[SubPLOs]:[SubPLOs]],"&lt;5")</f>
        <v>0</v>
      </c>
      <c r="AE37" s="138">
        <f>SUMIFS(tbl_task2[S26],tbl_task2[[SubPLOs]:[SubPLOs]],"&gt;=4",tbl_task2[[SubPLOs]:[SubPLOs]],"&lt;5")</f>
        <v>0</v>
      </c>
      <c r="AF37" s="138">
        <f>SUMIFS(tbl_task2[S27],tbl_task2[[SubPLOs]:[SubPLOs]],"&gt;=4",tbl_task2[[SubPLOs]:[SubPLOs]],"&lt;5")</f>
        <v>0</v>
      </c>
      <c r="AG37" s="138">
        <f>SUMIFS(tbl_task2[S28],tbl_task2[[SubPLOs]:[SubPLOs]],"&gt;=4",tbl_task2[[SubPLOs]:[SubPLOs]],"&lt;5")</f>
        <v>0</v>
      </c>
      <c r="AH37" s="138">
        <f>SUMIFS(tbl_task2[S29],tbl_task2[[SubPLOs]:[SubPLOs]],"&gt;=4",tbl_task2[[SubPLOs]:[SubPLOs]],"&lt;5")</f>
        <v>0</v>
      </c>
      <c r="AI37" s="138">
        <f>SUMIFS(tbl_task2[S30],tbl_task2[[SubPLOs]:[SubPLOs]],"&gt;=4",tbl_task2[[SubPLOs]:[SubPLOs]],"&lt;5")</f>
        <v>0</v>
      </c>
      <c r="AJ37" s="138">
        <f>SUMIFS(tbl_task2[S31],tbl_task2[[SubPLOs]:[SubPLOs]],"&gt;=4",tbl_task2[[SubPLOs]:[SubPLOs]],"&lt;5")</f>
        <v>0</v>
      </c>
      <c r="AK37" s="138">
        <f>SUMIFS(tbl_task2[S32],tbl_task2[[SubPLOs]:[SubPLOs]],"&gt;=4",tbl_task2[[SubPLOs]:[SubPLOs]],"&lt;5")</f>
        <v>0</v>
      </c>
      <c r="AL37" s="138">
        <f>SUMIFS(tbl_task2[S33],tbl_task2[[SubPLOs]:[SubPLOs]],"&gt;=4",tbl_task2[[SubPLOs]:[SubPLOs]],"&lt;5")</f>
        <v>0</v>
      </c>
      <c r="AM37" s="138">
        <f>SUMIFS(tbl_task2[S34],tbl_task2[[SubPLOs]:[SubPLOs]],"&gt;=4",tbl_task2[[SubPLOs]:[SubPLOs]],"&lt;5")</f>
        <v>0</v>
      </c>
      <c r="AN37" s="138">
        <f>SUMIFS(tbl_task2[S35],tbl_task2[[SubPLOs]:[SubPLOs]],"&gt;=4",tbl_task2[[SubPLOs]:[SubPLOs]],"&lt;5")</f>
        <v>0</v>
      </c>
      <c r="AO37" s="138">
        <f>SUMIFS(tbl_task2[S36],tbl_task2[[SubPLOs]:[SubPLOs]],"&gt;=4",tbl_task2[[SubPLOs]:[SubPLOs]],"&lt;5")</f>
        <v>0</v>
      </c>
      <c r="AP37" s="138">
        <f>SUMIFS(tbl_task2[S37],tbl_task2[[SubPLOs]:[SubPLOs]],"&gt;=4",tbl_task2[[SubPLOs]:[SubPLOs]],"&lt;5")</f>
        <v>0</v>
      </c>
      <c r="AQ37" s="138">
        <f>SUMIFS(tbl_task2[S38],tbl_task2[[SubPLOs]:[SubPLOs]],"&gt;=4",tbl_task2[[SubPLOs]:[SubPLOs]],"&lt;5")</f>
        <v>0</v>
      </c>
      <c r="AR37" s="138">
        <f>SUMIFS(tbl_task2[S39],tbl_task2[[SubPLOs]:[SubPLOs]],"&gt;=4",tbl_task2[[SubPLOs]:[SubPLOs]],"&lt;5")</f>
        <v>0</v>
      </c>
      <c r="AS37" s="138">
        <f>SUMIFS(tbl_task2[S40],tbl_task2[[SubPLOs]:[SubPLOs]],"&gt;=4",tbl_task2[[SubPLOs]:[SubPLOs]],"&lt;5")</f>
        <v>0</v>
      </c>
      <c r="AT37" s="138">
        <f>SUMIFS(tbl_task2[S41],tbl_task2[[SubPLOs]:[SubPLOs]],"&gt;=4",tbl_task2[[SubPLOs]:[SubPLOs]],"&lt;5")</f>
        <v>0</v>
      </c>
      <c r="AU37" s="138">
        <f>SUMIFS(tbl_task2[S42],tbl_task2[[SubPLOs]:[SubPLOs]],"&gt;=4",tbl_task2[[SubPLOs]:[SubPLOs]],"&lt;5")</f>
        <v>0</v>
      </c>
      <c r="AV37" s="138">
        <f>SUMIFS(tbl_task2[S43],tbl_task2[[SubPLOs]:[SubPLOs]],"&gt;=4",tbl_task2[[SubPLOs]:[SubPLOs]],"&lt;5")</f>
        <v>0</v>
      </c>
      <c r="AW37" s="138">
        <f>SUMIFS(tbl_task2[S44],tbl_task2[[SubPLOs]:[SubPLOs]],"&gt;=4",tbl_task2[[SubPLOs]:[SubPLOs]],"&lt;5")</f>
        <v>0</v>
      </c>
      <c r="AX37" s="138">
        <f>SUMIFS(tbl_task2[S45],tbl_task2[[SubPLOs]:[SubPLOs]],"&gt;=4",tbl_task2[[SubPLOs]:[SubPLOs]],"&lt;5")</f>
        <v>0</v>
      </c>
      <c r="AY37" s="138">
        <f>SUMIFS(tbl_task2[S46],tbl_task2[[SubPLOs]:[SubPLOs]],"&gt;=4",tbl_task2[[SubPLOs]:[SubPLOs]],"&lt;5")</f>
        <v>0</v>
      </c>
      <c r="AZ37" s="138">
        <f>SUMIFS(tbl_task2[S47],tbl_task2[[SubPLOs]:[SubPLOs]],"&gt;=4",tbl_task2[[SubPLOs]:[SubPLOs]],"&lt;5")</f>
        <v>0</v>
      </c>
      <c r="BA37" s="138">
        <f>SUMIFS(tbl_task2[S48],tbl_task2[[SubPLOs]:[SubPLOs]],"&gt;=4",tbl_task2[[SubPLOs]:[SubPLOs]],"&lt;5")</f>
        <v>0</v>
      </c>
      <c r="BB37" s="138">
        <f>SUMIFS(tbl_task2[S49],tbl_task2[[SubPLOs]:[SubPLOs]],"&gt;=4",tbl_task2[[SubPLOs]:[SubPLOs]],"&lt;5")</f>
        <v>0</v>
      </c>
      <c r="BC37" s="138">
        <f>SUMIFS(tbl_task2[S50],tbl_task2[[SubPLOs]:[SubPLOs]],"&gt;=4",tbl_task2[[SubPLOs]:[SubPLOs]],"&lt;5")</f>
        <v>0</v>
      </c>
      <c r="BD37" s="138">
        <f>SUMIFS(tbl_task2[S51],tbl_task2[[SubPLOs]:[SubPLOs]],"&gt;=4",tbl_task2[[SubPLOs]:[SubPLOs]],"&lt;5")</f>
        <v>0</v>
      </c>
      <c r="BE37" s="138">
        <f>SUMIFS(tbl_task2[S52],tbl_task2[[SubPLOs]:[SubPLOs]],"&gt;=4",tbl_task2[[SubPLOs]:[SubPLOs]],"&lt;5")</f>
        <v>0</v>
      </c>
      <c r="BF37" s="138">
        <f>SUMIFS(tbl_task2[S53],tbl_task2[[SubPLOs]:[SubPLOs]],"&gt;=4",tbl_task2[[SubPLOs]:[SubPLOs]],"&lt;5")</f>
        <v>0</v>
      </c>
      <c r="BG37" s="138">
        <f>SUMIFS(tbl_task2[S54],tbl_task2[[SubPLOs]:[SubPLOs]],"&gt;=4",tbl_task2[[SubPLOs]:[SubPLOs]],"&lt;5")</f>
        <v>0</v>
      </c>
      <c r="BH37" s="138">
        <f>SUMIFS(tbl_task2[S55],tbl_task2[[SubPLOs]:[SubPLOs]],"&gt;=4",tbl_task2[[SubPLOs]:[SubPLOs]],"&lt;5")</f>
        <v>0</v>
      </c>
      <c r="BI37" s="138">
        <f>SUMIFS(tbl_task2[S56],tbl_task2[[SubPLOs]:[SubPLOs]],"&gt;=4",tbl_task2[[SubPLOs]:[SubPLOs]],"&lt;5")</f>
        <v>0</v>
      </c>
      <c r="BJ37" s="138">
        <f>SUMIFS(tbl_task2[S57],tbl_task2[[SubPLOs]:[SubPLOs]],"&gt;=4",tbl_task2[[SubPLOs]:[SubPLOs]],"&lt;5")</f>
        <v>0</v>
      </c>
      <c r="BK37" s="138">
        <f>SUMIFS(tbl_task2[S58],tbl_task2[[SubPLOs]:[SubPLOs]],"&gt;=4",tbl_task2[[SubPLOs]:[SubPLOs]],"&lt;5")</f>
        <v>0</v>
      </c>
      <c r="BL37" s="138">
        <f>SUMIFS(tbl_task2[S59],tbl_task2[[SubPLOs]:[SubPLOs]],"&gt;=4",tbl_task2[[SubPLOs]:[SubPLOs]],"&lt;5")</f>
        <v>0</v>
      </c>
      <c r="BM37" s="138">
        <f>SUMIFS(tbl_task2[S60],tbl_task2[[SubPLOs]:[SubPLOs]],"&gt;=4",tbl_task2[[SubPLOs]:[SubPLOs]],"&lt;5")</f>
        <v>0</v>
      </c>
      <c r="BN37" s="138">
        <f>SUMIFS(tbl_task2[S61],tbl_task2[[SubPLOs]:[SubPLOs]],"&gt;=4",tbl_task2[[SubPLOs]:[SubPLOs]],"&lt;5")</f>
        <v>0</v>
      </c>
      <c r="BO37" s="138">
        <f>SUMIFS(tbl_task2[S62],tbl_task2[[SubPLOs]:[SubPLOs]],"&gt;=4",tbl_task2[[SubPLOs]:[SubPLOs]],"&lt;5")</f>
        <v>0</v>
      </c>
      <c r="BP37" s="138">
        <f>SUMIFS(tbl_task2[S63],tbl_task2[[SubPLOs]:[SubPLOs]],"&gt;=4",tbl_task2[[SubPLOs]:[SubPLOs]],"&lt;5")</f>
        <v>0</v>
      </c>
      <c r="BQ37" s="138">
        <f>SUMIFS(tbl_task2[S64],tbl_task2[[SubPLOs]:[SubPLOs]],"&gt;=4",tbl_task2[[SubPLOs]:[SubPLOs]],"&lt;5")</f>
        <v>0</v>
      </c>
      <c r="BR37" s="138">
        <f>SUMIFS(tbl_task2[S65],tbl_task2[[SubPLOs]:[SubPLOs]],"&gt;=4",tbl_task2[[SubPLOs]:[SubPLOs]],"&lt;5")</f>
        <v>0</v>
      </c>
      <c r="BS37" s="138">
        <f>SUMIFS(tbl_task2[S66],tbl_task2[[SubPLOs]:[SubPLOs]],"&gt;=4",tbl_task2[[SubPLOs]:[SubPLOs]],"&lt;5")</f>
        <v>0</v>
      </c>
      <c r="BT37" s="138">
        <f>SUMIFS(tbl_task2[S67],tbl_task2[[SubPLOs]:[SubPLOs]],"&gt;=4",tbl_task2[[SubPLOs]:[SubPLOs]],"&lt;5")</f>
        <v>0</v>
      </c>
      <c r="BU37" s="138">
        <f>SUMIFS(tbl_task2[S68],tbl_task2[[SubPLOs]:[SubPLOs]],"&gt;=4",tbl_task2[[SubPLOs]:[SubPLOs]],"&lt;5")</f>
        <v>0</v>
      </c>
      <c r="BV37" s="138">
        <f>SUMIFS(tbl_task2[S69],tbl_task2[[SubPLOs]:[SubPLOs]],"&gt;=4",tbl_task2[[SubPLOs]:[SubPLOs]],"&lt;5")</f>
        <v>0</v>
      </c>
      <c r="BW37" s="138">
        <f>SUMIFS(tbl_task2[S70],tbl_task2[[SubPLOs]:[SubPLOs]],"&gt;=4",tbl_task2[[SubPLOs]:[SubPLOs]],"&lt;5")</f>
        <v>0</v>
      </c>
      <c r="BX37" s="138">
        <f>SUMIFS(tbl_task2[S71],tbl_task2[[SubPLOs]:[SubPLOs]],"&gt;=4",tbl_task2[[SubPLOs]:[SubPLOs]],"&lt;5")</f>
        <v>0</v>
      </c>
      <c r="BY37" s="138">
        <f>SUMIFS(tbl_task2[S72],tbl_task2[[SubPLOs]:[SubPLOs]],"&gt;=4",tbl_task2[[SubPLOs]:[SubPLOs]],"&lt;5")</f>
        <v>0</v>
      </c>
      <c r="BZ37" s="138">
        <f>SUMIFS(tbl_task2[S73],tbl_task2[[SubPLOs]:[SubPLOs]],"&gt;=4",tbl_task2[[SubPLOs]:[SubPLOs]],"&lt;5")</f>
        <v>0</v>
      </c>
      <c r="CA37" s="138">
        <f>SUMIFS(tbl_task2[S74],tbl_task2[[SubPLOs]:[SubPLOs]],"&gt;=4",tbl_task2[[SubPLOs]:[SubPLOs]],"&lt;5")</f>
        <v>0</v>
      </c>
      <c r="CB37" s="138">
        <f>SUMIFS(tbl_task2[S75],tbl_task2[[SubPLOs]:[SubPLOs]],"&gt;=4",tbl_task2[[SubPLOs]:[SubPLOs]],"&lt;5")</f>
        <v>0</v>
      </c>
      <c r="CC37" s="138">
        <f>SUMIFS(tbl_task2[S76],tbl_task2[[SubPLOs]:[SubPLOs]],"&gt;=4",tbl_task2[[SubPLOs]:[SubPLOs]],"&lt;5")</f>
        <v>0</v>
      </c>
      <c r="CD37" s="138">
        <f>SUMIFS(tbl_task2[S77],tbl_task2[[SubPLOs]:[SubPLOs]],"&gt;=4",tbl_task2[[SubPLOs]:[SubPLOs]],"&lt;5")</f>
        <v>0</v>
      </c>
      <c r="CE37" s="138">
        <f>SUMIFS(tbl_task2[S78],tbl_task2[[SubPLOs]:[SubPLOs]],"&gt;=4",tbl_task2[[SubPLOs]:[SubPLOs]],"&lt;5")</f>
        <v>0</v>
      </c>
      <c r="CF37" s="138">
        <f>SUMIFS(tbl_task2[S79],tbl_task2[[SubPLOs]:[SubPLOs]],"&gt;=4",tbl_task2[[SubPLOs]:[SubPLOs]],"&lt;5")</f>
        <v>0</v>
      </c>
      <c r="CG37" s="138">
        <f>SUMIFS(tbl_task2[S80],tbl_task2[[SubPLOs]:[SubPLOs]],"&gt;=4",tbl_task2[[SubPLOs]:[SubPLOs]],"&lt;5")</f>
        <v>0</v>
      </c>
      <c r="CH37" s="138">
        <f>SUMIFS(tbl_task2[S81],tbl_task2[[SubPLOs]:[SubPLOs]],"&gt;=4",tbl_task2[[SubPLOs]:[SubPLOs]],"&lt;5")</f>
        <v>0</v>
      </c>
      <c r="CI37" s="138">
        <f>SUMIFS(tbl_task2[S82],tbl_task2[[SubPLOs]:[SubPLOs]],"&gt;=4",tbl_task2[[SubPLOs]:[SubPLOs]],"&lt;5")</f>
        <v>0</v>
      </c>
      <c r="CJ37" s="138">
        <f>SUMIFS(tbl_task2[S83],tbl_task2[[SubPLOs]:[SubPLOs]],"&gt;=4",tbl_task2[[SubPLOs]:[SubPLOs]],"&lt;5")</f>
        <v>0</v>
      </c>
      <c r="CK37" s="138">
        <f>SUMIFS(tbl_task2[S84],tbl_task2[[SubPLOs]:[SubPLOs]],"&gt;=4",tbl_task2[[SubPLOs]:[SubPLOs]],"&lt;5")</f>
        <v>0</v>
      </c>
      <c r="CL37" s="138">
        <f>SUMIFS(tbl_task2[S85],tbl_task2[[SubPLOs]:[SubPLOs]],"&gt;=4",tbl_task2[[SubPLOs]:[SubPLOs]],"&lt;5")</f>
        <v>0</v>
      </c>
      <c r="CM37" s="138">
        <f>SUMIFS(tbl_task2[S86],tbl_task2[[SubPLOs]:[SubPLOs]],"&gt;=4",tbl_task2[[SubPLOs]:[SubPLOs]],"&lt;5")</f>
        <v>0</v>
      </c>
      <c r="CN37" s="138">
        <f>SUMIFS(tbl_task2[S87],tbl_task2[[SubPLOs]:[SubPLOs]],"&gt;=4",tbl_task2[[SubPLOs]:[SubPLOs]],"&lt;5")</f>
        <v>0</v>
      </c>
      <c r="CO37" s="138">
        <f>SUMIFS(tbl_task2[S88],tbl_task2[[SubPLOs]:[SubPLOs]],"&gt;=4",tbl_task2[[SubPLOs]:[SubPLOs]],"&lt;5")</f>
        <v>0</v>
      </c>
      <c r="CP37" s="138">
        <f>SUMIFS(tbl_task2[S89],tbl_task2[[SubPLOs]:[SubPLOs]],"&gt;=4",tbl_task2[[SubPLOs]:[SubPLOs]],"&lt;5")</f>
        <v>0</v>
      </c>
      <c r="CQ37" s="138">
        <f>SUMIFS(tbl_task2[S90],tbl_task2[[SubPLOs]:[SubPLOs]],"&gt;=4",tbl_task2[[SubPLOs]:[SubPLOs]],"&lt;5")</f>
        <v>0</v>
      </c>
      <c r="CR37" s="138">
        <f>SUMIFS(tbl_task2[S91],tbl_task2[[SubPLOs]:[SubPLOs]],"&gt;=4",tbl_task2[[SubPLOs]:[SubPLOs]],"&lt;5")</f>
        <v>0</v>
      </c>
      <c r="CS37" s="138">
        <f>SUMIFS(tbl_task2[S92],tbl_task2[[SubPLOs]:[SubPLOs]],"&gt;=4",tbl_task2[[SubPLOs]:[SubPLOs]],"&lt;5")</f>
        <v>0</v>
      </c>
      <c r="CT37" s="138">
        <f>SUMIFS(tbl_task2[S93],tbl_task2[[SubPLOs]:[SubPLOs]],"&gt;=4",tbl_task2[[SubPLOs]:[SubPLOs]],"&lt;5")</f>
        <v>0</v>
      </c>
      <c r="CU37" s="138">
        <f>SUMIFS(tbl_task2[S94],tbl_task2[[SubPLOs]:[SubPLOs]],"&gt;=4",tbl_task2[[SubPLOs]:[SubPLOs]],"&lt;5")</f>
        <v>0</v>
      </c>
      <c r="CV37" s="138">
        <f>SUMIFS(tbl_task2[S95],tbl_task2[[SubPLOs]:[SubPLOs]],"&gt;=4",tbl_task2[[SubPLOs]:[SubPLOs]],"&lt;5")</f>
        <v>0</v>
      </c>
      <c r="CW37" s="138">
        <f>SUMIFS(tbl_task2[S96],tbl_task2[[SubPLOs]:[SubPLOs]],"&gt;=4",tbl_task2[[SubPLOs]:[SubPLOs]],"&lt;5")</f>
        <v>0</v>
      </c>
      <c r="CX37" s="138">
        <f>SUMIFS(tbl_task2[S97],tbl_task2[[SubPLOs]:[SubPLOs]],"&gt;=4",tbl_task2[[SubPLOs]:[SubPLOs]],"&lt;5")</f>
        <v>0</v>
      </c>
      <c r="CY37" s="138">
        <f>SUMIFS(tbl_task2[S98],tbl_task2[[SubPLOs]:[SubPLOs]],"&gt;=4",tbl_task2[[SubPLOs]:[SubPLOs]],"&lt;5")</f>
        <v>0</v>
      </c>
      <c r="CZ37" s="138">
        <f>SUMIFS(tbl_task2[S99],tbl_task2[[SubPLOs]:[SubPLOs]],"&gt;=4",tbl_task2[[SubPLOs]:[SubPLOs]],"&lt;5")</f>
        <v>0</v>
      </c>
      <c r="DA37" s="138">
        <f>SUMIFS(tbl_task2[S100],tbl_task2[[SubPLOs]:[SubPLOs]],"&gt;=4",tbl_task2[[SubPLOs]:[SubPLOs]],"&lt;5")</f>
        <v>0</v>
      </c>
      <c r="DB37" s="138">
        <f>SUMIFS(tbl_task2[S101],tbl_task2[[SubPLOs]:[SubPLOs]],"&gt;=4",tbl_task2[[SubPLOs]:[SubPLOs]],"&lt;5")</f>
        <v>0</v>
      </c>
      <c r="DC37" s="138">
        <f>SUMIFS(tbl_task2[S102],tbl_task2[[SubPLOs]:[SubPLOs]],"&gt;=4",tbl_task2[[SubPLOs]:[SubPLOs]],"&lt;5")</f>
        <v>0</v>
      </c>
      <c r="DD37" s="138">
        <f>SUMIFS(tbl_task2[S103],tbl_task2[[SubPLOs]:[SubPLOs]],"&gt;=4",tbl_task2[[SubPLOs]:[SubPLOs]],"&lt;5")</f>
        <v>0</v>
      </c>
      <c r="DE37" s="138">
        <f>SUMIFS(tbl_task2[S104],tbl_task2[[SubPLOs]:[SubPLOs]],"&gt;=4",tbl_task2[[SubPLOs]:[SubPLOs]],"&lt;5")</f>
        <v>0</v>
      </c>
      <c r="DF37" s="138">
        <f>SUMIFS(tbl_task2[S105],tbl_task2[[SubPLOs]:[SubPLOs]],"&gt;=4",tbl_task2[[SubPLOs]:[SubPLOs]],"&lt;5")</f>
        <v>0</v>
      </c>
      <c r="DG37" s="138">
        <f>SUMIFS(tbl_task2[S106],tbl_task2[[SubPLOs]:[SubPLOs]],"&gt;=4",tbl_task2[[SubPLOs]:[SubPLOs]],"&lt;5")</f>
        <v>0</v>
      </c>
      <c r="DH37" s="138">
        <f>SUMIFS(tbl_task2[S106],tbl_task2[[SubPLOs]:[SubPLOs]],"&gt;=4",tbl_task2[[SubPLOs]:[SubPLOs]],"&lt;5")</f>
        <v>0</v>
      </c>
      <c r="DI37" s="138">
        <f>SUMIFS(tbl_task2[S108],tbl_task2[[SubPLOs]:[SubPLOs]],"&gt;=4",tbl_task2[[SubPLOs]:[SubPLOs]],"&lt;5")</f>
        <v>0</v>
      </c>
      <c r="DJ37" s="138">
        <f>SUMIFS(tbl_task2[S109],tbl_task2[[SubPLOs]:[SubPLOs]],"&gt;=4",tbl_task2[[SubPLOs]:[SubPLOs]],"&lt;5")</f>
        <v>0</v>
      </c>
      <c r="DK37" s="138">
        <f>SUMIFS(tbl_task2[S110],tbl_task2[[SubPLOs]:[SubPLOs]],"&gt;=4",tbl_task2[[SubPLOs]:[SubPLOs]],"&lt;5")</f>
        <v>0</v>
      </c>
      <c r="DL37" s="138">
        <f>SUMIFS(tbl_task2[S111],tbl_task2[[SubPLOs]:[SubPLOs]],"&gt;=4",tbl_task2[[SubPLOs]:[SubPLOs]],"&lt;5")</f>
        <v>0</v>
      </c>
      <c r="DM37" s="138">
        <f>SUMIFS(tbl_task2[S112],tbl_task2[[SubPLOs]:[SubPLOs]],"&gt;=4",tbl_task2[[SubPLOs]:[SubPLOs]],"&lt;5")</f>
        <v>0</v>
      </c>
      <c r="DN37" s="138">
        <f>SUMIFS(tbl_task2[S113],tbl_task2[[SubPLOs]:[SubPLOs]],"&gt;=4",tbl_task2[[SubPLOs]:[SubPLOs]],"&lt;5")</f>
        <v>0</v>
      </c>
      <c r="DO37" s="138">
        <f>SUMIFS(tbl_task2[S114],tbl_task2[[SubPLOs]:[SubPLOs]],"&gt;=4",tbl_task2[[SubPLOs]:[SubPLOs]],"&lt;5")</f>
        <v>0</v>
      </c>
      <c r="DP37" s="138">
        <f>SUMIFS(tbl_task2[S115],tbl_task2[[SubPLOs]:[SubPLOs]],"&gt;=4",tbl_task2[[SubPLOs]:[SubPLOs]],"&lt;5")</f>
        <v>0</v>
      </c>
      <c r="DQ37" s="138">
        <f>SUMIFS(tbl_task2[S116],tbl_task2[[SubPLOs]:[SubPLOs]],"&gt;=4",tbl_task2[[SubPLOs]:[SubPLOs]],"&lt;5")</f>
        <v>0</v>
      </c>
      <c r="DR37" s="138">
        <f>SUMIFS(tbl_task2[S117],tbl_task2[[SubPLOs]:[SubPLOs]],"&gt;=4",tbl_task2[[SubPLOs]:[SubPLOs]],"&lt;5")</f>
        <v>0</v>
      </c>
      <c r="DS37" s="138">
        <f>SUMIFS(tbl_task2[S118],tbl_task2[[SubPLOs]:[SubPLOs]],"&gt;=4",tbl_task2[[SubPLOs]:[SubPLOs]],"&lt;5")</f>
        <v>0</v>
      </c>
      <c r="DT37" s="138">
        <f>SUMIFS(tbl_task2[S119],tbl_task2[[SubPLOs]:[SubPLOs]],"&gt;=4",tbl_task2[[SubPLOs]:[SubPLOs]],"&lt;5")</f>
        <v>0</v>
      </c>
      <c r="DU37" s="138">
        <f>SUMIFS(tbl_task2[S120],tbl_task2[[SubPLOs]:[SubPLOs]],"&gt;=4",tbl_task2[[SubPLOs]:[SubPLOs]],"&lt;5")</f>
        <v>0</v>
      </c>
      <c r="DV37" s="138">
        <f>SUMIFS(tbl_task2[S121],tbl_task2[[SubPLOs]:[SubPLOs]],"&gt;=4",tbl_task2[[SubPLOs]:[SubPLOs]],"&lt;5")</f>
        <v>0</v>
      </c>
      <c r="DW37" s="138">
        <f>SUMIFS(tbl_task2[S122],tbl_task2[[SubPLOs]:[SubPLOs]],"&gt;=4",tbl_task2[[SubPLOs]:[SubPLOs]],"&lt;5")</f>
        <v>0</v>
      </c>
      <c r="DX37" s="138">
        <f>SUMIFS(tbl_task2[S123],tbl_task2[[SubPLOs]:[SubPLOs]],"&gt;=4",tbl_task2[[SubPLOs]:[SubPLOs]],"&lt;5")</f>
        <v>0</v>
      </c>
      <c r="DY37" s="138">
        <f>SUMIFS(tbl_task2[S124],tbl_task2[[SubPLOs]:[SubPLOs]],"&gt;=4",tbl_task2[[SubPLOs]:[SubPLOs]],"&lt;5")</f>
        <v>0</v>
      </c>
      <c r="DZ37" s="138">
        <f>SUMIFS(tbl_task2[S125],tbl_task2[[SubPLOs]:[SubPLOs]],"&gt;=4",tbl_task2[[SubPLOs]:[SubPLOs]],"&lt;5")</f>
        <v>0</v>
      </c>
      <c r="EA37" s="138">
        <f>SUMIFS(tbl_task2[S126],tbl_task2[[SubPLOs]:[SubPLOs]],"&gt;=4",tbl_task2[[SubPLOs]:[SubPLOs]],"&lt;5")</f>
        <v>0</v>
      </c>
      <c r="EB37" s="138">
        <f>SUMIFS(tbl_task2[S127],tbl_task2[[SubPLOs]:[SubPLOs]],"&gt;=4",tbl_task2[[SubPLOs]:[SubPLOs]],"&lt;5")</f>
        <v>0</v>
      </c>
      <c r="EC37" s="138">
        <f>SUMIFS(tbl_task2[S128],tbl_task2[[SubPLOs]:[SubPLOs]],"&gt;=4",tbl_task2[[SubPLOs]:[SubPLOs]],"&lt;5")</f>
        <v>0</v>
      </c>
      <c r="ED37" s="138">
        <f>SUMIFS(tbl_task2[S129],tbl_task2[[SubPLOs]:[SubPLOs]],"&gt;=4",tbl_task2[[SubPLOs]:[SubPLOs]],"&lt;5")</f>
        <v>0</v>
      </c>
      <c r="EE37" s="138">
        <f>SUMIFS(tbl_task2[S130],tbl_task2[[SubPLOs]:[SubPLOs]],"&gt;=4",tbl_task2[[SubPLOs]:[SubPLOs]],"&lt;5")</f>
        <v>0</v>
      </c>
      <c r="EF37" s="138">
        <f>SUMIFS(tbl_task2[S131],tbl_task2[[SubPLOs]:[SubPLOs]],"&gt;=4",tbl_task2[[SubPLOs]:[SubPLOs]],"&lt;5")</f>
        <v>0</v>
      </c>
      <c r="EG37" s="138">
        <f>SUMIFS(tbl_task2[S132],tbl_task2[[SubPLOs]:[SubPLOs]],"&gt;=4",tbl_task2[[SubPLOs]:[SubPLOs]],"&lt;5")</f>
        <v>0</v>
      </c>
      <c r="EH37" s="138">
        <f>SUMIFS(tbl_task2[S133],tbl_task2[[SubPLOs]:[SubPLOs]],"&gt;=4",tbl_task2[[SubPLOs]:[SubPLOs]],"&lt;5")</f>
        <v>0</v>
      </c>
      <c r="EI37" s="138">
        <f>SUMIFS(tbl_task2[S134],tbl_task2[[SubPLOs]:[SubPLOs]],"&gt;=4",tbl_task2[[SubPLOs]:[SubPLOs]],"&lt;5")</f>
        <v>0</v>
      </c>
      <c r="EJ37" s="138">
        <f>SUMIFS(tbl_task2[S135],tbl_task2[[SubPLOs]:[SubPLOs]],"&gt;=4",tbl_task2[[SubPLOs]:[SubPLOs]],"&lt;5")</f>
        <v>0</v>
      </c>
      <c r="EK37" s="138">
        <f>SUMIFS(tbl_task2[S136],tbl_task2[[SubPLOs]:[SubPLOs]],"&gt;=4",tbl_task2[[SubPLOs]:[SubPLOs]],"&lt;5")</f>
        <v>0</v>
      </c>
      <c r="EL37" s="138">
        <f>SUMIFS(tbl_task2[S137],tbl_task2[[SubPLOs]:[SubPLOs]],"&gt;=4",tbl_task2[[SubPLOs]:[SubPLOs]],"&lt;5")</f>
        <v>0</v>
      </c>
      <c r="EM37" s="138">
        <f>SUMIFS(tbl_task2[S138],tbl_task2[[SubPLOs]:[SubPLOs]],"&gt;=4",tbl_task2[[SubPLOs]:[SubPLOs]],"&lt;5")</f>
        <v>0</v>
      </c>
      <c r="EN37" s="138">
        <f>SUMIFS(tbl_task2[S139],tbl_task2[[SubPLOs]:[SubPLOs]],"&gt;=4",tbl_task2[[SubPLOs]:[SubPLOs]],"&lt;5")</f>
        <v>0</v>
      </c>
      <c r="EO37" s="138">
        <f>SUMIFS(tbl_task2[S140],tbl_task2[[SubPLOs]:[SubPLOs]],"&gt;=4",tbl_task2[[SubPLOs]:[SubPLOs]],"&lt;5")</f>
        <v>0</v>
      </c>
      <c r="EP37" s="138">
        <f>SUMIFS(tbl_task2[S141],tbl_task2[[SubPLOs]:[SubPLOs]],"&gt;=4",tbl_task2[[SubPLOs]:[SubPLOs]],"&lt;5")</f>
        <v>0</v>
      </c>
      <c r="EQ37" s="138">
        <f>SUMIFS(tbl_task2[S142],tbl_task2[[SubPLOs]:[SubPLOs]],"&gt;=4",tbl_task2[[SubPLOs]:[SubPLOs]],"&lt;5")</f>
        <v>0</v>
      </c>
      <c r="ER37" s="138">
        <f>SUMIFS(tbl_task2[S143],tbl_task2[[SubPLOs]:[SubPLOs]],"&gt;=4",tbl_task2[[SubPLOs]:[SubPLOs]],"&lt;5")</f>
        <v>0</v>
      </c>
      <c r="ES37" s="138">
        <f>SUMIFS(tbl_task2[S144],tbl_task2[[SubPLOs]:[SubPLOs]],"&gt;=4",tbl_task2[[SubPLOs]:[SubPLOs]],"&lt;5")</f>
        <v>0</v>
      </c>
      <c r="ET37" s="138">
        <f>SUMIFS(tbl_task2[S145],tbl_task2[[SubPLOs]:[SubPLOs]],"&gt;=4",tbl_task2[[SubPLOs]:[SubPLOs]],"&lt;5")</f>
        <v>0</v>
      </c>
      <c r="EU37" s="138">
        <f>SUMIFS(tbl_task2[S146],tbl_task2[[SubPLOs]:[SubPLOs]],"&gt;=4",tbl_task2[[SubPLOs]:[SubPLOs]],"&lt;5")</f>
        <v>0</v>
      </c>
      <c r="EV37" s="138">
        <f>SUMIFS(tbl_task2[S147],tbl_task2[[SubPLOs]:[SubPLOs]],"&gt;=4",tbl_task2[[SubPLOs]:[SubPLOs]],"&lt;5")</f>
        <v>0</v>
      </c>
      <c r="EW37" s="138">
        <f>SUMIFS(tbl_task2[S148],tbl_task2[[SubPLOs]:[SubPLOs]],"&gt;=4",tbl_task2[[SubPLOs]:[SubPLOs]],"&lt;5")</f>
        <v>0</v>
      </c>
      <c r="EX37" s="138">
        <f>SUMIFS(tbl_task2[S149],tbl_task2[[SubPLOs]:[SubPLOs]],"&gt;=4",tbl_task2[[SubPLOs]:[SubPLOs]],"&lt;5")</f>
        <v>0</v>
      </c>
      <c r="EY37" s="138">
        <f>SUMIFS(tbl_task2[S150],tbl_task2[[SubPLOs]:[SubPLOs]],"&gt;=4",tbl_task2[[SubPLOs]:[SubPLOs]],"&lt;5")</f>
        <v>0</v>
      </c>
      <c r="EZ37" s="138">
        <f>SUMIFS(tbl_task2[S151],tbl_task2[[SubPLOs]:[SubPLOs]],"&gt;=4",tbl_task2[[SubPLOs]:[SubPLOs]],"&lt;5")</f>
        <v>0</v>
      </c>
      <c r="FA37" s="138">
        <f>SUMIFS(tbl_task2[S152],tbl_task2[[SubPLOs]:[SubPLOs]],"&gt;=4",tbl_task2[[SubPLOs]:[SubPLOs]],"&lt;5")</f>
        <v>0</v>
      </c>
      <c r="FB37" s="138">
        <f>SUMIFS(tbl_task2[S153],tbl_task2[[SubPLOs]:[SubPLOs]],"&gt;=4",tbl_task2[[SubPLOs]:[SubPLOs]],"&lt;5")</f>
        <v>0</v>
      </c>
      <c r="FC37" s="138">
        <f>SUMIFS(tbl_task2[S154],tbl_task2[[SubPLOs]:[SubPLOs]],"&gt;=4",tbl_task2[[SubPLOs]:[SubPLOs]],"&lt;5")</f>
        <v>0</v>
      </c>
      <c r="FD37" s="138">
        <f>SUMIFS(tbl_task2[S155],tbl_task2[[SubPLOs]:[SubPLOs]],"&gt;=4",tbl_task2[[SubPLOs]:[SubPLOs]],"&lt;5")</f>
        <v>0</v>
      </c>
      <c r="FE37" s="138">
        <f>SUMIFS(tbl_task2[S156],tbl_task2[[SubPLOs]:[SubPLOs]],"&gt;=4",tbl_task2[[SubPLOs]:[SubPLOs]],"&lt;5")</f>
        <v>0</v>
      </c>
      <c r="FF37" s="138">
        <f>SUMIFS(tbl_task2[S157],tbl_task2[[SubPLOs]:[SubPLOs]],"&gt;=4",tbl_task2[[SubPLOs]:[SubPLOs]],"&lt;5")</f>
        <v>0</v>
      </c>
      <c r="FG37" s="138">
        <f>SUMIFS(tbl_task2[S158],tbl_task2[[SubPLOs]:[SubPLOs]],"&gt;=4",tbl_task2[[SubPLOs]:[SubPLOs]],"&lt;5")</f>
        <v>0</v>
      </c>
      <c r="FH37" s="138">
        <f>SUMIFS(tbl_task2[S159],tbl_task2[[SubPLOs]:[SubPLOs]],"&gt;=4",tbl_task2[[SubPLOs]:[SubPLOs]],"&lt;5")</f>
        <v>0</v>
      </c>
      <c r="FI37" s="138">
        <f>SUMIFS(tbl_task2[S160],tbl_task2[[SubPLOs]:[SubPLOs]],"&gt;=4",tbl_task2[[SubPLOs]:[SubPLOs]],"&lt;5")</f>
        <v>0</v>
      </c>
      <c r="FJ37" s="138">
        <f>SUMIFS(tbl_task2[S161],tbl_task2[[SubPLOs]:[SubPLOs]],"&gt;=4",tbl_task2[[SubPLOs]:[SubPLOs]],"&lt;5")</f>
        <v>0</v>
      </c>
      <c r="FK37" s="138">
        <f>SUMIFS(tbl_task2[S162],tbl_task2[[SubPLOs]:[SubPLOs]],"&gt;=4",tbl_task2[[SubPLOs]:[SubPLOs]],"&lt;5")</f>
        <v>0</v>
      </c>
      <c r="FL37" s="138">
        <f>SUMIFS(tbl_task2[S163],tbl_task2[[SubPLOs]:[SubPLOs]],"&gt;=4",tbl_task2[[SubPLOs]:[SubPLOs]],"&lt;5")</f>
        <v>0</v>
      </c>
      <c r="FM37" s="138">
        <f>SUMIFS(tbl_task2[S164],tbl_task2[[SubPLOs]:[SubPLOs]],"&gt;=4",tbl_task2[[SubPLOs]:[SubPLOs]],"&lt;5")</f>
        <v>0</v>
      </c>
      <c r="FN37" s="138">
        <f>SUMIFS(tbl_task2[S165],tbl_task2[[SubPLOs]:[SubPLOs]],"&gt;=4",tbl_task2[[SubPLOs]:[SubPLOs]],"&lt;5")</f>
        <v>0</v>
      </c>
    </row>
    <row r="38" spans="1:170" ht="84" x14ac:dyDescent="0.25">
      <c r="A38" s="135">
        <v>5</v>
      </c>
      <c r="B38" s="5" t="s">
        <v>438</v>
      </c>
      <c r="C38" s="136">
        <f>COUNTIFS(tbl_task2[SubPLOs],"&gt;=5",tbl_task2[SubPLOs],"&lt;6")</f>
        <v>0</v>
      </c>
      <c r="D38" s="136">
        <f>SUMIFS(tbl_task2[คะแนนเต็ม],tbl_task2[SubPLOs],"&gt;=5",tbl_task2[SubPLOs],"&lt;6")</f>
        <v>0</v>
      </c>
      <c r="E38" s="137">
        <f>SUMIFS(tbl_task2[%],tbl_task2[SubPLOs],"&gt;=5",tbl_task2[SubPLOs],"&lt;6")</f>
        <v>0</v>
      </c>
      <c r="F38" s="138">
        <f>SUMIFS(tbl_task2[S1],tbl_task2[[SubPLOs]:[SubPLOs]],"&gt;=5",tbl_task2[[SubPLOs]:[SubPLOs]],"&lt;6")</f>
        <v>0</v>
      </c>
      <c r="G38" s="138">
        <f>SUMIFS(tbl_task2[S2],tbl_task2[[SubPLOs]:[SubPLOs]],"&gt;=5",tbl_task2[[SubPLOs]:[SubPLOs]],"&lt;6")</f>
        <v>0</v>
      </c>
      <c r="H38" s="138">
        <f>SUMIFS(tbl_task2[S3],tbl_task2[[SubPLOs]:[SubPLOs]],"&gt;=5",tbl_task2[[SubPLOs]:[SubPLOs]],"&lt;6")</f>
        <v>0</v>
      </c>
      <c r="I38" s="138">
        <f>SUMIFS(tbl_task2[S4],tbl_task2[[SubPLOs]:[SubPLOs]],"&gt;=5",tbl_task2[[SubPLOs]:[SubPLOs]],"&lt;6")</f>
        <v>0</v>
      </c>
      <c r="J38" s="138">
        <f>SUMIFS(tbl_task2[S5],tbl_task2[[SubPLOs]:[SubPLOs]],"&gt;=5",tbl_task2[[SubPLOs]:[SubPLOs]],"&lt;6")</f>
        <v>0</v>
      </c>
      <c r="K38" s="138">
        <f>SUMIFS(tbl_task2[S6],tbl_task2[[SubPLOs]:[SubPLOs]],"&gt;=5",tbl_task2[[SubPLOs]:[SubPLOs]],"&lt;6")</f>
        <v>0</v>
      </c>
      <c r="L38" s="138">
        <f>SUMIFS(tbl_task2[S7],tbl_task2[[SubPLOs]:[SubPLOs]],"&gt;=5",tbl_task2[[SubPLOs]:[SubPLOs]],"&lt;6")</f>
        <v>0</v>
      </c>
      <c r="M38" s="138">
        <f>SUMIFS(tbl_task2[S8],tbl_task2[[SubPLOs]:[SubPLOs]],"&gt;=5",tbl_task2[[SubPLOs]:[SubPLOs]],"&lt;6")</f>
        <v>0</v>
      </c>
      <c r="N38" s="138">
        <f>SUMIFS(tbl_task2[S9],tbl_task2[[SubPLOs]:[SubPLOs]],"&gt;=5",tbl_task2[[SubPLOs]:[SubPLOs]],"&lt;6")</f>
        <v>0</v>
      </c>
      <c r="O38" s="138">
        <f>SUMIFS(tbl_task2[S10],tbl_task2[[SubPLOs]:[SubPLOs]],"&gt;=5",tbl_task2[[SubPLOs]:[SubPLOs]],"&lt;6")</f>
        <v>0</v>
      </c>
      <c r="P38" s="138">
        <f>SUMIFS(tbl_task2[S11],tbl_task2[[SubPLOs]:[SubPLOs]],"&gt;=5",tbl_task2[[SubPLOs]:[SubPLOs]],"&lt;6")</f>
        <v>0</v>
      </c>
      <c r="Q38" s="138">
        <f>SUMIFS(tbl_task2[S12],tbl_task2[[SubPLOs]:[SubPLOs]],"&gt;=5",tbl_task2[[SubPLOs]:[SubPLOs]],"&lt;6")</f>
        <v>0</v>
      </c>
      <c r="R38" s="138">
        <f>SUMIFS(tbl_task2[S13],tbl_task2[[SubPLOs]:[SubPLOs]],"&gt;=5",tbl_task2[[SubPLOs]:[SubPLOs]],"&lt;6")</f>
        <v>0</v>
      </c>
      <c r="S38" s="138">
        <f>SUMIFS(tbl_task2[S14],tbl_task2[[SubPLOs]:[SubPLOs]],"&gt;=5",tbl_task2[[SubPLOs]:[SubPLOs]],"&lt;6")</f>
        <v>0</v>
      </c>
      <c r="T38" s="138">
        <f>SUMIFS(tbl_task2[S15],tbl_task2[[SubPLOs]:[SubPLOs]],"&gt;=5",tbl_task2[[SubPLOs]:[SubPLOs]],"&lt;6")</f>
        <v>0</v>
      </c>
      <c r="U38" s="138">
        <f>SUMIFS(tbl_task2[S16],tbl_task2[[SubPLOs]:[SubPLOs]],"&gt;=5",tbl_task2[[SubPLOs]:[SubPLOs]],"&lt;6")</f>
        <v>0</v>
      </c>
      <c r="V38" s="138">
        <f>SUMIFS(tbl_task2[S17],tbl_task2[[SubPLOs]:[SubPLOs]],"&gt;=5",tbl_task2[[SubPLOs]:[SubPLOs]],"&lt;6")</f>
        <v>0</v>
      </c>
      <c r="W38" s="138">
        <f>SUMIFS(tbl_task2[S18],tbl_task2[[SubPLOs]:[SubPLOs]],"&gt;=5",tbl_task2[[SubPLOs]:[SubPLOs]],"&lt;6")</f>
        <v>0</v>
      </c>
      <c r="X38" s="138">
        <f>SUMIFS(tbl_task2[S19],tbl_task2[[SubPLOs]:[SubPLOs]],"&gt;=5",tbl_task2[[SubPLOs]:[SubPLOs]],"&lt;6")</f>
        <v>0</v>
      </c>
      <c r="Y38" s="138">
        <f>SUMIFS(tbl_task2[S20],tbl_task2[[SubPLOs]:[SubPLOs]],"&gt;=5",tbl_task2[[SubPLOs]:[SubPLOs]],"&lt;6")</f>
        <v>0</v>
      </c>
      <c r="Z38" s="138">
        <f>SUMIFS(tbl_task2[S21],tbl_task2[[SubPLOs]:[SubPLOs]],"&gt;=5",tbl_task2[[SubPLOs]:[SubPLOs]],"&lt;6")</f>
        <v>0</v>
      </c>
      <c r="AA38" s="138">
        <f>SUMIFS(tbl_task2[S22],tbl_task2[[SubPLOs]:[SubPLOs]],"&gt;=5",tbl_task2[[SubPLOs]:[SubPLOs]],"&lt;6")</f>
        <v>0</v>
      </c>
      <c r="AB38" s="138">
        <f>SUMIFS(tbl_task2[S23],tbl_task2[[SubPLOs]:[SubPLOs]],"&gt;=5",tbl_task2[[SubPLOs]:[SubPLOs]],"&lt;6")</f>
        <v>0</v>
      </c>
      <c r="AC38" s="138">
        <f>SUMIFS(tbl_task2[S24],tbl_task2[[SubPLOs]:[SubPLOs]],"&gt;=5",tbl_task2[[SubPLOs]:[SubPLOs]],"&lt;6")</f>
        <v>0</v>
      </c>
      <c r="AD38" s="138">
        <f>SUMIFS(tbl_task2[S25],tbl_task2[[SubPLOs]:[SubPLOs]],"&gt;=5",tbl_task2[[SubPLOs]:[SubPLOs]],"&lt;6")</f>
        <v>0</v>
      </c>
      <c r="AE38" s="138">
        <f>SUMIFS(tbl_task2[S26],tbl_task2[[SubPLOs]:[SubPLOs]],"&gt;=5",tbl_task2[[SubPLOs]:[SubPLOs]],"&lt;6")</f>
        <v>0</v>
      </c>
      <c r="AF38" s="138">
        <f>SUMIFS(tbl_task2[S27],tbl_task2[[SubPLOs]:[SubPLOs]],"&gt;=5",tbl_task2[[SubPLOs]:[SubPLOs]],"&lt;6")</f>
        <v>0</v>
      </c>
      <c r="AG38" s="138">
        <f>SUMIFS(tbl_task2[S28],tbl_task2[[SubPLOs]:[SubPLOs]],"&gt;=5",tbl_task2[[SubPLOs]:[SubPLOs]],"&lt;6")</f>
        <v>0</v>
      </c>
      <c r="AH38" s="138">
        <f>SUMIFS(tbl_task2[S29],tbl_task2[[SubPLOs]:[SubPLOs]],"&gt;=5",tbl_task2[[SubPLOs]:[SubPLOs]],"&lt;6")</f>
        <v>0</v>
      </c>
      <c r="AI38" s="138">
        <f>SUMIFS(tbl_task2[S30],tbl_task2[[SubPLOs]:[SubPLOs]],"&gt;=5",tbl_task2[[SubPLOs]:[SubPLOs]],"&lt;6")</f>
        <v>0</v>
      </c>
      <c r="AJ38" s="138">
        <f>SUMIFS(tbl_task2[S31],tbl_task2[[SubPLOs]:[SubPLOs]],"&gt;=5",tbl_task2[[SubPLOs]:[SubPLOs]],"&lt;6")</f>
        <v>0</v>
      </c>
      <c r="AK38" s="138">
        <f>SUMIFS(tbl_task2[S32],tbl_task2[[SubPLOs]:[SubPLOs]],"&gt;=5",tbl_task2[[SubPLOs]:[SubPLOs]],"&lt;6")</f>
        <v>0</v>
      </c>
      <c r="AL38" s="138">
        <f>SUMIFS(tbl_task2[S33],tbl_task2[[SubPLOs]:[SubPLOs]],"&gt;=5",tbl_task2[[SubPLOs]:[SubPLOs]],"&lt;6")</f>
        <v>0</v>
      </c>
      <c r="AM38" s="138">
        <f>SUMIFS(tbl_task2[S34],tbl_task2[[SubPLOs]:[SubPLOs]],"&gt;=5",tbl_task2[[SubPLOs]:[SubPLOs]],"&lt;6")</f>
        <v>0</v>
      </c>
      <c r="AN38" s="138">
        <f>SUMIFS(tbl_task2[S35],tbl_task2[[SubPLOs]:[SubPLOs]],"&gt;=5",tbl_task2[[SubPLOs]:[SubPLOs]],"&lt;6")</f>
        <v>0</v>
      </c>
      <c r="AO38" s="138">
        <f>SUMIFS(tbl_task2[S36],tbl_task2[[SubPLOs]:[SubPLOs]],"&gt;=5",tbl_task2[[SubPLOs]:[SubPLOs]],"&lt;6")</f>
        <v>0</v>
      </c>
      <c r="AP38" s="138">
        <f>SUMIFS(tbl_task2[S37],tbl_task2[[SubPLOs]:[SubPLOs]],"&gt;=5",tbl_task2[[SubPLOs]:[SubPLOs]],"&lt;6")</f>
        <v>0</v>
      </c>
      <c r="AQ38" s="138">
        <f>SUMIFS(tbl_task2[S38],tbl_task2[[SubPLOs]:[SubPLOs]],"&gt;=5",tbl_task2[[SubPLOs]:[SubPLOs]],"&lt;6")</f>
        <v>0</v>
      </c>
      <c r="AR38" s="138">
        <f>SUMIFS(tbl_task2[S39],tbl_task2[[SubPLOs]:[SubPLOs]],"&gt;=5",tbl_task2[[SubPLOs]:[SubPLOs]],"&lt;6")</f>
        <v>0</v>
      </c>
      <c r="AS38" s="138">
        <f>SUMIFS(tbl_task2[S40],tbl_task2[[SubPLOs]:[SubPLOs]],"&gt;=5",tbl_task2[[SubPLOs]:[SubPLOs]],"&lt;6")</f>
        <v>0</v>
      </c>
      <c r="AT38" s="138">
        <f>SUMIFS(tbl_task2[S41],tbl_task2[[SubPLOs]:[SubPLOs]],"&gt;=5",tbl_task2[[SubPLOs]:[SubPLOs]],"&lt;6")</f>
        <v>0</v>
      </c>
      <c r="AU38" s="138">
        <f>SUMIFS(tbl_task2[S42],tbl_task2[[SubPLOs]:[SubPLOs]],"&gt;=5",tbl_task2[[SubPLOs]:[SubPLOs]],"&lt;6")</f>
        <v>0</v>
      </c>
      <c r="AV38" s="138">
        <f>SUMIFS(tbl_task2[S43],tbl_task2[[SubPLOs]:[SubPLOs]],"&gt;=5",tbl_task2[[SubPLOs]:[SubPLOs]],"&lt;6")</f>
        <v>0</v>
      </c>
      <c r="AW38" s="138">
        <f>SUMIFS(tbl_task2[S44],tbl_task2[[SubPLOs]:[SubPLOs]],"&gt;=5",tbl_task2[[SubPLOs]:[SubPLOs]],"&lt;6")</f>
        <v>0</v>
      </c>
      <c r="AX38" s="138">
        <f>SUMIFS(tbl_task2[S45],tbl_task2[[SubPLOs]:[SubPLOs]],"&gt;=5",tbl_task2[[SubPLOs]:[SubPLOs]],"&lt;6")</f>
        <v>0</v>
      </c>
      <c r="AY38" s="138">
        <f>SUMIFS(tbl_task2[S46],tbl_task2[[SubPLOs]:[SubPLOs]],"&gt;=5",tbl_task2[[SubPLOs]:[SubPLOs]],"&lt;6")</f>
        <v>0</v>
      </c>
      <c r="AZ38" s="138">
        <f>SUMIFS(tbl_task2[S47],tbl_task2[[SubPLOs]:[SubPLOs]],"&gt;=5",tbl_task2[[SubPLOs]:[SubPLOs]],"&lt;6")</f>
        <v>0</v>
      </c>
      <c r="BA38" s="138">
        <f>SUMIFS(tbl_task2[S48],tbl_task2[[SubPLOs]:[SubPLOs]],"&gt;=5",tbl_task2[[SubPLOs]:[SubPLOs]],"&lt;6")</f>
        <v>0</v>
      </c>
      <c r="BB38" s="138">
        <f>SUMIFS(tbl_task2[S49],tbl_task2[[SubPLOs]:[SubPLOs]],"&gt;=5",tbl_task2[[SubPLOs]:[SubPLOs]],"&lt;6")</f>
        <v>0</v>
      </c>
      <c r="BC38" s="138">
        <f>SUMIFS(tbl_task2[S50],tbl_task2[[SubPLOs]:[SubPLOs]],"&gt;=5",tbl_task2[[SubPLOs]:[SubPLOs]],"&lt;6")</f>
        <v>0</v>
      </c>
      <c r="BD38" s="138">
        <f>SUMIFS(tbl_task2[S51],tbl_task2[[SubPLOs]:[SubPLOs]],"&gt;=5",tbl_task2[[SubPLOs]:[SubPLOs]],"&lt;6")</f>
        <v>0</v>
      </c>
      <c r="BE38" s="138">
        <f>SUMIFS(tbl_task2[S52],tbl_task2[[SubPLOs]:[SubPLOs]],"&gt;=5",tbl_task2[[SubPLOs]:[SubPLOs]],"&lt;6")</f>
        <v>0</v>
      </c>
      <c r="BF38" s="138">
        <f>SUMIFS(tbl_task2[S53],tbl_task2[[SubPLOs]:[SubPLOs]],"&gt;=5",tbl_task2[[SubPLOs]:[SubPLOs]],"&lt;6")</f>
        <v>0</v>
      </c>
      <c r="BG38" s="138">
        <f>SUMIFS(tbl_task2[S54],tbl_task2[[SubPLOs]:[SubPLOs]],"&gt;=5",tbl_task2[[SubPLOs]:[SubPLOs]],"&lt;6")</f>
        <v>0</v>
      </c>
      <c r="BH38" s="138">
        <f>SUMIFS(tbl_task2[S55],tbl_task2[[SubPLOs]:[SubPLOs]],"&gt;=5",tbl_task2[[SubPLOs]:[SubPLOs]],"&lt;6")</f>
        <v>0</v>
      </c>
      <c r="BI38" s="138">
        <f>SUMIFS(tbl_task2[S56],tbl_task2[[SubPLOs]:[SubPLOs]],"&gt;=5",tbl_task2[[SubPLOs]:[SubPLOs]],"&lt;6")</f>
        <v>0</v>
      </c>
      <c r="BJ38" s="138">
        <f>SUMIFS(tbl_task2[S57],tbl_task2[[SubPLOs]:[SubPLOs]],"&gt;=5",tbl_task2[[SubPLOs]:[SubPLOs]],"&lt;6")</f>
        <v>0</v>
      </c>
      <c r="BK38" s="138">
        <f>SUMIFS(tbl_task2[S58],tbl_task2[[SubPLOs]:[SubPLOs]],"&gt;=5",tbl_task2[[SubPLOs]:[SubPLOs]],"&lt;6")</f>
        <v>0</v>
      </c>
      <c r="BL38" s="138">
        <f>SUMIFS(tbl_task2[S59],tbl_task2[[SubPLOs]:[SubPLOs]],"&gt;=5",tbl_task2[[SubPLOs]:[SubPLOs]],"&lt;6")</f>
        <v>0</v>
      </c>
      <c r="BM38" s="138">
        <f>SUMIFS(tbl_task2[S60],tbl_task2[[SubPLOs]:[SubPLOs]],"&gt;=5",tbl_task2[[SubPLOs]:[SubPLOs]],"&lt;6")</f>
        <v>0</v>
      </c>
      <c r="BN38" s="138">
        <f>SUMIFS(tbl_task2[S61],tbl_task2[[SubPLOs]:[SubPLOs]],"&gt;=5",tbl_task2[[SubPLOs]:[SubPLOs]],"&lt;6")</f>
        <v>0</v>
      </c>
      <c r="BO38" s="138">
        <f>SUMIFS(tbl_task2[S62],tbl_task2[[SubPLOs]:[SubPLOs]],"&gt;=5",tbl_task2[[SubPLOs]:[SubPLOs]],"&lt;6")</f>
        <v>0</v>
      </c>
      <c r="BP38" s="138">
        <f>SUMIFS(tbl_task2[S63],tbl_task2[[SubPLOs]:[SubPLOs]],"&gt;=5",tbl_task2[[SubPLOs]:[SubPLOs]],"&lt;6")</f>
        <v>0</v>
      </c>
      <c r="BQ38" s="138">
        <f>SUMIFS(tbl_task2[S64],tbl_task2[[SubPLOs]:[SubPLOs]],"&gt;=5",tbl_task2[[SubPLOs]:[SubPLOs]],"&lt;6")</f>
        <v>0</v>
      </c>
      <c r="BR38" s="138">
        <f>SUMIFS(tbl_task2[S65],tbl_task2[[SubPLOs]:[SubPLOs]],"&gt;=5",tbl_task2[[SubPLOs]:[SubPLOs]],"&lt;6")</f>
        <v>0</v>
      </c>
      <c r="BS38" s="138">
        <f>SUMIFS(tbl_task2[S66],tbl_task2[[SubPLOs]:[SubPLOs]],"&gt;=5",tbl_task2[[SubPLOs]:[SubPLOs]],"&lt;6")</f>
        <v>0</v>
      </c>
      <c r="BT38" s="138">
        <f>SUMIFS(tbl_task2[S67],tbl_task2[[SubPLOs]:[SubPLOs]],"&gt;=5",tbl_task2[[SubPLOs]:[SubPLOs]],"&lt;6")</f>
        <v>0</v>
      </c>
      <c r="BU38" s="138">
        <f>SUMIFS(tbl_task2[S68],tbl_task2[[SubPLOs]:[SubPLOs]],"&gt;=5",tbl_task2[[SubPLOs]:[SubPLOs]],"&lt;6")</f>
        <v>0</v>
      </c>
      <c r="BV38" s="138">
        <f>SUMIFS(tbl_task2[S69],tbl_task2[[SubPLOs]:[SubPLOs]],"&gt;=5",tbl_task2[[SubPLOs]:[SubPLOs]],"&lt;6")</f>
        <v>0</v>
      </c>
      <c r="BW38" s="138">
        <f>SUMIFS(tbl_task2[S70],tbl_task2[[SubPLOs]:[SubPLOs]],"&gt;=5",tbl_task2[[SubPLOs]:[SubPLOs]],"&lt;6")</f>
        <v>0</v>
      </c>
      <c r="BX38" s="138">
        <f>SUMIFS(tbl_task2[S71],tbl_task2[[SubPLOs]:[SubPLOs]],"&gt;=5",tbl_task2[[SubPLOs]:[SubPLOs]],"&lt;6")</f>
        <v>0</v>
      </c>
      <c r="BY38" s="138">
        <f>SUMIFS(tbl_task2[S72],tbl_task2[[SubPLOs]:[SubPLOs]],"&gt;=5",tbl_task2[[SubPLOs]:[SubPLOs]],"&lt;6")</f>
        <v>0</v>
      </c>
      <c r="BZ38" s="138">
        <f>SUMIFS(tbl_task2[S73],tbl_task2[[SubPLOs]:[SubPLOs]],"&gt;=5",tbl_task2[[SubPLOs]:[SubPLOs]],"&lt;6")</f>
        <v>0</v>
      </c>
      <c r="CA38" s="138">
        <f>SUMIFS(tbl_task2[S74],tbl_task2[[SubPLOs]:[SubPLOs]],"&gt;=5",tbl_task2[[SubPLOs]:[SubPLOs]],"&lt;6")</f>
        <v>0</v>
      </c>
      <c r="CB38" s="138">
        <f>SUMIFS(tbl_task2[S75],tbl_task2[[SubPLOs]:[SubPLOs]],"&gt;=5",tbl_task2[[SubPLOs]:[SubPLOs]],"&lt;6")</f>
        <v>0</v>
      </c>
      <c r="CC38" s="138">
        <f>SUMIFS(tbl_task2[S76],tbl_task2[[SubPLOs]:[SubPLOs]],"&gt;=5",tbl_task2[[SubPLOs]:[SubPLOs]],"&lt;6")</f>
        <v>0</v>
      </c>
      <c r="CD38" s="138">
        <f>SUMIFS(tbl_task2[S77],tbl_task2[[SubPLOs]:[SubPLOs]],"&gt;=5",tbl_task2[[SubPLOs]:[SubPLOs]],"&lt;6")</f>
        <v>0</v>
      </c>
      <c r="CE38" s="138">
        <f>SUMIFS(tbl_task2[S78],tbl_task2[[SubPLOs]:[SubPLOs]],"&gt;=5",tbl_task2[[SubPLOs]:[SubPLOs]],"&lt;6")</f>
        <v>0</v>
      </c>
      <c r="CF38" s="138">
        <f>SUMIFS(tbl_task2[S79],tbl_task2[[SubPLOs]:[SubPLOs]],"&gt;=5",tbl_task2[[SubPLOs]:[SubPLOs]],"&lt;6")</f>
        <v>0</v>
      </c>
      <c r="CG38" s="138">
        <f>SUMIFS(tbl_task2[S80],tbl_task2[[SubPLOs]:[SubPLOs]],"&gt;=5",tbl_task2[[SubPLOs]:[SubPLOs]],"&lt;6")</f>
        <v>0</v>
      </c>
      <c r="CH38" s="138">
        <f>SUMIFS(tbl_task2[S81],tbl_task2[[SubPLOs]:[SubPLOs]],"&gt;=5",tbl_task2[[SubPLOs]:[SubPLOs]],"&lt;6")</f>
        <v>0</v>
      </c>
      <c r="CI38" s="138">
        <f>SUMIFS(tbl_task2[S82],tbl_task2[[SubPLOs]:[SubPLOs]],"&gt;=5",tbl_task2[[SubPLOs]:[SubPLOs]],"&lt;6")</f>
        <v>0</v>
      </c>
      <c r="CJ38" s="138">
        <f>SUMIFS(tbl_task2[S83],tbl_task2[[SubPLOs]:[SubPLOs]],"&gt;=5",tbl_task2[[SubPLOs]:[SubPLOs]],"&lt;6")</f>
        <v>0</v>
      </c>
      <c r="CK38" s="138">
        <f>SUMIFS(tbl_task2[S84],tbl_task2[[SubPLOs]:[SubPLOs]],"&gt;=5",tbl_task2[[SubPLOs]:[SubPLOs]],"&lt;6")</f>
        <v>0</v>
      </c>
      <c r="CL38" s="138">
        <f>SUMIFS(tbl_task2[S85],tbl_task2[[SubPLOs]:[SubPLOs]],"&gt;=5",tbl_task2[[SubPLOs]:[SubPLOs]],"&lt;6")</f>
        <v>0</v>
      </c>
      <c r="CM38" s="138">
        <f>SUMIFS(tbl_task2[S86],tbl_task2[[SubPLOs]:[SubPLOs]],"&gt;=5",tbl_task2[[SubPLOs]:[SubPLOs]],"&lt;6")</f>
        <v>0</v>
      </c>
      <c r="CN38" s="138">
        <f>SUMIFS(tbl_task2[S87],tbl_task2[[SubPLOs]:[SubPLOs]],"&gt;=5",tbl_task2[[SubPLOs]:[SubPLOs]],"&lt;6")</f>
        <v>0</v>
      </c>
      <c r="CO38" s="138">
        <f>SUMIFS(tbl_task2[S88],tbl_task2[[SubPLOs]:[SubPLOs]],"&gt;=5",tbl_task2[[SubPLOs]:[SubPLOs]],"&lt;6")</f>
        <v>0</v>
      </c>
      <c r="CP38" s="138">
        <f>SUMIFS(tbl_task2[S89],tbl_task2[[SubPLOs]:[SubPLOs]],"&gt;=5",tbl_task2[[SubPLOs]:[SubPLOs]],"&lt;6")</f>
        <v>0</v>
      </c>
      <c r="CQ38" s="138">
        <f>SUMIFS(tbl_task2[S90],tbl_task2[[SubPLOs]:[SubPLOs]],"&gt;=5",tbl_task2[[SubPLOs]:[SubPLOs]],"&lt;6")</f>
        <v>0</v>
      </c>
      <c r="CR38" s="138">
        <f>SUMIFS(tbl_task2[S91],tbl_task2[[SubPLOs]:[SubPLOs]],"&gt;=5",tbl_task2[[SubPLOs]:[SubPLOs]],"&lt;6")</f>
        <v>0</v>
      </c>
      <c r="CS38" s="138">
        <f>SUMIFS(tbl_task2[S92],tbl_task2[[SubPLOs]:[SubPLOs]],"&gt;=5",tbl_task2[[SubPLOs]:[SubPLOs]],"&lt;6")</f>
        <v>0</v>
      </c>
      <c r="CT38" s="138">
        <f>SUMIFS(tbl_task2[S93],tbl_task2[[SubPLOs]:[SubPLOs]],"&gt;=5",tbl_task2[[SubPLOs]:[SubPLOs]],"&lt;6")</f>
        <v>0</v>
      </c>
      <c r="CU38" s="138">
        <f>SUMIFS(tbl_task2[S94],tbl_task2[[SubPLOs]:[SubPLOs]],"&gt;=5",tbl_task2[[SubPLOs]:[SubPLOs]],"&lt;6")</f>
        <v>0</v>
      </c>
      <c r="CV38" s="138">
        <f>SUMIFS(tbl_task2[S95],tbl_task2[[SubPLOs]:[SubPLOs]],"&gt;=5",tbl_task2[[SubPLOs]:[SubPLOs]],"&lt;6")</f>
        <v>0</v>
      </c>
      <c r="CW38" s="138">
        <f>SUMIFS(tbl_task2[S96],tbl_task2[[SubPLOs]:[SubPLOs]],"&gt;=5",tbl_task2[[SubPLOs]:[SubPLOs]],"&lt;6")</f>
        <v>0</v>
      </c>
      <c r="CX38" s="138">
        <f>SUMIFS(tbl_task2[S97],tbl_task2[[SubPLOs]:[SubPLOs]],"&gt;=5",tbl_task2[[SubPLOs]:[SubPLOs]],"&lt;6")</f>
        <v>0</v>
      </c>
      <c r="CY38" s="138">
        <f>SUMIFS(tbl_task2[S98],tbl_task2[[SubPLOs]:[SubPLOs]],"&gt;=5",tbl_task2[[SubPLOs]:[SubPLOs]],"&lt;6")</f>
        <v>0</v>
      </c>
      <c r="CZ38" s="138">
        <f>SUMIFS(tbl_task2[S99],tbl_task2[[SubPLOs]:[SubPLOs]],"&gt;=5",tbl_task2[[SubPLOs]:[SubPLOs]],"&lt;6")</f>
        <v>0</v>
      </c>
      <c r="DA38" s="138">
        <f>SUMIFS(tbl_task2[S100],tbl_task2[[SubPLOs]:[SubPLOs]],"&gt;=5",tbl_task2[[SubPLOs]:[SubPLOs]],"&lt;6")</f>
        <v>0</v>
      </c>
      <c r="DB38" s="138">
        <f>SUMIFS(tbl_task2[S101],tbl_task2[[SubPLOs]:[SubPLOs]],"&gt;=5",tbl_task2[[SubPLOs]:[SubPLOs]],"&lt;6")</f>
        <v>0</v>
      </c>
      <c r="DC38" s="138">
        <f>SUMIFS(tbl_task2[S102],tbl_task2[[SubPLOs]:[SubPLOs]],"&gt;=5",tbl_task2[[SubPLOs]:[SubPLOs]],"&lt;6")</f>
        <v>0</v>
      </c>
      <c r="DD38" s="138">
        <f>SUMIFS(tbl_task2[S103],tbl_task2[[SubPLOs]:[SubPLOs]],"&gt;=5",tbl_task2[[SubPLOs]:[SubPLOs]],"&lt;6")</f>
        <v>0</v>
      </c>
      <c r="DE38" s="138">
        <f>SUMIFS(tbl_task2[S104],tbl_task2[[SubPLOs]:[SubPLOs]],"&gt;=5",tbl_task2[[SubPLOs]:[SubPLOs]],"&lt;6")</f>
        <v>0</v>
      </c>
      <c r="DF38" s="138">
        <f>SUMIFS(tbl_task2[S105],tbl_task2[[SubPLOs]:[SubPLOs]],"&gt;=5",tbl_task2[[SubPLOs]:[SubPLOs]],"&lt;6")</f>
        <v>0</v>
      </c>
      <c r="DG38" s="138">
        <f>SUMIFS(tbl_task2[S106],tbl_task2[[SubPLOs]:[SubPLOs]],"&gt;=5",tbl_task2[[SubPLOs]:[SubPLOs]],"&lt;6")</f>
        <v>0</v>
      </c>
      <c r="DH38" s="138">
        <f>SUMIFS(tbl_task2[S106],tbl_task2[[SubPLOs]:[SubPLOs]],"&gt;=5",tbl_task2[[SubPLOs]:[SubPLOs]],"&lt;6")</f>
        <v>0</v>
      </c>
      <c r="DI38" s="138">
        <f>SUMIFS(tbl_task2[S108],tbl_task2[[SubPLOs]:[SubPLOs]],"&gt;=5",tbl_task2[[SubPLOs]:[SubPLOs]],"&lt;6")</f>
        <v>0</v>
      </c>
      <c r="DJ38" s="138">
        <f>SUMIFS(tbl_task2[S109],tbl_task2[[SubPLOs]:[SubPLOs]],"&gt;=5",tbl_task2[[SubPLOs]:[SubPLOs]],"&lt;6")</f>
        <v>0</v>
      </c>
      <c r="DK38" s="138">
        <f>SUMIFS(tbl_task2[S110],tbl_task2[[SubPLOs]:[SubPLOs]],"&gt;=5",tbl_task2[[SubPLOs]:[SubPLOs]],"&lt;6")</f>
        <v>0</v>
      </c>
      <c r="DL38" s="138">
        <f>SUMIFS(tbl_task2[S111],tbl_task2[[SubPLOs]:[SubPLOs]],"&gt;=5",tbl_task2[[SubPLOs]:[SubPLOs]],"&lt;6")</f>
        <v>0</v>
      </c>
      <c r="DM38" s="138">
        <f>SUMIFS(tbl_task2[S112],tbl_task2[[SubPLOs]:[SubPLOs]],"&gt;=5",tbl_task2[[SubPLOs]:[SubPLOs]],"&lt;6")</f>
        <v>0</v>
      </c>
      <c r="DN38" s="138">
        <f>SUMIFS(tbl_task2[S113],tbl_task2[[SubPLOs]:[SubPLOs]],"&gt;=5",tbl_task2[[SubPLOs]:[SubPLOs]],"&lt;6")</f>
        <v>0</v>
      </c>
      <c r="DO38" s="138">
        <f>SUMIFS(tbl_task2[S114],tbl_task2[[SubPLOs]:[SubPLOs]],"&gt;=5",tbl_task2[[SubPLOs]:[SubPLOs]],"&lt;6")</f>
        <v>0</v>
      </c>
      <c r="DP38" s="138">
        <f>SUMIFS(tbl_task2[S115],tbl_task2[[SubPLOs]:[SubPLOs]],"&gt;=5",tbl_task2[[SubPLOs]:[SubPLOs]],"&lt;6")</f>
        <v>0</v>
      </c>
      <c r="DQ38" s="138">
        <f>SUMIFS(tbl_task2[S116],tbl_task2[[SubPLOs]:[SubPLOs]],"&gt;=5",tbl_task2[[SubPLOs]:[SubPLOs]],"&lt;6")</f>
        <v>0</v>
      </c>
      <c r="DR38" s="138">
        <f>SUMIFS(tbl_task2[S117],tbl_task2[[SubPLOs]:[SubPLOs]],"&gt;=5",tbl_task2[[SubPLOs]:[SubPLOs]],"&lt;6")</f>
        <v>0</v>
      </c>
      <c r="DS38" s="138">
        <f>SUMIFS(tbl_task2[S118],tbl_task2[[SubPLOs]:[SubPLOs]],"&gt;=5",tbl_task2[[SubPLOs]:[SubPLOs]],"&lt;6")</f>
        <v>0</v>
      </c>
      <c r="DT38" s="138">
        <f>SUMIFS(tbl_task2[S119],tbl_task2[[SubPLOs]:[SubPLOs]],"&gt;=5",tbl_task2[[SubPLOs]:[SubPLOs]],"&lt;6")</f>
        <v>0</v>
      </c>
      <c r="DU38" s="138">
        <f>SUMIFS(tbl_task2[S120],tbl_task2[[SubPLOs]:[SubPLOs]],"&gt;=5",tbl_task2[[SubPLOs]:[SubPLOs]],"&lt;6")</f>
        <v>0</v>
      </c>
      <c r="DV38" s="138">
        <f>SUMIFS(tbl_task2[S121],tbl_task2[[SubPLOs]:[SubPLOs]],"&gt;=5",tbl_task2[[SubPLOs]:[SubPLOs]],"&lt;6")</f>
        <v>0</v>
      </c>
      <c r="DW38" s="138">
        <f>SUMIFS(tbl_task2[S122],tbl_task2[[SubPLOs]:[SubPLOs]],"&gt;=5",tbl_task2[[SubPLOs]:[SubPLOs]],"&lt;6")</f>
        <v>0</v>
      </c>
      <c r="DX38" s="138">
        <f>SUMIFS(tbl_task2[S123],tbl_task2[[SubPLOs]:[SubPLOs]],"&gt;=5",tbl_task2[[SubPLOs]:[SubPLOs]],"&lt;6")</f>
        <v>0</v>
      </c>
      <c r="DY38" s="138">
        <f>SUMIFS(tbl_task2[S124],tbl_task2[[SubPLOs]:[SubPLOs]],"&gt;=5",tbl_task2[[SubPLOs]:[SubPLOs]],"&lt;6")</f>
        <v>0</v>
      </c>
      <c r="DZ38" s="138">
        <f>SUMIFS(tbl_task2[S125],tbl_task2[[SubPLOs]:[SubPLOs]],"&gt;=5",tbl_task2[[SubPLOs]:[SubPLOs]],"&lt;6")</f>
        <v>0</v>
      </c>
      <c r="EA38" s="138">
        <f>SUMIFS(tbl_task2[S126],tbl_task2[[SubPLOs]:[SubPLOs]],"&gt;=5",tbl_task2[[SubPLOs]:[SubPLOs]],"&lt;6")</f>
        <v>0</v>
      </c>
      <c r="EB38" s="138">
        <f>SUMIFS(tbl_task2[S127],tbl_task2[[SubPLOs]:[SubPLOs]],"&gt;=5",tbl_task2[[SubPLOs]:[SubPLOs]],"&lt;6")</f>
        <v>0</v>
      </c>
      <c r="EC38" s="138">
        <f>SUMIFS(tbl_task2[S128],tbl_task2[[SubPLOs]:[SubPLOs]],"&gt;=5",tbl_task2[[SubPLOs]:[SubPLOs]],"&lt;6")</f>
        <v>0</v>
      </c>
      <c r="ED38" s="138">
        <f>SUMIFS(tbl_task2[S129],tbl_task2[[SubPLOs]:[SubPLOs]],"&gt;=5",tbl_task2[[SubPLOs]:[SubPLOs]],"&lt;6")</f>
        <v>0</v>
      </c>
      <c r="EE38" s="138">
        <f>SUMIFS(tbl_task2[S130],tbl_task2[[SubPLOs]:[SubPLOs]],"&gt;=5",tbl_task2[[SubPLOs]:[SubPLOs]],"&lt;6")</f>
        <v>0</v>
      </c>
      <c r="EF38" s="138">
        <f>SUMIFS(tbl_task2[S131],tbl_task2[[SubPLOs]:[SubPLOs]],"&gt;=5",tbl_task2[[SubPLOs]:[SubPLOs]],"&lt;6")</f>
        <v>0</v>
      </c>
      <c r="EG38" s="138">
        <f>SUMIFS(tbl_task2[S132],tbl_task2[[SubPLOs]:[SubPLOs]],"&gt;=5",tbl_task2[[SubPLOs]:[SubPLOs]],"&lt;6")</f>
        <v>0</v>
      </c>
      <c r="EH38" s="138">
        <f>SUMIFS(tbl_task2[S133],tbl_task2[[SubPLOs]:[SubPLOs]],"&gt;=5",tbl_task2[[SubPLOs]:[SubPLOs]],"&lt;6")</f>
        <v>0</v>
      </c>
      <c r="EI38" s="138">
        <f>SUMIFS(tbl_task2[S134],tbl_task2[[SubPLOs]:[SubPLOs]],"&gt;=5",tbl_task2[[SubPLOs]:[SubPLOs]],"&lt;6")</f>
        <v>0</v>
      </c>
      <c r="EJ38" s="138">
        <f>SUMIFS(tbl_task2[S135],tbl_task2[[SubPLOs]:[SubPLOs]],"&gt;=5",tbl_task2[[SubPLOs]:[SubPLOs]],"&lt;6")</f>
        <v>0</v>
      </c>
      <c r="EK38" s="138">
        <f>SUMIFS(tbl_task2[S136],tbl_task2[[SubPLOs]:[SubPLOs]],"&gt;=5",tbl_task2[[SubPLOs]:[SubPLOs]],"&lt;6")</f>
        <v>0</v>
      </c>
      <c r="EL38" s="138">
        <f>SUMIFS(tbl_task2[S137],tbl_task2[[SubPLOs]:[SubPLOs]],"&gt;=5",tbl_task2[[SubPLOs]:[SubPLOs]],"&lt;6")</f>
        <v>0</v>
      </c>
      <c r="EM38" s="138">
        <f>SUMIFS(tbl_task2[S138],tbl_task2[[SubPLOs]:[SubPLOs]],"&gt;=5",tbl_task2[[SubPLOs]:[SubPLOs]],"&lt;6")</f>
        <v>0</v>
      </c>
      <c r="EN38" s="138">
        <f>SUMIFS(tbl_task2[S139],tbl_task2[[SubPLOs]:[SubPLOs]],"&gt;=5",tbl_task2[[SubPLOs]:[SubPLOs]],"&lt;6")</f>
        <v>0</v>
      </c>
      <c r="EO38" s="138">
        <f>SUMIFS(tbl_task2[S140],tbl_task2[[SubPLOs]:[SubPLOs]],"&gt;=5",tbl_task2[[SubPLOs]:[SubPLOs]],"&lt;6")</f>
        <v>0</v>
      </c>
      <c r="EP38" s="138">
        <f>SUMIFS(tbl_task2[S141],tbl_task2[[SubPLOs]:[SubPLOs]],"&gt;=5",tbl_task2[[SubPLOs]:[SubPLOs]],"&lt;6")</f>
        <v>0</v>
      </c>
      <c r="EQ38" s="138">
        <f>SUMIFS(tbl_task2[S142],tbl_task2[[SubPLOs]:[SubPLOs]],"&gt;=5",tbl_task2[[SubPLOs]:[SubPLOs]],"&lt;6")</f>
        <v>0</v>
      </c>
      <c r="ER38" s="138">
        <f>SUMIFS(tbl_task2[S143],tbl_task2[[SubPLOs]:[SubPLOs]],"&gt;=5",tbl_task2[[SubPLOs]:[SubPLOs]],"&lt;6")</f>
        <v>0</v>
      </c>
      <c r="ES38" s="138">
        <f>SUMIFS(tbl_task2[S144],tbl_task2[[SubPLOs]:[SubPLOs]],"&gt;=5",tbl_task2[[SubPLOs]:[SubPLOs]],"&lt;6")</f>
        <v>0</v>
      </c>
      <c r="ET38" s="138">
        <f>SUMIFS(tbl_task2[S145],tbl_task2[[SubPLOs]:[SubPLOs]],"&gt;=5",tbl_task2[[SubPLOs]:[SubPLOs]],"&lt;6")</f>
        <v>0</v>
      </c>
      <c r="EU38" s="138">
        <f>SUMIFS(tbl_task2[S146],tbl_task2[[SubPLOs]:[SubPLOs]],"&gt;=5",tbl_task2[[SubPLOs]:[SubPLOs]],"&lt;6")</f>
        <v>0</v>
      </c>
      <c r="EV38" s="138">
        <f>SUMIFS(tbl_task2[S147],tbl_task2[[SubPLOs]:[SubPLOs]],"&gt;=5",tbl_task2[[SubPLOs]:[SubPLOs]],"&lt;6")</f>
        <v>0</v>
      </c>
      <c r="EW38" s="138">
        <f>SUMIFS(tbl_task2[S148],tbl_task2[[SubPLOs]:[SubPLOs]],"&gt;=5",tbl_task2[[SubPLOs]:[SubPLOs]],"&lt;6")</f>
        <v>0</v>
      </c>
      <c r="EX38" s="138">
        <f>SUMIFS(tbl_task2[S149],tbl_task2[[SubPLOs]:[SubPLOs]],"&gt;=5",tbl_task2[[SubPLOs]:[SubPLOs]],"&lt;6")</f>
        <v>0</v>
      </c>
      <c r="EY38" s="138">
        <f>SUMIFS(tbl_task2[S150],tbl_task2[[SubPLOs]:[SubPLOs]],"&gt;=5",tbl_task2[[SubPLOs]:[SubPLOs]],"&lt;6")</f>
        <v>0</v>
      </c>
      <c r="EZ38" s="138">
        <f>SUMIFS(tbl_task2[S151],tbl_task2[[SubPLOs]:[SubPLOs]],"&gt;=5",tbl_task2[[SubPLOs]:[SubPLOs]],"&lt;6")</f>
        <v>0</v>
      </c>
      <c r="FA38" s="138">
        <f>SUMIFS(tbl_task2[S152],tbl_task2[[SubPLOs]:[SubPLOs]],"&gt;=5",tbl_task2[[SubPLOs]:[SubPLOs]],"&lt;6")</f>
        <v>0</v>
      </c>
      <c r="FB38" s="138">
        <f>SUMIFS(tbl_task2[S153],tbl_task2[[SubPLOs]:[SubPLOs]],"&gt;=5",tbl_task2[[SubPLOs]:[SubPLOs]],"&lt;6")</f>
        <v>0</v>
      </c>
      <c r="FC38" s="138">
        <f>SUMIFS(tbl_task2[S154],tbl_task2[[SubPLOs]:[SubPLOs]],"&gt;=5",tbl_task2[[SubPLOs]:[SubPLOs]],"&lt;6")</f>
        <v>0</v>
      </c>
      <c r="FD38" s="138">
        <f>SUMIFS(tbl_task2[S155],tbl_task2[[SubPLOs]:[SubPLOs]],"&gt;=5",tbl_task2[[SubPLOs]:[SubPLOs]],"&lt;6")</f>
        <v>0</v>
      </c>
      <c r="FE38" s="138">
        <f>SUMIFS(tbl_task2[S156],tbl_task2[[SubPLOs]:[SubPLOs]],"&gt;=5",tbl_task2[[SubPLOs]:[SubPLOs]],"&lt;6")</f>
        <v>0</v>
      </c>
      <c r="FF38" s="138">
        <f>SUMIFS(tbl_task2[S157],tbl_task2[[SubPLOs]:[SubPLOs]],"&gt;=5",tbl_task2[[SubPLOs]:[SubPLOs]],"&lt;6")</f>
        <v>0</v>
      </c>
      <c r="FG38" s="138">
        <f>SUMIFS(tbl_task2[S158],tbl_task2[[SubPLOs]:[SubPLOs]],"&gt;=5",tbl_task2[[SubPLOs]:[SubPLOs]],"&lt;6")</f>
        <v>0</v>
      </c>
      <c r="FH38" s="138">
        <f>SUMIFS(tbl_task2[S159],tbl_task2[[SubPLOs]:[SubPLOs]],"&gt;=5",tbl_task2[[SubPLOs]:[SubPLOs]],"&lt;6")</f>
        <v>0</v>
      </c>
      <c r="FI38" s="138">
        <f>SUMIFS(tbl_task2[S160],tbl_task2[[SubPLOs]:[SubPLOs]],"&gt;=5",tbl_task2[[SubPLOs]:[SubPLOs]],"&lt;6")</f>
        <v>0</v>
      </c>
      <c r="FJ38" s="138">
        <f>SUMIFS(tbl_task2[S161],tbl_task2[[SubPLOs]:[SubPLOs]],"&gt;=5",tbl_task2[[SubPLOs]:[SubPLOs]],"&lt;6")</f>
        <v>0</v>
      </c>
      <c r="FK38" s="138">
        <f>SUMIFS(tbl_task2[S162],tbl_task2[[SubPLOs]:[SubPLOs]],"&gt;=5",tbl_task2[[SubPLOs]:[SubPLOs]],"&lt;6")</f>
        <v>0</v>
      </c>
      <c r="FL38" s="138">
        <f>SUMIFS(tbl_task2[S163],tbl_task2[[SubPLOs]:[SubPLOs]],"&gt;=5",tbl_task2[[SubPLOs]:[SubPLOs]],"&lt;6")</f>
        <v>0</v>
      </c>
      <c r="FM38" s="138">
        <f>SUMIFS(tbl_task2[S164],tbl_task2[[SubPLOs]:[SubPLOs]],"&gt;=5",tbl_task2[[SubPLOs]:[SubPLOs]],"&lt;6")</f>
        <v>0</v>
      </c>
      <c r="FN38" s="138">
        <f>SUMIFS(tbl_task2[S165],tbl_task2[[SubPLOs]:[SubPLOs]],"&gt;=5",tbl_task2[[SubPLOs]:[SubPLOs]],"&lt;6")</f>
        <v>0</v>
      </c>
    </row>
    <row r="39" spans="1:170" ht="42" x14ac:dyDescent="0.25">
      <c r="A39" s="135">
        <v>6</v>
      </c>
      <c r="B39" s="5" t="s">
        <v>439</v>
      </c>
      <c r="C39" s="136">
        <f>COUNTIFS(tbl_task2[SubPLOs],"&gt;=6",tbl_task2[SubPLOs],"&lt;7")</f>
        <v>0</v>
      </c>
      <c r="D39" s="136">
        <f>SUMIFS(tbl_task2[คะแนนเต็ม],tbl_task2[SubPLOs],"&gt;=6",tbl_task2[SubPLOs],"&lt;7")</f>
        <v>0</v>
      </c>
      <c r="E39" s="137">
        <f>SUMIFS(tbl_task2[%],tbl_task2[SubPLOs],"&gt;=6",tbl_task2[SubPLOs],"&lt;7")</f>
        <v>0</v>
      </c>
      <c r="F39" s="138">
        <f>SUMIFS(tbl_task2[S1],tbl_task2[[SubPLOs]:[SubPLOs]],"&gt;=6",tbl_task2[[SubPLOs]:[SubPLOs]],"&lt;7")</f>
        <v>0</v>
      </c>
      <c r="G39" s="138">
        <f>SUMIFS(tbl_task2[S2],tbl_task2[[SubPLOs]:[SubPLOs]],"&gt;=6",tbl_task2[[SubPLOs]:[SubPLOs]],"&lt;7")</f>
        <v>0</v>
      </c>
      <c r="H39" s="138">
        <f>SUMIFS(tbl_task2[S3],tbl_task2[[SubPLOs]:[SubPLOs]],"&gt;=6",tbl_task2[[SubPLOs]:[SubPLOs]],"&lt;7")</f>
        <v>0</v>
      </c>
      <c r="I39" s="138">
        <f>SUMIFS(tbl_task2[S4],tbl_task2[[SubPLOs]:[SubPLOs]],"&gt;=6",tbl_task2[[SubPLOs]:[SubPLOs]],"&lt;7")</f>
        <v>0</v>
      </c>
      <c r="J39" s="138">
        <f>SUMIFS(tbl_task2[S5],tbl_task2[[SubPLOs]:[SubPLOs]],"&gt;=6",tbl_task2[[SubPLOs]:[SubPLOs]],"&lt;7")</f>
        <v>0</v>
      </c>
      <c r="K39" s="138">
        <f>SUMIFS(tbl_task2[S6],tbl_task2[[SubPLOs]:[SubPLOs]],"&gt;=6",tbl_task2[[SubPLOs]:[SubPLOs]],"&lt;7")</f>
        <v>0</v>
      </c>
      <c r="L39" s="138">
        <f>SUMIFS(tbl_task2[S7],tbl_task2[[SubPLOs]:[SubPLOs]],"&gt;=6",tbl_task2[[SubPLOs]:[SubPLOs]],"&lt;7")</f>
        <v>0</v>
      </c>
      <c r="M39" s="138">
        <f>SUMIFS(tbl_task2[S8],tbl_task2[[SubPLOs]:[SubPLOs]],"&gt;=6",tbl_task2[[SubPLOs]:[SubPLOs]],"&lt;7")</f>
        <v>0</v>
      </c>
      <c r="N39" s="138">
        <f>SUMIFS(tbl_task2[S9],tbl_task2[[SubPLOs]:[SubPLOs]],"&gt;=6",tbl_task2[[SubPLOs]:[SubPLOs]],"&lt;7")</f>
        <v>0</v>
      </c>
      <c r="O39" s="138">
        <f>SUMIFS(tbl_task2[S10],tbl_task2[[SubPLOs]:[SubPLOs]],"&gt;=6",tbl_task2[[SubPLOs]:[SubPLOs]],"&lt;7")</f>
        <v>0</v>
      </c>
      <c r="P39" s="138">
        <f>SUMIFS(tbl_task2[S11],tbl_task2[[SubPLOs]:[SubPLOs]],"&gt;=6",tbl_task2[[SubPLOs]:[SubPLOs]],"&lt;7")</f>
        <v>0</v>
      </c>
      <c r="Q39" s="138">
        <f>SUMIFS(tbl_task2[S12],tbl_task2[[SubPLOs]:[SubPLOs]],"&gt;=6",tbl_task2[[SubPLOs]:[SubPLOs]],"&lt;7")</f>
        <v>0</v>
      </c>
      <c r="R39" s="138">
        <f>SUMIFS(tbl_task2[S13],tbl_task2[[SubPLOs]:[SubPLOs]],"&gt;=6",tbl_task2[[SubPLOs]:[SubPLOs]],"&lt;7")</f>
        <v>0</v>
      </c>
      <c r="S39" s="138">
        <f>SUMIFS(tbl_task2[S14],tbl_task2[[SubPLOs]:[SubPLOs]],"&gt;=6",tbl_task2[[SubPLOs]:[SubPLOs]],"&lt;7")</f>
        <v>0</v>
      </c>
      <c r="T39" s="138">
        <f>SUMIFS(tbl_task2[S15],tbl_task2[[SubPLOs]:[SubPLOs]],"&gt;=6",tbl_task2[[SubPLOs]:[SubPLOs]],"&lt;7")</f>
        <v>0</v>
      </c>
      <c r="U39" s="138">
        <f>SUMIFS(tbl_task2[S16],tbl_task2[[SubPLOs]:[SubPLOs]],"&gt;=6",tbl_task2[[SubPLOs]:[SubPLOs]],"&lt;7")</f>
        <v>0</v>
      </c>
      <c r="V39" s="138">
        <f>SUMIFS(tbl_task2[S17],tbl_task2[[SubPLOs]:[SubPLOs]],"&gt;=6",tbl_task2[[SubPLOs]:[SubPLOs]],"&lt;7")</f>
        <v>0</v>
      </c>
      <c r="W39" s="138">
        <f>SUMIFS(tbl_task2[S18],tbl_task2[[SubPLOs]:[SubPLOs]],"&gt;=6",tbl_task2[[SubPLOs]:[SubPLOs]],"&lt;7")</f>
        <v>0</v>
      </c>
      <c r="X39" s="138">
        <f>SUMIFS(tbl_task2[S19],tbl_task2[[SubPLOs]:[SubPLOs]],"&gt;=6",tbl_task2[[SubPLOs]:[SubPLOs]],"&lt;7")</f>
        <v>0</v>
      </c>
      <c r="Y39" s="138">
        <f>SUMIFS(tbl_task2[S20],tbl_task2[[SubPLOs]:[SubPLOs]],"&gt;=6",tbl_task2[[SubPLOs]:[SubPLOs]],"&lt;7")</f>
        <v>0</v>
      </c>
      <c r="Z39" s="138">
        <f>SUMIFS(tbl_task2[S21],tbl_task2[[SubPLOs]:[SubPLOs]],"&gt;=6",tbl_task2[[SubPLOs]:[SubPLOs]],"&lt;7")</f>
        <v>0</v>
      </c>
      <c r="AA39" s="138">
        <f>SUMIFS(tbl_task2[S22],tbl_task2[[SubPLOs]:[SubPLOs]],"&gt;=6",tbl_task2[[SubPLOs]:[SubPLOs]],"&lt;7")</f>
        <v>0</v>
      </c>
      <c r="AB39" s="138">
        <f>SUMIFS(tbl_task2[S23],tbl_task2[[SubPLOs]:[SubPLOs]],"&gt;=6",tbl_task2[[SubPLOs]:[SubPLOs]],"&lt;7")</f>
        <v>0</v>
      </c>
      <c r="AC39" s="138">
        <f>SUMIFS(tbl_task2[S24],tbl_task2[[SubPLOs]:[SubPLOs]],"&gt;=6",tbl_task2[[SubPLOs]:[SubPLOs]],"&lt;7")</f>
        <v>0</v>
      </c>
      <c r="AD39" s="138">
        <f>SUMIFS(tbl_task2[S25],tbl_task2[[SubPLOs]:[SubPLOs]],"&gt;=6",tbl_task2[[SubPLOs]:[SubPLOs]],"&lt;7")</f>
        <v>0</v>
      </c>
      <c r="AE39" s="138">
        <f>SUMIFS(tbl_task2[S26],tbl_task2[[SubPLOs]:[SubPLOs]],"&gt;=6",tbl_task2[[SubPLOs]:[SubPLOs]],"&lt;7")</f>
        <v>0</v>
      </c>
      <c r="AF39" s="138">
        <f>SUMIFS(tbl_task2[S27],tbl_task2[[SubPLOs]:[SubPLOs]],"&gt;=6",tbl_task2[[SubPLOs]:[SubPLOs]],"&lt;7")</f>
        <v>0</v>
      </c>
      <c r="AG39" s="138">
        <f>SUMIFS(tbl_task2[S28],tbl_task2[[SubPLOs]:[SubPLOs]],"&gt;=6",tbl_task2[[SubPLOs]:[SubPLOs]],"&lt;7")</f>
        <v>0</v>
      </c>
      <c r="AH39" s="138">
        <f>SUMIFS(tbl_task2[S29],tbl_task2[[SubPLOs]:[SubPLOs]],"&gt;=6",tbl_task2[[SubPLOs]:[SubPLOs]],"&lt;7")</f>
        <v>0</v>
      </c>
      <c r="AI39" s="138">
        <f>SUMIFS(tbl_task2[S30],tbl_task2[[SubPLOs]:[SubPLOs]],"&gt;=6",tbl_task2[[SubPLOs]:[SubPLOs]],"&lt;7")</f>
        <v>0</v>
      </c>
      <c r="AJ39" s="138">
        <f>SUMIFS(tbl_task2[S31],tbl_task2[[SubPLOs]:[SubPLOs]],"&gt;=6",tbl_task2[[SubPLOs]:[SubPLOs]],"&lt;7")</f>
        <v>0</v>
      </c>
      <c r="AK39" s="138">
        <f>SUMIFS(tbl_task2[S32],tbl_task2[[SubPLOs]:[SubPLOs]],"&gt;=6",tbl_task2[[SubPLOs]:[SubPLOs]],"&lt;7")</f>
        <v>0</v>
      </c>
      <c r="AL39" s="138">
        <f>SUMIFS(tbl_task2[S33],tbl_task2[[SubPLOs]:[SubPLOs]],"&gt;=6",tbl_task2[[SubPLOs]:[SubPLOs]],"&lt;7")</f>
        <v>0</v>
      </c>
      <c r="AM39" s="138">
        <f>SUMIFS(tbl_task2[S34],tbl_task2[[SubPLOs]:[SubPLOs]],"&gt;=6",tbl_task2[[SubPLOs]:[SubPLOs]],"&lt;7")</f>
        <v>0</v>
      </c>
      <c r="AN39" s="138">
        <f>SUMIFS(tbl_task2[S35],tbl_task2[[SubPLOs]:[SubPLOs]],"&gt;=6",tbl_task2[[SubPLOs]:[SubPLOs]],"&lt;7")</f>
        <v>0</v>
      </c>
      <c r="AO39" s="138">
        <f>SUMIFS(tbl_task2[S36],tbl_task2[[SubPLOs]:[SubPLOs]],"&gt;=6",tbl_task2[[SubPLOs]:[SubPLOs]],"&lt;7")</f>
        <v>0</v>
      </c>
      <c r="AP39" s="138">
        <f>SUMIFS(tbl_task2[S37],tbl_task2[[SubPLOs]:[SubPLOs]],"&gt;=6",tbl_task2[[SubPLOs]:[SubPLOs]],"&lt;7")</f>
        <v>0</v>
      </c>
      <c r="AQ39" s="138">
        <f>SUMIFS(tbl_task2[S38],tbl_task2[[SubPLOs]:[SubPLOs]],"&gt;=6",tbl_task2[[SubPLOs]:[SubPLOs]],"&lt;7")</f>
        <v>0</v>
      </c>
      <c r="AR39" s="138">
        <f>SUMIFS(tbl_task2[S39],tbl_task2[[SubPLOs]:[SubPLOs]],"&gt;=6",tbl_task2[[SubPLOs]:[SubPLOs]],"&lt;7")</f>
        <v>0</v>
      </c>
      <c r="AS39" s="138">
        <f>SUMIFS(tbl_task2[S40],tbl_task2[[SubPLOs]:[SubPLOs]],"&gt;=6",tbl_task2[[SubPLOs]:[SubPLOs]],"&lt;7")</f>
        <v>0</v>
      </c>
      <c r="AT39" s="138">
        <f>SUMIFS(tbl_task2[S41],tbl_task2[[SubPLOs]:[SubPLOs]],"&gt;=6",tbl_task2[[SubPLOs]:[SubPLOs]],"&lt;7")</f>
        <v>0</v>
      </c>
      <c r="AU39" s="138">
        <f>SUMIFS(tbl_task2[S42],tbl_task2[[SubPLOs]:[SubPLOs]],"&gt;=6",tbl_task2[[SubPLOs]:[SubPLOs]],"&lt;7")</f>
        <v>0</v>
      </c>
      <c r="AV39" s="138">
        <f>SUMIFS(tbl_task2[S43],tbl_task2[[SubPLOs]:[SubPLOs]],"&gt;=6",tbl_task2[[SubPLOs]:[SubPLOs]],"&lt;7")</f>
        <v>0</v>
      </c>
      <c r="AW39" s="138">
        <f>SUMIFS(tbl_task2[S44],tbl_task2[[SubPLOs]:[SubPLOs]],"&gt;=6",tbl_task2[[SubPLOs]:[SubPLOs]],"&lt;7")</f>
        <v>0</v>
      </c>
      <c r="AX39" s="138">
        <f>SUMIFS(tbl_task2[S45],tbl_task2[[SubPLOs]:[SubPLOs]],"&gt;=6",tbl_task2[[SubPLOs]:[SubPLOs]],"&lt;7")</f>
        <v>0</v>
      </c>
      <c r="AY39" s="138">
        <f>SUMIFS(tbl_task2[S46],tbl_task2[[SubPLOs]:[SubPLOs]],"&gt;=6",tbl_task2[[SubPLOs]:[SubPLOs]],"&lt;7")</f>
        <v>0</v>
      </c>
      <c r="AZ39" s="138">
        <f>SUMIFS(tbl_task2[S47],tbl_task2[[SubPLOs]:[SubPLOs]],"&gt;=6",tbl_task2[[SubPLOs]:[SubPLOs]],"&lt;7")</f>
        <v>0</v>
      </c>
      <c r="BA39" s="138">
        <f>SUMIFS(tbl_task2[S48],tbl_task2[[SubPLOs]:[SubPLOs]],"&gt;=6",tbl_task2[[SubPLOs]:[SubPLOs]],"&lt;7")</f>
        <v>0</v>
      </c>
      <c r="BB39" s="138">
        <f>SUMIFS(tbl_task2[S49],tbl_task2[[SubPLOs]:[SubPLOs]],"&gt;=6",tbl_task2[[SubPLOs]:[SubPLOs]],"&lt;7")</f>
        <v>0</v>
      </c>
      <c r="BC39" s="138">
        <f>SUMIFS(tbl_task2[S50],tbl_task2[[SubPLOs]:[SubPLOs]],"&gt;=6",tbl_task2[[SubPLOs]:[SubPLOs]],"&lt;7")</f>
        <v>0</v>
      </c>
      <c r="BD39" s="138">
        <f>SUMIFS(tbl_task2[S51],tbl_task2[[SubPLOs]:[SubPLOs]],"&gt;=6",tbl_task2[[SubPLOs]:[SubPLOs]],"&lt;7")</f>
        <v>0</v>
      </c>
      <c r="BE39" s="138">
        <f>SUMIFS(tbl_task2[S52],tbl_task2[[SubPLOs]:[SubPLOs]],"&gt;=6",tbl_task2[[SubPLOs]:[SubPLOs]],"&lt;7")</f>
        <v>0</v>
      </c>
      <c r="BF39" s="138">
        <f>SUMIFS(tbl_task2[S53],tbl_task2[[SubPLOs]:[SubPLOs]],"&gt;=6",tbl_task2[[SubPLOs]:[SubPLOs]],"&lt;7")</f>
        <v>0</v>
      </c>
      <c r="BG39" s="138">
        <f>SUMIFS(tbl_task2[S54],tbl_task2[[SubPLOs]:[SubPLOs]],"&gt;=6",tbl_task2[[SubPLOs]:[SubPLOs]],"&lt;7")</f>
        <v>0</v>
      </c>
      <c r="BH39" s="138">
        <f>SUMIFS(tbl_task2[S55],tbl_task2[[SubPLOs]:[SubPLOs]],"&gt;=6",tbl_task2[[SubPLOs]:[SubPLOs]],"&lt;7")</f>
        <v>0</v>
      </c>
      <c r="BI39" s="138">
        <f>SUMIFS(tbl_task2[S56],tbl_task2[[SubPLOs]:[SubPLOs]],"&gt;=6",tbl_task2[[SubPLOs]:[SubPLOs]],"&lt;7")</f>
        <v>0</v>
      </c>
      <c r="BJ39" s="138">
        <f>SUMIFS(tbl_task2[S57],tbl_task2[[SubPLOs]:[SubPLOs]],"&gt;=6",tbl_task2[[SubPLOs]:[SubPLOs]],"&lt;7")</f>
        <v>0</v>
      </c>
      <c r="BK39" s="138">
        <f>SUMIFS(tbl_task2[S58],tbl_task2[[SubPLOs]:[SubPLOs]],"&gt;=6",tbl_task2[[SubPLOs]:[SubPLOs]],"&lt;7")</f>
        <v>0</v>
      </c>
      <c r="BL39" s="138">
        <f>SUMIFS(tbl_task2[S59],tbl_task2[[SubPLOs]:[SubPLOs]],"&gt;=6",tbl_task2[[SubPLOs]:[SubPLOs]],"&lt;7")</f>
        <v>0</v>
      </c>
      <c r="BM39" s="138">
        <f>SUMIFS(tbl_task2[S60],tbl_task2[[SubPLOs]:[SubPLOs]],"&gt;=6",tbl_task2[[SubPLOs]:[SubPLOs]],"&lt;7")</f>
        <v>0</v>
      </c>
      <c r="BN39" s="138">
        <f>SUMIFS(tbl_task2[S61],tbl_task2[[SubPLOs]:[SubPLOs]],"&gt;=6",tbl_task2[[SubPLOs]:[SubPLOs]],"&lt;7")</f>
        <v>0</v>
      </c>
      <c r="BO39" s="138">
        <f>SUMIFS(tbl_task2[S62],tbl_task2[[SubPLOs]:[SubPLOs]],"&gt;=6",tbl_task2[[SubPLOs]:[SubPLOs]],"&lt;7")</f>
        <v>0</v>
      </c>
      <c r="BP39" s="138">
        <f>SUMIFS(tbl_task2[S63],tbl_task2[[SubPLOs]:[SubPLOs]],"&gt;=6",tbl_task2[[SubPLOs]:[SubPLOs]],"&lt;7")</f>
        <v>0</v>
      </c>
      <c r="BQ39" s="138">
        <f>SUMIFS(tbl_task2[S64],tbl_task2[[SubPLOs]:[SubPLOs]],"&gt;=6",tbl_task2[[SubPLOs]:[SubPLOs]],"&lt;7")</f>
        <v>0</v>
      </c>
      <c r="BR39" s="138">
        <f>SUMIFS(tbl_task2[S65],tbl_task2[[SubPLOs]:[SubPLOs]],"&gt;=6",tbl_task2[[SubPLOs]:[SubPLOs]],"&lt;7")</f>
        <v>0</v>
      </c>
      <c r="BS39" s="138">
        <f>SUMIFS(tbl_task2[S66],tbl_task2[[SubPLOs]:[SubPLOs]],"&gt;=6",tbl_task2[[SubPLOs]:[SubPLOs]],"&lt;7")</f>
        <v>0</v>
      </c>
      <c r="BT39" s="138">
        <f>SUMIFS(tbl_task2[S67],tbl_task2[[SubPLOs]:[SubPLOs]],"&gt;=6",tbl_task2[[SubPLOs]:[SubPLOs]],"&lt;7")</f>
        <v>0</v>
      </c>
      <c r="BU39" s="138">
        <f>SUMIFS(tbl_task2[S68],tbl_task2[[SubPLOs]:[SubPLOs]],"&gt;=6",tbl_task2[[SubPLOs]:[SubPLOs]],"&lt;7")</f>
        <v>0</v>
      </c>
      <c r="BV39" s="138">
        <f>SUMIFS(tbl_task2[S69],tbl_task2[[SubPLOs]:[SubPLOs]],"&gt;=6",tbl_task2[[SubPLOs]:[SubPLOs]],"&lt;7")</f>
        <v>0</v>
      </c>
      <c r="BW39" s="138">
        <f>SUMIFS(tbl_task2[S70],tbl_task2[[SubPLOs]:[SubPLOs]],"&gt;=6",tbl_task2[[SubPLOs]:[SubPLOs]],"&lt;7")</f>
        <v>0</v>
      </c>
      <c r="BX39" s="138">
        <f>SUMIFS(tbl_task2[S71],tbl_task2[[SubPLOs]:[SubPLOs]],"&gt;=6",tbl_task2[[SubPLOs]:[SubPLOs]],"&lt;7")</f>
        <v>0</v>
      </c>
      <c r="BY39" s="138">
        <f>SUMIFS(tbl_task2[S72],tbl_task2[[SubPLOs]:[SubPLOs]],"&gt;=6",tbl_task2[[SubPLOs]:[SubPLOs]],"&lt;7")</f>
        <v>0</v>
      </c>
      <c r="BZ39" s="138">
        <f>SUMIFS(tbl_task2[S73],tbl_task2[[SubPLOs]:[SubPLOs]],"&gt;=6",tbl_task2[[SubPLOs]:[SubPLOs]],"&lt;7")</f>
        <v>0</v>
      </c>
      <c r="CA39" s="138">
        <f>SUMIFS(tbl_task2[S74],tbl_task2[[SubPLOs]:[SubPLOs]],"&gt;=6",tbl_task2[[SubPLOs]:[SubPLOs]],"&lt;7")</f>
        <v>0</v>
      </c>
      <c r="CB39" s="138">
        <f>SUMIFS(tbl_task2[S75],tbl_task2[[SubPLOs]:[SubPLOs]],"&gt;=6",tbl_task2[[SubPLOs]:[SubPLOs]],"&lt;7")</f>
        <v>0</v>
      </c>
      <c r="CC39" s="138">
        <f>SUMIFS(tbl_task2[S76],tbl_task2[[SubPLOs]:[SubPLOs]],"&gt;=6",tbl_task2[[SubPLOs]:[SubPLOs]],"&lt;7")</f>
        <v>0</v>
      </c>
      <c r="CD39" s="138">
        <f>SUMIFS(tbl_task2[S77],tbl_task2[[SubPLOs]:[SubPLOs]],"&gt;=6",tbl_task2[[SubPLOs]:[SubPLOs]],"&lt;7")</f>
        <v>0</v>
      </c>
      <c r="CE39" s="138">
        <f>SUMIFS(tbl_task2[S78],tbl_task2[[SubPLOs]:[SubPLOs]],"&gt;=6",tbl_task2[[SubPLOs]:[SubPLOs]],"&lt;7")</f>
        <v>0</v>
      </c>
      <c r="CF39" s="138">
        <f>SUMIFS(tbl_task2[S79],tbl_task2[[SubPLOs]:[SubPLOs]],"&gt;=6",tbl_task2[[SubPLOs]:[SubPLOs]],"&lt;7")</f>
        <v>0</v>
      </c>
      <c r="CG39" s="138">
        <f>SUMIFS(tbl_task2[S80],tbl_task2[[SubPLOs]:[SubPLOs]],"&gt;=6",tbl_task2[[SubPLOs]:[SubPLOs]],"&lt;7")</f>
        <v>0</v>
      </c>
      <c r="CH39" s="138">
        <f>SUMIFS(tbl_task2[S81],tbl_task2[[SubPLOs]:[SubPLOs]],"&gt;=6",tbl_task2[[SubPLOs]:[SubPLOs]],"&lt;7")</f>
        <v>0</v>
      </c>
      <c r="CI39" s="138">
        <f>SUMIFS(tbl_task2[S82],tbl_task2[[SubPLOs]:[SubPLOs]],"&gt;=6",tbl_task2[[SubPLOs]:[SubPLOs]],"&lt;7")</f>
        <v>0</v>
      </c>
      <c r="CJ39" s="138">
        <f>SUMIFS(tbl_task2[S83],tbl_task2[[SubPLOs]:[SubPLOs]],"&gt;=6",tbl_task2[[SubPLOs]:[SubPLOs]],"&lt;7")</f>
        <v>0</v>
      </c>
      <c r="CK39" s="138">
        <f>SUMIFS(tbl_task2[S84],tbl_task2[[SubPLOs]:[SubPLOs]],"&gt;=6",tbl_task2[[SubPLOs]:[SubPLOs]],"&lt;7")</f>
        <v>0</v>
      </c>
      <c r="CL39" s="138">
        <f>SUMIFS(tbl_task2[S85],tbl_task2[[SubPLOs]:[SubPLOs]],"&gt;=6",tbl_task2[[SubPLOs]:[SubPLOs]],"&lt;7")</f>
        <v>0</v>
      </c>
      <c r="CM39" s="138">
        <f>SUMIFS(tbl_task2[S86],tbl_task2[[SubPLOs]:[SubPLOs]],"&gt;=6",tbl_task2[[SubPLOs]:[SubPLOs]],"&lt;7")</f>
        <v>0</v>
      </c>
      <c r="CN39" s="138">
        <f>SUMIFS(tbl_task2[S87],tbl_task2[[SubPLOs]:[SubPLOs]],"&gt;=6",tbl_task2[[SubPLOs]:[SubPLOs]],"&lt;7")</f>
        <v>0</v>
      </c>
      <c r="CO39" s="138">
        <f>SUMIFS(tbl_task2[S88],tbl_task2[[SubPLOs]:[SubPLOs]],"&gt;=6",tbl_task2[[SubPLOs]:[SubPLOs]],"&lt;7")</f>
        <v>0</v>
      </c>
      <c r="CP39" s="138">
        <f>SUMIFS(tbl_task2[S89],tbl_task2[[SubPLOs]:[SubPLOs]],"&gt;=6",tbl_task2[[SubPLOs]:[SubPLOs]],"&lt;7")</f>
        <v>0</v>
      </c>
      <c r="CQ39" s="138">
        <f>SUMIFS(tbl_task2[S90],tbl_task2[[SubPLOs]:[SubPLOs]],"&gt;=6",tbl_task2[[SubPLOs]:[SubPLOs]],"&lt;7")</f>
        <v>0</v>
      </c>
      <c r="CR39" s="138">
        <f>SUMIFS(tbl_task2[S91],tbl_task2[[SubPLOs]:[SubPLOs]],"&gt;=6",tbl_task2[[SubPLOs]:[SubPLOs]],"&lt;7")</f>
        <v>0</v>
      </c>
      <c r="CS39" s="138">
        <f>SUMIFS(tbl_task2[S92],tbl_task2[[SubPLOs]:[SubPLOs]],"&gt;=6",tbl_task2[[SubPLOs]:[SubPLOs]],"&lt;7")</f>
        <v>0</v>
      </c>
      <c r="CT39" s="138">
        <f>SUMIFS(tbl_task2[S93],tbl_task2[[SubPLOs]:[SubPLOs]],"&gt;=6",tbl_task2[[SubPLOs]:[SubPLOs]],"&lt;7")</f>
        <v>0</v>
      </c>
      <c r="CU39" s="138">
        <f>SUMIFS(tbl_task2[S94],tbl_task2[[SubPLOs]:[SubPLOs]],"&gt;=6",tbl_task2[[SubPLOs]:[SubPLOs]],"&lt;7")</f>
        <v>0</v>
      </c>
      <c r="CV39" s="138">
        <f>SUMIFS(tbl_task2[S95],tbl_task2[[SubPLOs]:[SubPLOs]],"&gt;=6",tbl_task2[[SubPLOs]:[SubPLOs]],"&lt;7")</f>
        <v>0</v>
      </c>
      <c r="CW39" s="138">
        <f>SUMIFS(tbl_task2[S96],tbl_task2[[SubPLOs]:[SubPLOs]],"&gt;=6",tbl_task2[[SubPLOs]:[SubPLOs]],"&lt;7")</f>
        <v>0</v>
      </c>
      <c r="CX39" s="138">
        <f>SUMIFS(tbl_task2[S97],tbl_task2[[SubPLOs]:[SubPLOs]],"&gt;=6",tbl_task2[[SubPLOs]:[SubPLOs]],"&lt;7")</f>
        <v>0</v>
      </c>
      <c r="CY39" s="138">
        <f>SUMIFS(tbl_task2[S98],tbl_task2[[SubPLOs]:[SubPLOs]],"&gt;=6",tbl_task2[[SubPLOs]:[SubPLOs]],"&lt;7")</f>
        <v>0</v>
      </c>
      <c r="CZ39" s="138">
        <f>SUMIFS(tbl_task2[S99],tbl_task2[[SubPLOs]:[SubPLOs]],"&gt;=6",tbl_task2[[SubPLOs]:[SubPLOs]],"&lt;7")</f>
        <v>0</v>
      </c>
      <c r="DA39" s="138">
        <f>SUMIFS(tbl_task2[S100],tbl_task2[[SubPLOs]:[SubPLOs]],"&gt;=6",tbl_task2[[SubPLOs]:[SubPLOs]],"&lt;7")</f>
        <v>0</v>
      </c>
      <c r="DB39" s="138">
        <f>SUMIFS(tbl_task2[S101],tbl_task2[[SubPLOs]:[SubPLOs]],"&gt;=6",tbl_task2[[SubPLOs]:[SubPLOs]],"&lt;7")</f>
        <v>0</v>
      </c>
      <c r="DC39" s="138">
        <f>SUMIFS(tbl_task2[S102],tbl_task2[[SubPLOs]:[SubPLOs]],"&gt;=6",tbl_task2[[SubPLOs]:[SubPLOs]],"&lt;7")</f>
        <v>0</v>
      </c>
      <c r="DD39" s="138">
        <f>SUMIFS(tbl_task2[S103],tbl_task2[[SubPLOs]:[SubPLOs]],"&gt;=6",tbl_task2[[SubPLOs]:[SubPLOs]],"&lt;7")</f>
        <v>0</v>
      </c>
      <c r="DE39" s="138">
        <f>SUMIFS(tbl_task2[S104],tbl_task2[[SubPLOs]:[SubPLOs]],"&gt;=6",tbl_task2[[SubPLOs]:[SubPLOs]],"&lt;7")</f>
        <v>0</v>
      </c>
      <c r="DF39" s="138">
        <f>SUMIFS(tbl_task2[S105],tbl_task2[[SubPLOs]:[SubPLOs]],"&gt;=6",tbl_task2[[SubPLOs]:[SubPLOs]],"&lt;7")</f>
        <v>0</v>
      </c>
      <c r="DG39" s="138">
        <f>SUMIFS(tbl_task2[S106],tbl_task2[[SubPLOs]:[SubPLOs]],"&gt;=6",tbl_task2[[SubPLOs]:[SubPLOs]],"&lt;7")</f>
        <v>0</v>
      </c>
      <c r="DH39" s="138">
        <f>SUMIFS(tbl_task2[S106],tbl_task2[[SubPLOs]:[SubPLOs]],"&gt;=6",tbl_task2[[SubPLOs]:[SubPLOs]],"&lt;7")</f>
        <v>0</v>
      </c>
      <c r="DI39" s="138">
        <f>SUMIFS(tbl_task2[S108],tbl_task2[[SubPLOs]:[SubPLOs]],"&gt;=6",tbl_task2[[SubPLOs]:[SubPLOs]],"&lt;7")</f>
        <v>0</v>
      </c>
      <c r="DJ39" s="138">
        <f>SUMIFS(tbl_task2[S109],tbl_task2[[SubPLOs]:[SubPLOs]],"&gt;=6",tbl_task2[[SubPLOs]:[SubPLOs]],"&lt;7")</f>
        <v>0</v>
      </c>
      <c r="DK39" s="138">
        <f>SUMIFS(tbl_task2[S110],tbl_task2[[SubPLOs]:[SubPLOs]],"&gt;=6",tbl_task2[[SubPLOs]:[SubPLOs]],"&lt;7")</f>
        <v>0</v>
      </c>
      <c r="DL39" s="138">
        <f>SUMIFS(tbl_task2[S111],tbl_task2[[SubPLOs]:[SubPLOs]],"&gt;=6",tbl_task2[[SubPLOs]:[SubPLOs]],"&lt;7")</f>
        <v>0</v>
      </c>
      <c r="DM39" s="138">
        <f>SUMIFS(tbl_task2[S112],tbl_task2[[SubPLOs]:[SubPLOs]],"&gt;=6",tbl_task2[[SubPLOs]:[SubPLOs]],"&lt;7")</f>
        <v>0</v>
      </c>
      <c r="DN39" s="138">
        <f>SUMIFS(tbl_task2[S113],tbl_task2[[SubPLOs]:[SubPLOs]],"&gt;=6",tbl_task2[[SubPLOs]:[SubPLOs]],"&lt;7")</f>
        <v>0</v>
      </c>
      <c r="DO39" s="138">
        <f>SUMIFS(tbl_task2[S114],tbl_task2[[SubPLOs]:[SubPLOs]],"&gt;=6",tbl_task2[[SubPLOs]:[SubPLOs]],"&lt;7")</f>
        <v>0</v>
      </c>
      <c r="DP39" s="138">
        <f>SUMIFS(tbl_task2[S115],tbl_task2[[SubPLOs]:[SubPLOs]],"&gt;=6",tbl_task2[[SubPLOs]:[SubPLOs]],"&lt;7")</f>
        <v>0</v>
      </c>
      <c r="DQ39" s="138">
        <f>SUMIFS(tbl_task2[S116],tbl_task2[[SubPLOs]:[SubPLOs]],"&gt;=6",tbl_task2[[SubPLOs]:[SubPLOs]],"&lt;7")</f>
        <v>0</v>
      </c>
      <c r="DR39" s="138">
        <f>SUMIFS(tbl_task2[S117],tbl_task2[[SubPLOs]:[SubPLOs]],"&gt;=6",tbl_task2[[SubPLOs]:[SubPLOs]],"&lt;7")</f>
        <v>0</v>
      </c>
      <c r="DS39" s="138">
        <f>SUMIFS(tbl_task2[S118],tbl_task2[[SubPLOs]:[SubPLOs]],"&gt;=6",tbl_task2[[SubPLOs]:[SubPLOs]],"&lt;7")</f>
        <v>0</v>
      </c>
      <c r="DT39" s="138">
        <f>SUMIFS(tbl_task2[S119],tbl_task2[[SubPLOs]:[SubPLOs]],"&gt;=6",tbl_task2[[SubPLOs]:[SubPLOs]],"&lt;7")</f>
        <v>0</v>
      </c>
      <c r="DU39" s="138">
        <f>SUMIFS(tbl_task2[S120],tbl_task2[[SubPLOs]:[SubPLOs]],"&gt;=6",tbl_task2[[SubPLOs]:[SubPLOs]],"&lt;7")</f>
        <v>0</v>
      </c>
      <c r="DV39" s="138">
        <f>SUMIFS(tbl_task2[S121],tbl_task2[[SubPLOs]:[SubPLOs]],"&gt;=6",tbl_task2[[SubPLOs]:[SubPLOs]],"&lt;7")</f>
        <v>0</v>
      </c>
      <c r="DW39" s="138">
        <f>SUMIFS(tbl_task2[S122],tbl_task2[[SubPLOs]:[SubPLOs]],"&gt;=6",tbl_task2[[SubPLOs]:[SubPLOs]],"&lt;7")</f>
        <v>0</v>
      </c>
      <c r="DX39" s="138">
        <f>SUMIFS(tbl_task2[S123],tbl_task2[[SubPLOs]:[SubPLOs]],"&gt;=6",tbl_task2[[SubPLOs]:[SubPLOs]],"&lt;7")</f>
        <v>0</v>
      </c>
      <c r="DY39" s="138">
        <f>SUMIFS(tbl_task2[S124],tbl_task2[[SubPLOs]:[SubPLOs]],"&gt;=6",tbl_task2[[SubPLOs]:[SubPLOs]],"&lt;7")</f>
        <v>0</v>
      </c>
      <c r="DZ39" s="138">
        <f>SUMIFS(tbl_task2[S125],tbl_task2[[SubPLOs]:[SubPLOs]],"&gt;=6",tbl_task2[[SubPLOs]:[SubPLOs]],"&lt;7")</f>
        <v>0</v>
      </c>
      <c r="EA39" s="138">
        <f>SUMIFS(tbl_task2[S126],tbl_task2[[SubPLOs]:[SubPLOs]],"&gt;=6",tbl_task2[[SubPLOs]:[SubPLOs]],"&lt;7")</f>
        <v>0</v>
      </c>
      <c r="EB39" s="138">
        <f>SUMIFS(tbl_task2[S127],tbl_task2[[SubPLOs]:[SubPLOs]],"&gt;=6",tbl_task2[[SubPLOs]:[SubPLOs]],"&lt;7")</f>
        <v>0</v>
      </c>
      <c r="EC39" s="138">
        <f>SUMIFS(tbl_task2[S128],tbl_task2[[SubPLOs]:[SubPLOs]],"&gt;=6",tbl_task2[[SubPLOs]:[SubPLOs]],"&lt;7")</f>
        <v>0</v>
      </c>
      <c r="ED39" s="138">
        <f>SUMIFS(tbl_task2[S129],tbl_task2[[SubPLOs]:[SubPLOs]],"&gt;=6",tbl_task2[[SubPLOs]:[SubPLOs]],"&lt;7")</f>
        <v>0</v>
      </c>
      <c r="EE39" s="138">
        <f>SUMIFS(tbl_task2[S130],tbl_task2[[SubPLOs]:[SubPLOs]],"&gt;=6",tbl_task2[[SubPLOs]:[SubPLOs]],"&lt;7")</f>
        <v>0</v>
      </c>
      <c r="EF39" s="138">
        <f>SUMIFS(tbl_task2[S131],tbl_task2[[SubPLOs]:[SubPLOs]],"&gt;=6",tbl_task2[[SubPLOs]:[SubPLOs]],"&lt;7")</f>
        <v>0</v>
      </c>
      <c r="EG39" s="138">
        <f>SUMIFS(tbl_task2[S132],tbl_task2[[SubPLOs]:[SubPLOs]],"&gt;=6",tbl_task2[[SubPLOs]:[SubPLOs]],"&lt;7")</f>
        <v>0</v>
      </c>
      <c r="EH39" s="138">
        <f>SUMIFS(tbl_task2[S133],tbl_task2[[SubPLOs]:[SubPLOs]],"&gt;=6",tbl_task2[[SubPLOs]:[SubPLOs]],"&lt;7")</f>
        <v>0</v>
      </c>
      <c r="EI39" s="138">
        <f>SUMIFS(tbl_task2[S134],tbl_task2[[SubPLOs]:[SubPLOs]],"&gt;=6",tbl_task2[[SubPLOs]:[SubPLOs]],"&lt;7")</f>
        <v>0</v>
      </c>
      <c r="EJ39" s="138">
        <f>SUMIFS(tbl_task2[S135],tbl_task2[[SubPLOs]:[SubPLOs]],"&gt;=6",tbl_task2[[SubPLOs]:[SubPLOs]],"&lt;7")</f>
        <v>0</v>
      </c>
      <c r="EK39" s="138">
        <f>SUMIFS(tbl_task2[S136],tbl_task2[[SubPLOs]:[SubPLOs]],"&gt;=6",tbl_task2[[SubPLOs]:[SubPLOs]],"&lt;7")</f>
        <v>0</v>
      </c>
      <c r="EL39" s="138">
        <f>SUMIFS(tbl_task2[S137],tbl_task2[[SubPLOs]:[SubPLOs]],"&gt;=6",tbl_task2[[SubPLOs]:[SubPLOs]],"&lt;7")</f>
        <v>0</v>
      </c>
      <c r="EM39" s="138">
        <f>SUMIFS(tbl_task2[S138],tbl_task2[[SubPLOs]:[SubPLOs]],"&gt;=6",tbl_task2[[SubPLOs]:[SubPLOs]],"&lt;7")</f>
        <v>0</v>
      </c>
      <c r="EN39" s="138">
        <f>SUMIFS(tbl_task2[S139],tbl_task2[[SubPLOs]:[SubPLOs]],"&gt;=6",tbl_task2[[SubPLOs]:[SubPLOs]],"&lt;7")</f>
        <v>0</v>
      </c>
      <c r="EO39" s="138">
        <f>SUMIFS(tbl_task2[S140],tbl_task2[[SubPLOs]:[SubPLOs]],"&gt;=6",tbl_task2[[SubPLOs]:[SubPLOs]],"&lt;7")</f>
        <v>0</v>
      </c>
      <c r="EP39" s="138">
        <f>SUMIFS(tbl_task2[S141],tbl_task2[[SubPLOs]:[SubPLOs]],"&gt;=6",tbl_task2[[SubPLOs]:[SubPLOs]],"&lt;7")</f>
        <v>0</v>
      </c>
      <c r="EQ39" s="138">
        <f>SUMIFS(tbl_task2[S142],tbl_task2[[SubPLOs]:[SubPLOs]],"&gt;=6",tbl_task2[[SubPLOs]:[SubPLOs]],"&lt;7")</f>
        <v>0</v>
      </c>
      <c r="ER39" s="138">
        <f>SUMIFS(tbl_task2[S143],tbl_task2[[SubPLOs]:[SubPLOs]],"&gt;=6",tbl_task2[[SubPLOs]:[SubPLOs]],"&lt;7")</f>
        <v>0</v>
      </c>
      <c r="ES39" s="138">
        <f>SUMIFS(tbl_task2[S144],tbl_task2[[SubPLOs]:[SubPLOs]],"&gt;=6",tbl_task2[[SubPLOs]:[SubPLOs]],"&lt;7")</f>
        <v>0</v>
      </c>
      <c r="ET39" s="138">
        <f>SUMIFS(tbl_task2[S145],tbl_task2[[SubPLOs]:[SubPLOs]],"&gt;=6",tbl_task2[[SubPLOs]:[SubPLOs]],"&lt;7")</f>
        <v>0</v>
      </c>
      <c r="EU39" s="138">
        <f>SUMIFS(tbl_task2[S146],tbl_task2[[SubPLOs]:[SubPLOs]],"&gt;=6",tbl_task2[[SubPLOs]:[SubPLOs]],"&lt;7")</f>
        <v>0</v>
      </c>
      <c r="EV39" s="138">
        <f>SUMIFS(tbl_task2[S147],tbl_task2[[SubPLOs]:[SubPLOs]],"&gt;=6",tbl_task2[[SubPLOs]:[SubPLOs]],"&lt;7")</f>
        <v>0</v>
      </c>
      <c r="EW39" s="138">
        <f>SUMIFS(tbl_task2[S148],tbl_task2[[SubPLOs]:[SubPLOs]],"&gt;=6",tbl_task2[[SubPLOs]:[SubPLOs]],"&lt;7")</f>
        <v>0</v>
      </c>
      <c r="EX39" s="138">
        <f>SUMIFS(tbl_task2[S149],tbl_task2[[SubPLOs]:[SubPLOs]],"&gt;=6",tbl_task2[[SubPLOs]:[SubPLOs]],"&lt;7")</f>
        <v>0</v>
      </c>
      <c r="EY39" s="138">
        <f>SUMIFS(tbl_task2[S150],tbl_task2[[SubPLOs]:[SubPLOs]],"&gt;=6",tbl_task2[[SubPLOs]:[SubPLOs]],"&lt;7")</f>
        <v>0</v>
      </c>
      <c r="EZ39" s="138">
        <f>SUMIFS(tbl_task2[S151],tbl_task2[[SubPLOs]:[SubPLOs]],"&gt;=6",tbl_task2[[SubPLOs]:[SubPLOs]],"&lt;7")</f>
        <v>0</v>
      </c>
      <c r="FA39" s="138">
        <f>SUMIFS(tbl_task2[S152],tbl_task2[[SubPLOs]:[SubPLOs]],"&gt;=6",tbl_task2[[SubPLOs]:[SubPLOs]],"&lt;7")</f>
        <v>0</v>
      </c>
      <c r="FB39" s="138">
        <f>SUMIFS(tbl_task2[S153],tbl_task2[[SubPLOs]:[SubPLOs]],"&gt;=6",tbl_task2[[SubPLOs]:[SubPLOs]],"&lt;7")</f>
        <v>0</v>
      </c>
      <c r="FC39" s="138">
        <f>SUMIFS(tbl_task2[S154],tbl_task2[[SubPLOs]:[SubPLOs]],"&gt;=6",tbl_task2[[SubPLOs]:[SubPLOs]],"&lt;7")</f>
        <v>0</v>
      </c>
      <c r="FD39" s="138">
        <f>SUMIFS(tbl_task2[S155],tbl_task2[[SubPLOs]:[SubPLOs]],"&gt;=6",tbl_task2[[SubPLOs]:[SubPLOs]],"&lt;7")</f>
        <v>0</v>
      </c>
      <c r="FE39" s="138">
        <f>SUMIFS(tbl_task2[S156],tbl_task2[[SubPLOs]:[SubPLOs]],"&gt;=6",tbl_task2[[SubPLOs]:[SubPLOs]],"&lt;7")</f>
        <v>0</v>
      </c>
      <c r="FF39" s="138">
        <f>SUMIFS(tbl_task2[S157],tbl_task2[[SubPLOs]:[SubPLOs]],"&gt;=6",tbl_task2[[SubPLOs]:[SubPLOs]],"&lt;7")</f>
        <v>0</v>
      </c>
      <c r="FG39" s="138">
        <f>SUMIFS(tbl_task2[S158],tbl_task2[[SubPLOs]:[SubPLOs]],"&gt;=6",tbl_task2[[SubPLOs]:[SubPLOs]],"&lt;7")</f>
        <v>0</v>
      </c>
      <c r="FH39" s="138">
        <f>SUMIFS(tbl_task2[S159],tbl_task2[[SubPLOs]:[SubPLOs]],"&gt;=6",tbl_task2[[SubPLOs]:[SubPLOs]],"&lt;7")</f>
        <v>0</v>
      </c>
      <c r="FI39" s="138">
        <f>SUMIFS(tbl_task2[S160],tbl_task2[[SubPLOs]:[SubPLOs]],"&gt;=6",tbl_task2[[SubPLOs]:[SubPLOs]],"&lt;7")</f>
        <v>0</v>
      </c>
      <c r="FJ39" s="138">
        <f>SUMIFS(tbl_task2[S161],tbl_task2[[SubPLOs]:[SubPLOs]],"&gt;=6",tbl_task2[[SubPLOs]:[SubPLOs]],"&lt;7")</f>
        <v>0</v>
      </c>
      <c r="FK39" s="138">
        <f>SUMIFS(tbl_task2[S162],tbl_task2[[SubPLOs]:[SubPLOs]],"&gt;=6",tbl_task2[[SubPLOs]:[SubPLOs]],"&lt;7")</f>
        <v>0</v>
      </c>
      <c r="FL39" s="138">
        <f>SUMIFS(tbl_task2[S163],tbl_task2[[SubPLOs]:[SubPLOs]],"&gt;=6",tbl_task2[[SubPLOs]:[SubPLOs]],"&lt;7")</f>
        <v>0</v>
      </c>
      <c r="FM39" s="138">
        <f>SUMIFS(tbl_task2[S164],tbl_task2[[SubPLOs]:[SubPLOs]],"&gt;=6",tbl_task2[[SubPLOs]:[SubPLOs]],"&lt;7")</f>
        <v>0</v>
      </c>
      <c r="FN39" s="138">
        <f>SUMIFS(tbl_task2[S165],tbl_task2[[SubPLOs]:[SubPLOs]],"&gt;=6",tbl_task2[[SubPLOs]:[SubPLOs]],"&lt;7")</f>
        <v>0</v>
      </c>
    </row>
    <row r="40" spans="1:170" ht="42" x14ac:dyDescent="0.25">
      <c r="A40" s="135">
        <v>7</v>
      </c>
      <c r="B40" s="5" t="s">
        <v>440</v>
      </c>
      <c r="C40" s="136">
        <f>COUNTIFS(tbl_task2[SubPLOs],"&gt;=7",tbl_task2[SubPLOs],"&lt;8")</f>
        <v>0</v>
      </c>
      <c r="D40" s="136">
        <f>SUMIFS(tbl_task2[คะแนนเต็ม],tbl_task2[SubPLOs],"&gt;=7",tbl_task2[SubPLOs],"&lt;8")</f>
        <v>0</v>
      </c>
      <c r="E40" s="137">
        <f>SUMIFS(tbl_task2[%],tbl_task2[SubPLOs],"&gt;=7",tbl_task2[SubPLOs],"&lt;8")</f>
        <v>0</v>
      </c>
      <c r="F40" s="138">
        <f>SUMIFS(tbl_task2[S1],tbl_task2[[SubPLOs]:[SubPLOs]],"&gt;=7",tbl_task2[[SubPLOs]:[SubPLOs]],"&lt;8")</f>
        <v>0</v>
      </c>
      <c r="G40" s="138">
        <f>SUMIFS(tbl_task2[S2],tbl_task2[[SubPLOs]:[SubPLOs]],"&gt;=7",tbl_task2[[SubPLOs]:[SubPLOs]],"&lt;8")</f>
        <v>0</v>
      </c>
      <c r="H40" s="138">
        <f>SUMIFS(tbl_task2[S3],tbl_task2[[SubPLOs]:[SubPLOs]],"&gt;=7",tbl_task2[[SubPLOs]:[SubPLOs]],"&lt;8")</f>
        <v>0</v>
      </c>
      <c r="I40" s="138">
        <f>SUMIFS(tbl_task2[S4],tbl_task2[[SubPLOs]:[SubPLOs]],"&gt;=7",tbl_task2[[SubPLOs]:[SubPLOs]],"&lt;8")</f>
        <v>0</v>
      </c>
      <c r="J40" s="138">
        <f>SUMIFS(tbl_task2[S5],tbl_task2[[SubPLOs]:[SubPLOs]],"&gt;=7",tbl_task2[[SubPLOs]:[SubPLOs]],"&lt;8")</f>
        <v>0</v>
      </c>
      <c r="K40" s="138">
        <f>SUMIFS(tbl_task2[S6],tbl_task2[[SubPLOs]:[SubPLOs]],"&gt;=7",tbl_task2[[SubPLOs]:[SubPLOs]],"&lt;8")</f>
        <v>0</v>
      </c>
      <c r="L40" s="138">
        <f>SUMIFS(tbl_task2[S7],tbl_task2[[SubPLOs]:[SubPLOs]],"&gt;=7",tbl_task2[[SubPLOs]:[SubPLOs]],"&lt;8")</f>
        <v>0</v>
      </c>
      <c r="M40" s="138">
        <f>SUMIFS(tbl_task2[S8],tbl_task2[[SubPLOs]:[SubPLOs]],"&gt;=7",tbl_task2[[SubPLOs]:[SubPLOs]],"&lt;8")</f>
        <v>0</v>
      </c>
      <c r="N40" s="138">
        <f>SUMIFS(tbl_task2[S9],tbl_task2[[SubPLOs]:[SubPLOs]],"&gt;=7",tbl_task2[[SubPLOs]:[SubPLOs]],"&lt;8")</f>
        <v>0</v>
      </c>
      <c r="O40" s="138">
        <f>SUMIFS(tbl_task2[S10],tbl_task2[[SubPLOs]:[SubPLOs]],"&gt;=7",tbl_task2[[SubPLOs]:[SubPLOs]],"&lt;8")</f>
        <v>0</v>
      </c>
      <c r="P40" s="138">
        <f>SUMIFS(tbl_task2[S11],tbl_task2[[SubPLOs]:[SubPLOs]],"&gt;=7",tbl_task2[[SubPLOs]:[SubPLOs]],"&lt;8")</f>
        <v>0</v>
      </c>
      <c r="Q40" s="138">
        <f>SUMIFS(tbl_task2[S12],tbl_task2[[SubPLOs]:[SubPLOs]],"&gt;=7",tbl_task2[[SubPLOs]:[SubPLOs]],"&lt;8")</f>
        <v>0</v>
      </c>
      <c r="R40" s="138">
        <f>SUMIFS(tbl_task2[S13],tbl_task2[[SubPLOs]:[SubPLOs]],"&gt;=7",tbl_task2[[SubPLOs]:[SubPLOs]],"&lt;8")</f>
        <v>0</v>
      </c>
      <c r="S40" s="138">
        <f>SUMIFS(tbl_task2[S14],tbl_task2[[SubPLOs]:[SubPLOs]],"&gt;=7",tbl_task2[[SubPLOs]:[SubPLOs]],"&lt;8")</f>
        <v>0</v>
      </c>
      <c r="T40" s="138">
        <f>SUMIFS(tbl_task2[S15],tbl_task2[[SubPLOs]:[SubPLOs]],"&gt;=7",tbl_task2[[SubPLOs]:[SubPLOs]],"&lt;8")</f>
        <v>0</v>
      </c>
      <c r="U40" s="138">
        <f>SUMIFS(tbl_task2[S16],tbl_task2[[SubPLOs]:[SubPLOs]],"&gt;=7",tbl_task2[[SubPLOs]:[SubPLOs]],"&lt;8")</f>
        <v>0</v>
      </c>
      <c r="V40" s="138">
        <f>SUMIFS(tbl_task2[S17],tbl_task2[[SubPLOs]:[SubPLOs]],"&gt;=7",tbl_task2[[SubPLOs]:[SubPLOs]],"&lt;8")</f>
        <v>0</v>
      </c>
      <c r="W40" s="138">
        <f>SUMIFS(tbl_task2[S18],tbl_task2[[SubPLOs]:[SubPLOs]],"&gt;=7",tbl_task2[[SubPLOs]:[SubPLOs]],"&lt;8")</f>
        <v>0</v>
      </c>
      <c r="X40" s="138">
        <f>SUMIFS(tbl_task2[S19],tbl_task2[[SubPLOs]:[SubPLOs]],"&gt;=7",tbl_task2[[SubPLOs]:[SubPLOs]],"&lt;8")</f>
        <v>0</v>
      </c>
      <c r="Y40" s="138">
        <f>SUMIFS(tbl_task2[S20],tbl_task2[[SubPLOs]:[SubPLOs]],"&gt;=7",tbl_task2[[SubPLOs]:[SubPLOs]],"&lt;8")</f>
        <v>0</v>
      </c>
      <c r="Z40" s="138">
        <f>SUMIFS(tbl_task2[S21],tbl_task2[[SubPLOs]:[SubPLOs]],"&gt;=7",tbl_task2[[SubPLOs]:[SubPLOs]],"&lt;8")</f>
        <v>0</v>
      </c>
      <c r="AA40" s="138">
        <f>SUMIFS(tbl_task2[S22],tbl_task2[[SubPLOs]:[SubPLOs]],"&gt;=7",tbl_task2[[SubPLOs]:[SubPLOs]],"&lt;8")</f>
        <v>0</v>
      </c>
      <c r="AB40" s="138">
        <f>SUMIFS(tbl_task2[S23],tbl_task2[[SubPLOs]:[SubPLOs]],"&gt;=7",tbl_task2[[SubPLOs]:[SubPLOs]],"&lt;8")</f>
        <v>0</v>
      </c>
      <c r="AC40" s="138">
        <f>SUMIFS(tbl_task2[S24],tbl_task2[[SubPLOs]:[SubPLOs]],"&gt;=7",tbl_task2[[SubPLOs]:[SubPLOs]],"&lt;8")</f>
        <v>0</v>
      </c>
      <c r="AD40" s="138">
        <f>SUMIFS(tbl_task2[S25],tbl_task2[[SubPLOs]:[SubPLOs]],"&gt;=7",tbl_task2[[SubPLOs]:[SubPLOs]],"&lt;8")</f>
        <v>0</v>
      </c>
      <c r="AE40" s="138">
        <f>SUMIFS(tbl_task2[S26],tbl_task2[[SubPLOs]:[SubPLOs]],"&gt;=7",tbl_task2[[SubPLOs]:[SubPLOs]],"&lt;8")</f>
        <v>0</v>
      </c>
      <c r="AF40" s="138">
        <f>SUMIFS(tbl_task2[S27],tbl_task2[[SubPLOs]:[SubPLOs]],"&gt;=7",tbl_task2[[SubPLOs]:[SubPLOs]],"&lt;8")</f>
        <v>0</v>
      </c>
      <c r="AG40" s="138">
        <f>SUMIFS(tbl_task2[S28],tbl_task2[[SubPLOs]:[SubPLOs]],"&gt;=7",tbl_task2[[SubPLOs]:[SubPLOs]],"&lt;8")</f>
        <v>0</v>
      </c>
      <c r="AH40" s="138">
        <f>SUMIFS(tbl_task2[S29],tbl_task2[[SubPLOs]:[SubPLOs]],"&gt;=7",tbl_task2[[SubPLOs]:[SubPLOs]],"&lt;8")</f>
        <v>0</v>
      </c>
      <c r="AI40" s="138">
        <f>SUMIFS(tbl_task2[S30],tbl_task2[[SubPLOs]:[SubPLOs]],"&gt;=7",tbl_task2[[SubPLOs]:[SubPLOs]],"&lt;8")</f>
        <v>0</v>
      </c>
      <c r="AJ40" s="138">
        <f>SUMIFS(tbl_task2[S31],tbl_task2[[SubPLOs]:[SubPLOs]],"&gt;=7",tbl_task2[[SubPLOs]:[SubPLOs]],"&lt;8")</f>
        <v>0</v>
      </c>
      <c r="AK40" s="138">
        <f>SUMIFS(tbl_task2[S32],tbl_task2[[SubPLOs]:[SubPLOs]],"&gt;=7",tbl_task2[[SubPLOs]:[SubPLOs]],"&lt;8")</f>
        <v>0</v>
      </c>
      <c r="AL40" s="138">
        <f>SUMIFS(tbl_task2[S33],tbl_task2[[SubPLOs]:[SubPLOs]],"&gt;=7",tbl_task2[[SubPLOs]:[SubPLOs]],"&lt;8")</f>
        <v>0</v>
      </c>
      <c r="AM40" s="138">
        <f>SUMIFS(tbl_task2[S34],tbl_task2[[SubPLOs]:[SubPLOs]],"&gt;=7",tbl_task2[[SubPLOs]:[SubPLOs]],"&lt;8")</f>
        <v>0</v>
      </c>
      <c r="AN40" s="138">
        <f>SUMIFS(tbl_task2[S35],tbl_task2[[SubPLOs]:[SubPLOs]],"&gt;=7",tbl_task2[[SubPLOs]:[SubPLOs]],"&lt;8")</f>
        <v>0</v>
      </c>
      <c r="AO40" s="138">
        <f>SUMIFS(tbl_task2[S36],tbl_task2[[SubPLOs]:[SubPLOs]],"&gt;=7",tbl_task2[[SubPLOs]:[SubPLOs]],"&lt;8")</f>
        <v>0</v>
      </c>
      <c r="AP40" s="138">
        <f>SUMIFS(tbl_task2[S37],tbl_task2[[SubPLOs]:[SubPLOs]],"&gt;=7",tbl_task2[[SubPLOs]:[SubPLOs]],"&lt;8")</f>
        <v>0</v>
      </c>
      <c r="AQ40" s="138">
        <f>SUMIFS(tbl_task2[S38],tbl_task2[[SubPLOs]:[SubPLOs]],"&gt;=7",tbl_task2[[SubPLOs]:[SubPLOs]],"&lt;8")</f>
        <v>0</v>
      </c>
      <c r="AR40" s="138">
        <f>SUMIFS(tbl_task2[S39],tbl_task2[[SubPLOs]:[SubPLOs]],"&gt;=7",tbl_task2[[SubPLOs]:[SubPLOs]],"&lt;8")</f>
        <v>0</v>
      </c>
      <c r="AS40" s="138">
        <f>SUMIFS(tbl_task2[S40],tbl_task2[[SubPLOs]:[SubPLOs]],"&gt;=7",tbl_task2[[SubPLOs]:[SubPLOs]],"&lt;8")</f>
        <v>0</v>
      </c>
      <c r="AT40" s="138">
        <f>SUMIFS(tbl_task2[S41],tbl_task2[[SubPLOs]:[SubPLOs]],"&gt;=7",tbl_task2[[SubPLOs]:[SubPLOs]],"&lt;8")</f>
        <v>0</v>
      </c>
      <c r="AU40" s="138">
        <f>SUMIFS(tbl_task2[S42],tbl_task2[[SubPLOs]:[SubPLOs]],"&gt;=7",tbl_task2[[SubPLOs]:[SubPLOs]],"&lt;8")</f>
        <v>0</v>
      </c>
      <c r="AV40" s="138">
        <f>SUMIFS(tbl_task2[S43],tbl_task2[[SubPLOs]:[SubPLOs]],"&gt;=7",tbl_task2[[SubPLOs]:[SubPLOs]],"&lt;8")</f>
        <v>0</v>
      </c>
      <c r="AW40" s="138">
        <f>SUMIFS(tbl_task2[S44],tbl_task2[[SubPLOs]:[SubPLOs]],"&gt;=7",tbl_task2[[SubPLOs]:[SubPLOs]],"&lt;8")</f>
        <v>0</v>
      </c>
      <c r="AX40" s="138">
        <f>SUMIFS(tbl_task2[S45],tbl_task2[[SubPLOs]:[SubPLOs]],"&gt;=7",tbl_task2[[SubPLOs]:[SubPLOs]],"&lt;8")</f>
        <v>0</v>
      </c>
      <c r="AY40" s="138">
        <f>SUMIFS(tbl_task2[S46],tbl_task2[[SubPLOs]:[SubPLOs]],"&gt;=7",tbl_task2[[SubPLOs]:[SubPLOs]],"&lt;8")</f>
        <v>0</v>
      </c>
      <c r="AZ40" s="138">
        <f>SUMIFS(tbl_task2[S47],tbl_task2[[SubPLOs]:[SubPLOs]],"&gt;=7",tbl_task2[[SubPLOs]:[SubPLOs]],"&lt;8")</f>
        <v>0</v>
      </c>
      <c r="BA40" s="138">
        <f>SUMIFS(tbl_task2[S48],tbl_task2[[SubPLOs]:[SubPLOs]],"&gt;=7",tbl_task2[[SubPLOs]:[SubPLOs]],"&lt;8")</f>
        <v>0</v>
      </c>
      <c r="BB40" s="138">
        <f>SUMIFS(tbl_task2[S49],tbl_task2[[SubPLOs]:[SubPLOs]],"&gt;=7",tbl_task2[[SubPLOs]:[SubPLOs]],"&lt;8")</f>
        <v>0</v>
      </c>
      <c r="BC40" s="138">
        <f>SUMIFS(tbl_task2[S50],tbl_task2[[SubPLOs]:[SubPLOs]],"&gt;=7",tbl_task2[[SubPLOs]:[SubPLOs]],"&lt;8")</f>
        <v>0</v>
      </c>
      <c r="BD40" s="138">
        <f>SUMIFS(tbl_task2[S51],tbl_task2[[SubPLOs]:[SubPLOs]],"&gt;=7",tbl_task2[[SubPLOs]:[SubPLOs]],"&lt;8")</f>
        <v>0</v>
      </c>
      <c r="BE40" s="138">
        <f>SUMIFS(tbl_task2[S52],tbl_task2[[SubPLOs]:[SubPLOs]],"&gt;=7",tbl_task2[[SubPLOs]:[SubPLOs]],"&lt;8")</f>
        <v>0</v>
      </c>
      <c r="BF40" s="138">
        <f>SUMIFS(tbl_task2[S53],tbl_task2[[SubPLOs]:[SubPLOs]],"&gt;=7",tbl_task2[[SubPLOs]:[SubPLOs]],"&lt;8")</f>
        <v>0</v>
      </c>
      <c r="BG40" s="138">
        <f>SUMIFS(tbl_task2[S54],tbl_task2[[SubPLOs]:[SubPLOs]],"&gt;=7",tbl_task2[[SubPLOs]:[SubPLOs]],"&lt;8")</f>
        <v>0</v>
      </c>
      <c r="BH40" s="138">
        <f>SUMIFS(tbl_task2[S55],tbl_task2[[SubPLOs]:[SubPLOs]],"&gt;=7",tbl_task2[[SubPLOs]:[SubPLOs]],"&lt;8")</f>
        <v>0</v>
      </c>
      <c r="BI40" s="138">
        <f>SUMIFS(tbl_task2[S56],tbl_task2[[SubPLOs]:[SubPLOs]],"&gt;=7",tbl_task2[[SubPLOs]:[SubPLOs]],"&lt;8")</f>
        <v>0</v>
      </c>
      <c r="BJ40" s="138">
        <f>SUMIFS(tbl_task2[S57],tbl_task2[[SubPLOs]:[SubPLOs]],"&gt;=7",tbl_task2[[SubPLOs]:[SubPLOs]],"&lt;8")</f>
        <v>0</v>
      </c>
      <c r="BK40" s="138">
        <f>SUMIFS(tbl_task2[S58],tbl_task2[[SubPLOs]:[SubPLOs]],"&gt;=7",tbl_task2[[SubPLOs]:[SubPLOs]],"&lt;8")</f>
        <v>0</v>
      </c>
      <c r="BL40" s="138">
        <f>SUMIFS(tbl_task2[S59],tbl_task2[[SubPLOs]:[SubPLOs]],"&gt;=7",tbl_task2[[SubPLOs]:[SubPLOs]],"&lt;8")</f>
        <v>0</v>
      </c>
      <c r="BM40" s="138">
        <f>SUMIFS(tbl_task2[S60],tbl_task2[[SubPLOs]:[SubPLOs]],"&gt;=7",tbl_task2[[SubPLOs]:[SubPLOs]],"&lt;8")</f>
        <v>0</v>
      </c>
      <c r="BN40" s="138">
        <f>SUMIFS(tbl_task2[S61],tbl_task2[[SubPLOs]:[SubPLOs]],"&gt;=7",tbl_task2[[SubPLOs]:[SubPLOs]],"&lt;8")</f>
        <v>0</v>
      </c>
      <c r="BO40" s="138">
        <f>SUMIFS(tbl_task2[S62],tbl_task2[[SubPLOs]:[SubPLOs]],"&gt;=7",tbl_task2[[SubPLOs]:[SubPLOs]],"&lt;8")</f>
        <v>0</v>
      </c>
      <c r="BP40" s="138">
        <f>SUMIFS(tbl_task2[S63],tbl_task2[[SubPLOs]:[SubPLOs]],"&gt;=7",tbl_task2[[SubPLOs]:[SubPLOs]],"&lt;8")</f>
        <v>0</v>
      </c>
      <c r="BQ40" s="138">
        <f>SUMIFS(tbl_task2[S64],tbl_task2[[SubPLOs]:[SubPLOs]],"&gt;=7",tbl_task2[[SubPLOs]:[SubPLOs]],"&lt;8")</f>
        <v>0</v>
      </c>
      <c r="BR40" s="138">
        <f>SUMIFS(tbl_task2[S65],tbl_task2[[SubPLOs]:[SubPLOs]],"&gt;=7",tbl_task2[[SubPLOs]:[SubPLOs]],"&lt;8")</f>
        <v>0</v>
      </c>
      <c r="BS40" s="138">
        <f>SUMIFS(tbl_task2[S66],tbl_task2[[SubPLOs]:[SubPLOs]],"&gt;=7",tbl_task2[[SubPLOs]:[SubPLOs]],"&lt;8")</f>
        <v>0</v>
      </c>
      <c r="BT40" s="138">
        <f>SUMIFS(tbl_task2[S67],tbl_task2[[SubPLOs]:[SubPLOs]],"&gt;=7",tbl_task2[[SubPLOs]:[SubPLOs]],"&lt;8")</f>
        <v>0</v>
      </c>
      <c r="BU40" s="138">
        <f>SUMIFS(tbl_task2[S68],tbl_task2[[SubPLOs]:[SubPLOs]],"&gt;=7",tbl_task2[[SubPLOs]:[SubPLOs]],"&lt;8")</f>
        <v>0</v>
      </c>
      <c r="BV40" s="138">
        <f>SUMIFS(tbl_task2[S69],tbl_task2[[SubPLOs]:[SubPLOs]],"&gt;=7",tbl_task2[[SubPLOs]:[SubPLOs]],"&lt;8")</f>
        <v>0</v>
      </c>
      <c r="BW40" s="138">
        <f>SUMIFS(tbl_task2[S70],tbl_task2[[SubPLOs]:[SubPLOs]],"&gt;=7",tbl_task2[[SubPLOs]:[SubPLOs]],"&lt;8")</f>
        <v>0</v>
      </c>
      <c r="BX40" s="138">
        <f>SUMIFS(tbl_task2[S71],tbl_task2[[SubPLOs]:[SubPLOs]],"&gt;=7",tbl_task2[[SubPLOs]:[SubPLOs]],"&lt;8")</f>
        <v>0</v>
      </c>
      <c r="BY40" s="138">
        <f>SUMIFS(tbl_task2[S72],tbl_task2[[SubPLOs]:[SubPLOs]],"&gt;=7",tbl_task2[[SubPLOs]:[SubPLOs]],"&lt;8")</f>
        <v>0</v>
      </c>
      <c r="BZ40" s="138">
        <f>SUMIFS(tbl_task2[S73],tbl_task2[[SubPLOs]:[SubPLOs]],"&gt;=7",tbl_task2[[SubPLOs]:[SubPLOs]],"&lt;8")</f>
        <v>0</v>
      </c>
      <c r="CA40" s="138">
        <f>SUMIFS(tbl_task2[S74],tbl_task2[[SubPLOs]:[SubPLOs]],"&gt;=7",tbl_task2[[SubPLOs]:[SubPLOs]],"&lt;8")</f>
        <v>0</v>
      </c>
      <c r="CB40" s="138">
        <f>SUMIFS(tbl_task2[S75],tbl_task2[[SubPLOs]:[SubPLOs]],"&gt;=7",tbl_task2[[SubPLOs]:[SubPLOs]],"&lt;8")</f>
        <v>0</v>
      </c>
      <c r="CC40" s="138">
        <f>SUMIFS(tbl_task2[S76],tbl_task2[[SubPLOs]:[SubPLOs]],"&gt;=7",tbl_task2[[SubPLOs]:[SubPLOs]],"&lt;8")</f>
        <v>0</v>
      </c>
      <c r="CD40" s="138">
        <f>SUMIFS(tbl_task2[S77],tbl_task2[[SubPLOs]:[SubPLOs]],"&gt;=7",tbl_task2[[SubPLOs]:[SubPLOs]],"&lt;8")</f>
        <v>0</v>
      </c>
      <c r="CE40" s="138">
        <f>SUMIFS(tbl_task2[S78],tbl_task2[[SubPLOs]:[SubPLOs]],"&gt;=7",tbl_task2[[SubPLOs]:[SubPLOs]],"&lt;8")</f>
        <v>0</v>
      </c>
      <c r="CF40" s="138">
        <f>SUMIFS(tbl_task2[S79],tbl_task2[[SubPLOs]:[SubPLOs]],"&gt;=7",tbl_task2[[SubPLOs]:[SubPLOs]],"&lt;8")</f>
        <v>0</v>
      </c>
      <c r="CG40" s="138">
        <f>SUMIFS(tbl_task2[S80],tbl_task2[[SubPLOs]:[SubPLOs]],"&gt;=7",tbl_task2[[SubPLOs]:[SubPLOs]],"&lt;8")</f>
        <v>0</v>
      </c>
      <c r="CH40" s="138">
        <f>SUMIFS(tbl_task2[S81],tbl_task2[[SubPLOs]:[SubPLOs]],"&gt;=7",tbl_task2[[SubPLOs]:[SubPLOs]],"&lt;8")</f>
        <v>0</v>
      </c>
      <c r="CI40" s="138">
        <f>SUMIFS(tbl_task2[S82],tbl_task2[[SubPLOs]:[SubPLOs]],"&gt;=7",tbl_task2[[SubPLOs]:[SubPLOs]],"&lt;8")</f>
        <v>0</v>
      </c>
      <c r="CJ40" s="138">
        <f>SUMIFS(tbl_task2[S83],tbl_task2[[SubPLOs]:[SubPLOs]],"&gt;=7",tbl_task2[[SubPLOs]:[SubPLOs]],"&lt;8")</f>
        <v>0</v>
      </c>
      <c r="CK40" s="138">
        <f>SUMIFS(tbl_task2[S84],tbl_task2[[SubPLOs]:[SubPLOs]],"&gt;=7",tbl_task2[[SubPLOs]:[SubPLOs]],"&lt;8")</f>
        <v>0</v>
      </c>
      <c r="CL40" s="138">
        <f>SUMIFS(tbl_task2[S85],tbl_task2[[SubPLOs]:[SubPLOs]],"&gt;=7",tbl_task2[[SubPLOs]:[SubPLOs]],"&lt;8")</f>
        <v>0</v>
      </c>
      <c r="CM40" s="138">
        <f>SUMIFS(tbl_task2[S86],tbl_task2[[SubPLOs]:[SubPLOs]],"&gt;=7",tbl_task2[[SubPLOs]:[SubPLOs]],"&lt;8")</f>
        <v>0</v>
      </c>
      <c r="CN40" s="138">
        <f>SUMIFS(tbl_task2[S87],tbl_task2[[SubPLOs]:[SubPLOs]],"&gt;=7",tbl_task2[[SubPLOs]:[SubPLOs]],"&lt;8")</f>
        <v>0</v>
      </c>
      <c r="CO40" s="138">
        <f>SUMIFS(tbl_task2[S88],tbl_task2[[SubPLOs]:[SubPLOs]],"&gt;=7",tbl_task2[[SubPLOs]:[SubPLOs]],"&lt;8")</f>
        <v>0</v>
      </c>
      <c r="CP40" s="138">
        <f>SUMIFS(tbl_task2[S89],tbl_task2[[SubPLOs]:[SubPLOs]],"&gt;=7",tbl_task2[[SubPLOs]:[SubPLOs]],"&lt;8")</f>
        <v>0</v>
      </c>
      <c r="CQ40" s="138">
        <f>SUMIFS(tbl_task2[S90],tbl_task2[[SubPLOs]:[SubPLOs]],"&gt;=7",tbl_task2[[SubPLOs]:[SubPLOs]],"&lt;8")</f>
        <v>0</v>
      </c>
      <c r="CR40" s="138">
        <f>SUMIFS(tbl_task2[S91],tbl_task2[[SubPLOs]:[SubPLOs]],"&gt;=7",tbl_task2[[SubPLOs]:[SubPLOs]],"&lt;8")</f>
        <v>0</v>
      </c>
      <c r="CS40" s="138">
        <f>SUMIFS(tbl_task2[S92],tbl_task2[[SubPLOs]:[SubPLOs]],"&gt;=7",tbl_task2[[SubPLOs]:[SubPLOs]],"&lt;8")</f>
        <v>0</v>
      </c>
      <c r="CT40" s="138">
        <f>SUMIFS(tbl_task2[S93],tbl_task2[[SubPLOs]:[SubPLOs]],"&gt;=7",tbl_task2[[SubPLOs]:[SubPLOs]],"&lt;8")</f>
        <v>0</v>
      </c>
      <c r="CU40" s="138">
        <f>SUMIFS(tbl_task2[S94],tbl_task2[[SubPLOs]:[SubPLOs]],"&gt;=7",tbl_task2[[SubPLOs]:[SubPLOs]],"&lt;8")</f>
        <v>0</v>
      </c>
      <c r="CV40" s="138">
        <f>SUMIFS(tbl_task2[S95],tbl_task2[[SubPLOs]:[SubPLOs]],"&gt;=7",tbl_task2[[SubPLOs]:[SubPLOs]],"&lt;8")</f>
        <v>0</v>
      </c>
      <c r="CW40" s="138">
        <f>SUMIFS(tbl_task2[S96],tbl_task2[[SubPLOs]:[SubPLOs]],"&gt;=7",tbl_task2[[SubPLOs]:[SubPLOs]],"&lt;8")</f>
        <v>0</v>
      </c>
      <c r="CX40" s="138">
        <f>SUMIFS(tbl_task2[S97],tbl_task2[[SubPLOs]:[SubPLOs]],"&gt;=7",tbl_task2[[SubPLOs]:[SubPLOs]],"&lt;8")</f>
        <v>0</v>
      </c>
      <c r="CY40" s="138">
        <f>SUMIFS(tbl_task2[S98],tbl_task2[[SubPLOs]:[SubPLOs]],"&gt;=7",tbl_task2[[SubPLOs]:[SubPLOs]],"&lt;8")</f>
        <v>0</v>
      </c>
      <c r="CZ40" s="138">
        <f>SUMIFS(tbl_task2[S99],tbl_task2[[SubPLOs]:[SubPLOs]],"&gt;=7",tbl_task2[[SubPLOs]:[SubPLOs]],"&lt;8")</f>
        <v>0</v>
      </c>
      <c r="DA40" s="138">
        <f>SUMIFS(tbl_task2[S100],tbl_task2[[SubPLOs]:[SubPLOs]],"&gt;=7",tbl_task2[[SubPLOs]:[SubPLOs]],"&lt;8")</f>
        <v>0</v>
      </c>
      <c r="DB40" s="138">
        <f>SUMIFS(tbl_task2[S101],tbl_task2[[SubPLOs]:[SubPLOs]],"&gt;=7",tbl_task2[[SubPLOs]:[SubPLOs]],"&lt;8")</f>
        <v>0</v>
      </c>
      <c r="DC40" s="138">
        <f>SUMIFS(tbl_task2[S102],tbl_task2[[SubPLOs]:[SubPLOs]],"&gt;=7",tbl_task2[[SubPLOs]:[SubPLOs]],"&lt;8")</f>
        <v>0</v>
      </c>
      <c r="DD40" s="138">
        <f>SUMIFS(tbl_task2[S103],tbl_task2[[SubPLOs]:[SubPLOs]],"&gt;=7",tbl_task2[[SubPLOs]:[SubPLOs]],"&lt;8")</f>
        <v>0</v>
      </c>
      <c r="DE40" s="138">
        <f>SUMIFS(tbl_task2[S104],tbl_task2[[SubPLOs]:[SubPLOs]],"&gt;=7",tbl_task2[[SubPLOs]:[SubPLOs]],"&lt;8")</f>
        <v>0</v>
      </c>
      <c r="DF40" s="138">
        <f>SUMIFS(tbl_task2[S105],tbl_task2[[SubPLOs]:[SubPLOs]],"&gt;=7",tbl_task2[[SubPLOs]:[SubPLOs]],"&lt;8")</f>
        <v>0</v>
      </c>
      <c r="DG40" s="138">
        <f>SUMIFS(tbl_task2[S106],tbl_task2[[SubPLOs]:[SubPLOs]],"&gt;=7",tbl_task2[[SubPLOs]:[SubPLOs]],"&lt;8")</f>
        <v>0</v>
      </c>
      <c r="DH40" s="138">
        <f>SUMIFS(tbl_task2[S106],tbl_task2[[SubPLOs]:[SubPLOs]],"&gt;=7",tbl_task2[[SubPLOs]:[SubPLOs]],"&lt;8")</f>
        <v>0</v>
      </c>
      <c r="DI40" s="138">
        <f>SUMIFS(tbl_task2[S108],tbl_task2[[SubPLOs]:[SubPLOs]],"&gt;=7",tbl_task2[[SubPLOs]:[SubPLOs]],"&lt;8")</f>
        <v>0</v>
      </c>
      <c r="DJ40" s="138">
        <f>SUMIFS(tbl_task2[S109],tbl_task2[[SubPLOs]:[SubPLOs]],"&gt;=7",tbl_task2[[SubPLOs]:[SubPLOs]],"&lt;8")</f>
        <v>0</v>
      </c>
      <c r="DK40" s="138">
        <f>SUMIFS(tbl_task2[S110],tbl_task2[[SubPLOs]:[SubPLOs]],"&gt;=7",tbl_task2[[SubPLOs]:[SubPLOs]],"&lt;8")</f>
        <v>0</v>
      </c>
      <c r="DL40" s="138">
        <f>SUMIFS(tbl_task2[S111],tbl_task2[[SubPLOs]:[SubPLOs]],"&gt;=7",tbl_task2[[SubPLOs]:[SubPLOs]],"&lt;8")</f>
        <v>0</v>
      </c>
      <c r="DM40" s="138">
        <f>SUMIFS(tbl_task2[S112],tbl_task2[[SubPLOs]:[SubPLOs]],"&gt;=7",tbl_task2[[SubPLOs]:[SubPLOs]],"&lt;8")</f>
        <v>0</v>
      </c>
      <c r="DN40" s="138">
        <f>SUMIFS(tbl_task2[S113],tbl_task2[[SubPLOs]:[SubPLOs]],"&gt;=7",tbl_task2[[SubPLOs]:[SubPLOs]],"&lt;8")</f>
        <v>0</v>
      </c>
      <c r="DO40" s="138">
        <f>SUMIFS(tbl_task2[S114],tbl_task2[[SubPLOs]:[SubPLOs]],"&gt;=7",tbl_task2[[SubPLOs]:[SubPLOs]],"&lt;8")</f>
        <v>0</v>
      </c>
      <c r="DP40" s="138">
        <f>SUMIFS(tbl_task2[S115],tbl_task2[[SubPLOs]:[SubPLOs]],"&gt;=7",tbl_task2[[SubPLOs]:[SubPLOs]],"&lt;8")</f>
        <v>0</v>
      </c>
      <c r="DQ40" s="138">
        <f>SUMIFS(tbl_task2[S116],tbl_task2[[SubPLOs]:[SubPLOs]],"&gt;=7",tbl_task2[[SubPLOs]:[SubPLOs]],"&lt;8")</f>
        <v>0</v>
      </c>
      <c r="DR40" s="138">
        <f>SUMIFS(tbl_task2[S117],tbl_task2[[SubPLOs]:[SubPLOs]],"&gt;=7",tbl_task2[[SubPLOs]:[SubPLOs]],"&lt;8")</f>
        <v>0</v>
      </c>
      <c r="DS40" s="138">
        <f>SUMIFS(tbl_task2[S118],tbl_task2[[SubPLOs]:[SubPLOs]],"&gt;=7",tbl_task2[[SubPLOs]:[SubPLOs]],"&lt;8")</f>
        <v>0</v>
      </c>
      <c r="DT40" s="138">
        <f>SUMIFS(tbl_task2[S119],tbl_task2[[SubPLOs]:[SubPLOs]],"&gt;=7",tbl_task2[[SubPLOs]:[SubPLOs]],"&lt;8")</f>
        <v>0</v>
      </c>
      <c r="DU40" s="138">
        <f>SUMIFS(tbl_task2[S120],tbl_task2[[SubPLOs]:[SubPLOs]],"&gt;=7",tbl_task2[[SubPLOs]:[SubPLOs]],"&lt;8")</f>
        <v>0</v>
      </c>
      <c r="DV40" s="138">
        <f>SUMIFS(tbl_task2[S121],tbl_task2[[SubPLOs]:[SubPLOs]],"&gt;=7",tbl_task2[[SubPLOs]:[SubPLOs]],"&lt;8")</f>
        <v>0</v>
      </c>
      <c r="DW40" s="138">
        <f>SUMIFS(tbl_task2[S122],tbl_task2[[SubPLOs]:[SubPLOs]],"&gt;=7",tbl_task2[[SubPLOs]:[SubPLOs]],"&lt;8")</f>
        <v>0</v>
      </c>
      <c r="DX40" s="138">
        <f>SUMIFS(tbl_task2[S123],tbl_task2[[SubPLOs]:[SubPLOs]],"&gt;=7",tbl_task2[[SubPLOs]:[SubPLOs]],"&lt;8")</f>
        <v>0</v>
      </c>
      <c r="DY40" s="138">
        <f>SUMIFS(tbl_task2[S124],tbl_task2[[SubPLOs]:[SubPLOs]],"&gt;=7",tbl_task2[[SubPLOs]:[SubPLOs]],"&lt;8")</f>
        <v>0</v>
      </c>
      <c r="DZ40" s="138">
        <f>SUMIFS(tbl_task2[S125],tbl_task2[[SubPLOs]:[SubPLOs]],"&gt;=7",tbl_task2[[SubPLOs]:[SubPLOs]],"&lt;8")</f>
        <v>0</v>
      </c>
      <c r="EA40" s="138">
        <f>SUMIFS(tbl_task2[S126],tbl_task2[[SubPLOs]:[SubPLOs]],"&gt;=7",tbl_task2[[SubPLOs]:[SubPLOs]],"&lt;8")</f>
        <v>0</v>
      </c>
      <c r="EB40" s="138">
        <f>SUMIFS(tbl_task2[S127],tbl_task2[[SubPLOs]:[SubPLOs]],"&gt;=7",tbl_task2[[SubPLOs]:[SubPLOs]],"&lt;8")</f>
        <v>0</v>
      </c>
      <c r="EC40" s="138">
        <f>SUMIFS(tbl_task2[S128],tbl_task2[[SubPLOs]:[SubPLOs]],"&gt;=7",tbl_task2[[SubPLOs]:[SubPLOs]],"&lt;8")</f>
        <v>0</v>
      </c>
      <c r="ED40" s="138">
        <f>SUMIFS(tbl_task2[S129],tbl_task2[[SubPLOs]:[SubPLOs]],"&gt;=7",tbl_task2[[SubPLOs]:[SubPLOs]],"&lt;8")</f>
        <v>0</v>
      </c>
      <c r="EE40" s="138">
        <f>SUMIFS(tbl_task2[S130],tbl_task2[[SubPLOs]:[SubPLOs]],"&gt;=7",tbl_task2[[SubPLOs]:[SubPLOs]],"&lt;8")</f>
        <v>0</v>
      </c>
      <c r="EF40" s="138">
        <f>SUMIFS(tbl_task2[S131],tbl_task2[[SubPLOs]:[SubPLOs]],"&gt;=7",tbl_task2[[SubPLOs]:[SubPLOs]],"&lt;8")</f>
        <v>0</v>
      </c>
      <c r="EG40" s="138">
        <f>SUMIFS(tbl_task2[S132],tbl_task2[[SubPLOs]:[SubPLOs]],"&gt;=7",tbl_task2[[SubPLOs]:[SubPLOs]],"&lt;8")</f>
        <v>0</v>
      </c>
      <c r="EH40" s="138">
        <f>SUMIFS(tbl_task2[S133],tbl_task2[[SubPLOs]:[SubPLOs]],"&gt;=7",tbl_task2[[SubPLOs]:[SubPLOs]],"&lt;8")</f>
        <v>0</v>
      </c>
      <c r="EI40" s="138">
        <f>SUMIFS(tbl_task2[S134],tbl_task2[[SubPLOs]:[SubPLOs]],"&gt;=7",tbl_task2[[SubPLOs]:[SubPLOs]],"&lt;8")</f>
        <v>0</v>
      </c>
      <c r="EJ40" s="138">
        <f>SUMIFS(tbl_task2[S135],tbl_task2[[SubPLOs]:[SubPLOs]],"&gt;=7",tbl_task2[[SubPLOs]:[SubPLOs]],"&lt;8")</f>
        <v>0</v>
      </c>
      <c r="EK40" s="138">
        <f>SUMIFS(tbl_task2[S136],tbl_task2[[SubPLOs]:[SubPLOs]],"&gt;=7",tbl_task2[[SubPLOs]:[SubPLOs]],"&lt;8")</f>
        <v>0</v>
      </c>
      <c r="EL40" s="138">
        <f>SUMIFS(tbl_task2[S137],tbl_task2[[SubPLOs]:[SubPLOs]],"&gt;=7",tbl_task2[[SubPLOs]:[SubPLOs]],"&lt;8")</f>
        <v>0</v>
      </c>
      <c r="EM40" s="138">
        <f>SUMIFS(tbl_task2[S138],tbl_task2[[SubPLOs]:[SubPLOs]],"&gt;=7",tbl_task2[[SubPLOs]:[SubPLOs]],"&lt;8")</f>
        <v>0</v>
      </c>
      <c r="EN40" s="138">
        <f>SUMIFS(tbl_task2[S139],tbl_task2[[SubPLOs]:[SubPLOs]],"&gt;=7",tbl_task2[[SubPLOs]:[SubPLOs]],"&lt;8")</f>
        <v>0</v>
      </c>
      <c r="EO40" s="138">
        <f>SUMIFS(tbl_task2[S140],tbl_task2[[SubPLOs]:[SubPLOs]],"&gt;=7",tbl_task2[[SubPLOs]:[SubPLOs]],"&lt;8")</f>
        <v>0</v>
      </c>
      <c r="EP40" s="138">
        <f>SUMIFS(tbl_task2[S141],tbl_task2[[SubPLOs]:[SubPLOs]],"&gt;=7",tbl_task2[[SubPLOs]:[SubPLOs]],"&lt;8")</f>
        <v>0</v>
      </c>
      <c r="EQ40" s="138">
        <f>SUMIFS(tbl_task2[S142],tbl_task2[[SubPLOs]:[SubPLOs]],"&gt;=7",tbl_task2[[SubPLOs]:[SubPLOs]],"&lt;8")</f>
        <v>0</v>
      </c>
      <c r="ER40" s="138">
        <f>SUMIFS(tbl_task2[S143],tbl_task2[[SubPLOs]:[SubPLOs]],"&gt;=7",tbl_task2[[SubPLOs]:[SubPLOs]],"&lt;8")</f>
        <v>0</v>
      </c>
      <c r="ES40" s="138">
        <f>SUMIFS(tbl_task2[S144],tbl_task2[[SubPLOs]:[SubPLOs]],"&gt;=7",tbl_task2[[SubPLOs]:[SubPLOs]],"&lt;8")</f>
        <v>0</v>
      </c>
      <c r="ET40" s="138">
        <f>SUMIFS(tbl_task2[S145],tbl_task2[[SubPLOs]:[SubPLOs]],"&gt;=7",tbl_task2[[SubPLOs]:[SubPLOs]],"&lt;8")</f>
        <v>0</v>
      </c>
      <c r="EU40" s="138">
        <f>SUMIFS(tbl_task2[S146],tbl_task2[[SubPLOs]:[SubPLOs]],"&gt;=7",tbl_task2[[SubPLOs]:[SubPLOs]],"&lt;8")</f>
        <v>0</v>
      </c>
      <c r="EV40" s="138">
        <f>SUMIFS(tbl_task2[S147],tbl_task2[[SubPLOs]:[SubPLOs]],"&gt;=7",tbl_task2[[SubPLOs]:[SubPLOs]],"&lt;8")</f>
        <v>0</v>
      </c>
      <c r="EW40" s="138">
        <f>SUMIFS(tbl_task2[S148],tbl_task2[[SubPLOs]:[SubPLOs]],"&gt;=7",tbl_task2[[SubPLOs]:[SubPLOs]],"&lt;8")</f>
        <v>0</v>
      </c>
      <c r="EX40" s="138">
        <f>SUMIFS(tbl_task2[S149],tbl_task2[[SubPLOs]:[SubPLOs]],"&gt;=7",tbl_task2[[SubPLOs]:[SubPLOs]],"&lt;8")</f>
        <v>0</v>
      </c>
      <c r="EY40" s="138">
        <f>SUMIFS(tbl_task2[S150],tbl_task2[[SubPLOs]:[SubPLOs]],"&gt;=7",tbl_task2[[SubPLOs]:[SubPLOs]],"&lt;8")</f>
        <v>0</v>
      </c>
      <c r="EZ40" s="138">
        <f>SUMIFS(tbl_task2[S151],tbl_task2[[SubPLOs]:[SubPLOs]],"&gt;=7",tbl_task2[[SubPLOs]:[SubPLOs]],"&lt;8")</f>
        <v>0</v>
      </c>
      <c r="FA40" s="138">
        <f>SUMIFS(tbl_task2[S152],tbl_task2[[SubPLOs]:[SubPLOs]],"&gt;=7",tbl_task2[[SubPLOs]:[SubPLOs]],"&lt;8")</f>
        <v>0</v>
      </c>
      <c r="FB40" s="138">
        <f>SUMIFS(tbl_task2[S153],tbl_task2[[SubPLOs]:[SubPLOs]],"&gt;=7",tbl_task2[[SubPLOs]:[SubPLOs]],"&lt;8")</f>
        <v>0</v>
      </c>
      <c r="FC40" s="138">
        <f>SUMIFS(tbl_task2[S154],tbl_task2[[SubPLOs]:[SubPLOs]],"&gt;=7",tbl_task2[[SubPLOs]:[SubPLOs]],"&lt;8")</f>
        <v>0</v>
      </c>
      <c r="FD40" s="138">
        <f>SUMIFS(tbl_task2[S155],tbl_task2[[SubPLOs]:[SubPLOs]],"&gt;=7",tbl_task2[[SubPLOs]:[SubPLOs]],"&lt;8")</f>
        <v>0</v>
      </c>
      <c r="FE40" s="138">
        <f>SUMIFS(tbl_task2[S156],tbl_task2[[SubPLOs]:[SubPLOs]],"&gt;=7",tbl_task2[[SubPLOs]:[SubPLOs]],"&lt;8")</f>
        <v>0</v>
      </c>
      <c r="FF40" s="138">
        <f>SUMIFS(tbl_task2[S157],tbl_task2[[SubPLOs]:[SubPLOs]],"&gt;=7",tbl_task2[[SubPLOs]:[SubPLOs]],"&lt;8")</f>
        <v>0</v>
      </c>
      <c r="FG40" s="138">
        <f>SUMIFS(tbl_task2[S158],tbl_task2[[SubPLOs]:[SubPLOs]],"&gt;=7",tbl_task2[[SubPLOs]:[SubPLOs]],"&lt;8")</f>
        <v>0</v>
      </c>
      <c r="FH40" s="138">
        <f>SUMIFS(tbl_task2[S159],tbl_task2[[SubPLOs]:[SubPLOs]],"&gt;=7",tbl_task2[[SubPLOs]:[SubPLOs]],"&lt;8")</f>
        <v>0</v>
      </c>
      <c r="FI40" s="138">
        <f>SUMIFS(tbl_task2[S160],tbl_task2[[SubPLOs]:[SubPLOs]],"&gt;=7",tbl_task2[[SubPLOs]:[SubPLOs]],"&lt;8")</f>
        <v>0</v>
      </c>
      <c r="FJ40" s="138">
        <f>SUMIFS(tbl_task2[S161],tbl_task2[[SubPLOs]:[SubPLOs]],"&gt;=7",tbl_task2[[SubPLOs]:[SubPLOs]],"&lt;8")</f>
        <v>0</v>
      </c>
      <c r="FK40" s="138">
        <f>SUMIFS(tbl_task2[S162],tbl_task2[[SubPLOs]:[SubPLOs]],"&gt;=7",tbl_task2[[SubPLOs]:[SubPLOs]],"&lt;8")</f>
        <v>0</v>
      </c>
      <c r="FL40" s="138">
        <f>SUMIFS(tbl_task2[S163],tbl_task2[[SubPLOs]:[SubPLOs]],"&gt;=7",tbl_task2[[SubPLOs]:[SubPLOs]],"&lt;8")</f>
        <v>0</v>
      </c>
      <c r="FM40" s="138">
        <f>SUMIFS(tbl_task2[S164],tbl_task2[[SubPLOs]:[SubPLOs]],"&gt;=7",tbl_task2[[SubPLOs]:[SubPLOs]],"&lt;8")</f>
        <v>0</v>
      </c>
      <c r="FN40" s="138">
        <f>SUMIFS(tbl_task2[S165],tbl_task2[[SubPLOs]:[SubPLOs]],"&gt;=7",tbl_task2[[SubPLOs]:[SubPLOs]],"&lt;8")</f>
        <v>0</v>
      </c>
    </row>
    <row r="41" spans="1:170" ht="63" x14ac:dyDescent="0.25">
      <c r="A41" s="135">
        <v>8</v>
      </c>
      <c r="B41" s="5" t="s">
        <v>441</v>
      </c>
      <c r="C41" s="136">
        <f>COUNTIFS(tbl_task2[SubPLOs],"&gt;=8",tbl_task2[SubPLOs],"&lt;9")</f>
        <v>0</v>
      </c>
      <c r="D41" s="136">
        <f>SUMIFS(tbl_task2[คะแนนเต็ม],tbl_task2[SubPLOs],"&gt;=8",tbl_task2[SubPLOs],"&lt;9")</f>
        <v>0</v>
      </c>
      <c r="E41" s="137">
        <f>SUMIFS(tbl_task2[%],tbl_task2[SubPLOs],"&gt;=8",tbl_task2[SubPLOs],"&lt;9")</f>
        <v>0</v>
      </c>
      <c r="F41" s="138">
        <f>SUMIFS(tbl_task2[S1],tbl_task2[[SubPLOs]:[SubPLOs]],"&gt;=8",tbl_task2[[SubPLOs]:[SubPLOs]],"&lt;9")</f>
        <v>0</v>
      </c>
      <c r="G41" s="138">
        <f>SUMIFS(tbl_task2[S2],tbl_task2[[SubPLOs]:[SubPLOs]],"&gt;=8",tbl_task2[[SubPLOs]:[SubPLOs]],"&lt;9")</f>
        <v>0</v>
      </c>
      <c r="H41" s="138">
        <f>SUMIFS(tbl_task2[S3],tbl_task2[[SubPLOs]:[SubPLOs]],"&gt;=8",tbl_task2[[SubPLOs]:[SubPLOs]],"&lt;9")</f>
        <v>0</v>
      </c>
      <c r="I41" s="138">
        <f>SUMIFS(tbl_task2[S4],tbl_task2[[SubPLOs]:[SubPLOs]],"&gt;=8",tbl_task2[[SubPLOs]:[SubPLOs]],"&lt;9")</f>
        <v>0</v>
      </c>
      <c r="J41" s="138">
        <f>SUMIFS(tbl_task2[S5],tbl_task2[[SubPLOs]:[SubPLOs]],"&gt;=8",tbl_task2[[SubPLOs]:[SubPLOs]],"&lt;9")</f>
        <v>0</v>
      </c>
      <c r="K41" s="138">
        <f>SUMIFS(tbl_task2[S6],tbl_task2[[SubPLOs]:[SubPLOs]],"&gt;=8",tbl_task2[[SubPLOs]:[SubPLOs]],"&lt;9")</f>
        <v>0</v>
      </c>
      <c r="L41" s="138">
        <f>SUMIFS(tbl_task2[S7],tbl_task2[[SubPLOs]:[SubPLOs]],"&gt;=8",tbl_task2[[SubPLOs]:[SubPLOs]],"&lt;9")</f>
        <v>0</v>
      </c>
      <c r="M41" s="138">
        <f>SUMIFS(tbl_task2[S8],tbl_task2[[SubPLOs]:[SubPLOs]],"&gt;=8",tbl_task2[[SubPLOs]:[SubPLOs]],"&lt;9")</f>
        <v>0</v>
      </c>
      <c r="N41" s="138">
        <f>SUMIFS(tbl_task2[S9],tbl_task2[[SubPLOs]:[SubPLOs]],"&gt;=8",tbl_task2[[SubPLOs]:[SubPLOs]],"&lt;9")</f>
        <v>0</v>
      </c>
      <c r="O41" s="138">
        <f>SUMIFS(tbl_task2[S10],tbl_task2[[SubPLOs]:[SubPLOs]],"&gt;=8",tbl_task2[[SubPLOs]:[SubPLOs]],"&lt;9")</f>
        <v>0</v>
      </c>
      <c r="P41" s="138">
        <f>SUMIFS(tbl_task2[S11],tbl_task2[[SubPLOs]:[SubPLOs]],"&gt;=8",tbl_task2[[SubPLOs]:[SubPLOs]],"&lt;9")</f>
        <v>0</v>
      </c>
      <c r="Q41" s="138">
        <f>SUMIFS(tbl_task2[S12],tbl_task2[[SubPLOs]:[SubPLOs]],"&gt;=8",tbl_task2[[SubPLOs]:[SubPLOs]],"&lt;9")</f>
        <v>0</v>
      </c>
      <c r="R41" s="138">
        <f>SUMIFS(tbl_task2[S13],tbl_task2[[SubPLOs]:[SubPLOs]],"&gt;=8",tbl_task2[[SubPLOs]:[SubPLOs]],"&lt;9")</f>
        <v>0</v>
      </c>
      <c r="S41" s="138">
        <f>SUMIFS(tbl_task2[S14],tbl_task2[[SubPLOs]:[SubPLOs]],"&gt;=8",tbl_task2[[SubPLOs]:[SubPLOs]],"&lt;9")</f>
        <v>0</v>
      </c>
      <c r="T41" s="138">
        <f>SUMIFS(tbl_task2[S15],tbl_task2[[SubPLOs]:[SubPLOs]],"&gt;=8",tbl_task2[[SubPLOs]:[SubPLOs]],"&lt;9")</f>
        <v>0</v>
      </c>
      <c r="U41" s="138">
        <f>SUMIFS(tbl_task2[S16],tbl_task2[[SubPLOs]:[SubPLOs]],"&gt;=8",tbl_task2[[SubPLOs]:[SubPLOs]],"&lt;9")</f>
        <v>0</v>
      </c>
      <c r="V41" s="138">
        <f>SUMIFS(tbl_task2[S17],tbl_task2[[SubPLOs]:[SubPLOs]],"&gt;=8",tbl_task2[[SubPLOs]:[SubPLOs]],"&lt;9")</f>
        <v>0</v>
      </c>
      <c r="W41" s="138">
        <f>SUMIFS(tbl_task2[S18],tbl_task2[[SubPLOs]:[SubPLOs]],"&gt;=8",tbl_task2[[SubPLOs]:[SubPLOs]],"&lt;9")</f>
        <v>0</v>
      </c>
      <c r="X41" s="138">
        <f>SUMIFS(tbl_task2[S19],tbl_task2[[SubPLOs]:[SubPLOs]],"&gt;=8",tbl_task2[[SubPLOs]:[SubPLOs]],"&lt;9")</f>
        <v>0</v>
      </c>
      <c r="Y41" s="138">
        <f>SUMIFS(tbl_task2[S20],tbl_task2[[SubPLOs]:[SubPLOs]],"&gt;=8",tbl_task2[[SubPLOs]:[SubPLOs]],"&lt;9")</f>
        <v>0</v>
      </c>
      <c r="Z41" s="138">
        <f>SUMIFS(tbl_task2[S21],tbl_task2[[SubPLOs]:[SubPLOs]],"&gt;=8",tbl_task2[[SubPLOs]:[SubPLOs]],"&lt;9")</f>
        <v>0</v>
      </c>
      <c r="AA41" s="138">
        <f>SUMIFS(tbl_task2[S22],tbl_task2[[SubPLOs]:[SubPLOs]],"&gt;=8",tbl_task2[[SubPLOs]:[SubPLOs]],"&lt;9")</f>
        <v>0</v>
      </c>
      <c r="AB41" s="138">
        <f>SUMIFS(tbl_task2[S23],tbl_task2[[SubPLOs]:[SubPLOs]],"&gt;=8",tbl_task2[[SubPLOs]:[SubPLOs]],"&lt;9")</f>
        <v>0</v>
      </c>
      <c r="AC41" s="138">
        <f>SUMIFS(tbl_task2[S24],tbl_task2[[SubPLOs]:[SubPLOs]],"&gt;=8",tbl_task2[[SubPLOs]:[SubPLOs]],"&lt;9")</f>
        <v>0</v>
      </c>
      <c r="AD41" s="138">
        <f>SUMIFS(tbl_task2[S25],tbl_task2[[SubPLOs]:[SubPLOs]],"&gt;=8",tbl_task2[[SubPLOs]:[SubPLOs]],"&lt;9")</f>
        <v>0</v>
      </c>
      <c r="AE41" s="138">
        <f>SUMIFS(tbl_task2[S26],tbl_task2[[SubPLOs]:[SubPLOs]],"&gt;=8",tbl_task2[[SubPLOs]:[SubPLOs]],"&lt;9")</f>
        <v>0</v>
      </c>
      <c r="AF41" s="138">
        <f>SUMIFS(tbl_task2[S27],tbl_task2[[SubPLOs]:[SubPLOs]],"&gt;=8",tbl_task2[[SubPLOs]:[SubPLOs]],"&lt;9")</f>
        <v>0</v>
      </c>
      <c r="AG41" s="138">
        <f>SUMIFS(tbl_task2[S28],tbl_task2[[SubPLOs]:[SubPLOs]],"&gt;=8",tbl_task2[[SubPLOs]:[SubPLOs]],"&lt;9")</f>
        <v>0</v>
      </c>
      <c r="AH41" s="138">
        <f>SUMIFS(tbl_task2[S29],tbl_task2[[SubPLOs]:[SubPLOs]],"&gt;=8",tbl_task2[[SubPLOs]:[SubPLOs]],"&lt;9")</f>
        <v>0</v>
      </c>
      <c r="AI41" s="138">
        <f>SUMIFS(tbl_task2[S30],tbl_task2[[SubPLOs]:[SubPLOs]],"&gt;=8",tbl_task2[[SubPLOs]:[SubPLOs]],"&lt;9")</f>
        <v>0</v>
      </c>
      <c r="AJ41" s="138">
        <f>SUMIFS(tbl_task2[S31],tbl_task2[[SubPLOs]:[SubPLOs]],"&gt;=8",tbl_task2[[SubPLOs]:[SubPLOs]],"&lt;9")</f>
        <v>0</v>
      </c>
      <c r="AK41" s="138">
        <f>SUMIFS(tbl_task2[S32],tbl_task2[[SubPLOs]:[SubPLOs]],"&gt;=8",tbl_task2[[SubPLOs]:[SubPLOs]],"&lt;9")</f>
        <v>0</v>
      </c>
      <c r="AL41" s="138">
        <f>SUMIFS(tbl_task2[S33],tbl_task2[[SubPLOs]:[SubPLOs]],"&gt;=8",tbl_task2[[SubPLOs]:[SubPLOs]],"&lt;9")</f>
        <v>0</v>
      </c>
      <c r="AM41" s="138">
        <f>SUMIFS(tbl_task2[S34],tbl_task2[[SubPLOs]:[SubPLOs]],"&gt;=8",tbl_task2[[SubPLOs]:[SubPLOs]],"&lt;9")</f>
        <v>0</v>
      </c>
      <c r="AN41" s="138">
        <f>SUMIFS(tbl_task2[S35],tbl_task2[[SubPLOs]:[SubPLOs]],"&gt;=8",tbl_task2[[SubPLOs]:[SubPLOs]],"&lt;9")</f>
        <v>0</v>
      </c>
      <c r="AO41" s="138">
        <f>SUMIFS(tbl_task2[S36],tbl_task2[[SubPLOs]:[SubPLOs]],"&gt;=8",tbl_task2[[SubPLOs]:[SubPLOs]],"&lt;9")</f>
        <v>0</v>
      </c>
      <c r="AP41" s="138">
        <f>SUMIFS(tbl_task2[S37],tbl_task2[[SubPLOs]:[SubPLOs]],"&gt;=8",tbl_task2[[SubPLOs]:[SubPLOs]],"&lt;9")</f>
        <v>0</v>
      </c>
      <c r="AQ41" s="138">
        <f>SUMIFS(tbl_task2[S38],tbl_task2[[SubPLOs]:[SubPLOs]],"&gt;=8",tbl_task2[[SubPLOs]:[SubPLOs]],"&lt;9")</f>
        <v>0</v>
      </c>
      <c r="AR41" s="138">
        <f>SUMIFS(tbl_task2[S39],tbl_task2[[SubPLOs]:[SubPLOs]],"&gt;=8",tbl_task2[[SubPLOs]:[SubPLOs]],"&lt;9")</f>
        <v>0</v>
      </c>
      <c r="AS41" s="138">
        <f>SUMIFS(tbl_task2[S40],tbl_task2[[SubPLOs]:[SubPLOs]],"&gt;=8",tbl_task2[[SubPLOs]:[SubPLOs]],"&lt;9")</f>
        <v>0</v>
      </c>
      <c r="AT41" s="138">
        <f>SUMIFS(tbl_task2[S41],tbl_task2[[SubPLOs]:[SubPLOs]],"&gt;=8",tbl_task2[[SubPLOs]:[SubPLOs]],"&lt;9")</f>
        <v>0</v>
      </c>
      <c r="AU41" s="138">
        <f>SUMIFS(tbl_task2[S42],tbl_task2[[SubPLOs]:[SubPLOs]],"&gt;=8",tbl_task2[[SubPLOs]:[SubPLOs]],"&lt;9")</f>
        <v>0</v>
      </c>
      <c r="AV41" s="138">
        <f>SUMIFS(tbl_task2[S43],tbl_task2[[SubPLOs]:[SubPLOs]],"&gt;=8",tbl_task2[[SubPLOs]:[SubPLOs]],"&lt;9")</f>
        <v>0</v>
      </c>
      <c r="AW41" s="138">
        <f>SUMIFS(tbl_task2[S44],tbl_task2[[SubPLOs]:[SubPLOs]],"&gt;=8",tbl_task2[[SubPLOs]:[SubPLOs]],"&lt;9")</f>
        <v>0</v>
      </c>
      <c r="AX41" s="138">
        <f>SUMIFS(tbl_task2[S45],tbl_task2[[SubPLOs]:[SubPLOs]],"&gt;=8",tbl_task2[[SubPLOs]:[SubPLOs]],"&lt;9")</f>
        <v>0</v>
      </c>
      <c r="AY41" s="138">
        <f>SUMIFS(tbl_task2[S46],tbl_task2[[SubPLOs]:[SubPLOs]],"&gt;=8",tbl_task2[[SubPLOs]:[SubPLOs]],"&lt;9")</f>
        <v>0</v>
      </c>
      <c r="AZ41" s="138">
        <f>SUMIFS(tbl_task2[S47],tbl_task2[[SubPLOs]:[SubPLOs]],"&gt;=8",tbl_task2[[SubPLOs]:[SubPLOs]],"&lt;9")</f>
        <v>0</v>
      </c>
      <c r="BA41" s="138">
        <f>SUMIFS(tbl_task2[S48],tbl_task2[[SubPLOs]:[SubPLOs]],"&gt;=8",tbl_task2[[SubPLOs]:[SubPLOs]],"&lt;9")</f>
        <v>0</v>
      </c>
      <c r="BB41" s="138">
        <f>SUMIFS(tbl_task2[S49],tbl_task2[[SubPLOs]:[SubPLOs]],"&gt;=8",tbl_task2[[SubPLOs]:[SubPLOs]],"&lt;9")</f>
        <v>0</v>
      </c>
      <c r="BC41" s="138">
        <f>SUMIFS(tbl_task2[S50],tbl_task2[[SubPLOs]:[SubPLOs]],"&gt;=8",tbl_task2[[SubPLOs]:[SubPLOs]],"&lt;9")</f>
        <v>0</v>
      </c>
      <c r="BD41" s="138">
        <f>SUMIFS(tbl_task2[S51],tbl_task2[[SubPLOs]:[SubPLOs]],"&gt;=8",tbl_task2[[SubPLOs]:[SubPLOs]],"&lt;9")</f>
        <v>0</v>
      </c>
      <c r="BE41" s="138">
        <f>SUMIFS(tbl_task2[S52],tbl_task2[[SubPLOs]:[SubPLOs]],"&gt;=8",tbl_task2[[SubPLOs]:[SubPLOs]],"&lt;9")</f>
        <v>0</v>
      </c>
      <c r="BF41" s="138">
        <f>SUMIFS(tbl_task2[S53],tbl_task2[[SubPLOs]:[SubPLOs]],"&gt;=8",tbl_task2[[SubPLOs]:[SubPLOs]],"&lt;9")</f>
        <v>0</v>
      </c>
      <c r="BG41" s="138">
        <f>SUMIFS(tbl_task2[S54],tbl_task2[[SubPLOs]:[SubPLOs]],"&gt;=8",tbl_task2[[SubPLOs]:[SubPLOs]],"&lt;9")</f>
        <v>0</v>
      </c>
      <c r="BH41" s="138">
        <f>SUMIFS(tbl_task2[S55],tbl_task2[[SubPLOs]:[SubPLOs]],"&gt;=8",tbl_task2[[SubPLOs]:[SubPLOs]],"&lt;9")</f>
        <v>0</v>
      </c>
      <c r="BI41" s="138">
        <f>SUMIFS(tbl_task2[S56],tbl_task2[[SubPLOs]:[SubPLOs]],"&gt;=8",tbl_task2[[SubPLOs]:[SubPLOs]],"&lt;9")</f>
        <v>0</v>
      </c>
      <c r="BJ41" s="138">
        <f>SUMIFS(tbl_task2[S57],tbl_task2[[SubPLOs]:[SubPLOs]],"&gt;=8",tbl_task2[[SubPLOs]:[SubPLOs]],"&lt;9")</f>
        <v>0</v>
      </c>
      <c r="BK41" s="138">
        <f>SUMIFS(tbl_task2[S58],tbl_task2[[SubPLOs]:[SubPLOs]],"&gt;=8",tbl_task2[[SubPLOs]:[SubPLOs]],"&lt;9")</f>
        <v>0</v>
      </c>
      <c r="BL41" s="138">
        <f>SUMIFS(tbl_task2[S59],tbl_task2[[SubPLOs]:[SubPLOs]],"&gt;=8",tbl_task2[[SubPLOs]:[SubPLOs]],"&lt;9")</f>
        <v>0</v>
      </c>
      <c r="BM41" s="138">
        <f>SUMIFS(tbl_task2[S60],tbl_task2[[SubPLOs]:[SubPLOs]],"&gt;=8",tbl_task2[[SubPLOs]:[SubPLOs]],"&lt;9")</f>
        <v>0</v>
      </c>
      <c r="BN41" s="138">
        <f>SUMIFS(tbl_task2[S61],tbl_task2[[SubPLOs]:[SubPLOs]],"&gt;=8",tbl_task2[[SubPLOs]:[SubPLOs]],"&lt;9")</f>
        <v>0</v>
      </c>
      <c r="BO41" s="138">
        <f>SUMIFS(tbl_task2[S62],tbl_task2[[SubPLOs]:[SubPLOs]],"&gt;=8",tbl_task2[[SubPLOs]:[SubPLOs]],"&lt;9")</f>
        <v>0</v>
      </c>
      <c r="BP41" s="138">
        <f>SUMIFS(tbl_task2[S63],tbl_task2[[SubPLOs]:[SubPLOs]],"&gt;=8",tbl_task2[[SubPLOs]:[SubPLOs]],"&lt;9")</f>
        <v>0</v>
      </c>
      <c r="BQ41" s="138">
        <f>SUMIFS(tbl_task2[S64],tbl_task2[[SubPLOs]:[SubPLOs]],"&gt;=8",tbl_task2[[SubPLOs]:[SubPLOs]],"&lt;9")</f>
        <v>0</v>
      </c>
      <c r="BR41" s="138">
        <f>SUMIFS(tbl_task2[S65],tbl_task2[[SubPLOs]:[SubPLOs]],"&gt;=8",tbl_task2[[SubPLOs]:[SubPLOs]],"&lt;9")</f>
        <v>0</v>
      </c>
      <c r="BS41" s="138">
        <f>SUMIFS(tbl_task2[S66],tbl_task2[[SubPLOs]:[SubPLOs]],"&gt;=8",tbl_task2[[SubPLOs]:[SubPLOs]],"&lt;9")</f>
        <v>0</v>
      </c>
      <c r="BT41" s="138">
        <f>SUMIFS(tbl_task2[S67],tbl_task2[[SubPLOs]:[SubPLOs]],"&gt;=8",tbl_task2[[SubPLOs]:[SubPLOs]],"&lt;9")</f>
        <v>0</v>
      </c>
      <c r="BU41" s="138">
        <f>SUMIFS(tbl_task2[S68],tbl_task2[[SubPLOs]:[SubPLOs]],"&gt;=8",tbl_task2[[SubPLOs]:[SubPLOs]],"&lt;9")</f>
        <v>0</v>
      </c>
      <c r="BV41" s="138">
        <f>SUMIFS(tbl_task2[S69],tbl_task2[[SubPLOs]:[SubPLOs]],"&gt;=8",tbl_task2[[SubPLOs]:[SubPLOs]],"&lt;9")</f>
        <v>0</v>
      </c>
      <c r="BW41" s="138">
        <f>SUMIFS(tbl_task2[S70],tbl_task2[[SubPLOs]:[SubPLOs]],"&gt;=8",tbl_task2[[SubPLOs]:[SubPLOs]],"&lt;9")</f>
        <v>0</v>
      </c>
      <c r="BX41" s="138">
        <f>SUMIFS(tbl_task2[S71],tbl_task2[[SubPLOs]:[SubPLOs]],"&gt;=8",tbl_task2[[SubPLOs]:[SubPLOs]],"&lt;9")</f>
        <v>0</v>
      </c>
      <c r="BY41" s="138">
        <f>SUMIFS(tbl_task2[S72],tbl_task2[[SubPLOs]:[SubPLOs]],"&gt;=8",tbl_task2[[SubPLOs]:[SubPLOs]],"&lt;9")</f>
        <v>0</v>
      </c>
      <c r="BZ41" s="138">
        <f>SUMIFS(tbl_task2[S73],tbl_task2[[SubPLOs]:[SubPLOs]],"&gt;=8",tbl_task2[[SubPLOs]:[SubPLOs]],"&lt;9")</f>
        <v>0</v>
      </c>
      <c r="CA41" s="138">
        <f>SUMIFS(tbl_task2[S74],tbl_task2[[SubPLOs]:[SubPLOs]],"&gt;=8",tbl_task2[[SubPLOs]:[SubPLOs]],"&lt;9")</f>
        <v>0</v>
      </c>
      <c r="CB41" s="138">
        <f>SUMIFS(tbl_task2[S75],tbl_task2[[SubPLOs]:[SubPLOs]],"&gt;=8",tbl_task2[[SubPLOs]:[SubPLOs]],"&lt;9")</f>
        <v>0</v>
      </c>
      <c r="CC41" s="138">
        <f>SUMIFS(tbl_task2[S76],tbl_task2[[SubPLOs]:[SubPLOs]],"&gt;=8",tbl_task2[[SubPLOs]:[SubPLOs]],"&lt;9")</f>
        <v>0</v>
      </c>
      <c r="CD41" s="138">
        <f>SUMIFS(tbl_task2[S77],tbl_task2[[SubPLOs]:[SubPLOs]],"&gt;=8",tbl_task2[[SubPLOs]:[SubPLOs]],"&lt;9")</f>
        <v>0</v>
      </c>
      <c r="CE41" s="138">
        <f>SUMIFS(tbl_task2[S78],tbl_task2[[SubPLOs]:[SubPLOs]],"&gt;=8",tbl_task2[[SubPLOs]:[SubPLOs]],"&lt;9")</f>
        <v>0</v>
      </c>
      <c r="CF41" s="138">
        <f>SUMIFS(tbl_task2[S79],tbl_task2[[SubPLOs]:[SubPLOs]],"&gt;=8",tbl_task2[[SubPLOs]:[SubPLOs]],"&lt;9")</f>
        <v>0</v>
      </c>
      <c r="CG41" s="138">
        <f>SUMIFS(tbl_task2[S80],tbl_task2[[SubPLOs]:[SubPLOs]],"&gt;=8",tbl_task2[[SubPLOs]:[SubPLOs]],"&lt;9")</f>
        <v>0</v>
      </c>
      <c r="CH41" s="138">
        <f>SUMIFS(tbl_task2[S81],tbl_task2[[SubPLOs]:[SubPLOs]],"&gt;=8",tbl_task2[[SubPLOs]:[SubPLOs]],"&lt;9")</f>
        <v>0</v>
      </c>
      <c r="CI41" s="138">
        <f>SUMIFS(tbl_task2[S82],tbl_task2[[SubPLOs]:[SubPLOs]],"&gt;=8",tbl_task2[[SubPLOs]:[SubPLOs]],"&lt;9")</f>
        <v>0</v>
      </c>
      <c r="CJ41" s="138">
        <f>SUMIFS(tbl_task2[S83],tbl_task2[[SubPLOs]:[SubPLOs]],"&gt;=8",tbl_task2[[SubPLOs]:[SubPLOs]],"&lt;9")</f>
        <v>0</v>
      </c>
      <c r="CK41" s="138">
        <f>SUMIFS(tbl_task2[S84],tbl_task2[[SubPLOs]:[SubPLOs]],"&gt;=8",tbl_task2[[SubPLOs]:[SubPLOs]],"&lt;9")</f>
        <v>0</v>
      </c>
      <c r="CL41" s="138">
        <f>SUMIFS(tbl_task2[S85],tbl_task2[[SubPLOs]:[SubPLOs]],"&gt;=8",tbl_task2[[SubPLOs]:[SubPLOs]],"&lt;9")</f>
        <v>0</v>
      </c>
      <c r="CM41" s="138">
        <f>SUMIFS(tbl_task2[S86],tbl_task2[[SubPLOs]:[SubPLOs]],"&gt;=8",tbl_task2[[SubPLOs]:[SubPLOs]],"&lt;9")</f>
        <v>0</v>
      </c>
      <c r="CN41" s="138">
        <f>SUMIFS(tbl_task2[S87],tbl_task2[[SubPLOs]:[SubPLOs]],"&gt;=8",tbl_task2[[SubPLOs]:[SubPLOs]],"&lt;9")</f>
        <v>0</v>
      </c>
      <c r="CO41" s="138">
        <f>SUMIFS(tbl_task2[S88],tbl_task2[[SubPLOs]:[SubPLOs]],"&gt;=8",tbl_task2[[SubPLOs]:[SubPLOs]],"&lt;9")</f>
        <v>0</v>
      </c>
      <c r="CP41" s="138">
        <f>SUMIFS(tbl_task2[S89],tbl_task2[[SubPLOs]:[SubPLOs]],"&gt;=8",tbl_task2[[SubPLOs]:[SubPLOs]],"&lt;9")</f>
        <v>0</v>
      </c>
      <c r="CQ41" s="138">
        <f>SUMIFS(tbl_task2[S90],tbl_task2[[SubPLOs]:[SubPLOs]],"&gt;=8",tbl_task2[[SubPLOs]:[SubPLOs]],"&lt;9")</f>
        <v>0</v>
      </c>
      <c r="CR41" s="138">
        <f>SUMIFS(tbl_task2[S91],tbl_task2[[SubPLOs]:[SubPLOs]],"&gt;=8",tbl_task2[[SubPLOs]:[SubPLOs]],"&lt;9")</f>
        <v>0</v>
      </c>
      <c r="CS41" s="138">
        <f>SUMIFS(tbl_task2[S92],tbl_task2[[SubPLOs]:[SubPLOs]],"&gt;=8",tbl_task2[[SubPLOs]:[SubPLOs]],"&lt;9")</f>
        <v>0</v>
      </c>
      <c r="CT41" s="138">
        <f>SUMIFS(tbl_task2[S93],tbl_task2[[SubPLOs]:[SubPLOs]],"&gt;=8",tbl_task2[[SubPLOs]:[SubPLOs]],"&lt;9")</f>
        <v>0</v>
      </c>
      <c r="CU41" s="138">
        <f>SUMIFS(tbl_task2[S94],tbl_task2[[SubPLOs]:[SubPLOs]],"&gt;=8",tbl_task2[[SubPLOs]:[SubPLOs]],"&lt;9")</f>
        <v>0</v>
      </c>
      <c r="CV41" s="138">
        <f>SUMIFS(tbl_task2[S95],tbl_task2[[SubPLOs]:[SubPLOs]],"&gt;=8",tbl_task2[[SubPLOs]:[SubPLOs]],"&lt;9")</f>
        <v>0</v>
      </c>
      <c r="CW41" s="138">
        <f>SUMIFS(tbl_task2[S96],tbl_task2[[SubPLOs]:[SubPLOs]],"&gt;=8",tbl_task2[[SubPLOs]:[SubPLOs]],"&lt;9")</f>
        <v>0</v>
      </c>
      <c r="CX41" s="138">
        <f>SUMIFS(tbl_task2[S97],tbl_task2[[SubPLOs]:[SubPLOs]],"&gt;=8",tbl_task2[[SubPLOs]:[SubPLOs]],"&lt;9")</f>
        <v>0</v>
      </c>
      <c r="CY41" s="138">
        <f>SUMIFS(tbl_task2[S98],tbl_task2[[SubPLOs]:[SubPLOs]],"&gt;=8",tbl_task2[[SubPLOs]:[SubPLOs]],"&lt;9")</f>
        <v>0</v>
      </c>
      <c r="CZ41" s="138">
        <f>SUMIFS(tbl_task2[S99],tbl_task2[[SubPLOs]:[SubPLOs]],"&gt;=8",tbl_task2[[SubPLOs]:[SubPLOs]],"&lt;9")</f>
        <v>0</v>
      </c>
      <c r="DA41" s="138">
        <f>SUMIFS(tbl_task2[S100],tbl_task2[[SubPLOs]:[SubPLOs]],"&gt;=8",tbl_task2[[SubPLOs]:[SubPLOs]],"&lt;9")</f>
        <v>0</v>
      </c>
      <c r="DB41" s="138">
        <f>SUMIFS(tbl_task2[S101],tbl_task2[[SubPLOs]:[SubPLOs]],"&gt;=8",tbl_task2[[SubPLOs]:[SubPLOs]],"&lt;9")</f>
        <v>0</v>
      </c>
      <c r="DC41" s="138">
        <f>SUMIFS(tbl_task2[S102],tbl_task2[[SubPLOs]:[SubPLOs]],"&gt;=8",tbl_task2[[SubPLOs]:[SubPLOs]],"&lt;9")</f>
        <v>0</v>
      </c>
      <c r="DD41" s="138">
        <f>SUMIFS(tbl_task2[S103],tbl_task2[[SubPLOs]:[SubPLOs]],"&gt;=8",tbl_task2[[SubPLOs]:[SubPLOs]],"&lt;9")</f>
        <v>0</v>
      </c>
      <c r="DE41" s="138">
        <f>SUMIFS(tbl_task2[S104],tbl_task2[[SubPLOs]:[SubPLOs]],"&gt;=8",tbl_task2[[SubPLOs]:[SubPLOs]],"&lt;9")</f>
        <v>0</v>
      </c>
      <c r="DF41" s="138">
        <f>SUMIFS(tbl_task2[S105],tbl_task2[[SubPLOs]:[SubPLOs]],"&gt;=8",tbl_task2[[SubPLOs]:[SubPLOs]],"&lt;9")</f>
        <v>0</v>
      </c>
      <c r="DG41" s="138">
        <f>SUMIFS(tbl_task2[S106],tbl_task2[[SubPLOs]:[SubPLOs]],"&gt;=8",tbl_task2[[SubPLOs]:[SubPLOs]],"&lt;9")</f>
        <v>0</v>
      </c>
      <c r="DH41" s="138">
        <f>SUMIFS(tbl_task2[S106],tbl_task2[[SubPLOs]:[SubPLOs]],"&gt;=8",tbl_task2[[SubPLOs]:[SubPLOs]],"&lt;9")</f>
        <v>0</v>
      </c>
      <c r="DI41" s="138">
        <f>SUMIFS(tbl_task2[S108],tbl_task2[[SubPLOs]:[SubPLOs]],"&gt;=8",tbl_task2[[SubPLOs]:[SubPLOs]],"&lt;9")</f>
        <v>0</v>
      </c>
      <c r="DJ41" s="138">
        <f>SUMIFS(tbl_task2[S109],tbl_task2[[SubPLOs]:[SubPLOs]],"&gt;=8",tbl_task2[[SubPLOs]:[SubPLOs]],"&lt;9")</f>
        <v>0</v>
      </c>
      <c r="DK41" s="138">
        <f>SUMIFS(tbl_task2[S110],tbl_task2[[SubPLOs]:[SubPLOs]],"&gt;=8",tbl_task2[[SubPLOs]:[SubPLOs]],"&lt;9")</f>
        <v>0</v>
      </c>
      <c r="DL41" s="138">
        <f>SUMIFS(tbl_task2[S111],tbl_task2[[SubPLOs]:[SubPLOs]],"&gt;=8",tbl_task2[[SubPLOs]:[SubPLOs]],"&lt;9")</f>
        <v>0</v>
      </c>
      <c r="DM41" s="138">
        <f>SUMIFS(tbl_task2[S112],tbl_task2[[SubPLOs]:[SubPLOs]],"&gt;=8",tbl_task2[[SubPLOs]:[SubPLOs]],"&lt;9")</f>
        <v>0</v>
      </c>
      <c r="DN41" s="138">
        <f>SUMIFS(tbl_task2[S113],tbl_task2[[SubPLOs]:[SubPLOs]],"&gt;=8",tbl_task2[[SubPLOs]:[SubPLOs]],"&lt;9")</f>
        <v>0</v>
      </c>
      <c r="DO41" s="138">
        <f>SUMIFS(tbl_task2[S114],tbl_task2[[SubPLOs]:[SubPLOs]],"&gt;=8",tbl_task2[[SubPLOs]:[SubPLOs]],"&lt;9")</f>
        <v>0</v>
      </c>
      <c r="DP41" s="138">
        <f>SUMIFS(tbl_task2[S115],tbl_task2[[SubPLOs]:[SubPLOs]],"&gt;=8",tbl_task2[[SubPLOs]:[SubPLOs]],"&lt;9")</f>
        <v>0</v>
      </c>
      <c r="DQ41" s="138">
        <f>SUMIFS(tbl_task2[S116],tbl_task2[[SubPLOs]:[SubPLOs]],"&gt;=8",tbl_task2[[SubPLOs]:[SubPLOs]],"&lt;9")</f>
        <v>0</v>
      </c>
      <c r="DR41" s="138">
        <f>SUMIFS(tbl_task2[S117],tbl_task2[[SubPLOs]:[SubPLOs]],"&gt;=8",tbl_task2[[SubPLOs]:[SubPLOs]],"&lt;9")</f>
        <v>0</v>
      </c>
      <c r="DS41" s="138">
        <f>SUMIFS(tbl_task2[S118],tbl_task2[[SubPLOs]:[SubPLOs]],"&gt;=8",tbl_task2[[SubPLOs]:[SubPLOs]],"&lt;9")</f>
        <v>0</v>
      </c>
      <c r="DT41" s="138">
        <f>SUMIFS(tbl_task2[S119],tbl_task2[[SubPLOs]:[SubPLOs]],"&gt;=8",tbl_task2[[SubPLOs]:[SubPLOs]],"&lt;9")</f>
        <v>0</v>
      </c>
      <c r="DU41" s="138">
        <f>SUMIFS(tbl_task2[S120],tbl_task2[[SubPLOs]:[SubPLOs]],"&gt;=8",tbl_task2[[SubPLOs]:[SubPLOs]],"&lt;9")</f>
        <v>0</v>
      </c>
      <c r="DV41" s="138">
        <f>SUMIFS(tbl_task2[S121],tbl_task2[[SubPLOs]:[SubPLOs]],"&gt;=8",tbl_task2[[SubPLOs]:[SubPLOs]],"&lt;9")</f>
        <v>0</v>
      </c>
      <c r="DW41" s="138">
        <f>SUMIFS(tbl_task2[S122],tbl_task2[[SubPLOs]:[SubPLOs]],"&gt;=8",tbl_task2[[SubPLOs]:[SubPLOs]],"&lt;9")</f>
        <v>0</v>
      </c>
      <c r="DX41" s="138">
        <f>SUMIFS(tbl_task2[S123],tbl_task2[[SubPLOs]:[SubPLOs]],"&gt;=8",tbl_task2[[SubPLOs]:[SubPLOs]],"&lt;9")</f>
        <v>0</v>
      </c>
      <c r="DY41" s="138">
        <f>SUMIFS(tbl_task2[S124],tbl_task2[[SubPLOs]:[SubPLOs]],"&gt;=8",tbl_task2[[SubPLOs]:[SubPLOs]],"&lt;9")</f>
        <v>0</v>
      </c>
      <c r="DZ41" s="138">
        <f>SUMIFS(tbl_task2[S125],tbl_task2[[SubPLOs]:[SubPLOs]],"&gt;=8",tbl_task2[[SubPLOs]:[SubPLOs]],"&lt;9")</f>
        <v>0</v>
      </c>
      <c r="EA41" s="138">
        <f>SUMIFS(tbl_task2[S126],tbl_task2[[SubPLOs]:[SubPLOs]],"&gt;=8",tbl_task2[[SubPLOs]:[SubPLOs]],"&lt;9")</f>
        <v>0</v>
      </c>
      <c r="EB41" s="138">
        <f>SUMIFS(tbl_task2[S127],tbl_task2[[SubPLOs]:[SubPLOs]],"&gt;=8",tbl_task2[[SubPLOs]:[SubPLOs]],"&lt;9")</f>
        <v>0</v>
      </c>
      <c r="EC41" s="138">
        <f>SUMIFS(tbl_task2[S128],tbl_task2[[SubPLOs]:[SubPLOs]],"&gt;=8",tbl_task2[[SubPLOs]:[SubPLOs]],"&lt;9")</f>
        <v>0</v>
      </c>
      <c r="ED41" s="138">
        <f>SUMIFS(tbl_task2[S129],tbl_task2[[SubPLOs]:[SubPLOs]],"&gt;=8",tbl_task2[[SubPLOs]:[SubPLOs]],"&lt;9")</f>
        <v>0</v>
      </c>
      <c r="EE41" s="138">
        <f>SUMIFS(tbl_task2[S130],tbl_task2[[SubPLOs]:[SubPLOs]],"&gt;=8",tbl_task2[[SubPLOs]:[SubPLOs]],"&lt;9")</f>
        <v>0</v>
      </c>
      <c r="EF41" s="138">
        <f>SUMIFS(tbl_task2[S131],tbl_task2[[SubPLOs]:[SubPLOs]],"&gt;=8",tbl_task2[[SubPLOs]:[SubPLOs]],"&lt;9")</f>
        <v>0</v>
      </c>
      <c r="EG41" s="138">
        <f>SUMIFS(tbl_task2[S132],tbl_task2[[SubPLOs]:[SubPLOs]],"&gt;=8",tbl_task2[[SubPLOs]:[SubPLOs]],"&lt;9")</f>
        <v>0</v>
      </c>
      <c r="EH41" s="138">
        <f>SUMIFS(tbl_task2[S133],tbl_task2[[SubPLOs]:[SubPLOs]],"&gt;=8",tbl_task2[[SubPLOs]:[SubPLOs]],"&lt;9")</f>
        <v>0</v>
      </c>
      <c r="EI41" s="138">
        <f>SUMIFS(tbl_task2[S134],tbl_task2[[SubPLOs]:[SubPLOs]],"&gt;=8",tbl_task2[[SubPLOs]:[SubPLOs]],"&lt;9")</f>
        <v>0</v>
      </c>
      <c r="EJ41" s="138">
        <f>SUMIFS(tbl_task2[S135],tbl_task2[[SubPLOs]:[SubPLOs]],"&gt;=8",tbl_task2[[SubPLOs]:[SubPLOs]],"&lt;9")</f>
        <v>0</v>
      </c>
      <c r="EK41" s="138">
        <f>SUMIFS(tbl_task2[S136],tbl_task2[[SubPLOs]:[SubPLOs]],"&gt;=8",tbl_task2[[SubPLOs]:[SubPLOs]],"&lt;9")</f>
        <v>0</v>
      </c>
      <c r="EL41" s="138">
        <f>SUMIFS(tbl_task2[S137],tbl_task2[[SubPLOs]:[SubPLOs]],"&gt;=8",tbl_task2[[SubPLOs]:[SubPLOs]],"&lt;9")</f>
        <v>0</v>
      </c>
      <c r="EM41" s="138">
        <f>SUMIFS(tbl_task2[S138],tbl_task2[[SubPLOs]:[SubPLOs]],"&gt;=8",tbl_task2[[SubPLOs]:[SubPLOs]],"&lt;9")</f>
        <v>0</v>
      </c>
      <c r="EN41" s="138">
        <f>SUMIFS(tbl_task2[S139],tbl_task2[[SubPLOs]:[SubPLOs]],"&gt;=8",tbl_task2[[SubPLOs]:[SubPLOs]],"&lt;9")</f>
        <v>0</v>
      </c>
      <c r="EO41" s="138">
        <f>SUMIFS(tbl_task2[S140],tbl_task2[[SubPLOs]:[SubPLOs]],"&gt;=8",tbl_task2[[SubPLOs]:[SubPLOs]],"&lt;9")</f>
        <v>0</v>
      </c>
      <c r="EP41" s="138">
        <f>SUMIFS(tbl_task2[S141],tbl_task2[[SubPLOs]:[SubPLOs]],"&gt;=8",tbl_task2[[SubPLOs]:[SubPLOs]],"&lt;9")</f>
        <v>0</v>
      </c>
      <c r="EQ41" s="138">
        <f>SUMIFS(tbl_task2[S142],tbl_task2[[SubPLOs]:[SubPLOs]],"&gt;=8",tbl_task2[[SubPLOs]:[SubPLOs]],"&lt;9")</f>
        <v>0</v>
      </c>
      <c r="ER41" s="138">
        <f>SUMIFS(tbl_task2[S143],tbl_task2[[SubPLOs]:[SubPLOs]],"&gt;=8",tbl_task2[[SubPLOs]:[SubPLOs]],"&lt;9")</f>
        <v>0</v>
      </c>
      <c r="ES41" s="138">
        <f>SUMIFS(tbl_task2[S144],tbl_task2[[SubPLOs]:[SubPLOs]],"&gt;=8",tbl_task2[[SubPLOs]:[SubPLOs]],"&lt;9")</f>
        <v>0</v>
      </c>
      <c r="ET41" s="138">
        <f>SUMIFS(tbl_task2[S145],tbl_task2[[SubPLOs]:[SubPLOs]],"&gt;=8",tbl_task2[[SubPLOs]:[SubPLOs]],"&lt;9")</f>
        <v>0</v>
      </c>
      <c r="EU41" s="138">
        <f>SUMIFS(tbl_task2[S146],tbl_task2[[SubPLOs]:[SubPLOs]],"&gt;=8",tbl_task2[[SubPLOs]:[SubPLOs]],"&lt;9")</f>
        <v>0</v>
      </c>
      <c r="EV41" s="138">
        <f>SUMIFS(tbl_task2[S147],tbl_task2[[SubPLOs]:[SubPLOs]],"&gt;=8",tbl_task2[[SubPLOs]:[SubPLOs]],"&lt;9")</f>
        <v>0</v>
      </c>
      <c r="EW41" s="138">
        <f>SUMIFS(tbl_task2[S148],tbl_task2[[SubPLOs]:[SubPLOs]],"&gt;=8",tbl_task2[[SubPLOs]:[SubPLOs]],"&lt;9")</f>
        <v>0</v>
      </c>
      <c r="EX41" s="138">
        <f>SUMIFS(tbl_task2[S149],tbl_task2[[SubPLOs]:[SubPLOs]],"&gt;=8",tbl_task2[[SubPLOs]:[SubPLOs]],"&lt;9")</f>
        <v>0</v>
      </c>
      <c r="EY41" s="138">
        <f>SUMIFS(tbl_task2[S150],tbl_task2[[SubPLOs]:[SubPLOs]],"&gt;=8",tbl_task2[[SubPLOs]:[SubPLOs]],"&lt;9")</f>
        <v>0</v>
      </c>
      <c r="EZ41" s="138">
        <f>SUMIFS(tbl_task2[S151],tbl_task2[[SubPLOs]:[SubPLOs]],"&gt;=8",tbl_task2[[SubPLOs]:[SubPLOs]],"&lt;9")</f>
        <v>0</v>
      </c>
      <c r="FA41" s="138">
        <f>SUMIFS(tbl_task2[S152],tbl_task2[[SubPLOs]:[SubPLOs]],"&gt;=8",tbl_task2[[SubPLOs]:[SubPLOs]],"&lt;9")</f>
        <v>0</v>
      </c>
      <c r="FB41" s="138">
        <f>SUMIFS(tbl_task2[S153],tbl_task2[[SubPLOs]:[SubPLOs]],"&gt;=8",tbl_task2[[SubPLOs]:[SubPLOs]],"&lt;9")</f>
        <v>0</v>
      </c>
      <c r="FC41" s="138">
        <f>SUMIFS(tbl_task2[S154],tbl_task2[[SubPLOs]:[SubPLOs]],"&gt;=8",tbl_task2[[SubPLOs]:[SubPLOs]],"&lt;9")</f>
        <v>0</v>
      </c>
      <c r="FD41" s="138">
        <f>SUMIFS(tbl_task2[S155],tbl_task2[[SubPLOs]:[SubPLOs]],"&gt;=8",tbl_task2[[SubPLOs]:[SubPLOs]],"&lt;9")</f>
        <v>0</v>
      </c>
      <c r="FE41" s="138">
        <f>SUMIFS(tbl_task2[S156],tbl_task2[[SubPLOs]:[SubPLOs]],"&gt;=8",tbl_task2[[SubPLOs]:[SubPLOs]],"&lt;9")</f>
        <v>0</v>
      </c>
      <c r="FF41" s="138">
        <f>SUMIFS(tbl_task2[S157],tbl_task2[[SubPLOs]:[SubPLOs]],"&gt;=8",tbl_task2[[SubPLOs]:[SubPLOs]],"&lt;9")</f>
        <v>0</v>
      </c>
      <c r="FG41" s="138">
        <f>SUMIFS(tbl_task2[S158],tbl_task2[[SubPLOs]:[SubPLOs]],"&gt;=8",tbl_task2[[SubPLOs]:[SubPLOs]],"&lt;9")</f>
        <v>0</v>
      </c>
      <c r="FH41" s="138">
        <f>SUMIFS(tbl_task2[S159],tbl_task2[[SubPLOs]:[SubPLOs]],"&gt;=8",tbl_task2[[SubPLOs]:[SubPLOs]],"&lt;9")</f>
        <v>0</v>
      </c>
      <c r="FI41" s="138">
        <f>SUMIFS(tbl_task2[S160],tbl_task2[[SubPLOs]:[SubPLOs]],"&gt;=8",tbl_task2[[SubPLOs]:[SubPLOs]],"&lt;9")</f>
        <v>0</v>
      </c>
      <c r="FJ41" s="138">
        <f>SUMIFS(tbl_task2[S161],tbl_task2[[SubPLOs]:[SubPLOs]],"&gt;=8",tbl_task2[[SubPLOs]:[SubPLOs]],"&lt;9")</f>
        <v>0</v>
      </c>
      <c r="FK41" s="138">
        <f>SUMIFS(tbl_task2[S162],tbl_task2[[SubPLOs]:[SubPLOs]],"&gt;=8",tbl_task2[[SubPLOs]:[SubPLOs]],"&lt;9")</f>
        <v>0</v>
      </c>
      <c r="FL41" s="138">
        <f>SUMIFS(tbl_task2[S163],tbl_task2[[SubPLOs]:[SubPLOs]],"&gt;=8",tbl_task2[[SubPLOs]:[SubPLOs]],"&lt;9")</f>
        <v>0</v>
      </c>
      <c r="FM41" s="138">
        <f>SUMIFS(tbl_task2[S164],tbl_task2[[SubPLOs]:[SubPLOs]],"&gt;=8",tbl_task2[[SubPLOs]:[SubPLOs]],"&lt;9")</f>
        <v>0</v>
      </c>
      <c r="FN41" s="138">
        <f>SUMIFS(tbl_task2[S165],tbl_task2[[SubPLOs]:[SubPLOs]],"&gt;=8",tbl_task2[[SubPLOs]:[SubPLOs]],"&lt;9")</f>
        <v>0</v>
      </c>
    </row>
    <row r="42" spans="1:170" ht="63" x14ac:dyDescent="0.25">
      <c r="A42" s="135">
        <v>9</v>
      </c>
      <c r="B42" s="5" t="s">
        <v>442</v>
      </c>
      <c r="C42" s="136">
        <f>COUNTIFS(tbl_task2[SubPLOs],"&gt;=9",tbl_task2[SubPLOs],"&lt;10")</f>
        <v>0</v>
      </c>
      <c r="D42" s="136">
        <f>SUMIFS(tbl_task2[คะแนนเต็ม],tbl_task2[SubPLOs],"&gt;=9",tbl_task2[SubPLOs],"&lt;10")</f>
        <v>0</v>
      </c>
      <c r="E42" s="137">
        <f>SUMIFS(tbl_task2[%],tbl_task2[SubPLOs],"&gt;=9",tbl_task2[SubPLOs],"&lt;10")</f>
        <v>0</v>
      </c>
      <c r="F42" s="138">
        <f>SUMIFS(tbl_task2[S1],tbl_task2[[SubPLOs]:[SubPLOs]],"&gt;=9",tbl_task2[[SubPLOs]:[SubPLOs]],"&lt;10")</f>
        <v>0</v>
      </c>
      <c r="G42" s="138">
        <f>SUMIFS(tbl_task2[S2],tbl_task2[[SubPLOs]:[SubPLOs]],"&gt;=9",tbl_task2[[SubPLOs]:[SubPLOs]],"&lt;10")</f>
        <v>0</v>
      </c>
      <c r="H42" s="138">
        <f>SUMIFS(tbl_task2[S3],tbl_task2[[SubPLOs]:[SubPLOs]],"&gt;=9",tbl_task2[[SubPLOs]:[SubPLOs]],"&lt;10")</f>
        <v>0</v>
      </c>
      <c r="I42" s="138">
        <f>SUMIFS(tbl_task2[S4],tbl_task2[[SubPLOs]:[SubPLOs]],"&gt;=9",tbl_task2[[SubPLOs]:[SubPLOs]],"&lt;10")</f>
        <v>0</v>
      </c>
      <c r="J42" s="138">
        <f>SUMIFS(tbl_task2[S5],tbl_task2[[SubPLOs]:[SubPLOs]],"&gt;=9",tbl_task2[[SubPLOs]:[SubPLOs]],"&lt;10")</f>
        <v>0</v>
      </c>
      <c r="K42" s="138">
        <f>SUMIFS(tbl_task2[S6],tbl_task2[[SubPLOs]:[SubPLOs]],"&gt;=9",tbl_task2[[SubPLOs]:[SubPLOs]],"&lt;10")</f>
        <v>0</v>
      </c>
      <c r="L42" s="138">
        <f>SUMIFS(tbl_task2[S7],tbl_task2[[SubPLOs]:[SubPLOs]],"&gt;=9",tbl_task2[[SubPLOs]:[SubPLOs]],"&lt;10")</f>
        <v>0</v>
      </c>
      <c r="M42" s="138">
        <f>SUMIFS(tbl_task2[S8],tbl_task2[[SubPLOs]:[SubPLOs]],"&gt;=9",tbl_task2[[SubPLOs]:[SubPLOs]],"&lt;10")</f>
        <v>0</v>
      </c>
      <c r="N42" s="138">
        <f>SUMIFS(tbl_task2[S9],tbl_task2[[SubPLOs]:[SubPLOs]],"&gt;=9",tbl_task2[[SubPLOs]:[SubPLOs]],"&lt;10")</f>
        <v>0</v>
      </c>
      <c r="O42" s="138">
        <f>SUMIFS(tbl_task2[S10],tbl_task2[[SubPLOs]:[SubPLOs]],"&gt;=9",tbl_task2[[SubPLOs]:[SubPLOs]],"&lt;10")</f>
        <v>0</v>
      </c>
      <c r="P42" s="138">
        <f>SUMIFS(tbl_task2[S11],tbl_task2[[SubPLOs]:[SubPLOs]],"&gt;=9",tbl_task2[[SubPLOs]:[SubPLOs]],"&lt;10")</f>
        <v>0</v>
      </c>
      <c r="Q42" s="138">
        <f>SUMIFS(tbl_task2[S12],tbl_task2[[SubPLOs]:[SubPLOs]],"&gt;=9",tbl_task2[[SubPLOs]:[SubPLOs]],"&lt;10")</f>
        <v>0</v>
      </c>
      <c r="R42" s="138">
        <f>SUMIFS(tbl_task2[S13],tbl_task2[[SubPLOs]:[SubPLOs]],"&gt;=9",tbl_task2[[SubPLOs]:[SubPLOs]],"&lt;10")</f>
        <v>0</v>
      </c>
      <c r="S42" s="138">
        <f>SUMIFS(tbl_task2[S14],tbl_task2[[SubPLOs]:[SubPLOs]],"&gt;=9",tbl_task2[[SubPLOs]:[SubPLOs]],"&lt;10")</f>
        <v>0</v>
      </c>
      <c r="T42" s="138">
        <f>SUMIFS(tbl_task2[S15],tbl_task2[[SubPLOs]:[SubPLOs]],"&gt;=9",tbl_task2[[SubPLOs]:[SubPLOs]],"&lt;10")</f>
        <v>0</v>
      </c>
      <c r="U42" s="138">
        <f>SUMIFS(tbl_task2[S16],tbl_task2[[SubPLOs]:[SubPLOs]],"&gt;=9",tbl_task2[[SubPLOs]:[SubPLOs]],"&lt;10")</f>
        <v>0</v>
      </c>
      <c r="V42" s="138">
        <f>SUMIFS(tbl_task2[S17],tbl_task2[[SubPLOs]:[SubPLOs]],"&gt;=9",tbl_task2[[SubPLOs]:[SubPLOs]],"&lt;10")</f>
        <v>0</v>
      </c>
      <c r="W42" s="138">
        <f>SUMIFS(tbl_task2[S18],tbl_task2[[SubPLOs]:[SubPLOs]],"&gt;=9",tbl_task2[[SubPLOs]:[SubPLOs]],"&lt;10")</f>
        <v>0</v>
      </c>
      <c r="X42" s="138">
        <f>SUMIFS(tbl_task2[S19],tbl_task2[[SubPLOs]:[SubPLOs]],"&gt;=9",tbl_task2[[SubPLOs]:[SubPLOs]],"&lt;10")</f>
        <v>0</v>
      </c>
      <c r="Y42" s="138">
        <f>SUMIFS(tbl_task2[S20],tbl_task2[[SubPLOs]:[SubPLOs]],"&gt;=9",tbl_task2[[SubPLOs]:[SubPLOs]],"&lt;10")</f>
        <v>0</v>
      </c>
      <c r="Z42" s="138">
        <f>SUMIFS(tbl_task2[S21],tbl_task2[[SubPLOs]:[SubPLOs]],"&gt;=9",tbl_task2[[SubPLOs]:[SubPLOs]],"&lt;10")</f>
        <v>0</v>
      </c>
      <c r="AA42" s="138">
        <f>SUMIFS(tbl_task2[S22],tbl_task2[[SubPLOs]:[SubPLOs]],"&gt;=9",tbl_task2[[SubPLOs]:[SubPLOs]],"&lt;10")</f>
        <v>0</v>
      </c>
      <c r="AB42" s="138">
        <f>SUMIFS(tbl_task2[S23],tbl_task2[[SubPLOs]:[SubPLOs]],"&gt;=9",tbl_task2[[SubPLOs]:[SubPLOs]],"&lt;10")</f>
        <v>0</v>
      </c>
      <c r="AC42" s="138">
        <f>SUMIFS(tbl_task2[S24],tbl_task2[[SubPLOs]:[SubPLOs]],"&gt;=9",tbl_task2[[SubPLOs]:[SubPLOs]],"&lt;10")</f>
        <v>0</v>
      </c>
      <c r="AD42" s="138">
        <f>SUMIFS(tbl_task2[S25],tbl_task2[[SubPLOs]:[SubPLOs]],"&gt;=9",tbl_task2[[SubPLOs]:[SubPLOs]],"&lt;10")</f>
        <v>0</v>
      </c>
      <c r="AE42" s="138">
        <f>SUMIFS(tbl_task2[S26],tbl_task2[[SubPLOs]:[SubPLOs]],"&gt;=9",tbl_task2[[SubPLOs]:[SubPLOs]],"&lt;10")</f>
        <v>0</v>
      </c>
      <c r="AF42" s="138">
        <f>SUMIFS(tbl_task2[S27],tbl_task2[[SubPLOs]:[SubPLOs]],"&gt;=9",tbl_task2[[SubPLOs]:[SubPLOs]],"&lt;10")</f>
        <v>0</v>
      </c>
      <c r="AG42" s="138">
        <f>SUMIFS(tbl_task2[S28],tbl_task2[[SubPLOs]:[SubPLOs]],"&gt;=9",tbl_task2[[SubPLOs]:[SubPLOs]],"&lt;10")</f>
        <v>0</v>
      </c>
      <c r="AH42" s="138">
        <f>SUMIFS(tbl_task2[S29],tbl_task2[[SubPLOs]:[SubPLOs]],"&gt;=9",tbl_task2[[SubPLOs]:[SubPLOs]],"&lt;10")</f>
        <v>0</v>
      </c>
      <c r="AI42" s="138">
        <f>SUMIFS(tbl_task2[S30],tbl_task2[[SubPLOs]:[SubPLOs]],"&gt;=9",tbl_task2[[SubPLOs]:[SubPLOs]],"&lt;10")</f>
        <v>0</v>
      </c>
      <c r="AJ42" s="138">
        <f>SUMIFS(tbl_task2[S31],tbl_task2[[SubPLOs]:[SubPLOs]],"&gt;=9",tbl_task2[[SubPLOs]:[SubPLOs]],"&lt;10")</f>
        <v>0</v>
      </c>
      <c r="AK42" s="138">
        <f>SUMIFS(tbl_task2[S32],tbl_task2[[SubPLOs]:[SubPLOs]],"&gt;=9",tbl_task2[[SubPLOs]:[SubPLOs]],"&lt;10")</f>
        <v>0</v>
      </c>
      <c r="AL42" s="138">
        <f>SUMIFS(tbl_task2[S33],tbl_task2[[SubPLOs]:[SubPLOs]],"&gt;=9",tbl_task2[[SubPLOs]:[SubPLOs]],"&lt;10")</f>
        <v>0</v>
      </c>
      <c r="AM42" s="138">
        <f>SUMIFS(tbl_task2[S34],tbl_task2[[SubPLOs]:[SubPLOs]],"&gt;=9",tbl_task2[[SubPLOs]:[SubPLOs]],"&lt;10")</f>
        <v>0</v>
      </c>
      <c r="AN42" s="138">
        <f>SUMIFS(tbl_task2[S35],tbl_task2[[SubPLOs]:[SubPLOs]],"&gt;=9",tbl_task2[[SubPLOs]:[SubPLOs]],"&lt;10")</f>
        <v>0</v>
      </c>
      <c r="AO42" s="138">
        <f>SUMIFS(tbl_task2[S36],tbl_task2[[SubPLOs]:[SubPLOs]],"&gt;=9",tbl_task2[[SubPLOs]:[SubPLOs]],"&lt;10")</f>
        <v>0</v>
      </c>
      <c r="AP42" s="138">
        <f>SUMIFS(tbl_task2[S37],tbl_task2[[SubPLOs]:[SubPLOs]],"&gt;=9",tbl_task2[[SubPLOs]:[SubPLOs]],"&lt;10")</f>
        <v>0</v>
      </c>
      <c r="AQ42" s="138">
        <f>SUMIFS(tbl_task2[S38],tbl_task2[[SubPLOs]:[SubPLOs]],"&gt;=9",tbl_task2[[SubPLOs]:[SubPLOs]],"&lt;10")</f>
        <v>0</v>
      </c>
      <c r="AR42" s="138">
        <f>SUMIFS(tbl_task2[S39],tbl_task2[[SubPLOs]:[SubPLOs]],"&gt;=9",tbl_task2[[SubPLOs]:[SubPLOs]],"&lt;10")</f>
        <v>0</v>
      </c>
      <c r="AS42" s="138">
        <f>SUMIFS(tbl_task2[S40],tbl_task2[[SubPLOs]:[SubPLOs]],"&gt;=9",tbl_task2[[SubPLOs]:[SubPLOs]],"&lt;10")</f>
        <v>0</v>
      </c>
      <c r="AT42" s="138">
        <f>SUMIFS(tbl_task2[S41],tbl_task2[[SubPLOs]:[SubPLOs]],"&gt;=9",tbl_task2[[SubPLOs]:[SubPLOs]],"&lt;10")</f>
        <v>0</v>
      </c>
      <c r="AU42" s="138">
        <f>SUMIFS(tbl_task2[S42],tbl_task2[[SubPLOs]:[SubPLOs]],"&gt;=9",tbl_task2[[SubPLOs]:[SubPLOs]],"&lt;10")</f>
        <v>0</v>
      </c>
      <c r="AV42" s="138">
        <f>SUMIFS(tbl_task2[S43],tbl_task2[[SubPLOs]:[SubPLOs]],"&gt;=9",tbl_task2[[SubPLOs]:[SubPLOs]],"&lt;10")</f>
        <v>0</v>
      </c>
      <c r="AW42" s="138">
        <f>SUMIFS(tbl_task2[S44],tbl_task2[[SubPLOs]:[SubPLOs]],"&gt;=9",tbl_task2[[SubPLOs]:[SubPLOs]],"&lt;10")</f>
        <v>0</v>
      </c>
      <c r="AX42" s="138">
        <f>SUMIFS(tbl_task2[S45],tbl_task2[[SubPLOs]:[SubPLOs]],"&gt;=9",tbl_task2[[SubPLOs]:[SubPLOs]],"&lt;10")</f>
        <v>0</v>
      </c>
      <c r="AY42" s="138">
        <f>SUMIFS(tbl_task2[S46],tbl_task2[[SubPLOs]:[SubPLOs]],"&gt;=9",tbl_task2[[SubPLOs]:[SubPLOs]],"&lt;10")</f>
        <v>0</v>
      </c>
      <c r="AZ42" s="138">
        <f>SUMIFS(tbl_task2[S47],tbl_task2[[SubPLOs]:[SubPLOs]],"&gt;=9",tbl_task2[[SubPLOs]:[SubPLOs]],"&lt;10")</f>
        <v>0</v>
      </c>
      <c r="BA42" s="138">
        <f>SUMIFS(tbl_task2[S48],tbl_task2[[SubPLOs]:[SubPLOs]],"&gt;=9",tbl_task2[[SubPLOs]:[SubPLOs]],"&lt;10")</f>
        <v>0</v>
      </c>
      <c r="BB42" s="138">
        <f>SUMIFS(tbl_task2[S49],tbl_task2[[SubPLOs]:[SubPLOs]],"&gt;=9",tbl_task2[[SubPLOs]:[SubPLOs]],"&lt;10")</f>
        <v>0</v>
      </c>
      <c r="BC42" s="138">
        <f>SUMIFS(tbl_task2[S50],tbl_task2[[SubPLOs]:[SubPLOs]],"&gt;=9",tbl_task2[[SubPLOs]:[SubPLOs]],"&lt;10")</f>
        <v>0</v>
      </c>
      <c r="BD42" s="138">
        <f>SUMIFS(tbl_task2[S51],tbl_task2[[SubPLOs]:[SubPLOs]],"&gt;=9",tbl_task2[[SubPLOs]:[SubPLOs]],"&lt;10")</f>
        <v>0</v>
      </c>
      <c r="BE42" s="138">
        <f>SUMIFS(tbl_task2[S52],tbl_task2[[SubPLOs]:[SubPLOs]],"&gt;=9",tbl_task2[[SubPLOs]:[SubPLOs]],"&lt;10")</f>
        <v>0</v>
      </c>
      <c r="BF42" s="138">
        <f>SUMIFS(tbl_task2[S53],tbl_task2[[SubPLOs]:[SubPLOs]],"&gt;=9",tbl_task2[[SubPLOs]:[SubPLOs]],"&lt;10")</f>
        <v>0</v>
      </c>
      <c r="BG42" s="138">
        <f>SUMIFS(tbl_task2[S54],tbl_task2[[SubPLOs]:[SubPLOs]],"&gt;=9",tbl_task2[[SubPLOs]:[SubPLOs]],"&lt;10")</f>
        <v>0</v>
      </c>
      <c r="BH42" s="138">
        <f>SUMIFS(tbl_task2[S55],tbl_task2[[SubPLOs]:[SubPLOs]],"&gt;=9",tbl_task2[[SubPLOs]:[SubPLOs]],"&lt;10")</f>
        <v>0</v>
      </c>
      <c r="BI42" s="138">
        <f>SUMIFS(tbl_task2[S56],tbl_task2[[SubPLOs]:[SubPLOs]],"&gt;=9",tbl_task2[[SubPLOs]:[SubPLOs]],"&lt;10")</f>
        <v>0</v>
      </c>
      <c r="BJ42" s="138">
        <f>SUMIFS(tbl_task2[S57],tbl_task2[[SubPLOs]:[SubPLOs]],"&gt;=9",tbl_task2[[SubPLOs]:[SubPLOs]],"&lt;10")</f>
        <v>0</v>
      </c>
      <c r="BK42" s="138">
        <f>SUMIFS(tbl_task2[S58],tbl_task2[[SubPLOs]:[SubPLOs]],"&gt;=9",tbl_task2[[SubPLOs]:[SubPLOs]],"&lt;10")</f>
        <v>0</v>
      </c>
      <c r="BL42" s="138">
        <f>SUMIFS(tbl_task2[S59],tbl_task2[[SubPLOs]:[SubPLOs]],"&gt;=9",tbl_task2[[SubPLOs]:[SubPLOs]],"&lt;10")</f>
        <v>0</v>
      </c>
      <c r="BM42" s="138">
        <f>SUMIFS(tbl_task2[S60],tbl_task2[[SubPLOs]:[SubPLOs]],"&gt;=9",tbl_task2[[SubPLOs]:[SubPLOs]],"&lt;10")</f>
        <v>0</v>
      </c>
      <c r="BN42" s="138">
        <f>SUMIFS(tbl_task2[S61],tbl_task2[[SubPLOs]:[SubPLOs]],"&gt;=9",tbl_task2[[SubPLOs]:[SubPLOs]],"&lt;10")</f>
        <v>0</v>
      </c>
      <c r="BO42" s="138">
        <f>SUMIFS(tbl_task2[S62],tbl_task2[[SubPLOs]:[SubPLOs]],"&gt;=9",tbl_task2[[SubPLOs]:[SubPLOs]],"&lt;10")</f>
        <v>0</v>
      </c>
      <c r="BP42" s="138">
        <f>SUMIFS(tbl_task2[S63],tbl_task2[[SubPLOs]:[SubPLOs]],"&gt;=9",tbl_task2[[SubPLOs]:[SubPLOs]],"&lt;10")</f>
        <v>0</v>
      </c>
      <c r="BQ42" s="138">
        <f>SUMIFS(tbl_task2[S64],tbl_task2[[SubPLOs]:[SubPLOs]],"&gt;=9",tbl_task2[[SubPLOs]:[SubPLOs]],"&lt;10")</f>
        <v>0</v>
      </c>
      <c r="BR42" s="138">
        <f>SUMIFS(tbl_task2[S65],tbl_task2[[SubPLOs]:[SubPLOs]],"&gt;=9",tbl_task2[[SubPLOs]:[SubPLOs]],"&lt;10")</f>
        <v>0</v>
      </c>
      <c r="BS42" s="138">
        <f>SUMIFS(tbl_task2[S66],tbl_task2[[SubPLOs]:[SubPLOs]],"&gt;=9",tbl_task2[[SubPLOs]:[SubPLOs]],"&lt;10")</f>
        <v>0</v>
      </c>
      <c r="BT42" s="138">
        <f>SUMIFS(tbl_task2[S67],tbl_task2[[SubPLOs]:[SubPLOs]],"&gt;=9",tbl_task2[[SubPLOs]:[SubPLOs]],"&lt;10")</f>
        <v>0</v>
      </c>
      <c r="BU42" s="138">
        <f>SUMIFS(tbl_task2[S68],tbl_task2[[SubPLOs]:[SubPLOs]],"&gt;=9",tbl_task2[[SubPLOs]:[SubPLOs]],"&lt;10")</f>
        <v>0</v>
      </c>
      <c r="BV42" s="138">
        <f>SUMIFS(tbl_task2[S69],tbl_task2[[SubPLOs]:[SubPLOs]],"&gt;=9",tbl_task2[[SubPLOs]:[SubPLOs]],"&lt;10")</f>
        <v>0</v>
      </c>
      <c r="BW42" s="138">
        <f>SUMIFS(tbl_task2[S70],tbl_task2[[SubPLOs]:[SubPLOs]],"&gt;=9",tbl_task2[[SubPLOs]:[SubPLOs]],"&lt;10")</f>
        <v>0</v>
      </c>
      <c r="BX42" s="138">
        <f>SUMIFS(tbl_task2[S71],tbl_task2[[SubPLOs]:[SubPLOs]],"&gt;=9",tbl_task2[[SubPLOs]:[SubPLOs]],"&lt;10")</f>
        <v>0</v>
      </c>
      <c r="BY42" s="138">
        <f>SUMIFS(tbl_task2[S72],tbl_task2[[SubPLOs]:[SubPLOs]],"&gt;=9",tbl_task2[[SubPLOs]:[SubPLOs]],"&lt;10")</f>
        <v>0</v>
      </c>
      <c r="BZ42" s="138">
        <f>SUMIFS(tbl_task2[S73],tbl_task2[[SubPLOs]:[SubPLOs]],"&gt;=9",tbl_task2[[SubPLOs]:[SubPLOs]],"&lt;10")</f>
        <v>0</v>
      </c>
      <c r="CA42" s="138">
        <f>SUMIFS(tbl_task2[S74],tbl_task2[[SubPLOs]:[SubPLOs]],"&gt;=9",tbl_task2[[SubPLOs]:[SubPLOs]],"&lt;10")</f>
        <v>0</v>
      </c>
      <c r="CB42" s="138">
        <f>SUMIFS(tbl_task2[S75],tbl_task2[[SubPLOs]:[SubPLOs]],"&gt;=9",tbl_task2[[SubPLOs]:[SubPLOs]],"&lt;10")</f>
        <v>0</v>
      </c>
      <c r="CC42" s="138">
        <f>SUMIFS(tbl_task2[S76],tbl_task2[[SubPLOs]:[SubPLOs]],"&gt;=9",tbl_task2[[SubPLOs]:[SubPLOs]],"&lt;10")</f>
        <v>0</v>
      </c>
      <c r="CD42" s="138">
        <f>SUMIFS(tbl_task2[S77],tbl_task2[[SubPLOs]:[SubPLOs]],"&gt;=9",tbl_task2[[SubPLOs]:[SubPLOs]],"&lt;10")</f>
        <v>0</v>
      </c>
      <c r="CE42" s="138">
        <f>SUMIFS(tbl_task2[S78],tbl_task2[[SubPLOs]:[SubPLOs]],"&gt;=9",tbl_task2[[SubPLOs]:[SubPLOs]],"&lt;10")</f>
        <v>0</v>
      </c>
      <c r="CF42" s="138">
        <f>SUMIFS(tbl_task2[S79],tbl_task2[[SubPLOs]:[SubPLOs]],"&gt;=9",tbl_task2[[SubPLOs]:[SubPLOs]],"&lt;10")</f>
        <v>0</v>
      </c>
      <c r="CG42" s="138">
        <f>SUMIFS(tbl_task2[S80],tbl_task2[[SubPLOs]:[SubPLOs]],"&gt;=9",tbl_task2[[SubPLOs]:[SubPLOs]],"&lt;10")</f>
        <v>0</v>
      </c>
      <c r="CH42" s="138">
        <f>SUMIFS(tbl_task2[S81],tbl_task2[[SubPLOs]:[SubPLOs]],"&gt;=9",tbl_task2[[SubPLOs]:[SubPLOs]],"&lt;10")</f>
        <v>0</v>
      </c>
      <c r="CI42" s="138">
        <f>SUMIFS(tbl_task2[S82],tbl_task2[[SubPLOs]:[SubPLOs]],"&gt;=9",tbl_task2[[SubPLOs]:[SubPLOs]],"&lt;10")</f>
        <v>0</v>
      </c>
      <c r="CJ42" s="138">
        <f>SUMIFS(tbl_task2[S83],tbl_task2[[SubPLOs]:[SubPLOs]],"&gt;=9",tbl_task2[[SubPLOs]:[SubPLOs]],"&lt;10")</f>
        <v>0</v>
      </c>
      <c r="CK42" s="138">
        <f>SUMIFS(tbl_task2[S84],tbl_task2[[SubPLOs]:[SubPLOs]],"&gt;=9",tbl_task2[[SubPLOs]:[SubPLOs]],"&lt;10")</f>
        <v>0</v>
      </c>
      <c r="CL42" s="138">
        <f>SUMIFS(tbl_task2[S85],tbl_task2[[SubPLOs]:[SubPLOs]],"&gt;=9",tbl_task2[[SubPLOs]:[SubPLOs]],"&lt;10")</f>
        <v>0</v>
      </c>
      <c r="CM42" s="138">
        <f>SUMIFS(tbl_task2[S86],tbl_task2[[SubPLOs]:[SubPLOs]],"&gt;=9",tbl_task2[[SubPLOs]:[SubPLOs]],"&lt;10")</f>
        <v>0</v>
      </c>
      <c r="CN42" s="138">
        <f>SUMIFS(tbl_task2[S87],tbl_task2[[SubPLOs]:[SubPLOs]],"&gt;=9",tbl_task2[[SubPLOs]:[SubPLOs]],"&lt;10")</f>
        <v>0</v>
      </c>
      <c r="CO42" s="138">
        <f>SUMIFS(tbl_task2[S88],tbl_task2[[SubPLOs]:[SubPLOs]],"&gt;=9",tbl_task2[[SubPLOs]:[SubPLOs]],"&lt;10")</f>
        <v>0</v>
      </c>
      <c r="CP42" s="138">
        <f>SUMIFS(tbl_task2[S89],tbl_task2[[SubPLOs]:[SubPLOs]],"&gt;=9",tbl_task2[[SubPLOs]:[SubPLOs]],"&lt;10")</f>
        <v>0</v>
      </c>
      <c r="CQ42" s="138">
        <f>SUMIFS(tbl_task2[S90],tbl_task2[[SubPLOs]:[SubPLOs]],"&gt;=9",tbl_task2[[SubPLOs]:[SubPLOs]],"&lt;10")</f>
        <v>0</v>
      </c>
      <c r="CR42" s="138">
        <f>SUMIFS(tbl_task2[S91],tbl_task2[[SubPLOs]:[SubPLOs]],"&gt;=9",tbl_task2[[SubPLOs]:[SubPLOs]],"&lt;10")</f>
        <v>0</v>
      </c>
      <c r="CS42" s="138">
        <f>SUMIFS(tbl_task2[S92],tbl_task2[[SubPLOs]:[SubPLOs]],"&gt;=9",tbl_task2[[SubPLOs]:[SubPLOs]],"&lt;10")</f>
        <v>0</v>
      </c>
      <c r="CT42" s="138">
        <f>SUMIFS(tbl_task2[S93],tbl_task2[[SubPLOs]:[SubPLOs]],"&gt;=9",tbl_task2[[SubPLOs]:[SubPLOs]],"&lt;10")</f>
        <v>0</v>
      </c>
      <c r="CU42" s="138">
        <f>SUMIFS(tbl_task2[S94],tbl_task2[[SubPLOs]:[SubPLOs]],"&gt;=9",tbl_task2[[SubPLOs]:[SubPLOs]],"&lt;10")</f>
        <v>0</v>
      </c>
      <c r="CV42" s="138">
        <f>SUMIFS(tbl_task2[S95],tbl_task2[[SubPLOs]:[SubPLOs]],"&gt;=9",tbl_task2[[SubPLOs]:[SubPLOs]],"&lt;10")</f>
        <v>0</v>
      </c>
      <c r="CW42" s="138">
        <f>SUMIFS(tbl_task2[S96],tbl_task2[[SubPLOs]:[SubPLOs]],"&gt;=9",tbl_task2[[SubPLOs]:[SubPLOs]],"&lt;10")</f>
        <v>0</v>
      </c>
      <c r="CX42" s="138">
        <f>SUMIFS(tbl_task2[S97],tbl_task2[[SubPLOs]:[SubPLOs]],"&gt;=9",tbl_task2[[SubPLOs]:[SubPLOs]],"&lt;10")</f>
        <v>0</v>
      </c>
      <c r="CY42" s="138">
        <f>SUMIFS(tbl_task2[S98],tbl_task2[[SubPLOs]:[SubPLOs]],"&gt;=9",tbl_task2[[SubPLOs]:[SubPLOs]],"&lt;10")</f>
        <v>0</v>
      </c>
      <c r="CZ42" s="138">
        <f>SUMIFS(tbl_task2[S99],tbl_task2[[SubPLOs]:[SubPLOs]],"&gt;=9",tbl_task2[[SubPLOs]:[SubPLOs]],"&lt;10")</f>
        <v>0</v>
      </c>
      <c r="DA42" s="138">
        <f>SUMIFS(tbl_task2[S100],tbl_task2[[SubPLOs]:[SubPLOs]],"&gt;=9",tbl_task2[[SubPLOs]:[SubPLOs]],"&lt;10")</f>
        <v>0</v>
      </c>
      <c r="DB42" s="138">
        <f>SUMIFS(tbl_task2[S101],tbl_task2[[SubPLOs]:[SubPLOs]],"&gt;=9",tbl_task2[[SubPLOs]:[SubPLOs]],"&lt;10")</f>
        <v>0</v>
      </c>
      <c r="DC42" s="138">
        <f>SUMIFS(tbl_task2[S102],tbl_task2[[SubPLOs]:[SubPLOs]],"&gt;=9",tbl_task2[[SubPLOs]:[SubPLOs]],"&lt;10")</f>
        <v>0</v>
      </c>
      <c r="DD42" s="138">
        <f>SUMIFS(tbl_task2[S103],tbl_task2[[SubPLOs]:[SubPLOs]],"&gt;=9",tbl_task2[[SubPLOs]:[SubPLOs]],"&lt;10")</f>
        <v>0</v>
      </c>
      <c r="DE42" s="138">
        <f>SUMIFS(tbl_task2[S104],tbl_task2[[SubPLOs]:[SubPLOs]],"&gt;=9",tbl_task2[[SubPLOs]:[SubPLOs]],"&lt;10")</f>
        <v>0</v>
      </c>
      <c r="DF42" s="138">
        <f>SUMIFS(tbl_task2[S105],tbl_task2[[SubPLOs]:[SubPLOs]],"&gt;=9",tbl_task2[[SubPLOs]:[SubPLOs]],"&lt;10")</f>
        <v>0</v>
      </c>
      <c r="DG42" s="138">
        <f>SUMIFS(tbl_task2[S106],tbl_task2[[SubPLOs]:[SubPLOs]],"&gt;=9",tbl_task2[[SubPLOs]:[SubPLOs]],"&lt;10")</f>
        <v>0</v>
      </c>
      <c r="DH42" s="138">
        <f>SUMIFS(tbl_task2[S106],tbl_task2[[SubPLOs]:[SubPLOs]],"&gt;=9",tbl_task2[[SubPLOs]:[SubPLOs]],"&lt;10")</f>
        <v>0</v>
      </c>
      <c r="DI42" s="138">
        <f>SUMIFS(tbl_task2[S108],tbl_task2[[SubPLOs]:[SubPLOs]],"&gt;=9",tbl_task2[[SubPLOs]:[SubPLOs]],"&lt;10")</f>
        <v>0</v>
      </c>
      <c r="DJ42" s="138">
        <f>SUMIFS(tbl_task2[S109],tbl_task2[[SubPLOs]:[SubPLOs]],"&gt;=9",tbl_task2[[SubPLOs]:[SubPLOs]],"&lt;10")</f>
        <v>0</v>
      </c>
      <c r="DK42" s="138">
        <f>SUMIFS(tbl_task2[S110],tbl_task2[[SubPLOs]:[SubPLOs]],"&gt;=9",tbl_task2[[SubPLOs]:[SubPLOs]],"&lt;10")</f>
        <v>0</v>
      </c>
      <c r="DL42" s="138">
        <f>SUMIFS(tbl_task2[S111],tbl_task2[[SubPLOs]:[SubPLOs]],"&gt;=9",tbl_task2[[SubPLOs]:[SubPLOs]],"&lt;10")</f>
        <v>0</v>
      </c>
      <c r="DM42" s="138">
        <f>SUMIFS(tbl_task2[S112],tbl_task2[[SubPLOs]:[SubPLOs]],"&gt;=9",tbl_task2[[SubPLOs]:[SubPLOs]],"&lt;10")</f>
        <v>0</v>
      </c>
      <c r="DN42" s="138">
        <f>SUMIFS(tbl_task2[S113],tbl_task2[[SubPLOs]:[SubPLOs]],"&gt;=9",tbl_task2[[SubPLOs]:[SubPLOs]],"&lt;10")</f>
        <v>0</v>
      </c>
      <c r="DO42" s="138">
        <f>SUMIFS(tbl_task2[S114],tbl_task2[[SubPLOs]:[SubPLOs]],"&gt;=9",tbl_task2[[SubPLOs]:[SubPLOs]],"&lt;10")</f>
        <v>0</v>
      </c>
      <c r="DP42" s="138">
        <f>SUMIFS(tbl_task2[S115],tbl_task2[[SubPLOs]:[SubPLOs]],"&gt;=9",tbl_task2[[SubPLOs]:[SubPLOs]],"&lt;10")</f>
        <v>0</v>
      </c>
      <c r="DQ42" s="138">
        <f>SUMIFS(tbl_task2[S116],tbl_task2[[SubPLOs]:[SubPLOs]],"&gt;=9",tbl_task2[[SubPLOs]:[SubPLOs]],"&lt;10")</f>
        <v>0</v>
      </c>
      <c r="DR42" s="138">
        <f>SUMIFS(tbl_task2[S117],tbl_task2[[SubPLOs]:[SubPLOs]],"&gt;=9",tbl_task2[[SubPLOs]:[SubPLOs]],"&lt;10")</f>
        <v>0</v>
      </c>
      <c r="DS42" s="138">
        <f>SUMIFS(tbl_task2[S118],tbl_task2[[SubPLOs]:[SubPLOs]],"&gt;=9",tbl_task2[[SubPLOs]:[SubPLOs]],"&lt;10")</f>
        <v>0</v>
      </c>
      <c r="DT42" s="138">
        <f>SUMIFS(tbl_task2[S119],tbl_task2[[SubPLOs]:[SubPLOs]],"&gt;=9",tbl_task2[[SubPLOs]:[SubPLOs]],"&lt;10")</f>
        <v>0</v>
      </c>
      <c r="DU42" s="138">
        <f>SUMIFS(tbl_task2[S120],tbl_task2[[SubPLOs]:[SubPLOs]],"&gt;=9",tbl_task2[[SubPLOs]:[SubPLOs]],"&lt;10")</f>
        <v>0</v>
      </c>
      <c r="DV42" s="138">
        <f>SUMIFS(tbl_task2[S121],tbl_task2[[SubPLOs]:[SubPLOs]],"&gt;=9",tbl_task2[[SubPLOs]:[SubPLOs]],"&lt;10")</f>
        <v>0</v>
      </c>
      <c r="DW42" s="138">
        <f>SUMIFS(tbl_task2[S122],tbl_task2[[SubPLOs]:[SubPLOs]],"&gt;=9",tbl_task2[[SubPLOs]:[SubPLOs]],"&lt;10")</f>
        <v>0</v>
      </c>
      <c r="DX42" s="138">
        <f>SUMIFS(tbl_task2[S123],tbl_task2[[SubPLOs]:[SubPLOs]],"&gt;=9",tbl_task2[[SubPLOs]:[SubPLOs]],"&lt;10")</f>
        <v>0</v>
      </c>
      <c r="DY42" s="138">
        <f>SUMIFS(tbl_task2[S124],tbl_task2[[SubPLOs]:[SubPLOs]],"&gt;=9",tbl_task2[[SubPLOs]:[SubPLOs]],"&lt;10")</f>
        <v>0</v>
      </c>
      <c r="DZ42" s="138">
        <f>SUMIFS(tbl_task2[S125],tbl_task2[[SubPLOs]:[SubPLOs]],"&gt;=9",tbl_task2[[SubPLOs]:[SubPLOs]],"&lt;10")</f>
        <v>0</v>
      </c>
      <c r="EA42" s="138">
        <f>SUMIFS(tbl_task2[S126],tbl_task2[[SubPLOs]:[SubPLOs]],"&gt;=9",tbl_task2[[SubPLOs]:[SubPLOs]],"&lt;10")</f>
        <v>0</v>
      </c>
      <c r="EB42" s="138">
        <f>SUMIFS(tbl_task2[S127],tbl_task2[[SubPLOs]:[SubPLOs]],"&gt;=9",tbl_task2[[SubPLOs]:[SubPLOs]],"&lt;10")</f>
        <v>0</v>
      </c>
      <c r="EC42" s="138">
        <f>SUMIFS(tbl_task2[S128],tbl_task2[[SubPLOs]:[SubPLOs]],"&gt;=9",tbl_task2[[SubPLOs]:[SubPLOs]],"&lt;10")</f>
        <v>0</v>
      </c>
      <c r="ED42" s="138">
        <f>SUMIFS(tbl_task2[S129],tbl_task2[[SubPLOs]:[SubPLOs]],"&gt;=9",tbl_task2[[SubPLOs]:[SubPLOs]],"&lt;10")</f>
        <v>0</v>
      </c>
      <c r="EE42" s="138">
        <f>SUMIFS(tbl_task2[S130],tbl_task2[[SubPLOs]:[SubPLOs]],"&gt;=9",tbl_task2[[SubPLOs]:[SubPLOs]],"&lt;10")</f>
        <v>0</v>
      </c>
      <c r="EF42" s="138">
        <f>SUMIFS(tbl_task2[S131],tbl_task2[[SubPLOs]:[SubPLOs]],"&gt;=9",tbl_task2[[SubPLOs]:[SubPLOs]],"&lt;10")</f>
        <v>0</v>
      </c>
      <c r="EG42" s="138">
        <f>SUMIFS(tbl_task2[S132],tbl_task2[[SubPLOs]:[SubPLOs]],"&gt;=9",tbl_task2[[SubPLOs]:[SubPLOs]],"&lt;10")</f>
        <v>0</v>
      </c>
      <c r="EH42" s="138">
        <f>SUMIFS(tbl_task2[S133],tbl_task2[[SubPLOs]:[SubPLOs]],"&gt;=9",tbl_task2[[SubPLOs]:[SubPLOs]],"&lt;10")</f>
        <v>0</v>
      </c>
      <c r="EI42" s="138">
        <f>SUMIFS(tbl_task2[S134],tbl_task2[[SubPLOs]:[SubPLOs]],"&gt;=9",tbl_task2[[SubPLOs]:[SubPLOs]],"&lt;10")</f>
        <v>0</v>
      </c>
      <c r="EJ42" s="138">
        <f>SUMIFS(tbl_task2[S135],tbl_task2[[SubPLOs]:[SubPLOs]],"&gt;=9",tbl_task2[[SubPLOs]:[SubPLOs]],"&lt;10")</f>
        <v>0</v>
      </c>
      <c r="EK42" s="138">
        <f>SUMIFS(tbl_task2[S136],tbl_task2[[SubPLOs]:[SubPLOs]],"&gt;=9",tbl_task2[[SubPLOs]:[SubPLOs]],"&lt;10")</f>
        <v>0</v>
      </c>
      <c r="EL42" s="138">
        <f>SUMIFS(tbl_task2[S137],tbl_task2[[SubPLOs]:[SubPLOs]],"&gt;=9",tbl_task2[[SubPLOs]:[SubPLOs]],"&lt;10")</f>
        <v>0</v>
      </c>
      <c r="EM42" s="138">
        <f>SUMIFS(tbl_task2[S138],tbl_task2[[SubPLOs]:[SubPLOs]],"&gt;=9",tbl_task2[[SubPLOs]:[SubPLOs]],"&lt;10")</f>
        <v>0</v>
      </c>
      <c r="EN42" s="138">
        <f>SUMIFS(tbl_task2[S139],tbl_task2[[SubPLOs]:[SubPLOs]],"&gt;=9",tbl_task2[[SubPLOs]:[SubPLOs]],"&lt;10")</f>
        <v>0</v>
      </c>
      <c r="EO42" s="138">
        <f>SUMIFS(tbl_task2[S140],tbl_task2[[SubPLOs]:[SubPLOs]],"&gt;=9",tbl_task2[[SubPLOs]:[SubPLOs]],"&lt;10")</f>
        <v>0</v>
      </c>
      <c r="EP42" s="138">
        <f>SUMIFS(tbl_task2[S141],tbl_task2[[SubPLOs]:[SubPLOs]],"&gt;=9",tbl_task2[[SubPLOs]:[SubPLOs]],"&lt;10")</f>
        <v>0</v>
      </c>
      <c r="EQ42" s="138">
        <f>SUMIFS(tbl_task2[S142],tbl_task2[[SubPLOs]:[SubPLOs]],"&gt;=9",tbl_task2[[SubPLOs]:[SubPLOs]],"&lt;10")</f>
        <v>0</v>
      </c>
      <c r="ER42" s="138">
        <f>SUMIFS(tbl_task2[S143],tbl_task2[[SubPLOs]:[SubPLOs]],"&gt;=9",tbl_task2[[SubPLOs]:[SubPLOs]],"&lt;10")</f>
        <v>0</v>
      </c>
      <c r="ES42" s="138">
        <f>SUMIFS(tbl_task2[S144],tbl_task2[[SubPLOs]:[SubPLOs]],"&gt;=9",tbl_task2[[SubPLOs]:[SubPLOs]],"&lt;10")</f>
        <v>0</v>
      </c>
      <c r="ET42" s="138">
        <f>SUMIFS(tbl_task2[S145],tbl_task2[[SubPLOs]:[SubPLOs]],"&gt;=9",tbl_task2[[SubPLOs]:[SubPLOs]],"&lt;10")</f>
        <v>0</v>
      </c>
      <c r="EU42" s="138">
        <f>SUMIFS(tbl_task2[S146],tbl_task2[[SubPLOs]:[SubPLOs]],"&gt;=9",tbl_task2[[SubPLOs]:[SubPLOs]],"&lt;10")</f>
        <v>0</v>
      </c>
      <c r="EV42" s="138">
        <f>SUMIFS(tbl_task2[S147],tbl_task2[[SubPLOs]:[SubPLOs]],"&gt;=9",tbl_task2[[SubPLOs]:[SubPLOs]],"&lt;10")</f>
        <v>0</v>
      </c>
      <c r="EW42" s="138">
        <f>SUMIFS(tbl_task2[S148],tbl_task2[[SubPLOs]:[SubPLOs]],"&gt;=9",tbl_task2[[SubPLOs]:[SubPLOs]],"&lt;10")</f>
        <v>0</v>
      </c>
      <c r="EX42" s="138">
        <f>SUMIFS(tbl_task2[S149],tbl_task2[[SubPLOs]:[SubPLOs]],"&gt;=9",tbl_task2[[SubPLOs]:[SubPLOs]],"&lt;10")</f>
        <v>0</v>
      </c>
      <c r="EY42" s="138">
        <f>SUMIFS(tbl_task2[S150],tbl_task2[[SubPLOs]:[SubPLOs]],"&gt;=9",tbl_task2[[SubPLOs]:[SubPLOs]],"&lt;10")</f>
        <v>0</v>
      </c>
      <c r="EZ42" s="138">
        <f>SUMIFS(tbl_task2[S151],tbl_task2[[SubPLOs]:[SubPLOs]],"&gt;=9",tbl_task2[[SubPLOs]:[SubPLOs]],"&lt;10")</f>
        <v>0</v>
      </c>
      <c r="FA42" s="138">
        <f>SUMIFS(tbl_task2[S152],tbl_task2[[SubPLOs]:[SubPLOs]],"&gt;=9",tbl_task2[[SubPLOs]:[SubPLOs]],"&lt;10")</f>
        <v>0</v>
      </c>
      <c r="FB42" s="138">
        <f>SUMIFS(tbl_task2[S153],tbl_task2[[SubPLOs]:[SubPLOs]],"&gt;=9",tbl_task2[[SubPLOs]:[SubPLOs]],"&lt;10")</f>
        <v>0</v>
      </c>
      <c r="FC42" s="138">
        <f>SUMIFS(tbl_task2[S154],tbl_task2[[SubPLOs]:[SubPLOs]],"&gt;=9",tbl_task2[[SubPLOs]:[SubPLOs]],"&lt;10")</f>
        <v>0</v>
      </c>
      <c r="FD42" s="138">
        <f>SUMIFS(tbl_task2[S155],tbl_task2[[SubPLOs]:[SubPLOs]],"&gt;=9",tbl_task2[[SubPLOs]:[SubPLOs]],"&lt;10")</f>
        <v>0</v>
      </c>
      <c r="FE42" s="138">
        <f>SUMIFS(tbl_task2[S156],tbl_task2[[SubPLOs]:[SubPLOs]],"&gt;=9",tbl_task2[[SubPLOs]:[SubPLOs]],"&lt;10")</f>
        <v>0</v>
      </c>
      <c r="FF42" s="138">
        <f>SUMIFS(tbl_task2[S157],tbl_task2[[SubPLOs]:[SubPLOs]],"&gt;=9",tbl_task2[[SubPLOs]:[SubPLOs]],"&lt;10")</f>
        <v>0</v>
      </c>
      <c r="FG42" s="138">
        <f>SUMIFS(tbl_task2[S158],tbl_task2[[SubPLOs]:[SubPLOs]],"&gt;=9",tbl_task2[[SubPLOs]:[SubPLOs]],"&lt;10")</f>
        <v>0</v>
      </c>
      <c r="FH42" s="138">
        <f>SUMIFS(tbl_task2[S159],tbl_task2[[SubPLOs]:[SubPLOs]],"&gt;=9",tbl_task2[[SubPLOs]:[SubPLOs]],"&lt;10")</f>
        <v>0</v>
      </c>
      <c r="FI42" s="138">
        <f>SUMIFS(tbl_task2[S160],tbl_task2[[SubPLOs]:[SubPLOs]],"&gt;=9",tbl_task2[[SubPLOs]:[SubPLOs]],"&lt;10")</f>
        <v>0</v>
      </c>
      <c r="FJ42" s="138">
        <f>SUMIFS(tbl_task2[S161],tbl_task2[[SubPLOs]:[SubPLOs]],"&gt;=9",tbl_task2[[SubPLOs]:[SubPLOs]],"&lt;10")</f>
        <v>0</v>
      </c>
      <c r="FK42" s="138">
        <f>SUMIFS(tbl_task2[S162],tbl_task2[[SubPLOs]:[SubPLOs]],"&gt;=9",tbl_task2[[SubPLOs]:[SubPLOs]],"&lt;10")</f>
        <v>0</v>
      </c>
      <c r="FL42" s="138">
        <f>SUMIFS(tbl_task2[S163],tbl_task2[[SubPLOs]:[SubPLOs]],"&gt;=9",tbl_task2[[SubPLOs]:[SubPLOs]],"&lt;10")</f>
        <v>0</v>
      </c>
      <c r="FM42" s="138">
        <f>SUMIFS(tbl_task2[S164],tbl_task2[[SubPLOs]:[SubPLOs]],"&gt;=9",tbl_task2[[SubPLOs]:[SubPLOs]],"&lt;10")</f>
        <v>0</v>
      </c>
      <c r="FN42" s="138">
        <f>SUMIFS(tbl_task2[S165],tbl_task2[[SubPLOs]:[SubPLOs]],"&gt;=9",tbl_task2[[SubPLOs]:[SubPLOs]],"&lt;10")</f>
        <v>0</v>
      </c>
    </row>
    <row r="43" spans="1:170" ht="63" x14ac:dyDescent="0.25">
      <c r="A43" s="135">
        <v>10</v>
      </c>
      <c r="B43" s="5" t="s">
        <v>443</v>
      </c>
      <c r="C43" s="136">
        <f>COUNTIFS(tbl_task2[SubPLOs],"&gt;=10",tbl_task2[SubPLOs],"&lt;11")</f>
        <v>0</v>
      </c>
      <c r="D43" s="136">
        <f>SUMIFS(tbl_task2[คะแนนเต็ม],tbl_task2[SubPLOs],"&gt;=10",tbl_task2[SubPLOs],"&lt;11")</f>
        <v>0</v>
      </c>
      <c r="E43" s="137">
        <f>SUMIFS(tbl_task2[%],tbl_task2[SubPLOs],"&gt;=10",tbl_task2[SubPLOs],"&lt;11")</f>
        <v>0</v>
      </c>
      <c r="F43" s="138">
        <f>SUMIFS(tbl_task2[S1],tbl_task2[[SubPLOs]:[SubPLOs]],"&gt;=10",tbl_task2[[SubPLOs]:[SubPLOs]],"&lt;11")</f>
        <v>0</v>
      </c>
      <c r="G43" s="138">
        <f>SUMIFS(tbl_task2[S2],tbl_task2[[SubPLOs]:[SubPLOs]],"&gt;=10",tbl_task2[[SubPLOs]:[SubPLOs]],"&lt;11")</f>
        <v>0</v>
      </c>
      <c r="H43" s="138">
        <f>SUMIFS(tbl_task2[S3],tbl_task2[[SubPLOs]:[SubPLOs]],"&gt;=10",tbl_task2[[SubPLOs]:[SubPLOs]],"&lt;11")</f>
        <v>0</v>
      </c>
      <c r="I43" s="138">
        <f>SUMIFS(tbl_task2[S4],tbl_task2[[SubPLOs]:[SubPLOs]],"&gt;=10",tbl_task2[[SubPLOs]:[SubPLOs]],"&lt;11")</f>
        <v>0</v>
      </c>
      <c r="J43" s="138">
        <f>SUMIFS(tbl_task2[S5],tbl_task2[[SubPLOs]:[SubPLOs]],"&gt;=10",tbl_task2[[SubPLOs]:[SubPLOs]],"&lt;11")</f>
        <v>0</v>
      </c>
      <c r="K43" s="138">
        <f>SUMIFS(tbl_task2[S6],tbl_task2[[SubPLOs]:[SubPLOs]],"&gt;=10",tbl_task2[[SubPLOs]:[SubPLOs]],"&lt;11")</f>
        <v>0</v>
      </c>
      <c r="L43" s="138">
        <f>SUMIFS(tbl_task2[S7],tbl_task2[[SubPLOs]:[SubPLOs]],"&gt;=10",tbl_task2[[SubPLOs]:[SubPLOs]],"&lt;11")</f>
        <v>0</v>
      </c>
      <c r="M43" s="138">
        <f>SUMIFS(tbl_task2[S8],tbl_task2[[SubPLOs]:[SubPLOs]],"&gt;=10",tbl_task2[[SubPLOs]:[SubPLOs]],"&lt;11")</f>
        <v>0</v>
      </c>
      <c r="N43" s="138">
        <f>SUMIFS(tbl_task2[S9],tbl_task2[[SubPLOs]:[SubPLOs]],"&gt;=10",tbl_task2[[SubPLOs]:[SubPLOs]],"&lt;11")</f>
        <v>0</v>
      </c>
      <c r="O43" s="138">
        <f>SUMIFS(tbl_task2[S10],tbl_task2[[SubPLOs]:[SubPLOs]],"&gt;=10",tbl_task2[[SubPLOs]:[SubPLOs]],"&lt;11")</f>
        <v>0</v>
      </c>
      <c r="P43" s="138">
        <f>SUMIFS(tbl_task2[S11],tbl_task2[[SubPLOs]:[SubPLOs]],"&gt;=10",tbl_task2[[SubPLOs]:[SubPLOs]],"&lt;11")</f>
        <v>0</v>
      </c>
      <c r="Q43" s="138">
        <f>SUMIFS(tbl_task2[S12],tbl_task2[[SubPLOs]:[SubPLOs]],"&gt;=10",tbl_task2[[SubPLOs]:[SubPLOs]],"&lt;11")</f>
        <v>0</v>
      </c>
      <c r="R43" s="138">
        <f>SUMIFS(tbl_task2[S13],tbl_task2[[SubPLOs]:[SubPLOs]],"&gt;=10",tbl_task2[[SubPLOs]:[SubPLOs]],"&lt;11")</f>
        <v>0</v>
      </c>
      <c r="S43" s="138">
        <f>SUMIFS(tbl_task2[S14],tbl_task2[[SubPLOs]:[SubPLOs]],"&gt;=10",tbl_task2[[SubPLOs]:[SubPLOs]],"&lt;11")</f>
        <v>0</v>
      </c>
      <c r="T43" s="138">
        <f>SUMIFS(tbl_task2[S15],tbl_task2[[SubPLOs]:[SubPLOs]],"&gt;=10",tbl_task2[[SubPLOs]:[SubPLOs]],"&lt;11")</f>
        <v>0</v>
      </c>
      <c r="U43" s="138">
        <f>SUMIFS(tbl_task2[S16],tbl_task2[[SubPLOs]:[SubPLOs]],"&gt;=10",tbl_task2[[SubPLOs]:[SubPLOs]],"&lt;11")</f>
        <v>0</v>
      </c>
      <c r="V43" s="138">
        <f>SUMIFS(tbl_task2[S17],tbl_task2[[SubPLOs]:[SubPLOs]],"&gt;=10",tbl_task2[[SubPLOs]:[SubPLOs]],"&lt;11")</f>
        <v>0</v>
      </c>
      <c r="W43" s="138">
        <f>SUMIFS(tbl_task2[S18],tbl_task2[[SubPLOs]:[SubPLOs]],"&gt;=10",tbl_task2[[SubPLOs]:[SubPLOs]],"&lt;11")</f>
        <v>0</v>
      </c>
      <c r="X43" s="138">
        <f>SUMIFS(tbl_task2[S19],tbl_task2[[SubPLOs]:[SubPLOs]],"&gt;=10",tbl_task2[[SubPLOs]:[SubPLOs]],"&lt;11")</f>
        <v>0</v>
      </c>
      <c r="Y43" s="138">
        <f>SUMIFS(tbl_task2[S20],tbl_task2[[SubPLOs]:[SubPLOs]],"&gt;=10",tbl_task2[[SubPLOs]:[SubPLOs]],"&lt;11")</f>
        <v>0</v>
      </c>
      <c r="Z43" s="138">
        <f>SUMIFS(tbl_task2[S21],tbl_task2[[SubPLOs]:[SubPLOs]],"&gt;=10",tbl_task2[[SubPLOs]:[SubPLOs]],"&lt;11")</f>
        <v>0</v>
      </c>
      <c r="AA43" s="138">
        <f>SUMIFS(tbl_task2[S22],tbl_task2[[SubPLOs]:[SubPLOs]],"&gt;=10",tbl_task2[[SubPLOs]:[SubPLOs]],"&lt;11")</f>
        <v>0</v>
      </c>
      <c r="AB43" s="138">
        <f>SUMIFS(tbl_task2[S23],tbl_task2[[SubPLOs]:[SubPLOs]],"&gt;=10",tbl_task2[[SubPLOs]:[SubPLOs]],"&lt;11")</f>
        <v>0</v>
      </c>
      <c r="AC43" s="138">
        <f>SUMIFS(tbl_task2[S24],tbl_task2[[SubPLOs]:[SubPLOs]],"&gt;=10",tbl_task2[[SubPLOs]:[SubPLOs]],"&lt;11")</f>
        <v>0</v>
      </c>
      <c r="AD43" s="138">
        <f>SUMIFS(tbl_task2[S25],tbl_task2[[SubPLOs]:[SubPLOs]],"&gt;=10",tbl_task2[[SubPLOs]:[SubPLOs]],"&lt;11")</f>
        <v>0</v>
      </c>
      <c r="AE43" s="138">
        <f>SUMIFS(tbl_task2[S26],tbl_task2[[SubPLOs]:[SubPLOs]],"&gt;=10",tbl_task2[[SubPLOs]:[SubPLOs]],"&lt;11")</f>
        <v>0</v>
      </c>
      <c r="AF43" s="138">
        <f>SUMIFS(tbl_task2[S27],tbl_task2[[SubPLOs]:[SubPLOs]],"&gt;=10",tbl_task2[[SubPLOs]:[SubPLOs]],"&lt;11")</f>
        <v>0</v>
      </c>
      <c r="AG43" s="138">
        <f>SUMIFS(tbl_task2[S28],tbl_task2[[SubPLOs]:[SubPLOs]],"&gt;=10",tbl_task2[[SubPLOs]:[SubPLOs]],"&lt;11")</f>
        <v>0</v>
      </c>
      <c r="AH43" s="138">
        <f>SUMIFS(tbl_task2[S29],tbl_task2[[SubPLOs]:[SubPLOs]],"&gt;=10",tbl_task2[[SubPLOs]:[SubPLOs]],"&lt;11")</f>
        <v>0</v>
      </c>
      <c r="AI43" s="138">
        <f>SUMIFS(tbl_task2[S30],tbl_task2[[SubPLOs]:[SubPLOs]],"&gt;=10",tbl_task2[[SubPLOs]:[SubPLOs]],"&lt;11")</f>
        <v>0</v>
      </c>
      <c r="AJ43" s="138">
        <f>SUMIFS(tbl_task2[S31],tbl_task2[[SubPLOs]:[SubPLOs]],"&gt;=10",tbl_task2[[SubPLOs]:[SubPLOs]],"&lt;11")</f>
        <v>0</v>
      </c>
      <c r="AK43" s="138">
        <f>SUMIFS(tbl_task2[S32],tbl_task2[[SubPLOs]:[SubPLOs]],"&gt;=10",tbl_task2[[SubPLOs]:[SubPLOs]],"&lt;11")</f>
        <v>0</v>
      </c>
      <c r="AL43" s="138">
        <f>SUMIFS(tbl_task2[S33],tbl_task2[[SubPLOs]:[SubPLOs]],"&gt;=10",tbl_task2[[SubPLOs]:[SubPLOs]],"&lt;11")</f>
        <v>0</v>
      </c>
      <c r="AM43" s="138">
        <f>SUMIFS(tbl_task2[S34],tbl_task2[[SubPLOs]:[SubPLOs]],"&gt;=10",tbl_task2[[SubPLOs]:[SubPLOs]],"&lt;11")</f>
        <v>0</v>
      </c>
      <c r="AN43" s="138">
        <f>SUMIFS(tbl_task2[S35],tbl_task2[[SubPLOs]:[SubPLOs]],"&gt;=10",tbl_task2[[SubPLOs]:[SubPLOs]],"&lt;11")</f>
        <v>0</v>
      </c>
      <c r="AO43" s="138">
        <f>SUMIFS(tbl_task2[S36],tbl_task2[[SubPLOs]:[SubPLOs]],"&gt;=10",tbl_task2[[SubPLOs]:[SubPLOs]],"&lt;11")</f>
        <v>0</v>
      </c>
      <c r="AP43" s="138">
        <f>SUMIFS(tbl_task2[S37],tbl_task2[[SubPLOs]:[SubPLOs]],"&gt;=10",tbl_task2[[SubPLOs]:[SubPLOs]],"&lt;11")</f>
        <v>0</v>
      </c>
      <c r="AQ43" s="138">
        <f>SUMIFS(tbl_task2[S38],tbl_task2[[SubPLOs]:[SubPLOs]],"&gt;=10",tbl_task2[[SubPLOs]:[SubPLOs]],"&lt;11")</f>
        <v>0</v>
      </c>
      <c r="AR43" s="138">
        <f>SUMIFS(tbl_task2[S39],tbl_task2[[SubPLOs]:[SubPLOs]],"&gt;=10",tbl_task2[[SubPLOs]:[SubPLOs]],"&lt;11")</f>
        <v>0</v>
      </c>
      <c r="AS43" s="138">
        <f>SUMIFS(tbl_task2[S40],tbl_task2[[SubPLOs]:[SubPLOs]],"&gt;=10",tbl_task2[[SubPLOs]:[SubPLOs]],"&lt;11")</f>
        <v>0</v>
      </c>
      <c r="AT43" s="138">
        <f>SUMIFS(tbl_task2[S41],tbl_task2[[SubPLOs]:[SubPLOs]],"&gt;=10",tbl_task2[[SubPLOs]:[SubPLOs]],"&lt;11")</f>
        <v>0</v>
      </c>
      <c r="AU43" s="138">
        <f>SUMIFS(tbl_task2[S42],tbl_task2[[SubPLOs]:[SubPLOs]],"&gt;=10",tbl_task2[[SubPLOs]:[SubPLOs]],"&lt;11")</f>
        <v>0</v>
      </c>
      <c r="AV43" s="138">
        <f>SUMIFS(tbl_task2[S43],tbl_task2[[SubPLOs]:[SubPLOs]],"&gt;=10",tbl_task2[[SubPLOs]:[SubPLOs]],"&lt;11")</f>
        <v>0</v>
      </c>
      <c r="AW43" s="138">
        <f>SUMIFS(tbl_task2[S44],tbl_task2[[SubPLOs]:[SubPLOs]],"&gt;=10",tbl_task2[[SubPLOs]:[SubPLOs]],"&lt;11")</f>
        <v>0</v>
      </c>
      <c r="AX43" s="138">
        <f>SUMIFS(tbl_task2[S45],tbl_task2[[SubPLOs]:[SubPLOs]],"&gt;=10",tbl_task2[[SubPLOs]:[SubPLOs]],"&lt;11")</f>
        <v>0</v>
      </c>
      <c r="AY43" s="138">
        <f>SUMIFS(tbl_task2[S46],tbl_task2[[SubPLOs]:[SubPLOs]],"&gt;=10",tbl_task2[[SubPLOs]:[SubPLOs]],"&lt;11")</f>
        <v>0</v>
      </c>
      <c r="AZ43" s="138">
        <f>SUMIFS(tbl_task2[S47],tbl_task2[[SubPLOs]:[SubPLOs]],"&gt;=10",tbl_task2[[SubPLOs]:[SubPLOs]],"&lt;11")</f>
        <v>0</v>
      </c>
      <c r="BA43" s="138">
        <f>SUMIFS(tbl_task2[S48],tbl_task2[[SubPLOs]:[SubPLOs]],"&gt;=10",tbl_task2[[SubPLOs]:[SubPLOs]],"&lt;11")</f>
        <v>0</v>
      </c>
      <c r="BB43" s="138">
        <f>SUMIFS(tbl_task2[S49],tbl_task2[[SubPLOs]:[SubPLOs]],"&gt;=10",tbl_task2[[SubPLOs]:[SubPLOs]],"&lt;11")</f>
        <v>0</v>
      </c>
      <c r="BC43" s="138">
        <f>SUMIFS(tbl_task2[S50],tbl_task2[[SubPLOs]:[SubPLOs]],"&gt;=10",tbl_task2[[SubPLOs]:[SubPLOs]],"&lt;11")</f>
        <v>0</v>
      </c>
      <c r="BD43" s="138">
        <f>SUMIFS(tbl_task2[S51],tbl_task2[[SubPLOs]:[SubPLOs]],"&gt;=10",tbl_task2[[SubPLOs]:[SubPLOs]],"&lt;11")</f>
        <v>0</v>
      </c>
      <c r="BE43" s="138">
        <f>SUMIFS(tbl_task2[S52],tbl_task2[[SubPLOs]:[SubPLOs]],"&gt;=10",tbl_task2[[SubPLOs]:[SubPLOs]],"&lt;11")</f>
        <v>0</v>
      </c>
      <c r="BF43" s="138">
        <f>SUMIFS(tbl_task2[S53],tbl_task2[[SubPLOs]:[SubPLOs]],"&gt;=10",tbl_task2[[SubPLOs]:[SubPLOs]],"&lt;11")</f>
        <v>0</v>
      </c>
      <c r="BG43" s="138">
        <f>SUMIFS(tbl_task2[S54],tbl_task2[[SubPLOs]:[SubPLOs]],"&gt;=10",tbl_task2[[SubPLOs]:[SubPLOs]],"&lt;11")</f>
        <v>0</v>
      </c>
      <c r="BH43" s="138">
        <f>SUMIFS(tbl_task2[S55],tbl_task2[[SubPLOs]:[SubPLOs]],"&gt;=10",tbl_task2[[SubPLOs]:[SubPLOs]],"&lt;11")</f>
        <v>0</v>
      </c>
      <c r="BI43" s="138">
        <f>SUMIFS(tbl_task2[S56],tbl_task2[[SubPLOs]:[SubPLOs]],"&gt;=10",tbl_task2[[SubPLOs]:[SubPLOs]],"&lt;11")</f>
        <v>0</v>
      </c>
      <c r="BJ43" s="138">
        <f>SUMIFS(tbl_task2[S57],tbl_task2[[SubPLOs]:[SubPLOs]],"&gt;=10",tbl_task2[[SubPLOs]:[SubPLOs]],"&lt;11")</f>
        <v>0</v>
      </c>
      <c r="BK43" s="138">
        <f>SUMIFS(tbl_task2[S58],tbl_task2[[SubPLOs]:[SubPLOs]],"&gt;=10",tbl_task2[[SubPLOs]:[SubPLOs]],"&lt;11")</f>
        <v>0</v>
      </c>
      <c r="BL43" s="138">
        <f>SUMIFS(tbl_task2[S59],tbl_task2[[SubPLOs]:[SubPLOs]],"&gt;=10",tbl_task2[[SubPLOs]:[SubPLOs]],"&lt;11")</f>
        <v>0</v>
      </c>
      <c r="BM43" s="138">
        <f>SUMIFS(tbl_task2[S60],tbl_task2[[SubPLOs]:[SubPLOs]],"&gt;=10",tbl_task2[[SubPLOs]:[SubPLOs]],"&lt;11")</f>
        <v>0</v>
      </c>
      <c r="BN43" s="138">
        <f>SUMIFS(tbl_task2[S61],tbl_task2[[SubPLOs]:[SubPLOs]],"&gt;=10",tbl_task2[[SubPLOs]:[SubPLOs]],"&lt;11")</f>
        <v>0</v>
      </c>
      <c r="BO43" s="138">
        <f>SUMIFS(tbl_task2[S62],tbl_task2[[SubPLOs]:[SubPLOs]],"&gt;=10",tbl_task2[[SubPLOs]:[SubPLOs]],"&lt;11")</f>
        <v>0</v>
      </c>
      <c r="BP43" s="138">
        <f>SUMIFS(tbl_task2[S63],tbl_task2[[SubPLOs]:[SubPLOs]],"&gt;=10",tbl_task2[[SubPLOs]:[SubPLOs]],"&lt;11")</f>
        <v>0</v>
      </c>
      <c r="BQ43" s="138">
        <f>SUMIFS(tbl_task2[S64],tbl_task2[[SubPLOs]:[SubPLOs]],"&gt;=10",tbl_task2[[SubPLOs]:[SubPLOs]],"&lt;11")</f>
        <v>0</v>
      </c>
      <c r="BR43" s="138">
        <f>SUMIFS(tbl_task2[S65],tbl_task2[[SubPLOs]:[SubPLOs]],"&gt;=10",tbl_task2[[SubPLOs]:[SubPLOs]],"&lt;11")</f>
        <v>0</v>
      </c>
      <c r="BS43" s="138">
        <f>SUMIFS(tbl_task2[S66],tbl_task2[[SubPLOs]:[SubPLOs]],"&gt;=10",tbl_task2[[SubPLOs]:[SubPLOs]],"&lt;11")</f>
        <v>0</v>
      </c>
      <c r="BT43" s="138">
        <f>SUMIFS(tbl_task2[S67],tbl_task2[[SubPLOs]:[SubPLOs]],"&gt;=10",tbl_task2[[SubPLOs]:[SubPLOs]],"&lt;11")</f>
        <v>0</v>
      </c>
      <c r="BU43" s="138">
        <f>SUMIFS(tbl_task2[S68],tbl_task2[[SubPLOs]:[SubPLOs]],"&gt;=10",tbl_task2[[SubPLOs]:[SubPLOs]],"&lt;11")</f>
        <v>0</v>
      </c>
      <c r="BV43" s="138">
        <f>SUMIFS(tbl_task2[S69],tbl_task2[[SubPLOs]:[SubPLOs]],"&gt;=10",tbl_task2[[SubPLOs]:[SubPLOs]],"&lt;11")</f>
        <v>0</v>
      </c>
      <c r="BW43" s="138">
        <f>SUMIFS(tbl_task2[S70],tbl_task2[[SubPLOs]:[SubPLOs]],"&gt;=10",tbl_task2[[SubPLOs]:[SubPLOs]],"&lt;11")</f>
        <v>0</v>
      </c>
      <c r="BX43" s="138">
        <f>SUMIFS(tbl_task2[S71],tbl_task2[[SubPLOs]:[SubPLOs]],"&gt;=10",tbl_task2[[SubPLOs]:[SubPLOs]],"&lt;11")</f>
        <v>0</v>
      </c>
      <c r="BY43" s="138">
        <f>SUMIFS(tbl_task2[S72],tbl_task2[[SubPLOs]:[SubPLOs]],"&gt;=10",tbl_task2[[SubPLOs]:[SubPLOs]],"&lt;11")</f>
        <v>0</v>
      </c>
      <c r="BZ43" s="138">
        <f>SUMIFS(tbl_task2[S73],tbl_task2[[SubPLOs]:[SubPLOs]],"&gt;=10",tbl_task2[[SubPLOs]:[SubPLOs]],"&lt;11")</f>
        <v>0</v>
      </c>
      <c r="CA43" s="138">
        <f>SUMIFS(tbl_task2[S74],tbl_task2[[SubPLOs]:[SubPLOs]],"&gt;=10",tbl_task2[[SubPLOs]:[SubPLOs]],"&lt;11")</f>
        <v>0</v>
      </c>
      <c r="CB43" s="138">
        <f>SUMIFS(tbl_task2[S75],tbl_task2[[SubPLOs]:[SubPLOs]],"&gt;=10",tbl_task2[[SubPLOs]:[SubPLOs]],"&lt;11")</f>
        <v>0</v>
      </c>
      <c r="CC43" s="138">
        <f>SUMIFS(tbl_task2[S76],tbl_task2[[SubPLOs]:[SubPLOs]],"&gt;=10",tbl_task2[[SubPLOs]:[SubPLOs]],"&lt;11")</f>
        <v>0</v>
      </c>
      <c r="CD43" s="138">
        <f>SUMIFS(tbl_task2[S77],tbl_task2[[SubPLOs]:[SubPLOs]],"&gt;=10",tbl_task2[[SubPLOs]:[SubPLOs]],"&lt;11")</f>
        <v>0</v>
      </c>
      <c r="CE43" s="138">
        <f>SUMIFS(tbl_task2[S78],tbl_task2[[SubPLOs]:[SubPLOs]],"&gt;=10",tbl_task2[[SubPLOs]:[SubPLOs]],"&lt;11")</f>
        <v>0</v>
      </c>
      <c r="CF43" s="138">
        <f>SUMIFS(tbl_task2[S79],tbl_task2[[SubPLOs]:[SubPLOs]],"&gt;=10",tbl_task2[[SubPLOs]:[SubPLOs]],"&lt;11")</f>
        <v>0</v>
      </c>
      <c r="CG43" s="138">
        <f>SUMIFS(tbl_task2[S80],tbl_task2[[SubPLOs]:[SubPLOs]],"&gt;=10",tbl_task2[[SubPLOs]:[SubPLOs]],"&lt;11")</f>
        <v>0</v>
      </c>
      <c r="CH43" s="138">
        <f>SUMIFS(tbl_task2[S81],tbl_task2[[SubPLOs]:[SubPLOs]],"&gt;=10",tbl_task2[[SubPLOs]:[SubPLOs]],"&lt;11")</f>
        <v>0</v>
      </c>
      <c r="CI43" s="138">
        <f>SUMIFS(tbl_task2[S82],tbl_task2[[SubPLOs]:[SubPLOs]],"&gt;=10",tbl_task2[[SubPLOs]:[SubPLOs]],"&lt;11")</f>
        <v>0</v>
      </c>
      <c r="CJ43" s="138">
        <f>SUMIFS(tbl_task2[S83],tbl_task2[[SubPLOs]:[SubPLOs]],"&gt;=10",tbl_task2[[SubPLOs]:[SubPLOs]],"&lt;11")</f>
        <v>0</v>
      </c>
      <c r="CK43" s="138">
        <f>SUMIFS(tbl_task2[S84],tbl_task2[[SubPLOs]:[SubPLOs]],"&gt;=10",tbl_task2[[SubPLOs]:[SubPLOs]],"&lt;11")</f>
        <v>0</v>
      </c>
      <c r="CL43" s="138">
        <f>SUMIFS(tbl_task2[S85],tbl_task2[[SubPLOs]:[SubPLOs]],"&gt;=10",tbl_task2[[SubPLOs]:[SubPLOs]],"&lt;11")</f>
        <v>0</v>
      </c>
      <c r="CM43" s="138">
        <f>SUMIFS(tbl_task2[S86],tbl_task2[[SubPLOs]:[SubPLOs]],"&gt;=10",tbl_task2[[SubPLOs]:[SubPLOs]],"&lt;11")</f>
        <v>0</v>
      </c>
      <c r="CN43" s="138">
        <f>SUMIFS(tbl_task2[S87],tbl_task2[[SubPLOs]:[SubPLOs]],"&gt;=10",tbl_task2[[SubPLOs]:[SubPLOs]],"&lt;11")</f>
        <v>0</v>
      </c>
      <c r="CO43" s="138">
        <f>SUMIFS(tbl_task2[S88],tbl_task2[[SubPLOs]:[SubPLOs]],"&gt;=10",tbl_task2[[SubPLOs]:[SubPLOs]],"&lt;11")</f>
        <v>0</v>
      </c>
      <c r="CP43" s="138">
        <f>SUMIFS(tbl_task2[S89],tbl_task2[[SubPLOs]:[SubPLOs]],"&gt;=10",tbl_task2[[SubPLOs]:[SubPLOs]],"&lt;11")</f>
        <v>0</v>
      </c>
      <c r="CQ43" s="138">
        <f>SUMIFS(tbl_task2[S90],tbl_task2[[SubPLOs]:[SubPLOs]],"&gt;=10",tbl_task2[[SubPLOs]:[SubPLOs]],"&lt;11")</f>
        <v>0</v>
      </c>
      <c r="CR43" s="138">
        <f>SUMIFS(tbl_task2[S91],tbl_task2[[SubPLOs]:[SubPLOs]],"&gt;=10",tbl_task2[[SubPLOs]:[SubPLOs]],"&lt;11")</f>
        <v>0</v>
      </c>
      <c r="CS43" s="138">
        <f>SUMIFS(tbl_task2[S92],tbl_task2[[SubPLOs]:[SubPLOs]],"&gt;=10",tbl_task2[[SubPLOs]:[SubPLOs]],"&lt;11")</f>
        <v>0</v>
      </c>
      <c r="CT43" s="138">
        <f>SUMIFS(tbl_task2[S93],tbl_task2[[SubPLOs]:[SubPLOs]],"&gt;=10",tbl_task2[[SubPLOs]:[SubPLOs]],"&lt;11")</f>
        <v>0</v>
      </c>
      <c r="CU43" s="138">
        <f>SUMIFS(tbl_task2[S94],tbl_task2[[SubPLOs]:[SubPLOs]],"&gt;=10",tbl_task2[[SubPLOs]:[SubPLOs]],"&lt;11")</f>
        <v>0</v>
      </c>
      <c r="CV43" s="138">
        <f>SUMIFS(tbl_task2[S95],tbl_task2[[SubPLOs]:[SubPLOs]],"&gt;=10",tbl_task2[[SubPLOs]:[SubPLOs]],"&lt;11")</f>
        <v>0</v>
      </c>
      <c r="CW43" s="138">
        <f>SUMIFS(tbl_task2[S96],tbl_task2[[SubPLOs]:[SubPLOs]],"&gt;=10",tbl_task2[[SubPLOs]:[SubPLOs]],"&lt;11")</f>
        <v>0</v>
      </c>
      <c r="CX43" s="138">
        <f>SUMIFS(tbl_task2[S97],tbl_task2[[SubPLOs]:[SubPLOs]],"&gt;=10",tbl_task2[[SubPLOs]:[SubPLOs]],"&lt;11")</f>
        <v>0</v>
      </c>
      <c r="CY43" s="138">
        <f>SUMIFS(tbl_task2[S98],tbl_task2[[SubPLOs]:[SubPLOs]],"&gt;=10",tbl_task2[[SubPLOs]:[SubPLOs]],"&lt;11")</f>
        <v>0</v>
      </c>
      <c r="CZ43" s="138">
        <f>SUMIFS(tbl_task2[S99],tbl_task2[[SubPLOs]:[SubPLOs]],"&gt;=10",tbl_task2[[SubPLOs]:[SubPLOs]],"&lt;11")</f>
        <v>0</v>
      </c>
      <c r="DA43" s="138">
        <f>SUMIFS(tbl_task2[S100],tbl_task2[[SubPLOs]:[SubPLOs]],"&gt;=10",tbl_task2[[SubPLOs]:[SubPLOs]],"&lt;11")</f>
        <v>0</v>
      </c>
      <c r="DB43" s="138">
        <f>SUMIFS(tbl_task2[S101],tbl_task2[[SubPLOs]:[SubPLOs]],"&gt;=10",tbl_task2[[SubPLOs]:[SubPLOs]],"&lt;11")</f>
        <v>0</v>
      </c>
      <c r="DC43" s="138">
        <f>SUMIFS(tbl_task2[S102],tbl_task2[[SubPLOs]:[SubPLOs]],"&gt;=10",tbl_task2[[SubPLOs]:[SubPLOs]],"&lt;11")</f>
        <v>0</v>
      </c>
      <c r="DD43" s="138">
        <f>SUMIFS(tbl_task2[S103],tbl_task2[[SubPLOs]:[SubPLOs]],"&gt;=10",tbl_task2[[SubPLOs]:[SubPLOs]],"&lt;11")</f>
        <v>0</v>
      </c>
      <c r="DE43" s="138">
        <f>SUMIFS(tbl_task2[S104],tbl_task2[[SubPLOs]:[SubPLOs]],"&gt;=10",tbl_task2[[SubPLOs]:[SubPLOs]],"&lt;11")</f>
        <v>0</v>
      </c>
      <c r="DF43" s="138">
        <f>SUMIFS(tbl_task2[S105],tbl_task2[[SubPLOs]:[SubPLOs]],"&gt;=10",tbl_task2[[SubPLOs]:[SubPLOs]],"&lt;11")</f>
        <v>0</v>
      </c>
      <c r="DG43" s="138">
        <f>SUMIFS(tbl_task2[S106],tbl_task2[[SubPLOs]:[SubPLOs]],"&gt;=10",tbl_task2[[SubPLOs]:[SubPLOs]],"&lt;11")</f>
        <v>0</v>
      </c>
      <c r="DH43" s="138">
        <f>SUMIFS(tbl_task2[S106],tbl_task2[[SubPLOs]:[SubPLOs]],"&gt;=10",tbl_task2[[SubPLOs]:[SubPLOs]],"&lt;11")</f>
        <v>0</v>
      </c>
      <c r="DI43" s="138">
        <f>SUMIFS(tbl_task2[S108],tbl_task2[[SubPLOs]:[SubPLOs]],"&gt;=10",tbl_task2[[SubPLOs]:[SubPLOs]],"&lt;11")</f>
        <v>0</v>
      </c>
      <c r="DJ43" s="138">
        <f>SUMIFS(tbl_task2[S109],tbl_task2[[SubPLOs]:[SubPLOs]],"&gt;=10",tbl_task2[[SubPLOs]:[SubPLOs]],"&lt;11")</f>
        <v>0</v>
      </c>
      <c r="DK43" s="138">
        <f>SUMIFS(tbl_task2[S110],tbl_task2[[SubPLOs]:[SubPLOs]],"&gt;=10",tbl_task2[[SubPLOs]:[SubPLOs]],"&lt;11")</f>
        <v>0</v>
      </c>
      <c r="DL43" s="138">
        <f>SUMIFS(tbl_task2[S111],tbl_task2[[SubPLOs]:[SubPLOs]],"&gt;=10",tbl_task2[[SubPLOs]:[SubPLOs]],"&lt;11")</f>
        <v>0</v>
      </c>
      <c r="DM43" s="138">
        <f>SUMIFS(tbl_task2[S112],tbl_task2[[SubPLOs]:[SubPLOs]],"&gt;=10",tbl_task2[[SubPLOs]:[SubPLOs]],"&lt;11")</f>
        <v>0</v>
      </c>
      <c r="DN43" s="138">
        <f>SUMIFS(tbl_task2[S113],tbl_task2[[SubPLOs]:[SubPLOs]],"&gt;=10",tbl_task2[[SubPLOs]:[SubPLOs]],"&lt;11")</f>
        <v>0</v>
      </c>
      <c r="DO43" s="138">
        <f>SUMIFS(tbl_task2[S114],tbl_task2[[SubPLOs]:[SubPLOs]],"&gt;=10",tbl_task2[[SubPLOs]:[SubPLOs]],"&lt;11")</f>
        <v>0</v>
      </c>
      <c r="DP43" s="138">
        <f>SUMIFS(tbl_task2[S115],tbl_task2[[SubPLOs]:[SubPLOs]],"&gt;=10",tbl_task2[[SubPLOs]:[SubPLOs]],"&lt;11")</f>
        <v>0</v>
      </c>
      <c r="DQ43" s="138">
        <f>SUMIFS(tbl_task2[S116],tbl_task2[[SubPLOs]:[SubPLOs]],"&gt;=10",tbl_task2[[SubPLOs]:[SubPLOs]],"&lt;11")</f>
        <v>0</v>
      </c>
      <c r="DR43" s="138">
        <f>SUMIFS(tbl_task2[S117],tbl_task2[[SubPLOs]:[SubPLOs]],"&gt;=10",tbl_task2[[SubPLOs]:[SubPLOs]],"&lt;11")</f>
        <v>0</v>
      </c>
      <c r="DS43" s="138">
        <f>SUMIFS(tbl_task2[S118],tbl_task2[[SubPLOs]:[SubPLOs]],"&gt;=10",tbl_task2[[SubPLOs]:[SubPLOs]],"&lt;11")</f>
        <v>0</v>
      </c>
      <c r="DT43" s="138">
        <f>SUMIFS(tbl_task2[S119],tbl_task2[[SubPLOs]:[SubPLOs]],"&gt;=10",tbl_task2[[SubPLOs]:[SubPLOs]],"&lt;11")</f>
        <v>0</v>
      </c>
      <c r="DU43" s="138">
        <f>SUMIFS(tbl_task2[S120],tbl_task2[[SubPLOs]:[SubPLOs]],"&gt;=10",tbl_task2[[SubPLOs]:[SubPLOs]],"&lt;11")</f>
        <v>0</v>
      </c>
      <c r="DV43" s="138">
        <f>SUMIFS(tbl_task2[S121],tbl_task2[[SubPLOs]:[SubPLOs]],"&gt;=10",tbl_task2[[SubPLOs]:[SubPLOs]],"&lt;11")</f>
        <v>0</v>
      </c>
      <c r="DW43" s="138">
        <f>SUMIFS(tbl_task2[S122],tbl_task2[[SubPLOs]:[SubPLOs]],"&gt;=10",tbl_task2[[SubPLOs]:[SubPLOs]],"&lt;11")</f>
        <v>0</v>
      </c>
      <c r="DX43" s="138">
        <f>SUMIFS(tbl_task2[S123],tbl_task2[[SubPLOs]:[SubPLOs]],"&gt;=10",tbl_task2[[SubPLOs]:[SubPLOs]],"&lt;11")</f>
        <v>0</v>
      </c>
      <c r="DY43" s="138">
        <f>SUMIFS(tbl_task2[S124],tbl_task2[[SubPLOs]:[SubPLOs]],"&gt;=10",tbl_task2[[SubPLOs]:[SubPLOs]],"&lt;11")</f>
        <v>0</v>
      </c>
      <c r="DZ43" s="138">
        <f>SUMIFS(tbl_task2[S125],tbl_task2[[SubPLOs]:[SubPLOs]],"&gt;=10",tbl_task2[[SubPLOs]:[SubPLOs]],"&lt;11")</f>
        <v>0</v>
      </c>
      <c r="EA43" s="138">
        <f>SUMIFS(tbl_task2[S126],tbl_task2[[SubPLOs]:[SubPLOs]],"&gt;=10",tbl_task2[[SubPLOs]:[SubPLOs]],"&lt;11")</f>
        <v>0</v>
      </c>
      <c r="EB43" s="138">
        <f>SUMIFS(tbl_task2[S127],tbl_task2[[SubPLOs]:[SubPLOs]],"&gt;=10",tbl_task2[[SubPLOs]:[SubPLOs]],"&lt;11")</f>
        <v>0</v>
      </c>
      <c r="EC43" s="138">
        <f>SUMIFS(tbl_task2[S128],tbl_task2[[SubPLOs]:[SubPLOs]],"&gt;=10",tbl_task2[[SubPLOs]:[SubPLOs]],"&lt;11")</f>
        <v>0</v>
      </c>
      <c r="ED43" s="138">
        <f>SUMIFS(tbl_task2[S129],tbl_task2[[SubPLOs]:[SubPLOs]],"&gt;=10",tbl_task2[[SubPLOs]:[SubPLOs]],"&lt;11")</f>
        <v>0</v>
      </c>
      <c r="EE43" s="138">
        <f>SUMIFS(tbl_task2[S130],tbl_task2[[SubPLOs]:[SubPLOs]],"&gt;=10",tbl_task2[[SubPLOs]:[SubPLOs]],"&lt;11")</f>
        <v>0</v>
      </c>
      <c r="EF43" s="138">
        <f>SUMIFS(tbl_task2[S131],tbl_task2[[SubPLOs]:[SubPLOs]],"&gt;=10",tbl_task2[[SubPLOs]:[SubPLOs]],"&lt;11")</f>
        <v>0</v>
      </c>
      <c r="EG43" s="138">
        <f>SUMIFS(tbl_task2[S132],tbl_task2[[SubPLOs]:[SubPLOs]],"&gt;=10",tbl_task2[[SubPLOs]:[SubPLOs]],"&lt;11")</f>
        <v>0</v>
      </c>
      <c r="EH43" s="138">
        <f>SUMIFS(tbl_task2[S133],tbl_task2[[SubPLOs]:[SubPLOs]],"&gt;=10",tbl_task2[[SubPLOs]:[SubPLOs]],"&lt;11")</f>
        <v>0</v>
      </c>
      <c r="EI43" s="138">
        <f>SUMIFS(tbl_task2[S134],tbl_task2[[SubPLOs]:[SubPLOs]],"&gt;=10",tbl_task2[[SubPLOs]:[SubPLOs]],"&lt;11")</f>
        <v>0</v>
      </c>
      <c r="EJ43" s="138">
        <f>SUMIFS(tbl_task2[S135],tbl_task2[[SubPLOs]:[SubPLOs]],"&gt;=10",tbl_task2[[SubPLOs]:[SubPLOs]],"&lt;11")</f>
        <v>0</v>
      </c>
      <c r="EK43" s="138">
        <f>SUMIFS(tbl_task2[S136],tbl_task2[[SubPLOs]:[SubPLOs]],"&gt;=10",tbl_task2[[SubPLOs]:[SubPLOs]],"&lt;11")</f>
        <v>0</v>
      </c>
      <c r="EL43" s="138">
        <f>SUMIFS(tbl_task2[S137],tbl_task2[[SubPLOs]:[SubPLOs]],"&gt;=10",tbl_task2[[SubPLOs]:[SubPLOs]],"&lt;11")</f>
        <v>0</v>
      </c>
      <c r="EM43" s="138">
        <f>SUMIFS(tbl_task2[S138],tbl_task2[[SubPLOs]:[SubPLOs]],"&gt;=10",tbl_task2[[SubPLOs]:[SubPLOs]],"&lt;11")</f>
        <v>0</v>
      </c>
      <c r="EN43" s="138">
        <f>SUMIFS(tbl_task2[S139],tbl_task2[[SubPLOs]:[SubPLOs]],"&gt;=10",tbl_task2[[SubPLOs]:[SubPLOs]],"&lt;11")</f>
        <v>0</v>
      </c>
      <c r="EO43" s="138">
        <f>SUMIFS(tbl_task2[S140],tbl_task2[[SubPLOs]:[SubPLOs]],"&gt;=10",tbl_task2[[SubPLOs]:[SubPLOs]],"&lt;11")</f>
        <v>0</v>
      </c>
      <c r="EP43" s="138">
        <f>SUMIFS(tbl_task2[S141],tbl_task2[[SubPLOs]:[SubPLOs]],"&gt;=10",tbl_task2[[SubPLOs]:[SubPLOs]],"&lt;11")</f>
        <v>0</v>
      </c>
      <c r="EQ43" s="138">
        <f>SUMIFS(tbl_task2[S142],tbl_task2[[SubPLOs]:[SubPLOs]],"&gt;=10",tbl_task2[[SubPLOs]:[SubPLOs]],"&lt;11")</f>
        <v>0</v>
      </c>
      <c r="ER43" s="138">
        <f>SUMIFS(tbl_task2[S143],tbl_task2[[SubPLOs]:[SubPLOs]],"&gt;=10",tbl_task2[[SubPLOs]:[SubPLOs]],"&lt;11")</f>
        <v>0</v>
      </c>
      <c r="ES43" s="138">
        <f>SUMIFS(tbl_task2[S144],tbl_task2[[SubPLOs]:[SubPLOs]],"&gt;=10",tbl_task2[[SubPLOs]:[SubPLOs]],"&lt;11")</f>
        <v>0</v>
      </c>
      <c r="ET43" s="138">
        <f>SUMIFS(tbl_task2[S145],tbl_task2[[SubPLOs]:[SubPLOs]],"&gt;=10",tbl_task2[[SubPLOs]:[SubPLOs]],"&lt;11")</f>
        <v>0</v>
      </c>
      <c r="EU43" s="138">
        <f>SUMIFS(tbl_task2[S146],tbl_task2[[SubPLOs]:[SubPLOs]],"&gt;=10",tbl_task2[[SubPLOs]:[SubPLOs]],"&lt;11")</f>
        <v>0</v>
      </c>
      <c r="EV43" s="138">
        <f>SUMIFS(tbl_task2[S147],tbl_task2[[SubPLOs]:[SubPLOs]],"&gt;=10",tbl_task2[[SubPLOs]:[SubPLOs]],"&lt;11")</f>
        <v>0</v>
      </c>
      <c r="EW43" s="138">
        <f>SUMIFS(tbl_task2[S148],tbl_task2[[SubPLOs]:[SubPLOs]],"&gt;=10",tbl_task2[[SubPLOs]:[SubPLOs]],"&lt;11")</f>
        <v>0</v>
      </c>
      <c r="EX43" s="138">
        <f>SUMIFS(tbl_task2[S149],tbl_task2[[SubPLOs]:[SubPLOs]],"&gt;=10",tbl_task2[[SubPLOs]:[SubPLOs]],"&lt;11")</f>
        <v>0</v>
      </c>
      <c r="EY43" s="138">
        <f>SUMIFS(tbl_task2[S150],tbl_task2[[SubPLOs]:[SubPLOs]],"&gt;=10",tbl_task2[[SubPLOs]:[SubPLOs]],"&lt;11")</f>
        <v>0</v>
      </c>
      <c r="EZ43" s="138">
        <f>SUMIFS(tbl_task2[S151],tbl_task2[[SubPLOs]:[SubPLOs]],"&gt;=10",tbl_task2[[SubPLOs]:[SubPLOs]],"&lt;11")</f>
        <v>0</v>
      </c>
      <c r="FA43" s="138">
        <f>SUMIFS(tbl_task2[S152],tbl_task2[[SubPLOs]:[SubPLOs]],"&gt;=10",tbl_task2[[SubPLOs]:[SubPLOs]],"&lt;11")</f>
        <v>0</v>
      </c>
      <c r="FB43" s="138">
        <f>SUMIFS(tbl_task2[S153],tbl_task2[[SubPLOs]:[SubPLOs]],"&gt;=10",tbl_task2[[SubPLOs]:[SubPLOs]],"&lt;11")</f>
        <v>0</v>
      </c>
      <c r="FC43" s="138">
        <f>SUMIFS(tbl_task2[S154],tbl_task2[[SubPLOs]:[SubPLOs]],"&gt;=10",tbl_task2[[SubPLOs]:[SubPLOs]],"&lt;11")</f>
        <v>0</v>
      </c>
      <c r="FD43" s="138">
        <f>SUMIFS(tbl_task2[S155],tbl_task2[[SubPLOs]:[SubPLOs]],"&gt;=10",tbl_task2[[SubPLOs]:[SubPLOs]],"&lt;11")</f>
        <v>0</v>
      </c>
      <c r="FE43" s="138">
        <f>SUMIFS(tbl_task2[S156],tbl_task2[[SubPLOs]:[SubPLOs]],"&gt;=10",tbl_task2[[SubPLOs]:[SubPLOs]],"&lt;11")</f>
        <v>0</v>
      </c>
      <c r="FF43" s="138">
        <f>SUMIFS(tbl_task2[S157],tbl_task2[[SubPLOs]:[SubPLOs]],"&gt;=10",tbl_task2[[SubPLOs]:[SubPLOs]],"&lt;11")</f>
        <v>0</v>
      </c>
      <c r="FG43" s="138">
        <f>SUMIFS(tbl_task2[S158],tbl_task2[[SubPLOs]:[SubPLOs]],"&gt;=10",tbl_task2[[SubPLOs]:[SubPLOs]],"&lt;11")</f>
        <v>0</v>
      </c>
      <c r="FH43" s="138">
        <f>SUMIFS(tbl_task2[S159],tbl_task2[[SubPLOs]:[SubPLOs]],"&gt;=10",tbl_task2[[SubPLOs]:[SubPLOs]],"&lt;11")</f>
        <v>0</v>
      </c>
      <c r="FI43" s="138">
        <f>SUMIFS(tbl_task2[S160],tbl_task2[[SubPLOs]:[SubPLOs]],"&gt;=10",tbl_task2[[SubPLOs]:[SubPLOs]],"&lt;11")</f>
        <v>0</v>
      </c>
      <c r="FJ43" s="138">
        <f>SUMIFS(tbl_task2[S161],tbl_task2[[SubPLOs]:[SubPLOs]],"&gt;=10",tbl_task2[[SubPLOs]:[SubPLOs]],"&lt;11")</f>
        <v>0</v>
      </c>
      <c r="FK43" s="138">
        <f>SUMIFS(tbl_task2[S162],tbl_task2[[SubPLOs]:[SubPLOs]],"&gt;=10",tbl_task2[[SubPLOs]:[SubPLOs]],"&lt;11")</f>
        <v>0</v>
      </c>
      <c r="FL43" s="138">
        <f>SUMIFS(tbl_task2[S163],tbl_task2[[SubPLOs]:[SubPLOs]],"&gt;=10",tbl_task2[[SubPLOs]:[SubPLOs]],"&lt;11")</f>
        <v>0</v>
      </c>
      <c r="FM43" s="138">
        <f>SUMIFS(tbl_task2[S164],tbl_task2[[SubPLOs]:[SubPLOs]],"&gt;=10",tbl_task2[[SubPLOs]:[SubPLOs]],"&lt;11")</f>
        <v>0</v>
      </c>
      <c r="FN43" s="138">
        <f>SUMIFS(tbl_task2[S165],tbl_task2[[SubPLOs]:[SubPLOs]],"&gt;=10",tbl_task2[[SubPLOs]:[SubPLOs]],"&lt;11")</f>
        <v>0</v>
      </c>
    </row>
    <row r="44" spans="1:170" s="34" customFormat="1" x14ac:dyDescent="0.25">
      <c r="A44" s="125"/>
      <c r="B44" s="126" t="s">
        <v>11</v>
      </c>
      <c r="C44" s="127">
        <f>SUM(C34:C43)</f>
        <v>0</v>
      </c>
      <c r="D44" s="128">
        <f>SUM(D34:D43)</f>
        <v>0</v>
      </c>
      <c r="E44" s="128">
        <f>SUM(E34:E43)</f>
        <v>0</v>
      </c>
      <c r="F44" s="128">
        <f t="shared" ref="F44:BQ44" si="0">SUM(F34:F43)</f>
        <v>0</v>
      </c>
      <c r="G44" s="128">
        <f t="shared" si="0"/>
        <v>0</v>
      </c>
      <c r="H44" s="128">
        <f t="shared" si="0"/>
        <v>0</v>
      </c>
      <c r="I44" s="128">
        <f t="shared" si="0"/>
        <v>0</v>
      </c>
      <c r="J44" s="128">
        <f t="shared" si="0"/>
        <v>0</v>
      </c>
      <c r="K44" s="128">
        <f t="shared" si="0"/>
        <v>0</v>
      </c>
      <c r="L44" s="128">
        <f t="shared" si="0"/>
        <v>0</v>
      </c>
      <c r="M44" s="128">
        <f t="shared" si="0"/>
        <v>0</v>
      </c>
      <c r="N44" s="128">
        <f t="shared" si="0"/>
        <v>0</v>
      </c>
      <c r="O44" s="128">
        <f t="shared" si="0"/>
        <v>0</v>
      </c>
      <c r="P44" s="128">
        <f t="shared" si="0"/>
        <v>0</v>
      </c>
      <c r="Q44" s="128">
        <f t="shared" si="0"/>
        <v>0</v>
      </c>
      <c r="R44" s="128">
        <f t="shared" si="0"/>
        <v>0</v>
      </c>
      <c r="S44" s="128">
        <f t="shared" si="0"/>
        <v>0</v>
      </c>
      <c r="T44" s="128">
        <f t="shared" si="0"/>
        <v>0</v>
      </c>
      <c r="U44" s="128">
        <f t="shared" si="0"/>
        <v>0</v>
      </c>
      <c r="V44" s="128">
        <f t="shared" si="0"/>
        <v>0</v>
      </c>
      <c r="W44" s="128">
        <f t="shared" si="0"/>
        <v>0</v>
      </c>
      <c r="X44" s="128">
        <f t="shared" si="0"/>
        <v>0</v>
      </c>
      <c r="Y44" s="128">
        <f t="shared" si="0"/>
        <v>0</v>
      </c>
      <c r="Z44" s="128">
        <f t="shared" si="0"/>
        <v>0</v>
      </c>
      <c r="AA44" s="128">
        <f t="shared" si="0"/>
        <v>0</v>
      </c>
      <c r="AB44" s="128">
        <f t="shared" si="0"/>
        <v>0</v>
      </c>
      <c r="AC44" s="128">
        <f t="shared" si="0"/>
        <v>0</v>
      </c>
      <c r="AD44" s="128">
        <f t="shared" si="0"/>
        <v>0</v>
      </c>
      <c r="AE44" s="128">
        <f t="shared" si="0"/>
        <v>0</v>
      </c>
      <c r="AF44" s="128">
        <f t="shared" si="0"/>
        <v>0</v>
      </c>
      <c r="AG44" s="128">
        <f t="shared" si="0"/>
        <v>0</v>
      </c>
      <c r="AH44" s="128">
        <f t="shared" si="0"/>
        <v>0</v>
      </c>
      <c r="AI44" s="128">
        <f t="shared" si="0"/>
        <v>0</v>
      </c>
      <c r="AJ44" s="128">
        <f t="shared" si="0"/>
        <v>0</v>
      </c>
      <c r="AK44" s="128">
        <f t="shared" si="0"/>
        <v>0</v>
      </c>
      <c r="AL44" s="128">
        <f t="shared" si="0"/>
        <v>0</v>
      </c>
      <c r="AM44" s="128">
        <f t="shared" si="0"/>
        <v>0</v>
      </c>
      <c r="AN44" s="128">
        <f t="shared" si="0"/>
        <v>0</v>
      </c>
      <c r="AO44" s="128">
        <f t="shared" si="0"/>
        <v>0</v>
      </c>
      <c r="AP44" s="128">
        <f t="shared" si="0"/>
        <v>0</v>
      </c>
      <c r="AQ44" s="128">
        <f t="shared" si="0"/>
        <v>0</v>
      </c>
      <c r="AR44" s="128">
        <f t="shared" si="0"/>
        <v>0</v>
      </c>
      <c r="AS44" s="128">
        <f t="shared" si="0"/>
        <v>0</v>
      </c>
      <c r="AT44" s="128">
        <f t="shared" si="0"/>
        <v>0</v>
      </c>
      <c r="AU44" s="128">
        <f t="shared" si="0"/>
        <v>0</v>
      </c>
      <c r="AV44" s="128">
        <f t="shared" si="0"/>
        <v>0</v>
      </c>
      <c r="AW44" s="128">
        <f t="shared" si="0"/>
        <v>0</v>
      </c>
      <c r="AX44" s="128">
        <f t="shared" si="0"/>
        <v>0</v>
      </c>
      <c r="AY44" s="128">
        <f t="shared" si="0"/>
        <v>0</v>
      </c>
      <c r="AZ44" s="128">
        <f t="shared" si="0"/>
        <v>0</v>
      </c>
      <c r="BA44" s="128">
        <f t="shared" si="0"/>
        <v>0</v>
      </c>
      <c r="BB44" s="128">
        <f t="shared" si="0"/>
        <v>0</v>
      </c>
      <c r="BC44" s="128">
        <f t="shared" si="0"/>
        <v>0</v>
      </c>
      <c r="BD44" s="128">
        <f t="shared" si="0"/>
        <v>0</v>
      </c>
      <c r="BE44" s="128">
        <f t="shared" si="0"/>
        <v>0</v>
      </c>
      <c r="BF44" s="128">
        <f t="shared" si="0"/>
        <v>0</v>
      </c>
      <c r="BG44" s="128">
        <f t="shared" si="0"/>
        <v>0</v>
      </c>
      <c r="BH44" s="128">
        <f t="shared" si="0"/>
        <v>0</v>
      </c>
      <c r="BI44" s="128">
        <f t="shared" si="0"/>
        <v>0</v>
      </c>
      <c r="BJ44" s="128">
        <f t="shared" si="0"/>
        <v>0</v>
      </c>
      <c r="BK44" s="128">
        <f t="shared" si="0"/>
        <v>0</v>
      </c>
      <c r="BL44" s="128">
        <f t="shared" si="0"/>
        <v>0</v>
      </c>
      <c r="BM44" s="128">
        <f t="shared" si="0"/>
        <v>0</v>
      </c>
      <c r="BN44" s="128">
        <f t="shared" si="0"/>
        <v>0</v>
      </c>
      <c r="BO44" s="128">
        <f t="shared" si="0"/>
        <v>0</v>
      </c>
      <c r="BP44" s="128">
        <f t="shared" si="0"/>
        <v>0</v>
      </c>
      <c r="BQ44" s="128">
        <f t="shared" si="0"/>
        <v>0</v>
      </c>
      <c r="BR44" s="128">
        <f t="shared" ref="BR44:EC44" si="1">SUM(BR34:BR43)</f>
        <v>0</v>
      </c>
      <c r="BS44" s="128">
        <f t="shared" si="1"/>
        <v>0</v>
      </c>
      <c r="BT44" s="128">
        <f t="shared" si="1"/>
        <v>0</v>
      </c>
      <c r="BU44" s="128">
        <f t="shared" si="1"/>
        <v>0</v>
      </c>
      <c r="BV44" s="128">
        <f t="shared" si="1"/>
        <v>0</v>
      </c>
      <c r="BW44" s="128">
        <f t="shared" si="1"/>
        <v>0</v>
      </c>
      <c r="BX44" s="128">
        <f t="shared" si="1"/>
        <v>0</v>
      </c>
      <c r="BY44" s="128">
        <f t="shared" si="1"/>
        <v>0</v>
      </c>
      <c r="BZ44" s="128">
        <f t="shared" si="1"/>
        <v>0</v>
      </c>
      <c r="CA44" s="128">
        <f t="shared" si="1"/>
        <v>0</v>
      </c>
      <c r="CB44" s="128">
        <f t="shared" si="1"/>
        <v>0</v>
      </c>
      <c r="CC44" s="128">
        <f t="shared" si="1"/>
        <v>0</v>
      </c>
      <c r="CD44" s="128">
        <f t="shared" si="1"/>
        <v>0</v>
      </c>
      <c r="CE44" s="128">
        <f t="shared" si="1"/>
        <v>0</v>
      </c>
      <c r="CF44" s="128">
        <f t="shared" si="1"/>
        <v>0</v>
      </c>
      <c r="CG44" s="128">
        <f t="shared" si="1"/>
        <v>0</v>
      </c>
      <c r="CH44" s="128">
        <f t="shared" si="1"/>
        <v>0</v>
      </c>
      <c r="CI44" s="128">
        <f t="shared" si="1"/>
        <v>0</v>
      </c>
      <c r="CJ44" s="128">
        <f t="shared" si="1"/>
        <v>0</v>
      </c>
      <c r="CK44" s="128">
        <f t="shared" si="1"/>
        <v>0</v>
      </c>
      <c r="CL44" s="128">
        <f t="shared" si="1"/>
        <v>0</v>
      </c>
      <c r="CM44" s="128">
        <f t="shared" si="1"/>
        <v>0</v>
      </c>
      <c r="CN44" s="128">
        <f t="shared" si="1"/>
        <v>0</v>
      </c>
      <c r="CO44" s="128">
        <f t="shared" si="1"/>
        <v>0</v>
      </c>
      <c r="CP44" s="128">
        <f t="shared" si="1"/>
        <v>0</v>
      </c>
      <c r="CQ44" s="128">
        <f t="shared" si="1"/>
        <v>0</v>
      </c>
      <c r="CR44" s="128">
        <f t="shared" si="1"/>
        <v>0</v>
      </c>
      <c r="CS44" s="128">
        <f t="shared" si="1"/>
        <v>0</v>
      </c>
      <c r="CT44" s="128">
        <f t="shared" si="1"/>
        <v>0</v>
      </c>
      <c r="CU44" s="128">
        <f t="shared" si="1"/>
        <v>0</v>
      </c>
      <c r="CV44" s="128">
        <f t="shared" si="1"/>
        <v>0</v>
      </c>
      <c r="CW44" s="128">
        <f t="shared" si="1"/>
        <v>0</v>
      </c>
      <c r="CX44" s="128">
        <f t="shared" si="1"/>
        <v>0</v>
      </c>
      <c r="CY44" s="128">
        <f t="shared" si="1"/>
        <v>0</v>
      </c>
      <c r="CZ44" s="128">
        <f t="shared" si="1"/>
        <v>0</v>
      </c>
      <c r="DA44" s="128">
        <f t="shared" si="1"/>
        <v>0</v>
      </c>
      <c r="DB44" s="128">
        <f t="shared" si="1"/>
        <v>0</v>
      </c>
      <c r="DC44" s="128">
        <f t="shared" si="1"/>
        <v>0</v>
      </c>
      <c r="DD44" s="128">
        <f t="shared" si="1"/>
        <v>0</v>
      </c>
      <c r="DE44" s="128">
        <f t="shared" si="1"/>
        <v>0</v>
      </c>
      <c r="DF44" s="128">
        <f t="shared" si="1"/>
        <v>0</v>
      </c>
      <c r="DG44" s="128">
        <f t="shared" si="1"/>
        <v>0</v>
      </c>
      <c r="DH44" s="128">
        <f t="shared" si="1"/>
        <v>0</v>
      </c>
      <c r="DI44" s="128">
        <f t="shared" si="1"/>
        <v>0</v>
      </c>
      <c r="DJ44" s="128">
        <f t="shared" si="1"/>
        <v>0</v>
      </c>
      <c r="DK44" s="128">
        <f t="shared" si="1"/>
        <v>0</v>
      </c>
      <c r="DL44" s="128">
        <f t="shared" si="1"/>
        <v>0</v>
      </c>
      <c r="DM44" s="128">
        <f t="shared" si="1"/>
        <v>0</v>
      </c>
      <c r="DN44" s="128">
        <f t="shared" si="1"/>
        <v>0</v>
      </c>
      <c r="DO44" s="128">
        <f t="shared" si="1"/>
        <v>0</v>
      </c>
      <c r="DP44" s="128">
        <f t="shared" si="1"/>
        <v>0</v>
      </c>
      <c r="DQ44" s="128">
        <f t="shared" si="1"/>
        <v>0</v>
      </c>
      <c r="DR44" s="128">
        <f t="shared" si="1"/>
        <v>0</v>
      </c>
      <c r="DS44" s="128">
        <f t="shared" si="1"/>
        <v>0</v>
      </c>
      <c r="DT44" s="128">
        <f t="shared" si="1"/>
        <v>0</v>
      </c>
      <c r="DU44" s="128">
        <f t="shared" si="1"/>
        <v>0</v>
      </c>
      <c r="DV44" s="128">
        <f t="shared" si="1"/>
        <v>0</v>
      </c>
      <c r="DW44" s="128">
        <f t="shared" si="1"/>
        <v>0</v>
      </c>
      <c r="DX44" s="128">
        <f t="shared" si="1"/>
        <v>0</v>
      </c>
      <c r="DY44" s="128">
        <f t="shared" si="1"/>
        <v>0</v>
      </c>
      <c r="DZ44" s="128">
        <f t="shared" si="1"/>
        <v>0</v>
      </c>
      <c r="EA44" s="128">
        <f t="shared" si="1"/>
        <v>0</v>
      </c>
      <c r="EB44" s="128">
        <f t="shared" si="1"/>
        <v>0</v>
      </c>
      <c r="EC44" s="128">
        <f t="shared" si="1"/>
        <v>0</v>
      </c>
      <c r="ED44" s="128">
        <f t="shared" ref="ED44:FN44" si="2">SUM(ED34:ED43)</f>
        <v>0</v>
      </c>
      <c r="EE44" s="128">
        <f t="shared" si="2"/>
        <v>0</v>
      </c>
      <c r="EF44" s="128">
        <f t="shared" si="2"/>
        <v>0</v>
      </c>
      <c r="EG44" s="128">
        <f t="shared" si="2"/>
        <v>0</v>
      </c>
      <c r="EH44" s="128">
        <f t="shared" si="2"/>
        <v>0</v>
      </c>
      <c r="EI44" s="128">
        <f t="shared" si="2"/>
        <v>0</v>
      </c>
      <c r="EJ44" s="128">
        <f t="shared" si="2"/>
        <v>0</v>
      </c>
      <c r="EK44" s="128">
        <f t="shared" si="2"/>
        <v>0</v>
      </c>
      <c r="EL44" s="128">
        <f t="shared" si="2"/>
        <v>0</v>
      </c>
      <c r="EM44" s="128">
        <f t="shared" si="2"/>
        <v>0</v>
      </c>
      <c r="EN44" s="128">
        <f t="shared" si="2"/>
        <v>0</v>
      </c>
      <c r="EO44" s="128">
        <f t="shared" si="2"/>
        <v>0</v>
      </c>
      <c r="EP44" s="128">
        <f t="shared" si="2"/>
        <v>0</v>
      </c>
      <c r="EQ44" s="128">
        <f t="shared" si="2"/>
        <v>0</v>
      </c>
      <c r="ER44" s="128">
        <f t="shared" si="2"/>
        <v>0</v>
      </c>
      <c r="ES44" s="128">
        <f t="shared" si="2"/>
        <v>0</v>
      </c>
      <c r="ET44" s="128">
        <f t="shared" si="2"/>
        <v>0</v>
      </c>
      <c r="EU44" s="128">
        <f t="shared" si="2"/>
        <v>0</v>
      </c>
      <c r="EV44" s="128">
        <f t="shared" si="2"/>
        <v>0</v>
      </c>
      <c r="EW44" s="128">
        <f t="shared" si="2"/>
        <v>0</v>
      </c>
      <c r="EX44" s="128">
        <f t="shared" si="2"/>
        <v>0</v>
      </c>
      <c r="EY44" s="128">
        <f t="shared" si="2"/>
        <v>0</v>
      </c>
      <c r="EZ44" s="128">
        <f t="shared" si="2"/>
        <v>0</v>
      </c>
      <c r="FA44" s="128">
        <f t="shared" si="2"/>
        <v>0</v>
      </c>
      <c r="FB44" s="128">
        <f t="shared" si="2"/>
        <v>0</v>
      </c>
      <c r="FC44" s="128">
        <f t="shared" si="2"/>
        <v>0</v>
      </c>
      <c r="FD44" s="128">
        <f t="shared" si="2"/>
        <v>0</v>
      </c>
      <c r="FE44" s="128">
        <f t="shared" si="2"/>
        <v>0</v>
      </c>
      <c r="FF44" s="128">
        <f t="shared" si="2"/>
        <v>0</v>
      </c>
      <c r="FG44" s="128">
        <f t="shared" si="2"/>
        <v>0</v>
      </c>
      <c r="FH44" s="128">
        <f t="shared" si="2"/>
        <v>0</v>
      </c>
      <c r="FI44" s="128">
        <f t="shared" si="2"/>
        <v>0</v>
      </c>
      <c r="FJ44" s="128">
        <f t="shared" si="2"/>
        <v>0</v>
      </c>
      <c r="FK44" s="128">
        <f t="shared" si="2"/>
        <v>0</v>
      </c>
      <c r="FL44" s="128">
        <f t="shared" si="2"/>
        <v>0</v>
      </c>
      <c r="FM44" s="128">
        <f t="shared" si="2"/>
        <v>0</v>
      </c>
      <c r="FN44" s="128">
        <f t="shared" si="2"/>
        <v>0</v>
      </c>
    </row>
  </sheetData>
  <mergeCells count="1">
    <mergeCell ref="C1:P1"/>
  </mergeCells>
  <dataValidations count="2">
    <dataValidation type="decimal" operator="greaterThanOrEqual" allowBlank="1" showInputMessage="1" showErrorMessage="1" sqref="F4:FN28">
      <formula1>0</formula1>
    </dataValidation>
    <dataValidation type="whole" allowBlank="1" showInputMessage="1" showErrorMessage="1" sqref="F30:FN31">
      <formula1>1</formula1>
      <formula2>4</formula2>
    </dataValidation>
  </dataValidations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52" fitToHeight="0" orientation="landscape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X44"/>
  <sheetViews>
    <sheetView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B34" sqref="B34"/>
    </sheetView>
  </sheetViews>
  <sheetFormatPr defaultColWidth="0" defaultRowHeight="21" x14ac:dyDescent="0.25"/>
  <cols>
    <col min="1" max="1" width="5.69921875" style="3" customWidth="1"/>
    <col min="2" max="2" width="27.09765625" style="1" customWidth="1"/>
    <col min="3" max="3" width="28.3984375" style="2" customWidth="1"/>
    <col min="4" max="4" width="10.09765625" style="101" customWidth="1"/>
    <col min="5" max="5" width="11" style="3" customWidth="1"/>
    <col min="6" max="290" width="6.69921875" style="3" customWidth="1"/>
    <col min="291" max="335" width="6.69921875" style="3" hidden="1" customWidth="1"/>
    <col min="336" max="336" width="9.09765625" style="3" customWidth="1"/>
    <col min="337" max="16384" width="9.09765625" style="3" hidden="1"/>
  </cols>
  <sheetData>
    <row r="1" spans="1:335" s="110" customFormat="1" ht="27.75" customHeight="1" x14ac:dyDescent="0.25">
      <c r="A1" s="120" t="s">
        <v>266</v>
      </c>
      <c r="B1" s="119" t="s">
        <v>308</v>
      </c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</row>
    <row r="2" spans="1:335" s="111" customFormat="1" ht="13.5" customHeight="1" x14ac:dyDescent="0.25">
      <c r="A2" s="112"/>
      <c r="B2" s="112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4"/>
    </row>
    <row r="3" spans="1:335" s="32" customFormat="1" x14ac:dyDescent="0.6">
      <c r="A3" s="28" t="s">
        <v>137</v>
      </c>
      <c r="B3" s="29" t="s">
        <v>452</v>
      </c>
      <c r="C3" s="30" t="s">
        <v>453</v>
      </c>
      <c r="D3" s="104" t="s">
        <v>306</v>
      </c>
      <c r="E3" s="105" t="s">
        <v>307</v>
      </c>
      <c r="F3" s="31" t="s">
        <v>2</v>
      </c>
      <c r="G3" s="31" t="s">
        <v>0</v>
      </c>
      <c r="H3" s="31" t="s">
        <v>1</v>
      </c>
      <c r="I3" s="31" t="s">
        <v>4</v>
      </c>
      <c r="J3" s="31" t="s">
        <v>138</v>
      </c>
      <c r="K3" s="31" t="s">
        <v>139</v>
      </c>
      <c r="L3" s="31" t="s">
        <v>140</v>
      </c>
      <c r="M3" s="31" t="s">
        <v>141</v>
      </c>
      <c r="N3" s="31" t="s">
        <v>142</v>
      </c>
      <c r="O3" s="31" t="s">
        <v>143</v>
      </c>
      <c r="P3" s="31" t="s">
        <v>144</v>
      </c>
      <c r="Q3" s="31" t="s">
        <v>145</v>
      </c>
      <c r="R3" s="31" t="s">
        <v>146</v>
      </c>
      <c r="S3" s="31" t="s">
        <v>147</v>
      </c>
      <c r="T3" s="31" t="s">
        <v>148</v>
      </c>
      <c r="U3" s="31" t="s">
        <v>149</v>
      </c>
      <c r="V3" s="31" t="s">
        <v>150</v>
      </c>
      <c r="W3" s="31" t="s">
        <v>151</v>
      </c>
      <c r="X3" s="31" t="s">
        <v>152</v>
      </c>
      <c r="Y3" s="31" t="s">
        <v>153</v>
      </c>
      <c r="Z3" s="31" t="s">
        <v>154</v>
      </c>
      <c r="AA3" s="31" t="s">
        <v>155</v>
      </c>
      <c r="AB3" s="31" t="s">
        <v>156</v>
      </c>
      <c r="AC3" s="31" t="s">
        <v>157</v>
      </c>
      <c r="AD3" s="31" t="s">
        <v>158</v>
      </c>
      <c r="AE3" s="31" t="s">
        <v>159</v>
      </c>
      <c r="AF3" s="31" t="s">
        <v>160</v>
      </c>
      <c r="AG3" s="31" t="s">
        <v>161</v>
      </c>
      <c r="AH3" s="31" t="s">
        <v>162</v>
      </c>
      <c r="AI3" s="31" t="s">
        <v>163</v>
      </c>
      <c r="AJ3" s="31" t="s">
        <v>164</v>
      </c>
      <c r="AK3" s="31" t="s">
        <v>165</v>
      </c>
      <c r="AL3" s="31" t="s">
        <v>166</v>
      </c>
      <c r="AM3" s="31" t="s">
        <v>167</v>
      </c>
      <c r="AN3" s="31" t="s">
        <v>168</v>
      </c>
      <c r="AO3" s="31" t="s">
        <v>169</v>
      </c>
      <c r="AP3" s="31" t="s">
        <v>170</v>
      </c>
      <c r="AQ3" s="31" t="s">
        <v>171</v>
      </c>
      <c r="AR3" s="31" t="s">
        <v>172</v>
      </c>
      <c r="AS3" s="31" t="s">
        <v>173</v>
      </c>
      <c r="AT3" s="31" t="s">
        <v>174</v>
      </c>
      <c r="AU3" s="31" t="s">
        <v>175</v>
      </c>
      <c r="AV3" s="31" t="s">
        <v>176</v>
      </c>
      <c r="AW3" s="31" t="s">
        <v>177</v>
      </c>
      <c r="AX3" s="31" t="s">
        <v>178</v>
      </c>
      <c r="AY3" s="31" t="s">
        <v>179</v>
      </c>
      <c r="AZ3" s="31" t="s">
        <v>180</v>
      </c>
      <c r="BA3" s="31" t="s">
        <v>181</v>
      </c>
      <c r="BB3" s="31" t="s">
        <v>182</v>
      </c>
      <c r="BC3" s="31" t="s">
        <v>183</v>
      </c>
      <c r="BD3" s="31" t="s">
        <v>184</v>
      </c>
      <c r="BE3" s="31" t="s">
        <v>185</v>
      </c>
      <c r="BF3" s="31" t="s">
        <v>186</v>
      </c>
      <c r="BG3" s="31" t="s">
        <v>187</v>
      </c>
      <c r="BH3" s="31" t="s">
        <v>188</v>
      </c>
      <c r="BI3" s="31" t="s">
        <v>189</v>
      </c>
      <c r="BJ3" s="31" t="s">
        <v>190</v>
      </c>
      <c r="BK3" s="31" t="s">
        <v>191</v>
      </c>
      <c r="BL3" s="31" t="s">
        <v>192</v>
      </c>
      <c r="BM3" s="31" t="s">
        <v>193</v>
      </c>
      <c r="BN3" s="31" t="s">
        <v>194</v>
      </c>
      <c r="BO3" s="31" t="s">
        <v>195</v>
      </c>
      <c r="BP3" s="31" t="s">
        <v>196</v>
      </c>
      <c r="BQ3" s="31" t="s">
        <v>197</v>
      </c>
      <c r="BR3" s="31" t="s">
        <v>198</v>
      </c>
      <c r="BS3" s="31" t="s">
        <v>199</v>
      </c>
      <c r="BT3" s="31" t="s">
        <v>200</v>
      </c>
      <c r="BU3" s="31" t="s">
        <v>201</v>
      </c>
      <c r="BV3" s="31" t="s">
        <v>202</v>
      </c>
      <c r="BW3" s="31" t="s">
        <v>203</v>
      </c>
      <c r="BX3" s="31" t="s">
        <v>204</v>
      </c>
      <c r="BY3" s="31" t="s">
        <v>205</v>
      </c>
      <c r="BZ3" s="31" t="s">
        <v>206</v>
      </c>
      <c r="CA3" s="31" t="s">
        <v>207</v>
      </c>
      <c r="CB3" s="31" t="s">
        <v>208</v>
      </c>
      <c r="CC3" s="31" t="s">
        <v>209</v>
      </c>
      <c r="CD3" s="31" t="s">
        <v>210</v>
      </c>
      <c r="CE3" s="31" t="s">
        <v>211</v>
      </c>
      <c r="CF3" s="31" t="s">
        <v>212</v>
      </c>
      <c r="CG3" s="31" t="s">
        <v>213</v>
      </c>
      <c r="CH3" s="31" t="s">
        <v>214</v>
      </c>
      <c r="CI3" s="31" t="s">
        <v>215</v>
      </c>
      <c r="CJ3" s="31" t="s">
        <v>216</v>
      </c>
      <c r="CK3" s="31" t="s">
        <v>217</v>
      </c>
      <c r="CL3" s="31" t="s">
        <v>218</v>
      </c>
      <c r="CM3" s="31" t="s">
        <v>219</v>
      </c>
      <c r="CN3" s="31" t="s">
        <v>220</v>
      </c>
      <c r="CO3" s="31" t="s">
        <v>221</v>
      </c>
      <c r="CP3" s="31" t="s">
        <v>222</v>
      </c>
      <c r="CQ3" s="31" t="s">
        <v>223</v>
      </c>
      <c r="CR3" s="31" t="s">
        <v>224</v>
      </c>
      <c r="CS3" s="31" t="s">
        <v>225</v>
      </c>
      <c r="CT3" s="31" t="s">
        <v>226</v>
      </c>
      <c r="CU3" s="31" t="s">
        <v>227</v>
      </c>
      <c r="CV3" s="31" t="s">
        <v>228</v>
      </c>
      <c r="CW3" s="31" t="s">
        <v>229</v>
      </c>
      <c r="CX3" s="31" t="s">
        <v>230</v>
      </c>
      <c r="CY3" s="31" t="s">
        <v>231</v>
      </c>
      <c r="CZ3" s="31" t="s">
        <v>232</v>
      </c>
      <c r="DA3" s="31" t="s">
        <v>233</v>
      </c>
      <c r="DB3" s="31" t="s">
        <v>234</v>
      </c>
      <c r="DC3" s="31" t="s">
        <v>235</v>
      </c>
      <c r="DD3" s="31" t="s">
        <v>236</v>
      </c>
      <c r="DE3" s="31" t="s">
        <v>237</v>
      </c>
      <c r="DF3" s="31" t="s">
        <v>238</v>
      </c>
      <c r="DG3" s="31" t="s">
        <v>239</v>
      </c>
      <c r="DH3" s="31" t="s">
        <v>240</v>
      </c>
      <c r="DI3" s="31" t="s">
        <v>241</v>
      </c>
      <c r="DJ3" s="31" t="s">
        <v>242</v>
      </c>
      <c r="DK3" s="31" t="s">
        <v>243</v>
      </c>
      <c r="DL3" s="31" t="s">
        <v>244</v>
      </c>
      <c r="DM3" s="31" t="s">
        <v>245</v>
      </c>
      <c r="DN3" s="31" t="s">
        <v>246</v>
      </c>
      <c r="DO3" s="31" t="s">
        <v>247</v>
      </c>
      <c r="DP3" s="31" t="s">
        <v>248</v>
      </c>
      <c r="DQ3" s="31" t="s">
        <v>309</v>
      </c>
      <c r="DR3" s="31" t="s">
        <v>310</v>
      </c>
      <c r="DS3" s="31" t="s">
        <v>311</v>
      </c>
      <c r="DT3" s="31" t="s">
        <v>312</v>
      </c>
      <c r="DU3" s="31" t="s">
        <v>313</v>
      </c>
      <c r="DV3" s="31" t="s">
        <v>314</v>
      </c>
      <c r="DW3" s="31" t="s">
        <v>315</v>
      </c>
      <c r="DX3" s="31" t="s">
        <v>316</v>
      </c>
      <c r="DY3" s="31" t="s">
        <v>317</v>
      </c>
      <c r="DZ3" s="31" t="s">
        <v>318</v>
      </c>
      <c r="EA3" s="31" t="s">
        <v>319</v>
      </c>
      <c r="EB3" s="31" t="s">
        <v>320</v>
      </c>
      <c r="EC3" s="31" t="s">
        <v>321</v>
      </c>
      <c r="ED3" s="31" t="s">
        <v>322</v>
      </c>
      <c r="EE3" s="31" t="s">
        <v>323</v>
      </c>
      <c r="EF3" s="31" t="s">
        <v>324</v>
      </c>
      <c r="EG3" s="31" t="s">
        <v>325</v>
      </c>
      <c r="EH3" s="31" t="s">
        <v>326</v>
      </c>
      <c r="EI3" s="31" t="s">
        <v>327</v>
      </c>
      <c r="EJ3" s="31" t="s">
        <v>328</v>
      </c>
      <c r="EK3" s="31" t="s">
        <v>329</v>
      </c>
      <c r="EL3" s="31" t="s">
        <v>330</v>
      </c>
      <c r="EM3" s="31" t="s">
        <v>331</v>
      </c>
      <c r="EN3" s="31" t="s">
        <v>332</v>
      </c>
      <c r="EO3" s="31" t="s">
        <v>333</v>
      </c>
      <c r="EP3" s="31" t="s">
        <v>334</v>
      </c>
      <c r="EQ3" s="31" t="s">
        <v>335</v>
      </c>
      <c r="ER3" s="31" t="s">
        <v>336</v>
      </c>
      <c r="ES3" s="31" t="s">
        <v>337</v>
      </c>
      <c r="ET3" s="31" t="s">
        <v>338</v>
      </c>
      <c r="EU3" s="31" t="s">
        <v>339</v>
      </c>
      <c r="EV3" s="31" t="s">
        <v>340</v>
      </c>
      <c r="EW3" s="31" t="s">
        <v>341</v>
      </c>
      <c r="EX3" s="31" t="s">
        <v>342</v>
      </c>
      <c r="EY3" s="31" t="s">
        <v>343</v>
      </c>
      <c r="EZ3" s="31" t="s">
        <v>344</v>
      </c>
      <c r="FA3" s="31" t="s">
        <v>345</v>
      </c>
      <c r="FB3" s="31" t="s">
        <v>346</v>
      </c>
      <c r="FC3" s="31" t="s">
        <v>347</v>
      </c>
      <c r="FD3" s="31" t="s">
        <v>348</v>
      </c>
      <c r="FE3" s="31" t="s">
        <v>349</v>
      </c>
      <c r="FF3" s="31" t="s">
        <v>350</v>
      </c>
      <c r="FG3" s="31" t="s">
        <v>351</v>
      </c>
      <c r="FH3" s="31" t="s">
        <v>352</v>
      </c>
      <c r="FI3" s="31" t="s">
        <v>353</v>
      </c>
      <c r="FJ3" s="31" t="s">
        <v>354</v>
      </c>
      <c r="FK3" s="31" t="s">
        <v>355</v>
      </c>
      <c r="FL3" s="31" t="s">
        <v>356</v>
      </c>
      <c r="FM3" s="31" t="s">
        <v>357</v>
      </c>
      <c r="FN3" s="31" t="s">
        <v>358</v>
      </c>
      <c r="FO3" s="123" t="s">
        <v>22</v>
      </c>
      <c r="FP3" s="123" t="s">
        <v>23</v>
      </c>
      <c r="FQ3" s="123" t="s">
        <v>24</v>
      </c>
      <c r="FR3" s="123" t="s">
        <v>25</v>
      </c>
      <c r="FS3" s="123" t="s">
        <v>26</v>
      </c>
      <c r="FT3" s="123" t="s">
        <v>27</v>
      </c>
      <c r="FU3" s="123" t="s">
        <v>28</v>
      </c>
      <c r="FV3" s="123" t="s">
        <v>29</v>
      </c>
      <c r="FW3" s="123" t="s">
        <v>30</v>
      </c>
      <c r="FX3" s="123" t="s">
        <v>31</v>
      </c>
      <c r="FY3" s="123" t="s">
        <v>32</v>
      </c>
      <c r="FZ3" s="123" t="s">
        <v>33</v>
      </c>
      <c r="GA3" s="123" t="s">
        <v>34</v>
      </c>
      <c r="GB3" s="123" t="s">
        <v>35</v>
      </c>
      <c r="GC3" s="123" t="s">
        <v>36</v>
      </c>
      <c r="GD3" s="123" t="s">
        <v>37</v>
      </c>
      <c r="GE3" s="123" t="s">
        <v>38</v>
      </c>
      <c r="GF3" s="123" t="s">
        <v>39</v>
      </c>
      <c r="GG3" s="123" t="s">
        <v>40</v>
      </c>
      <c r="GH3" s="123" t="s">
        <v>41</v>
      </c>
      <c r="GI3" s="123" t="s">
        <v>42</v>
      </c>
      <c r="GJ3" s="123" t="s">
        <v>43</v>
      </c>
      <c r="GK3" s="123" t="s">
        <v>44</v>
      </c>
      <c r="GL3" s="123" t="s">
        <v>45</v>
      </c>
      <c r="GM3" s="123" t="s">
        <v>46</v>
      </c>
      <c r="GN3" s="123" t="s">
        <v>47</v>
      </c>
      <c r="GO3" s="123" t="s">
        <v>48</v>
      </c>
      <c r="GP3" s="123" t="s">
        <v>49</v>
      </c>
      <c r="GQ3" s="123" t="s">
        <v>50</v>
      </c>
      <c r="GR3" s="123" t="s">
        <v>51</v>
      </c>
      <c r="GS3" s="123" t="s">
        <v>52</v>
      </c>
      <c r="GT3" s="123" t="s">
        <v>53</v>
      </c>
      <c r="GU3" s="123" t="s">
        <v>54</v>
      </c>
      <c r="GV3" s="123" t="s">
        <v>55</v>
      </c>
      <c r="GW3" s="123" t="s">
        <v>56</v>
      </c>
      <c r="GX3" s="123" t="s">
        <v>57</v>
      </c>
      <c r="GY3" s="123" t="s">
        <v>58</v>
      </c>
      <c r="GZ3" s="123" t="s">
        <v>59</v>
      </c>
      <c r="HA3" s="123" t="s">
        <v>60</v>
      </c>
      <c r="HB3" s="123" t="s">
        <v>61</v>
      </c>
      <c r="HC3" s="123" t="s">
        <v>62</v>
      </c>
      <c r="HD3" s="123" t="s">
        <v>63</v>
      </c>
      <c r="HE3" s="123" t="s">
        <v>64</v>
      </c>
      <c r="HF3" s="123" t="s">
        <v>65</v>
      </c>
      <c r="HG3" s="123" t="s">
        <v>66</v>
      </c>
      <c r="HH3" s="123" t="s">
        <v>67</v>
      </c>
      <c r="HI3" s="123" t="s">
        <v>68</v>
      </c>
      <c r="HJ3" s="123" t="s">
        <v>69</v>
      </c>
      <c r="HK3" s="123" t="s">
        <v>70</v>
      </c>
      <c r="HL3" s="123" t="s">
        <v>71</v>
      </c>
      <c r="HM3" s="123" t="s">
        <v>72</v>
      </c>
      <c r="HN3" s="123" t="s">
        <v>73</v>
      </c>
      <c r="HO3" s="123" t="s">
        <v>74</v>
      </c>
      <c r="HP3" s="123" t="s">
        <v>75</v>
      </c>
      <c r="HQ3" s="123" t="s">
        <v>76</v>
      </c>
      <c r="HR3" s="123" t="s">
        <v>77</v>
      </c>
      <c r="HS3" s="123" t="s">
        <v>78</v>
      </c>
      <c r="HT3" s="123" t="s">
        <v>79</v>
      </c>
      <c r="HU3" s="123" t="s">
        <v>80</v>
      </c>
      <c r="HV3" s="123" t="s">
        <v>81</v>
      </c>
      <c r="HW3" s="123" t="s">
        <v>82</v>
      </c>
      <c r="HX3" s="123" t="s">
        <v>83</v>
      </c>
      <c r="HY3" s="123" t="s">
        <v>84</v>
      </c>
      <c r="HZ3" s="123" t="s">
        <v>85</v>
      </c>
      <c r="IA3" s="123" t="s">
        <v>86</v>
      </c>
      <c r="IB3" s="123" t="s">
        <v>87</v>
      </c>
      <c r="IC3" s="123" t="s">
        <v>88</v>
      </c>
      <c r="ID3" s="123" t="s">
        <v>89</v>
      </c>
      <c r="IE3" s="123" t="s">
        <v>90</v>
      </c>
      <c r="IF3" s="123" t="s">
        <v>91</v>
      </c>
      <c r="IG3" s="123" t="s">
        <v>92</v>
      </c>
      <c r="IH3" s="123" t="s">
        <v>93</v>
      </c>
      <c r="II3" s="123" t="s">
        <v>94</v>
      </c>
      <c r="IJ3" s="123" t="s">
        <v>95</v>
      </c>
      <c r="IK3" s="123" t="s">
        <v>96</v>
      </c>
      <c r="IL3" s="123" t="s">
        <v>97</v>
      </c>
      <c r="IM3" s="123" t="s">
        <v>98</v>
      </c>
      <c r="IN3" s="123" t="s">
        <v>99</v>
      </c>
      <c r="IO3" s="123" t="s">
        <v>100</v>
      </c>
      <c r="IP3" s="123" t="s">
        <v>101</v>
      </c>
      <c r="IQ3" s="123" t="s">
        <v>102</v>
      </c>
      <c r="IR3" s="123" t="s">
        <v>103</v>
      </c>
      <c r="IS3" s="123" t="s">
        <v>104</v>
      </c>
      <c r="IT3" s="123" t="s">
        <v>105</v>
      </c>
      <c r="IU3" s="123" t="s">
        <v>106</v>
      </c>
      <c r="IV3" s="123" t="s">
        <v>107</v>
      </c>
      <c r="IW3" s="123" t="s">
        <v>108</v>
      </c>
      <c r="IX3" s="123" t="s">
        <v>109</v>
      </c>
      <c r="IY3" s="123" t="s">
        <v>110</v>
      </c>
      <c r="IZ3" s="123" t="s">
        <v>111</v>
      </c>
      <c r="JA3" s="123" t="s">
        <v>112</v>
      </c>
      <c r="JB3" s="123" t="s">
        <v>113</v>
      </c>
      <c r="JC3" s="123" t="s">
        <v>114</v>
      </c>
      <c r="JD3" s="123" t="s">
        <v>115</v>
      </c>
      <c r="JE3" s="123" t="s">
        <v>116</v>
      </c>
      <c r="JF3" s="123" t="s">
        <v>117</v>
      </c>
      <c r="JG3" s="123" t="s">
        <v>118</v>
      </c>
      <c r="JH3" s="123" t="s">
        <v>119</v>
      </c>
      <c r="JI3" s="123" t="s">
        <v>120</v>
      </c>
      <c r="JJ3" s="123" t="s">
        <v>121</v>
      </c>
      <c r="JK3" s="123" t="s">
        <v>122</v>
      </c>
      <c r="JL3" s="123" t="s">
        <v>123</v>
      </c>
      <c r="JM3" s="123" t="s">
        <v>124</v>
      </c>
      <c r="JN3" s="123" t="s">
        <v>125</v>
      </c>
      <c r="JO3" s="123" t="s">
        <v>126</v>
      </c>
      <c r="JP3" s="123" t="s">
        <v>127</v>
      </c>
      <c r="JQ3" s="123" t="s">
        <v>128</v>
      </c>
      <c r="JR3" s="123" t="s">
        <v>129</v>
      </c>
      <c r="JS3" s="123" t="s">
        <v>130</v>
      </c>
      <c r="JT3" s="123" t="s">
        <v>131</v>
      </c>
      <c r="JU3" s="123" t="s">
        <v>132</v>
      </c>
      <c r="JV3" s="123" t="s">
        <v>133</v>
      </c>
      <c r="JW3" s="123" t="s">
        <v>134</v>
      </c>
      <c r="JX3" s="123" t="s">
        <v>135</v>
      </c>
      <c r="JY3" s="123" t="s">
        <v>136</v>
      </c>
      <c r="JZ3" s="123" t="s">
        <v>359</v>
      </c>
      <c r="KA3" s="123" t="s">
        <v>360</v>
      </c>
      <c r="KB3" s="123" t="s">
        <v>361</v>
      </c>
      <c r="KC3" s="123" t="s">
        <v>362</v>
      </c>
      <c r="KD3" s="123" t="s">
        <v>363</v>
      </c>
      <c r="KE3" s="123" t="s">
        <v>364</v>
      </c>
      <c r="KF3" s="123" t="s">
        <v>365</v>
      </c>
      <c r="KG3" s="123" t="s">
        <v>366</v>
      </c>
      <c r="KH3" s="123" t="s">
        <v>367</v>
      </c>
      <c r="KI3" s="123" t="s">
        <v>368</v>
      </c>
      <c r="KJ3" s="123" t="s">
        <v>369</v>
      </c>
      <c r="KK3" s="123" t="s">
        <v>370</v>
      </c>
      <c r="KL3" s="123" t="s">
        <v>371</v>
      </c>
      <c r="KM3" s="123" t="s">
        <v>372</v>
      </c>
      <c r="KN3" s="123" t="s">
        <v>373</v>
      </c>
      <c r="KO3" s="123" t="s">
        <v>374</v>
      </c>
      <c r="KP3" s="123" t="s">
        <v>375</v>
      </c>
      <c r="KQ3" s="123" t="s">
        <v>376</v>
      </c>
      <c r="KR3" s="123" t="s">
        <v>377</v>
      </c>
      <c r="KS3" s="123" t="s">
        <v>378</v>
      </c>
      <c r="KT3" s="123" t="s">
        <v>379</v>
      </c>
      <c r="KU3" s="123" t="s">
        <v>380</v>
      </c>
      <c r="KV3" s="123" t="s">
        <v>381</v>
      </c>
      <c r="KW3" s="123" t="s">
        <v>382</v>
      </c>
      <c r="KX3" s="123" t="s">
        <v>383</v>
      </c>
      <c r="KY3" s="123" t="s">
        <v>384</v>
      </c>
      <c r="KZ3" s="123" t="s">
        <v>385</v>
      </c>
      <c r="LA3" s="123" t="s">
        <v>386</v>
      </c>
      <c r="LB3" s="123" t="s">
        <v>387</v>
      </c>
      <c r="LC3" s="123" t="s">
        <v>388</v>
      </c>
      <c r="LD3" s="123" t="s">
        <v>389</v>
      </c>
      <c r="LE3" s="123" t="s">
        <v>390</v>
      </c>
      <c r="LF3" s="123" t="s">
        <v>391</v>
      </c>
      <c r="LG3" s="123" t="s">
        <v>392</v>
      </c>
      <c r="LH3" s="123" t="s">
        <v>393</v>
      </c>
      <c r="LI3" s="123" t="s">
        <v>394</v>
      </c>
      <c r="LJ3" s="123" t="s">
        <v>395</v>
      </c>
      <c r="LK3" s="123" t="s">
        <v>396</v>
      </c>
      <c r="LL3" s="123" t="s">
        <v>397</v>
      </c>
      <c r="LM3" s="123" t="s">
        <v>398</v>
      </c>
      <c r="LN3" s="123" t="s">
        <v>399</v>
      </c>
      <c r="LO3" s="123" t="s">
        <v>400</v>
      </c>
      <c r="LP3" s="123" t="s">
        <v>401</v>
      </c>
      <c r="LQ3" s="123" t="s">
        <v>402</v>
      </c>
      <c r="LR3" s="123" t="s">
        <v>403</v>
      </c>
      <c r="LS3" s="123" t="s">
        <v>404</v>
      </c>
      <c r="LT3" s="123" t="s">
        <v>405</v>
      </c>
      <c r="LU3" s="123" t="s">
        <v>406</v>
      </c>
      <c r="LV3" s="123" t="s">
        <v>407</v>
      </c>
      <c r="LW3" s="123" t="s">
        <v>408</v>
      </c>
    </row>
    <row r="4" spans="1:335" ht="26.4" customHeight="1" x14ac:dyDescent="0.25">
      <c r="A4" s="24">
        <v>1</v>
      </c>
      <c r="B4" s="20"/>
      <c r="C4" s="5" t="str">
        <f>IF(ISBLANK(B4),"",VLOOKUP(B4,tbl_PLOs[],2,0))</f>
        <v/>
      </c>
      <c r="D4" s="102"/>
      <c r="E4" s="10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22"/>
      <c r="FO4" s="121" t="str">
        <f>IF(ISBLANK(tbl_task3[[คะแนนเต็ม]:[คะแนนเต็ม]]),"",(tbl_task3[1]/tbl_task3[[คะแนนเต็ม]:[คะแนนเต็ม]])*tbl_task3[[%]:[%]])</f>
        <v/>
      </c>
      <c r="FP4" s="121" t="str">
        <f>IF(ISBLANK(tbl_task3[[คะแนนเต็ม]:[คะแนนเต็ม]]),"",(tbl_task3[2]/tbl_task3[[คะแนนเต็ม]:[คะแนนเต็ม]])*tbl_task3[[%]:[%]])</f>
        <v/>
      </c>
      <c r="FQ4" s="121" t="str">
        <f>IF(ISBLANK(tbl_task3[[คะแนนเต็ม]:[คะแนนเต็ม]]),"",(tbl_task3[3]/tbl_task3[[คะแนนเต็ม]:[คะแนนเต็ม]])*tbl_task3[[%]:[%]])</f>
        <v/>
      </c>
      <c r="FR4" s="121" t="str">
        <f>IF(ISBLANK(tbl_task3[[คะแนนเต็ม]:[คะแนนเต็ม]]),"",(tbl_task3[4]/tbl_task3[[คะแนนเต็ม]:[คะแนนเต็ม]])*tbl_task3[[%]:[%]])</f>
        <v/>
      </c>
      <c r="FS4" s="121" t="str">
        <f>IF(ISBLANK(tbl_task3[[คะแนนเต็ม]:[คะแนนเต็ม]]),"",(tbl_task3[5]/tbl_task3[[คะแนนเต็ม]:[คะแนนเต็ม]])*tbl_task3[[%]:[%]])</f>
        <v/>
      </c>
      <c r="FT4" s="121" t="str">
        <f>IF(ISBLANK(tbl_task3[[คะแนนเต็ม]:[คะแนนเต็ม]]),"",(tbl_task3[6]/tbl_task3[[คะแนนเต็ม]:[คะแนนเต็ม]])*tbl_task3[[%]:[%]])</f>
        <v/>
      </c>
      <c r="FU4" s="121" t="str">
        <f>IF(ISBLANK(tbl_task3[[คะแนนเต็ม]:[คะแนนเต็ม]]),"",(tbl_task3[7]/tbl_task3[[คะแนนเต็ม]:[คะแนนเต็ม]])*tbl_task3[[%]:[%]])</f>
        <v/>
      </c>
      <c r="FV4" s="121" t="str">
        <f>IF(ISBLANK(tbl_task3[[คะแนนเต็ม]:[คะแนนเต็ม]]),"",(tbl_task3[8]/tbl_task3[[คะแนนเต็ม]:[คะแนนเต็ม]])*tbl_task3[[%]:[%]])</f>
        <v/>
      </c>
      <c r="FW4" s="121" t="str">
        <f>IF(ISBLANK(tbl_task3[[คะแนนเต็ม]:[คะแนนเต็ม]]),"",(tbl_task3[9]/tbl_task3[[คะแนนเต็ม]:[คะแนนเต็ม]])*tbl_task3[[%]:[%]])</f>
        <v/>
      </c>
      <c r="FX4" s="121" t="str">
        <f>IF(ISBLANK(tbl_task3[[คะแนนเต็ม]:[คะแนนเต็ม]]),"",(tbl_task3[10]/tbl_task3[[คะแนนเต็ม]:[คะแนนเต็ม]])*tbl_task3[[%]:[%]])</f>
        <v/>
      </c>
      <c r="FY4" s="121" t="str">
        <f>IF(ISBLANK(tbl_task3[[คะแนนเต็ม]:[คะแนนเต็ม]]),"",(tbl_task3[11]/tbl_task3[[คะแนนเต็ม]:[คะแนนเต็ม]])*tbl_task3[[%]:[%]])</f>
        <v/>
      </c>
      <c r="FZ4" s="121" t="str">
        <f>IF(ISBLANK(tbl_task3[[คะแนนเต็ม]:[คะแนนเต็ม]]),"",(tbl_task3[12]/tbl_task3[[คะแนนเต็ม]:[คะแนนเต็ม]])*tbl_task3[[%]:[%]])</f>
        <v/>
      </c>
      <c r="GA4" s="121" t="str">
        <f>IF(ISBLANK(tbl_task3[[คะแนนเต็ม]:[คะแนนเต็ม]]),"",(tbl_task3[13]/tbl_task3[[คะแนนเต็ม]:[คะแนนเต็ม]])*tbl_task3[[%]:[%]])</f>
        <v/>
      </c>
      <c r="GB4" s="121" t="str">
        <f>IF(ISBLANK(tbl_task3[[คะแนนเต็ม]:[คะแนนเต็ม]]),"",(tbl_task3[14]/tbl_task3[[คะแนนเต็ม]:[คะแนนเต็ม]])*tbl_task3[[%]:[%]])</f>
        <v/>
      </c>
      <c r="GC4" s="121" t="str">
        <f>IF(ISBLANK(tbl_task3[[คะแนนเต็ม]:[คะแนนเต็ม]]),"",(tbl_task3[15]/tbl_task3[[คะแนนเต็ม]:[คะแนนเต็ม]])*tbl_task3[[%]:[%]])</f>
        <v/>
      </c>
      <c r="GD4" s="121" t="str">
        <f>IF(ISBLANK(tbl_task3[[คะแนนเต็ม]:[คะแนนเต็ม]]),"",(tbl_task3[16]/tbl_task3[[คะแนนเต็ม]:[คะแนนเต็ม]])*tbl_task3[[%]:[%]])</f>
        <v/>
      </c>
      <c r="GE4" s="121" t="str">
        <f>IF(ISBLANK(tbl_task3[[คะแนนเต็ม]:[คะแนนเต็ม]]),"",(tbl_task3[17]/tbl_task3[[คะแนนเต็ม]:[คะแนนเต็ม]])*tbl_task3[[%]:[%]])</f>
        <v/>
      </c>
      <c r="GF4" s="121" t="str">
        <f>IF(ISBLANK(tbl_task3[[คะแนนเต็ม]:[คะแนนเต็ม]]),"",(tbl_task3[18]/tbl_task3[[คะแนนเต็ม]:[คะแนนเต็ม]])*tbl_task3[[%]:[%]])</f>
        <v/>
      </c>
      <c r="GG4" s="121" t="str">
        <f>IF(ISBLANK(tbl_task3[[คะแนนเต็ม]:[คะแนนเต็ม]]),"",(tbl_task3[19]/tbl_task3[[คะแนนเต็ม]:[คะแนนเต็ม]])*tbl_task3[[%]:[%]])</f>
        <v/>
      </c>
      <c r="GH4" s="121" t="str">
        <f>IF(ISBLANK(tbl_task3[[คะแนนเต็ม]:[คะแนนเต็ม]]),"",(tbl_task3[20]/tbl_task3[[คะแนนเต็ม]:[คะแนนเต็ม]])*tbl_task3[[%]:[%]])</f>
        <v/>
      </c>
      <c r="GI4" s="121" t="str">
        <f>IF(ISBLANK(tbl_task3[[คะแนนเต็ม]:[คะแนนเต็ม]]),"",(tbl_task3[21]/tbl_task3[[คะแนนเต็ม]:[คะแนนเต็ม]])*tbl_task3[[%]:[%]])</f>
        <v/>
      </c>
      <c r="GJ4" s="121" t="str">
        <f>IF(ISBLANK(tbl_task3[[คะแนนเต็ม]:[คะแนนเต็ม]]),"",(tbl_task3[22]/tbl_task3[[คะแนนเต็ม]:[คะแนนเต็ม]])*tbl_task3[[%]:[%]])</f>
        <v/>
      </c>
      <c r="GK4" s="121" t="str">
        <f>IF(ISBLANK(tbl_task3[[คะแนนเต็ม]:[คะแนนเต็ม]]),"",(tbl_task3[23]/tbl_task3[[คะแนนเต็ม]:[คะแนนเต็ม]])*tbl_task3[[%]:[%]])</f>
        <v/>
      </c>
      <c r="GL4" s="121" t="str">
        <f>IF(ISBLANK(tbl_task3[[คะแนนเต็ม]:[คะแนนเต็ม]]),"",(tbl_task3[24]/tbl_task3[[คะแนนเต็ม]:[คะแนนเต็ม]])*tbl_task3[[%]:[%]])</f>
        <v/>
      </c>
      <c r="GM4" s="121" t="str">
        <f>IF(ISBLANK(tbl_task3[[คะแนนเต็ม]:[คะแนนเต็ม]]),"",(tbl_task3[25]/tbl_task3[[คะแนนเต็ม]:[คะแนนเต็ม]])*tbl_task3[[%]:[%]])</f>
        <v/>
      </c>
      <c r="GN4" s="121" t="str">
        <f>IF(ISBLANK(tbl_task3[[คะแนนเต็ม]:[คะแนนเต็ม]]),"",(tbl_task3[26]/tbl_task3[[คะแนนเต็ม]:[คะแนนเต็ม]])*tbl_task3[[%]:[%]])</f>
        <v/>
      </c>
      <c r="GO4" s="121" t="str">
        <f>IF(ISBLANK(tbl_task3[[คะแนนเต็ม]:[คะแนนเต็ม]]),"",(tbl_task3[27]/tbl_task3[[คะแนนเต็ม]:[คะแนนเต็ม]])*tbl_task3[[%]:[%]])</f>
        <v/>
      </c>
      <c r="GP4" s="121" t="str">
        <f>IF(ISBLANK(tbl_task3[[คะแนนเต็ม]:[คะแนนเต็ม]]),"",(tbl_task3[28]/tbl_task3[[คะแนนเต็ม]:[คะแนนเต็ม]])*tbl_task3[[%]:[%]])</f>
        <v/>
      </c>
      <c r="GQ4" s="121" t="str">
        <f>IF(ISBLANK(tbl_task3[[คะแนนเต็ม]:[คะแนนเต็ม]]),"",(tbl_task3[29]/tbl_task3[[คะแนนเต็ม]:[คะแนนเต็ม]])*tbl_task3[[%]:[%]])</f>
        <v/>
      </c>
      <c r="GR4" s="121" t="str">
        <f>IF(ISBLANK(tbl_task3[[คะแนนเต็ม]:[คะแนนเต็ม]]),"",(tbl_task3[30]/tbl_task3[[คะแนนเต็ม]:[คะแนนเต็ม]])*tbl_task3[[%]:[%]])</f>
        <v/>
      </c>
      <c r="GS4" s="121" t="str">
        <f>IF(ISBLANK(tbl_task3[[คะแนนเต็ม]:[คะแนนเต็ม]]),"",(tbl_task3[31]/tbl_task3[[คะแนนเต็ม]:[คะแนนเต็ม]])*tbl_task3[[%]:[%]])</f>
        <v/>
      </c>
      <c r="GT4" s="121" t="str">
        <f>IF(ISBLANK(tbl_task3[[คะแนนเต็ม]:[คะแนนเต็ม]]),"",(tbl_task3[32]/tbl_task3[[คะแนนเต็ม]:[คะแนนเต็ม]])*tbl_task3[[%]:[%]])</f>
        <v/>
      </c>
      <c r="GU4" s="121" t="str">
        <f>IF(ISBLANK(tbl_task3[[คะแนนเต็ม]:[คะแนนเต็ม]]),"",(tbl_task3[33]/tbl_task3[[คะแนนเต็ม]:[คะแนนเต็ม]])*tbl_task3[[%]:[%]])</f>
        <v/>
      </c>
      <c r="GV4" s="121" t="str">
        <f>IF(ISBLANK(tbl_task3[[คะแนนเต็ม]:[คะแนนเต็ม]]),"",(tbl_task3[34]/tbl_task3[[คะแนนเต็ม]:[คะแนนเต็ม]])*tbl_task3[[%]:[%]])</f>
        <v/>
      </c>
      <c r="GW4" s="121" t="str">
        <f>IF(ISBLANK(tbl_task3[[คะแนนเต็ม]:[คะแนนเต็ม]]),"",(tbl_task3[35]/tbl_task3[[คะแนนเต็ม]:[คะแนนเต็ม]])*tbl_task3[[%]:[%]])</f>
        <v/>
      </c>
      <c r="GX4" s="121" t="str">
        <f>IF(ISBLANK(tbl_task3[[คะแนนเต็ม]:[คะแนนเต็ม]]),"",(tbl_task3[36]/tbl_task3[[คะแนนเต็ม]:[คะแนนเต็ม]])*tbl_task3[[%]:[%]])</f>
        <v/>
      </c>
      <c r="GY4" s="121" t="str">
        <f>IF(ISBLANK(tbl_task3[[คะแนนเต็ม]:[คะแนนเต็ม]]),"",(tbl_task3[37]/tbl_task3[[คะแนนเต็ม]:[คะแนนเต็ม]])*tbl_task3[[%]:[%]])</f>
        <v/>
      </c>
      <c r="GZ4" s="121" t="str">
        <f>IF(ISBLANK(tbl_task3[[คะแนนเต็ม]:[คะแนนเต็ม]]),"",(tbl_task3[38]/tbl_task3[[คะแนนเต็ม]:[คะแนนเต็ม]])*tbl_task3[[%]:[%]])</f>
        <v/>
      </c>
      <c r="HA4" s="121" t="str">
        <f>IF(ISBLANK(tbl_task3[[คะแนนเต็ม]:[คะแนนเต็ม]]),"",(tbl_task3[39]/tbl_task3[[คะแนนเต็ม]:[คะแนนเต็ม]])*tbl_task3[[%]:[%]])</f>
        <v/>
      </c>
      <c r="HB4" s="121" t="str">
        <f>IF(ISBLANK(tbl_task3[[คะแนนเต็ม]:[คะแนนเต็ม]]),"",(tbl_task3[40]/tbl_task3[[คะแนนเต็ม]:[คะแนนเต็ม]])*tbl_task3[[%]:[%]])</f>
        <v/>
      </c>
      <c r="HC4" s="121" t="str">
        <f>IF(ISBLANK(tbl_task3[[คะแนนเต็ม]:[คะแนนเต็ม]]),"",(tbl_task3[41]/tbl_task3[[คะแนนเต็ม]:[คะแนนเต็ม]])*tbl_task3[[%]:[%]])</f>
        <v/>
      </c>
      <c r="HD4" s="121" t="str">
        <f>IF(ISBLANK(tbl_task3[[คะแนนเต็ม]:[คะแนนเต็ม]]),"",(tbl_task3[42]/tbl_task3[[คะแนนเต็ม]:[คะแนนเต็ม]])*tbl_task3[[%]:[%]])</f>
        <v/>
      </c>
      <c r="HE4" s="121" t="str">
        <f>IF(ISBLANK(tbl_task3[[คะแนนเต็ม]:[คะแนนเต็ม]]),"",(tbl_task3[43]/tbl_task3[[คะแนนเต็ม]:[คะแนนเต็ม]])*tbl_task3[[%]:[%]])</f>
        <v/>
      </c>
      <c r="HF4" s="121" t="str">
        <f>IF(ISBLANK(tbl_task3[[คะแนนเต็ม]:[คะแนนเต็ม]]),"",(tbl_task3[44]/tbl_task3[[คะแนนเต็ม]:[คะแนนเต็ม]])*tbl_task3[[%]:[%]])</f>
        <v/>
      </c>
      <c r="HG4" s="121" t="str">
        <f>IF(ISBLANK(tbl_task3[[คะแนนเต็ม]:[คะแนนเต็ม]]),"",(tbl_task3[45]/tbl_task3[[คะแนนเต็ม]:[คะแนนเต็ม]])*tbl_task3[[%]:[%]])</f>
        <v/>
      </c>
      <c r="HH4" s="121" t="str">
        <f>IF(ISBLANK(tbl_task3[[คะแนนเต็ม]:[คะแนนเต็ม]]),"",(tbl_task3[46]/tbl_task3[[คะแนนเต็ม]:[คะแนนเต็ม]])*tbl_task3[[%]:[%]])</f>
        <v/>
      </c>
      <c r="HI4" s="121" t="str">
        <f>IF(ISBLANK(tbl_task3[[คะแนนเต็ม]:[คะแนนเต็ม]]),"",(tbl_task3[47]/tbl_task3[[คะแนนเต็ม]:[คะแนนเต็ม]])*tbl_task3[[%]:[%]])</f>
        <v/>
      </c>
      <c r="HJ4" s="121" t="str">
        <f>IF(ISBLANK(tbl_task3[[คะแนนเต็ม]:[คะแนนเต็ม]]),"",(tbl_task3[48]/tbl_task3[[คะแนนเต็ม]:[คะแนนเต็ม]])*tbl_task3[[%]:[%]])</f>
        <v/>
      </c>
      <c r="HK4" s="121" t="str">
        <f>IF(ISBLANK(tbl_task3[[คะแนนเต็ม]:[คะแนนเต็ม]]),"",(tbl_task3[49]/tbl_task3[[คะแนนเต็ม]:[คะแนนเต็ม]])*tbl_task3[[%]:[%]])</f>
        <v/>
      </c>
      <c r="HL4" s="121" t="str">
        <f>IF(ISBLANK(tbl_task3[[คะแนนเต็ม]:[คะแนนเต็ม]]),"",(tbl_task3[50]/tbl_task3[[คะแนนเต็ม]:[คะแนนเต็ม]])*tbl_task3[[%]:[%]])</f>
        <v/>
      </c>
      <c r="HM4" s="121" t="str">
        <f>IF(ISBLANK(tbl_task3[[คะแนนเต็ม]:[คะแนนเต็ม]]),"",(tbl_task3[51]/tbl_task3[[คะแนนเต็ม]:[คะแนนเต็ม]])*tbl_task3[[%]:[%]])</f>
        <v/>
      </c>
      <c r="HN4" s="121" t="str">
        <f>IF(ISBLANK(tbl_task3[[คะแนนเต็ม]:[คะแนนเต็ม]]),"",(tbl_task3[52]/tbl_task3[[คะแนนเต็ม]:[คะแนนเต็ม]])*tbl_task3[[%]:[%]])</f>
        <v/>
      </c>
      <c r="HO4" s="121" t="str">
        <f>IF(ISBLANK(tbl_task3[[คะแนนเต็ม]:[คะแนนเต็ม]]),"",(tbl_task3[53]/tbl_task3[[คะแนนเต็ม]:[คะแนนเต็ม]])*tbl_task3[[%]:[%]])</f>
        <v/>
      </c>
      <c r="HP4" s="121" t="str">
        <f>IF(ISBLANK(tbl_task3[[คะแนนเต็ม]:[คะแนนเต็ม]]),"",(tbl_task3[54]/tbl_task3[[คะแนนเต็ม]:[คะแนนเต็ม]])*tbl_task3[[%]:[%]])</f>
        <v/>
      </c>
      <c r="HQ4" s="121" t="str">
        <f>IF(ISBLANK(tbl_task3[[คะแนนเต็ม]:[คะแนนเต็ม]]),"",(tbl_task3[55]/tbl_task3[[คะแนนเต็ม]:[คะแนนเต็ม]])*tbl_task3[[%]:[%]])</f>
        <v/>
      </c>
      <c r="HR4" s="121" t="str">
        <f>IF(ISBLANK(tbl_task3[[คะแนนเต็ม]:[คะแนนเต็ม]]),"",(tbl_task3[56]/tbl_task3[[คะแนนเต็ม]:[คะแนนเต็ม]])*tbl_task3[[%]:[%]])</f>
        <v/>
      </c>
      <c r="HS4" s="121" t="str">
        <f>IF(ISBLANK(tbl_task3[[คะแนนเต็ม]:[คะแนนเต็ม]]),"",(tbl_task3[57]/tbl_task3[[คะแนนเต็ม]:[คะแนนเต็ม]])*tbl_task3[[%]:[%]])</f>
        <v/>
      </c>
      <c r="HT4" s="121" t="str">
        <f>IF(ISBLANK(tbl_task3[[คะแนนเต็ม]:[คะแนนเต็ม]]),"",(tbl_task3[58]/tbl_task3[[คะแนนเต็ม]:[คะแนนเต็ม]])*tbl_task3[[%]:[%]])</f>
        <v/>
      </c>
      <c r="HU4" s="121" t="str">
        <f>IF(ISBLANK(tbl_task3[[คะแนนเต็ม]:[คะแนนเต็ม]]),"",(tbl_task3[59]/tbl_task3[[คะแนนเต็ม]:[คะแนนเต็ม]])*tbl_task3[[%]:[%]])</f>
        <v/>
      </c>
      <c r="HV4" s="121" t="str">
        <f>IF(ISBLANK(tbl_task3[[คะแนนเต็ม]:[คะแนนเต็ม]]),"",(tbl_task3[60]/tbl_task3[[คะแนนเต็ม]:[คะแนนเต็ม]])*tbl_task3[[%]:[%]])</f>
        <v/>
      </c>
      <c r="HW4" s="121" t="str">
        <f>IF(ISBLANK(tbl_task3[[คะแนนเต็ม]:[คะแนนเต็ม]]),"",(tbl_task3[61]/tbl_task3[[คะแนนเต็ม]:[คะแนนเต็ม]])*tbl_task3[[%]:[%]])</f>
        <v/>
      </c>
      <c r="HX4" s="121" t="str">
        <f>IF(ISBLANK(tbl_task3[[คะแนนเต็ม]:[คะแนนเต็ม]]),"",(tbl_task3[62]/tbl_task3[[คะแนนเต็ม]:[คะแนนเต็ม]])*tbl_task3[[%]:[%]])</f>
        <v/>
      </c>
      <c r="HY4" s="121" t="str">
        <f>IF(ISBLANK(tbl_task3[[คะแนนเต็ม]:[คะแนนเต็ม]]),"",(tbl_task3[63]/tbl_task3[[คะแนนเต็ม]:[คะแนนเต็ม]])*tbl_task3[[%]:[%]])</f>
        <v/>
      </c>
      <c r="HZ4" s="121" t="str">
        <f>IF(ISBLANK(tbl_task3[[คะแนนเต็ม]:[คะแนนเต็ม]]),"",(tbl_task3[64]/tbl_task3[[คะแนนเต็ม]:[คะแนนเต็ม]])*tbl_task3[[%]:[%]])</f>
        <v/>
      </c>
      <c r="IA4" s="121" t="str">
        <f>IF(ISBLANK(tbl_task3[[คะแนนเต็ม]:[คะแนนเต็ม]]),"",(tbl_task3[65]/tbl_task3[[คะแนนเต็ม]:[คะแนนเต็ม]])*tbl_task3[[%]:[%]])</f>
        <v/>
      </c>
      <c r="IB4" s="121" t="str">
        <f>IF(ISBLANK(tbl_task3[[คะแนนเต็ม]:[คะแนนเต็ม]]),"",(tbl_task3[66]/tbl_task3[[คะแนนเต็ม]:[คะแนนเต็ม]])*tbl_task3[[%]:[%]])</f>
        <v/>
      </c>
      <c r="IC4" s="121" t="str">
        <f>IF(ISBLANK(tbl_task3[[คะแนนเต็ม]:[คะแนนเต็ม]]),"",(tbl_task3[67]/tbl_task3[[คะแนนเต็ม]:[คะแนนเต็ม]])*tbl_task3[[%]:[%]])</f>
        <v/>
      </c>
      <c r="ID4" s="121" t="str">
        <f>IF(ISBLANK(tbl_task3[[คะแนนเต็ม]:[คะแนนเต็ม]]),"",(tbl_task3[68]/tbl_task3[[คะแนนเต็ม]:[คะแนนเต็ม]])*tbl_task3[[%]:[%]])</f>
        <v/>
      </c>
      <c r="IE4" s="121" t="str">
        <f>IF(ISBLANK(tbl_task3[[คะแนนเต็ม]:[คะแนนเต็ม]]),"",(tbl_task3[69]/tbl_task3[[คะแนนเต็ม]:[คะแนนเต็ม]])*tbl_task3[[%]:[%]])</f>
        <v/>
      </c>
      <c r="IF4" s="121" t="str">
        <f>IF(ISBLANK(tbl_task3[[คะแนนเต็ม]:[คะแนนเต็ม]]),"",(tbl_task3[70]/tbl_task3[[คะแนนเต็ม]:[คะแนนเต็ม]])*tbl_task3[[%]:[%]])</f>
        <v/>
      </c>
      <c r="IG4" s="121" t="str">
        <f>IF(ISBLANK(tbl_task3[[คะแนนเต็ม]:[คะแนนเต็ม]]),"",(tbl_task3[71]/tbl_task3[[คะแนนเต็ม]:[คะแนนเต็ม]])*tbl_task3[[%]:[%]])</f>
        <v/>
      </c>
      <c r="IH4" s="121" t="str">
        <f>IF(ISBLANK(tbl_task3[[คะแนนเต็ม]:[คะแนนเต็ม]]),"",(tbl_task3[72]/tbl_task3[[คะแนนเต็ม]:[คะแนนเต็ม]])*tbl_task3[[%]:[%]])</f>
        <v/>
      </c>
      <c r="II4" s="121" t="str">
        <f>IF(ISBLANK(tbl_task3[[คะแนนเต็ม]:[คะแนนเต็ม]]),"",(tbl_task3[73]/tbl_task3[[คะแนนเต็ม]:[คะแนนเต็ม]])*tbl_task3[[%]:[%]])</f>
        <v/>
      </c>
      <c r="IJ4" s="121" t="str">
        <f>IF(ISBLANK(tbl_task3[[คะแนนเต็ม]:[คะแนนเต็ม]]),"",(tbl_task3[74]/tbl_task3[[คะแนนเต็ม]:[คะแนนเต็ม]])*tbl_task3[[%]:[%]])</f>
        <v/>
      </c>
      <c r="IK4" s="121" t="str">
        <f>IF(ISBLANK(tbl_task3[[คะแนนเต็ม]:[คะแนนเต็ม]]),"",(tbl_task3[75]/tbl_task3[[คะแนนเต็ม]:[คะแนนเต็ม]])*tbl_task3[[%]:[%]])</f>
        <v/>
      </c>
      <c r="IL4" s="121" t="str">
        <f>IF(ISBLANK(tbl_task3[[คะแนนเต็ม]:[คะแนนเต็ม]]),"",(tbl_task3[76]/tbl_task3[[คะแนนเต็ม]:[คะแนนเต็ม]])*tbl_task3[[%]:[%]])</f>
        <v/>
      </c>
      <c r="IM4" s="121" t="str">
        <f>IF(ISBLANK(tbl_task3[[คะแนนเต็ม]:[คะแนนเต็ม]]),"",(tbl_task3[77]/tbl_task3[[คะแนนเต็ม]:[คะแนนเต็ม]])*tbl_task3[[%]:[%]])</f>
        <v/>
      </c>
      <c r="IN4" s="121" t="str">
        <f>IF(ISBLANK(tbl_task3[[คะแนนเต็ม]:[คะแนนเต็ม]]),"",(tbl_task3[78]/tbl_task3[[คะแนนเต็ม]:[คะแนนเต็ม]])*tbl_task3[[%]:[%]])</f>
        <v/>
      </c>
      <c r="IO4" s="121" t="str">
        <f>IF(ISBLANK(tbl_task3[[คะแนนเต็ม]:[คะแนนเต็ม]]),"",(tbl_task3[79]/tbl_task3[[คะแนนเต็ม]:[คะแนนเต็ม]])*tbl_task3[[%]:[%]])</f>
        <v/>
      </c>
      <c r="IP4" s="121" t="str">
        <f>IF(ISBLANK(tbl_task3[[คะแนนเต็ม]:[คะแนนเต็ม]]),"",(tbl_task3[80]/tbl_task3[[คะแนนเต็ม]:[คะแนนเต็ม]])*tbl_task3[[%]:[%]])</f>
        <v/>
      </c>
      <c r="IQ4" s="121" t="str">
        <f>IF(ISBLANK(tbl_task3[[คะแนนเต็ม]:[คะแนนเต็ม]]),"",(tbl_task3[81]/tbl_task3[[คะแนนเต็ม]:[คะแนนเต็ม]])*tbl_task3[[%]:[%]])</f>
        <v/>
      </c>
      <c r="IR4" s="121" t="str">
        <f>IF(ISBLANK(tbl_task3[[คะแนนเต็ม]:[คะแนนเต็ม]]),"",(tbl_task3[82]/tbl_task3[[คะแนนเต็ม]:[คะแนนเต็ม]])*tbl_task3[[%]:[%]])</f>
        <v/>
      </c>
      <c r="IS4" s="121" t="str">
        <f>IF(ISBLANK(tbl_task3[[คะแนนเต็ม]:[คะแนนเต็ม]]),"",(tbl_task3[83]/tbl_task3[[คะแนนเต็ม]:[คะแนนเต็ม]])*tbl_task3[[%]:[%]])</f>
        <v/>
      </c>
      <c r="IT4" s="121" t="str">
        <f>IF(ISBLANK(tbl_task3[[คะแนนเต็ม]:[คะแนนเต็ม]]),"",(tbl_task3[84]/tbl_task3[[คะแนนเต็ม]:[คะแนนเต็ม]])*tbl_task3[[%]:[%]])</f>
        <v/>
      </c>
      <c r="IU4" s="121" t="str">
        <f>IF(ISBLANK(tbl_task3[[คะแนนเต็ม]:[คะแนนเต็ม]]),"",(tbl_task3[85]/tbl_task3[[คะแนนเต็ม]:[คะแนนเต็ม]])*tbl_task3[[%]:[%]])</f>
        <v/>
      </c>
      <c r="IV4" s="121" t="str">
        <f>IF(ISBLANK(tbl_task3[[คะแนนเต็ม]:[คะแนนเต็ม]]),"",(tbl_task3[86]/tbl_task3[[คะแนนเต็ม]:[คะแนนเต็ม]])*tbl_task3[[%]:[%]])</f>
        <v/>
      </c>
      <c r="IW4" s="121" t="str">
        <f>IF(ISBLANK(tbl_task3[[คะแนนเต็ม]:[คะแนนเต็ม]]),"",(tbl_task3[87]/tbl_task3[[คะแนนเต็ม]:[คะแนนเต็ม]])*tbl_task3[[%]:[%]])</f>
        <v/>
      </c>
      <c r="IX4" s="121" t="str">
        <f>IF(ISBLANK(tbl_task3[[คะแนนเต็ม]:[คะแนนเต็ม]]),"",(tbl_task3[88]/tbl_task3[[คะแนนเต็ม]:[คะแนนเต็ม]])*tbl_task3[[%]:[%]])</f>
        <v/>
      </c>
      <c r="IY4" s="121" t="str">
        <f>IF(ISBLANK(tbl_task3[[คะแนนเต็ม]:[คะแนนเต็ม]]),"",(tbl_task3[89]/tbl_task3[[คะแนนเต็ม]:[คะแนนเต็ม]])*tbl_task3[[%]:[%]])</f>
        <v/>
      </c>
      <c r="IZ4" s="121" t="str">
        <f>IF(ISBLANK(tbl_task3[[คะแนนเต็ม]:[คะแนนเต็ม]]),"",(tbl_task3[90]/tbl_task3[[คะแนนเต็ม]:[คะแนนเต็ม]])*tbl_task3[[%]:[%]])</f>
        <v/>
      </c>
      <c r="JA4" s="121" t="str">
        <f>IF(ISBLANK(tbl_task3[[คะแนนเต็ม]:[คะแนนเต็ม]]),"",(tbl_task3[91]/tbl_task3[[คะแนนเต็ม]:[คะแนนเต็ม]])*tbl_task3[[%]:[%]])</f>
        <v/>
      </c>
      <c r="JB4" s="121" t="str">
        <f>IF(ISBLANK(tbl_task3[[คะแนนเต็ม]:[คะแนนเต็ม]]),"",(tbl_task3[92]/tbl_task3[[คะแนนเต็ม]:[คะแนนเต็ม]])*tbl_task3[[%]:[%]])</f>
        <v/>
      </c>
      <c r="JC4" s="121" t="str">
        <f>IF(ISBLANK(tbl_task3[[คะแนนเต็ม]:[คะแนนเต็ม]]),"",(tbl_task3[93]/tbl_task3[[คะแนนเต็ม]:[คะแนนเต็ม]])*tbl_task3[[%]:[%]])</f>
        <v/>
      </c>
      <c r="JD4" s="121" t="str">
        <f>IF(ISBLANK(tbl_task3[[คะแนนเต็ม]:[คะแนนเต็ม]]),"",(tbl_task3[94]/tbl_task3[[คะแนนเต็ม]:[คะแนนเต็ม]])*tbl_task3[[%]:[%]])</f>
        <v/>
      </c>
      <c r="JE4" s="121" t="str">
        <f>IF(ISBLANK(tbl_task3[[คะแนนเต็ม]:[คะแนนเต็ม]]),"",(tbl_task3[95]/tbl_task3[[คะแนนเต็ม]:[คะแนนเต็ม]])*tbl_task3[[%]:[%]])</f>
        <v/>
      </c>
      <c r="JF4" s="121" t="str">
        <f>IF(ISBLANK(tbl_task3[[คะแนนเต็ม]:[คะแนนเต็ม]]),"",(tbl_task3[96]/tbl_task3[[คะแนนเต็ม]:[คะแนนเต็ม]])*tbl_task3[[%]:[%]])</f>
        <v/>
      </c>
      <c r="JG4" s="121" t="str">
        <f>IF(ISBLANK(tbl_task3[[คะแนนเต็ม]:[คะแนนเต็ม]]),"",(tbl_task3[97]/tbl_task3[[คะแนนเต็ม]:[คะแนนเต็ม]])*tbl_task3[[%]:[%]])</f>
        <v/>
      </c>
      <c r="JH4" s="121" t="str">
        <f>IF(ISBLANK(tbl_task3[[คะแนนเต็ม]:[คะแนนเต็ม]]),"",(tbl_task3[98]/tbl_task3[[คะแนนเต็ม]:[คะแนนเต็ม]])*tbl_task3[[%]:[%]])</f>
        <v/>
      </c>
      <c r="JI4" s="121" t="str">
        <f>IF(ISBLANK(tbl_task3[[คะแนนเต็ม]:[คะแนนเต็ม]]),"",(tbl_task3[99]/tbl_task3[[คะแนนเต็ม]:[คะแนนเต็ม]])*tbl_task3[[%]:[%]])</f>
        <v/>
      </c>
      <c r="JJ4" s="121" t="str">
        <f>IF(ISBLANK(tbl_task3[[คะแนนเต็ม]:[คะแนนเต็ม]]),"",(tbl_task3[100]/tbl_task3[[คะแนนเต็ม]:[คะแนนเต็ม]])*tbl_task3[[%]:[%]])</f>
        <v/>
      </c>
      <c r="JK4" s="121" t="str">
        <f>IF(ISBLANK(tbl_task3[[คะแนนเต็ม]:[คะแนนเต็ม]]),"",(tbl_task3[101]/tbl_task3[[คะแนนเต็ม]:[คะแนนเต็ม]])*tbl_task3[[%]:[%]])</f>
        <v/>
      </c>
      <c r="JL4" s="121" t="str">
        <f>IF(ISBLANK(tbl_task3[[คะแนนเต็ม]:[คะแนนเต็ม]]),"",(tbl_task3[102]/tbl_task3[[คะแนนเต็ม]:[คะแนนเต็ม]])*tbl_task3[[%]:[%]])</f>
        <v/>
      </c>
      <c r="JM4" s="121" t="str">
        <f>IF(ISBLANK(tbl_task3[[คะแนนเต็ม]:[คะแนนเต็ม]]),"",(tbl_task3[103]/tbl_task3[[คะแนนเต็ม]:[คะแนนเต็ม]])*tbl_task3[[%]:[%]])</f>
        <v/>
      </c>
      <c r="JN4" s="121" t="str">
        <f>IF(ISBLANK(tbl_task3[[คะแนนเต็ม]:[คะแนนเต็ม]]),"",(tbl_task3[104]/tbl_task3[[คะแนนเต็ม]:[คะแนนเต็ม]])*tbl_task3[[%]:[%]])</f>
        <v/>
      </c>
      <c r="JO4" s="121" t="str">
        <f>IF(ISBLANK(tbl_task3[[คะแนนเต็ม]:[คะแนนเต็ม]]),"",(tbl_task3[105]/tbl_task3[[คะแนนเต็ม]:[คะแนนเต็ม]])*tbl_task3[[%]:[%]])</f>
        <v/>
      </c>
      <c r="JP4" s="121" t="str">
        <f>IF(ISBLANK(tbl_task3[[คะแนนเต็ม]:[คะแนนเต็ม]]),"",(tbl_task3[106]/tbl_task3[[คะแนนเต็ม]:[คะแนนเต็ม]])*tbl_task3[[%]:[%]])</f>
        <v/>
      </c>
      <c r="JQ4" s="121" t="str">
        <f>IF(ISBLANK(tbl_task3[[คะแนนเต็ม]:[คะแนนเต็ม]]),"",(tbl_task3[107]/tbl_task3[[คะแนนเต็ม]:[คะแนนเต็ม]])*tbl_task3[[%]:[%]])</f>
        <v/>
      </c>
      <c r="JR4" s="121" t="str">
        <f>IF(ISBLANK(tbl_task3[[คะแนนเต็ม]:[คะแนนเต็ม]]),"",(tbl_task3[108]/tbl_task3[[คะแนนเต็ม]:[คะแนนเต็ม]])*tbl_task3[[%]:[%]])</f>
        <v/>
      </c>
      <c r="JS4" s="121" t="str">
        <f>IF(ISBLANK(tbl_task3[[คะแนนเต็ม]:[คะแนนเต็ม]]),"",(tbl_task3[109]/tbl_task3[[คะแนนเต็ม]:[คะแนนเต็ม]])*tbl_task3[[%]:[%]])</f>
        <v/>
      </c>
      <c r="JT4" s="121" t="str">
        <f>IF(ISBLANK(tbl_task3[[คะแนนเต็ม]:[คะแนนเต็ม]]),"",(tbl_task3[110]/tbl_task3[[คะแนนเต็ม]:[คะแนนเต็ม]])*tbl_task3[[%]:[%]])</f>
        <v/>
      </c>
      <c r="JU4" s="121" t="str">
        <f>IF(ISBLANK(tbl_task3[[คะแนนเต็ม]:[คะแนนเต็ม]]),"",(tbl_task3[111]/tbl_task3[[คะแนนเต็ม]:[คะแนนเต็ม]])*tbl_task3[[%]:[%]])</f>
        <v/>
      </c>
      <c r="JV4" s="121" t="str">
        <f>IF(ISBLANK(tbl_task3[[คะแนนเต็ม]:[คะแนนเต็ม]]),"",(tbl_task3[112]/tbl_task3[[คะแนนเต็ม]:[คะแนนเต็ม]])*tbl_task3[[%]:[%]])</f>
        <v/>
      </c>
      <c r="JW4" s="121" t="str">
        <f>IF(ISBLANK(tbl_task3[[คะแนนเต็ม]:[คะแนนเต็ม]]),"",(tbl_task3[113]/tbl_task3[[คะแนนเต็ม]:[คะแนนเต็ม]])*tbl_task3[[%]:[%]])</f>
        <v/>
      </c>
      <c r="JX4" s="121" t="str">
        <f>IF(ISBLANK(tbl_task3[[คะแนนเต็ม]:[คะแนนเต็ม]]),"",(tbl_task3[114]/tbl_task3[[คะแนนเต็ม]:[คะแนนเต็ม]])*tbl_task3[[%]:[%]])</f>
        <v/>
      </c>
      <c r="JY4" s="121" t="str">
        <f>IF(ISBLANK(tbl_task3[[คะแนนเต็ม]:[คะแนนเต็ม]]),"",(tbl_task3[115]/tbl_task3[[คะแนนเต็ม]:[คะแนนเต็ม]])*tbl_task3[[%]:[%]])</f>
        <v/>
      </c>
      <c r="JZ4" s="121" t="str">
        <f>IF(ISBLANK(tbl_task3[[คะแนนเต็ม]:[คะแนนเต็ม]]),"",(tbl_task3[116]/tbl_task3[[คะแนนเต็ม]:[คะแนนเต็ม]])*tbl_task3[[%]:[%]])</f>
        <v/>
      </c>
      <c r="KA4" s="121" t="str">
        <f>IF(ISBLANK(tbl_task3[[คะแนนเต็ม]:[คะแนนเต็ม]]),"",(tbl_task3[117]/tbl_task3[[คะแนนเต็ม]:[คะแนนเต็ม]])*tbl_task3[[%]:[%]])</f>
        <v/>
      </c>
      <c r="KB4" s="121" t="str">
        <f>IF(ISBLANK(tbl_task3[[คะแนนเต็ม]:[คะแนนเต็ม]]),"",(tbl_task3[118]/tbl_task3[[คะแนนเต็ม]:[คะแนนเต็ม]])*tbl_task3[[%]:[%]])</f>
        <v/>
      </c>
      <c r="KC4" s="121" t="str">
        <f>IF(ISBLANK(tbl_task3[[คะแนนเต็ม]:[คะแนนเต็ม]]),"",(tbl_task3[119]/tbl_task3[[คะแนนเต็ม]:[คะแนนเต็ม]])*tbl_task3[[%]:[%]])</f>
        <v/>
      </c>
      <c r="KD4" s="121" t="str">
        <f>IF(ISBLANK(tbl_task3[[คะแนนเต็ม]:[คะแนนเต็ม]]),"",(tbl_task3[120]/tbl_task3[[คะแนนเต็ม]:[คะแนนเต็ม]])*tbl_task3[[%]:[%]])</f>
        <v/>
      </c>
      <c r="KE4" s="121" t="str">
        <f>IF(ISBLANK(tbl_task3[[คะแนนเต็ม]:[คะแนนเต็ม]]),"",(tbl_task3[121]/tbl_task3[[คะแนนเต็ม]:[คะแนนเต็ม]])*tbl_task3[[%]:[%]])</f>
        <v/>
      </c>
      <c r="KF4" s="121" t="str">
        <f>IF(ISBLANK(tbl_task3[[คะแนนเต็ม]:[คะแนนเต็ม]]),"",(tbl_task3[122]/tbl_task3[[คะแนนเต็ม]:[คะแนนเต็ม]])*tbl_task3[[%]:[%]])</f>
        <v/>
      </c>
      <c r="KG4" s="121" t="str">
        <f>IF(ISBLANK(tbl_task3[[คะแนนเต็ม]:[คะแนนเต็ม]]),"",(tbl_task3[123]/tbl_task3[[คะแนนเต็ม]:[คะแนนเต็ม]])*tbl_task3[[%]:[%]])</f>
        <v/>
      </c>
      <c r="KH4" s="121" t="str">
        <f>IF(ISBLANK(tbl_task3[[คะแนนเต็ม]:[คะแนนเต็ม]]),"",(tbl_task3[124]/tbl_task3[[คะแนนเต็ม]:[คะแนนเต็ม]])*tbl_task3[[%]:[%]])</f>
        <v/>
      </c>
      <c r="KI4" s="121" t="str">
        <f>IF(ISBLANK(tbl_task3[[คะแนนเต็ม]:[คะแนนเต็ม]]),"",(tbl_task3[125]/tbl_task3[[คะแนนเต็ม]:[คะแนนเต็ม]])*tbl_task3[[%]:[%]])</f>
        <v/>
      </c>
      <c r="KJ4" s="121" t="str">
        <f>IF(ISBLANK(tbl_task3[[คะแนนเต็ม]:[คะแนนเต็ม]]),"",(tbl_task3[126]/tbl_task3[[คะแนนเต็ม]:[คะแนนเต็ม]])*tbl_task3[[%]:[%]])</f>
        <v/>
      </c>
      <c r="KK4" s="121" t="str">
        <f>IF(ISBLANK(tbl_task3[[คะแนนเต็ม]:[คะแนนเต็ม]]),"",(tbl_task3[127]/tbl_task3[[คะแนนเต็ม]:[คะแนนเต็ม]])*tbl_task3[[%]:[%]])</f>
        <v/>
      </c>
      <c r="KL4" s="121" t="str">
        <f>IF(ISBLANK(tbl_task3[[คะแนนเต็ม]:[คะแนนเต็ม]]),"",(tbl_task3[128]/tbl_task3[[คะแนนเต็ม]:[คะแนนเต็ม]])*tbl_task3[[%]:[%]])</f>
        <v/>
      </c>
      <c r="KM4" s="121" t="str">
        <f>IF(ISBLANK(tbl_task3[[คะแนนเต็ม]:[คะแนนเต็ม]]),"",(tbl_task3[129]/tbl_task3[[คะแนนเต็ม]:[คะแนนเต็ม]])*tbl_task3[[%]:[%]])</f>
        <v/>
      </c>
      <c r="KN4" s="121" t="str">
        <f>IF(ISBLANK(tbl_task3[[คะแนนเต็ม]:[คะแนนเต็ม]]),"",(tbl_task3[130]/tbl_task3[[คะแนนเต็ม]:[คะแนนเต็ม]])*tbl_task3[[%]:[%]])</f>
        <v/>
      </c>
      <c r="KO4" s="121" t="str">
        <f>IF(ISBLANK(tbl_task3[[คะแนนเต็ม]:[คะแนนเต็ม]]),"",(tbl_task3[131]/tbl_task3[[คะแนนเต็ม]:[คะแนนเต็ม]])*tbl_task3[[%]:[%]])</f>
        <v/>
      </c>
      <c r="KP4" s="121" t="str">
        <f>IF(ISBLANK(tbl_task3[[คะแนนเต็ม]:[คะแนนเต็ม]]),"",(tbl_task3[132]/tbl_task3[[คะแนนเต็ม]:[คะแนนเต็ม]])*tbl_task3[[%]:[%]])</f>
        <v/>
      </c>
      <c r="KQ4" s="121" t="str">
        <f>IF(ISBLANK(tbl_task3[[คะแนนเต็ม]:[คะแนนเต็ม]]),"",(tbl_task3[133]/tbl_task3[[คะแนนเต็ม]:[คะแนนเต็ม]])*tbl_task3[[%]:[%]])</f>
        <v/>
      </c>
      <c r="KR4" s="121" t="str">
        <f>IF(ISBLANK(tbl_task3[[คะแนนเต็ม]:[คะแนนเต็ม]]),"",(tbl_task3[134]/tbl_task3[[คะแนนเต็ม]:[คะแนนเต็ม]])*tbl_task3[[%]:[%]])</f>
        <v/>
      </c>
      <c r="KS4" s="121" t="str">
        <f>IF(ISBLANK(tbl_task3[[คะแนนเต็ม]:[คะแนนเต็ม]]),"",(tbl_task3[135]/tbl_task3[[คะแนนเต็ม]:[คะแนนเต็ม]])*tbl_task3[[%]:[%]])</f>
        <v/>
      </c>
      <c r="KT4" s="121" t="str">
        <f>IF(ISBLANK(tbl_task3[[คะแนนเต็ม]:[คะแนนเต็ม]]),"",(tbl_task3[136]/tbl_task3[[คะแนนเต็ม]:[คะแนนเต็ม]])*tbl_task3[[%]:[%]])</f>
        <v/>
      </c>
      <c r="KU4" s="121" t="str">
        <f>IF(ISBLANK(tbl_task3[[คะแนนเต็ม]:[คะแนนเต็ม]]),"",(tbl_task3[137]/tbl_task3[[คะแนนเต็ม]:[คะแนนเต็ม]])*tbl_task3[[%]:[%]])</f>
        <v/>
      </c>
      <c r="KV4" s="121" t="str">
        <f>IF(ISBLANK(tbl_task3[[คะแนนเต็ม]:[คะแนนเต็ม]]),"",(tbl_task3[138]/tbl_task3[[คะแนนเต็ม]:[คะแนนเต็ม]])*tbl_task3[[%]:[%]])</f>
        <v/>
      </c>
      <c r="KW4" s="121" t="str">
        <f>IF(ISBLANK(tbl_task3[[คะแนนเต็ม]:[คะแนนเต็ม]]),"",(tbl_task3[139]/tbl_task3[[คะแนนเต็ม]:[คะแนนเต็ม]])*tbl_task3[[%]:[%]])</f>
        <v/>
      </c>
      <c r="KX4" s="121" t="str">
        <f>IF(ISBLANK(tbl_task3[[คะแนนเต็ม]:[คะแนนเต็ม]]),"",(tbl_task3[140]/tbl_task3[[คะแนนเต็ม]:[คะแนนเต็ม]])*tbl_task3[[%]:[%]])</f>
        <v/>
      </c>
      <c r="KY4" s="121" t="str">
        <f>IF(ISBLANK(tbl_task3[[คะแนนเต็ม]:[คะแนนเต็ม]]),"",(tbl_task3[141]/tbl_task3[[คะแนนเต็ม]:[คะแนนเต็ม]])*tbl_task3[[%]:[%]])</f>
        <v/>
      </c>
      <c r="KZ4" s="121" t="str">
        <f>IF(ISBLANK(tbl_task3[[คะแนนเต็ม]:[คะแนนเต็ม]]),"",(tbl_task3[142]/tbl_task3[[คะแนนเต็ม]:[คะแนนเต็ม]])*tbl_task3[[%]:[%]])</f>
        <v/>
      </c>
      <c r="LA4" s="121" t="str">
        <f>IF(ISBLANK(tbl_task3[[คะแนนเต็ม]:[คะแนนเต็ม]]),"",(tbl_task3[143]/tbl_task3[[คะแนนเต็ม]:[คะแนนเต็ม]])*tbl_task3[[%]:[%]])</f>
        <v/>
      </c>
      <c r="LB4" s="121" t="str">
        <f>IF(ISBLANK(tbl_task3[[คะแนนเต็ม]:[คะแนนเต็ม]]),"",(tbl_task3[144]/tbl_task3[[คะแนนเต็ม]:[คะแนนเต็ม]])*tbl_task3[[%]:[%]])</f>
        <v/>
      </c>
      <c r="LC4" s="121" t="str">
        <f>IF(ISBLANK(tbl_task3[[คะแนนเต็ม]:[คะแนนเต็ม]]),"",(tbl_task3[145]/tbl_task3[[คะแนนเต็ม]:[คะแนนเต็ม]])*tbl_task3[[%]:[%]])</f>
        <v/>
      </c>
      <c r="LD4" s="121" t="str">
        <f>IF(ISBLANK(tbl_task3[[คะแนนเต็ม]:[คะแนนเต็ม]]),"",(tbl_task3[146]/tbl_task3[[คะแนนเต็ม]:[คะแนนเต็ม]])*tbl_task3[[%]:[%]])</f>
        <v/>
      </c>
      <c r="LE4" s="121" t="str">
        <f>IF(ISBLANK(tbl_task3[[คะแนนเต็ม]:[คะแนนเต็ม]]),"",(tbl_task3[147]/tbl_task3[[คะแนนเต็ม]:[คะแนนเต็ม]])*tbl_task3[[%]:[%]])</f>
        <v/>
      </c>
      <c r="LF4" s="121" t="str">
        <f>IF(ISBLANK(tbl_task3[[คะแนนเต็ม]:[คะแนนเต็ม]]),"",(tbl_task3[148]/tbl_task3[[คะแนนเต็ม]:[คะแนนเต็ม]])*tbl_task3[[%]:[%]])</f>
        <v/>
      </c>
      <c r="LG4" s="121" t="str">
        <f>IF(ISBLANK(tbl_task3[[คะแนนเต็ม]:[คะแนนเต็ม]]),"",(tbl_task3[149]/tbl_task3[[คะแนนเต็ม]:[คะแนนเต็ม]])*tbl_task3[[%]:[%]])</f>
        <v/>
      </c>
      <c r="LH4" s="121" t="str">
        <f>IF(ISBLANK(tbl_task3[[คะแนนเต็ม]:[คะแนนเต็ม]]),"",(tbl_task3[150]/tbl_task3[[คะแนนเต็ม]:[คะแนนเต็ม]])*tbl_task3[[%]:[%]])</f>
        <v/>
      </c>
      <c r="LI4" s="121" t="str">
        <f>IF(ISBLANK(tbl_task3[[คะแนนเต็ม]:[คะแนนเต็ม]]),"",(tbl_task3[151]/tbl_task3[[คะแนนเต็ม]:[คะแนนเต็ม]])*tbl_task3[[%]:[%]])</f>
        <v/>
      </c>
      <c r="LJ4" s="121" t="str">
        <f>IF(ISBLANK(tbl_task3[[คะแนนเต็ม]:[คะแนนเต็ม]]),"",(tbl_task3[152]/tbl_task3[[คะแนนเต็ม]:[คะแนนเต็ม]])*tbl_task3[[%]:[%]])</f>
        <v/>
      </c>
      <c r="LK4" s="121" t="str">
        <f>IF(ISBLANK(tbl_task3[[คะแนนเต็ม]:[คะแนนเต็ม]]),"",(tbl_task3[153]/tbl_task3[[คะแนนเต็ม]:[คะแนนเต็ม]])*tbl_task3[[%]:[%]])</f>
        <v/>
      </c>
      <c r="LL4" s="121" t="str">
        <f>IF(ISBLANK(tbl_task3[[คะแนนเต็ม]:[คะแนนเต็ม]]),"",(tbl_task3[154]/tbl_task3[[คะแนนเต็ม]:[คะแนนเต็ม]])*tbl_task3[[%]:[%]])</f>
        <v/>
      </c>
      <c r="LM4" s="121" t="str">
        <f>IF(ISBLANK(tbl_task3[[คะแนนเต็ม]:[คะแนนเต็ม]]),"",(tbl_task3[155]/tbl_task3[[คะแนนเต็ม]:[คะแนนเต็ม]])*tbl_task3[[%]:[%]])</f>
        <v/>
      </c>
      <c r="LN4" s="121" t="str">
        <f>IF(ISBLANK(tbl_task3[[คะแนนเต็ม]:[คะแนนเต็ม]]),"",(tbl_task3[156]/tbl_task3[[คะแนนเต็ม]:[คะแนนเต็ม]])*tbl_task3[[%]:[%]])</f>
        <v/>
      </c>
      <c r="LO4" s="121" t="str">
        <f>IF(ISBLANK(tbl_task3[[คะแนนเต็ม]:[คะแนนเต็ม]]),"",(tbl_task3[157]/tbl_task3[[คะแนนเต็ม]:[คะแนนเต็ม]])*tbl_task3[[%]:[%]])</f>
        <v/>
      </c>
      <c r="LP4" s="121" t="str">
        <f>IF(ISBLANK(tbl_task3[[คะแนนเต็ม]:[คะแนนเต็ม]]),"",(tbl_task3[158]/tbl_task3[[คะแนนเต็ม]:[คะแนนเต็ม]])*tbl_task3[[%]:[%]])</f>
        <v/>
      </c>
      <c r="LQ4" s="121" t="str">
        <f>IF(ISBLANK(tbl_task3[[คะแนนเต็ม]:[คะแนนเต็ม]]),"",(tbl_task3[159]/tbl_task3[[คะแนนเต็ม]:[คะแนนเต็ม]])*tbl_task3[[%]:[%]])</f>
        <v/>
      </c>
      <c r="LR4" s="121" t="str">
        <f>IF(ISBLANK(tbl_task3[[คะแนนเต็ม]:[คะแนนเต็ม]]),"",(tbl_task3[160]/tbl_task3[[คะแนนเต็ม]:[คะแนนเต็ม]])*tbl_task3[[%]:[%]])</f>
        <v/>
      </c>
      <c r="LS4" s="121" t="str">
        <f>IF(ISBLANK(tbl_task3[[คะแนนเต็ม]:[คะแนนเต็ม]]),"",(tbl_task3[161]/tbl_task3[[คะแนนเต็ม]:[คะแนนเต็ม]])*tbl_task3[[%]:[%]])</f>
        <v/>
      </c>
      <c r="LT4" s="121" t="str">
        <f>IF(ISBLANK(tbl_task3[[คะแนนเต็ม]:[คะแนนเต็ม]]),"",(tbl_task3[162]/tbl_task3[[คะแนนเต็ม]:[คะแนนเต็ม]])*tbl_task3[[%]:[%]])</f>
        <v/>
      </c>
      <c r="LU4" s="121" t="str">
        <f>IF(ISBLANK(tbl_task3[[คะแนนเต็ม]:[คะแนนเต็ม]]),"",(tbl_task3[163]/tbl_task3[[คะแนนเต็ม]:[คะแนนเต็ม]])*tbl_task3[[%]:[%]])</f>
        <v/>
      </c>
      <c r="LV4" s="121" t="str">
        <f>IF(ISBLANK(tbl_task3[[คะแนนเต็ม]:[คะแนนเต็ม]]),"",(tbl_task3[164]/tbl_task3[[คะแนนเต็ม]:[คะแนนเต็ม]])*tbl_task3[[%]:[%]])</f>
        <v/>
      </c>
      <c r="LW4" s="121" t="str">
        <f>IF(ISBLANK(tbl_task3[[คะแนนเต็ม]:[คะแนนเต็ม]]),"",(tbl_task3[165]/tbl_task3[[คะแนนเต็ม]:[คะแนนเต็ม]])*tbl_task3[[%]:[%]])</f>
        <v/>
      </c>
    </row>
    <row r="5" spans="1:335" ht="23.25" customHeight="1" x14ac:dyDescent="0.25">
      <c r="A5" s="24">
        <v>2</v>
      </c>
      <c r="B5" s="20"/>
      <c r="C5" s="5" t="str">
        <f>IF(ISBLANK(B5),"",VLOOKUP(B5,tbl_PLOs[],2,0))</f>
        <v/>
      </c>
      <c r="D5" s="102"/>
      <c r="E5" s="10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22"/>
      <c r="FO5" s="121" t="str">
        <f>IF(ISBLANK(tbl_task3[[คะแนนเต็ม]:[คะแนนเต็ม]]),"",(tbl_task3[1]/tbl_task3[[คะแนนเต็ม]:[คะแนนเต็ม]])*tbl_task3[[%]:[%]])</f>
        <v/>
      </c>
      <c r="FP5" s="121" t="str">
        <f>IF(ISBLANK(tbl_task3[[คะแนนเต็ม]:[คะแนนเต็ม]]),"",(tbl_task3[2]/tbl_task3[[คะแนนเต็ม]:[คะแนนเต็ม]])*tbl_task3[[%]:[%]])</f>
        <v/>
      </c>
      <c r="FQ5" s="121" t="str">
        <f>IF(ISBLANK(tbl_task3[[คะแนนเต็ม]:[คะแนนเต็ม]]),"",(tbl_task3[3]/tbl_task3[[คะแนนเต็ม]:[คะแนนเต็ม]])*tbl_task3[[%]:[%]])</f>
        <v/>
      </c>
      <c r="FR5" s="121" t="str">
        <f>IF(ISBLANK(tbl_task3[[คะแนนเต็ม]:[คะแนนเต็ม]]),"",(tbl_task3[4]/tbl_task3[[คะแนนเต็ม]:[คะแนนเต็ม]])*tbl_task3[[%]:[%]])</f>
        <v/>
      </c>
      <c r="FS5" s="121" t="str">
        <f>IF(ISBLANK(tbl_task3[[คะแนนเต็ม]:[คะแนนเต็ม]]),"",(tbl_task3[5]/tbl_task3[[คะแนนเต็ม]:[คะแนนเต็ม]])*tbl_task3[[%]:[%]])</f>
        <v/>
      </c>
      <c r="FT5" s="121" t="str">
        <f>IF(ISBLANK(tbl_task3[[คะแนนเต็ม]:[คะแนนเต็ม]]),"",(tbl_task3[6]/tbl_task3[[คะแนนเต็ม]:[คะแนนเต็ม]])*tbl_task3[[%]:[%]])</f>
        <v/>
      </c>
      <c r="FU5" s="121" t="str">
        <f>IF(ISBLANK(tbl_task3[[คะแนนเต็ม]:[คะแนนเต็ม]]),"",(tbl_task3[7]/tbl_task3[[คะแนนเต็ม]:[คะแนนเต็ม]])*tbl_task3[[%]:[%]])</f>
        <v/>
      </c>
      <c r="FV5" s="121" t="str">
        <f>IF(ISBLANK(tbl_task3[[คะแนนเต็ม]:[คะแนนเต็ม]]),"",(tbl_task3[8]/tbl_task3[[คะแนนเต็ม]:[คะแนนเต็ม]])*tbl_task3[[%]:[%]])</f>
        <v/>
      </c>
      <c r="FW5" s="121" t="str">
        <f>IF(ISBLANK(tbl_task3[[คะแนนเต็ม]:[คะแนนเต็ม]]),"",(tbl_task3[9]/tbl_task3[[คะแนนเต็ม]:[คะแนนเต็ม]])*tbl_task3[[%]:[%]])</f>
        <v/>
      </c>
      <c r="FX5" s="121" t="str">
        <f>IF(ISBLANK(tbl_task3[[คะแนนเต็ม]:[คะแนนเต็ม]]),"",(tbl_task3[10]/tbl_task3[[คะแนนเต็ม]:[คะแนนเต็ม]])*tbl_task3[[%]:[%]])</f>
        <v/>
      </c>
      <c r="FY5" s="121" t="str">
        <f>IF(ISBLANK(tbl_task3[[คะแนนเต็ม]:[คะแนนเต็ม]]),"",(tbl_task3[11]/tbl_task3[[คะแนนเต็ม]:[คะแนนเต็ม]])*tbl_task3[[%]:[%]])</f>
        <v/>
      </c>
      <c r="FZ5" s="121" t="str">
        <f>IF(ISBLANK(tbl_task3[[คะแนนเต็ม]:[คะแนนเต็ม]]),"",(tbl_task3[12]/tbl_task3[[คะแนนเต็ม]:[คะแนนเต็ม]])*tbl_task3[[%]:[%]])</f>
        <v/>
      </c>
      <c r="GA5" s="121" t="str">
        <f>IF(ISBLANK(tbl_task3[[คะแนนเต็ม]:[คะแนนเต็ม]]),"",(tbl_task3[13]/tbl_task3[[คะแนนเต็ม]:[คะแนนเต็ม]])*tbl_task3[[%]:[%]])</f>
        <v/>
      </c>
      <c r="GB5" s="121" t="str">
        <f>IF(ISBLANK(tbl_task3[[คะแนนเต็ม]:[คะแนนเต็ม]]),"",(tbl_task3[14]/tbl_task3[[คะแนนเต็ม]:[คะแนนเต็ม]])*tbl_task3[[%]:[%]])</f>
        <v/>
      </c>
      <c r="GC5" s="121" t="str">
        <f>IF(ISBLANK(tbl_task3[[คะแนนเต็ม]:[คะแนนเต็ม]]),"",(tbl_task3[15]/tbl_task3[[คะแนนเต็ม]:[คะแนนเต็ม]])*tbl_task3[[%]:[%]])</f>
        <v/>
      </c>
      <c r="GD5" s="121" t="str">
        <f>IF(ISBLANK(tbl_task3[[คะแนนเต็ม]:[คะแนนเต็ม]]),"",(tbl_task3[16]/tbl_task3[[คะแนนเต็ม]:[คะแนนเต็ม]])*tbl_task3[[%]:[%]])</f>
        <v/>
      </c>
      <c r="GE5" s="121" t="str">
        <f>IF(ISBLANK(tbl_task3[[คะแนนเต็ม]:[คะแนนเต็ม]]),"",(tbl_task3[17]/tbl_task3[[คะแนนเต็ม]:[คะแนนเต็ม]])*tbl_task3[[%]:[%]])</f>
        <v/>
      </c>
      <c r="GF5" s="121" t="str">
        <f>IF(ISBLANK(tbl_task3[[คะแนนเต็ม]:[คะแนนเต็ม]]),"",(tbl_task3[18]/tbl_task3[[คะแนนเต็ม]:[คะแนนเต็ม]])*tbl_task3[[%]:[%]])</f>
        <v/>
      </c>
      <c r="GG5" s="121" t="str">
        <f>IF(ISBLANK(tbl_task3[[คะแนนเต็ม]:[คะแนนเต็ม]]),"",(tbl_task3[19]/tbl_task3[[คะแนนเต็ม]:[คะแนนเต็ม]])*tbl_task3[[%]:[%]])</f>
        <v/>
      </c>
      <c r="GH5" s="121" t="str">
        <f>IF(ISBLANK(tbl_task3[[คะแนนเต็ม]:[คะแนนเต็ม]]),"",(tbl_task3[20]/tbl_task3[[คะแนนเต็ม]:[คะแนนเต็ม]])*tbl_task3[[%]:[%]])</f>
        <v/>
      </c>
      <c r="GI5" s="121" t="str">
        <f>IF(ISBLANK(tbl_task3[[คะแนนเต็ม]:[คะแนนเต็ม]]),"",(tbl_task3[21]/tbl_task3[[คะแนนเต็ม]:[คะแนนเต็ม]])*tbl_task3[[%]:[%]])</f>
        <v/>
      </c>
      <c r="GJ5" s="121" t="str">
        <f>IF(ISBLANK(tbl_task3[[คะแนนเต็ม]:[คะแนนเต็ม]]),"",(tbl_task3[22]/tbl_task3[[คะแนนเต็ม]:[คะแนนเต็ม]])*tbl_task3[[%]:[%]])</f>
        <v/>
      </c>
      <c r="GK5" s="121" t="str">
        <f>IF(ISBLANK(tbl_task3[[คะแนนเต็ม]:[คะแนนเต็ม]]),"",(tbl_task3[23]/tbl_task3[[คะแนนเต็ม]:[คะแนนเต็ม]])*tbl_task3[[%]:[%]])</f>
        <v/>
      </c>
      <c r="GL5" s="121" t="str">
        <f>IF(ISBLANK(tbl_task3[[คะแนนเต็ม]:[คะแนนเต็ม]]),"",(tbl_task3[24]/tbl_task3[[คะแนนเต็ม]:[คะแนนเต็ม]])*tbl_task3[[%]:[%]])</f>
        <v/>
      </c>
      <c r="GM5" s="121" t="str">
        <f>IF(ISBLANK(tbl_task3[[คะแนนเต็ม]:[คะแนนเต็ม]]),"",(tbl_task3[25]/tbl_task3[[คะแนนเต็ม]:[คะแนนเต็ม]])*tbl_task3[[%]:[%]])</f>
        <v/>
      </c>
      <c r="GN5" s="121" t="str">
        <f>IF(ISBLANK(tbl_task3[[คะแนนเต็ม]:[คะแนนเต็ม]]),"",(tbl_task3[26]/tbl_task3[[คะแนนเต็ม]:[คะแนนเต็ม]])*tbl_task3[[%]:[%]])</f>
        <v/>
      </c>
      <c r="GO5" s="121" t="str">
        <f>IF(ISBLANK(tbl_task3[[คะแนนเต็ม]:[คะแนนเต็ม]]),"",(tbl_task3[27]/tbl_task3[[คะแนนเต็ม]:[คะแนนเต็ม]])*tbl_task3[[%]:[%]])</f>
        <v/>
      </c>
      <c r="GP5" s="121" t="str">
        <f>IF(ISBLANK(tbl_task3[[คะแนนเต็ม]:[คะแนนเต็ม]]),"",(tbl_task3[28]/tbl_task3[[คะแนนเต็ม]:[คะแนนเต็ม]])*tbl_task3[[%]:[%]])</f>
        <v/>
      </c>
      <c r="GQ5" s="121" t="str">
        <f>IF(ISBLANK(tbl_task3[[คะแนนเต็ม]:[คะแนนเต็ม]]),"",(tbl_task3[29]/tbl_task3[[คะแนนเต็ม]:[คะแนนเต็ม]])*tbl_task3[[%]:[%]])</f>
        <v/>
      </c>
      <c r="GR5" s="121" t="str">
        <f>IF(ISBLANK(tbl_task3[[คะแนนเต็ม]:[คะแนนเต็ม]]),"",(tbl_task3[30]/tbl_task3[[คะแนนเต็ม]:[คะแนนเต็ม]])*tbl_task3[[%]:[%]])</f>
        <v/>
      </c>
      <c r="GS5" s="121" t="str">
        <f>IF(ISBLANK(tbl_task3[[คะแนนเต็ม]:[คะแนนเต็ม]]),"",(tbl_task3[31]/tbl_task3[[คะแนนเต็ม]:[คะแนนเต็ม]])*tbl_task3[[%]:[%]])</f>
        <v/>
      </c>
      <c r="GT5" s="121" t="str">
        <f>IF(ISBLANK(tbl_task3[[คะแนนเต็ม]:[คะแนนเต็ม]]),"",(tbl_task3[32]/tbl_task3[[คะแนนเต็ม]:[คะแนนเต็ม]])*tbl_task3[[%]:[%]])</f>
        <v/>
      </c>
      <c r="GU5" s="121" t="str">
        <f>IF(ISBLANK(tbl_task3[[คะแนนเต็ม]:[คะแนนเต็ม]]),"",(tbl_task3[33]/tbl_task3[[คะแนนเต็ม]:[คะแนนเต็ม]])*tbl_task3[[%]:[%]])</f>
        <v/>
      </c>
      <c r="GV5" s="121" t="str">
        <f>IF(ISBLANK(tbl_task3[[คะแนนเต็ม]:[คะแนนเต็ม]]),"",(tbl_task3[34]/tbl_task3[[คะแนนเต็ม]:[คะแนนเต็ม]])*tbl_task3[[%]:[%]])</f>
        <v/>
      </c>
      <c r="GW5" s="121" t="str">
        <f>IF(ISBLANK(tbl_task3[[คะแนนเต็ม]:[คะแนนเต็ม]]),"",(tbl_task3[35]/tbl_task3[[คะแนนเต็ม]:[คะแนนเต็ม]])*tbl_task3[[%]:[%]])</f>
        <v/>
      </c>
      <c r="GX5" s="121" t="str">
        <f>IF(ISBLANK(tbl_task3[[คะแนนเต็ม]:[คะแนนเต็ม]]),"",(tbl_task3[36]/tbl_task3[[คะแนนเต็ม]:[คะแนนเต็ม]])*tbl_task3[[%]:[%]])</f>
        <v/>
      </c>
      <c r="GY5" s="121" t="str">
        <f>IF(ISBLANK(tbl_task3[[คะแนนเต็ม]:[คะแนนเต็ม]]),"",(tbl_task3[37]/tbl_task3[[คะแนนเต็ม]:[คะแนนเต็ม]])*tbl_task3[[%]:[%]])</f>
        <v/>
      </c>
      <c r="GZ5" s="121" t="str">
        <f>IF(ISBLANK(tbl_task3[[คะแนนเต็ม]:[คะแนนเต็ม]]),"",(tbl_task3[38]/tbl_task3[[คะแนนเต็ม]:[คะแนนเต็ม]])*tbl_task3[[%]:[%]])</f>
        <v/>
      </c>
      <c r="HA5" s="121" t="str">
        <f>IF(ISBLANK(tbl_task3[[คะแนนเต็ม]:[คะแนนเต็ม]]),"",(tbl_task3[39]/tbl_task3[[คะแนนเต็ม]:[คะแนนเต็ม]])*tbl_task3[[%]:[%]])</f>
        <v/>
      </c>
      <c r="HB5" s="121" t="str">
        <f>IF(ISBLANK(tbl_task3[[คะแนนเต็ม]:[คะแนนเต็ม]]),"",(tbl_task3[40]/tbl_task3[[คะแนนเต็ม]:[คะแนนเต็ม]])*tbl_task3[[%]:[%]])</f>
        <v/>
      </c>
      <c r="HC5" s="121" t="str">
        <f>IF(ISBLANK(tbl_task3[[คะแนนเต็ม]:[คะแนนเต็ม]]),"",(tbl_task3[41]/tbl_task3[[คะแนนเต็ม]:[คะแนนเต็ม]])*tbl_task3[[%]:[%]])</f>
        <v/>
      </c>
      <c r="HD5" s="121" t="str">
        <f>IF(ISBLANK(tbl_task3[[คะแนนเต็ม]:[คะแนนเต็ม]]),"",(tbl_task3[42]/tbl_task3[[คะแนนเต็ม]:[คะแนนเต็ม]])*tbl_task3[[%]:[%]])</f>
        <v/>
      </c>
      <c r="HE5" s="121" t="str">
        <f>IF(ISBLANK(tbl_task3[[คะแนนเต็ม]:[คะแนนเต็ม]]),"",(tbl_task3[43]/tbl_task3[[คะแนนเต็ม]:[คะแนนเต็ม]])*tbl_task3[[%]:[%]])</f>
        <v/>
      </c>
      <c r="HF5" s="121" t="str">
        <f>IF(ISBLANK(tbl_task3[[คะแนนเต็ม]:[คะแนนเต็ม]]),"",(tbl_task3[44]/tbl_task3[[คะแนนเต็ม]:[คะแนนเต็ม]])*tbl_task3[[%]:[%]])</f>
        <v/>
      </c>
      <c r="HG5" s="121" t="str">
        <f>IF(ISBLANK(tbl_task3[[คะแนนเต็ม]:[คะแนนเต็ม]]),"",(tbl_task3[45]/tbl_task3[[คะแนนเต็ม]:[คะแนนเต็ม]])*tbl_task3[[%]:[%]])</f>
        <v/>
      </c>
      <c r="HH5" s="121" t="str">
        <f>IF(ISBLANK(tbl_task3[[คะแนนเต็ม]:[คะแนนเต็ม]]),"",(tbl_task3[46]/tbl_task3[[คะแนนเต็ม]:[คะแนนเต็ม]])*tbl_task3[[%]:[%]])</f>
        <v/>
      </c>
      <c r="HI5" s="121" t="str">
        <f>IF(ISBLANK(tbl_task3[[คะแนนเต็ม]:[คะแนนเต็ม]]),"",(tbl_task3[47]/tbl_task3[[คะแนนเต็ม]:[คะแนนเต็ม]])*tbl_task3[[%]:[%]])</f>
        <v/>
      </c>
      <c r="HJ5" s="121" t="str">
        <f>IF(ISBLANK(tbl_task3[[คะแนนเต็ม]:[คะแนนเต็ม]]),"",(tbl_task3[48]/tbl_task3[[คะแนนเต็ม]:[คะแนนเต็ม]])*tbl_task3[[%]:[%]])</f>
        <v/>
      </c>
      <c r="HK5" s="121" t="str">
        <f>IF(ISBLANK(tbl_task3[[คะแนนเต็ม]:[คะแนนเต็ม]]),"",(tbl_task3[49]/tbl_task3[[คะแนนเต็ม]:[คะแนนเต็ม]])*tbl_task3[[%]:[%]])</f>
        <v/>
      </c>
      <c r="HL5" s="121" t="str">
        <f>IF(ISBLANK(tbl_task3[[คะแนนเต็ม]:[คะแนนเต็ม]]),"",(tbl_task3[50]/tbl_task3[[คะแนนเต็ม]:[คะแนนเต็ม]])*tbl_task3[[%]:[%]])</f>
        <v/>
      </c>
      <c r="HM5" s="121" t="str">
        <f>IF(ISBLANK(tbl_task3[[คะแนนเต็ม]:[คะแนนเต็ม]]),"",(tbl_task3[51]/tbl_task3[[คะแนนเต็ม]:[คะแนนเต็ม]])*tbl_task3[[%]:[%]])</f>
        <v/>
      </c>
      <c r="HN5" s="121" t="str">
        <f>IF(ISBLANK(tbl_task3[[คะแนนเต็ม]:[คะแนนเต็ม]]),"",(tbl_task3[52]/tbl_task3[[คะแนนเต็ม]:[คะแนนเต็ม]])*tbl_task3[[%]:[%]])</f>
        <v/>
      </c>
      <c r="HO5" s="121" t="str">
        <f>IF(ISBLANK(tbl_task3[[คะแนนเต็ม]:[คะแนนเต็ม]]),"",(tbl_task3[53]/tbl_task3[[คะแนนเต็ม]:[คะแนนเต็ม]])*tbl_task3[[%]:[%]])</f>
        <v/>
      </c>
      <c r="HP5" s="121" t="str">
        <f>IF(ISBLANK(tbl_task3[[คะแนนเต็ม]:[คะแนนเต็ม]]),"",(tbl_task3[54]/tbl_task3[[คะแนนเต็ม]:[คะแนนเต็ม]])*tbl_task3[[%]:[%]])</f>
        <v/>
      </c>
      <c r="HQ5" s="121" t="str">
        <f>IF(ISBLANK(tbl_task3[[คะแนนเต็ม]:[คะแนนเต็ม]]),"",(tbl_task3[55]/tbl_task3[[คะแนนเต็ม]:[คะแนนเต็ม]])*tbl_task3[[%]:[%]])</f>
        <v/>
      </c>
      <c r="HR5" s="121" t="str">
        <f>IF(ISBLANK(tbl_task3[[คะแนนเต็ม]:[คะแนนเต็ม]]),"",(tbl_task3[56]/tbl_task3[[คะแนนเต็ม]:[คะแนนเต็ม]])*tbl_task3[[%]:[%]])</f>
        <v/>
      </c>
      <c r="HS5" s="121" t="str">
        <f>IF(ISBLANK(tbl_task3[[คะแนนเต็ม]:[คะแนนเต็ม]]),"",(tbl_task3[57]/tbl_task3[[คะแนนเต็ม]:[คะแนนเต็ม]])*tbl_task3[[%]:[%]])</f>
        <v/>
      </c>
      <c r="HT5" s="121" t="str">
        <f>IF(ISBLANK(tbl_task3[[คะแนนเต็ม]:[คะแนนเต็ม]]),"",(tbl_task3[58]/tbl_task3[[คะแนนเต็ม]:[คะแนนเต็ม]])*tbl_task3[[%]:[%]])</f>
        <v/>
      </c>
      <c r="HU5" s="121" t="str">
        <f>IF(ISBLANK(tbl_task3[[คะแนนเต็ม]:[คะแนนเต็ม]]),"",(tbl_task3[59]/tbl_task3[[คะแนนเต็ม]:[คะแนนเต็ม]])*tbl_task3[[%]:[%]])</f>
        <v/>
      </c>
      <c r="HV5" s="121" t="str">
        <f>IF(ISBLANK(tbl_task3[[คะแนนเต็ม]:[คะแนนเต็ม]]),"",(tbl_task3[60]/tbl_task3[[คะแนนเต็ม]:[คะแนนเต็ม]])*tbl_task3[[%]:[%]])</f>
        <v/>
      </c>
      <c r="HW5" s="121" t="str">
        <f>IF(ISBLANK(tbl_task3[[คะแนนเต็ม]:[คะแนนเต็ม]]),"",(tbl_task3[61]/tbl_task3[[คะแนนเต็ม]:[คะแนนเต็ม]])*tbl_task3[[%]:[%]])</f>
        <v/>
      </c>
      <c r="HX5" s="121" t="str">
        <f>IF(ISBLANK(tbl_task3[[คะแนนเต็ม]:[คะแนนเต็ม]]),"",(tbl_task3[62]/tbl_task3[[คะแนนเต็ม]:[คะแนนเต็ม]])*tbl_task3[[%]:[%]])</f>
        <v/>
      </c>
      <c r="HY5" s="121" t="str">
        <f>IF(ISBLANK(tbl_task3[[คะแนนเต็ม]:[คะแนนเต็ม]]),"",(tbl_task3[63]/tbl_task3[[คะแนนเต็ม]:[คะแนนเต็ม]])*tbl_task3[[%]:[%]])</f>
        <v/>
      </c>
      <c r="HZ5" s="121" t="str">
        <f>IF(ISBLANK(tbl_task3[[คะแนนเต็ม]:[คะแนนเต็ม]]),"",(tbl_task3[64]/tbl_task3[[คะแนนเต็ม]:[คะแนนเต็ม]])*tbl_task3[[%]:[%]])</f>
        <v/>
      </c>
      <c r="IA5" s="121" t="str">
        <f>IF(ISBLANK(tbl_task3[[คะแนนเต็ม]:[คะแนนเต็ม]]),"",(tbl_task3[65]/tbl_task3[[คะแนนเต็ม]:[คะแนนเต็ม]])*tbl_task3[[%]:[%]])</f>
        <v/>
      </c>
      <c r="IB5" s="121" t="str">
        <f>IF(ISBLANK(tbl_task3[[คะแนนเต็ม]:[คะแนนเต็ม]]),"",(tbl_task3[66]/tbl_task3[[คะแนนเต็ม]:[คะแนนเต็ม]])*tbl_task3[[%]:[%]])</f>
        <v/>
      </c>
      <c r="IC5" s="121" t="str">
        <f>IF(ISBLANK(tbl_task3[[คะแนนเต็ม]:[คะแนนเต็ม]]),"",(tbl_task3[67]/tbl_task3[[คะแนนเต็ม]:[คะแนนเต็ม]])*tbl_task3[[%]:[%]])</f>
        <v/>
      </c>
      <c r="ID5" s="121" t="str">
        <f>IF(ISBLANK(tbl_task3[[คะแนนเต็ม]:[คะแนนเต็ม]]),"",(tbl_task3[68]/tbl_task3[[คะแนนเต็ม]:[คะแนนเต็ม]])*tbl_task3[[%]:[%]])</f>
        <v/>
      </c>
      <c r="IE5" s="121" t="str">
        <f>IF(ISBLANK(tbl_task3[[คะแนนเต็ม]:[คะแนนเต็ม]]),"",(tbl_task3[69]/tbl_task3[[คะแนนเต็ม]:[คะแนนเต็ม]])*tbl_task3[[%]:[%]])</f>
        <v/>
      </c>
      <c r="IF5" s="121" t="str">
        <f>IF(ISBLANK(tbl_task3[[คะแนนเต็ม]:[คะแนนเต็ม]]),"",(tbl_task3[70]/tbl_task3[[คะแนนเต็ม]:[คะแนนเต็ม]])*tbl_task3[[%]:[%]])</f>
        <v/>
      </c>
      <c r="IG5" s="121" t="str">
        <f>IF(ISBLANK(tbl_task3[[คะแนนเต็ม]:[คะแนนเต็ม]]),"",(tbl_task3[71]/tbl_task3[[คะแนนเต็ม]:[คะแนนเต็ม]])*tbl_task3[[%]:[%]])</f>
        <v/>
      </c>
      <c r="IH5" s="121" t="str">
        <f>IF(ISBLANK(tbl_task3[[คะแนนเต็ม]:[คะแนนเต็ม]]),"",(tbl_task3[72]/tbl_task3[[คะแนนเต็ม]:[คะแนนเต็ม]])*tbl_task3[[%]:[%]])</f>
        <v/>
      </c>
      <c r="II5" s="121" t="str">
        <f>IF(ISBLANK(tbl_task3[[คะแนนเต็ม]:[คะแนนเต็ม]]),"",(tbl_task3[73]/tbl_task3[[คะแนนเต็ม]:[คะแนนเต็ม]])*tbl_task3[[%]:[%]])</f>
        <v/>
      </c>
      <c r="IJ5" s="121" t="str">
        <f>IF(ISBLANK(tbl_task3[[คะแนนเต็ม]:[คะแนนเต็ม]]),"",(tbl_task3[74]/tbl_task3[[คะแนนเต็ม]:[คะแนนเต็ม]])*tbl_task3[[%]:[%]])</f>
        <v/>
      </c>
      <c r="IK5" s="121" t="str">
        <f>IF(ISBLANK(tbl_task3[[คะแนนเต็ม]:[คะแนนเต็ม]]),"",(tbl_task3[75]/tbl_task3[[คะแนนเต็ม]:[คะแนนเต็ม]])*tbl_task3[[%]:[%]])</f>
        <v/>
      </c>
      <c r="IL5" s="121" t="str">
        <f>IF(ISBLANK(tbl_task3[[คะแนนเต็ม]:[คะแนนเต็ม]]),"",(tbl_task3[76]/tbl_task3[[คะแนนเต็ม]:[คะแนนเต็ม]])*tbl_task3[[%]:[%]])</f>
        <v/>
      </c>
      <c r="IM5" s="121" t="str">
        <f>IF(ISBLANK(tbl_task3[[คะแนนเต็ม]:[คะแนนเต็ม]]),"",(tbl_task3[77]/tbl_task3[[คะแนนเต็ม]:[คะแนนเต็ม]])*tbl_task3[[%]:[%]])</f>
        <v/>
      </c>
      <c r="IN5" s="121" t="str">
        <f>IF(ISBLANK(tbl_task3[[คะแนนเต็ม]:[คะแนนเต็ม]]),"",(tbl_task3[78]/tbl_task3[[คะแนนเต็ม]:[คะแนนเต็ม]])*tbl_task3[[%]:[%]])</f>
        <v/>
      </c>
      <c r="IO5" s="121" t="str">
        <f>IF(ISBLANK(tbl_task3[[คะแนนเต็ม]:[คะแนนเต็ม]]),"",(tbl_task3[79]/tbl_task3[[คะแนนเต็ม]:[คะแนนเต็ม]])*tbl_task3[[%]:[%]])</f>
        <v/>
      </c>
      <c r="IP5" s="121" t="str">
        <f>IF(ISBLANK(tbl_task3[[คะแนนเต็ม]:[คะแนนเต็ม]]),"",(tbl_task3[80]/tbl_task3[[คะแนนเต็ม]:[คะแนนเต็ม]])*tbl_task3[[%]:[%]])</f>
        <v/>
      </c>
      <c r="IQ5" s="121" t="str">
        <f>IF(ISBLANK(tbl_task3[[คะแนนเต็ม]:[คะแนนเต็ม]]),"",(tbl_task3[81]/tbl_task3[[คะแนนเต็ม]:[คะแนนเต็ม]])*tbl_task3[[%]:[%]])</f>
        <v/>
      </c>
      <c r="IR5" s="121" t="str">
        <f>IF(ISBLANK(tbl_task3[[คะแนนเต็ม]:[คะแนนเต็ม]]),"",(tbl_task3[82]/tbl_task3[[คะแนนเต็ม]:[คะแนนเต็ม]])*tbl_task3[[%]:[%]])</f>
        <v/>
      </c>
      <c r="IS5" s="121" t="str">
        <f>IF(ISBLANK(tbl_task3[[คะแนนเต็ม]:[คะแนนเต็ม]]),"",(tbl_task3[83]/tbl_task3[[คะแนนเต็ม]:[คะแนนเต็ม]])*tbl_task3[[%]:[%]])</f>
        <v/>
      </c>
      <c r="IT5" s="121" t="str">
        <f>IF(ISBLANK(tbl_task3[[คะแนนเต็ม]:[คะแนนเต็ม]]),"",(tbl_task3[84]/tbl_task3[[คะแนนเต็ม]:[คะแนนเต็ม]])*tbl_task3[[%]:[%]])</f>
        <v/>
      </c>
      <c r="IU5" s="121" t="str">
        <f>IF(ISBLANK(tbl_task3[[คะแนนเต็ม]:[คะแนนเต็ม]]),"",(tbl_task3[85]/tbl_task3[[คะแนนเต็ม]:[คะแนนเต็ม]])*tbl_task3[[%]:[%]])</f>
        <v/>
      </c>
      <c r="IV5" s="121" t="str">
        <f>IF(ISBLANK(tbl_task3[[คะแนนเต็ม]:[คะแนนเต็ม]]),"",(tbl_task3[86]/tbl_task3[[คะแนนเต็ม]:[คะแนนเต็ม]])*tbl_task3[[%]:[%]])</f>
        <v/>
      </c>
      <c r="IW5" s="121" t="str">
        <f>IF(ISBLANK(tbl_task3[[คะแนนเต็ม]:[คะแนนเต็ม]]),"",(tbl_task3[87]/tbl_task3[[คะแนนเต็ม]:[คะแนนเต็ม]])*tbl_task3[[%]:[%]])</f>
        <v/>
      </c>
      <c r="IX5" s="121" t="str">
        <f>IF(ISBLANK(tbl_task3[[คะแนนเต็ม]:[คะแนนเต็ม]]),"",(tbl_task3[88]/tbl_task3[[คะแนนเต็ม]:[คะแนนเต็ม]])*tbl_task3[[%]:[%]])</f>
        <v/>
      </c>
      <c r="IY5" s="121" t="str">
        <f>IF(ISBLANK(tbl_task3[[คะแนนเต็ม]:[คะแนนเต็ม]]),"",(tbl_task3[89]/tbl_task3[[คะแนนเต็ม]:[คะแนนเต็ม]])*tbl_task3[[%]:[%]])</f>
        <v/>
      </c>
      <c r="IZ5" s="121" t="str">
        <f>IF(ISBLANK(tbl_task3[[คะแนนเต็ม]:[คะแนนเต็ม]]),"",(tbl_task3[90]/tbl_task3[[คะแนนเต็ม]:[คะแนนเต็ม]])*tbl_task3[[%]:[%]])</f>
        <v/>
      </c>
      <c r="JA5" s="121" t="str">
        <f>IF(ISBLANK(tbl_task3[[คะแนนเต็ม]:[คะแนนเต็ม]]),"",(tbl_task3[91]/tbl_task3[[คะแนนเต็ม]:[คะแนนเต็ม]])*tbl_task3[[%]:[%]])</f>
        <v/>
      </c>
      <c r="JB5" s="121" t="str">
        <f>IF(ISBLANK(tbl_task3[[คะแนนเต็ม]:[คะแนนเต็ม]]),"",(tbl_task3[92]/tbl_task3[[คะแนนเต็ม]:[คะแนนเต็ม]])*tbl_task3[[%]:[%]])</f>
        <v/>
      </c>
      <c r="JC5" s="121" t="str">
        <f>IF(ISBLANK(tbl_task3[[คะแนนเต็ม]:[คะแนนเต็ม]]),"",(tbl_task3[93]/tbl_task3[[คะแนนเต็ม]:[คะแนนเต็ม]])*tbl_task3[[%]:[%]])</f>
        <v/>
      </c>
      <c r="JD5" s="121" t="str">
        <f>IF(ISBLANK(tbl_task3[[คะแนนเต็ม]:[คะแนนเต็ม]]),"",(tbl_task3[94]/tbl_task3[[คะแนนเต็ม]:[คะแนนเต็ม]])*tbl_task3[[%]:[%]])</f>
        <v/>
      </c>
      <c r="JE5" s="121" t="str">
        <f>IF(ISBLANK(tbl_task3[[คะแนนเต็ม]:[คะแนนเต็ม]]),"",(tbl_task3[95]/tbl_task3[[คะแนนเต็ม]:[คะแนนเต็ม]])*tbl_task3[[%]:[%]])</f>
        <v/>
      </c>
      <c r="JF5" s="121" t="str">
        <f>IF(ISBLANK(tbl_task3[[คะแนนเต็ม]:[คะแนนเต็ม]]),"",(tbl_task3[96]/tbl_task3[[คะแนนเต็ม]:[คะแนนเต็ม]])*tbl_task3[[%]:[%]])</f>
        <v/>
      </c>
      <c r="JG5" s="121" t="str">
        <f>IF(ISBLANK(tbl_task3[[คะแนนเต็ม]:[คะแนนเต็ม]]),"",(tbl_task3[97]/tbl_task3[[คะแนนเต็ม]:[คะแนนเต็ม]])*tbl_task3[[%]:[%]])</f>
        <v/>
      </c>
      <c r="JH5" s="121" t="str">
        <f>IF(ISBLANK(tbl_task3[[คะแนนเต็ม]:[คะแนนเต็ม]]),"",(tbl_task3[98]/tbl_task3[[คะแนนเต็ม]:[คะแนนเต็ม]])*tbl_task3[[%]:[%]])</f>
        <v/>
      </c>
      <c r="JI5" s="121" t="str">
        <f>IF(ISBLANK(tbl_task3[[คะแนนเต็ม]:[คะแนนเต็ม]]),"",(tbl_task3[99]/tbl_task3[[คะแนนเต็ม]:[คะแนนเต็ม]])*tbl_task3[[%]:[%]])</f>
        <v/>
      </c>
      <c r="JJ5" s="121" t="str">
        <f>IF(ISBLANK(tbl_task3[[คะแนนเต็ม]:[คะแนนเต็ม]]),"",(tbl_task3[100]/tbl_task3[[คะแนนเต็ม]:[คะแนนเต็ม]])*tbl_task3[[%]:[%]])</f>
        <v/>
      </c>
      <c r="JK5" s="121" t="str">
        <f>IF(ISBLANK(tbl_task3[[คะแนนเต็ม]:[คะแนนเต็ม]]),"",(tbl_task3[101]/tbl_task3[[คะแนนเต็ม]:[คะแนนเต็ม]])*tbl_task3[[%]:[%]])</f>
        <v/>
      </c>
      <c r="JL5" s="121" t="str">
        <f>IF(ISBLANK(tbl_task3[[คะแนนเต็ม]:[คะแนนเต็ม]]),"",(tbl_task3[102]/tbl_task3[[คะแนนเต็ม]:[คะแนนเต็ม]])*tbl_task3[[%]:[%]])</f>
        <v/>
      </c>
      <c r="JM5" s="121" t="str">
        <f>IF(ISBLANK(tbl_task3[[คะแนนเต็ม]:[คะแนนเต็ม]]),"",(tbl_task3[103]/tbl_task3[[คะแนนเต็ม]:[คะแนนเต็ม]])*tbl_task3[[%]:[%]])</f>
        <v/>
      </c>
      <c r="JN5" s="121" t="str">
        <f>IF(ISBLANK(tbl_task3[[คะแนนเต็ม]:[คะแนนเต็ม]]),"",(tbl_task3[104]/tbl_task3[[คะแนนเต็ม]:[คะแนนเต็ม]])*tbl_task3[[%]:[%]])</f>
        <v/>
      </c>
      <c r="JO5" s="121" t="str">
        <f>IF(ISBLANK(tbl_task3[[คะแนนเต็ม]:[คะแนนเต็ม]]),"",(tbl_task3[105]/tbl_task3[[คะแนนเต็ม]:[คะแนนเต็ม]])*tbl_task3[[%]:[%]])</f>
        <v/>
      </c>
      <c r="JP5" s="121" t="str">
        <f>IF(ISBLANK(tbl_task3[[คะแนนเต็ม]:[คะแนนเต็ม]]),"",(tbl_task3[106]/tbl_task3[[คะแนนเต็ม]:[คะแนนเต็ม]])*tbl_task3[[%]:[%]])</f>
        <v/>
      </c>
      <c r="JQ5" s="121" t="str">
        <f>IF(ISBLANK(tbl_task3[[คะแนนเต็ม]:[คะแนนเต็ม]]),"",(tbl_task3[107]/tbl_task3[[คะแนนเต็ม]:[คะแนนเต็ม]])*tbl_task3[[%]:[%]])</f>
        <v/>
      </c>
      <c r="JR5" s="121" t="str">
        <f>IF(ISBLANK(tbl_task3[[คะแนนเต็ม]:[คะแนนเต็ม]]),"",(tbl_task3[108]/tbl_task3[[คะแนนเต็ม]:[คะแนนเต็ม]])*tbl_task3[[%]:[%]])</f>
        <v/>
      </c>
      <c r="JS5" s="121" t="str">
        <f>IF(ISBLANK(tbl_task3[[คะแนนเต็ม]:[คะแนนเต็ม]]),"",(tbl_task3[109]/tbl_task3[[คะแนนเต็ม]:[คะแนนเต็ม]])*tbl_task3[[%]:[%]])</f>
        <v/>
      </c>
      <c r="JT5" s="121" t="str">
        <f>IF(ISBLANK(tbl_task3[[คะแนนเต็ม]:[คะแนนเต็ม]]),"",(tbl_task3[110]/tbl_task3[[คะแนนเต็ม]:[คะแนนเต็ม]])*tbl_task3[[%]:[%]])</f>
        <v/>
      </c>
      <c r="JU5" s="121" t="str">
        <f>IF(ISBLANK(tbl_task3[[คะแนนเต็ม]:[คะแนนเต็ม]]),"",(tbl_task3[111]/tbl_task3[[คะแนนเต็ม]:[คะแนนเต็ม]])*tbl_task3[[%]:[%]])</f>
        <v/>
      </c>
      <c r="JV5" s="121" t="str">
        <f>IF(ISBLANK(tbl_task3[[คะแนนเต็ม]:[คะแนนเต็ม]]),"",(tbl_task3[112]/tbl_task3[[คะแนนเต็ม]:[คะแนนเต็ม]])*tbl_task3[[%]:[%]])</f>
        <v/>
      </c>
      <c r="JW5" s="121" t="str">
        <f>IF(ISBLANK(tbl_task3[[คะแนนเต็ม]:[คะแนนเต็ม]]),"",(tbl_task3[113]/tbl_task3[[คะแนนเต็ม]:[คะแนนเต็ม]])*tbl_task3[[%]:[%]])</f>
        <v/>
      </c>
      <c r="JX5" s="121" t="str">
        <f>IF(ISBLANK(tbl_task3[[คะแนนเต็ม]:[คะแนนเต็ม]]),"",(tbl_task3[114]/tbl_task3[[คะแนนเต็ม]:[คะแนนเต็ม]])*tbl_task3[[%]:[%]])</f>
        <v/>
      </c>
      <c r="JY5" s="121" t="str">
        <f>IF(ISBLANK(tbl_task3[[คะแนนเต็ม]:[คะแนนเต็ม]]),"",(tbl_task3[115]/tbl_task3[[คะแนนเต็ม]:[คะแนนเต็ม]])*tbl_task3[[%]:[%]])</f>
        <v/>
      </c>
      <c r="JZ5" s="121" t="str">
        <f>IF(ISBLANK(tbl_task3[[คะแนนเต็ม]:[คะแนนเต็ม]]),"",(tbl_task3[116]/tbl_task3[[คะแนนเต็ม]:[คะแนนเต็ม]])*tbl_task3[[%]:[%]])</f>
        <v/>
      </c>
      <c r="KA5" s="121" t="str">
        <f>IF(ISBLANK(tbl_task3[[คะแนนเต็ม]:[คะแนนเต็ม]]),"",(tbl_task3[117]/tbl_task3[[คะแนนเต็ม]:[คะแนนเต็ม]])*tbl_task3[[%]:[%]])</f>
        <v/>
      </c>
      <c r="KB5" s="121" t="str">
        <f>IF(ISBLANK(tbl_task3[[คะแนนเต็ม]:[คะแนนเต็ม]]),"",(tbl_task3[118]/tbl_task3[[คะแนนเต็ม]:[คะแนนเต็ม]])*tbl_task3[[%]:[%]])</f>
        <v/>
      </c>
      <c r="KC5" s="121" t="str">
        <f>IF(ISBLANK(tbl_task3[[คะแนนเต็ม]:[คะแนนเต็ม]]),"",(tbl_task3[119]/tbl_task3[[คะแนนเต็ม]:[คะแนนเต็ม]])*tbl_task3[[%]:[%]])</f>
        <v/>
      </c>
      <c r="KD5" s="121" t="str">
        <f>IF(ISBLANK(tbl_task3[[คะแนนเต็ม]:[คะแนนเต็ม]]),"",(tbl_task3[120]/tbl_task3[[คะแนนเต็ม]:[คะแนนเต็ม]])*tbl_task3[[%]:[%]])</f>
        <v/>
      </c>
      <c r="KE5" s="121" t="str">
        <f>IF(ISBLANK(tbl_task3[[คะแนนเต็ม]:[คะแนนเต็ม]]),"",(tbl_task3[121]/tbl_task3[[คะแนนเต็ม]:[คะแนนเต็ม]])*tbl_task3[[%]:[%]])</f>
        <v/>
      </c>
      <c r="KF5" s="121" t="str">
        <f>IF(ISBLANK(tbl_task3[[คะแนนเต็ม]:[คะแนนเต็ม]]),"",(tbl_task3[122]/tbl_task3[[คะแนนเต็ม]:[คะแนนเต็ม]])*tbl_task3[[%]:[%]])</f>
        <v/>
      </c>
      <c r="KG5" s="121" t="str">
        <f>IF(ISBLANK(tbl_task3[[คะแนนเต็ม]:[คะแนนเต็ม]]),"",(tbl_task3[123]/tbl_task3[[คะแนนเต็ม]:[คะแนนเต็ม]])*tbl_task3[[%]:[%]])</f>
        <v/>
      </c>
      <c r="KH5" s="121" t="str">
        <f>IF(ISBLANK(tbl_task3[[คะแนนเต็ม]:[คะแนนเต็ม]]),"",(tbl_task3[124]/tbl_task3[[คะแนนเต็ม]:[คะแนนเต็ม]])*tbl_task3[[%]:[%]])</f>
        <v/>
      </c>
      <c r="KI5" s="121" t="str">
        <f>IF(ISBLANK(tbl_task3[[คะแนนเต็ม]:[คะแนนเต็ม]]),"",(tbl_task3[125]/tbl_task3[[คะแนนเต็ม]:[คะแนนเต็ม]])*tbl_task3[[%]:[%]])</f>
        <v/>
      </c>
      <c r="KJ5" s="121" t="str">
        <f>IF(ISBLANK(tbl_task3[[คะแนนเต็ม]:[คะแนนเต็ม]]),"",(tbl_task3[126]/tbl_task3[[คะแนนเต็ม]:[คะแนนเต็ม]])*tbl_task3[[%]:[%]])</f>
        <v/>
      </c>
      <c r="KK5" s="121" t="str">
        <f>IF(ISBLANK(tbl_task3[[คะแนนเต็ม]:[คะแนนเต็ม]]),"",(tbl_task3[127]/tbl_task3[[คะแนนเต็ม]:[คะแนนเต็ม]])*tbl_task3[[%]:[%]])</f>
        <v/>
      </c>
      <c r="KL5" s="121" t="str">
        <f>IF(ISBLANK(tbl_task3[[คะแนนเต็ม]:[คะแนนเต็ม]]),"",(tbl_task3[128]/tbl_task3[[คะแนนเต็ม]:[คะแนนเต็ม]])*tbl_task3[[%]:[%]])</f>
        <v/>
      </c>
      <c r="KM5" s="121" t="str">
        <f>IF(ISBLANK(tbl_task3[[คะแนนเต็ม]:[คะแนนเต็ม]]),"",(tbl_task3[129]/tbl_task3[[คะแนนเต็ม]:[คะแนนเต็ม]])*tbl_task3[[%]:[%]])</f>
        <v/>
      </c>
      <c r="KN5" s="121" t="str">
        <f>IF(ISBLANK(tbl_task3[[คะแนนเต็ม]:[คะแนนเต็ม]]),"",(tbl_task3[130]/tbl_task3[[คะแนนเต็ม]:[คะแนนเต็ม]])*tbl_task3[[%]:[%]])</f>
        <v/>
      </c>
      <c r="KO5" s="121" t="str">
        <f>IF(ISBLANK(tbl_task3[[คะแนนเต็ม]:[คะแนนเต็ม]]),"",(tbl_task3[131]/tbl_task3[[คะแนนเต็ม]:[คะแนนเต็ม]])*tbl_task3[[%]:[%]])</f>
        <v/>
      </c>
      <c r="KP5" s="121" t="str">
        <f>IF(ISBLANK(tbl_task3[[คะแนนเต็ม]:[คะแนนเต็ม]]),"",(tbl_task3[132]/tbl_task3[[คะแนนเต็ม]:[คะแนนเต็ม]])*tbl_task3[[%]:[%]])</f>
        <v/>
      </c>
      <c r="KQ5" s="121" t="str">
        <f>IF(ISBLANK(tbl_task3[[คะแนนเต็ม]:[คะแนนเต็ม]]),"",(tbl_task3[133]/tbl_task3[[คะแนนเต็ม]:[คะแนนเต็ม]])*tbl_task3[[%]:[%]])</f>
        <v/>
      </c>
      <c r="KR5" s="121" t="str">
        <f>IF(ISBLANK(tbl_task3[[คะแนนเต็ม]:[คะแนนเต็ม]]),"",(tbl_task3[134]/tbl_task3[[คะแนนเต็ม]:[คะแนนเต็ม]])*tbl_task3[[%]:[%]])</f>
        <v/>
      </c>
      <c r="KS5" s="121" t="str">
        <f>IF(ISBLANK(tbl_task3[[คะแนนเต็ม]:[คะแนนเต็ม]]),"",(tbl_task3[135]/tbl_task3[[คะแนนเต็ม]:[คะแนนเต็ม]])*tbl_task3[[%]:[%]])</f>
        <v/>
      </c>
      <c r="KT5" s="121" t="str">
        <f>IF(ISBLANK(tbl_task3[[คะแนนเต็ม]:[คะแนนเต็ม]]),"",(tbl_task3[136]/tbl_task3[[คะแนนเต็ม]:[คะแนนเต็ม]])*tbl_task3[[%]:[%]])</f>
        <v/>
      </c>
      <c r="KU5" s="121" t="str">
        <f>IF(ISBLANK(tbl_task3[[คะแนนเต็ม]:[คะแนนเต็ม]]),"",(tbl_task3[137]/tbl_task3[[คะแนนเต็ม]:[คะแนนเต็ม]])*tbl_task3[[%]:[%]])</f>
        <v/>
      </c>
      <c r="KV5" s="121" t="str">
        <f>IF(ISBLANK(tbl_task3[[คะแนนเต็ม]:[คะแนนเต็ม]]),"",(tbl_task3[138]/tbl_task3[[คะแนนเต็ม]:[คะแนนเต็ม]])*tbl_task3[[%]:[%]])</f>
        <v/>
      </c>
      <c r="KW5" s="121" t="str">
        <f>IF(ISBLANK(tbl_task3[[คะแนนเต็ม]:[คะแนนเต็ม]]),"",(tbl_task3[139]/tbl_task3[[คะแนนเต็ม]:[คะแนนเต็ม]])*tbl_task3[[%]:[%]])</f>
        <v/>
      </c>
      <c r="KX5" s="121" t="str">
        <f>IF(ISBLANK(tbl_task3[[คะแนนเต็ม]:[คะแนนเต็ม]]),"",(tbl_task3[140]/tbl_task3[[คะแนนเต็ม]:[คะแนนเต็ม]])*tbl_task3[[%]:[%]])</f>
        <v/>
      </c>
      <c r="KY5" s="121" t="str">
        <f>IF(ISBLANK(tbl_task3[[คะแนนเต็ม]:[คะแนนเต็ม]]),"",(tbl_task3[141]/tbl_task3[[คะแนนเต็ม]:[คะแนนเต็ม]])*tbl_task3[[%]:[%]])</f>
        <v/>
      </c>
      <c r="KZ5" s="121" t="str">
        <f>IF(ISBLANK(tbl_task3[[คะแนนเต็ม]:[คะแนนเต็ม]]),"",(tbl_task3[142]/tbl_task3[[คะแนนเต็ม]:[คะแนนเต็ม]])*tbl_task3[[%]:[%]])</f>
        <v/>
      </c>
      <c r="LA5" s="121" t="str">
        <f>IF(ISBLANK(tbl_task3[[คะแนนเต็ม]:[คะแนนเต็ม]]),"",(tbl_task3[143]/tbl_task3[[คะแนนเต็ม]:[คะแนนเต็ม]])*tbl_task3[[%]:[%]])</f>
        <v/>
      </c>
      <c r="LB5" s="121" t="str">
        <f>IF(ISBLANK(tbl_task3[[คะแนนเต็ม]:[คะแนนเต็ม]]),"",(tbl_task3[144]/tbl_task3[[คะแนนเต็ม]:[คะแนนเต็ม]])*tbl_task3[[%]:[%]])</f>
        <v/>
      </c>
      <c r="LC5" s="121" t="str">
        <f>IF(ISBLANK(tbl_task3[[คะแนนเต็ม]:[คะแนนเต็ม]]),"",(tbl_task3[145]/tbl_task3[[คะแนนเต็ม]:[คะแนนเต็ม]])*tbl_task3[[%]:[%]])</f>
        <v/>
      </c>
      <c r="LD5" s="121" t="str">
        <f>IF(ISBLANK(tbl_task3[[คะแนนเต็ม]:[คะแนนเต็ม]]),"",(tbl_task3[146]/tbl_task3[[คะแนนเต็ม]:[คะแนนเต็ม]])*tbl_task3[[%]:[%]])</f>
        <v/>
      </c>
      <c r="LE5" s="121" t="str">
        <f>IF(ISBLANK(tbl_task3[[คะแนนเต็ม]:[คะแนนเต็ม]]),"",(tbl_task3[147]/tbl_task3[[คะแนนเต็ม]:[คะแนนเต็ม]])*tbl_task3[[%]:[%]])</f>
        <v/>
      </c>
      <c r="LF5" s="121" t="str">
        <f>IF(ISBLANK(tbl_task3[[คะแนนเต็ม]:[คะแนนเต็ม]]),"",(tbl_task3[148]/tbl_task3[[คะแนนเต็ม]:[คะแนนเต็ม]])*tbl_task3[[%]:[%]])</f>
        <v/>
      </c>
      <c r="LG5" s="121" t="str">
        <f>IF(ISBLANK(tbl_task3[[คะแนนเต็ม]:[คะแนนเต็ม]]),"",(tbl_task3[149]/tbl_task3[[คะแนนเต็ม]:[คะแนนเต็ม]])*tbl_task3[[%]:[%]])</f>
        <v/>
      </c>
      <c r="LH5" s="121" t="str">
        <f>IF(ISBLANK(tbl_task3[[คะแนนเต็ม]:[คะแนนเต็ม]]),"",(tbl_task3[150]/tbl_task3[[คะแนนเต็ม]:[คะแนนเต็ม]])*tbl_task3[[%]:[%]])</f>
        <v/>
      </c>
      <c r="LI5" s="121" t="str">
        <f>IF(ISBLANK(tbl_task3[[คะแนนเต็ม]:[คะแนนเต็ม]]),"",(tbl_task3[151]/tbl_task3[[คะแนนเต็ม]:[คะแนนเต็ม]])*tbl_task3[[%]:[%]])</f>
        <v/>
      </c>
      <c r="LJ5" s="121" t="str">
        <f>IF(ISBLANK(tbl_task3[[คะแนนเต็ม]:[คะแนนเต็ม]]),"",(tbl_task3[152]/tbl_task3[[คะแนนเต็ม]:[คะแนนเต็ม]])*tbl_task3[[%]:[%]])</f>
        <v/>
      </c>
      <c r="LK5" s="121" t="str">
        <f>IF(ISBLANK(tbl_task3[[คะแนนเต็ม]:[คะแนนเต็ม]]),"",(tbl_task3[153]/tbl_task3[[คะแนนเต็ม]:[คะแนนเต็ม]])*tbl_task3[[%]:[%]])</f>
        <v/>
      </c>
      <c r="LL5" s="121" t="str">
        <f>IF(ISBLANK(tbl_task3[[คะแนนเต็ม]:[คะแนนเต็ม]]),"",(tbl_task3[154]/tbl_task3[[คะแนนเต็ม]:[คะแนนเต็ม]])*tbl_task3[[%]:[%]])</f>
        <v/>
      </c>
      <c r="LM5" s="121" t="str">
        <f>IF(ISBLANK(tbl_task3[[คะแนนเต็ม]:[คะแนนเต็ม]]),"",(tbl_task3[155]/tbl_task3[[คะแนนเต็ม]:[คะแนนเต็ม]])*tbl_task3[[%]:[%]])</f>
        <v/>
      </c>
      <c r="LN5" s="121" t="str">
        <f>IF(ISBLANK(tbl_task3[[คะแนนเต็ม]:[คะแนนเต็ม]]),"",(tbl_task3[156]/tbl_task3[[คะแนนเต็ม]:[คะแนนเต็ม]])*tbl_task3[[%]:[%]])</f>
        <v/>
      </c>
      <c r="LO5" s="121" t="str">
        <f>IF(ISBLANK(tbl_task3[[คะแนนเต็ม]:[คะแนนเต็ม]]),"",(tbl_task3[157]/tbl_task3[[คะแนนเต็ม]:[คะแนนเต็ม]])*tbl_task3[[%]:[%]])</f>
        <v/>
      </c>
      <c r="LP5" s="121" t="str">
        <f>IF(ISBLANK(tbl_task3[[คะแนนเต็ม]:[คะแนนเต็ม]]),"",(tbl_task3[158]/tbl_task3[[คะแนนเต็ม]:[คะแนนเต็ม]])*tbl_task3[[%]:[%]])</f>
        <v/>
      </c>
      <c r="LQ5" s="121" t="str">
        <f>IF(ISBLANK(tbl_task3[[คะแนนเต็ม]:[คะแนนเต็ม]]),"",(tbl_task3[159]/tbl_task3[[คะแนนเต็ม]:[คะแนนเต็ม]])*tbl_task3[[%]:[%]])</f>
        <v/>
      </c>
      <c r="LR5" s="121" t="str">
        <f>IF(ISBLANK(tbl_task3[[คะแนนเต็ม]:[คะแนนเต็ม]]),"",(tbl_task3[160]/tbl_task3[[คะแนนเต็ม]:[คะแนนเต็ม]])*tbl_task3[[%]:[%]])</f>
        <v/>
      </c>
      <c r="LS5" s="121" t="str">
        <f>IF(ISBLANK(tbl_task3[[คะแนนเต็ม]:[คะแนนเต็ม]]),"",(tbl_task3[161]/tbl_task3[[คะแนนเต็ม]:[คะแนนเต็ม]])*tbl_task3[[%]:[%]])</f>
        <v/>
      </c>
      <c r="LT5" s="121" t="str">
        <f>IF(ISBLANK(tbl_task3[[คะแนนเต็ม]:[คะแนนเต็ม]]),"",(tbl_task3[162]/tbl_task3[[คะแนนเต็ม]:[คะแนนเต็ม]])*tbl_task3[[%]:[%]])</f>
        <v/>
      </c>
      <c r="LU5" s="121" t="str">
        <f>IF(ISBLANK(tbl_task3[[คะแนนเต็ม]:[คะแนนเต็ม]]),"",(tbl_task3[163]/tbl_task3[[คะแนนเต็ม]:[คะแนนเต็ม]])*tbl_task3[[%]:[%]])</f>
        <v/>
      </c>
      <c r="LV5" s="121" t="str">
        <f>IF(ISBLANK(tbl_task3[[คะแนนเต็ม]:[คะแนนเต็ม]]),"",(tbl_task3[164]/tbl_task3[[คะแนนเต็ม]:[คะแนนเต็ม]])*tbl_task3[[%]:[%]])</f>
        <v/>
      </c>
      <c r="LW5" s="121" t="str">
        <f>IF(ISBLANK(tbl_task3[[คะแนนเต็ม]:[คะแนนเต็ม]]),"",(tbl_task3[165]/tbl_task3[[คะแนนเต็ม]:[คะแนนเต็ม]])*tbl_task3[[%]:[%]])</f>
        <v/>
      </c>
    </row>
    <row r="6" spans="1:335" ht="24.75" customHeight="1" x14ac:dyDescent="0.25">
      <c r="A6" s="24">
        <v>3</v>
      </c>
      <c r="B6" s="20"/>
      <c r="C6" s="5" t="str">
        <f>IF(ISBLANK(B6),"",VLOOKUP(B6,tbl_PLOs[],2,0))</f>
        <v/>
      </c>
      <c r="D6" s="102"/>
      <c r="E6" s="10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22"/>
      <c r="FO6" s="121" t="str">
        <f>IF(ISBLANK(tbl_task3[[คะแนนเต็ม]:[คะแนนเต็ม]]),"",(tbl_task3[1]/tbl_task3[[คะแนนเต็ม]:[คะแนนเต็ม]])*tbl_task3[[%]:[%]])</f>
        <v/>
      </c>
      <c r="FP6" s="121" t="str">
        <f>IF(ISBLANK(tbl_task3[[คะแนนเต็ม]:[คะแนนเต็ม]]),"",(tbl_task3[2]/tbl_task3[[คะแนนเต็ม]:[คะแนนเต็ม]])*tbl_task3[[%]:[%]])</f>
        <v/>
      </c>
      <c r="FQ6" s="121" t="str">
        <f>IF(ISBLANK(tbl_task3[[คะแนนเต็ม]:[คะแนนเต็ม]]),"",(tbl_task3[3]/tbl_task3[[คะแนนเต็ม]:[คะแนนเต็ม]])*tbl_task3[[%]:[%]])</f>
        <v/>
      </c>
      <c r="FR6" s="121" t="str">
        <f>IF(ISBLANK(tbl_task3[[คะแนนเต็ม]:[คะแนนเต็ม]]),"",(tbl_task3[4]/tbl_task3[[คะแนนเต็ม]:[คะแนนเต็ม]])*tbl_task3[[%]:[%]])</f>
        <v/>
      </c>
      <c r="FS6" s="121" t="str">
        <f>IF(ISBLANK(tbl_task3[[คะแนนเต็ม]:[คะแนนเต็ม]]),"",(tbl_task3[5]/tbl_task3[[คะแนนเต็ม]:[คะแนนเต็ม]])*tbl_task3[[%]:[%]])</f>
        <v/>
      </c>
      <c r="FT6" s="121" t="str">
        <f>IF(ISBLANK(tbl_task3[[คะแนนเต็ม]:[คะแนนเต็ม]]),"",(tbl_task3[6]/tbl_task3[[คะแนนเต็ม]:[คะแนนเต็ม]])*tbl_task3[[%]:[%]])</f>
        <v/>
      </c>
      <c r="FU6" s="121" t="str">
        <f>IF(ISBLANK(tbl_task3[[คะแนนเต็ม]:[คะแนนเต็ม]]),"",(tbl_task3[7]/tbl_task3[[คะแนนเต็ม]:[คะแนนเต็ม]])*tbl_task3[[%]:[%]])</f>
        <v/>
      </c>
      <c r="FV6" s="121" t="str">
        <f>IF(ISBLANK(tbl_task3[[คะแนนเต็ม]:[คะแนนเต็ม]]),"",(tbl_task3[8]/tbl_task3[[คะแนนเต็ม]:[คะแนนเต็ม]])*tbl_task3[[%]:[%]])</f>
        <v/>
      </c>
      <c r="FW6" s="121" t="str">
        <f>IF(ISBLANK(tbl_task3[[คะแนนเต็ม]:[คะแนนเต็ม]]),"",(tbl_task3[9]/tbl_task3[[คะแนนเต็ม]:[คะแนนเต็ม]])*tbl_task3[[%]:[%]])</f>
        <v/>
      </c>
      <c r="FX6" s="121" t="str">
        <f>IF(ISBLANK(tbl_task3[[คะแนนเต็ม]:[คะแนนเต็ม]]),"",(tbl_task3[10]/tbl_task3[[คะแนนเต็ม]:[คะแนนเต็ม]])*tbl_task3[[%]:[%]])</f>
        <v/>
      </c>
      <c r="FY6" s="121" t="str">
        <f>IF(ISBLANK(tbl_task3[[คะแนนเต็ม]:[คะแนนเต็ม]]),"",(tbl_task3[11]/tbl_task3[[คะแนนเต็ม]:[คะแนนเต็ม]])*tbl_task3[[%]:[%]])</f>
        <v/>
      </c>
      <c r="FZ6" s="121" t="str">
        <f>IF(ISBLANK(tbl_task3[[คะแนนเต็ม]:[คะแนนเต็ม]]),"",(tbl_task3[12]/tbl_task3[[คะแนนเต็ม]:[คะแนนเต็ม]])*tbl_task3[[%]:[%]])</f>
        <v/>
      </c>
      <c r="GA6" s="121" t="str">
        <f>IF(ISBLANK(tbl_task3[[คะแนนเต็ม]:[คะแนนเต็ม]]),"",(tbl_task3[13]/tbl_task3[[คะแนนเต็ม]:[คะแนนเต็ม]])*tbl_task3[[%]:[%]])</f>
        <v/>
      </c>
      <c r="GB6" s="121" t="str">
        <f>IF(ISBLANK(tbl_task3[[คะแนนเต็ม]:[คะแนนเต็ม]]),"",(tbl_task3[14]/tbl_task3[[คะแนนเต็ม]:[คะแนนเต็ม]])*tbl_task3[[%]:[%]])</f>
        <v/>
      </c>
      <c r="GC6" s="121" t="str">
        <f>IF(ISBLANK(tbl_task3[[คะแนนเต็ม]:[คะแนนเต็ม]]),"",(tbl_task3[15]/tbl_task3[[คะแนนเต็ม]:[คะแนนเต็ม]])*tbl_task3[[%]:[%]])</f>
        <v/>
      </c>
      <c r="GD6" s="121" t="str">
        <f>IF(ISBLANK(tbl_task3[[คะแนนเต็ม]:[คะแนนเต็ม]]),"",(tbl_task3[16]/tbl_task3[[คะแนนเต็ม]:[คะแนนเต็ม]])*tbl_task3[[%]:[%]])</f>
        <v/>
      </c>
      <c r="GE6" s="121" t="str">
        <f>IF(ISBLANK(tbl_task3[[คะแนนเต็ม]:[คะแนนเต็ม]]),"",(tbl_task3[17]/tbl_task3[[คะแนนเต็ม]:[คะแนนเต็ม]])*tbl_task3[[%]:[%]])</f>
        <v/>
      </c>
      <c r="GF6" s="121" t="str">
        <f>IF(ISBLANK(tbl_task3[[คะแนนเต็ม]:[คะแนนเต็ม]]),"",(tbl_task3[18]/tbl_task3[[คะแนนเต็ม]:[คะแนนเต็ม]])*tbl_task3[[%]:[%]])</f>
        <v/>
      </c>
      <c r="GG6" s="121" t="str">
        <f>IF(ISBLANK(tbl_task3[[คะแนนเต็ม]:[คะแนนเต็ม]]),"",(tbl_task3[19]/tbl_task3[[คะแนนเต็ม]:[คะแนนเต็ม]])*tbl_task3[[%]:[%]])</f>
        <v/>
      </c>
      <c r="GH6" s="121" t="str">
        <f>IF(ISBLANK(tbl_task3[[คะแนนเต็ม]:[คะแนนเต็ม]]),"",(tbl_task3[20]/tbl_task3[[คะแนนเต็ม]:[คะแนนเต็ม]])*tbl_task3[[%]:[%]])</f>
        <v/>
      </c>
      <c r="GI6" s="121" t="str">
        <f>IF(ISBLANK(tbl_task3[[คะแนนเต็ม]:[คะแนนเต็ม]]),"",(tbl_task3[21]/tbl_task3[[คะแนนเต็ม]:[คะแนนเต็ม]])*tbl_task3[[%]:[%]])</f>
        <v/>
      </c>
      <c r="GJ6" s="121" t="str">
        <f>IF(ISBLANK(tbl_task3[[คะแนนเต็ม]:[คะแนนเต็ม]]),"",(tbl_task3[22]/tbl_task3[[คะแนนเต็ม]:[คะแนนเต็ม]])*tbl_task3[[%]:[%]])</f>
        <v/>
      </c>
      <c r="GK6" s="121" t="str">
        <f>IF(ISBLANK(tbl_task3[[คะแนนเต็ม]:[คะแนนเต็ม]]),"",(tbl_task3[23]/tbl_task3[[คะแนนเต็ม]:[คะแนนเต็ม]])*tbl_task3[[%]:[%]])</f>
        <v/>
      </c>
      <c r="GL6" s="121" t="str">
        <f>IF(ISBLANK(tbl_task3[[คะแนนเต็ม]:[คะแนนเต็ม]]),"",(tbl_task3[24]/tbl_task3[[คะแนนเต็ม]:[คะแนนเต็ม]])*tbl_task3[[%]:[%]])</f>
        <v/>
      </c>
      <c r="GM6" s="121" t="str">
        <f>IF(ISBLANK(tbl_task3[[คะแนนเต็ม]:[คะแนนเต็ม]]),"",(tbl_task3[25]/tbl_task3[[คะแนนเต็ม]:[คะแนนเต็ม]])*tbl_task3[[%]:[%]])</f>
        <v/>
      </c>
      <c r="GN6" s="121" t="str">
        <f>IF(ISBLANK(tbl_task3[[คะแนนเต็ม]:[คะแนนเต็ม]]),"",(tbl_task3[26]/tbl_task3[[คะแนนเต็ม]:[คะแนนเต็ม]])*tbl_task3[[%]:[%]])</f>
        <v/>
      </c>
      <c r="GO6" s="121" t="str">
        <f>IF(ISBLANK(tbl_task3[[คะแนนเต็ม]:[คะแนนเต็ม]]),"",(tbl_task3[27]/tbl_task3[[คะแนนเต็ม]:[คะแนนเต็ม]])*tbl_task3[[%]:[%]])</f>
        <v/>
      </c>
      <c r="GP6" s="121" t="str">
        <f>IF(ISBLANK(tbl_task3[[คะแนนเต็ม]:[คะแนนเต็ม]]),"",(tbl_task3[28]/tbl_task3[[คะแนนเต็ม]:[คะแนนเต็ม]])*tbl_task3[[%]:[%]])</f>
        <v/>
      </c>
      <c r="GQ6" s="121" t="str">
        <f>IF(ISBLANK(tbl_task3[[คะแนนเต็ม]:[คะแนนเต็ม]]),"",(tbl_task3[29]/tbl_task3[[คะแนนเต็ม]:[คะแนนเต็ม]])*tbl_task3[[%]:[%]])</f>
        <v/>
      </c>
      <c r="GR6" s="121" t="str">
        <f>IF(ISBLANK(tbl_task3[[คะแนนเต็ม]:[คะแนนเต็ม]]),"",(tbl_task3[30]/tbl_task3[[คะแนนเต็ม]:[คะแนนเต็ม]])*tbl_task3[[%]:[%]])</f>
        <v/>
      </c>
      <c r="GS6" s="121" t="str">
        <f>IF(ISBLANK(tbl_task3[[คะแนนเต็ม]:[คะแนนเต็ม]]),"",(tbl_task3[31]/tbl_task3[[คะแนนเต็ม]:[คะแนนเต็ม]])*tbl_task3[[%]:[%]])</f>
        <v/>
      </c>
      <c r="GT6" s="121" t="str">
        <f>IF(ISBLANK(tbl_task3[[คะแนนเต็ม]:[คะแนนเต็ม]]),"",(tbl_task3[32]/tbl_task3[[คะแนนเต็ม]:[คะแนนเต็ม]])*tbl_task3[[%]:[%]])</f>
        <v/>
      </c>
      <c r="GU6" s="121" t="str">
        <f>IF(ISBLANK(tbl_task3[[คะแนนเต็ม]:[คะแนนเต็ม]]),"",(tbl_task3[33]/tbl_task3[[คะแนนเต็ม]:[คะแนนเต็ม]])*tbl_task3[[%]:[%]])</f>
        <v/>
      </c>
      <c r="GV6" s="121" t="str">
        <f>IF(ISBLANK(tbl_task3[[คะแนนเต็ม]:[คะแนนเต็ม]]),"",(tbl_task3[34]/tbl_task3[[คะแนนเต็ม]:[คะแนนเต็ม]])*tbl_task3[[%]:[%]])</f>
        <v/>
      </c>
      <c r="GW6" s="121" t="str">
        <f>IF(ISBLANK(tbl_task3[[คะแนนเต็ม]:[คะแนนเต็ม]]),"",(tbl_task3[35]/tbl_task3[[คะแนนเต็ม]:[คะแนนเต็ม]])*tbl_task3[[%]:[%]])</f>
        <v/>
      </c>
      <c r="GX6" s="121" t="str">
        <f>IF(ISBLANK(tbl_task3[[คะแนนเต็ม]:[คะแนนเต็ม]]),"",(tbl_task3[36]/tbl_task3[[คะแนนเต็ม]:[คะแนนเต็ม]])*tbl_task3[[%]:[%]])</f>
        <v/>
      </c>
      <c r="GY6" s="121" t="str">
        <f>IF(ISBLANK(tbl_task3[[คะแนนเต็ม]:[คะแนนเต็ม]]),"",(tbl_task3[37]/tbl_task3[[คะแนนเต็ม]:[คะแนนเต็ม]])*tbl_task3[[%]:[%]])</f>
        <v/>
      </c>
      <c r="GZ6" s="121" t="str">
        <f>IF(ISBLANK(tbl_task3[[คะแนนเต็ม]:[คะแนนเต็ม]]),"",(tbl_task3[38]/tbl_task3[[คะแนนเต็ม]:[คะแนนเต็ม]])*tbl_task3[[%]:[%]])</f>
        <v/>
      </c>
      <c r="HA6" s="121" t="str">
        <f>IF(ISBLANK(tbl_task3[[คะแนนเต็ม]:[คะแนนเต็ม]]),"",(tbl_task3[39]/tbl_task3[[คะแนนเต็ม]:[คะแนนเต็ม]])*tbl_task3[[%]:[%]])</f>
        <v/>
      </c>
      <c r="HB6" s="121" t="str">
        <f>IF(ISBLANK(tbl_task3[[คะแนนเต็ม]:[คะแนนเต็ม]]),"",(tbl_task3[40]/tbl_task3[[คะแนนเต็ม]:[คะแนนเต็ม]])*tbl_task3[[%]:[%]])</f>
        <v/>
      </c>
      <c r="HC6" s="121" t="str">
        <f>IF(ISBLANK(tbl_task3[[คะแนนเต็ม]:[คะแนนเต็ม]]),"",(tbl_task3[41]/tbl_task3[[คะแนนเต็ม]:[คะแนนเต็ม]])*tbl_task3[[%]:[%]])</f>
        <v/>
      </c>
      <c r="HD6" s="121" t="str">
        <f>IF(ISBLANK(tbl_task3[[คะแนนเต็ม]:[คะแนนเต็ม]]),"",(tbl_task3[42]/tbl_task3[[คะแนนเต็ม]:[คะแนนเต็ม]])*tbl_task3[[%]:[%]])</f>
        <v/>
      </c>
      <c r="HE6" s="121" t="str">
        <f>IF(ISBLANK(tbl_task3[[คะแนนเต็ม]:[คะแนนเต็ม]]),"",(tbl_task3[43]/tbl_task3[[คะแนนเต็ม]:[คะแนนเต็ม]])*tbl_task3[[%]:[%]])</f>
        <v/>
      </c>
      <c r="HF6" s="121" t="str">
        <f>IF(ISBLANK(tbl_task3[[คะแนนเต็ม]:[คะแนนเต็ม]]),"",(tbl_task3[44]/tbl_task3[[คะแนนเต็ม]:[คะแนนเต็ม]])*tbl_task3[[%]:[%]])</f>
        <v/>
      </c>
      <c r="HG6" s="121" t="str">
        <f>IF(ISBLANK(tbl_task3[[คะแนนเต็ม]:[คะแนนเต็ม]]),"",(tbl_task3[45]/tbl_task3[[คะแนนเต็ม]:[คะแนนเต็ม]])*tbl_task3[[%]:[%]])</f>
        <v/>
      </c>
      <c r="HH6" s="121" t="str">
        <f>IF(ISBLANK(tbl_task3[[คะแนนเต็ม]:[คะแนนเต็ม]]),"",(tbl_task3[46]/tbl_task3[[คะแนนเต็ม]:[คะแนนเต็ม]])*tbl_task3[[%]:[%]])</f>
        <v/>
      </c>
      <c r="HI6" s="121" t="str">
        <f>IF(ISBLANK(tbl_task3[[คะแนนเต็ม]:[คะแนนเต็ม]]),"",(tbl_task3[47]/tbl_task3[[คะแนนเต็ม]:[คะแนนเต็ม]])*tbl_task3[[%]:[%]])</f>
        <v/>
      </c>
      <c r="HJ6" s="121" t="str">
        <f>IF(ISBLANK(tbl_task3[[คะแนนเต็ม]:[คะแนนเต็ม]]),"",(tbl_task3[48]/tbl_task3[[คะแนนเต็ม]:[คะแนนเต็ม]])*tbl_task3[[%]:[%]])</f>
        <v/>
      </c>
      <c r="HK6" s="121" t="str">
        <f>IF(ISBLANK(tbl_task3[[คะแนนเต็ม]:[คะแนนเต็ม]]),"",(tbl_task3[49]/tbl_task3[[คะแนนเต็ม]:[คะแนนเต็ม]])*tbl_task3[[%]:[%]])</f>
        <v/>
      </c>
      <c r="HL6" s="121" t="str">
        <f>IF(ISBLANK(tbl_task3[[คะแนนเต็ม]:[คะแนนเต็ม]]),"",(tbl_task3[50]/tbl_task3[[คะแนนเต็ม]:[คะแนนเต็ม]])*tbl_task3[[%]:[%]])</f>
        <v/>
      </c>
      <c r="HM6" s="121" t="str">
        <f>IF(ISBLANK(tbl_task3[[คะแนนเต็ม]:[คะแนนเต็ม]]),"",(tbl_task3[51]/tbl_task3[[คะแนนเต็ม]:[คะแนนเต็ม]])*tbl_task3[[%]:[%]])</f>
        <v/>
      </c>
      <c r="HN6" s="121" t="str">
        <f>IF(ISBLANK(tbl_task3[[คะแนนเต็ม]:[คะแนนเต็ม]]),"",(tbl_task3[52]/tbl_task3[[คะแนนเต็ม]:[คะแนนเต็ม]])*tbl_task3[[%]:[%]])</f>
        <v/>
      </c>
      <c r="HO6" s="121" t="str">
        <f>IF(ISBLANK(tbl_task3[[คะแนนเต็ม]:[คะแนนเต็ม]]),"",(tbl_task3[53]/tbl_task3[[คะแนนเต็ม]:[คะแนนเต็ม]])*tbl_task3[[%]:[%]])</f>
        <v/>
      </c>
      <c r="HP6" s="121" t="str">
        <f>IF(ISBLANK(tbl_task3[[คะแนนเต็ม]:[คะแนนเต็ม]]),"",(tbl_task3[54]/tbl_task3[[คะแนนเต็ม]:[คะแนนเต็ม]])*tbl_task3[[%]:[%]])</f>
        <v/>
      </c>
      <c r="HQ6" s="121" t="str">
        <f>IF(ISBLANK(tbl_task3[[คะแนนเต็ม]:[คะแนนเต็ม]]),"",(tbl_task3[55]/tbl_task3[[คะแนนเต็ม]:[คะแนนเต็ม]])*tbl_task3[[%]:[%]])</f>
        <v/>
      </c>
      <c r="HR6" s="121" t="str">
        <f>IF(ISBLANK(tbl_task3[[คะแนนเต็ม]:[คะแนนเต็ม]]),"",(tbl_task3[56]/tbl_task3[[คะแนนเต็ม]:[คะแนนเต็ม]])*tbl_task3[[%]:[%]])</f>
        <v/>
      </c>
      <c r="HS6" s="121" t="str">
        <f>IF(ISBLANK(tbl_task3[[คะแนนเต็ม]:[คะแนนเต็ม]]),"",(tbl_task3[57]/tbl_task3[[คะแนนเต็ม]:[คะแนนเต็ม]])*tbl_task3[[%]:[%]])</f>
        <v/>
      </c>
      <c r="HT6" s="121" t="str">
        <f>IF(ISBLANK(tbl_task3[[คะแนนเต็ม]:[คะแนนเต็ม]]),"",(tbl_task3[58]/tbl_task3[[คะแนนเต็ม]:[คะแนนเต็ม]])*tbl_task3[[%]:[%]])</f>
        <v/>
      </c>
      <c r="HU6" s="121" t="str">
        <f>IF(ISBLANK(tbl_task3[[คะแนนเต็ม]:[คะแนนเต็ม]]),"",(tbl_task3[59]/tbl_task3[[คะแนนเต็ม]:[คะแนนเต็ม]])*tbl_task3[[%]:[%]])</f>
        <v/>
      </c>
      <c r="HV6" s="121" t="str">
        <f>IF(ISBLANK(tbl_task3[[คะแนนเต็ม]:[คะแนนเต็ม]]),"",(tbl_task3[60]/tbl_task3[[คะแนนเต็ม]:[คะแนนเต็ม]])*tbl_task3[[%]:[%]])</f>
        <v/>
      </c>
      <c r="HW6" s="121" t="str">
        <f>IF(ISBLANK(tbl_task3[[คะแนนเต็ม]:[คะแนนเต็ม]]),"",(tbl_task3[61]/tbl_task3[[คะแนนเต็ม]:[คะแนนเต็ม]])*tbl_task3[[%]:[%]])</f>
        <v/>
      </c>
      <c r="HX6" s="121" t="str">
        <f>IF(ISBLANK(tbl_task3[[คะแนนเต็ม]:[คะแนนเต็ม]]),"",(tbl_task3[62]/tbl_task3[[คะแนนเต็ม]:[คะแนนเต็ม]])*tbl_task3[[%]:[%]])</f>
        <v/>
      </c>
      <c r="HY6" s="121" t="str">
        <f>IF(ISBLANK(tbl_task3[[คะแนนเต็ม]:[คะแนนเต็ม]]),"",(tbl_task3[63]/tbl_task3[[คะแนนเต็ม]:[คะแนนเต็ม]])*tbl_task3[[%]:[%]])</f>
        <v/>
      </c>
      <c r="HZ6" s="121" t="str">
        <f>IF(ISBLANK(tbl_task3[[คะแนนเต็ม]:[คะแนนเต็ม]]),"",(tbl_task3[64]/tbl_task3[[คะแนนเต็ม]:[คะแนนเต็ม]])*tbl_task3[[%]:[%]])</f>
        <v/>
      </c>
      <c r="IA6" s="121" t="str">
        <f>IF(ISBLANK(tbl_task3[[คะแนนเต็ม]:[คะแนนเต็ม]]),"",(tbl_task3[65]/tbl_task3[[คะแนนเต็ม]:[คะแนนเต็ม]])*tbl_task3[[%]:[%]])</f>
        <v/>
      </c>
      <c r="IB6" s="121" t="str">
        <f>IF(ISBLANK(tbl_task3[[คะแนนเต็ม]:[คะแนนเต็ม]]),"",(tbl_task3[66]/tbl_task3[[คะแนนเต็ม]:[คะแนนเต็ม]])*tbl_task3[[%]:[%]])</f>
        <v/>
      </c>
      <c r="IC6" s="121" t="str">
        <f>IF(ISBLANK(tbl_task3[[คะแนนเต็ม]:[คะแนนเต็ม]]),"",(tbl_task3[67]/tbl_task3[[คะแนนเต็ม]:[คะแนนเต็ม]])*tbl_task3[[%]:[%]])</f>
        <v/>
      </c>
      <c r="ID6" s="121" t="str">
        <f>IF(ISBLANK(tbl_task3[[คะแนนเต็ม]:[คะแนนเต็ม]]),"",(tbl_task3[68]/tbl_task3[[คะแนนเต็ม]:[คะแนนเต็ม]])*tbl_task3[[%]:[%]])</f>
        <v/>
      </c>
      <c r="IE6" s="121" t="str">
        <f>IF(ISBLANK(tbl_task3[[คะแนนเต็ม]:[คะแนนเต็ม]]),"",(tbl_task3[69]/tbl_task3[[คะแนนเต็ม]:[คะแนนเต็ม]])*tbl_task3[[%]:[%]])</f>
        <v/>
      </c>
      <c r="IF6" s="121" t="str">
        <f>IF(ISBLANK(tbl_task3[[คะแนนเต็ม]:[คะแนนเต็ม]]),"",(tbl_task3[70]/tbl_task3[[คะแนนเต็ม]:[คะแนนเต็ม]])*tbl_task3[[%]:[%]])</f>
        <v/>
      </c>
      <c r="IG6" s="121" t="str">
        <f>IF(ISBLANK(tbl_task3[[คะแนนเต็ม]:[คะแนนเต็ม]]),"",(tbl_task3[71]/tbl_task3[[คะแนนเต็ม]:[คะแนนเต็ม]])*tbl_task3[[%]:[%]])</f>
        <v/>
      </c>
      <c r="IH6" s="121" t="str">
        <f>IF(ISBLANK(tbl_task3[[คะแนนเต็ม]:[คะแนนเต็ม]]),"",(tbl_task3[72]/tbl_task3[[คะแนนเต็ม]:[คะแนนเต็ม]])*tbl_task3[[%]:[%]])</f>
        <v/>
      </c>
      <c r="II6" s="121" t="str">
        <f>IF(ISBLANK(tbl_task3[[คะแนนเต็ม]:[คะแนนเต็ม]]),"",(tbl_task3[73]/tbl_task3[[คะแนนเต็ม]:[คะแนนเต็ม]])*tbl_task3[[%]:[%]])</f>
        <v/>
      </c>
      <c r="IJ6" s="121" t="str">
        <f>IF(ISBLANK(tbl_task3[[คะแนนเต็ม]:[คะแนนเต็ม]]),"",(tbl_task3[74]/tbl_task3[[คะแนนเต็ม]:[คะแนนเต็ม]])*tbl_task3[[%]:[%]])</f>
        <v/>
      </c>
      <c r="IK6" s="121" t="str">
        <f>IF(ISBLANK(tbl_task3[[คะแนนเต็ม]:[คะแนนเต็ม]]),"",(tbl_task3[75]/tbl_task3[[คะแนนเต็ม]:[คะแนนเต็ม]])*tbl_task3[[%]:[%]])</f>
        <v/>
      </c>
      <c r="IL6" s="121" t="str">
        <f>IF(ISBLANK(tbl_task3[[คะแนนเต็ม]:[คะแนนเต็ม]]),"",(tbl_task3[76]/tbl_task3[[คะแนนเต็ม]:[คะแนนเต็ม]])*tbl_task3[[%]:[%]])</f>
        <v/>
      </c>
      <c r="IM6" s="121" t="str">
        <f>IF(ISBLANK(tbl_task3[[คะแนนเต็ม]:[คะแนนเต็ม]]),"",(tbl_task3[77]/tbl_task3[[คะแนนเต็ม]:[คะแนนเต็ม]])*tbl_task3[[%]:[%]])</f>
        <v/>
      </c>
      <c r="IN6" s="121" t="str">
        <f>IF(ISBLANK(tbl_task3[[คะแนนเต็ม]:[คะแนนเต็ม]]),"",(tbl_task3[78]/tbl_task3[[คะแนนเต็ม]:[คะแนนเต็ม]])*tbl_task3[[%]:[%]])</f>
        <v/>
      </c>
      <c r="IO6" s="121" t="str">
        <f>IF(ISBLANK(tbl_task3[[คะแนนเต็ม]:[คะแนนเต็ม]]),"",(tbl_task3[79]/tbl_task3[[คะแนนเต็ม]:[คะแนนเต็ม]])*tbl_task3[[%]:[%]])</f>
        <v/>
      </c>
      <c r="IP6" s="121" t="str">
        <f>IF(ISBLANK(tbl_task3[[คะแนนเต็ม]:[คะแนนเต็ม]]),"",(tbl_task3[80]/tbl_task3[[คะแนนเต็ม]:[คะแนนเต็ม]])*tbl_task3[[%]:[%]])</f>
        <v/>
      </c>
      <c r="IQ6" s="121" t="str">
        <f>IF(ISBLANK(tbl_task3[[คะแนนเต็ม]:[คะแนนเต็ม]]),"",(tbl_task3[81]/tbl_task3[[คะแนนเต็ม]:[คะแนนเต็ม]])*tbl_task3[[%]:[%]])</f>
        <v/>
      </c>
      <c r="IR6" s="121" t="str">
        <f>IF(ISBLANK(tbl_task3[[คะแนนเต็ม]:[คะแนนเต็ม]]),"",(tbl_task3[82]/tbl_task3[[คะแนนเต็ม]:[คะแนนเต็ม]])*tbl_task3[[%]:[%]])</f>
        <v/>
      </c>
      <c r="IS6" s="121" t="str">
        <f>IF(ISBLANK(tbl_task3[[คะแนนเต็ม]:[คะแนนเต็ม]]),"",(tbl_task3[83]/tbl_task3[[คะแนนเต็ม]:[คะแนนเต็ม]])*tbl_task3[[%]:[%]])</f>
        <v/>
      </c>
      <c r="IT6" s="121" t="str">
        <f>IF(ISBLANK(tbl_task3[[คะแนนเต็ม]:[คะแนนเต็ม]]),"",(tbl_task3[84]/tbl_task3[[คะแนนเต็ม]:[คะแนนเต็ม]])*tbl_task3[[%]:[%]])</f>
        <v/>
      </c>
      <c r="IU6" s="121" t="str">
        <f>IF(ISBLANK(tbl_task3[[คะแนนเต็ม]:[คะแนนเต็ม]]),"",(tbl_task3[85]/tbl_task3[[คะแนนเต็ม]:[คะแนนเต็ม]])*tbl_task3[[%]:[%]])</f>
        <v/>
      </c>
      <c r="IV6" s="121" t="str">
        <f>IF(ISBLANK(tbl_task3[[คะแนนเต็ม]:[คะแนนเต็ม]]),"",(tbl_task3[86]/tbl_task3[[คะแนนเต็ม]:[คะแนนเต็ม]])*tbl_task3[[%]:[%]])</f>
        <v/>
      </c>
      <c r="IW6" s="121" t="str">
        <f>IF(ISBLANK(tbl_task3[[คะแนนเต็ม]:[คะแนนเต็ม]]),"",(tbl_task3[87]/tbl_task3[[คะแนนเต็ม]:[คะแนนเต็ม]])*tbl_task3[[%]:[%]])</f>
        <v/>
      </c>
      <c r="IX6" s="121" t="str">
        <f>IF(ISBLANK(tbl_task3[[คะแนนเต็ม]:[คะแนนเต็ม]]),"",(tbl_task3[88]/tbl_task3[[คะแนนเต็ม]:[คะแนนเต็ม]])*tbl_task3[[%]:[%]])</f>
        <v/>
      </c>
      <c r="IY6" s="121" t="str">
        <f>IF(ISBLANK(tbl_task3[[คะแนนเต็ม]:[คะแนนเต็ม]]),"",(tbl_task3[89]/tbl_task3[[คะแนนเต็ม]:[คะแนนเต็ม]])*tbl_task3[[%]:[%]])</f>
        <v/>
      </c>
      <c r="IZ6" s="121" t="str">
        <f>IF(ISBLANK(tbl_task3[[คะแนนเต็ม]:[คะแนนเต็ม]]),"",(tbl_task3[90]/tbl_task3[[คะแนนเต็ม]:[คะแนนเต็ม]])*tbl_task3[[%]:[%]])</f>
        <v/>
      </c>
      <c r="JA6" s="121" t="str">
        <f>IF(ISBLANK(tbl_task3[[คะแนนเต็ม]:[คะแนนเต็ม]]),"",(tbl_task3[91]/tbl_task3[[คะแนนเต็ม]:[คะแนนเต็ม]])*tbl_task3[[%]:[%]])</f>
        <v/>
      </c>
      <c r="JB6" s="121" t="str">
        <f>IF(ISBLANK(tbl_task3[[คะแนนเต็ม]:[คะแนนเต็ม]]),"",(tbl_task3[92]/tbl_task3[[คะแนนเต็ม]:[คะแนนเต็ม]])*tbl_task3[[%]:[%]])</f>
        <v/>
      </c>
      <c r="JC6" s="121" t="str">
        <f>IF(ISBLANK(tbl_task3[[คะแนนเต็ม]:[คะแนนเต็ม]]),"",(tbl_task3[93]/tbl_task3[[คะแนนเต็ม]:[คะแนนเต็ม]])*tbl_task3[[%]:[%]])</f>
        <v/>
      </c>
      <c r="JD6" s="121" t="str">
        <f>IF(ISBLANK(tbl_task3[[คะแนนเต็ม]:[คะแนนเต็ม]]),"",(tbl_task3[94]/tbl_task3[[คะแนนเต็ม]:[คะแนนเต็ม]])*tbl_task3[[%]:[%]])</f>
        <v/>
      </c>
      <c r="JE6" s="121" t="str">
        <f>IF(ISBLANK(tbl_task3[[คะแนนเต็ม]:[คะแนนเต็ม]]),"",(tbl_task3[95]/tbl_task3[[คะแนนเต็ม]:[คะแนนเต็ม]])*tbl_task3[[%]:[%]])</f>
        <v/>
      </c>
      <c r="JF6" s="121" t="str">
        <f>IF(ISBLANK(tbl_task3[[คะแนนเต็ม]:[คะแนนเต็ม]]),"",(tbl_task3[96]/tbl_task3[[คะแนนเต็ม]:[คะแนนเต็ม]])*tbl_task3[[%]:[%]])</f>
        <v/>
      </c>
      <c r="JG6" s="121" t="str">
        <f>IF(ISBLANK(tbl_task3[[คะแนนเต็ม]:[คะแนนเต็ม]]),"",(tbl_task3[97]/tbl_task3[[คะแนนเต็ม]:[คะแนนเต็ม]])*tbl_task3[[%]:[%]])</f>
        <v/>
      </c>
      <c r="JH6" s="121" t="str">
        <f>IF(ISBLANK(tbl_task3[[คะแนนเต็ม]:[คะแนนเต็ม]]),"",(tbl_task3[98]/tbl_task3[[คะแนนเต็ม]:[คะแนนเต็ม]])*tbl_task3[[%]:[%]])</f>
        <v/>
      </c>
      <c r="JI6" s="121" t="str">
        <f>IF(ISBLANK(tbl_task3[[คะแนนเต็ม]:[คะแนนเต็ม]]),"",(tbl_task3[99]/tbl_task3[[คะแนนเต็ม]:[คะแนนเต็ม]])*tbl_task3[[%]:[%]])</f>
        <v/>
      </c>
      <c r="JJ6" s="121" t="str">
        <f>IF(ISBLANK(tbl_task3[[คะแนนเต็ม]:[คะแนนเต็ม]]),"",(tbl_task3[100]/tbl_task3[[คะแนนเต็ม]:[คะแนนเต็ม]])*tbl_task3[[%]:[%]])</f>
        <v/>
      </c>
      <c r="JK6" s="121" t="str">
        <f>IF(ISBLANK(tbl_task3[[คะแนนเต็ม]:[คะแนนเต็ม]]),"",(tbl_task3[101]/tbl_task3[[คะแนนเต็ม]:[คะแนนเต็ม]])*tbl_task3[[%]:[%]])</f>
        <v/>
      </c>
      <c r="JL6" s="121" t="str">
        <f>IF(ISBLANK(tbl_task3[[คะแนนเต็ม]:[คะแนนเต็ม]]),"",(tbl_task3[102]/tbl_task3[[คะแนนเต็ม]:[คะแนนเต็ม]])*tbl_task3[[%]:[%]])</f>
        <v/>
      </c>
      <c r="JM6" s="121" t="str">
        <f>IF(ISBLANK(tbl_task3[[คะแนนเต็ม]:[คะแนนเต็ม]]),"",(tbl_task3[103]/tbl_task3[[คะแนนเต็ม]:[คะแนนเต็ม]])*tbl_task3[[%]:[%]])</f>
        <v/>
      </c>
      <c r="JN6" s="121" t="str">
        <f>IF(ISBLANK(tbl_task3[[คะแนนเต็ม]:[คะแนนเต็ม]]),"",(tbl_task3[104]/tbl_task3[[คะแนนเต็ม]:[คะแนนเต็ม]])*tbl_task3[[%]:[%]])</f>
        <v/>
      </c>
      <c r="JO6" s="121" t="str">
        <f>IF(ISBLANK(tbl_task3[[คะแนนเต็ม]:[คะแนนเต็ม]]),"",(tbl_task3[105]/tbl_task3[[คะแนนเต็ม]:[คะแนนเต็ม]])*tbl_task3[[%]:[%]])</f>
        <v/>
      </c>
      <c r="JP6" s="121" t="str">
        <f>IF(ISBLANK(tbl_task3[[คะแนนเต็ม]:[คะแนนเต็ม]]),"",(tbl_task3[106]/tbl_task3[[คะแนนเต็ม]:[คะแนนเต็ม]])*tbl_task3[[%]:[%]])</f>
        <v/>
      </c>
      <c r="JQ6" s="121" t="str">
        <f>IF(ISBLANK(tbl_task3[[คะแนนเต็ม]:[คะแนนเต็ม]]),"",(tbl_task3[107]/tbl_task3[[คะแนนเต็ม]:[คะแนนเต็ม]])*tbl_task3[[%]:[%]])</f>
        <v/>
      </c>
      <c r="JR6" s="121" t="str">
        <f>IF(ISBLANK(tbl_task3[[คะแนนเต็ม]:[คะแนนเต็ม]]),"",(tbl_task3[108]/tbl_task3[[คะแนนเต็ม]:[คะแนนเต็ม]])*tbl_task3[[%]:[%]])</f>
        <v/>
      </c>
      <c r="JS6" s="121" t="str">
        <f>IF(ISBLANK(tbl_task3[[คะแนนเต็ม]:[คะแนนเต็ม]]),"",(tbl_task3[109]/tbl_task3[[คะแนนเต็ม]:[คะแนนเต็ม]])*tbl_task3[[%]:[%]])</f>
        <v/>
      </c>
      <c r="JT6" s="121" t="str">
        <f>IF(ISBLANK(tbl_task3[[คะแนนเต็ม]:[คะแนนเต็ม]]),"",(tbl_task3[110]/tbl_task3[[คะแนนเต็ม]:[คะแนนเต็ม]])*tbl_task3[[%]:[%]])</f>
        <v/>
      </c>
      <c r="JU6" s="121" t="str">
        <f>IF(ISBLANK(tbl_task3[[คะแนนเต็ม]:[คะแนนเต็ม]]),"",(tbl_task3[111]/tbl_task3[[คะแนนเต็ม]:[คะแนนเต็ม]])*tbl_task3[[%]:[%]])</f>
        <v/>
      </c>
      <c r="JV6" s="121" t="str">
        <f>IF(ISBLANK(tbl_task3[[คะแนนเต็ม]:[คะแนนเต็ม]]),"",(tbl_task3[112]/tbl_task3[[คะแนนเต็ม]:[คะแนนเต็ม]])*tbl_task3[[%]:[%]])</f>
        <v/>
      </c>
      <c r="JW6" s="121" t="str">
        <f>IF(ISBLANK(tbl_task3[[คะแนนเต็ม]:[คะแนนเต็ม]]),"",(tbl_task3[113]/tbl_task3[[คะแนนเต็ม]:[คะแนนเต็ม]])*tbl_task3[[%]:[%]])</f>
        <v/>
      </c>
      <c r="JX6" s="121" t="str">
        <f>IF(ISBLANK(tbl_task3[[คะแนนเต็ม]:[คะแนนเต็ม]]),"",(tbl_task3[114]/tbl_task3[[คะแนนเต็ม]:[คะแนนเต็ม]])*tbl_task3[[%]:[%]])</f>
        <v/>
      </c>
      <c r="JY6" s="121" t="str">
        <f>IF(ISBLANK(tbl_task3[[คะแนนเต็ม]:[คะแนนเต็ม]]),"",(tbl_task3[115]/tbl_task3[[คะแนนเต็ม]:[คะแนนเต็ม]])*tbl_task3[[%]:[%]])</f>
        <v/>
      </c>
      <c r="JZ6" s="121" t="str">
        <f>IF(ISBLANK(tbl_task3[[คะแนนเต็ม]:[คะแนนเต็ม]]),"",(tbl_task3[116]/tbl_task3[[คะแนนเต็ม]:[คะแนนเต็ม]])*tbl_task3[[%]:[%]])</f>
        <v/>
      </c>
      <c r="KA6" s="121" t="str">
        <f>IF(ISBLANK(tbl_task3[[คะแนนเต็ม]:[คะแนนเต็ม]]),"",(tbl_task3[117]/tbl_task3[[คะแนนเต็ม]:[คะแนนเต็ม]])*tbl_task3[[%]:[%]])</f>
        <v/>
      </c>
      <c r="KB6" s="121" t="str">
        <f>IF(ISBLANK(tbl_task3[[คะแนนเต็ม]:[คะแนนเต็ม]]),"",(tbl_task3[118]/tbl_task3[[คะแนนเต็ม]:[คะแนนเต็ม]])*tbl_task3[[%]:[%]])</f>
        <v/>
      </c>
      <c r="KC6" s="121" t="str">
        <f>IF(ISBLANK(tbl_task3[[คะแนนเต็ม]:[คะแนนเต็ม]]),"",(tbl_task3[119]/tbl_task3[[คะแนนเต็ม]:[คะแนนเต็ม]])*tbl_task3[[%]:[%]])</f>
        <v/>
      </c>
      <c r="KD6" s="121" t="str">
        <f>IF(ISBLANK(tbl_task3[[คะแนนเต็ม]:[คะแนนเต็ม]]),"",(tbl_task3[120]/tbl_task3[[คะแนนเต็ม]:[คะแนนเต็ม]])*tbl_task3[[%]:[%]])</f>
        <v/>
      </c>
      <c r="KE6" s="121" t="str">
        <f>IF(ISBLANK(tbl_task3[[คะแนนเต็ม]:[คะแนนเต็ม]]),"",(tbl_task3[121]/tbl_task3[[คะแนนเต็ม]:[คะแนนเต็ม]])*tbl_task3[[%]:[%]])</f>
        <v/>
      </c>
      <c r="KF6" s="121" t="str">
        <f>IF(ISBLANK(tbl_task3[[คะแนนเต็ม]:[คะแนนเต็ม]]),"",(tbl_task3[122]/tbl_task3[[คะแนนเต็ม]:[คะแนนเต็ม]])*tbl_task3[[%]:[%]])</f>
        <v/>
      </c>
      <c r="KG6" s="121" t="str">
        <f>IF(ISBLANK(tbl_task3[[คะแนนเต็ม]:[คะแนนเต็ม]]),"",(tbl_task3[123]/tbl_task3[[คะแนนเต็ม]:[คะแนนเต็ม]])*tbl_task3[[%]:[%]])</f>
        <v/>
      </c>
      <c r="KH6" s="121" t="str">
        <f>IF(ISBLANK(tbl_task3[[คะแนนเต็ม]:[คะแนนเต็ม]]),"",(tbl_task3[124]/tbl_task3[[คะแนนเต็ม]:[คะแนนเต็ม]])*tbl_task3[[%]:[%]])</f>
        <v/>
      </c>
      <c r="KI6" s="121" t="str">
        <f>IF(ISBLANK(tbl_task3[[คะแนนเต็ม]:[คะแนนเต็ม]]),"",(tbl_task3[125]/tbl_task3[[คะแนนเต็ม]:[คะแนนเต็ม]])*tbl_task3[[%]:[%]])</f>
        <v/>
      </c>
      <c r="KJ6" s="121" t="str">
        <f>IF(ISBLANK(tbl_task3[[คะแนนเต็ม]:[คะแนนเต็ม]]),"",(tbl_task3[126]/tbl_task3[[คะแนนเต็ม]:[คะแนนเต็ม]])*tbl_task3[[%]:[%]])</f>
        <v/>
      </c>
      <c r="KK6" s="121" t="str">
        <f>IF(ISBLANK(tbl_task3[[คะแนนเต็ม]:[คะแนนเต็ม]]),"",(tbl_task3[127]/tbl_task3[[คะแนนเต็ม]:[คะแนนเต็ม]])*tbl_task3[[%]:[%]])</f>
        <v/>
      </c>
      <c r="KL6" s="121" t="str">
        <f>IF(ISBLANK(tbl_task3[[คะแนนเต็ม]:[คะแนนเต็ม]]),"",(tbl_task3[128]/tbl_task3[[คะแนนเต็ม]:[คะแนนเต็ม]])*tbl_task3[[%]:[%]])</f>
        <v/>
      </c>
      <c r="KM6" s="121" t="str">
        <f>IF(ISBLANK(tbl_task3[[คะแนนเต็ม]:[คะแนนเต็ม]]),"",(tbl_task3[129]/tbl_task3[[คะแนนเต็ม]:[คะแนนเต็ม]])*tbl_task3[[%]:[%]])</f>
        <v/>
      </c>
      <c r="KN6" s="121" t="str">
        <f>IF(ISBLANK(tbl_task3[[คะแนนเต็ม]:[คะแนนเต็ม]]),"",(tbl_task3[130]/tbl_task3[[คะแนนเต็ม]:[คะแนนเต็ม]])*tbl_task3[[%]:[%]])</f>
        <v/>
      </c>
      <c r="KO6" s="121" t="str">
        <f>IF(ISBLANK(tbl_task3[[คะแนนเต็ม]:[คะแนนเต็ม]]),"",(tbl_task3[131]/tbl_task3[[คะแนนเต็ม]:[คะแนนเต็ม]])*tbl_task3[[%]:[%]])</f>
        <v/>
      </c>
      <c r="KP6" s="121" t="str">
        <f>IF(ISBLANK(tbl_task3[[คะแนนเต็ม]:[คะแนนเต็ม]]),"",(tbl_task3[132]/tbl_task3[[คะแนนเต็ม]:[คะแนนเต็ม]])*tbl_task3[[%]:[%]])</f>
        <v/>
      </c>
      <c r="KQ6" s="121" t="str">
        <f>IF(ISBLANK(tbl_task3[[คะแนนเต็ม]:[คะแนนเต็ม]]),"",(tbl_task3[133]/tbl_task3[[คะแนนเต็ม]:[คะแนนเต็ม]])*tbl_task3[[%]:[%]])</f>
        <v/>
      </c>
      <c r="KR6" s="121" t="str">
        <f>IF(ISBLANK(tbl_task3[[คะแนนเต็ม]:[คะแนนเต็ม]]),"",(tbl_task3[134]/tbl_task3[[คะแนนเต็ม]:[คะแนนเต็ม]])*tbl_task3[[%]:[%]])</f>
        <v/>
      </c>
      <c r="KS6" s="121" t="str">
        <f>IF(ISBLANK(tbl_task3[[คะแนนเต็ม]:[คะแนนเต็ม]]),"",(tbl_task3[135]/tbl_task3[[คะแนนเต็ม]:[คะแนนเต็ม]])*tbl_task3[[%]:[%]])</f>
        <v/>
      </c>
      <c r="KT6" s="121" t="str">
        <f>IF(ISBLANK(tbl_task3[[คะแนนเต็ม]:[คะแนนเต็ม]]),"",(tbl_task3[136]/tbl_task3[[คะแนนเต็ม]:[คะแนนเต็ม]])*tbl_task3[[%]:[%]])</f>
        <v/>
      </c>
      <c r="KU6" s="121" t="str">
        <f>IF(ISBLANK(tbl_task3[[คะแนนเต็ม]:[คะแนนเต็ม]]),"",(tbl_task3[137]/tbl_task3[[คะแนนเต็ม]:[คะแนนเต็ม]])*tbl_task3[[%]:[%]])</f>
        <v/>
      </c>
      <c r="KV6" s="121" t="str">
        <f>IF(ISBLANK(tbl_task3[[คะแนนเต็ม]:[คะแนนเต็ม]]),"",(tbl_task3[138]/tbl_task3[[คะแนนเต็ม]:[คะแนนเต็ม]])*tbl_task3[[%]:[%]])</f>
        <v/>
      </c>
      <c r="KW6" s="121" t="str">
        <f>IF(ISBLANK(tbl_task3[[คะแนนเต็ม]:[คะแนนเต็ม]]),"",(tbl_task3[139]/tbl_task3[[คะแนนเต็ม]:[คะแนนเต็ม]])*tbl_task3[[%]:[%]])</f>
        <v/>
      </c>
      <c r="KX6" s="121" t="str">
        <f>IF(ISBLANK(tbl_task3[[คะแนนเต็ม]:[คะแนนเต็ม]]),"",(tbl_task3[140]/tbl_task3[[คะแนนเต็ม]:[คะแนนเต็ม]])*tbl_task3[[%]:[%]])</f>
        <v/>
      </c>
      <c r="KY6" s="121" t="str">
        <f>IF(ISBLANK(tbl_task3[[คะแนนเต็ม]:[คะแนนเต็ม]]),"",(tbl_task3[141]/tbl_task3[[คะแนนเต็ม]:[คะแนนเต็ม]])*tbl_task3[[%]:[%]])</f>
        <v/>
      </c>
      <c r="KZ6" s="121" t="str">
        <f>IF(ISBLANK(tbl_task3[[คะแนนเต็ม]:[คะแนนเต็ม]]),"",(tbl_task3[142]/tbl_task3[[คะแนนเต็ม]:[คะแนนเต็ม]])*tbl_task3[[%]:[%]])</f>
        <v/>
      </c>
      <c r="LA6" s="121" t="str">
        <f>IF(ISBLANK(tbl_task3[[คะแนนเต็ม]:[คะแนนเต็ม]]),"",(tbl_task3[143]/tbl_task3[[คะแนนเต็ม]:[คะแนนเต็ม]])*tbl_task3[[%]:[%]])</f>
        <v/>
      </c>
      <c r="LB6" s="121" t="str">
        <f>IF(ISBLANK(tbl_task3[[คะแนนเต็ม]:[คะแนนเต็ม]]),"",(tbl_task3[144]/tbl_task3[[คะแนนเต็ม]:[คะแนนเต็ม]])*tbl_task3[[%]:[%]])</f>
        <v/>
      </c>
      <c r="LC6" s="121" t="str">
        <f>IF(ISBLANK(tbl_task3[[คะแนนเต็ม]:[คะแนนเต็ม]]),"",(tbl_task3[145]/tbl_task3[[คะแนนเต็ม]:[คะแนนเต็ม]])*tbl_task3[[%]:[%]])</f>
        <v/>
      </c>
      <c r="LD6" s="121" t="str">
        <f>IF(ISBLANK(tbl_task3[[คะแนนเต็ม]:[คะแนนเต็ม]]),"",(tbl_task3[146]/tbl_task3[[คะแนนเต็ม]:[คะแนนเต็ม]])*tbl_task3[[%]:[%]])</f>
        <v/>
      </c>
      <c r="LE6" s="121" t="str">
        <f>IF(ISBLANK(tbl_task3[[คะแนนเต็ม]:[คะแนนเต็ม]]),"",(tbl_task3[147]/tbl_task3[[คะแนนเต็ม]:[คะแนนเต็ม]])*tbl_task3[[%]:[%]])</f>
        <v/>
      </c>
      <c r="LF6" s="121" t="str">
        <f>IF(ISBLANK(tbl_task3[[คะแนนเต็ม]:[คะแนนเต็ม]]),"",(tbl_task3[148]/tbl_task3[[คะแนนเต็ม]:[คะแนนเต็ม]])*tbl_task3[[%]:[%]])</f>
        <v/>
      </c>
      <c r="LG6" s="121" t="str">
        <f>IF(ISBLANK(tbl_task3[[คะแนนเต็ม]:[คะแนนเต็ม]]),"",(tbl_task3[149]/tbl_task3[[คะแนนเต็ม]:[คะแนนเต็ม]])*tbl_task3[[%]:[%]])</f>
        <v/>
      </c>
      <c r="LH6" s="121" t="str">
        <f>IF(ISBLANK(tbl_task3[[คะแนนเต็ม]:[คะแนนเต็ม]]),"",(tbl_task3[150]/tbl_task3[[คะแนนเต็ม]:[คะแนนเต็ม]])*tbl_task3[[%]:[%]])</f>
        <v/>
      </c>
      <c r="LI6" s="121" t="str">
        <f>IF(ISBLANK(tbl_task3[[คะแนนเต็ม]:[คะแนนเต็ม]]),"",(tbl_task3[151]/tbl_task3[[คะแนนเต็ม]:[คะแนนเต็ม]])*tbl_task3[[%]:[%]])</f>
        <v/>
      </c>
      <c r="LJ6" s="121" t="str">
        <f>IF(ISBLANK(tbl_task3[[คะแนนเต็ม]:[คะแนนเต็ม]]),"",(tbl_task3[152]/tbl_task3[[คะแนนเต็ม]:[คะแนนเต็ม]])*tbl_task3[[%]:[%]])</f>
        <v/>
      </c>
      <c r="LK6" s="121" t="str">
        <f>IF(ISBLANK(tbl_task3[[คะแนนเต็ม]:[คะแนนเต็ม]]),"",(tbl_task3[153]/tbl_task3[[คะแนนเต็ม]:[คะแนนเต็ม]])*tbl_task3[[%]:[%]])</f>
        <v/>
      </c>
      <c r="LL6" s="121" t="str">
        <f>IF(ISBLANK(tbl_task3[[คะแนนเต็ม]:[คะแนนเต็ม]]),"",(tbl_task3[154]/tbl_task3[[คะแนนเต็ม]:[คะแนนเต็ม]])*tbl_task3[[%]:[%]])</f>
        <v/>
      </c>
      <c r="LM6" s="121" t="str">
        <f>IF(ISBLANK(tbl_task3[[คะแนนเต็ม]:[คะแนนเต็ม]]),"",(tbl_task3[155]/tbl_task3[[คะแนนเต็ม]:[คะแนนเต็ม]])*tbl_task3[[%]:[%]])</f>
        <v/>
      </c>
      <c r="LN6" s="121" t="str">
        <f>IF(ISBLANK(tbl_task3[[คะแนนเต็ม]:[คะแนนเต็ม]]),"",(tbl_task3[156]/tbl_task3[[คะแนนเต็ม]:[คะแนนเต็ม]])*tbl_task3[[%]:[%]])</f>
        <v/>
      </c>
      <c r="LO6" s="121" t="str">
        <f>IF(ISBLANK(tbl_task3[[คะแนนเต็ม]:[คะแนนเต็ม]]),"",(tbl_task3[157]/tbl_task3[[คะแนนเต็ม]:[คะแนนเต็ม]])*tbl_task3[[%]:[%]])</f>
        <v/>
      </c>
      <c r="LP6" s="121" t="str">
        <f>IF(ISBLANK(tbl_task3[[คะแนนเต็ม]:[คะแนนเต็ม]]),"",(tbl_task3[158]/tbl_task3[[คะแนนเต็ม]:[คะแนนเต็ม]])*tbl_task3[[%]:[%]])</f>
        <v/>
      </c>
      <c r="LQ6" s="121" t="str">
        <f>IF(ISBLANK(tbl_task3[[คะแนนเต็ม]:[คะแนนเต็ม]]),"",(tbl_task3[159]/tbl_task3[[คะแนนเต็ม]:[คะแนนเต็ม]])*tbl_task3[[%]:[%]])</f>
        <v/>
      </c>
      <c r="LR6" s="121" t="str">
        <f>IF(ISBLANK(tbl_task3[[คะแนนเต็ม]:[คะแนนเต็ม]]),"",(tbl_task3[160]/tbl_task3[[คะแนนเต็ม]:[คะแนนเต็ม]])*tbl_task3[[%]:[%]])</f>
        <v/>
      </c>
      <c r="LS6" s="121" t="str">
        <f>IF(ISBLANK(tbl_task3[[คะแนนเต็ม]:[คะแนนเต็ม]]),"",(tbl_task3[161]/tbl_task3[[คะแนนเต็ม]:[คะแนนเต็ม]])*tbl_task3[[%]:[%]])</f>
        <v/>
      </c>
      <c r="LT6" s="121" t="str">
        <f>IF(ISBLANK(tbl_task3[[คะแนนเต็ม]:[คะแนนเต็ม]]),"",(tbl_task3[162]/tbl_task3[[คะแนนเต็ม]:[คะแนนเต็ม]])*tbl_task3[[%]:[%]])</f>
        <v/>
      </c>
      <c r="LU6" s="121" t="str">
        <f>IF(ISBLANK(tbl_task3[[คะแนนเต็ม]:[คะแนนเต็ม]]),"",(tbl_task3[163]/tbl_task3[[คะแนนเต็ม]:[คะแนนเต็ม]])*tbl_task3[[%]:[%]])</f>
        <v/>
      </c>
      <c r="LV6" s="121" t="str">
        <f>IF(ISBLANK(tbl_task3[[คะแนนเต็ม]:[คะแนนเต็ม]]),"",(tbl_task3[164]/tbl_task3[[คะแนนเต็ม]:[คะแนนเต็ม]])*tbl_task3[[%]:[%]])</f>
        <v/>
      </c>
      <c r="LW6" s="121" t="str">
        <f>IF(ISBLANK(tbl_task3[[คะแนนเต็ม]:[คะแนนเต็ม]]),"",(tbl_task3[165]/tbl_task3[[คะแนนเต็ม]:[คะแนนเต็ม]])*tbl_task3[[%]:[%]])</f>
        <v/>
      </c>
    </row>
    <row r="7" spans="1:335" ht="22.5" customHeight="1" x14ac:dyDescent="0.25">
      <c r="A7" s="24">
        <v>4</v>
      </c>
      <c r="B7" s="33"/>
      <c r="C7" s="5" t="str">
        <f>IF(ISBLANK(B7),"",VLOOKUP(B7,tbl_PLOs[],2,0))</f>
        <v/>
      </c>
      <c r="D7" s="102"/>
      <c r="E7" s="10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22"/>
      <c r="FO7" s="121" t="str">
        <f>IF(ISBLANK(tbl_task3[[คะแนนเต็ม]:[คะแนนเต็ม]]),"",(tbl_task3[1]/tbl_task3[[คะแนนเต็ม]:[คะแนนเต็ม]])*tbl_task3[[%]:[%]])</f>
        <v/>
      </c>
      <c r="FP7" s="121" t="str">
        <f>IF(ISBLANK(tbl_task3[[คะแนนเต็ม]:[คะแนนเต็ม]]),"",(tbl_task3[2]/tbl_task3[[คะแนนเต็ม]:[คะแนนเต็ม]])*tbl_task3[[%]:[%]])</f>
        <v/>
      </c>
      <c r="FQ7" s="121" t="str">
        <f>IF(ISBLANK(tbl_task3[[คะแนนเต็ม]:[คะแนนเต็ม]]),"",(tbl_task3[3]/tbl_task3[[คะแนนเต็ม]:[คะแนนเต็ม]])*tbl_task3[[%]:[%]])</f>
        <v/>
      </c>
      <c r="FR7" s="121" t="str">
        <f>IF(ISBLANK(tbl_task3[[คะแนนเต็ม]:[คะแนนเต็ม]]),"",(tbl_task3[4]/tbl_task3[[คะแนนเต็ม]:[คะแนนเต็ม]])*tbl_task3[[%]:[%]])</f>
        <v/>
      </c>
      <c r="FS7" s="121" t="str">
        <f>IF(ISBLANK(tbl_task3[[คะแนนเต็ม]:[คะแนนเต็ม]]),"",(tbl_task3[5]/tbl_task3[[คะแนนเต็ม]:[คะแนนเต็ม]])*tbl_task3[[%]:[%]])</f>
        <v/>
      </c>
      <c r="FT7" s="121" t="str">
        <f>IF(ISBLANK(tbl_task3[[คะแนนเต็ม]:[คะแนนเต็ม]]),"",(tbl_task3[6]/tbl_task3[[คะแนนเต็ม]:[คะแนนเต็ม]])*tbl_task3[[%]:[%]])</f>
        <v/>
      </c>
      <c r="FU7" s="121" t="str">
        <f>IF(ISBLANK(tbl_task3[[คะแนนเต็ม]:[คะแนนเต็ม]]),"",(tbl_task3[7]/tbl_task3[[คะแนนเต็ม]:[คะแนนเต็ม]])*tbl_task3[[%]:[%]])</f>
        <v/>
      </c>
      <c r="FV7" s="121" t="str">
        <f>IF(ISBLANK(tbl_task3[[คะแนนเต็ม]:[คะแนนเต็ม]]),"",(tbl_task3[8]/tbl_task3[[คะแนนเต็ม]:[คะแนนเต็ม]])*tbl_task3[[%]:[%]])</f>
        <v/>
      </c>
      <c r="FW7" s="121" t="str">
        <f>IF(ISBLANK(tbl_task3[[คะแนนเต็ม]:[คะแนนเต็ม]]),"",(tbl_task3[9]/tbl_task3[[คะแนนเต็ม]:[คะแนนเต็ม]])*tbl_task3[[%]:[%]])</f>
        <v/>
      </c>
      <c r="FX7" s="121" t="str">
        <f>IF(ISBLANK(tbl_task3[[คะแนนเต็ม]:[คะแนนเต็ม]]),"",(tbl_task3[10]/tbl_task3[[คะแนนเต็ม]:[คะแนนเต็ม]])*tbl_task3[[%]:[%]])</f>
        <v/>
      </c>
      <c r="FY7" s="121" t="str">
        <f>IF(ISBLANK(tbl_task3[[คะแนนเต็ม]:[คะแนนเต็ม]]),"",(tbl_task3[11]/tbl_task3[[คะแนนเต็ม]:[คะแนนเต็ม]])*tbl_task3[[%]:[%]])</f>
        <v/>
      </c>
      <c r="FZ7" s="121" t="str">
        <f>IF(ISBLANK(tbl_task3[[คะแนนเต็ม]:[คะแนนเต็ม]]),"",(tbl_task3[12]/tbl_task3[[คะแนนเต็ม]:[คะแนนเต็ม]])*tbl_task3[[%]:[%]])</f>
        <v/>
      </c>
      <c r="GA7" s="121" t="str">
        <f>IF(ISBLANK(tbl_task3[[คะแนนเต็ม]:[คะแนนเต็ม]]),"",(tbl_task3[13]/tbl_task3[[คะแนนเต็ม]:[คะแนนเต็ม]])*tbl_task3[[%]:[%]])</f>
        <v/>
      </c>
      <c r="GB7" s="121" t="str">
        <f>IF(ISBLANK(tbl_task3[[คะแนนเต็ม]:[คะแนนเต็ม]]),"",(tbl_task3[14]/tbl_task3[[คะแนนเต็ม]:[คะแนนเต็ม]])*tbl_task3[[%]:[%]])</f>
        <v/>
      </c>
      <c r="GC7" s="121" t="str">
        <f>IF(ISBLANK(tbl_task3[[คะแนนเต็ม]:[คะแนนเต็ม]]),"",(tbl_task3[15]/tbl_task3[[คะแนนเต็ม]:[คะแนนเต็ม]])*tbl_task3[[%]:[%]])</f>
        <v/>
      </c>
      <c r="GD7" s="121" t="str">
        <f>IF(ISBLANK(tbl_task3[[คะแนนเต็ม]:[คะแนนเต็ม]]),"",(tbl_task3[16]/tbl_task3[[คะแนนเต็ม]:[คะแนนเต็ม]])*tbl_task3[[%]:[%]])</f>
        <v/>
      </c>
      <c r="GE7" s="121" t="str">
        <f>IF(ISBLANK(tbl_task3[[คะแนนเต็ม]:[คะแนนเต็ม]]),"",(tbl_task3[17]/tbl_task3[[คะแนนเต็ม]:[คะแนนเต็ม]])*tbl_task3[[%]:[%]])</f>
        <v/>
      </c>
      <c r="GF7" s="121" t="str">
        <f>IF(ISBLANK(tbl_task3[[คะแนนเต็ม]:[คะแนนเต็ม]]),"",(tbl_task3[18]/tbl_task3[[คะแนนเต็ม]:[คะแนนเต็ม]])*tbl_task3[[%]:[%]])</f>
        <v/>
      </c>
      <c r="GG7" s="121" t="str">
        <f>IF(ISBLANK(tbl_task3[[คะแนนเต็ม]:[คะแนนเต็ม]]),"",(tbl_task3[19]/tbl_task3[[คะแนนเต็ม]:[คะแนนเต็ม]])*tbl_task3[[%]:[%]])</f>
        <v/>
      </c>
      <c r="GH7" s="121" t="str">
        <f>IF(ISBLANK(tbl_task3[[คะแนนเต็ม]:[คะแนนเต็ม]]),"",(tbl_task3[20]/tbl_task3[[คะแนนเต็ม]:[คะแนนเต็ม]])*tbl_task3[[%]:[%]])</f>
        <v/>
      </c>
      <c r="GI7" s="121" t="str">
        <f>IF(ISBLANK(tbl_task3[[คะแนนเต็ม]:[คะแนนเต็ม]]),"",(tbl_task3[21]/tbl_task3[[คะแนนเต็ม]:[คะแนนเต็ม]])*tbl_task3[[%]:[%]])</f>
        <v/>
      </c>
      <c r="GJ7" s="121" t="str">
        <f>IF(ISBLANK(tbl_task3[[คะแนนเต็ม]:[คะแนนเต็ม]]),"",(tbl_task3[22]/tbl_task3[[คะแนนเต็ม]:[คะแนนเต็ม]])*tbl_task3[[%]:[%]])</f>
        <v/>
      </c>
      <c r="GK7" s="121" t="str">
        <f>IF(ISBLANK(tbl_task3[[คะแนนเต็ม]:[คะแนนเต็ม]]),"",(tbl_task3[23]/tbl_task3[[คะแนนเต็ม]:[คะแนนเต็ม]])*tbl_task3[[%]:[%]])</f>
        <v/>
      </c>
      <c r="GL7" s="121" t="str">
        <f>IF(ISBLANK(tbl_task3[[คะแนนเต็ม]:[คะแนนเต็ม]]),"",(tbl_task3[24]/tbl_task3[[คะแนนเต็ม]:[คะแนนเต็ม]])*tbl_task3[[%]:[%]])</f>
        <v/>
      </c>
      <c r="GM7" s="121" t="str">
        <f>IF(ISBLANK(tbl_task3[[คะแนนเต็ม]:[คะแนนเต็ม]]),"",(tbl_task3[25]/tbl_task3[[คะแนนเต็ม]:[คะแนนเต็ม]])*tbl_task3[[%]:[%]])</f>
        <v/>
      </c>
      <c r="GN7" s="121" t="str">
        <f>IF(ISBLANK(tbl_task3[[คะแนนเต็ม]:[คะแนนเต็ม]]),"",(tbl_task3[26]/tbl_task3[[คะแนนเต็ม]:[คะแนนเต็ม]])*tbl_task3[[%]:[%]])</f>
        <v/>
      </c>
      <c r="GO7" s="121" t="str">
        <f>IF(ISBLANK(tbl_task3[[คะแนนเต็ม]:[คะแนนเต็ม]]),"",(tbl_task3[27]/tbl_task3[[คะแนนเต็ม]:[คะแนนเต็ม]])*tbl_task3[[%]:[%]])</f>
        <v/>
      </c>
      <c r="GP7" s="121" t="str">
        <f>IF(ISBLANK(tbl_task3[[คะแนนเต็ม]:[คะแนนเต็ม]]),"",(tbl_task3[28]/tbl_task3[[คะแนนเต็ม]:[คะแนนเต็ม]])*tbl_task3[[%]:[%]])</f>
        <v/>
      </c>
      <c r="GQ7" s="121" t="str">
        <f>IF(ISBLANK(tbl_task3[[คะแนนเต็ม]:[คะแนนเต็ม]]),"",(tbl_task3[29]/tbl_task3[[คะแนนเต็ม]:[คะแนนเต็ม]])*tbl_task3[[%]:[%]])</f>
        <v/>
      </c>
      <c r="GR7" s="121" t="str">
        <f>IF(ISBLANK(tbl_task3[[คะแนนเต็ม]:[คะแนนเต็ม]]),"",(tbl_task3[30]/tbl_task3[[คะแนนเต็ม]:[คะแนนเต็ม]])*tbl_task3[[%]:[%]])</f>
        <v/>
      </c>
      <c r="GS7" s="121" t="str">
        <f>IF(ISBLANK(tbl_task3[[คะแนนเต็ม]:[คะแนนเต็ม]]),"",(tbl_task3[31]/tbl_task3[[คะแนนเต็ม]:[คะแนนเต็ม]])*tbl_task3[[%]:[%]])</f>
        <v/>
      </c>
      <c r="GT7" s="121" t="str">
        <f>IF(ISBLANK(tbl_task3[[คะแนนเต็ม]:[คะแนนเต็ม]]),"",(tbl_task3[32]/tbl_task3[[คะแนนเต็ม]:[คะแนนเต็ม]])*tbl_task3[[%]:[%]])</f>
        <v/>
      </c>
      <c r="GU7" s="121" t="str">
        <f>IF(ISBLANK(tbl_task3[[คะแนนเต็ม]:[คะแนนเต็ม]]),"",(tbl_task3[33]/tbl_task3[[คะแนนเต็ม]:[คะแนนเต็ม]])*tbl_task3[[%]:[%]])</f>
        <v/>
      </c>
      <c r="GV7" s="121" t="str">
        <f>IF(ISBLANK(tbl_task3[[คะแนนเต็ม]:[คะแนนเต็ม]]),"",(tbl_task3[34]/tbl_task3[[คะแนนเต็ม]:[คะแนนเต็ม]])*tbl_task3[[%]:[%]])</f>
        <v/>
      </c>
      <c r="GW7" s="121" t="str">
        <f>IF(ISBLANK(tbl_task3[[คะแนนเต็ม]:[คะแนนเต็ม]]),"",(tbl_task3[35]/tbl_task3[[คะแนนเต็ม]:[คะแนนเต็ม]])*tbl_task3[[%]:[%]])</f>
        <v/>
      </c>
      <c r="GX7" s="121" t="str">
        <f>IF(ISBLANK(tbl_task3[[คะแนนเต็ม]:[คะแนนเต็ม]]),"",(tbl_task3[36]/tbl_task3[[คะแนนเต็ม]:[คะแนนเต็ม]])*tbl_task3[[%]:[%]])</f>
        <v/>
      </c>
      <c r="GY7" s="121" t="str">
        <f>IF(ISBLANK(tbl_task3[[คะแนนเต็ม]:[คะแนนเต็ม]]),"",(tbl_task3[37]/tbl_task3[[คะแนนเต็ม]:[คะแนนเต็ม]])*tbl_task3[[%]:[%]])</f>
        <v/>
      </c>
      <c r="GZ7" s="121" t="str">
        <f>IF(ISBLANK(tbl_task3[[คะแนนเต็ม]:[คะแนนเต็ม]]),"",(tbl_task3[38]/tbl_task3[[คะแนนเต็ม]:[คะแนนเต็ม]])*tbl_task3[[%]:[%]])</f>
        <v/>
      </c>
      <c r="HA7" s="121" t="str">
        <f>IF(ISBLANK(tbl_task3[[คะแนนเต็ม]:[คะแนนเต็ม]]),"",(tbl_task3[39]/tbl_task3[[คะแนนเต็ม]:[คะแนนเต็ม]])*tbl_task3[[%]:[%]])</f>
        <v/>
      </c>
      <c r="HB7" s="121" t="str">
        <f>IF(ISBLANK(tbl_task3[[คะแนนเต็ม]:[คะแนนเต็ม]]),"",(tbl_task3[40]/tbl_task3[[คะแนนเต็ม]:[คะแนนเต็ม]])*tbl_task3[[%]:[%]])</f>
        <v/>
      </c>
      <c r="HC7" s="121" t="str">
        <f>IF(ISBLANK(tbl_task3[[คะแนนเต็ม]:[คะแนนเต็ม]]),"",(tbl_task3[41]/tbl_task3[[คะแนนเต็ม]:[คะแนนเต็ม]])*tbl_task3[[%]:[%]])</f>
        <v/>
      </c>
      <c r="HD7" s="121" t="str">
        <f>IF(ISBLANK(tbl_task3[[คะแนนเต็ม]:[คะแนนเต็ม]]),"",(tbl_task3[42]/tbl_task3[[คะแนนเต็ม]:[คะแนนเต็ม]])*tbl_task3[[%]:[%]])</f>
        <v/>
      </c>
      <c r="HE7" s="121" t="str">
        <f>IF(ISBLANK(tbl_task3[[คะแนนเต็ม]:[คะแนนเต็ม]]),"",(tbl_task3[43]/tbl_task3[[คะแนนเต็ม]:[คะแนนเต็ม]])*tbl_task3[[%]:[%]])</f>
        <v/>
      </c>
      <c r="HF7" s="121" t="str">
        <f>IF(ISBLANK(tbl_task3[[คะแนนเต็ม]:[คะแนนเต็ม]]),"",(tbl_task3[44]/tbl_task3[[คะแนนเต็ม]:[คะแนนเต็ม]])*tbl_task3[[%]:[%]])</f>
        <v/>
      </c>
      <c r="HG7" s="121" t="str">
        <f>IF(ISBLANK(tbl_task3[[คะแนนเต็ม]:[คะแนนเต็ม]]),"",(tbl_task3[45]/tbl_task3[[คะแนนเต็ม]:[คะแนนเต็ม]])*tbl_task3[[%]:[%]])</f>
        <v/>
      </c>
      <c r="HH7" s="121" t="str">
        <f>IF(ISBLANK(tbl_task3[[คะแนนเต็ม]:[คะแนนเต็ม]]),"",(tbl_task3[46]/tbl_task3[[คะแนนเต็ม]:[คะแนนเต็ม]])*tbl_task3[[%]:[%]])</f>
        <v/>
      </c>
      <c r="HI7" s="121" t="str">
        <f>IF(ISBLANK(tbl_task3[[คะแนนเต็ม]:[คะแนนเต็ม]]),"",(tbl_task3[47]/tbl_task3[[คะแนนเต็ม]:[คะแนนเต็ม]])*tbl_task3[[%]:[%]])</f>
        <v/>
      </c>
      <c r="HJ7" s="121" t="str">
        <f>IF(ISBLANK(tbl_task3[[คะแนนเต็ม]:[คะแนนเต็ม]]),"",(tbl_task3[48]/tbl_task3[[คะแนนเต็ม]:[คะแนนเต็ม]])*tbl_task3[[%]:[%]])</f>
        <v/>
      </c>
      <c r="HK7" s="121" t="str">
        <f>IF(ISBLANK(tbl_task3[[คะแนนเต็ม]:[คะแนนเต็ม]]),"",(tbl_task3[49]/tbl_task3[[คะแนนเต็ม]:[คะแนนเต็ม]])*tbl_task3[[%]:[%]])</f>
        <v/>
      </c>
      <c r="HL7" s="121" t="str">
        <f>IF(ISBLANK(tbl_task3[[คะแนนเต็ม]:[คะแนนเต็ม]]),"",(tbl_task3[50]/tbl_task3[[คะแนนเต็ม]:[คะแนนเต็ม]])*tbl_task3[[%]:[%]])</f>
        <v/>
      </c>
      <c r="HM7" s="121" t="str">
        <f>IF(ISBLANK(tbl_task3[[คะแนนเต็ม]:[คะแนนเต็ม]]),"",(tbl_task3[51]/tbl_task3[[คะแนนเต็ม]:[คะแนนเต็ม]])*tbl_task3[[%]:[%]])</f>
        <v/>
      </c>
      <c r="HN7" s="121" t="str">
        <f>IF(ISBLANK(tbl_task3[[คะแนนเต็ม]:[คะแนนเต็ม]]),"",(tbl_task3[52]/tbl_task3[[คะแนนเต็ม]:[คะแนนเต็ม]])*tbl_task3[[%]:[%]])</f>
        <v/>
      </c>
      <c r="HO7" s="121" t="str">
        <f>IF(ISBLANK(tbl_task3[[คะแนนเต็ม]:[คะแนนเต็ม]]),"",(tbl_task3[53]/tbl_task3[[คะแนนเต็ม]:[คะแนนเต็ม]])*tbl_task3[[%]:[%]])</f>
        <v/>
      </c>
      <c r="HP7" s="121" t="str">
        <f>IF(ISBLANK(tbl_task3[[คะแนนเต็ม]:[คะแนนเต็ม]]),"",(tbl_task3[54]/tbl_task3[[คะแนนเต็ม]:[คะแนนเต็ม]])*tbl_task3[[%]:[%]])</f>
        <v/>
      </c>
      <c r="HQ7" s="121" t="str">
        <f>IF(ISBLANK(tbl_task3[[คะแนนเต็ม]:[คะแนนเต็ม]]),"",(tbl_task3[55]/tbl_task3[[คะแนนเต็ม]:[คะแนนเต็ม]])*tbl_task3[[%]:[%]])</f>
        <v/>
      </c>
      <c r="HR7" s="121" t="str">
        <f>IF(ISBLANK(tbl_task3[[คะแนนเต็ม]:[คะแนนเต็ม]]),"",(tbl_task3[56]/tbl_task3[[คะแนนเต็ม]:[คะแนนเต็ม]])*tbl_task3[[%]:[%]])</f>
        <v/>
      </c>
      <c r="HS7" s="121" t="str">
        <f>IF(ISBLANK(tbl_task3[[คะแนนเต็ม]:[คะแนนเต็ม]]),"",(tbl_task3[57]/tbl_task3[[คะแนนเต็ม]:[คะแนนเต็ม]])*tbl_task3[[%]:[%]])</f>
        <v/>
      </c>
      <c r="HT7" s="121" t="str">
        <f>IF(ISBLANK(tbl_task3[[คะแนนเต็ม]:[คะแนนเต็ม]]),"",(tbl_task3[58]/tbl_task3[[คะแนนเต็ม]:[คะแนนเต็ม]])*tbl_task3[[%]:[%]])</f>
        <v/>
      </c>
      <c r="HU7" s="121" t="str">
        <f>IF(ISBLANK(tbl_task3[[คะแนนเต็ม]:[คะแนนเต็ม]]),"",(tbl_task3[59]/tbl_task3[[คะแนนเต็ม]:[คะแนนเต็ม]])*tbl_task3[[%]:[%]])</f>
        <v/>
      </c>
      <c r="HV7" s="121" t="str">
        <f>IF(ISBLANK(tbl_task3[[คะแนนเต็ม]:[คะแนนเต็ม]]),"",(tbl_task3[60]/tbl_task3[[คะแนนเต็ม]:[คะแนนเต็ม]])*tbl_task3[[%]:[%]])</f>
        <v/>
      </c>
      <c r="HW7" s="121" t="str">
        <f>IF(ISBLANK(tbl_task3[[คะแนนเต็ม]:[คะแนนเต็ม]]),"",(tbl_task3[61]/tbl_task3[[คะแนนเต็ม]:[คะแนนเต็ม]])*tbl_task3[[%]:[%]])</f>
        <v/>
      </c>
      <c r="HX7" s="121" t="str">
        <f>IF(ISBLANK(tbl_task3[[คะแนนเต็ม]:[คะแนนเต็ม]]),"",(tbl_task3[62]/tbl_task3[[คะแนนเต็ม]:[คะแนนเต็ม]])*tbl_task3[[%]:[%]])</f>
        <v/>
      </c>
      <c r="HY7" s="121" t="str">
        <f>IF(ISBLANK(tbl_task3[[คะแนนเต็ม]:[คะแนนเต็ม]]),"",(tbl_task3[63]/tbl_task3[[คะแนนเต็ม]:[คะแนนเต็ม]])*tbl_task3[[%]:[%]])</f>
        <v/>
      </c>
      <c r="HZ7" s="121" t="str">
        <f>IF(ISBLANK(tbl_task3[[คะแนนเต็ม]:[คะแนนเต็ม]]),"",(tbl_task3[64]/tbl_task3[[คะแนนเต็ม]:[คะแนนเต็ม]])*tbl_task3[[%]:[%]])</f>
        <v/>
      </c>
      <c r="IA7" s="121" t="str">
        <f>IF(ISBLANK(tbl_task3[[คะแนนเต็ม]:[คะแนนเต็ม]]),"",(tbl_task3[65]/tbl_task3[[คะแนนเต็ม]:[คะแนนเต็ม]])*tbl_task3[[%]:[%]])</f>
        <v/>
      </c>
      <c r="IB7" s="121" t="str">
        <f>IF(ISBLANK(tbl_task3[[คะแนนเต็ม]:[คะแนนเต็ม]]),"",(tbl_task3[66]/tbl_task3[[คะแนนเต็ม]:[คะแนนเต็ม]])*tbl_task3[[%]:[%]])</f>
        <v/>
      </c>
      <c r="IC7" s="121" t="str">
        <f>IF(ISBLANK(tbl_task3[[คะแนนเต็ม]:[คะแนนเต็ม]]),"",(tbl_task3[67]/tbl_task3[[คะแนนเต็ม]:[คะแนนเต็ม]])*tbl_task3[[%]:[%]])</f>
        <v/>
      </c>
      <c r="ID7" s="121" t="str">
        <f>IF(ISBLANK(tbl_task3[[คะแนนเต็ม]:[คะแนนเต็ม]]),"",(tbl_task3[68]/tbl_task3[[คะแนนเต็ม]:[คะแนนเต็ม]])*tbl_task3[[%]:[%]])</f>
        <v/>
      </c>
      <c r="IE7" s="121" t="str">
        <f>IF(ISBLANK(tbl_task3[[คะแนนเต็ม]:[คะแนนเต็ม]]),"",(tbl_task3[69]/tbl_task3[[คะแนนเต็ม]:[คะแนนเต็ม]])*tbl_task3[[%]:[%]])</f>
        <v/>
      </c>
      <c r="IF7" s="121" t="str">
        <f>IF(ISBLANK(tbl_task3[[คะแนนเต็ม]:[คะแนนเต็ม]]),"",(tbl_task3[70]/tbl_task3[[คะแนนเต็ม]:[คะแนนเต็ม]])*tbl_task3[[%]:[%]])</f>
        <v/>
      </c>
      <c r="IG7" s="121" t="str">
        <f>IF(ISBLANK(tbl_task3[[คะแนนเต็ม]:[คะแนนเต็ม]]),"",(tbl_task3[71]/tbl_task3[[คะแนนเต็ม]:[คะแนนเต็ม]])*tbl_task3[[%]:[%]])</f>
        <v/>
      </c>
      <c r="IH7" s="121" t="str">
        <f>IF(ISBLANK(tbl_task3[[คะแนนเต็ม]:[คะแนนเต็ม]]),"",(tbl_task3[72]/tbl_task3[[คะแนนเต็ม]:[คะแนนเต็ม]])*tbl_task3[[%]:[%]])</f>
        <v/>
      </c>
      <c r="II7" s="121" t="str">
        <f>IF(ISBLANK(tbl_task3[[คะแนนเต็ม]:[คะแนนเต็ม]]),"",(tbl_task3[73]/tbl_task3[[คะแนนเต็ม]:[คะแนนเต็ม]])*tbl_task3[[%]:[%]])</f>
        <v/>
      </c>
      <c r="IJ7" s="121" t="str">
        <f>IF(ISBLANK(tbl_task3[[คะแนนเต็ม]:[คะแนนเต็ม]]),"",(tbl_task3[74]/tbl_task3[[คะแนนเต็ม]:[คะแนนเต็ม]])*tbl_task3[[%]:[%]])</f>
        <v/>
      </c>
      <c r="IK7" s="121" t="str">
        <f>IF(ISBLANK(tbl_task3[[คะแนนเต็ม]:[คะแนนเต็ม]]),"",(tbl_task3[75]/tbl_task3[[คะแนนเต็ม]:[คะแนนเต็ม]])*tbl_task3[[%]:[%]])</f>
        <v/>
      </c>
      <c r="IL7" s="121" t="str">
        <f>IF(ISBLANK(tbl_task3[[คะแนนเต็ม]:[คะแนนเต็ม]]),"",(tbl_task3[76]/tbl_task3[[คะแนนเต็ม]:[คะแนนเต็ม]])*tbl_task3[[%]:[%]])</f>
        <v/>
      </c>
      <c r="IM7" s="121" t="str">
        <f>IF(ISBLANK(tbl_task3[[คะแนนเต็ม]:[คะแนนเต็ม]]),"",(tbl_task3[77]/tbl_task3[[คะแนนเต็ม]:[คะแนนเต็ม]])*tbl_task3[[%]:[%]])</f>
        <v/>
      </c>
      <c r="IN7" s="121" t="str">
        <f>IF(ISBLANK(tbl_task3[[คะแนนเต็ม]:[คะแนนเต็ม]]),"",(tbl_task3[78]/tbl_task3[[คะแนนเต็ม]:[คะแนนเต็ม]])*tbl_task3[[%]:[%]])</f>
        <v/>
      </c>
      <c r="IO7" s="121" t="str">
        <f>IF(ISBLANK(tbl_task3[[คะแนนเต็ม]:[คะแนนเต็ม]]),"",(tbl_task3[79]/tbl_task3[[คะแนนเต็ม]:[คะแนนเต็ม]])*tbl_task3[[%]:[%]])</f>
        <v/>
      </c>
      <c r="IP7" s="121" t="str">
        <f>IF(ISBLANK(tbl_task3[[คะแนนเต็ม]:[คะแนนเต็ม]]),"",(tbl_task3[80]/tbl_task3[[คะแนนเต็ม]:[คะแนนเต็ม]])*tbl_task3[[%]:[%]])</f>
        <v/>
      </c>
      <c r="IQ7" s="121" t="str">
        <f>IF(ISBLANK(tbl_task3[[คะแนนเต็ม]:[คะแนนเต็ม]]),"",(tbl_task3[81]/tbl_task3[[คะแนนเต็ม]:[คะแนนเต็ม]])*tbl_task3[[%]:[%]])</f>
        <v/>
      </c>
      <c r="IR7" s="121" t="str">
        <f>IF(ISBLANK(tbl_task3[[คะแนนเต็ม]:[คะแนนเต็ม]]),"",(tbl_task3[82]/tbl_task3[[คะแนนเต็ม]:[คะแนนเต็ม]])*tbl_task3[[%]:[%]])</f>
        <v/>
      </c>
      <c r="IS7" s="121" t="str">
        <f>IF(ISBLANK(tbl_task3[[คะแนนเต็ม]:[คะแนนเต็ม]]),"",(tbl_task3[83]/tbl_task3[[คะแนนเต็ม]:[คะแนนเต็ม]])*tbl_task3[[%]:[%]])</f>
        <v/>
      </c>
      <c r="IT7" s="121" t="str">
        <f>IF(ISBLANK(tbl_task3[[คะแนนเต็ม]:[คะแนนเต็ม]]),"",(tbl_task3[84]/tbl_task3[[คะแนนเต็ม]:[คะแนนเต็ม]])*tbl_task3[[%]:[%]])</f>
        <v/>
      </c>
      <c r="IU7" s="121" t="str">
        <f>IF(ISBLANK(tbl_task3[[คะแนนเต็ม]:[คะแนนเต็ม]]),"",(tbl_task3[85]/tbl_task3[[คะแนนเต็ม]:[คะแนนเต็ม]])*tbl_task3[[%]:[%]])</f>
        <v/>
      </c>
      <c r="IV7" s="121" t="str">
        <f>IF(ISBLANK(tbl_task3[[คะแนนเต็ม]:[คะแนนเต็ม]]),"",(tbl_task3[86]/tbl_task3[[คะแนนเต็ม]:[คะแนนเต็ม]])*tbl_task3[[%]:[%]])</f>
        <v/>
      </c>
      <c r="IW7" s="121" t="str">
        <f>IF(ISBLANK(tbl_task3[[คะแนนเต็ม]:[คะแนนเต็ม]]),"",(tbl_task3[87]/tbl_task3[[คะแนนเต็ม]:[คะแนนเต็ม]])*tbl_task3[[%]:[%]])</f>
        <v/>
      </c>
      <c r="IX7" s="121" t="str">
        <f>IF(ISBLANK(tbl_task3[[คะแนนเต็ม]:[คะแนนเต็ม]]),"",(tbl_task3[88]/tbl_task3[[คะแนนเต็ม]:[คะแนนเต็ม]])*tbl_task3[[%]:[%]])</f>
        <v/>
      </c>
      <c r="IY7" s="121" t="str">
        <f>IF(ISBLANK(tbl_task3[[คะแนนเต็ม]:[คะแนนเต็ม]]),"",(tbl_task3[89]/tbl_task3[[คะแนนเต็ม]:[คะแนนเต็ม]])*tbl_task3[[%]:[%]])</f>
        <v/>
      </c>
      <c r="IZ7" s="121" t="str">
        <f>IF(ISBLANK(tbl_task3[[คะแนนเต็ม]:[คะแนนเต็ม]]),"",(tbl_task3[90]/tbl_task3[[คะแนนเต็ม]:[คะแนนเต็ม]])*tbl_task3[[%]:[%]])</f>
        <v/>
      </c>
      <c r="JA7" s="121" t="str">
        <f>IF(ISBLANK(tbl_task3[[คะแนนเต็ม]:[คะแนนเต็ม]]),"",(tbl_task3[91]/tbl_task3[[คะแนนเต็ม]:[คะแนนเต็ม]])*tbl_task3[[%]:[%]])</f>
        <v/>
      </c>
      <c r="JB7" s="121" t="str">
        <f>IF(ISBLANK(tbl_task3[[คะแนนเต็ม]:[คะแนนเต็ม]]),"",(tbl_task3[92]/tbl_task3[[คะแนนเต็ม]:[คะแนนเต็ม]])*tbl_task3[[%]:[%]])</f>
        <v/>
      </c>
      <c r="JC7" s="121" t="str">
        <f>IF(ISBLANK(tbl_task3[[คะแนนเต็ม]:[คะแนนเต็ม]]),"",(tbl_task3[93]/tbl_task3[[คะแนนเต็ม]:[คะแนนเต็ม]])*tbl_task3[[%]:[%]])</f>
        <v/>
      </c>
      <c r="JD7" s="121" t="str">
        <f>IF(ISBLANK(tbl_task3[[คะแนนเต็ม]:[คะแนนเต็ม]]),"",(tbl_task3[94]/tbl_task3[[คะแนนเต็ม]:[คะแนนเต็ม]])*tbl_task3[[%]:[%]])</f>
        <v/>
      </c>
      <c r="JE7" s="121" t="str">
        <f>IF(ISBLANK(tbl_task3[[คะแนนเต็ม]:[คะแนนเต็ม]]),"",(tbl_task3[95]/tbl_task3[[คะแนนเต็ม]:[คะแนนเต็ม]])*tbl_task3[[%]:[%]])</f>
        <v/>
      </c>
      <c r="JF7" s="121" t="str">
        <f>IF(ISBLANK(tbl_task3[[คะแนนเต็ม]:[คะแนนเต็ม]]),"",(tbl_task3[96]/tbl_task3[[คะแนนเต็ม]:[คะแนนเต็ม]])*tbl_task3[[%]:[%]])</f>
        <v/>
      </c>
      <c r="JG7" s="121" t="str">
        <f>IF(ISBLANK(tbl_task3[[คะแนนเต็ม]:[คะแนนเต็ม]]),"",(tbl_task3[97]/tbl_task3[[คะแนนเต็ม]:[คะแนนเต็ม]])*tbl_task3[[%]:[%]])</f>
        <v/>
      </c>
      <c r="JH7" s="121" t="str">
        <f>IF(ISBLANK(tbl_task3[[คะแนนเต็ม]:[คะแนนเต็ม]]),"",(tbl_task3[98]/tbl_task3[[คะแนนเต็ม]:[คะแนนเต็ม]])*tbl_task3[[%]:[%]])</f>
        <v/>
      </c>
      <c r="JI7" s="121" t="str">
        <f>IF(ISBLANK(tbl_task3[[คะแนนเต็ม]:[คะแนนเต็ม]]),"",(tbl_task3[99]/tbl_task3[[คะแนนเต็ม]:[คะแนนเต็ม]])*tbl_task3[[%]:[%]])</f>
        <v/>
      </c>
      <c r="JJ7" s="121" t="str">
        <f>IF(ISBLANK(tbl_task3[[คะแนนเต็ม]:[คะแนนเต็ม]]),"",(tbl_task3[100]/tbl_task3[[คะแนนเต็ม]:[คะแนนเต็ม]])*tbl_task3[[%]:[%]])</f>
        <v/>
      </c>
      <c r="JK7" s="121" t="str">
        <f>IF(ISBLANK(tbl_task3[[คะแนนเต็ม]:[คะแนนเต็ม]]),"",(tbl_task3[101]/tbl_task3[[คะแนนเต็ม]:[คะแนนเต็ม]])*tbl_task3[[%]:[%]])</f>
        <v/>
      </c>
      <c r="JL7" s="121" t="str">
        <f>IF(ISBLANK(tbl_task3[[คะแนนเต็ม]:[คะแนนเต็ม]]),"",(tbl_task3[102]/tbl_task3[[คะแนนเต็ม]:[คะแนนเต็ม]])*tbl_task3[[%]:[%]])</f>
        <v/>
      </c>
      <c r="JM7" s="121" t="str">
        <f>IF(ISBLANK(tbl_task3[[คะแนนเต็ม]:[คะแนนเต็ม]]),"",(tbl_task3[103]/tbl_task3[[คะแนนเต็ม]:[คะแนนเต็ม]])*tbl_task3[[%]:[%]])</f>
        <v/>
      </c>
      <c r="JN7" s="121" t="str">
        <f>IF(ISBLANK(tbl_task3[[คะแนนเต็ม]:[คะแนนเต็ม]]),"",(tbl_task3[104]/tbl_task3[[คะแนนเต็ม]:[คะแนนเต็ม]])*tbl_task3[[%]:[%]])</f>
        <v/>
      </c>
      <c r="JO7" s="121" t="str">
        <f>IF(ISBLANK(tbl_task3[[คะแนนเต็ม]:[คะแนนเต็ม]]),"",(tbl_task3[105]/tbl_task3[[คะแนนเต็ม]:[คะแนนเต็ม]])*tbl_task3[[%]:[%]])</f>
        <v/>
      </c>
      <c r="JP7" s="121" t="str">
        <f>IF(ISBLANK(tbl_task3[[คะแนนเต็ม]:[คะแนนเต็ม]]),"",(tbl_task3[106]/tbl_task3[[คะแนนเต็ม]:[คะแนนเต็ม]])*tbl_task3[[%]:[%]])</f>
        <v/>
      </c>
      <c r="JQ7" s="121" t="str">
        <f>IF(ISBLANK(tbl_task3[[คะแนนเต็ม]:[คะแนนเต็ม]]),"",(tbl_task3[107]/tbl_task3[[คะแนนเต็ม]:[คะแนนเต็ม]])*tbl_task3[[%]:[%]])</f>
        <v/>
      </c>
      <c r="JR7" s="121" t="str">
        <f>IF(ISBLANK(tbl_task3[[คะแนนเต็ม]:[คะแนนเต็ม]]),"",(tbl_task3[108]/tbl_task3[[คะแนนเต็ม]:[คะแนนเต็ม]])*tbl_task3[[%]:[%]])</f>
        <v/>
      </c>
      <c r="JS7" s="121" t="str">
        <f>IF(ISBLANK(tbl_task3[[คะแนนเต็ม]:[คะแนนเต็ม]]),"",(tbl_task3[109]/tbl_task3[[คะแนนเต็ม]:[คะแนนเต็ม]])*tbl_task3[[%]:[%]])</f>
        <v/>
      </c>
      <c r="JT7" s="121" t="str">
        <f>IF(ISBLANK(tbl_task3[[คะแนนเต็ม]:[คะแนนเต็ม]]),"",(tbl_task3[110]/tbl_task3[[คะแนนเต็ม]:[คะแนนเต็ม]])*tbl_task3[[%]:[%]])</f>
        <v/>
      </c>
      <c r="JU7" s="121" t="str">
        <f>IF(ISBLANK(tbl_task3[[คะแนนเต็ม]:[คะแนนเต็ม]]),"",(tbl_task3[111]/tbl_task3[[คะแนนเต็ม]:[คะแนนเต็ม]])*tbl_task3[[%]:[%]])</f>
        <v/>
      </c>
      <c r="JV7" s="121" t="str">
        <f>IF(ISBLANK(tbl_task3[[คะแนนเต็ม]:[คะแนนเต็ม]]),"",(tbl_task3[112]/tbl_task3[[คะแนนเต็ม]:[คะแนนเต็ม]])*tbl_task3[[%]:[%]])</f>
        <v/>
      </c>
      <c r="JW7" s="121" t="str">
        <f>IF(ISBLANK(tbl_task3[[คะแนนเต็ม]:[คะแนนเต็ม]]),"",(tbl_task3[113]/tbl_task3[[คะแนนเต็ม]:[คะแนนเต็ม]])*tbl_task3[[%]:[%]])</f>
        <v/>
      </c>
      <c r="JX7" s="121" t="str">
        <f>IF(ISBLANK(tbl_task3[[คะแนนเต็ม]:[คะแนนเต็ม]]),"",(tbl_task3[114]/tbl_task3[[คะแนนเต็ม]:[คะแนนเต็ม]])*tbl_task3[[%]:[%]])</f>
        <v/>
      </c>
      <c r="JY7" s="121" t="str">
        <f>IF(ISBLANK(tbl_task3[[คะแนนเต็ม]:[คะแนนเต็ม]]),"",(tbl_task3[115]/tbl_task3[[คะแนนเต็ม]:[คะแนนเต็ม]])*tbl_task3[[%]:[%]])</f>
        <v/>
      </c>
      <c r="JZ7" s="121" t="str">
        <f>IF(ISBLANK(tbl_task3[[คะแนนเต็ม]:[คะแนนเต็ม]]),"",(tbl_task3[116]/tbl_task3[[คะแนนเต็ม]:[คะแนนเต็ม]])*tbl_task3[[%]:[%]])</f>
        <v/>
      </c>
      <c r="KA7" s="121" t="str">
        <f>IF(ISBLANK(tbl_task3[[คะแนนเต็ม]:[คะแนนเต็ม]]),"",(tbl_task3[117]/tbl_task3[[คะแนนเต็ม]:[คะแนนเต็ม]])*tbl_task3[[%]:[%]])</f>
        <v/>
      </c>
      <c r="KB7" s="121" t="str">
        <f>IF(ISBLANK(tbl_task3[[คะแนนเต็ม]:[คะแนนเต็ม]]),"",(tbl_task3[118]/tbl_task3[[คะแนนเต็ม]:[คะแนนเต็ม]])*tbl_task3[[%]:[%]])</f>
        <v/>
      </c>
      <c r="KC7" s="121" t="str">
        <f>IF(ISBLANK(tbl_task3[[คะแนนเต็ม]:[คะแนนเต็ม]]),"",(tbl_task3[119]/tbl_task3[[คะแนนเต็ม]:[คะแนนเต็ม]])*tbl_task3[[%]:[%]])</f>
        <v/>
      </c>
      <c r="KD7" s="121" t="str">
        <f>IF(ISBLANK(tbl_task3[[คะแนนเต็ม]:[คะแนนเต็ม]]),"",(tbl_task3[120]/tbl_task3[[คะแนนเต็ม]:[คะแนนเต็ม]])*tbl_task3[[%]:[%]])</f>
        <v/>
      </c>
      <c r="KE7" s="121" t="str">
        <f>IF(ISBLANK(tbl_task3[[คะแนนเต็ม]:[คะแนนเต็ม]]),"",(tbl_task3[121]/tbl_task3[[คะแนนเต็ม]:[คะแนนเต็ม]])*tbl_task3[[%]:[%]])</f>
        <v/>
      </c>
      <c r="KF7" s="121" t="str">
        <f>IF(ISBLANK(tbl_task3[[คะแนนเต็ม]:[คะแนนเต็ม]]),"",(tbl_task3[122]/tbl_task3[[คะแนนเต็ม]:[คะแนนเต็ม]])*tbl_task3[[%]:[%]])</f>
        <v/>
      </c>
      <c r="KG7" s="121" t="str">
        <f>IF(ISBLANK(tbl_task3[[คะแนนเต็ม]:[คะแนนเต็ม]]),"",(tbl_task3[123]/tbl_task3[[คะแนนเต็ม]:[คะแนนเต็ม]])*tbl_task3[[%]:[%]])</f>
        <v/>
      </c>
      <c r="KH7" s="121" t="str">
        <f>IF(ISBLANK(tbl_task3[[คะแนนเต็ม]:[คะแนนเต็ม]]),"",(tbl_task3[124]/tbl_task3[[คะแนนเต็ม]:[คะแนนเต็ม]])*tbl_task3[[%]:[%]])</f>
        <v/>
      </c>
      <c r="KI7" s="121" t="str">
        <f>IF(ISBLANK(tbl_task3[[คะแนนเต็ม]:[คะแนนเต็ม]]),"",(tbl_task3[125]/tbl_task3[[คะแนนเต็ม]:[คะแนนเต็ม]])*tbl_task3[[%]:[%]])</f>
        <v/>
      </c>
      <c r="KJ7" s="121" t="str">
        <f>IF(ISBLANK(tbl_task3[[คะแนนเต็ม]:[คะแนนเต็ม]]),"",(tbl_task3[126]/tbl_task3[[คะแนนเต็ม]:[คะแนนเต็ม]])*tbl_task3[[%]:[%]])</f>
        <v/>
      </c>
      <c r="KK7" s="121" t="str">
        <f>IF(ISBLANK(tbl_task3[[คะแนนเต็ม]:[คะแนนเต็ม]]),"",(tbl_task3[127]/tbl_task3[[คะแนนเต็ม]:[คะแนนเต็ม]])*tbl_task3[[%]:[%]])</f>
        <v/>
      </c>
      <c r="KL7" s="121" t="str">
        <f>IF(ISBLANK(tbl_task3[[คะแนนเต็ม]:[คะแนนเต็ม]]),"",(tbl_task3[128]/tbl_task3[[คะแนนเต็ม]:[คะแนนเต็ม]])*tbl_task3[[%]:[%]])</f>
        <v/>
      </c>
      <c r="KM7" s="121" t="str">
        <f>IF(ISBLANK(tbl_task3[[คะแนนเต็ม]:[คะแนนเต็ม]]),"",(tbl_task3[129]/tbl_task3[[คะแนนเต็ม]:[คะแนนเต็ม]])*tbl_task3[[%]:[%]])</f>
        <v/>
      </c>
      <c r="KN7" s="121" t="str">
        <f>IF(ISBLANK(tbl_task3[[คะแนนเต็ม]:[คะแนนเต็ม]]),"",(tbl_task3[130]/tbl_task3[[คะแนนเต็ม]:[คะแนนเต็ม]])*tbl_task3[[%]:[%]])</f>
        <v/>
      </c>
      <c r="KO7" s="121" t="str">
        <f>IF(ISBLANK(tbl_task3[[คะแนนเต็ม]:[คะแนนเต็ม]]),"",(tbl_task3[131]/tbl_task3[[คะแนนเต็ม]:[คะแนนเต็ม]])*tbl_task3[[%]:[%]])</f>
        <v/>
      </c>
      <c r="KP7" s="121" t="str">
        <f>IF(ISBLANK(tbl_task3[[คะแนนเต็ม]:[คะแนนเต็ม]]),"",(tbl_task3[132]/tbl_task3[[คะแนนเต็ม]:[คะแนนเต็ม]])*tbl_task3[[%]:[%]])</f>
        <v/>
      </c>
      <c r="KQ7" s="121" t="str">
        <f>IF(ISBLANK(tbl_task3[[คะแนนเต็ม]:[คะแนนเต็ม]]),"",(tbl_task3[133]/tbl_task3[[คะแนนเต็ม]:[คะแนนเต็ม]])*tbl_task3[[%]:[%]])</f>
        <v/>
      </c>
      <c r="KR7" s="121" t="str">
        <f>IF(ISBLANK(tbl_task3[[คะแนนเต็ม]:[คะแนนเต็ม]]),"",(tbl_task3[134]/tbl_task3[[คะแนนเต็ม]:[คะแนนเต็ม]])*tbl_task3[[%]:[%]])</f>
        <v/>
      </c>
      <c r="KS7" s="121" t="str">
        <f>IF(ISBLANK(tbl_task3[[คะแนนเต็ม]:[คะแนนเต็ม]]),"",(tbl_task3[135]/tbl_task3[[คะแนนเต็ม]:[คะแนนเต็ม]])*tbl_task3[[%]:[%]])</f>
        <v/>
      </c>
      <c r="KT7" s="121" t="str">
        <f>IF(ISBLANK(tbl_task3[[คะแนนเต็ม]:[คะแนนเต็ม]]),"",(tbl_task3[136]/tbl_task3[[คะแนนเต็ม]:[คะแนนเต็ม]])*tbl_task3[[%]:[%]])</f>
        <v/>
      </c>
      <c r="KU7" s="121" t="str">
        <f>IF(ISBLANK(tbl_task3[[คะแนนเต็ม]:[คะแนนเต็ม]]),"",(tbl_task3[137]/tbl_task3[[คะแนนเต็ม]:[คะแนนเต็ม]])*tbl_task3[[%]:[%]])</f>
        <v/>
      </c>
      <c r="KV7" s="121" t="str">
        <f>IF(ISBLANK(tbl_task3[[คะแนนเต็ม]:[คะแนนเต็ม]]),"",(tbl_task3[138]/tbl_task3[[คะแนนเต็ม]:[คะแนนเต็ม]])*tbl_task3[[%]:[%]])</f>
        <v/>
      </c>
      <c r="KW7" s="121" t="str">
        <f>IF(ISBLANK(tbl_task3[[คะแนนเต็ม]:[คะแนนเต็ม]]),"",(tbl_task3[139]/tbl_task3[[คะแนนเต็ม]:[คะแนนเต็ม]])*tbl_task3[[%]:[%]])</f>
        <v/>
      </c>
      <c r="KX7" s="121" t="str">
        <f>IF(ISBLANK(tbl_task3[[คะแนนเต็ม]:[คะแนนเต็ม]]),"",(tbl_task3[140]/tbl_task3[[คะแนนเต็ม]:[คะแนนเต็ม]])*tbl_task3[[%]:[%]])</f>
        <v/>
      </c>
      <c r="KY7" s="121" t="str">
        <f>IF(ISBLANK(tbl_task3[[คะแนนเต็ม]:[คะแนนเต็ม]]),"",(tbl_task3[141]/tbl_task3[[คะแนนเต็ม]:[คะแนนเต็ม]])*tbl_task3[[%]:[%]])</f>
        <v/>
      </c>
      <c r="KZ7" s="121" t="str">
        <f>IF(ISBLANK(tbl_task3[[คะแนนเต็ม]:[คะแนนเต็ม]]),"",(tbl_task3[142]/tbl_task3[[คะแนนเต็ม]:[คะแนนเต็ม]])*tbl_task3[[%]:[%]])</f>
        <v/>
      </c>
      <c r="LA7" s="121" t="str">
        <f>IF(ISBLANK(tbl_task3[[คะแนนเต็ม]:[คะแนนเต็ม]]),"",(tbl_task3[143]/tbl_task3[[คะแนนเต็ม]:[คะแนนเต็ม]])*tbl_task3[[%]:[%]])</f>
        <v/>
      </c>
      <c r="LB7" s="121" t="str">
        <f>IF(ISBLANK(tbl_task3[[คะแนนเต็ม]:[คะแนนเต็ม]]),"",(tbl_task3[144]/tbl_task3[[คะแนนเต็ม]:[คะแนนเต็ม]])*tbl_task3[[%]:[%]])</f>
        <v/>
      </c>
      <c r="LC7" s="121" t="str">
        <f>IF(ISBLANK(tbl_task3[[คะแนนเต็ม]:[คะแนนเต็ม]]),"",(tbl_task3[145]/tbl_task3[[คะแนนเต็ม]:[คะแนนเต็ม]])*tbl_task3[[%]:[%]])</f>
        <v/>
      </c>
      <c r="LD7" s="121" t="str">
        <f>IF(ISBLANK(tbl_task3[[คะแนนเต็ม]:[คะแนนเต็ม]]),"",(tbl_task3[146]/tbl_task3[[คะแนนเต็ม]:[คะแนนเต็ม]])*tbl_task3[[%]:[%]])</f>
        <v/>
      </c>
      <c r="LE7" s="121" t="str">
        <f>IF(ISBLANK(tbl_task3[[คะแนนเต็ม]:[คะแนนเต็ม]]),"",(tbl_task3[147]/tbl_task3[[คะแนนเต็ม]:[คะแนนเต็ม]])*tbl_task3[[%]:[%]])</f>
        <v/>
      </c>
      <c r="LF7" s="121" t="str">
        <f>IF(ISBLANK(tbl_task3[[คะแนนเต็ม]:[คะแนนเต็ม]]),"",(tbl_task3[148]/tbl_task3[[คะแนนเต็ม]:[คะแนนเต็ม]])*tbl_task3[[%]:[%]])</f>
        <v/>
      </c>
      <c r="LG7" s="121" t="str">
        <f>IF(ISBLANK(tbl_task3[[คะแนนเต็ม]:[คะแนนเต็ม]]),"",(tbl_task3[149]/tbl_task3[[คะแนนเต็ม]:[คะแนนเต็ม]])*tbl_task3[[%]:[%]])</f>
        <v/>
      </c>
      <c r="LH7" s="121" t="str">
        <f>IF(ISBLANK(tbl_task3[[คะแนนเต็ม]:[คะแนนเต็ม]]),"",(tbl_task3[150]/tbl_task3[[คะแนนเต็ม]:[คะแนนเต็ม]])*tbl_task3[[%]:[%]])</f>
        <v/>
      </c>
      <c r="LI7" s="121" t="str">
        <f>IF(ISBLANK(tbl_task3[[คะแนนเต็ม]:[คะแนนเต็ม]]),"",(tbl_task3[151]/tbl_task3[[คะแนนเต็ม]:[คะแนนเต็ม]])*tbl_task3[[%]:[%]])</f>
        <v/>
      </c>
      <c r="LJ7" s="121" t="str">
        <f>IF(ISBLANK(tbl_task3[[คะแนนเต็ม]:[คะแนนเต็ม]]),"",(tbl_task3[152]/tbl_task3[[คะแนนเต็ม]:[คะแนนเต็ม]])*tbl_task3[[%]:[%]])</f>
        <v/>
      </c>
      <c r="LK7" s="121" t="str">
        <f>IF(ISBLANK(tbl_task3[[คะแนนเต็ม]:[คะแนนเต็ม]]),"",(tbl_task3[153]/tbl_task3[[คะแนนเต็ม]:[คะแนนเต็ม]])*tbl_task3[[%]:[%]])</f>
        <v/>
      </c>
      <c r="LL7" s="121" t="str">
        <f>IF(ISBLANK(tbl_task3[[คะแนนเต็ม]:[คะแนนเต็ม]]),"",(tbl_task3[154]/tbl_task3[[คะแนนเต็ม]:[คะแนนเต็ม]])*tbl_task3[[%]:[%]])</f>
        <v/>
      </c>
      <c r="LM7" s="121" t="str">
        <f>IF(ISBLANK(tbl_task3[[คะแนนเต็ม]:[คะแนนเต็ม]]),"",(tbl_task3[155]/tbl_task3[[คะแนนเต็ม]:[คะแนนเต็ม]])*tbl_task3[[%]:[%]])</f>
        <v/>
      </c>
      <c r="LN7" s="121" t="str">
        <f>IF(ISBLANK(tbl_task3[[คะแนนเต็ม]:[คะแนนเต็ม]]),"",(tbl_task3[156]/tbl_task3[[คะแนนเต็ม]:[คะแนนเต็ม]])*tbl_task3[[%]:[%]])</f>
        <v/>
      </c>
      <c r="LO7" s="121" t="str">
        <f>IF(ISBLANK(tbl_task3[[คะแนนเต็ม]:[คะแนนเต็ม]]),"",(tbl_task3[157]/tbl_task3[[คะแนนเต็ม]:[คะแนนเต็ม]])*tbl_task3[[%]:[%]])</f>
        <v/>
      </c>
      <c r="LP7" s="121" t="str">
        <f>IF(ISBLANK(tbl_task3[[คะแนนเต็ม]:[คะแนนเต็ม]]),"",(tbl_task3[158]/tbl_task3[[คะแนนเต็ม]:[คะแนนเต็ม]])*tbl_task3[[%]:[%]])</f>
        <v/>
      </c>
      <c r="LQ7" s="121" t="str">
        <f>IF(ISBLANK(tbl_task3[[คะแนนเต็ม]:[คะแนนเต็ม]]),"",(tbl_task3[159]/tbl_task3[[คะแนนเต็ม]:[คะแนนเต็ม]])*tbl_task3[[%]:[%]])</f>
        <v/>
      </c>
      <c r="LR7" s="121" t="str">
        <f>IF(ISBLANK(tbl_task3[[คะแนนเต็ม]:[คะแนนเต็ม]]),"",(tbl_task3[160]/tbl_task3[[คะแนนเต็ม]:[คะแนนเต็ม]])*tbl_task3[[%]:[%]])</f>
        <v/>
      </c>
      <c r="LS7" s="121" t="str">
        <f>IF(ISBLANK(tbl_task3[[คะแนนเต็ม]:[คะแนนเต็ม]]),"",(tbl_task3[161]/tbl_task3[[คะแนนเต็ม]:[คะแนนเต็ม]])*tbl_task3[[%]:[%]])</f>
        <v/>
      </c>
      <c r="LT7" s="121" t="str">
        <f>IF(ISBLANK(tbl_task3[[คะแนนเต็ม]:[คะแนนเต็ม]]),"",(tbl_task3[162]/tbl_task3[[คะแนนเต็ม]:[คะแนนเต็ม]])*tbl_task3[[%]:[%]])</f>
        <v/>
      </c>
      <c r="LU7" s="121" t="str">
        <f>IF(ISBLANK(tbl_task3[[คะแนนเต็ม]:[คะแนนเต็ม]]),"",(tbl_task3[163]/tbl_task3[[คะแนนเต็ม]:[คะแนนเต็ม]])*tbl_task3[[%]:[%]])</f>
        <v/>
      </c>
      <c r="LV7" s="121" t="str">
        <f>IF(ISBLANK(tbl_task3[[คะแนนเต็ม]:[คะแนนเต็ม]]),"",(tbl_task3[164]/tbl_task3[[คะแนนเต็ม]:[คะแนนเต็ม]])*tbl_task3[[%]:[%]])</f>
        <v/>
      </c>
      <c r="LW7" s="121" t="str">
        <f>IF(ISBLANK(tbl_task3[[คะแนนเต็ม]:[คะแนนเต็ม]]),"",(tbl_task3[165]/tbl_task3[[คะแนนเต็ม]:[คะแนนเต็ม]])*tbl_task3[[%]:[%]])</f>
        <v/>
      </c>
    </row>
    <row r="8" spans="1:335" ht="24.75" customHeight="1" x14ac:dyDescent="0.25">
      <c r="A8" s="24">
        <v>5</v>
      </c>
      <c r="B8" s="33"/>
      <c r="C8" s="5" t="str">
        <f>IF(ISBLANK(B8),"",VLOOKUP(B8,tbl_PLOs[],2,0))</f>
        <v/>
      </c>
      <c r="D8" s="102"/>
      <c r="E8" s="10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22"/>
      <c r="FO8" s="121" t="str">
        <f>IF(ISBLANK(tbl_task3[[คะแนนเต็ม]:[คะแนนเต็ม]]),"",(tbl_task3[1]/tbl_task3[[คะแนนเต็ม]:[คะแนนเต็ม]])*tbl_task3[[%]:[%]])</f>
        <v/>
      </c>
      <c r="FP8" s="121" t="str">
        <f>IF(ISBLANK(tbl_task3[[คะแนนเต็ม]:[คะแนนเต็ม]]),"",(tbl_task3[2]/tbl_task3[[คะแนนเต็ม]:[คะแนนเต็ม]])*tbl_task3[[%]:[%]])</f>
        <v/>
      </c>
      <c r="FQ8" s="121" t="str">
        <f>IF(ISBLANK(tbl_task3[[คะแนนเต็ม]:[คะแนนเต็ม]]),"",(tbl_task3[3]/tbl_task3[[คะแนนเต็ม]:[คะแนนเต็ม]])*tbl_task3[[%]:[%]])</f>
        <v/>
      </c>
      <c r="FR8" s="121" t="str">
        <f>IF(ISBLANK(tbl_task3[[คะแนนเต็ม]:[คะแนนเต็ม]]),"",(tbl_task3[4]/tbl_task3[[คะแนนเต็ม]:[คะแนนเต็ม]])*tbl_task3[[%]:[%]])</f>
        <v/>
      </c>
      <c r="FS8" s="121" t="str">
        <f>IF(ISBLANK(tbl_task3[[คะแนนเต็ม]:[คะแนนเต็ม]]),"",(tbl_task3[5]/tbl_task3[[คะแนนเต็ม]:[คะแนนเต็ม]])*tbl_task3[[%]:[%]])</f>
        <v/>
      </c>
      <c r="FT8" s="121" t="str">
        <f>IF(ISBLANK(tbl_task3[[คะแนนเต็ม]:[คะแนนเต็ม]]),"",(tbl_task3[6]/tbl_task3[[คะแนนเต็ม]:[คะแนนเต็ม]])*tbl_task3[[%]:[%]])</f>
        <v/>
      </c>
      <c r="FU8" s="121" t="str">
        <f>IF(ISBLANK(tbl_task3[[คะแนนเต็ม]:[คะแนนเต็ม]]),"",(tbl_task3[7]/tbl_task3[[คะแนนเต็ม]:[คะแนนเต็ม]])*tbl_task3[[%]:[%]])</f>
        <v/>
      </c>
      <c r="FV8" s="121" t="str">
        <f>IF(ISBLANK(tbl_task3[[คะแนนเต็ม]:[คะแนนเต็ม]]),"",(tbl_task3[8]/tbl_task3[[คะแนนเต็ม]:[คะแนนเต็ม]])*tbl_task3[[%]:[%]])</f>
        <v/>
      </c>
      <c r="FW8" s="121" t="str">
        <f>IF(ISBLANK(tbl_task3[[คะแนนเต็ม]:[คะแนนเต็ม]]),"",(tbl_task3[9]/tbl_task3[[คะแนนเต็ม]:[คะแนนเต็ม]])*tbl_task3[[%]:[%]])</f>
        <v/>
      </c>
      <c r="FX8" s="121" t="str">
        <f>IF(ISBLANK(tbl_task3[[คะแนนเต็ม]:[คะแนนเต็ม]]),"",(tbl_task3[10]/tbl_task3[[คะแนนเต็ม]:[คะแนนเต็ม]])*tbl_task3[[%]:[%]])</f>
        <v/>
      </c>
      <c r="FY8" s="121" t="str">
        <f>IF(ISBLANK(tbl_task3[[คะแนนเต็ม]:[คะแนนเต็ม]]),"",(tbl_task3[11]/tbl_task3[[คะแนนเต็ม]:[คะแนนเต็ม]])*tbl_task3[[%]:[%]])</f>
        <v/>
      </c>
      <c r="FZ8" s="121" t="str">
        <f>IF(ISBLANK(tbl_task3[[คะแนนเต็ม]:[คะแนนเต็ม]]),"",(tbl_task3[12]/tbl_task3[[คะแนนเต็ม]:[คะแนนเต็ม]])*tbl_task3[[%]:[%]])</f>
        <v/>
      </c>
      <c r="GA8" s="121" t="str">
        <f>IF(ISBLANK(tbl_task3[[คะแนนเต็ม]:[คะแนนเต็ม]]),"",(tbl_task3[13]/tbl_task3[[คะแนนเต็ม]:[คะแนนเต็ม]])*tbl_task3[[%]:[%]])</f>
        <v/>
      </c>
      <c r="GB8" s="121" t="str">
        <f>IF(ISBLANK(tbl_task3[[คะแนนเต็ม]:[คะแนนเต็ม]]),"",(tbl_task3[14]/tbl_task3[[คะแนนเต็ม]:[คะแนนเต็ม]])*tbl_task3[[%]:[%]])</f>
        <v/>
      </c>
      <c r="GC8" s="121" t="str">
        <f>IF(ISBLANK(tbl_task3[[คะแนนเต็ม]:[คะแนนเต็ม]]),"",(tbl_task3[15]/tbl_task3[[คะแนนเต็ม]:[คะแนนเต็ม]])*tbl_task3[[%]:[%]])</f>
        <v/>
      </c>
      <c r="GD8" s="121" t="str">
        <f>IF(ISBLANK(tbl_task3[[คะแนนเต็ม]:[คะแนนเต็ม]]),"",(tbl_task3[16]/tbl_task3[[คะแนนเต็ม]:[คะแนนเต็ม]])*tbl_task3[[%]:[%]])</f>
        <v/>
      </c>
      <c r="GE8" s="121" t="str">
        <f>IF(ISBLANK(tbl_task3[[คะแนนเต็ม]:[คะแนนเต็ม]]),"",(tbl_task3[17]/tbl_task3[[คะแนนเต็ม]:[คะแนนเต็ม]])*tbl_task3[[%]:[%]])</f>
        <v/>
      </c>
      <c r="GF8" s="121" t="str">
        <f>IF(ISBLANK(tbl_task3[[คะแนนเต็ม]:[คะแนนเต็ม]]),"",(tbl_task3[18]/tbl_task3[[คะแนนเต็ม]:[คะแนนเต็ม]])*tbl_task3[[%]:[%]])</f>
        <v/>
      </c>
      <c r="GG8" s="121" t="str">
        <f>IF(ISBLANK(tbl_task3[[คะแนนเต็ม]:[คะแนนเต็ม]]),"",(tbl_task3[19]/tbl_task3[[คะแนนเต็ม]:[คะแนนเต็ม]])*tbl_task3[[%]:[%]])</f>
        <v/>
      </c>
      <c r="GH8" s="121" t="str">
        <f>IF(ISBLANK(tbl_task3[[คะแนนเต็ม]:[คะแนนเต็ม]]),"",(tbl_task3[20]/tbl_task3[[คะแนนเต็ม]:[คะแนนเต็ม]])*tbl_task3[[%]:[%]])</f>
        <v/>
      </c>
      <c r="GI8" s="121" t="str">
        <f>IF(ISBLANK(tbl_task3[[คะแนนเต็ม]:[คะแนนเต็ม]]),"",(tbl_task3[21]/tbl_task3[[คะแนนเต็ม]:[คะแนนเต็ม]])*tbl_task3[[%]:[%]])</f>
        <v/>
      </c>
      <c r="GJ8" s="121" t="str">
        <f>IF(ISBLANK(tbl_task3[[คะแนนเต็ม]:[คะแนนเต็ม]]),"",(tbl_task3[22]/tbl_task3[[คะแนนเต็ม]:[คะแนนเต็ม]])*tbl_task3[[%]:[%]])</f>
        <v/>
      </c>
      <c r="GK8" s="121" t="str">
        <f>IF(ISBLANK(tbl_task3[[คะแนนเต็ม]:[คะแนนเต็ม]]),"",(tbl_task3[23]/tbl_task3[[คะแนนเต็ม]:[คะแนนเต็ม]])*tbl_task3[[%]:[%]])</f>
        <v/>
      </c>
      <c r="GL8" s="121" t="str">
        <f>IF(ISBLANK(tbl_task3[[คะแนนเต็ม]:[คะแนนเต็ม]]),"",(tbl_task3[24]/tbl_task3[[คะแนนเต็ม]:[คะแนนเต็ม]])*tbl_task3[[%]:[%]])</f>
        <v/>
      </c>
      <c r="GM8" s="121" t="str">
        <f>IF(ISBLANK(tbl_task3[[คะแนนเต็ม]:[คะแนนเต็ม]]),"",(tbl_task3[25]/tbl_task3[[คะแนนเต็ม]:[คะแนนเต็ม]])*tbl_task3[[%]:[%]])</f>
        <v/>
      </c>
      <c r="GN8" s="121" t="str">
        <f>IF(ISBLANK(tbl_task3[[คะแนนเต็ม]:[คะแนนเต็ม]]),"",(tbl_task3[26]/tbl_task3[[คะแนนเต็ม]:[คะแนนเต็ม]])*tbl_task3[[%]:[%]])</f>
        <v/>
      </c>
      <c r="GO8" s="121" t="str">
        <f>IF(ISBLANK(tbl_task3[[คะแนนเต็ม]:[คะแนนเต็ม]]),"",(tbl_task3[27]/tbl_task3[[คะแนนเต็ม]:[คะแนนเต็ม]])*tbl_task3[[%]:[%]])</f>
        <v/>
      </c>
      <c r="GP8" s="121" t="str">
        <f>IF(ISBLANK(tbl_task3[[คะแนนเต็ม]:[คะแนนเต็ม]]),"",(tbl_task3[28]/tbl_task3[[คะแนนเต็ม]:[คะแนนเต็ม]])*tbl_task3[[%]:[%]])</f>
        <v/>
      </c>
      <c r="GQ8" s="121" t="str">
        <f>IF(ISBLANK(tbl_task3[[คะแนนเต็ม]:[คะแนนเต็ม]]),"",(tbl_task3[29]/tbl_task3[[คะแนนเต็ม]:[คะแนนเต็ม]])*tbl_task3[[%]:[%]])</f>
        <v/>
      </c>
      <c r="GR8" s="121" t="str">
        <f>IF(ISBLANK(tbl_task3[[คะแนนเต็ม]:[คะแนนเต็ม]]),"",(tbl_task3[30]/tbl_task3[[คะแนนเต็ม]:[คะแนนเต็ม]])*tbl_task3[[%]:[%]])</f>
        <v/>
      </c>
      <c r="GS8" s="121" t="str">
        <f>IF(ISBLANK(tbl_task3[[คะแนนเต็ม]:[คะแนนเต็ม]]),"",(tbl_task3[31]/tbl_task3[[คะแนนเต็ม]:[คะแนนเต็ม]])*tbl_task3[[%]:[%]])</f>
        <v/>
      </c>
      <c r="GT8" s="121" t="str">
        <f>IF(ISBLANK(tbl_task3[[คะแนนเต็ม]:[คะแนนเต็ม]]),"",(tbl_task3[32]/tbl_task3[[คะแนนเต็ม]:[คะแนนเต็ม]])*tbl_task3[[%]:[%]])</f>
        <v/>
      </c>
      <c r="GU8" s="121" t="str">
        <f>IF(ISBLANK(tbl_task3[[คะแนนเต็ม]:[คะแนนเต็ม]]),"",(tbl_task3[33]/tbl_task3[[คะแนนเต็ม]:[คะแนนเต็ม]])*tbl_task3[[%]:[%]])</f>
        <v/>
      </c>
      <c r="GV8" s="121" t="str">
        <f>IF(ISBLANK(tbl_task3[[คะแนนเต็ม]:[คะแนนเต็ม]]),"",(tbl_task3[34]/tbl_task3[[คะแนนเต็ม]:[คะแนนเต็ม]])*tbl_task3[[%]:[%]])</f>
        <v/>
      </c>
      <c r="GW8" s="121" t="str">
        <f>IF(ISBLANK(tbl_task3[[คะแนนเต็ม]:[คะแนนเต็ม]]),"",(tbl_task3[35]/tbl_task3[[คะแนนเต็ม]:[คะแนนเต็ม]])*tbl_task3[[%]:[%]])</f>
        <v/>
      </c>
      <c r="GX8" s="121" t="str">
        <f>IF(ISBLANK(tbl_task3[[คะแนนเต็ม]:[คะแนนเต็ม]]),"",(tbl_task3[36]/tbl_task3[[คะแนนเต็ม]:[คะแนนเต็ม]])*tbl_task3[[%]:[%]])</f>
        <v/>
      </c>
      <c r="GY8" s="121" t="str">
        <f>IF(ISBLANK(tbl_task3[[คะแนนเต็ม]:[คะแนนเต็ม]]),"",(tbl_task3[37]/tbl_task3[[คะแนนเต็ม]:[คะแนนเต็ม]])*tbl_task3[[%]:[%]])</f>
        <v/>
      </c>
      <c r="GZ8" s="121" t="str">
        <f>IF(ISBLANK(tbl_task3[[คะแนนเต็ม]:[คะแนนเต็ม]]),"",(tbl_task3[38]/tbl_task3[[คะแนนเต็ม]:[คะแนนเต็ม]])*tbl_task3[[%]:[%]])</f>
        <v/>
      </c>
      <c r="HA8" s="121" t="str">
        <f>IF(ISBLANK(tbl_task3[[คะแนนเต็ม]:[คะแนนเต็ม]]),"",(tbl_task3[39]/tbl_task3[[คะแนนเต็ม]:[คะแนนเต็ม]])*tbl_task3[[%]:[%]])</f>
        <v/>
      </c>
      <c r="HB8" s="121" t="str">
        <f>IF(ISBLANK(tbl_task3[[คะแนนเต็ม]:[คะแนนเต็ม]]),"",(tbl_task3[40]/tbl_task3[[คะแนนเต็ม]:[คะแนนเต็ม]])*tbl_task3[[%]:[%]])</f>
        <v/>
      </c>
      <c r="HC8" s="121" t="str">
        <f>IF(ISBLANK(tbl_task3[[คะแนนเต็ม]:[คะแนนเต็ม]]),"",(tbl_task3[41]/tbl_task3[[คะแนนเต็ม]:[คะแนนเต็ม]])*tbl_task3[[%]:[%]])</f>
        <v/>
      </c>
      <c r="HD8" s="121" t="str">
        <f>IF(ISBLANK(tbl_task3[[คะแนนเต็ม]:[คะแนนเต็ม]]),"",(tbl_task3[42]/tbl_task3[[คะแนนเต็ม]:[คะแนนเต็ม]])*tbl_task3[[%]:[%]])</f>
        <v/>
      </c>
      <c r="HE8" s="121" t="str">
        <f>IF(ISBLANK(tbl_task3[[คะแนนเต็ม]:[คะแนนเต็ม]]),"",(tbl_task3[43]/tbl_task3[[คะแนนเต็ม]:[คะแนนเต็ม]])*tbl_task3[[%]:[%]])</f>
        <v/>
      </c>
      <c r="HF8" s="121" t="str">
        <f>IF(ISBLANK(tbl_task3[[คะแนนเต็ม]:[คะแนนเต็ม]]),"",(tbl_task3[44]/tbl_task3[[คะแนนเต็ม]:[คะแนนเต็ม]])*tbl_task3[[%]:[%]])</f>
        <v/>
      </c>
      <c r="HG8" s="121" t="str">
        <f>IF(ISBLANK(tbl_task3[[คะแนนเต็ม]:[คะแนนเต็ม]]),"",(tbl_task3[45]/tbl_task3[[คะแนนเต็ม]:[คะแนนเต็ม]])*tbl_task3[[%]:[%]])</f>
        <v/>
      </c>
      <c r="HH8" s="121" t="str">
        <f>IF(ISBLANK(tbl_task3[[คะแนนเต็ม]:[คะแนนเต็ม]]),"",(tbl_task3[46]/tbl_task3[[คะแนนเต็ม]:[คะแนนเต็ม]])*tbl_task3[[%]:[%]])</f>
        <v/>
      </c>
      <c r="HI8" s="121" t="str">
        <f>IF(ISBLANK(tbl_task3[[คะแนนเต็ม]:[คะแนนเต็ม]]),"",(tbl_task3[47]/tbl_task3[[คะแนนเต็ม]:[คะแนนเต็ม]])*tbl_task3[[%]:[%]])</f>
        <v/>
      </c>
      <c r="HJ8" s="121" t="str">
        <f>IF(ISBLANK(tbl_task3[[คะแนนเต็ม]:[คะแนนเต็ม]]),"",(tbl_task3[48]/tbl_task3[[คะแนนเต็ม]:[คะแนนเต็ม]])*tbl_task3[[%]:[%]])</f>
        <v/>
      </c>
      <c r="HK8" s="121" t="str">
        <f>IF(ISBLANK(tbl_task3[[คะแนนเต็ม]:[คะแนนเต็ม]]),"",(tbl_task3[49]/tbl_task3[[คะแนนเต็ม]:[คะแนนเต็ม]])*tbl_task3[[%]:[%]])</f>
        <v/>
      </c>
      <c r="HL8" s="121" t="str">
        <f>IF(ISBLANK(tbl_task3[[คะแนนเต็ม]:[คะแนนเต็ม]]),"",(tbl_task3[50]/tbl_task3[[คะแนนเต็ม]:[คะแนนเต็ม]])*tbl_task3[[%]:[%]])</f>
        <v/>
      </c>
      <c r="HM8" s="121" t="str">
        <f>IF(ISBLANK(tbl_task3[[คะแนนเต็ม]:[คะแนนเต็ม]]),"",(tbl_task3[51]/tbl_task3[[คะแนนเต็ม]:[คะแนนเต็ม]])*tbl_task3[[%]:[%]])</f>
        <v/>
      </c>
      <c r="HN8" s="121" t="str">
        <f>IF(ISBLANK(tbl_task3[[คะแนนเต็ม]:[คะแนนเต็ม]]),"",(tbl_task3[52]/tbl_task3[[คะแนนเต็ม]:[คะแนนเต็ม]])*tbl_task3[[%]:[%]])</f>
        <v/>
      </c>
      <c r="HO8" s="121" t="str">
        <f>IF(ISBLANK(tbl_task3[[คะแนนเต็ม]:[คะแนนเต็ม]]),"",(tbl_task3[53]/tbl_task3[[คะแนนเต็ม]:[คะแนนเต็ม]])*tbl_task3[[%]:[%]])</f>
        <v/>
      </c>
      <c r="HP8" s="121" t="str">
        <f>IF(ISBLANK(tbl_task3[[คะแนนเต็ม]:[คะแนนเต็ม]]),"",(tbl_task3[54]/tbl_task3[[คะแนนเต็ม]:[คะแนนเต็ม]])*tbl_task3[[%]:[%]])</f>
        <v/>
      </c>
      <c r="HQ8" s="121" t="str">
        <f>IF(ISBLANK(tbl_task3[[คะแนนเต็ม]:[คะแนนเต็ม]]),"",(tbl_task3[55]/tbl_task3[[คะแนนเต็ม]:[คะแนนเต็ม]])*tbl_task3[[%]:[%]])</f>
        <v/>
      </c>
      <c r="HR8" s="121" t="str">
        <f>IF(ISBLANK(tbl_task3[[คะแนนเต็ม]:[คะแนนเต็ม]]),"",(tbl_task3[56]/tbl_task3[[คะแนนเต็ม]:[คะแนนเต็ม]])*tbl_task3[[%]:[%]])</f>
        <v/>
      </c>
      <c r="HS8" s="121" t="str">
        <f>IF(ISBLANK(tbl_task3[[คะแนนเต็ม]:[คะแนนเต็ม]]),"",(tbl_task3[57]/tbl_task3[[คะแนนเต็ม]:[คะแนนเต็ม]])*tbl_task3[[%]:[%]])</f>
        <v/>
      </c>
      <c r="HT8" s="121" t="str">
        <f>IF(ISBLANK(tbl_task3[[คะแนนเต็ม]:[คะแนนเต็ม]]),"",(tbl_task3[58]/tbl_task3[[คะแนนเต็ม]:[คะแนนเต็ม]])*tbl_task3[[%]:[%]])</f>
        <v/>
      </c>
      <c r="HU8" s="121" t="str">
        <f>IF(ISBLANK(tbl_task3[[คะแนนเต็ม]:[คะแนนเต็ม]]),"",(tbl_task3[59]/tbl_task3[[คะแนนเต็ม]:[คะแนนเต็ม]])*tbl_task3[[%]:[%]])</f>
        <v/>
      </c>
      <c r="HV8" s="121" t="str">
        <f>IF(ISBLANK(tbl_task3[[คะแนนเต็ม]:[คะแนนเต็ม]]),"",(tbl_task3[60]/tbl_task3[[คะแนนเต็ม]:[คะแนนเต็ม]])*tbl_task3[[%]:[%]])</f>
        <v/>
      </c>
      <c r="HW8" s="121" t="str">
        <f>IF(ISBLANK(tbl_task3[[คะแนนเต็ม]:[คะแนนเต็ม]]),"",(tbl_task3[61]/tbl_task3[[คะแนนเต็ม]:[คะแนนเต็ม]])*tbl_task3[[%]:[%]])</f>
        <v/>
      </c>
      <c r="HX8" s="121" t="str">
        <f>IF(ISBLANK(tbl_task3[[คะแนนเต็ม]:[คะแนนเต็ม]]),"",(tbl_task3[62]/tbl_task3[[คะแนนเต็ม]:[คะแนนเต็ม]])*tbl_task3[[%]:[%]])</f>
        <v/>
      </c>
      <c r="HY8" s="121" t="str">
        <f>IF(ISBLANK(tbl_task3[[คะแนนเต็ม]:[คะแนนเต็ม]]),"",(tbl_task3[63]/tbl_task3[[คะแนนเต็ม]:[คะแนนเต็ม]])*tbl_task3[[%]:[%]])</f>
        <v/>
      </c>
      <c r="HZ8" s="121" t="str">
        <f>IF(ISBLANK(tbl_task3[[คะแนนเต็ม]:[คะแนนเต็ม]]),"",(tbl_task3[64]/tbl_task3[[คะแนนเต็ม]:[คะแนนเต็ม]])*tbl_task3[[%]:[%]])</f>
        <v/>
      </c>
      <c r="IA8" s="121" t="str">
        <f>IF(ISBLANK(tbl_task3[[คะแนนเต็ม]:[คะแนนเต็ม]]),"",(tbl_task3[65]/tbl_task3[[คะแนนเต็ม]:[คะแนนเต็ม]])*tbl_task3[[%]:[%]])</f>
        <v/>
      </c>
      <c r="IB8" s="121" t="str">
        <f>IF(ISBLANK(tbl_task3[[คะแนนเต็ม]:[คะแนนเต็ม]]),"",(tbl_task3[66]/tbl_task3[[คะแนนเต็ม]:[คะแนนเต็ม]])*tbl_task3[[%]:[%]])</f>
        <v/>
      </c>
      <c r="IC8" s="121" t="str">
        <f>IF(ISBLANK(tbl_task3[[คะแนนเต็ม]:[คะแนนเต็ม]]),"",(tbl_task3[67]/tbl_task3[[คะแนนเต็ม]:[คะแนนเต็ม]])*tbl_task3[[%]:[%]])</f>
        <v/>
      </c>
      <c r="ID8" s="121" t="str">
        <f>IF(ISBLANK(tbl_task3[[คะแนนเต็ม]:[คะแนนเต็ม]]),"",(tbl_task3[68]/tbl_task3[[คะแนนเต็ม]:[คะแนนเต็ม]])*tbl_task3[[%]:[%]])</f>
        <v/>
      </c>
      <c r="IE8" s="121" t="str">
        <f>IF(ISBLANK(tbl_task3[[คะแนนเต็ม]:[คะแนนเต็ม]]),"",(tbl_task3[69]/tbl_task3[[คะแนนเต็ม]:[คะแนนเต็ม]])*tbl_task3[[%]:[%]])</f>
        <v/>
      </c>
      <c r="IF8" s="121" t="str">
        <f>IF(ISBLANK(tbl_task3[[คะแนนเต็ม]:[คะแนนเต็ม]]),"",(tbl_task3[70]/tbl_task3[[คะแนนเต็ม]:[คะแนนเต็ม]])*tbl_task3[[%]:[%]])</f>
        <v/>
      </c>
      <c r="IG8" s="121" t="str">
        <f>IF(ISBLANK(tbl_task3[[คะแนนเต็ม]:[คะแนนเต็ม]]),"",(tbl_task3[71]/tbl_task3[[คะแนนเต็ม]:[คะแนนเต็ม]])*tbl_task3[[%]:[%]])</f>
        <v/>
      </c>
      <c r="IH8" s="121" t="str">
        <f>IF(ISBLANK(tbl_task3[[คะแนนเต็ม]:[คะแนนเต็ม]]),"",(tbl_task3[72]/tbl_task3[[คะแนนเต็ม]:[คะแนนเต็ม]])*tbl_task3[[%]:[%]])</f>
        <v/>
      </c>
      <c r="II8" s="121" t="str">
        <f>IF(ISBLANK(tbl_task3[[คะแนนเต็ม]:[คะแนนเต็ม]]),"",(tbl_task3[73]/tbl_task3[[คะแนนเต็ม]:[คะแนนเต็ม]])*tbl_task3[[%]:[%]])</f>
        <v/>
      </c>
      <c r="IJ8" s="121" t="str">
        <f>IF(ISBLANK(tbl_task3[[คะแนนเต็ม]:[คะแนนเต็ม]]),"",(tbl_task3[74]/tbl_task3[[คะแนนเต็ม]:[คะแนนเต็ม]])*tbl_task3[[%]:[%]])</f>
        <v/>
      </c>
      <c r="IK8" s="121" t="str">
        <f>IF(ISBLANK(tbl_task3[[คะแนนเต็ม]:[คะแนนเต็ม]]),"",(tbl_task3[75]/tbl_task3[[คะแนนเต็ม]:[คะแนนเต็ม]])*tbl_task3[[%]:[%]])</f>
        <v/>
      </c>
      <c r="IL8" s="121" t="str">
        <f>IF(ISBLANK(tbl_task3[[คะแนนเต็ม]:[คะแนนเต็ม]]),"",(tbl_task3[76]/tbl_task3[[คะแนนเต็ม]:[คะแนนเต็ม]])*tbl_task3[[%]:[%]])</f>
        <v/>
      </c>
      <c r="IM8" s="121" t="str">
        <f>IF(ISBLANK(tbl_task3[[คะแนนเต็ม]:[คะแนนเต็ม]]),"",(tbl_task3[77]/tbl_task3[[คะแนนเต็ม]:[คะแนนเต็ม]])*tbl_task3[[%]:[%]])</f>
        <v/>
      </c>
      <c r="IN8" s="121" t="str">
        <f>IF(ISBLANK(tbl_task3[[คะแนนเต็ม]:[คะแนนเต็ม]]),"",(tbl_task3[78]/tbl_task3[[คะแนนเต็ม]:[คะแนนเต็ม]])*tbl_task3[[%]:[%]])</f>
        <v/>
      </c>
      <c r="IO8" s="121" t="str">
        <f>IF(ISBLANK(tbl_task3[[คะแนนเต็ม]:[คะแนนเต็ม]]),"",(tbl_task3[79]/tbl_task3[[คะแนนเต็ม]:[คะแนนเต็ม]])*tbl_task3[[%]:[%]])</f>
        <v/>
      </c>
      <c r="IP8" s="121" t="str">
        <f>IF(ISBLANK(tbl_task3[[คะแนนเต็ม]:[คะแนนเต็ม]]),"",(tbl_task3[80]/tbl_task3[[คะแนนเต็ม]:[คะแนนเต็ม]])*tbl_task3[[%]:[%]])</f>
        <v/>
      </c>
      <c r="IQ8" s="121" t="str">
        <f>IF(ISBLANK(tbl_task3[[คะแนนเต็ม]:[คะแนนเต็ม]]),"",(tbl_task3[81]/tbl_task3[[คะแนนเต็ม]:[คะแนนเต็ม]])*tbl_task3[[%]:[%]])</f>
        <v/>
      </c>
      <c r="IR8" s="121" t="str">
        <f>IF(ISBLANK(tbl_task3[[คะแนนเต็ม]:[คะแนนเต็ม]]),"",(tbl_task3[82]/tbl_task3[[คะแนนเต็ม]:[คะแนนเต็ม]])*tbl_task3[[%]:[%]])</f>
        <v/>
      </c>
      <c r="IS8" s="121" t="str">
        <f>IF(ISBLANK(tbl_task3[[คะแนนเต็ม]:[คะแนนเต็ม]]),"",(tbl_task3[83]/tbl_task3[[คะแนนเต็ม]:[คะแนนเต็ม]])*tbl_task3[[%]:[%]])</f>
        <v/>
      </c>
      <c r="IT8" s="121" t="str">
        <f>IF(ISBLANK(tbl_task3[[คะแนนเต็ม]:[คะแนนเต็ม]]),"",(tbl_task3[84]/tbl_task3[[คะแนนเต็ม]:[คะแนนเต็ม]])*tbl_task3[[%]:[%]])</f>
        <v/>
      </c>
      <c r="IU8" s="121" t="str">
        <f>IF(ISBLANK(tbl_task3[[คะแนนเต็ม]:[คะแนนเต็ม]]),"",(tbl_task3[85]/tbl_task3[[คะแนนเต็ม]:[คะแนนเต็ม]])*tbl_task3[[%]:[%]])</f>
        <v/>
      </c>
      <c r="IV8" s="121" t="str">
        <f>IF(ISBLANK(tbl_task3[[คะแนนเต็ม]:[คะแนนเต็ม]]),"",(tbl_task3[86]/tbl_task3[[คะแนนเต็ม]:[คะแนนเต็ม]])*tbl_task3[[%]:[%]])</f>
        <v/>
      </c>
      <c r="IW8" s="121" t="str">
        <f>IF(ISBLANK(tbl_task3[[คะแนนเต็ม]:[คะแนนเต็ม]]),"",(tbl_task3[87]/tbl_task3[[คะแนนเต็ม]:[คะแนนเต็ม]])*tbl_task3[[%]:[%]])</f>
        <v/>
      </c>
      <c r="IX8" s="121" t="str">
        <f>IF(ISBLANK(tbl_task3[[คะแนนเต็ม]:[คะแนนเต็ม]]),"",(tbl_task3[88]/tbl_task3[[คะแนนเต็ม]:[คะแนนเต็ม]])*tbl_task3[[%]:[%]])</f>
        <v/>
      </c>
      <c r="IY8" s="121" t="str">
        <f>IF(ISBLANK(tbl_task3[[คะแนนเต็ม]:[คะแนนเต็ม]]),"",(tbl_task3[89]/tbl_task3[[คะแนนเต็ม]:[คะแนนเต็ม]])*tbl_task3[[%]:[%]])</f>
        <v/>
      </c>
      <c r="IZ8" s="121" t="str">
        <f>IF(ISBLANK(tbl_task3[[คะแนนเต็ม]:[คะแนนเต็ม]]),"",(tbl_task3[90]/tbl_task3[[คะแนนเต็ม]:[คะแนนเต็ม]])*tbl_task3[[%]:[%]])</f>
        <v/>
      </c>
      <c r="JA8" s="121" t="str">
        <f>IF(ISBLANK(tbl_task3[[คะแนนเต็ม]:[คะแนนเต็ม]]),"",(tbl_task3[91]/tbl_task3[[คะแนนเต็ม]:[คะแนนเต็ม]])*tbl_task3[[%]:[%]])</f>
        <v/>
      </c>
      <c r="JB8" s="121" t="str">
        <f>IF(ISBLANK(tbl_task3[[คะแนนเต็ม]:[คะแนนเต็ม]]),"",(tbl_task3[92]/tbl_task3[[คะแนนเต็ม]:[คะแนนเต็ม]])*tbl_task3[[%]:[%]])</f>
        <v/>
      </c>
      <c r="JC8" s="121" t="str">
        <f>IF(ISBLANK(tbl_task3[[คะแนนเต็ม]:[คะแนนเต็ม]]),"",(tbl_task3[93]/tbl_task3[[คะแนนเต็ม]:[คะแนนเต็ม]])*tbl_task3[[%]:[%]])</f>
        <v/>
      </c>
      <c r="JD8" s="121" t="str">
        <f>IF(ISBLANK(tbl_task3[[คะแนนเต็ม]:[คะแนนเต็ม]]),"",(tbl_task3[94]/tbl_task3[[คะแนนเต็ม]:[คะแนนเต็ม]])*tbl_task3[[%]:[%]])</f>
        <v/>
      </c>
      <c r="JE8" s="121" t="str">
        <f>IF(ISBLANK(tbl_task3[[คะแนนเต็ม]:[คะแนนเต็ม]]),"",(tbl_task3[95]/tbl_task3[[คะแนนเต็ม]:[คะแนนเต็ม]])*tbl_task3[[%]:[%]])</f>
        <v/>
      </c>
      <c r="JF8" s="121" t="str">
        <f>IF(ISBLANK(tbl_task3[[คะแนนเต็ม]:[คะแนนเต็ม]]),"",(tbl_task3[96]/tbl_task3[[คะแนนเต็ม]:[คะแนนเต็ม]])*tbl_task3[[%]:[%]])</f>
        <v/>
      </c>
      <c r="JG8" s="121" t="str">
        <f>IF(ISBLANK(tbl_task3[[คะแนนเต็ม]:[คะแนนเต็ม]]),"",(tbl_task3[97]/tbl_task3[[คะแนนเต็ม]:[คะแนนเต็ม]])*tbl_task3[[%]:[%]])</f>
        <v/>
      </c>
      <c r="JH8" s="121" t="str">
        <f>IF(ISBLANK(tbl_task3[[คะแนนเต็ม]:[คะแนนเต็ม]]),"",(tbl_task3[98]/tbl_task3[[คะแนนเต็ม]:[คะแนนเต็ม]])*tbl_task3[[%]:[%]])</f>
        <v/>
      </c>
      <c r="JI8" s="121" t="str">
        <f>IF(ISBLANK(tbl_task3[[คะแนนเต็ม]:[คะแนนเต็ม]]),"",(tbl_task3[99]/tbl_task3[[คะแนนเต็ม]:[คะแนนเต็ม]])*tbl_task3[[%]:[%]])</f>
        <v/>
      </c>
      <c r="JJ8" s="121" t="str">
        <f>IF(ISBLANK(tbl_task3[[คะแนนเต็ม]:[คะแนนเต็ม]]),"",(tbl_task3[100]/tbl_task3[[คะแนนเต็ม]:[คะแนนเต็ม]])*tbl_task3[[%]:[%]])</f>
        <v/>
      </c>
      <c r="JK8" s="121" t="str">
        <f>IF(ISBLANK(tbl_task3[[คะแนนเต็ม]:[คะแนนเต็ม]]),"",(tbl_task3[101]/tbl_task3[[คะแนนเต็ม]:[คะแนนเต็ม]])*tbl_task3[[%]:[%]])</f>
        <v/>
      </c>
      <c r="JL8" s="121" t="str">
        <f>IF(ISBLANK(tbl_task3[[คะแนนเต็ม]:[คะแนนเต็ม]]),"",(tbl_task3[102]/tbl_task3[[คะแนนเต็ม]:[คะแนนเต็ม]])*tbl_task3[[%]:[%]])</f>
        <v/>
      </c>
      <c r="JM8" s="121" t="str">
        <f>IF(ISBLANK(tbl_task3[[คะแนนเต็ม]:[คะแนนเต็ม]]),"",(tbl_task3[103]/tbl_task3[[คะแนนเต็ม]:[คะแนนเต็ม]])*tbl_task3[[%]:[%]])</f>
        <v/>
      </c>
      <c r="JN8" s="121" t="str">
        <f>IF(ISBLANK(tbl_task3[[คะแนนเต็ม]:[คะแนนเต็ม]]),"",(tbl_task3[104]/tbl_task3[[คะแนนเต็ม]:[คะแนนเต็ม]])*tbl_task3[[%]:[%]])</f>
        <v/>
      </c>
      <c r="JO8" s="121" t="str">
        <f>IF(ISBLANK(tbl_task3[[คะแนนเต็ม]:[คะแนนเต็ม]]),"",(tbl_task3[105]/tbl_task3[[คะแนนเต็ม]:[คะแนนเต็ม]])*tbl_task3[[%]:[%]])</f>
        <v/>
      </c>
      <c r="JP8" s="121" t="str">
        <f>IF(ISBLANK(tbl_task3[[คะแนนเต็ม]:[คะแนนเต็ม]]),"",(tbl_task3[106]/tbl_task3[[คะแนนเต็ม]:[คะแนนเต็ม]])*tbl_task3[[%]:[%]])</f>
        <v/>
      </c>
      <c r="JQ8" s="121" t="str">
        <f>IF(ISBLANK(tbl_task3[[คะแนนเต็ม]:[คะแนนเต็ม]]),"",(tbl_task3[107]/tbl_task3[[คะแนนเต็ม]:[คะแนนเต็ม]])*tbl_task3[[%]:[%]])</f>
        <v/>
      </c>
      <c r="JR8" s="121" t="str">
        <f>IF(ISBLANK(tbl_task3[[คะแนนเต็ม]:[คะแนนเต็ม]]),"",(tbl_task3[108]/tbl_task3[[คะแนนเต็ม]:[คะแนนเต็ม]])*tbl_task3[[%]:[%]])</f>
        <v/>
      </c>
      <c r="JS8" s="121" t="str">
        <f>IF(ISBLANK(tbl_task3[[คะแนนเต็ม]:[คะแนนเต็ม]]),"",(tbl_task3[109]/tbl_task3[[คะแนนเต็ม]:[คะแนนเต็ม]])*tbl_task3[[%]:[%]])</f>
        <v/>
      </c>
      <c r="JT8" s="121" t="str">
        <f>IF(ISBLANK(tbl_task3[[คะแนนเต็ม]:[คะแนนเต็ม]]),"",(tbl_task3[110]/tbl_task3[[คะแนนเต็ม]:[คะแนนเต็ม]])*tbl_task3[[%]:[%]])</f>
        <v/>
      </c>
      <c r="JU8" s="121" t="str">
        <f>IF(ISBLANK(tbl_task3[[คะแนนเต็ม]:[คะแนนเต็ม]]),"",(tbl_task3[111]/tbl_task3[[คะแนนเต็ม]:[คะแนนเต็ม]])*tbl_task3[[%]:[%]])</f>
        <v/>
      </c>
      <c r="JV8" s="121" t="str">
        <f>IF(ISBLANK(tbl_task3[[คะแนนเต็ม]:[คะแนนเต็ม]]),"",(tbl_task3[112]/tbl_task3[[คะแนนเต็ม]:[คะแนนเต็ม]])*tbl_task3[[%]:[%]])</f>
        <v/>
      </c>
      <c r="JW8" s="121" t="str">
        <f>IF(ISBLANK(tbl_task3[[คะแนนเต็ม]:[คะแนนเต็ม]]),"",(tbl_task3[113]/tbl_task3[[คะแนนเต็ม]:[คะแนนเต็ม]])*tbl_task3[[%]:[%]])</f>
        <v/>
      </c>
      <c r="JX8" s="121" t="str">
        <f>IF(ISBLANK(tbl_task3[[คะแนนเต็ม]:[คะแนนเต็ม]]),"",(tbl_task3[114]/tbl_task3[[คะแนนเต็ม]:[คะแนนเต็ม]])*tbl_task3[[%]:[%]])</f>
        <v/>
      </c>
      <c r="JY8" s="121" t="str">
        <f>IF(ISBLANK(tbl_task3[[คะแนนเต็ม]:[คะแนนเต็ม]]),"",(tbl_task3[115]/tbl_task3[[คะแนนเต็ม]:[คะแนนเต็ม]])*tbl_task3[[%]:[%]])</f>
        <v/>
      </c>
      <c r="JZ8" s="121" t="str">
        <f>IF(ISBLANK(tbl_task3[[คะแนนเต็ม]:[คะแนนเต็ม]]),"",(tbl_task3[116]/tbl_task3[[คะแนนเต็ม]:[คะแนนเต็ม]])*tbl_task3[[%]:[%]])</f>
        <v/>
      </c>
      <c r="KA8" s="121" t="str">
        <f>IF(ISBLANK(tbl_task3[[คะแนนเต็ม]:[คะแนนเต็ม]]),"",(tbl_task3[117]/tbl_task3[[คะแนนเต็ม]:[คะแนนเต็ม]])*tbl_task3[[%]:[%]])</f>
        <v/>
      </c>
      <c r="KB8" s="121" t="str">
        <f>IF(ISBLANK(tbl_task3[[คะแนนเต็ม]:[คะแนนเต็ม]]),"",(tbl_task3[118]/tbl_task3[[คะแนนเต็ม]:[คะแนนเต็ม]])*tbl_task3[[%]:[%]])</f>
        <v/>
      </c>
      <c r="KC8" s="121" t="str">
        <f>IF(ISBLANK(tbl_task3[[คะแนนเต็ม]:[คะแนนเต็ม]]),"",(tbl_task3[119]/tbl_task3[[คะแนนเต็ม]:[คะแนนเต็ม]])*tbl_task3[[%]:[%]])</f>
        <v/>
      </c>
      <c r="KD8" s="121" t="str">
        <f>IF(ISBLANK(tbl_task3[[คะแนนเต็ม]:[คะแนนเต็ม]]),"",(tbl_task3[120]/tbl_task3[[คะแนนเต็ม]:[คะแนนเต็ม]])*tbl_task3[[%]:[%]])</f>
        <v/>
      </c>
      <c r="KE8" s="121" t="str">
        <f>IF(ISBLANK(tbl_task3[[คะแนนเต็ม]:[คะแนนเต็ม]]),"",(tbl_task3[121]/tbl_task3[[คะแนนเต็ม]:[คะแนนเต็ม]])*tbl_task3[[%]:[%]])</f>
        <v/>
      </c>
      <c r="KF8" s="121" t="str">
        <f>IF(ISBLANK(tbl_task3[[คะแนนเต็ม]:[คะแนนเต็ม]]),"",(tbl_task3[122]/tbl_task3[[คะแนนเต็ม]:[คะแนนเต็ม]])*tbl_task3[[%]:[%]])</f>
        <v/>
      </c>
      <c r="KG8" s="121" t="str">
        <f>IF(ISBLANK(tbl_task3[[คะแนนเต็ม]:[คะแนนเต็ม]]),"",(tbl_task3[123]/tbl_task3[[คะแนนเต็ม]:[คะแนนเต็ม]])*tbl_task3[[%]:[%]])</f>
        <v/>
      </c>
      <c r="KH8" s="121" t="str">
        <f>IF(ISBLANK(tbl_task3[[คะแนนเต็ม]:[คะแนนเต็ม]]),"",(tbl_task3[124]/tbl_task3[[คะแนนเต็ม]:[คะแนนเต็ม]])*tbl_task3[[%]:[%]])</f>
        <v/>
      </c>
      <c r="KI8" s="121" t="str">
        <f>IF(ISBLANK(tbl_task3[[คะแนนเต็ม]:[คะแนนเต็ม]]),"",(tbl_task3[125]/tbl_task3[[คะแนนเต็ม]:[คะแนนเต็ม]])*tbl_task3[[%]:[%]])</f>
        <v/>
      </c>
      <c r="KJ8" s="121" t="str">
        <f>IF(ISBLANK(tbl_task3[[คะแนนเต็ม]:[คะแนนเต็ม]]),"",(tbl_task3[126]/tbl_task3[[คะแนนเต็ม]:[คะแนนเต็ม]])*tbl_task3[[%]:[%]])</f>
        <v/>
      </c>
      <c r="KK8" s="121" t="str">
        <f>IF(ISBLANK(tbl_task3[[คะแนนเต็ม]:[คะแนนเต็ม]]),"",(tbl_task3[127]/tbl_task3[[คะแนนเต็ม]:[คะแนนเต็ม]])*tbl_task3[[%]:[%]])</f>
        <v/>
      </c>
      <c r="KL8" s="121" t="str">
        <f>IF(ISBLANK(tbl_task3[[คะแนนเต็ม]:[คะแนนเต็ม]]),"",(tbl_task3[128]/tbl_task3[[คะแนนเต็ม]:[คะแนนเต็ม]])*tbl_task3[[%]:[%]])</f>
        <v/>
      </c>
      <c r="KM8" s="121" t="str">
        <f>IF(ISBLANK(tbl_task3[[คะแนนเต็ม]:[คะแนนเต็ม]]),"",(tbl_task3[129]/tbl_task3[[คะแนนเต็ม]:[คะแนนเต็ม]])*tbl_task3[[%]:[%]])</f>
        <v/>
      </c>
      <c r="KN8" s="121" t="str">
        <f>IF(ISBLANK(tbl_task3[[คะแนนเต็ม]:[คะแนนเต็ม]]),"",(tbl_task3[130]/tbl_task3[[คะแนนเต็ม]:[คะแนนเต็ม]])*tbl_task3[[%]:[%]])</f>
        <v/>
      </c>
      <c r="KO8" s="121" t="str">
        <f>IF(ISBLANK(tbl_task3[[คะแนนเต็ม]:[คะแนนเต็ม]]),"",(tbl_task3[131]/tbl_task3[[คะแนนเต็ม]:[คะแนนเต็ม]])*tbl_task3[[%]:[%]])</f>
        <v/>
      </c>
      <c r="KP8" s="121" t="str">
        <f>IF(ISBLANK(tbl_task3[[คะแนนเต็ม]:[คะแนนเต็ม]]),"",(tbl_task3[132]/tbl_task3[[คะแนนเต็ม]:[คะแนนเต็ม]])*tbl_task3[[%]:[%]])</f>
        <v/>
      </c>
      <c r="KQ8" s="121" t="str">
        <f>IF(ISBLANK(tbl_task3[[คะแนนเต็ม]:[คะแนนเต็ม]]),"",(tbl_task3[133]/tbl_task3[[คะแนนเต็ม]:[คะแนนเต็ม]])*tbl_task3[[%]:[%]])</f>
        <v/>
      </c>
      <c r="KR8" s="121" t="str">
        <f>IF(ISBLANK(tbl_task3[[คะแนนเต็ม]:[คะแนนเต็ม]]),"",(tbl_task3[134]/tbl_task3[[คะแนนเต็ม]:[คะแนนเต็ม]])*tbl_task3[[%]:[%]])</f>
        <v/>
      </c>
      <c r="KS8" s="121" t="str">
        <f>IF(ISBLANK(tbl_task3[[คะแนนเต็ม]:[คะแนนเต็ม]]),"",(tbl_task3[135]/tbl_task3[[คะแนนเต็ม]:[คะแนนเต็ม]])*tbl_task3[[%]:[%]])</f>
        <v/>
      </c>
      <c r="KT8" s="121" t="str">
        <f>IF(ISBLANK(tbl_task3[[คะแนนเต็ม]:[คะแนนเต็ม]]),"",(tbl_task3[136]/tbl_task3[[คะแนนเต็ม]:[คะแนนเต็ม]])*tbl_task3[[%]:[%]])</f>
        <v/>
      </c>
      <c r="KU8" s="121" t="str">
        <f>IF(ISBLANK(tbl_task3[[คะแนนเต็ม]:[คะแนนเต็ม]]),"",(tbl_task3[137]/tbl_task3[[คะแนนเต็ม]:[คะแนนเต็ม]])*tbl_task3[[%]:[%]])</f>
        <v/>
      </c>
      <c r="KV8" s="121" t="str">
        <f>IF(ISBLANK(tbl_task3[[คะแนนเต็ม]:[คะแนนเต็ม]]),"",(tbl_task3[138]/tbl_task3[[คะแนนเต็ม]:[คะแนนเต็ม]])*tbl_task3[[%]:[%]])</f>
        <v/>
      </c>
      <c r="KW8" s="121" t="str">
        <f>IF(ISBLANK(tbl_task3[[คะแนนเต็ม]:[คะแนนเต็ม]]),"",(tbl_task3[139]/tbl_task3[[คะแนนเต็ม]:[คะแนนเต็ม]])*tbl_task3[[%]:[%]])</f>
        <v/>
      </c>
      <c r="KX8" s="121" t="str">
        <f>IF(ISBLANK(tbl_task3[[คะแนนเต็ม]:[คะแนนเต็ม]]),"",(tbl_task3[140]/tbl_task3[[คะแนนเต็ม]:[คะแนนเต็ม]])*tbl_task3[[%]:[%]])</f>
        <v/>
      </c>
      <c r="KY8" s="121" t="str">
        <f>IF(ISBLANK(tbl_task3[[คะแนนเต็ม]:[คะแนนเต็ม]]),"",(tbl_task3[141]/tbl_task3[[คะแนนเต็ม]:[คะแนนเต็ม]])*tbl_task3[[%]:[%]])</f>
        <v/>
      </c>
      <c r="KZ8" s="121" t="str">
        <f>IF(ISBLANK(tbl_task3[[คะแนนเต็ม]:[คะแนนเต็ม]]),"",(tbl_task3[142]/tbl_task3[[คะแนนเต็ม]:[คะแนนเต็ม]])*tbl_task3[[%]:[%]])</f>
        <v/>
      </c>
      <c r="LA8" s="121" t="str">
        <f>IF(ISBLANK(tbl_task3[[คะแนนเต็ม]:[คะแนนเต็ม]]),"",(tbl_task3[143]/tbl_task3[[คะแนนเต็ม]:[คะแนนเต็ม]])*tbl_task3[[%]:[%]])</f>
        <v/>
      </c>
      <c r="LB8" s="121" t="str">
        <f>IF(ISBLANK(tbl_task3[[คะแนนเต็ม]:[คะแนนเต็ม]]),"",(tbl_task3[144]/tbl_task3[[คะแนนเต็ม]:[คะแนนเต็ม]])*tbl_task3[[%]:[%]])</f>
        <v/>
      </c>
      <c r="LC8" s="121" t="str">
        <f>IF(ISBLANK(tbl_task3[[คะแนนเต็ม]:[คะแนนเต็ม]]),"",(tbl_task3[145]/tbl_task3[[คะแนนเต็ม]:[คะแนนเต็ม]])*tbl_task3[[%]:[%]])</f>
        <v/>
      </c>
      <c r="LD8" s="121" t="str">
        <f>IF(ISBLANK(tbl_task3[[คะแนนเต็ม]:[คะแนนเต็ม]]),"",(tbl_task3[146]/tbl_task3[[คะแนนเต็ม]:[คะแนนเต็ม]])*tbl_task3[[%]:[%]])</f>
        <v/>
      </c>
      <c r="LE8" s="121" t="str">
        <f>IF(ISBLANK(tbl_task3[[คะแนนเต็ม]:[คะแนนเต็ม]]),"",(tbl_task3[147]/tbl_task3[[คะแนนเต็ม]:[คะแนนเต็ม]])*tbl_task3[[%]:[%]])</f>
        <v/>
      </c>
      <c r="LF8" s="121" t="str">
        <f>IF(ISBLANK(tbl_task3[[คะแนนเต็ม]:[คะแนนเต็ม]]),"",(tbl_task3[148]/tbl_task3[[คะแนนเต็ม]:[คะแนนเต็ม]])*tbl_task3[[%]:[%]])</f>
        <v/>
      </c>
      <c r="LG8" s="121" t="str">
        <f>IF(ISBLANK(tbl_task3[[คะแนนเต็ม]:[คะแนนเต็ม]]),"",(tbl_task3[149]/tbl_task3[[คะแนนเต็ม]:[คะแนนเต็ม]])*tbl_task3[[%]:[%]])</f>
        <v/>
      </c>
      <c r="LH8" s="121" t="str">
        <f>IF(ISBLANK(tbl_task3[[คะแนนเต็ม]:[คะแนนเต็ม]]),"",(tbl_task3[150]/tbl_task3[[คะแนนเต็ม]:[คะแนนเต็ม]])*tbl_task3[[%]:[%]])</f>
        <v/>
      </c>
      <c r="LI8" s="121" t="str">
        <f>IF(ISBLANK(tbl_task3[[คะแนนเต็ม]:[คะแนนเต็ม]]),"",(tbl_task3[151]/tbl_task3[[คะแนนเต็ม]:[คะแนนเต็ม]])*tbl_task3[[%]:[%]])</f>
        <v/>
      </c>
      <c r="LJ8" s="121" t="str">
        <f>IF(ISBLANK(tbl_task3[[คะแนนเต็ม]:[คะแนนเต็ม]]),"",(tbl_task3[152]/tbl_task3[[คะแนนเต็ม]:[คะแนนเต็ม]])*tbl_task3[[%]:[%]])</f>
        <v/>
      </c>
      <c r="LK8" s="121" t="str">
        <f>IF(ISBLANK(tbl_task3[[คะแนนเต็ม]:[คะแนนเต็ม]]),"",(tbl_task3[153]/tbl_task3[[คะแนนเต็ม]:[คะแนนเต็ม]])*tbl_task3[[%]:[%]])</f>
        <v/>
      </c>
      <c r="LL8" s="121" t="str">
        <f>IF(ISBLANK(tbl_task3[[คะแนนเต็ม]:[คะแนนเต็ม]]),"",(tbl_task3[154]/tbl_task3[[คะแนนเต็ม]:[คะแนนเต็ม]])*tbl_task3[[%]:[%]])</f>
        <v/>
      </c>
      <c r="LM8" s="121" t="str">
        <f>IF(ISBLANK(tbl_task3[[คะแนนเต็ม]:[คะแนนเต็ม]]),"",(tbl_task3[155]/tbl_task3[[คะแนนเต็ม]:[คะแนนเต็ม]])*tbl_task3[[%]:[%]])</f>
        <v/>
      </c>
      <c r="LN8" s="121" t="str">
        <f>IF(ISBLANK(tbl_task3[[คะแนนเต็ม]:[คะแนนเต็ม]]),"",(tbl_task3[156]/tbl_task3[[คะแนนเต็ม]:[คะแนนเต็ม]])*tbl_task3[[%]:[%]])</f>
        <v/>
      </c>
      <c r="LO8" s="121" t="str">
        <f>IF(ISBLANK(tbl_task3[[คะแนนเต็ม]:[คะแนนเต็ม]]),"",(tbl_task3[157]/tbl_task3[[คะแนนเต็ม]:[คะแนนเต็ม]])*tbl_task3[[%]:[%]])</f>
        <v/>
      </c>
      <c r="LP8" s="121" t="str">
        <f>IF(ISBLANK(tbl_task3[[คะแนนเต็ม]:[คะแนนเต็ม]]),"",(tbl_task3[158]/tbl_task3[[คะแนนเต็ม]:[คะแนนเต็ม]])*tbl_task3[[%]:[%]])</f>
        <v/>
      </c>
      <c r="LQ8" s="121" t="str">
        <f>IF(ISBLANK(tbl_task3[[คะแนนเต็ม]:[คะแนนเต็ม]]),"",(tbl_task3[159]/tbl_task3[[คะแนนเต็ม]:[คะแนนเต็ม]])*tbl_task3[[%]:[%]])</f>
        <v/>
      </c>
      <c r="LR8" s="121" t="str">
        <f>IF(ISBLANK(tbl_task3[[คะแนนเต็ม]:[คะแนนเต็ม]]),"",(tbl_task3[160]/tbl_task3[[คะแนนเต็ม]:[คะแนนเต็ม]])*tbl_task3[[%]:[%]])</f>
        <v/>
      </c>
      <c r="LS8" s="121" t="str">
        <f>IF(ISBLANK(tbl_task3[[คะแนนเต็ม]:[คะแนนเต็ม]]),"",(tbl_task3[161]/tbl_task3[[คะแนนเต็ม]:[คะแนนเต็ม]])*tbl_task3[[%]:[%]])</f>
        <v/>
      </c>
      <c r="LT8" s="121" t="str">
        <f>IF(ISBLANK(tbl_task3[[คะแนนเต็ม]:[คะแนนเต็ม]]),"",(tbl_task3[162]/tbl_task3[[คะแนนเต็ม]:[คะแนนเต็ม]])*tbl_task3[[%]:[%]])</f>
        <v/>
      </c>
      <c r="LU8" s="121" t="str">
        <f>IF(ISBLANK(tbl_task3[[คะแนนเต็ม]:[คะแนนเต็ม]]),"",(tbl_task3[163]/tbl_task3[[คะแนนเต็ม]:[คะแนนเต็ม]])*tbl_task3[[%]:[%]])</f>
        <v/>
      </c>
      <c r="LV8" s="121" t="str">
        <f>IF(ISBLANK(tbl_task3[[คะแนนเต็ม]:[คะแนนเต็ม]]),"",(tbl_task3[164]/tbl_task3[[คะแนนเต็ม]:[คะแนนเต็ม]])*tbl_task3[[%]:[%]])</f>
        <v/>
      </c>
      <c r="LW8" s="121" t="str">
        <f>IF(ISBLANK(tbl_task3[[คะแนนเต็ม]:[คะแนนเต็ม]]),"",(tbl_task3[165]/tbl_task3[[คะแนนเต็ม]:[คะแนนเต็ม]])*tbl_task3[[%]:[%]])</f>
        <v/>
      </c>
    </row>
    <row r="9" spans="1:335" x14ac:dyDescent="0.25">
      <c r="A9" s="24">
        <v>6</v>
      </c>
      <c r="B9" s="20"/>
      <c r="C9" s="5" t="str">
        <f>IF(ISBLANK(B9),"",VLOOKUP(B9,tbl_PLOs[],2,0))</f>
        <v/>
      </c>
      <c r="D9" s="102"/>
      <c r="E9" s="106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22"/>
      <c r="FO9" s="121" t="str">
        <f>IF(ISBLANK(tbl_task3[[คะแนนเต็ม]:[คะแนนเต็ม]]),"",(tbl_task3[1]/tbl_task3[[คะแนนเต็ม]:[คะแนนเต็ม]])*tbl_task3[[%]:[%]])</f>
        <v/>
      </c>
      <c r="FP9" s="121" t="str">
        <f>IF(ISBLANK(tbl_task3[[คะแนนเต็ม]:[คะแนนเต็ม]]),"",(tbl_task3[2]/tbl_task3[[คะแนนเต็ม]:[คะแนนเต็ม]])*tbl_task3[[%]:[%]])</f>
        <v/>
      </c>
      <c r="FQ9" s="121" t="str">
        <f>IF(ISBLANK(tbl_task3[[คะแนนเต็ม]:[คะแนนเต็ม]]),"",(tbl_task3[3]/tbl_task3[[คะแนนเต็ม]:[คะแนนเต็ม]])*tbl_task3[[%]:[%]])</f>
        <v/>
      </c>
      <c r="FR9" s="121" t="str">
        <f>IF(ISBLANK(tbl_task3[[คะแนนเต็ม]:[คะแนนเต็ม]]),"",(tbl_task3[4]/tbl_task3[[คะแนนเต็ม]:[คะแนนเต็ม]])*tbl_task3[[%]:[%]])</f>
        <v/>
      </c>
      <c r="FS9" s="121" t="str">
        <f>IF(ISBLANK(tbl_task3[[คะแนนเต็ม]:[คะแนนเต็ม]]),"",(tbl_task3[5]/tbl_task3[[คะแนนเต็ม]:[คะแนนเต็ม]])*tbl_task3[[%]:[%]])</f>
        <v/>
      </c>
      <c r="FT9" s="121" t="str">
        <f>IF(ISBLANK(tbl_task3[[คะแนนเต็ม]:[คะแนนเต็ม]]),"",(tbl_task3[6]/tbl_task3[[คะแนนเต็ม]:[คะแนนเต็ม]])*tbl_task3[[%]:[%]])</f>
        <v/>
      </c>
      <c r="FU9" s="121" t="str">
        <f>IF(ISBLANK(tbl_task3[[คะแนนเต็ม]:[คะแนนเต็ม]]),"",(tbl_task3[7]/tbl_task3[[คะแนนเต็ม]:[คะแนนเต็ม]])*tbl_task3[[%]:[%]])</f>
        <v/>
      </c>
      <c r="FV9" s="121" t="str">
        <f>IF(ISBLANK(tbl_task3[[คะแนนเต็ม]:[คะแนนเต็ม]]),"",(tbl_task3[8]/tbl_task3[[คะแนนเต็ม]:[คะแนนเต็ม]])*tbl_task3[[%]:[%]])</f>
        <v/>
      </c>
      <c r="FW9" s="121" t="str">
        <f>IF(ISBLANK(tbl_task3[[คะแนนเต็ม]:[คะแนนเต็ม]]),"",(tbl_task3[9]/tbl_task3[[คะแนนเต็ม]:[คะแนนเต็ม]])*tbl_task3[[%]:[%]])</f>
        <v/>
      </c>
      <c r="FX9" s="121" t="str">
        <f>IF(ISBLANK(tbl_task3[[คะแนนเต็ม]:[คะแนนเต็ม]]),"",(tbl_task3[10]/tbl_task3[[คะแนนเต็ม]:[คะแนนเต็ม]])*tbl_task3[[%]:[%]])</f>
        <v/>
      </c>
      <c r="FY9" s="121" t="str">
        <f>IF(ISBLANK(tbl_task3[[คะแนนเต็ม]:[คะแนนเต็ม]]),"",(tbl_task3[11]/tbl_task3[[คะแนนเต็ม]:[คะแนนเต็ม]])*tbl_task3[[%]:[%]])</f>
        <v/>
      </c>
      <c r="FZ9" s="121" t="str">
        <f>IF(ISBLANK(tbl_task3[[คะแนนเต็ม]:[คะแนนเต็ม]]),"",(tbl_task3[12]/tbl_task3[[คะแนนเต็ม]:[คะแนนเต็ม]])*tbl_task3[[%]:[%]])</f>
        <v/>
      </c>
      <c r="GA9" s="121" t="str">
        <f>IF(ISBLANK(tbl_task3[[คะแนนเต็ม]:[คะแนนเต็ม]]),"",(tbl_task3[13]/tbl_task3[[คะแนนเต็ม]:[คะแนนเต็ม]])*tbl_task3[[%]:[%]])</f>
        <v/>
      </c>
      <c r="GB9" s="121" t="str">
        <f>IF(ISBLANK(tbl_task3[[คะแนนเต็ม]:[คะแนนเต็ม]]),"",(tbl_task3[14]/tbl_task3[[คะแนนเต็ม]:[คะแนนเต็ม]])*tbl_task3[[%]:[%]])</f>
        <v/>
      </c>
      <c r="GC9" s="121" t="str">
        <f>IF(ISBLANK(tbl_task3[[คะแนนเต็ม]:[คะแนนเต็ม]]),"",(tbl_task3[15]/tbl_task3[[คะแนนเต็ม]:[คะแนนเต็ม]])*tbl_task3[[%]:[%]])</f>
        <v/>
      </c>
      <c r="GD9" s="121" t="str">
        <f>IF(ISBLANK(tbl_task3[[คะแนนเต็ม]:[คะแนนเต็ม]]),"",(tbl_task3[16]/tbl_task3[[คะแนนเต็ม]:[คะแนนเต็ม]])*tbl_task3[[%]:[%]])</f>
        <v/>
      </c>
      <c r="GE9" s="121" t="str">
        <f>IF(ISBLANK(tbl_task3[[คะแนนเต็ม]:[คะแนนเต็ม]]),"",(tbl_task3[17]/tbl_task3[[คะแนนเต็ม]:[คะแนนเต็ม]])*tbl_task3[[%]:[%]])</f>
        <v/>
      </c>
      <c r="GF9" s="121" t="str">
        <f>IF(ISBLANK(tbl_task3[[คะแนนเต็ม]:[คะแนนเต็ม]]),"",(tbl_task3[18]/tbl_task3[[คะแนนเต็ม]:[คะแนนเต็ม]])*tbl_task3[[%]:[%]])</f>
        <v/>
      </c>
      <c r="GG9" s="121" t="str">
        <f>IF(ISBLANK(tbl_task3[[คะแนนเต็ม]:[คะแนนเต็ม]]),"",(tbl_task3[19]/tbl_task3[[คะแนนเต็ม]:[คะแนนเต็ม]])*tbl_task3[[%]:[%]])</f>
        <v/>
      </c>
      <c r="GH9" s="121" t="str">
        <f>IF(ISBLANK(tbl_task3[[คะแนนเต็ม]:[คะแนนเต็ม]]),"",(tbl_task3[20]/tbl_task3[[คะแนนเต็ม]:[คะแนนเต็ม]])*tbl_task3[[%]:[%]])</f>
        <v/>
      </c>
      <c r="GI9" s="121" t="str">
        <f>IF(ISBLANK(tbl_task3[[คะแนนเต็ม]:[คะแนนเต็ม]]),"",(tbl_task3[21]/tbl_task3[[คะแนนเต็ม]:[คะแนนเต็ม]])*tbl_task3[[%]:[%]])</f>
        <v/>
      </c>
      <c r="GJ9" s="121" t="str">
        <f>IF(ISBLANK(tbl_task3[[คะแนนเต็ม]:[คะแนนเต็ม]]),"",(tbl_task3[22]/tbl_task3[[คะแนนเต็ม]:[คะแนนเต็ม]])*tbl_task3[[%]:[%]])</f>
        <v/>
      </c>
      <c r="GK9" s="121" t="str">
        <f>IF(ISBLANK(tbl_task3[[คะแนนเต็ม]:[คะแนนเต็ม]]),"",(tbl_task3[23]/tbl_task3[[คะแนนเต็ม]:[คะแนนเต็ม]])*tbl_task3[[%]:[%]])</f>
        <v/>
      </c>
      <c r="GL9" s="121" t="str">
        <f>IF(ISBLANK(tbl_task3[[คะแนนเต็ม]:[คะแนนเต็ม]]),"",(tbl_task3[24]/tbl_task3[[คะแนนเต็ม]:[คะแนนเต็ม]])*tbl_task3[[%]:[%]])</f>
        <v/>
      </c>
      <c r="GM9" s="121" t="str">
        <f>IF(ISBLANK(tbl_task3[[คะแนนเต็ม]:[คะแนนเต็ม]]),"",(tbl_task3[25]/tbl_task3[[คะแนนเต็ม]:[คะแนนเต็ม]])*tbl_task3[[%]:[%]])</f>
        <v/>
      </c>
      <c r="GN9" s="121" t="str">
        <f>IF(ISBLANK(tbl_task3[[คะแนนเต็ม]:[คะแนนเต็ม]]),"",(tbl_task3[26]/tbl_task3[[คะแนนเต็ม]:[คะแนนเต็ม]])*tbl_task3[[%]:[%]])</f>
        <v/>
      </c>
      <c r="GO9" s="121" t="str">
        <f>IF(ISBLANK(tbl_task3[[คะแนนเต็ม]:[คะแนนเต็ม]]),"",(tbl_task3[27]/tbl_task3[[คะแนนเต็ม]:[คะแนนเต็ม]])*tbl_task3[[%]:[%]])</f>
        <v/>
      </c>
      <c r="GP9" s="121" t="str">
        <f>IF(ISBLANK(tbl_task3[[คะแนนเต็ม]:[คะแนนเต็ม]]),"",(tbl_task3[28]/tbl_task3[[คะแนนเต็ม]:[คะแนนเต็ม]])*tbl_task3[[%]:[%]])</f>
        <v/>
      </c>
      <c r="GQ9" s="121" t="str">
        <f>IF(ISBLANK(tbl_task3[[คะแนนเต็ม]:[คะแนนเต็ม]]),"",(tbl_task3[29]/tbl_task3[[คะแนนเต็ม]:[คะแนนเต็ม]])*tbl_task3[[%]:[%]])</f>
        <v/>
      </c>
      <c r="GR9" s="121" t="str">
        <f>IF(ISBLANK(tbl_task3[[คะแนนเต็ม]:[คะแนนเต็ม]]),"",(tbl_task3[30]/tbl_task3[[คะแนนเต็ม]:[คะแนนเต็ม]])*tbl_task3[[%]:[%]])</f>
        <v/>
      </c>
      <c r="GS9" s="121" t="str">
        <f>IF(ISBLANK(tbl_task3[[คะแนนเต็ม]:[คะแนนเต็ม]]),"",(tbl_task3[31]/tbl_task3[[คะแนนเต็ม]:[คะแนนเต็ม]])*tbl_task3[[%]:[%]])</f>
        <v/>
      </c>
      <c r="GT9" s="121" t="str">
        <f>IF(ISBLANK(tbl_task3[[คะแนนเต็ม]:[คะแนนเต็ม]]),"",(tbl_task3[32]/tbl_task3[[คะแนนเต็ม]:[คะแนนเต็ม]])*tbl_task3[[%]:[%]])</f>
        <v/>
      </c>
      <c r="GU9" s="121" t="str">
        <f>IF(ISBLANK(tbl_task3[[คะแนนเต็ม]:[คะแนนเต็ม]]),"",(tbl_task3[33]/tbl_task3[[คะแนนเต็ม]:[คะแนนเต็ม]])*tbl_task3[[%]:[%]])</f>
        <v/>
      </c>
      <c r="GV9" s="121" t="str">
        <f>IF(ISBLANK(tbl_task3[[คะแนนเต็ม]:[คะแนนเต็ม]]),"",(tbl_task3[34]/tbl_task3[[คะแนนเต็ม]:[คะแนนเต็ม]])*tbl_task3[[%]:[%]])</f>
        <v/>
      </c>
      <c r="GW9" s="121" t="str">
        <f>IF(ISBLANK(tbl_task3[[คะแนนเต็ม]:[คะแนนเต็ม]]),"",(tbl_task3[35]/tbl_task3[[คะแนนเต็ม]:[คะแนนเต็ม]])*tbl_task3[[%]:[%]])</f>
        <v/>
      </c>
      <c r="GX9" s="121" t="str">
        <f>IF(ISBLANK(tbl_task3[[คะแนนเต็ม]:[คะแนนเต็ม]]),"",(tbl_task3[36]/tbl_task3[[คะแนนเต็ม]:[คะแนนเต็ม]])*tbl_task3[[%]:[%]])</f>
        <v/>
      </c>
      <c r="GY9" s="121" t="str">
        <f>IF(ISBLANK(tbl_task3[[คะแนนเต็ม]:[คะแนนเต็ม]]),"",(tbl_task3[37]/tbl_task3[[คะแนนเต็ม]:[คะแนนเต็ม]])*tbl_task3[[%]:[%]])</f>
        <v/>
      </c>
      <c r="GZ9" s="121" t="str">
        <f>IF(ISBLANK(tbl_task3[[คะแนนเต็ม]:[คะแนนเต็ม]]),"",(tbl_task3[38]/tbl_task3[[คะแนนเต็ม]:[คะแนนเต็ม]])*tbl_task3[[%]:[%]])</f>
        <v/>
      </c>
      <c r="HA9" s="121" t="str">
        <f>IF(ISBLANK(tbl_task3[[คะแนนเต็ม]:[คะแนนเต็ม]]),"",(tbl_task3[39]/tbl_task3[[คะแนนเต็ม]:[คะแนนเต็ม]])*tbl_task3[[%]:[%]])</f>
        <v/>
      </c>
      <c r="HB9" s="121" t="str">
        <f>IF(ISBLANK(tbl_task3[[คะแนนเต็ม]:[คะแนนเต็ม]]),"",(tbl_task3[40]/tbl_task3[[คะแนนเต็ม]:[คะแนนเต็ม]])*tbl_task3[[%]:[%]])</f>
        <v/>
      </c>
      <c r="HC9" s="121" t="str">
        <f>IF(ISBLANK(tbl_task3[[คะแนนเต็ม]:[คะแนนเต็ม]]),"",(tbl_task3[41]/tbl_task3[[คะแนนเต็ม]:[คะแนนเต็ม]])*tbl_task3[[%]:[%]])</f>
        <v/>
      </c>
      <c r="HD9" s="121" t="str">
        <f>IF(ISBLANK(tbl_task3[[คะแนนเต็ม]:[คะแนนเต็ม]]),"",(tbl_task3[42]/tbl_task3[[คะแนนเต็ม]:[คะแนนเต็ม]])*tbl_task3[[%]:[%]])</f>
        <v/>
      </c>
      <c r="HE9" s="121" t="str">
        <f>IF(ISBLANK(tbl_task3[[คะแนนเต็ม]:[คะแนนเต็ม]]),"",(tbl_task3[43]/tbl_task3[[คะแนนเต็ม]:[คะแนนเต็ม]])*tbl_task3[[%]:[%]])</f>
        <v/>
      </c>
      <c r="HF9" s="121" t="str">
        <f>IF(ISBLANK(tbl_task3[[คะแนนเต็ม]:[คะแนนเต็ม]]),"",(tbl_task3[44]/tbl_task3[[คะแนนเต็ม]:[คะแนนเต็ม]])*tbl_task3[[%]:[%]])</f>
        <v/>
      </c>
      <c r="HG9" s="121" t="str">
        <f>IF(ISBLANK(tbl_task3[[คะแนนเต็ม]:[คะแนนเต็ม]]),"",(tbl_task3[45]/tbl_task3[[คะแนนเต็ม]:[คะแนนเต็ม]])*tbl_task3[[%]:[%]])</f>
        <v/>
      </c>
      <c r="HH9" s="121" t="str">
        <f>IF(ISBLANK(tbl_task3[[คะแนนเต็ม]:[คะแนนเต็ม]]),"",(tbl_task3[46]/tbl_task3[[คะแนนเต็ม]:[คะแนนเต็ม]])*tbl_task3[[%]:[%]])</f>
        <v/>
      </c>
      <c r="HI9" s="121" t="str">
        <f>IF(ISBLANK(tbl_task3[[คะแนนเต็ม]:[คะแนนเต็ม]]),"",(tbl_task3[47]/tbl_task3[[คะแนนเต็ม]:[คะแนนเต็ม]])*tbl_task3[[%]:[%]])</f>
        <v/>
      </c>
      <c r="HJ9" s="121" t="str">
        <f>IF(ISBLANK(tbl_task3[[คะแนนเต็ม]:[คะแนนเต็ม]]),"",(tbl_task3[48]/tbl_task3[[คะแนนเต็ม]:[คะแนนเต็ม]])*tbl_task3[[%]:[%]])</f>
        <v/>
      </c>
      <c r="HK9" s="121" t="str">
        <f>IF(ISBLANK(tbl_task3[[คะแนนเต็ม]:[คะแนนเต็ม]]),"",(tbl_task3[49]/tbl_task3[[คะแนนเต็ม]:[คะแนนเต็ม]])*tbl_task3[[%]:[%]])</f>
        <v/>
      </c>
      <c r="HL9" s="121" t="str">
        <f>IF(ISBLANK(tbl_task3[[คะแนนเต็ม]:[คะแนนเต็ม]]),"",(tbl_task3[50]/tbl_task3[[คะแนนเต็ม]:[คะแนนเต็ม]])*tbl_task3[[%]:[%]])</f>
        <v/>
      </c>
      <c r="HM9" s="121" t="str">
        <f>IF(ISBLANK(tbl_task3[[คะแนนเต็ม]:[คะแนนเต็ม]]),"",(tbl_task3[51]/tbl_task3[[คะแนนเต็ม]:[คะแนนเต็ม]])*tbl_task3[[%]:[%]])</f>
        <v/>
      </c>
      <c r="HN9" s="121" t="str">
        <f>IF(ISBLANK(tbl_task3[[คะแนนเต็ม]:[คะแนนเต็ม]]),"",(tbl_task3[52]/tbl_task3[[คะแนนเต็ม]:[คะแนนเต็ม]])*tbl_task3[[%]:[%]])</f>
        <v/>
      </c>
      <c r="HO9" s="121" t="str">
        <f>IF(ISBLANK(tbl_task3[[คะแนนเต็ม]:[คะแนนเต็ม]]),"",(tbl_task3[53]/tbl_task3[[คะแนนเต็ม]:[คะแนนเต็ม]])*tbl_task3[[%]:[%]])</f>
        <v/>
      </c>
      <c r="HP9" s="121" t="str">
        <f>IF(ISBLANK(tbl_task3[[คะแนนเต็ม]:[คะแนนเต็ม]]),"",(tbl_task3[54]/tbl_task3[[คะแนนเต็ม]:[คะแนนเต็ม]])*tbl_task3[[%]:[%]])</f>
        <v/>
      </c>
      <c r="HQ9" s="121" t="str">
        <f>IF(ISBLANK(tbl_task3[[คะแนนเต็ม]:[คะแนนเต็ม]]),"",(tbl_task3[55]/tbl_task3[[คะแนนเต็ม]:[คะแนนเต็ม]])*tbl_task3[[%]:[%]])</f>
        <v/>
      </c>
      <c r="HR9" s="121" t="str">
        <f>IF(ISBLANK(tbl_task3[[คะแนนเต็ม]:[คะแนนเต็ม]]),"",(tbl_task3[56]/tbl_task3[[คะแนนเต็ม]:[คะแนนเต็ม]])*tbl_task3[[%]:[%]])</f>
        <v/>
      </c>
      <c r="HS9" s="121" t="str">
        <f>IF(ISBLANK(tbl_task3[[คะแนนเต็ม]:[คะแนนเต็ม]]),"",(tbl_task3[57]/tbl_task3[[คะแนนเต็ม]:[คะแนนเต็ม]])*tbl_task3[[%]:[%]])</f>
        <v/>
      </c>
      <c r="HT9" s="121" t="str">
        <f>IF(ISBLANK(tbl_task3[[คะแนนเต็ม]:[คะแนนเต็ม]]),"",(tbl_task3[58]/tbl_task3[[คะแนนเต็ม]:[คะแนนเต็ม]])*tbl_task3[[%]:[%]])</f>
        <v/>
      </c>
      <c r="HU9" s="121" t="str">
        <f>IF(ISBLANK(tbl_task3[[คะแนนเต็ม]:[คะแนนเต็ม]]),"",(tbl_task3[59]/tbl_task3[[คะแนนเต็ม]:[คะแนนเต็ม]])*tbl_task3[[%]:[%]])</f>
        <v/>
      </c>
      <c r="HV9" s="121" t="str">
        <f>IF(ISBLANK(tbl_task3[[คะแนนเต็ม]:[คะแนนเต็ม]]),"",(tbl_task3[60]/tbl_task3[[คะแนนเต็ม]:[คะแนนเต็ม]])*tbl_task3[[%]:[%]])</f>
        <v/>
      </c>
      <c r="HW9" s="121" t="str">
        <f>IF(ISBLANK(tbl_task3[[คะแนนเต็ม]:[คะแนนเต็ม]]),"",(tbl_task3[61]/tbl_task3[[คะแนนเต็ม]:[คะแนนเต็ม]])*tbl_task3[[%]:[%]])</f>
        <v/>
      </c>
      <c r="HX9" s="121" t="str">
        <f>IF(ISBLANK(tbl_task3[[คะแนนเต็ม]:[คะแนนเต็ม]]),"",(tbl_task3[62]/tbl_task3[[คะแนนเต็ม]:[คะแนนเต็ม]])*tbl_task3[[%]:[%]])</f>
        <v/>
      </c>
      <c r="HY9" s="121" t="str">
        <f>IF(ISBLANK(tbl_task3[[คะแนนเต็ม]:[คะแนนเต็ม]]),"",(tbl_task3[63]/tbl_task3[[คะแนนเต็ม]:[คะแนนเต็ม]])*tbl_task3[[%]:[%]])</f>
        <v/>
      </c>
      <c r="HZ9" s="121" t="str">
        <f>IF(ISBLANK(tbl_task3[[คะแนนเต็ม]:[คะแนนเต็ม]]),"",(tbl_task3[64]/tbl_task3[[คะแนนเต็ม]:[คะแนนเต็ม]])*tbl_task3[[%]:[%]])</f>
        <v/>
      </c>
      <c r="IA9" s="121" t="str">
        <f>IF(ISBLANK(tbl_task3[[คะแนนเต็ม]:[คะแนนเต็ม]]),"",(tbl_task3[65]/tbl_task3[[คะแนนเต็ม]:[คะแนนเต็ม]])*tbl_task3[[%]:[%]])</f>
        <v/>
      </c>
      <c r="IB9" s="121" t="str">
        <f>IF(ISBLANK(tbl_task3[[คะแนนเต็ม]:[คะแนนเต็ม]]),"",(tbl_task3[66]/tbl_task3[[คะแนนเต็ม]:[คะแนนเต็ม]])*tbl_task3[[%]:[%]])</f>
        <v/>
      </c>
      <c r="IC9" s="121" t="str">
        <f>IF(ISBLANK(tbl_task3[[คะแนนเต็ม]:[คะแนนเต็ม]]),"",(tbl_task3[67]/tbl_task3[[คะแนนเต็ม]:[คะแนนเต็ม]])*tbl_task3[[%]:[%]])</f>
        <v/>
      </c>
      <c r="ID9" s="121" t="str">
        <f>IF(ISBLANK(tbl_task3[[คะแนนเต็ม]:[คะแนนเต็ม]]),"",(tbl_task3[68]/tbl_task3[[คะแนนเต็ม]:[คะแนนเต็ม]])*tbl_task3[[%]:[%]])</f>
        <v/>
      </c>
      <c r="IE9" s="121" t="str">
        <f>IF(ISBLANK(tbl_task3[[คะแนนเต็ม]:[คะแนนเต็ม]]),"",(tbl_task3[69]/tbl_task3[[คะแนนเต็ม]:[คะแนนเต็ม]])*tbl_task3[[%]:[%]])</f>
        <v/>
      </c>
      <c r="IF9" s="121" t="str">
        <f>IF(ISBLANK(tbl_task3[[คะแนนเต็ม]:[คะแนนเต็ม]]),"",(tbl_task3[70]/tbl_task3[[คะแนนเต็ม]:[คะแนนเต็ม]])*tbl_task3[[%]:[%]])</f>
        <v/>
      </c>
      <c r="IG9" s="121" t="str">
        <f>IF(ISBLANK(tbl_task3[[คะแนนเต็ม]:[คะแนนเต็ม]]),"",(tbl_task3[71]/tbl_task3[[คะแนนเต็ม]:[คะแนนเต็ม]])*tbl_task3[[%]:[%]])</f>
        <v/>
      </c>
      <c r="IH9" s="121" t="str">
        <f>IF(ISBLANK(tbl_task3[[คะแนนเต็ม]:[คะแนนเต็ม]]),"",(tbl_task3[72]/tbl_task3[[คะแนนเต็ม]:[คะแนนเต็ม]])*tbl_task3[[%]:[%]])</f>
        <v/>
      </c>
      <c r="II9" s="121" t="str">
        <f>IF(ISBLANK(tbl_task3[[คะแนนเต็ม]:[คะแนนเต็ม]]),"",(tbl_task3[73]/tbl_task3[[คะแนนเต็ม]:[คะแนนเต็ม]])*tbl_task3[[%]:[%]])</f>
        <v/>
      </c>
      <c r="IJ9" s="121" t="str">
        <f>IF(ISBLANK(tbl_task3[[คะแนนเต็ม]:[คะแนนเต็ม]]),"",(tbl_task3[74]/tbl_task3[[คะแนนเต็ม]:[คะแนนเต็ม]])*tbl_task3[[%]:[%]])</f>
        <v/>
      </c>
      <c r="IK9" s="121" t="str">
        <f>IF(ISBLANK(tbl_task3[[คะแนนเต็ม]:[คะแนนเต็ม]]),"",(tbl_task3[75]/tbl_task3[[คะแนนเต็ม]:[คะแนนเต็ม]])*tbl_task3[[%]:[%]])</f>
        <v/>
      </c>
      <c r="IL9" s="121" t="str">
        <f>IF(ISBLANK(tbl_task3[[คะแนนเต็ม]:[คะแนนเต็ม]]),"",(tbl_task3[76]/tbl_task3[[คะแนนเต็ม]:[คะแนนเต็ม]])*tbl_task3[[%]:[%]])</f>
        <v/>
      </c>
      <c r="IM9" s="121" t="str">
        <f>IF(ISBLANK(tbl_task3[[คะแนนเต็ม]:[คะแนนเต็ม]]),"",(tbl_task3[77]/tbl_task3[[คะแนนเต็ม]:[คะแนนเต็ม]])*tbl_task3[[%]:[%]])</f>
        <v/>
      </c>
      <c r="IN9" s="121" t="str">
        <f>IF(ISBLANK(tbl_task3[[คะแนนเต็ม]:[คะแนนเต็ม]]),"",(tbl_task3[78]/tbl_task3[[คะแนนเต็ม]:[คะแนนเต็ม]])*tbl_task3[[%]:[%]])</f>
        <v/>
      </c>
      <c r="IO9" s="121" t="str">
        <f>IF(ISBLANK(tbl_task3[[คะแนนเต็ม]:[คะแนนเต็ม]]),"",(tbl_task3[79]/tbl_task3[[คะแนนเต็ม]:[คะแนนเต็ม]])*tbl_task3[[%]:[%]])</f>
        <v/>
      </c>
      <c r="IP9" s="121" t="str">
        <f>IF(ISBLANK(tbl_task3[[คะแนนเต็ม]:[คะแนนเต็ม]]),"",(tbl_task3[80]/tbl_task3[[คะแนนเต็ม]:[คะแนนเต็ม]])*tbl_task3[[%]:[%]])</f>
        <v/>
      </c>
      <c r="IQ9" s="121" t="str">
        <f>IF(ISBLANK(tbl_task3[[คะแนนเต็ม]:[คะแนนเต็ม]]),"",(tbl_task3[81]/tbl_task3[[คะแนนเต็ม]:[คะแนนเต็ม]])*tbl_task3[[%]:[%]])</f>
        <v/>
      </c>
      <c r="IR9" s="121" t="str">
        <f>IF(ISBLANK(tbl_task3[[คะแนนเต็ม]:[คะแนนเต็ม]]),"",(tbl_task3[82]/tbl_task3[[คะแนนเต็ม]:[คะแนนเต็ม]])*tbl_task3[[%]:[%]])</f>
        <v/>
      </c>
      <c r="IS9" s="121" t="str">
        <f>IF(ISBLANK(tbl_task3[[คะแนนเต็ม]:[คะแนนเต็ม]]),"",(tbl_task3[83]/tbl_task3[[คะแนนเต็ม]:[คะแนนเต็ม]])*tbl_task3[[%]:[%]])</f>
        <v/>
      </c>
      <c r="IT9" s="121" t="str">
        <f>IF(ISBLANK(tbl_task3[[คะแนนเต็ม]:[คะแนนเต็ม]]),"",(tbl_task3[84]/tbl_task3[[คะแนนเต็ม]:[คะแนนเต็ม]])*tbl_task3[[%]:[%]])</f>
        <v/>
      </c>
      <c r="IU9" s="121" t="str">
        <f>IF(ISBLANK(tbl_task3[[คะแนนเต็ม]:[คะแนนเต็ม]]),"",(tbl_task3[85]/tbl_task3[[คะแนนเต็ม]:[คะแนนเต็ม]])*tbl_task3[[%]:[%]])</f>
        <v/>
      </c>
      <c r="IV9" s="121" t="str">
        <f>IF(ISBLANK(tbl_task3[[คะแนนเต็ม]:[คะแนนเต็ม]]),"",(tbl_task3[86]/tbl_task3[[คะแนนเต็ม]:[คะแนนเต็ม]])*tbl_task3[[%]:[%]])</f>
        <v/>
      </c>
      <c r="IW9" s="121" t="str">
        <f>IF(ISBLANK(tbl_task3[[คะแนนเต็ม]:[คะแนนเต็ม]]),"",(tbl_task3[87]/tbl_task3[[คะแนนเต็ม]:[คะแนนเต็ม]])*tbl_task3[[%]:[%]])</f>
        <v/>
      </c>
      <c r="IX9" s="121" t="str">
        <f>IF(ISBLANK(tbl_task3[[คะแนนเต็ม]:[คะแนนเต็ม]]),"",(tbl_task3[88]/tbl_task3[[คะแนนเต็ม]:[คะแนนเต็ม]])*tbl_task3[[%]:[%]])</f>
        <v/>
      </c>
      <c r="IY9" s="121" t="str">
        <f>IF(ISBLANK(tbl_task3[[คะแนนเต็ม]:[คะแนนเต็ม]]),"",(tbl_task3[89]/tbl_task3[[คะแนนเต็ม]:[คะแนนเต็ม]])*tbl_task3[[%]:[%]])</f>
        <v/>
      </c>
      <c r="IZ9" s="121" t="str">
        <f>IF(ISBLANK(tbl_task3[[คะแนนเต็ม]:[คะแนนเต็ม]]),"",(tbl_task3[90]/tbl_task3[[คะแนนเต็ม]:[คะแนนเต็ม]])*tbl_task3[[%]:[%]])</f>
        <v/>
      </c>
      <c r="JA9" s="121" t="str">
        <f>IF(ISBLANK(tbl_task3[[คะแนนเต็ม]:[คะแนนเต็ม]]),"",(tbl_task3[91]/tbl_task3[[คะแนนเต็ม]:[คะแนนเต็ม]])*tbl_task3[[%]:[%]])</f>
        <v/>
      </c>
      <c r="JB9" s="121" t="str">
        <f>IF(ISBLANK(tbl_task3[[คะแนนเต็ม]:[คะแนนเต็ม]]),"",(tbl_task3[92]/tbl_task3[[คะแนนเต็ม]:[คะแนนเต็ม]])*tbl_task3[[%]:[%]])</f>
        <v/>
      </c>
      <c r="JC9" s="121" t="str">
        <f>IF(ISBLANK(tbl_task3[[คะแนนเต็ม]:[คะแนนเต็ม]]),"",(tbl_task3[93]/tbl_task3[[คะแนนเต็ม]:[คะแนนเต็ม]])*tbl_task3[[%]:[%]])</f>
        <v/>
      </c>
      <c r="JD9" s="121" t="str">
        <f>IF(ISBLANK(tbl_task3[[คะแนนเต็ม]:[คะแนนเต็ม]]),"",(tbl_task3[94]/tbl_task3[[คะแนนเต็ม]:[คะแนนเต็ม]])*tbl_task3[[%]:[%]])</f>
        <v/>
      </c>
      <c r="JE9" s="121" t="str">
        <f>IF(ISBLANK(tbl_task3[[คะแนนเต็ม]:[คะแนนเต็ม]]),"",(tbl_task3[95]/tbl_task3[[คะแนนเต็ม]:[คะแนนเต็ม]])*tbl_task3[[%]:[%]])</f>
        <v/>
      </c>
      <c r="JF9" s="121" t="str">
        <f>IF(ISBLANK(tbl_task3[[คะแนนเต็ม]:[คะแนนเต็ม]]),"",(tbl_task3[96]/tbl_task3[[คะแนนเต็ม]:[คะแนนเต็ม]])*tbl_task3[[%]:[%]])</f>
        <v/>
      </c>
      <c r="JG9" s="121" t="str">
        <f>IF(ISBLANK(tbl_task3[[คะแนนเต็ม]:[คะแนนเต็ม]]),"",(tbl_task3[97]/tbl_task3[[คะแนนเต็ม]:[คะแนนเต็ม]])*tbl_task3[[%]:[%]])</f>
        <v/>
      </c>
      <c r="JH9" s="121" t="str">
        <f>IF(ISBLANK(tbl_task3[[คะแนนเต็ม]:[คะแนนเต็ม]]),"",(tbl_task3[98]/tbl_task3[[คะแนนเต็ม]:[คะแนนเต็ม]])*tbl_task3[[%]:[%]])</f>
        <v/>
      </c>
      <c r="JI9" s="121" t="str">
        <f>IF(ISBLANK(tbl_task3[[คะแนนเต็ม]:[คะแนนเต็ม]]),"",(tbl_task3[99]/tbl_task3[[คะแนนเต็ม]:[คะแนนเต็ม]])*tbl_task3[[%]:[%]])</f>
        <v/>
      </c>
      <c r="JJ9" s="121" t="str">
        <f>IF(ISBLANK(tbl_task3[[คะแนนเต็ม]:[คะแนนเต็ม]]),"",(tbl_task3[100]/tbl_task3[[คะแนนเต็ม]:[คะแนนเต็ม]])*tbl_task3[[%]:[%]])</f>
        <v/>
      </c>
      <c r="JK9" s="121" t="str">
        <f>IF(ISBLANK(tbl_task3[[คะแนนเต็ม]:[คะแนนเต็ม]]),"",(tbl_task3[101]/tbl_task3[[คะแนนเต็ม]:[คะแนนเต็ม]])*tbl_task3[[%]:[%]])</f>
        <v/>
      </c>
      <c r="JL9" s="121" t="str">
        <f>IF(ISBLANK(tbl_task3[[คะแนนเต็ม]:[คะแนนเต็ม]]),"",(tbl_task3[102]/tbl_task3[[คะแนนเต็ม]:[คะแนนเต็ม]])*tbl_task3[[%]:[%]])</f>
        <v/>
      </c>
      <c r="JM9" s="121" t="str">
        <f>IF(ISBLANK(tbl_task3[[คะแนนเต็ม]:[คะแนนเต็ม]]),"",(tbl_task3[103]/tbl_task3[[คะแนนเต็ม]:[คะแนนเต็ม]])*tbl_task3[[%]:[%]])</f>
        <v/>
      </c>
      <c r="JN9" s="121" t="str">
        <f>IF(ISBLANK(tbl_task3[[คะแนนเต็ม]:[คะแนนเต็ม]]),"",(tbl_task3[104]/tbl_task3[[คะแนนเต็ม]:[คะแนนเต็ม]])*tbl_task3[[%]:[%]])</f>
        <v/>
      </c>
      <c r="JO9" s="121" t="str">
        <f>IF(ISBLANK(tbl_task3[[คะแนนเต็ม]:[คะแนนเต็ม]]),"",(tbl_task3[105]/tbl_task3[[คะแนนเต็ม]:[คะแนนเต็ม]])*tbl_task3[[%]:[%]])</f>
        <v/>
      </c>
      <c r="JP9" s="121" t="str">
        <f>IF(ISBLANK(tbl_task3[[คะแนนเต็ม]:[คะแนนเต็ม]]),"",(tbl_task3[106]/tbl_task3[[คะแนนเต็ม]:[คะแนนเต็ม]])*tbl_task3[[%]:[%]])</f>
        <v/>
      </c>
      <c r="JQ9" s="121" t="str">
        <f>IF(ISBLANK(tbl_task3[[คะแนนเต็ม]:[คะแนนเต็ม]]),"",(tbl_task3[107]/tbl_task3[[คะแนนเต็ม]:[คะแนนเต็ม]])*tbl_task3[[%]:[%]])</f>
        <v/>
      </c>
      <c r="JR9" s="121" t="str">
        <f>IF(ISBLANK(tbl_task3[[คะแนนเต็ม]:[คะแนนเต็ม]]),"",(tbl_task3[108]/tbl_task3[[คะแนนเต็ม]:[คะแนนเต็ม]])*tbl_task3[[%]:[%]])</f>
        <v/>
      </c>
      <c r="JS9" s="121" t="str">
        <f>IF(ISBLANK(tbl_task3[[คะแนนเต็ม]:[คะแนนเต็ม]]),"",(tbl_task3[109]/tbl_task3[[คะแนนเต็ม]:[คะแนนเต็ม]])*tbl_task3[[%]:[%]])</f>
        <v/>
      </c>
      <c r="JT9" s="121" t="str">
        <f>IF(ISBLANK(tbl_task3[[คะแนนเต็ม]:[คะแนนเต็ม]]),"",(tbl_task3[110]/tbl_task3[[คะแนนเต็ม]:[คะแนนเต็ม]])*tbl_task3[[%]:[%]])</f>
        <v/>
      </c>
      <c r="JU9" s="121" t="str">
        <f>IF(ISBLANK(tbl_task3[[คะแนนเต็ม]:[คะแนนเต็ม]]),"",(tbl_task3[111]/tbl_task3[[คะแนนเต็ม]:[คะแนนเต็ม]])*tbl_task3[[%]:[%]])</f>
        <v/>
      </c>
      <c r="JV9" s="121" t="str">
        <f>IF(ISBLANK(tbl_task3[[คะแนนเต็ม]:[คะแนนเต็ม]]),"",(tbl_task3[112]/tbl_task3[[คะแนนเต็ม]:[คะแนนเต็ม]])*tbl_task3[[%]:[%]])</f>
        <v/>
      </c>
      <c r="JW9" s="121" t="str">
        <f>IF(ISBLANK(tbl_task3[[คะแนนเต็ม]:[คะแนนเต็ม]]),"",(tbl_task3[113]/tbl_task3[[คะแนนเต็ม]:[คะแนนเต็ม]])*tbl_task3[[%]:[%]])</f>
        <v/>
      </c>
      <c r="JX9" s="121" t="str">
        <f>IF(ISBLANK(tbl_task3[[คะแนนเต็ม]:[คะแนนเต็ม]]),"",(tbl_task3[114]/tbl_task3[[คะแนนเต็ม]:[คะแนนเต็ม]])*tbl_task3[[%]:[%]])</f>
        <v/>
      </c>
      <c r="JY9" s="121" t="str">
        <f>IF(ISBLANK(tbl_task3[[คะแนนเต็ม]:[คะแนนเต็ม]]),"",(tbl_task3[115]/tbl_task3[[คะแนนเต็ม]:[คะแนนเต็ม]])*tbl_task3[[%]:[%]])</f>
        <v/>
      </c>
      <c r="JZ9" s="121" t="str">
        <f>IF(ISBLANK(tbl_task3[[คะแนนเต็ม]:[คะแนนเต็ม]]),"",(tbl_task3[116]/tbl_task3[[คะแนนเต็ม]:[คะแนนเต็ม]])*tbl_task3[[%]:[%]])</f>
        <v/>
      </c>
      <c r="KA9" s="121" t="str">
        <f>IF(ISBLANK(tbl_task3[[คะแนนเต็ม]:[คะแนนเต็ม]]),"",(tbl_task3[117]/tbl_task3[[คะแนนเต็ม]:[คะแนนเต็ม]])*tbl_task3[[%]:[%]])</f>
        <v/>
      </c>
      <c r="KB9" s="121" t="str">
        <f>IF(ISBLANK(tbl_task3[[คะแนนเต็ม]:[คะแนนเต็ม]]),"",(tbl_task3[118]/tbl_task3[[คะแนนเต็ม]:[คะแนนเต็ม]])*tbl_task3[[%]:[%]])</f>
        <v/>
      </c>
      <c r="KC9" s="121" t="str">
        <f>IF(ISBLANK(tbl_task3[[คะแนนเต็ม]:[คะแนนเต็ม]]),"",(tbl_task3[119]/tbl_task3[[คะแนนเต็ม]:[คะแนนเต็ม]])*tbl_task3[[%]:[%]])</f>
        <v/>
      </c>
      <c r="KD9" s="121" t="str">
        <f>IF(ISBLANK(tbl_task3[[คะแนนเต็ม]:[คะแนนเต็ม]]),"",(tbl_task3[120]/tbl_task3[[คะแนนเต็ม]:[คะแนนเต็ม]])*tbl_task3[[%]:[%]])</f>
        <v/>
      </c>
      <c r="KE9" s="121" t="str">
        <f>IF(ISBLANK(tbl_task3[[คะแนนเต็ม]:[คะแนนเต็ม]]),"",(tbl_task3[121]/tbl_task3[[คะแนนเต็ม]:[คะแนนเต็ม]])*tbl_task3[[%]:[%]])</f>
        <v/>
      </c>
      <c r="KF9" s="121" t="str">
        <f>IF(ISBLANK(tbl_task3[[คะแนนเต็ม]:[คะแนนเต็ม]]),"",(tbl_task3[122]/tbl_task3[[คะแนนเต็ม]:[คะแนนเต็ม]])*tbl_task3[[%]:[%]])</f>
        <v/>
      </c>
      <c r="KG9" s="121" t="str">
        <f>IF(ISBLANK(tbl_task3[[คะแนนเต็ม]:[คะแนนเต็ม]]),"",(tbl_task3[123]/tbl_task3[[คะแนนเต็ม]:[คะแนนเต็ม]])*tbl_task3[[%]:[%]])</f>
        <v/>
      </c>
      <c r="KH9" s="121" t="str">
        <f>IF(ISBLANK(tbl_task3[[คะแนนเต็ม]:[คะแนนเต็ม]]),"",(tbl_task3[124]/tbl_task3[[คะแนนเต็ม]:[คะแนนเต็ม]])*tbl_task3[[%]:[%]])</f>
        <v/>
      </c>
      <c r="KI9" s="121" t="str">
        <f>IF(ISBLANK(tbl_task3[[คะแนนเต็ม]:[คะแนนเต็ม]]),"",(tbl_task3[125]/tbl_task3[[คะแนนเต็ม]:[คะแนนเต็ม]])*tbl_task3[[%]:[%]])</f>
        <v/>
      </c>
      <c r="KJ9" s="121" t="str">
        <f>IF(ISBLANK(tbl_task3[[คะแนนเต็ม]:[คะแนนเต็ม]]),"",(tbl_task3[126]/tbl_task3[[คะแนนเต็ม]:[คะแนนเต็ม]])*tbl_task3[[%]:[%]])</f>
        <v/>
      </c>
      <c r="KK9" s="121" t="str">
        <f>IF(ISBLANK(tbl_task3[[คะแนนเต็ม]:[คะแนนเต็ม]]),"",(tbl_task3[127]/tbl_task3[[คะแนนเต็ม]:[คะแนนเต็ม]])*tbl_task3[[%]:[%]])</f>
        <v/>
      </c>
      <c r="KL9" s="121" t="str">
        <f>IF(ISBLANK(tbl_task3[[คะแนนเต็ม]:[คะแนนเต็ม]]),"",(tbl_task3[128]/tbl_task3[[คะแนนเต็ม]:[คะแนนเต็ม]])*tbl_task3[[%]:[%]])</f>
        <v/>
      </c>
      <c r="KM9" s="121" t="str">
        <f>IF(ISBLANK(tbl_task3[[คะแนนเต็ม]:[คะแนนเต็ม]]),"",(tbl_task3[129]/tbl_task3[[คะแนนเต็ม]:[คะแนนเต็ม]])*tbl_task3[[%]:[%]])</f>
        <v/>
      </c>
      <c r="KN9" s="121" t="str">
        <f>IF(ISBLANK(tbl_task3[[คะแนนเต็ม]:[คะแนนเต็ม]]),"",(tbl_task3[130]/tbl_task3[[คะแนนเต็ม]:[คะแนนเต็ม]])*tbl_task3[[%]:[%]])</f>
        <v/>
      </c>
      <c r="KO9" s="121" t="str">
        <f>IF(ISBLANK(tbl_task3[[คะแนนเต็ม]:[คะแนนเต็ม]]),"",(tbl_task3[131]/tbl_task3[[คะแนนเต็ม]:[คะแนนเต็ม]])*tbl_task3[[%]:[%]])</f>
        <v/>
      </c>
      <c r="KP9" s="121" t="str">
        <f>IF(ISBLANK(tbl_task3[[คะแนนเต็ม]:[คะแนนเต็ม]]),"",(tbl_task3[132]/tbl_task3[[คะแนนเต็ม]:[คะแนนเต็ม]])*tbl_task3[[%]:[%]])</f>
        <v/>
      </c>
      <c r="KQ9" s="121" t="str">
        <f>IF(ISBLANK(tbl_task3[[คะแนนเต็ม]:[คะแนนเต็ม]]),"",(tbl_task3[133]/tbl_task3[[คะแนนเต็ม]:[คะแนนเต็ม]])*tbl_task3[[%]:[%]])</f>
        <v/>
      </c>
      <c r="KR9" s="121" t="str">
        <f>IF(ISBLANK(tbl_task3[[คะแนนเต็ม]:[คะแนนเต็ม]]),"",(tbl_task3[134]/tbl_task3[[คะแนนเต็ม]:[คะแนนเต็ม]])*tbl_task3[[%]:[%]])</f>
        <v/>
      </c>
      <c r="KS9" s="121" t="str">
        <f>IF(ISBLANK(tbl_task3[[คะแนนเต็ม]:[คะแนนเต็ม]]),"",(tbl_task3[135]/tbl_task3[[คะแนนเต็ม]:[คะแนนเต็ม]])*tbl_task3[[%]:[%]])</f>
        <v/>
      </c>
      <c r="KT9" s="121" t="str">
        <f>IF(ISBLANK(tbl_task3[[คะแนนเต็ม]:[คะแนนเต็ม]]),"",(tbl_task3[136]/tbl_task3[[คะแนนเต็ม]:[คะแนนเต็ม]])*tbl_task3[[%]:[%]])</f>
        <v/>
      </c>
      <c r="KU9" s="121" t="str">
        <f>IF(ISBLANK(tbl_task3[[คะแนนเต็ม]:[คะแนนเต็ม]]),"",(tbl_task3[137]/tbl_task3[[คะแนนเต็ม]:[คะแนนเต็ม]])*tbl_task3[[%]:[%]])</f>
        <v/>
      </c>
      <c r="KV9" s="121" t="str">
        <f>IF(ISBLANK(tbl_task3[[คะแนนเต็ม]:[คะแนนเต็ม]]),"",(tbl_task3[138]/tbl_task3[[คะแนนเต็ม]:[คะแนนเต็ม]])*tbl_task3[[%]:[%]])</f>
        <v/>
      </c>
      <c r="KW9" s="121" t="str">
        <f>IF(ISBLANK(tbl_task3[[คะแนนเต็ม]:[คะแนนเต็ม]]),"",(tbl_task3[139]/tbl_task3[[คะแนนเต็ม]:[คะแนนเต็ม]])*tbl_task3[[%]:[%]])</f>
        <v/>
      </c>
      <c r="KX9" s="121" t="str">
        <f>IF(ISBLANK(tbl_task3[[คะแนนเต็ม]:[คะแนนเต็ม]]),"",(tbl_task3[140]/tbl_task3[[คะแนนเต็ม]:[คะแนนเต็ม]])*tbl_task3[[%]:[%]])</f>
        <v/>
      </c>
      <c r="KY9" s="121" t="str">
        <f>IF(ISBLANK(tbl_task3[[คะแนนเต็ม]:[คะแนนเต็ม]]),"",(tbl_task3[141]/tbl_task3[[คะแนนเต็ม]:[คะแนนเต็ม]])*tbl_task3[[%]:[%]])</f>
        <v/>
      </c>
      <c r="KZ9" s="121" t="str">
        <f>IF(ISBLANK(tbl_task3[[คะแนนเต็ม]:[คะแนนเต็ม]]),"",(tbl_task3[142]/tbl_task3[[คะแนนเต็ม]:[คะแนนเต็ม]])*tbl_task3[[%]:[%]])</f>
        <v/>
      </c>
      <c r="LA9" s="121" t="str">
        <f>IF(ISBLANK(tbl_task3[[คะแนนเต็ม]:[คะแนนเต็ม]]),"",(tbl_task3[143]/tbl_task3[[คะแนนเต็ม]:[คะแนนเต็ม]])*tbl_task3[[%]:[%]])</f>
        <v/>
      </c>
      <c r="LB9" s="121" t="str">
        <f>IF(ISBLANK(tbl_task3[[คะแนนเต็ม]:[คะแนนเต็ม]]),"",(tbl_task3[144]/tbl_task3[[คะแนนเต็ม]:[คะแนนเต็ม]])*tbl_task3[[%]:[%]])</f>
        <v/>
      </c>
      <c r="LC9" s="121" t="str">
        <f>IF(ISBLANK(tbl_task3[[คะแนนเต็ม]:[คะแนนเต็ม]]),"",(tbl_task3[145]/tbl_task3[[คะแนนเต็ม]:[คะแนนเต็ม]])*tbl_task3[[%]:[%]])</f>
        <v/>
      </c>
      <c r="LD9" s="121" t="str">
        <f>IF(ISBLANK(tbl_task3[[คะแนนเต็ม]:[คะแนนเต็ม]]),"",(tbl_task3[146]/tbl_task3[[คะแนนเต็ม]:[คะแนนเต็ม]])*tbl_task3[[%]:[%]])</f>
        <v/>
      </c>
      <c r="LE9" s="121" t="str">
        <f>IF(ISBLANK(tbl_task3[[คะแนนเต็ม]:[คะแนนเต็ม]]),"",(tbl_task3[147]/tbl_task3[[คะแนนเต็ม]:[คะแนนเต็ม]])*tbl_task3[[%]:[%]])</f>
        <v/>
      </c>
      <c r="LF9" s="121" t="str">
        <f>IF(ISBLANK(tbl_task3[[คะแนนเต็ม]:[คะแนนเต็ม]]),"",(tbl_task3[148]/tbl_task3[[คะแนนเต็ม]:[คะแนนเต็ม]])*tbl_task3[[%]:[%]])</f>
        <v/>
      </c>
      <c r="LG9" s="121" t="str">
        <f>IF(ISBLANK(tbl_task3[[คะแนนเต็ม]:[คะแนนเต็ม]]),"",(tbl_task3[149]/tbl_task3[[คะแนนเต็ม]:[คะแนนเต็ม]])*tbl_task3[[%]:[%]])</f>
        <v/>
      </c>
      <c r="LH9" s="121" t="str">
        <f>IF(ISBLANK(tbl_task3[[คะแนนเต็ม]:[คะแนนเต็ม]]),"",(tbl_task3[150]/tbl_task3[[คะแนนเต็ม]:[คะแนนเต็ม]])*tbl_task3[[%]:[%]])</f>
        <v/>
      </c>
      <c r="LI9" s="121" t="str">
        <f>IF(ISBLANK(tbl_task3[[คะแนนเต็ม]:[คะแนนเต็ม]]),"",(tbl_task3[151]/tbl_task3[[คะแนนเต็ม]:[คะแนนเต็ม]])*tbl_task3[[%]:[%]])</f>
        <v/>
      </c>
      <c r="LJ9" s="121" t="str">
        <f>IF(ISBLANK(tbl_task3[[คะแนนเต็ม]:[คะแนนเต็ม]]),"",(tbl_task3[152]/tbl_task3[[คะแนนเต็ม]:[คะแนนเต็ม]])*tbl_task3[[%]:[%]])</f>
        <v/>
      </c>
      <c r="LK9" s="121" t="str">
        <f>IF(ISBLANK(tbl_task3[[คะแนนเต็ม]:[คะแนนเต็ม]]),"",(tbl_task3[153]/tbl_task3[[คะแนนเต็ม]:[คะแนนเต็ม]])*tbl_task3[[%]:[%]])</f>
        <v/>
      </c>
      <c r="LL9" s="121" t="str">
        <f>IF(ISBLANK(tbl_task3[[คะแนนเต็ม]:[คะแนนเต็ม]]),"",(tbl_task3[154]/tbl_task3[[คะแนนเต็ม]:[คะแนนเต็ม]])*tbl_task3[[%]:[%]])</f>
        <v/>
      </c>
      <c r="LM9" s="121" t="str">
        <f>IF(ISBLANK(tbl_task3[[คะแนนเต็ม]:[คะแนนเต็ม]]),"",(tbl_task3[155]/tbl_task3[[คะแนนเต็ม]:[คะแนนเต็ม]])*tbl_task3[[%]:[%]])</f>
        <v/>
      </c>
      <c r="LN9" s="121" t="str">
        <f>IF(ISBLANK(tbl_task3[[คะแนนเต็ม]:[คะแนนเต็ม]]),"",(tbl_task3[156]/tbl_task3[[คะแนนเต็ม]:[คะแนนเต็ม]])*tbl_task3[[%]:[%]])</f>
        <v/>
      </c>
      <c r="LO9" s="121" t="str">
        <f>IF(ISBLANK(tbl_task3[[คะแนนเต็ม]:[คะแนนเต็ม]]),"",(tbl_task3[157]/tbl_task3[[คะแนนเต็ม]:[คะแนนเต็ม]])*tbl_task3[[%]:[%]])</f>
        <v/>
      </c>
      <c r="LP9" s="121" t="str">
        <f>IF(ISBLANK(tbl_task3[[คะแนนเต็ม]:[คะแนนเต็ม]]),"",(tbl_task3[158]/tbl_task3[[คะแนนเต็ม]:[คะแนนเต็ม]])*tbl_task3[[%]:[%]])</f>
        <v/>
      </c>
      <c r="LQ9" s="121" t="str">
        <f>IF(ISBLANK(tbl_task3[[คะแนนเต็ม]:[คะแนนเต็ม]]),"",(tbl_task3[159]/tbl_task3[[คะแนนเต็ม]:[คะแนนเต็ม]])*tbl_task3[[%]:[%]])</f>
        <v/>
      </c>
      <c r="LR9" s="121" t="str">
        <f>IF(ISBLANK(tbl_task3[[คะแนนเต็ม]:[คะแนนเต็ม]]),"",(tbl_task3[160]/tbl_task3[[คะแนนเต็ม]:[คะแนนเต็ม]])*tbl_task3[[%]:[%]])</f>
        <v/>
      </c>
      <c r="LS9" s="121" t="str">
        <f>IF(ISBLANK(tbl_task3[[คะแนนเต็ม]:[คะแนนเต็ม]]),"",(tbl_task3[161]/tbl_task3[[คะแนนเต็ม]:[คะแนนเต็ม]])*tbl_task3[[%]:[%]])</f>
        <v/>
      </c>
      <c r="LT9" s="121" t="str">
        <f>IF(ISBLANK(tbl_task3[[คะแนนเต็ม]:[คะแนนเต็ม]]),"",(tbl_task3[162]/tbl_task3[[คะแนนเต็ม]:[คะแนนเต็ม]])*tbl_task3[[%]:[%]])</f>
        <v/>
      </c>
      <c r="LU9" s="121" t="str">
        <f>IF(ISBLANK(tbl_task3[[คะแนนเต็ม]:[คะแนนเต็ม]]),"",(tbl_task3[163]/tbl_task3[[คะแนนเต็ม]:[คะแนนเต็ม]])*tbl_task3[[%]:[%]])</f>
        <v/>
      </c>
      <c r="LV9" s="121" t="str">
        <f>IF(ISBLANK(tbl_task3[[คะแนนเต็ม]:[คะแนนเต็ม]]),"",(tbl_task3[164]/tbl_task3[[คะแนนเต็ม]:[คะแนนเต็ม]])*tbl_task3[[%]:[%]])</f>
        <v/>
      </c>
      <c r="LW9" s="121" t="str">
        <f>IF(ISBLANK(tbl_task3[[คะแนนเต็ม]:[คะแนนเต็ม]]),"",(tbl_task3[165]/tbl_task3[[คะแนนเต็ม]:[คะแนนเต็ม]])*tbl_task3[[%]:[%]])</f>
        <v/>
      </c>
    </row>
    <row r="10" spans="1:335" ht="24" customHeight="1" x14ac:dyDescent="0.25">
      <c r="A10" s="24">
        <v>7</v>
      </c>
      <c r="B10" s="20"/>
      <c r="C10" s="5" t="str">
        <f>IF(ISBLANK(B10),"",VLOOKUP(B10,tbl_PLOs[],2,0))</f>
        <v/>
      </c>
      <c r="D10" s="102"/>
      <c r="E10" s="106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22"/>
      <c r="FO10" s="121" t="str">
        <f>IF(ISBLANK(tbl_task3[[คะแนนเต็ม]:[คะแนนเต็ม]]),"",(tbl_task3[1]/tbl_task3[[คะแนนเต็ม]:[คะแนนเต็ม]])*tbl_task3[[%]:[%]])</f>
        <v/>
      </c>
      <c r="FP10" s="121" t="str">
        <f>IF(ISBLANK(tbl_task3[[คะแนนเต็ม]:[คะแนนเต็ม]]),"",(tbl_task3[2]/tbl_task3[[คะแนนเต็ม]:[คะแนนเต็ม]])*tbl_task3[[%]:[%]])</f>
        <v/>
      </c>
      <c r="FQ10" s="121" t="str">
        <f>IF(ISBLANK(tbl_task3[[คะแนนเต็ม]:[คะแนนเต็ม]]),"",(tbl_task3[3]/tbl_task3[[คะแนนเต็ม]:[คะแนนเต็ม]])*tbl_task3[[%]:[%]])</f>
        <v/>
      </c>
      <c r="FR10" s="121" t="str">
        <f>IF(ISBLANK(tbl_task3[[คะแนนเต็ม]:[คะแนนเต็ม]]),"",(tbl_task3[4]/tbl_task3[[คะแนนเต็ม]:[คะแนนเต็ม]])*tbl_task3[[%]:[%]])</f>
        <v/>
      </c>
      <c r="FS10" s="121" t="str">
        <f>IF(ISBLANK(tbl_task3[[คะแนนเต็ม]:[คะแนนเต็ม]]),"",(tbl_task3[5]/tbl_task3[[คะแนนเต็ม]:[คะแนนเต็ม]])*tbl_task3[[%]:[%]])</f>
        <v/>
      </c>
      <c r="FT10" s="121" t="str">
        <f>IF(ISBLANK(tbl_task3[[คะแนนเต็ม]:[คะแนนเต็ม]]),"",(tbl_task3[6]/tbl_task3[[คะแนนเต็ม]:[คะแนนเต็ม]])*tbl_task3[[%]:[%]])</f>
        <v/>
      </c>
      <c r="FU10" s="121" t="str">
        <f>IF(ISBLANK(tbl_task3[[คะแนนเต็ม]:[คะแนนเต็ม]]),"",(tbl_task3[7]/tbl_task3[[คะแนนเต็ม]:[คะแนนเต็ม]])*tbl_task3[[%]:[%]])</f>
        <v/>
      </c>
      <c r="FV10" s="121" t="str">
        <f>IF(ISBLANK(tbl_task3[[คะแนนเต็ม]:[คะแนนเต็ม]]),"",(tbl_task3[8]/tbl_task3[[คะแนนเต็ม]:[คะแนนเต็ม]])*tbl_task3[[%]:[%]])</f>
        <v/>
      </c>
      <c r="FW10" s="121" t="str">
        <f>IF(ISBLANK(tbl_task3[[คะแนนเต็ม]:[คะแนนเต็ม]]),"",(tbl_task3[9]/tbl_task3[[คะแนนเต็ม]:[คะแนนเต็ม]])*tbl_task3[[%]:[%]])</f>
        <v/>
      </c>
      <c r="FX10" s="121" t="str">
        <f>IF(ISBLANK(tbl_task3[[คะแนนเต็ม]:[คะแนนเต็ม]]),"",(tbl_task3[10]/tbl_task3[[คะแนนเต็ม]:[คะแนนเต็ม]])*tbl_task3[[%]:[%]])</f>
        <v/>
      </c>
      <c r="FY10" s="121" t="str">
        <f>IF(ISBLANK(tbl_task3[[คะแนนเต็ม]:[คะแนนเต็ม]]),"",(tbl_task3[11]/tbl_task3[[คะแนนเต็ม]:[คะแนนเต็ม]])*tbl_task3[[%]:[%]])</f>
        <v/>
      </c>
      <c r="FZ10" s="121" t="str">
        <f>IF(ISBLANK(tbl_task3[[คะแนนเต็ม]:[คะแนนเต็ม]]),"",(tbl_task3[12]/tbl_task3[[คะแนนเต็ม]:[คะแนนเต็ม]])*tbl_task3[[%]:[%]])</f>
        <v/>
      </c>
      <c r="GA10" s="121" t="str">
        <f>IF(ISBLANK(tbl_task3[[คะแนนเต็ม]:[คะแนนเต็ม]]),"",(tbl_task3[13]/tbl_task3[[คะแนนเต็ม]:[คะแนนเต็ม]])*tbl_task3[[%]:[%]])</f>
        <v/>
      </c>
      <c r="GB10" s="121" t="str">
        <f>IF(ISBLANK(tbl_task3[[คะแนนเต็ม]:[คะแนนเต็ม]]),"",(tbl_task3[14]/tbl_task3[[คะแนนเต็ม]:[คะแนนเต็ม]])*tbl_task3[[%]:[%]])</f>
        <v/>
      </c>
      <c r="GC10" s="121" t="str">
        <f>IF(ISBLANK(tbl_task3[[คะแนนเต็ม]:[คะแนนเต็ม]]),"",(tbl_task3[15]/tbl_task3[[คะแนนเต็ม]:[คะแนนเต็ม]])*tbl_task3[[%]:[%]])</f>
        <v/>
      </c>
      <c r="GD10" s="121" t="str">
        <f>IF(ISBLANK(tbl_task3[[คะแนนเต็ม]:[คะแนนเต็ม]]),"",(tbl_task3[16]/tbl_task3[[คะแนนเต็ม]:[คะแนนเต็ม]])*tbl_task3[[%]:[%]])</f>
        <v/>
      </c>
      <c r="GE10" s="121" t="str">
        <f>IF(ISBLANK(tbl_task3[[คะแนนเต็ม]:[คะแนนเต็ม]]),"",(tbl_task3[17]/tbl_task3[[คะแนนเต็ม]:[คะแนนเต็ม]])*tbl_task3[[%]:[%]])</f>
        <v/>
      </c>
      <c r="GF10" s="121" t="str">
        <f>IF(ISBLANK(tbl_task3[[คะแนนเต็ม]:[คะแนนเต็ม]]),"",(tbl_task3[18]/tbl_task3[[คะแนนเต็ม]:[คะแนนเต็ม]])*tbl_task3[[%]:[%]])</f>
        <v/>
      </c>
      <c r="GG10" s="121" t="str">
        <f>IF(ISBLANK(tbl_task3[[คะแนนเต็ม]:[คะแนนเต็ม]]),"",(tbl_task3[19]/tbl_task3[[คะแนนเต็ม]:[คะแนนเต็ม]])*tbl_task3[[%]:[%]])</f>
        <v/>
      </c>
      <c r="GH10" s="121" t="str">
        <f>IF(ISBLANK(tbl_task3[[คะแนนเต็ม]:[คะแนนเต็ม]]),"",(tbl_task3[20]/tbl_task3[[คะแนนเต็ม]:[คะแนนเต็ม]])*tbl_task3[[%]:[%]])</f>
        <v/>
      </c>
      <c r="GI10" s="121" t="str">
        <f>IF(ISBLANK(tbl_task3[[คะแนนเต็ม]:[คะแนนเต็ม]]),"",(tbl_task3[21]/tbl_task3[[คะแนนเต็ม]:[คะแนนเต็ม]])*tbl_task3[[%]:[%]])</f>
        <v/>
      </c>
      <c r="GJ10" s="121" t="str">
        <f>IF(ISBLANK(tbl_task3[[คะแนนเต็ม]:[คะแนนเต็ม]]),"",(tbl_task3[22]/tbl_task3[[คะแนนเต็ม]:[คะแนนเต็ม]])*tbl_task3[[%]:[%]])</f>
        <v/>
      </c>
      <c r="GK10" s="121" t="str">
        <f>IF(ISBLANK(tbl_task3[[คะแนนเต็ม]:[คะแนนเต็ม]]),"",(tbl_task3[23]/tbl_task3[[คะแนนเต็ม]:[คะแนนเต็ม]])*tbl_task3[[%]:[%]])</f>
        <v/>
      </c>
      <c r="GL10" s="121" t="str">
        <f>IF(ISBLANK(tbl_task3[[คะแนนเต็ม]:[คะแนนเต็ม]]),"",(tbl_task3[24]/tbl_task3[[คะแนนเต็ม]:[คะแนนเต็ม]])*tbl_task3[[%]:[%]])</f>
        <v/>
      </c>
      <c r="GM10" s="121" t="str">
        <f>IF(ISBLANK(tbl_task3[[คะแนนเต็ม]:[คะแนนเต็ม]]),"",(tbl_task3[25]/tbl_task3[[คะแนนเต็ม]:[คะแนนเต็ม]])*tbl_task3[[%]:[%]])</f>
        <v/>
      </c>
      <c r="GN10" s="121" t="str">
        <f>IF(ISBLANK(tbl_task3[[คะแนนเต็ม]:[คะแนนเต็ม]]),"",(tbl_task3[26]/tbl_task3[[คะแนนเต็ม]:[คะแนนเต็ม]])*tbl_task3[[%]:[%]])</f>
        <v/>
      </c>
      <c r="GO10" s="121" t="str">
        <f>IF(ISBLANK(tbl_task3[[คะแนนเต็ม]:[คะแนนเต็ม]]),"",(tbl_task3[27]/tbl_task3[[คะแนนเต็ม]:[คะแนนเต็ม]])*tbl_task3[[%]:[%]])</f>
        <v/>
      </c>
      <c r="GP10" s="121" t="str">
        <f>IF(ISBLANK(tbl_task3[[คะแนนเต็ม]:[คะแนนเต็ม]]),"",(tbl_task3[28]/tbl_task3[[คะแนนเต็ม]:[คะแนนเต็ม]])*tbl_task3[[%]:[%]])</f>
        <v/>
      </c>
      <c r="GQ10" s="121" t="str">
        <f>IF(ISBLANK(tbl_task3[[คะแนนเต็ม]:[คะแนนเต็ม]]),"",(tbl_task3[29]/tbl_task3[[คะแนนเต็ม]:[คะแนนเต็ม]])*tbl_task3[[%]:[%]])</f>
        <v/>
      </c>
      <c r="GR10" s="121" t="str">
        <f>IF(ISBLANK(tbl_task3[[คะแนนเต็ม]:[คะแนนเต็ม]]),"",(tbl_task3[30]/tbl_task3[[คะแนนเต็ม]:[คะแนนเต็ม]])*tbl_task3[[%]:[%]])</f>
        <v/>
      </c>
      <c r="GS10" s="121" t="str">
        <f>IF(ISBLANK(tbl_task3[[คะแนนเต็ม]:[คะแนนเต็ม]]),"",(tbl_task3[31]/tbl_task3[[คะแนนเต็ม]:[คะแนนเต็ม]])*tbl_task3[[%]:[%]])</f>
        <v/>
      </c>
      <c r="GT10" s="121" t="str">
        <f>IF(ISBLANK(tbl_task3[[คะแนนเต็ม]:[คะแนนเต็ม]]),"",(tbl_task3[32]/tbl_task3[[คะแนนเต็ม]:[คะแนนเต็ม]])*tbl_task3[[%]:[%]])</f>
        <v/>
      </c>
      <c r="GU10" s="121" t="str">
        <f>IF(ISBLANK(tbl_task3[[คะแนนเต็ม]:[คะแนนเต็ม]]),"",(tbl_task3[33]/tbl_task3[[คะแนนเต็ม]:[คะแนนเต็ม]])*tbl_task3[[%]:[%]])</f>
        <v/>
      </c>
      <c r="GV10" s="121" t="str">
        <f>IF(ISBLANK(tbl_task3[[คะแนนเต็ม]:[คะแนนเต็ม]]),"",(tbl_task3[34]/tbl_task3[[คะแนนเต็ม]:[คะแนนเต็ม]])*tbl_task3[[%]:[%]])</f>
        <v/>
      </c>
      <c r="GW10" s="121" t="str">
        <f>IF(ISBLANK(tbl_task3[[คะแนนเต็ม]:[คะแนนเต็ม]]),"",(tbl_task3[35]/tbl_task3[[คะแนนเต็ม]:[คะแนนเต็ม]])*tbl_task3[[%]:[%]])</f>
        <v/>
      </c>
      <c r="GX10" s="121" t="str">
        <f>IF(ISBLANK(tbl_task3[[คะแนนเต็ม]:[คะแนนเต็ม]]),"",(tbl_task3[36]/tbl_task3[[คะแนนเต็ม]:[คะแนนเต็ม]])*tbl_task3[[%]:[%]])</f>
        <v/>
      </c>
      <c r="GY10" s="121" t="str">
        <f>IF(ISBLANK(tbl_task3[[คะแนนเต็ม]:[คะแนนเต็ม]]),"",(tbl_task3[37]/tbl_task3[[คะแนนเต็ม]:[คะแนนเต็ม]])*tbl_task3[[%]:[%]])</f>
        <v/>
      </c>
      <c r="GZ10" s="121" t="str">
        <f>IF(ISBLANK(tbl_task3[[คะแนนเต็ม]:[คะแนนเต็ม]]),"",(tbl_task3[38]/tbl_task3[[คะแนนเต็ม]:[คะแนนเต็ม]])*tbl_task3[[%]:[%]])</f>
        <v/>
      </c>
      <c r="HA10" s="121" t="str">
        <f>IF(ISBLANK(tbl_task3[[คะแนนเต็ม]:[คะแนนเต็ม]]),"",(tbl_task3[39]/tbl_task3[[คะแนนเต็ม]:[คะแนนเต็ม]])*tbl_task3[[%]:[%]])</f>
        <v/>
      </c>
      <c r="HB10" s="121" t="str">
        <f>IF(ISBLANK(tbl_task3[[คะแนนเต็ม]:[คะแนนเต็ม]]),"",(tbl_task3[40]/tbl_task3[[คะแนนเต็ม]:[คะแนนเต็ม]])*tbl_task3[[%]:[%]])</f>
        <v/>
      </c>
      <c r="HC10" s="121" t="str">
        <f>IF(ISBLANK(tbl_task3[[คะแนนเต็ม]:[คะแนนเต็ม]]),"",(tbl_task3[41]/tbl_task3[[คะแนนเต็ม]:[คะแนนเต็ม]])*tbl_task3[[%]:[%]])</f>
        <v/>
      </c>
      <c r="HD10" s="121" t="str">
        <f>IF(ISBLANK(tbl_task3[[คะแนนเต็ม]:[คะแนนเต็ม]]),"",(tbl_task3[42]/tbl_task3[[คะแนนเต็ม]:[คะแนนเต็ม]])*tbl_task3[[%]:[%]])</f>
        <v/>
      </c>
      <c r="HE10" s="121" t="str">
        <f>IF(ISBLANK(tbl_task3[[คะแนนเต็ม]:[คะแนนเต็ม]]),"",(tbl_task3[43]/tbl_task3[[คะแนนเต็ม]:[คะแนนเต็ม]])*tbl_task3[[%]:[%]])</f>
        <v/>
      </c>
      <c r="HF10" s="121" t="str">
        <f>IF(ISBLANK(tbl_task3[[คะแนนเต็ม]:[คะแนนเต็ม]]),"",(tbl_task3[44]/tbl_task3[[คะแนนเต็ม]:[คะแนนเต็ม]])*tbl_task3[[%]:[%]])</f>
        <v/>
      </c>
      <c r="HG10" s="121" t="str">
        <f>IF(ISBLANK(tbl_task3[[คะแนนเต็ม]:[คะแนนเต็ม]]),"",(tbl_task3[45]/tbl_task3[[คะแนนเต็ม]:[คะแนนเต็ม]])*tbl_task3[[%]:[%]])</f>
        <v/>
      </c>
      <c r="HH10" s="121" t="str">
        <f>IF(ISBLANK(tbl_task3[[คะแนนเต็ม]:[คะแนนเต็ม]]),"",(tbl_task3[46]/tbl_task3[[คะแนนเต็ม]:[คะแนนเต็ม]])*tbl_task3[[%]:[%]])</f>
        <v/>
      </c>
      <c r="HI10" s="121" t="str">
        <f>IF(ISBLANK(tbl_task3[[คะแนนเต็ม]:[คะแนนเต็ม]]),"",(tbl_task3[47]/tbl_task3[[คะแนนเต็ม]:[คะแนนเต็ม]])*tbl_task3[[%]:[%]])</f>
        <v/>
      </c>
      <c r="HJ10" s="121" t="str">
        <f>IF(ISBLANK(tbl_task3[[คะแนนเต็ม]:[คะแนนเต็ม]]),"",(tbl_task3[48]/tbl_task3[[คะแนนเต็ม]:[คะแนนเต็ม]])*tbl_task3[[%]:[%]])</f>
        <v/>
      </c>
      <c r="HK10" s="121" t="str">
        <f>IF(ISBLANK(tbl_task3[[คะแนนเต็ม]:[คะแนนเต็ม]]),"",(tbl_task3[49]/tbl_task3[[คะแนนเต็ม]:[คะแนนเต็ม]])*tbl_task3[[%]:[%]])</f>
        <v/>
      </c>
      <c r="HL10" s="121" t="str">
        <f>IF(ISBLANK(tbl_task3[[คะแนนเต็ม]:[คะแนนเต็ม]]),"",(tbl_task3[50]/tbl_task3[[คะแนนเต็ม]:[คะแนนเต็ม]])*tbl_task3[[%]:[%]])</f>
        <v/>
      </c>
      <c r="HM10" s="121" t="str">
        <f>IF(ISBLANK(tbl_task3[[คะแนนเต็ม]:[คะแนนเต็ม]]),"",(tbl_task3[51]/tbl_task3[[คะแนนเต็ม]:[คะแนนเต็ม]])*tbl_task3[[%]:[%]])</f>
        <v/>
      </c>
      <c r="HN10" s="121" t="str">
        <f>IF(ISBLANK(tbl_task3[[คะแนนเต็ม]:[คะแนนเต็ม]]),"",(tbl_task3[52]/tbl_task3[[คะแนนเต็ม]:[คะแนนเต็ม]])*tbl_task3[[%]:[%]])</f>
        <v/>
      </c>
      <c r="HO10" s="121" t="str">
        <f>IF(ISBLANK(tbl_task3[[คะแนนเต็ม]:[คะแนนเต็ม]]),"",(tbl_task3[53]/tbl_task3[[คะแนนเต็ม]:[คะแนนเต็ม]])*tbl_task3[[%]:[%]])</f>
        <v/>
      </c>
      <c r="HP10" s="121" t="str">
        <f>IF(ISBLANK(tbl_task3[[คะแนนเต็ม]:[คะแนนเต็ม]]),"",(tbl_task3[54]/tbl_task3[[คะแนนเต็ม]:[คะแนนเต็ม]])*tbl_task3[[%]:[%]])</f>
        <v/>
      </c>
      <c r="HQ10" s="121" t="str">
        <f>IF(ISBLANK(tbl_task3[[คะแนนเต็ม]:[คะแนนเต็ม]]),"",(tbl_task3[55]/tbl_task3[[คะแนนเต็ม]:[คะแนนเต็ม]])*tbl_task3[[%]:[%]])</f>
        <v/>
      </c>
      <c r="HR10" s="121" t="str">
        <f>IF(ISBLANK(tbl_task3[[คะแนนเต็ม]:[คะแนนเต็ม]]),"",(tbl_task3[56]/tbl_task3[[คะแนนเต็ม]:[คะแนนเต็ม]])*tbl_task3[[%]:[%]])</f>
        <v/>
      </c>
      <c r="HS10" s="121" t="str">
        <f>IF(ISBLANK(tbl_task3[[คะแนนเต็ม]:[คะแนนเต็ม]]),"",(tbl_task3[57]/tbl_task3[[คะแนนเต็ม]:[คะแนนเต็ม]])*tbl_task3[[%]:[%]])</f>
        <v/>
      </c>
      <c r="HT10" s="121" t="str">
        <f>IF(ISBLANK(tbl_task3[[คะแนนเต็ม]:[คะแนนเต็ม]]),"",(tbl_task3[58]/tbl_task3[[คะแนนเต็ม]:[คะแนนเต็ม]])*tbl_task3[[%]:[%]])</f>
        <v/>
      </c>
      <c r="HU10" s="121" t="str">
        <f>IF(ISBLANK(tbl_task3[[คะแนนเต็ม]:[คะแนนเต็ม]]),"",(tbl_task3[59]/tbl_task3[[คะแนนเต็ม]:[คะแนนเต็ม]])*tbl_task3[[%]:[%]])</f>
        <v/>
      </c>
      <c r="HV10" s="121" t="str">
        <f>IF(ISBLANK(tbl_task3[[คะแนนเต็ม]:[คะแนนเต็ม]]),"",(tbl_task3[60]/tbl_task3[[คะแนนเต็ม]:[คะแนนเต็ม]])*tbl_task3[[%]:[%]])</f>
        <v/>
      </c>
      <c r="HW10" s="121" t="str">
        <f>IF(ISBLANK(tbl_task3[[คะแนนเต็ม]:[คะแนนเต็ม]]),"",(tbl_task3[61]/tbl_task3[[คะแนนเต็ม]:[คะแนนเต็ม]])*tbl_task3[[%]:[%]])</f>
        <v/>
      </c>
      <c r="HX10" s="121" t="str">
        <f>IF(ISBLANK(tbl_task3[[คะแนนเต็ม]:[คะแนนเต็ม]]),"",(tbl_task3[62]/tbl_task3[[คะแนนเต็ม]:[คะแนนเต็ม]])*tbl_task3[[%]:[%]])</f>
        <v/>
      </c>
      <c r="HY10" s="121" t="str">
        <f>IF(ISBLANK(tbl_task3[[คะแนนเต็ม]:[คะแนนเต็ม]]),"",(tbl_task3[63]/tbl_task3[[คะแนนเต็ม]:[คะแนนเต็ม]])*tbl_task3[[%]:[%]])</f>
        <v/>
      </c>
      <c r="HZ10" s="121" t="str">
        <f>IF(ISBLANK(tbl_task3[[คะแนนเต็ม]:[คะแนนเต็ม]]),"",(tbl_task3[64]/tbl_task3[[คะแนนเต็ม]:[คะแนนเต็ม]])*tbl_task3[[%]:[%]])</f>
        <v/>
      </c>
      <c r="IA10" s="121" t="str">
        <f>IF(ISBLANK(tbl_task3[[คะแนนเต็ม]:[คะแนนเต็ม]]),"",(tbl_task3[65]/tbl_task3[[คะแนนเต็ม]:[คะแนนเต็ม]])*tbl_task3[[%]:[%]])</f>
        <v/>
      </c>
      <c r="IB10" s="121" t="str">
        <f>IF(ISBLANK(tbl_task3[[คะแนนเต็ม]:[คะแนนเต็ม]]),"",(tbl_task3[66]/tbl_task3[[คะแนนเต็ม]:[คะแนนเต็ม]])*tbl_task3[[%]:[%]])</f>
        <v/>
      </c>
      <c r="IC10" s="121" t="str">
        <f>IF(ISBLANK(tbl_task3[[คะแนนเต็ม]:[คะแนนเต็ม]]),"",(tbl_task3[67]/tbl_task3[[คะแนนเต็ม]:[คะแนนเต็ม]])*tbl_task3[[%]:[%]])</f>
        <v/>
      </c>
      <c r="ID10" s="121" t="str">
        <f>IF(ISBLANK(tbl_task3[[คะแนนเต็ม]:[คะแนนเต็ม]]),"",(tbl_task3[68]/tbl_task3[[คะแนนเต็ม]:[คะแนนเต็ม]])*tbl_task3[[%]:[%]])</f>
        <v/>
      </c>
      <c r="IE10" s="121" t="str">
        <f>IF(ISBLANK(tbl_task3[[คะแนนเต็ม]:[คะแนนเต็ม]]),"",(tbl_task3[69]/tbl_task3[[คะแนนเต็ม]:[คะแนนเต็ม]])*tbl_task3[[%]:[%]])</f>
        <v/>
      </c>
      <c r="IF10" s="121" t="str">
        <f>IF(ISBLANK(tbl_task3[[คะแนนเต็ม]:[คะแนนเต็ม]]),"",(tbl_task3[70]/tbl_task3[[คะแนนเต็ม]:[คะแนนเต็ม]])*tbl_task3[[%]:[%]])</f>
        <v/>
      </c>
      <c r="IG10" s="121" t="str">
        <f>IF(ISBLANK(tbl_task3[[คะแนนเต็ม]:[คะแนนเต็ม]]),"",(tbl_task3[71]/tbl_task3[[คะแนนเต็ม]:[คะแนนเต็ม]])*tbl_task3[[%]:[%]])</f>
        <v/>
      </c>
      <c r="IH10" s="121" t="str">
        <f>IF(ISBLANK(tbl_task3[[คะแนนเต็ม]:[คะแนนเต็ม]]),"",(tbl_task3[72]/tbl_task3[[คะแนนเต็ม]:[คะแนนเต็ม]])*tbl_task3[[%]:[%]])</f>
        <v/>
      </c>
      <c r="II10" s="121" t="str">
        <f>IF(ISBLANK(tbl_task3[[คะแนนเต็ม]:[คะแนนเต็ม]]),"",(tbl_task3[73]/tbl_task3[[คะแนนเต็ม]:[คะแนนเต็ม]])*tbl_task3[[%]:[%]])</f>
        <v/>
      </c>
      <c r="IJ10" s="121" t="str">
        <f>IF(ISBLANK(tbl_task3[[คะแนนเต็ม]:[คะแนนเต็ม]]),"",(tbl_task3[74]/tbl_task3[[คะแนนเต็ม]:[คะแนนเต็ม]])*tbl_task3[[%]:[%]])</f>
        <v/>
      </c>
      <c r="IK10" s="121" t="str">
        <f>IF(ISBLANK(tbl_task3[[คะแนนเต็ม]:[คะแนนเต็ม]]),"",(tbl_task3[75]/tbl_task3[[คะแนนเต็ม]:[คะแนนเต็ม]])*tbl_task3[[%]:[%]])</f>
        <v/>
      </c>
      <c r="IL10" s="121" t="str">
        <f>IF(ISBLANK(tbl_task3[[คะแนนเต็ม]:[คะแนนเต็ม]]),"",(tbl_task3[76]/tbl_task3[[คะแนนเต็ม]:[คะแนนเต็ม]])*tbl_task3[[%]:[%]])</f>
        <v/>
      </c>
      <c r="IM10" s="121" t="str">
        <f>IF(ISBLANK(tbl_task3[[คะแนนเต็ม]:[คะแนนเต็ม]]),"",(tbl_task3[77]/tbl_task3[[คะแนนเต็ม]:[คะแนนเต็ม]])*tbl_task3[[%]:[%]])</f>
        <v/>
      </c>
      <c r="IN10" s="121" t="str">
        <f>IF(ISBLANK(tbl_task3[[คะแนนเต็ม]:[คะแนนเต็ม]]),"",(tbl_task3[78]/tbl_task3[[คะแนนเต็ม]:[คะแนนเต็ม]])*tbl_task3[[%]:[%]])</f>
        <v/>
      </c>
      <c r="IO10" s="121" t="str">
        <f>IF(ISBLANK(tbl_task3[[คะแนนเต็ม]:[คะแนนเต็ม]]),"",(tbl_task3[79]/tbl_task3[[คะแนนเต็ม]:[คะแนนเต็ม]])*tbl_task3[[%]:[%]])</f>
        <v/>
      </c>
      <c r="IP10" s="121" t="str">
        <f>IF(ISBLANK(tbl_task3[[คะแนนเต็ม]:[คะแนนเต็ม]]),"",(tbl_task3[80]/tbl_task3[[คะแนนเต็ม]:[คะแนนเต็ม]])*tbl_task3[[%]:[%]])</f>
        <v/>
      </c>
      <c r="IQ10" s="121" t="str">
        <f>IF(ISBLANK(tbl_task3[[คะแนนเต็ม]:[คะแนนเต็ม]]),"",(tbl_task3[81]/tbl_task3[[คะแนนเต็ม]:[คะแนนเต็ม]])*tbl_task3[[%]:[%]])</f>
        <v/>
      </c>
      <c r="IR10" s="121" t="str">
        <f>IF(ISBLANK(tbl_task3[[คะแนนเต็ม]:[คะแนนเต็ม]]),"",(tbl_task3[82]/tbl_task3[[คะแนนเต็ม]:[คะแนนเต็ม]])*tbl_task3[[%]:[%]])</f>
        <v/>
      </c>
      <c r="IS10" s="121" t="str">
        <f>IF(ISBLANK(tbl_task3[[คะแนนเต็ม]:[คะแนนเต็ม]]),"",(tbl_task3[83]/tbl_task3[[คะแนนเต็ม]:[คะแนนเต็ม]])*tbl_task3[[%]:[%]])</f>
        <v/>
      </c>
      <c r="IT10" s="121" t="str">
        <f>IF(ISBLANK(tbl_task3[[คะแนนเต็ม]:[คะแนนเต็ม]]),"",(tbl_task3[84]/tbl_task3[[คะแนนเต็ม]:[คะแนนเต็ม]])*tbl_task3[[%]:[%]])</f>
        <v/>
      </c>
      <c r="IU10" s="121" t="str">
        <f>IF(ISBLANK(tbl_task3[[คะแนนเต็ม]:[คะแนนเต็ม]]),"",(tbl_task3[85]/tbl_task3[[คะแนนเต็ม]:[คะแนนเต็ม]])*tbl_task3[[%]:[%]])</f>
        <v/>
      </c>
      <c r="IV10" s="121" t="str">
        <f>IF(ISBLANK(tbl_task3[[คะแนนเต็ม]:[คะแนนเต็ม]]),"",(tbl_task3[86]/tbl_task3[[คะแนนเต็ม]:[คะแนนเต็ม]])*tbl_task3[[%]:[%]])</f>
        <v/>
      </c>
      <c r="IW10" s="121" t="str">
        <f>IF(ISBLANK(tbl_task3[[คะแนนเต็ม]:[คะแนนเต็ม]]),"",(tbl_task3[87]/tbl_task3[[คะแนนเต็ม]:[คะแนนเต็ม]])*tbl_task3[[%]:[%]])</f>
        <v/>
      </c>
      <c r="IX10" s="121" t="str">
        <f>IF(ISBLANK(tbl_task3[[คะแนนเต็ม]:[คะแนนเต็ม]]),"",(tbl_task3[88]/tbl_task3[[คะแนนเต็ม]:[คะแนนเต็ม]])*tbl_task3[[%]:[%]])</f>
        <v/>
      </c>
      <c r="IY10" s="121" t="str">
        <f>IF(ISBLANK(tbl_task3[[คะแนนเต็ม]:[คะแนนเต็ม]]),"",(tbl_task3[89]/tbl_task3[[คะแนนเต็ม]:[คะแนนเต็ม]])*tbl_task3[[%]:[%]])</f>
        <v/>
      </c>
      <c r="IZ10" s="121" t="str">
        <f>IF(ISBLANK(tbl_task3[[คะแนนเต็ม]:[คะแนนเต็ม]]),"",(tbl_task3[90]/tbl_task3[[คะแนนเต็ม]:[คะแนนเต็ม]])*tbl_task3[[%]:[%]])</f>
        <v/>
      </c>
      <c r="JA10" s="121" t="str">
        <f>IF(ISBLANK(tbl_task3[[คะแนนเต็ม]:[คะแนนเต็ม]]),"",(tbl_task3[91]/tbl_task3[[คะแนนเต็ม]:[คะแนนเต็ม]])*tbl_task3[[%]:[%]])</f>
        <v/>
      </c>
      <c r="JB10" s="121" t="str">
        <f>IF(ISBLANK(tbl_task3[[คะแนนเต็ม]:[คะแนนเต็ม]]),"",(tbl_task3[92]/tbl_task3[[คะแนนเต็ม]:[คะแนนเต็ม]])*tbl_task3[[%]:[%]])</f>
        <v/>
      </c>
      <c r="JC10" s="121" t="str">
        <f>IF(ISBLANK(tbl_task3[[คะแนนเต็ม]:[คะแนนเต็ม]]),"",(tbl_task3[93]/tbl_task3[[คะแนนเต็ม]:[คะแนนเต็ม]])*tbl_task3[[%]:[%]])</f>
        <v/>
      </c>
      <c r="JD10" s="121" t="str">
        <f>IF(ISBLANK(tbl_task3[[คะแนนเต็ม]:[คะแนนเต็ม]]),"",(tbl_task3[94]/tbl_task3[[คะแนนเต็ม]:[คะแนนเต็ม]])*tbl_task3[[%]:[%]])</f>
        <v/>
      </c>
      <c r="JE10" s="121" t="str">
        <f>IF(ISBLANK(tbl_task3[[คะแนนเต็ม]:[คะแนนเต็ม]]),"",(tbl_task3[95]/tbl_task3[[คะแนนเต็ม]:[คะแนนเต็ม]])*tbl_task3[[%]:[%]])</f>
        <v/>
      </c>
      <c r="JF10" s="121" t="str">
        <f>IF(ISBLANK(tbl_task3[[คะแนนเต็ม]:[คะแนนเต็ม]]),"",(tbl_task3[96]/tbl_task3[[คะแนนเต็ม]:[คะแนนเต็ม]])*tbl_task3[[%]:[%]])</f>
        <v/>
      </c>
      <c r="JG10" s="121" t="str">
        <f>IF(ISBLANK(tbl_task3[[คะแนนเต็ม]:[คะแนนเต็ม]]),"",(tbl_task3[97]/tbl_task3[[คะแนนเต็ม]:[คะแนนเต็ม]])*tbl_task3[[%]:[%]])</f>
        <v/>
      </c>
      <c r="JH10" s="121" t="str">
        <f>IF(ISBLANK(tbl_task3[[คะแนนเต็ม]:[คะแนนเต็ม]]),"",(tbl_task3[98]/tbl_task3[[คะแนนเต็ม]:[คะแนนเต็ม]])*tbl_task3[[%]:[%]])</f>
        <v/>
      </c>
      <c r="JI10" s="121" t="str">
        <f>IF(ISBLANK(tbl_task3[[คะแนนเต็ม]:[คะแนนเต็ม]]),"",(tbl_task3[99]/tbl_task3[[คะแนนเต็ม]:[คะแนนเต็ม]])*tbl_task3[[%]:[%]])</f>
        <v/>
      </c>
      <c r="JJ10" s="121" t="str">
        <f>IF(ISBLANK(tbl_task3[[คะแนนเต็ม]:[คะแนนเต็ม]]),"",(tbl_task3[100]/tbl_task3[[คะแนนเต็ม]:[คะแนนเต็ม]])*tbl_task3[[%]:[%]])</f>
        <v/>
      </c>
      <c r="JK10" s="121" t="str">
        <f>IF(ISBLANK(tbl_task3[[คะแนนเต็ม]:[คะแนนเต็ม]]),"",(tbl_task3[101]/tbl_task3[[คะแนนเต็ม]:[คะแนนเต็ม]])*tbl_task3[[%]:[%]])</f>
        <v/>
      </c>
      <c r="JL10" s="121" t="str">
        <f>IF(ISBLANK(tbl_task3[[คะแนนเต็ม]:[คะแนนเต็ม]]),"",(tbl_task3[102]/tbl_task3[[คะแนนเต็ม]:[คะแนนเต็ม]])*tbl_task3[[%]:[%]])</f>
        <v/>
      </c>
      <c r="JM10" s="121" t="str">
        <f>IF(ISBLANK(tbl_task3[[คะแนนเต็ม]:[คะแนนเต็ม]]),"",(tbl_task3[103]/tbl_task3[[คะแนนเต็ม]:[คะแนนเต็ม]])*tbl_task3[[%]:[%]])</f>
        <v/>
      </c>
      <c r="JN10" s="121" t="str">
        <f>IF(ISBLANK(tbl_task3[[คะแนนเต็ม]:[คะแนนเต็ม]]),"",(tbl_task3[104]/tbl_task3[[คะแนนเต็ม]:[คะแนนเต็ม]])*tbl_task3[[%]:[%]])</f>
        <v/>
      </c>
      <c r="JO10" s="121" t="str">
        <f>IF(ISBLANK(tbl_task3[[คะแนนเต็ม]:[คะแนนเต็ม]]),"",(tbl_task3[105]/tbl_task3[[คะแนนเต็ม]:[คะแนนเต็ม]])*tbl_task3[[%]:[%]])</f>
        <v/>
      </c>
      <c r="JP10" s="121" t="str">
        <f>IF(ISBLANK(tbl_task3[[คะแนนเต็ม]:[คะแนนเต็ม]]),"",(tbl_task3[106]/tbl_task3[[คะแนนเต็ม]:[คะแนนเต็ม]])*tbl_task3[[%]:[%]])</f>
        <v/>
      </c>
      <c r="JQ10" s="121" t="str">
        <f>IF(ISBLANK(tbl_task3[[คะแนนเต็ม]:[คะแนนเต็ม]]),"",(tbl_task3[107]/tbl_task3[[คะแนนเต็ม]:[คะแนนเต็ม]])*tbl_task3[[%]:[%]])</f>
        <v/>
      </c>
      <c r="JR10" s="121" t="str">
        <f>IF(ISBLANK(tbl_task3[[คะแนนเต็ม]:[คะแนนเต็ม]]),"",(tbl_task3[108]/tbl_task3[[คะแนนเต็ม]:[คะแนนเต็ม]])*tbl_task3[[%]:[%]])</f>
        <v/>
      </c>
      <c r="JS10" s="121" t="str">
        <f>IF(ISBLANK(tbl_task3[[คะแนนเต็ม]:[คะแนนเต็ม]]),"",(tbl_task3[109]/tbl_task3[[คะแนนเต็ม]:[คะแนนเต็ม]])*tbl_task3[[%]:[%]])</f>
        <v/>
      </c>
      <c r="JT10" s="121" t="str">
        <f>IF(ISBLANK(tbl_task3[[คะแนนเต็ม]:[คะแนนเต็ม]]),"",(tbl_task3[110]/tbl_task3[[คะแนนเต็ม]:[คะแนนเต็ม]])*tbl_task3[[%]:[%]])</f>
        <v/>
      </c>
      <c r="JU10" s="121" t="str">
        <f>IF(ISBLANK(tbl_task3[[คะแนนเต็ม]:[คะแนนเต็ม]]),"",(tbl_task3[111]/tbl_task3[[คะแนนเต็ม]:[คะแนนเต็ม]])*tbl_task3[[%]:[%]])</f>
        <v/>
      </c>
      <c r="JV10" s="121" t="str">
        <f>IF(ISBLANK(tbl_task3[[คะแนนเต็ม]:[คะแนนเต็ม]]),"",(tbl_task3[112]/tbl_task3[[คะแนนเต็ม]:[คะแนนเต็ม]])*tbl_task3[[%]:[%]])</f>
        <v/>
      </c>
      <c r="JW10" s="121" t="str">
        <f>IF(ISBLANK(tbl_task3[[คะแนนเต็ม]:[คะแนนเต็ม]]),"",(tbl_task3[113]/tbl_task3[[คะแนนเต็ม]:[คะแนนเต็ม]])*tbl_task3[[%]:[%]])</f>
        <v/>
      </c>
      <c r="JX10" s="121" t="str">
        <f>IF(ISBLANK(tbl_task3[[คะแนนเต็ม]:[คะแนนเต็ม]]),"",(tbl_task3[114]/tbl_task3[[คะแนนเต็ม]:[คะแนนเต็ม]])*tbl_task3[[%]:[%]])</f>
        <v/>
      </c>
      <c r="JY10" s="121" t="str">
        <f>IF(ISBLANK(tbl_task3[[คะแนนเต็ม]:[คะแนนเต็ม]]),"",(tbl_task3[115]/tbl_task3[[คะแนนเต็ม]:[คะแนนเต็ม]])*tbl_task3[[%]:[%]])</f>
        <v/>
      </c>
      <c r="JZ10" s="121" t="str">
        <f>IF(ISBLANK(tbl_task3[[คะแนนเต็ม]:[คะแนนเต็ม]]),"",(tbl_task3[116]/tbl_task3[[คะแนนเต็ม]:[คะแนนเต็ม]])*tbl_task3[[%]:[%]])</f>
        <v/>
      </c>
      <c r="KA10" s="121" t="str">
        <f>IF(ISBLANK(tbl_task3[[คะแนนเต็ม]:[คะแนนเต็ม]]),"",(tbl_task3[117]/tbl_task3[[คะแนนเต็ม]:[คะแนนเต็ม]])*tbl_task3[[%]:[%]])</f>
        <v/>
      </c>
      <c r="KB10" s="121" t="str">
        <f>IF(ISBLANK(tbl_task3[[คะแนนเต็ม]:[คะแนนเต็ม]]),"",(tbl_task3[118]/tbl_task3[[คะแนนเต็ม]:[คะแนนเต็ม]])*tbl_task3[[%]:[%]])</f>
        <v/>
      </c>
      <c r="KC10" s="121" t="str">
        <f>IF(ISBLANK(tbl_task3[[คะแนนเต็ม]:[คะแนนเต็ม]]),"",(tbl_task3[119]/tbl_task3[[คะแนนเต็ม]:[คะแนนเต็ม]])*tbl_task3[[%]:[%]])</f>
        <v/>
      </c>
      <c r="KD10" s="121" t="str">
        <f>IF(ISBLANK(tbl_task3[[คะแนนเต็ม]:[คะแนนเต็ม]]),"",(tbl_task3[120]/tbl_task3[[คะแนนเต็ม]:[คะแนนเต็ม]])*tbl_task3[[%]:[%]])</f>
        <v/>
      </c>
      <c r="KE10" s="121" t="str">
        <f>IF(ISBLANK(tbl_task3[[คะแนนเต็ม]:[คะแนนเต็ม]]),"",(tbl_task3[121]/tbl_task3[[คะแนนเต็ม]:[คะแนนเต็ม]])*tbl_task3[[%]:[%]])</f>
        <v/>
      </c>
      <c r="KF10" s="121" t="str">
        <f>IF(ISBLANK(tbl_task3[[คะแนนเต็ม]:[คะแนนเต็ม]]),"",(tbl_task3[122]/tbl_task3[[คะแนนเต็ม]:[คะแนนเต็ม]])*tbl_task3[[%]:[%]])</f>
        <v/>
      </c>
      <c r="KG10" s="121" t="str">
        <f>IF(ISBLANK(tbl_task3[[คะแนนเต็ม]:[คะแนนเต็ม]]),"",(tbl_task3[123]/tbl_task3[[คะแนนเต็ม]:[คะแนนเต็ม]])*tbl_task3[[%]:[%]])</f>
        <v/>
      </c>
      <c r="KH10" s="121" t="str">
        <f>IF(ISBLANK(tbl_task3[[คะแนนเต็ม]:[คะแนนเต็ม]]),"",(tbl_task3[124]/tbl_task3[[คะแนนเต็ม]:[คะแนนเต็ม]])*tbl_task3[[%]:[%]])</f>
        <v/>
      </c>
      <c r="KI10" s="121" t="str">
        <f>IF(ISBLANK(tbl_task3[[คะแนนเต็ม]:[คะแนนเต็ม]]),"",(tbl_task3[125]/tbl_task3[[คะแนนเต็ม]:[คะแนนเต็ม]])*tbl_task3[[%]:[%]])</f>
        <v/>
      </c>
      <c r="KJ10" s="121" t="str">
        <f>IF(ISBLANK(tbl_task3[[คะแนนเต็ม]:[คะแนนเต็ม]]),"",(tbl_task3[126]/tbl_task3[[คะแนนเต็ม]:[คะแนนเต็ม]])*tbl_task3[[%]:[%]])</f>
        <v/>
      </c>
      <c r="KK10" s="121" t="str">
        <f>IF(ISBLANK(tbl_task3[[คะแนนเต็ม]:[คะแนนเต็ม]]),"",(tbl_task3[127]/tbl_task3[[คะแนนเต็ม]:[คะแนนเต็ม]])*tbl_task3[[%]:[%]])</f>
        <v/>
      </c>
      <c r="KL10" s="121" t="str">
        <f>IF(ISBLANK(tbl_task3[[คะแนนเต็ม]:[คะแนนเต็ม]]),"",(tbl_task3[128]/tbl_task3[[คะแนนเต็ม]:[คะแนนเต็ม]])*tbl_task3[[%]:[%]])</f>
        <v/>
      </c>
      <c r="KM10" s="121" t="str">
        <f>IF(ISBLANK(tbl_task3[[คะแนนเต็ม]:[คะแนนเต็ม]]),"",(tbl_task3[129]/tbl_task3[[คะแนนเต็ม]:[คะแนนเต็ม]])*tbl_task3[[%]:[%]])</f>
        <v/>
      </c>
      <c r="KN10" s="121" t="str">
        <f>IF(ISBLANK(tbl_task3[[คะแนนเต็ม]:[คะแนนเต็ม]]),"",(tbl_task3[130]/tbl_task3[[คะแนนเต็ม]:[คะแนนเต็ม]])*tbl_task3[[%]:[%]])</f>
        <v/>
      </c>
      <c r="KO10" s="121" t="str">
        <f>IF(ISBLANK(tbl_task3[[คะแนนเต็ม]:[คะแนนเต็ม]]),"",(tbl_task3[131]/tbl_task3[[คะแนนเต็ม]:[คะแนนเต็ม]])*tbl_task3[[%]:[%]])</f>
        <v/>
      </c>
      <c r="KP10" s="121" t="str">
        <f>IF(ISBLANK(tbl_task3[[คะแนนเต็ม]:[คะแนนเต็ม]]),"",(tbl_task3[132]/tbl_task3[[คะแนนเต็ม]:[คะแนนเต็ม]])*tbl_task3[[%]:[%]])</f>
        <v/>
      </c>
      <c r="KQ10" s="121" t="str">
        <f>IF(ISBLANK(tbl_task3[[คะแนนเต็ม]:[คะแนนเต็ม]]),"",(tbl_task3[133]/tbl_task3[[คะแนนเต็ม]:[คะแนนเต็ม]])*tbl_task3[[%]:[%]])</f>
        <v/>
      </c>
      <c r="KR10" s="121" t="str">
        <f>IF(ISBLANK(tbl_task3[[คะแนนเต็ม]:[คะแนนเต็ม]]),"",(tbl_task3[134]/tbl_task3[[คะแนนเต็ม]:[คะแนนเต็ม]])*tbl_task3[[%]:[%]])</f>
        <v/>
      </c>
      <c r="KS10" s="121" t="str">
        <f>IF(ISBLANK(tbl_task3[[คะแนนเต็ม]:[คะแนนเต็ม]]),"",(tbl_task3[135]/tbl_task3[[คะแนนเต็ม]:[คะแนนเต็ม]])*tbl_task3[[%]:[%]])</f>
        <v/>
      </c>
      <c r="KT10" s="121" t="str">
        <f>IF(ISBLANK(tbl_task3[[คะแนนเต็ม]:[คะแนนเต็ม]]),"",(tbl_task3[136]/tbl_task3[[คะแนนเต็ม]:[คะแนนเต็ม]])*tbl_task3[[%]:[%]])</f>
        <v/>
      </c>
      <c r="KU10" s="121" t="str">
        <f>IF(ISBLANK(tbl_task3[[คะแนนเต็ม]:[คะแนนเต็ม]]),"",(tbl_task3[137]/tbl_task3[[คะแนนเต็ม]:[คะแนนเต็ม]])*tbl_task3[[%]:[%]])</f>
        <v/>
      </c>
      <c r="KV10" s="121" t="str">
        <f>IF(ISBLANK(tbl_task3[[คะแนนเต็ม]:[คะแนนเต็ม]]),"",(tbl_task3[138]/tbl_task3[[คะแนนเต็ม]:[คะแนนเต็ม]])*tbl_task3[[%]:[%]])</f>
        <v/>
      </c>
      <c r="KW10" s="121" t="str">
        <f>IF(ISBLANK(tbl_task3[[คะแนนเต็ม]:[คะแนนเต็ม]]),"",(tbl_task3[139]/tbl_task3[[คะแนนเต็ม]:[คะแนนเต็ม]])*tbl_task3[[%]:[%]])</f>
        <v/>
      </c>
      <c r="KX10" s="121" t="str">
        <f>IF(ISBLANK(tbl_task3[[คะแนนเต็ม]:[คะแนนเต็ม]]),"",(tbl_task3[140]/tbl_task3[[คะแนนเต็ม]:[คะแนนเต็ม]])*tbl_task3[[%]:[%]])</f>
        <v/>
      </c>
      <c r="KY10" s="121" t="str">
        <f>IF(ISBLANK(tbl_task3[[คะแนนเต็ม]:[คะแนนเต็ม]]),"",(tbl_task3[141]/tbl_task3[[คะแนนเต็ม]:[คะแนนเต็ม]])*tbl_task3[[%]:[%]])</f>
        <v/>
      </c>
      <c r="KZ10" s="121" t="str">
        <f>IF(ISBLANK(tbl_task3[[คะแนนเต็ม]:[คะแนนเต็ม]]),"",(tbl_task3[142]/tbl_task3[[คะแนนเต็ม]:[คะแนนเต็ม]])*tbl_task3[[%]:[%]])</f>
        <v/>
      </c>
      <c r="LA10" s="121" t="str">
        <f>IF(ISBLANK(tbl_task3[[คะแนนเต็ม]:[คะแนนเต็ม]]),"",(tbl_task3[143]/tbl_task3[[คะแนนเต็ม]:[คะแนนเต็ม]])*tbl_task3[[%]:[%]])</f>
        <v/>
      </c>
      <c r="LB10" s="121" t="str">
        <f>IF(ISBLANK(tbl_task3[[คะแนนเต็ม]:[คะแนนเต็ม]]),"",(tbl_task3[144]/tbl_task3[[คะแนนเต็ม]:[คะแนนเต็ม]])*tbl_task3[[%]:[%]])</f>
        <v/>
      </c>
      <c r="LC10" s="121" t="str">
        <f>IF(ISBLANK(tbl_task3[[คะแนนเต็ม]:[คะแนนเต็ม]]),"",(tbl_task3[145]/tbl_task3[[คะแนนเต็ม]:[คะแนนเต็ม]])*tbl_task3[[%]:[%]])</f>
        <v/>
      </c>
      <c r="LD10" s="121" t="str">
        <f>IF(ISBLANK(tbl_task3[[คะแนนเต็ม]:[คะแนนเต็ม]]),"",(tbl_task3[146]/tbl_task3[[คะแนนเต็ม]:[คะแนนเต็ม]])*tbl_task3[[%]:[%]])</f>
        <v/>
      </c>
      <c r="LE10" s="121" t="str">
        <f>IF(ISBLANK(tbl_task3[[คะแนนเต็ม]:[คะแนนเต็ม]]),"",(tbl_task3[147]/tbl_task3[[คะแนนเต็ม]:[คะแนนเต็ม]])*tbl_task3[[%]:[%]])</f>
        <v/>
      </c>
      <c r="LF10" s="121" t="str">
        <f>IF(ISBLANK(tbl_task3[[คะแนนเต็ม]:[คะแนนเต็ม]]),"",(tbl_task3[148]/tbl_task3[[คะแนนเต็ม]:[คะแนนเต็ม]])*tbl_task3[[%]:[%]])</f>
        <v/>
      </c>
      <c r="LG10" s="121" t="str">
        <f>IF(ISBLANK(tbl_task3[[คะแนนเต็ม]:[คะแนนเต็ม]]),"",(tbl_task3[149]/tbl_task3[[คะแนนเต็ม]:[คะแนนเต็ม]])*tbl_task3[[%]:[%]])</f>
        <v/>
      </c>
      <c r="LH10" s="121" t="str">
        <f>IF(ISBLANK(tbl_task3[[คะแนนเต็ม]:[คะแนนเต็ม]]),"",(tbl_task3[150]/tbl_task3[[คะแนนเต็ม]:[คะแนนเต็ม]])*tbl_task3[[%]:[%]])</f>
        <v/>
      </c>
      <c r="LI10" s="121" t="str">
        <f>IF(ISBLANK(tbl_task3[[คะแนนเต็ม]:[คะแนนเต็ม]]),"",(tbl_task3[151]/tbl_task3[[คะแนนเต็ม]:[คะแนนเต็ม]])*tbl_task3[[%]:[%]])</f>
        <v/>
      </c>
      <c r="LJ10" s="121" t="str">
        <f>IF(ISBLANK(tbl_task3[[คะแนนเต็ม]:[คะแนนเต็ม]]),"",(tbl_task3[152]/tbl_task3[[คะแนนเต็ม]:[คะแนนเต็ม]])*tbl_task3[[%]:[%]])</f>
        <v/>
      </c>
      <c r="LK10" s="121" t="str">
        <f>IF(ISBLANK(tbl_task3[[คะแนนเต็ม]:[คะแนนเต็ม]]),"",(tbl_task3[153]/tbl_task3[[คะแนนเต็ม]:[คะแนนเต็ม]])*tbl_task3[[%]:[%]])</f>
        <v/>
      </c>
      <c r="LL10" s="121" t="str">
        <f>IF(ISBLANK(tbl_task3[[คะแนนเต็ม]:[คะแนนเต็ม]]),"",(tbl_task3[154]/tbl_task3[[คะแนนเต็ม]:[คะแนนเต็ม]])*tbl_task3[[%]:[%]])</f>
        <v/>
      </c>
      <c r="LM10" s="121" t="str">
        <f>IF(ISBLANK(tbl_task3[[คะแนนเต็ม]:[คะแนนเต็ม]]),"",(tbl_task3[155]/tbl_task3[[คะแนนเต็ม]:[คะแนนเต็ม]])*tbl_task3[[%]:[%]])</f>
        <v/>
      </c>
      <c r="LN10" s="121" t="str">
        <f>IF(ISBLANK(tbl_task3[[คะแนนเต็ม]:[คะแนนเต็ม]]),"",(tbl_task3[156]/tbl_task3[[คะแนนเต็ม]:[คะแนนเต็ม]])*tbl_task3[[%]:[%]])</f>
        <v/>
      </c>
      <c r="LO10" s="121" t="str">
        <f>IF(ISBLANK(tbl_task3[[คะแนนเต็ม]:[คะแนนเต็ม]]),"",(tbl_task3[157]/tbl_task3[[คะแนนเต็ม]:[คะแนนเต็ม]])*tbl_task3[[%]:[%]])</f>
        <v/>
      </c>
      <c r="LP10" s="121" t="str">
        <f>IF(ISBLANK(tbl_task3[[คะแนนเต็ม]:[คะแนนเต็ม]]),"",(tbl_task3[158]/tbl_task3[[คะแนนเต็ม]:[คะแนนเต็ม]])*tbl_task3[[%]:[%]])</f>
        <v/>
      </c>
      <c r="LQ10" s="121" t="str">
        <f>IF(ISBLANK(tbl_task3[[คะแนนเต็ม]:[คะแนนเต็ม]]),"",(tbl_task3[159]/tbl_task3[[คะแนนเต็ม]:[คะแนนเต็ม]])*tbl_task3[[%]:[%]])</f>
        <v/>
      </c>
      <c r="LR10" s="121" t="str">
        <f>IF(ISBLANK(tbl_task3[[คะแนนเต็ม]:[คะแนนเต็ม]]),"",(tbl_task3[160]/tbl_task3[[คะแนนเต็ม]:[คะแนนเต็ม]])*tbl_task3[[%]:[%]])</f>
        <v/>
      </c>
      <c r="LS10" s="121" t="str">
        <f>IF(ISBLANK(tbl_task3[[คะแนนเต็ม]:[คะแนนเต็ม]]),"",(tbl_task3[161]/tbl_task3[[คะแนนเต็ม]:[คะแนนเต็ม]])*tbl_task3[[%]:[%]])</f>
        <v/>
      </c>
      <c r="LT10" s="121" t="str">
        <f>IF(ISBLANK(tbl_task3[[คะแนนเต็ม]:[คะแนนเต็ม]]),"",(tbl_task3[162]/tbl_task3[[คะแนนเต็ม]:[คะแนนเต็ม]])*tbl_task3[[%]:[%]])</f>
        <v/>
      </c>
      <c r="LU10" s="121" t="str">
        <f>IF(ISBLANK(tbl_task3[[คะแนนเต็ม]:[คะแนนเต็ม]]),"",(tbl_task3[163]/tbl_task3[[คะแนนเต็ม]:[คะแนนเต็ม]])*tbl_task3[[%]:[%]])</f>
        <v/>
      </c>
      <c r="LV10" s="121" t="str">
        <f>IF(ISBLANK(tbl_task3[[คะแนนเต็ม]:[คะแนนเต็ม]]),"",(tbl_task3[164]/tbl_task3[[คะแนนเต็ม]:[คะแนนเต็ม]])*tbl_task3[[%]:[%]])</f>
        <v/>
      </c>
      <c r="LW10" s="121" t="str">
        <f>IF(ISBLANK(tbl_task3[[คะแนนเต็ม]:[คะแนนเต็ม]]),"",(tbl_task3[165]/tbl_task3[[คะแนนเต็ม]:[คะแนนเต็ม]])*tbl_task3[[%]:[%]])</f>
        <v/>
      </c>
    </row>
    <row r="11" spans="1:335" ht="24" customHeight="1" x14ac:dyDescent="0.25">
      <c r="A11" s="24">
        <v>8</v>
      </c>
      <c r="B11" s="20"/>
      <c r="C11" s="5" t="str">
        <f>IF(ISBLANK(B11),"",VLOOKUP(B11,tbl_PLOs[],2,0))</f>
        <v/>
      </c>
      <c r="D11" s="102"/>
      <c r="E11" s="106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22"/>
      <c r="FO11" s="121" t="str">
        <f>IF(ISBLANK(tbl_task3[[คะแนนเต็ม]:[คะแนนเต็ม]]),"",(tbl_task3[1]/tbl_task3[[คะแนนเต็ม]:[คะแนนเต็ม]])*tbl_task3[[%]:[%]])</f>
        <v/>
      </c>
      <c r="FP11" s="121" t="str">
        <f>IF(ISBLANK(tbl_task3[[คะแนนเต็ม]:[คะแนนเต็ม]]),"",(tbl_task3[2]/tbl_task3[[คะแนนเต็ม]:[คะแนนเต็ม]])*tbl_task3[[%]:[%]])</f>
        <v/>
      </c>
      <c r="FQ11" s="121" t="str">
        <f>IF(ISBLANK(tbl_task3[[คะแนนเต็ม]:[คะแนนเต็ม]]),"",(tbl_task3[3]/tbl_task3[[คะแนนเต็ม]:[คะแนนเต็ม]])*tbl_task3[[%]:[%]])</f>
        <v/>
      </c>
      <c r="FR11" s="121" t="str">
        <f>IF(ISBLANK(tbl_task3[[คะแนนเต็ม]:[คะแนนเต็ม]]),"",(tbl_task3[4]/tbl_task3[[คะแนนเต็ม]:[คะแนนเต็ม]])*tbl_task3[[%]:[%]])</f>
        <v/>
      </c>
      <c r="FS11" s="121" t="str">
        <f>IF(ISBLANK(tbl_task3[[คะแนนเต็ม]:[คะแนนเต็ม]]),"",(tbl_task3[5]/tbl_task3[[คะแนนเต็ม]:[คะแนนเต็ม]])*tbl_task3[[%]:[%]])</f>
        <v/>
      </c>
      <c r="FT11" s="121" t="str">
        <f>IF(ISBLANK(tbl_task3[[คะแนนเต็ม]:[คะแนนเต็ม]]),"",(tbl_task3[6]/tbl_task3[[คะแนนเต็ม]:[คะแนนเต็ม]])*tbl_task3[[%]:[%]])</f>
        <v/>
      </c>
      <c r="FU11" s="121" t="str">
        <f>IF(ISBLANK(tbl_task3[[คะแนนเต็ม]:[คะแนนเต็ม]]),"",(tbl_task3[7]/tbl_task3[[คะแนนเต็ม]:[คะแนนเต็ม]])*tbl_task3[[%]:[%]])</f>
        <v/>
      </c>
      <c r="FV11" s="121" t="str">
        <f>IF(ISBLANK(tbl_task3[[คะแนนเต็ม]:[คะแนนเต็ม]]),"",(tbl_task3[8]/tbl_task3[[คะแนนเต็ม]:[คะแนนเต็ม]])*tbl_task3[[%]:[%]])</f>
        <v/>
      </c>
      <c r="FW11" s="121" t="str">
        <f>IF(ISBLANK(tbl_task3[[คะแนนเต็ม]:[คะแนนเต็ม]]),"",(tbl_task3[9]/tbl_task3[[คะแนนเต็ม]:[คะแนนเต็ม]])*tbl_task3[[%]:[%]])</f>
        <v/>
      </c>
      <c r="FX11" s="121" t="str">
        <f>IF(ISBLANK(tbl_task3[[คะแนนเต็ม]:[คะแนนเต็ม]]),"",(tbl_task3[10]/tbl_task3[[คะแนนเต็ม]:[คะแนนเต็ม]])*tbl_task3[[%]:[%]])</f>
        <v/>
      </c>
      <c r="FY11" s="121" t="str">
        <f>IF(ISBLANK(tbl_task3[[คะแนนเต็ม]:[คะแนนเต็ม]]),"",(tbl_task3[11]/tbl_task3[[คะแนนเต็ม]:[คะแนนเต็ม]])*tbl_task3[[%]:[%]])</f>
        <v/>
      </c>
      <c r="FZ11" s="121" t="str">
        <f>IF(ISBLANK(tbl_task3[[คะแนนเต็ม]:[คะแนนเต็ม]]),"",(tbl_task3[12]/tbl_task3[[คะแนนเต็ม]:[คะแนนเต็ม]])*tbl_task3[[%]:[%]])</f>
        <v/>
      </c>
      <c r="GA11" s="121" t="str">
        <f>IF(ISBLANK(tbl_task3[[คะแนนเต็ม]:[คะแนนเต็ม]]),"",(tbl_task3[13]/tbl_task3[[คะแนนเต็ม]:[คะแนนเต็ม]])*tbl_task3[[%]:[%]])</f>
        <v/>
      </c>
      <c r="GB11" s="121" t="str">
        <f>IF(ISBLANK(tbl_task3[[คะแนนเต็ม]:[คะแนนเต็ม]]),"",(tbl_task3[14]/tbl_task3[[คะแนนเต็ม]:[คะแนนเต็ม]])*tbl_task3[[%]:[%]])</f>
        <v/>
      </c>
      <c r="GC11" s="121" t="str">
        <f>IF(ISBLANK(tbl_task3[[คะแนนเต็ม]:[คะแนนเต็ม]]),"",(tbl_task3[15]/tbl_task3[[คะแนนเต็ม]:[คะแนนเต็ม]])*tbl_task3[[%]:[%]])</f>
        <v/>
      </c>
      <c r="GD11" s="121" t="str">
        <f>IF(ISBLANK(tbl_task3[[คะแนนเต็ม]:[คะแนนเต็ม]]),"",(tbl_task3[16]/tbl_task3[[คะแนนเต็ม]:[คะแนนเต็ม]])*tbl_task3[[%]:[%]])</f>
        <v/>
      </c>
      <c r="GE11" s="121" t="str">
        <f>IF(ISBLANK(tbl_task3[[คะแนนเต็ม]:[คะแนนเต็ม]]),"",(tbl_task3[17]/tbl_task3[[คะแนนเต็ม]:[คะแนนเต็ม]])*tbl_task3[[%]:[%]])</f>
        <v/>
      </c>
      <c r="GF11" s="121" t="str">
        <f>IF(ISBLANK(tbl_task3[[คะแนนเต็ม]:[คะแนนเต็ม]]),"",(tbl_task3[18]/tbl_task3[[คะแนนเต็ม]:[คะแนนเต็ม]])*tbl_task3[[%]:[%]])</f>
        <v/>
      </c>
      <c r="GG11" s="121" t="str">
        <f>IF(ISBLANK(tbl_task3[[คะแนนเต็ม]:[คะแนนเต็ม]]),"",(tbl_task3[19]/tbl_task3[[คะแนนเต็ม]:[คะแนนเต็ม]])*tbl_task3[[%]:[%]])</f>
        <v/>
      </c>
      <c r="GH11" s="121" t="str">
        <f>IF(ISBLANK(tbl_task3[[คะแนนเต็ม]:[คะแนนเต็ม]]),"",(tbl_task3[20]/tbl_task3[[คะแนนเต็ม]:[คะแนนเต็ม]])*tbl_task3[[%]:[%]])</f>
        <v/>
      </c>
      <c r="GI11" s="121" t="str">
        <f>IF(ISBLANK(tbl_task3[[คะแนนเต็ม]:[คะแนนเต็ม]]),"",(tbl_task3[21]/tbl_task3[[คะแนนเต็ม]:[คะแนนเต็ม]])*tbl_task3[[%]:[%]])</f>
        <v/>
      </c>
      <c r="GJ11" s="121" t="str">
        <f>IF(ISBLANK(tbl_task3[[คะแนนเต็ม]:[คะแนนเต็ม]]),"",(tbl_task3[22]/tbl_task3[[คะแนนเต็ม]:[คะแนนเต็ม]])*tbl_task3[[%]:[%]])</f>
        <v/>
      </c>
      <c r="GK11" s="121" t="str">
        <f>IF(ISBLANK(tbl_task3[[คะแนนเต็ม]:[คะแนนเต็ม]]),"",(tbl_task3[23]/tbl_task3[[คะแนนเต็ม]:[คะแนนเต็ม]])*tbl_task3[[%]:[%]])</f>
        <v/>
      </c>
      <c r="GL11" s="121" t="str">
        <f>IF(ISBLANK(tbl_task3[[คะแนนเต็ม]:[คะแนนเต็ม]]),"",(tbl_task3[24]/tbl_task3[[คะแนนเต็ม]:[คะแนนเต็ม]])*tbl_task3[[%]:[%]])</f>
        <v/>
      </c>
      <c r="GM11" s="121" t="str">
        <f>IF(ISBLANK(tbl_task3[[คะแนนเต็ม]:[คะแนนเต็ม]]),"",(tbl_task3[25]/tbl_task3[[คะแนนเต็ม]:[คะแนนเต็ม]])*tbl_task3[[%]:[%]])</f>
        <v/>
      </c>
      <c r="GN11" s="121" t="str">
        <f>IF(ISBLANK(tbl_task3[[คะแนนเต็ม]:[คะแนนเต็ม]]),"",(tbl_task3[26]/tbl_task3[[คะแนนเต็ม]:[คะแนนเต็ม]])*tbl_task3[[%]:[%]])</f>
        <v/>
      </c>
      <c r="GO11" s="121" t="str">
        <f>IF(ISBLANK(tbl_task3[[คะแนนเต็ม]:[คะแนนเต็ม]]),"",(tbl_task3[27]/tbl_task3[[คะแนนเต็ม]:[คะแนนเต็ม]])*tbl_task3[[%]:[%]])</f>
        <v/>
      </c>
      <c r="GP11" s="121" t="str">
        <f>IF(ISBLANK(tbl_task3[[คะแนนเต็ม]:[คะแนนเต็ม]]),"",(tbl_task3[28]/tbl_task3[[คะแนนเต็ม]:[คะแนนเต็ม]])*tbl_task3[[%]:[%]])</f>
        <v/>
      </c>
      <c r="GQ11" s="121" t="str">
        <f>IF(ISBLANK(tbl_task3[[คะแนนเต็ม]:[คะแนนเต็ม]]),"",(tbl_task3[29]/tbl_task3[[คะแนนเต็ม]:[คะแนนเต็ม]])*tbl_task3[[%]:[%]])</f>
        <v/>
      </c>
      <c r="GR11" s="121" t="str">
        <f>IF(ISBLANK(tbl_task3[[คะแนนเต็ม]:[คะแนนเต็ม]]),"",(tbl_task3[30]/tbl_task3[[คะแนนเต็ม]:[คะแนนเต็ม]])*tbl_task3[[%]:[%]])</f>
        <v/>
      </c>
      <c r="GS11" s="121" t="str">
        <f>IF(ISBLANK(tbl_task3[[คะแนนเต็ม]:[คะแนนเต็ม]]),"",(tbl_task3[31]/tbl_task3[[คะแนนเต็ม]:[คะแนนเต็ม]])*tbl_task3[[%]:[%]])</f>
        <v/>
      </c>
      <c r="GT11" s="121" t="str">
        <f>IF(ISBLANK(tbl_task3[[คะแนนเต็ม]:[คะแนนเต็ม]]),"",(tbl_task3[32]/tbl_task3[[คะแนนเต็ม]:[คะแนนเต็ม]])*tbl_task3[[%]:[%]])</f>
        <v/>
      </c>
      <c r="GU11" s="121" t="str">
        <f>IF(ISBLANK(tbl_task3[[คะแนนเต็ม]:[คะแนนเต็ม]]),"",(tbl_task3[33]/tbl_task3[[คะแนนเต็ม]:[คะแนนเต็ม]])*tbl_task3[[%]:[%]])</f>
        <v/>
      </c>
      <c r="GV11" s="121" t="str">
        <f>IF(ISBLANK(tbl_task3[[คะแนนเต็ม]:[คะแนนเต็ม]]),"",(tbl_task3[34]/tbl_task3[[คะแนนเต็ม]:[คะแนนเต็ม]])*tbl_task3[[%]:[%]])</f>
        <v/>
      </c>
      <c r="GW11" s="121" t="str">
        <f>IF(ISBLANK(tbl_task3[[คะแนนเต็ม]:[คะแนนเต็ม]]),"",(tbl_task3[35]/tbl_task3[[คะแนนเต็ม]:[คะแนนเต็ม]])*tbl_task3[[%]:[%]])</f>
        <v/>
      </c>
      <c r="GX11" s="121" t="str">
        <f>IF(ISBLANK(tbl_task3[[คะแนนเต็ม]:[คะแนนเต็ม]]),"",(tbl_task3[36]/tbl_task3[[คะแนนเต็ม]:[คะแนนเต็ม]])*tbl_task3[[%]:[%]])</f>
        <v/>
      </c>
      <c r="GY11" s="121" t="str">
        <f>IF(ISBLANK(tbl_task3[[คะแนนเต็ม]:[คะแนนเต็ม]]),"",(tbl_task3[37]/tbl_task3[[คะแนนเต็ม]:[คะแนนเต็ม]])*tbl_task3[[%]:[%]])</f>
        <v/>
      </c>
      <c r="GZ11" s="121" t="str">
        <f>IF(ISBLANK(tbl_task3[[คะแนนเต็ม]:[คะแนนเต็ม]]),"",(tbl_task3[38]/tbl_task3[[คะแนนเต็ม]:[คะแนนเต็ม]])*tbl_task3[[%]:[%]])</f>
        <v/>
      </c>
      <c r="HA11" s="121" t="str">
        <f>IF(ISBLANK(tbl_task3[[คะแนนเต็ม]:[คะแนนเต็ม]]),"",(tbl_task3[39]/tbl_task3[[คะแนนเต็ม]:[คะแนนเต็ม]])*tbl_task3[[%]:[%]])</f>
        <v/>
      </c>
      <c r="HB11" s="121" t="str">
        <f>IF(ISBLANK(tbl_task3[[คะแนนเต็ม]:[คะแนนเต็ม]]),"",(tbl_task3[40]/tbl_task3[[คะแนนเต็ม]:[คะแนนเต็ม]])*tbl_task3[[%]:[%]])</f>
        <v/>
      </c>
      <c r="HC11" s="121" t="str">
        <f>IF(ISBLANK(tbl_task3[[คะแนนเต็ม]:[คะแนนเต็ม]]),"",(tbl_task3[41]/tbl_task3[[คะแนนเต็ม]:[คะแนนเต็ม]])*tbl_task3[[%]:[%]])</f>
        <v/>
      </c>
      <c r="HD11" s="121" t="str">
        <f>IF(ISBLANK(tbl_task3[[คะแนนเต็ม]:[คะแนนเต็ม]]),"",(tbl_task3[42]/tbl_task3[[คะแนนเต็ม]:[คะแนนเต็ม]])*tbl_task3[[%]:[%]])</f>
        <v/>
      </c>
      <c r="HE11" s="121" t="str">
        <f>IF(ISBLANK(tbl_task3[[คะแนนเต็ม]:[คะแนนเต็ม]]),"",(tbl_task3[43]/tbl_task3[[คะแนนเต็ม]:[คะแนนเต็ม]])*tbl_task3[[%]:[%]])</f>
        <v/>
      </c>
      <c r="HF11" s="121" t="str">
        <f>IF(ISBLANK(tbl_task3[[คะแนนเต็ม]:[คะแนนเต็ม]]),"",(tbl_task3[44]/tbl_task3[[คะแนนเต็ม]:[คะแนนเต็ม]])*tbl_task3[[%]:[%]])</f>
        <v/>
      </c>
      <c r="HG11" s="121" t="str">
        <f>IF(ISBLANK(tbl_task3[[คะแนนเต็ม]:[คะแนนเต็ม]]),"",(tbl_task3[45]/tbl_task3[[คะแนนเต็ม]:[คะแนนเต็ม]])*tbl_task3[[%]:[%]])</f>
        <v/>
      </c>
      <c r="HH11" s="121" t="str">
        <f>IF(ISBLANK(tbl_task3[[คะแนนเต็ม]:[คะแนนเต็ม]]),"",(tbl_task3[46]/tbl_task3[[คะแนนเต็ม]:[คะแนนเต็ม]])*tbl_task3[[%]:[%]])</f>
        <v/>
      </c>
      <c r="HI11" s="121" t="str">
        <f>IF(ISBLANK(tbl_task3[[คะแนนเต็ม]:[คะแนนเต็ม]]),"",(tbl_task3[47]/tbl_task3[[คะแนนเต็ม]:[คะแนนเต็ม]])*tbl_task3[[%]:[%]])</f>
        <v/>
      </c>
      <c r="HJ11" s="121" t="str">
        <f>IF(ISBLANK(tbl_task3[[คะแนนเต็ม]:[คะแนนเต็ม]]),"",(tbl_task3[48]/tbl_task3[[คะแนนเต็ม]:[คะแนนเต็ม]])*tbl_task3[[%]:[%]])</f>
        <v/>
      </c>
      <c r="HK11" s="121" t="str">
        <f>IF(ISBLANK(tbl_task3[[คะแนนเต็ม]:[คะแนนเต็ม]]),"",(tbl_task3[49]/tbl_task3[[คะแนนเต็ม]:[คะแนนเต็ม]])*tbl_task3[[%]:[%]])</f>
        <v/>
      </c>
      <c r="HL11" s="121" t="str">
        <f>IF(ISBLANK(tbl_task3[[คะแนนเต็ม]:[คะแนนเต็ม]]),"",(tbl_task3[50]/tbl_task3[[คะแนนเต็ม]:[คะแนนเต็ม]])*tbl_task3[[%]:[%]])</f>
        <v/>
      </c>
      <c r="HM11" s="121" t="str">
        <f>IF(ISBLANK(tbl_task3[[คะแนนเต็ม]:[คะแนนเต็ม]]),"",(tbl_task3[51]/tbl_task3[[คะแนนเต็ม]:[คะแนนเต็ม]])*tbl_task3[[%]:[%]])</f>
        <v/>
      </c>
      <c r="HN11" s="121" t="str">
        <f>IF(ISBLANK(tbl_task3[[คะแนนเต็ม]:[คะแนนเต็ม]]),"",(tbl_task3[52]/tbl_task3[[คะแนนเต็ม]:[คะแนนเต็ม]])*tbl_task3[[%]:[%]])</f>
        <v/>
      </c>
      <c r="HO11" s="121" t="str">
        <f>IF(ISBLANK(tbl_task3[[คะแนนเต็ม]:[คะแนนเต็ม]]),"",(tbl_task3[53]/tbl_task3[[คะแนนเต็ม]:[คะแนนเต็ม]])*tbl_task3[[%]:[%]])</f>
        <v/>
      </c>
      <c r="HP11" s="121" t="str">
        <f>IF(ISBLANK(tbl_task3[[คะแนนเต็ม]:[คะแนนเต็ม]]),"",(tbl_task3[54]/tbl_task3[[คะแนนเต็ม]:[คะแนนเต็ม]])*tbl_task3[[%]:[%]])</f>
        <v/>
      </c>
      <c r="HQ11" s="121" t="str">
        <f>IF(ISBLANK(tbl_task3[[คะแนนเต็ม]:[คะแนนเต็ม]]),"",(tbl_task3[55]/tbl_task3[[คะแนนเต็ม]:[คะแนนเต็ม]])*tbl_task3[[%]:[%]])</f>
        <v/>
      </c>
      <c r="HR11" s="121" t="str">
        <f>IF(ISBLANK(tbl_task3[[คะแนนเต็ม]:[คะแนนเต็ม]]),"",(tbl_task3[56]/tbl_task3[[คะแนนเต็ม]:[คะแนนเต็ม]])*tbl_task3[[%]:[%]])</f>
        <v/>
      </c>
      <c r="HS11" s="121" t="str">
        <f>IF(ISBLANK(tbl_task3[[คะแนนเต็ม]:[คะแนนเต็ม]]),"",(tbl_task3[57]/tbl_task3[[คะแนนเต็ม]:[คะแนนเต็ม]])*tbl_task3[[%]:[%]])</f>
        <v/>
      </c>
      <c r="HT11" s="121" t="str">
        <f>IF(ISBLANK(tbl_task3[[คะแนนเต็ม]:[คะแนนเต็ม]]),"",(tbl_task3[58]/tbl_task3[[คะแนนเต็ม]:[คะแนนเต็ม]])*tbl_task3[[%]:[%]])</f>
        <v/>
      </c>
      <c r="HU11" s="121" t="str">
        <f>IF(ISBLANK(tbl_task3[[คะแนนเต็ม]:[คะแนนเต็ม]]),"",(tbl_task3[59]/tbl_task3[[คะแนนเต็ม]:[คะแนนเต็ม]])*tbl_task3[[%]:[%]])</f>
        <v/>
      </c>
      <c r="HV11" s="121" t="str">
        <f>IF(ISBLANK(tbl_task3[[คะแนนเต็ม]:[คะแนนเต็ม]]),"",(tbl_task3[60]/tbl_task3[[คะแนนเต็ม]:[คะแนนเต็ม]])*tbl_task3[[%]:[%]])</f>
        <v/>
      </c>
      <c r="HW11" s="121" t="str">
        <f>IF(ISBLANK(tbl_task3[[คะแนนเต็ม]:[คะแนนเต็ม]]),"",(tbl_task3[61]/tbl_task3[[คะแนนเต็ม]:[คะแนนเต็ม]])*tbl_task3[[%]:[%]])</f>
        <v/>
      </c>
      <c r="HX11" s="121" t="str">
        <f>IF(ISBLANK(tbl_task3[[คะแนนเต็ม]:[คะแนนเต็ม]]),"",(tbl_task3[62]/tbl_task3[[คะแนนเต็ม]:[คะแนนเต็ม]])*tbl_task3[[%]:[%]])</f>
        <v/>
      </c>
      <c r="HY11" s="121" t="str">
        <f>IF(ISBLANK(tbl_task3[[คะแนนเต็ม]:[คะแนนเต็ม]]),"",(tbl_task3[63]/tbl_task3[[คะแนนเต็ม]:[คะแนนเต็ม]])*tbl_task3[[%]:[%]])</f>
        <v/>
      </c>
      <c r="HZ11" s="121" t="str">
        <f>IF(ISBLANK(tbl_task3[[คะแนนเต็ม]:[คะแนนเต็ม]]),"",(tbl_task3[64]/tbl_task3[[คะแนนเต็ม]:[คะแนนเต็ม]])*tbl_task3[[%]:[%]])</f>
        <v/>
      </c>
      <c r="IA11" s="121" t="str">
        <f>IF(ISBLANK(tbl_task3[[คะแนนเต็ม]:[คะแนนเต็ม]]),"",(tbl_task3[65]/tbl_task3[[คะแนนเต็ม]:[คะแนนเต็ม]])*tbl_task3[[%]:[%]])</f>
        <v/>
      </c>
      <c r="IB11" s="121" t="str">
        <f>IF(ISBLANK(tbl_task3[[คะแนนเต็ม]:[คะแนนเต็ม]]),"",(tbl_task3[66]/tbl_task3[[คะแนนเต็ม]:[คะแนนเต็ม]])*tbl_task3[[%]:[%]])</f>
        <v/>
      </c>
      <c r="IC11" s="121" t="str">
        <f>IF(ISBLANK(tbl_task3[[คะแนนเต็ม]:[คะแนนเต็ม]]),"",(tbl_task3[67]/tbl_task3[[คะแนนเต็ม]:[คะแนนเต็ม]])*tbl_task3[[%]:[%]])</f>
        <v/>
      </c>
      <c r="ID11" s="121" t="str">
        <f>IF(ISBLANK(tbl_task3[[คะแนนเต็ม]:[คะแนนเต็ม]]),"",(tbl_task3[68]/tbl_task3[[คะแนนเต็ม]:[คะแนนเต็ม]])*tbl_task3[[%]:[%]])</f>
        <v/>
      </c>
      <c r="IE11" s="121" t="str">
        <f>IF(ISBLANK(tbl_task3[[คะแนนเต็ม]:[คะแนนเต็ม]]),"",(tbl_task3[69]/tbl_task3[[คะแนนเต็ม]:[คะแนนเต็ม]])*tbl_task3[[%]:[%]])</f>
        <v/>
      </c>
      <c r="IF11" s="121" t="str">
        <f>IF(ISBLANK(tbl_task3[[คะแนนเต็ม]:[คะแนนเต็ม]]),"",(tbl_task3[70]/tbl_task3[[คะแนนเต็ม]:[คะแนนเต็ม]])*tbl_task3[[%]:[%]])</f>
        <v/>
      </c>
      <c r="IG11" s="121" t="str">
        <f>IF(ISBLANK(tbl_task3[[คะแนนเต็ม]:[คะแนนเต็ม]]),"",(tbl_task3[71]/tbl_task3[[คะแนนเต็ม]:[คะแนนเต็ม]])*tbl_task3[[%]:[%]])</f>
        <v/>
      </c>
      <c r="IH11" s="121" t="str">
        <f>IF(ISBLANK(tbl_task3[[คะแนนเต็ม]:[คะแนนเต็ม]]),"",(tbl_task3[72]/tbl_task3[[คะแนนเต็ม]:[คะแนนเต็ม]])*tbl_task3[[%]:[%]])</f>
        <v/>
      </c>
      <c r="II11" s="121" t="str">
        <f>IF(ISBLANK(tbl_task3[[คะแนนเต็ม]:[คะแนนเต็ม]]),"",(tbl_task3[73]/tbl_task3[[คะแนนเต็ม]:[คะแนนเต็ม]])*tbl_task3[[%]:[%]])</f>
        <v/>
      </c>
      <c r="IJ11" s="121" t="str">
        <f>IF(ISBLANK(tbl_task3[[คะแนนเต็ม]:[คะแนนเต็ม]]),"",(tbl_task3[74]/tbl_task3[[คะแนนเต็ม]:[คะแนนเต็ม]])*tbl_task3[[%]:[%]])</f>
        <v/>
      </c>
      <c r="IK11" s="121" t="str">
        <f>IF(ISBLANK(tbl_task3[[คะแนนเต็ม]:[คะแนนเต็ม]]),"",(tbl_task3[75]/tbl_task3[[คะแนนเต็ม]:[คะแนนเต็ม]])*tbl_task3[[%]:[%]])</f>
        <v/>
      </c>
      <c r="IL11" s="121" t="str">
        <f>IF(ISBLANK(tbl_task3[[คะแนนเต็ม]:[คะแนนเต็ม]]),"",(tbl_task3[76]/tbl_task3[[คะแนนเต็ม]:[คะแนนเต็ม]])*tbl_task3[[%]:[%]])</f>
        <v/>
      </c>
      <c r="IM11" s="121" t="str">
        <f>IF(ISBLANK(tbl_task3[[คะแนนเต็ม]:[คะแนนเต็ม]]),"",(tbl_task3[77]/tbl_task3[[คะแนนเต็ม]:[คะแนนเต็ม]])*tbl_task3[[%]:[%]])</f>
        <v/>
      </c>
      <c r="IN11" s="121" t="str">
        <f>IF(ISBLANK(tbl_task3[[คะแนนเต็ม]:[คะแนนเต็ม]]),"",(tbl_task3[78]/tbl_task3[[คะแนนเต็ม]:[คะแนนเต็ม]])*tbl_task3[[%]:[%]])</f>
        <v/>
      </c>
      <c r="IO11" s="121" t="str">
        <f>IF(ISBLANK(tbl_task3[[คะแนนเต็ม]:[คะแนนเต็ม]]),"",(tbl_task3[79]/tbl_task3[[คะแนนเต็ม]:[คะแนนเต็ม]])*tbl_task3[[%]:[%]])</f>
        <v/>
      </c>
      <c r="IP11" s="121" t="str">
        <f>IF(ISBLANK(tbl_task3[[คะแนนเต็ม]:[คะแนนเต็ม]]),"",(tbl_task3[80]/tbl_task3[[คะแนนเต็ม]:[คะแนนเต็ม]])*tbl_task3[[%]:[%]])</f>
        <v/>
      </c>
      <c r="IQ11" s="121" t="str">
        <f>IF(ISBLANK(tbl_task3[[คะแนนเต็ม]:[คะแนนเต็ม]]),"",(tbl_task3[81]/tbl_task3[[คะแนนเต็ม]:[คะแนนเต็ม]])*tbl_task3[[%]:[%]])</f>
        <v/>
      </c>
      <c r="IR11" s="121" t="str">
        <f>IF(ISBLANK(tbl_task3[[คะแนนเต็ม]:[คะแนนเต็ม]]),"",(tbl_task3[82]/tbl_task3[[คะแนนเต็ม]:[คะแนนเต็ม]])*tbl_task3[[%]:[%]])</f>
        <v/>
      </c>
      <c r="IS11" s="121" t="str">
        <f>IF(ISBLANK(tbl_task3[[คะแนนเต็ม]:[คะแนนเต็ม]]),"",(tbl_task3[83]/tbl_task3[[คะแนนเต็ม]:[คะแนนเต็ม]])*tbl_task3[[%]:[%]])</f>
        <v/>
      </c>
      <c r="IT11" s="121" t="str">
        <f>IF(ISBLANK(tbl_task3[[คะแนนเต็ม]:[คะแนนเต็ม]]),"",(tbl_task3[84]/tbl_task3[[คะแนนเต็ม]:[คะแนนเต็ม]])*tbl_task3[[%]:[%]])</f>
        <v/>
      </c>
      <c r="IU11" s="121" t="str">
        <f>IF(ISBLANK(tbl_task3[[คะแนนเต็ม]:[คะแนนเต็ม]]),"",(tbl_task3[85]/tbl_task3[[คะแนนเต็ม]:[คะแนนเต็ม]])*tbl_task3[[%]:[%]])</f>
        <v/>
      </c>
      <c r="IV11" s="121" t="str">
        <f>IF(ISBLANK(tbl_task3[[คะแนนเต็ม]:[คะแนนเต็ม]]),"",(tbl_task3[86]/tbl_task3[[คะแนนเต็ม]:[คะแนนเต็ม]])*tbl_task3[[%]:[%]])</f>
        <v/>
      </c>
      <c r="IW11" s="121" t="str">
        <f>IF(ISBLANK(tbl_task3[[คะแนนเต็ม]:[คะแนนเต็ม]]),"",(tbl_task3[87]/tbl_task3[[คะแนนเต็ม]:[คะแนนเต็ม]])*tbl_task3[[%]:[%]])</f>
        <v/>
      </c>
      <c r="IX11" s="121" t="str">
        <f>IF(ISBLANK(tbl_task3[[คะแนนเต็ม]:[คะแนนเต็ม]]),"",(tbl_task3[88]/tbl_task3[[คะแนนเต็ม]:[คะแนนเต็ม]])*tbl_task3[[%]:[%]])</f>
        <v/>
      </c>
      <c r="IY11" s="121" t="str">
        <f>IF(ISBLANK(tbl_task3[[คะแนนเต็ม]:[คะแนนเต็ม]]),"",(tbl_task3[89]/tbl_task3[[คะแนนเต็ม]:[คะแนนเต็ม]])*tbl_task3[[%]:[%]])</f>
        <v/>
      </c>
      <c r="IZ11" s="121" t="str">
        <f>IF(ISBLANK(tbl_task3[[คะแนนเต็ม]:[คะแนนเต็ม]]),"",(tbl_task3[90]/tbl_task3[[คะแนนเต็ม]:[คะแนนเต็ม]])*tbl_task3[[%]:[%]])</f>
        <v/>
      </c>
      <c r="JA11" s="121" t="str">
        <f>IF(ISBLANK(tbl_task3[[คะแนนเต็ม]:[คะแนนเต็ม]]),"",(tbl_task3[91]/tbl_task3[[คะแนนเต็ม]:[คะแนนเต็ม]])*tbl_task3[[%]:[%]])</f>
        <v/>
      </c>
      <c r="JB11" s="121" t="str">
        <f>IF(ISBLANK(tbl_task3[[คะแนนเต็ม]:[คะแนนเต็ม]]),"",(tbl_task3[92]/tbl_task3[[คะแนนเต็ม]:[คะแนนเต็ม]])*tbl_task3[[%]:[%]])</f>
        <v/>
      </c>
      <c r="JC11" s="121" t="str">
        <f>IF(ISBLANK(tbl_task3[[คะแนนเต็ม]:[คะแนนเต็ม]]),"",(tbl_task3[93]/tbl_task3[[คะแนนเต็ม]:[คะแนนเต็ม]])*tbl_task3[[%]:[%]])</f>
        <v/>
      </c>
      <c r="JD11" s="121" t="str">
        <f>IF(ISBLANK(tbl_task3[[คะแนนเต็ม]:[คะแนนเต็ม]]),"",(tbl_task3[94]/tbl_task3[[คะแนนเต็ม]:[คะแนนเต็ม]])*tbl_task3[[%]:[%]])</f>
        <v/>
      </c>
      <c r="JE11" s="121" t="str">
        <f>IF(ISBLANK(tbl_task3[[คะแนนเต็ม]:[คะแนนเต็ม]]),"",(tbl_task3[95]/tbl_task3[[คะแนนเต็ม]:[คะแนนเต็ม]])*tbl_task3[[%]:[%]])</f>
        <v/>
      </c>
      <c r="JF11" s="121" t="str">
        <f>IF(ISBLANK(tbl_task3[[คะแนนเต็ม]:[คะแนนเต็ม]]),"",(tbl_task3[96]/tbl_task3[[คะแนนเต็ม]:[คะแนนเต็ม]])*tbl_task3[[%]:[%]])</f>
        <v/>
      </c>
      <c r="JG11" s="121" t="str">
        <f>IF(ISBLANK(tbl_task3[[คะแนนเต็ม]:[คะแนนเต็ม]]),"",(tbl_task3[97]/tbl_task3[[คะแนนเต็ม]:[คะแนนเต็ม]])*tbl_task3[[%]:[%]])</f>
        <v/>
      </c>
      <c r="JH11" s="121" t="str">
        <f>IF(ISBLANK(tbl_task3[[คะแนนเต็ม]:[คะแนนเต็ม]]),"",(tbl_task3[98]/tbl_task3[[คะแนนเต็ม]:[คะแนนเต็ม]])*tbl_task3[[%]:[%]])</f>
        <v/>
      </c>
      <c r="JI11" s="121" t="str">
        <f>IF(ISBLANK(tbl_task3[[คะแนนเต็ม]:[คะแนนเต็ม]]),"",(tbl_task3[99]/tbl_task3[[คะแนนเต็ม]:[คะแนนเต็ม]])*tbl_task3[[%]:[%]])</f>
        <v/>
      </c>
      <c r="JJ11" s="121" t="str">
        <f>IF(ISBLANK(tbl_task3[[คะแนนเต็ม]:[คะแนนเต็ม]]),"",(tbl_task3[100]/tbl_task3[[คะแนนเต็ม]:[คะแนนเต็ม]])*tbl_task3[[%]:[%]])</f>
        <v/>
      </c>
      <c r="JK11" s="121" t="str">
        <f>IF(ISBLANK(tbl_task3[[คะแนนเต็ม]:[คะแนนเต็ม]]),"",(tbl_task3[101]/tbl_task3[[คะแนนเต็ม]:[คะแนนเต็ม]])*tbl_task3[[%]:[%]])</f>
        <v/>
      </c>
      <c r="JL11" s="121" t="str">
        <f>IF(ISBLANK(tbl_task3[[คะแนนเต็ม]:[คะแนนเต็ม]]),"",(tbl_task3[102]/tbl_task3[[คะแนนเต็ม]:[คะแนนเต็ม]])*tbl_task3[[%]:[%]])</f>
        <v/>
      </c>
      <c r="JM11" s="121" t="str">
        <f>IF(ISBLANK(tbl_task3[[คะแนนเต็ม]:[คะแนนเต็ม]]),"",(tbl_task3[103]/tbl_task3[[คะแนนเต็ม]:[คะแนนเต็ม]])*tbl_task3[[%]:[%]])</f>
        <v/>
      </c>
      <c r="JN11" s="121" t="str">
        <f>IF(ISBLANK(tbl_task3[[คะแนนเต็ม]:[คะแนนเต็ม]]),"",(tbl_task3[104]/tbl_task3[[คะแนนเต็ม]:[คะแนนเต็ม]])*tbl_task3[[%]:[%]])</f>
        <v/>
      </c>
      <c r="JO11" s="121" t="str">
        <f>IF(ISBLANK(tbl_task3[[คะแนนเต็ม]:[คะแนนเต็ม]]),"",(tbl_task3[105]/tbl_task3[[คะแนนเต็ม]:[คะแนนเต็ม]])*tbl_task3[[%]:[%]])</f>
        <v/>
      </c>
      <c r="JP11" s="121" t="str">
        <f>IF(ISBLANK(tbl_task3[[คะแนนเต็ม]:[คะแนนเต็ม]]),"",(tbl_task3[106]/tbl_task3[[คะแนนเต็ม]:[คะแนนเต็ม]])*tbl_task3[[%]:[%]])</f>
        <v/>
      </c>
      <c r="JQ11" s="121" t="str">
        <f>IF(ISBLANK(tbl_task3[[คะแนนเต็ม]:[คะแนนเต็ม]]),"",(tbl_task3[107]/tbl_task3[[คะแนนเต็ม]:[คะแนนเต็ม]])*tbl_task3[[%]:[%]])</f>
        <v/>
      </c>
      <c r="JR11" s="121" t="str">
        <f>IF(ISBLANK(tbl_task3[[คะแนนเต็ม]:[คะแนนเต็ม]]),"",(tbl_task3[108]/tbl_task3[[คะแนนเต็ม]:[คะแนนเต็ม]])*tbl_task3[[%]:[%]])</f>
        <v/>
      </c>
      <c r="JS11" s="121" t="str">
        <f>IF(ISBLANK(tbl_task3[[คะแนนเต็ม]:[คะแนนเต็ม]]),"",(tbl_task3[109]/tbl_task3[[คะแนนเต็ม]:[คะแนนเต็ม]])*tbl_task3[[%]:[%]])</f>
        <v/>
      </c>
      <c r="JT11" s="121" t="str">
        <f>IF(ISBLANK(tbl_task3[[คะแนนเต็ม]:[คะแนนเต็ม]]),"",(tbl_task3[110]/tbl_task3[[คะแนนเต็ม]:[คะแนนเต็ม]])*tbl_task3[[%]:[%]])</f>
        <v/>
      </c>
      <c r="JU11" s="121" t="str">
        <f>IF(ISBLANK(tbl_task3[[คะแนนเต็ม]:[คะแนนเต็ม]]),"",(tbl_task3[111]/tbl_task3[[คะแนนเต็ม]:[คะแนนเต็ม]])*tbl_task3[[%]:[%]])</f>
        <v/>
      </c>
      <c r="JV11" s="121" t="str">
        <f>IF(ISBLANK(tbl_task3[[คะแนนเต็ม]:[คะแนนเต็ม]]),"",(tbl_task3[112]/tbl_task3[[คะแนนเต็ม]:[คะแนนเต็ม]])*tbl_task3[[%]:[%]])</f>
        <v/>
      </c>
      <c r="JW11" s="121" t="str">
        <f>IF(ISBLANK(tbl_task3[[คะแนนเต็ม]:[คะแนนเต็ม]]),"",(tbl_task3[113]/tbl_task3[[คะแนนเต็ม]:[คะแนนเต็ม]])*tbl_task3[[%]:[%]])</f>
        <v/>
      </c>
      <c r="JX11" s="121" t="str">
        <f>IF(ISBLANK(tbl_task3[[คะแนนเต็ม]:[คะแนนเต็ม]]),"",(tbl_task3[114]/tbl_task3[[คะแนนเต็ม]:[คะแนนเต็ม]])*tbl_task3[[%]:[%]])</f>
        <v/>
      </c>
      <c r="JY11" s="121" t="str">
        <f>IF(ISBLANK(tbl_task3[[คะแนนเต็ม]:[คะแนนเต็ม]]),"",(tbl_task3[115]/tbl_task3[[คะแนนเต็ม]:[คะแนนเต็ม]])*tbl_task3[[%]:[%]])</f>
        <v/>
      </c>
      <c r="JZ11" s="121" t="str">
        <f>IF(ISBLANK(tbl_task3[[คะแนนเต็ม]:[คะแนนเต็ม]]),"",(tbl_task3[116]/tbl_task3[[คะแนนเต็ม]:[คะแนนเต็ม]])*tbl_task3[[%]:[%]])</f>
        <v/>
      </c>
      <c r="KA11" s="121" t="str">
        <f>IF(ISBLANK(tbl_task3[[คะแนนเต็ม]:[คะแนนเต็ม]]),"",(tbl_task3[117]/tbl_task3[[คะแนนเต็ม]:[คะแนนเต็ม]])*tbl_task3[[%]:[%]])</f>
        <v/>
      </c>
      <c r="KB11" s="121" t="str">
        <f>IF(ISBLANK(tbl_task3[[คะแนนเต็ม]:[คะแนนเต็ม]]),"",(tbl_task3[118]/tbl_task3[[คะแนนเต็ม]:[คะแนนเต็ม]])*tbl_task3[[%]:[%]])</f>
        <v/>
      </c>
      <c r="KC11" s="121" t="str">
        <f>IF(ISBLANK(tbl_task3[[คะแนนเต็ม]:[คะแนนเต็ม]]),"",(tbl_task3[119]/tbl_task3[[คะแนนเต็ม]:[คะแนนเต็ม]])*tbl_task3[[%]:[%]])</f>
        <v/>
      </c>
      <c r="KD11" s="121" t="str">
        <f>IF(ISBLANK(tbl_task3[[คะแนนเต็ม]:[คะแนนเต็ม]]),"",(tbl_task3[120]/tbl_task3[[คะแนนเต็ม]:[คะแนนเต็ม]])*tbl_task3[[%]:[%]])</f>
        <v/>
      </c>
      <c r="KE11" s="121" t="str">
        <f>IF(ISBLANK(tbl_task3[[คะแนนเต็ม]:[คะแนนเต็ม]]),"",(tbl_task3[121]/tbl_task3[[คะแนนเต็ม]:[คะแนนเต็ม]])*tbl_task3[[%]:[%]])</f>
        <v/>
      </c>
      <c r="KF11" s="121" t="str">
        <f>IF(ISBLANK(tbl_task3[[คะแนนเต็ม]:[คะแนนเต็ม]]),"",(tbl_task3[122]/tbl_task3[[คะแนนเต็ม]:[คะแนนเต็ม]])*tbl_task3[[%]:[%]])</f>
        <v/>
      </c>
      <c r="KG11" s="121" t="str">
        <f>IF(ISBLANK(tbl_task3[[คะแนนเต็ม]:[คะแนนเต็ม]]),"",(tbl_task3[123]/tbl_task3[[คะแนนเต็ม]:[คะแนนเต็ม]])*tbl_task3[[%]:[%]])</f>
        <v/>
      </c>
      <c r="KH11" s="121" t="str">
        <f>IF(ISBLANK(tbl_task3[[คะแนนเต็ม]:[คะแนนเต็ม]]),"",(tbl_task3[124]/tbl_task3[[คะแนนเต็ม]:[คะแนนเต็ม]])*tbl_task3[[%]:[%]])</f>
        <v/>
      </c>
      <c r="KI11" s="121" t="str">
        <f>IF(ISBLANK(tbl_task3[[คะแนนเต็ม]:[คะแนนเต็ม]]),"",(tbl_task3[125]/tbl_task3[[คะแนนเต็ม]:[คะแนนเต็ม]])*tbl_task3[[%]:[%]])</f>
        <v/>
      </c>
      <c r="KJ11" s="121" t="str">
        <f>IF(ISBLANK(tbl_task3[[คะแนนเต็ม]:[คะแนนเต็ม]]),"",(tbl_task3[126]/tbl_task3[[คะแนนเต็ม]:[คะแนนเต็ม]])*tbl_task3[[%]:[%]])</f>
        <v/>
      </c>
      <c r="KK11" s="121" t="str">
        <f>IF(ISBLANK(tbl_task3[[คะแนนเต็ม]:[คะแนนเต็ม]]),"",(tbl_task3[127]/tbl_task3[[คะแนนเต็ม]:[คะแนนเต็ม]])*tbl_task3[[%]:[%]])</f>
        <v/>
      </c>
      <c r="KL11" s="121" t="str">
        <f>IF(ISBLANK(tbl_task3[[คะแนนเต็ม]:[คะแนนเต็ม]]),"",(tbl_task3[128]/tbl_task3[[คะแนนเต็ม]:[คะแนนเต็ม]])*tbl_task3[[%]:[%]])</f>
        <v/>
      </c>
      <c r="KM11" s="121" t="str">
        <f>IF(ISBLANK(tbl_task3[[คะแนนเต็ม]:[คะแนนเต็ม]]),"",(tbl_task3[129]/tbl_task3[[คะแนนเต็ม]:[คะแนนเต็ม]])*tbl_task3[[%]:[%]])</f>
        <v/>
      </c>
      <c r="KN11" s="121" t="str">
        <f>IF(ISBLANK(tbl_task3[[คะแนนเต็ม]:[คะแนนเต็ม]]),"",(tbl_task3[130]/tbl_task3[[คะแนนเต็ม]:[คะแนนเต็ม]])*tbl_task3[[%]:[%]])</f>
        <v/>
      </c>
      <c r="KO11" s="121" t="str">
        <f>IF(ISBLANK(tbl_task3[[คะแนนเต็ม]:[คะแนนเต็ม]]),"",(tbl_task3[131]/tbl_task3[[คะแนนเต็ม]:[คะแนนเต็ม]])*tbl_task3[[%]:[%]])</f>
        <v/>
      </c>
      <c r="KP11" s="121" t="str">
        <f>IF(ISBLANK(tbl_task3[[คะแนนเต็ม]:[คะแนนเต็ม]]),"",(tbl_task3[132]/tbl_task3[[คะแนนเต็ม]:[คะแนนเต็ม]])*tbl_task3[[%]:[%]])</f>
        <v/>
      </c>
      <c r="KQ11" s="121" t="str">
        <f>IF(ISBLANK(tbl_task3[[คะแนนเต็ม]:[คะแนนเต็ม]]),"",(tbl_task3[133]/tbl_task3[[คะแนนเต็ม]:[คะแนนเต็ม]])*tbl_task3[[%]:[%]])</f>
        <v/>
      </c>
      <c r="KR11" s="121" t="str">
        <f>IF(ISBLANK(tbl_task3[[คะแนนเต็ม]:[คะแนนเต็ม]]),"",(tbl_task3[134]/tbl_task3[[คะแนนเต็ม]:[คะแนนเต็ม]])*tbl_task3[[%]:[%]])</f>
        <v/>
      </c>
      <c r="KS11" s="121" t="str">
        <f>IF(ISBLANK(tbl_task3[[คะแนนเต็ม]:[คะแนนเต็ม]]),"",(tbl_task3[135]/tbl_task3[[คะแนนเต็ม]:[คะแนนเต็ม]])*tbl_task3[[%]:[%]])</f>
        <v/>
      </c>
      <c r="KT11" s="121" t="str">
        <f>IF(ISBLANK(tbl_task3[[คะแนนเต็ม]:[คะแนนเต็ม]]),"",(tbl_task3[136]/tbl_task3[[คะแนนเต็ม]:[คะแนนเต็ม]])*tbl_task3[[%]:[%]])</f>
        <v/>
      </c>
      <c r="KU11" s="121" t="str">
        <f>IF(ISBLANK(tbl_task3[[คะแนนเต็ม]:[คะแนนเต็ม]]),"",(tbl_task3[137]/tbl_task3[[คะแนนเต็ม]:[คะแนนเต็ม]])*tbl_task3[[%]:[%]])</f>
        <v/>
      </c>
      <c r="KV11" s="121" t="str">
        <f>IF(ISBLANK(tbl_task3[[คะแนนเต็ม]:[คะแนนเต็ม]]),"",(tbl_task3[138]/tbl_task3[[คะแนนเต็ม]:[คะแนนเต็ม]])*tbl_task3[[%]:[%]])</f>
        <v/>
      </c>
      <c r="KW11" s="121" t="str">
        <f>IF(ISBLANK(tbl_task3[[คะแนนเต็ม]:[คะแนนเต็ม]]),"",(tbl_task3[139]/tbl_task3[[คะแนนเต็ม]:[คะแนนเต็ม]])*tbl_task3[[%]:[%]])</f>
        <v/>
      </c>
      <c r="KX11" s="121" t="str">
        <f>IF(ISBLANK(tbl_task3[[คะแนนเต็ม]:[คะแนนเต็ม]]),"",(tbl_task3[140]/tbl_task3[[คะแนนเต็ม]:[คะแนนเต็ม]])*tbl_task3[[%]:[%]])</f>
        <v/>
      </c>
      <c r="KY11" s="121" t="str">
        <f>IF(ISBLANK(tbl_task3[[คะแนนเต็ม]:[คะแนนเต็ม]]),"",(tbl_task3[141]/tbl_task3[[คะแนนเต็ม]:[คะแนนเต็ม]])*tbl_task3[[%]:[%]])</f>
        <v/>
      </c>
      <c r="KZ11" s="121" t="str">
        <f>IF(ISBLANK(tbl_task3[[คะแนนเต็ม]:[คะแนนเต็ม]]),"",(tbl_task3[142]/tbl_task3[[คะแนนเต็ม]:[คะแนนเต็ม]])*tbl_task3[[%]:[%]])</f>
        <v/>
      </c>
      <c r="LA11" s="121" t="str">
        <f>IF(ISBLANK(tbl_task3[[คะแนนเต็ม]:[คะแนนเต็ม]]),"",(tbl_task3[143]/tbl_task3[[คะแนนเต็ม]:[คะแนนเต็ม]])*tbl_task3[[%]:[%]])</f>
        <v/>
      </c>
      <c r="LB11" s="121" t="str">
        <f>IF(ISBLANK(tbl_task3[[คะแนนเต็ม]:[คะแนนเต็ม]]),"",(tbl_task3[144]/tbl_task3[[คะแนนเต็ม]:[คะแนนเต็ม]])*tbl_task3[[%]:[%]])</f>
        <v/>
      </c>
      <c r="LC11" s="121" t="str">
        <f>IF(ISBLANK(tbl_task3[[คะแนนเต็ม]:[คะแนนเต็ม]]),"",(tbl_task3[145]/tbl_task3[[คะแนนเต็ม]:[คะแนนเต็ม]])*tbl_task3[[%]:[%]])</f>
        <v/>
      </c>
      <c r="LD11" s="121" t="str">
        <f>IF(ISBLANK(tbl_task3[[คะแนนเต็ม]:[คะแนนเต็ม]]),"",(tbl_task3[146]/tbl_task3[[คะแนนเต็ม]:[คะแนนเต็ม]])*tbl_task3[[%]:[%]])</f>
        <v/>
      </c>
      <c r="LE11" s="121" t="str">
        <f>IF(ISBLANK(tbl_task3[[คะแนนเต็ม]:[คะแนนเต็ม]]),"",(tbl_task3[147]/tbl_task3[[คะแนนเต็ม]:[คะแนนเต็ม]])*tbl_task3[[%]:[%]])</f>
        <v/>
      </c>
      <c r="LF11" s="121" t="str">
        <f>IF(ISBLANK(tbl_task3[[คะแนนเต็ม]:[คะแนนเต็ม]]),"",(tbl_task3[148]/tbl_task3[[คะแนนเต็ม]:[คะแนนเต็ม]])*tbl_task3[[%]:[%]])</f>
        <v/>
      </c>
      <c r="LG11" s="121" t="str">
        <f>IF(ISBLANK(tbl_task3[[คะแนนเต็ม]:[คะแนนเต็ม]]),"",(tbl_task3[149]/tbl_task3[[คะแนนเต็ม]:[คะแนนเต็ม]])*tbl_task3[[%]:[%]])</f>
        <v/>
      </c>
      <c r="LH11" s="121" t="str">
        <f>IF(ISBLANK(tbl_task3[[คะแนนเต็ม]:[คะแนนเต็ม]]),"",(tbl_task3[150]/tbl_task3[[คะแนนเต็ม]:[คะแนนเต็ม]])*tbl_task3[[%]:[%]])</f>
        <v/>
      </c>
      <c r="LI11" s="121" t="str">
        <f>IF(ISBLANK(tbl_task3[[คะแนนเต็ม]:[คะแนนเต็ม]]),"",(tbl_task3[151]/tbl_task3[[คะแนนเต็ม]:[คะแนนเต็ม]])*tbl_task3[[%]:[%]])</f>
        <v/>
      </c>
      <c r="LJ11" s="121" t="str">
        <f>IF(ISBLANK(tbl_task3[[คะแนนเต็ม]:[คะแนนเต็ม]]),"",(tbl_task3[152]/tbl_task3[[คะแนนเต็ม]:[คะแนนเต็ม]])*tbl_task3[[%]:[%]])</f>
        <v/>
      </c>
      <c r="LK11" s="121" t="str">
        <f>IF(ISBLANK(tbl_task3[[คะแนนเต็ม]:[คะแนนเต็ม]]),"",(tbl_task3[153]/tbl_task3[[คะแนนเต็ม]:[คะแนนเต็ม]])*tbl_task3[[%]:[%]])</f>
        <v/>
      </c>
      <c r="LL11" s="121" t="str">
        <f>IF(ISBLANK(tbl_task3[[คะแนนเต็ม]:[คะแนนเต็ม]]),"",(tbl_task3[154]/tbl_task3[[คะแนนเต็ม]:[คะแนนเต็ม]])*tbl_task3[[%]:[%]])</f>
        <v/>
      </c>
      <c r="LM11" s="121" t="str">
        <f>IF(ISBLANK(tbl_task3[[คะแนนเต็ม]:[คะแนนเต็ม]]),"",(tbl_task3[155]/tbl_task3[[คะแนนเต็ม]:[คะแนนเต็ม]])*tbl_task3[[%]:[%]])</f>
        <v/>
      </c>
      <c r="LN11" s="121" t="str">
        <f>IF(ISBLANK(tbl_task3[[คะแนนเต็ม]:[คะแนนเต็ม]]),"",(tbl_task3[156]/tbl_task3[[คะแนนเต็ม]:[คะแนนเต็ม]])*tbl_task3[[%]:[%]])</f>
        <v/>
      </c>
      <c r="LO11" s="121" t="str">
        <f>IF(ISBLANK(tbl_task3[[คะแนนเต็ม]:[คะแนนเต็ม]]),"",(tbl_task3[157]/tbl_task3[[คะแนนเต็ม]:[คะแนนเต็ม]])*tbl_task3[[%]:[%]])</f>
        <v/>
      </c>
      <c r="LP11" s="121" t="str">
        <f>IF(ISBLANK(tbl_task3[[คะแนนเต็ม]:[คะแนนเต็ม]]),"",(tbl_task3[158]/tbl_task3[[คะแนนเต็ม]:[คะแนนเต็ม]])*tbl_task3[[%]:[%]])</f>
        <v/>
      </c>
      <c r="LQ11" s="121" t="str">
        <f>IF(ISBLANK(tbl_task3[[คะแนนเต็ม]:[คะแนนเต็ม]]),"",(tbl_task3[159]/tbl_task3[[คะแนนเต็ม]:[คะแนนเต็ม]])*tbl_task3[[%]:[%]])</f>
        <v/>
      </c>
      <c r="LR11" s="121" t="str">
        <f>IF(ISBLANK(tbl_task3[[คะแนนเต็ม]:[คะแนนเต็ม]]),"",(tbl_task3[160]/tbl_task3[[คะแนนเต็ม]:[คะแนนเต็ม]])*tbl_task3[[%]:[%]])</f>
        <v/>
      </c>
      <c r="LS11" s="121" t="str">
        <f>IF(ISBLANK(tbl_task3[[คะแนนเต็ม]:[คะแนนเต็ม]]),"",(tbl_task3[161]/tbl_task3[[คะแนนเต็ม]:[คะแนนเต็ม]])*tbl_task3[[%]:[%]])</f>
        <v/>
      </c>
      <c r="LT11" s="121" t="str">
        <f>IF(ISBLANK(tbl_task3[[คะแนนเต็ม]:[คะแนนเต็ม]]),"",(tbl_task3[162]/tbl_task3[[คะแนนเต็ม]:[คะแนนเต็ม]])*tbl_task3[[%]:[%]])</f>
        <v/>
      </c>
      <c r="LU11" s="121" t="str">
        <f>IF(ISBLANK(tbl_task3[[คะแนนเต็ม]:[คะแนนเต็ม]]),"",(tbl_task3[163]/tbl_task3[[คะแนนเต็ม]:[คะแนนเต็ม]])*tbl_task3[[%]:[%]])</f>
        <v/>
      </c>
      <c r="LV11" s="121" t="str">
        <f>IF(ISBLANK(tbl_task3[[คะแนนเต็ม]:[คะแนนเต็ม]]),"",(tbl_task3[164]/tbl_task3[[คะแนนเต็ม]:[คะแนนเต็ม]])*tbl_task3[[%]:[%]])</f>
        <v/>
      </c>
      <c r="LW11" s="121" t="str">
        <f>IF(ISBLANK(tbl_task3[[คะแนนเต็ม]:[คะแนนเต็ม]]),"",(tbl_task3[165]/tbl_task3[[คะแนนเต็ม]:[คะแนนเต็ม]])*tbl_task3[[%]:[%]])</f>
        <v/>
      </c>
    </row>
    <row r="12" spans="1:335" ht="24" customHeight="1" x14ac:dyDescent="0.25">
      <c r="A12" s="24">
        <v>9</v>
      </c>
      <c r="B12" s="20"/>
      <c r="C12" s="5" t="str">
        <f>IF(ISBLANK(B12),"",VLOOKUP(B12,tbl_PLOs[],2,0))</f>
        <v/>
      </c>
      <c r="D12" s="102"/>
      <c r="E12" s="106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22"/>
      <c r="FO12" s="121" t="str">
        <f>IF(ISBLANK(tbl_task3[[คะแนนเต็ม]:[คะแนนเต็ม]]),"",(tbl_task3[1]/tbl_task3[[คะแนนเต็ม]:[คะแนนเต็ม]])*tbl_task3[[%]:[%]])</f>
        <v/>
      </c>
      <c r="FP12" s="121" t="str">
        <f>IF(ISBLANK(tbl_task3[[คะแนนเต็ม]:[คะแนนเต็ม]]),"",(tbl_task3[2]/tbl_task3[[คะแนนเต็ม]:[คะแนนเต็ม]])*tbl_task3[[%]:[%]])</f>
        <v/>
      </c>
      <c r="FQ12" s="121" t="str">
        <f>IF(ISBLANK(tbl_task3[[คะแนนเต็ม]:[คะแนนเต็ม]]),"",(tbl_task3[3]/tbl_task3[[คะแนนเต็ม]:[คะแนนเต็ม]])*tbl_task3[[%]:[%]])</f>
        <v/>
      </c>
      <c r="FR12" s="121" t="str">
        <f>IF(ISBLANK(tbl_task3[[คะแนนเต็ม]:[คะแนนเต็ม]]),"",(tbl_task3[4]/tbl_task3[[คะแนนเต็ม]:[คะแนนเต็ม]])*tbl_task3[[%]:[%]])</f>
        <v/>
      </c>
      <c r="FS12" s="121" t="str">
        <f>IF(ISBLANK(tbl_task3[[คะแนนเต็ม]:[คะแนนเต็ม]]),"",(tbl_task3[5]/tbl_task3[[คะแนนเต็ม]:[คะแนนเต็ม]])*tbl_task3[[%]:[%]])</f>
        <v/>
      </c>
      <c r="FT12" s="121" t="str">
        <f>IF(ISBLANK(tbl_task3[[คะแนนเต็ม]:[คะแนนเต็ม]]),"",(tbl_task3[6]/tbl_task3[[คะแนนเต็ม]:[คะแนนเต็ม]])*tbl_task3[[%]:[%]])</f>
        <v/>
      </c>
      <c r="FU12" s="121" t="str">
        <f>IF(ISBLANK(tbl_task3[[คะแนนเต็ม]:[คะแนนเต็ม]]),"",(tbl_task3[7]/tbl_task3[[คะแนนเต็ม]:[คะแนนเต็ม]])*tbl_task3[[%]:[%]])</f>
        <v/>
      </c>
      <c r="FV12" s="121" t="str">
        <f>IF(ISBLANK(tbl_task3[[คะแนนเต็ม]:[คะแนนเต็ม]]),"",(tbl_task3[8]/tbl_task3[[คะแนนเต็ม]:[คะแนนเต็ม]])*tbl_task3[[%]:[%]])</f>
        <v/>
      </c>
      <c r="FW12" s="121" t="str">
        <f>IF(ISBLANK(tbl_task3[[คะแนนเต็ม]:[คะแนนเต็ม]]),"",(tbl_task3[9]/tbl_task3[[คะแนนเต็ม]:[คะแนนเต็ม]])*tbl_task3[[%]:[%]])</f>
        <v/>
      </c>
      <c r="FX12" s="121" t="str">
        <f>IF(ISBLANK(tbl_task3[[คะแนนเต็ม]:[คะแนนเต็ม]]),"",(tbl_task3[10]/tbl_task3[[คะแนนเต็ม]:[คะแนนเต็ม]])*tbl_task3[[%]:[%]])</f>
        <v/>
      </c>
      <c r="FY12" s="121" t="str">
        <f>IF(ISBLANK(tbl_task3[[คะแนนเต็ม]:[คะแนนเต็ม]]),"",(tbl_task3[11]/tbl_task3[[คะแนนเต็ม]:[คะแนนเต็ม]])*tbl_task3[[%]:[%]])</f>
        <v/>
      </c>
      <c r="FZ12" s="121" t="str">
        <f>IF(ISBLANK(tbl_task3[[คะแนนเต็ม]:[คะแนนเต็ม]]),"",(tbl_task3[12]/tbl_task3[[คะแนนเต็ม]:[คะแนนเต็ม]])*tbl_task3[[%]:[%]])</f>
        <v/>
      </c>
      <c r="GA12" s="121" t="str">
        <f>IF(ISBLANK(tbl_task3[[คะแนนเต็ม]:[คะแนนเต็ม]]),"",(tbl_task3[13]/tbl_task3[[คะแนนเต็ม]:[คะแนนเต็ม]])*tbl_task3[[%]:[%]])</f>
        <v/>
      </c>
      <c r="GB12" s="121" t="str">
        <f>IF(ISBLANK(tbl_task3[[คะแนนเต็ม]:[คะแนนเต็ม]]),"",(tbl_task3[14]/tbl_task3[[คะแนนเต็ม]:[คะแนนเต็ม]])*tbl_task3[[%]:[%]])</f>
        <v/>
      </c>
      <c r="GC12" s="121" t="str">
        <f>IF(ISBLANK(tbl_task3[[คะแนนเต็ม]:[คะแนนเต็ม]]),"",(tbl_task3[15]/tbl_task3[[คะแนนเต็ม]:[คะแนนเต็ม]])*tbl_task3[[%]:[%]])</f>
        <v/>
      </c>
      <c r="GD12" s="121" t="str">
        <f>IF(ISBLANK(tbl_task3[[คะแนนเต็ม]:[คะแนนเต็ม]]),"",(tbl_task3[16]/tbl_task3[[คะแนนเต็ม]:[คะแนนเต็ม]])*tbl_task3[[%]:[%]])</f>
        <v/>
      </c>
      <c r="GE12" s="121" t="str">
        <f>IF(ISBLANK(tbl_task3[[คะแนนเต็ม]:[คะแนนเต็ม]]),"",(tbl_task3[17]/tbl_task3[[คะแนนเต็ม]:[คะแนนเต็ม]])*tbl_task3[[%]:[%]])</f>
        <v/>
      </c>
      <c r="GF12" s="121" t="str">
        <f>IF(ISBLANK(tbl_task3[[คะแนนเต็ม]:[คะแนนเต็ม]]),"",(tbl_task3[18]/tbl_task3[[คะแนนเต็ม]:[คะแนนเต็ม]])*tbl_task3[[%]:[%]])</f>
        <v/>
      </c>
      <c r="GG12" s="121" t="str">
        <f>IF(ISBLANK(tbl_task3[[คะแนนเต็ม]:[คะแนนเต็ม]]),"",(tbl_task3[19]/tbl_task3[[คะแนนเต็ม]:[คะแนนเต็ม]])*tbl_task3[[%]:[%]])</f>
        <v/>
      </c>
      <c r="GH12" s="121" t="str">
        <f>IF(ISBLANK(tbl_task3[[คะแนนเต็ม]:[คะแนนเต็ม]]),"",(tbl_task3[20]/tbl_task3[[คะแนนเต็ม]:[คะแนนเต็ม]])*tbl_task3[[%]:[%]])</f>
        <v/>
      </c>
      <c r="GI12" s="121" t="str">
        <f>IF(ISBLANK(tbl_task3[[คะแนนเต็ม]:[คะแนนเต็ม]]),"",(tbl_task3[21]/tbl_task3[[คะแนนเต็ม]:[คะแนนเต็ม]])*tbl_task3[[%]:[%]])</f>
        <v/>
      </c>
      <c r="GJ12" s="121" t="str">
        <f>IF(ISBLANK(tbl_task3[[คะแนนเต็ม]:[คะแนนเต็ม]]),"",(tbl_task3[22]/tbl_task3[[คะแนนเต็ม]:[คะแนนเต็ม]])*tbl_task3[[%]:[%]])</f>
        <v/>
      </c>
      <c r="GK12" s="121" t="str">
        <f>IF(ISBLANK(tbl_task3[[คะแนนเต็ม]:[คะแนนเต็ม]]),"",(tbl_task3[23]/tbl_task3[[คะแนนเต็ม]:[คะแนนเต็ม]])*tbl_task3[[%]:[%]])</f>
        <v/>
      </c>
      <c r="GL12" s="121" t="str">
        <f>IF(ISBLANK(tbl_task3[[คะแนนเต็ม]:[คะแนนเต็ม]]),"",(tbl_task3[24]/tbl_task3[[คะแนนเต็ม]:[คะแนนเต็ม]])*tbl_task3[[%]:[%]])</f>
        <v/>
      </c>
      <c r="GM12" s="121" t="str">
        <f>IF(ISBLANK(tbl_task3[[คะแนนเต็ม]:[คะแนนเต็ม]]),"",(tbl_task3[25]/tbl_task3[[คะแนนเต็ม]:[คะแนนเต็ม]])*tbl_task3[[%]:[%]])</f>
        <v/>
      </c>
      <c r="GN12" s="121" t="str">
        <f>IF(ISBLANK(tbl_task3[[คะแนนเต็ม]:[คะแนนเต็ม]]),"",(tbl_task3[26]/tbl_task3[[คะแนนเต็ม]:[คะแนนเต็ม]])*tbl_task3[[%]:[%]])</f>
        <v/>
      </c>
      <c r="GO12" s="121" t="str">
        <f>IF(ISBLANK(tbl_task3[[คะแนนเต็ม]:[คะแนนเต็ม]]),"",(tbl_task3[27]/tbl_task3[[คะแนนเต็ม]:[คะแนนเต็ม]])*tbl_task3[[%]:[%]])</f>
        <v/>
      </c>
      <c r="GP12" s="121" t="str">
        <f>IF(ISBLANK(tbl_task3[[คะแนนเต็ม]:[คะแนนเต็ม]]),"",(tbl_task3[28]/tbl_task3[[คะแนนเต็ม]:[คะแนนเต็ม]])*tbl_task3[[%]:[%]])</f>
        <v/>
      </c>
      <c r="GQ12" s="121" t="str">
        <f>IF(ISBLANK(tbl_task3[[คะแนนเต็ม]:[คะแนนเต็ม]]),"",(tbl_task3[29]/tbl_task3[[คะแนนเต็ม]:[คะแนนเต็ม]])*tbl_task3[[%]:[%]])</f>
        <v/>
      </c>
      <c r="GR12" s="121" t="str">
        <f>IF(ISBLANK(tbl_task3[[คะแนนเต็ม]:[คะแนนเต็ม]]),"",(tbl_task3[30]/tbl_task3[[คะแนนเต็ม]:[คะแนนเต็ม]])*tbl_task3[[%]:[%]])</f>
        <v/>
      </c>
      <c r="GS12" s="121" t="str">
        <f>IF(ISBLANK(tbl_task3[[คะแนนเต็ม]:[คะแนนเต็ม]]),"",(tbl_task3[31]/tbl_task3[[คะแนนเต็ม]:[คะแนนเต็ม]])*tbl_task3[[%]:[%]])</f>
        <v/>
      </c>
      <c r="GT12" s="121" t="str">
        <f>IF(ISBLANK(tbl_task3[[คะแนนเต็ม]:[คะแนนเต็ม]]),"",(tbl_task3[32]/tbl_task3[[คะแนนเต็ม]:[คะแนนเต็ม]])*tbl_task3[[%]:[%]])</f>
        <v/>
      </c>
      <c r="GU12" s="121" t="str">
        <f>IF(ISBLANK(tbl_task3[[คะแนนเต็ม]:[คะแนนเต็ม]]),"",(tbl_task3[33]/tbl_task3[[คะแนนเต็ม]:[คะแนนเต็ม]])*tbl_task3[[%]:[%]])</f>
        <v/>
      </c>
      <c r="GV12" s="121" t="str">
        <f>IF(ISBLANK(tbl_task3[[คะแนนเต็ม]:[คะแนนเต็ม]]),"",(tbl_task3[34]/tbl_task3[[คะแนนเต็ม]:[คะแนนเต็ม]])*tbl_task3[[%]:[%]])</f>
        <v/>
      </c>
      <c r="GW12" s="121" t="str">
        <f>IF(ISBLANK(tbl_task3[[คะแนนเต็ม]:[คะแนนเต็ม]]),"",(tbl_task3[35]/tbl_task3[[คะแนนเต็ม]:[คะแนนเต็ม]])*tbl_task3[[%]:[%]])</f>
        <v/>
      </c>
      <c r="GX12" s="121" t="str">
        <f>IF(ISBLANK(tbl_task3[[คะแนนเต็ม]:[คะแนนเต็ม]]),"",(tbl_task3[36]/tbl_task3[[คะแนนเต็ม]:[คะแนนเต็ม]])*tbl_task3[[%]:[%]])</f>
        <v/>
      </c>
      <c r="GY12" s="121" t="str">
        <f>IF(ISBLANK(tbl_task3[[คะแนนเต็ม]:[คะแนนเต็ม]]),"",(tbl_task3[37]/tbl_task3[[คะแนนเต็ม]:[คะแนนเต็ม]])*tbl_task3[[%]:[%]])</f>
        <v/>
      </c>
      <c r="GZ12" s="121" t="str">
        <f>IF(ISBLANK(tbl_task3[[คะแนนเต็ม]:[คะแนนเต็ม]]),"",(tbl_task3[38]/tbl_task3[[คะแนนเต็ม]:[คะแนนเต็ม]])*tbl_task3[[%]:[%]])</f>
        <v/>
      </c>
      <c r="HA12" s="121" t="str">
        <f>IF(ISBLANK(tbl_task3[[คะแนนเต็ม]:[คะแนนเต็ม]]),"",(tbl_task3[39]/tbl_task3[[คะแนนเต็ม]:[คะแนนเต็ม]])*tbl_task3[[%]:[%]])</f>
        <v/>
      </c>
      <c r="HB12" s="121" t="str">
        <f>IF(ISBLANK(tbl_task3[[คะแนนเต็ม]:[คะแนนเต็ม]]),"",(tbl_task3[40]/tbl_task3[[คะแนนเต็ม]:[คะแนนเต็ม]])*tbl_task3[[%]:[%]])</f>
        <v/>
      </c>
      <c r="HC12" s="121" t="str">
        <f>IF(ISBLANK(tbl_task3[[คะแนนเต็ม]:[คะแนนเต็ม]]),"",(tbl_task3[41]/tbl_task3[[คะแนนเต็ม]:[คะแนนเต็ม]])*tbl_task3[[%]:[%]])</f>
        <v/>
      </c>
      <c r="HD12" s="121" t="str">
        <f>IF(ISBLANK(tbl_task3[[คะแนนเต็ม]:[คะแนนเต็ม]]),"",(tbl_task3[42]/tbl_task3[[คะแนนเต็ม]:[คะแนนเต็ม]])*tbl_task3[[%]:[%]])</f>
        <v/>
      </c>
      <c r="HE12" s="121" t="str">
        <f>IF(ISBLANK(tbl_task3[[คะแนนเต็ม]:[คะแนนเต็ม]]),"",(tbl_task3[43]/tbl_task3[[คะแนนเต็ม]:[คะแนนเต็ม]])*tbl_task3[[%]:[%]])</f>
        <v/>
      </c>
      <c r="HF12" s="121" t="str">
        <f>IF(ISBLANK(tbl_task3[[คะแนนเต็ม]:[คะแนนเต็ม]]),"",(tbl_task3[44]/tbl_task3[[คะแนนเต็ม]:[คะแนนเต็ม]])*tbl_task3[[%]:[%]])</f>
        <v/>
      </c>
      <c r="HG12" s="121" t="str">
        <f>IF(ISBLANK(tbl_task3[[คะแนนเต็ม]:[คะแนนเต็ม]]),"",(tbl_task3[45]/tbl_task3[[คะแนนเต็ม]:[คะแนนเต็ม]])*tbl_task3[[%]:[%]])</f>
        <v/>
      </c>
      <c r="HH12" s="121" t="str">
        <f>IF(ISBLANK(tbl_task3[[คะแนนเต็ม]:[คะแนนเต็ม]]),"",(tbl_task3[46]/tbl_task3[[คะแนนเต็ม]:[คะแนนเต็ม]])*tbl_task3[[%]:[%]])</f>
        <v/>
      </c>
      <c r="HI12" s="121" t="str">
        <f>IF(ISBLANK(tbl_task3[[คะแนนเต็ม]:[คะแนนเต็ม]]),"",(tbl_task3[47]/tbl_task3[[คะแนนเต็ม]:[คะแนนเต็ม]])*tbl_task3[[%]:[%]])</f>
        <v/>
      </c>
      <c r="HJ12" s="121" t="str">
        <f>IF(ISBLANK(tbl_task3[[คะแนนเต็ม]:[คะแนนเต็ม]]),"",(tbl_task3[48]/tbl_task3[[คะแนนเต็ม]:[คะแนนเต็ม]])*tbl_task3[[%]:[%]])</f>
        <v/>
      </c>
      <c r="HK12" s="121" t="str">
        <f>IF(ISBLANK(tbl_task3[[คะแนนเต็ม]:[คะแนนเต็ม]]),"",(tbl_task3[49]/tbl_task3[[คะแนนเต็ม]:[คะแนนเต็ม]])*tbl_task3[[%]:[%]])</f>
        <v/>
      </c>
      <c r="HL12" s="121" t="str">
        <f>IF(ISBLANK(tbl_task3[[คะแนนเต็ม]:[คะแนนเต็ม]]),"",(tbl_task3[50]/tbl_task3[[คะแนนเต็ม]:[คะแนนเต็ม]])*tbl_task3[[%]:[%]])</f>
        <v/>
      </c>
      <c r="HM12" s="121" t="str">
        <f>IF(ISBLANK(tbl_task3[[คะแนนเต็ม]:[คะแนนเต็ม]]),"",(tbl_task3[51]/tbl_task3[[คะแนนเต็ม]:[คะแนนเต็ม]])*tbl_task3[[%]:[%]])</f>
        <v/>
      </c>
      <c r="HN12" s="121" t="str">
        <f>IF(ISBLANK(tbl_task3[[คะแนนเต็ม]:[คะแนนเต็ม]]),"",(tbl_task3[52]/tbl_task3[[คะแนนเต็ม]:[คะแนนเต็ม]])*tbl_task3[[%]:[%]])</f>
        <v/>
      </c>
      <c r="HO12" s="121" t="str">
        <f>IF(ISBLANK(tbl_task3[[คะแนนเต็ม]:[คะแนนเต็ม]]),"",(tbl_task3[53]/tbl_task3[[คะแนนเต็ม]:[คะแนนเต็ม]])*tbl_task3[[%]:[%]])</f>
        <v/>
      </c>
      <c r="HP12" s="121" t="str">
        <f>IF(ISBLANK(tbl_task3[[คะแนนเต็ม]:[คะแนนเต็ม]]),"",(tbl_task3[54]/tbl_task3[[คะแนนเต็ม]:[คะแนนเต็ม]])*tbl_task3[[%]:[%]])</f>
        <v/>
      </c>
      <c r="HQ12" s="121" t="str">
        <f>IF(ISBLANK(tbl_task3[[คะแนนเต็ม]:[คะแนนเต็ม]]),"",(tbl_task3[55]/tbl_task3[[คะแนนเต็ม]:[คะแนนเต็ม]])*tbl_task3[[%]:[%]])</f>
        <v/>
      </c>
      <c r="HR12" s="121" t="str">
        <f>IF(ISBLANK(tbl_task3[[คะแนนเต็ม]:[คะแนนเต็ม]]),"",(tbl_task3[56]/tbl_task3[[คะแนนเต็ม]:[คะแนนเต็ม]])*tbl_task3[[%]:[%]])</f>
        <v/>
      </c>
      <c r="HS12" s="121" t="str">
        <f>IF(ISBLANK(tbl_task3[[คะแนนเต็ม]:[คะแนนเต็ม]]),"",(tbl_task3[57]/tbl_task3[[คะแนนเต็ม]:[คะแนนเต็ม]])*tbl_task3[[%]:[%]])</f>
        <v/>
      </c>
      <c r="HT12" s="121" t="str">
        <f>IF(ISBLANK(tbl_task3[[คะแนนเต็ม]:[คะแนนเต็ม]]),"",(tbl_task3[58]/tbl_task3[[คะแนนเต็ม]:[คะแนนเต็ม]])*tbl_task3[[%]:[%]])</f>
        <v/>
      </c>
      <c r="HU12" s="121" t="str">
        <f>IF(ISBLANK(tbl_task3[[คะแนนเต็ม]:[คะแนนเต็ม]]),"",(tbl_task3[59]/tbl_task3[[คะแนนเต็ม]:[คะแนนเต็ม]])*tbl_task3[[%]:[%]])</f>
        <v/>
      </c>
      <c r="HV12" s="121" t="str">
        <f>IF(ISBLANK(tbl_task3[[คะแนนเต็ม]:[คะแนนเต็ม]]),"",(tbl_task3[60]/tbl_task3[[คะแนนเต็ม]:[คะแนนเต็ม]])*tbl_task3[[%]:[%]])</f>
        <v/>
      </c>
      <c r="HW12" s="121" t="str">
        <f>IF(ISBLANK(tbl_task3[[คะแนนเต็ม]:[คะแนนเต็ม]]),"",(tbl_task3[61]/tbl_task3[[คะแนนเต็ม]:[คะแนนเต็ม]])*tbl_task3[[%]:[%]])</f>
        <v/>
      </c>
      <c r="HX12" s="121" t="str">
        <f>IF(ISBLANK(tbl_task3[[คะแนนเต็ม]:[คะแนนเต็ม]]),"",(tbl_task3[62]/tbl_task3[[คะแนนเต็ม]:[คะแนนเต็ม]])*tbl_task3[[%]:[%]])</f>
        <v/>
      </c>
      <c r="HY12" s="121" t="str">
        <f>IF(ISBLANK(tbl_task3[[คะแนนเต็ม]:[คะแนนเต็ม]]),"",(tbl_task3[63]/tbl_task3[[คะแนนเต็ม]:[คะแนนเต็ม]])*tbl_task3[[%]:[%]])</f>
        <v/>
      </c>
      <c r="HZ12" s="121" t="str">
        <f>IF(ISBLANK(tbl_task3[[คะแนนเต็ม]:[คะแนนเต็ม]]),"",(tbl_task3[64]/tbl_task3[[คะแนนเต็ม]:[คะแนนเต็ม]])*tbl_task3[[%]:[%]])</f>
        <v/>
      </c>
      <c r="IA12" s="121" t="str">
        <f>IF(ISBLANK(tbl_task3[[คะแนนเต็ม]:[คะแนนเต็ม]]),"",(tbl_task3[65]/tbl_task3[[คะแนนเต็ม]:[คะแนนเต็ม]])*tbl_task3[[%]:[%]])</f>
        <v/>
      </c>
      <c r="IB12" s="121" t="str">
        <f>IF(ISBLANK(tbl_task3[[คะแนนเต็ม]:[คะแนนเต็ม]]),"",(tbl_task3[66]/tbl_task3[[คะแนนเต็ม]:[คะแนนเต็ม]])*tbl_task3[[%]:[%]])</f>
        <v/>
      </c>
      <c r="IC12" s="121" t="str">
        <f>IF(ISBLANK(tbl_task3[[คะแนนเต็ม]:[คะแนนเต็ม]]),"",(tbl_task3[67]/tbl_task3[[คะแนนเต็ม]:[คะแนนเต็ม]])*tbl_task3[[%]:[%]])</f>
        <v/>
      </c>
      <c r="ID12" s="121" t="str">
        <f>IF(ISBLANK(tbl_task3[[คะแนนเต็ม]:[คะแนนเต็ม]]),"",(tbl_task3[68]/tbl_task3[[คะแนนเต็ม]:[คะแนนเต็ม]])*tbl_task3[[%]:[%]])</f>
        <v/>
      </c>
      <c r="IE12" s="121" t="str">
        <f>IF(ISBLANK(tbl_task3[[คะแนนเต็ม]:[คะแนนเต็ม]]),"",(tbl_task3[69]/tbl_task3[[คะแนนเต็ม]:[คะแนนเต็ม]])*tbl_task3[[%]:[%]])</f>
        <v/>
      </c>
      <c r="IF12" s="121" t="str">
        <f>IF(ISBLANK(tbl_task3[[คะแนนเต็ม]:[คะแนนเต็ม]]),"",(tbl_task3[70]/tbl_task3[[คะแนนเต็ม]:[คะแนนเต็ม]])*tbl_task3[[%]:[%]])</f>
        <v/>
      </c>
      <c r="IG12" s="121" t="str">
        <f>IF(ISBLANK(tbl_task3[[คะแนนเต็ม]:[คะแนนเต็ม]]),"",(tbl_task3[71]/tbl_task3[[คะแนนเต็ม]:[คะแนนเต็ม]])*tbl_task3[[%]:[%]])</f>
        <v/>
      </c>
      <c r="IH12" s="121" t="str">
        <f>IF(ISBLANK(tbl_task3[[คะแนนเต็ม]:[คะแนนเต็ม]]),"",(tbl_task3[72]/tbl_task3[[คะแนนเต็ม]:[คะแนนเต็ม]])*tbl_task3[[%]:[%]])</f>
        <v/>
      </c>
      <c r="II12" s="121" t="str">
        <f>IF(ISBLANK(tbl_task3[[คะแนนเต็ม]:[คะแนนเต็ม]]),"",(tbl_task3[73]/tbl_task3[[คะแนนเต็ม]:[คะแนนเต็ม]])*tbl_task3[[%]:[%]])</f>
        <v/>
      </c>
      <c r="IJ12" s="121" t="str">
        <f>IF(ISBLANK(tbl_task3[[คะแนนเต็ม]:[คะแนนเต็ม]]),"",(tbl_task3[74]/tbl_task3[[คะแนนเต็ม]:[คะแนนเต็ม]])*tbl_task3[[%]:[%]])</f>
        <v/>
      </c>
      <c r="IK12" s="121" t="str">
        <f>IF(ISBLANK(tbl_task3[[คะแนนเต็ม]:[คะแนนเต็ม]]),"",(tbl_task3[75]/tbl_task3[[คะแนนเต็ม]:[คะแนนเต็ม]])*tbl_task3[[%]:[%]])</f>
        <v/>
      </c>
      <c r="IL12" s="121" t="str">
        <f>IF(ISBLANK(tbl_task3[[คะแนนเต็ม]:[คะแนนเต็ม]]),"",(tbl_task3[76]/tbl_task3[[คะแนนเต็ม]:[คะแนนเต็ม]])*tbl_task3[[%]:[%]])</f>
        <v/>
      </c>
      <c r="IM12" s="121" t="str">
        <f>IF(ISBLANK(tbl_task3[[คะแนนเต็ม]:[คะแนนเต็ม]]),"",(tbl_task3[77]/tbl_task3[[คะแนนเต็ม]:[คะแนนเต็ม]])*tbl_task3[[%]:[%]])</f>
        <v/>
      </c>
      <c r="IN12" s="121" t="str">
        <f>IF(ISBLANK(tbl_task3[[คะแนนเต็ม]:[คะแนนเต็ม]]),"",(tbl_task3[78]/tbl_task3[[คะแนนเต็ม]:[คะแนนเต็ม]])*tbl_task3[[%]:[%]])</f>
        <v/>
      </c>
      <c r="IO12" s="121" t="str">
        <f>IF(ISBLANK(tbl_task3[[คะแนนเต็ม]:[คะแนนเต็ม]]),"",(tbl_task3[79]/tbl_task3[[คะแนนเต็ม]:[คะแนนเต็ม]])*tbl_task3[[%]:[%]])</f>
        <v/>
      </c>
      <c r="IP12" s="121" t="str">
        <f>IF(ISBLANK(tbl_task3[[คะแนนเต็ม]:[คะแนนเต็ม]]),"",(tbl_task3[80]/tbl_task3[[คะแนนเต็ม]:[คะแนนเต็ม]])*tbl_task3[[%]:[%]])</f>
        <v/>
      </c>
      <c r="IQ12" s="121" t="str">
        <f>IF(ISBLANK(tbl_task3[[คะแนนเต็ม]:[คะแนนเต็ม]]),"",(tbl_task3[81]/tbl_task3[[คะแนนเต็ม]:[คะแนนเต็ม]])*tbl_task3[[%]:[%]])</f>
        <v/>
      </c>
      <c r="IR12" s="121" t="str">
        <f>IF(ISBLANK(tbl_task3[[คะแนนเต็ม]:[คะแนนเต็ม]]),"",(tbl_task3[82]/tbl_task3[[คะแนนเต็ม]:[คะแนนเต็ม]])*tbl_task3[[%]:[%]])</f>
        <v/>
      </c>
      <c r="IS12" s="121" t="str">
        <f>IF(ISBLANK(tbl_task3[[คะแนนเต็ม]:[คะแนนเต็ม]]),"",(tbl_task3[83]/tbl_task3[[คะแนนเต็ม]:[คะแนนเต็ม]])*tbl_task3[[%]:[%]])</f>
        <v/>
      </c>
      <c r="IT12" s="121" t="str">
        <f>IF(ISBLANK(tbl_task3[[คะแนนเต็ม]:[คะแนนเต็ม]]),"",(tbl_task3[84]/tbl_task3[[คะแนนเต็ม]:[คะแนนเต็ม]])*tbl_task3[[%]:[%]])</f>
        <v/>
      </c>
      <c r="IU12" s="121" t="str">
        <f>IF(ISBLANK(tbl_task3[[คะแนนเต็ม]:[คะแนนเต็ม]]),"",(tbl_task3[85]/tbl_task3[[คะแนนเต็ม]:[คะแนนเต็ม]])*tbl_task3[[%]:[%]])</f>
        <v/>
      </c>
      <c r="IV12" s="121" t="str">
        <f>IF(ISBLANK(tbl_task3[[คะแนนเต็ม]:[คะแนนเต็ม]]),"",(tbl_task3[86]/tbl_task3[[คะแนนเต็ม]:[คะแนนเต็ม]])*tbl_task3[[%]:[%]])</f>
        <v/>
      </c>
      <c r="IW12" s="121" t="str">
        <f>IF(ISBLANK(tbl_task3[[คะแนนเต็ม]:[คะแนนเต็ม]]),"",(tbl_task3[87]/tbl_task3[[คะแนนเต็ม]:[คะแนนเต็ม]])*tbl_task3[[%]:[%]])</f>
        <v/>
      </c>
      <c r="IX12" s="121" t="str">
        <f>IF(ISBLANK(tbl_task3[[คะแนนเต็ม]:[คะแนนเต็ม]]),"",(tbl_task3[88]/tbl_task3[[คะแนนเต็ม]:[คะแนนเต็ม]])*tbl_task3[[%]:[%]])</f>
        <v/>
      </c>
      <c r="IY12" s="121" t="str">
        <f>IF(ISBLANK(tbl_task3[[คะแนนเต็ม]:[คะแนนเต็ม]]),"",(tbl_task3[89]/tbl_task3[[คะแนนเต็ม]:[คะแนนเต็ม]])*tbl_task3[[%]:[%]])</f>
        <v/>
      </c>
      <c r="IZ12" s="121" t="str">
        <f>IF(ISBLANK(tbl_task3[[คะแนนเต็ม]:[คะแนนเต็ม]]),"",(tbl_task3[90]/tbl_task3[[คะแนนเต็ม]:[คะแนนเต็ม]])*tbl_task3[[%]:[%]])</f>
        <v/>
      </c>
      <c r="JA12" s="121" t="str">
        <f>IF(ISBLANK(tbl_task3[[คะแนนเต็ม]:[คะแนนเต็ม]]),"",(tbl_task3[91]/tbl_task3[[คะแนนเต็ม]:[คะแนนเต็ม]])*tbl_task3[[%]:[%]])</f>
        <v/>
      </c>
      <c r="JB12" s="121" t="str">
        <f>IF(ISBLANK(tbl_task3[[คะแนนเต็ม]:[คะแนนเต็ม]]),"",(tbl_task3[92]/tbl_task3[[คะแนนเต็ม]:[คะแนนเต็ม]])*tbl_task3[[%]:[%]])</f>
        <v/>
      </c>
      <c r="JC12" s="121" t="str">
        <f>IF(ISBLANK(tbl_task3[[คะแนนเต็ม]:[คะแนนเต็ม]]),"",(tbl_task3[93]/tbl_task3[[คะแนนเต็ม]:[คะแนนเต็ม]])*tbl_task3[[%]:[%]])</f>
        <v/>
      </c>
      <c r="JD12" s="121" t="str">
        <f>IF(ISBLANK(tbl_task3[[คะแนนเต็ม]:[คะแนนเต็ม]]),"",(tbl_task3[94]/tbl_task3[[คะแนนเต็ม]:[คะแนนเต็ม]])*tbl_task3[[%]:[%]])</f>
        <v/>
      </c>
      <c r="JE12" s="121" t="str">
        <f>IF(ISBLANK(tbl_task3[[คะแนนเต็ม]:[คะแนนเต็ม]]),"",(tbl_task3[95]/tbl_task3[[คะแนนเต็ม]:[คะแนนเต็ม]])*tbl_task3[[%]:[%]])</f>
        <v/>
      </c>
      <c r="JF12" s="121" t="str">
        <f>IF(ISBLANK(tbl_task3[[คะแนนเต็ม]:[คะแนนเต็ม]]),"",(tbl_task3[96]/tbl_task3[[คะแนนเต็ม]:[คะแนนเต็ม]])*tbl_task3[[%]:[%]])</f>
        <v/>
      </c>
      <c r="JG12" s="121" t="str">
        <f>IF(ISBLANK(tbl_task3[[คะแนนเต็ม]:[คะแนนเต็ม]]),"",(tbl_task3[97]/tbl_task3[[คะแนนเต็ม]:[คะแนนเต็ม]])*tbl_task3[[%]:[%]])</f>
        <v/>
      </c>
      <c r="JH12" s="121" t="str">
        <f>IF(ISBLANK(tbl_task3[[คะแนนเต็ม]:[คะแนนเต็ม]]),"",(tbl_task3[98]/tbl_task3[[คะแนนเต็ม]:[คะแนนเต็ม]])*tbl_task3[[%]:[%]])</f>
        <v/>
      </c>
      <c r="JI12" s="121" t="str">
        <f>IF(ISBLANK(tbl_task3[[คะแนนเต็ม]:[คะแนนเต็ม]]),"",(tbl_task3[99]/tbl_task3[[คะแนนเต็ม]:[คะแนนเต็ม]])*tbl_task3[[%]:[%]])</f>
        <v/>
      </c>
      <c r="JJ12" s="121" t="str">
        <f>IF(ISBLANK(tbl_task3[[คะแนนเต็ม]:[คะแนนเต็ม]]),"",(tbl_task3[100]/tbl_task3[[คะแนนเต็ม]:[คะแนนเต็ม]])*tbl_task3[[%]:[%]])</f>
        <v/>
      </c>
      <c r="JK12" s="121" t="str">
        <f>IF(ISBLANK(tbl_task3[[คะแนนเต็ม]:[คะแนนเต็ม]]),"",(tbl_task3[101]/tbl_task3[[คะแนนเต็ม]:[คะแนนเต็ม]])*tbl_task3[[%]:[%]])</f>
        <v/>
      </c>
      <c r="JL12" s="121" t="str">
        <f>IF(ISBLANK(tbl_task3[[คะแนนเต็ม]:[คะแนนเต็ม]]),"",(tbl_task3[102]/tbl_task3[[คะแนนเต็ม]:[คะแนนเต็ม]])*tbl_task3[[%]:[%]])</f>
        <v/>
      </c>
      <c r="JM12" s="121" t="str">
        <f>IF(ISBLANK(tbl_task3[[คะแนนเต็ม]:[คะแนนเต็ม]]),"",(tbl_task3[103]/tbl_task3[[คะแนนเต็ม]:[คะแนนเต็ม]])*tbl_task3[[%]:[%]])</f>
        <v/>
      </c>
      <c r="JN12" s="121" t="str">
        <f>IF(ISBLANK(tbl_task3[[คะแนนเต็ม]:[คะแนนเต็ม]]),"",(tbl_task3[104]/tbl_task3[[คะแนนเต็ม]:[คะแนนเต็ม]])*tbl_task3[[%]:[%]])</f>
        <v/>
      </c>
      <c r="JO12" s="121" t="str">
        <f>IF(ISBLANK(tbl_task3[[คะแนนเต็ม]:[คะแนนเต็ม]]),"",(tbl_task3[105]/tbl_task3[[คะแนนเต็ม]:[คะแนนเต็ม]])*tbl_task3[[%]:[%]])</f>
        <v/>
      </c>
      <c r="JP12" s="121" t="str">
        <f>IF(ISBLANK(tbl_task3[[คะแนนเต็ม]:[คะแนนเต็ม]]),"",(tbl_task3[106]/tbl_task3[[คะแนนเต็ม]:[คะแนนเต็ม]])*tbl_task3[[%]:[%]])</f>
        <v/>
      </c>
      <c r="JQ12" s="121" t="str">
        <f>IF(ISBLANK(tbl_task3[[คะแนนเต็ม]:[คะแนนเต็ม]]),"",(tbl_task3[107]/tbl_task3[[คะแนนเต็ม]:[คะแนนเต็ม]])*tbl_task3[[%]:[%]])</f>
        <v/>
      </c>
      <c r="JR12" s="121" t="str">
        <f>IF(ISBLANK(tbl_task3[[คะแนนเต็ม]:[คะแนนเต็ม]]),"",(tbl_task3[108]/tbl_task3[[คะแนนเต็ม]:[คะแนนเต็ม]])*tbl_task3[[%]:[%]])</f>
        <v/>
      </c>
      <c r="JS12" s="121" t="str">
        <f>IF(ISBLANK(tbl_task3[[คะแนนเต็ม]:[คะแนนเต็ม]]),"",(tbl_task3[109]/tbl_task3[[คะแนนเต็ม]:[คะแนนเต็ม]])*tbl_task3[[%]:[%]])</f>
        <v/>
      </c>
      <c r="JT12" s="121" t="str">
        <f>IF(ISBLANK(tbl_task3[[คะแนนเต็ม]:[คะแนนเต็ม]]),"",(tbl_task3[110]/tbl_task3[[คะแนนเต็ม]:[คะแนนเต็ม]])*tbl_task3[[%]:[%]])</f>
        <v/>
      </c>
      <c r="JU12" s="121" t="str">
        <f>IF(ISBLANK(tbl_task3[[คะแนนเต็ม]:[คะแนนเต็ม]]),"",(tbl_task3[111]/tbl_task3[[คะแนนเต็ม]:[คะแนนเต็ม]])*tbl_task3[[%]:[%]])</f>
        <v/>
      </c>
      <c r="JV12" s="121" t="str">
        <f>IF(ISBLANK(tbl_task3[[คะแนนเต็ม]:[คะแนนเต็ม]]),"",(tbl_task3[112]/tbl_task3[[คะแนนเต็ม]:[คะแนนเต็ม]])*tbl_task3[[%]:[%]])</f>
        <v/>
      </c>
      <c r="JW12" s="121" t="str">
        <f>IF(ISBLANK(tbl_task3[[คะแนนเต็ม]:[คะแนนเต็ม]]),"",(tbl_task3[113]/tbl_task3[[คะแนนเต็ม]:[คะแนนเต็ม]])*tbl_task3[[%]:[%]])</f>
        <v/>
      </c>
      <c r="JX12" s="121" t="str">
        <f>IF(ISBLANK(tbl_task3[[คะแนนเต็ม]:[คะแนนเต็ม]]),"",(tbl_task3[114]/tbl_task3[[คะแนนเต็ม]:[คะแนนเต็ม]])*tbl_task3[[%]:[%]])</f>
        <v/>
      </c>
      <c r="JY12" s="121" t="str">
        <f>IF(ISBLANK(tbl_task3[[คะแนนเต็ม]:[คะแนนเต็ม]]),"",(tbl_task3[115]/tbl_task3[[คะแนนเต็ม]:[คะแนนเต็ม]])*tbl_task3[[%]:[%]])</f>
        <v/>
      </c>
      <c r="JZ12" s="121" t="str">
        <f>IF(ISBLANK(tbl_task3[[คะแนนเต็ม]:[คะแนนเต็ม]]),"",(tbl_task3[116]/tbl_task3[[คะแนนเต็ม]:[คะแนนเต็ม]])*tbl_task3[[%]:[%]])</f>
        <v/>
      </c>
      <c r="KA12" s="121" t="str">
        <f>IF(ISBLANK(tbl_task3[[คะแนนเต็ม]:[คะแนนเต็ม]]),"",(tbl_task3[117]/tbl_task3[[คะแนนเต็ม]:[คะแนนเต็ม]])*tbl_task3[[%]:[%]])</f>
        <v/>
      </c>
      <c r="KB12" s="121" t="str">
        <f>IF(ISBLANK(tbl_task3[[คะแนนเต็ม]:[คะแนนเต็ม]]),"",(tbl_task3[118]/tbl_task3[[คะแนนเต็ม]:[คะแนนเต็ม]])*tbl_task3[[%]:[%]])</f>
        <v/>
      </c>
      <c r="KC12" s="121" t="str">
        <f>IF(ISBLANK(tbl_task3[[คะแนนเต็ม]:[คะแนนเต็ม]]),"",(tbl_task3[119]/tbl_task3[[คะแนนเต็ม]:[คะแนนเต็ม]])*tbl_task3[[%]:[%]])</f>
        <v/>
      </c>
      <c r="KD12" s="121" t="str">
        <f>IF(ISBLANK(tbl_task3[[คะแนนเต็ม]:[คะแนนเต็ม]]),"",(tbl_task3[120]/tbl_task3[[คะแนนเต็ม]:[คะแนนเต็ม]])*tbl_task3[[%]:[%]])</f>
        <v/>
      </c>
      <c r="KE12" s="121" t="str">
        <f>IF(ISBLANK(tbl_task3[[คะแนนเต็ม]:[คะแนนเต็ม]]),"",(tbl_task3[121]/tbl_task3[[คะแนนเต็ม]:[คะแนนเต็ม]])*tbl_task3[[%]:[%]])</f>
        <v/>
      </c>
      <c r="KF12" s="121" t="str">
        <f>IF(ISBLANK(tbl_task3[[คะแนนเต็ม]:[คะแนนเต็ม]]),"",(tbl_task3[122]/tbl_task3[[คะแนนเต็ม]:[คะแนนเต็ม]])*tbl_task3[[%]:[%]])</f>
        <v/>
      </c>
      <c r="KG12" s="121" t="str">
        <f>IF(ISBLANK(tbl_task3[[คะแนนเต็ม]:[คะแนนเต็ม]]),"",(tbl_task3[123]/tbl_task3[[คะแนนเต็ม]:[คะแนนเต็ม]])*tbl_task3[[%]:[%]])</f>
        <v/>
      </c>
      <c r="KH12" s="121" t="str">
        <f>IF(ISBLANK(tbl_task3[[คะแนนเต็ม]:[คะแนนเต็ม]]),"",(tbl_task3[124]/tbl_task3[[คะแนนเต็ม]:[คะแนนเต็ม]])*tbl_task3[[%]:[%]])</f>
        <v/>
      </c>
      <c r="KI12" s="121" t="str">
        <f>IF(ISBLANK(tbl_task3[[คะแนนเต็ม]:[คะแนนเต็ม]]),"",(tbl_task3[125]/tbl_task3[[คะแนนเต็ม]:[คะแนนเต็ม]])*tbl_task3[[%]:[%]])</f>
        <v/>
      </c>
      <c r="KJ12" s="121" t="str">
        <f>IF(ISBLANK(tbl_task3[[คะแนนเต็ม]:[คะแนนเต็ม]]),"",(tbl_task3[126]/tbl_task3[[คะแนนเต็ม]:[คะแนนเต็ม]])*tbl_task3[[%]:[%]])</f>
        <v/>
      </c>
      <c r="KK12" s="121" t="str">
        <f>IF(ISBLANK(tbl_task3[[คะแนนเต็ม]:[คะแนนเต็ม]]),"",(tbl_task3[127]/tbl_task3[[คะแนนเต็ม]:[คะแนนเต็ม]])*tbl_task3[[%]:[%]])</f>
        <v/>
      </c>
      <c r="KL12" s="121" t="str">
        <f>IF(ISBLANK(tbl_task3[[คะแนนเต็ม]:[คะแนนเต็ม]]),"",(tbl_task3[128]/tbl_task3[[คะแนนเต็ม]:[คะแนนเต็ม]])*tbl_task3[[%]:[%]])</f>
        <v/>
      </c>
      <c r="KM12" s="121" t="str">
        <f>IF(ISBLANK(tbl_task3[[คะแนนเต็ม]:[คะแนนเต็ม]]),"",(tbl_task3[129]/tbl_task3[[คะแนนเต็ม]:[คะแนนเต็ม]])*tbl_task3[[%]:[%]])</f>
        <v/>
      </c>
      <c r="KN12" s="121" t="str">
        <f>IF(ISBLANK(tbl_task3[[คะแนนเต็ม]:[คะแนนเต็ม]]),"",(tbl_task3[130]/tbl_task3[[คะแนนเต็ม]:[คะแนนเต็ม]])*tbl_task3[[%]:[%]])</f>
        <v/>
      </c>
      <c r="KO12" s="121" t="str">
        <f>IF(ISBLANK(tbl_task3[[คะแนนเต็ม]:[คะแนนเต็ม]]),"",(tbl_task3[131]/tbl_task3[[คะแนนเต็ม]:[คะแนนเต็ม]])*tbl_task3[[%]:[%]])</f>
        <v/>
      </c>
      <c r="KP12" s="121" t="str">
        <f>IF(ISBLANK(tbl_task3[[คะแนนเต็ม]:[คะแนนเต็ม]]),"",(tbl_task3[132]/tbl_task3[[คะแนนเต็ม]:[คะแนนเต็ม]])*tbl_task3[[%]:[%]])</f>
        <v/>
      </c>
      <c r="KQ12" s="121" t="str">
        <f>IF(ISBLANK(tbl_task3[[คะแนนเต็ม]:[คะแนนเต็ม]]),"",(tbl_task3[133]/tbl_task3[[คะแนนเต็ม]:[คะแนนเต็ม]])*tbl_task3[[%]:[%]])</f>
        <v/>
      </c>
      <c r="KR12" s="121" t="str">
        <f>IF(ISBLANK(tbl_task3[[คะแนนเต็ม]:[คะแนนเต็ม]]),"",(tbl_task3[134]/tbl_task3[[คะแนนเต็ม]:[คะแนนเต็ม]])*tbl_task3[[%]:[%]])</f>
        <v/>
      </c>
      <c r="KS12" s="121" t="str">
        <f>IF(ISBLANK(tbl_task3[[คะแนนเต็ม]:[คะแนนเต็ม]]),"",(tbl_task3[135]/tbl_task3[[คะแนนเต็ม]:[คะแนนเต็ม]])*tbl_task3[[%]:[%]])</f>
        <v/>
      </c>
      <c r="KT12" s="121" t="str">
        <f>IF(ISBLANK(tbl_task3[[คะแนนเต็ม]:[คะแนนเต็ม]]),"",(tbl_task3[136]/tbl_task3[[คะแนนเต็ม]:[คะแนนเต็ม]])*tbl_task3[[%]:[%]])</f>
        <v/>
      </c>
      <c r="KU12" s="121" t="str">
        <f>IF(ISBLANK(tbl_task3[[คะแนนเต็ม]:[คะแนนเต็ม]]),"",(tbl_task3[137]/tbl_task3[[คะแนนเต็ม]:[คะแนนเต็ม]])*tbl_task3[[%]:[%]])</f>
        <v/>
      </c>
      <c r="KV12" s="121" t="str">
        <f>IF(ISBLANK(tbl_task3[[คะแนนเต็ม]:[คะแนนเต็ม]]),"",(tbl_task3[138]/tbl_task3[[คะแนนเต็ม]:[คะแนนเต็ม]])*tbl_task3[[%]:[%]])</f>
        <v/>
      </c>
      <c r="KW12" s="121" t="str">
        <f>IF(ISBLANK(tbl_task3[[คะแนนเต็ม]:[คะแนนเต็ม]]),"",(tbl_task3[139]/tbl_task3[[คะแนนเต็ม]:[คะแนนเต็ม]])*tbl_task3[[%]:[%]])</f>
        <v/>
      </c>
      <c r="KX12" s="121" t="str">
        <f>IF(ISBLANK(tbl_task3[[คะแนนเต็ม]:[คะแนนเต็ม]]),"",(tbl_task3[140]/tbl_task3[[คะแนนเต็ม]:[คะแนนเต็ม]])*tbl_task3[[%]:[%]])</f>
        <v/>
      </c>
      <c r="KY12" s="121" t="str">
        <f>IF(ISBLANK(tbl_task3[[คะแนนเต็ม]:[คะแนนเต็ม]]),"",(tbl_task3[141]/tbl_task3[[คะแนนเต็ม]:[คะแนนเต็ม]])*tbl_task3[[%]:[%]])</f>
        <v/>
      </c>
      <c r="KZ12" s="121" t="str">
        <f>IF(ISBLANK(tbl_task3[[คะแนนเต็ม]:[คะแนนเต็ม]]),"",(tbl_task3[142]/tbl_task3[[คะแนนเต็ม]:[คะแนนเต็ม]])*tbl_task3[[%]:[%]])</f>
        <v/>
      </c>
      <c r="LA12" s="121" t="str">
        <f>IF(ISBLANK(tbl_task3[[คะแนนเต็ม]:[คะแนนเต็ม]]),"",(tbl_task3[143]/tbl_task3[[คะแนนเต็ม]:[คะแนนเต็ม]])*tbl_task3[[%]:[%]])</f>
        <v/>
      </c>
      <c r="LB12" s="121" t="str">
        <f>IF(ISBLANK(tbl_task3[[คะแนนเต็ม]:[คะแนนเต็ม]]),"",(tbl_task3[144]/tbl_task3[[คะแนนเต็ม]:[คะแนนเต็ม]])*tbl_task3[[%]:[%]])</f>
        <v/>
      </c>
      <c r="LC12" s="121" t="str">
        <f>IF(ISBLANK(tbl_task3[[คะแนนเต็ม]:[คะแนนเต็ม]]),"",(tbl_task3[145]/tbl_task3[[คะแนนเต็ม]:[คะแนนเต็ม]])*tbl_task3[[%]:[%]])</f>
        <v/>
      </c>
      <c r="LD12" s="121" t="str">
        <f>IF(ISBLANK(tbl_task3[[คะแนนเต็ม]:[คะแนนเต็ม]]),"",(tbl_task3[146]/tbl_task3[[คะแนนเต็ม]:[คะแนนเต็ม]])*tbl_task3[[%]:[%]])</f>
        <v/>
      </c>
      <c r="LE12" s="121" t="str">
        <f>IF(ISBLANK(tbl_task3[[คะแนนเต็ม]:[คะแนนเต็ม]]),"",(tbl_task3[147]/tbl_task3[[คะแนนเต็ม]:[คะแนนเต็ม]])*tbl_task3[[%]:[%]])</f>
        <v/>
      </c>
      <c r="LF12" s="121" t="str">
        <f>IF(ISBLANK(tbl_task3[[คะแนนเต็ม]:[คะแนนเต็ม]]),"",(tbl_task3[148]/tbl_task3[[คะแนนเต็ม]:[คะแนนเต็ม]])*tbl_task3[[%]:[%]])</f>
        <v/>
      </c>
      <c r="LG12" s="121" t="str">
        <f>IF(ISBLANK(tbl_task3[[คะแนนเต็ม]:[คะแนนเต็ม]]),"",(tbl_task3[149]/tbl_task3[[คะแนนเต็ม]:[คะแนนเต็ม]])*tbl_task3[[%]:[%]])</f>
        <v/>
      </c>
      <c r="LH12" s="121" t="str">
        <f>IF(ISBLANK(tbl_task3[[คะแนนเต็ม]:[คะแนนเต็ม]]),"",(tbl_task3[150]/tbl_task3[[คะแนนเต็ม]:[คะแนนเต็ม]])*tbl_task3[[%]:[%]])</f>
        <v/>
      </c>
      <c r="LI12" s="121" t="str">
        <f>IF(ISBLANK(tbl_task3[[คะแนนเต็ม]:[คะแนนเต็ม]]),"",(tbl_task3[151]/tbl_task3[[คะแนนเต็ม]:[คะแนนเต็ม]])*tbl_task3[[%]:[%]])</f>
        <v/>
      </c>
      <c r="LJ12" s="121" t="str">
        <f>IF(ISBLANK(tbl_task3[[คะแนนเต็ม]:[คะแนนเต็ม]]),"",(tbl_task3[152]/tbl_task3[[คะแนนเต็ม]:[คะแนนเต็ม]])*tbl_task3[[%]:[%]])</f>
        <v/>
      </c>
      <c r="LK12" s="121" t="str">
        <f>IF(ISBLANK(tbl_task3[[คะแนนเต็ม]:[คะแนนเต็ม]]),"",(tbl_task3[153]/tbl_task3[[คะแนนเต็ม]:[คะแนนเต็ม]])*tbl_task3[[%]:[%]])</f>
        <v/>
      </c>
      <c r="LL12" s="121" t="str">
        <f>IF(ISBLANK(tbl_task3[[คะแนนเต็ม]:[คะแนนเต็ม]]),"",(tbl_task3[154]/tbl_task3[[คะแนนเต็ม]:[คะแนนเต็ม]])*tbl_task3[[%]:[%]])</f>
        <v/>
      </c>
      <c r="LM12" s="121" t="str">
        <f>IF(ISBLANK(tbl_task3[[คะแนนเต็ม]:[คะแนนเต็ม]]),"",(tbl_task3[155]/tbl_task3[[คะแนนเต็ม]:[คะแนนเต็ม]])*tbl_task3[[%]:[%]])</f>
        <v/>
      </c>
      <c r="LN12" s="121" t="str">
        <f>IF(ISBLANK(tbl_task3[[คะแนนเต็ม]:[คะแนนเต็ม]]),"",(tbl_task3[156]/tbl_task3[[คะแนนเต็ม]:[คะแนนเต็ม]])*tbl_task3[[%]:[%]])</f>
        <v/>
      </c>
      <c r="LO12" s="121" t="str">
        <f>IF(ISBLANK(tbl_task3[[คะแนนเต็ม]:[คะแนนเต็ม]]),"",(tbl_task3[157]/tbl_task3[[คะแนนเต็ม]:[คะแนนเต็ม]])*tbl_task3[[%]:[%]])</f>
        <v/>
      </c>
      <c r="LP12" s="121" t="str">
        <f>IF(ISBLANK(tbl_task3[[คะแนนเต็ม]:[คะแนนเต็ม]]),"",(tbl_task3[158]/tbl_task3[[คะแนนเต็ม]:[คะแนนเต็ม]])*tbl_task3[[%]:[%]])</f>
        <v/>
      </c>
      <c r="LQ12" s="121" t="str">
        <f>IF(ISBLANK(tbl_task3[[คะแนนเต็ม]:[คะแนนเต็ม]]),"",(tbl_task3[159]/tbl_task3[[คะแนนเต็ม]:[คะแนนเต็ม]])*tbl_task3[[%]:[%]])</f>
        <v/>
      </c>
      <c r="LR12" s="121" t="str">
        <f>IF(ISBLANK(tbl_task3[[คะแนนเต็ม]:[คะแนนเต็ม]]),"",(tbl_task3[160]/tbl_task3[[คะแนนเต็ม]:[คะแนนเต็ม]])*tbl_task3[[%]:[%]])</f>
        <v/>
      </c>
      <c r="LS12" s="121" t="str">
        <f>IF(ISBLANK(tbl_task3[[คะแนนเต็ม]:[คะแนนเต็ม]]),"",(tbl_task3[161]/tbl_task3[[คะแนนเต็ม]:[คะแนนเต็ม]])*tbl_task3[[%]:[%]])</f>
        <v/>
      </c>
      <c r="LT12" s="121" t="str">
        <f>IF(ISBLANK(tbl_task3[[คะแนนเต็ม]:[คะแนนเต็ม]]),"",(tbl_task3[162]/tbl_task3[[คะแนนเต็ม]:[คะแนนเต็ม]])*tbl_task3[[%]:[%]])</f>
        <v/>
      </c>
      <c r="LU12" s="121" t="str">
        <f>IF(ISBLANK(tbl_task3[[คะแนนเต็ม]:[คะแนนเต็ม]]),"",(tbl_task3[163]/tbl_task3[[คะแนนเต็ม]:[คะแนนเต็ม]])*tbl_task3[[%]:[%]])</f>
        <v/>
      </c>
      <c r="LV12" s="121" t="str">
        <f>IF(ISBLANK(tbl_task3[[คะแนนเต็ม]:[คะแนนเต็ม]]),"",(tbl_task3[164]/tbl_task3[[คะแนนเต็ม]:[คะแนนเต็ม]])*tbl_task3[[%]:[%]])</f>
        <v/>
      </c>
      <c r="LW12" s="121" t="str">
        <f>IF(ISBLANK(tbl_task3[[คะแนนเต็ม]:[คะแนนเต็ม]]),"",(tbl_task3[165]/tbl_task3[[คะแนนเต็ม]:[คะแนนเต็ม]])*tbl_task3[[%]:[%]])</f>
        <v/>
      </c>
    </row>
    <row r="13" spans="1:335" ht="24" customHeight="1" x14ac:dyDescent="0.25">
      <c r="A13" s="24">
        <v>10</v>
      </c>
      <c r="B13" s="20"/>
      <c r="C13" s="5" t="str">
        <f>IF(ISBLANK(B13),"",VLOOKUP(B13,tbl_PLOs[],2,0))</f>
        <v/>
      </c>
      <c r="D13" s="102"/>
      <c r="E13" s="106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22"/>
      <c r="FO13" s="121" t="str">
        <f>IF(ISBLANK(tbl_task3[[คะแนนเต็ม]:[คะแนนเต็ม]]),"",(tbl_task3[1]/tbl_task3[[คะแนนเต็ม]:[คะแนนเต็ม]])*tbl_task3[[%]:[%]])</f>
        <v/>
      </c>
      <c r="FP13" s="121" t="str">
        <f>IF(ISBLANK(tbl_task3[[คะแนนเต็ม]:[คะแนนเต็ม]]),"",(tbl_task3[2]/tbl_task3[[คะแนนเต็ม]:[คะแนนเต็ม]])*tbl_task3[[%]:[%]])</f>
        <v/>
      </c>
      <c r="FQ13" s="121" t="str">
        <f>IF(ISBLANK(tbl_task3[[คะแนนเต็ม]:[คะแนนเต็ม]]),"",(tbl_task3[3]/tbl_task3[[คะแนนเต็ม]:[คะแนนเต็ม]])*tbl_task3[[%]:[%]])</f>
        <v/>
      </c>
      <c r="FR13" s="121" t="str">
        <f>IF(ISBLANK(tbl_task3[[คะแนนเต็ม]:[คะแนนเต็ม]]),"",(tbl_task3[4]/tbl_task3[[คะแนนเต็ม]:[คะแนนเต็ม]])*tbl_task3[[%]:[%]])</f>
        <v/>
      </c>
      <c r="FS13" s="121" t="str">
        <f>IF(ISBLANK(tbl_task3[[คะแนนเต็ม]:[คะแนนเต็ม]]),"",(tbl_task3[5]/tbl_task3[[คะแนนเต็ม]:[คะแนนเต็ม]])*tbl_task3[[%]:[%]])</f>
        <v/>
      </c>
      <c r="FT13" s="121" t="str">
        <f>IF(ISBLANK(tbl_task3[[คะแนนเต็ม]:[คะแนนเต็ม]]),"",(tbl_task3[6]/tbl_task3[[คะแนนเต็ม]:[คะแนนเต็ม]])*tbl_task3[[%]:[%]])</f>
        <v/>
      </c>
      <c r="FU13" s="121" t="str">
        <f>IF(ISBLANK(tbl_task3[[คะแนนเต็ม]:[คะแนนเต็ม]]),"",(tbl_task3[7]/tbl_task3[[คะแนนเต็ม]:[คะแนนเต็ม]])*tbl_task3[[%]:[%]])</f>
        <v/>
      </c>
      <c r="FV13" s="121" t="str">
        <f>IF(ISBLANK(tbl_task3[[คะแนนเต็ม]:[คะแนนเต็ม]]),"",(tbl_task3[8]/tbl_task3[[คะแนนเต็ม]:[คะแนนเต็ม]])*tbl_task3[[%]:[%]])</f>
        <v/>
      </c>
      <c r="FW13" s="121" t="str">
        <f>IF(ISBLANK(tbl_task3[[คะแนนเต็ม]:[คะแนนเต็ม]]),"",(tbl_task3[9]/tbl_task3[[คะแนนเต็ม]:[คะแนนเต็ม]])*tbl_task3[[%]:[%]])</f>
        <v/>
      </c>
      <c r="FX13" s="121" t="str">
        <f>IF(ISBLANK(tbl_task3[[คะแนนเต็ม]:[คะแนนเต็ม]]),"",(tbl_task3[10]/tbl_task3[[คะแนนเต็ม]:[คะแนนเต็ม]])*tbl_task3[[%]:[%]])</f>
        <v/>
      </c>
      <c r="FY13" s="121" t="str">
        <f>IF(ISBLANK(tbl_task3[[คะแนนเต็ม]:[คะแนนเต็ม]]),"",(tbl_task3[11]/tbl_task3[[คะแนนเต็ม]:[คะแนนเต็ม]])*tbl_task3[[%]:[%]])</f>
        <v/>
      </c>
      <c r="FZ13" s="121" t="str">
        <f>IF(ISBLANK(tbl_task3[[คะแนนเต็ม]:[คะแนนเต็ม]]),"",(tbl_task3[12]/tbl_task3[[คะแนนเต็ม]:[คะแนนเต็ม]])*tbl_task3[[%]:[%]])</f>
        <v/>
      </c>
      <c r="GA13" s="121" t="str">
        <f>IF(ISBLANK(tbl_task3[[คะแนนเต็ม]:[คะแนนเต็ม]]),"",(tbl_task3[13]/tbl_task3[[คะแนนเต็ม]:[คะแนนเต็ม]])*tbl_task3[[%]:[%]])</f>
        <v/>
      </c>
      <c r="GB13" s="121" t="str">
        <f>IF(ISBLANK(tbl_task3[[คะแนนเต็ม]:[คะแนนเต็ม]]),"",(tbl_task3[14]/tbl_task3[[คะแนนเต็ม]:[คะแนนเต็ม]])*tbl_task3[[%]:[%]])</f>
        <v/>
      </c>
      <c r="GC13" s="121" t="str">
        <f>IF(ISBLANK(tbl_task3[[คะแนนเต็ม]:[คะแนนเต็ม]]),"",(tbl_task3[15]/tbl_task3[[คะแนนเต็ม]:[คะแนนเต็ม]])*tbl_task3[[%]:[%]])</f>
        <v/>
      </c>
      <c r="GD13" s="121" t="str">
        <f>IF(ISBLANK(tbl_task3[[คะแนนเต็ม]:[คะแนนเต็ม]]),"",(tbl_task3[16]/tbl_task3[[คะแนนเต็ม]:[คะแนนเต็ม]])*tbl_task3[[%]:[%]])</f>
        <v/>
      </c>
      <c r="GE13" s="121" t="str">
        <f>IF(ISBLANK(tbl_task3[[คะแนนเต็ม]:[คะแนนเต็ม]]),"",(tbl_task3[17]/tbl_task3[[คะแนนเต็ม]:[คะแนนเต็ม]])*tbl_task3[[%]:[%]])</f>
        <v/>
      </c>
      <c r="GF13" s="121" t="str">
        <f>IF(ISBLANK(tbl_task3[[คะแนนเต็ม]:[คะแนนเต็ม]]),"",(tbl_task3[18]/tbl_task3[[คะแนนเต็ม]:[คะแนนเต็ม]])*tbl_task3[[%]:[%]])</f>
        <v/>
      </c>
      <c r="GG13" s="121" t="str">
        <f>IF(ISBLANK(tbl_task3[[คะแนนเต็ม]:[คะแนนเต็ม]]),"",(tbl_task3[19]/tbl_task3[[คะแนนเต็ม]:[คะแนนเต็ม]])*tbl_task3[[%]:[%]])</f>
        <v/>
      </c>
      <c r="GH13" s="121" t="str">
        <f>IF(ISBLANK(tbl_task3[[คะแนนเต็ม]:[คะแนนเต็ม]]),"",(tbl_task3[20]/tbl_task3[[คะแนนเต็ม]:[คะแนนเต็ม]])*tbl_task3[[%]:[%]])</f>
        <v/>
      </c>
      <c r="GI13" s="121" t="str">
        <f>IF(ISBLANK(tbl_task3[[คะแนนเต็ม]:[คะแนนเต็ม]]),"",(tbl_task3[21]/tbl_task3[[คะแนนเต็ม]:[คะแนนเต็ม]])*tbl_task3[[%]:[%]])</f>
        <v/>
      </c>
      <c r="GJ13" s="121" t="str">
        <f>IF(ISBLANK(tbl_task3[[คะแนนเต็ม]:[คะแนนเต็ม]]),"",(tbl_task3[22]/tbl_task3[[คะแนนเต็ม]:[คะแนนเต็ม]])*tbl_task3[[%]:[%]])</f>
        <v/>
      </c>
      <c r="GK13" s="121" t="str">
        <f>IF(ISBLANK(tbl_task3[[คะแนนเต็ม]:[คะแนนเต็ม]]),"",(tbl_task3[23]/tbl_task3[[คะแนนเต็ม]:[คะแนนเต็ม]])*tbl_task3[[%]:[%]])</f>
        <v/>
      </c>
      <c r="GL13" s="121" t="str">
        <f>IF(ISBLANK(tbl_task3[[คะแนนเต็ม]:[คะแนนเต็ม]]),"",(tbl_task3[24]/tbl_task3[[คะแนนเต็ม]:[คะแนนเต็ม]])*tbl_task3[[%]:[%]])</f>
        <v/>
      </c>
      <c r="GM13" s="121" t="str">
        <f>IF(ISBLANK(tbl_task3[[คะแนนเต็ม]:[คะแนนเต็ม]]),"",(tbl_task3[25]/tbl_task3[[คะแนนเต็ม]:[คะแนนเต็ม]])*tbl_task3[[%]:[%]])</f>
        <v/>
      </c>
      <c r="GN13" s="121" t="str">
        <f>IF(ISBLANK(tbl_task3[[คะแนนเต็ม]:[คะแนนเต็ม]]),"",(tbl_task3[26]/tbl_task3[[คะแนนเต็ม]:[คะแนนเต็ม]])*tbl_task3[[%]:[%]])</f>
        <v/>
      </c>
      <c r="GO13" s="121" t="str">
        <f>IF(ISBLANK(tbl_task3[[คะแนนเต็ม]:[คะแนนเต็ม]]),"",(tbl_task3[27]/tbl_task3[[คะแนนเต็ม]:[คะแนนเต็ม]])*tbl_task3[[%]:[%]])</f>
        <v/>
      </c>
      <c r="GP13" s="121" t="str">
        <f>IF(ISBLANK(tbl_task3[[คะแนนเต็ม]:[คะแนนเต็ม]]),"",(tbl_task3[28]/tbl_task3[[คะแนนเต็ม]:[คะแนนเต็ม]])*tbl_task3[[%]:[%]])</f>
        <v/>
      </c>
      <c r="GQ13" s="121" t="str">
        <f>IF(ISBLANK(tbl_task3[[คะแนนเต็ม]:[คะแนนเต็ม]]),"",(tbl_task3[29]/tbl_task3[[คะแนนเต็ม]:[คะแนนเต็ม]])*tbl_task3[[%]:[%]])</f>
        <v/>
      </c>
      <c r="GR13" s="121" t="str">
        <f>IF(ISBLANK(tbl_task3[[คะแนนเต็ม]:[คะแนนเต็ม]]),"",(tbl_task3[30]/tbl_task3[[คะแนนเต็ม]:[คะแนนเต็ม]])*tbl_task3[[%]:[%]])</f>
        <v/>
      </c>
      <c r="GS13" s="121" t="str">
        <f>IF(ISBLANK(tbl_task3[[คะแนนเต็ม]:[คะแนนเต็ม]]),"",(tbl_task3[31]/tbl_task3[[คะแนนเต็ม]:[คะแนนเต็ม]])*tbl_task3[[%]:[%]])</f>
        <v/>
      </c>
      <c r="GT13" s="121" t="str">
        <f>IF(ISBLANK(tbl_task3[[คะแนนเต็ม]:[คะแนนเต็ม]]),"",(tbl_task3[32]/tbl_task3[[คะแนนเต็ม]:[คะแนนเต็ม]])*tbl_task3[[%]:[%]])</f>
        <v/>
      </c>
      <c r="GU13" s="121" t="str">
        <f>IF(ISBLANK(tbl_task3[[คะแนนเต็ม]:[คะแนนเต็ม]]),"",(tbl_task3[33]/tbl_task3[[คะแนนเต็ม]:[คะแนนเต็ม]])*tbl_task3[[%]:[%]])</f>
        <v/>
      </c>
      <c r="GV13" s="121" t="str">
        <f>IF(ISBLANK(tbl_task3[[คะแนนเต็ม]:[คะแนนเต็ม]]),"",(tbl_task3[34]/tbl_task3[[คะแนนเต็ม]:[คะแนนเต็ม]])*tbl_task3[[%]:[%]])</f>
        <v/>
      </c>
      <c r="GW13" s="121" t="str">
        <f>IF(ISBLANK(tbl_task3[[คะแนนเต็ม]:[คะแนนเต็ม]]),"",(tbl_task3[35]/tbl_task3[[คะแนนเต็ม]:[คะแนนเต็ม]])*tbl_task3[[%]:[%]])</f>
        <v/>
      </c>
      <c r="GX13" s="121" t="str">
        <f>IF(ISBLANK(tbl_task3[[คะแนนเต็ม]:[คะแนนเต็ม]]),"",(tbl_task3[36]/tbl_task3[[คะแนนเต็ม]:[คะแนนเต็ม]])*tbl_task3[[%]:[%]])</f>
        <v/>
      </c>
      <c r="GY13" s="121" t="str">
        <f>IF(ISBLANK(tbl_task3[[คะแนนเต็ม]:[คะแนนเต็ม]]),"",(tbl_task3[37]/tbl_task3[[คะแนนเต็ม]:[คะแนนเต็ม]])*tbl_task3[[%]:[%]])</f>
        <v/>
      </c>
      <c r="GZ13" s="121" t="str">
        <f>IF(ISBLANK(tbl_task3[[คะแนนเต็ม]:[คะแนนเต็ม]]),"",(tbl_task3[38]/tbl_task3[[คะแนนเต็ม]:[คะแนนเต็ม]])*tbl_task3[[%]:[%]])</f>
        <v/>
      </c>
      <c r="HA13" s="121" t="str">
        <f>IF(ISBLANK(tbl_task3[[คะแนนเต็ม]:[คะแนนเต็ม]]),"",(tbl_task3[39]/tbl_task3[[คะแนนเต็ม]:[คะแนนเต็ม]])*tbl_task3[[%]:[%]])</f>
        <v/>
      </c>
      <c r="HB13" s="121" t="str">
        <f>IF(ISBLANK(tbl_task3[[คะแนนเต็ม]:[คะแนนเต็ม]]),"",(tbl_task3[40]/tbl_task3[[คะแนนเต็ม]:[คะแนนเต็ม]])*tbl_task3[[%]:[%]])</f>
        <v/>
      </c>
      <c r="HC13" s="121" t="str">
        <f>IF(ISBLANK(tbl_task3[[คะแนนเต็ม]:[คะแนนเต็ม]]),"",(tbl_task3[41]/tbl_task3[[คะแนนเต็ม]:[คะแนนเต็ม]])*tbl_task3[[%]:[%]])</f>
        <v/>
      </c>
      <c r="HD13" s="121" t="str">
        <f>IF(ISBLANK(tbl_task3[[คะแนนเต็ม]:[คะแนนเต็ม]]),"",(tbl_task3[42]/tbl_task3[[คะแนนเต็ม]:[คะแนนเต็ม]])*tbl_task3[[%]:[%]])</f>
        <v/>
      </c>
      <c r="HE13" s="121" t="str">
        <f>IF(ISBLANK(tbl_task3[[คะแนนเต็ม]:[คะแนนเต็ม]]),"",(tbl_task3[43]/tbl_task3[[คะแนนเต็ม]:[คะแนนเต็ม]])*tbl_task3[[%]:[%]])</f>
        <v/>
      </c>
      <c r="HF13" s="121" t="str">
        <f>IF(ISBLANK(tbl_task3[[คะแนนเต็ม]:[คะแนนเต็ม]]),"",(tbl_task3[44]/tbl_task3[[คะแนนเต็ม]:[คะแนนเต็ม]])*tbl_task3[[%]:[%]])</f>
        <v/>
      </c>
      <c r="HG13" s="121" t="str">
        <f>IF(ISBLANK(tbl_task3[[คะแนนเต็ม]:[คะแนนเต็ม]]),"",(tbl_task3[45]/tbl_task3[[คะแนนเต็ม]:[คะแนนเต็ม]])*tbl_task3[[%]:[%]])</f>
        <v/>
      </c>
      <c r="HH13" s="121" t="str">
        <f>IF(ISBLANK(tbl_task3[[คะแนนเต็ม]:[คะแนนเต็ม]]),"",(tbl_task3[46]/tbl_task3[[คะแนนเต็ม]:[คะแนนเต็ม]])*tbl_task3[[%]:[%]])</f>
        <v/>
      </c>
      <c r="HI13" s="121" t="str">
        <f>IF(ISBLANK(tbl_task3[[คะแนนเต็ม]:[คะแนนเต็ม]]),"",(tbl_task3[47]/tbl_task3[[คะแนนเต็ม]:[คะแนนเต็ม]])*tbl_task3[[%]:[%]])</f>
        <v/>
      </c>
      <c r="HJ13" s="121" t="str">
        <f>IF(ISBLANK(tbl_task3[[คะแนนเต็ม]:[คะแนนเต็ม]]),"",(tbl_task3[48]/tbl_task3[[คะแนนเต็ม]:[คะแนนเต็ม]])*tbl_task3[[%]:[%]])</f>
        <v/>
      </c>
      <c r="HK13" s="121" t="str">
        <f>IF(ISBLANK(tbl_task3[[คะแนนเต็ม]:[คะแนนเต็ม]]),"",(tbl_task3[49]/tbl_task3[[คะแนนเต็ม]:[คะแนนเต็ม]])*tbl_task3[[%]:[%]])</f>
        <v/>
      </c>
      <c r="HL13" s="121" t="str">
        <f>IF(ISBLANK(tbl_task3[[คะแนนเต็ม]:[คะแนนเต็ม]]),"",(tbl_task3[50]/tbl_task3[[คะแนนเต็ม]:[คะแนนเต็ม]])*tbl_task3[[%]:[%]])</f>
        <v/>
      </c>
      <c r="HM13" s="121" t="str">
        <f>IF(ISBLANK(tbl_task3[[คะแนนเต็ม]:[คะแนนเต็ม]]),"",(tbl_task3[51]/tbl_task3[[คะแนนเต็ม]:[คะแนนเต็ม]])*tbl_task3[[%]:[%]])</f>
        <v/>
      </c>
      <c r="HN13" s="121" t="str">
        <f>IF(ISBLANK(tbl_task3[[คะแนนเต็ม]:[คะแนนเต็ม]]),"",(tbl_task3[52]/tbl_task3[[คะแนนเต็ม]:[คะแนนเต็ม]])*tbl_task3[[%]:[%]])</f>
        <v/>
      </c>
      <c r="HO13" s="121" t="str">
        <f>IF(ISBLANK(tbl_task3[[คะแนนเต็ม]:[คะแนนเต็ม]]),"",(tbl_task3[53]/tbl_task3[[คะแนนเต็ม]:[คะแนนเต็ม]])*tbl_task3[[%]:[%]])</f>
        <v/>
      </c>
      <c r="HP13" s="121" t="str">
        <f>IF(ISBLANK(tbl_task3[[คะแนนเต็ม]:[คะแนนเต็ม]]),"",(tbl_task3[54]/tbl_task3[[คะแนนเต็ม]:[คะแนนเต็ม]])*tbl_task3[[%]:[%]])</f>
        <v/>
      </c>
      <c r="HQ13" s="121" t="str">
        <f>IF(ISBLANK(tbl_task3[[คะแนนเต็ม]:[คะแนนเต็ม]]),"",(tbl_task3[55]/tbl_task3[[คะแนนเต็ม]:[คะแนนเต็ม]])*tbl_task3[[%]:[%]])</f>
        <v/>
      </c>
      <c r="HR13" s="121" t="str">
        <f>IF(ISBLANK(tbl_task3[[คะแนนเต็ม]:[คะแนนเต็ม]]),"",(tbl_task3[56]/tbl_task3[[คะแนนเต็ม]:[คะแนนเต็ม]])*tbl_task3[[%]:[%]])</f>
        <v/>
      </c>
      <c r="HS13" s="121" t="str">
        <f>IF(ISBLANK(tbl_task3[[คะแนนเต็ม]:[คะแนนเต็ม]]),"",(tbl_task3[57]/tbl_task3[[คะแนนเต็ม]:[คะแนนเต็ม]])*tbl_task3[[%]:[%]])</f>
        <v/>
      </c>
      <c r="HT13" s="121" t="str">
        <f>IF(ISBLANK(tbl_task3[[คะแนนเต็ม]:[คะแนนเต็ม]]),"",(tbl_task3[58]/tbl_task3[[คะแนนเต็ม]:[คะแนนเต็ม]])*tbl_task3[[%]:[%]])</f>
        <v/>
      </c>
      <c r="HU13" s="121" t="str">
        <f>IF(ISBLANK(tbl_task3[[คะแนนเต็ม]:[คะแนนเต็ม]]),"",(tbl_task3[59]/tbl_task3[[คะแนนเต็ม]:[คะแนนเต็ม]])*tbl_task3[[%]:[%]])</f>
        <v/>
      </c>
      <c r="HV13" s="121" t="str">
        <f>IF(ISBLANK(tbl_task3[[คะแนนเต็ม]:[คะแนนเต็ม]]),"",(tbl_task3[60]/tbl_task3[[คะแนนเต็ม]:[คะแนนเต็ม]])*tbl_task3[[%]:[%]])</f>
        <v/>
      </c>
      <c r="HW13" s="121" t="str">
        <f>IF(ISBLANK(tbl_task3[[คะแนนเต็ม]:[คะแนนเต็ม]]),"",(tbl_task3[61]/tbl_task3[[คะแนนเต็ม]:[คะแนนเต็ม]])*tbl_task3[[%]:[%]])</f>
        <v/>
      </c>
      <c r="HX13" s="121" t="str">
        <f>IF(ISBLANK(tbl_task3[[คะแนนเต็ม]:[คะแนนเต็ม]]),"",(tbl_task3[62]/tbl_task3[[คะแนนเต็ม]:[คะแนนเต็ม]])*tbl_task3[[%]:[%]])</f>
        <v/>
      </c>
      <c r="HY13" s="121" t="str">
        <f>IF(ISBLANK(tbl_task3[[คะแนนเต็ม]:[คะแนนเต็ม]]),"",(tbl_task3[63]/tbl_task3[[คะแนนเต็ม]:[คะแนนเต็ม]])*tbl_task3[[%]:[%]])</f>
        <v/>
      </c>
      <c r="HZ13" s="121" t="str">
        <f>IF(ISBLANK(tbl_task3[[คะแนนเต็ม]:[คะแนนเต็ม]]),"",(tbl_task3[64]/tbl_task3[[คะแนนเต็ม]:[คะแนนเต็ม]])*tbl_task3[[%]:[%]])</f>
        <v/>
      </c>
      <c r="IA13" s="121" t="str">
        <f>IF(ISBLANK(tbl_task3[[คะแนนเต็ม]:[คะแนนเต็ม]]),"",(tbl_task3[65]/tbl_task3[[คะแนนเต็ม]:[คะแนนเต็ม]])*tbl_task3[[%]:[%]])</f>
        <v/>
      </c>
      <c r="IB13" s="121" t="str">
        <f>IF(ISBLANK(tbl_task3[[คะแนนเต็ม]:[คะแนนเต็ม]]),"",(tbl_task3[66]/tbl_task3[[คะแนนเต็ม]:[คะแนนเต็ม]])*tbl_task3[[%]:[%]])</f>
        <v/>
      </c>
      <c r="IC13" s="121" t="str">
        <f>IF(ISBLANK(tbl_task3[[คะแนนเต็ม]:[คะแนนเต็ม]]),"",(tbl_task3[67]/tbl_task3[[คะแนนเต็ม]:[คะแนนเต็ม]])*tbl_task3[[%]:[%]])</f>
        <v/>
      </c>
      <c r="ID13" s="121" t="str">
        <f>IF(ISBLANK(tbl_task3[[คะแนนเต็ม]:[คะแนนเต็ม]]),"",(tbl_task3[68]/tbl_task3[[คะแนนเต็ม]:[คะแนนเต็ม]])*tbl_task3[[%]:[%]])</f>
        <v/>
      </c>
      <c r="IE13" s="121" t="str">
        <f>IF(ISBLANK(tbl_task3[[คะแนนเต็ม]:[คะแนนเต็ม]]),"",(tbl_task3[69]/tbl_task3[[คะแนนเต็ม]:[คะแนนเต็ม]])*tbl_task3[[%]:[%]])</f>
        <v/>
      </c>
      <c r="IF13" s="121" t="str">
        <f>IF(ISBLANK(tbl_task3[[คะแนนเต็ม]:[คะแนนเต็ม]]),"",(tbl_task3[70]/tbl_task3[[คะแนนเต็ม]:[คะแนนเต็ม]])*tbl_task3[[%]:[%]])</f>
        <v/>
      </c>
      <c r="IG13" s="121" t="str">
        <f>IF(ISBLANK(tbl_task3[[คะแนนเต็ม]:[คะแนนเต็ม]]),"",(tbl_task3[71]/tbl_task3[[คะแนนเต็ม]:[คะแนนเต็ม]])*tbl_task3[[%]:[%]])</f>
        <v/>
      </c>
      <c r="IH13" s="121" t="str">
        <f>IF(ISBLANK(tbl_task3[[คะแนนเต็ม]:[คะแนนเต็ม]]),"",(tbl_task3[72]/tbl_task3[[คะแนนเต็ม]:[คะแนนเต็ม]])*tbl_task3[[%]:[%]])</f>
        <v/>
      </c>
      <c r="II13" s="121" t="str">
        <f>IF(ISBLANK(tbl_task3[[คะแนนเต็ม]:[คะแนนเต็ม]]),"",(tbl_task3[73]/tbl_task3[[คะแนนเต็ม]:[คะแนนเต็ม]])*tbl_task3[[%]:[%]])</f>
        <v/>
      </c>
      <c r="IJ13" s="121" t="str">
        <f>IF(ISBLANK(tbl_task3[[คะแนนเต็ม]:[คะแนนเต็ม]]),"",(tbl_task3[74]/tbl_task3[[คะแนนเต็ม]:[คะแนนเต็ม]])*tbl_task3[[%]:[%]])</f>
        <v/>
      </c>
      <c r="IK13" s="121" t="str">
        <f>IF(ISBLANK(tbl_task3[[คะแนนเต็ม]:[คะแนนเต็ม]]),"",(tbl_task3[75]/tbl_task3[[คะแนนเต็ม]:[คะแนนเต็ม]])*tbl_task3[[%]:[%]])</f>
        <v/>
      </c>
      <c r="IL13" s="121" t="str">
        <f>IF(ISBLANK(tbl_task3[[คะแนนเต็ม]:[คะแนนเต็ม]]),"",(tbl_task3[76]/tbl_task3[[คะแนนเต็ม]:[คะแนนเต็ม]])*tbl_task3[[%]:[%]])</f>
        <v/>
      </c>
      <c r="IM13" s="121" t="str">
        <f>IF(ISBLANK(tbl_task3[[คะแนนเต็ม]:[คะแนนเต็ม]]),"",(tbl_task3[77]/tbl_task3[[คะแนนเต็ม]:[คะแนนเต็ม]])*tbl_task3[[%]:[%]])</f>
        <v/>
      </c>
      <c r="IN13" s="121" t="str">
        <f>IF(ISBLANK(tbl_task3[[คะแนนเต็ม]:[คะแนนเต็ม]]),"",(tbl_task3[78]/tbl_task3[[คะแนนเต็ม]:[คะแนนเต็ม]])*tbl_task3[[%]:[%]])</f>
        <v/>
      </c>
      <c r="IO13" s="121" t="str">
        <f>IF(ISBLANK(tbl_task3[[คะแนนเต็ม]:[คะแนนเต็ม]]),"",(tbl_task3[79]/tbl_task3[[คะแนนเต็ม]:[คะแนนเต็ม]])*tbl_task3[[%]:[%]])</f>
        <v/>
      </c>
      <c r="IP13" s="121" t="str">
        <f>IF(ISBLANK(tbl_task3[[คะแนนเต็ม]:[คะแนนเต็ม]]),"",(tbl_task3[80]/tbl_task3[[คะแนนเต็ม]:[คะแนนเต็ม]])*tbl_task3[[%]:[%]])</f>
        <v/>
      </c>
      <c r="IQ13" s="121" t="str">
        <f>IF(ISBLANK(tbl_task3[[คะแนนเต็ม]:[คะแนนเต็ม]]),"",(tbl_task3[81]/tbl_task3[[คะแนนเต็ม]:[คะแนนเต็ม]])*tbl_task3[[%]:[%]])</f>
        <v/>
      </c>
      <c r="IR13" s="121" t="str">
        <f>IF(ISBLANK(tbl_task3[[คะแนนเต็ม]:[คะแนนเต็ม]]),"",(tbl_task3[82]/tbl_task3[[คะแนนเต็ม]:[คะแนนเต็ม]])*tbl_task3[[%]:[%]])</f>
        <v/>
      </c>
      <c r="IS13" s="121" t="str">
        <f>IF(ISBLANK(tbl_task3[[คะแนนเต็ม]:[คะแนนเต็ม]]),"",(tbl_task3[83]/tbl_task3[[คะแนนเต็ม]:[คะแนนเต็ม]])*tbl_task3[[%]:[%]])</f>
        <v/>
      </c>
      <c r="IT13" s="121" t="str">
        <f>IF(ISBLANK(tbl_task3[[คะแนนเต็ม]:[คะแนนเต็ม]]),"",(tbl_task3[84]/tbl_task3[[คะแนนเต็ม]:[คะแนนเต็ม]])*tbl_task3[[%]:[%]])</f>
        <v/>
      </c>
      <c r="IU13" s="121" t="str">
        <f>IF(ISBLANK(tbl_task3[[คะแนนเต็ม]:[คะแนนเต็ม]]),"",(tbl_task3[85]/tbl_task3[[คะแนนเต็ม]:[คะแนนเต็ม]])*tbl_task3[[%]:[%]])</f>
        <v/>
      </c>
      <c r="IV13" s="121" t="str">
        <f>IF(ISBLANK(tbl_task3[[คะแนนเต็ม]:[คะแนนเต็ม]]),"",(tbl_task3[86]/tbl_task3[[คะแนนเต็ม]:[คะแนนเต็ม]])*tbl_task3[[%]:[%]])</f>
        <v/>
      </c>
      <c r="IW13" s="121" t="str">
        <f>IF(ISBLANK(tbl_task3[[คะแนนเต็ม]:[คะแนนเต็ม]]),"",(tbl_task3[87]/tbl_task3[[คะแนนเต็ม]:[คะแนนเต็ม]])*tbl_task3[[%]:[%]])</f>
        <v/>
      </c>
      <c r="IX13" s="121" t="str">
        <f>IF(ISBLANK(tbl_task3[[คะแนนเต็ม]:[คะแนนเต็ม]]),"",(tbl_task3[88]/tbl_task3[[คะแนนเต็ม]:[คะแนนเต็ม]])*tbl_task3[[%]:[%]])</f>
        <v/>
      </c>
      <c r="IY13" s="121" t="str">
        <f>IF(ISBLANK(tbl_task3[[คะแนนเต็ม]:[คะแนนเต็ม]]),"",(tbl_task3[89]/tbl_task3[[คะแนนเต็ม]:[คะแนนเต็ม]])*tbl_task3[[%]:[%]])</f>
        <v/>
      </c>
      <c r="IZ13" s="121" t="str">
        <f>IF(ISBLANK(tbl_task3[[คะแนนเต็ม]:[คะแนนเต็ม]]),"",(tbl_task3[90]/tbl_task3[[คะแนนเต็ม]:[คะแนนเต็ม]])*tbl_task3[[%]:[%]])</f>
        <v/>
      </c>
      <c r="JA13" s="121" t="str">
        <f>IF(ISBLANK(tbl_task3[[คะแนนเต็ม]:[คะแนนเต็ม]]),"",(tbl_task3[91]/tbl_task3[[คะแนนเต็ม]:[คะแนนเต็ม]])*tbl_task3[[%]:[%]])</f>
        <v/>
      </c>
      <c r="JB13" s="121" t="str">
        <f>IF(ISBLANK(tbl_task3[[คะแนนเต็ม]:[คะแนนเต็ม]]),"",(tbl_task3[92]/tbl_task3[[คะแนนเต็ม]:[คะแนนเต็ม]])*tbl_task3[[%]:[%]])</f>
        <v/>
      </c>
      <c r="JC13" s="121" t="str">
        <f>IF(ISBLANK(tbl_task3[[คะแนนเต็ม]:[คะแนนเต็ม]]),"",(tbl_task3[93]/tbl_task3[[คะแนนเต็ม]:[คะแนนเต็ม]])*tbl_task3[[%]:[%]])</f>
        <v/>
      </c>
      <c r="JD13" s="121" t="str">
        <f>IF(ISBLANK(tbl_task3[[คะแนนเต็ม]:[คะแนนเต็ม]]),"",(tbl_task3[94]/tbl_task3[[คะแนนเต็ม]:[คะแนนเต็ม]])*tbl_task3[[%]:[%]])</f>
        <v/>
      </c>
      <c r="JE13" s="121" t="str">
        <f>IF(ISBLANK(tbl_task3[[คะแนนเต็ม]:[คะแนนเต็ม]]),"",(tbl_task3[95]/tbl_task3[[คะแนนเต็ม]:[คะแนนเต็ม]])*tbl_task3[[%]:[%]])</f>
        <v/>
      </c>
      <c r="JF13" s="121" t="str">
        <f>IF(ISBLANK(tbl_task3[[คะแนนเต็ม]:[คะแนนเต็ม]]),"",(tbl_task3[96]/tbl_task3[[คะแนนเต็ม]:[คะแนนเต็ม]])*tbl_task3[[%]:[%]])</f>
        <v/>
      </c>
      <c r="JG13" s="121" t="str">
        <f>IF(ISBLANK(tbl_task3[[คะแนนเต็ม]:[คะแนนเต็ม]]),"",(tbl_task3[97]/tbl_task3[[คะแนนเต็ม]:[คะแนนเต็ม]])*tbl_task3[[%]:[%]])</f>
        <v/>
      </c>
      <c r="JH13" s="121" t="str">
        <f>IF(ISBLANK(tbl_task3[[คะแนนเต็ม]:[คะแนนเต็ม]]),"",(tbl_task3[98]/tbl_task3[[คะแนนเต็ม]:[คะแนนเต็ม]])*tbl_task3[[%]:[%]])</f>
        <v/>
      </c>
      <c r="JI13" s="121" t="str">
        <f>IF(ISBLANK(tbl_task3[[คะแนนเต็ม]:[คะแนนเต็ม]]),"",(tbl_task3[99]/tbl_task3[[คะแนนเต็ม]:[คะแนนเต็ม]])*tbl_task3[[%]:[%]])</f>
        <v/>
      </c>
      <c r="JJ13" s="121" t="str">
        <f>IF(ISBLANK(tbl_task3[[คะแนนเต็ม]:[คะแนนเต็ม]]),"",(tbl_task3[100]/tbl_task3[[คะแนนเต็ม]:[คะแนนเต็ม]])*tbl_task3[[%]:[%]])</f>
        <v/>
      </c>
      <c r="JK13" s="121" t="str">
        <f>IF(ISBLANK(tbl_task3[[คะแนนเต็ม]:[คะแนนเต็ม]]),"",(tbl_task3[101]/tbl_task3[[คะแนนเต็ม]:[คะแนนเต็ม]])*tbl_task3[[%]:[%]])</f>
        <v/>
      </c>
      <c r="JL13" s="121" t="str">
        <f>IF(ISBLANK(tbl_task3[[คะแนนเต็ม]:[คะแนนเต็ม]]),"",(tbl_task3[102]/tbl_task3[[คะแนนเต็ม]:[คะแนนเต็ม]])*tbl_task3[[%]:[%]])</f>
        <v/>
      </c>
      <c r="JM13" s="121" t="str">
        <f>IF(ISBLANK(tbl_task3[[คะแนนเต็ม]:[คะแนนเต็ม]]),"",(tbl_task3[103]/tbl_task3[[คะแนนเต็ม]:[คะแนนเต็ม]])*tbl_task3[[%]:[%]])</f>
        <v/>
      </c>
      <c r="JN13" s="121" t="str">
        <f>IF(ISBLANK(tbl_task3[[คะแนนเต็ม]:[คะแนนเต็ม]]),"",(tbl_task3[104]/tbl_task3[[คะแนนเต็ม]:[คะแนนเต็ม]])*tbl_task3[[%]:[%]])</f>
        <v/>
      </c>
      <c r="JO13" s="121" t="str">
        <f>IF(ISBLANK(tbl_task3[[คะแนนเต็ม]:[คะแนนเต็ม]]),"",(tbl_task3[105]/tbl_task3[[คะแนนเต็ม]:[คะแนนเต็ม]])*tbl_task3[[%]:[%]])</f>
        <v/>
      </c>
      <c r="JP13" s="121" t="str">
        <f>IF(ISBLANK(tbl_task3[[คะแนนเต็ม]:[คะแนนเต็ม]]),"",(tbl_task3[106]/tbl_task3[[คะแนนเต็ม]:[คะแนนเต็ม]])*tbl_task3[[%]:[%]])</f>
        <v/>
      </c>
      <c r="JQ13" s="121" t="str">
        <f>IF(ISBLANK(tbl_task3[[คะแนนเต็ม]:[คะแนนเต็ม]]),"",(tbl_task3[107]/tbl_task3[[คะแนนเต็ม]:[คะแนนเต็ม]])*tbl_task3[[%]:[%]])</f>
        <v/>
      </c>
      <c r="JR13" s="121" t="str">
        <f>IF(ISBLANK(tbl_task3[[คะแนนเต็ม]:[คะแนนเต็ม]]),"",(tbl_task3[108]/tbl_task3[[คะแนนเต็ม]:[คะแนนเต็ม]])*tbl_task3[[%]:[%]])</f>
        <v/>
      </c>
      <c r="JS13" s="121" t="str">
        <f>IF(ISBLANK(tbl_task3[[คะแนนเต็ม]:[คะแนนเต็ม]]),"",(tbl_task3[109]/tbl_task3[[คะแนนเต็ม]:[คะแนนเต็ม]])*tbl_task3[[%]:[%]])</f>
        <v/>
      </c>
      <c r="JT13" s="121" t="str">
        <f>IF(ISBLANK(tbl_task3[[คะแนนเต็ม]:[คะแนนเต็ม]]),"",(tbl_task3[110]/tbl_task3[[คะแนนเต็ม]:[คะแนนเต็ม]])*tbl_task3[[%]:[%]])</f>
        <v/>
      </c>
      <c r="JU13" s="121" t="str">
        <f>IF(ISBLANK(tbl_task3[[คะแนนเต็ม]:[คะแนนเต็ม]]),"",(tbl_task3[111]/tbl_task3[[คะแนนเต็ม]:[คะแนนเต็ม]])*tbl_task3[[%]:[%]])</f>
        <v/>
      </c>
      <c r="JV13" s="121" t="str">
        <f>IF(ISBLANK(tbl_task3[[คะแนนเต็ม]:[คะแนนเต็ม]]),"",(tbl_task3[112]/tbl_task3[[คะแนนเต็ม]:[คะแนนเต็ม]])*tbl_task3[[%]:[%]])</f>
        <v/>
      </c>
      <c r="JW13" s="121" t="str">
        <f>IF(ISBLANK(tbl_task3[[คะแนนเต็ม]:[คะแนนเต็ม]]),"",(tbl_task3[113]/tbl_task3[[คะแนนเต็ม]:[คะแนนเต็ม]])*tbl_task3[[%]:[%]])</f>
        <v/>
      </c>
      <c r="JX13" s="121" t="str">
        <f>IF(ISBLANK(tbl_task3[[คะแนนเต็ม]:[คะแนนเต็ม]]),"",(tbl_task3[114]/tbl_task3[[คะแนนเต็ม]:[คะแนนเต็ม]])*tbl_task3[[%]:[%]])</f>
        <v/>
      </c>
      <c r="JY13" s="121" t="str">
        <f>IF(ISBLANK(tbl_task3[[คะแนนเต็ม]:[คะแนนเต็ม]]),"",(tbl_task3[115]/tbl_task3[[คะแนนเต็ม]:[คะแนนเต็ม]])*tbl_task3[[%]:[%]])</f>
        <v/>
      </c>
      <c r="JZ13" s="121" t="str">
        <f>IF(ISBLANK(tbl_task3[[คะแนนเต็ม]:[คะแนนเต็ม]]),"",(tbl_task3[116]/tbl_task3[[คะแนนเต็ม]:[คะแนนเต็ม]])*tbl_task3[[%]:[%]])</f>
        <v/>
      </c>
      <c r="KA13" s="121" t="str">
        <f>IF(ISBLANK(tbl_task3[[คะแนนเต็ม]:[คะแนนเต็ม]]),"",(tbl_task3[117]/tbl_task3[[คะแนนเต็ม]:[คะแนนเต็ม]])*tbl_task3[[%]:[%]])</f>
        <v/>
      </c>
      <c r="KB13" s="121" t="str">
        <f>IF(ISBLANK(tbl_task3[[คะแนนเต็ม]:[คะแนนเต็ม]]),"",(tbl_task3[118]/tbl_task3[[คะแนนเต็ม]:[คะแนนเต็ม]])*tbl_task3[[%]:[%]])</f>
        <v/>
      </c>
      <c r="KC13" s="121" t="str">
        <f>IF(ISBLANK(tbl_task3[[คะแนนเต็ม]:[คะแนนเต็ม]]),"",(tbl_task3[119]/tbl_task3[[คะแนนเต็ม]:[คะแนนเต็ม]])*tbl_task3[[%]:[%]])</f>
        <v/>
      </c>
      <c r="KD13" s="121" t="str">
        <f>IF(ISBLANK(tbl_task3[[คะแนนเต็ม]:[คะแนนเต็ม]]),"",(tbl_task3[120]/tbl_task3[[คะแนนเต็ม]:[คะแนนเต็ม]])*tbl_task3[[%]:[%]])</f>
        <v/>
      </c>
      <c r="KE13" s="121" t="str">
        <f>IF(ISBLANK(tbl_task3[[คะแนนเต็ม]:[คะแนนเต็ม]]),"",(tbl_task3[121]/tbl_task3[[คะแนนเต็ม]:[คะแนนเต็ม]])*tbl_task3[[%]:[%]])</f>
        <v/>
      </c>
      <c r="KF13" s="121" t="str">
        <f>IF(ISBLANK(tbl_task3[[คะแนนเต็ม]:[คะแนนเต็ม]]),"",(tbl_task3[122]/tbl_task3[[คะแนนเต็ม]:[คะแนนเต็ม]])*tbl_task3[[%]:[%]])</f>
        <v/>
      </c>
      <c r="KG13" s="121" t="str">
        <f>IF(ISBLANK(tbl_task3[[คะแนนเต็ม]:[คะแนนเต็ม]]),"",(tbl_task3[123]/tbl_task3[[คะแนนเต็ม]:[คะแนนเต็ม]])*tbl_task3[[%]:[%]])</f>
        <v/>
      </c>
      <c r="KH13" s="121" t="str">
        <f>IF(ISBLANK(tbl_task3[[คะแนนเต็ม]:[คะแนนเต็ม]]),"",(tbl_task3[124]/tbl_task3[[คะแนนเต็ม]:[คะแนนเต็ม]])*tbl_task3[[%]:[%]])</f>
        <v/>
      </c>
      <c r="KI13" s="121" t="str">
        <f>IF(ISBLANK(tbl_task3[[คะแนนเต็ม]:[คะแนนเต็ม]]),"",(tbl_task3[125]/tbl_task3[[คะแนนเต็ม]:[คะแนนเต็ม]])*tbl_task3[[%]:[%]])</f>
        <v/>
      </c>
      <c r="KJ13" s="121" t="str">
        <f>IF(ISBLANK(tbl_task3[[คะแนนเต็ม]:[คะแนนเต็ม]]),"",(tbl_task3[126]/tbl_task3[[คะแนนเต็ม]:[คะแนนเต็ม]])*tbl_task3[[%]:[%]])</f>
        <v/>
      </c>
      <c r="KK13" s="121" t="str">
        <f>IF(ISBLANK(tbl_task3[[คะแนนเต็ม]:[คะแนนเต็ม]]),"",(tbl_task3[127]/tbl_task3[[คะแนนเต็ม]:[คะแนนเต็ม]])*tbl_task3[[%]:[%]])</f>
        <v/>
      </c>
      <c r="KL13" s="121" t="str">
        <f>IF(ISBLANK(tbl_task3[[คะแนนเต็ม]:[คะแนนเต็ม]]),"",(tbl_task3[128]/tbl_task3[[คะแนนเต็ม]:[คะแนนเต็ม]])*tbl_task3[[%]:[%]])</f>
        <v/>
      </c>
      <c r="KM13" s="121" t="str">
        <f>IF(ISBLANK(tbl_task3[[คะแนนเต็ม]:[คะแนนเต็ม]]),"",(tbl_task3[129]/tbl_task3[[คะแนนเต็ม]:[คะแนนเต็ม]])*tbl_task3[[%]:[%]])</f>
        <v/>
      </c>
      <c r="KN13" s="121" t="str">
        <f>IF(ISBLANK(tbl_task3[[คะแนนเต็ม]:[คะแนนเต็ม]]),"",(tbl_task3[130]/tbl_task3[[คะแนนเต็ม]:[คะแนนเต็ม]])*tbl_task3[[%]:[%]])</f>
        <v/>
      </c>
      <c r="KO13" s="121" t="str">
        <f>IF(ISBLANK(tbl_task3[[คะแนนเต็ม]:[คะแนนเต็ม]]),"",(tbl_task3[131]/tbl_task3[[คะแนนเต็ม]:[คะแนนเต็ม]])*tbl_task3[[%]:[%]])</f>
        <v/>
      </c>
      <c r="KP13" s="121" t="str">
        <f>IF(ISBLANK(tbl_task3[[คะแนนเต็ม]:[คะแนนเต็ม]]),"",(tbl_task3[132]/tbl_task3[[คะแนนเต็ม]:[คะแนนเต็ม]])*tbl_task3[[%]:[%]])</f>
        <v/>
      </c>
      <c r="KQ13" s="121" t="str">
        <f>IF(ISBLANK(tbl_task3[[คะแนนเต็ม]:[คะแนนเต็ม]]),"",(tbl_task3[133]/tbl_task3[[คะแนนเต็ม]:[คะแนนเต็ม]])*tbl_task3[[%]:[%]])</f>
        <v/>
      </c>
      <c r="KR13" s="121" t="str">
        <f>IF(ISBLANK(tbl_task3[[คะแนนเต็ม]:[คะแนนเต็ม]]),"",(tbl_task3[134]/tbl_task3[[คะแนนเต็ม]:[คะแนนเต็ม]])*tbl_task3[[%]:[%]])</f>
        <v/>
      </c>
      <c r="KS13" s="121" t="str">
        <f>IF(ISBLANK(tbl_task3[[คะแนนเต็ม]:[คะแนนเต็ม]]),"",(tbl_task3[135]/tbl_task3[[คะแนนเต็ม]:[คะแนนเต็ม]])*tbl_task3[[%]:[%]])</f>
        <v/>
      </c>
      <c r="KT13" s="121" t="str">
        <f>IF(ISBLANK(tbl_task3[[คะแนนเต็ม]:[คะแนนเต็ม]]),"",(tbl_task3[136]/tbl_task3[[คะแนนเต็ม]:[คะแนนเต็ม]])*tbl_task3[[%]:[%]])</f>
        <v/>
      </c>
      <c r="KU13" s="121" t="str">
        <f>IF(ISBLANK(tbl_task3[[คะแนนเต็ม]:[คะแนนเต็ม]]),"",(tbl_task3[137]/tbl_task3[[คะแนนเต็ม]:[คะแนนเต็ม]])*tbl_task3[[%]:[%]])</f>
        <v/>
      </c>
      <c r="KV13" s="121" t="str">
        <f>IF(ISBLANK(tbl_task3[[คะแนนเต็ม]:[คะแนนเต็ม]]),"",(tbl_task3[138]/tbl_task3[[คะแนนเต็ม]:[คะแนนเต็ม]])*tbl_task3[[%]:[%]])</f>
        <v/>
      </c>
      <c r="KW13" s="121" t="str">
        <f>IF(ISBLANK(tbl_task3[[คะแนนเต็ม]:[คะแนนเต็ม]]),"",(tbl_task3[139]/tbl_task3[[คะแนนเต็ม]:[คะแนนเต็ม]])*tbl_task3[[%]:[%]])</f>
        <v/>
      </c>
      <c r="KX13" s="121" t="str">
        <f>IF(ISBLANK(tbl_task3[[คะแนนเต็ม]:[คะแนนเต็ม]]),"",(tbl_task3[140]/tbl_task3[[คะแนนเต็ม]:[คะแนนเต็ม]])*tbl_task3[[%]:[%]])</f>
        <v/>
      </c>
      <c r="KY13" s="121" t="str">
        <f>IF(ISBLANK(tbl_task3[[คะแนนเต็ม]:[คะแนนเต็ม]]),"",(tbl_task3[141]/tbl_task3[[คะแนนเต็ม]:[คะแนนเต็ม]])*tbl_task3[[%]:[%]])</f>
        <v/>
      </c>
      <c r="KZ13" s="121" t="str">
        <f>IF(ISBLANK(tbl_task3[[คะแนนเต็ม]:[คะแนนเต็ม]]),"",(tbl_task3[142]/tbl_task3[[คะแนนเต็ม]:[คะแนนเต็ม]])*tbl_task3[[%]:[%]])</f>
        <v/>
      </c>
      <c r="LA13" s="121" t="str">
        <f>IF(ISBLANK(tbl_task3[[คะแนนเต็ม]:[คะแนนเต็ม]]),"",(tbl_task3[143]/tbl_task3[[คะแนนเต็ม]:[คะแนนเต็ม]])*tbl_task3[[%]:[%]])</f>
        <v/>
      </c>
      <c r="LB13" s="121" t="str">
        <f>IF(ISBLANK(tbl_task3[[คะแนนเต็ม]:[คะแนนเต็ม]]),"",(tbl_task3[144]/tbl_task3[[คะแนนเต็ม]:[คะแนนเต็ม]])*tbl_task3[[%]:[%]])</f>
        <v/>
      </c>
      <c r="LC13" s="121" t="str">
        <f>IF(ISBLANK(tbl_task3[[คะแนนเต็ม]:[คะแนนเต็ม]]),"",(tbl_task3[145]/tbl_task3[[คะแนนเต็ม]:[คะแนนเต็ม]])*tbl_task3[[%]:[%]])</f>
        <v/>
      </c>
      <c r="LD13" s="121" t="str">
        <f>IF(ISBLANK(tbl_task3[[คะแนนเต็ม]:[คะแนนเต็ม]]),"",(tbl_task3[146]/tbl_task3[[คะแนนเต็ม]:[คะแนนเต็ม]])*tbl_task3[[%]:[%]])</f>
        <v/>
      </c>
      <c r="LE13" s="121" t="str">
        <f>IF(ISBLANK(tbl_task3[[คะแนนเต็ม]:[คะแนนเต็ม]]),"",(tbl_task3[147]/tbl_task3[[คะแนนเต็ม]:[คะแนนเต็ม]])*tbl_task3[[%]:[%]])</f>
        <v/>
      </c>
      <c r="LF13" s="121" t="str">
        <f>IF(ISBLANK(tbl_task3[[คะแนนเต็ม]:[คะแนนเต็ม]]),"",(tbl_task3[148]/tbl_task3[[คะแนนเต็ม]:[คะแนนเต็ม]])*tbl_task3[[%]:[%]])</f>
        <v/>
      </c>
      <c r="LG13" s="121" t="str">
        <f>IF(ISBLANK(tbl_task3[[คะแนนเต็ม]:[คะแนนเต็ม]]),"",(tbl_task3[149]/tbl_task3[[คะแนนเต็ม]:[คะแนนเต็ม]])*tbl_task3[[%]:[%]])</f>
        <v/>
      </c>
      <c r="LH13" s="121" t="str">
        <f>IF(ISBLANK(tbl_task3[[คะแนนเต็ม]:[คะแนนเต็ม]]),"",(tbl_task3[150]/tbl_task3[[คะแนนเต็ม]:[คะแนนเต็ม]])*tbl_task3[[%]:[%]])</f>
        <v/>
      </c>
      <c r="LI13" s="121" t="str">
        <f>IF(ISBLANK(tbl_task3[[คะแนนเต็ม]:[คะแนนเต็ม]]),"",(tbl_task3[151]/tbl_task3[[คะแนนเต็ม]:[คะแนนเต็ม]])*tbl_task3[[%]:[%]])</f>
        <v/>
      </c>
      <c r="LJ13" s="121" t="str">
        <f>IF(ISBLANK(tbl_task3[[คะแนนเต็ม]:[คะแนนเต็ม]]),"",(tbl_task3[152]/tbl_task3[[คะแนนเต็ม]:[คะแนนเต็ม]])*tbl_task3[[%]:[%]])</f>
        <v/>
      </c>
      <c r="LK13" s="121" t="str">
        <f>IF(ISBLANK(tbl_task3[[คะแนนเต็ม]:[คะแนนเต็ม]]),"",(tbl_task3[153]/tbl_task3[[คะแนนเต็ม]:[คะแนนเต็ม]])*tbl_task3[[%]:[%]])</f>
        <v/>
      </c>
      <c r="LL13" s="121" t="str">
        <f>IF(ISBLANK(tbl_task3[[คะแนนเต็ม]:[คะแนนเต็ม]]),"",(tbl_task3[154]/tbl_task3[[คะแนนเต็ม]:[คะแนนเต็ม]])*tbl_task3[[%]:[%]])</f>
        <v/>
      </c>
      <c r="LM13" s="121" t="str">
        <f>IF(ISBLANK(tbl_task3[[คะแนนเต็ม]:[คะแนนเต็ม]]),"",(tbl_task3[155]/tbl_task3[[คะแนนเต็ม]:[คะแนนเต็ม]])*tbl_task3[[%]:[%]])</f>
        <v/>
      </c>
      <c r="LN13" s="121" t="str">
        <f>IF(ISBLANK(tbl_task3[[คะแนนเต็ม]:[คะแนนเต็ม]]),"",(tbl_task3[156]/tbl_task3[[คะแนนเต็ม]:[คะแนนเต็ม]])*tbl_task3[[%]:[%]])</f>
        <v/>
      </c>
      <c r="LO13" s="121" t="str">
        <f>IF(ISBLANK(tbl_task3[[คะแนนเต็ม]:[คะแนนเต็ม]]),"",(tbl_task3[157]/tbl_task3[[คะแนนเต็ม]:[คะแนนเต็ม]])*tbl_task3[[%]:[%]])</f>
        <v/>
      </c>
      <c r="LP13" s="121" t="str">
        <f>IF(ISBLANK(tbl_task3[[คะแนนเต็ม]:[คะแนนเต็ม]]),"",(tbl_task3[158]/tbl_task3[[คะแนนเต็ม]:[คะแนนเต็ม]])*tbl_task3[[%]:[%]])</f>
        <v/>
      </c>
      <c r="LQ13" s="121" t="str">
        <f>IF(ISBLANK(tbl_task3[[คะแนนเต็ม]:[คะแนนเต็ม]]),"",(tbl_task3[159]/tbl_task3[[คะแนนเต็ม]:[คะแนนเต็ม]])*tbl_task3[[%]:[%]])</f>
        <v/>
      </c>
      <c r="LR13" s="121" t="str">
        <f>IF(ISBLANK(tbl_task3[[คะแนนเต็ม]:[คะแนนเต็ม]]),"",(tbl_task3[160]/tbl_task3[[คะแนนเต็ม]:[คะแนนเต็ม]])*tbl_task3[[%]:[%]])</f>
        <v/>
      </c>
      <c r="LS13" s="121" t="str">
        <f>IF(ISBLANK(tbl_task3[[คะแนนเต็ม]:[คะแนนเต็ม]]),"",(tbl_task3[161]/tbl_task3[[คะแนนเต็ม]:[คะแนนเต็ม]])*tbl_task3[[%]:[%]])</f>
        <v/>
      </c>
      <c r="LT13" s="121" t="str">
        <f>IF(ISBLANK(tbl_task3[[คะแนนเต็ม]:[คะแนนเต็ม]]),"",(tbl_task3[162]/tbl_task3[[คะแนนเต็ม]:[คะแนนเต็ม]])*tbl_task3[[%]:[%]])</f>
        <v/>
      </c>
      <c r="LU13" s="121" t="str">
        <f>IF(ISBLANK(tbl_task3[[คะแนนเต็ม]:[คะแนนเต็ม]]),"",(tbl_task3[163]/tbl_task3[[คะแนนเต็ม]:[คะแนนเต็ม]])*tbl_task3[[%]:[%]])</f>
        <v/>
      </c>
      <c r="LV13" s="121" t="str">
        <f>IF(ISBLANK(tbl_task3[[คะแนนเต็ม]:[คะแนนเต็ม]]),"",(tbl_task3[164]/tbl_task3[[คะแนนเต็ม]:[คะแนนเต็ม]])*tbl_task3[[%]:[%]])</f>
        <v/>
      </c>
      <c r="LW13" s="121" t="str">
        <f>IF(ISBLANK(tbl_task3[[คะแนนเต็ม]:[คะแนนเต็ม]]),"",(tbl_task3[165]/tbl_task3[[คะแนนเต็ม]:[คะแนนเต็ม]])*tbl_task3[[%]:[%]])</f>
        <v/>
      </c>
    </row>
    <row r="14" spans="1:335" ht="24" customHeight="1" x14ac:dyDescent="0.25">
      <c r="A14" s="24">
        <v>11</v>
      </c>
      <c r="B14" s="20"/>
      <c r="C14" s="5" t="str">
        <f>IF(ISBLANK(B14),"",VLOOKUP(B14,tbl_PLOs[],2,0))</f>
        <v/>
      </c>
      <c r="D14" s="102"/>
      <c r="E14" s="106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21" t="str">
        <f>IF(ISBLANK(tbl_task3[[คะแนนเต็ม]:[คะแนนเต็ม]]),"",(tbl_task3[1]/tbl_task3[[คะแนนเต็ม]:[คะแนนเต็ม]])*tbl_task3[[%]:[%]])</f>
        <v/>
      </c>
      <c r="FP14" s="121" t="str">
        <f>IF(ISBLANK(tbl_task3[[คะแนนเต็ม]:[คะแนนเต็ม]]),"",(tbl_task3[2]/tbl_task3[[คะแนนเต็ม]:[คะแนนเต็ม]])*tbl_task3[[%]:[%]])</f>
        <v/>
      </c>
      <c r="FQ14" s="121" t="str">
        <f>IF(ISBLANK(tbl_task3[[คะแนนเต็ม]:[คะแนนเต็ม]]),"",(tbl_task3[3]/tbl_task3[[คะแนนเต็ม]:[คะแนนเต็ม]])*tbl_task3[[%]:[%]])</f>
        <v/>
      </c>
      <c r="FR14" s="121" t="str">
        <f>IF(ISBLANK(tbl_task3[[คะแนนเต็ม]:[คะแนนเต็ม]]),"",(tbl_task3[4]/tbl_task3[[คะแนนเต็ม]:[คะแนนเต็ม]])*tbl_task3[[%]:[%]])</f>
        <v/>
      </c>
      <c r="FS14" s="121" t="str">
        <f>IF(ISBLANK(tbl_task3[[คะแนนเต็ม]:[คะแนนเต็ม]]),"",(tbl_task3[5]/tbl_task3[[คะแนนเต็ม]:[คะแนนเต็ม]])*tbl_task3[[%]:[%]])</f>
        <v/>
      </c>
      <c r="FT14" s="121" t="str">
        <f>IF(ISBLANK(tbl_task3[[คะแนนเต็ม]:[คะแนนเต็ม]]),"",(tbl_task3[6]/tbl_task3[[คะแนนเต็ม]:[คะแนนเต็ม]])*tbl_task3[[%]:[%]])</f>
        <v/>
      </c>
      <c r="FU14" s="121" t="str">
        <f>IF(ISBLANK(tbl_task3[[คะแนนเต็ม]:[คะแนนเต็ม]]),"",(tbl_task3[7]/tbl_task3[[คะแนนเต็ม]:[คะแนนเต็ม]])*tbl_task3[[%]:[%]])</f>
        <v/>
      </c>
      <c r="FV14" s="121" t="str">
        <f>IF(ISBLANK(tbl_task3[[คะแนนเต็ม]:[คะแนนเต็ม]]),"",(tbl_task3[8]/tbl_task3[[คะแนนเต็ม]:[คะแนนเต็ม]])*tbl_task3[[%]:[%]])</f>
        <v/>
      </c>
      <c r="FW14" s="121" t="str">
        <f>IF(ISBLANK(tbl_task3[[คะแนนเต็ม]:[คะแนนเต็ม]]),"",(tbl_task3[9]/tbl_task3[[คะแนนเต็ม]:[คะแนนเต็ม]])*tbl_task3[[%]:[%]])</f>
        <v/>
      </c>
      <c r="FX14" s="121" t="str">
        <f>IF(ISBLANK(tbl_task3[[คะแนนเต็ม]:[คะแนนเต็ม]]),"",(tbl_task3[10]/tbl_task3[[คะแนนเต็ม]:[คะแนนเต็ม]])*tbl_task3[[%]:[%]])</f>
        <v/>
      </c>
      <c r="FY14" s="121" t="str">
        <f>IF(ISBLANK(tbl_task3[[คะแนนเต็ม]:[คะแนนเต็ม]]),"",(tbl_task3[11]/tbl_task3[[คะแนนเต็ม]:[คะแนนเต็ม]])*tbl_task3[[%]:[%]])</f>
        <v/>
      </c>
      <c r="FZ14" s="121" t="str">
        <f>IF(ISBLANK(tbl_task3[[คะแนนเต็ม]:[คะแนนเต็ม]]),"",(tbl_task3[12]/tbl_task3[[คะแนนเต็ม]:[คะแนนเต็ม]])*tbl_task3[[%]:[%]])</f>
        <v/>
      </c>
      <c r="GA14" s="121" t="str">
        <f>IF(ISBLANK(tbl_task3[[คะแนนเต็ม]:[คะแนนเต็ม]]),"",(tbl_task3[13]/tbl_task3[[คะแนนเต็ม]:[คะแนนเต็ม]])*tbl_task3[[%]:[%]])</f>
        <v/>
      </c>
      <c r="GB14" s="121" t="str">
        <f>IF(ISBLANK(tbl_task3[[คะแนนเต็ม]:[คะแนนเต็ม]]),"",(tbl_task3[14]/tbl_task3[[คะแนนเต็ม]:[คะแนนเต็ม]])*tbl_task3[[%]:[%]])</f>
        <v/>
      </c>
      <c r="GC14" s="121" t="str">
        <f>IF(ISBLANK(tbl_task3[[คะแนนเต็ม]:[คะแนนเต็ม]]),"",(tbl_task3[15]/tbl_task3[[คะแนนเต็ม]:[คะแนนเต็ม]])*tbl_task3[[%]:[%]])</f>
        <v/>
      </c>
      <c r="GD14" s="121" t="str">
        <f>IF(ISBLANK(tbl_task3[[คะแนนเต็ม]:[คะแนนเต็ม]]),"",(tbl_task3[16]/tbl_task3[[คะแนนเต็ม]:[คะแนนเต็ม]])*tbl_task3[[%]:[%]])</f>
        <v/>
      </c>
      <c r="GE14" s="121" t="str">
        <f>IF(ISBLANK(tbl_task3[[คะแนนเต็ม]:[คะแนนเต็ม]]),"",(tbl_task3[17]/tbl_task3[[คะแนนเต็ม]:[คะแนนเต็ม]])*tbl_task3[[%]:[%]])</f>
        <v/>
      </c>
      <c r="GF14" s="121" t="str">
        <f>IF(ISBLANK(tbl_task3[[คะแนนเต็ม]:[คะแนนเต็ม]]),"",(tbl_task3[18]/tbl_task3[[คะแนนเต็ม]:[คะแนนเต็ม]])*tbl_task3[[%]:[%]])</f>
        <v/>
      </c>
      <c r="GG14" s="121" t="str">
        <f>IF(ISBLANK(tbl_task3[[คะแนนเต็ม]:[คะแนนเต็ม]]),"",(tbl_task3[19]/tbl_task3[[คะแนนเต็ม]:[คะแนนเต็ม]])*tbl_task3[[%]:[%]])</f>
        <v/>
      </c>
      <c r="GH14" s="121" t="str">
        <f>IF(ISBLANK(tbl_task3[[คะแนนเต็ม]:[คะแนนเต็ม]]),"",(tbl_task3[20]/tbl_task3[[คะแนนเต็ม]:[คะแนนเต็ม]])*tbl_task3[[%]:[%]])</f>
        <v/>
      </c>
      <c r="GI14" s="121" t="str">
        <f>IF(ISBLANK(tbl_task3[[คะแนนเต็ม]:[คะแนนเต็ม]]),"",(tbl_task3[21]/tbl_task3[[คะแนนเต็ม]:[คะแนนเต็ม]])*tbl_task3[[%]:[%]])</f>
        <v/>
      </c>
      <c r="GJ14" s="121" t="str">
        <f>IF(ISBLANK(tbl_task3[[คะแนนเต็ม]:[คะแนนเต็ม]]),"",(tbl_task3[22]/tbl_task3[[คะแนนเต็ม]:[คะแนนเต็ม]])*tbl_task3[[%]:[%]])</f>
        <v/>
      </c>
      <c r="GK14" s="121" t="str">
        <f>IF(ISBLANK(tbl_task3[[คะแนนเต็ม]:[คะแนนเต็ม]]),"",(tbl_task3[23]/tbl_task3[[คะแนนเต็ม]:[คะแนนเต็ม]])*tbl_task3[[%]:[%]])</f>
        <v/>
      </c>
      <c r="GL14" s="121" t="str">
        <f>IF(ISBLANK(tbl_task3[[คะแนนเต็ม]:[คะแนนเต็ม]]),"",(tbl_task3[24]/tbl_task3[[คะแนนเต็ม]:[คะแนนเต็ม]])*tbl_task3[[%]:[%]])</f>
        <v/>
      </c>
      <c r="GM14" s="121" t="str">
        <f>IF(ISBLANK(tbl_task3[[คะแนนเต็ม]:[คะแนนเต็ม]]),"",(tbl_task3[25]/tbl_task3[[คะแนนเต็ม]:[คะแนนเต็ม]])*tbl_task3[[%]:[%]])</f>
        <v/>
      </c>
      <c r="GN14" s="121" t="str">
        <f>IF(ISBLANK(tbl_task3[[คะแนนเต็ม]:[คะแนนเต็ม]]),"",(tbl_task3[26]/tbl_task3[[คะแนนเต็ม]:[คะแนนเต็ม]])*tbl_task3[[%]:[%]])</f>
        <v/>
      </c>
      <c r="GO14" s="121" t="str">
        <f>IF(ISBLANK(tbl_task3[[คะแนนเต็ม]:[คะแนนเต็ม]]),"",(tbl_task3[27]/tbl_task3[[คะแนนเต็ม]:[คะแนนเต็ม]])*tbl_task3[[%]:[%]])</f>
        <v/>
      </c>
      <c r="GP14" s="121" t="str">
        <f>IF(ISBLANK(tbl_task3[[คะแนนเต็ม]:[คะแนนเต็ม]]),"",(tbl_task3[28]/tbl_task3[[คะแนนเต็ม]:[คะแนนเต็ม]])*tbl_task3[[%]:[%]])</f>
        <v/>
      </c>
      <c r="GQ14" s="121" t="str">
        <f>IF(ISBLANK(tbl_task3[[คะแนนเต็ม]:[คะแนนเต็ม]]),"",(tbl_task3[29]/tbl_task3[[คะแนนเต็ม]:[คะแนนเต็ม]])*tbl_task3[[%]:[%]])</f>
        <v/>
      </c>
      <c r="GR14" s="121" t="str">
        <f>IF(ISBLANK(tbl_task3[[คะแนนเต็ม]:[คะแนนเต็ม]]),"",(tbl_task3[30]/tbl_task3[[คะแนนเต็ม]:[คะแนนเต็ม]])*tbl_task3[[%]:[%]])</f>
        <v/>
      </c>
      <c r="GS14" s="121" t="str">
        <f>IF(ISBLANK(tbl_task3[[คะแนนเต็ม]:[คะแนนเต็ม]]),"",(tbl_task3[31]/tbl_task3[[คะแนนเต็ม]:[คะแนนเต็ม]])*tbl_task3[[%]:[%]])</f>
        <v/>
      </c>
      <c r="GT14" s="121" t="str">
        <f>IF(ISBLANK(tbl_task3[[คะแนนเต็ม]:[คะแนนเต็ม]]),"",(tbl_task3[32]/tbl_task3[[คะแนนเต็ม]:[คะแนนเต็ม]])*tbl_task3[[%]:[%]])</f>
        <v/>
      </c>
      <c r="GU14" s="121" t="str">
        <f>IF(ISBLANK(tbl_task3[[คะแนนเต็ม]:[คะแนนเต็ม]]),"",(tbl_task3[33]/tbl_task3[[คะแนนเต็ม]:[คะแนนเต็ม]])*tbl_task3[[%]:[%]])</f>
        <v/>
      </c>
      <c r="GV14" s="121" t="str">
        <f>IF(ISBLANK(tbl_task3[[คะแนนเต็ม]:[คะแนนเต็ม]]),"",(tbl_task3[34]/tbl_task3[[คะแนนเต็ม]:[คะแนนเต็ม]])*tbl_task3[[%]:[%]])</f>
        <v/>
      </c>
      <c r="GW14" s="121" t="str">
        <f>IF(ISBLANK(tbl_task3[[คะแนนเต็ม]:[คะแนนเต็ม]]),"",(tbl_task3[35]/tbl_task3[[คะแนนเต็ม]:[คะแนนเต็ม]])*tbl_task3[[%]:[%]])</f>
        <v/>
      </c>
      <c r="GX14" s="121" t="str">
        <f>IF(ISBLANK(tbl_task3[[คะแนนเต็ม]:[คะแนนเต็ม]]),"",(tbl_task3[36]/tbl_task3[[คะแนนเต็ม]:[คะแนนเต็ม]])*tbl_task3[[%]:[%]])</f>
        <v/>
      </c>
      <c r="GY14" s="121" t="str">
        <f>IF(ISBLANK(tbl_task3[[คะแนนเต็ม]:[คะแนนเต็ม]]),"",(tbl_task3[37]/tbl_task3[[คะแนนเต็ม]:[คะแนนเต็ม]])*tbl_task3[[%]:[%]])</f>
        <v/>
      </c>
      <c r="GZ14" s="121" t="str">
        <f>IF(ISBLANK(tbl_task3[[คะแนนเต็ม]:[คะแนนเต็ม]]),"",(tbl_task3[38]/tbl_task3[[คะแนนเต็ม]:[คะแนนเต็ม]])*tbl_task3[[%]:[%]])</f>
        <v/>
      </c>
      <c r="HA14" s="121" t="str">
        <f>IF(ISBLANK(tbl_task3[[คะแนนเต็ม]:[คะแนนเต็ม]]),"",(tbl_task3[39]/tbl_task3[[คะแนนเต็ม]:[คะแนนเต็ม]])*tbl_task3[[%]:[%]])</f>
        <v/>
      </c>
      <c r="HB14" s="121" t="str">
        <f>IF(ISBLANK(tbl_task3[[คะแนนเต็ม]:[คะแนนเต็ม]]),"",(tbl_task3[40]/tbl_task3[[คะแนนเต็ม]:[คะแนนเต็ม]])*tbl_task3[[%]:[%]])</f>
        <v/>
      </c>
      <c r="HC14" s="121" t="str">
        <f>IF(ISBLANK(tbl_task3[[คะแนนเต็ม]:[คะแนนเต็ม]]),"",(tbl_task3[41]/tbl_task3[[คะแนนเต็ม]:[คะแนนเต็ม]])*tbl_task3[[%]:[%]])</f>
        <v/>
      </c>
      <c r="HD14" s="121" t="str">
        <f>IF(ISBLANK(tbl_task3[[คะแนนเต็ม]:[คะแนนเต็ม]]),"",(tbl_task3[42]/tbl_task3[[คะแนนเต็ม]:[คะแนนเต็ม]])*tbl_task3[[%]:[%]])</f>
        <v/>
      </c>
      <c r="HE14" s="121" t="str">
        <f>IF(ISBLANK(tbl_task3[[คะแนนเต็ม]:[คะแนนเต็ม]]),"",(tbl_task3[43]/tbl_task3[[คะแนนเต็ม]:[คะแนนเต็ม]])*tbl_task3[[%]:[%]])</f>
        <v/>
      </c>
      <c r="HF14" s="121" t="str">
        <f>IF(ISBLANK(tbl_task3[[คะแนนเต็ม]:[คะแนนเต็ม]]),"",(tbl_task3[44]/tbl_task3[[คะแนนเต็ม]:[คะแนนเต็ม]])*tbl_task3[[%]:[%]])</f>
        <v/>
      </c>
      <c r="HG14" s="121" t="str">
        <f>IF(ISBLANK(tbl_task3[[คะแนนเต็ม]:[คะแนนเต็ม]]),"",(tbl_task3[45]/tbl_task3[[คะแนนเต็ม]:[คะแนนเต็ม]])*tbl_task3[[%]:[%]])</f>
        <v/>
      </c>
      <c r="HH14" s="121" t="str">
        <f>IF(ISBLANK(tbl_task3[[คะแนนเต็ม]:[คะแนนเต็ม]]),"",(tbl_task3[46]/tbl_task3[[คะแนนเต็ม]:[คะแนนเต็ม]])*tbl_task3[[%]:[%]])</f>
        <v/>
      </c>
      <c r="HI14" s="121" t="str">
        <f>IF(ISBLANK(tbl_task3[[คะแนนเต็ม]:[คะแนนเต็ม]]),"",(tbl_task3[47]/tbl_task3[[คะแนนเต็ม]:[คะแนนเต็ม]])*tbl_task3[[%]:[%]])</f>
        <v/>
      </c>
      <c r="HJ14" s="121" t="str">
        <f>IF(ISBLANK(tbl_task3[[คะแนนเต็ม]:[คะแนนเต็ม]]),"",(tbl_task3[48]/tbl_task3[[คะแนนเต็ม]:[คะแนนเต็ม]])*tbl_task3[[%]:[%]])</f>
        <v/>
      </c>
      <c r="HK14" s="121" t="str">
        <f>IF(ISBLANK(tbl_task3[[คะแนนเต็ม]:[คะแนนเต็ม]]),"",(tbl_task3[49]/tbl_task3[[คะแนนเต็ม]:[คะแนนเต็ม]])*tbl_task3[[%]:[%]])</f>
        <v/>
      </c>
      <c r="HL14" s="121" t="str">
        <f>IF(ISBLANK(tbl_task3[[คะแนนเต็ม]:[คะแนนเต็ม]]),"",(tbl_task3[50]/tbl_task3[[คะแนนเต็ม]:[คะแนนเต็ม]])*tbl_task3[[%]:[%]])</f>
        <v/>
      </c>
      <c r="HM14" s="121" t="str">
        <f>IF(ISBLANK(tbl_task3[[คะแนนเต็ม]:[คะแนนเต็ม]]),"",(tbl_task3[51]/tbl_task3[[คะแนนเต็ม]:[คะแนนเต็ม]])*tbl_task3[[%]:[%]])</f>
        <v/>
      </c>
      <c r="HN14" s="121" t="str">
        <f>IF(ISBLANK(tbl_task3[[คะแนนเต็ม]:[คะแนนเต็ม]]),"",(tbl_task3[52]/tbl_task3[[คะแนนเต็ม]:[คะแนนเต็ม]])*tbl_task3[[%]:[%]])</f>
        <v/>
      </c>
      <c r="HO14" s="121" t="str">
        <f>IF(ISBLANK(tbl_task3[[คะแนนเต็ม]:[คะแนนเต็ม]]),"",(tbl_task3[53]/tbl_task3[[คะแนนเต็ม]:[คะแนนเต็ม]])*tbl_task3[[%]:[%]])</f>
        <v/>
      </c>
      <c r="HP14" s="121" t="str">
        <f>IF(ISBLANK(tbl_task3[[คะแนนเต็ม]:[คะแนนเต็ม]]),"",(tbl_task3[54]/tbl_task3[[คะแนนเต็ม]:[คะแนนเต็ม]])*tbl_task3[[%]:[%]])</f>
        <v/>
      </c>
      <c r="HQ14" s="121" t="str">
        <f>IF(ISBLANK(tbl_task3[[คะแนนเต็ม]:[คะแนนเต็ม]]),"",(tbl_task3[55]/tbl_task3[[คะแนนเต็ม]:[คะแนนเต็ม]])*tbl_task3[[%]:[%]])</f>
        <v/>
      </c>
      <c r="HR14" s="121" t="str">
        <f>IF(ISBLANK(tbl_task3[[คะแนนเต็ม]:[คะแนนเต็ม]]),"",(tbl_task3[56]/tbl_task3[[คะแนนเต็ม]:[คะแนนเต็ม]])*tbl_task3[[%]:[%]])</f>
        <v/>
      </c>
      <c r="HS14" s="121" t="str">
        <f>IF(ISBLANK(tbl_task3[[คะแนนเต็ม]:[คะแนนเต็ม]]),"",(tbl_task3[57]/tbl_task3[[คะแนนเต็ม]:[คะแนนเต็ม]])*tbl_task3[[%]:[%]])</f>
        <v/>
      </c>
      <c r="HT14" s="121" t="str">
        <f>IF(ISBLANK(tbl_task3[[คะแนนเต็ม]:[คะแนนเต็ม]]),"",(tbl_task3[58]/tbl_task3[[คะแนนเต็ม]:[คะแนนเต็ม]])*tbl_task3[[%]:[%]])</f>
        <v/>
      </c>
      <c r="HU14" s="121" t="str">
        <f>IF(ISBLANK(tbl_task3[[คะแนนเต็ม]:[คะแนนเต็ม]]),"",(tbl_task3[59]/tbl_task3[[คะแนนเต็ม]:[คะแนนเต็ม]])*tbl_task3[[%]:[%]])</f>
        <v/>
      </c>
      <c r="HV14" s="121" t="str">
        <f>IF(ISBLANK(tbl_task3[[คะแนนเต็ม]:[คะแนนเต็ม]]),"",(tbl_task3[60]/tbl_task3[[คะแนนเต็ม]:[คะแนนเต็ม]])*tbl_task3[[%]:[%]])</f>
        <v/>
      </c>
      <c r="HW14" s="121" t="str">
        <f>IF(ISBLANK(tbl_task3[[คะแนนเต็ม]:[คะแนนเต็ม]]),"",(tbl_task3[61]/tbl_task3[[คะแนนเต็ม]:[คะแนนเต็ม]])*tbl_task3[[%]:[%]])</f>
        <v/>
      </c>
      <c r="HX14" s="121" t="str">
        <f>IF(ISBLANK(tbl_task3[[คะแนนเต็ม]:[คะแนนเต็ม]]),"",(tbl_task3[62]/tbl_task3[[คะแนนเต็ม]:[คะแนนเต็ม]])*tbl_task3[[%]:[%]])</f>
        <v/>
      </c>
      <c r="HY14" s="121" t="str">
        <f>IF(ISBLANK(tbl_task3[[คะแนนเต็ม]:[คะแนนเต็ม]]),"",(tbl_task3[63]/tbl_task3[[คะแนนเต็ม]:[คะแนนเต็ม]])*tbl_task3[[%]:[%]])</f>
        <v/>
      </c>
      <c r="HZ14" s="121" t="str">
        <f>IF(ISBLANK(tbl_task3[[คะแนนเต็ม]:[คะแนนเต็ม]]),"",(tbl_task3[64]/tbl_task3[[คะแนนเต็ม]:[คะแนนเต็ม]])*tbl_task3[[%]:[%]])</f>
        <v/>
      </c>
      <c r="IA14" s="121" t="str">
        <f>IF(ISBLANK(tbl_task3[[คะแนนเต็ม]:[คะแนนเต็ม]]),"",(tbl_task3[65]/tbl_task3[[คะแนนเต็ม]:[คะแนนเต็ม]])*tbl_task3[[%]:[%]])</f>
        <v/>
      </c>
      <c r="IB14" s="121" t="str">
        <f>IF(ISBLANK(tbl_task3[[คะแนนเต็ม]:[คะแนนเต็ม]]),"",(tbl_task3[66]/tbl_task3[[คะแนนเต็ม]:[คะแนนเต็ม]])*tbl_task3[[%]:[%]])</f>
        <v/>
      </c>
      <c r="IC14" s="121" t="str">
        <f>IF(ISBLANK(tbl_task3[[คะแนนเต็ม]:[คะแนนเต็ม]]),"",(tbl_task3[67]/tbl_task3[[คะแนนเต็ม]:[คะแนนเต็ม]])*tbl_task3[[%]:[%]])</f>
        <v/>
      </c>
      <c r="ID14" s="121" t="str">
        <f>IF(ISBLANK(tbl_task3[[คะแนนเต็ม]:[คะแนนเต็ม]]),"",(tbl_task3[68]/tbl_task3[[คะแนนเต็ม]:[คะแนนเต็ม]])*tbl_task3[[%]:[%]])</f>
        <v/>
      </c>
      <c r="IE14" s="121" t="str">
        <f>IF(ISBLANK(tbl_task3[[คะแนนเต็ม]:[คะแนนเต็ม]]),"",(tbl_task3[69]/tbl_task3[[คะแนนเต็ม]:[คะแนนเต็ม]])*tbl_task3[[%]:[%]])</f>
        <v/>
      </c>
      <c r="IF14" s="121" t="str">
        <f>IF(ISBLANK(tbl_task3[[คะแนนเต็ม]:[คะแนนเต็ม]]),"",(tbl_task3[70]/tbl_task3[[คะแนนเต็ม]:[คะแนนเต็ม]])*tbl_task3[[%]:[%]])</f>
        <v/>
      </c>
      <c r="IG14" s="121" t="str">
        <f>IF(ISBLANK(tbl_task3[[คะแนนเต็ม]:[คะแนนเต็ม]]),"",(tbl_task3[71]/tbl_task3[[คะแนนเต็ม]:[คะแนนเต็ม]])*tbl_task3[[%]:[%]])</f>
        <v/>
      </c>
      <c r="IH14" s="121" t="str">
        <f>IF(ISBLANK(tbl_task3[[คะแนนเต็ม]:[คะแนนเต็ม]]),"",(tbl_task3[72]/tbl_task3[[คะแนนเต็ม]:[คะแนนเต็ม]])*tbl_task3[[%]:[%]])</f>
        <v/>
      </c>
      <c r="II14" s="121" t="str">
        <f>IF(ISBLANK(tbl_task3[[คะแนนเต็ม]:[คะแนนเต็ม]]),"",(tbl_task3[73]/tbl_task3[[คะแนนเต็ม]:[คะแนนเต็ม]])*tbl_task3[[%]:[%]])</f>
        <v/>
      </c>
      <c r="IJ14" s="121" t="str">
        <f>IF(ISBLANK(tbl_task3[[คะแนนเต็ม]:[คะแนนเต็ม]]),"",(tbl_task3[74]/tbl_task3[[คะแนนเต็ม]:[คะแนนเต็ม]])*tbl_task3[[%]:[%]])</f>
        <v/>
      </c>
      <c r="IK14" s="121" t="str">
        <f>IF(ISBLANK(tbl_task3[[คะแนนเต็ม]:[คะแนนเต็ม]]),"",(tbl_task3[75]/tbl_task3[[คะแนนเต็ม]:[คะแนนเต็ม]])*tbl_task3[[%]:[%]])</f>
        <v/>
      </c>
      <c r="IL14" s="121" t="str">
        <f>IF(ISBLANK(tbl_task3[[คะแนนเต็ม]:[คะแนนเต็ม]]),"",(tbl_task3[76]/tbl_task3[[คะแนนเต็ม]:[คะแนนเต็ม]])*tbl_task3[[%]:[%]])</f>
        <v/>
      </c>
      <c r="IM14" s="121" t="str">
        <f>IF(ISBLANK(tbl_task3[[คะแนนเต็ม]:[คะแนนเต็ม]]),"",(tbl_task3[77]/tbl_task3[[คะแนนเต็ม]:[คะแนนเต็ม]])*tbl_task3[[%]:[%]])</f>
        <v/>
      </c>
      <c r="IN14" s="121" t="str">
        <f>IF(ISBLANK(tbl_task3[[คะแนนเต็ม]:[คะแนนเต็ม]]),"",(tbl_task3[78]/tbl_task3[[คะแนนเต็ม]:[คะแนนเต็ม]])*tbl_task3[[%]:[%]])</f>
        <v/>
      </c>
      <c r="IO14" s="121" t="str">
        <f>IF(ISBLANK(tbl_task3[[คะแนนเต็ม]:[คะแนนเต็ม]]),"",(tbl_task3[79]/tbl_task3[[คะแนนเต็ม]:[คะแนนเต็ม]])*tbl_task3[[%]:[%]])</f>
        <v/>
      </c>
      <c r="IP14" s="121" t="str">
        <f>IF(ISBLANK(tbl_task3[[คะแนนเต็ม]:[คะแนนเต็ม]]),"",(tbl_task3[80]/tbl_task3[[คะแนนเต็ม]:[คะแนนเต็ม]])*tbl_task3[[%]:[%]])</f>
        <v/>
      </c>
      <c r="IQ14" s="121" t="str">
        <f>IF(ISBLANK(tbl_task3[[คะแนนเต็ม]:[คะแนนเต็ม]]),"",(tbl_task3[81]/tbl_task3[[คะแนนเต็ม]:[คะแนนเต็ม]])*tbl_task3[[%]:[%]])</f>
        <v/>
      </c>
      <c r="IR14" s="121" t="str">
        <f>IF(ISBLANK(tbl_task3[[คะแนนเต็ม]:[คะแนนเต็ม]]),"",(tbl_task3[82]/tbl_task3[[คะแนนเต็ม]:[คะแนนเต็ม]])*tbl_task3[[%]:[%]])</f>
        <v/>
      </c>
      <c r="IS14" s="121" t="str">
        <f>IF(ISBLANK(tbl_task3[[คะแนนเต็ม]:[คะแนนเต็ม]]),"",(tbl_task3[83]/tbl_task3[[คะแนนเต็ม]:[คะแนนเต็ม]])*tbl_task3[[%]:[%]])</f>
        <v/>
      </c>
      <c r="IT14" s="121" t="str">
        <f>IF(ISBLANK(tbl_task3[[คะแนนเต็ม]:[คะแนนเต็ม]]),"",(tbl_task3[84]/tbl_task3[[คะแนนเต็ม]:[คะแนนเต็ม]])*tbl_task3[[%]:[%]])</f>
        <v/>
      </c>
      <c r="IU14" s="121" t="str">
        <f>IF(ISBLANK(tbl_task3[[คะแนนเต็ม]:[คะแนนเต็ม]]),"",(tbl_task3[85]/tbl_task3[[คะแนนเต็ม]:[คะแนนเต็ม]])*tbl_task3[[%]:[%]])</f>
        <v/>
      </c>
      <c r="IV14" s="121" t="str">
        <f>IF(ISBLANK(tbl_task3[[คะแนนเต็ม]:[คะแนนเต็ม]]),"",(tbl_task3[86]/tbl_task3[[คะแนนเต็ม]:[คะแนนเต็ม]])*tbl_task3[[%]:[%]])</f>
        <v/>
      </c>
      <c r="IW14" s="121" t="str">
        <f>IF(ISBLANK(tbl_task3[[คะแนนเต็ม]:[คะแนนเต็ม]]),"",(tbl_task3[87]/tbl_task3[[คะแนนเต็ม]:[คะแนนเต็ม]])*tbl_task3[[%]:[%]])</f>
        <v/>
      </c>
      <c r="IX14" s="121" t="str">
        <f>IF(ISBLANK(tbl_task3[[คะแนนเต็ม]:[คะแนนเต็ม]]),"",(tbl_task3[88]/tbl_task3[[คะแนนเต็ม]:[คะแนนเต็ม]])*tbl_task3[[%]:[%]])</f>
        <v/>
      </c>
      <c r="IY14" s="121" t="str">
        <f>IF(ISBLANK(tbl_task3[[คะแนนเต็ม]:[คะแนนเต็ม]]),"",(tbl_task3[89]/tbl_task3[[คะแนนเต็ม]:[คะแนนเต็ม]])*tbl_task3[[%]:[%]])</f>
        <v/>
      </c>
      <c r="IZ14" s="121" t="str">
        <f>IF(ISBLANK(tbl_task3[[คะแนนเต็ม]:[คะแนนเต็ม]]),"",(tbl_task3[90]/tbl_task3[[คะแนนเต็ม]:[คะแนนเต็ม]])*tbl_task3[[%]:[%]])</f>
        <v/>
      </c>
      <c r="JA14" s="121" t="str">
        <f>IF(ISBLANK(tbl_task3[[คะแนนเต็ม]:[คะแนนเต็ม]]),"",(tbl_task3[91]/tbl_task3[[คะแนนเต็ม]:[คะแนนเต็ม]])*tbl_task3[[%]:[%]])</f>
        <v/>
      </c>
      <c r="JB14" s="121" t="str">
        <f>IF(ISBLANK(tbl_task3[[คะแนนเต็ม]:[คะแนนเต็ม]]),"",(tbl_task3[92]/tbl_task3[[คะแนนเต็ม]:[คะแนนเต็ม]])*tbl_task3[[%]:[%]])</f>
        <v/>
      </c>
      <c r="JC14" s="121" t="str">
        <f>IF(ISBLANK(tbl_task3[[คะแนนเต็ม]:[คะแนนเต็ม]]),"",(tbl_task3[93]/tbl_task3[[คะแนนเต็ม]:[คะแนนเต็ม]])*tbl_task3[[%]:[%]])</f>
        <v/>
      </c>
      <c r="JD14" s="121" t="str">
        <f>IF(ISBLANK(tbl_task3[[คะแนนเต็ม]:[คะแนนเต็ม]]),"",(tbl_task3[94]/tbl_task3[[คะแนนเต็ม]:[คะแนนเต็ม]])*tbl_task3[[%]:[%]])</f>
        <v/>
      </c>
      <c r="JE14" s="121" t="str">
        <f>IF(ISBLANK(tbl_task3[[คะแนนเต็ม]:[คะแนนเต็ม]]),"",(tbl_task3[95]/tbl_task3[[คะแนนเต็ม]:[คะแนนเต็ม]])*tbl_task3[[%]:[%]])</f>
        <v/>
      </c>
      <c r="JF14" s="121" t="str">
        <f>IF(ISBLANK(tbl_task3[[คะแนนเต็ม]:[คะแนนเต็ม]]),"",(tbl_task3[96]/tbl_task3[[คะแนนเต็ม]:[คะแนนเต็ม]])*tbl_task3[[%]:[%]])</f>
        <v/>
      </c>
      <c r="JG14" s="121" t="str">
        <f>IF(ISBLANK(tbl_task3[[คะแนนเต็ม]:[คะแนนเต็ม]]),"",(tbl_task3[97]/tbl_task3[[คะแนนเต็ม]:[คะแนนเต็ม]])*tbl_task3[[%]:[%]])</f>
        <v/>
      </c>
      <c r="JH14" s="121" t="str">
        <f>IF(ISBLANK(tbl_task3[[คะแนนเต็ม]:[คะแนนเต็ม]]),"",(tbl_task3[98]/tbl_task3[[คะแนนเต็ม]:[คะแนนเต็ม]])*tbl_task3[[%]:[%]])</f>
        <v/>
      </c>
      <c r="JI14" s="121" t="str">
        <f>IF(ISBLANK(tbl_task3[[คะแนนเต็ม]:[คะแนนเต็ม]]),"",(tbl_task3[99]/tbl_task3[[คะแนนเต็ม]:[คะแนนเต็ม]])*tbl_task3[[%]:[%]])</f>
        <v/>
      </c>
      <c r="JJ14" s="121" t="str">
        <f>IF(ISBLANK(tbl_task3[[คะแนนเต็ม]:[คะแนนเต็ม]]),"",(tbl_task3[100]/tbl_task3[[คะแนนเต็ม]:[คะแนนเต็ม]])*tbl_task3[[%]:[%]])</f>
        <v/>
      </c>
      <c r="JK14" s="121" t="str">
        <f>IF(ISBLANK(tbl_task3[[คะแนนเต็ม]:[คะแนนเต็ม]]),"",(tbl_task3[101]/tbl_task3[[คะแนนเต็ม]:[คะแนนเต็ม]])*tbl_task3[[%]:[%]])</f>
        <v/>
      </c>
      <c r="JL14" s="121" t="str">
        <f>IF(ISBLANK(tbl_task3[[คะแนนเต็ม]:[คะแนนเต็ม]]),"",(tbl_task3[102]/tbl_task3[[คะแนนเต็ม]:[คะแนนเต็ม]])*tbl_task3[[%]:[%]])</f>
        <v/>
      </c>
      <c r="JM14" s="121" t="str">
        <f>IF(ISBLANK(tbl_task3[[คะแนนเต็ม]:[คะแนนเต็ม]]),"",(tbl_task3[103]/tbl_task3[[คะแนนเต็ม]:[คะแนนเต็ม]])*tbl_task3[[%]:[%]])</f>
        <v/>
      </c>
      <c r="JN14" s="121" t="str">
        <f>IF(ISBLANK(tbl_task3[[คะแนนเต็ม]:[คะแนนเต็ม]]),"",(tbl_task3[104]/tbl_task3[[คะแนนเต็ม]:[คะแนนเต็ม]])*tbl_task3[[%]:[%]])</f>
        <v/>
      </c>
      <c r="JO14" s="121" t="str">
        <f>IF(ISBLANK(tbl_task3[[คะแนนเต็ม]:[คะแนนเต็ม]]),"",(tbl_task3[105]/tbl_task3[[คะแนนเต็ม]:[คะแนนเต็ม]])*tbl_task3[[%]:[%]])</f>
        <v/>
      </c>
      <c r="JP14" s="121" t="str">
        <f>IF(ISBLANK(tbl_task3[[คะแนนเต็ม]:[คะแนนเต็ม]]),"",(tbl_task3[106]/tbl_task3[[คะแนนเต็ม]:[คะแนนเต็ม]])*tbl_task3[[%]:[%]])</f>
        <v/>
      </c>
      <c r="JQ14" s="121" t="str">
        <f>IF(ISBLANK(tbl_task3[[คะแนนเต็ม]:[คะแนนเต็ม]]),"",(tbl_task3[107]/tbl_task3[[คะแนนเต็ม]:[คะแนนเต็ม]])*tbl_task3[[%]:[%]])</f>
        <v/>
      </c>
      <c r="JR14" s="121" t="str">
        <f>IF(ISBLANK(tbl_task3[[คะแนนเต็ม]:[คะแนนเต็ม]]),"",(tbl_task3[108]/tbl_task3[[คะแนนเต็ม]:[คะแนนเต็ม]])*tbl_task3[[%]:[%]])</f>
        <v/>
      </c>
      <c r="JS14" s="121" t="str">
        <f>IF(ISBLANK(tbl_task3[[คะแนนเต็ม]:[คะแนนเต็ม]]),"",(tbl_task3[109]/tbl_task3[[คะแนนเต็ม]:[คะแนนเต็ม]])*tbl_task3[[%]:[%]])</f>
        <v/>
      </c>
      <c r="JT14" s="121" t="str">
        <f>IF(ISBLANK(tbl_task3[[คะแนนเต็ม]:[คะแนนเต็ม]]),"",(tbl_task3[110]/tbl_task3[[คะแนนเต็ม]:[คะแนนเต็ม]])*tbl_task3[[%]:[%]])</f>
        <v/>
      </c>
      <c r="JU14" s="121" t="str">
        <f>IF(ISBLANK(tbl_task3[[คะแนนเต็ม]:[คะแนนเต็ม]]),"",(tbl_task3[111]/tbl_task3[[คะแนนเต็ม]:[คะแนนเต็ม]])*tbl_task3[[%]:[%]])</f>
        <v/>
      </c>
      <c r="JV14" s="121" t="str">
        <f>IF(ISBLANK(tbl_task3[[คะแนนเต็ม]:[คะแนนเต็ม]]),"",(tbl_task3[112]/tbl_task3[[คะแนนเต็ม]:[คะแนนเต็ม]])*tbl_task3[[%]:[%]])</f>
        <v/>
      </c>
      <c r="JW14" s="121" t="str">
        <f>IF(ISBLANK(tbl_task3[[คะแนนเต็ม]:[คะแนนเต็ม]]),"",(tbl_task3[113]/tbl_task3[[คะแนนเต็ม]:[คะแนนเต็ม]])*tbl_task3[[%]:[%]])</f>
        <v/>
      </c>
      <c r="JX14" s="121" t="str">
        <f>IF(ISBLANK(tbl_task3[[คะแนนเต็ม]:[คะแนนเต็ม]]),"",(tbl_task3[114]/tbl_task3[[คะแนนเต็ม]:[คะแนนเต็ม]])*tbl_task3[[%]:[%]])</f>
        <v/>
      </c>
      <c r="JY14" s="121" t="str">
        <f>IF(ISBLANK(tbl_task3[[คะแนนเต็ม]:[คะแนนเต็ม]]),"",(tbl_task3[115]/tbl_task3[[คะแนนเต็ม]:[คะแนนเต็ม]])*tbl_task3[[%]:[%]])</f>
        <v/>
      </c>
      <c r="JZ14" s="121" t="str">
        <f>IF(ISBLANK(tbl_task3[[คะแนนเต็ม]:[คะแนนเต็ม]]),"",(tbl_task3[116]/tbl_task3[[คะแนนเต็ม]:[คะแนนเต็ม]])*tbl_task3[[%]:[%]])</f>
        <v/>
      </c>
      <c r="KA14" s="121" t="str">
        <f>IF(ISBLANK(tbl_task3[[คะแนนเต็ม]:[คะแนนเต็ม]]),"",(tbl_task3[117]/tbl_task3[[คะแนนเต็ม]:[คะแนนเต็ม]])*tbl_task3[[%]:[%]])</f>
        <v/>
      </c>
      <c r="KB14" s="121" t="str">
        <f>IF(ISBLANK(tbl_task3[[คะแนนเต็ม]:[คะแนนเต็ม]]),"",(tbl_task3[118]/tbl_task3[[คะแนนเต็ม]:[คะแนนเต็ม]])*tbl_task3[[%]:[%]])</f>
        <v/>
      </c>
      <c r="KC14" s="121" t="str">
        <f>IF(ISBLANK(tbl_task3[[คะแนนเต็ม]:[คะแนนเต็ม]]),"",(tbl_task3[119]/tbl_task3[[คะแนนเต็ม]:[คะแนนเต็ม]])*tbl_task3[[%]:[%]])</f>
        <v/>
      </c>
      <c r="KD14" s="121" t="str">
        <f>IF(ISBLANK(tbl_task3[[คะแนนเต็ม]:[คะแนนเต็ม]]),"",(tbl_task3[120]/tbl_task3[[คะแนนเต็ม]:[คะแนนเต็ม]])*tbl_task3[[%]:[%]])</f>
        <v/>
      </c>
      <c r="KE14" s="121" t="str">
        <f>IF(ISBLANK(tbl_task3[[คะแนนเต็ม]:[คะแนนเต็ม]]),"",(tbl_task3[121]/tbl_task3[[คะแนนเต็ม]:[คะแนนเต็ม]])*tbl_task3[[%]:[%]])</f>
        <v/>
      </c>
      <c r="KF14" s="121" t="str">
        <f>IF(ISBLANK(tbl_task3[[คะแนนเต็ม]:[คะแนนเต็ม]]),"",(tbl_task3[122]/tbl_task3[[คะแนนเต็ม]:[คะแนนเต็ม]])*tbl_task3[[%]:[%]])</f>
        <v/>
      </c>
      <c r="KG14" s="121" t="str">
        <f>IF(ISBLANK(tbl_task3[[คะแนนเต็ม]:[คะแนนเต็ม]]),"",(tbl_task3[123]/tbl_task3[[คะแนนเต็ม]:[คะแนนเต็ม]])*tbl_task3[[%]:[%]])</f>
        <v/>
      </c>
      <c r="KH14" s="121" t="str">
        <f>IF(ISBLANK(tbl_task3[[คะแนนเต็ม]:[คะแนนเต็ม]]),"",(tbl_task3[124]/tbl_task3[[คะแนนเต็ม]:[คะแนนเต็ม]])*tbl_task3[[%]:[%]])</f>
        <v/>
      </c>
      <c r="KI14" s="121" t="str">
        <f>IF(ISBLANK(tbl_task3[[คะแนนเต็ม]:[คะแนนเต็ม]]),"",(tbl_task3[125]/tbl_task3[[คะแนนเต็ม]:[คะแนนเต็ม]])*tbl_task3[[%]:[%]])</f>
        <v/>
      </c>
      <c r="KJ14" s="121" t="str">
        <f>IF(ISBLANK(tbl_task3[[คะแนนเต็ม]:[คะแนนเต็ม]]),"",(tbl_task3[126]/tbl_task3[[คะแนนเต็ม]:[คะแนนเต็ม]])*tbl_task3[[%]:[%]])</f>
        <v/>
      </c>
      <c r="KK14" s="121" t="str">
        <f>IF(ISBLANK(tbl_task3[[คะแนนเต็ม]:[คะแนนเต็ม]]),"",(tbl_task3[127]/tbl_task3[[คะแนนเต็ม]:[คะแนนเต็ม]])*tbl_task3[[%]:[%]])</f>
        <v/>
      </c>
      <c r="KL14" s="121" t="str">
        <f>IF(ISBLANK(tbl_task3[[คะแนนเต็ม]:[คะแนนเต็ม]]),"",(tbl_task3[128]/tbl_task3[[คะแนนเต็ม]:[คะแนนเต็ม]])*tbl_task3[[%]:[%]])</f>
        <v/>
      </c>
      <c r="KM14" s="121" t="str">
        <f>IF(ISBLANK(tbl_task3[[คะแนนเต็ม]:[คะแนนเต็ม]]),"",(tbl_task3[129]/tbl_task3[[คะแนนเต็ม]:[คะแนนเต็ม]])*tbl_task3[[%]:[%]])</f>
        <v/>
      </c>
      <c r="KN14" s="121" t="str">
        <f>IF(ISBLANK(tbl_task3[[คะแนนเต็ม]:[คะแนนเต็ม]]),"",(tbl_task3[130]/tbl_task3[[คะแนนเต็ม]:[คะแนนเต็ม]])*tbl_task3[[%]:[%]])</f>
        <v/>
      </c>
      <c r="KO14" s="121" t="str">
        <f>IF(ISBLANK(tbl_task3[[คะแนนเต็ม]:[คะแนนเต็ม]]),"",(tbl_task3[131]/tbl_task3[[คะแนนเต็ม]:[คะแนนเต็ม]])*tbl_task3[[%]:[%]])</f>
        <v/>
      </c>
      <c r="KP14" s="121" t="str">
        <f>IF(ISBLANK(tbl_task3[[คะแนนเต็ม]:[คะแนนเต็ม]]),"",(tbl_task3[132]/tbl_task3[[คะแนนเต็ม]:[คะแนนเต็ม]])*tbl_task3[[%]:[%]])</f>
        <v/>
      </c>
      <c r="KQ14" s="121" t="str">
        <f>IF(ISBLANK(tbl_task3[[คะแนนเต็ม]:[คะแนนเต็ม]]),"",(tbl_task3[133]/tbl_task3[[คะแนนเต็ม]:[คะแนนเต็ม]])*tbl_task3[[%]:[%]])</f>
        <v/>
      </c>
      <c r="KR14" s="121" t="str">
        <f>IF(ISBLANK(tbl_task3[[คะแนนเต็ม]:[คะแนนเต็ม]]),"",(tbl_task3[134]/tbl_task3[[คะแนนเต็ม]:[คะแนนเต็ม]])*tbl_task3[[%]:[%]])</f>
        <v/>
      </c>
      <c r="KS14" s="121" t="str">
        <f>IF(ISBLANK(tbl_task3[[คะแนนเต็ม]:[คะแนนเต็ม]]),"",(tbl_task3[135]/tbl_task3[[คะแนนเต็ม]:[คะแนนเต็ม]])*tbl_task3[[%]:[%]])</f>
        <v/>
      </c>
      <c r="KT14" s="121" t="str">
        <f>IF(ISBLANK(tbl_task3[[คะแนนเต็ม]:[คะแนนเต็ม]]),"",(tbl_task3[136]/tbl_task3[[คะแนนเต็ม]:[คะแนนเต็ม]])*tbl_task3[[%]:[%]])</f>
        <v/>
      </c>
      <c r="KU14" s="121" t="str">
        <f>IF(ISBLANK(tbl_task3[[คะแนนเต็ม]:[คะแนนเต็ม]]),"",(tbl_task3[137]/tbl_task3[[คะแนนเต็ม]:[คะแนนเต็ม]])*tbl_task3[[%]:[%]])</f>
        <v/>
      </c>
      <c r="KV14" s="121" t="str">
        <f>IF(ISBLANK(tbl_task3[[คะแนนเต็ม]:[คะแนนเต็ม]]),"",(tbl_task3[138]/tbl_task3[[คะแนนเต็ม]:[คะแนนเต็ม]])*tbl_task3[[%]:[%]])</f>
        <v/>
      </c>
      <c r="KW14" s="121" t="str">
        <f>IF(ISBLANK(tbl_task3[[คะแนนเต็ม]:[คะแนนเต็ม]]),"",(tbl_task3[139]/tbl_task3[[คะแนนเต็ม]:[คะแนนเต็ม]])*tbl_task3[[%]:[%]])</f>
        <v/>
      </c>
      <c r="KX14" s="121" t="str">
        <f>IF(ISBLANK(tbl_task3[[คะแนนเต็ม]:[คะแนนเต็ม]]),"",(tbl_task3[140]/tbl_task3[[คะแนนเต็ม]:[คะแนนเต็ม]])*tbl_task3[[%]:[%]])</f>
        <v/>
      </c>
      <c r="KY14" s="121" t="str">
        <f>IF(ISBLANK(tbl_task3[[คะแนนเต็ม]:[คะแนนเต็ม]]),"",(tbl_task3[141]/tbl_task3[[คะแนนเต็ม]:[คะแนนเต็ม]])*tbl_task3[[%]:[%]])</f>
        <v/>
      </c>
      <c r="KZ14" s="121" t="str">
        <f>IF(ISBLANK(tbl_task3[[คะแนนเต็ม]:[คะแนนเต็ม]]),"",(tbl_task3[142]/tbl_task3[[คะแนนเต็ม]:[คะแนนเต็ม]])*tbl_task3[[%]:[%]])</f>
        <v/>
      </c>
      <c r="LA14" s="121" t="str">
        <f>IF(ISBLANK(tbl_task3[[คะแนนเต็ม]:[คะแนนเต็ม]]),"",(tbl_task3[143]/tbl_task3[[คะแนนเต็ม]:[คะแนนเต็ม]])*tbl_task3[[%]:[%]])</f>
        <v/>
      </c>
      <c r="LB14" s="121" t="str">
        <f>IF(ISBLANK(tbl_task3[[คะแนนเต็ม]:[คะแนนเต็ม]]),"",(tbl_task3[144]/tbl_task3[[คะแนนเต็ม]:[คะแนนเต็ม]])*tbl_task3[[%]:[%]])</f>
        <v/>
      </c>
      <c r="LC14" s="121" t="str">
        <f>IF(ISBLANK(tbl_task3[[คะแนนเต็ม]:[คะแนนเต็ม]]),"",(tbl_task3[145]/tbl_task3[[คะแนนเต็ม]:[คะแนนเต็ม]])*tbl_task3[[%]:[%]])</f>
        <v/>
      </c>
      <c r="LD14" s="121" t="str">
        <f>IF(ISBLANK(tbl_task3[[คะแนนเต็ม]:[คะแนนเต็ม]]),"",(tbl_task3[146]/tbl_task3[[คะแนนเต็ม]:[คะแนนเต็ม]])*tbl_task3[[%]:[%]])</f>
        <v/>
      </c>
      <c r="LE14" s="121" t="str">
        <f>IF(ISBLANK(tbl_task3[[คะแนนเต็ม]:[คะแนนเต็ม]]),"",(tbl_task3[147]/tbl_task3[[คะแนนเต็ม]:[คะแนนเต็ม]])*tbl_task3[[%]:[%]])</f>
        <v/>
      </c>
      <c r="LF14" s="121" t="str">
        <f>IF(ISBLANK(tbl_task3[[คะแนนเต็ม]:[คะแนนเต็ม]]),"",(tbl_task3[148]/tbl_task3[[คะแนนเต็ม]:[คะแนนเต็ม]])*tbl_task3[[%]:[%]])</f>
        <v/>
      </c>
      <c r="LG14" s="121" t="str">
        <f>IF(ISBLANK(tbl_task3[[คะแนนเต็ม]:[คะแนนเต็ม]]),"",(tbl_task3[149]/tbl_task3[[คะแนนเต็ม]:[คะแนนเต็ม]])*tbl_task3[[%]:[%]])</f>
        <v/>
      </c>
      <c r="LH14" s="121" t="str">
        <f>IF(ISBLANK(tbl_task3[[คะแนนเต็ม]:[คะแนนเต็ม]]),"",(tbl_task3[150]/tbl_task3[[คะแนนเต็ม]:[คะแนนเต็ม]])*tbl_task3[[%]:[%]])</f>
        <v/>
      </c>
      <c r="LI14" s="121" t="str">
        <f>IF(ISBLANK(tbl_task3[[คะแนนเต็ม]:[คะแนนเต็ม]]),"",(tbl_task3[151]/tbl_task3[[คะแนนเต็ม]:[คะแนนเต็ม]])*tbl_task3[[%]:[%]])</f>
        <v/>
      </c>
      <c r="LJ14" s="121" t="str">
        <f>IF(ISBLANK(tbl_task3[[คะแนนเต็ม]:[คะแนนเต็ม]]),"",(tbl_task3[152]/tbl_task3[[คะแนนเต็ม]:[คะแนนเต็ม]])*tbl_task3[[%]:[%]])</f>
        <v/>
      </c>
      <c r="LK14" s="121" t="str">
        <f>IF(ISBLANK(tbl_task3[[คะแนนเต็ม]:[คะแนนเต็ม]]),"",(tbl_task3[153]/tbl_task3[[คะแนนเต็ม]:[คะแนนเต็ม]])*tbl_task3[[%]:[%]])</f>
        <v/>
      </c>
      <c r="LL14" s="121" t="str">
        <f>IF(ISBLANK(tbl_task3[[คะแนนเต็ม]:[คะแนนเต็ม]]),"",(tbl_task3[154]/tbl_task3[[คะแนนเต็ม]:[คะแนนเต็ม]])*tbl_task3[[%]:[%]])</f>
        <v/>
      </c>
      <c r="LM14" s="121" t="str">
        <f>IF(ISBLANK(tbl_task3[[คะแนนเต็ม]:[คะแนนเต็ม]]),"",(tbl_task3[155]/tbl_task3[[คะแนนเต็ม]:[คะแนนเต็ม]])*tbl_task3[[%]:[%]])</f>
        <v/>
      </c>
      <c r="LN14" s="121" t="str">
        <f>IF(ISBLANK(tbl_task3[[คะแนนเต็ม]:[คะแนนเต็ม]]),"",(tbl_task3[156]/tbl_task3[[คะแนนเต็ม]:[คะแนนเต็ม]])*tbl_task3[[%]:[%]])</f>
        <v/>
      </c>
      <c r="LO14" s="121" t="str">
        <f>IF(ISBLANK(tbl_task3[[คะแนนเต็ม]:[คะแนนเต็ม]]),"",(tbl_task3[157]/tbl_task3[[คะแนนเต็ม]:[คะแนนเต็ม]])*tbl_task3[[%]:[%]])</f>
        <v/>
      </c>
      <c r="LP14" s="121" t="str">
        <f>IF(ISBLANK(tbl_task3[[คะแนนเต็ม]:[คะแนนเต็ม]]),"",(tbl_task3[158]/tbl_task3[[คะแนนเต็ม]:[คะแนนเต็ม]])*tbl_task3[[%]:[%]])</f>
        <v/>
      </c>
      <c r="LQ14" s="121" t="str">
        <f>IF(ISBLANK(tbl_task3[[คะแนนเต็ม]:[คะแนนเต็ม]]),"",(tbl_task3[159]/tbl_task3[[คะแนนเต็ม]:[คะแนนเต็ม]])*tbl_task3[[%]:[%]])</f>
        <v/>
      </c>
      <c r="LR14" s="121" t="str">
        <f>IF(ISBLANK(tbl_task3[[คะแนนเต็ม]:[คะแนนเต็ม]]),"",(tbl_task3[160]/tbl_task3[[คะแนนเต็ม]:[คะแนนเต็ม]])*tbl_task3[[%]:[%]])</f>
        <v/>
      </c>
      <c r="LS14" s="121" t="str">
        <f>IF(ISBLANK(tbl_task3[[คะแนนเต็ม]:[คะแนนเต็ม]]),"",(tbl_task3[161]/tbl_task3[[คะแนนเต็ม]:[คะแนนเต็ม]])*tbl_task3[[%]:[%]])</f>
        <v/>
      </c>
      <c r="LT14" s="121" t="str">
        <f>IF(ISBLANK(tbl_task3[[คะแนนเต็ม]:[คะแนนเต็ม]]),"",(tbl_task3[162]/tbl_task3[[คะแนนเต็ม]:[คะแนนเต็ม]])*tbl_task3[[%]:[%]])</f>
        <v/>
      </c>
      <c r="LU14" s="121" t="str">
        <f>IF(ISBLANK(tbl_task3[[คะแนนเต็ม]:[คะแนนเต็ม]]),"",(tbl_task3[163]/tbl_task3[[คะแนนเต็ม]:[คะแนนเต็ม]])*tbl_task3[[%]:[%]])</f>
        <v/>
      </c>
      <c r="LV14" s="121" t="str">
        <f>IF(ISBLANK(tbl_task3[[คะแนนเต็ม]:[คะแนนเต็ม]]),"",(tbl_task3[164]/tbl_task3[[คะแนนเต็ม]:[คะแนนเต็ม]])*tbl_task3[[%]:[%]])</f>
        <v/>
      </c>
      <c r="LW14" s="121" t="str">
        <f>IF(ISBLANK(tbl_task3[[คะแนนเต็ม]:[คะแนนเต็ม]]),"",(tbl_task3[165]/tbl_task3[[คะแนนเต็ม]:[คะแนนเต็ม]])*tbl_task3[[%]:[%]])</f>
        <v/>
      </c>
    </row>
    <row r="15" spans="1:335" ht="24" customHeight="1" x14ac:dyDescent="0.25">
      <c r="A15" s="24">
        <v>12</v>
      </c>
      <c r="B15" s="20"/>
      <c r="C15" s="5" t="str">
        <f>IF(ISBLANK(B15),"",VLOOKUP(B15,tbl_PLOs[],2,0))</f>
        <v/>
      </c>
      <c r="D15" s="102"/>
      <c r="E15" s="106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121" t="str">
        <f>IF(ISBLANK(tbl_task3[[คะแนนเต็ม]:[คะแนนเต็ม]]),"",(tbl_task3[1]/tbl_task3[[คะแนนเต็ม]:[คะแนนเต็ม]])*tbl_task3[[%]:[%]])</f>
        <v/>
      </c>
      <c r="FP15" s="121" t="str">
        <f>IF(ISBLANK(tbl_task3[[คะแนนเต็ม]:[คะแนนเต็ม]]),"",(tbl_task3[2]/tbl_task3[[คะแนนเต็ม]:[คะแนนเต็ม]])*tbl_task3[[%]:[%]])</f>
        <v/>
      </c>
      <c r="FQ15" s="121" t="str">
        <f>IF(ISBLANK(tbl_task3[[คะแนนเต็ม]:[คะแนนเต็ม]]),"",(tbl_task3[3]/tbl_task3[[คะแนนเต็ม]:[คะแนนเต็ม]])*tbl_task3[[%]:[%]])</f>
        <v/>
      </c>
      <c r="FR15" s="121" t="str">
        <f>IF(ISBLANK(tbl_task3[[คะแนนเต็ม]:[คะแนนเต็ม]]),"",(tbl_task3[4]/tbl_task3[[คะแนนเต็ม]:[คะแนนเต็ม]])*tbl_task3[[%]:[%]])</f>
        <v/>
      </c>
      <c r="FS15" s="121" t="str">
        <f>IF(ISBLANK(tbl_task3[[คะแนนเต็ม]:[คะแนนเต็ม]]),"",(tbl_task3[5]/tbl_task3[[คะแนนเต็ม]:[คะแนนเต็ม]])*tbl_task3[[%]:[%]])</f>
        <v/>
      </c>
      <c r="FT15" s="121" t="str">
        <f>IF(ISBLANK(tbl_task3[[คะแนนเต็ม]:[คะแนนเต็ม]]),"",(tbl_task3[6]/tbl_task3[[คะแนนเต็ม]:[คะแนนเต็ม]])*tbl_task3[[%]:[%]])</f>
        <v/>
      </c>
      <c r="FU15" s="121" t="str">
        <f>IF(ISBLANK(tbl_task3[[คะแนนเต็ม]:[คะแนนเต็ม]]),"",(tbl_task3[7]/tbl_task3[[คะแนนเต็ม]:[คะแนนเต็ม]])*tbl_task3[[%]:[%]])</f>
        <v/>
      </c>
      <c r="FV15" s="121" t="str">
        <f>IF(ISBLANK(tbl_task3[[คะแนนเต็ม]:[คะแนนเต็ม]]),"",(tbl_task3[8]/tbl_task3[[คะแนนเต็ม]:[คะแนนเต็ม]])*tbl_task3[[%]:[%]])</f>
        <v/>
      </c>
      <c r="FW15" s="121" t="str">
        <f>IF(ISBLANK(tbl_task3[[คะแนนเต็ม]:[คะแนนเต็ม]]),"",(tbl_task3[9]/tbl_task3[[คะแนนเต็ม]:[คะแนนเต็ม]])*tbl_task3[[%]:[%]])</f>
        <v/>
      </c>
      <c r="FX15" s="121" t="str">
        <f>IF(ISBLANK(tbl_task3[[คะแนนเต็ม]:[คะแนนเต็ม]]),"",(tbl_task3[10]/tbl_task3[[คะแนนเต็ม]:[คะแนนเต็ม]])*tbl_task3[[%]:[%]])</f>
        <v/>
      </c>
      <c r="FY15" s="121" t="str">
        <f>IF(ISBLANK(tbl_task3[[คะแนนเต็ม]:[คะแนนเต็ม]]),"",(tbl_task3[11]/tbl_task3[[คะแนนเต็ม]:[คะแนนเต็ม]])*tbl_task3[[%]:[%]])</f>
        <v/>
      </c>
      <c r="FZ15" s="121" t="str">
        <f>IF(ISBLANK(tbl_task3[[คะแนนเต็ม]:[คะแนนเต็ม]]),"",(tbl_task3[12]/tbl_task3[[คะแนนเต็ม]:[คะแนนเต็ม]])*tbl_task3[[%]:[%]])</f>
        <v/>
      </c>
      <c r="GA15" s="121" t="str">
        <f>IF(ISBLANK(tbl_task3[[คะแนนเต็ม]:[คะแนนเต็ม]]),"",(tbl_task3[13]/tbl_task3[[คะแนนเต็ม]:[คะแนนเต็ม]])*tbl_task3[[%]:[%]])</f>
        <v/>
      </c>
      <c r="GB15" s="121" t="str">
        <f>IF(ISBLANK(tbl_task3[[คะแนนเต็ม]:[คะแนนเต็ม]]),"",(tbl_task3[14]/tbl_task3[[คะแนนเต็ม]:[คะแนนเต็ม]])*tbl_task3[[%]:[%]])</f>
        <v/>
      </c>
      <c r="GC15" s="121" t="str">
        <f>IF(ISBLANK(tbl_task3[[คะแนนเต็ม]:[คะแนนเต็ม]]),"",(tbl_task3[15]/tbl_task3[[คะแนนเต็ม]:[คะแนนเต็ม]])*tbl_task3[[%]:[%]])</f>
        <v/>
      </c>
      <c r="GD15" s="121" t="str">
        <f>IF(ISBLANK(tbl_task3[[คะแนนเต็ม]:[คะแนนเต็ม]]),"",(tbl_task3[16]/tbl_task3[[คะแนนเต็ม]:[คะแนนเต็ม]])*tbl_task3[[%]:[%]])</f>
        <v/>
      </c>
      <c r="GE15" s="121" t="str">
        <f>IF(ISBLANK(tbl_task3[[คะแนนเต็ม]:[คะแนนเต็ม]]),"",(tbl_task3[17]/tbl_task3[[คะแนนเต็ม]:[คะแนนเต็ม]])*tbl_task3[[%]:[%]])</f>
        <v/>
      </c>
      <c r="GF15" s="121" t="str">
        <f>IF(ISBLANK(tbl_task3[[คะแนนเต็ม]:[คะแนนเต็ม]]),"",(tbl_task3[18]/tbl_task3[[คะแนนเต็ม]:[คะแนนเต็ม]])*tbl_task3[[%]:[%]])</f>
        <v/>
      </c>
      <c r="GG15" s="121" t="str">
        <f>IF(ISBLANK(tbl_task3[[คะแนนเต็ม]:[คะแนนเต็ม]]),"",(tbl_task3[19]/tbl_task3[[คะแนนเต็ม]:[คะแนนเต็ม]])*tbl_task3[[%]:[%]])</f>
        <v/>
      </c>
      <c r="GH15" s="121" t="str">
        <f>IF(ISBLANK(tbl_task3[[คะแนนเต็ม]:[คะแนนเต็ม]]),"",(tbl_task3[20]/tbl_task3[[คะแนนเต็ม]:[คะแนนเต็ม]])*tbl_task3[[%]:[%]])</f>
        <v/>
      </c>
      <c r="GI15" s="121" t="str">
        <f>IF(ISBLANK(tbl_task3[[คะแนนเต็ม]:[คะแนนเต็ม]]),"",(tbl_task3[21]/tbl_task3[[คะแนนเต็ม]:[คะแนนเต็ม]])*tbl_task3[[%]:[%]])</f>
        <v/>
      </c>
      <c r="GJ15" s="121" t="str">
        <f>IF(ISBLANK(tbl_task3[[คะแนนเต็ม]:[คะแนนเต็ม]]),"",(tbl_task3[22]/tbl_task3[[คะแนนเต็ม]:[คะแนนเต็ม]])*tbl_task3[[%]:[%]])</f>
        <v/>
      </c>
      <c r="GK15" s="121" t="str">
        <f>IF(ISBLANK(tbl_task3[[คะแนนเต็ม]:[คะแนนเต็ม]]),"",(tbl_task3[23]/tbl_task3[[คะแนนเต็ม]:[คะแนนเต็ม]])*tbl_task3[[%]:[%]])</f>
        <v/>
      </c>
      <c r="GL15" s="121" t="str">
        <f>IF(ISBLANK(tbl_task3[[คะแนนเต็ม]:[คะแนนเต็ม]]),"",(tbl_task3[24]/tbl_task3[[คะแนนเต็ม]:[คะแนนเต็ม]])*tbl_task3[[%]:[%]])</f>
        <v/>
      </c>
      <c r="GM15" s="121" t="str">
        <f>IF(ISBLANK(tbl_task3[[คะแนนเต็ม]:[คะแนนเต็ม]]),"",(tbl_task3[25]/tbl_task3[[คะแนนเต็ม]:[คะแนนเต็ม]])*tbl_task3[[%]:[%]])</f>
        <v/>
      </c>
      <c r="GN15" s="121" t="str">
        <f>IF(ISBLANK(tbl_task3[[คะแนนเต็ม]:[คะแนนเต็ม]]),"",(tbl_task3[26]/tbl_task3[[คะแนนเต็ม]:[คะแนนเต็ม]])*tbl_task3[[%]:[%]])</f>
        <v/>
      </c>
      <c r="GO15" s="121" t="str">
        <f>IF(ISBLANK(tbl_task3[[คะแนนเต็ม]:[คะแนนเต็ม]]),"",(tbl_task3[27]/tbl_task3[[คะแนนเต็ม]:[คะแนนเต็ม]])*tbl_task3[[%]:[%]])</f>
        <v/>
      </c>
      <c r="GP15" s="121" t="str">
        <f>IF(ISBLANK(tbl_task3[[คะแนนเต็ม]:[คะแนนเต็ม]]),"",(tbl_task3[28]/tbl_task3[[คะแนนเต็ม]:[คะแนนเต็ม]])*tbl_task3[[%]:[%]])</f>
        <v/>
      </c>
      <c r="GQ15" s="121" t="str">
        <f>IF(ISBLANK(tbl_task3[[คะแนนเต็ม]:[คะแนนเต็ม]]),"",(tbl_task3[29]/tbl_task3[[คะแนนเต็ม]:[คะแนนเต็ม]])*tbl_task3[[%]:[%]])</f>
        <v/>
      </c>
      <c r="GR15" s="121" t="str">
        <f>IF(ISBLANK(tbl_task3[[คะแนนเต็ม]:[คะแนนเต็ม]]),"",(tbl_task3[30]/tbl_task3[[คะแนนเต็ม]:[คะแนนเต็ม]])*tbl_task3[[%]:[%]])</f>
        <v/>
      </c>
      <c r="GS15" s="121" t="str">
        <f>IF(ISBLANK(tbl_task3[[คะแนนเต็ม]:[คะแนนเต็ม]]),"",(tbl_task3[31]/tbl_task3[[คะแนนเต็ม]:[คะแนนเต็ม]])*tbl_task3[[%]:[%]])</f>
        <v/>
      </c>
      <c r="GT15" s="121" t="str">
        <f>IF(ISBLANK(tbl_task3[[คะแนนเต็ม]:[คะแนนเต็ม]]),"",(tbl_task3[32]/tbl_task3[[คะแนนเต็ม]:[คะแนนเต็ม]])*tbl_task3[[%]:[%]])</f>
        <v/>
      </c>
      <c r="GU15" s="121" t="str">
        <f>IF(ISBLANK(tbl_task3[[คะแนนเต็ม]:[คะแนนเต็ม]]),"",(tbl_task3[33]/tbl_task3[[คะแนนเต็ม]:[คะแนนเต็ม]])*tbl_task3[[%]:[%]])</f>
        <v/>
      </c>
      <c r="GV15" s="121" t="str">
        <f>IF(ISBLANK(tbl_task3[[คะแนนเต็ม]:[คะแนนเต็ม]]),"",(tbl_task3[34]/tbl_task3[[คะแนนเต็ม]:[คะแนนเต็ม]])*tbl_task3[[%]:[%]])</f>
        <v/>
      </c>
      <c r="GW15" s="121" t="str">
        <f>IF(ISBLANK(tbl_task3[[คะแนนเต็ม]:[คะแนนเต็ม]]),"",(tbl_task3[35]/tbl_task3[[คะแนนเต็ม]:[คะแนนเต็ม]])*tbl_task3[[%]:[%]])</f>
        <v/>
      </c>
      <c r="GX15" s="121" t="str">
        <f>IF(ISBLANK(tbl_task3[[คะแนนเต็ม]:[คะแนนเต็ม]]),"",(tbl_task3[36]/tbl_task3[[คะแนนเต็ม]:[คะแนนเต็ม]])*tbl_task3[[%]:[%]])</f>
        <v/>
      </c>
      <c r="GY15" s="121" t="str">
        <f>IF(ISBLANK(tbl_task3[[คะแนนเต็ม]:[คะแนนเต็ม]]),"",(tbl_task3[37]/tbl_task3[[คะแนนเต็ม]:[คะแนนเต็ม]])*tbl_task3[[%]:[%]])</f>
        <v/>
      </c>
      <c r="GZ15" s="121" t="str">
        <f>IF(ISBLANK(tbl_task3[[คะแนนเต็ม]:[คะแนนเต็ม]]),"",(tbl_task3[38]/tbl_task3[[คะแนนเต็ม]:[คะแนนเต็ม]])*tbl_task3[[%]:[%]])</f>
        <v/>
      </c>
      <c r="HA15" s="121" t="str">
        <f>IF(ISBLANK(tbl_task3[[คะแนนเต็ม]:[คะแนนเต็ม]]),"",(tbl_task3[39]/tbl_task3[[คะแนนเต็ม]:[คะแนนเต็ม]])*tbl_task3[[%]:[%]])</f>
        <v/>
      </c>
      <c r="HB15" s="121" t="str">
        <f>IF(ISBLANK(tbl_task3[[คะแนนเต็ม]:[คะแนนเต็ม]]),"",(tbl_task3[40]/tbl_task3[[คะแนนเต็ม]:[คะแนนเต็ม]])*tbl_task3[[%]:[%]])</f>
        <v/>
      </c>
      <c r="HC15" s="121" t="str">
        <f>IF(ISBLANK(tbl_task3[[คะแนนเต็ม]:[คะแนนเต็ม]]),"",(tbl_task3[41]/tbl_task3[[คะแนนเต็ม]:[คะแนนเต็ม]])*tbl_task3[[%]:[%]])</f>
        <v/>
      </c>
      <c r="HD15" s="121" t="str">
        <f>IF(ISBLANK(tbl_task3[[คะแนนเต็ม]:[คะแนนเต็ม]]),"",(tbl_task3[42]/tbl_task3[[คะแนนเต็ม]:[คะแนนเต็ม]])*tbl_task3[[%]:[%]])</f>
        <v/>
      </c>
      <c r="HE15" s="121" t="str">
        <f>IF(ISBLANK(tbl_task3[[คะแนนเต็ม]:[คะแนนเต็ม]]),"",(tbl_task3[43]/tbl_task3[[คะแนนเต็ม]:[คะแนนเต็ม]])*tbl_task3[[%]:[%]])</f>
        <v/>
      </c>
      <c r="HF15" s="121" t="str">
        <f>IF(ISBLANK(tbl_task3[[คะแนนเต็ม]:[คะแนนเต็ม]]),"",(tbl_task3[44]/tbl_task3[[คะแนนเต็ม]:[คะแนนเต็ม]])*tbl_task3[[%]:[%]])</f>
        <v/>
      </c>
      <c r="HG15" s="121" t="str">
        <f>IF(ISBLANK(tbl_task3[[คะแนนเต็ม]:[คะแนนเต็ม]]),"",(tbl_task3[45]/tbl_task3[[คะแนนเต็ม]:[คะแนนเต็ม]])*tbl_task3[[%]:[%]])</f>
        <v/>
      </c>
      <c r="HH15" s="121" t="str">
        <f>IF(ISBLANK(tbl_task3[[คะแนนเต็ม]:[คะแนนเต็ม]]),"",(tbl_task3[46]/tbl_task3[[คะแนนเต็ม]:[คะแนนเต็ม]])*tbl_task3[[%]:[%]])</f>
        <v/>
      </c>
      <c r="HI15" s="121" t="str">
        <f>IF(ISBLANK(tbl_task3[[คะแนนเต็ม]:[คะแนนเต็ม]]),"",(tbl_task3[47]/tbl_task3[[คะแนนเต็ม]:[คะแนนเต็ม]])*tbl_task3[[%]:[%]])</f>
        <v/>
      </c>
      <c r="HJ15" s="121" t="str">
        <f>IF(ISBLANK(tbl_task3[[คะแนนเต็ม]:[คะแนนเต็ม]]),"",(tbl_task3[48]/tbl_task3[[คะแนนเต็ม]:[คะแนนเต็ม]])*tbl_task3[[%]:[%]])</f>
        <v/>
      </c>
      <c r="HK15" s="121" t="str">
        <f>IF(ISBLANK(tbl_task3[[คะแนนเต็ม]:[คะแนนเต็ม]]),"",(tbl_task3[49]/tbl_task3[[คะแนนเต็ม]:[คะแนนเต็ม]])*tbl_task3[[%]:[%]])</f>
        <v/>
      </c>
      <c r="HL15" s="121" t="str">
        <f>IF(ISBLANK(tbl_task3[[คะแนนเต็ม]:[คะแนนเต็ม]]),"",(tbl_task3[50]/tbl_task3[[คะแนนเต็ม]:[คะแนนเต็ม]])*tbl_task3[[%]:[%]])</f>
        <v/>
      </c>
      <c r="HM15" s="121" t="str">
        <f>IF(ISBLANK(tbl_task3[[คะแนนเต็ม]:[คะแนนเต็ม]]),"",(tbl_task3[51]/tbl_task3[[คะแนนเต็ม]:[คะแนนเต็ม]])*tbl_task3[[%]:[%]])</f>
        <v/>
      </c>
      <c r="HN15" s="121" t="str">
        <f>IF(ISBLANK(tbl_task3[[คะแนนเต็ม]:[คะแนนเต็ม]]),"",(tbl_task3[52]/tbl_task3[[คะแนนเต็ม]:[คะแนนเต็ม]])*tbl_task3[[%]:[%]])</f>
        <v/>
      </c>
      <c r="HO15" s="121" t="str">
        <f>IF(ISBLANK(tbl_task3[[คะแนนเต็ม]:[คะแนนเต็ม]]),"",(tbl_task3[53]/tbl_task3[[คะแนนเต็ม]:[คะแนนเต็ม]])*tbl_task3[[%]:[%]])</f>
        <v/>
      </c>
      <c r="HP15" s="121" t="str">
        <f>IF(ISBLANK(tbl_task3[[คะแนนเต็ม]:[คะแนนเต็ม]]),"",(tbl_task3[54]/tbl_task3[[คะแนนเต็ม]:[คะแนนเต็ม]])*tbl_task3[[%]:[%]])</f>
        <v/>
      </c>
      <c r="HQ15" s="121" t="str">
        <f>IF(ISBLANK(tbl_task3[[คะแนนเต็ม]:[คะแนนเต็ม]]),"",(tbl_task3[55]/tbl_task3[[คะแนนเต็ม]:[คะแนนเต็ม]])*tbl_task3[[%]:[%]])</f>
        <v/>
      </c>
      <c r="HR15" s="121" t="str">
        <f>IF(ISBLANK(tbl_task3[[คะแนนเต็ม]:[คะแนนเต็ม]]),"",(tbl_task3[56]/tbl_task3[[คะแนนเต็ม]:[คะแนนเต็ม]])*tbl_task3[[%]:[%]])</f>
        <v/>
      </c>
      <c r="HS15" s="121" t="str">
        <f>IF(ISBLANK(tbl_task3[[คะแนนเต็ม]:[คะแนนเต็ม]]),"",(tbl_task3[57]/tbl_task3[[คะแนนเต็ม]:[คะแนนเต็ม]])*tbl_task3[[%]:[%]])</f>
        <v/>
      </c>
      <c r="HT15" s="121" t="str">
        <f>IF(ISBLANK(tbl_task3[[คะแนนเต็ม]:[คะแนนเต็ม]]),"",(tbl_task3[58]/tbl_task3[[คะแนนเต็ม]:[คะแนนเต็ม]])*tbl_task3[[%]:[%]])</f>
        <v/>
      </c>
      <c r="HU15" s="121" t="str">
        <f>IF(ISBLANK(tbl_task3[[คะแนนเต็ม]:[คะแนนเต็ม]]),"",(tbl_task3[59]/tbl_task3[[คะแนนเต็ม]:[คะแนนเต็ม]])*tbl_task3[[%]:[%]])</f>
        <v/>
      </c>
      <c r="HV15" s="121" t="str">
        <f>IF(ISBLANK(tbl_task3[[คะแนนเต็ม]:[คะแนนเต็ม]]),"",(tbl_task3[60]/tbl_task3[[คะแนนเต็ม]:[คะแนนเต็ม]])*tbl_task3[[%]:[%]])</f>
        <v/>
      </c>
      <c r="HW15" s="121" t="str">
        <f>IF(ISBLANK(tbl_task3[[คะแนนเต็ม]:[คะแนนเต็ม]]),"",(tbl_task3[61]/tbl_task3[[คะแนนเต็ม]:[คะแนนเต็ม]])*tbl_task3[[%]:[%]])</f>
        <v/>
      </c>
      <c r="HX15" s="121" t="str">
        <f>IF(ISBLANK(tbl_task3[[คะแนนเต็ม]:[คะแนนเต็ม]]),"",(tbl_task3[62]/tbl_task3[[คะแนนเต็ม]:[คะแนนเต็ม]])*tbl_task3[[%]:[%]])</f>
        <v/>
      </c>
      <c r="HY15" s="121" t="str">
        <f>IF(ISBLANK(tbl_task3[[คะแนนเต็ม]:[คะแนนเต็ม]]),"",(tbl_task3[63]/tbl_task3[[คะแนนเต็ม]:[คะแนนเต็ม]])*tbl_task3[[%]:[%]])</f>
        <v/>
      </c>
      <c r="HZ15" s="121" t="str">
        <f>IF(ISBLANK(tbl_task3[[คะแนนเต็ม]:[คะแนนเต็ม]]),"",(tbl_task3[64]/tbl_task3[[คะแนนเต็ม]:[คะแนนเต็ม]])*tbl_task3[[%]:[%]])</f>
        <v/>
      </c>
      <c r="IA15" s="121" t="str">
        <f>IF(ISBLANK(tbl_task3[[คะแนนเต็ม]:[คะแนนเต็ม]]),"",(tbl_task3[65]/tbl_task3[[คะแนนเต็ม]:[คะแนนเต็ม]])*tbl_task3[[%]:[%]])</f>
        <v/>
      </c>
      <c r="IB15" s="121" t="str">
        <f>IF(ISBLANK(tbl_task3[[คะแนนเต็ม]:[คะแนนเต็ม]]),"",(tbl_task3[66]/tbl_task3[[คะแนนเต็ม]:[คะแนนเต็ม]])*tbl_task3[[%]:[%]])</f>
        <v/>
      </c>
      <c r="IC15" s="121" t="str">
        <f>IF(ISBLANK(tbl_task3[[คะแนนเต็ม]:[คะแนนเต็ม]]),"",(tbl_task3[67]/tbl_task3[[คะแนนเต็ม]:[คะแนนเต็ม]])*tbl_task3[[%]:[%]])</f>
        <v/>
      </c>
      <c r="ID15" s="121" t="str">
        <f>IF(ISBLANK(tbl_task3[[คะแนนเต็ม]:[คะแนนเต็ม]]),"",(tbl_task3[68]/tbl_task3[[คะแนนเต็ม]:[คะแนนเต็ม]])*tbl_task3[[%]:[%]])</f>
        <v/>
      </c>
      <c r="IE15" s="121" t="str">
        <f>IF(ISBLANK(tbl_task3[[คะแนนเต็ม]:[คะแนนเต็ม]]),"",(tbl_task3[69]/tbl_task3[[คะแนนเต็ม]:[คะแนนเต็ม]])*tbl_task3[[%]:[%]])</f>
        <v/>
      </c>
      <c r="IF15" s="121" t="str">
        <f>IF(ISBLANK(tbl_task3[[คะแนนเต็ม]:[คะแนนเต็ม]]),"",(tbl_task3[70]/tbl_task3[[คะแนนเต็ม]:[คะแนนเต็ม]])*tbl_task3[[%]:[%]])</f>
        <v/>
      </c>
      <c r="IG15" s="121" t="str">
        <f>IF(ISBLANK(tbl_task3[[คะแนนเต็ม]:[คะแนนเต็ม]]),"",(tbl_task3[71]/tbl_task3[[คะแนนเต็ม]:[คะแนนเต็ม]])*tbl_task3[[%]:[%]])</f>
        <v/>
      </c>
      <c r="IH15" s="121" t="str">
        <f>IF(ISBLANK(tbl_task3[[คะแนนเต็ม]:[คะแนนเต็ม]]),"",(tbl_task3[72]/tbl_task3[[คะแนนเต็ม]:[คะแนนเต็ม]])*tbl_task3[[%]:[%]])</f>
        <v/>
      </c>
      <c r="II15" s="121" t="str">
        <f>IF(ISBLANK(tbl_task3[[คะแนนเต็ม]:[คะแนนเต็ม]]),"",(tbl_task3[73]/tbl_task3[[คะแนนเต็ม]:[คะแนนเต็ม]])*tbl_task3[[%]:[%]])</f>
        <v/>
      </c>
      <c r="IJ15" s="121" t="str">
        <f>IF(ISBLANK(tbl_task3[[คะแนนเต็ม]:[คะแนนเต็ม]]),"",(tbl_task3[74]/tbl_task3[[คะแนนเต็ม]:[คะแนนเต็ม]])*tbl_task3[[%]:[%]])</f>
        <v/>
      </c>
      <c r="IK15" s="121" t="str">
        <f>IF(ISBLANK(tbl_task3[[คะแนนเต็ม]:[คะแนนเต็ม]]),"",(tbl_task3[75]/tbl_task3[[คะแนนเต็ม]:[คะแนนเต็ม]])*tbl_task3[[%]:[%]])</f>
        <v/>
      </c>
      <c r="IL15" s="121" t="str">
        <f>IF(ISBLANK(tbl_task3[[คะแนนเต็ม]:[คะแนนเต็ม]]),"",(tbl_task3[76]/tbl_task3[[คะแนนเต็ม]:[คะแนนเต็ม]])*tbl_task3[[%]:[%]])</f>
        <v/>
      </c>
      <c r="IM15" s="121" t="str">
        <f>IF(ISBLANK(tbl_task3[[คะแนนเต็ม]:[คะแนนเต็ม]]),"",(tbl_task3[77]/tbl_task3[[คะแนนเต็ม]:[คะแนนเต็ม]])*tbl_task3[[%]:[%]])</f>
        <v/>
      </c>
      <c r="IN15" s="121" t="str">
        <f>IF(ISBLANK(tbl_task3[[คะแนนเต็ม]:[คะแนนเต็ม]]),"",(tbl_task3[78]/tbl_task3[[คะแนนเต็ม]:[คะแนนเต็ม]])*tbl_task3[[%]:[%]])</f>
        <v/>
      </c>
      <c r="IO15" s="121" t="str">
        <f>IF(ISBLANK(tbl_task3[[คะแนนเต็ม]:[คะแนนเต็ม]]),"",(tbl_task3[79]/tbl_task3[[คะแนนเต็ม]:[คะแนนเต็ม]])*tbl_task3[[%]:[%]])</f>
        <v/>
      </c>
      <c r="IP15" s="121" t="str">
        <f>IF(ISBLANK(tbl_task3[[คะแนนเต็ม]:[คะแนนเต็ม]]),"",(tbl_task3[80]/tbl_task3[[คะแนนเต็ม]:[คะแนนเต็ม]])*tbl_task3[[%]:[%]])</f>
        <v/>
      </c>
      <c r="IQ15" s="121" t="str">
        <f>IF(ISBLANK(tbl_task3[[คะแนนเต็ม]:[คะแนนเต็ม]]),"",(tbl_task3[81]/tbl_task3[[คะแนนเต็ม]:[คะแนนเต็ม]])*tbl_task3[[%]:[%]])</f>
        <v/>
      </c>
      <c r="IR15" s="121" t="str">
        <f>IF(ISBLANK(tbl_task3[[คะแนนเต็ม]:[คะแนนเต็ม]]),"",(tbl_task3[82]/tbl_task3[[คะแนนเต็ม]:[คะแนนเต็ม]])*tbl_task3[[%]:[%]])</f>
        <v/>
      </c>
      <c r="IS15" s="121" t="str">
        <f>IF(ISBLANK(tbl_task3[[คะแนนเต็ม]:[คะแนนเต็ม]]),"",(tbl_task3[83]/tbl_task3[[คะแนนเต็ม]:[คะแนนเต็ม]])*tbl_task3[[%]:[%]])</f>
        <v/>
      </c>
      <c r="IT15" s="121" t="str">
        <f>IF(ISBLANK(tbl_task3[[คะแนนเต็ม]:[คะแนนเต็ม]]),"",(tbl_task3[84]/tbl_task3[[คะแนนเต็ม]:[คะแนนเต็ม]])*tbl_task3[[%]:[%]])</f>
        <v/>
      </c>
      <c r="IU15" s="121" t="str">
        <f>IF(ISBLANK(tbl_task3[[คะแนนเต็ม]:[คะแนนเต็ม]]),"",(tbl_task3[85]/tbl_task3[[คะแนนเต็ม]:[คะแนนเต็ม]])*tbl_task3[[%]:[%]])</f>
        <v/>
      </c>
      <c r="IV15" s="121" t="str">
        <f>IF(ISBLANK(tbl_task3[[คะแนนเต็ม]:[คะแนนเต็ม]]),"",(tbl_task3[86]/tbl_task3[[คะแนนเต็ม]:[คะแนนเต็ม]])*tbl_task3[[%]:[%]])</f>
        <v/>
      </c>
      <c r="IW15" s="121" t="str">
        <f>IF(ISBLANK(tbl_task3[[คะแนนเต็ม]:[คะแนนเต็ม]]),"",(tbl_task3[87]/tbl_task3[[คะแนนเต็ม]:[คะแนนเต็ม]])*tbl_task3[[%]:[%]])</f>
        <v/>
      </c>
      <c r="IX15" s="121" t="str">
        <f>IF(ISBLANK(tbl_task3[[คะแนนเต็ม]:[คะแนนเต็ม]]),"",(tbl_task3[88]/tbl_task3[[คะแนนเต็ม]:[คะแนนเต็ม]])*tbl_task3[[%]:[%]])</f>
        <v/>
      </c>
      <c r="IY15" s="121" t="str">
        <f>IF(ISBLANK(tbl_task3[[คะแนนเต็ม]:[คะแนนเต็ม]]),"",(tbl_task3[89]/tbl_task3[[คะแนนเต็ม]:[คะแนนเต็ม]])*tbl_task3[[%]:[%]])</f>
        <v/>
      </c>
      <c r="IZ15" s="121" t="str">
        <f>IF(ISBLANK(tbl_task3[[คะแนนเต็ม]:[คะแนนเต็ม]]),"",(tbl_task3[90]/tbl_task3[[คะแนนเต็ม]:[คะแนนเต็ม]])*tbl_task3[[%]:[%]])</f>
        <v/>
      </c>
      <c r="JA15" s="121" t="str">
        <f>IF(ISBLANK(tbl_task3[[คะแนนเต็ม]:[คะแนนเต็ม]]),"",(tbl_task3[91]/tbl_task3[[คะแนนเต็ม]:[คะแนนเต็ม]])*tbl_task3[[%]:[%]])</f>
        <v/>
      </c>
      <c r="JB15" s="121" t="str">
        <f>IF(ISBLANK(tbl_task3[[คะแนนเต็ม]:[คะแนนเต็ม]]),"",(tbl_task3[92]/tbl_task3[[คะแนนเต็ม]:[คะแนนเต็ม]])*tbl_task3[[%]:[%]])</f>
        <v/>
      </c>
      <c r="JC15" s="121" t="str">
        <f>IF(ISBLANK(tbl_task3[[คะแนนเต็ม]:[คะแนนเต็ม]]),"",(tbl_task3[93]/tbl_task3[[คะแนนเต็ม]:[คะแนนเต็ม]])*tbl_task3[[%]:[%]])</f>
        <v/>
      </c>
      <c r="JD15" s="121" t="str">
        <f>IF(ISBLANK(tbl_task3[[คะแนนเต็ม]:[คะแนนเต็ม]]),"",(tbl_task3[94]/tbl_task3[[คะแนนเต็ม]:[คะแนนเต็ม]])*tbl_task3[[%]:[%]])</f>
        <v/>
      </c>
      <c r="JE15" s="121" t="str">
        <f>IF(ISBLANK(tbl_task3[[คะแนนเต็ม]:[คะแนนเต็ม]]),"",(tbl_task3[95]/tbl_task3[[คะแนนเต็ม]:[คะแนนเต็ม]])*tbl_task3[[%]:[%]])</f>
        <v/>
      </c>
      <c r="JF15" s="121" t="str">
        <f>IF(ISBLANK(tbl_task3[[คะแนนเต็ม]:[คะแนนเต็ม]]),"",(tbl_task3[96]/tbl_task3[[คะแนนเต็ม]:[คะแนนเต็ม]])*tbl_task3[[%]:[%]])</f>
        <v/>
      </c>
      <c r="JG15" s="121" t="str">
        <f>IF(ISBLANK(tbl_task3[[คะแนนเต็ม]:[คะแนนเต็ม]]),"",(tbl_task3[97]/tbl_task3[[คะแนนเต็ม]:[คะแนนเต็ม]])*tbl_task3[[%]:[%]])</f>
        <v/>
      </c>
      <c r="JH15" s="121" t="str">
        <f>IF(ISBLANK(tbl_task3[[คะแนนเต็ม]:[คะแนนเต็ม]]),"",(tbl_task3[98]/tbl_task3[[คะแนนเต็ม]:[คะแนนเต็ม]])*tbl_task3[[%]:[%]])</f>
        <v/>
      </c>
      <c r="JI15" s="121" t="str">
        <f>IF(ISBLANK(tbl_task3[[คะแนนเต็ม]:[คะแนนเต็ม]]),"",(tbl_task3[99]/tbl_task3[[คะแนนเต็ม]:[คะแนนเต็ม]])*tbl_task3[[%]:[%]])</f>
        <v/>
      </c>
      <c r="JJ15" s="121" t="str">
        <f>IF(ISBLANK(tbl_task3[[คะแนนเต็ม]:[คะแนนเต็ม]]),"",(tbl_task3[100]/tbl_task3[[คะแนนเต็ม]:[คะแนนเต็ม]])*tbl_task3[[%]:[%]])</f>
        <v/>
      </c>
      <c r="JK15" s="121" t="str">
        <f>IF(ISBLANK(tbl_task3[[คะแนนเต็ม]:[คะแนนเต็ม]]),"",(tbl_task3[101]/tbl_task3[[คะแนนเต็ม]:[คะแนนเต็ม]])*tbl_task3[[%]:[%]])</f>
        <v/>
      </c>
      <c r="JL15" s="121" t="str">
        <f>IF(ISBLANK(tbl_task3[[คะแนนเต็ม]:[คะแนนเต็ม]]),"",(tbl_task3[102]/tbl_task3[[คะแนนเต็ม]:[คะแนนเต็ม]])*tbl_task3[[%]:[%]])</f>
        <v/>
      </c>
      <c r="JM15" s="121" t="str">
        <f>IF(ISBLANK(tbl_task3[[คะแนนเต็ม]:[คะแนนเต็ม]]),"",(tbl_task3[103]/tbl_task3[[คะแนนเต็ม]:[คะแนนเต็ม]])*tbl_task3[[%]:[%]])</f>
        <v/>
      </c>
      <c r="JN15" s="121" t="str">
        <f>IF(ISBLANK(tbl_task3[[คะแนนเต็ม]:[คะแนนเต็ม]]),"",(tbl_task3[104]/tbl_task3[[คะแนนเต็ม]:[คะแนนเต็ม]])*tbl_task3[[%]:[%]])</f>
        <v/>
      </c>
      <c r="JO15" s="121" t="str">
        <f>IF(ISBLANK(tbl_task3[[คะแนนเต็ม]:[คะแนนเต็ม]]),"",(tbl_task3[105]/tbl_task3[[คะแนนเต็ม]:[คะแนนเต็ม]])*tbl_task3[[%]:[%]])</f>
        <v/>
      </c>
      <c r="JP15" s="121" t="str">
        <f>IF(ISBLANK(tbl_task3[[คะแนนเต็ม]:[คะแนนเต็ม]]),"",(tbl_task3[106]/tbl_task3[[คะแนนเต็ม]:[คะแนนเต็ม]])*tbl_task3[[%]:[%]])</f>
        <v/>
      </c>
      <c r="JQ15" s="121" t="str">
        <f>IF(ISBLANK(tbl_task3[[คะแนนเต็ม]:[คะแนนเต็ม]]),"",(tbl_task3[107]/tbl_task3[[คะแนนเต็ม]:[คะแนนเต็ม]])*tbl_task3[[%]:[%]])</f>
        <v/>
      </c>
      <c r="JR15" s="121" t="str">
        <f>IF(ISBLANK(tbl_task3[[คะแนนเต็ม]:[คะแนนเต็ม]]),"",(tbl_task3[108]/tbl_task3[[คะแนนเต็ม]:[คะแนนเต็ม]])*tbl_task3[[%]:[%]])</f>
        <v/>
      </c>
      <c r="JS15" s="121" t="str">
        <f>IF(ISBLANK(tbl_task3[[คะแนนเต็ม]:[คะแนนเต็ม]]),"",(tbl_task3[109]/tbl_task3[[คะแนนเต็ม]:[คะแนนเต็ม]])*tbl_task3[[%]:[%]])</f>
        <v/>
      </c>
      <c r="JT15" s="121" t="str">
        <f>IF(ISBLANK(tbl_task3[[คะแนนเต็ม]:[คะแนนเต็ม]]),"",(tbl_task3[110]/tbl_task3[[คะแนนเต็ม]:[คะแนนเต็ม]])*tbl_task3[[%]:[%]])</f>
        <v/>
      </c>
      <c r="JU15" s="121" t="str">
        <f>IF(ISBLANK(tbl_task3[[คะแนนเต็ม]:[คะแนนเต็ม]]),"",(tbl_task3[111]/tbl_task3[[คะแนนเต็ม]:[คะแนนเต็ม]])*tbl_task3[[%]:[%]])</f>
        <v/>
      </c>
      <c r="JV15" s="121" t="str">
        <f>IF(ISBLANK(tbl_task3[[คะแนนเต็ม]:[คะแนนเต็ม]]),"",(tbl_task3[112]/tbl_task3[[คะแนนเต็ม]:[คะแนนเต็ม]])*tbl_task3[[%]:[%]])</f>
        <v/>
      </c>
      <c r="JW15" s="121" t="str">
        <f>IF(ISBLANK(tbl_task3[[คะแนนเต็ม]:[คะแนนเต็ม]]),"",(tbl_task3[113]/tbl_task3[[คะแนนเต็ม]:[คะแนนเต็ม]])*tbl_task3[[%]:[%]])</f>
        <v/>
      </c>
      <c r="JX15" s="121" t="str">
        <f>IF(ISBLANK(tbl_task3[[คะแนนเต็ม]:[คะแนนเต็ม]]),"",(tbl_task3[114]/tbl_task3[[คะแนนเต็ม]:[คะแนนเต็ม]])*tbl_task3[[%]:[%]])</f>
        <v/>
      </c>
      <c r="JY15" s="121" t="str">
        <f>IF(ISBLANK(tbl_task3[[คะแนนเต็ม]:[คะแนนเต็ม]]),"",(tbl_task3[115]/tbl_task3[[คะแนนเต็ม]:[คะแนนเต็ม]])*tbl_task3[[%]:[%]])</f>
        <v/>
      </c>
      <c r="JZ15" s="121" t="str">
        <f>IF(ISBLANK(tbl_task3[[คะแนนเต็ม]:[คะแนนเต็ม]]),"",(tbl_task3[116]/tbl_task3[[คะแนนเต็ม]:[คะแนนเต็ม]])*tbl_task3[[%]:[%]])</f>
        <v/>
      </c>
      <c r="KA15" s="121" t="str">
        <f>IF(ISBLANK(tbl_task3[[คะแนนเต็ม]:[คะแนนเต็ม]]),"",(tbl_task3[117]/tbl_task3[[คะแนนเต็ม]:[คะแนนเต็ม]])*tbl_task3[[%]:[%]])</f>
        <v/>
      </c>
      <c r="KB15" s="121" t="str">
        <f>IF(ISBLANK(tbl_task3[[คะแนนเต็ม]:[คะแนนเต็ม]]),"",(tbl_task3[118]/tbl_task3[[คะแนนเต็ม]:[คะแนนเต็ม]])*tbl_task3[[%]:[%]])</f>
        <v/>
      </c>
      <c r="KC15" s="121" t="str">
        <f>IF(ISBLANK(tbl_task3[[คะแนนเต็ม]:[คะแนนเต็ม]]),"",(tbl_task3[119]/tbl_task3[[คะแนนเต็ม]:[คะแนนเต็ม]])*tbl_task3[[%]:[%]])</f>
        <v/>
      </c>
      <c r="KD15" s="121" t="str">
        <f>IF(ISBLANK(tbl_task3[[คะแนนเต็ม]:[คะแนนเต็ม]]),"",(tbl_task3[120]/tbl_task3[[คะแนนเต็ม]:[คะแนนเต็ม]])*tbl_task3[[%]:[%]])</f>
        <v/>
      </c>
      <c r="KE15" s="121" t="str">
        <f>IF(ISBLANK(tbl_task3[[คะแนนเต็ม]:[คะแนนเต็ม]]),"",(tbl_task3[121]/tbl_task3[[คะแนนเต็ม]:[คะแนนเต็ม]])*tbl_task3[[%]:[%]])</f>
        <v/>
      </c>
      <c r="KF15" s="121" t="str">
        <f>IF(ISBLANK(tbl_task3[[คะแนนเต็ม]:[คะแนนเต็ม]]),"",(tbl_task3[122]/tbl_task3[[คะแนนเต็ม]:[คะแนนเต็ม]])*tbl_task3[[%]:[%]])</f>
        <v/>
      </c>
      <c r="KG15" s="121" t="str">
        <f>IF(ISBLANK(tbl_task3[[คะแนนเต็ม]:[คะแนนเต็ม]]),"",(tbl_task3[123]/tbl_task3[[คะแนนเต็ม]:[คะแนนเต็ม]])*tbl_task3[[%]:[%]])</f>
        <v/>
      </c>
      <c r="KH15" s="121" t="str">
        <f>IF(ISBLANK(tbl_task3[[คะแนนเต็ม]:[คะแนนเต็ม]]),"",(tbl_task3[124]/tbl_task3[[คะแนนเต็ม]:[คะแนนเต็ม]])*tbl_task3[[%]:[%]])</f>
        <v/>
      </c>
      <c r="KI15" s="121" t="str">
        <f>IF(ISBLANK(tbl_task3[[คะแนนเต็ม]:[คะแนนเต็ม]]),"",(tbl_task3[125]/tbl_task3[[คะแนนเต็ม]:[คะแนนเต็ม]])*tbl_task3[[%]:[%]])</f>
        <v/>
      </c>
      <c r="KJ15" s="121" t="str">
        <f>IF(ISBLANK(tbl_task3[[คะแนนเต็ม]:[คะแนนเต็ม]]),"",(tbl_task3[126]/tbl_task3[[คะแนนเต็ม]:[คะแนนเต็ม]])*tbl_task3[[%]:[%]])</f>
        <v/>
      </c>
      <c r="KK15" s="121" t="str">
        <f>IF(ISBLANK(tbl_task3[[คะแนนเต็ม]:[คะแนนเต็ม]]),"",(tbl_task3[127]/tbl_task3[[คะแนนเต็ม]:[คะแนนเต็ม]])*tbl_task3[[%]:[%]])</f>
        <v/>
      </c>
      <c r="KL15" s="121" t="str">
        <f>IF(ISBLANK(tbl_task3[[คะแนนเต็ม]:[คะแนนเต็ม]]),"",(tbl_task3[128]/tbl_task3[[คะแนนเต็ม]:[คะแนนเต็ม]])*tbl_task3[[%]:[%]])</f>
        <v/>
      </c>
      <c r="KM15" s="121" t="str">
        <f>IF(ISBLANK(tbl_task3[[คะแนนเต็ม]:[คะแนนเต็ม]]),"",(tbl_task3[129]/tbl_task3[[คะแนนเต็ม]:[คะแนนเต็ม]])*tbl_task3[[%]:[%]])</f>
        <v/>
      </c>
      <c r="KN15" s="121" t="str">
        <f>IF(ISBLANK(tbl_task3[[คะแนนเต็ม]:[คะแนนเต็ม]]),"",(tbl_task3[130]/tbl_task3[[คะแนนเต็ม]:[คะแนนเต็ม]])*tbl_task3[[%]:[%]])</f>
        <v/>
      </c>
      <c r="KO15" s="121" t="str">
        <f>IF(ISBLANK(tbl_task3[[คะแนนเต็ม]:[คะแนนเต็ม]]),"",(tbl_task3[131]/tbl_task3[[คะแนนเต็ม]:[คะแนนเต็ม]])*tbl_task3[[%]:[%]])</f>
        <v/>
      </c>
      <c r="KP15" s="121" t="str">
        <f>IF(ISBLANK(tbl_task3[[คะแนนเต็ม]:[คะแนนเต็ม]]),"",(tbl_task3[132]/tbl_task3[[คะแนนเต็ม]:[คะแนนเต็ม]])*tbl_task3[[%]:[%]])</f>
        <v/>
      </c>
      <c r="KQ15" s="121" t="str">
        <f>IF(ISBLANK(tbl_task3[[คะแนนเต็ม]:[คะแนนเต็ม]]),"",(tbl_task3[133]/tbl_task3[[คะแนนเต็ม]:[คะแนนเต็ม]])*tbl_task3[[%]:[%]])</f>
        <v/>
      </c>
      <c r="KR15" s="121" t="str">
        <f>IF(ISBLANK(tbl_task3[[คะแนนเต็ม]:[คะแนนเต็ม]]),"",(tbl_task3[134]/tbl_task3[[คะแนนเต็ม]:[คะแนนเต็ม]])*tbl_task3[[%]:[%]])</f>
        <v/>
      </c>
      <c r="KS15" s="121" t="str">
        <f>IF(ISBLANK(tbl_task3[[คะแนนเต็ม]:[คะแนนเต็ม]]),"",(tbl_task3[135]/tbl_task3[[คะแนนเต็ม]:[คะแนนเต็ม]])*tbl_task3[[%]:[%]])</f>
        <v/>
      </c>
      <c r="KT15" s="121" t="str">
        <f>IF(ISBLANK(tbl_task3[[คะแนนเต็ม]:[คะแนนเต็ม]]),"",(tbl_task3[136]/tbl_task3[[คะแนนเต็ม]:[คะแนนเต็ม]])*tbl_task3[[%]:[%]])</f>
        <v/>
      </c>
      <c r="KU15" s="121" t="str">
        <f>IF(ISBLANK(tbl_task3[[คะแนนเต็ม]:[คะแนนเต็ม]]),"",(tbl_task3[137]/tbl_task3[[คะแนนเต็ม]:[คะแนนเต็ม]])*tbl_task3[[%]:[%]])</f>
        <v/>
      </c>
      <c r="KV15" s="121" t="str">
        <f>IF(ISBLANK(tbl_task3[[คะแนนเต็ม]:[คะแนนเต็ม]]),"",(tbl_task3[138]/tbl_task3[[คะแนนเต็ม]:[คะแนนเต็ม]])*tbl_task3[[%]:[%]])</f>
        <v/>
      </c>
      <c r="KW15" s="121" t="str">
        <f>IF(ISBLANK(tbl_task3[[คะแนนเต็ม]:[คะแนนเต็ม]]),"",(tbl_task3[139]/tbl_task3[[คะแนนเต็ม]:[คะแนนเต็ม]])*tbl_task3[[%]:[%]])</f>
        <v/>
      </c>
      <c r="KX15" s="121" t="str">
        <f>IF(ISBLANK(tbl_task3[[คะแนนเต็ม]:[คะแนนเต็ม]]),"",(tbl_task3[140]/tbl_task3[[คะแนนเต็ม]:[คะแนนเต็ม]])*tbl_task3[[%]:[%]])</f>
        <v/>
      </c>
      <c r="KY15" s="121" t="str">
        <f>IF(ISBLANK(tbl_task3[[คะแนนเต็ม]:[คะแนนเต็ม]]),"",(tbl_task3[141]/tbl_task3[[คะแนนเต็ม]:[คะแนนเต็ม]])*tbl_task3[[%]:[%]])</f>
        <v/>
      </c>
      <c r="KZ15" s="121" t="str">
        <f>IF(ISBLANK(tbl_task3[[คะแนนเต็ม]:[คะแนนเต็ม]]),"",(tbl_task3[142]/tbl_task3[[คะแนนเต็ม]:[คะแนนเต็ม]])*tbl_task3[[%]:[%]])</f>
        <v/>
      </c>
      <c r="LA15" s="121" t="str">
        <f>IF(ISBLANK(tbl_task3[[คะแนนเต็ม]:[คะแนนเต็ม]]),"",(tbl_task3[143]/tbl_task3[[คะแนนเต็ม]:[คะแนนเต็ม]])*tbl_task3[[%]:[%]])</f>
        <v/>
      </c>
      <c r="LB15" s="121" t="str">
        <f>IF(ISBLANK(tbl_task3[[คะแนนเต็ม]:[คะแนนเต็ม]]),"",(tbl_task3[144]/tbl_task3[[คะแนนเต็ม]:[คะแนนเต็ม]])*tbl_task3[[%]:[%]])</f>
        <v/>
      </c>
      <c r="LC15" s="121" t="str">
        <f>IF(ISBLANK(tbl_task3[[คะแนนเต็ม]:[คะแนนเต็ม]]),"",(tbl_task3[145]/tbl_task3[[คะแนนเต็ม]:[คะแนนเต็ม]])*tbl_task3[[%]:[%]])</f>
        <v/>
      </c>
      <c r="LD15" s="121" t="str">
        <f>IF(ISBLANK(tbl_task3[[คะแนนเต็ม]:[คะแนนเต็ม]]),"",(tbl_task3[146]/tbl_task3[[คะแนนเต็ม]:[คะแนนเต็ม]])*tbl_task3[[%]:[%]])</f>
        <v/>
      </c>
      <c r="LE15" s="121" t="str">
        <f>IF(ISBLANK(tbl_task3[[คะแนนเต็ม]:[คะแนนเต็ม]]),"",(tbl_task3[147]/tbl_task3[[คะแนนเต็ม]:[คะแนนเต็ม]])*tbl_task3[[%]:[%]])</f>
        <v/>
      </c>
      <c r="LF15" s="121" t="str">
        <f>IF(ISBLANK(tbl_task3[[คะแนนเต็ม]:[คะแนนเต็ม]]),"",(tbl_task3[148]/tbl_task3[[คะแนนเต็ม]:[คะแนนเต็ม]])*tbl_task3[[%]:[%]])</f>
        <v/>
      </c>
      <c r="LG15" s="121" t="str">
        <f>IF(ISBLANK(tbl_task3[[คะแนนเต็ม]:[คะแนนเต็ม]]),"",(tbl_task3[149]/tbl_task3[[คะแนนเต็ม]:[คะแนนเต็ม]])*tbl_task3[[%]:[%]])</f>
        <v/>
      </c>
      <c r="LH15" s="121" t="str">
        <f>IF(ISBLANK(tbl_task3[[คะแนนเต็ม]:[คะแนนเต็ม]]),"",(tbl_task3[150]/tbl_task3[[คะแนนเต็ม]:[คะแนนเต็ม]])*tbl_task3[[%]:[%]])</f>
        <v/>
      </c>
      <c r="LI15" s="121" t="str">
        <f>IF(ISBLANK(tbl_task3[[คะแนนเต็ม]:[คะแนนเต็ม]]),"",(tbl_task3[151]/tbl_task3[[คะแนนเต็ม]:[คะแนนเต็ม]])*tbl_task3[[%]:[%]])</f>
        <v/>
      </c>
      <c r="LJ15" s="121" t="str">
        <f>IF(ISBLANK(tbl_task3[[คะแนนเต็ม]:[คะแนนเต็ม]]),"",(tbl_task3[152]/tbl_task3[[คะแนนเต็ม]:[คะแนนเต็ม]])*tbl_task3[[%]:[%]])</f>
        <v/>
      </c>
      <c r="LK15" s="121" t="str">
        <f>IF(ISBLANK(tbl_task3[[คะแนนเต็ม]:[คะแนนเต็ม]]),"",(tbl_task3[153]/tbl_task3[[คะแนนเต็ม]:[คะแนนเต็ม]])*tbl_task3[[%]:[%]])</f>
        <v/>
      </c>
      <c r="LL15" s="121" t="str">
        <f>IF(ISBLANK(tbl_task3[[คะแนนเต็ม]:[คะแนนเต็ม]]),"",(tbl_task3[154]/tbl_task3[[คะแนนเต็ม]:[คะแนนเต็ม]])*tbl_task3[[%]:[%]])</f>
        <v/>
      </c>
      <c r="LM15" s="121" t="str">
        <f>IF(ISBLANK(tbl_task3[[คะแนนเต็ม]:[คะแนนเต็ม]]),"",(tbl_task3[155]/tbl_task3[[คะแนนเต็ม]:[คะแนนเต็ม]])*tbl_task3[[%]:[%]])</f>
        <v/>
      </c>
      <c r="LN15" s="121" t="str">
        <f>IF(ISBLANK(tbl_task3[[คะแนนเต็ม]:[คะแนนเต็ม]]),"",(tbl_task3[156]/tbl_task3[[คะแนนเต็ม]:[คะแนนเต็ม]])*tbl_task3[[%]:[%]])</f>
        <v/>
      </c>
      <c r="LO15" s="121" t="str">
        <f>IF(ISBLANK(tbl_task3[[คะแนนเต็ม]:[คะแนนเต็ม]]),"",(tbl_task3[157]/tbl_task3[[คะแนนเต็ม]:[คะแนนเต็ม]])*tbl_task3[[%]:[%]])</f>
        <v/>
      </c>
      <c r="LP15" s="121" t="str">
        <f>IF(ISBLANK(tbl_task3[[คะแนนเต็ม]:[คะแนนเต็ม]]),"",(tbl_task3[158]/tbl_task3[[คะแนนเต็ม]:[คะแนนเต็ม]])*tbl_task3[[%]:[%]])</f>
        <v/>
      </c>
      <c r="LQ15" s="121" t="str">
        <f>IF(ISBLANK(tbl_task3[[คะแนนเต็ม]:[คะแนนเต็ม]]),"",(tbl_task3[159]/tbl_task3[[คะแนนเต็ม]:[คะแนนเต็ม]])*tbl_task3[[%]:[%]])</f>
        <v/>
      </c>
      <c r="LR15" s="121" t="str">
        <f>IF(ISBLANK(tbl_task3[[คะแนนเต็ม]:[คะแนนเต็ม]]),"",(tbl_task3[160]/tbl_task3[[คะแนนเต็ม]:[คะแนนเต็ม]])*tbl_task3[[%]:[%]])</f>
        <v/>
      </c>
      <c r="LS15" s="121" t="str">
        <f>IF(ISBLANK(tbl_task3[[คะแนนเต็ม]:[คะแนนเต็ม]]),"",(tbl_task3[161]/tbl_task3[[คะแนนเต็ม]:[คะแนนเต็ม]])*tbl_task3[[%]:[%]])</f>
        <v/>
      </c>
      <c r="LT15" s="121" t="str">
        <f>IF(ISBLANK(tbl_task3[[คะแนนเต็ม]:[คะแนนเต็ม]]),"",(tbl_task3[162]/tbl_task3[[คะแนนเต็ม]:[คะแนนเต็ม]])*tbl_task3[[%]:[%]])</f>
        <v/>
      </c>
      <c r="LU15" s="121" t="str">
        <f>IF(ISBLANK(tbl_task3[[คะแนนเต็ม]:[คะแนนเต็ม]]),"",(tbl_task3[163]/tbl_task3[[คะแนนเต็ม]:[คะแนนเต็ม]])*tbl_task3[[%]:[%]])</f>
        <v/>
      </c>
      <c r="LV15" s="121" t="str">
        <f>IF(ISBLANK(tbl_task3[[คะแนนเต็ม]:[คะแนนเต็ม]]),"",(tbl_task3[164]/tbl_task3[[คะแนนเต็ม]:[คะแนนเต็ม]])*tbl_task3[[%]:[%]])</f>
        <v/>
      </c>
      <c r="LW15" s="121" t="str">
        <f>IF(ISBLANK(tbl_task3[[คะแนนเต็ม]:[คะแนนเต็ม]]),"",(tbl_task3[165]/tbl_task3[[คะแนนเต็ม]:[คะแนนเต็ม]])*tbl_task3[[%]:[%]])</f>
        <v/>
      </c>
    </row>
    <row r="16" spans="1:335" ht="24" customHeight="1" x14ac:dyDescent="0.25">
      <c r="A16" s="24">
        <v>13</v>
      </c>
      <c r="B16" s="20"/>
      <c r="C16" s="5" t="str">
        <f>IF(ISBLANK(B16),"",VLOOKUP(B16,tbl_PLOs[],2,0))</f>
        <v/>
      </c>
      <c r="D16" s="102"/>
      <c r="E16" s="106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121" t="str">
        <f>IF(ISBLANK(tbl_task3[[คะแนนเต็ม]:[คะแนนเต็ม]]),"",(tbl_task3[1]/tbl_task3[[คะแนนเต็ม]:[คะแนนเต็ม]])*tbl_task3[[%]:[%]])</f>
        <v/>
      </c>
      <c r="FP16" s="121" t="str">
        <f>IF(ISBLANK(tbl_task3[[คะแนนเต็ม]:[คะแนนเต็ม]]),"",(tbl_task3[2]/tbl_task3[[คะแนนเต็ม]:[คะแนนเต็ม]])*tbl_task3[[%]:[%]])</f>
        <v/>
      </c>
      <c r="FQ16" s="121" t="str">
        <f>IF(ISBLANK(tbl_task3[[คะแนนเต็ม]:[คะแนนเต็ม]]),"",(tbl_task3[3]/tbl_task3[[คะแนนเต็ม]:[คะแนนเต็ม]])*tbl_task3[[%]:[%]])</f>
        <v/>
      </c>
      <c r="FR16" s="121" t="str">
        <f>IF(ISBLANK(tbl_task3[[คะแนนเต็ม]:[คะแนนเต็ม]]),"",(tbl_task3[4]/tbl_task3[[คะแนนเต็ม]:[คะแนนเต็ม]])*tbl_task3[[%]:[%]])</f>
        <v/>
      </c>
      <c r="FS16" s="121" t="str">
        <f>IF(ISBLANK(tbl_task3[[คะแนนเต็ม]:[คะแนนเต็ม]]),"",(tbl_task3[5]/tbl_task3[[คะแนนเต็ม]:[คะแนนเต็ม]])*tbl_task3[[%]:[%]])</f>
        <v/>
      </c>
      <c r="FT16" s="121" t="str">
        <f>IF(ISBLANK(tbl_task3[[คะแนนเต็ม]:[คะแนนเต็ม]]),"",(tbl_task3[6]/tbl_task3[[คะแนนเต็ม]:[คะแนนเต็ม]])*tbl_task3[[%]:[%]])</f>
        <v/>
      </c>
      <c r="FU16" s="121" t="str">
        <f>IF(ISBLANK(tbl_task3[[คะแนนเต็ม]:[คะแนนเต็ม]]),"",(tbl_task3[7]/tbl_task3[[คะแนนเต็ม]:[คะแนนเต็ม]])*tbl_task3[[%]:[%]])</f>
        <v/>
      </c>
      <c r="FV16" s="121" t="str">
        <f>IF(ISBLANK(tbl_task3[[คะแนนเต็ม]:[คะแนนเต็ม]]),"",(tbl_task3[8]/tbl_task3[[คะแนนเต็ม]:[คะแนนเต็ม]])*tbl_task3[[%]:[%]])</f>
        <v/>
      </c>
      <c r="FW16" s="121" t="str">
        <f>IF(ISBLANK(tbl_task3[[คะแนนเต็ม]:[คะแนนเต็ม]]),"",(tbl_task3[9]/tbl_task3[[คะแนนเต็ม]:[คะแนนเต็ม]])*tbl_task3[[%]:[%]])</f>
        <v/>
      </c>
      <c r="FX16" s="121" t="str">
        <f>IF(ISBLANK(tbl_task3[[คะแนนเต็ม]:[คะแนนเต็ม]]),"",(tbl_task3[10]/tbl_task3[[คะแนนเต็ม]:[คะแนนเต็ม]])*tbl_task3[[%]:[%]])</f>
        <v/>
      </c>
      <c r="FY16" s="121" t="str">
        <f>IF(ISBLANK(tbl_task3[[คะแนนเต็ม]:[คะแนนเต็ม]]),"",(tbl_task3[11]/tbl_task3[[คะแนนเต็ม]:[คะแนนเต็ม]])*tbl_task3[[%]:[%]])</f>
        <v/>
      </c>
      <c r="FZ16" s="121" t="str">
        <f>IF(ISBLANK(tbl_task3[[คะแนนเต็ม]:[คะแนนเต็ม]]),"",(tbl_task3[12]/tbl_task3[[คะแนนเต็ม]:[คะแนนเต็ม]])*tbl_task3[[%]:[%]])</f>
        <v/>
      </c>
      <c r="GA16" s="121" t="str">
        <f>IF(ISBLANK(tbl_task3[[คะแนนเต็ม]:[คะแนนเต็ม]]),"",(tbl_task3[13]/tbl_task3[[คะแนนเต็ม]:[คะแนนเต็ม]])*tbl_task3[[%]:[%]])</f>
        <v/>
      </c>
      <c r="GB16" s="121" t="str">
        <f>IF(ISBLANK(tbl_task3[[คะแนนเต็ม]:[คะแนนเต็ม]]),"",(tbl_task3[14]/tbl_task3[[คะแนนเต็ม]:[คะแนนเต็ม]])*tbl_task3[[%]:[%]])</f>
        <v/>
      </c>
      <c r="GC16" s="121" t="str">
        <f>IF(ISBLANK(tbl_task3[[คะแนนเต็ม]:[คะแนนเต็ม]]),"",(tbl_task3[15]/tbl_task3[[คะแนนเต็ม]:[คะแนนเต็ม]])*tbl_task3[[%]:[%]])</f>
        <v/>
      </c>
      <c r="GD16" s="121" t="str">
        <f>IF(ISBLANK(tbl_task3[[คะแนนเต็ม]:[คะแนนเต็ม]]),"",(tbl_task3[16]/tbl_task3[[คะแนนเต็ม]:[คะแนนเต็ม]])*tbl_task3[[%]:[%]])</f>
        <v/>
      </c>
      <c r="GE16" s="121" t="str">
        <f>IF(ISBLANK(tbl_task3[[คะแนนเต็ม]:[คะแนนเต็ม]]),"",(tbl_task3[17]/tbl_task3[[คะแนนเต็ม]:[คะแนนเต็ม]])*tbl_task3[[%]:[%]])</f>
        <v/>
      </c>
      <c r="GF16" s="121" t="str">
        <f>IF(ISBLANK(tbl_task3[[คะแนนเต็ม]:[คะแนนเต็ม]]),"",(tbl_task3[18]/tbl_task3[[คะแนนเต็ม]:[คะแนนเต็ม]])*tbl_task3[[%]:[%]])</f>
        <v/>
      </c>
      <c r="GG16" s="121" t="str">
        <f>IF(ISBLANK(tbl_task3[[คะแนนเต็ม]:[คะแนนเต็ม]]),"",(tbl_task3[19]/tbl_task3[[คะแนนเต็ม]:[คะแนนเต็ม]])*tbl_task3[[%]:[%]])</f>
        <v/>
      </c>
      <c r="GH16" s="121" t="str">
        <f>IF(ISBLANK(tbl_task3[[คะแนนเต็ม]:[คะแนนเต็ม]]),"",(tbl_task3[20]/tbl_task3[[คะแนนเต็ม]:[คะแนนเต็ม]])*tbl_task3[[%]:[%]])</f>
        <v/>
      </c>
      <c r="GI16" s="121" t="str">
        <f>IF(ISBLANK(tbl_task3[[คะแนนเต็ม]:[คะแนนเต็ม]]),"",(tbl_task3[21]/tbl_task3[[คะแนนเต็ม]:[คะแนนเต็ม]])*tbl_task3[[%]:[%]])</f>
        <v/>
      </c>
      <c r="GJ16" s="121" t="str">
        <f>IF(ISBLANK(tbl_task3[[คะแนนเต็ม]:[คะแนนเต็ม]]),"",(tbl_task3[22]/tbl_task3[[คะแนนเต็ม]:[คะแนนเต็ม]])*tbl_task3[[%]:[%]])</f>
        <v/>
      </c>
      <c r="GK16" s="121" t="str">
        <f>IF(ISBLANK(tbl_task3[[คะแนนเต็ม]:[คะแนนเต็ม]]),"",(tbl_task3[23]/tbl_task3[[คะแนนเต็ม]:[คะแนนเต็ม]])*tbl_task3[[%]:[%]])</f>
        <v/>
      </c>
      <c r="GL16" s="121" t="str">
        <f>IF(ISBLANK(tbl_task3[[คะแนนเต็ม]:[คะแนนเต็ม]]),"",(tbl_task3[24]/tbl_task3[[คะแนนเต็ม]:[คะแนนเต็ม]])*tbl_task3[[%]:[%]])</f>
        <v/>
      </c>
      <c r="GM16" s="121" t="str">
        <f>IF(ISBLANK(tbl_task3[[คะแนนเต็ม]:[คะแนนเต็ม]]),"",(tbl_task3[25]/tbl_task3[[คะแนนเต็ม]:[คะแนนเต็ม]])*tbl_task3[[%]:[%]])</f>
        <v/>
      </c>
      <c r="GN16" s="121" t="str">
        <f>IF(ISBLANK(tbl_task3[[คะแนนเต็ม]:[คะแนนเต็ม]]),"",(tbl_task3[26]/tbl_task3[[คะแนนเต็ม]:[คะแนนเต็ม]])*tbl_task3[[%]:[%]])</f>
        <v/>
      </c>
      <c r="GO16" s="121" t="str">
        <f>IF(ISBLANK(tbl_task3[[คะแนนเต็ม]:[คะแนนเต็ม]]),"",(tbl_task3[27]/tbl_task3[[คะแนนเต็ม]:[คะแนนเต็ม]])*tbl_task3[[%]:[%]])</f>
        <v/>
      </c>
      <c r="GP16" s="121" t="str">
        <f>IF(ISBLANK(tbl_task3[[คะแนนเต็ม]:[คะแนนเต็ม]]),"",(tbl_task3[28]/tbl_task3[[คะแนนเต็ม]:[คะแนนเต็ม]])*tbl_task3[[%]:[%]])</f>
        <v/>
      </c>
      <c r="GQ16" s="121" t="str">
        <f>IF(ISBLANK(tbl_task3[[คะแนนเต็ม]:[คะแนนเต็ม]]),"",(tbl_task3[29]/tbl_task3[[คะแนนเต็ม]:[คะแนนเต็ม]])*tbl_task3[[%]:[%]])</f>
        <v/>
      </c>
      <c r="GR16" s="121" t="str">
        <f>IF(ISBLANK(tbl_task3[[คะแนนเต็ม]:[คะแนนเต็ม]]),"",(tbl_task3[30]/tbl_task3[[คะแนนเต็ม]:[คะแนนเต็ม]])*tbl_task3[[%]:[%]])</f>
        <v/>
      </c>
      <c r="GS16" s="121" t="str">
        <f>IF(ISBLANK(tbl_task3[[คะแนนเต็ม]:[คะแนนเต็ม]]),"",(tbl_task3[31]/tbl_task3[[คะแนนเต็ม]:[คะแนนเต็ม]])*tbl_task3[[%]:[%]])</f>
        <v/>
      </c>
      <c r="GT16" s="121" t="str">
        <f>IF(ISBLANK(tbl_task3[[คะแนนเต็ม]:[คะแนนเต็ม]]),"",(tbl_task3[32]/tbl_task3[[คะแนนเต็ม]:[คะแนนเต็ม]])*tbl_task3[[%]:[%]])</f>
        <v/>
      </c>
      <c r="GU16" s="121" t="str">
        <f>IF(ISBLANK(tbl_task3[[คะแนนเต็ม]:[คะแนนเต็ม]]),"",(tbl_task3[33]/tbl_task3[[คะแนนเต็ม]:[คะแนนเต็ม]])*tbl_task3[[%]:[%]])</f>
        <v/>
      </c>
      <c r="GV16" s="121" t="str">
        <f>IF(ISBLANK(tbl_task3[[คะแนนเต็ม]:[คะแนนเต็ม]]),"",(tbl_task3[34]/tbl_task3[[คะแนนเต็ม]:[คะแนนเต็ม]])*tbl_task3[[%]:[%]])</f>
        <v/>
      </c>
      <c r="GW16" s="121" t="str">
        <f>IF(ISBLANK(tbl_task3[[คะแนนเต็ม]:[คะแนนเต็ม]]),"",(tbl_task3[35]/tbl_task3[[คะแนนเต็ม]:[คะแนนเต็ม]])*tbl_task3[[%]:[%]])</f>
        <v/>
      </c>
      <c r="GX16" s="121" t="str">
        <f>IF(ISBLANK(tbl_task3[[คะแนนเต็ม]:[คะแนนเต็ม]]),"",(tbl_task3[36]/tbl_task3[[คะแนนเต็ม]:[คะแนนเต็ม]])*tbl_task3[[%]:[%]])</f>
        <v/>
      </c>
      <c r="GY16" s="121" t="str">
        <f>IF(ISBLANK(tbl_task3[[คะแนนเต็ม]:[คะแนนเต็ม]]),"",(tbl_task3[37]/tbl_task3[[คะแนนเต็ม]:[คะแนนเต็ม]])*tbl_task3[[%]:[%]])</f>
        <v/>
      </c>
      <c r="GZ16" s="121" t="str">
        <f>IF(ISBLANK(tbl_task3[[คะแนนเต็ม]:[คะแนนเต็ม]]),"",(tbl_task3[38]/tbl_task3[[คะแนนเต็ม]:[คะแนนเต็ม]])*tbl_task3[[%]:[%]])</f>
        <v/>
      </c>
      <c r="HA16" s="121" t="str">
        <f>IF(ISBLANK(tbl_task3[[คะแนนเต็ม]:[คะแนนเต็ม]]),"",(tbl_task3[39]/tbl_task3[[คะแนนเต็ม]:[คะแนนเต็ม]])*tbl_task3[[%]:[%]])</f>
        <v/>
      </c>
      <c r="HB16" s="121" t="str">
        <f>IF(ISBLANK(tbl_task3[[คะแนนเต็ม]:[คะแนนเต็ม]]),"",(tbl_task3[40]/tbl_task3[[คะแนนเต็ม]:[คะแนนเต็ม]])*tbl_task3[[%]:[%]])</f>
        <v/>
      </c>
      <c r="HC16" s="121" t="str">
        <f>IF(ISBLANK(tbl_task3[[คะแนนเต็ม]:[คะแนนเต็ม]]),"",(tbl_task3[41]/tbl_task3[[คะแนนเต็ม]:[คะแนนเต็ม]])*tbl_task3[[%]:[%]])</f>
        <v/>
      </c>
      <c r="HD16" s="121" t="str">
        <f>IF(ISBLANK(tbl_task3[[คะแนนเต็ม]:[คะแนนเต็ม]]),"",(tbl_task3[42]/tbl_task3[[คะแนนเต็ม]:[คะแนนเต็ม]])*tbl_task3[[%]:[%]])</f>
        <v/>
      </c>
      <c r="HE16" s="121" t="str">
        <f>IF(ISBLANK(tbl_task3[[คะแนนเต็ม]:[คะแนนเต็ม]]),"",(tbl_task3[43]/tbl_task3[[คะแนนเต็ม]:[คะแนนเต็ม]])*tbl_task3[[%]:[%]])</f>
        <v/>
      </c>
      <c r="HF16" s="121" t="str">
        <f>IF(ISBLANK(tbl_task3[[คะแนนเต็ม]:[คะแนนเต็ม]]),"",(tbl_task3[44]/tbl_task3[[คะแนนเต็ม]:[คะแนนเต็ม]])*tbl_task3[[%]:[%]])</f>
        <v/>
      </c>
      <c r="HG16" s="121" t="str">
        <f>IF(ISBLANK(tbl_task3[[คะแนนเต็ม]:[คะแนนเต็ม]]),"",(tbl_task3[45]/tbl_task3[[คะแนนเต็ม]:[คะแนนเต็ม]])*tbl_task3[[%]:[%]])</f>
        <v/>
      </c>
      <c r="HH16" s="121" t="str">
        <f>IF(ISBLANK(tbl_task3[[คะแนนเต็ม]:[คะแนนเต็ม]]),"",(tbl_task3[46]/tbl_task3[[คะแนนเต็ม]:[คะแนนเต็ม]])*tbl_task3[[%]:[%]])</f>
        <v/>
      </c>
      <c r="HI16" s="121" t="str">
        <f>IF(ISBLANK(tbl_task3[[คะแนนเต็ม]:[คะแนนเต็ม]]),"",(tbl_task3[47]/tbl_task3[[คะแนนเต็ม]:[คะแนนเต็ม]])*tbl_task3[[%]:[%]])</f>
        <v/>
      </c>
      <c r="HJ16" s="121" t="str">
        <f>IF(ISBLANK(tbl_task3[[คะแนนเต็ม]:[คะแนนเต็ม]]),"",(tbl_task3[48]/tbl_task3[[คะแนนเต็ม]:[คะแนนเต็ม]])*tbl_task3[[%]:[%]])</f>
        <v/>
      </c>
      <c r="HK16" s="121" t="str">
        <f>IF(ISBLANK(tbl_task3[[คะแนนเต็ม]:[คะแนนเต็ม]]),"",(tbl_task3[49]/tbl_task3[[คะแนนเต็ม]:[คะแนนเต็ม]])*tbl_task3[[%]:[%]])</f>
        <v/>
      </c>
      <c r="HL16" s="121" t="str">
        <f>IF(ISBLANK(tbl_task3[[คะแนนเต็ม]:[คะแนนเต็ม]]),"",(tbl_task3[50]/tbl_task3[[คะแนนเต็ม]:[คะแนนเต็ม]])*tbl_task3[[%]:[%]])</f>
        <v/>
      </c>
      <c r="HM16" s="121" t="str">
        <f>IF(ISBLANK(tbl_task3[[คะแนนเต็ม]:[คะแนนเต็ม]]),"",(tbl_task3[51]/tbl_task3[[คะแนนเต็ม]:[คะแนนเต็ม]])*tbl_task3[[%]:[%]])</f>
        <v/>
      </c>
      <c r="HN16" s="121" t="str">
        <f>IF(ISBLANK(tbl_task3[[คะแนนเต็ม]:[คะแนนเต็ม]]),"",(tbl_task3[52]/tbl_task3[[คะแนนเต็ม]:[คะแนนเต็ม]])*tbl_task3[[%]:[%]])</f>
        <v/>
      </c>
      <c r="HO16" s="121" t="str">
        <f>IF(ISBLANK(tbl_task3[[คะแนนเต็ม]:[คะแนนเต็ม]]),"",(tbl_task3[53]/tbl_task3[[คะแนนเต็ม]:[คะแนนเต็ม]])*tbl_task3[[%]:[%]])</f>
        <v/>
      </c>
      <c r="HP16" s="121" t="str">
        <f>IF(ISBLANK(tbl_task3[[คะแนนเต็ม]:[คะแนนเต็ม]]),"",(tbl_task3[54]/tbl_task3[[คะแนนเต็ม]:[คะแนนเต็ม]])*tbl_task3[[%]:[%]])</f>
        <v/>
      </c>
      <c r="HQ16" s="121" t="str">
        <f>IF(ISBLANK(tbl_task3[[คะแนนเต็ม]:[คะแนนเต็ม]]),"",(tbl_task3[55]/tbl_task3[[คะแนนเต็ม]:[คะแนนเต็ม]])*tbl_task3[[%]:[%]])</f>
        <v/>
      </c>
      <c r="HR16" s="121" t="str">
        <f>IF(ISBLANK(tbl_task3[[คะแนนเต็ม]:[คะแนนเต็ม]]),"",(tbl_task3[56]/tbl_task3[[คะแนนเต็ม]:[คะแนนเต็ม]])*tbl_task3[[%]:[%]])</f>
        <v/>
      </c>
      <c r="HS16" s="121" t="str">
        <f>IF(ISBLANK(tbl_task3[[คะแนนเต็ม]:[คะแนนเต็ม]]),"",(tbl_task3[57]/tbl_task3[[คะแนนเต็ม]:[คะแนนเต็ม]])*tbl_task3[[%]:[%]])</f>
        <v/>
      </c>
      <c r="HT16" s="121" t="str">
        <f>IF(ISBLANK(tbl_task3[[คะแนนเต็ม]:[คะแนนเต็ม]]),"",(tbl_task3[58]/tbl_task3[[คะแนนเต็ม]:[คะแนนเต็ม]])*tbl_task3[[%]:[%]])</f>
        <v/>
      </c>
      <c r="HU16" s="121" t="str">
        <f>IF(ISBLANK(tbl_task3[[คะแนนเต็ม]:[คะแนนเต็ม]]),"",(tbl_task3[59]/tbl_task3[[คะแนนเต็ม]:[คะแนนเต็ม]])*tbl_task3[[%]:[%]])</f>
        <v/>
      </c>
      <c r="HV16" s="121" t="str">
        <f>IF(ISBLANK(tbl_task3[[คะแนนเต็ม]:[คะแนนเต็ม]]),"",(tbl_task3[60]/tbl_task3[[คะแนนเต็ม]:[คะแนนเต็ม]])*tbl_task3[[%]:[%]])</f>
        <v/>
      </c>
      <c r="HW16" s="121" t="str">
        <f>IF(ISBLANK(tbl_task3[[คะแนนเต็ม]:[คะแนนเต็ม]]),"",(tbl_task3[61]/tbl_task3[[คะแนนเต็ม]:[คะแนนเต็ม]])*tbl_task3[[%]:[%]])</f>
        <v/>
      </c>
      <c r="HX16" s="121" t="str">
        <f>IF(ISBLANK(tbl_task3[[คะแนนเต็ม]:[คะแนนเต็ม]]),"",(tbl_task3[62]/tbl_task3[[คะแนนเต็ม]:[คะแนนเต็ม]])*tbl_task3[[%]:[%]])</f>
        <v/>
      </c>
      <c r="HY16" s="121" t="str">
        <f>IF(ISBLANK(tbl_task3[[คะแนนเต็ม]:[คะแนนเต็ม]]),"",(tbl_task3[63]/tbl_task3[[คะแนนเต็ม]:[คะแนนเต็ม]])*tbl_task3[[%]:[%]])</f>
        <v/>
      </c>
      <c r="HZ16" s="121" t="str">
        <f>IF(ISBLANK(tbl_task3[[คะแนนเต็ม]:[คะแนนเต็ม]]),"",(tbl_task3[64]/tbl_task3[[คะแนนเต็ม]:[คะแนนเต็ม]])*tbl_task3[[%]:[%]])</f>
        <v/>
      </c>
      <c r="IA16" s="121" t="str">
        <f>IF(ISBLANK(tbl_task3[[คะแนนเต็ม]:[คะแนนเต็ม]]),"",(tbl_task3[65]/tbl_task3[[คะแนนเต็ม]:[คะแนนเต็ม]])*tbl_task3[[%]:[%]])</f>
        <v/>
      </c>
      <c r="IB16" s="121" t="str">
        <f>IF(ISBLANK(tbl_task3[[คะแนนเต็ม]:[คะแนนเต็ม]]),"",(tbl_task3[66]/tbl_task3[[คะแนนเต็ม]:[คะแนนเต็ม]])*tbl_task3[[%]:[%]])</f>
        <v/>
      </c>
      <c r="IC16" s="121" t="str">
        <f>IF(ISBLANK(tbl_task3[[คะแนนเต็ม]:[คะแนนเต็ม]]),"",(tbl_task3[67]/tbl_task3[[คะแนนเต็ม]:[คะแนนเต็ม]])*tbl_task3[[%]:[%]])</f>
        <v/>
      </c>
      <c r="ID16" s="121" t="str">
        <f>IF(ISBLANK(tbl_task3[[คะแนนเต็ม]:[คะแนนเต็ม]]),"",(tbl_task3[68]/tbl_task3[[คะแนนเต็ม]:[คะแนนเต็ม]])*tbl_task3[[%]:[%]])</f>
        <v/>
      </c>
      <c r="IE16" s="121" t="str">
        <f>IF(ISBLANK(tbl_task3[[คะแนนเต็ม]:[คะแนนเต็ม]]),"",(tbl_task3[69]/tbl_task3[[คะแนนเต็ม]:[คะแนนเต็ม]])*tbl_task3[[%]:[%]])</f>
        <v/>
      </c>
      <c r="IF16" s="121" t="str">
        <f>IF(ISBLANK(tbl_task3[[คะแนนเต็ม]:[คะแนนเต็ม]]),"",(tbl_task3[70]/tbl_task3[[คะแนนเต็ม]:[คะแนนเต็ม]])*tbl_task3[[%]:[%]])</f>
        <v/>
      </c>
      <c r="IG16" s="121" t="str">
        <f>IF(ISBLANK(tbl_task3[[คะแนนเต็ม]:[คะแนนเต็ม]]),"",(tbl_task3[71]/tbl_task3[[คะแนนเต็ม]:[คะแนนเต็ม]])*tbl_task3[[%]:[%]])</f>
        <v/>
      </c>
      <c r="IH16" s="121" t="str">
        <f>IF(ISBLANK(tbl_task3[[คะแนนเต็ม]:[คะแนนเต็ม]]),"",(tbl_task3[72]/tbl_task3[[คะแนนเต็ม]:[คะแนนเต็ม]])*tbl_task3[[%]:[%]])</f>
        <v/>
      </c>
      <c r="II16" s="121" t="str">
        <f>IF(ISBLANK(tbl_task3[[คะแนนเต็ม]:[คะแนนเต็ม]]),"",(tbl_task3[73]/tbl_task3[[คะแนนเต็ม]:[คะแนนเต็ม]])*tbl_task3[[%]:[%]])</f>
        <v/>
      </c>
      <c r="IJ16" s="121" t="str">
        <f>IF(ISBLANK(tbl_task3[[คะแนนเต็ม]:[คะแนนเต็ม]]),"",(tbl_task3[74]/tbl_task3[[คะแนนเต็ม]:[คะแนนเต็ม]])*tbl_task3[[%]:[%]])</f>
        <v/>
      </c>
      <c r="IK16" s="121" t="str">
        <f>IF(ISBLANK(tbl_task3[[คะแนนเต็ม]:[คะแนนเต็ม]]),"",(tbl_task3[75]/tbl_task3[[คะแนนเต็ม]:[คะแนนเต็ม]])*tbl_task3[[%]:[%]])</f>
        <v/>
      </c>
      <c r="IL16" s="121" t="str">
        <f>IF(ISBLANK(tbl_task3[[คะแนนเต็ม]:[คะแนนเต็ม]]),"",(tbl_task3[76]/tbl_task3[[คะแนนเต็ม]:[คะแนนเต็ม]])*tbl_task3[[%]:[%]])</f>
        <v/>
      </c>
      <c r="IM16" s="121" t="str">
        <f>IF(ISBLANK(tbl_task3[[คะแนนเต็ม]:[คะแนนเต็ม]]),"",(tbl_task3[77]/tbl_task3[[คะแนนเต็ม]:[คะแนนเต็ม]])*tbl_task3[[%]:[%]])</f>
        <v/>
      </c>
      <c r="IN16" s="121" t="str">
        <f>IF(ISBLANK(tbl_task3[[คะแนนเต็ม]:[คะแนนเต็ม]]),"",(tbl_task3[78]/tbl_task3[[คะแนนเต็ม]:[คะแนนเต็ม]])*tbl_task3[[%]:[%]])</f>
        <v/>
      </c>
      <c r="IO16" s="121" t="str">
        <f>IF(ISBLANK(tbl_task3[[คะแนนเต็ม]:[คะแนนเต็ม]]),"",(tbl_task3[79]/tbl_task3[[คะแนนเต็ม]:[คะแนนเต็ม]])*tbl_task3[[%]:[%]])</f>
        <v/>
      </c>
      <c r="IP16" s="121" t="str">
        <f>IF(ISBLANK(tbl_task3[[คะแนนเต็ม]:[คะแนนเต็ม]]),"",(tbl_task3[80]/tbl_task3[[คะแนนเต็ม]:[คะแนนเต็ม]])*tbl_task3[[%]:[%]])</f>
        <v/>
      </c>
      <c r="IQ16" s="121" t="str">
        <f>IF(ISBLANK(tbl_task3[[คะแนนเต็ม]:[คะแนนเต็ม]]),"",(tbl_task3[81]/tbl_task3[[คะแนนเต็ม]:[คะแนนเต็ม]])*tbl_task3[[%]:[%]])</f>
        <v/>
      </c>
      <c r="IR16" s="121" t="str">
        <f>IF(ISBLANK(tbl_task3[[คะแนนเต็ม]:[คะแนนเต็ม]]),"",(tbl_task3[82]/tbl_task3[[คะแนนเต็ม]:[คะแนนเต็ม]])*tbl_task3[[%]:[%]])</f>
        <v/>
      </c>
      <c r="IS16" s="121" t="str">
        <f>IF(ISBLANK(tbl_task3[[คะแนนเต็ม]:[คะแนนเต็ม]]),"",(tbl_task3[83]/tbl_task3[[คะแนนเต็ม]:[คะแนนเต็ม]])*tbl_task3[[%]:[%]])</f>
        <v/>
      </c>
      <c r="IT16" s="121" t="str">
        <f>IF(ISBLANK(tbl_task3[[คะแนนเต็ม]:[คะแนนเต็ม]]),"",(tbl_task3[84]/tbl_task3[[คะแนนเต็ม]:[คะแนนเต็ม]])*tbl_task3[[%]:[%]])</f>
        <v/>
      </c>
      <c r="IU16" s="121" t="str">
        <f>IF(ISBLANK(tbl_task3[[คะแนนเต็ม]:[คะแนนเต็ม]]),"",(tbl_task3[85]/tbl_task3[[คะแนนเต็ม]:[คะแนนเต็ม]])*tbl_task3[[%]:[%]])</f>
        <v/>
      </c>
      <c r="IV16" s="121" t="str">
        <f>IF(ISBLANK(tbl_task3[[คะแนนเต็ม]:[คะแนนเต็ม]]),"",(tbl_task3[86]/tbl_task3[[คะแนนเต็ม]:[คะแนนเต็ม]])*tbl_task3[[%]:[%]])</f>
        <v/>
      </c>
      <c r="IW16" s="121" t="str">
        <f>IF(ISBLANK(tbl_task3[[คะแนนเต็ม]:[คะแนนเต็ม]]),"",(tbl_task3[87]/tbl_task3[[คะแนนเต็ม]:[คะแนนเต็ม]])*tbl_task3[[%]:[%]])</f>
        <v/>
      </c>
      <c r="IX16" s="121" t="str">
        <f>IF(ISBLANK(tbl_task3[[คะแนนเต็ม]:[คะแนนเต็ม]]),"",(tbl_task3[88]/tbl_task3[[คะแนนเต็ม]:[คะแนนเต็ม]])*tbl_task3[[%]:[%]])</f>
        <v/>
      </c>
      <c r="IY16" s="121" t="str">
        <f>IF(ISBLANK(tbl_task3[[คะแนนเต็ม]:[คะแนนเต็ม]]),"",(tbl_task3[89]/tbl_task3[[คะแนนเต็ม]:[คะแนนเต็ม]])*tbl_task3[[%]:[%]])</f>
        <v/>
      </c>
      <c r="IZ16" s="121" t="str">
        <f>IF(ISBLANK(tbl_task3[[คะแนนเต็ม]:[คะแนนเต็ม]]),"",(tbl_task3[90]/tbl_task3[[คะแนนเต็ม]:[คะแนนเต็ม]])*tbl_task3[[%]:[%]])</f>
        <v/>
      </c>
      <c r="JA16" s="121" t="str">
        <f>IF(ISBLANK(tbl_task3[[คะแนนเต็ม]:[คะแนนเต็ม]]),"",(tbl_task3[91]/tbl_task3[[คะแนนเต็ม]:[คะแนนเต็ม]])*tbl_task3[[%]:[%]])</f>
        <v/>
      </c>
      <c r="JB16" s="121" t="str">
        <f>IF(ISBLANK(tbl_task3[[คะแนนเต็ม]:[คะแนนเต็ม]]),"",(tbl_task3[92]/tbl_task3[[คะแนนเต็ม]:[คะแนนเต็ม]])*tbl_task3[[%]:[%]])</f>
        <v/>
      </c>
      <c r="JC16" s="121" t="str">
        <f>IF(ISBLANK(tbl_task3[[คะแนนเต็ม]:[คะแนนเต็ม]]),"",(tbl_task3[93]/tbl_task3[[คะแนนเต็ม]:[คะแนนเต็ม]])*tbl_task3[[%]:[%]])</f>
        <v/>
      </c>
      <c r="JD16" s="121" t="str">
        <f>IF(ISBLANK(tbl_task3[[คะแนนเต็ม]:[คะแนนเต็ม]]),"",(tbl_task3[94]/tbl_task3[[คะแนนเต็ม]:[คะแนนเต็ม]])*tbl_task3[[%]:[%]])</f>
        <v/>
      </c>
      <c r="JE16" s="121" t="str">
        <f>IF(ISBLANK(tbl_task3[[คะแนนเต็ม]:[คะแนนเต็ม]]),"",(tbl_task3[95]/tbl_task3[[คะแนนเต็ม]:[คะแนนเต็ม]])*tbl_task3[[%]:[%]])</f>
        <v/>
      </c>
      <c r="JF16" s="121" t="str">
        <f>IF(ISBLANK(tbl_task3[[คะแนนเต็ม]:[คะแนนเต็ม]]),"",(tbl_task3[96]/tbl_task3[[คะแนนเต็ม]:[คะแนนเต็ม]])*tbl_task3[[%]:[%]])</f>
        <v/>
      </c>
      <c r="JG16" s="121" t="str">
        <f>IF(ISBLANK(tbl_task3[[คะแนนเต็ม]:[คะแนนเต็ม]]),"",(tbl_task3[97]/tbl_task3[[คะแนนเต็ม]:[คะแนนเต็ม]])*tbl_task3[[%]:[%]])</f>
        <v/>
      </c>
      <c r="JH16" s="121" t="str">
        <f>IF(ISBLANK(tbl_task3[[คะแนนเต็ม]:[คะแนนเต็ม]]),"",(tbl_task3[98]/tbl_task3[[คะแนนเต็ม]:[คะแนนเต็ม]])*tbl_task3[[%]:[%]])</f>
        <v/>
      </c>
      <c r="JI16" s="121" t="str">
        <f>IF(ISBLANK(tbl_task3[[คะแนนเต็ม]:[คะแนนเต็ม]]),"",(tbl_task3[99]/tbl_task3[[คะแนนเต็ม]:[คะแนนเต็ม]])*tbl_task3[[%]:[%]])</f>
        <v/>
      </c>
      <c r="JJ16" s="121" t="str">
        <f>IF(ISBLANK(tbl_task3[[คะแนนเต็ม]:[คะแนนเต็ม]]),"",(tbl_task3[100]/tbl_task3[[คะแนนเต็ม]:[คะแนนเต็ม]])*tbl_task3[[%]:[%]])</f>
        <v/>
      </c>
      <c r="JK16" s="121" t="str">
        <f>IF(ISBLANK(tbl_task3[[คะแนนเต็ม]:[คะแนนเต็ม]]),"",(tbl_task3[101]/tbl_task3[[คะแนนเต็ม]:[คะแนนเต็ม]])*tbl_task3[[%]:[%]])</f>
        <v/>
      </c>
      <c r="JL16" s="121" t="str">
        <f>IF(ISBLANK(tbl_task3[[คะแนนเต็ม]:[คะแนนเต็ม]]),"",(tbl_task3[102]/tbl_task3[[คะแนนเต็ม]:[คะแนนเต็ม]])*tbl_task3[[%]:[%]])</f>
        <v/>
      </c>
      <c r="JM16" s="121" t="str">
        <f>IF(ISBLANK(tbl_task3[[คะแนนเต็ม]:[คะแนนเต็ม]]),"",(tbl_task3[103]/tbl_task3[[คะแนนเต็ม]:[คะแนนเต็ม]])*tbl_task3[[%]:[%]])</f>
        <v/>
      </c>
      <c r="JN16" s="121" t="str">
        <f>IF(ISBLANK(tbl_task3[[คะแนนเต็ม]:[คะแนนเต็ม]]),"",(tbl_task3[104]/tbl_task3[[คะแนนเต็ม]:[คะแนนเต็ม]])*tbl_task3[[%]:[%]])</f>
        <v/>
      </c>
      <c r="JO16" s="121" t="str">
        <f>IF(ISBLANK(tbl_task3[[คะแนนเต็ม]:[คะแนนเต็ม]]),"",(tbl_task3[105]/tbl_task3[[คะแนนเต็ม]:[คะแนนเต็ม]])*tbl_task3[[%]:[%]])</f>
        <v/>
      </c>
      <c r="JP16" s="121" t="str">
        <f>IF(ISBLANK(tbl_task3[[คะแนนเต็ม]:[คะแนนเต็ม]]),"",(tbl_task3[106]/tbl_task3[[คะแนนเต็ม]:[คะแนนเต็ม]])*tbl_task3[[%]:[%]])</f>
        <v/>
      </c>
      <c r="JQ16" s="121" t="str">
        <f>IF(ISBLANK(tbl_task3[[คะแนนเต็ม]:[คะแนนเต็ม]]),"",(tbl_task3[107]/tbl_task3[[คะแนนเต็ม]:[คะแนนเต็ม]])*tbl_task3[[%]:[%]])</f>
        <v/>
      </c>
      <c r="JR16" s="121" t="str">
        <f>IF(ISBLANK(tbl_task3[[คะแนนเต็ม]:[คะแนนเต็ม]]),"",(tbl_task3[108]/tbl_task3[[คะแนนเต็ม]:[คะแนนเต็ม]])*tbl_task3[[%]:[%]])</f>
        <v/>
      </c>
      <c r="JS16" s="121" t="str">
        <f>IF(ISBLANK(tbl_task3[[คะแนนเต็ม]:[คะแนนเต็ม]]),"",(tbl_task3[109]/tbl_task3[[คะแนนเต็ม]:[คะแนนเต็ม]])*tbl_task3[[%]:[%]])</f>
        <v/>
      </c>
      <c r="JT16" s="121" t="str">
        <f>IF(ISBLANK(tbl_task3[[คะแนนเต็ม]:[คะแนนเต็ม]]),"",(tbl_task3[110]/tbl_task3[[คะแนนเต็ม]:[คะแนนเต็ม]])*tbl_task3[[%]:[%]])</f>
        <v/>
      </c>
      <c r="JU16" s="121" t="str">
        <f>IF(ISBLANK(tbl_task3[[คะแนนเต็ม]:[คะแนนเต็ม]]),"",(tbl_task3[111]/tbl_task3[[คะแนนเต็ม]:[คะแนนเต็ม]])*tbl_task3[[%]:[%]])</f>
        <v/>
      </c>
      <c r="JV16" s="121" t="str">
        <f>IF(ISBLANK(tbl_task3[[คะแนนเต็ม]:[คะแนนเต็ม]]),"",(tbl_task3[112]/tbl_task3[[คะแนนเต็ม]:[คะแนนเต็ม]])*tbl_task3[[%]:[%]])</f>
        <v/>
      </c>
      <c r="JW16" s="121" t="str">
        <f>IF(ISBLANK(tbl_task3[[คะแนนเต็ม]:[คะแนนเต็ม]]),"",(tbl_task3[113]/tbl_task3[[คะแนนเต็ม]:[คะแนนเต็ม]])*tbl_task3[[%]:[%]])</f>
        <v/>
      </c>
      <c r="JX16" s="121" t="str">
        <f>IF(ISBLANK(tbl_task3[[คะแนนเต็ม]:[คะแนนเต็ม]]),"",(tbl_task3[114]/tbl_task3[[คะแนนเต็ม]:[คะแนนเต็ม]])*tbl_task3[[%]:[%]])</f>
        <v/>
      </c>
      <c r="JY16" s="121" t="str">
        <f>IF(ISBLANK(tbl_task3[[คะแนนเต็ม]:[คะแนนเต็ม]]),"",(tbl_task3[115]/tbl_task3[[คะแนนเต็ม]:[คะแนนเต็ม]])*tbl_task3[[%]:[%]])</f>
        <v/>
      </c>
      <c r="JZ16" s="121" t="str">
        <f>IF(ISBLANK(tbl_task3[[คะแนนเต็ม]:[คะแนนเต็ม]]),"",(tbl_task3[116]/tbl_task3[[คะแนนเต็ม]:[คะแนนเต็ม]])*tbl_task3[[%]:[%]])</f>
        <v/>
      </c>
      <c r="KA16" s="121" t="str">
        <f>IF(ISBLANK(tbl_task3[[คะแนนเต็ม]:[คะแนนเต็ม]]),"",(tbl_task3[117]/tbl_task3[[คะแนนเต็ม]:[คะแนนเต็ม]])*tbl_task3[[%]:[%]])</f>
        <v/>
      </c>
      <c r="KB16" s="121" t="str">
        <f>IF(ISBLANK(tbl_task3[[คะแนนเต็ม]:[คะแนนเต็ม]]),"",(tbl_task3[118]/tbl_task3[[คะแนนเต็ม]:[คะแนนเต็ม]])*tbl_task3[[%]:[%]])</f>
        <v/>
      </c>
      <c r="KC16" s="121" t="str">
        <f>IF(ISBLANK(tbl_task3[[คะแนนเต็ม]:[คะแนนเต็ม]]),"",(tbl_task3[119]/tbl_task3[[คะแนนเต็ม]:[คะแนนเต็ม]])*tbl_task3[[%]:[%]])</f>
        <v/>
      </c>
      <c r="KD16" s="121" t="str">
        <f>IF(ISBLANK(tbl_task3[[คะแนนเต็ม]:[คะแนนเต็ม]]),"",(tbl_task3[120]/tbl_task3[[คะแนนเต็ม]:[คะแนนเต็ม]])*tbl_task3[[%]:[%]])</f>
        <v/>
      </c>
      <c r="KE16" s="121" t="str">
        <f>IF(ISBLANK(tbl_task3[[คะแนนเต็ม]:[คะแนนเต็ม]]),"",(tbl_task3[121]/tbl_task3[[คะแนนเต็ม]:[คะแนนเต็ม]])*tbl_task3[[%]:[%]])</f>
        <v/>
      </c>
      <c r="KF16" s="121" t="str">
        <f>IF(ISBLANK(tbl_task3[[คะแนนเต็ม]:[คะแนนเต็ม]]),"",(tbl_task3[122]/tbl_task3[[คะแนนเต็ม]:[คะแนนเต็ม]])*tbl_task3[[%]:[%]])</f>
        <v/>
      </c>
      <c r="KG16" s="121" t="str">
        <f>IF(ISBLANK(tbl_task3[[คะแนนเต็ม]:[คะแนนเต็ม]]),"",(tbl_task3[123]/tbl_task3[[คะแนนเต็ม]:[คะแนนเต็ม]])*tbl_task3[[%]:[%]])</f>
        <v/>
      </c>
      <c r="KH16" s="121" t="str">
        <f>IF(ISBLANK(tbl_task3[[คะแนนเต็ม]:[คะแนนเต็ม]]),"",(tbl_task3[124]/tbl_task3[[คะแนนเต็ม]:[คะแนนเต็ม]])*tbl_task3[[%]:[%]])</f>
        <v/>
      </c>
      <c r="KI16" s="121" t="str">
        <f>IF(ISBLANK(tbl_task3[[คะแนนเต็ม]:[คะแนนเต็ม]]),"",(tbl_task3[125]/tbl_task3[[คะแนนเต็ม]:[คะแนนเต็ม]])*tbl_task3[[%]:[%]])</f>
        <v/>
      </c>
      <c r="KJ16" s="121" t="str">
        <f>IF(ISBLANK(tbl_task3[[คะแนนเต็ม]:[คะแนนเต็ม]]),"",(tbl_task3[126]/tbl_task3[[คะแนนเต็ม]:[คะแนนเต็ม]])*tbl_task3[[%]:[%]])</f>
        <v/>
      </c>
      <c r="KK16" s="121" t="str">
        <f>IF(ISBLANK(tbl_task3[[คะแนนเต็ม]:[คะแนนเต็ม]]),"",(tbl_task3[127]/tbl_task3[[คะแนนเต็ม]:[คะแนนเต็ม]])*tbl_task3[[%]:[%]])</f>
        <v/>
      </c>
      <c r="KL16" s="121" t="str">
        <f>IF(ISBLANK(tbl_task3[[คะแนนเต็ม]:[คะแนนเต็ม]]),"",(tbl_task3[128]/tbl_task3[[คะแนนเต็ม]:[คะแนนเต็ม]])*tbl_task3[[%]:[%]])</f>
        <v/>
      </c>
      <c r="KM16" s="121" t="str">
        <f>IF(ISBLANK(tbl_task3[[คะแนนเต็ม]:[คะแนนเต็ม]]),"",(tbl_task3[129]/tbl_task3[[คะแนนเต็ม]:[คะแนนเต็ม]])*tbl_task3[[%]:[%]])</f>
        <v/>
      </c>
      <c r="KN16" s="121" t="str">
        <f>IF(ISBLANK(tbl_task3[[คะแนนเต็ม]:[คะแนนเต็ม]]),"",(tbl_task3[130]/tbl_task3[[คะแนนเต็ม]:[คะแนนเต็ม]])*tbl_task3[[%]:[%]])</f>
        <v/>
      </c>
      <c r="KO16" s="121" t="str">
        <f>IF(ISBLANK(tbl_task3[[คะแนนเต็ม]:[คะแนนเต็ม]]),"",(tbl_task3[131]/tbl_task3[[คะแนนเต็ม]:[คะแนนเต็ม]])*tbl_task3[[%]:[%]])</f>
        <v/>
      </c>
      <c r="KP16" s="121" t="str">
        <f>IF(ISBLANK(tbl_task3[[คะแนนเต็ม]:[คะแนนเต็ม]]),"",(tbl_task3[132]/tbl_task3[[คะแนนเต็ม]:[คะแนนเต็ม]])*tbl_task3[[%]:[%]])</f>
        <v/>
      </c>
      <c r="KQ16" s="121" t="str">
        <f>IF(ISBLANK(tbl_task3[[คะแนนเต็ม]:[คะแนนเต็ม]]),"",(tbl_task3[133]/tbl_task3[[คะแนนเต็ม]:[คะแนนเต็ม]])*tbl_task3[[%]:[%]])</f>
        <v/>
      </c>
      <c r="KR16" s="121" t="str">
        <f>IF(ISBLANK(tbl_task3[[คะแนนเต็ม]:[คะแนนเต็ม]]),"",(tbl_task3[134]/tbl_task3[[คะแนนเต็ม]:[คะแนนเต็ม]])*tbl_task3[[%]:[%]])</f>
        <v/>
      </c>
      <c r="KS16" s="121" t="str">
        <f>IF(ISBLANK(tbl_task3[[คะแนนเต็ม]:[คะแนนเต็ม]]),"",(tbl_task3[135]/tbl_task3[[คะแนนเต็ม]:[คะแนนเต็ม]])*tbl_task3[[%]:[%]])</f>
        <v/>
      </c>
      <c r="KT16" s="121" t="str">
        <f>IF(ISBLANK(tbl_task3[[คะแนนเต็ม]:[คะแนนเต็ม]]),"",(tbl_task3[136]/tbl_task3[[คะแนนเต็ม]:[คะแนนเต็ม]])*tbl_task3[[%]:[%]])</f>
        <v/>
      </c>
      <c r="KU16" s="121" t="str">
        <f>IF(ISBLANK(tbl_task3[[คะแนนเต็ม]:[คะแนนเต็ม]]),"",(tbl_task3[137]/tbl_task3[[คะแนนเต็ม]:[คะแนนเต็ม]])*tbl_task3[[%]:[%]])</f>
        <v/>
      </c>
      <c r="KV16" s="121" t="str">
        <f>IF(ISBLANK(tbl_task3[[คะแนนเต็ม]:[คะแนนเต็ม]]),"",(tbl_task3[138]/tbl_task3[[คะแนนเต็ม]:[คะแนนเต็ม]])*tbl_task3[[%]:[%]])</f>
        <v/>
      </c>
      <c r="KW16" s="121" t="str">
        <f>IF(ISBLANK(tbl_task3[[คะแนนเต็ม]:[คะแนนเต็ม]]),"",(tbl_task3[139]/tbl_task3[[คะแนนเต็ม]:[คะแนนเต็ม]])*tbl_task3[[%]:[%]])</f>
        <v/>
      </c>
      <c r="KX16" s="121" t="str">
        <f>IF(ISBLANK(tbl_task3[[คะแนนเต็ม]:[คะแนนเต็ม]]),"",(tbl_task3[140]/tbl_task3[[คะแนนเต็ม]:[คะแนนเต็ม]])*tbl_task3[[%]:[%]])</f>
        <v/>
      </c>
      <c r="KY16" s="121" t="str">
        <f>IF(ISBLANK(tbl_task3[[คะแนนเต็ม]:[คะแนนเต็ม]]),"",(tbl_task3[141]/tbl_task3[[คะแนนเต็ม]:[คะแนนเต็ม]])*tbl_task3[[%]:[%]])</f>
        <v/>
      </c>
      <c r="KZ16" s="121" t="str">
        <f>IF(ISBLANK(tbl_task3[[คะแนนเต็ม]:[คะแนนเต็ม]]),"",(tbl_task3[142]/tbl_task3[[คะแนนเต็ม]:[คะแนนเต็ม]])*tbl_task3[[%]:[%]])</f>
        <v/>
      </c>
      <c r="LA16" s="121" t="str">
        <f>IF(ISBLANK(tbl_task3[[คะแนนเต็ม]:[คะแนนเต็ม]]),"",(tbl_task3[143]/tbl_task3[[คะแนนเต็ม]:[คะแนนเต็ม]])*tbl_task3[[%]:[%]])</f>
        <v/>
      </c>
      <c r="LB16" s="121" t="str">
        <f>IF(ISBLANK(tbl_task3[[คะแนนเต็ม]:[คะแนนเต็ม]]),"",(tbl_task3[144]/tbl_task3[[คะแนนเต็ม]:[คะแนนเต็ม]])*tbl_task3[[%]:[%]])</f>
        <v/>
      </c>
      <c r="LC16" s="121" t="str">
        <f>IF(ISBLANK(tbl_task3[[คะแนนเต็ม]:[คะแนนเต็ม]]),"",(tbl_task3[145]/tbl_task3[[คะแนนเต็ม]:[คะแนนเต็ม]])*tbl_task3[[%]:[%]])</f>
        <v/>
      </c>
      <c r="LD16" s="121" t="str">
        <f>IF(ISBLANK(tbl_task3[[คะแนนเต็ม]:[คะแนนเต็ม]]),"",(tbl_task3[146]/tbl_task3[[คะแนนเต็ม]:[คะแนนเต็ม]])*tbl_task3[[%]:[%]])</f>
        <v/>
      </c>
      <c r="LE16" s="121" t="str">
        <f>IF(ISBLANK(tbl_task3[[คะแนนเต็ม]:[คะแนนเต็ม]]),"",(tbl_task3[147]/tbl_task3[[คะแนนเต็ม]:[คะแนนเต็ม]])*tbl_task3[[%]:[%]])</f>
        <v/>
      </c>
      <c r="LF16" s="121" t="str">
        <f>IF(ISBLANK(tbl_task3[[คะแนนเต็ม]:[คะแนนเต็ม]]),"",(tbl_task3[148]/tbl_task3[[คะแนนเต็ม]:[คะแนนเต็ม]])*tbl_task3[[%]:[%]])</f>
        <v/>
      </c>
      <c r="LG16" s="121" t="str">
        <f>IF(ISBLANK(tbl_task3[[คะแนนเต็ม]:[คะแนนเต็ม]]),"",(tbl_task3[149]/tbl_task3[[คะแนนเต็ม]:[คะแนนเต็ม]])*tbl_task3[[%]:[%]])</f>
        <v/>
      </c>
      <c r="LH16" s="121" t="str">
        <f>IF(ISBLANK(tbl_task3[[คะแนนเต็ม]:[คะแนนเต็ม]]),"",(tbl_task3[150]/tbl_task3[[คะแนนเต็ม]:[คะแนนเต็ม]])*tbl_task3[[%]:[%]])</f>
        <v/>
      </c>
      <c r="LI16" s="121" t="str">
        <f>IF(ISBLANK(tbl_task3[[คะแนนเต็ม]:[คะแนนเต็ม]]),"",(tbl_task3[151]/tbl_task3[[คะแนนเต็ม]:[คะแนนเต็ม]])*tbl_task3[[%]:[%]])</f>
        <v/>
      </c>
      <c r="LJ16" s="121" t="str">
        <f>IF(ISBLANK(tbl_task3[[คะแนนเต็ม]:[คะแนนเต็ม]]),"",(tbl_task3[152]/tbl_task3[[คะแนนเต็ม]:[คะแนนเต็ม]])*tbl_task3[[%]:[%]])</f>
        <v/>
      </c>
      <c r="LK16" s="121" t="str">
        <f>IF(ISBLANK(tbl_task3[[คะแนนเต็ม]:[คะแนนเต็ม]]),"",(tbl_task3[153]/tbl_task3[[คะแนนเต็ม]:[คะแนนเต็ม]])*tbl_task3[[%]:[%]])</f>
        <v/>
      </c>
      <c r="LL16" s="121" t="str">
        <f>IF(ISBLANK(tbl_task3[[คะแนนเต็ม]:[คะแนนเต็ม]]),"",(tbl_task3[154]/tbl_task3[[คะแนนเต็ม]:[คะแนนเต็ม]])*tbl_task3[[%]:[%]])</f>
        <v/>
      </c>
      <c r="LM16" s="121" t="str">
        <f>IF(ISBLANK(tbl_task3[[คะแนนเต็ม]:[คะแนนเต็ม]]),"",(tbl_task3[155]/tbl_task3[[คะแนนเต็ม]:[คะแนนเต็ม]])*tbl_task3[[%]:[%]])</f>
        <v/>
      </c>
      <c r="LN16" s="121" t="str">
        <f>IF(ISBLANK(tbl_task3[[คะแนนเต็ม]:[คะแนนเต็ม]]),"",(tbl_task3[156]/tbl_task3[[คะแนนเต็ม]:[คะแนนเต็ม]])*tbl_task3[[%]:[%]])</f>
        <v/>
      </c>
      <c r="LO16" s="121" t="str">
        <f>IF(ISBLANK(tbl_task3[[คะแนนเต็ม]:[คะแนนเต็ม]]),"",(tbl_task3[157]/tbl_task3[[คะแนนเต็ม]:[คะแนนเต็ม]])*tbl_task3[[%]:[%]])</f>
        <v/>
      </c>
      <c r="LP16" s="121" t="str">
        <f>IF(ISBLANK(tbl_task3[[คะแนนเต็ม]:[คะแนนเต็ม]]),"",(tbl_task3[158]/tbl_task3[[คะแนนเต็ม]:[คะแนนเต็ม]])*tbl_task3[[%]:[%]])</f>
        <v/>
      </c>
      <c r="LQ16" s="121" t="str">
        <f>IF(ISBLANK(tbl_task3[[คะแนนเต็ม]:[คะแนนเต็ม]]),"",(tbl_task3[159]/tbl_task3[[คะแนนเต็ม]:[คะแนนเต็ม]])*tbl_task3[[%]:[%]])</f>
        <v/>
      </c>
      <c r="LR16" s="121" t="str">
        <f>IF(ISBLANK(tbl_task3[[คะแนนเต็ม]:[คะแนนเต็ม]]),"",(tbl_task3[160]/tbl_task3[[คะแนนเต็ม]:[คะแนนเต็ม]])*tbl_task3[[%]:[%]])</f>
        <v/>
      </c>
      <c r="LS16" s="121" t="str">
        <f>IF(ISBLANK(tbl_task3[[คะแนนเต็ม]:[คะแนนเต็ม]]),"",(tbl_task3[161]/tbl_task3[[คะแนนเต็ม]:[คะแนนเต็ม]])*tbl_task3[[%]:[%]])</f>
        <v/>
      </c>
      <c r="LT16" s="121" t="str">
        <f>IF(ISBLANK(tbl_task3[[คะแนนเต็ม]:[คะแนนเต็ม]]),"",(tbl_task3[162]/tbl_task3[[คะแนนเต็ม]:[คะแนนเต็ม]])*tbl_task3[[%]:[%]])</f>
        <v/>
      </c>
      <c r="LU16" s="121" t="str">
        <f>IF(ISBLANK(tbl_task3[[คะแนนเต็ม]:[คะแนนเต็ม]]),"",(tbl_task3[163]/tbl_task3[[คะแนนเต็ม]:[คะแนนเต็ม]])*tbl_task3[[%]:[%]])</f>
        <v/>
      </c>
      <c r="LV16" s="121" t="str">
        <f>IF(ISBLANK(tbl_task3[[คะแนนเต็ม]:[คะแนนเต็ม]]),"",(tbl_task3[164]/tbl_task3[[คะแนนเต็ม]:[คะแนนเต็ม]])*tbl_task3[[%]:[%]])</f>
        <v/>
      </c>
      <c r="LW16" s="121" t="str">
        <f>IF(ISBLANK(tbl_task3[[คะแนนเต็ม]:[คะแนนเต็ม]]),"",(tbl_task3[165]/tbl_task3[[คะแนนเต็ม]:[คะแนนเต็ม]])*tbl_task3[[%]:[%]])</f>
        <v/>
      </c>
    </row>
    <row r="17" spans="1:335" ht="24" customHeight="1" x14ac:dyDescent="0.25">
      <c r="A17" s="24">
        <v>14</v>
      </c>
      <c r="B17" s="20"/>
      <c r="C17" s="5" t="str">
        <f>IF(ISBLANK(B17),"",VLOOKUP(B17,tbl_PLOs[],2,0))</f>
        <v/>
      </c>
      <c r="D17" s="102"/>
      <c r="E17" s="10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121" t="str">
        <f>IF(ISBLANK(tbl_task3[[คะแนนเต็ม]:[คะแนนเต็ม]]),"",(tbl_task3[1]/tbl_task3[[คะแนนเต็ม]:[คะแนนเต็ม]])*tbl_task3[[%]:[%]])</f>
        <v/>
      </c>
      <c r="FP17" s="121" t="str">
        <f>IF(ISBLANK(tbl_task3[[คะแนนเต็ม]:[คะแนนเต็ม]]),"",(tbl_task3[2]/tbl_task3[[คะแนนเต็ม]:[คะแนนเต็ม]])*tbl_task3[[%]:[%]])</f>
        <v/>
      </c>
      <c r="FQ17" s="121" t="str">
        <f>IF(ISBLANK(tbl_task3[[คะแนนเต็ม]:[คะแนนเต็ม]]),"",(tbl_task3[3]/tbl_task3[[คะแนนเต็ม]:[คะแนนเต็ม]])*tbl_task3[[%]:[%]])</f>
        <v/>
      </c>
      <c r="FR17" s="121" t="str">
        <f>IF(ISBLANK(tbl_task3[[คะแนนเต็ม]:[คะแนนเต็ม]]),"",(tbl_task3[4]/tbl_task3[[คะแนนเต็ม]:[คะแนนเต็ม]])*tbl_task3[[%]:[%]])</f>
        <v/>
      </c>
      <c r="FS17" s="121" t="str">
        <f>IF(ISBLANK(tbl_task3[[คะแนนเต็ม]:[คะแนนเต็ม]]),"",(tbl_task3[5]/tbl_task3[[คะแนนเต็ม]:[คะแนนเต็ม]])*tbl_task3[[%]:[%]])</f>
        <v/>
      </c>
      <c r="FT17" s="121" t="str">
        <f>IF(ISBLANK(tbl_task3[[คะแนนเต็ม]:[คะแนนเต็ม]]),"",(tbl_task3[6]/tbl_task3[[คะแนนเต็ม]:[คะแนนเต็ม]])*tbl_task3[[%]:[%]])</f>
        <v/>
      </c>
      <c r="FU17" s="121" t="str">
        <f>IF(ISBLANK(tbl_task3[[คะแนนเต็ม]:[คะแนนเต็ม]]),"",(tbl_task3[7]/tbl_task3[[คะแนนเต็ม]:[คะแนนเต็ม]])*tbl_task3[[%]:[%]])</f>
        <v/>
      </c>
      <c r="FV17" s="121" t="str">
        <f>IF(ISBLANK(tbl_task3[[คะแนนเต็ม]:[คะแนนเต็ม]]),"",(tbl_task3[8]/tbl_task3[[คะแนนเต็ม]:[คะแนนเต็ม]])*tbl_task3[[%]:[%]])</f>
        <v/>
      </c>
      <c r="FW17" s="121" t="str">
        <f>IF(ISBLANK(tbl_task3[[คะแนนเต็ม]:[คะแนนเต็ม]]),"",(tbl_task3[9]/tbl_task3[[คะแนนเต็ม]:[คะแนนเต็ม]])*tbl_task3[[%]:[%]])</f>
        <v/>
      </c>
      <c r="FX17" s="121" t="str">
        <f>IF(ISBLANK(tbl_task3[[คะแนนเต็ม]:[คะแนนเต็ม]]),"",(tbl_task3[10]/tbl_task3[[คะแนนเต็ม]:[คะแนนเต็ม]])*tbl_task3[[%]:[%]])</f>
        <v/>
      </c>
      <c r="FY17" s="121" t="str">
        <f>IF(ISBLANK(tbl_task3[[คะแนนเต็ม]:[คะแนนเต็ม]]),"",(tbl_task3[11]/tbl_task3[[คะแนนเต็ม]:[คะแนนเต็ม]])*tbl_task3[[%]:[%]])</f>
        <v/>
      </c>
      <c r="FZ17" s="121" t="str">
        <f>IF(ISBLANK(tbl_task3[[คะแนนเต็ม]:[คะแนนเต็ม]]),"",(tbl_task3[12]/tbl_task3[[คะแนนเต็ม]:[คะแนนเต็ม]])*tbl_task3[[%]:[%]])</f>
        <v/>
      </c>
      <c r="GA17" s="121" t="str">
        <f>IF(ISBLANK(tbl_task3[[คะแนนเต็ม]:[คะแนนเต็ม]]),"",(tbl_task3[13]/tbl_task3[[คะแนนเต็ม]:[คะแนนเต็ม]])*tbl_task3[[%]:[%]])</f>
        <v/>
      </c>
      <c r="GB17" s="121" t="str">
        <f>IF(ISBLANK(tbl_task3[[คะแนนเต็ม]:[คะแนนเต็ม]]),"",(tbl_task3[14]/tbl_task3[[คะแนนเต็ม]:[คะแนนเต็ม]])*tbl_task3[[%]:[%]])</f>
        <v/>
      </c>
      <c r="GC17" s="121" t="str">
        <f>IF(ISBLANK(tbl_task3[[คะแนนเต็ม]:[คะแนนเต็ม]]),"",(tbl_task3[15]/tbl_task3[[คะแนนเต็ม]:[คะแนนเต็ม]])*tbl_task3[[%]:[%]])</f>
        <v/>
      </c>
      <c r="GD17" s="121" t="str">
        <f>IF(ISBLANK(tbl_task3[[คะแนนเต็ม]:[คะแนนเต็ม]]),"",(tbl_task3[16]/tbl_task3[[คะแนนเต็ม]:[คะแนนเต็ม]])*tbl_task3[[%]:[%]])</f>
        <v/>
      </c>
      <c r="GE17" s="121" t="str">
        <f>IF(ISBLANK(tbl_task3[[คะแนนเต็ม]:[คะแนนเต็ม]]),"",(tbl_task3[17]/tbl_task3[[คะแนนเต็ม]:[คะแนนเต็ม]])*tbl_task3[[%]:[%]])</f>
        <v/>
      </c>
      <c r="GF17" s="121" t="str">
        <f>IF(ISBLANK(tbl_task3[[คะแนนเต็ม]:[คะแนนเต็ม]]),"",(tbl_task3[18]/tbl_task3[[คะแนนเต็ม]:[คะแนนเต็ม]])*tbl_task3[[%]:[%]])</f>
        <v/>
      </c>
      <c r="GG17" s="121" t="str">
        <f>IF(ISBLANK(tbl_task3[[คะแนนเต็ม]:[คะแนนเต็ม]]),"",(tbl_task3[19]/tbl_task3[[คะแนนเต็ม]:[คะแนนเต็ม]])*tbl_task3[[%]:[%]])</f>
        <v/>
      </c>
      <c r="GH17" s="121" t="str">
        <f>IF(ISBLANK(tbl_task3[[คะแนนเต็ม]:[คะแนนเต็ม]]),"",(tbl_task3[20]/tbl_task3[[คะแนนเต็ม]:[คะแนนเต็ม]])*tbl_task3[[%]:[%]])</f>
        <v/>
      </c>
      <c r="GI17" s="121" t="str">
        <f>IF(ISBLANK(tbl_task3[[คะแนนเต็ม]:[คะแนนเต็ม]]),"",(tbl_task3[21]/tbl_task3[[คะแนนเต็ม]:[คะแนนเต็ม]])*tbl_task3[[%]:[%]])</f>
        <v/>
      </c>
      <c r="GJ17" s="121" t="str">
        <f>IF(ISBLANK(tbl_task3[[คะแนนเต็ม]:[คะแนนเต็ม]]),"",(tbl_task3[22]/tbl_task3[[คะแนนเต็ม]:[คะแนนเต็ม]])*tbl_task3[[%]:[%]])</f>
        <v/>
      </c>
      <c r="GK17" s="121" t="str">
        <f>IF(ISBLANK(tbl_task3[[คะแนนเต็ม]:[คะแนนเต็ม]]),"",(tbl_task3[23]/tbl_task3[[คะแนนเต็ม]:[คะแนนเต็ม]])*tbl_task3[[%]:[%]])</f>
        <v/>
      </c>
      <c r="GL17" s="121" t="str">
        <f>IF(ISBLANK(tbl_task3[[คะแนนเต็ม]:[คะแนนเต็ม]]),"",(tbl_task3[24]/tbl_task3[[คะแนนเต็ม]:[คะแนนเต็ม]])*tbl_task3[[%]:[%]])</f>
        <v/>
      </c>
      <c r="GM17" s="121" t="str">
        <f>IF(ISBLANK(tbl_task3[[คะแนนเต็ม]:[คะแนนเต็ม]]),"",(tbl_task3[25]/tbl_task3[[คะแนนเต็ม]:[คะแนนเต็ม]])*tbl_task3[[%]:[%]])</f>
        <v/>
      </c>
      <c r="GN17" s="121" t="str">
        <f>IF(ISBLANK(tbl_task3[[คะแนนเต็ม]:[คะแนนเต็ม]]),"",(tbl_task3[26]/tbl_task3[[คะแนนเต็ม]:[คะแนนเต็ม]])*tbl_task3[[%]:[%]])</f>
        <v/>
      </c>
      <c r="GO17" s="121" t="str">
        <f>IF(ISBLANK(tbl_task3[[คะแนนเต็ม]:[คะแนนเต็ม]]),"",(tbl_task3[27]/tbl_task3[[คะแนนเต็ม]:[คะแนนเต็ม]])*tbl_task3[[%]:[%]])</f>
        <v/>
      </c>
      <c r="GP17" s="121" t="str">
        <f>IF(ISBLANK(tbl_task3[[คะแนนเต็ม]:[คะแนนเต็ม]]),"",(tbl_task3[28]/tbl_task3[[คะแนนเต็ม]:[คะแนนเต็ม]])*tbl_task3[[%]:[%]])</f>
        <v/>
      </c>
      <c r="GQ17" s="121" t="str">
        <f>IF(ISBLANK(tbl_task3[[คะแนนเต็ม]:[คะแนนเต็ม]]),"",(tbl_task3[29]/tbl_task3[[คะแนนเต็ม]:[คะแนนเต็ม]])*tbl_task3[[%]:[%]])</f>
        <v/>
      </c>
      <c r="GR17" s="121" t="str">
        <f>IF(ISBLANK(tbl_task3[[คะแนนเต็ม]:[คะแนนเต็ม]]),"",(tbl_task3[30]/tbl_task3[[คะแนนเต็ม]:[คะแนนเต็ม]])*tbl_task3[[%]:[%]])</f>
        <v/>
      </c>
      <c r="GS17" s="121" t="str">
        <f>IF(ISBLANK(tbl_task3[[คะแนนเต็ม]:[คะแนนเต็ม]]),"",(tbl_task3[31]/tbl_task3[[คะแนนเต็ม]:[คะแนนเต็ม]])*tbl_task3[[%]:[%]])</f>
        <v/>
      </c>
      <c r="GT17" s="121" t="str">
        <f>IF(ISBLANK(tbl_task3[[คะแนนเต็ม]:[คะแนนเต็ม]]),"",(tbl_task3[32]/tbl_task3[[คะแนนเต็ม]:[คะแนนเต็ม]])*tbl_task3[[%]:[%]])</f>
        <v/>
      </c>
      <c r="GU17" s="121" t="str">
        <f>IF(ISBLANK(tbl_task3[[คะแนนเต็ม]:[คะแนนเต็ม]]),"",(tbl_task3[33]/tbl_task3[[คะแนนเต็ม]:[คะแนนเต็ม]])*tbl_task3[[%]:[%]])</f>
        <v/>
      </c>
      <c r="GV17" s="121" t="str">
        <f>IF(ISBLANK(tbl_task3[[คะแนนเต็ม]:[คะแนนเต็ม]]),"",(tbl_task3[34]/tbl_task3[[คะแนนเต็ม]:[คะแนนเต็ม]])*tbl_task3[[%]:[%]])</f>
        <v/>
      </c>
      <c r="GW17" s="121" t="str">
        <f>IF(ISBLANK(tbl_task3[[คะแนนเต็ม]:[คะแนนเต็ม]]),"",(tbl_task3[35]/tbl_task3[[คะแนนเต็ม]:[คะแนนเต็ม]])*tbl_task3[[%]:[%]])</f>
        <v/>
      </c>
      <c r="GX17" s="121" t="str">
        <f>IF(ISBLANK(tbl_task3[[คะแนนเต็ม]:[คะแนนเต็ม]]),"",(tbl_task3[36]/tbl_task3[[คะแนนเต็ม]:[คะแนนเต็ม]])*tbl_task3[[%]:[%]])</f>
        <v/>
      </c>
      <c r="GY17" s="121" t="str">
        <f>IF(ISBLANK(tbl_task3[[คะแนนเต็ม]:[คะแนนเต็ม]]),"",(tbl_task3[37]/tbl_task3[[คะแนนเต็ม]:[คะแนนเต็ม]])*tbl_task3[[%]:[%]])</f>
        <v/>
      </c>
      <c r="GZ17" s="121" t="str">
        <f>IF(ISBLANK(tbl_task3[[คะแนนเต็ม]:[คะแนนเต็ม]]),"",(tbl_task3[38]/tbl_task3[[คะแนนเต็ม]:[คะแนนเต็ม]])*tbl_task3[[%]:[%]])</f>
        <v/>
      </c>
      <c r="HA17" s="121" t="str">
        <f>IF(ISBLANK(tbl_task3[[คะแนนเต็ม]:[คะแนนเต็ม]]),"",(tbl_task3[39]/tbl_task3[[คะแนนเต็ม]:[คะแนนเต็ม]])*tbl_task3[[%]:[%]])</f>
        <v/>
      </c>
      <c r="HB17" s="121" t="str">
        <f>IF(ISBLANK(tbl_task3[[คะแนนเต็ม]:[คะแนนเต็ม]]),"",(tbl_task3[40]/tbl_task3[[คะแนนเต็ม]:[คะแนนเต็ม]])*tbl_task3[[%]:[%]])</f>
        <v/>
      </c>
      <c r="HC17" s="121" t="str">
        <f>IF(ISBLANK(tbl_task3[[คะแนนเต็ม]:[คะแนนเต็ม]]),"",(tbl_task3[41]/tbl_task3[[คะแนนเต็ม]:[คะแนนเต็ม]])*tbl_task3[[%]:[%]])</f>
        <v/>
      </c>
      <c r="HD17" s="121" t="str">
        <f>IF(ISBLANK(tbl_task3[[คะแนนเต็ม]:[คะแนนเต็ม]]),"",(tbl_task3[42]/tbl_task3[[คะแนนเต็ม]:[คะแนนเต็ม]])*tbl_task3[[%]:[%]])</f>
        <v/>
      </c>
      <c r="HE17" s="121" t="str">
        <f>IF(ISBLANK(tbl_task3[[คะแนนเต็ม]:[คะแนนเต็ม]]),"",(tbl_task3[43]/tbl_task3[[คะแนนเต็ม]:[คะแนนเต็ม]])*tbl_task3[[%]:[%]])</f>
        <v/>
      </c>
      <c r="HF17" s="121" t="str">
        <f>IF(ISBLANK(tbl_task3[[คะแนนเต็ม]:[คะแนนเต็ม]]),"",(tbl_task3[44]/tbl_task3[[คะแนนเต็ม]:[คะแนนเต็ม]])*tbl_task3[[%]:[%]])</f>
        <v/>
      </c>
      <c r="HG17" s="121" t="str">
        <f>IF(ISBLANK(tbl_task3[[คะแนนเต็ม]:[คะแนนเต็ม]]),"",(tbl_task3[45]/tbl_task3[[คะแนนเต็ม]:[คะแนนเต็ม]])*tbl_task3[[%]:[%]])</f>
        <v/>
      </c>
      <c r="HH17" s="121" t="str">
        <f>IF(ISBLANK(tbl_task3[[คะแนนเต็ม]:[คะแนนเต็ม]]),"",(tbl_task3[46]/tbl_task3[[คะแนนเต็ม]:[คะแนนเต็ม]])*tbl_task3[[%]:[%]])</f>
        <v/>
      </c>
      <c r="HI17" s="121" t="str">
        <f>IF(ISBLANK(tbl_task3[[คะแนนเต็ม]:[คะแนนเต็ม]]),"",(tbl_task3[47]/tbl_task3[[คะแนนเต็ม]:[คะแนนเต็ม]])*tbl_task3[[%]:[%]])</f>
        <v/>
      </c>
      <c r="HJ17" s="121" t="str">
        <f>IF(ISBLANK(tbl_task3[[คะแนนเต็ม]:[คะแนนเต็ม]]),"",(tbl_task3[48]/tbl_task3[[คะแนนเต็ม]:[คะแนนเต็ม]])*tbl_task3[[%]:[%]])</f>
        <v/>
      </c>
      <c r="HK17" s="121" t="str">
        <f>IF(ISBLANK(tbl_task3[[คะแนนเต็ม]:[คะแนนเต็ม]]),"",(tbl_task3[49]/tbl_task3[[คะแนนเต็ม]:[คะแนนเต็ม]])*tbl_task3[[%]:[%]])</f>
        <v/>
      </c>
      <c r="HL17" s="121" t="str">
        <f>IF(ISBLANK(tbl_task3[[คะแนนเต็ม]:[คะแนนเต็ม]]),"",(tbl_task3[50]/tbl_task3[[คะแนนเต็ม]:[คะแนนเต็ม]])*tbl_task3[[%]:[%]])</f>
        <v/>
      </c>
      <c r="HM17" s="121" t="str">
        <f>IF(ISBLANK(tbl_task3[[คะแนนเต็ม]:[คะแนนเต็ม]]),"",(tbl_task3[51]/tbl_task3[[คะแนนเต็ม]:[คะแนนเต็ม]])*tbl_task3[[%]:[%]])</f>
        <v/>
      </c>
      <c r="HN17" s="121" t="str">
        <f>IF(ISBLANK(tbl_task3[[คะแนนเต็ม]:[คะแนนเต็ม]]),"",(tbl_task3[52]/tbl_task3[[คะแนนเต็ม]:[คะแนนเต็ม]])*tbl_task3[[%]:[%]])</f>
        <v/>
      </c>
      <c r="HO17" s="121" t="str">
        <f>IF(ISBLANK(tbl_task3[[คะแนนเต็ม]:[คะแนนเต็ม]]),"",(tbl_task3[53]/tbl_task3[[คะแนนเต็ม]:[คะแนนเต็ม]])*tbl_task3[[%]:[%]])</f>
        <v/>
      </c>
      <c r="HP17" s="121" t="str">
        <f>IF(ISBLANK(tbl_task3[[คะแนนเต็ม]:[คะแนนเต็ม]]),"",(tbl_task3[54]/tbl_task3[[คะแนนเต็ม]:[คะแนนเต็ม]])*tbl_task3[[%]:[%]])</f>
        <v/>
      </c>
      <c r="HQ17" s="121" t="str">
        <f>IF(ISBLANK(tbl_task3[[คะแนนเต็ม]:[คะแนนเต็ม]]),"",(tbl_task3[55]/tbl_task3[[คะแนนเต็ม]:[คะแนนเต็ม]])*tbl_task3[[%]:[%]])</f>
        <v/>
      </c>
      <c r="HR17" s="121" t="str">
        <f>IF(ISBLANK(tbl_task3[[คะแนนเต็ม]:[คะแนนเต็ม]]),"",(tbl_task3[56]/tbl_task3[[คะแนนเต็ม]:[คะแนนเต็ม]])*tbl_task3[[%]:[%]])</f>
        <v/>
      </c>
      <c r="HS17" s="121" t="str">
        <f>IF(ISBLANK(tbl_task3[[คะแนนเต็ม]:[คะแนนเต็ม]]),"",(tbl_task3[57]/tbl_task3[[คะแนนเต็ม]:[คะแนนเต็ม]])*tbl_task3[[%]:[%]])</f>
        <v/>
      </c>
      <c r="HT17" s="121" t="str">
        <f>IF(ISBLANK(tbl_task3[[คะแนนเต็ม]:[คะแนนเต็ม]]),"",(tbl_task3[58]/tbl_task3[[คะแนนเต็ม]:[คะแนนเต็ม]])*tbl_task3[[%]:[%]])</f>
        <v/>
      </c>
      <c r="HU17" s="121" t="str">
        <f>IF(ISBLANK(tbl_task3[[คะแนนเต็ม]:[คะแนนเต็ม]]),"",(tbl_task3[59]/tbl_task3[[คะแนนเต็ม]:[คะแนนเต็ม]])*tbl_task3[[%]:[%]])</f>
        <v/>
      </c>
      <c r="HV17" s="121" t="str">
        <f>IF(ISBLANK(tbl_task3[[คะแนนเต็ม]:[คะแนนเต็ม]]),"",(tbl_task3[60]/tbl_task3[[คะแนนเต็ม]:[คะแนนเต็ม]])*tbl_task3[[%]:[%]])</f>
        <v/>
      </c>
      <c r="HW17" s="121" t="str">
        <f>IF(ISBLANK(tbl_task3[[คะแนนเต็ม]:[คะแนนเต็ม]]),"",(tbl_task3[61]/tbl_task3[[คะแนนเต็ม]:[คะแนนเต็ม]])*tbl_task3[[%]:[%]])</f>
        <v/>
      </c>
      <c r="HX17" s="121" t="str">
        <f>IF(ISBLANK(tbl_task3[[คะแนนเต็ม]:[คะแนนเต็ม]]),"",(tbl_task3[62]/tbl_task3[[คะแนนเต็ม]:[คะแนนเต็ม]])*tbl_task3[[%]:[%]])</f>
        <v/>
      </c>
      <c r="HY17" s="121" t="str">
        <f>IF(ISBLANK(tbl_task3[[คะแนนเต็ม]:[คะแนนเต็ม]]),"",(tbl_task3[63]/tbl_task3[[คะแนนเต็ม]:[คะแนนเต็ม]])*tbl_task3[[%]:[%]])</f>
        <v/>
      </c>
      <c r="HZ17" s="121" t="str">
        <f>IF(ISBLANK(tbl_task3[[คะแนนเต็ม]:[คะแนนเต็ม]]),"",(tbl_task3[64]/tbl_task3[[คะแนนเต็ม]:[คะแนนเต็ม]])*tbl_task3[[%]:[%]])</f>
        <v/>
      </c>
      <c r="IA17" s="121" t="str">
        <f>IF(ISBLANK(tbl_task3[[คะแนนเต็ม]:[คะแนนเต็ม]]),"",(tbl_task3[65]/tbl_task3[[คะแนนเต็ม]:[คะแนนเต็ม]])*tbl_task3[[%]:[%]])</f>
        <v/>
      </c>
      <c r="IB17" s="121" t="str">
        <f>IF(ISBLANK(tbl_task3[[คะแนนเต็ม]:[คะแนนเต็ม]]),"",(tbl_task3[66]/tbl_task3[[คะแนนเต็ม]:[คะแนนเต็ม]])*tbl_task3[[%]:[%]])</f>
        <v/>
      </c>
      <c r="IC17" s="121" t="str">
        <f>IF(ISBLANK(tbl_task3[[คะแนนเต็ม]:[คะแนนเต็ม]]),"",(tbl_task3[67]/tbl_task3[[คะแนนเต็ม]:[คะแนนเต็ม]])*tbl_task3[[%]:[%]])</f>
        <v/>
      </c>
      <c r="ID17" s="121" t="str">
        <f>IF(ISBLANK(tbl_task3[[คะแนนเต็ม]:[คะแนนเต็ม]]),"",(tbl_task3[68]/tbl_task3[[คะแนนเต็ม]:[คะแนนเต็ม]])*tbl_task3[[%]:[%]])</f>
        <v/>
      </c>
      <c r="IE17" s="121" t="str">
        <f>IF(ISBLANK(tbl_task3[[คะแนนเต็ม]:[คะแนนเต็ม]]),"",(tbl_task3[69]/tbl_task3[[คะแนนเต็ม]:[คะแนนเต็ม]])*tbl_task3[[%]:[%]])</f>
        <v/>
      </c>
      <c r="IF17" s="121" t="str">
        <f>IF(ISBLANK(tbl_task3[[คะแนนเต็ม]:[คะแนนเต็ม]]),"",(tbl_task3[70]/tbl_task3[[คะแนนเต็ม]:[คะแนนเต็ม]])*tbl_task3[[%]:[%]])</f>
        <v/>
      </c>
      <c r="IG17" s="121" t="str">
        <f>IF(ISBLANK(tbl_task3[[คะแนนเต็ม]:[คะแนนเต็ม]]),"",(tbl_task3[71]/tbl_task3[[คะแนนเต็ม]:[คะแนนเต็ม]])*tbl_task3[[%]:[%]])</f>
        <v/>
      </c>
      <c r="IH17" s="121" t="str">
        <f>IF(ISBLANK(tbl_task3[[คะแนนเต็ม]:[คะแนนเต็ม]]),"",(tbl_task3[72]/tbl_task3[[คะแนนเต็ม]:[คะแนนเต็ม]])*tbl_task3[[%]:[%]])</f>
        <v/>
      </c>
      <c r="II17" s="121" t="str">
        <f>IF(ISBLANK(tbl_task3[[คะแนนเต็ม]:[คะแนนเต็ม]]),"",(tbl_task3[73]/tbl_task3[[คะแนนเต็ม]:[คะแนนเต็ม]])*tbl_task3[[%]:[%]])</f>
        <v/>
      </c>
      <c r="IJ17" s="121" t="str">
        <f>IF(ISBLANK(tbl_task3[[คะแนนเต็ม]:[คะแนนเต็ม]]),"",(tbl_task3[74]/tbl_task3[[คะแนนเต็ม]:[คะแนนเต็ม]])*tbl_task3[[%]:[%]])</f>
        <v/>
      </c>
      <c r="IK17" s="121" t="str">
        <f>IF(ISBLANK(tbl_task3[[คะแนนเต็ม]:[คะแนนเต็ม]]),"",(tbl_task3[75]/tbl_task3[[คะแนนเต็ม]:[คะแนนเต็ม]])*tbl_task3[[%]:[%]])</f>
        <v/>
      </c>
      <c r="IL17" s="121" t="str">
        <f>IF(ISBLANK(tbl_task3[[คะแนนเต็ม]:[คะแนนเต็ม]]),"",(tbl_task3[76]/tbl_task3[[คะแนนเต็ม]:[คะแนนเต็ม]])*tbl_task3[[%]:[%]])</f>
        <v/>
      </c>
      <c r="IM17" s="121" t="str">
        <f>IF(ISBLANK(tbl_task3[[คะแนนเต็ม]:[คะแนนเต็ม]]),"",(tbl_task3[77]/tbl_task3[[คะแนนเต็ม]:[คะแนนเต็ม]])*tbl_task3[[%]:[%]])</f>
        <v/>
      </c>
      <c r="IN17" s="121" t="str">
        <f>IF(ISBLANK(tbl_task3[[คะแนนเต็ม]:[คะแนนเต็ม]]),"",(tbl_task3[78]/tbl_task3[[คะแนนเต็ม]:[คะแนนเต็ม]])*tbl_task3[[%]:[%]])</f>
        <v/>
      </c>
      <c r="IO17" s="121" t="str">
        <f>IF(ISBLANK(tbl_task3[[คะแนนเต็ม]:[คะแนนเต็ม]]),"",(tbl_task3[79]/tbl_task3[[คะแนนเต็ม]:[คะแนนเต็ม]])*tbl_task3[[%]:[%]])</f>
        <v/>
      </c>
      <c r="IP17" s="121" t="str">
        <f>IF(ISBLANK(tbl_task3[[คะแนนเต็ม]:[คะแนนเต็ม]]),"",(tbl_task3[80]/tbl_task3[[คะแนนเต็ม]:[คะแนนเต็ม]])*tbl_task3[[%]:[%]])</f>
        <v/>
      </c>
      <c r="IQ17" s="121" t="str">
        <f>IF(ISBLANK(tbl_task3[[คะแนนเต็ม]:[คะแนนเต็ม]]),"",(tbl_task3[81]/tbl_task3[[คะแนนเต็ม]:[คะแนนเต็ม]])*tbl_task3[[%]:[%]])</f>
        <v/>
      </c>
      <c r="IR17" s="121" t="str">
        <f>IF(ISBLANK(tbl_task3[[คะแนนเต็ม]:[คะแนนเต็ม]]),"",(tbl_task3[82]/tbl_task3[[คะแนนเต็ม]:[คะแนนเต็ม]])*tbl_task3[[%]:[%]])</f>
        <v/>
      </c>
      <c r="IS17" s="121" t="str">
        <f>IF(ISBLANK(tbl_task3[[คะแนนเต็ม]:[คะแนนเต็ม]]),"",(tbl_task3[83]/tbl_task3[[คะแนนเต็ม]:[คะแนนเต็ม]])*tbl_task3[[%]:[%]])</f>
        <v/>
      </c>
      <c r="IT17" s="121" t="str">
        <f>IF(ISBLANK(tbl_task3[[คะแนนเต็ม]:[คะแนนเต็ม]]),"",(tbl_task3[84]/tbl_task3[[คะแนนเต็ม]:[คะแนนเต็ม]])*tbl_task3[[%]:[%]])</f>
        <v/>
      </c>
      <c r="IU17" s="121" t="str">
        <f>IF(ISBLANK(tbl_task3[[คะแนนเต็ม]:[คะแนนเต็ม]]),"",(tbl_task3[85]/tbl_task3[[คะแนนเต็ม]:[คะแนนเต็ม]])*tbl_task3[[%]:[%]])</f>
        <v/>
      </c>
      <c r="IV17" s="121" t="str">
        <f>IF(ISBLANK(tbl_task3[[คะแนนเต็ม]:[คะแนนเต็ม]]),"",(tbl_task3[86]/tbl_task3[[คะแนนเต็ม]:[คะแนนเต็ม]])*tbl_task3[[%]:[%]])</f>
        <v/>
      </c>
      <c r="IW17" s="121" t="str">
        <f>IF(ISBLANK(tbl_task3[[คะแนนเต็ม]:[คะแนนเต็ม]]),"",(tbl_task3[87]/tbl_task3[[คะแนนเต็ม]:[คะแนนเต็ม]])*tbl_task3[[%]:[%]])</f>
        <v/>
      </c>
      <c r="IX17" s="121" t="str">
        <f>IF(ISBLANK(tbl_task3[[คะแนนเต็ม]:[คะแนนเต็ม]]),"",(tbl_task3[88]/tbl_task3[[คะแนนเต็ม]:[คะแนนเต็ม]])*tbl_task3[[%]:[%]])</f>
        <v/>
      </c>
      <c r="IY17" s="121" t="str">
        <f>IF(ISBLANK(tbl_task3[[คะแนนเต็ม]:[คะแนนเต็ม]]),"",(tbl_task3[89]/tbl_task3[[คะแนนเต็ม]:[คะแนนเต็ม]])*tbl_task3[[%]:[%]])</f>
        <v/>
      </c>
      <c r="IZ17" s="121" t="str">
        <f>IF(ISBLANK(tbl_task3[[คะแนนเต็ม]:[คะแนนเต็ม]]),"",(tbl_task3[90]/tbl_task3[[คะแนนเต็ม]:[คะแนนเต็ม]])*tbl_task3[[%]:[%]])</f>
        <v/>
      </c>
      <c r="JA17" s="121" t="str">
        <f>IF(ISBLANK(tbl_task3[[คะแนนเต็ม]:[คะแนนเต็ม]]),"",(tbl_task3[91]/tbl_task3[[คะแนนเต็ม]:[คะแนนเต็ม]])*tbl_task3[[%]:[%]])</f>
        <v/>
      </c>
      <c r="JB17" s="121" t="str">
        <f>IF(ISBLANK(tbl_task3[[คะแนนเต็ม]:[คะแนนเต็ม]]),"",(tbl_task3[92]/tbl_task3[[คะแนนเต็ม]:[คะแนนเต็ม]])*tbl_task3[[%]:[%]])</f>
        <v/>
      </c>
      <c r="JC17" s="121" t="str">
        <f>IF(ISBLANK(tbl_task3[[คะแนนเต็ม]:[คะแนนเต็ม]]),"",(tbl_task3[93]/tbl_task3[[คะแนนเต็ม]:[คะแนนเต็ม]])*tbl_task3[[%]:[%]])</f>
        <v/>
      </c>
      <c r="JD17" s="121" t="str">
        <f>IF(ISBLANK(tbl_task3[[คะแนนเต็ม]:[คะแนนเต็ม]]),"",(tbl_task3[94]/tbl_task3[[คะแนนเต็ม]:[คะแนนเต็ม]])*tbl_task3[[%]:[%]])</f>
        <v/>
      </c>
      <c r="JE17" s="121" t="str">
        <f>IF(ISBLANK(tbl_task3[[คะแนนเต็ม]:[คะแนนเต็ม]]),"",(tbl_task3[95]/tbl_task3[[คะแนนเต็ม]:[คะแนนเต็ม]])*tbl_task3[[%]:[%]])</f>
        <v/>
      </c>
      <c r="JF17" s="121" t="str">
        <f>IF(ISBLANK(tbl_task3[[คะแนนเต็ม]:[คะแนนเต็ม]]),"",(tbl_task3[96]/tbl_task3[[คะแนนเต็ม]:[คะแนนเต็ม]])*tbl_task3[[%]:[%]])</f>
        <v/>
      </c>
      <c r="JG17" s="121" t="str">
        <f>IF(ISBLANK(tbl_task3[[คะแนนเต็ม]:[คะแนนเต็ม]]),"",(tbl_task3[97]/tbl_task3[[คะแนนเต็ม]:[คะแนนเต็ม]])*tbl_task3[[%]:[%]])</f>
        <v/>
      </c>
      <c r="JH17" s="121" t="str">
        <f>IF(ISBLANK(tbl_task3[[คะแนนเต็ม]:[คะแนนเต็ม]]),"",(tbl_task3[98]/tbl_task3[[คะแนนเต็ม]:[คะแนนเต็ม]])*tbl_task3[[%]:[%]])</f>
        <v/>
      </c>
      <c r="JI17" s="121" t="str">
        <f>IF(ISBLANK(tbl_task3[[คะแนนเต็ม]:[คะแนนเต็ม]]),"",(tbl_task3[99]/tbl_task3[[คะแนนเต็ม]:[คะแนนเต็ม]])*tbl_task3[[%]:[%]])</f>
        <v/>
      </c>
      <c r="JJ17" s="121" t="str">
        <f>IF(ISBLANK(tbl_task3[[คะแนนเต็ม]:[คะแนนเต็ม]]),"",(tbl_task3[100]/tbl_task3[[คะแนนเต็ม]:[คะแนนเต็ม]])*tbl_task3[[%]:[%]])</f>
        <v/>
      </c>
      <c r="JK17" s="121" t="str">
        <f>IF(ISBLANK(tbl_task3[[คะแนนเต็ม]:[คะแนนเต็ม]]),"",(tbl_task3[101]/tbl_task3[[คะแนนเต็ม]:[คะแนนเต็ม]])*tbl_task3[[%]:[%]])</f>
        <v/>
      </c>
      <c r="JL17" s="121" t="str">
        <f>IF(ISBLANK(tbl_task3[[คะแนนเต็ม]:[คะแนนเต็ม]]),"",(tbl_task3[102]/tbl_task3[[คะแนนเต็ม]:[คะแนนเต็ม]])*tbl_task3[[%]:[%]])</f>
        <v/>
      </c>
      <c r="JM17" s="121" t="str">
        <f>IF(ISBLANK(tbl_task3[[คะแนนเต็ม]:[คะแนนเต็ม]]),"",(tbl_task3[103]/tbl_task3[[คะแนนเต็ม]:[คะแนนเต็ม]])*tbl_task3[[%]:[%]])</f>
        <v/>
      </c>
      <c r="JN17" s="121" t="str">
        <f>IF(ISBLANK(tbl_task3[[คะแนนเต็ม]:[คะแนนเต็ม]]),"",(tbl_task3[104]/tbl_task3[[คะแนนเต็ม]:[คะแนนเต็ม]])*tbl_task3[[%]:[%]])</f>
        <v/>
      </c>
      <c r="JO17" s="121" t="str">
        <f>IF(ISBLANK(tbl_task3[[คะแนนเต็ม]:[คะแนนเต็ม]]),"",(tbl_task3[105]/tbl_task3[[คะแนนเต็ม]:[คะแนนเต็ม]])*tbl_task3[[%]:[%]])</f>
        <v/>
      </c>
      <c r="JP17" s="121" t="str">
        <f>IF(ISBLANK(tbl_task3[[คะแนนเต็ม]:[คะแนนเต็ม]]),"",(tbl_task3[106]/tbl_task3[[คะแนนเต็ม]:[คะแนนเต็ม]])*tbl_task3[[%]:[%]])</f>
        <v/>
      </c>
      <c r="JQ17" s="121" t="str">
        <f>IF(ISBLANK(tbl_task3[[คะแนนเต็ม]:[คะแนนเต็ม]]),"",(tbl_task3[107]/tbl_task3[[คะแนนเต็ม]:[คะแนนเต็ม]])*tbl_task3[[%]:[%]])</f>
        <v/>
      </c>
      <c r="JR17" s="121" t="str">
        <f>IF(ISBLANK(tbl_task3[[คะแนนเต็ม]:[คะแนนเต็ม]]),"",(tbl_task3[108]/tbl_task3[[คะแนนเต็ม]:[คะแนนเต็ม]])*tbl_task3[[%]:[%]])</f>
        <v/>
      </c>
      <c r="JS17" s="121" t="str">
        <f>IF(ISBLANK(tbl_task3[[คะแนนเต็ม]:[คะแนนเต็ม]]),"",(tbl_task3[109]/tbl_task3[[คะแนนเต็ม]:[คะแนนเต็ม]])*tbl_task3[[%]:[%]])</f>
        <v/>
      </c>
      <c r="JT17" s="121" t="str">
        <f>IF(ISBLANK(tbl_task3[[คะแนนเต็ม]:[คะแนนเต็ม]]),"",(tbl_task3[110]/tbl_task3[[คะแนนเต็ม]:[คะแนนเต็ม]])*tbl_task3[[%]:[%]])</f>
        <v/>
      </c>
      <c r="JU17" s="121" t="str">
        <f>IF(ISBLANK(tbl_task3[[คะแนนเต็ม]:[คะแนนเต็ม]]),"",(tbl_task3[111]/tbl_task3[[คะแนนเต็ม]:[คะแนนเต็ม]])*tbl_task3[[%]:[%]])</f>
        <v/>
      </c>
      <c r="JV17" s="121" t="str">
        <f>IF(ISBLANK(tbl_task3[[คะแนนเต็ม]:[คะแนนเต็ม]]),"",(tbl_task3[112]/tbl_task3[[คะแนนเต็ม]:[คะแนนเต็ม]])*tbl_task3[[%]:[%]])</f>
        <v/>
      </c>
      <c r="JW17" s="121" t="str">
        <f>IF(ISBLANK(tbl_task3[[คะแนนเต็ม]:[คะแนนเต็ม]]),"",(tbl_task3[113]/tbl_task3[[คะแนนเต็ม]:[คะแนนเต็ม]])*tbl_task3[[%]:[%]])</f>
        <v/>
      </c>
      <c r="JX17" s="121" t="str">
        <f>IF(ISBLANK(tbl_task3[[คะแนนเต็ม]:[คะแนนเต็ม]]),"",(tbl_task3[114]/tbl_task3[[คะแนนเต็ม]:[คะแนนเต็ม]])*tbl_task3[[%]:[%]])</f>
        <v/>
      </c>
      <c r="JY17" s="121" t="str">
        <f>IF(ISBLANK(tbl_task3[[คะแนนเต็ม]:[คะแนนเต็ม]]),"",(tbl_task3[115]/tbl_task3[[คะแนนเต็ม]:[คะแนนเต็ม]])*tbl_task3[[%]:[%]])</f>
        <v/>
      </c>
      <c r="JZ17" s="121" t="str">
        <f>IF(ISBLANK(tbl_task3[[คะแนนเต็ม]:[คะแนนเต็ม]]),"",(tbl_task3[116]/tbl_task3[[คะแนนเต็ม]:[คะแนนเต็ม]])*tbl_task3[[%]:[%]])</f>
        <v/>
      </c>
      <c r="KA17" s="121" t="str">
        <f>IF(ISBLANK(tbl_task3[[คะแนนเต็ม]:[คะแนนเต็ม]]),"",(tbl_task3[117]/tbl_task3[[คะแนนเต็ม]:[คะแนนเต็ม]])*tbl_task3[[%]:[%]])</f>
        <v/>
      </c>
      <c r="KB17" s="121" t="str">
        <f>IF(ISBLANK(tbl_task3[[คะแนนเต็ม]:[คะแนนเต็ม]]),"",(tbl_task3[118]/tbl_task3[[คะแนนเต็ม]:[คะแนนเต็ม]])*tbl_task3[[%]:[%]])</f>
        <v/>
      </c>
      <c r="KC17" s="121" t="str">
        <f>IF(ISBLANK(tbl_task3[[คะแนนเต็ม]:[คะแนนเต็ม]]),"",(tbl_task3[119]/tbl_task3[[คะแนนเต็ม]:[คะแนนเต็ม]])*tbl_task3[[%]:[%]])</f>
        <v/>
      </c>
      <c r="KD17" s="121" t="str">
        <f>IF(ISBLANK(tbl_task3[[คะแนนเต็ม]:[คะแนนเต็ม]]),"",(tbl_task3[120]/tbl_task3[[คะแนนเต็ม]:[คะแนนเต็ม]])*tbl_task3[[%]:[%]])</f>
        <v/>
      </c>
      <c r="KE17" s="121" t="str">
        <f>IF(ISBLANK(tbl_task3[[คะแนนเต็ม]:[คะแนนเต็ม]]),"",(tbl_task3[121]/tbl_task3[[คะแนนเต็ม]:[คะแนนเต็ม]])*tbl_task3[[%]:[%]])</f>
        <v/>
      </c>
      <c r="KF17" s="121" t="str">
        <f>IF(ISBLANK(tbl_task3[[คะแนนเต็ม]:[คะแนนเต็ม]]),"",(tbl_task3[122]/tbl_task3[[คะแนนเต็ม]:[คะแนนเต็ม]])*tbl_task3[[%]:[%]])</f>
        <v/>
      </c>
      <c r="KG17" s="121" t="str">
        <f>IF(ISBLANK(tbl_task3[[คะแนนเต็ม]:[คะแนนเต็ม]]),"",(tbl_task3[123]/tbl_task3[[คะแนนเต็ม]:[คะแนนเต็ม]])*tbl_task3[[%]:[%]])</f>
        <v/>
      </c>
      <c r="KH17" s="121" t="str">
        <f>IF(ISBLANK(tbl_task3[[คะแนนเต็ม]:[คะแนนเต็ม]]),"",(tbl_task3[124]/tbl_task3[[คะแนนเต็ม]:[คะแนนเต็ม]])*tbl_task3[[%]:[%]])</f>
        <v/>
      </c>
      <c r="KI17" s="121" t="str">
        <f>IF(ISBLANK(tbl_task3[[คะแนนเต็ม]:[คะแนนเต็ม]]),"",(tbl_task3[125]/tbl_task3[[คะแนนเต็ม]:[คะแนนเต็ม]])*tbl_task3[[%]:[%]])</f>
        <v/>
      </c>
      <c r="KJ17" s="121" t="str">
        <f>IF(ISBLANK(tbl_task3[[คะแนนเต็ม]:[คะแนนเต็ม]]),"",(tbl_task3[126]/tbl_task3[[คะแนนเต็ม]:[คะแนนเต็ม]])*tbl_task3[[%]:[%]])</f>
        <v/>
      </c>
      <c r="KK17" s="121" t="str">
        <f>IF(ISBLANK(tbl_task3[[คะแนนเต็ม]:[คะแนนเต็ม]]),"",(tbl_task3[127]/tbl_task3[[คะแนนเต็ม]:[คะแนนเต็ม]])*tbl_task3[[%]:[%]])</f>
        <v/>
      </c>
      <c r="KL17" s="121" t="str">
        <f>IF(ISBLANK(tbl_task3[[คะแนนเต็ม]:[คะแนนเต็ม]]),"",(tbl_task3[128]/tbl_task3[[คะแนนเต็ม]:[คะแนนเต็ม]])*tbl_task3[[%]:[%]])</f>
        <v/>
      </c>
      <c r="KM17" s="121" t="str">
        <f>IF(ISBLANK(tbl_task3[[คะแนนเต็ม]:[คะแนนเต็ม]]),"",(tbl_task3[129]/tbl_task3[[คะแนนเต็ม]:[คะแนนเต็ม]])*tbl_task3[[%]:[%]])</f>
        <v/>
      </c>
      <c r="KN17" s="121" t="str">
        <f>IF(ISBLANK(tbl_task3[[คะแนนเต็ม]:[คะแนนเต็ม]]),"",(tbl_task3[130]/tbl_task3[[คะแนนเต็ม]:[คะแนนเต็ม]])*tbl_task3[[%]:[%]])</f>
        <v/>
      </c>
      <c r="KO17" s="121" t="str">
        <f>IF(ISBLANK(tbl_task3[[คะแนนเต็ม]:[คะแนนเต็ม]]),"",(tbl_task3[131]/tbl_task3[[คะแนนเต็ม]:[คะแนนเต็ม]])*tbl_task3[[%]:[%]])</f>
        <v/>
      </c>
      <c r="KP17" s="121" t="str">
        <f>IF(ISBLANK(tbl_task3[[คะแนนเต็ม]:[คะแนนเต็ม]]),"",(tbl_task3[132]/tbl_task3[[คะแนนเต็ม]:[คะแนนเต็ม]])*tbl_task3[[%]:[%]])</f>
        <v/>
      </c>
      <c r="KQ17" s="121" t="str">
        <f>IF(ISBLANK(tbl_task3[[คะแนนเต็ม]:[คะแนนเต็ม]]),"",(tbl_task3[133]/tbl_task3[[คะแนนเต็ม]:[คะแนนเต็ม]])*tbl_task3[[%]:[%]])</f>
        <v/>
      </c>
      <c r="KR17" s="121" t="str">
        <f>IF(ISBLANK(tbl_task3[[คะแนนเต็ม]:[คะแนนเต็ม]]),"",(tbl_task3[134]/tbl_task3[[คะแนนเต็ม]:[คะแนนเต็ม]])*tbl_task3[[%]:[%]])</f>
        <v/>
      </c>
      <c r="KS17" s="121" t="str">
        <f>IF(ISBLANK(tbl_task3[[คะแนนเต็ม]:[คะแนนเต็ม]]),"",(tbl_task3[135]/tbl_task3[[คะแนนเต็ม]:[คะแนนเต็ม]])*tbl_task3[[%]:[%]])</f>
        <v/>
      </c>
      <c r="KT17" s="121" t="str">
        <f>IF(ISBLANK(tbl_task3[[คะแนนเต็ม]:[คะแนนเต็ม]]),"",(tbl_task3[136]/tbl_task3[[คะแนนเต็ม]:[คะแนนเต็ม]])*tbl_task3[[%]:[%]])</f>
        <v/>
      </c>
      <c r="KU17" s="121" t="str">
        <f>IF(ISBLANK(tbl_task3[[คะแนนเต็ม]:[คะแนนเต็ม]]),"",(tbl_task3[137]/tbl_task3[[คะแนนเต็ม]:[คะแนนเต็ม]])*tbl_task3[[%]:[%]])</f>
        <v/>
      </c>
      <c r="KV17" s="121" t="str">
        <f>IF(ISBLANK(tbl_task3[[คะแนนเต็ม]:[คะแนนเต็ม]]),"",(tbl_task3[138]/tbl_task3[[คะแนนเต็ม]:[คะแนนเต็ม]])*tbl_task3[[%]:[%]])</f>
        <v/>
      </c>
      <c r="KW17" s="121" t="str">
        <f>IF(ISBLANK(tbl_task3[[คะแนนเต็ม]:[คะแนนเต็ม]]),"",(tbl_task3[139]/tbl_task3[[คะแนนเต็ม]:[คะแนนเต็ม]])*tbl_task3[[%]:[%]])</f>
        <v/>
      </c>
      <c r="KX17" s="121" t="str">
        <f>IF(ISBLANK(tbl_task3[[คะแนนเต็ม]:[คะแนนเต็ม]]),"",(tbl_task3[140]/tbl_task3[[คะแนนเต็ม]:[คะแนนเต็ม]])*tbl_task3[[%]:[%]])</f>
        <v/>
      </c>
      <c r="KY17" s="121" t="str">
        <f>IF(ISBLANK(tbl_task3[[คะแนนเต็ม]:[คะแนนเต็ม]]),"",(tbl_task3[141]/tbl_task3[[คะแนนเต็ม]:[คะแนนเต็ม]])*tbl_task3[[%]:[%]])</f>
        <v/>
      </c>
      <c r="KZ17" s="121" t="str">
        <f>IF(ISBLANK(tbl_task3[[คะแนนเต็ม]:[คะแนนเต็ม]]),"",(tbl_task3[142]/tbl_task3[[คะแนนเต็ม]:[คะแนนเต็ม]])*tbl_task3[[%]:[%]])</f>
        <v/>
      </c>
      <c r="LA17" s="121" t="str">
        <f>IF(ISBLANK(tbl_task3[[คะแนนเต็ม]:[คะแนนเต็ม]]),"",(tbl_task3[143]/tbl_task3[[คะแนนเต็ม]:[คะแนนเต็ม]])*tbl_task3[[%]:[%]])</f>
        <v/>
      </c>
      <c r="LB17" s="121" t="str">
        <f>IF(ISBLANK(tbl_task3[[คะแนนเต็ม]:[คะแนนเต็ม]]),"",(tbl_task3[144]/tbl_task3[[คะแนนเต็ม]:[คะแนนเต็ม]])*tbl_task3[[%]:[%]])</f>
        <v/>
      </c>
      <c r="LC17" s="121" t="str">
        <f>IF(ISBLANK(tbl_task3[[คะแนนเต็ม]:[คะแนนเต็ม]]),"",(tbl_task3[145]/tbl_task3[[คะแนนเต็ม]:[คะแนนเต็ม]])*tbl_task3[[%]:[%]])</f>
        <v/>
      </c>
      <c r="LD17" s="121" t="str">
        <f>IF(ISBLANK(tbl_task3[[คะแนนเต็ม]:[คะแนนเต็ม]]),"",(tbl_task3[146]/tbl_task3[[คะแนนเต็ม]:[คะแนนเต็ม]])*tbl_task3[[%]:[%]])</f>
        <v/>
      </c>
      <c r="LE17" s="121" t="str">
        <f>IF(ISBLANK(tbl_task3[[คะแนนเต็ม]:[คะแนนเต็ม]]),"",(tbl_task3[147]/tbl_task3[[คะแนนเต็ม]:[คะแนนเต็ม]])*tbl_task3[[%]:[%]])</f>
        <v/>
      </c>
      <c r="LF17" s="121" t="str">
        <f>IF(ISBLANK(tbl_task3[[คะแนนเต็ม]:[คะแนนเต็ม]]),"",(tbl_task3[148]/tbl_task3[[คะแนนเต็ม]:[คะแนนเต็ม]])*tbl_task3[[%]:[%]])</f>
        <v/>
      </c>
      <c r="LG17" s="121" t="str">
        <f>IF(ISBLANK(tbl_task3[[คะแนนเต็ม]:[คะแนนเต็ม]]),"",(tbl_task3[149]/tbl_task3[[คะแนนเต็ม]:[คะแนนเต็ม]])*tbl_task3[[%]:[%]])</f>
        <v/>
      </c>
      <c r="LH17" s="121" t="str">
        <f>IF(ISBLANK(tbl_task3[[คะแนนเต็ม]:[คะแนนเต็ม]]),"",(tbl_task3[150]/tbl_task3[[คะแนนเต็ม]:[คะแนนเต็ม]])*tbl_task3[[%]:[%]])</f>
        <v/>
      </c>
      <c r="LI17" s="121" t="str">
        <f>IF(ISBLANK(tbl_task3[[คะแนนเต็ม]:[คะแนนเต็ม]]),"",(tbl_task3[151]/tbl_task3[[คะแนนเต็ม]:[คะแนนเต็ม]])*tbl_task3[[%]:[%]])</f>
        <v/>
      </c>
      <c r="LJ17" s="121" t="str">
        <f>IF(ISBLANK(tbl_task3[[คะแนนเต็ม]:[คะแนนเต็ม]]),"",(tbl_task3[152]/tbl_task3[[คะแนนเต็ม]:[คะแนนเต็ม]])*tbl_task3[[%]:[%]])</f>
        <v/>
      </c>
      <c r="LK17" s="121" t="str">
        <f>IF(ISBLANK(tbl_task3[[คะแนนเต็ม]:[คะแนนเต็ม]]),"",(tbl_task3[153]/tbl_task3[[คะแนนเต็ม]:[คะแนนเต็ม]])*tbl_task3[[%]:[%]])</f>
        <v/>
      </c>
      <c r="LL17" s="121" t="str">
        <f>IF(ISBLANK(tbl_task3[[คะแนนเต็ม]:[คะแนนเต็ม]]),"",(tbl_task3[154]/tbl_task3[[คะแนนเต็ม]:[คะแนนเต็ม]])*tbl_task3[[%]:[%]])</f>
        <v/>
      </c>
      <c r="LM17" s="121" t="str">
        <f>IF(ISBLANK(tbl_task3[[คะแนนเต็ม]:[คะแนนเต็ม]]),"",(tbl_task3[155]/tbl_task3[[คะแนนเต็ม]:[คะแนนเต็ม]])*tbl_task3[[%]:[%]])</f>
        <v/>
      </c>
      <c r="LN17" s="121" t="str">
        <f>IF(ISBLANK(tbl_task3[[คะแนนเต็ม]:[คะแนนเต็ม]]),"",(tbl_task3[156]/tbl_task3[[คะแนนเต็ม]:[คะแนนเต็ม]])*tbl_task3[[%]:[%]])</f>
        <v/>
      </c>
      <c r="LO17" s="121" t="str">
        <f>IF(ISBLANK(tbl_task3[[คะแนนเต็ม]:[คะแนนเต็ม]]),"",(tbl_task3[157]/tbl_task3[[คะแนนเต็ม]:[คะแนนเต็ม]])*tbl_task3[[%]:[%]])</f>
        <v/>
      </c>
      <c r="LP17" s="121" t="str">
        <f>IF(ISBLANK(tbl_task3[[คะแนนเต็ม]:[คะแนนเต็ม]]),"",(tbl_task3[158]/tbl_task3[[คะแนนเต็ม]:[คะแนนเต็ม]])*tbl_task3[[%]:[%]])</f>
        <v/>
      </c>
      <c r="LQ17" s="121" t="str">
        <f>IF(ISBLANK(tbl_task3[[คะแนนเต็ม]:[คะแนนเต็ม]]),"",(tbl_task3[159]/tbl_task3[[คะแนนเต็ม]:[คะแนนเต็ม]])*tbl_task3[[%]:[%]])</f>
        <v/>
      </c>
      <c r="LR17" s="121" t="str">
        <f>IF(ISBLANK(tbl_task3[[คะแนนเต็ม]:[คะแนนเต็ม]]),"",(tbl_task3[160]/tbl_task3[[คะแนนเต็ม]:[คะแนนเต็ม]])*tbl_task3[[%]:[%]])</f>
        <v/>
      </c>
      <c r="LS17" s="121" t="str">
        <f>IF(ISBLANK(tbl_task3[[คะแนนเต็ม]:[คะแนนเต็ม]]),"",(tbl_task3[161]/tbl_task3[[คะแนนเต็ม]:[คะแนนเต็ม]])*tbl_task3[[%]:[%]])</f>
        <v/>
      </c>
      <c r="LT17" s="121" t="str">
        <f>IF(ISBLANK(tbl_task3[[คะแนนเต็ม]:[คะแนนเต็ม]]),"",(tbl_task3[162]/tbl_task3[[คะแนนเต็ม]:[คะแนนเต็ม]])*tbl_task3[[%]:[%]])</f>
        <v/>
      </c>
      <c r="LU17" s="121" t="str">
        <f>IF(ISBLANK(tbl_task3[[คะแนนเต็ม]:[คะแนนเต็ม]]),"",(tbl_task3[163]/tbl_task3[[คะแนนเต็ม]:[คะแนนเต็ม]])*tbl_task3[[%]:[%]])</f>
        <v/>
      </c>
      <c r="LV17" s="121" t="str">
        <f>IF(ISBLANK(tbl_task3[[คะแนนเต็ม]:[คะแนนเต็ม]]),"",(tbl_task3[164]/tbl_task3[[คะแนนเต็ม]:[คะแนนเต็ม]])*tbl_task3[[%]:[%]])</f>
        <v/>
      </c>
      <c r="LW17" s="121" t="str">
        <f>IF(ISBLANK(tbl_task3[[คะแนนเต็ม]:[คะแนนเต็ม]]),"",(tbl_task3[165]/tbl_task3[[คะแนนเต็ม]:[คะแนนเต็ม]])*tbl_task3[[%]:[%]])</f>
        <v/>
      </c>
    </row>
    <row r="18" spans="1:335" ht="24" customHeight="1" x14ac:dyDescent="0.25">
      <c r="A18" s="24">
        <v>15</v>
      </c>
      <c r="B18" s="20"/>
      <c r="C18" s="5" t="str">
        <f>IF(ISBLANK(B18),"",VLOOKUP(B18,tbl_PLOs[],2,0))</f>
        <v/>
      </c>
      <c r="D18" s="102"/>
      <c r="E18" s="106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121" t="str">
        <f>IF(ISBLANK(tbl_task3[[คะแนนเต็ม]:[คะแนนเต็ม]]),"",(tbl_task3[1]/tbl_task3[[คะแนนเต็ม]:[คะแนนเต็ม]])*tbl_task3[[%]:[%]])</f>
        <v/>
      </c>
      <c r="FP18" s="121" t="str">
        <f>IF(ISBLANK(tbl_task3[[คะแนนเต็ม]:[คะแนนเต็ม]]),"",(tbl_task3[2]/tbl_task3[[คะแนนเต็ม]:[คะแนนเต็ม]])*tbl_task3[[%]:[%]])</f>
        <v/>
      </c>
      <c r="FQ18" s="121" t="str">
        <f>IF(ISBLANK(tbl_task3[[คะแนนเต็ม]:[คะแนนเต็ม]]),"",(tbl_task3[3]/tbl_task3[[คะแนนเต็ม]:[คะแนนเต็ม]])*tbl_task3[[%]:[%]])</f>
        <v/>
      </c>
      <c r="FR18" s="121" t="str">
        <f>IF(ISBLANK(tbl_task3[[คะแนนเต็ม]:[คะแนนเต็ม]]),"",(tbl_task3[4]/tbl_task3[[คะแนนเต็ม]:[คะแนนเต็ม]])*tbl_task3[[%]:[%]])</f>
        <v/>
      </c>
      <c r="FS18" s="121" t="str">
        <f>IF(ISBLANK(tbl_task3[[คะแนนเต็ม]:[คะแนนเต็ม]]),"",(tbl_task3[5]/tbl_task3[[คะแนนเต็ม]:[คะแนนเต็ม]])*tbl_task3[[%]:[%]])</f>
        <v/>
      </c>
      <c r="FT18" s="121" t="str">
        <f>IF(ISBLANK(tbl_task3[[คะแนนเต็ม]:[คะแนนเต็ม]]),"",(tbl_task3[6]/tbl_task3[[คะแนนเต็ม]:[คะแนนเต็ม]])*tbl_task3[[%]:[%]])</f>
        <v/>
      </c>
      <c r="FU18" s="121" t="str">
        <f>IF(ISBLANK(tbl_task3[[คะแนนเต็ม]:[คะแนนเต็ม]]),"",(tbl_task3[7]/tbl_task3[[คะแนนเต็ม]:[คะแนนเต็ม]])*tbl_task3[[%]:[%]])</f>
        <v/>
      </c>
      <c r="FV18" s="121" t="str">
        <f>IF(ISBLANK(tbl_task3[[คะแนนเต็ม]:[คะแนนเต็ม]]),"",(tbl_task3[8]/tbl_task3[[คะแนนเต็ม]:[คะแนนเต็ม]])*tbl_task3[[%]:[%]])</f>
        <v/>
      </c>
      <c r="FW18" s="121" t="str">
        <f>IF(ISBLANK(tbl_task3[[คะแนนเต็ม]:[คะแนนเต็ม]]),"",(tbl_task3[9]/tbl_task3[[คะแนนเต็ม]:[คะแนนเต็ม]])*tbl_task3[[%]:[%]])</f>
        <v/>
      </c>
      <c r="FX18" s="121" t="str">
        <f>IF(ISBLANK(tbl_task3[[คะแนนเต็ม]:[คะแนนเต็ม]]),"",(tbl_task3[10]/tbl_task3[[คะแนนเต็ม]:[คะแนนเต็ม]])*tbl_task3[[%]:[%]])</f>
        <v/>
      </c>
      <c r="FY18" s="121" t="str">
        <f>IF(ISBLANK(tbl_task3[[คะแนนเต็ม]:[คะแนนเต็ม]]),"",(tbl_task3[11]/tbl_task3[[คะแนนเต็ม]:[คะแนนเต็ม]])*tbl_task3[[%]:[%]])</f>
        <v/>
      </c>
      <c r="FZ18" s="121" t="str">
        <f>IF(ISBLANK(tbl_task3[[คะแนนเต็ม]:[คะแนนเต็ม]]),"",(tbl_task3[12]/tbl_task3[[คะแนนเต็ม]:[คะแนนเต็ม]])*tbl_task3[[%]:[%]])</f>
        <v/>
      </c>
      <c r="GA18" s="121" t="str">
        <f>IF(ISBLANK(tbl_task3[[คะแนนเต็ม]:[คะแนนเต็ม]]),"",(tbl_task3[13]/tbl_task3[[คะแนนเต็ม]:[คะแนนเต็ม]])*tbl_task3[[%]:[%]])</f>
        <v/>
      </c>
      <c r="GB18" s="121" t="str">
        <f>IF(ISBLANK(tbl_task3[[คะแนนเต็ม]:[คะแนนเต็ม]]),"",(tbl_task3[14]/tbl_task3[[คะแนนเต็ม]:[คะแนนเต็ม]])*tbl_task3[[%]:[%]])</f>
        <v/>
      </c>
      <c r="GC18" s="121" t="str">
        <f>IF(ISBLANK(tbl_task3[[คะแนนเต็ม]:[คะแนนเต็ม]]),"",(tbl_task3[15]/tbl_task3[[คะแนนเต็ม]:[คะแนนเต็ม]])*tbl_task3[[%]:[%]])</f>
        <v/>
      </c>
      <c r="GD18" s="121" t="str">
        <f>IF(ISBLANK(tbl_task3[[คะแนนเต็ม]:[คะแนนเต็ม]]),"",(tbl_task3[16]/tbl_task3[[คะแนนเต็ม]:[คะแนนเต็ม]])*tbl_task3[[%]:[%]])</f>
        <v/>
      </c>
      <c r="GE18" s="121" t="str">
        <f>IF(ISBLANK(tbl_task3[[คะแนนเต็ม]:[คะแนนเต็ม]]),"",(tbl_task3[17]/tbl_task3[[คะแนนเต็ม]:[คะแนนเต็ม]])*tbl_task3[[%]:[%]])</f>
        <v/>
      </c>
      <c r="GF18" s="121" t="str">
        <f>IF(ISBLANK(tbl_task3[[คะแนนเต็ม]:[คะแนนเต็ม]]),"",(tbl_task3[18]/tbl_task3[[คะแนนเต็ม]:[คะแนนเต็ม]])*tbl_task3[[%]:[%]])</f>
        <v/>
      </c>
      <c r="GG18" s="121" t="str">
        <f>IF(ISBLANK(tbl_task3[[คะแนนเต็ม]:[คะแนนเต็ม]]),"",(tbl_task3[19]/tbl_task3[[คะแนนเต็ม]:[คะแนนเต็ม]])*tbl_task3[[%]:[%]])</f>
        <v/>
      </c>
      <c r="GH18" s="121" t="str">
        <f>IF(ISBLANK(tbl_task3[[คะแนนเต็ม]:[คะแนนเต็ม]]),"",(tbl_task3[20]/tbl_task3[[คะแนนเต็ม]:[คะแนนเต็ม]])*tbl_task3[[%]:[%]])</f>
        <v/>
      </c>
      <c r="GI18" s="121" t="str">
        <f>IF(ISBLANK(tbl_task3[[คะแนนเต็ม]:[คะแนนเต็ม]]),"",(tbl_task3[21]/tbl_task3[[คะแนนเต็ม]:[คะแนนเต็ม]])*tbl_task3[[%]:[%]])</f>
        <v/>
      </c>
      <c r="GJ18" s="121" t="str">
        <f>IF(ISBLANK(tbl_task3[[คะแนนเต็ม]:[คะแนนเต็ม]]),"",(tbl_task3[22]/tbl_task3[[คะแนนเต็ม]:[คะแนนเต็ม]])*tbl_task3[[%]:[%]])</f>
        <v/>
      </c>
      <c r="GK18" s="121" t="str">
        <f>IF(ISBLANK(tbl_task3[[คะแนนเต็ม]:[คะแนนเต็ม]]),"",(tbl_task3[23]/tbl_task3[[คะแนนเต็ม]:[คะแนนเต็ม]])*tbl_task3[[%]:[%]])</f>
        <v/>
      </c>
      <c r="GL18" s="121" t="str">
        <f>IF(ISBLANK(tbl_task3[[คะแนนเต็ม]:[คะแนนเต็ม]]),"",(tbl_task3[24]/tbl_task3[[คะแนนเต็ม]:[คะแนนเต็ม]])*tbl_task3[[%]:[%]])</f>
        <v/>
      </c>
      <c r="GM18" s="121" t="str">
        <f>IF(ISBLANK(tbl_task3[[คะแนนเต็ม]:[คะแนนเต็ม]]),"",(tbl_task3[25]/tbl_task3[[คะแนนเต็ม]:[คะแนนเต็ม]])*tbl_task3[[%]:[%]])</f>
        <v/>
      </c>
      <c r="GN18" s="121" t="str">
        <f>IF(ISBLANK(tbl_task3[[คะแนนเต็ม]:[คะแนนเต็ม]]),"",(tbl_task3[26]/tbl_task3[[คะแนนเต็ม]:[คะแนนเต็ม]])*tbl_task3[[%]:[%]])</f>
        <v/>
      </c>
      <c r="GO18" s="121" t="str">
        <f>IF(ISBLANK(tbl_task3[[คะแนนเต็ม]:[คะแนนเต็ม]]),"",(tbl_task3[27]/tbl_task3[[คะแนนเต็ม]:[คะแนนเต็ม]])*tbl_task3[[%]:[%]])</f>
        <v/>
      </c>
      <c r="GP18" s="121" t="str">
        <f>IF(ISBLANK(tbl_task3[[คะแนนเต็ม]:[คะแนนเต็ม]]),"",(tbl_task3[28]/tbl_task3[[คะแนนเต็ม]:[คะแนนเต็ม]])*tbl_task3[[%]:[%]])</f>
        <v/>
      </c>
      <c r="GQ18" s="121" t="str">
        <f>IF(ISBLANK(tbl_task3[[คะแนนเต็ม]:[คะแนนเต็ม]]),"",(tbl_task3[29]/tbl_task3[[คะแนนเต็ม]:[คะแนนเต็ม]])*tbl_task3[[%]:[%]])</f>
        <v/>
      </c>
      <c r="GR18" s="121" t="str">
        <f>IF(ISBLANK(tbl_task3[[คะแนนเต็ม]:[คะแนนเต็ม]]),"",(tbl_task3[30]/tbl_task3[[คะแนนเต็ม]:[คะแนนเต็ม]])*tbl_task3[[%]:[%]])</f>
        <v/>
      </c>
      <c r="GS18" s="121" t="str">
        <f>IF(ISBLANK(tbl_task3[[คะแนนเต็ม]:[คะแนนเต็ม]]),"",(tbl_task3[31]/tbl_task3[[คะแนนเต็ม]:[คะแนนเต็ม]])*tbl_task3[[%]:[%]])</f>
        <v/>
      </c>
      <c r="GT18" s="121" t="str">
        <f>IF(ISBLANK(tbl_task3[[คะแนนเต็ม]:[คะแนนเต็ม]]),"",(tbl_task3[32]/tbl_task3[[คะแนนเต็ม]:[คะแนนเต็ม]])*tbl_task3[[%]:[%]])</f>
        <v/>
      </c>
      <c r="GU18" s="121" t="str">
        <f>IF(ISBLANK(tbl_task3[[คะแนนเต็ม]:[คะแนนเต็ม]]),"",(tbl_task3[33]/tbl_task3[[คะแนนเต็ม]:[คะแนนเต็ม]])*tbl_task3[[%]:[%]])</f>
        <v/>
      </c>
      <c r="GV18" s="121" t="str">
        <f>IF(ISBLANK(tbl_task3[[คะแนนเต็ม]:[คะแนนเต็ม]]),"",(tbl_task3[34]/tbl_task3[[คะแนนเต็ม]:[คะแนนเต็ม]])*tbl_task3[[%]:[%]])</f>
        <v/>
      </c>
      <c r="GW18" s="121" t="str">
        <f>IF(ISBLANK(tbl_task3[[คะแนนเต็ม]:[คะแนนเต็ม]]),"",(tbl_task3[35]/tbl_task3[[คะแนนเต็ม]:[คะแนนเต็ม]])*tbl_task3[[%]:[%]])</f>
        <v/>
      </c>
      <c r="GX18" s="121" t="str">
        <f>IF(ISBLANK(tbl_task3[[คะแนนเต็ม]:[คะแนนเต็ม]]),"",(tbl_task3[36]/tbl_task3[[คะแนนเต็ม]:[คะแนนเต็ม]])*tbl_task3[[%]:[%]])</f>
        <v/>
      </c>
      <c r="GY18" s="121" t="str">
        <f>IF(ISBLANK(tbl_task3[[คะแนนเต็ม]:[คะแนนเต็ม]]),"",(tbl_task3[37]/tbl_task3[[คะแนนเต็ม]:[คะแนนเต็ม]])*tbl_task3[[%]:[%]])</f>
        <v/>
      </c>
      <c r="GZ18" s="121" t="str">
        <f>IF(ISBLANK(tbl_task3[[คะแนนเต็ม]:[คะแนนเต็ม]]),"",(tbl_task3[38]/tbl_task3[[คะแนนเต็ม]:[คะแนนเต็ม]])*tbl_task3[[%]:[%]])</f>
        <v/>
      </c>
      <c r="HA18" s="121" t="str">
        <f>IF(ISBLANK(tbl_task3[[คะแนนเต็ม]:[คะแนนเต็ม]]),"",(tbl_task3[39]/tbl_task3[[คะแนนเต็ม]:[คะแนนเต็ม]])*tbl_task3[[%]:[%]])</f>
        <v/>
      </c>
      <c r="HB18" s="121" t="str">
        <f>IF(ISBLANK(tbl_task3[[คะแนนเต็ม]:[คะแนนเต็ม]]),"",(tbl_task3[40]/tbl_task3[[คะแนนเต็ม]:[คะแนนเต็ม]])*tbl_task3[[%]:[%]])</f>
        <v/>
      </c>
      <c r="HC18" s="121" t="str">
        <f>IF(ISBLANK(tbl_task3[[คะแนนเต็ม]:[คะแนนเต็ม]]),"",(tbl_task3[41]/tbl_task3[[คะแนนเต็ม]:[คะแนนเต็ม]])*tbl_task3[[%]:[%]])</f>
        <v/>
      </c>
      <c r="HD18" s="121" t="str">
        <f>IF(ISBLANK(tbl_task3[[คะแนนเต็ม]:[คะแนนเต็ม]]),"",(tbl_task3[42]/tbl_task3[[คะแนนเต็ม]:[คะแนนเต็ม]])*tbl_task3[[%]:[%]])</f>
        <v/>
      </c>
      <c r="HE18" s="121" t="str">
        <f>IF(ISBLANK(tbl_task3[[คะแนนเต็ม]:[คะแนนเต็ม]]),"",(tbl_task3[43]/tbl_task3[[คะแนนเต็ม]:[คะแนนเต็ม]])*tbl_task3[[%]:[%]])</f>
        <v/>
      </c>
      <c r="HF18" s="121" t="str">
        <f>IF(ISBLANK(tbl_task3[[คะแนนเต็ม]:[คะแนนเต็ม]]),"",(tbl_task3[44]/tbl_task3[[คะแนนเต็ม]:[คะแนนเต็ม]])*tbl_task3[[%]:[%]])</f>
        <v/>
      </c>
      <c r="HG18" s="121" t="str">
        <f>IF(ISBLANK(tbl_task3[[คะแนนเต็ม]:[คะแนนเต็ม]]),"",(tbl_task3[45]/tbl_task3[[คะแนนเต็ม]:[คะแนนเต็ม]])*tbl_task3[[%]:[%]])</f>
        <v/>
      </c>
      <c r="HH18" s="121" t="str">
        <f>IF(ISBLANK(tbl_task3[[คะแนนเต็ม]:[คะแนนเต็ม]]),"",(tbl_task3[46]/tbl_task3[[คะแนนเต็ม]:[คะแนนเต็ม]])*tbl_task3[[%]:[%]])</f>
        <v/>
      </c>
      <c r="HI18" s="121" t="str">
        <f>IF(ISBLANK(tbl_task3[[คะแนนเต็ม]:[คะแนนเต็ม]]),"",(tbl_task3[47]/tbl_task3[[คะแนนเต็ม]:[คะแนนเต็ม]])*tbl_task3[[%]:[%]])</f>
        <v/>
      </c>
      <c r="HJ18" s="121" t="str">
        <f>IF(ISBLANK(tbl_task3[[คะแนนเต็ม]:[คะแนนเต็ม]]),"",(tbl_task3[48]/tbl_task3[[คะแนนเต็ม]:[คะแนนเต็ม]])*tbl_task3[[%]:[%]])</f>
        <v/>
      </c>
      <c r="HK18" s="121" t="str">
        <f>IF(ISBLANK(tbl_task3[[คะแนนเต็ม]:[คะแนนเต็ม]]),"",(tbl_task3[49]/tbl_task3[[คะแนนเต็ม]:[คะแนนเต็ม]])*tbl_task3[[%]:[%]])</f>
        <v/>
      </c>
      <c r="HL18" s="121" t="str">
        <f>IF(ISBLANK(tbl_task3[[คะแนนเต็ม]:[คะแนนเต็ม]]),"",(tbl_task3[50]/tbl_task3[[คะแนนเต็ม]:[คะแนนเต็ม]])*tbl_task3[[%]:[%]])</f>
        <v/>
      </c>
      <c r="HM18" s="121" t="str">
        <f>IF(ISBLANK(tbl_task3[[คะแนนเต็ม]:[คะแนนเต็ม]]),"",(tbl_task3[51]/tbl_task3[[คะแนนเต็ม]:[คะแนนเต็ม]])*tbl_task3[[%]:[%]])</f>
        <v/>
      </c>
      <c r="HN18" s="121" t="str">
        <f>IF(ISBLANK(tbl_task3[[คะแนนเต็ม]:[คะแนนเต็ม]]),"",(tbl_task3[52]/tbl_task3[[คะแนนเต็ม]:[คะแนนเต็ม]])*tbl_task3[[%]:[%]])</f>
        <v/>
      </c>
      <c r="HO18" s="121" t="str">
        <f>IF(ISBLANK(tbl_task3[[คะแนนเต็ม]:[คะแนนเต็ม]]),"",(tbl_task3[53]/tbl_task3[[คะแนนเต็ม]:[คะแนนเต็ม]])*tbl_task3[[%]:[%]])</f>
        <v/>
      </c>
      <c r="HP18" s="121" t="str">
        <f>IF(ISBLANK(tbl_task3[[คะแนนเต็ม]:[คะแนนเต็ม]]),"",(tbl_task3[54]/tbl_task3[[คะแนนเต็ม]:[คะแนนเต็ม]])*tbl_task3[[%]:[%]])</f>
        <v/>
      </c>
      <c r="HQ18" s="121" t="str">
        <f>IF(ISBLANK(tbl_task3[[คะแนนเต็ม]:[คะแนนเต็ม]]),"",(tbl_task3[55]/tbl_task3[[คะแนนเต็ม]:[คะแนนเต็ม]])*tbl_task3[[%]:[%]])</f>
        <v/>
      </c>
      <c r="HR18" s="121" t="str">
        <f>IF(ISBLANK(tbl_task3[[คะแนนเต็ม]:[คะแนนเต็ม]]),"",(tbl_task3[56]/tbl_task3[[คะแนนเต็ม]:[คะแนนเต็ม]])*tbl_task3[[%]:[%]])</f>
        <v/>
      </c>
      <c r="HS18" s="121" t="str">
        <f>IF(ISBLANK(tbl_task3[[คะแนนเต็ม]:[คะแนนเต็ม]]),"",(tbl_task3[57]/tbl_task3[[คะแนนเต็ม]:[คะแนนเต็ม]])*tbl_task3[[%]:[%]])</f>
        <v/>
      </c>
      <c r="HT18" s="121" t="str">
        <f>IF(ISBLANK(tbl_task3[[คะแนนเต็ม]:[คะแนนเต็ม]]),"",(tbl_task3[58]/tbl_task3[[คะแนนเต็ม]:[คะแนนเต็ม]])*tbl_task3[[%]:[%]])</f>
        <v/>
      </c>
      <c r="HU18" s="121" t="str">
        <f>IF(ISBLANK(tbl_task3[[คะแนนเต็ม]:[คะแนนเต็ม]]),"",(tbl_task3[59]/tbl_task3[[คะแนนเต็ม]:[คะแนนเต็ม]])*tbl_task3[[%]:[%]])</f>
        <v/>
      </c>
      <c r="HV18" s="121" t="str">
        <f>IF(ISBLANK(tbl_task3[[คะแนนเต็ม]:[คะแนนเต็ม]]),"",(tbl_task3[60]/tbl_task3[[คะแนนเต็ม]:[คะแนนเต็ม]])*tbl_task3[[%]:[%]])</f>
        <v/>
      </c>
      <c r="HW18" s="121" t="str">
        <f>IF(ISBLANK(tbl_task3[[คะแนนเต็ม]:[คะแนนเต็ม]]),"",(tbl_task3[61]/tbl_task3[[คะแนนเต็ม]:[คะแนนเต็ม]])*tbl_task3[[%]:[%]])</f>
        <v/>
      </c>
      <c r="HX18" s="121" t="str">
        <f>IF(ISBLANK(tbl_task3[[คะแนนเต็ม]:[คะแนนเต็ม]]),"",(tbl_task3[62]/tbl_task3[[คะแนนเต็ม]:[คะแนนเต็ม]])*tbl_task3[[%]:[%]])</f>
        <v/>
      </c>
      <c r="HY18" s="121" t="str">
        <f>IF(ISBLANK(tbl_task3[[คะแนนเต็ม]:[คะแนนเต็ม]]),"",(tbl_task3[63]/tbl_task3[[คะแนนเต็ม]:[คะแนนเต็ม]])*tbl_task3[[%]:[%]])</f>
        <v/>
      </c>
      <c r="HZ18" s="121" t="str">
        <f>IF(ISBLANK(tbl_task3[[คะแนนเต็ม]:[คะแนนเต็ม]]),"",(tbl_task3[64]/tbl_task3[[คะแนนเต็ม]:[คะแนนเต็ม]])*tbl_task3[[%]:[%]])</f>
        <v/>
      </c>
      <c r="IA18" s="121" t="str">
        <f>IF(ISBLANK(tbl_task3[[คะแนนเต็ม]:[คะแนนเต็ม]]),"",(tbl_task3[65]/tbl_task3[[คะแนนเต็ม]:[คะแนนเต็ม]])*tbl_task3[[%]:[%]])</f>
        <v/>
      </c>
      <c r="IB18" s="121" t="str">
        <f>IF(ISBLANK(tbl_task3[[คะแนนเต็ม]:[คะแนนเต็ม]]),"",(tbl_task3[66]/tbl_task3[[คะแนนเต็ม]:[คะแนนเต็ม]])*tbl_task3[[%]:[%]])</f>
        <v/>
      </c>
      <c r="IC18" s="121" t="str">
        <f>IF(ISBLANK(tbl_task3[[คะแนนเต็ม]:[คะแนนเต็ม]]),"",(tbl_task3[67]/tbl_task3[[คะแนนเต็ม]:[คะแนนเต็ม]])*tbl_task3[[%]:[%]])</f>
        <v/>
      </c>
      <c r="ID18" s="121" t="str">
        <f>IF(ISBLANK(tbl_task3[[คะแนนเต็ม]:[คะแนนเต็ม]]),"",(tbl_task3[68]/tbl_task3[[คะแนนเต็ม]:[คะแนนเต็ม]])*tbl_task3[[%]:[%]])</f>
        <v/>
      </c>
      <c r="IE18" s="121" t="str">
        <f>IF(ISBLANK(tbl_task3[[คะแนนเต็ม]:[คะแนนเต็ม]]),"",(tbl_task3[69]/tbl_task3[[คะแนนเต็ม]:[คะแนนเต็ม]])*tbl_task3[[%]:[%]])</f>
        <v/>
      </c>
      <c r="IF18" s="121" t="str">
        <f>IF(ISBLANK(tbl_task3[[คะแนนเต็ม]:[คะแนนเต็ม]]),"",(tbl_task3[70]/tbl_task3[[คะแนนเต็ม]:[คะแนนเต็ม]])*tbl_task3[[%]:[%]])</f>
        <v/>
      </c>
      <c r="IG18" s="121" t="str">
        <f>IF(ISBLANK(tbl_task3[[คะแนนเต็ม]:[คะแนนเต็ม]]),"",(tbl_task3[71]/tbl_task3[[คะแนนเต็ม]:[คะแนนเต็ม]])*tbl_task3[[%]:[%]])</f>
        <v/>
      </c>
      <c r="IH18" s="121" t="str">
        <f>IF(ISBLANK(tbl_task3[[คะแนนเต็ม]:[คะแนนเต็ม]]),"",(tbl_task3[72]/tbl_task3[[คะแนนเต็ม]:[คะแนนเต็ม]])*tbl_task3[[%]:[%]])</f>
        <v/>
      </c>
      <c r="II18" s="121" t="str">
        <f>IF(ISBLANK(tbl_task3[[คะแนนเต็ม]:[คะแนนเต็ม]]),"",(tbl_task3[73]/tbl_task3[[คะแนนเต็ม]:[คะแนนเต็ม]])*tbl_task3[[%]:[%]])</f>
        <v/>
      </c>
      <c r="IJ18" s="121" t="str">
        <f>IF(ISBLANK(tbl_task3[[คะแนนเต็ม]:[คะแนนเต็ม]]),"",(tbl_task3[74]/tbl_task3[[คะแนนเต็ม]:[คะแนนเต็ม]])*tbl_task3[[%]:[%]])</f>
        <v/>
      </c>
      <c r="IK18" s="121" t="str">
        <f>IF(ISBLANK(tbl_task3[[คะแนนเต็ม]:[คะแนนเต็ม]]),"",(tbl_task3[75]/tbl_task3[[คะแนนเต็ม]:[คะแนนเต็ม]])*tbl_task3[[%]:[%]])</f>
        <v/>
      </c>
      <c r="IL18" s="121" t="str">
        <f>IF(ISBLANK(tbl_task3[[คะแนนเต็ม]:[คะแนนเต็ม]]),"",(tbl_task3[76]/tbl_task3[[คะแนนเต็ม]:[คะแนนเต็ม]])*tbl_task3[[%]:[%]])</f>
        <v/>
      </c>
      <c r="IM18" s="121" t="str">
        <f>IF(ISBLANK(tbl_task3[[คะแนนเต็ม]:[คะแนนเต็ม]]),"",(tbl_task3[77]/tbl_task3[[คะแนนเต็ม]:[คะแนนเต็ม]])*tbl_task3[[%]:[%]])</f>
        <v/>
      </c>
      <c r="IN18" s="121" t="str">
        <f>IF(ISBLANK(tbl_task3[[คะแนนเต็ม]:[คะแนนเต็ม]]),"",(tbl_task3[78]/tbl_task3[[คะแนนเต็ม]:[คะแนนเต็ม]])*tbl_task3[[%]:[%]])</f>
        <v/>
      </c>
      <c r="IO18" s="121" t="str">
        <f>IF(ISBLANK(tbl_task3[[คะแนนเต็ม]:[คะแนนเต็ม]]),"",(tbl_task3[79]/tbl_task3[[คะแนนเต็ม]:[คะแนนเต็ม]])*tbl_task3[[%]:[%]])</f>
        <v/>
      </c>
      <c r="IP18" s="121" t="str">
        <f>IF(ISBLANK(tbl_task3[[คะแนนเต็ม]:[คะแนนเต็ม]]),"",(tbl_task3[80]/tbl_task3[[คะแนนเต็ม]:[คะแนนเต็ม]])*tbl_task3[[%]:[%]])</f>
        <v/>
      </c>
      <c r="IQ18" s="121" t="str">
        <f>IF(ISBLANK(tbl_task3[[คะแนนเต็ม]:[คะแนนเต็ม]]),"",(tbl_task3[81]/tbl_task3[[คะแนนเต็ม]:[คะแนนเต็ม]])*tbl_task3[[%]:[%]])</f>
        <v/>
      </c>
      <c r="IR18" s="121" t="str">
        <f>IF(ISBLANK(tbl_task3[[คะแนนเต็ม]:[คะแนนเต็ม]]),"",(tbl_task3[82]/tbl_task3[[คะแนนเต็ม]:[คะแนนเต็ม]])*tbl_task3[[%]:[%]])</f>
        <v/>
      </c>
      <c r="IS18" s="121" t="str">
        <f>IF(ISBLANK(tbl_task3[[คะแนนเต็ม]:[คะแนนเต็ม]]),"",(tbl_task3[83]/tbl_task3[[คะแนนเต็ม]:[คะแนนเต็ม]])*tbl_task3[[%]:[%]])</f>
        <v/>
      </c>
      <c r="IT18" s="121" t="str">
        <f>IF(ISBLANK(tbl_task3[[คะแนนเต็ม]:[คะแนนเต็ม]]),"",(tbl_task3[84]/tbl_task3[[คะแนนเต็ม]:[คะแนนเต็ม]])*tbl_task3[[%]:[%]])</f>
        <v/>
      </c>
      <c r="IU18" s="121" t="str">
        <f>IF(ISBLANK(tbl_task3[[คะแนนเต็ม]:[คะแนนเต็ม]]),"",(tbl_task3[85]/tbl_task3[[คะแนนเต็ม]:[คะแนนเต็ม]])*tbl_task3[[%]:[%]])</f>
        <v/>
      </c>
      <c r="IV18" s="121" t="str">
        <f>IF(ISBLANK(tbl_task3[[คะแนนเต็ม]:[คะแนนเต็ม]]),"",(tbl_task3[86]/tbl_task3[[คะแนนเต็ม]:[คะแนนเต็ม]])*tbl_task3[[%]:[%]])</f>
        <v/>
      </c>
      <c r="IW18" s="121" t="str">
        <f>IF(ISBLANK(tbl_task3[[คะแนนเต็ม]:[คะแนนเต็ม]]),"",(tbl_task3[87]/tbl_task3[[คะแนนเต็ม]:[คะแนนเต็ม]])*tbl_task3[[%]:[%]])</f>
        <v/>
      </c>
      <c r="IX18" s="121" t="str">
        <f>IF(ISBLANK(tbl_task3[[คะแนนเต็ม]:[คะแนนเต็ม]]),"",(tbl_task3[88]/tbl_task3[[คะแนนเต็ม]:[คะแนนเต็ม]])*tbl_task3[[%]:[%]])</f>
        <v/>
      </c>
      <c r="IY18" s="121" t="str">
        <f>IF(ISBLANK(tbl_task3[[คะแนนเต็ม]:[คะแนนเต็ม]]),"",(tbl_task3[89]/tbl_task3[[คะแนนเต็ม]:[คะแนนเต็ม]])*tbl_task3[[%]:[%]])</f>
        <v/>
      </c>
      <c r="IZ18" s="121" t="str">
        <f>IF(ISBLANK(tbl_task3[[คะแนนเต็ม]:[คะแนนเต็ม]]),"",(tbl_task3[90]/tbl_task3[[คะแนนเต็ม]:[คะแนนเต็ม]])*tbl_task3[[%]:[%]])</f>
        <v/>
      </c>
      <c r="JA18" s="121" t="str">
        <f>IF(ISBLANK(tbl_task3[[คะแนนเต็ม]:[คะแนนเต็ม]]),"",(tbl_task3[91]/tbl_task3[[คะแนนเต็ม]:[คะแนนเต็ม]])*tbl_task3[[%]:[%]])</f>
        <v/>
      </c>
      <c r="JB18" s="121" t="str">
        <f>IF(ISBLANK(tbl_task3[[คะแนนเต็ม]:[คะแนนเต็ม]]),"",(tbl_task3[92]/tbl_task3[[คะแนนเต็ม]:[คะแนนเต็ม]])*tbl_task3[[%]:[%]])</f>
        <v/>
      </c>
      <c r="JC18" s="121" t="str">
        <f>IF(ISBLANK(tbl_task3[[คะแนนเต็ม]:[คะแนนเต็ม]]),"",(tbl_task3[93]/tbl_task3[[คะแนนเต็ม]:[คะแนนเต็ม]])*tbl_task3[[%]:[%]])</f>
        <v/>
      </c>
      <c r="JD18" s="121" t="str">
        <f>IF(ISBLANK(tbl_task3[[คะแนนเต็ม]:[คะแนนเต็ม]]),"",(tbl_task3[94]/tbl_task3[[คะแนนเต็ม]:[คะแนนเต็ม]])*tbl_task3[[%]:[%]])</f>
        <v/>
      </c>
      <c r="JE18" s="121" t="str">
        <f>IF(ISBLANK(tbl_task3[[คะแนนเต็ม]:[คะแนนเต็ม]]),"",(tbl_task3[95]/tbl_task3[[คะแนนเต็ม]:[คะแนนเต็ม]])*tbl_task3[[%]:[%]])</f>
        <v/>
      </c>
      <c r="JF18" s="121" t="str">
        <f>IF(ISBLANK(tbl_task3[[คะแนนเต็ม]:[คะแนนเต็ม]]),"",(tbl_task3[96]/tbl_task3[[คะแนนเต็ม]:[คะแนนเต็ม]])*tbl_task3[[%]:[%]])</f>
        <v/>
      </c>
      <c r="JG18" s="121" t="str">
        <f>IF(ISBLANK(tbl_task3[[คะแนนเต็ม]:[คะแนนเต็ม]]),"",(tbl_task3[97]/tbl_task3[[คะแนนเต็ม]:[คะแนนเต็ม]])*tbl_task3[[%]:[%]])</f>
        <v/>
      </c>
      <c r="JH18" s="121" t="str">
        <f>IF(ISBLANK(tbl_task3[[คะแนนเต็ม]:[คะแนนเต็ม]]),"",(tbl_task3[98]/tbl_task3[[คะแนนเต็ม]:[คะแนนเต็ม]])*tbl_task3[[%]:[%]])</f>
        <v/>
      </c>
      <c r="JI18" s="121" t="str">
        <f>IF(ISBLANK(tbl_task3[[คะแนนเต็ม]:[คะแนนเต็ม]]),"",(tbl_task3[99]/tbl_task3[[คะแนนเต็ม]:[คะแนนเต็ม]])*tbl_task3[[%]:[%]])</f>
        <v/>
      </c>
      <c r="JJ18" s="121" t="str">
        <f>IF(ISBLANK(tbl_task3[[คะแนนเต็ม]:[คะแนนเต็ม]]),"",(tbl_task3[100]/tbl_task3[[คะแนนเต็ม]:[คะแนนเต็ม]])*tbl_task3[[%]:[%]])</f>
        <v/>
      </c>
      <c r="JK18" s="121" t="str">
        <f>IF(ISBLANK(tbl_task3[[คะแนนเต็ม]:[คะแนนเต็ม]]),"",(tbl_task3[101]/tbl_task3[[คะแนนเต็ม]:[คะแนนเต็ม]])*tbl_task3[[%]:[%]])</f>
        <v/>
      </c>
      <c r="JL18" s="121" t="str">
        <f>IF(ISBLANK(tbl_task3[[คะแนนเต็ม]:[คะแนนเต็ม]]),"",(tbl_task3[102]/tbl_task3[[คะแนนเต็ม]:[คะแนนเต็ม]])*tbl_task3[[%]:[%]])</f>
        <v/>
      </c>
      <c r="JM18" s="121" t="str">
        <f>IF(ISBLANK(tbl_task3[[คะแนนเต็ม]:[คะแนนเต็ม]]),"",(tbl_task3[103]/tbl_task3[[คะแนนเต็ม]:[คะแนนเต็ม]])*tbl_task3[[%]:[%]])</f>
        <v/>
      </c>
      <c r="JN18" s="121" t="str">
        <f>IF(ISBLANK(tbl_task3[[คะแนนเต็ม]:[คะแนนเต็ม]]),"",(tbl_task3[104]/tbl_task3[[คะแนนเต็ม]:[คะแนนเต็ม]])*tbl_task3[[%]:[%]])</f>
        <v/>
      </c>
      <c r="JO18" s="121" t="str">
        <f>IF(ISBLANK(tbl_task3[[คะแนนเต็ม]:[คะแนนเต็ม]]),"",(tbl_task3[105]/tbl_task3[[คะแนนเต็ม]:[คะแนนเต็ม]])*tbl_task3[[%]:[%]])</f>
        <v/>
      </c>
      <c r="JP18" s="121" t="str">
        <f>IF(ISBLANK(tbl_task3[[คะแนนเต็ม]:[คะแนนเต็ม]]),"",(tbl_task3[106]/tbl_task3[[คะแนนเต็ม]:[คะแนนเต็ม]])*tbl_task3[[%]:[%]])</f>
        <v/>
      </c>
      <c r="JQ18" s="121" t="str">
        <f>IF(ISBLANK(tbl_task3[[คะแนนเต็ม]:[คะแนนเต็ม]]),"",(tbl_task3[107]/tbl_task3[[คะแนนเต็ม]:[คะแนนเต็ม]])*tbl_task3[[%]:[%]])</f>
        <v/>
      </c>
      <c r="JR18" s="121" t="str">
        <f>IF(ISBLANK(tbl_task3[[คะแนนเต็ม]:[คะแนนเต็ม]]),"",(tbl_task3[108]/tbl_task3[[คะแนนเต็ม]:[คะแนนเต็ม]])*tbl_task3[[%]:[%]])</f>
        <v/>
      </c>
      <c r="JS18" s="121" t="str">
        <f>IF(ISBLANK(tbl_task3[[คะแนนเต็ม]:[คะแนนเต็ม]]),"",(tbl_task3[109]/tbl_task3[[คะแนนเต็ม]:[คะแนนเต็ม]])*tbl_task3[[%]:[%]])</f>
        <v/>
      </c>
      <c r="JT18" s="121" t="str">
        <f>IF(ISBLANK(tbl_task3[[คะแนนเต็ม]:[คะแนนเต็ม]]),"",(tbl_task3[110]/tbl_task3[[คะแนนเต็ม]:[คะแนนเต็ม]])*tbl_task3[[%]:[%]])</f>
        <v/>
      </c>
      <c r="JU18" s="121" t="str">
        <f>IF(ISBLANK(tbl_task3[[คะแนนเต็ม]:[คะแนนเต็ม]]),"",(tbl_task3[111]/tbl_task3[[คะแนนเต็ม]:[คะแนนเต็ม]])*tbl_task3[[%]:[%]])</f>
        <v/>
      </c>
      <c r="JV18" s="121" t="str">
        <f>IF(ISBLANK(tbl_task3[[คะแนนเต็ม]:[คะแนนเต็ม]]),"",(tbl_task3[112]/tbl_task3[[คะแนนเต็ม]:[คะแนนเต็ม]])*tbl_task3[[%]:[%]])</f>
        <v/>
      </c>
      <c r="JW18" s="121" t="str">
        <f>IF(ISBLANK(tbl_task3[[คะแนนเต็ม]:[คะแนนเต็ม]]),"",(tbl_task3[113]/tbl_task3[[คะแนนเต็ม]:[คะแนนเต็ม]])*tbl_task3[[%]:[%]])</f>
        <v/>
      </c>
      <c r="JX18" s="121" t="str">
        <f>IF(ISBLANK(tbl_task3[[คะแนนเต็ม]:[คะแนนเต็ม]]),"",(tbl_task3[114]/tbl_task3[[คะแนนเต็ม]:[คะแนนเต็ม]])*tbl_task3[[%]:[%]])</f>
        <v/>
      </c>
      <c r="JY18" s="121" t="str">
        <f>IF(ISBLANK(tbl_task3[[คะแนนเต็ม]:[คะแนนเต็ม]]),"",(tbl_task3[115]/tbl_task3[[คะแนนเต็ม]:[คะแนนเต็ม]])*tbl_task3[[%]:[%]])</f>
        <v/>
      </c>
      <c r="JZ18" s="121" t="str">
        <f>IF(ISBLANK(tbl_task3[[คะแนนเต็ม]:[คะแนนเต็ม]]),"",(tbl_task3[116]/tbl_task3[[คะแนนเต็ม]:[คะแนนเต็ม]])*tbl_task3[[%]:[%]])</f>
        <v/>
      </c>
      <c r="KA18" s="121" t="str">
        <f>IF(ISBLANK(tbl_task3[[คะแนนเต็ม]:[คะแนนเต็ม]]),"",(tbl_task3[117]/tbl_task3[[คะแนนเต็ม]:[คะแนนเต็ม]])*tbl_task3[[%]:[%]])</f>
        <v/>
      </c>
      <c r="KB18" s="121" t="str">
        <f>IF(ISBLANK(tbl_task3[[คะแนนเต็ม]:[คะแนนเต็ม]]),"",(tbl_task3[118]/tbl_task3[[คะแนนเต็ม]:[คะแนนเต็ม]])*tbl_task3[[%]:[%]])</f>
        <v/>
      </c>
      <c r="KC18" s="121" t="str">
        <f>IF(ISBLANK(tbl_task3[[คะแนนเต็ม]:[คะแนนเต็ม]]),"",(tbl_task3[119]/tbl_task3[[คะแนนเต็ม]:[คะแนนเต็ม]])*tbl_task3[[%]:[%]])</f>
        <v/>
      </c>
      <c r="KD18" s="121" t="str">
        <f>IF(ISBLANK(tbl_task3[[คะแนนเต็ม]:[คะแนนเต็ม]]),"",(tbl_task3[120]/tbl_task3[[คะแนนเต็ม]:[คะแนนเต็ม]])*tbl_task3[[%]:[%]])</f>
        <v/>
      </c>
      <c r="KE18" s="121" t="str">
        <f>IF(ISBLANK(tbl_task3[[คะแนนเต็ม]:[คะแนนเต็ม]]),"",(tbl_task3[121]/tbl_task3[[คะแนนเต็ม]:[คะแนนเต็ม]])*tbl_task3[[%]:[%]])</f>
        <v/>
      </c>
      <c r="KF18" s="121" t="str">
        <f>IF(ISBLANK(tbl_task3[[คะแนนเต็ม]:[คะแนนเต็ม]]),"",(tbl_task3[122]/tbl_task3[[คะแนนเต็ม]:[คะแนนเต็ม]])*tbl_task3[[%]:[%]])</f>
        <v/>
      </c>
      <c r="KG18" s="121" t="str">
        <f>IF(ISBLANK(tbl_task3[[คะแนนเต็ม]:[คะแนนเต็ม]]),"",(tbl_task3[123]/tbl_task3[[คะแนนเต็ม]:[คะแนนเต็ม]])*tbl_task3[[%]:[%]])</f>
        <v/>
      </c>
      <c r="KH18" s="121" t="str">
        <f>IF(ISBLANK(tbl_task3[[คะแนนเต็ม]:[คะแนนเต็ม]]),"",(tbl_task3[124]/tbl_task3[[คะแนนเต็ม]:[คะแนนเต็ม]])*tbl_task3[[%]:[%]])</f>
        <v/>
      </c>
      <c r="KI18" s="121" t="str">
        <f>IF(ISBLANK(tbl_task3[[คะแนนเต็ม]:[คะแนนเต็ม]]),"",(tbl_task3[125]/tbl_task3[[คะแนนเต็ม]:[คะแนนเต็ม]])*tbl_task3[[%]:[%]])</f>
        <v/>
      </c>
      <c r="KJ18" s="121" t="str">
        <f>IF(ISBLANK(tbl_task3[[คะแนนเต็ม]:[คะแนนเต็ม]]),"",(tbl_task3[126]/tbl_task3[[คะแนนเต็ม]:[คะแนนเต็ม]])*tbl_task3[[%]:[%]])</f>
        <v/>
      </c>
      <c r="KK18" s="121" t="str">
        <f>IF(ISBLANK(tbl_task3[[คะแนนเต็ม]:[คะแนนเต็ม]]),"",(tbl_task3[127]/tbl_task3[[คะแนนเต็ม]:[คะแนนเต็ม]])*tbl_task3[[%]:[%]])</f>
        <v/>
      </c>
      <c r="KL18" s="121" t="str">
        <f>IF(ISBLANK(tbl_task3[[คะแนนเต็ม]:[คะแนนเต็ม]]),"",(tbl_task3[128]/tbl_task3[[คะแนนเต็ม]:[คะแนนเต็ม]])*tbl_task3[[%]:[%]])</f>
        <v/>
      </c>
      <c r="KM18" s="121" t="str">
        <f>IF(ISBLANK(tbl_task3[[คะแนนเต็ม]:[คะแนนเต็ม]]),"",(tbl_task3[129]/tbl_task3[[คะแนนเต็ม]:[คะแนนเต็ม]])*tbl_task3[[%]:[%]])</f>
        <v/>
      </c>
      <c r="KN18" s="121" t="str">
        <f>IF(ISBLANK(tbl_task3[[คะแนนเต็ม]:[คะแนนเต็ม]]),"",(tbl_task3[130]/tbl_task3[[คะแนนเต็ม]:[คะแนนเต็ม]])*tbl_task3[[%]:[%]])</f>
        <v/>
      </c>
      <c r="KO18" s="121" t="str">
        <f>IF(ISBLANK(tbl_task3[[คะแนนเต็ม]:[คะแนนเต็ม]]),"",(tbl_task3[131]/tbl_task3[[คะแนนเต็ม]:[คะแนนเต็ม]])*tbl_task3[[%]:[%]])</f>
        <v/>
      </c>
      <c r="KP18" s="121" t="str">
        <f>IF(ISBLANK(tbl_task3[[คะแนนเต็ม]:[คะแนนเต็ม]]),"",(tbl_task3[132]/tbl_task3[[คะแนนเต็ม]:[คะแนนเต็ม]])*tbl_task3[[%]:[%]])</f>
        <v/>
      </c>
      <c r="KQ18" s="121" t="str">
        <f>IF(ISBLANK(tbl_task3[[คะแนนเต็ม]:[คะแนนเต็ม]]),"",(tbl_task3[133]/tbl_task3[[คะแนนเต็ม]:[คะแนนเต็ม]])*tbl_task3[[%]:[%]])</f>
        <v/>
      </c>
      <c r="KR18" s="121" t="str">
        <f>IF(ISBLANK(tbl_task3[[คะแนนเต็ม]:[คะแนนเต็ม]]),"",(tbl_task3[134]/tbl_task3[[คะแนนเต็ม]:[คะแนนเต็ม]])*tbl_task3[[%]:[%]])</f>
        <v/>
      </c>
      <c r="KS18" s="121" t="str">
        <f>IF(ISBLANK(tbl_task3[[คะแนนเต็ม]:[คะแนนเต็ม]]),"",(tbl_task3[135]/tbl_task3[[คะแนนเต็ม]:[คะแนนเต็ม]])*tbl_task3[[%]:[%]])</f>
        <v/>
      </c>
      <c r="KT18" s="121" t="str">
        <f>IF(ISBLANK(tbl_task3[[คะแนนเต็ม]:[คะแนนเต็ม]]),"",(tbl_task3[136]/tbl_task3[[คะแนนเต็ม]:[คะแนนเต็ม]])*tbl_task3[[%]:[%]])</f>
        <v/>
      </c>
      <c r="KU18" s="121" t="str">
        <f>IF(ISBLANK(tbl_task3[[คะแนนเต็ม]:[คะแนนเต็ม]]),"",(tbl_task3[137]/tbl_task3[[คะแนนเต็ม]:[คะแนนเต็ม]])*tbl_task3[[%]:[%]])</f>
        <v/>
      </c>
      <c r="KV18" s="121" t="str">
        <f>IF(ISBLANK(tbl_task3[[คะแนนเต็ม]:[คะแนนเต็ม]]),"",(tbl_task3[138]/tbl_task3[[คะแนนเต็ม]:[คะแนนเต็ม]])*tbl_task3[[%]:[%]])</f>
        <v/>
      </c>
      <c r="KW18" s="121" t="str">
        <f>IF(ISBLANK(tbl_task3[[คะแนนเต็ม]:[คะแนนเต็ม]]),"",(tbl_task3[139]/tbl_task3[[คะแนนเต็ม]:[คะแนนเต็ม]])*tbl_task3[[%]:[%]])</f>
        <v/>
      </c>
      <c r="KX18" s="121" t="str">
        <f>IF(ISBLANK(tbl_task3[[คะแนนเต็ม]:[คะแนนเต็ม]]),"",(tbl_task3[140]/tbl_task3[[คะแนนเต็ม]:[คะแนนเต็ม]])*tbl_task3[[%]:[%]])</f>
        <v/>
      </c>
      <c r="KY18" s="121" t="str">
        <f>IF(ISBLANK(tbl_task3[[คะแนนเต็ม]:[คะแนนเต็ม]]),"",(tbl_task3[141]/tbl_task3[[คะแนนเต็ม]:[คะแนนเต็ม]])*tbl_task3[[%]:[%]])</f>
        <v/>
      </c>
      <c r="KZ18" s="121" t="str">
        <f>IF(ISBLANK(tbl_task3[[คะแนนเต็ม]:[คะแนนเต็ม]]),"",(tbl_task3[142]/tbl_task3[[คะแนนเต็ม]:[คะแนนเต็ม]])*tbl_task3[[%]:[%]])</f>
        <v/>
      </c>
      <c r="LA18" s="121" t="str">
        <f>IF(ISBLANK(tbl_task3[[คะแนนเต็ม]:[คะแนนเต็ม]]),"",(tbl_task3[143]/tbl_task3[[คะแนนเต็ม]:[คะแนนเต็ม]])*tbl_task3[[%]:[%]])</f>
        <v/>
      </c>
      <c r="LB18" s="121" t="str">
        <f>IF(ISBLANK(tbl_task3[[คะแนนเต็ม]:[คะแนนเต็ม]]),"",(tbl_task3[144]/tbl_task3[[คะแนนเต็ม]:[คะแนนเต็ม]])*tbl_task3[[%]:[%]])</f>
        <v/>
      </c>
      <c r="LC18" s="121" t="str">
        <f>IF(ISBLANK(tbl_task3[[คะแนนเต็ม]:[คะแนนเต็ม]]),"",(tbl_task3[145]/tbl_task3[[คะแนนเต็ม]:[คะแนนเต็ม]])*tbl_task3[[%]:[%]])</f>
        <v/>
      </c>
      <c r="LD18" s="121" t="str">
        <f>IF(ISBLANK(tbl_task3[[คะแนนเต็ม]:[คะแนนเต็ม]]),"",(tbl_task3[146]/tbl_task3[[คะแนนเต็ม]:[คะแนนเต็ม]])*tbl_task3[[%]:[%]])</f>
        <v/>
      </c>
      <c r="LE18" s="121" t="str">
        <f>IF(ISBLANK(tbl_task3[[คะแนนเต็ม]:[คะแนนเต็ม]]),"",(tbl_task3[147]/tbl_task3[[คะแนนเต็ม]:[คะแนนเต็ม]])*tbl_task3[[%]:[%]])</f>
        <v/>
      </c>
      <c r="LF18" s="121" t="str">
        <f>IF(ISBLANK(tbl_task3[[คะแนนเต็ม]:[คะแนนเต็ม]]),"",(tbl_task3[148]/tbl_task3[[คะแนนเต็ม]:[คะแนนเต็ม]])*tbl_task3[[%]:[%]])</f>
        <v/>
      </c>
      <c r="LG18" s="121" t="str">
        <f>IF(ISBLANK(tbl_task3[[คะแนนเต็ม]:[คะแนนเต็ม]]),"",(tbl_task3[149]/tbl_task3[[คะแนนเต็ม]:[คะแนนเต็ม]])*tbl_task3[[%]:[%]])</f>
        <v/>
      </c>
      <c r="LH18" s="121" t="str">
        <f>IF(ISBLANK(tbl_task3[[คะแนนเต็ม]:[คะแนนเต็ม]]),"",(tbl_task3[150]/tbl_task3[[คะแนนเต็ม]:[คะแนนเต็ม]])*tbl_task3[[%]:[%]])</f>
        <v/>
      </c>
      <c r="LI18" s="121" t="str">
        <f>IF(ISBLANK(tbl_task3[[คะแนนเต็ม]:[คะแนนเต็ม]]),"",(tbl_task3[151]/tbl_task3[[คะแนนเต็ม]:[คะแนนเต็ม]])*tbl_task3[[%]:[%]])</f>
        <v/>
      </c>
      <c r="LJ18" s="121" t="str">
        <f>IF(ISBLANK(tbl_task3[[คะแนนเต็ม]:[คะแนนเต็ม]]),"",(tbl_task3[152]/tbl_task3[[คะแนนเต็ม]:[คะแนนเต็ม]])*tbl_task3[[%]:[%]])</f>
        <v/>
      </c>
      <c r="LK18" s="121" t="str">
        <f>IF(ISBLANK(tbl_task3[[คะแนนเต็ม]:[คะแนนเต็ม]]),"",(tbl_task3[153]/tbl_task3[[คะแนนเต็ม]:[คะแนนเต็ม]])*tbl_task3[[%]:[%]])</f>
        <v/>
      </c>
      <c r="LL18" s="121" t="str">
        <f>IF(ISBLANK(tbl_task3[[คะแนนเต็ม]:[คะแนนเต็ม]]),"",(tbl_task3[154]/tbl_task3[[คะแนนเต็ม]:[คะแนนเต็ม]])*tbl_task3[[%]:[%]])</f>
        <v/>
      </c>
      <c r="LM18" s="121" t="str">
        <f>IF(ISBLANK(tbl_task3[[คะแนนเต็ม]:[คะแนนเต็ม]]),"",(tbl_task3[155]/tbl_task3[[คะแนนเต็ม]:[คะแนนเต็ม]])*tbl_task3[[%]:[%]])</f>
        <v/>
      </c>
      <c r="LN18" s="121" t="str">
        <f>IF(ISBLANK(tbl_task3[[คะแนนเต็ม]:[คะแนนเต็ม]]),"",(tbl_task3[156]/tbl_task3[[คะแนนเต็ม]:[คะแนนเต็ม]])*tbl_task3[[%]:[%]])</f>
        <v/>
      </c>
      <c r="LO18" s="121" t="str">
        <f>IF(ISBLANK(tbl_task3[[คะแนนเต็ม]:[คะแนนเต็ม]]),"",(tbl_task3[157]/tbl_task3[[คะแนนเต็ม]:[คะแนนเต็ม]])*tbl_task3[[%]:[%]])</f>
        <v/>
      </c>
      <c r="LP18" s="121" t="str">
        <f>IF(ISBLANK(tbl_task3[[คะแนนเต็ม]:[คะแนนเต็ม]]),"",(tbl_task3[158]/tbl_task3[[คะแนนเต็ม]:[คะแนนเต็ม]])*tbl_task3[[%]:[%]])</f>
        <v/>
      </c>
      <c r="LQ18" s="121" t="str">
        <f>IF(ISBLANK(tbl_task3[[คะแนนเต็ม]:[คะแนนเต็ม]]),"",(tbl_task3[159]/tbl_task3[[คะแนนเต็ม]:[คะแนนเต็ม]])*tbl_task3[[%]:[%]])</f>
        <v/>
      </c>
      <c r="LR18" s="121" t="str">
        <f>IF(ISBLANK(tbl_task3[[คะแนนเต็ม]:[คะแนนเต็ม]]),"",(tbl_task3[160]/tbl_task3[[คะแนนเต็ม]:[คะแนนเต็ม]])*tbl_task3[[%]:[%]])</f>
        <v/>
      </c>
      <c r="LS18" s="121" t="str">
        <f>IF(ISBLANK(tbl_task3[[คะแนนเต็ม]:[คะแนนเต็ม]]),"",(tbl_task3[161]/tbl_task3[[คะแนนเต็ม]:[คะแนนเต็ม]])*tbl_task3[[%]:[%]])</f>
        <v/>
      </c>
      <c r="LT18" s="121" t="str">
        <f>IF(ISBLANK(tbl_task3[[คะแนนเต็ม]:[คะแนนเต็ม]]),"",(tbl_task3[162]/tbl_task3[[คะแนนเต็ม]:[คะแนนเต็ม]])*tbl_task3[[%]:[%]])</f>
        <v/>
      </c>
      <c r="LU18" s="121" t="str">
        <f>IF(ISBLANK(tbl_task3[[คะแนนเต็ม]:[คะแนนเต็ม]]),"",(tbl_task3[163]/tbl_task3[[คะแนนเต็ม]:[คะแนนเต็ม]])*tbl_task3[[%]:[%]])</f>
        <v/>
      </c>
      <c r="LV18" s="121" t="str">
        <f>IF(ISBLANK(tbl_task3[[คะแนนเต็ม]:[คะแนนเต็ม]]),"",(tbl_task3[164]/tbl_task3[[คะแนนเต็ม]:[คะแนนเต็ม]])*tbl_task3[[%]:[%]])</f>
        <v/>
      </c>
      <c r="LW18" s="121" t="str">
        <f>IF(ISBLANK(tbl_task3[[คะแนนเต็ม]:[คะแนนเต็ม]]),"",(tbl_task3[165]/tbl_task3[[คะแนนเต็ม]:[คะแนนเต็ม]])*tbl_task3[[%]:[%]])</f>
        <v/>
      </c>
    </row>
    <row r="19" spans="1:335" ht="24" customHeight="1" x14ac:dyDescent="0.25">
      <c r="A19" s="24">
        <v>16</v>
      </c>
      <c r="B19" s="20"/>
      <c r="C19" s="5" t="str">
        <f>IF(ISBLANK(B19),"",VLOOKUP(B19,tbl_PLOs[],2,0))</f>
        <v/>
      </c>
      <c r="D19" s="102"/>
      <c r="E19" s="106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121" t="str">
        <f>IF(ISBLANK(tbl_task3[[คะแนนเต็ม]:[คะแนนเต็ม]]),"",(tbl_task3[1]/tbl_task3[[คะแนนเต็ม]:[คะแนนเต็ม]])*tbl_task3[[%]:[%]])</f>
        <v/>
      </c>
      <c r="FP19" s="121" t="str">
        <f>IF(ISBLANK(tbl_task3[[คะแนนเต็ม]:[คะแนนเต็ม]]),"",(tbl_task3[2]/tbl_task3[[คะแนนเต็ม]:[คะแนนเต็ม]])*tbl_task3[[%]:[%]])</f>
        <v/>
      </c>
      <c r="FQ19" s="121" t="str">
        <f>IF(ISBLANK(tbl_task3[[คะแนนเต็ม]:[คะแนนเต็ม]]),"",(tbl_task3[3]/tbl_task3[[คะแนนเต็ม]:[คะแนนเต็ม]])*tbl_task3[[%]:[%]])</f>
        <v/>
      </c>
      <c r="FR19" s="121" t="str">
        <f>IF(ISBLANK(tbl_task3[[คะแนนเต็ม]:[คะแนนเต็ม]]),"",(tbl_task3[4]/tbl_task3[[คะแนนเต็ม]:[คะแนนเต็ม]])*tbl_task3[[%]:[%]])</f>
        <v/>
      </c>
      <c r="FS19" s="121" t="str">
        <f>IF(ISBLANK(tbl_task3[[คะแนนเต็ม]:[คะแนนเต็ม]]),"",(tbl_task3[5]/tbl_task3[[คะแนนเต็ม]:[คะแนนเต็ม]])*tbl_task3[[%]:[%]])</f>
        <v/>
      </c>
      <c r="FT19" s="121" t="str">
        <f>IF(ISBLANK(tbl_task3[[คะแนนเต็ม]:[คะแนนเต็ม]]),"",(tbl_task3[6]/tbl_task3[[คะแนนเต็ม]:[คะแนนเต็ม]])*tbl_task3[[%]:[%]])</f>
        <v/>
      </c>
      <c r="FU19" s="121" t="str">
        <f>IF(ISBLANK(tbl_task3[[คะแนนเต็ม]:[คะแนนเต็ม]]),"",(tbl_task3[7]/tbl_task3[[คะแนนเต็ม]:[คะแนนเต็ม]])*tbl_task3[[%]:[%]])</f>
        <v/>
      </c>
      <c r="FV19" s="121" t="str">
        <f>IF(ISBLANK(tbl_task3[[คะแนนเต็ม]:[คะแนนเต็ม]]),"",(tbl_task3[8]/tbl_task3[[คะแนนเต็ม]:[คะแนนเต็ม]])*tbl_task3[[%]:[%]])</f>
        <v/>
      </c>
      <c r="FW19" s="121" t="str">
        <f>IF(ISBLANK(tbl_task3[[คะแนนเต็ม]:[คะแนนเต็ม]]),"",(tbl_task3[9]/tbl_task3[[คะแนนเต็ม]:[คะแนนเต็ม]])*tbl_task3[[%]:[%]])</f>
        <v/>
      </c>
      <c r="FX19" s="121" t="str">
        <f>IF(ISBLANK(tbl_task3[[คะแนนเต็ม]:[คะแนนเต็ม]]),"",(tbl_task3[10]/tbl_task3[[คะแนนเต็ม]:[คะแนนเต็ม]])*tbl_task3[[%]:[%]])</f>
        <v/>
      </c>
      <c r="FY19" s="121" t="str">
        <f>IF(ISBLANK(tbl_task3[[คะแนนเต็ม]:[คะแนนเต็ม]]),"",(tbl_task3[11]/tbl_task3[[คะแนนเต็ม]:[คะแนนเต็ม]])*tbl_task3[[%]:[%]])</f>
        <v/>
      </c>
      <c r="FZ19" s="121" t="str">
        <f>IF(ISBLANK(tbl_task3[[คะแนนเต็ม]:[คะแนนเต็ม]]),"",(tbl_task3[12]/tbl_task3[[คะแนนเต็ม]:[คะแนนเต็ม]])*tbl_task3[[%]:[%]])</f>
        <v/>
      </c>
      <c r="GA19" s="121" t="str">
        <f>IF(ISBLANK(tbl_task3[[คะแนนเต็ม]:[คะแนนเต็ม]]),"",(tbl_task3[13]/tbl_task3[[คะแนนเต็ม]:[คะแนนเต็ม]])*tbl_task3[[%]:[%]])</f>
        <v/>
      </c>
      <c r="GB19" s="121" t="str">
        <f>IF(ISBLANK(tbl_task3[[คะแนนเต็ม]:[คะแนนเต็ม]]),"",(tbl_task3[14]/tbl_task3[[คะแนนเต็ม]:[คะแนนเต็ม]])*tbl_task3[[%]:[%]])</f>
        <v/>
      </c>
      <c r="GC19" s="121" t="str">
        <f>IF(ISBLANK(tbl_task3[[คะแนนเต็ม]:[คะแนนเต็ม]]),"",(tbl_task3[15]/tbl_task3[[คะแนนเต็ม]:[คะแนนเต็ม]])*tbl_task3[[%]:[%]])</f>
        <v/>
      </c>
      <c r="GD19" s="121" t="str">
        <f>IF(ISBLANK(tbl_task3[[คะแนนเต็ม]:[คะแนนเต็ม]]),"",(tbl_task3[16]/tbl_task3[[คะแนนเต็ม]:[คะแนนเต็ม]])*tbl_task3[[%]:[%]])</f>
        <v/>
      </c>
      <c r="GE19" s="121" t="str">
        <f>IF(ISBLANK(tbl_task3[[คะแนนเต็ม]:[คะแนนเต็ม]]),"",(tbl_task3[17]/tbl_task3[[คะแนนเต็ม]:[คะแนนเต็ม]])*tbl_task3[[%]:[%]])</f>
        <v/>
      </c>
      <c r="GF19" s="121" t="str">
        <f>IF(ISBLANK(tbl_task3[[คะแนนเต็ม]:[คะแนนเต็ม]]),"",(tbl_task3[18]/tbl_task3[[คะแนนเต็ม]:[คะแนนเต็ม]])*tbl_task3[[%]:[%]])</f>
        <v/>
      </c>
      <c r="GG19" s="121" t="str">
        <f>IF(ISBLANK(tbl_task3[[คะแนนเต็ม]:[คะแนนเต็ม]]),"",(tbl_task3[19]/tbl_task3[[คะแนนเต็ม]:[คะแนนเต็ม]])*tbl_task3[[%]:[%]])</f>
        <v/>
      </c>
      <c r="GH19" s="121" t="str">
        <f>IF(ISBLANK(tbl_task3[[คะแนนเต็ม]:[คะแนนเต็ม]]),"",(tbl_task3[20]/tbl_task3[[คะแนนเต็ม]:[คะแนนเต็ม]])*tbl_task3[[%]:[%]])</f>
        <v/>
      </c>
      <c r="GI19" s="121" t="str">
        <f>IF(ISBLANK(tbl_task3[[คะแนนเต็ม]:[คะแนนเต็ม]]),"",(tbl_task3[21]/tbl_task3[[คะแนนเต็ม]:[คะแนนเต็ม]])*tbl_task3[[%]:[%]])</f>
        <v/>
      </c>
      <c r="GJ19" s="121" t="str">
        <f>IF(ISBLANK(tbl_task3[[คะแนนเต็ม]:[คะแนนเต็ม]]),"",(tbl_task3[22]/tbl_task3[[คะแนนเต็ม]:[คะแนนเต็ม]])*tbl_task3[[%]:[%]])</f>
        <v/>
      </c>
      <c r="GK19" s="121" t="str">
        <f>IF(ISBLANK(tbl_task3[[คะแนนเต็ม]:[คะแนนเต็ม]]),"",(tbl_task3[23]/tbl_task3[[คะแนนเต็ม]:[คะแนนเต็ม]])*tbl_task3[[%]:[%]])</f>
        <v/>
      </c>
      <c r="GL19" s="121" t="str">
        <f>IF(ISBLANK(tbl_task3[[คะแนนเต็ม]:[คะแนนเต็ม]]),"",(tbl_task3[24]/tbl_task3[[คะแนนเต็ม]:[คะแนนเต็ม]])*tbl_task3[[%]:[%]])</f>
        <v/>
      </c>
      <c r="GM19" s="121" t="str">
        <f>IF(ISBLANK(tbl_task3[[คะแนนเต็ม]:[คะแนนเต็ม]]),"",(tbl_task3[25]/tbl_task3[[คะแนนเต็ม]:[คะแนนเต็ม]])*tbl_task3[[%]:[%]])</f>
        <v/>
      </c>
      <c r="GN19" s="121" t="str">
        <f>IF(ISBLANK(tbl_task3[[คะแนนเต็ม]:[คะแนนเต็ม]]),"",(tbl_task3[26]/tbl_task3[[คะแนนเต็ม]:[คะแนนเต็ม]])*tbl_task3[[%]:[%]])</f>
        <v/>
      </c>
      <c r="GO19" s="121" t="str">
        <f>IF(ISBLANK(tbl_task3[[คะแนนเต็ม]:[คะแนนเต็ม]]),"",(tbl_task3[27]/tbl_task3[[คะแนนเต็ม]:[คะแนนเต็ม]])*tbl_task3[[%]:[%]])</f>
        <v/>
      </c>
      <c r="GP19" s="121" t="str">
        <f>IF(ISBLANK(tbl_task3[[คะแนนเต็ม]:[คะแนนเต็ม]]),"",(tbl_task3[28]/tbl_task3[[คะแนนเต็ม]:[คะแนนเต็ม]])*tbl_task3[[%]:[%]])</f>
        <v/>
      </c>
      <c r="GQ19" s="121" t="str">
        <f>IF(ISBLANK(tbl_task3[[คะแนนเต็ม]:[คะแนนเต็ม]]),"",(tbl_task3[29]/tbl_task3[[คะแนนเต็ม]:[คะแนนเต็ม]])*tbl_task3[[%]:[%]])</f>
        <v/>
      </c>
      <c r="GR19" s="121" t="str">
        <f>IF(ISBLANK(tbl_task3[[คะแนนเต็ม]:[คะแนนเต็ม]]),"",(tbl_task3[30]/tbl_task3[[คะแนนเต็ม]:[คะแนนเต็ม]])*tbl_task3[[%]:[%]])</f>
        <v/>
      </c>
      <c r="GS19" s="121" t="str">
        <f>IF(ISBLANK(tbl_task3[[คะแนนเต็ม]:[คะแนนเต็ม]]),"",(tbl_task3[31]/tbl_task3[[คะแนนเต็ม]:[คะแนนเต็ม]])*tbl_task3[[%]:[%]])</f>
        <v/>
      </c>
      <c r="GT19" s="121" t="str">
        <f>IF(ISBLANK(tbl_task3[[คะแนนเต็ม]:[คะแนนเต็ม]]),"",(tbl_task3[32]/tbl_task3[[คะแนนเต็ม]:[คะแนนเต็ม]])*tbl_task3[[%]:[%]])</f>
        <v/>
      </c>
      <c r="GU19" s="121" t="str">
        <f>IF(ISBLANK(tbl_task3[[คะแนนเต็ม]:[คะแนนเต็ม]]),"",(tbl_task3[33]/tbl_task3[[คะแนนเต็ม]:[คะแนนเต็ม]])*tbl_task3[[%]:[%]])</f>
        <v/>
      </c>
      <c r="GV19" s="121" t="str">
        <f>IF(ISBLANK(tbl_task3[[คะแนนเต็ม]:[คะแนนเต็ม]]),"",(tbl_task3[34]/tbl_task3[[คะแนนเต็ม]:[คะแนนเต็ม]])*tbl_task3[[%]:[%]])</f>
        <v/>
      </c>
      <c r="GW19" s="121" t="str">
        <f>IF(ISBLANK(tbl_task3[[คะแนนเต็ม]:[คะแนนเต็ม]]),"",(tbl_task3[35]/tbl_task3[[คะแนนเต็ม]:[คะแนนเต็ม]])*tbl_task3[[%]:[%]])</f>
        <v/>
      </c>
      <c r="GX19" s="121" t="str">
        <f>IF(ISBLANK(tbl_task3[[คะแนนเต็ม]:[คะแนนเต็ม]]),"",(tbl_task3[36]/tbl_task3[[คะแนนเต็ม]:[คะแนนเต็ม]])*tbl_task3[[%]:[%]])</f>
        <v/>
      </c>
      <c r="GY19" s="121" t="str">
        <f>IF(ISBLANK(tbl_task3[[คะแนนเต็ม]:[คะแนนเต็ม]]),"",(tbl_task3[37]/tbl_task3[[คะแนนเต็ม]:[คะแนนเต็ม]])*tbl_task3[[%]:[%]])</f>
        <v/>
      </c>
      <c r="GZ19" s="121" t="str">
        <f>IF(ISBLANK(tbl_task3[[คะแนนเต็ม]:[คะแนนเต็ม]]),"",(tbl_task3[38]/tbl_task3[[คะแนนเต็ม]:[คะแนนเต็ม]])*tbl_task3[[%]:[%]])</f>
        <v/>
      </c>
      <c r="HA19" s="121" t="str">
        <f>IF(ISBLANK(tbl_task3[[คะแนนเต็ม]:[คะแนนเต็ม]]),"",(tbl_task3[39]/tbl_task3[[คะแนนเต็ม]:[คะแนนเต็ม]])*tbl_task3[[%]:[%]])</f>
        <v/>
      </c>
      <c r="HB19" s="121" t="str">
        <f>IF(ISBLANK(tbl_task3[[คะแนนเต็ม]:[คะแนนเต็ม]]),"",(tbl_task3[40]/tbl_task3[[คะแนนเต็ม]:[คะแนนเต็ม]])*tbl_task3[[%]:[%]])</f>
        <v/>
      </c>
      <c r="HC19" s="121" t="str">
        <f>IF(ISBLANK(tbl_task3[[คะแนนเต็ม]:[คะแนนเต็ม]]),"",(tbl_task3[41]/tbl_task3[[คะแนนเต็ม]:[คะแนนเต็ม]])*tbl_task3[[%]:[%]])</f>
        <v/>
      </c>
      <c r="HD19" s="121" t="str">
        <f>IF(ISBLANK(tbl_task3[[คะแนนเต็ม]:[คะแนนเต็ม]]),"",(tbl_task3[42]/tbl_task3[[คะแนนเต็ม]:[คะแนนเต็ม]])*tbl_task3[[%]:[%]])</f>
        <v/>
      </c>
      <c r="HE19" s="121" t="str">
        <f>IF(ISBLANK(tbl_task3[[คะแนนเต็ม]:[คะแนนเต็ม]]),"",(tbl_task3[43]/tbl_task3[[คะแนนเต็ม]:[คะแนนเต็ม]])*tbl_task3[[%]:[%]])</f>
        <v/>
      </c>
      <c r="HF19" s="121" t="str">
        <f>IF(ISBLANK(tbl_task3[[คะแนนเต็ม]:[คะแนนเต็ม]]),"",(tbl_task3[44]/tbl_task3[[คะแนนเต็ม]:[คะแนนเต็ม]])*tbl_task3[[%]:[%]])</f>
        <v/>
      </c>
      <c r="HG19" s="121" t="str">
        <f>IF(ISBLANK(tbl_task3[[คะแนนเต็ม]:[คะแนนเต็ม]]),"",(tbl_task3[45]/tbl_task3[[คะแนนเต็ม]:[คะแนนเต็ม]])*tbl_task3[[%]:[%]])</f>
        <v/>
      </c>
      <c r="HH19" s="121" t="str">
        <f>IF(ISBLANK(tbl_task3[[คะแนนเต็ม]:[คะแนนเต็ม]]),"",(tbl_task3[46]/tbl_task3[[คะแนนเต็ม]:[คะแนนเต็ม]])*tbl_task3[[%]:[%]])</f>
        <v/>
      </c>
      <c r="HI19" s="121" t="str">
        <f>IF(ISBLANK(tbl_task3[[คะแนนเต็ม]:[คะแนนเต็ม]]),"",(tbl_task3[47]/tbl_task3[[คะแนนเต็ม]:[คะแนนเต็ม]])*tbl_task3[[%]:[%]])</f>
        <v/>
      </c>
      <c r="HJ19" s="121" t="str">
        <f>IF(ISBLANK(tbl_task3[[คะแนนเต็ม]:[คะแนนเต็ม]]),"",(tbl_task3[48]/tbl_task3[[คะแนนเต็ม]:[คะแนนเต็ม]])*tbl_task3[[%]:[%]])</f>
        <v/>
      </c>
      <c r="HK19" s="121" t="str">
        <f>IF(ISBLANK(tbl_task3[[คะแนนเต็ม]:[คะแนนเต็ม]]),"",(tbl_task3[49]/tbl_task3[[คะแนนเต็ม]:[คะแนนเต็ม]])*tbl_task3[[%]:[%]])</f>
        <v/>
      </c>
      <c r="HL19" s="121" t="str">
        <f>IF(ISBLANK(tbl_task3[[คะแนนเต็ม]:[คะแนนเต็ม]]),"",(tbl_task3[50]/tbl_task3[[คะแนนเต็ม]:[คะแนนเต็ม]])*tbl_task3[[%]:[%]])</f>
        <v/>
      </c>
      <c r="HM19" s="121" t="str">
        <f>IF(ISBLANK(tbl_task3[[คะแนนเต็ม]:[คะแนนเต็ม]]),"",(tbl_task3[51]/tbl_task3[[คะแนนเต็ม]:[คะแนนเต็ม]])*tbl_task3[[%]:[%]])</f>
        <v/>
      </c>
      <c r="HN19" s="121" t="str">
        <f>IF(ISBLANK(tbl_task3[[คะแนนเต็ม]:[คะแนนเต็ม]]),"",(tbl_task3[52]/tbl_task3[[คะแนนเต็ม]:[คะแนนเต็ม]])*tbl_task3[[%]:[%]])</f>
        <v/>
      </c>
      <c r="HO19" s="121" t="str">
        <f>IF(ISBLANK(tbl_task3[[คะแนนเต็ม]:[คะแนนเต็ม]]),"",(tbl_task3[53]/tbl_task3[[คะแนนเต็ม]:[คะแนนเต็ม]])*tbl_task3[[%]:[%]])</f>
        <v/>
      </c>
      <c r="HP19" s="121" t="str">
        <f>IF(ISBLANK(tbl_task3[[คะแนนเต็ม]:[คะแนนเต็ม]]),"",(tbl_task3[54]/tbl_task3[[คะแนนเต็ม]:[คะแนนเต็ม]])*tbl_task3[[%]:[%]])</f>
        <v/>
      </c>
      <c r="HQ19" s="121" t="str">
        <f>IF(ISBLANK(tbl_task3[[คะแนนเต็ม]:[คะแนนเต็ม]]),"",(tbl_task3[55]/tbl_task3[[คะแนนเต็ม]:[คะแนนเต็ม]])*tbl_task3[[%]:[%]])</f>
        <v/>
      </c>
      <c r="HR19" s="121" t="str">
        <f>IF(ISBLANK(tbl_task3[[คะแนนเต็ม]:[คะแนนเต็ม]]),"",(tbl_task3[56]/tbl_task3[[คะแนนเต็ม]:[คะแนนเต็ม]])*tbl_task3[[%]:[%]])</f>
        <v/>
      </c>
      <c r="HS19" s="121" t="str">
        <f>IF(ISBLANK(tbl_task3[[คะแนนเต็ม]:[คะแนนเต็ม]]),"",(tbl_task3[57]/tbl_task3[[คะแนนเต็ม]:[คะแนนเต็ม]])*tbl_task3[[%]:[%]])</f>
        <v/>
      </c>
      <c r="HT19" s="121" t="str">
        <f>IF(ISBLANK(tbl_task3[[คะแนนเต็ม]:[คะแนนเต็ม]]),"",(tbl_task3[58]/tbl_task3[[คะแนนเต็ม]:[คะแนนเต็ม]])*tbl_task3[[%]:[%]])</f>
        <v/>
      </c>
      <c r="HU19" s="121" t="str">
        <f>IF(ISBLANK(tbl_task3[[คะแนนเต็ม]:[คะแนนเต็ม]]),"",(tbl_task3[59]/tbl_task3[[คะแนนเต็ม]:[คะแนนเต็ม]])*tbl_task3[[%]:[%]])</f>
        <v/>
      </c>
      <c r="HV19" s="121" t="str">
        <f>IF(ISBLANK(tbl_task3[[คะแนนเต็ม]:[คะแนนเต็ม]]),"",(tbl_task3[60]/tbl_task3[[คะแนนเต็ม]:[คะแนนเต็ม]])*tbl_task3[[%]:[%]])</f>
        <v/>
      </c>
      <c r="HW19" s="121" t="str">
        <f>IF(ISBLANK(tbl_task3[[คะแนนเต็ม]:[คะแนนเต็ม]]),"",(tbl_task3[61]/tbl_task3[[คะแนนเต็ม]:[คะแนนเต็ม]])*tbl_task3[[%]:[%]])</f>
        <v/>
      </c>
      <c r="HX19" s="121" t="str">
        <f>IF(ISBLANK(tbl_task3[[คะแนนเต็ม]:[คะแนนเต็ม]]),"",(tbl_task3[62]/tbl_task3[[คะแนนเต็ม]:[คะแนนเต็ม]])*tbl_task3[[%]:[%]])</f>
        <v/>
      </c>
      <c r="HY19" s="121" t="str">
        <f>IF(ISBLANK(tbl_task3[[คะแนนเต็ม]:[คะแนนเต็ม]]),"",(tbl_task3[63]/tbl_task3[[คะแนนเต็ม]:[คะแนนเต็ม]])*tbl_task3[[%]:[%]])</f>
        <v/>
      </c>
      <c r="HZ19" s="121" t="str">
        <f>IF(ISBLANK(tbl_task3[[คะแนนเต็ม]:[คะแนนเต็ม]]),"",(tbl_task3[64]/tbl_task3[[คะแนนเต็ม]:[คะแนนเต็ม]])*tbl_task3[[%]:[%]])</f>
        <v/>
      </c>
      <c r="IA19" s="121" t="str">
        <f>IF(ISBLANK(tbl_task3[[คะแนนเต็ม]:[คะแนนเต็ม]]),"",(tbl_task3[65]/tbl_task3[[คะแนนเต็ม]:[คะแนนเต็ม]])*tbl_task3[[%]:[%]])</f>
        <v/>
      </c>
      <c r="IB19" s="121" t="str">
        <f>IF(ISBLANK(tbl_task3[[คะแนนเต็ม]:[คะแนนเต็ม]]),"",(tbl_task3[66]/tbl_task3[[คะแนนเต็ม]:[คะแนนเต็ม]])*tbl_task3[[%]:[%]])</f>
        <v/>
      </c>
      <c r="IC19" s="121" t="str">
        <f>IF(ISBLANK(tbl_task3[[คะแนนเต็ม]:[คะแนนเต็ม]]),"",(tbl_task3[67]/tbl_task3[[คะแนนเต็ม]:[คะแนนเต็ม]])*tbl_task3[[%]:[%]])</f>
        <v/>
      </c>
      <c r="ID19" s="121" t="str">
        <f>IF(ISBLANK(tbl_task3[[คะแนนเต็ม]:[คะแนนเต็ม]]),"",(tbl_task3[68]/tbl_task3[[คะแนนเต็ม]:[คะแนนเต็ม]])*tbl_task3[[%]:[%]])</f>
        <v/>
      </c>
      <c r="IE19" s="121" t="str">
        <f>IF(ISBLANK(tbl_task3[[คะแนนเต็ม]:[คะแนนเต็ม]]),"",(tbl_task3[69]/tbl_task3[[คะแนนเต็ม]:[คะแนนเต็ม]])*tbl_task3[[%]:[%]])</f>
        <v/>
      </c>
      <c r="IF19" s="121" t="str">
        <f>IF(ISBLANK(tbl_task3[[คะแนนเต็ม]:[คะแนนเต็ม]]),"",(tbl_task3[70]/tbl_task3[[คะแนนเต็ม]:[คะแนนเต็ม]])*tbl_task3[[%]:[%]])</f>
        <v/>
      </c>
      <c r="IG19" s="121" t="str">
        <f>IF(ISBLANK(tbl_task3[[คะแนนเต็ม]:[คะแนนเต็ม]]),"",(tbl_task3[71]/tbl_task3[[คะแนนเต็ม]:[คะแนนเต็ม]])*tbl_task3[[%]:[%]])</f>
        <v/>
      </c>
      <c r="IH19" s="121" t="str">
        <f>IF(ISBLANK(tbl_task3[[คะแนนเต็ม]:[คะแนนเต็ม]]),"",(tbl_task3[72]/tbl_task3[[คะแนนเต็ม]:[คะแนนเต็ม]])*tbl_task3[[%]:[%]])</f>
        <v/>
      </c>
      <c r="II19" s="121" t="str">
        <f>IF(ISBLANK(tbl_task3[[คะแนนเต็ม]:[คะแนนเต็ม]]),"",(tbl_task3[73]/tbl_task3[[คะแนนเต็ม]:[คะแนนเต็ม]])*tbl_task3[[%]:[%]])</f>
        <v/>
      </c>
      <c r="IJ19" s="121" t="str">
        <f>IF(ISBLANK(tbl_task3[[คะแนนเต็ม]:[คะแนนเต็ม]]),"",(tbl_task3[74]/tbl_task3[[คะแนนเต็ม]:[คะแนนเต็ม]])*tbl_task3[[%]:[%]])</f>
        <v/>
      </c>
      <c r="IK19" s="121" t="str">
        <f>IF(ISBLANK(tbl_task3[[คะแนนเต็ม]:[คะแนนเต็ม]]),"",(tbl_task3[75]/tbl_task3[[คะแนนเต็ม]:[คะแนนเต็ม]])*tbl_task3[[%]:[%]])</f>
        <v/>
      </c>
      <c r="IL19" s="121" t="str">
        <f>IF(ISBLANK(tbl_task3[[คะแนนเต็ม]:[คะแนนเต็ม]]),"",(tbl_task3[76]/tbl_task3[[คะแนนเต็ม]:[คะแนนเต็ม]])*tbl_task3[[%]:[%]])</f>
        <v/>
      </c>
      <c r="IM19" s="121" t="str">
        <f>IF(ISBLANK(tbl_task3[[คะแนนเต็ม]:[คะแนนเต็ม]]),"",(tbl_task3[77]/tbl_task3[[คะแนนเต็ม]:[คะแนนเต็ม]])*tbl_task3[[%]:[%]])</f>
        <v/>
      </c>
      <c r="IN19" s="121" t="str">
        <f>IF(ISBLANK(tbl_task3[[คะแนนเต็ม]:[คะแนนเต็ม]]),"",(tbl_task3[78]/tbl_task3[[คะแนนเต็ม]:[คะแนนเต็ม]])*tbl_task3[[%]:[%]])</f>
        <v/>
      </c>
      <c r="IO19" s="121" t="str">
        <f>IF(ISBLANK(tbl_task3[[คะแนนเต็ม]:[คะแนนเต็ม]]),"",(tbl_task3[79]/tbl_task3[[คะแนนเต็ม]:[คะแนนเต็ม]])*tbl_task3[[%]:[%]])</f>
        <v/>
      </c>
      <c r="IP19" s="121" t="str">
        <f>IF(ISBLANK(tbl_task3[[คะแนนเต็ม]:[คะแนนเต็ม]]),"",(tbl_task3[80]/tbl_task3[[คะแนนเต็ม]:[คะแนนเต็ม]])*tbl_task3[[%]:[%]])</f>
        <v/>
      </c>
      <c r="IQ19" s="121" t="str">
        <f>IF(ISBLANK(tbl_task3[[คะแนนเต็ม]:[คะแนนเต็ม]]),"",(tbl_task3[81]/tbl_task3[[คะแนนเต็ม]:[คะแนนเต็ม]])*tbl_task3[[%]:[%]])</f>
        <v/>
      </c>
      <c r="IR19" s="121" t="str">
        <f>IF(ISBLANK(tbl_task3[[คะแนนเต็ม]:[คะแนนเต็ม]]),"",(tbl_task3[82]/tbl_task3[[คะแนนเต็ม]:[คะแนนเต็ม]])*tbl_task3[[%]:[%]])</f>
        <v/>
      </c>
      <c r="IS19" s="121" t="str">
        <f>IF(ISBLANK(tbl_task3[[คะแนนเต็ม]:[คะแนนเต็ม]]),"",(tbl_task3[83]/tbl_task3[[คะแนนเต็ม]:[คะแนนเต็ม]])*tbl_task3[[%]:[%]])</f>
        <v/>
      </c>
      <c r="IT19" s="121" t="str">
        <f>IF(ISBLANK(tbl_task3[[คะแนนเต็ม]:[คะแนนเต็ม]]),"",(tbl_task3[84]/tbl_task3[[คะแนนเต็ม]:[คะแนนเต็ม]])*tbl_task3[[%]:[%]])</f>
        <v/>
      </c>
      <c r="IU19" s="121" t="str">
        <f>IF(ISBLANK(tbl_task3[[คะแนนเต็ม]:[คะแนนเต็ม]]),"",(tbl_task3[85]/tbl_task3[[คะแนนเต็ม]:[คะแนนเต็ม]])*tbl_task3[[%]:[%]])</f>
        <v/>
      </c>
      <c r="IV19" s="121" t="str">
        <f>IF(ISBLANK(tbl_task3[[คะแนนเต็ม]:[คะแนนเต็ม]]),"",(tbl_task3[86]/tbl_task3[[คะแนนเต็ม]:[คะแนนเต็ม]])*tbl_task3[[%]:[%]])</f>
        <v/>
      </c>
      <c r="IW19" s="121" t="str">
        <f>IF(ISBLANK(tbl_task3[[คะแนนเต็ม]:[คะแนนเต็ม]]),"",(tbl_task3[87]/tbl_task3[[คะแนนเต็ม]:[คะแนนเต็ม]])*tbl_task3[[%]:[%]])</f>
        <v/>
      </c>
      <c r="IX19" s="121" t="str">
        <f>IF(ISBLANK(tbl_task3[[คะแนนเต็ม]:[คะแนนเต็ม]]),"",(tbl_task3[88]/tbl_task3[[คะแนนเต็ม]:[คะแนนเต็ม]])*tbl_task3[[%]:[%]])</f>
        <v/>
      </c>
      <c r="IY19" s="121" t="str">
        <f>IF(ISBLANK(tbl_task3[[คะแนนเต็ม]:[คะแนนเต็ม]]),"",(tbl_task3[89]/tbl_task3[[คะแนนเต็ม]:[คะแนนเต็ม]])*tbl_task3[[%]:[%]])</f>
        <v/>
      </c>
      <c r="IZ19" s="121" t="str">
        <f>IF(ISBLANK(tbl_task3[[คะแนนเต็ม]:[คะแนนเต็ม]]),"",(tbl_task3[90]/tbl_task3[[คะแนนเต็ม]:[คะแนนเต็ม]])*tbl_task3[[%]:[%]])</f>
        <v/>
      </c>
      <c r="JA19" s="121" t="str">
        <f>IF(ISBLANK(tbl_task3[[คะแนนเต็ม]:[คะแนนเต็ม]]),"",(tbl_task3[91]/tbl_task3[[คะแนนเต็ม]:[คะแนนเต็ม]])*tbl_task3[[%]:[%]])</f>
        <v/>
      </c>
      <c r="JB19" s="121" t="str">
        <f>IF(ISBLANK(tbl_task3[[คะแนนเต็ม]:[คะแนนเต็ม]]),"",(tbl_task3[92]/tbl_task3[[คะแนนเต็ม]:[คะแนนเต็ม]])*tbl_task3[[%]:[%]])</f>
        <v/>
      </c>
      <c r="JC19" s="121" t="str">
        <f>IF(ISBLANK(tbl_task3[[คะแนนเต็ม]:[คะแนนเต็ม]]),"",(tbl_task3[93]/tbl_task3[[คะแนนเต็ม]:[คะแนนเต็ม]])*tbl_task3[[%]:[%]])</f>
        <v/>
      </c>
      <c r="JD19" s="121" t="str">
        <f>IF(ISBLANK(tbl_task3[[คะแนนเต็ม]:[คะแนนเต็ม]]),"",(tbl_task3[94]/tbl_task3[[คะแนนเต็ม]:[คะแนนเต็ม]])*tbl_task3[[%]:[%]])</f>
        <v/>
      </c>
      <c r="JE19" s="121" t="str">
        <f>IF(ISBLANK(tbl_task3[[คะแนนเต็ม]:[คะแนนเต็ม]]),"",(tbl_task3[95]/tbl_task3[[คะแนนเต็ม]:[คะแนนเต็ม]])*tbl_task3[[%]:[%]])</f>
        <v/>
      </c>
      <c r="JF19" s="121" t="str">
        <f>IF(ISBLANK(tbl_task3[[คะแนนเต็ม]:[คะแนนเต็ม]]),"",(tbl_task3[96]/tbl_task3[[คะแนนเต็ม]:[คะแนนเต็ม]])*tbl_task3[[%]:[%]])</f>
        <v/>
      </c>
      <c r="JG19" s="121" t="str">
        <f>IF(ISBLANK(tbl_task3[[คะแนนเต็ม]:[คะแนนเต็ม]]),"",(tbl_task3[97]/tbl_task3[[คะแนนเต็ม]:[คะแนนเต็ม]])*tbl_task3[[%]:[%]])</f>
        <v/>
      </c>
      <c r="JH19" s="121" t="str">
        <f>IF(ISBLANK(tbl_task3[[คะแนนเต็ม]:[คะแนนเต็ม]]),"",(tbl_task3[98]/tbl_task3[[คะแนนเต็ม]:[คะแนนเต็ม]])*tbl_task3[[%]:[%]])</f>
        <v/>
      </c>
      <c r="JI19" s="121" t="str">
        <f>IF(ISBLANK(tbl_task3[[คะแนนเต็ม]:[คะแนนเต็ม]]),"",(tbl_task3[99]/tbl_task3[[คะแนนเต็ม]:[คะแนนเต็ม]])*tbl_task3[[%]:[%]])</f>
        <v/>
      </c>
      <c r="JJ19" s="121" t="str">
        <f>IF(ISBLANK(tbl_task3[[คะแนนเต็ม]:[คะแนนเต็ม]]),"",(tbl_task3[100]/tbl_task3[[คะแนนเต็ม]:[คะแนนเต็ม]])*tbl_task3[[%]:[%]])</f>
        <v/>
      </c>
      <c r="JK19" s="121" t="str">
        <f>IF(ISBLANK(tbl_task3[[คะแนนเต็ม]:[คะแนนเต็ม]]),"",(tbl_task3[101]/tbl_task3[[คะแนนเต็ม]:[คะแนนเต็ม]])*tbl_task3[[%]:[%]])</f>
        <v/>
      </c>
      <c r="JL19" s="121" t="str">
        <f>IF(ISBLANK(tbl_task3[[คะแนนเต็ม]:[คะแนนเต็ม]]),"",(tbl_task3[102]/tbl_task3[[คะแนนเต็ม]:[คะแนนเต็ม]])*tbl_task3[[%]:[%]])</f>
        <v/>
      </c>
      <c r="JM19" s="121" t="str">
        <f>IF(ISBLANK(tbl_task3[[คะแนนเต็ม]:[คะแนนเต็ม]]),"",(tbl_task3[103]/tbl_task3[[คะแนนเต็ม]:[คะแนนเต็ม]])*tbl_task3[[%]:[%]])</f>
        <v/>
      </c>
      <c r="JN19" s="121" t="str">
        <f>IF(ISBLANK(tbl_task3[[คะแนนเต็ม]:[คะแนนเต็ม]]),"",(tbl_task3[104]/tbl_task3[[คะแนนเต็ม]:[คะแนนเต็ม]])*tbl_task3[[%]:[%]])</f>
        <v/>
      </c>
      <c r="JO19" s="121" t="str">
        <f>IF(ISBLANK(tbl_task3[[คะแนนเต็ม]:[คะแนนเต็ม]]),"",(tbl_task3[105]/tbl_task3[[คะแนนเต็ม]:[คะแนนเต็ม]])*tbl_task3[[%]:[%]])</f>
        <v/>
      </c>
      <c r="JP19" s="121" t="str">
        <f>IF(ISBLANK(tbl_task3[[คะแนนเต็ม]:[คะแนนเต็ม]]),"",(tbl_task3[106]/tbl_task3[[คะแนนเต็ม]:[คะแนนเต็ม]])*tbl_task3[[%]:[%]])</f>
        <v/>
      </c>
      <c r="JQ19" s="121" t="str">
        <f>IF(ISBLANK(tbl_task3[[คะแนนเต็ม]:[คะแนนเต็ม]]),"",(tbl_task3[107]/tbl_task3[[คะแนนเต็ม]:[คะแนนเต็ม]])*tbl_task3[[%]:[%]])</f>
        <v/>
      </c>
      <c r="JR19" s="121" t="str">
        <f>IF(ISBLANK(tbl_task3[[คะแนนเต็ม]:[คะแนนเต็ม]]),"",(tbl_task3[108]/tbl_task3[[คะแนนเต็ม]:[คะแนนเต็ม]])*tbl_task3[[%]:[%]])</f>
        <v/>
      </c>
      <c r="JS19" s="121" t="str">
        <f>IF(ISBLANK(tbl_task3[[คะแนนเต็ม]:[คะแนนเต็ม]]),"",(tbl_task3[109]/tbl_task3[[คะแนนเต็ม]:[คะแนนเต็ม]])*tbl_task3[[%]:[%]])</f>
        <v/>
      </c>
      <c r="JT19" s="121" t="str">
        <f>IF(ISBLANK(tbl_task3[[คะแนนเต็ม]:[คะแนนเต็ม]]),"",(tbl_task3[110]/tbl_task3[[คะแนนเต็ม]:[คะแนนเต็ม]])*tbl_task3[[%]:[%]])</f>
        <v/>
      </c>
      <c r="JU19" s="121" t="str">
        <f>IF(ISBLANK(tbl_task3[[คะแนนเต็ม]:[คะแนนเต็ม]]),"",(tbl_task3[111]/tbl_task3[[คะแนนเต็ม]:[คะแนนเต็ม]])*tbl_task3[[%]:[%]])</f>
        <v/>
      </c>
      <c r="JV19" s="121" t="str">
        <f>IF(ISBLANK(tbl_task3[[คะแนนเต็ม]:[คะแนนเต็ม]]),"",(tbl_task3[112]/tbl_task3[[คะแนนเต็ม]:[คะแนนเต็ม]])*tbl_task3[[%]:[%]])</f>
        <v/>
      </c>
      <c r="JW19" s="121" t="str">
        <f>IF(ISBLANK(tbl_task3[[คะแนนเต็ม]:[คะแนนเต็ม]]),"",(tbl_task3[113]/tbl_task3[[คะแนนเต็ม]:[คะแนนเต็ม]])*tbl_task3[[%]:[%]])</f>
        <v/>
      </c>
      <c r="JX19" s="121" t="str">
        <f>IF(ISBLANK(tbl_task3[[คะแนนเต็ม]:[คะแนนเต็ม]]),"",(tbl_task3[114]/tbl_task3[[คะแนนเต็ม]:[คะแนนเต็ม]])*tbl_task3[[%]:[%]])</f>
        <v/>
      </c>
      <c r="JY19" s="121" t="str">
        <f>IF(ISBLANK(tbl_task3[[คะแนนเต็ม]:[คะแนนเต็ม]]),"",(tbl_task3[115]/tbl_task3[[คะแนนเต็ม]:[คะแนนเต็ม]])*tbl_task3[[%]:[%]])</f>
        <v/>
      </c>
      <c r="JZ19" s="121" t="str">
        <f>IF(ISBLANK(tbl_task3[[คะแนนเต็ม]:[คะแนนเต็ม]]),"",(tbl_task3[116]/tbl_task3[[คะแนนเต็ม]:[คะแนนเต็ม]])*tbl_task3[[%]:[%]])</f>
        <v/>
      </c>
      <c r="KA19" s="121" t="str">
        <f>IF(ISBLANK(tbl_task3[[คะแนนเต็ม]:[คะแนนเต็ม]]),"",(tbl_task3[117]/tbl_task3[[คะแนนเต็ม]:[คะแนนเต็ม]])*tbl_task3[[%]:[%]])</f>
        <v/>
      </c>
      <c r="KB19" s="121" t="str">
        <f>IF(ISBLANK(tbl_task3[[คะแนนเต็ม]:[คะแนนเต็ม]]),"",(tbl_task3[118]/tbl_task3[[คะแนนเต็ม]:[คะแนนเต็ม]])*tbl_task3[[%]:[%]])</f>
        <v/>
      </c>
      <c r="KC19" s="121" t="str">
        <f>IF(ISBLANK(tbl_task3[[คะแนนเต็ม]:[คะแนนเต็ม]]),"",(tbl_task3[119]/tbl_task3[[คะแนนเต็ม]:[คะแนนเต็ม]])*tbl_task3[[%]:[%]])</f>
        <v/>
      </c>
      <c r="KD19" s="121" t="str">
        <f>IF(ISBLANK(tbl_task3[[คะแนนเต็ม]:[คะแนนเต็ม]]),"",(tbl_task3[120]/tbl_task3[[คะแนนเต็ม]:[คะแนนเต็ม]])*tbl_task3[[%]:[%]])</f>
        <v/>
      </c>
      <c r="KE19" s="121" t="str">
        <f>IF(ISBLANK(tbl_task3[[คะแนนเต็ม]:[คะแนนเต็ม]]),"",(tbl_task3[121]/tbl_task3[[คะแนนเต็ม]:[คะแนนเต็ม]])*tbl_task3[[%]:[%]])</f>
        <v/>
      </c>
      <c r="KF19" s="121" t="str">
        <f>IF(ISBLANK(tbl_task3[[คะแนนเต็ม]:[คะแนนเต็ม]]),"",(tbl_task3[122]/tbl_task3[[คะแนนเต็ม]:[คะแนนเต็ม]])*tbl_task3[[%]:[%]])</f>
        <v/>
      </c>
      <c r="KG19" s="121" t="str">
        <f>IF(ISBLANK(tbl_task3[[คะแนนเต็ม]:[คะแนนเต็ม]]),"",(tbl_task3[123]/tbl_task3[[คะแนนเต็ม]:[คะแนนเต็ม]])*tbl_task3[[%]:[%]])</f>
        <v/>
      </c>
      <c r="KH19" s="121" t="str">
        <f>IF(ISBLANK(tbl_task3[[คะแนนเต็ม]:[คะแนนเต็ม]]),"",(tbl_task3[124]/tbl_task3[[คะแนนเต็ม]:[คะแนนเต็ม]])*tbl_task3[[%]:[%]])</f>
        <v/>
      </c>
      <c r="KI19" s="121" t="str">
        <f>IF(ISBLANK(tbl_task3[[คะแนนเต็ม]:[คะแนนเต็ม]]),"",(tbl_task3[125]/tbl_task3[[คะแนนเต็ม]:[คะแนนเต็ม]])*tbl_task3[[%]:[%]])</f>
        <v/>
      </c>
      <c r="KJ19" s="121" t="str">
        <f>IF(ISBLANK(tbl_task3[[คะแนนเต็ม]:[คะแนนเต็ม]]),"",(tbl_task3[126]/tbl_task3[[คะแนนเต็ม]:[คะแนนเต็ม]])*tbl_task3[[%]:[%]])</f>
        <v/>
      </c>
      <c r="KK19" s="121" t="str">
        <f>IF(ISBLANK(tbl_task3[[คะแนนเต็ม]:[คะแนนเต็ม]]),"",(tbl_task3[127]/tbl_task3[[คะแนนเต็ม]:[คะแนนเต็ม]])*tbl_task3[[%]:[%]])</f>
        <v/>
      </c>
      <c r="KL19" s="121" t="str">
        <f>IF(ISBLANK(tbl_task3[[คะแนนเต็ม]:[คะแนนเต็ม]]),"",(tbl_task3[128]/tbl_task3[[คะแนนเต็ม]:[คะแนนเต็ม]])*tbl_task3[[%]:[%]])</f>
        <v/>
      </c>
      <c r="KM19" s="121" t="str">
        <f>IF(ISBLANK(tbl_task3[[คะแนนเต็ม]:[คะแนนเต็ม]]),"",(tbl_task3[129]/tbl_task3[[คะแนนเต็ม]:[คะแนนเต็ม]])*tbl_task3[[%]:[%]])</f>
        <v/>
      </c>
      <c r="KN19" s="121" t="str">
        <f>IF(ISBLANK(tbl_task3[[คะแนนเต็ม]:[คะแนนเต็ม]]),"",(tbl_task3[130]/tbl_task3[[คะแนนเต็ม]:[คะแนนเต็ม]])*tbl_task3[[%]:[%]])</f>
        <v/>
      </c>
      <c r="KO19" s="121" t="str">
        <f>IF(ISBLANK(tbl_task3[[คะแนนเต็ม]:[คะแนนเต็ม]]),"",(tbl_task3[131]/tbl_task3[[คะแนนเต็ม]:[คะแนนเต็ม]])*tbl_task3[[%]:[%]])</f>
        <v/>
      </c>
      <c r="KP19" s="121" t="str">
        <f>IF(ISBLANK(tbl_task3[[คะแนนเต็ม]:[คะแนนเต็ม]]),"",(tbl_task3[132]/tbl_task3[[คะแนนเต็ม]:[คะแนนเต็ม]])*tbl_task3[[%]:[%]])</f>
        <v/>
      </c>
      <c r="KQ19" s="121" t="str">
        <f>IF(ISBLANK(tbl_task3[[คะแนนเต็ม]:[คะแนนเต็ม]]),"",(tbl_task3[133]/tbl_task3[[คะแนนเต็ม]:[คะแนนเต็ม]])*tbl_task3[[%]:[%]])</f>
        <v/>
      </c>
      <c r="KR19" s="121" t="str">
        <f>IF(ISBLANK(tbl_task3[[คะแนนเต็ม]:[คะแนนเต็ม]]),"",(tbl_task3[134]/tbl_task3[[คะแนนเต็ม]:[คะแนนเต็ม]])*tbl_task3[[%]:[%]])</f>
        <v/>
      </c>
      <c r="KS19" s="121" t="str">
        <f>IF(ISBLANK(tbl_task3[[คะแนนเต็ม]:[คะแนนเต็ม]]),"",(tbl_task3[135]/tbl_task3[[คะแนนเต็ม]:[คะแนนเต็ม]])*tbl_task3[[%]:[%]])</f>
        <v/>
      </c>
      <c r="KT19" s="121" t="str">
        <f>IF(ISBLANK(tbl_task3[[คะแนนเต็ม]:[คะแนนเต็ม]]),"",(tbl_task3[136]/tbl_task3[[คะแนนเต็ม]:[คะแนนเต็ม]])*tbl_task3[[%]:[%]])</f>
        <v/>
      </c>
      <c r="KU19" s="121" t="str">
        <f>IF(ISBLANK(tbl_task3[[คะแนนเต็ม]:[คะแนนเต็ม]]),"",(tbl_task3[137]/tbl_task3[[คะแนนเต็ม]:[คะแนนเต็ม]])*tbl_task3[[%]:[%]])</f>
        <v/>
      </c>
      <c r="KV19" s="121" t="str">
        <f>IF(ISBLANK(tbl_task3[[คะแนนเต็ม]:[คะแนนเต็ม]]),"",(tbl_task3[138]/tbl_task3[[คะแนนเต็ม]:[คะแนนเต็ม]])*tbl_task3[[%]:[%]])</f>
        <v/>
      </c>
      <c r="KW19" s="121" t="str">
        <f>IF(ISBLANK(tbl_task3[[คะแนนเต็ม]:[คะแนนเต็ม]]),"",(tbl_task3[139]/tbl_task3[[คะแนนเต็ม]:[คะแนนเต็ม]])*tbl_task3[[%]:[%]])</f>
        <v/>
      </c>
      <c r="KX19" s="121" t="str">
        <f>IF(ISBLANK(tbl_task3[[คะแนนเต็ม]:[คะแนนเต็ม]]),"",(tbl_task3[140]/tbl_task3[[คะแนนเต็ม]:[คะแนนเต็ม]])*tbl_task3[[%]:[%]])</f>
        <v/>
      </c>
      <c r="KY19" s="121" t="str">
        <f>IF(ISBLANK(tbl_task3[[คะแนนเต็ม]:[คะแนนเต็ม]]),"",(tbl_task3[141]/tbl_task3[[คะแนนเต็ม]:[คะแนนเต็ม]])*tbl_task3[[%]:[%]])</f>
        <v/>
      </c>
      <c r="KZ19" s="121" t="str">
        <f>IF(ISBLANK(tbl_task3[[คะแนนเต็ม]:[คะแนนเต็ม]]),"",(tbl_task3[142]/tbl_task3[[คะแนนเต็ม]:[คะแนนเต็ม]])*tbl_task3[[%]:[%]])</f>
        <v/>
      </c>
      <c r="LA19" s="121" t="str">
        <f>IF(ISBLANK(tbl_task3[[คะแนนเต็ม]:[คะแนนเต็ม]]),"",(tbl_task3[143]/tbl_task3[[คะแนนเต็ม]:[คะแนนเต็ม]])*tbl_task3[[%]:[%]])</f>
        <v/>
      </c>
      <c r="LB19" s="121" t="str">
        <f>IF(ISBLANK(tbl_task3[[คะแนนเต็ม]:[คะแนนเต็ม]]),"",(tbl_task3[144]/tbl_task3[[คะแนนเต็ม]:[คะแนนเต็ม]])*tbl_task3[[%]:[%]])</f>
        <v/>
      </c>
      <c r="LC19" s="121" t="str">
        <f>IF(ISBLANK(tbl_task3[[คะแนนเต็ม]:[คะแนนเต็ม]]),"",(tbl_task3[145]/tbl_task3[[คะแนนเต็ม]:[คะแนนเต็ม]])*tbl_task3[[%]:[%]])</f>
        <v/>
      </c>
      <c r="LD19" s="121" t="str">
        <f>IF(ISBLANK(tbl_task3[[คะแนนเต็ม]:[คะแนนเต็ม]]),"",(tbl_task3[146]/tbl_task3[[คะแนนเต็ม]:[คะแนนเต็ม]])*tbl_task3[[%]:[%]])</f>
        <v/>
      </c>
      <c r="LE19" s="121" t="str">
        <f>IF(ISBLANK(tbl_task3[[คะแนนเต็ม]:[คะแนนเต็ม]]),"",(tbl_task3[147]/tbl_task3[[คะแนนเต็ม]:[คะแนนเต็ม]])*tbl_task3[[%]:[%]])</f>
        <v/>
      </c>
      <c r="LF19" s="121" t="str">
        <f>IF(ISBLANK(tbl_task3[[คะแนนเต็ม]:[คะแนนเต็ม]]),"",(tbl_task3[148]/tbl_task3[[คะแนนเต็ม]:[คะแนนเต็ม]])*tbl_task3[[%]:[%]])</f>
        <v/>
      </c>
      <c r="LG19" s="121" t="str">
        <f>IF(ISBLANK(tbl_task3[[คะแนนเต็ม]:[คะแนนเต็ม]]),"",(tbl_task3[149]/tbl_task3[[คะแนนเต็ม]:[คะแนนเต็ม]])*tbl_task3[[%]:[%]])</f>
        <v/>
      </c>
      <c r="LH19" s="121" t="str">
        <f>IF(ISBLANK(tbl_task3[[คะแนนเต็ม]:[คะแนนเต็ม]]),"",(tbl_task3[150]/tbl_task3[[คะแนนเต็ม]:[คะแนนเต็ม]])*tbl_task3[[%]:[%]])</f>
        <v/>
      </c>
      <c r="LI19" s="121" t="str">
        <f>IF(ISBLANK(tbl_task3[[คะแนนเต็ม]:[คะแนนเต็ม]]),"",(tbl_task3[151]/tbl_task3[[คะแนนเต็ม]:[คะแนนเต็ม]])*tbl_task3[[%]:[%]])</f>
        <v/>
      </c>
      <c r="LJ19" s="121" t="str">
        <f>IF(ISBLANK(tbl_task3[[คะแนนเต็ม]:[คะแนนเต็ม]]),"",(tbl_task3[152]/tbl_task3[[คะแนนเต็ม]:[คะแนนเต็ม]])*tbl_task3[[%]:[%]])</f>
        <v/>
      </c>
      <c r="LK19" s="121" t="str">
        <f>IF(ISBLANK(tbl_task3[[คะแนนเต็ม]:[คะแนนเต็ม]]),"",(tbl_task3[153]/tbl_task3[[คะแนนเต็ม]:[คะแนนเต็ม]])*tbl_task3[[%]:[%]])</f>
        <v/>
      </c>
      <c r="LL19" s="121" t="str">
        <f>IF(ISBLANK(tbl_task3[[คะแนนเต็ม]:[คะแนนเต็ม]]),"",(tbl_task3[154]/tbl_task3[[คะแนนเต็ม]:[คะแนนเต็ม]])*tbl_task3[[%]:[%]])</f>
        <v/>
      </c>
      <c r="LM19" s="121" t="str">
        <f>IF(ISBLANK(tbl_task3[[คะแนนเต็ม]:[คะแนนเต็ม]]),"",(tbl_task3[155]/tbl_task3[[คะแนนเต็ม]:[คะแนนเต็ม]])*tbl_task3[[%]:[%]])</f>
        <v/>
      </c>
      <c r="LN19" s="121" t="str">
        <f>IF(ISBLANK(tbl_task3[[คะแนนเต็ม]:[คะแนนเต็ม]]),"",(tbl_task3[156]/tbl_task3[[คะแนนเต็ม]:[คะแนนเต็ม]])*tbl_task3[[%]:[%]])</f>
        <v/>
      </c>
      <c r="LO19" s="121" t="str">
        <f>IF(ISBLANK(tbl_task3[[คะแนนเต็ม]:[คะแนนเต็ม]]),"",(tbl_task3[157]/tbl_task3[[คะแนนเต็ม]:[คะแนนเต็ม]])*tbl_task3[[%]:[%]])</f>
        <v/>
      </c>
      <c r="LP19" s="121" t="str">
        <f>IF(ISBLANK(tbl_task3[[คะแนนเต็ม]:[คะแนนเต็ม]]),"",(tbl_task3[158]/tbl_task3[[คะแนนเต็ม]:[คะแนนเต็ม]])*tbl_task3[[%]:[%]])</f>
        <v/>
      </c>
      <c r="LQ19" s="121" t="str">
        <f>IF(ISBLANK(tbl_task3[[คะแนนเต็ม]:[คะแนนเต็ม]]),"",(tbl_task3[159]/tbl_task3[[คะแนนเต็ม]:[คะแนนเต็ม]])*tbl_task3[[%]:[%]])</f>
        <v/>
      </c>
      <c r="LR19" s="121" t="str">
        <f>IF(ISBLANK(tbl_task3[[คะแนนเต็ม]:[คะแนนเต็ม]]),"",(tbl_task3[160]/tbl_task3[[คะแนนเต็ม]:[คะแนนเต็ม]])*tbl_task3[[%]:[%]])</f>
        <v/>
      </c>
      <c r="LS19" s="121" t="str">
        <f>IF(ISBLANK(tbl_task3[[คะแนนเต็ม]:[คะแนนเต็ม]]),"",(tbl_task3[161]/tbl_task3[[คะแนนเต็ม]:[คะแนนเต็ม]])*tbl_task3[[%]:[%]])</f>
        <v/>
      </c>
      <c r="LT19" s="121" t="str">
        <f>IF(ISBLANK(tbl_task3[[คะแนนเต็ม]:[คะแนนเต็ม]]),"",(tbl_task3[162]/tbl_task3[[คะแนนเต็ม]:[คะแนนเต็ม]])*tbl_task3[[%]:[%]])</f>
        <v/>
      </c>
      <c r="LU19" s="121" t="str">
        <f>IF(ISBLANK(tbl_task3[[คะแนนเต็ม]:[คะแนนเต็ม]]),"",(tbl_task3[163]/tbl_task3[[คะแนนเต็ม]:[คะแนนเต็ม]])*tbl_task3[[%]:[%]])</f>
        <v/>
      </c>
      <c r="LV19" s="121" t="str">
        <f>IF(ISBLANK(tbl_task3[[คะแนนเต็ม]:[คะแนนเต็ม]]),"",(tbl_task3[164]/tbl_task3[[คะแนนเต็ม]:[คะแนนเต็ม]])*tbl_task3[[%]:[%]])</f>
        <v/>
      </c>
      <c r="LW19" s="121" t="str">
        <f>IF(ISBLANK(tbl_task3[[คะแนนเต็ม]:[คะแนนเต็ม]]),"",(tbl_task3[165]/tbl_task3[[คะแนนเต็ม]:[คะแนนเต็ม]])*tbl_task3[[%]:[%]])</f>
        <v/>
      </c>
    </row>
    <row r="20" spans="1:335" ht="24" customHeight="1" x14ac:dyDescent="0.25">
      <c r="A20" s="24">
        <v>17</v>
      </c>
      <c r="B20" s="20"/>
      <c r="C20" s="5" t="str">
        <f>IF(ISBLANK(B20),"",VLOOKUP(B20,tbl_PLOs[],2,0))</f>
        <v/>
      </c>
      <c r="D20" s="102"/>
      <c r="E20" s="106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121" t="str">
        <f>IF(ISBLANK(tbl_task3[[คะแนนเต็ม]:[คะแนนเต็ม]]),"",(tbl_task3[1]/tbl_task3[[คะแนนเต็ม]:[คะแนนเต็ม]])*tbl_task3[[%]:[%]])</f>
        <v/>
      </c>
      <c r="FP20" s="121" t="str">
        <f>IF(ISBLANK(tbl_task3[[คะแนนเต็ม]:[คะแนนเต็ม]]),"",(tbl_task3[2]/tbl_task3[[คะแนนเต็ม]:[คะแนนเต็ม]])*tbl_task3[[%]:[%]])</f>
        <v/>
      </c>
      <c r="FQ20" s="121" t="str">
        <f>IF(ISBLANK(tbl_task3[[คะแนนเต็ม]:[คะแนนเต็ม]]),"",(tbl_task3[3]/tbl_task3[[คะแนนเต็ม]:[คะแนนเต็ม]])*tbl_task3[[%]:[%]])</f>
        <v/>
      </c>
      <c r="FR20" s="121" t="str">
        <f>IF(ISBLANK(tbl_task3[[คะแนนเต็ม]:[คะแนนเต็ม]]),"",(tbl_task3[4]/tbl_task3[[คะแนนเต็ม]:[คะแนนเต็ม]])*tbl_task3[[%]:[%]])</f>
        <v/>
      </c>
      <c r="FS20" s="121" t="str">
        <f>IF(ISBLANK(tbl_task3[[คะแนนเต็ม]:[คะแนนเต็ม]]),"",(tbl_task3[5]/tbl_task3[[คะแนนเต็ม]:[คะแนนเต็ม]])*tbl_task3[[%]:[%]])</f>
        <v/>
      </c>
      <c r="FT20" s="121" t="str">
        <f>IF(ISBLANK(tbl_task3[[คะแนนเต็ม]:[คะแนนเต็ม]]),"",(tbl_task3[6]/tbl_task3[[คะแนนเต็ม]:[คะแนนเต็ม]])*tbl_task3[[%]:[%]])</f>
        <v/>
      </c>
      <c r="FU20" s="121" t="str">
        <f>IF(ISBLANK(tbl_task3[[คะแนนเต็ม]:[คะแนนเต็ม]]),"",(tbl_task3[7]/tbl_task3[[คะแนนเต็ม]:[คะแนนเต็ม]])*tbl_task3[[%]:[%]])</f>
        <v/>
      </c>
      <c r="FV20" s="121" t="str">
        <f>IF(ISBLANK(tbl_task3[[คะแนนเต็ม]:[คะแนนเต็ม]]),"",(tbl_task3[8]/tbl_task3[[คะแนนเต็ม]:[คะแนนเต็ม]])*tbl_task3[[%]:[%]])</f>
        <v/>
      </c>
      <c r="FW20" s="121" t="str">
        <f>IF(ISBLANK(tbl_task3[[คะแนนเต็ม]:[คะแนนเต็ม]]),"",(tbl_task3[9]/tbl_task3[[คะแนนเต็ม]:[คะแนนเต็ม]])*tbl_task3[[%]:[%]])</f>
        <v/>
      </c>
      <c r="FX20" s="121" t="str">
        <f>IF(ISBLANK(tbl_task3[[คะแนนเต็ม]:[คะแนนเต็ม]]),"",(tbl_task3[10]/tbl_task3[[คะแนนเต็ม]:[คะแนนเต็ม]])*tbl_task3[[%]:[%]])</f>
        <v/>
      </c>
      <c r="FY20" s="121" t="str">
        <f>IF(ISBLANK(tbl_task3[[คะแนนเต็ม]:[คะแนนเต็ม]]),"",(tbl_task3[11]/tbl_task3[[คะแนนเต็ม]:[คะแนนเต็ม]])*tbl_task3[[%]:[%]])</f>
        <v/>
      </c>
      <c r="FZ20" s="121" t="str">
        <f>IF(ISBLANK(tbl_task3[[คะแนนเต็ม]:[คะแนนเต็ม]]),"",(tbl_task3[12]/tbl_task3[[คะแนนเต็ม]:[คะแนนเต็ม]])*tbl_task3[[%]:[%]])</f>
        <v/>
      </c>
      <c r="GA20" s="121" t="str">
        <f>IF(ISBLANK(tbl_task3[[คะแนนเต็ม]:[คะแนนเต็ม]]),"",(tbl_task3[13]/tbl_task3[[คะแนนเต็ม]:[คะแนนเต็ม]])*tbl_task3[[%]:[%]])</f>
        <v/>
      </c>
      <c r="GB20" s="121" t="str">
        <f>IF(ISBLANK(tbl_task3[[คะแนนเต็ม]:[คะแนนเต็ม]]),"",(tbl_task3[14]/tbl_task3[[คะแนนเต็ม]:[คะแนนเต็ม]])*tbl_task3[[%]:[%]])</f>
        <v/>
      </c>
      <c r="GC20" s="121" t="str">
        <f>IF(ISBLANK(tbl_task3[[คะแนนเต็ม]:[คะแนนเต็ม]]),"",(tbl_task3[15]/tbl_task3[[คะแนนเต็ม]:[คะแนนเต็ม]])*tbl_task3[[%]:[%]])</f>
        <v/>
      </c>
      <c r="GD20" s="121" t="str">
        <f>IF(ISBLANK(tbl_task3[[คะแนนเต็ม]:[คะแนนเต็ม]]),"",(tbl_task3[16]/tbl_task3[[คะแนนเต็ม]:[คะแนนเต็ม]])*tbl_task3[[%]:[%]])</f>
        <v/>
      </c>
      <c r="GE20" s="121" t="str">
        <f>IF(ISBLANK(tbl_task3[[คะแนนเต็ม]:[คะแนนเต็ม]]),"",(tbl_task3[17]/tbl_task3[[คะแนนเต็ม]:[คะแนนเต็ม]])*tbl_task3[[%]:[%]])</f>
        <v/>
      </c>
      <c r="GF20" s="121" t="str">
        <f>IF(ISBLANK(tbl_task3[[คะแนนเต็ม]:[คะแนนเต็ม]]),"",(tbl_task3[18]/tbl_task3[[คะแนนเต็ม]:[คะแนนเต็ม]])*tbl_task3[[%]:[%]])</f>
        <v/>
      </c>
      <c r="GG20" s="121" t="str">
        <f>IF(ISBLANK(tbl_task3[[คะแนนเต็ม]:[คะแนนเต็ม]]),"",(tbl_task3[19]/tbl_task3[[คะแนนเต็ม]:[คะแนนเต็ม]])*tbl_task3[[%]:[%]])</f>
        <v/>
      </c>
      <c r="GH20" s="121" t="str">
        <f>IF(ISBLANK(tbl_task3[[คะแนนเต็ม]:[คะแนนเต็ม]]),"",(tbl_task3[20]/tbl_task3[[คะแนนเต็ม]:[คะแนนเต็ม]])*tbl_task3[[%]:[%]])</f>
        <v/>
      </c>
      <c r="GI20" s="121" t="str">
        <f>IF(ISBLANK(tbl_task3[[คะแนนเต็ม]:[คะแนนเต็ม]]),"",(tbl_task3[21]/tbl_task3[[คะแนนเต็ม]:[คะแนนเต็ม]])*tbl_task3[[%]:[%]])</f>
        <v/>
      </c>
      <c r="GJ20" s="121" t="str">
        <f>IF(ISBLANK(tbl_task3[[คะแนนเต็ม]:[คะแนนเต็ม]]),"",(tbl_task3[22]/tbl_task3[[คะแนนเต็ม]:[คะแนนเต็ม]])*tbl_task3[[%]:[%]])</f>
        <v/>
      </c>
      <c r="GK20" s="121" t="str">
        <f>IF(ISBLANK(tbl_task3[[คะแนนเต็ม]:[คะแนนเต็ม]]),"",(tbl_task3[23]/tbl_task3[[คะแนนเต็ม]:[คะแนนเต็ม]])*tbl_task3[[%]:[%]])</f>
        <v/>
      </c>
      <c r="GL20" s="121" t="str">
        <f>IF(ISBLANK(tbl_task3[[คะแนนเต็ม]:[คะแนนเต็ม]]),"",(tbl_task3[24]/tbl_task3[[คะแนนเต็ม]:[คะแนนเต็ม]])*tbl_task3[[%]:[%]])</f>
        <v/>
      </c>
      <c r="GM20" s="121" t="str">
        <f>IF(ISBLANK(tbl_task3[[คะแนนเต็ม]:[คะแนนเต็ม]]),"",(tbl_task3[25]/tbl_task3[[คะแนนเต็ม]:[คะแนนเต็ม]])*tbl_task3[[%]:[%]])</f>
        <v/>
      </c>
      <c r="GN20" s="121" t="str">
        <f>IF(ISBLANK(tbl_task3[[คะแนนเต็ม]:[คะแนนเต็ม]]),"",(tbl_task3[26]/tbl_task3[[คะแนนเต็ม]:[คะแนนเต็ม]])*tbl_task3[[%]:[%]])</f>
        <v/>
      </c>
      <c r="GO20" s="121" t="str">
        <f>IF(ISBLANK(tbl_task3[[คะแนนเต็ม]:[คะแนนเต็ม]]),"",(tbl_task3[27]/tbl_task3[[คะแนนเต็ม]:[คะแนนเต็ม]])*tbl_task3[[%]:[%]])</f>
        <v/>
      </c>
      <c r="GP20" s="121" t="str">
        <f>IF(ISBLANK(tbl_task3[[คะแนนเต็ม]:[คะแนนเต็ม]]),"",(tbl_task3[28]/tbl_task3[[คะแนนเต็ม]:[คะแนนเต็ม]])*tbl_task3[[%]:[%]])</f>
        <v/>
      </c>
      <c r="GQ20" s="121" t="str">
        <f>IF(ISBLANK(tbl_task3[[คะแนนเต็ม]:[คะแนนเต็ม]]),"",(tbl_task3[29]/tbl_task3[[คะแนนเต็ม]:[คะแนนเต็ม]])*tbl_task3[[%]:[%]])</f>
        <v/>
      </c>
      <c r="GR20" s="121" t="str">
        <f>IF(ISBLANK(tbl_task3[[คะแนนเต็ม]:[คะแนนเต็ม]]),"",(tbl_task3[30]/tbl_task3[[คะแนนเต็ม]:[คะแนนเต็ม]])*tbl_task3[[%]:[%]])</f>
        <v/>
      </c>
      <c r="GS20" s="121" t="str">
        <f>IF(ISBLANK(tbl_task3[[คะแนนเต็ม]:[คะแนนเต็ม]]),"",(tbl_task3[31]/tbl_task3[[คะแนนเต็ม]:[คะแนนเต็ม]])*tbl_task3[[%]:[%]])</f>
        <v/>
      </c>
      <c r="GT20" s="121" t="str">
        <f>IF(ISBLANK(tbl_task3[[คะแนนเต็ม]:[คะแนนเต็ม]]),"",(tbl_task3[32]/tbl_task3[[คะแนนเต็ม]:[คะแนนเต็ม]])*tbl_task3[[%]:[%]])</f>
        <v/>
      </c>
      <c r="GU20" s="121" t="str">
        <f>IF(ISBLANK(tbl_task3[[คะแนนเต็ม]:[คะแนนเต็ม]]),"",(tbl_task3[33]/tbl_task3[[คะแนนเต็ม]:[คะแนนเต็ม]])*tbl_task3[[%]:[%]])</f>
        <v/>
      </c>
      <c r="GV20" s="121" t="str">
        <f>IF(ISBLANK(tbl_task3[[คะแนนเต็ม]:[คะแนนเต็ม]]),"",(tbl_task3[34]/tbl_task3[[คะแนนเต็ม]:[คะแนนเต็ม]])*tbl_task3[[%]:[%]])</f>
        <v/>
      </c>
      <c r="GW20" s="121" t="str">
        <f>IF(ISBLANK(tbl_task3[[คะแนนเต็ม]:[คะแนนเต็ม]]),"",(tbl_task3[35]/tbl_task3[[คะแนนเต็ม]:[คะแนนเต็ม]])*tbl_task3[[%]:[%]])</f>
        <v/>
      </c>
      <c r="GX20" s="121" t="str">
        <f>IF(ISBLANK(tbl_task3[[คะแนนเต็ม]:[คะแนนเต็ม]]),"",(tbl_task3[36]/tbl_task3[[คะแนนเต็ม]:[คะแนนเต็ม]])*tbl_task3[[%]:[%]])</f>
        <v/>
      </c>
      <c r="GY20" s="121" t="str">
        <f>IF(ISBLANK(tbl_task3[[คะแนนเต็ม]:[คะแนนเต็ม]]),"",(tbl_task3[37]/tbl_task3[[คะแนนเต็ม]:[คะแนนเต็ม]])*tbl_task3[[%]:[%]])</f>
        <v/>
      </c>
      <c r="GZ20" s="121" t="str">
        <f>IF(ISBLANK(tbl_task3[[คะแนนเต็ม]:[คะแนนเต็ม]]),"",(tbl_task3[38]/tbl_task3[[คะแนนเต็ม]:[คะแนนเต็ม]])*tbl_task3[[%]:[%]])</f>
        <v/>
      </c>
      <c r="HA20" s="121" t="str">
        <f>IF(ISBLANK(tbl_task3[[คะแนนเต็ม]:[คะแนนเต็ม]]),"",(tbl_task3[39]/tbl_task3[[คะแนนเต็ม]:[คะแนนเต็ม]])*tbl_task3[[%]:[%]])</f>
        <v/>
      </c>
      <c r="HB20" s="121" t="str">
        <f>IF(ISBLANK(tbl_task3[[คะแนนเต็ม]:[คะแนนเต็ม]]),"",(tbl_task3[40]/tbl_task3[[คะแนนเต็ม]:[คะแนนเต็ม]])*tbl_task3[[%]:[%]])</f>
        <v/>
      </c>
      <c r="HC20" s="121" t="str">
        <f>IF(ISBLANK(tbl_task3[[คะแนนเต็ม]:[คะแนนเต็ม]]),"",(tbl_task3[41]/tbl_task3[[คะแนนเต็ม]:[คะแนนเต็ม]])*tbl_task3[[%]:[%]])</f>
        <v/>
      </c>
      <c r="HD20" s="121" t="str">
        <f>IF(ISBLANK(tbl_task3[[คะแนนเต็ม]:[คะแนนเต็ม]]),"",(tbl_task3[42]/tbl_task3[[คะแนนเต็ม]:[คะแนนเต็ม]])*tbl_task3[[%]:[%]])</f>
        <v/>
      </c>
      <c r="HE20" s="121" t="str">
        <f>IF(ISBLANK(tbl_task3[[คะแนนเต็ม]:[คะแนนเต็ม]]),"",(tbl_task3[43]/tbl_task3[[คะแนนเต็ม]:[คะแนนเต็ม]])*tbl_task3[[%]:[%]])</f>
        <v/>
      </c>
      <c r="HF20" s="121" t="str">
        <f>IF(ISBLANK(tbl_task3[[คะแนนเต็ม]:[คะแนนเต็ม]]),"",(tbl_task3[44]/tbl_task3[[คะแนนเต็ม]:[คะแนนเต็ม]])*tbl_task3[[%]:[%]])</f>
        <v/>
      </c>
      <c r="HG20" s="121" t="str">
        <f>IF(ISBLANK(tbl_task3[[คะแนนเต็ม]:[คะแนนเต็ม]]),"",(tbl_task3[45]/tbl_task3[[คะแนนเต็ม]:[คะแนนเต็ม]])*tbl_task3[[%]:[%]])</f>
        <v/>
      </c>
      <c r="HH20" s="121" t="str">
        <f>IF(ISBLANK(tbl_task3[[คะแนนเต็ม]:[คะแนนเต็ม]]),"",(tbl_task3[46]/tbl_task3[[คะแนนเต็ม]:[คะแนนเต็ม]])*tbl_task3[[%]:[%]])</f>
        <v/>
      </c>
      <c r="HI20" s="121" t="str">
        <f>IF(ISBLANK(tbl_task3[[คะแนนเต็ม]:[คะแนนเต็ม]]),"",(tbl_task3[47]/tbl_task3[[คะแนนเต็ม]:[คะแนนเต็ม]])*tbl_task3[[%]:[%]])</f>
        <v/>
      </c>
      <c r="HJ20" s="121" t="str">
        <f>IF(ISBLANK(tbl_task3[[คะแนนเต็ม]:[คะแนนเต็ม]]),"",(tbl_task3[48]/tbl_task3[[คะแนนเต็ม]:[คะแนนเต็ม]])*tbl_task3[[%]:[%]])</f>
        <v/>
      </c>
      <c r="HK20" s="121" t="str">
        <f>IF(ISBLANK(tbl_task3[[คะแนนเต็ม]:[คะแนนเต็ม]]),"",(tbl_task3[49]/tbl_task3[[คะแนนเต็ม]:[คะแนนเต็ม]])*tbl_task3[[%]:[%]])</f>
        <v/>
      </c>
      <c r="HL20" s="121" t="str">
        <f>IF(ISBLANK(tbl_task3[[คะแนนเต็ม]:[คะแนนเต็ม]]),"",(tbl_task3[50]/tbl_task3[[คะแนนเต็ม]:[คะแนนเต็ม]])*tbl_task3[[%]:[%]])</f>
        <v/>
      </c>
      <c r="HM20" s="121" t="str">
        <f>IF(ISBLANK(tbl_task3[[คะแนนเต็ม]:[คะแนนเต็ม]]),"",(tbl_task3[51]/tbl_task3[[คะแนนเต็ม]:[คะแนนเต็ม]])*tbl_task3[[%]:[%]])</f>
        <v/>
      </c>
      <c r="HN20" s="121" t="str">
        <f>IF(ISBLANK(tbl_task3[[คะแนนเต็ม]:[คะแนนเต็ม]]),"",(tbl_task3[52]/tbl_task3[[คะแนนเต็ม]:[คะแนนเต็ม]])*tbl_task3[[%]:[%]])</f>
        <v/>
      </c>
      <c r="HO20" s="121" t="str">
        <f>IF(ISBLANK(tbl_task3[[คะแนนเต็ม]:[คะแนนเต็ม]]),"",(tbl_task3[53]/tbl_task3[[คะแนนเต็ม]:[คะแนนเต็ม]])*tbl_task3[[%]:[%]])</f>
        <v/>
      </c>
      <c r="HP20" s="121" t="str">
        <f>IF(ISBLANK(tbl_task3[[คะแนนเต็ม]:[คะแนนเต็ม]]),"",(tbl_task3[54]/tbl_task3[[คะแนนเต็ม]:[คะแนนเต็ม]])*tbl_task3[[%]:[%]])</f>
        <v/>
      </c>
      <c r="HQ20" s="121" t="str">
        <f>IF(ISBLANK(tbl_task3[[คะแนนเต็ม]:[คะแนนเต็ม]]),"",(tbl_task3[55]/tbl_task3[[คะแนนเต็ม]:[คะแนนเต็ม]])*tbl_task3[[%]:[%]])</f>
        <v/>
      </c>
      <c r="HR20" s="121" t="str">
        <f>IF(ISBLANK(tbl_task3[[คะแนนเต็ม]:[คะแนนเต็ม]]),"",(tbl_task3[56]/tbl_task3[[คะแนนเต็ม]:[คะแนนเต็ม]])*tbl_task3[[%]:[%]])</f>
        <v/>
      </c>
      <c r="HS20" s="121" t="str">
        <f>IF(ISBLANK(tbl_task3[[คะแนนเต็ม]:[คะแนนเต็ม]]),"",(tbl_task3[57]/tbl_task3[[คะแนนเต็ม]:[คะแนนเต็ม]])*tbl_task3[[%]:[%]])</f>
        <v/>
      </c>
      <c r="HT20" s="121" t="str">
        <f>IF(ISBLANK(tbl_task3[[คะแนนเต็ม]:[คะแนนเต็ม]]),"",(tbl_task3[58]/tbl_task3[[คะแนนเต็ม]:[คะแนนเต็ม]])*tbl_task3[[%]:[%]])</f>
        <v/>
      </c>
      <c r="HU20" s="121" t="str">
        <f>IF(ISBLANK(tbl_task3[[คะแนนเต็ม]:[คะแนนเต็ม]]),"",(tbl_task3[59]/tbl_task3[[คะแนนเต็ม]:[คะแนนเต็ม]])*tbl_task3[[%]:[%]])</f>
        <v/>
      </c>
      <c r="HV20" s="121" t="str">
        <f>IF(ISBLANK(tbl_task3[[คะแนนเต็ม]:[คะแนนเต็ม]]),"",(tbl_task3[60]/tbl_task3[[คะแนนเต็ม]:[คะแนนเต็ม]])*tbl_task3[[%]:[%]])</f>
        <v/>
      </c>
      <c r="HW20" s="121" t="str">
        <f>IF(ISBLANK(tbl_task3[[คะแนนเต็ม]:[คะแนนเต็ม]]),"",(tbl_task3[61]/tbl_task3[[คะแนนเต็ม]:[คะแนนเต็ม]])*tbl_task3[[%]:[%]])</f>
        <v/>
      </c>
      <c r="HX20" s="121" t="str">
        <f>IF(ISBLANK(tbl_task3[[คะแนนเต็ม]:[คะแนนเต็ม]]),"",(tbl_task3[62]/tbl_task3[[คะแนนเต็ม]:[คะแนนเต็ม]])*tbl_task3[[%]:[%]])</f>
        <v/>
      </c>
      <c r="HY20" s="121" t="str">
        <f>IF(ISBLANK(tbl_task3[[คะแนนเต็ม]:[คะแนนเต็ม]]),"",(tbl_task3[63]/tbl_task3[[คะแนนเต็ม]:[คะแนนเต็ม]])*tbl_task3[[%]:[%]])</f>
        <v/>
      </c>
      <c r="HZ20" s="121" t="str">
        <f>IF(ISBLANK(tbl_task3[[คะแนนเต็ม]:[คะแนนเต็ม]]),"",(tbl_task3[64]/tbl_task3[[คะแนนเต็ม]:[คะแนนเต็ม]])*tbl_task3[[%]:[%]])</f>
        <v/>
      </c>
      <c r="IA20" s="121" t="str">
        <f>IF(ISBLANK(tbl_task3[[คะแนนเต็ม]:[คะแนนเต็ม]]),"",(tbl_task3[65]/tbl_task3[[คะแนนเต็ม]:[คะแนนเต็ม]])*tbl_task3[[%]:[%]])</f>
        <v/>
      </c>
      <c r="IB20" s="121" t="str">
        <f>IF(ISBLANK(tbl_task3[[คะแนนเต็ม]:[คะแนนเต็ม]]),"",(tbl_task3[66]/tbl_task3[[คะแนนเต็ม]:[คะแนนเต็ม]])*tbl_task3[[%]:[%]])</f>
        <v/>
      </c>
      <c r="IC20" s="121" t="str">
        <f>IF(ISBLANK(tbl_task3[[คะแนนเต็ม]:[คะแนนเต็ม]]),"",(tbl_task3[67]/tbl_task3[[คะแนนเต็ม]:[คะแนนเต็ม]])*tbl_task3[[%]:[%]])</f>
        <v/>
      </c>
      <c r="ID20" s="121" t="str">
        <f>IF(ISBLANK(tbl_task3[[คะแนนเต็ม]:[คะแนนเต็ม]]),"",(tbl_task3[68]/tbl_task3[[คะแนนเต็ม]:[คะแนนเต็ม]])*tbl_task3[[%]:[%]])</f>
        <v/>
      </c>
      <c r="IE20" s="121" t="str">
        <f>IF(ISBLANK(tbl_task3[[คะแนนเต็ม]:[คะแนนเต็ม]]),"",(tbl_task3[69]/tbl_task3[[คะแนนเต็ม]:[คะแนนเต็ม]])*tbl_task3[[%]:[%]])</f>
        <v/>
      </c>
      <c r="IF20" s="121" t="str">
        <f>IF(ISBLANK(tbl_task3[[คะแนนเต็ม]:[คะแนนเต็ม]]),"",(tbl_task3[70]/tbl_task3[[คะแนนเต็ม]:[คะแนนเต็ม]])*tbl_task3[[%]:[%]])</f>
        <v/>
      </c>
      <c r="IG20" s="121" t="str">
        <f>IF(ISBLANK(tbl_task3[[คะแนนเต็ม]:[คะแนนเต็ม]]),"",(tbl_task3[71]/tbl_task3[[คะแนนเต็ม]:[คะแนนเต็ม]])*tbl_task3[[%]:[%]])</f>
        <v/>
      </c>
      <c r="IH20" s="121" t="str">
        <f>IF(ISBLANK(tbl_task3[[คะแนนเต็ม]:[คะแนนเต็ม]]),"",(tbl_task3[72]/tbl_task3[[คะแนนเต็ม]:[คะแนนเต็ม]])*tbl_task3[[%]:[%]])</f>
        <v/>
      </c>
      <c r="II20" s="121" t="str">
        <f>IF(ISBLANK(tbl_task3[[คะแนนเต็ม]:[คะแนนเต็ม]]),"",(tbl_task3[73]/tbl_task3[[คะแนนเต็ม]:[คะแนนเต็ม]])*tbl_task3[[%]:[%]])</f>
        <v/>
      </c>
      <c r="IJ20" s="121" t="str">
        <f>IF(ISBLANK(tbl_task3[[คะแนนเต็ม]:[คะแนนเต็ม]]),"",(tbl_task3[74]/tbl_task3[[คะแนนเต็ม]:[คะแนนเต็ม]])*tbl_task3[[%]:[%]])</f>
        <v/>
      </c>
      <c r="IK20" s="121" t="str">
        <f>IF(ISBLANK(tbl_task3[[คะแนนเต็ม]:[คะแนนเต็ม]]),"",(tbl_task3[75]/tbl_task3[[คะแนนเต็ม]:[คะแนนเต็ม]])*tbl_task3[[%]:[%]])</f>
        <v/>
      </c>
      <c r="IL20" s="121" t="str">
        <f>IF(ISBLANK(tbl_task3[[คะแนนเต็ม]:[คะแนนเต็ม]]),"",(tbl_task3[76]/tbl_task3[[คะแนนเต็ม]:[คะแนนเต็ม]])*tbl_task3[[%]:[%]])</f>
        <v/>
      </c>
      <c r="IM20" s="121" t="str">
        <f>IF(ISBLANK(tbl_task3[[คะแนนเต็ม]:[คะแนนเต็ม]]),"",(tbl_task3[77]/tbl_task3[[คะแนนเต็ม]:[คะแนนเต็ม]])*tbl_task3[[%]:[%]])</f>
        <v/>
      </c>
      <c r="IN20" s="121" t="str">
        <f>IF(ISBLANK(tbl_task3[[คะแนนเต็ม]:[คะแนนเต็ม]]),"",(tbl_task3[78]/tbl_task3[[คะแนนเต็ม]:[คะแนนเต็ม]])*tbl_task3[[%]:[%]])</f>
        <v/>
      </c>
      <c r="IO20" s="121" t="str">
        <f>IF(ISBLANK(tbl_task3[[คะแนนเต็ม]:[คะแนนเต็ม]]),"",(tbl_task3[79]/tbl_task3[[คะแนนเต็ม]:[คะแนนเต็ม]])*tbl_task3[[%]:[%]])</f>
        <v/>
      </c>
      <c r="IP20" s="121" t="str">
        <f>IF(ISBLANK(tbl_task3[[คะแนนเต็ม]:[คะแนนเต็ม]]),"",(tbl_task3[80]/tbl_task3[[คะแนนเต็ม]:[คะแนนเต็ม]])*tbl_task3[[%]:[%]])</f>
        <v/>
      </c>
      <c r="IQ20" s="121" t="str">
        <f>IF(ISBLANK(tbl_task3[[คะแนนเต็ม]:[คะแนนเต็ม]]),"",(tbl_task3[81]/tbl_task3[[คะแนนเต็ม]:[คะแนนเต็ม]])*tbl_task3[[%]:[%]])</f>
        <v/>
      </c>
      <c r="IR20" s="121" t="str">
        <f>IF(ISBLANK(tbl_task3[[คะแนนเต็ม]:[คะแนนเต็ม]]),"",(tbl_task3[82]/tbl_task3[[คะแนนเต็ม]:[คะแนนเต็ม]])*tbl_task3[[%]:[%]])</f>
        <v/>
      </c>
      <c r="IS20" s="121" t="str">
        <f>IF(ISBLANK(tbl_task3[[คะแนนเต็ม]:[คะแนนเต็ม]]),"",(tbl_task3[83]/tbl_task3[[คะแนนเต็ม]:[คะแนนเต็ม]])*tbl_task3[[%]:[%]])</f>
        <v/>
      </c>
      <c r="IT20" s="121" t="str">
        <f>IF(ISBLANK(tbl_task3[[คะแนนเต็ม]:[คะแนนเต็ม]]),"",(tbl_task3[84]/tbl_task3[[คะแนนเต็ม]:[คะแนนเต็ม]])*tbl_task3[[%]:[%]])</f>
        <v/>
      </c>
      <c r="IU20" s="121" t="str">
        <f>IF(ISBLANK(tbl_task3[[คะแนนเต็ม]:[คะแนนเต็ม]]),"",(tbl_task3[85]/tbl_task3[[คะแนนเต็ม]:[คะแนนเต็ม]])*tbl_task3[[%]:[%]])</f>
        <v/>
      </c>
      <c r="IV20" s="121" t="str">
        <f>IF(ISBLANK(tbl_task3[[คะแนนเต็ม]:[คะแนนเต็ม]]),"",(tbl_task3[86]/tbl_task3[[คะแนนเต็ม]:[คะแนนเต็ม]])*tbl_task3[[%]:[%]])</f>
        <v/>
      </c>
      <c r="IW20" s="121" t="str">
        <f>IF(ISBLANK(tbl_task3[[คะแนนเต็ม]:[คะแนนเต็ม]]),"",(tbl_task3[87]/tbl_task3[[คะแนนเต็ม]:[คะแนนเต็ม]])*tbl_task3[[%]:[%]])</f>
        <v/>
      </c>
      <c r="IX20" s="121" t="str">
        <f>IF(ISBLANK(tbl_task3[[คะแนนเต็ม]:[คะแนนเต็ม]]),"",(tbl_task3[88]/tbl_task3[[คะแนนเต็ม]:[คะแนนเต็ม]])*tbl_task3[[%]:[%]])</f>
        <v/>
      </c>
      <c r="IY20" s="121" t="str">
        <f>IF(ISBLANK(tbl_task3[[คะแนนเต็ม]:[คะแนนเต็ม]]),"",(tbl_task3[89]/tbl_task3[[คะแนนเต็ม]:[คะแนนเต็ม]])*tbl_task3[[%]:[%]])</f>
        <v/>
      </c>
      <c r="IZ20" s="121" t="str">
        <f>IF(ISBLANK(tbl_task3[[คะแนนเต็ม]:[คะแนนเต็ม]]),"",(tbl_task3[90]/tbl_task3[[คะแนนเต็ม]:[คะแนนเต็ม]])*tbl_task3[[%]:[%]])</f>
        <v/>
      </c>
      <c r="JA20" s="121" t="str">
        <f>IF(ISBLANK(tbl_task3[[คะแนนเต็ม]:[คะแนนเต็ม]]),"",(tbl_task3[91]/tbl_task3[[คะแนนเต็ม]:[คะแนนเต็ม]])*tbl_task3[[%]:[%]])</f>
        <v/>
      </c>
      <c r="JB20" s="121" t="str">
        <f>IF(ISBLANK(tbl_task3[[คะแนนเต็ม]:[คะแนนเต็ม]]),"",(tbl_task3[92]/tbl_task3[[คะแนนเต็ม]:[คะแนนเต็ม]])*tbl_task3[[%]:[%]])</f>
        <v/>
      </c>
      <c r="JC20" s="121" t="str">
        <f>IF(ISBLANK(tbl_task3[[คะแนนเต็ม]:[คะแนนเต็ม]]),"",(tbl_task3[93]/tbl_task3[[คะแนนเต็ม]:[คะแนนเต็ม]])*tbl_task3[[%]:[%]])</f>
        <v/>
      </c>
      <c r="JD20" s="121" t="str">
        <f>IF(ISBLANK(tbl_task3[[คะแนนเต็ม]:[คะแนนเต็ม]]),"",(tbl_task3[94]/tbl_task3[[คะแนนเต็ม]:[คะแนนเต็ม]])*tbl_task3[[%]:[%]])</f>
        <v/>
      </c>
      <c r="JE20" s="121" t="str">
        <f>IF(ISBLANK(tbl_task3[[คะแนนเต็ม]:[คะแนนเต็ม]]),"",(tbl_task3[95]/tbl_task3[[คะแนนเต็ม]:[คะแนนเต็ม]])*tbl_task3[[%]:[%]])</f>
        <v/>
      </c>
      <c r="JF20" s="121" t="str">
        <f>IF(ISBLANK(tbl_task3[[คะแนนเต็ม]:[คะแนนเต็ม]]),"",(tbl_task3[96]/tbl_task3[[คะแนนเต็ม]:[คะแนนเต็ม]])*tbl_task3[[%]:[%]])</f>
        <v/>
      </c>
      <c r="JG20" s="121" t="str">
        <f>IF(ISBLANK(tbl_task3[[คะแนนเต็ม]:[คะแนนเต็ม]]),"",(tbl_task3[97]/tbl_task3[[คะแนนเต็ม]:[คะแนนเต็ม]])*tbl_task3[[%]:[%]])</f>
        <v/>
      </c>
      <c r="JH20" s="121" t="str">
        <f>IF(ISBLANK(tbl_task3[[คะแนนเต็ม]:[คะแนนเต็ม]]),"",(tbl_task3[98]/tbl_task3[[คะแนนเต็ม]:[คะแนนเต็ม]])*tbl_task3[[%]:[%]])</f>
        <v/>
      </c>
      <c r="JI20" s="121" t="str">
        <f>IF(ISBLANK(tbl_task3[[คะแนนเต็ม]:[คะแนนเต็ม]]),"",(tbl_task3[99]/tbl_task3[[คะแนนเต็ม]:[คะแนนเต็ม]])*tbl_task3[[%]:[%]])</f>
        <v/>
      </c>
      <c r="JJ20" s="121" t="str">
        <f>IF(ISBLANK(tbl_task3[[คะแนนเต็ม]:[คะแนนเต็ม]]),"",(tbl_task3[100]/tbl_task3[[คะแนนเต็ม]:[คะแนนเต็ม]])*tbl_task3[[%]:[%]])</f>
        <v/>
      </c>
      <c r="JK20" s="121" t="str">
        <f>IF(ISBLANK(tbl_task3[[คะแนนเต็ม]:[คะแนนเต็ม]]),"",(tbl_task3[101]/tbl_task3[[คะแนนเต็ม]:[คะแนนเต็ม]])*tbl_task3[[%]:[%]])</f>
        <v/>
      </c>
      <c r="JL20" s="121" t="str">
        <f>IF(ISBLANK(tbl_task3[[คะแนนเต็ม]:[คะแนนเต็ม]]),"",(tbl_task3[102]/tbl_task3[[คะแนนเต็ม]:[คะแนนเต็ม]])*tbl_task3[[%]:[%]])</f>
        <v/>
      </c>
      <c r="JM20" s="121" t="str">
        <f>IF(ISBLANK(tbl_task3[[คะแนนเต็ม]:[คะแนนเต็ม]]),"",(tbl_task3[103]/tbl_task3[[คะแนนเต็ม]:[คะแนนเต็ม]])*tbl_task3[[%]:[%]])</f>
        <v/>
      </c>
      <c r="JN20" s="121" t="str">
        <f>IF(ISBLANK(tbl_task3[[คะแนนเต็ม]:[คะแนนเต็ม]]),"",(tbl_task3[104]/tbl_task3[[คะแนนเต็ม]:[คะแนนเต็ม]])*tbl_task3[[%]:[%]])</f>
        <v/>
      </c>
      <c r="JO20" s="121" t="str">
        <f>IF(ISBLANK(tbl_task3[[คะแนนเต็ม]:[คะแนนเต็ม]]),"",(tbl_task3[105]/tbl_task3[[คะแนนเต็ม]:[คะแนนเต็ม]])*tbl_task3[[%]:[%]])</f>
        <v/>
      </c>
      <c r="JP20" s="121" t="str">
        <f>IF(ISBLANK(tbl_task3[[คะแนนเต็ม]:[คะแนนเต็ม]]),"",(tbl_task3[106]/tbl_task3[[คะแนนเต็ม]:[คะแนนเต็ม]])*tbl_task3[[%]:[%]])</f>
        <v/>
      </c>
      <c r="JQ20" s="121" t="str">
        <f>IF(ISBLANK(tbl_task3[[คะแนนเต็ม]:[คะแนนเต็ม]]),"",(tbl_task3[107]/tbl_task3[[คะแนนเต็ม]:[คะแนนเต็ม]])*tbl_task3[[%]:[%]])</f>
        <v/>
      </c>
      <c r="JR20" s="121" t="str">
        <f>IF(ISBLANK(tbl_task3[[คะแนนเต็ม]:[คะแนนเต็ม]]),"",(tbl_task3[108]/tbl_task3[[คะแนนเต็ม]:[คะแนนเต็ม]])*tbl_task3[[%]:[%]])</f>
        <v/>
      </c>
      <c r="JS20" s="121" t="str">
        <f>IF(ISBLANK(tbl_task3[[คะแนนเต็ม]:[คะแนนเต็ม]]),"",(tbl_task3[109]/tbl_task3[[คะแนนเต็ม]:[คะแนนเต็ม]])*tbl_task3[[%]:[%]])</f>
        <v/>
      </c>
      <c r="JT20" s="121" t="str">
        <f>IF(ISBLANK(tbl_task3[[คะแนนเต็ม]:[คะแนนเต็ม]]),"",(tbl_task3[110]/tbl_task3[[คะแนนเต็ม]:[คะแนนเต็ม]])*tbl_task3[[%]:[%]])</f>
        <v/>
      </c>
      <c r="JU20" s="121" t="str">
        <f>IF(ISBLANK(tbl_task3[[คะแนนเต็ม]:[คะแนนเต็ม]]),"",(tbl_task3[111]/tbl_task3[[คะแนนเต็ม]:[คะแนนเต็ม]])*tbl_task3[[%]:[%]])</f>
        <v/>
      </c>
      <c r="JV20" s="121" t="str">
        <f>IF(ISBLANK(tbl_task3[[คะแนนเต็ม]:[คะแนนเต็ม]]),"",(tbl_task3[112]/tbl_task3[[คะแนนเต็ม]:[คะแนนเต็ม]])*tbl_task3[[%]:[%]])</f>
        <v/>
      </c>
      <c r="JW20" s="121" t="str">
        <f>IF(ISBLANK(tbl_task3[[คะแนนเต็ม]:[คะแนนเต็ม]]),"",(tbl_task3[113]/tbl_task3[[คะแนนเต็ม]:[คะแนนเต็ม]])*tbl_task3[[%]:[%]])</f>
        <v/>
      </c>
      <c r="JX20" s="121" t="str">
        <f>IF(ISBLANK(tbl_task3[[คะแนนเต็ม]:[คะแนนเต็ม]]),"",(tbl_task3[114]/tbl_task3[[คะแนนเต็ม]:[คะแนนเต็ม]])*tbl_task3[[%]:[%]])</f>
        <v/>
      </c>
      <c r="JY20" s="121" t="str">
        <f>IF(ISBLANK(tbl_task3[[คะแนนเต็ม]:[คะแนนเต็ม]]),"",(tbl_task3[115]/tbl_task3[[คะแนนเต็ม]:[คะแนนเต็ม]])*tbl_task3[[%]:[%]])</f>
        <v/>
      </c>
      <c r="JZ20" s="121" t="str">
        <f>IF(ISBLANK(tbl_task3[[คะแนนเต็ม]:[คะแนนเต็ม]]),"",(tbl_task3[116]/tbl_task3[[คะแนนเต็ม]:[คะแนนเต็ม]])*tbl_task3[[%]:[%]])</f>
        <v/>
      </c>
      <c r="KA20" s="121" t="str">
        <f>IF(ISBLANK(tbl_task3[[คะแนนเต็ม]:[คะแนนเต็ม]]),"",(tbl_task3[117]/tbl_task3[[คะแนนเต็ม]:[คะแนนเต็ม]])*tbl_task3[[%]:[%]])</f>
        <v/>
      </c>
      <c r="KB20" s="121" t="str">
        <f>IF(ISBLANK(tbl_task3[[คะแนนเต็ม]:[คะแนนเต็ม]]),"",(tbl_task3[118]/tbl_task3[[คะแนนเต็ม]:[คะแนนเต็ม]])*tbl_task3[[%]:[%]])</f>
        <v/>
      </c>
      <c r="KC20" s="121" t="str">
        <f>IF(ISBLANK(tbl_task3[[คะแนนเต็ม]:[คะแนนเต็ม]]),"",(tbl_task3[119]/tbl_task3[[คะแนนเต็ม]:[คะแนนเต็ม]])*tbl_task3[[%]:[%]])</f>
        <v/>
      </c>
      <c r="KD20" s="121" t="str">
        <f>IF(ISBLANK(tbl_task3[[คะแนนเต็ม]:[คะแนนเต็ม]]),"",(tbl_task3[120]/tbl_task3[[คะแนนเต็ม]:[คะแนนเต็ม]])*tbl_task3[[%]:[%]])</f>
        <v/>
      </c>
      <c r="KE20" s="121" t="str">
        <f>IF(ISBLANK(tbl_task3[[คะแนนเต็ม]:[คะแนนเต็ม]]),"",(tbl_task3[121]/tbl_task3[[คะแนนเต็ม]:[คะแนนเต็ม]])*tbl_task3[[%]:[%]])</f>
        <v/>
      </c>
      <c r="KF20" s="121" t="str">
        <f>IF(ISBLANK(tbl_task3[[คะแนนเต็ม]:[คะแนนเต็ม]]),"",(tbl_task3[122]/tbl_task3[[คะแนนเต็ม]:[คะแนนเต็ม]])*tbl_task3[[%]:[%]])</f>
        <v/>
      </c>
      <c r="KG20" s="121" t="str">
        <f>IF(ISBLANK(tbl_task3[[คะแนนเต็ม]:[คะแนนเต็ม]]),"",(tbl_task3[123]/tbl_task3[[คะแนนเต็ม]:[คะแนนเต็ม]])*tbl_task3[[%]:[%]])</f>
        <v/>
      </c>
      <c r="KH20" s="121" t="str">
        <f>IF(ISBLANK(tbl_task3[[คะแนนเต็ม]:[คะแนนเต็ม]]),"",(tbl_task3[124]/tbl_task3[[คะแนนเต็ม]:[คะแนนเต็ม]])*tbl_task3[[%]:[%]])</f>
        <v/>
      </c>
      <c r="KI20" s="121" t="str">
        <f>IF(ISBLANK(tbl_task3[[คะแนนเต็ม]:[คะแนนเต็ม]]),"",(tbl_task3[125]/tbl_task3[[คะแนนเต็ม]:[คะแนนเต็ม]])*tbl_task3[[%]:[%]])</f>
        <v/>
      </c>
      <c r="KJ20" s="121" t="str">
        <f>IF(ISBLANK(tbl_task3[[คะแนนเต็ม]:[คะแนนเต็ม]]),"",(tbl_task3[126]/tbl_task3[[คะแนนเต็ม]:[คะแนนเต็ม]])*tbl_task3[[%]:[%]])</f>
        <v/>
      </c>
      <c r="KK20" s="121" t="str">
        <f>IF(ISBLANK(tbl_task3[[คะแนนเต็ม]:[คะแนนเต็ม]]),"",(tbl_task3[127]/tbl_task3[[คะแนนเต็ม]:[คะแนนเต็ม]])*tbl_task3[[%]:[%]])</f>
        <v/>
      </c>
      <c r="KL20" s="121" t="str">
        <f>IF(ISBLANK(tbl_task3[[คะแนนเต็ม]:[คะแนนเต็ม]]),"",(tbl_task3[128]/tbl_task3[[คะแนนเต็ม]:[คะแนนเต็ม]])*tbl_task3[[%]:[%]])</f>
        <v/>
      </c>
      <c r="KM20" s="121" t="str">
        <f>IF(ISBLANK(tbl_task3[[คะแนนเต็ม]:[คะแนนเต็ม]]),"",(tbl_task3[129]/tbl_task3[[คะแนนเต็ม]:[คะแนนเต็ม]])*tbl_task3[[%]:[%]])</f>
        <v/>
      </c>
      <c r="KN20" s="121" t="str">
        <f>IF(ISBLANK(tbl_task3[[คะแนนเต็ม]:[คะแนนเต็ม]]),"",(tbl_task3[130]/tbl_task3[[คะแนนเต็ม]:[คะแนนเต็ม]])*tbl_task3[[%]:[%]])</f>
        <v/>
      </c>
      <c r="KO20" s="121" t="str">
        <f>IF(ISBLANK(tbl_task3[[คะแนนเต็ม]:[คะแนนเต็ม]]),"",(tbl_task3[131]/tbl_task3[[คะแนนเต็ม]:[คะแนนเต็ม]])*tbl_task3[[%]:[%]])</f>
        <v/>
      </c>
      <c r="KP20" s="121" t="str">
        <f>IF(ISBLANK(tbl_task3[[คะแนนเต็ม]:[คะแนนเต็ม]]),"",(tbl_task3[132]/tbl_task3[[คะแนนเต็ม]:[คะแนนเต็ม]])*tbl_task3[[%]:[%]])</f>
        <v/>
      </c>
      <c r="KQ20" s="121" t="str">
        <f>IF(ISBLANK(tbl_task3[[คะแนนเต็ม]:[คะแนนเต็ม]]),"",(tbl_task3[133]/tbl_task3[[คะแนนเต็ม]:[คะแนนเต็ม]])*tbl_task3[[%]:[%]])</f>
        <v/>
      </c>
      <c r="KR20" s="121" t="str">
        <f>IF(ISBLANK(tbl_task3[[คะแนนเต็ม]:[คะแนนเต็ม]]),"",(tbl_task3[134]/tbl_task3[[คะแนนเต็ม]:[คะแนนเต็ม]])*tbl_task3[[%]:[%]])</f>
        <v/>
      </c>
      <c r="KS20" s="121" t="str">
        <f>IF(ISBLANK(tbl_task3[[คะแนนเต็ม]:[คะแนนเต็ม]]),"",(tbl_task3[135]/tbl_task3[[คะแนนเต็ม]:[คะแนนเต็ม]])*tbl_task3[[%]:[%]])</f>
        <v/>
      </c>
      <c r="KT20" s="121" t="str">
        <f>IF(ISBLANK(tbl_task3[[คะแนนเต็ม]:[คะแนนเต็ม]]),"",(tbl_task3[136]/tbl_task3[[คะแนนเต็ม]:[คะแนนเต็ม]])*tbl_task3[[%]:[%]])</f>
        <v/>
      </c>
      <c r="KU20" s="121" t="str">
        <f>IF(ISBLANK(tbl_task3[[คะแนนเต็ม]:[คะแนนเต็ม]]),"",(tbl_task3[137]/tbl_task3[[คะแนนเต็ม]:[คะแนนเต็ม]])*tbl_task3[[%]:[%]])</f>
        <v/>
      </c>
      <c r="KV20" s="121" t="str">
        <f>IF(ISBLANK(tbl_task3[[คะแนนเต็ม]:[คะแนนเต็ม]]),"",(tbl_task3[138]/tbl_task3[[คะแนนเต็ม]:[คะแนนเต็ม]])*tbl_task3[[%]:[%]])</f>
        <v/>
      </c>
      <c r="KW20" s="121" t="str">
        <f>IF(ISBLANK(tbl_task3[[คะแนนเต็ม]:[คะแนนเต็ม]]),"",(tbl_task3[139]/tbl_task3[[คะแนนเต็ม]:[คะแนนเต็ม]])*tbl_task3[[%]:[%]])</f>
        <v/>
      </c>
      <c r="KX20" s="121" t="str">
        <f>IF(ISBLANK(tbl_task3[[คะแนนเต็ม]:[คะแนนเต็ม]]),"",(tbl_task3[140]/tbl_task3[[คะแนนเต็ม]:[คะแนนเต็ม]])*tbl_task3[[%]:[%]])</f>
        <v/>
      </c>
      <c r="KY20" s="121" t="str">
        <f>IF(ISBLANK(tbl_task3[[คะแนนเต็ม]:[คะแนนเต็ม]]),"",(tbl_task3[141]/tbl_task3[[คะแนนเต็ม]:[คะแนนเต็ม]])*tbl_task3[[%]:[%]])</f>
        <v/>
      </c>
      <c r="KZ20" s="121" t="str">
        <f>IF(ISBLANK(tbl_task3[[คะแนนเต็ม]:[คะแนนเต็ม]]),"",(tbl_task3[142]/tbl_task3[[คะแนนเต็ม]:[คะแนนเต็ม]])*tbl_task3[[%]:[%]])</f>
        <v/>
      </c>
      <c r="LA20" s="121" t="str">
        <f>IF(ISBLANK(tbl_task3[[คะแนนเต็ม]:[คะแนนเต็ม]]),"",(tbl_task3[143]/tbl_task3[[คะแนนเต็ม]:[คะแนนเต็ม]])*tbl_task3[[%]:[%]])</f>
        <v/>
      </c>
      <c r="LB20" s="121" t="str">
        <f>IF(ISBLANK(tbl_task3[[คะแนนเต็ม]:[คะแนนเต็ม]]),"",(tbl_task3[144]/tbl_task3[[คะแนนเต็ม]:[คะแนนเต็ม]])*tbl_task3[[%]:[%]])</f>
        <v/>
      </c>
      <c r="LC20" s="121" t="str">
        <f>IF(ISBLANK(tbl_task3[[คะแนนเต็ม]:[คะแนนเต็ม]]),"",(tbl_task3[145]/tbl_task3[[คะแนนเต็ม]:[คะแนนเต็ม]])*tbl_task3[[%]:[%]])</f>
        <v/>
      </c>
      <c r="LD20" s="121" t="str">
        <f>IF(ISBLANK(tbl_task3[[คะแนนเต็ม]:[คะแนนเต็ม]]),"",(tbl_task3[146]/tbl_task3[[คะแนนเต็ม]:[คะแนนเต็ม]])*tbl_task3[[%]:[%]])</f>
        <v/>
      </c>
      <c r="LE20" s="121" t="str">
        <f>IF(ISBLANK(tbl_task3[[คะแนนเต็ม]:[คะแนนเต็ม]]),"",(tbl_task3[147]/tbl_task3[[คะแนนเต็ม]:[คะแนนเต็ม]])*tbl_task3[[%]:[%]])</f>
        <v/>
      </c>
      <c r="LF20" s="121" t="str">
        <f>IF(ISBLANK(tbl_task3[[คะแนนเต็ม]:[คะแนนเต็ม]]),"",(tbl_task3[148]/tbl_task3[[คะแนนเต็ม]:[คะแนนเต็ม]])*tbl_task3[[%]:[%]])</f>
        <v/>
      </c>
      <c r="LG20" s="121" t="str">
        <f>IF(ISBLANK(tbl_task3[[คะแนนเต็ม]:[คะแนนเต็ม]]),"",(tbl_task3[149]/tbl_task3[[คะแนนเต็ม]:[คะแนนเต็ม]])*tbl_task3[[%]:[%]])</f>
        <v/>
      </c>
      <c r="LH20" s="121" t="str">
        <f>IF(ISBLANK(tbl_task3[[คะแนนเต็ม]:[คะแนนเต็ม]]),"",(tbl_task3[150]/tbl_task3[[คะแนนเต็ม]:[คะแนนเต็ม]])*tbl_task3[[%]:[%]])</f>
        <v/>
      </c>
      <c r="LI20" s="121" t="str">
        <f>IF(ISBLANK(tbl_task3[[คะแนนเต็ม]:[คะแนนเต็ม]]),"",(tbl_task3[151]/tbl_task3[[คะแนนเต็ม]:[คะแนนเต็ม]])*tbl_task3[[%]:[%]])</f>
        <v/>
      </c>
      <c r="LJ20" s="121" t="str">
        <f>IF(ISBLANK(tbl_task3[[คะแนนเต็ม]:[คะแนนเต็ม]]),"",(tbl_task3[152]/tbl_task3[[คะแนนเต็ม]:[คะแนนเต็ม]])*tbl_task3[[%]:[%]])</f>
        <v/>
      </c>
      <c r="LK20" s="121" t="str">
        <f>IF(ISBLANK(tbl_task3[[คะแนนเต็ม]:[คะแนนเต็ม]]),"",(tbl_task3[153]/tbl_task3[[คะแนนเต็ม]:[คะแนนเต็ม]])*tbl_task3[[%]:[%]])</f>
        <v/>
      </c>
      <c r="LL20" s="121" t="str">
        <f>IF(ISBLANK(tbl_task3[[คะแนนเต็ม]:[คะแนนเต็ม]]),"",(tbl_task3[154]/tbl_task3[[คะแนนเต็ม]:[คะแนนเต็ม]])*tbl_task3[[%]:[%]])</f>
        <v/>
      </c>
      <c r="LM20" s="121" t="str">
        <f>IF(ISBLANK(tbl_task3[[คะแนนเต็ม]:[คะแนนเต็ม]]),"",(tbl_task3[155]/tbl_task3[[คะแนนเต็ม]:[คะแนนเต็ม]])*tbl_task3[[%]:[%]])</f>
        <v/>
      </c>
      <c r="LN20" s="121" t="str">
        <f>IF(ISBLANK(tbl_task3[[คะแนนเต็ม]:[คะแนนเต็ม]]),"",(tbl_task3[156]/tbl_task3[[คะแนนเต็ม]:[คะแนนเต็ม]])*tbl_task3[[%]:[%]])</f>
        <v/>
      </c>
      <c r="LO20" s="121" t="str">
        <f>IF(ISBLANK(tbl_task3[[คะแนนเต็ม]:[คะแนนเต็ม]]),"",(tbl_task3[157]/tbl_task3[[คะแนนเต็ม]:[คะแนนเต็ม]])*tbl_task3[[%]:[%]])</f>
        <v/>
      </c>
      <c r="LP20" s="121" t="str">
        <f>IF(ISBLANK(tbl_task3[[คะแนนเต็ม]:[คะแนนเต็ม]]),"",(tbl_task3[158]/tbl_task3[[คะแนนเต็ม]:[คะแนนเต็ม]])*tbl_task3[[%]:[%]])</f>
        <v/>
      </c>
      <c r="LQ20" s="121" t="str">
        <f>IF(ISBLANK(tbl_task3[[คะแนนเต็ม]:[คะแนนเต็ม]]),"",(tbl_task3[159]/tbl_task3[[คะแนนเต็ม]:[คะแนนเต็ม]])*tbl_task3[[%]:[%]])</f>
        <v/>
      </c>
      <c r="LR20" s="121" t="str">
        <f>IF(ISBLANK(tbl_task3[[คะแนนเต็ม]:[คะแนนเต็ม]]),"",(tbl_task3[160]/tbl_task3[[คะแนนเต็ม]:[คะแนนเต็ม]])*tbl_task3[[%]:[%]])</f>
        <v/>
      </c>
      <c r="LS20" s="121" t="str">
        <f>IF(ISBLANK(tbl_task3[[คะแนนเต็ม]:[คะแนนเต็ม]]),"",(tbl_task3[161]/tbl_task3[[คะแนนเต็ม]:[คะแนนเต็ม]])*tbl_task3[[%]:[%]])</f>
        <v/>
      </c>
      <c r="LT20" s="121" t="str">
        <f>IF(ISBLANK(tbl_task3[[คะแนนเต็ม]:[คะแนนเต็ม]]),"",(tbl_task3[162]/tbl_task3[[คะแนนเต็ม]:[คะแนนเต็ม]])*tbl_task3[[%]:[%]])</f>
        <v/>
      </c>
      <c r="LU20" s="121" t="str">
        <f>IF(ISBLANK(tbl_task3[[คะแนนเต็ม]:[คะแนนเต็ม]]),"",(tbl_task3[163]/tbl_task3[[คะแนนเต็ม]:[คะแนนเต็ม]])*tbl_task3[[%]:[%]])</f>
        <v/>
      </c>
      <c r="LV20" s="121" t="str">
        <f>IF(ISBLANK(tbl_task3[[คะแนนเต็ม]:[คะแนนเต็ม]]),"",(tbl_task3[164]/tbl_task3[[คะแนนเต็ม]:[คะแนนเต็ม]])*tbl_task3[[%]:[%]])</f>
        <v/>
      </c>
      <c r="LW20" s="121" t="str">
        <f>IF(ISBLANK(tbl_task3[[คะแนนเต็ม]:[คะแนนเต็ม]]),"",(tbl_task3[165]/tbl_task3[[คะแนนเต็ม]:[คะแนนเต็ม]])*tbl_task3[[%]:[%]])</f>
        <v/>
      </c>
    </row>
    <row r="21" spans="1:335" ht="24" customHeight="1" x14ac:dyDescent="0.25">
      <c r="A21" s="24">
        <v>18</v>
      </c>
      <c r="B21" s="20"/>
      <c r="C21" s="5" t="str">
        <f>IF(ISBLANK(B21),"",VLOOKUP(B21,tbl_PLOs[],2,0))</f>
        <v/>
      </c>
      <c r="D21" s="102"/>
      <c r="E21" s="106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21" t="str">
        <f>IF(ISBLANK(tbl_task3[[คะแนนเต็ม]:[คะแนนเต็ม]]),"",(tbl_task3[1]/tbl_task3[[คะแนนเต็ม]:[คะแนนเต็ม]])*tbl_task3[[%]:[%]])</f>
        <v/>
      </c>
      <c r="FP21" s="121" t="str">
        <f>IF(ISBLANK(tbl_task3[[คะแนนเต็ม]:[คะแนนเต็ม]]),"",(tbl_task3[2]/tbl_task3[[คะแนนเต็ม]:[คะแนนเต็ม]])*tbl_task3[[%]:[%]])</f>
        <v/>
      </c>
      <c r="FQ21" s="121" t="str">
        <f>IF(ISBLANK(tbl_task3[[คะแนนเต็ม]:[คะแนนเต็ม]]),"",(tbl_task3[3]/tbl_task3[[คะแนนเต็ม]:[คะแนนเต็ม]])*tbl_task3[[%]:[%]])</f>
        <v/>
      </c>
      <c r="FR21" s="121" t="str">
        <f>IF(ISBLANK(tbl_task3[[คะแนนเต็ม]:[คะแนนเต็ม]]),"",(tbl_task3[4]/tbl_task3[[คะแนนเต็ม]:[คะแนนเต็ม]])*tbl_task3[[%]:[%]])</f>
        <v/>
      </c>
      <c r="FS21" s="121" t="str">
        <f>IF(ISBLANK(tbl_task3[[คะแนนเต็ม]:[คะแนนเต็ม]]),"",(tbl_task3[5]/tbl_task3[[คะแนนเต็ม]:[คะแนนเต็ม]])*tbl_task3[[%]:[%]])</f>
        <v/>
      </c>
      <c r="FT21" s="121" t="str">
        <f>IF(ISBLANK(tbl_task3[[คะแนนเต็ม]:[คะแนนเต็ม]]),"",(tbl_task3[6]/tbl_task3[[คะแนนเต็ม]:[คะแนนเต็ม]])*tbl_task3[[%]:[%]])</f>
        <v/>
      </c>
      <c r="FU21" s="121" t="str">
        <f>IF(ISBLANK(tbl_task3[[คะแนนเต็ม]:[คะแนนเต็ม]]),"",(tbl_task3[7]/tbl_task3[[คะแนนเต็ม]:[คะแนนเต็ม]])*tbl_task3[[%]:[%]])</f>
        <v/>
      </c>
      <c r="FV21" s="121" t="str">
        <f>IF(ISBLANK(tbl_task3[[คะแนนเต็ม]:[คะแนนเต็ม]]),"",(tbl_task3[8]/tbl_task3[[คะแนนเต็ม]:[คะแนนเต็ม]])*tbl_task3[[%]:[%]])</f>
        <v/>
      </c>
      <c r="FW21" s="121" t="str">
        <f>IF(ISBLANK(tbl_task3[[คะแนนเต็ม]:[คะแนนเต็ม]]),"",(tbl_task3[9]/tbl_task3[[คะแนนเต็ม]:[คะแนนเต็ม]])*tbl_task3[[%]:[%]])</f>
        <v/>
      </c>
      <c r="FX21" s="121" t="str">
        <f>IF(ISBLANK(tbl_task3[[คะแนนเต็ม]:[คะแนนเต็ม]]),"",(tbl_task3[10]/tbl_task3[[คะแนนเต็ม]:[คะแนนเต็ม]])*tbl_task3[[%]:[%]])</f>
        <v/>
      </c>
      <c r="FY21" s="121" t="str">
        <f>IF(ISBLANK(tbl_task3[[คะแนนเต็ม]:[คะแนนเต็ม]]),"",(tbl_task3[11]/tbl_task3[[คะแนนเต็ม]:[คะแนนเต็ม]])*tbl_task3[[%]:[%]])</f>
        <v/>
      </c>
      <c r="FZ21" s="121" t="str">
        <f>IF(ISBLANK(tbl_task3[[คะแนนเต็ม]:[คะแนนเต็ม]]),"",(tbl_task3[12]/tbl_task3[[คะแนนเต็ม]:[คะแนนเต็ม]])*tbl_task3[[%]:[%]])</f>
        <v/>
      </c>
      <c r="GA21" s="121" t="str">
        <f>IF(ISBLANK(tbl_task3[[คะแนนเต็ม]:[คะแนนเต็ม]]),"",(tbl_task3[13]/tbl_task3[[คะแนนเต็ม]:[คะแนนเต็ม]])*tbl_task3[[%]:[%]])</f>
        <v/>
      </c>
      <c r="GB21" s="121" t="str">
        <f>IF(ISBLANK(tbl_task3[[คะแนนเต็ม]:[คะแนนเต็ม]]),"",(tbl_task3[14]/tbl_task3[[คะแนนเต็ม]:[คะแนนเต็ม]])*tbl_task3[[%]:[%]])</f>
        <v/>
      </c>
      <c r="GC21" s="121" t="str">
        <f>IF(ISBLANK(tbl_task3[[คะแนนเต็ม]:[คะแนนเต็ม]]),"",(tbl_task3[15]/tbl_task3[[คะแนนเต็ม]:[คะแนนเต็ม]])*tbl_task3[[%]:[%]])</f>
        <v/>
      </c>
      <c r="GD21" s="121" t="str">
        <f>IF(ISBLANK(tbl_task3[[คะแนนเต็ม]:[คะแนนเต็ม]]),"",(tbl_task3[16]/tbl_task3[[คะแนนเต็ม]:[คะแนนเต็ม]])*tbl_task3[[%]:[%]])</f>
        <v/>
      </c>
      <c r="GE21" s="121" t="str">
        <f>IF(ISBLANK(tbl_task3[[คะแนนเต็ม]:[คะแนนเต็ม]]),"",(tbl_task3[17]/tbl_task3[[คะแนนเต็ม]:[คะแนนเต็ม]])*tbl_task3[[%]:[%]])</f>
        <v/>
      </c>
      <c r="GF21" s="121" t="str">
        <f>IF(ISBLANK(tbl_task3[[คะแนนเต็ม]:[คะแนนเต็ม]]),"",(tbl_task3[18]/tbl_task3[[คะแนนเต็ม]:[คะแนนเต็ม]])*tbl_task3[[%]:[%]])</f>
        <v/>
      </c>
      <c r="GG21" s="121" t="str">
        <f>IF(ISBLANK(tbl_task3[[คะแนนเต็ม]:[คะแนนเต็ม]]),"",(tbl_task3[19]/tbl_task3[[คะแนนเต็ม]:[คะแนนเต็ม]])*tbl_task3[[%]:[%]])</f>
        <v/>
      </c>
      <c r="GH21" s="121" t="str">
        <f>IF(ISBLANK(tbl_task3[[คะแนนเต็ม]:[คะแนนเต็ม]]),"",(tbl_task3[20]/tbl_task3[[คะแนนเต็ม]:[คะแนนเต็ม]])*tbl_task3[[%]:[%]])</f>
        <v/>
      </c>
      <c r="GI21" s="121" t="str">
        <f>IF(ISBLANK(tbl_task3[[คะแนนเต็ม]:[คะแนนเต็ม]]),"",(tbl_task3[21]/tbl_task3[[คะแนนเต็ม]:[คะแนนเต็ม]])*tbl_task3[[%]:[%]])</f>
        <v/>
      </c>
      <c r="GJ21" s="121" t="str">
        <f>IF(ISBLANK(tbl_task3[[คะแนนเต็ม]:[คะแนนเต็ม]]),"",(tbl_task3[22]/tbl_task3[[คะแนนเต็ม]:[คะแนนเต็ม]])*tbl_task3[[%]:[%]])</f>
        <v/>
      </c>
      <c r="GK21" s="121" t="str">
        <f>IF(ISBLANK(tbl_task3[[คะแนนเต็ม]:[คะแนนเต็ม]]),"",(tbl_task3[23]/tbl_task3[[คะแนนเต็ม]:[คะแนนเต็ม]])*tbl_task3[[%]:[%]])</f>
        <v/>
      </c>
      <c r="GL21" s="121" t="str">
        <f>IF(ISBLANK(tbl_task3[[คะแนนเต็ม]:[คะแนนเต็ม]]),"",(tbl_task3[24]/tbl_task3[[คะแนนเต็ม]:[คะแนนเต็ม]])*tbl_task3[[%]:[%]])</f>
        <v/>
      </c>
      <c r="GM21" s="121" t="str">
        <f>IF(ISBLANK(tbl_task3[[คะแนนเต็ม]:[คะแนนเต็ม]]),"",(tbl_task3[25]/tbl_task3[[คะแนนเต็ม]:[คะแนนเต็ม]])*tbl_task3[[%]:[%]])</f>
        <v/>
      </c>
      <c r="GN21" s="121" t="str">
        <f>IF(ISBLANK(tbl_task3[[คะแนนเต็ม]:[คะแนนเต็ม]]),"",(tbl_task3[26]/tbl_task3[[คะแนนเต็ม]:[คะแนนเต็ม]])*tbl_task3[[%]:[%]])</f>
        <v/>
      </c>
      <c r="GO21" s="121" t="str">
        <f>IF(ISBLANK(tbl_task3[[คะแนนเต็ม]:[คะแนนเต็ม]]),"",(tbl_task3[27]/tbl_task3[[คะแนนเต็ม]:[คะแนนเต็ม]])*tbl_task3[[%]:[%]])</f>
        <v/>
      </c>
      <c r="GP21" s="121" t="str">
        <f>IF(ISBLANK(tbl_task3[[คะแนนเต็ม]:[คะแนนเต็ม]]),"",(tbl_task3[28]/tbl_task3[[คะแนนเต็ม]:[คะแนนเต็ม]])*tbl_task3[[%]:[%]])</f>
        <v/>
      </c>
      <c r="GQ21" s="121" t="str">
        <f>IF(ISBLANK(tbl_task3[[คะแนนเต็ม]:[คะแนนเต็ม]]),"",(tbl_task3[29]/tbl_task3[[คะแนนเต็ม]:[คะแนนเต็ม]])*tbl_task3[[%]:[%]])</f>
        <v/>
      </c>
      <c r="GR21" s="121" t="str">
        <f>IF(ISBLANK(tbl_task3[[คะแนนเต็ม]:[คะแนนเต็ม]]),"",(tbl_task3[30]/tbl_task3[[คะแนนเต็ม]:[คะแนนเต็ม]])*tbl_task3[[%]:[%]])</f>
        <v/>
      </c>
      <c r="GS21" s="121" t="str">
        <f>IF(ISBLANK(tbl_task3[[คะแนนเต็ม]:[คะแนนเต็ม]]),"",(tbl_task3[31]/tbl_task3[[คะแนนเต็ม]:[คะแนนเต็ม]])*tbl_task3[[%]:[%]])</f>
        <v/>
      </c>
      <c r="GT21" s="121" t="str">
        <f>IF(ISBLANK(tbl_task3[[คะแนนเต็ม]:[คะแนนเต็ม]]),"",(tbl_task3[32]/tbl_task3[[คะแนนเต็ม]:[คะแนนเต็ม]])*tbl_task3[[%]:[%]])</f>
        <v/>
      </c>
      <c r="GU21" s="121" t="str">
        <f>IF(ISBLANK(tbl_task3[[คะแนนเต็ม]:[คะแนนเต็ม]]),"",(tbl_task3[33]/tbl_task3[[คะแนนเต็ม]:[คะแนนเต็ม]])*tbl_task3[[%]:[%]])</f>
        <v/>
      </c>
      <c r="GV21" s="121" t="str">
        <f>IF(ISBLANK(tbl_task3[[คะแนนเต็ม]:[คะแนนเต็ม]]),"",(tbl_task3[34]/tbl_task3[[คะแนนเต็ม]:[คะแนนเต็ม]])*tbl_task3[[%]:[%]])</f>
        <v/>
      </c>
      <c r="GW21" s="121" t="str">
        <f>IF(ISBLANK(tbl_task3[[คะแนนเต็ม]:[คะแนนเต็ม]]),"",(tbl_task3[35]/tbl_task3[[คะแนนเต็ม]:[คะแนนเต็ม]])*tbl_task3[[%]:[%]])</f>
        <v/>
      </c>
      <c r="GX21" s="121" t="str">
        <f>IF(ISBLANK(tbl_task3[[คะแนนเต็ม]:[คะแนนเต็ม]]),"",(tbl_task3[36]/tbl_task3[[คะแนนเต็ม]:[คะแนนเต็ม]])*tbl_task3[[%]:[%]])</f>
        <v/>
      </c>
      <c r="GY21" s="121" t="str">
        <f>IF(ISBLANK(tbl_task3[[คะแนนเต็ม]:[คะแนนเต็ม]]),"",(tbl_task3[37]/tbl_task3[[คะแนนเต็ม]:[คะแนนเต็ม]])*tbl_task3[[%]:[%]])</f>
        <v/>
      </c>
      <c r="GZ21" s="121" t="str">
        <f>IF(ISBLANK(tbl_task3[[คะแนนเต็ม]:[คะแนนเต็ม]]),"",(tbl_task3[38]/tbl_task3[[คะแนนเต็ม]:[คะแนนเต็ม]])*tbl_task3[[%]:[%]])</f>
        <v/>
      </c>
      <c r="HA21" s="121" t="str">
        <f>IF(ISBLANK(tbl_task3[[คะแนนเต็ม]:[คะแนนเต็ม]]),"",(tbl_task3[39]/tbl_task3[[คะแนนเต็ม]:[คะแนนเต็ม]])*tbl_task3[[%]:[%]])</f>
        <v/>
      </c>
      <c r="HB21" s="121" t="str">
        <f>IF(ISBLANK(tbl_task3[[คะแนนเต็ม]:[คะแนนเต็ม]]),"",(tbl_task3[40]/tbl_task3[[คะแนนเต็ม]:[คะแนนเต็ม]])*tbl_task3[[%]:[%]])</f>
        <v/>
      </c>
      <c r="HC21" s="121" t="str">
        <f>IF(ISBLANK(tbl_task3[[คะแนนเต็ม]:[คะแนนเต็ม]]),"",(tbl_task3[41]/tbl_task3[[คะแนนเต็ม]:[คะแนนเต็ม]])*tbl_task3[[%]:[%]])</f>
        <v/>
      </c>
      <c r="HD21" s="121" t="str">
        <f>IF(ISBLANK(tbl_task3[[คะแนนเต็ม]:[คะแนนเต็ม]]),"",(tbl_task3[42]/tbl_task3[[คะแนนเต็ม]:[คะแนนเต็ม]])*tbl_task3[[%]:[%]])</f>
        <v/>
      </c>
      <c r="HE21" s="121" t="str">
        <f>IF(ISBLANK(tbl_task3[[คะแนนเต็ม]:[คะแนนเต็ม]]),"",(tbl_task3[43]/tbl_task3[[คะแนนเต็ม]:[คะแนนเต็ม]])*tbl_task3[[%]:[%]])</f>
        <v/>
      </c>
      <c r="HF21" s="121" t="str">
        <f>IF(ISBLANK(tbl_task3[[คะแนนเต็ม]:[คะแนนเต็ม]]),"",(tbl_task3[44]/tbl_task3[[คะแนนเต็ม]:[คะแนนเต็ม]])*tbl_task3[[%]:[%]])</f>
        <v/>
      </c>
      <c r="HG21" s="121" t="str">
        <f>IF(ISBLANK(tbl_task3[[คะแนนเต็ม]:[คะแนนเต็ม]]),"",(tbl_task3[45]/tbl_task3[[คะแนนเต็ม]:[คะแนนเต็ม]])*tbl_task3[[%]:[%]])</f>
        <v/>
      </c>
      <c r="HH21" s="121" t="str">
        <f>IF(ISBLANK(tbl_task3[[คะแนนเต็ม]:[คะแนนเต็ม]]),"",(tbl_task3[46]/tbl_task3[[คะแนนเต็ม]:[คะแนนเต็ม]])*tbl_task3[[%]:[%]])</f>
        <v/>
      </c>
      <c r="HI21" s="121" t="str">
        <f>IF(ISBLANK(tbl_task3[[คะแนนเต็ม]:[คะแนนเต็ม]]),"",(tbl_task3[47]/tbl_task3[[คะแนนเต็ม]:[คะแนนเต็ม]])*tbl_task3[[%]:[%]])</f>
        <v/>
      </c>
      <c r="HJ21" s="121" t="str">
        <f>IF(ISBLANK(tbl_task3[[คะแนนเต็ม]:[คะแนนเต็ม]]),"",(tbl_task3[48]/tbl_task3[[คะแนนเต็ม]:[คะแนนเต็ม]])*tbl_task3[[%]:[%]])</f>
        <v/>
      </c>
      <c r="HK21" s="121" t="str">
        <f>IF(ISBLANK(tbl_task3[[คะแนนเต็ม]:[คะแนนเต็ม]]),"",(tbl_task3[49]/tbl_task3[[คะแนนเต็ม]:[คะแนนเต็ม]])*tbl_task3[[%]:[%]])</f>
        <v/>
      </c>
      <c r="HL21" s="121" t="str">
        <f>IF(ISBLANK(tbl_task3[[คะแนนเต็ม]:[คะแนนเต็ม]]),"",(tbl_task3[50]/tbl_task3[[คะแนนเต็ม]:[คะแนนเต็ม]])*tbl_task3[[%]:[%]])</f>
        <v/>
      </c>
      <c r="HM21" s="121" t="str">
        <f>IF(ISBLANK(tbl_task3[[คะแนนเต็ม]:[คะแนนเต็ม]]),"",(tbl_task3[51]/tbl_task3[[คะแนนเต็ม]:[คะแนนเต็ม]])*tbl_task3[[%]:[%]])</f>
        <v/>
      </c>
      <c r="HN21" s="121" t="str">
        <f>IF(ISBLANK(tbl_task3[[คะแนนเต็ม]:[คะแนนเต็ม]]),"",(tbl_task3[52]/tbl_task3[[คะแนนเต็ม]:[คะแนนเต็ม]])*tbl_task3[[%]:[%]])</f>
        <v/>
      </c>
      <c r="HO21" s="121" t="str">
        <f>IF(ISBLANK(tbl_task3[[คะแนนเต็ม]:[คะแนนเต็ม]]),"",(tbl_task3[53]/tbl_task3[[คะแนนเต็ม]:[คะแนนเต็ม]])*tbl_task3[[%]:[%]])</f>
        <v/>
      </c>
      <c r="HP21" s="121" t="str">
        <f>IF(ISBLANK(tbl_task3[[คะแนนเต็ม]:[คะแนนเต็ม]]),"",(tbl_task3[54]/tbl_task3[[คะแนนเต็ม]:[คะแนนเต็ม]])*tbl_task3[[%]:[%]])</f>
        <v/>
      </c>
      <c r="HQ21" s="121" t="str">
        <f>IF(ISBLANK(tbl_task3[[คะแนนเต็ม]:[คะแนนเต็ม]]),"",(tbl_task3[55]/tbl_task3[[คะแนนเต็ม]:[คะแนนเต็ม]])*tbl_task3[[%]:[%]])</f>
        <v/>
      </c>
      <c r="HR21" s="121" t="str">
        <f>IF(ISBLANK(tbl_task3[[คะแนนเต็ม]:[คะแนนเต็ม]]),"",(tbl_task3[56]/tbl_task3[[คะแนนเต็ม]:[คะแนนเต็ม]])*tbl_task3[[%]:[%]])</f>
        <v/>
      </c>
      <c r="HS21" s="121" t="str">
        <f>IF(ISBLANK(tbl_task3[[คะแนนเต็ม]:[คะแนนเต็ม]]),"",(tbl_task3[57]/tbl_task3[[คะแนนเต็ม]:[คะแนนเต็ม]])*tbl_task3[[%]:[%]])</f>
        <v/>
      </c>
      <c r="HT21" s="121" t="str">
        <f>IF(ISBLANK(tbl_task3[[คะแนนเต็ม]:[คะแนนเต็ม]]),"",(tbl_task3[58]/tbl_task3[[คะแนนเต็ม]:[คะแนนเต็ม]])*tbl_task3[[%]:[%]])</f>
        <v/>
      </c>
      <c r="HU21" s="121" t="str">
        <f>IF(ISBLANK(tbl_task3[[คะแนนเต็ม]:[คะแนนเต็ม]]),"",(tbl_task3[59]/tbl_task3[[คะแนนเต็ม]:[คะแนนเต็ม]])*tbl_task3[[%]:[%]])</f>
        <v/>
      </c>
      <c r="HV21" s="121" t="str">
        <f>IF(ISBLANK(tbl_task3[[คะแนนเต็ม]:[คะแนนเต็ม]]),"",(tbl_task3[60]/tbl_task3[[คะแนนเต็ม]:[คะแนนเต็ม]])*tbl_task3[[%]:[%]])</f>
        <v/>
      </c>
      <c r="HW21" s="121" t="str">
        <f>IF(ISBLANK(tbl_task3[[คะแนนเต็ม]:[คะแนนเต็ม]]),"",(tbl_task3[61]/tbl_task3[[คะแนนเต็ม]:[คะแนนเต็ม]])*tbl_task3[[%]:[%]])</f>
        <v/>
      </c>
      <c r="HX21" s="121" t="str">
        <f>IF(ISBLANK(tbl_task3[[คะแนนเต็ม]:[คะแนนเต็ม]]),"",(tbl_task3[62]/tbl_task3[[คะแนนเต็ม]:[คะแนนเต็ม]])*tbl_task3[[%]:[%]])</f>
        <v/>
      </c>
      <c r="HY21" s="121" t="str">
        <f>IF(ISBLANK(tbl_task3[[คะแนนเต็ม]:[คะแนนเต็ม]]),"",(tbl_task3[63]/tbl_task3[[คะแนนเต็ม]:[คะแนนเต็ม]])*tbl_task3[[%]:[%]])</f>
        <v/>
      </c>
      <c r="HZ21" s="121" t="str">
        <f>IF(ISBLANK(tbl_task3[[คะแนนเต็ม]:[คะแนนเต็ม]]),"",(tbl_task3[64]/tbl_task3[[คะแนนเต็ม]:[คะแนนเต็ม]])*tbl_task3[[%]:[%]])</f>
        <v/>
      </c>
      <c r="IA21" s="121" t="str">
        <f>IF(ISBLANK(tbl_task3[[คะแนนเต็ม]:[คะแนนเต็ม]]),"",(tbl_task3[65]/tbl_task3[[คะแนนเต็ม]:[คะแนนเต็ม]])*tbl_task3[[%]:[%]])</f>
        <v/>
      </c>
      <c r="IB21" s="121" t="str">
        <f>IF(ISBLANK(tbl_task3[[คะแนนเต็ม]:[คะแนนเต็ม]]),"",(tbl_task3[66]/tbl_task3[[คะแนนเต็ม]:[คะแนนเต็ม]])*tbl_task3[[%]:[%]])</f>
        <v/>
      </c>
      <c r="IC21" s="121" t="str">
        <f>IF(ISBLANK(tbl_task3[[คะแนนเต็ม]:[คะแนนเต็ม]]),"",(tbl_task3[67]/tbl_task3[[คะแนนเต็ม]:[คะแนนเต็ม]])*tbl_task3[[%]:[%]])</f>
        <v/>
      </c>
      <c r="ID21" s="121" t="str">
        <f>IF(ISBLANK(tbl_task3[[คะแนนเต็ม]:[คะแนนเต็ม]]),"",(tbl_task3[68]/tbl_task3[[คะแนนเต็ม]:[คะแนนเต็ม]])*tbl_task3[[%]:[%]])</f>
        <v/>
      </c>
      <c r="IE21" s="121" t="str">
        <f>IF(ISBLANK(tbl_task3[[คะแนนเต็ม]:[คะแนนเต็ม]]),"",(tbl_task3[69]/tbl_task3[[คะแนนเต็ม]:[คะแนนเต็ม]])*tbl_task3[[%]:[%]])</f>
        <v/>
      </c>
      <c r="IF21" s="121" t="str">
        <f>IF(ISBLANK(tbl_task3[[คะแนนเต็ม]:[คะแนนเต็ม]]),"",(tbl_task3[70]/tbl_task3[[คะแนนเต็ม]:[คะแนนเต็ม]])*tbl_task3[[%]:[%]])</f>
        <v/>
      </c>
      <c r="IG21" s="121" t="str">
        <f>IF(ISBLANK(tbl_task3[[คะแนนเต็ม]:[คะแนนเต็ม]]),"",(tbl_task3[71]/tbl_task3[[คะแนนเต็ม]:[คะแนนเต็ม]])*tbl_task3[[%]:[%]])</f>
        <v/>
      </c>
      <c r="IH21" s="121" t="str">
        <f>IF(ISBLANK(tbl_task3[[คะแนนเต็ม]:[คะแนนเต็ม]]),"",(tbl_task3[72]/tbl_task3[[คะแนนเต็ม]:[คะแนนเต็ม]])*tbl_task3[[%]:[%]])</f>
        <v/>
      </c>
      <c r="II21" s="121" t="str">
        <f>IF(ISBLANK(tbl_task3[[คะแนนเต็ม]:[คะแนนเต็ม]]),"",(tbl_task3[73]/tbl_task3[[คะแนนเต็ม]:[คะแนนเต็ม]])*tbl_task3[[%]:[%]])</f>
        <v/>
      </c>
      <c r="IJ21" s="121" t="str">
        <f>IF(ISBLANK(tbl_task3[[คะแนนเต็ม]:[คะแนนเต็ม]]),"",(tbl_task3[74]/tbl_task3[[คะแนนเต็ม]:[คะแนนเต็ม]])*tbl_task3[[%]:[%]])</f>
        <v/>
      </c>
      <c r="IK21" s="121" t="str">
        <f>IF(ISBLANK(tbl_task3[[คะแนนเต็ม]:[คะแนนเต็ม]]),"",(tbl_task3[75]/tbl_task3[[คะแนนเต็ม]:[คะแนนเต็ม]])*tbl_task3[[%]:[%]])</f>
        <v/>
      </c>
      <c r="IL21" s="121" t="str">
        <f>IF(ISBLANK(tbl_task3[[คะแนนเต็ม]:[คะแนนเต็ม]]),"",(tbl_task3[76]/tbl_task3[[คะแนนเต็ม]:[คะแนนเต็ม]])*tbl_task3[[%]:[%]])</f>
        <v/>
      </c>
      <c r="IM21" s="121" t="str">
        <f>IF(ISBLANK(tbl_task3[[คะแนนเต็ม]:[คะแนนเต็ม]]),"",(tbl_task3[77]/tbl_task3[[คะแนนเต็ม]:[คะแนนเต็ม]])*tbl_task3[[%]:[%]])</f>
        <v/>
      </c>
      <c r="IN21" s="121" t="str">
        <f>IF(ISBLANK(tbl_task3[[คะแนนเต็ม]:[คะแนนเต็ม]]),"",(tbl_task3[78]/tbl_task3[[คะแนนเต็ม]:[คะแนนเต็ม]])*tbl_task3[[%]:[%]])</f>
        <v/>
      </c>
      <c r="IO21" s="121" t="str">
        <f>IF(ISBLANK(tbl_task3[[คะแนนเต็ม]:[คะแนนเต็ม]]),"",(tbl_task3[79]/tbl_task3[[คะแนนเต็ม]:[คะแนนเต็ม]])*tbl_task3[[%]:[%]])</f>
        <v/>
      </c>
      <c r="IP21" s="121" t="str">
        <f>IF(ISBLANK(tbl_task3[[คะแนนเต็ม]:[คะแนนเต็ม]]),"",(tbl_task3[80]/tbl_task3[[คะแนนเต็ม]:[คะแนนเต็ม]])*tbl_task3[[%]:[%]])</f>
        <v/>
      </c>
      <c r="IQ21" s="121" t="str">
        <f>IF(ISBLANK(tbl_task3[[คะแนนเต็ม]:[คะแนนเต็ม]]),"",(tbl_task3[81]/tbl_task3[[คะแนนเต็ม]:[คะแนนเต็ม]])*tbl_task3[[%]:[%]])</f>
        <v/>
      </c>
      <c r="IR21" s="121" t="str">
        <f>IF(ISBLANK(tbl_task3[[คะแนนเต็ม]:[คะแนนเต็ม]]),"",(tbl_task3[82]/tbl_task3[[คะแนนเต็ม]:[คะแนนเต็ม]])*tbl_task3[[%]:[%]])</f>
        <v/>
      </c>
      <c r="IS21" s="121" t="str">
        <f>IF(ISBLANK(tbl_task3[[คะแนนเต็ม]:[คะแนนเต็ม]]),"",(tbl_task3[83]/tbl_task3[[คะแนนเต็ม]:[คะแนนเต็ม]])*tbl_task3[[%]:[%]])</f>
        <v/>
      </c>
      <c r="IT21" s="121" t="str">
        <f>IF(ISBLANK(tbl_task3[[คะแนนเต็ม]:[คะแนนเต็ม]]),"",(tbl_task3[84]/tbl_task3[[คะแนนเต็ม]:[คะแนนเต็ม]])*tbl_task3[[%]:[%]])</f>
        <v/>
      </c>
      <c r="IU21" s="121" t="str">
        <f>IF(ISBLANK(tbl_task3[[คะแนนเต็ม]:[คะแนนเต็ม]]),"",(tbl_task3[85]/tbl_task3[[คะแนนเต็ม]:[คะแนนเต็ม]])*tbl_task3[[%]:[%]])</f>
        <v/>
      </c>
      <c r="IV21" s="121" t="str">
        <f>IF(ISBLANK(tbl_task3[[คะแนนเต็ม]:[คะแนนเต็ม]]),"",(tbl_task3[86]/tbl_task3[[คะแนนเต็ม]:[คะแนนเต็ม]])*tbl_task3[[%]:[%]])</f>
        <v/>
      </c>
      <c r="IW21" s="121" t="str">
        <f>IF(ISBLANK(tbl_task3[[คะแนนเต็ม]:[คะแนนเต็ม]]),"",(tbl_task3[87]/tbl_task3[[คะแนนเต็ม]:[คะแนนเต็ม]])*tbl_task3[[%]:[%]])</f>
        <v/>
      </c>
      <c r="IX21" s="121" t="str">
        <f>IF(ISBLANK(tbl_task3[[คะแนนเต็ม]:[คะแนนเต็ม]]),"",(tbl_task3[88]/tbl_task3[[คะแนนเต็ม]:[คะแนนเต็ม]])*tbl_task3[[%]:[%]])</f>
        <v/>
      </c>
      <c r="IY21" s="121" t="str">
        <f>IF(ISBLANK(tbl_task3[[คะแนนเต็ม]:[คะแนนเต็ม]]),"",(tbl_task3[89]/tbl_task3[[คะแนนเต็ม]:[คะแนนเต็ม]])*tbl_task3[[%]:[%]])</f>
        <v/>
      </c>
      <c r="IZ21" s="121" t="str">
        <f>IF(ISBLANK(tbl_task3[[คะแนนเต็ม]:[คะแนนเต็ม]]),"",(tbl_task3[90]/tbl_task3[[คะแนนเต็ม]:[คะแนนเต็ม]])*tbl_task3[[%]:[%]])</f>
        <v/>
      </c>
      <c r="JA21" s="121" t="str">
        <f>IF(ISBLANK(tbl_task3[[คะแนนเต็ม]:[คะแนนเต็ม]]),"",(tbl_task3[91]/tbl_task3[[คะแนนเต็ม]:[คะแนนเต็ม]])*tbl_task3[[%]:[%]])</f>
        <v/>
      </c>
      <c r="JB21" s="121" t="str">
        <f>IF(ISBLANK(tbl_task3[[คะแนนเต็ม]:[คะแนนเต็ม]]),"",(tbl_task3[92]/tbl_task3[[คะแนนเต็ม]:[คะแนนเต็ม]])*tbl_task3[[%]:[%]])</f>
        <v/>
      </c>
      <c r="JC21" s="121" t="str">
        <f>IF(ISBLANK(tbl_task3[[คะแนนเต็ม]:[คะแนนเต็ม]]),"",(tbl_task3[93]/tbl_task3[[คะแนนเต็ม]:[คะแนนเต็ม]])*tbl_task3[[%]:[%]])</f>
        <v/>
      </c>
      <c r="JD21" s="121" t="str">
        <f>IF(ISBLANK(tbl_task3[[คะแนนเต็ม]:[คะแนนเต็ม]]),"",(tbl_task3[94]/tbl_task3[[คะแนนเต็ม]:[คะแนนเต็ม]])*tbl_task3[[%]:[%]])</f>
        <v/>
      </c>
      <c r="JE21" s="121" t="str">
        <f>IF(ISBLANK(tbl_task3[[คะแนนเต็ม]:[คะแนนเต็ม]]),"",(tbl_task3[95]/tbl_task3[[คะแนนเต็ม]:[คะแนนเต็ม]])*tbl_task3[[%]:[%]])</f>
        <v/>
      </c>
      <c r="JF21" s="121" t="str">
        <f>IF(ISBLANK(tbl_task3[[คะแนนเต็ม]:[คะแนนเต็ม]]),"",(tbl_task3[96]/tbl_task3[[คะแนนเต็ม]:[คะแนนเต็ม]])*tbl_task3[[%]:[%]])</f>
        <v/>
      </c>
      <c r="JG21" s="121" t="str">
        <f>IF(ISBLANK(tbl_task3[[คะแนนเต็ม]:[คะแนนเต็ม]]),"",(tbl_task3[97]/tbl_task3[[คะแนนเต็ม]:[คะแนนเต็ม]])*tbl_task3[[%]:[%]])</f>
        <v/>
      </c>
      <c r="JH21" s="121" t="str">
        <f>IF(ISBLANK(tbl_task3[[คะแนนเต็ม]:[คะแนนเต็ม]]),"",(tbl_task3[98]/tbl_task3[[คะแนนเต็ม]:[คะแนนเต็ม]])*tbl_task3[[%]:[%]])</f>
        <v/>
      </c>
      <c r="JI21" s="121" t="str">
        <f>IF(ISBLANK(tbl_task3[[คะแนนเต็ม]:[คะแนนเต็ม]]),"",(tbl_task3[99]/tbl_task3[[คะแนนเต็ม]:[คะแนนเต็ม]])*tbl_task3[[%]:[%]])</f>
        <v/>
      </c>
      <c r="JJ21" s="121" t="str">
        <f>IF(ISBLANK(tbl_task3[[คะแนนเต็ม]:[คะแนนเต็ม]]),"",(tbl_task3[100]/tbl_task3[[คะแนนเต็ม]:[คะแนนเต็ม]])*tbl_task3[[%]:[%]])</f>
        <v/>
      </c>
      <c r="JK21" s="121" t="str">
        <f>IF(ISBLANK(tbl_task3[[คะแนนเต็ม]:[คะแนนเต็ม]]),"",(tbl_task3[101]/tbl_task3[[คะแนนเต็ม]:[คะแนนเต็ม]])*tbl_task3[[%]:[%]])</f>
        <v/>
      </c>
      <c r="JL21" s="121" t="str">
        <f>IF(ISBLANK(tbl_task3[[คะแนนเต็ม]:[คะแนนเต็ม]]),"",(tbl_task3[102]/tbl_task3[[คะแนนเต็ม]:[คะแนนเต็ม]])*tbl_task3[[%]:[%]])</f>
        <v/>
      </c>
      <c r="JM21" s="121" t="str">
        <f>IF(ISBLANK(tbl_task3[[คะแนนเต็ม]:[คะแนนเต็ม]]),"",(tbl_task3[103]/tbl_task3[[คะแนนเต็ม]:[คะแนนเต็ม]])*tbl_task3[[%]:[%]])</f>
        <v/>
      </c>
      <c r="JN21" s="121" t="str">
        <f>IF(ISBLANK(tbl_task3[[คะแนนเต็ม]:[คะแนนเต็ม]]),"",(tbl_task3[104]/tbl_task3[[คะแนนเต็ม]:[คะแนนเต็ม]])*tbl_task3[[%]:[%]])</f>
        <v/>
      </c>
      <c r="JO21" s="121" t="str">
        <f>IF(ISBLANK(tbl_task3[[คะแนนเต็ม]:[คะแนนเต็ม]]),"",(tbl_task3[105]/tbl_task3[[คะแนนเต็ม]:[คะแนนเต็ม]])*tbl_task3[[%]:[%]])</f>
        <v/>
      </c>
      <c r="JP21" s="121" t="str">
        <f>IF(ISBLANK(tbl_task3[[คะแนนเต็ม]:[คะแนนเต็ม]]),"",(tbl_task3[106]/tbl_task3[[คะแนนเต็ม]:[คะแนนเต็ม]])*tbl_task3[[%]:[%]])</f>
        <v/>
      </c>
      <c r="JQ21" s="121" t="str">
        <f>IF(ISBLANK(tbl_task3[[คะแนนเต็ม]:[คะแนนเต็ม]]),"",(tbl_task3[107]/tbl_task3[[คะแนนเต็ม]:[คะแนนเต็ม]])*tbl_task3[[%]:[%]])</f>
        <v/>
      </c>
      <c r="JR21" s="121" t="str">
        <f>IF(ISBLANK(tbl_task3[[คะแนนเต็ม]:[คะแนนเต็ม]]),"",(tbl_task3[108]/tbl_task3[[คะแนนเต็ม]:[คะแนนเต็ม]])*tbl_task3[[%]:[%]])</f>
        <v/>
      </c>
      <c r="JS21" s="121" t="str">
        <f>IF(ISBLANK(tbl_task3[[คะแนนเต็ม]:[คะแนนเต็ม]]),"",(tbl_task3[109]/tbl_task3[[คะแนนเต็ม]:[คะแนนเต็ม]])*tbl_task3[[%]:[%]])</f>
        <v/>
      </c>
      <c r="JT21" s="121" t="str">
        <f>IF(ISBLANK(tbl_task3[[คะแนนเต็ม]:[คะแนนเต็ม]]),"",(tbl_task3[110]/tbl_task3[[คะแนนเต็ม]:[คะแนนเต็ม]])*tbl_task3[[%]:[%]])</f>
        <v/>
      </c>
      <c r="JU21" s="121" t="str">
        <f>IF(ISBLANK(tbl_task3[[คะแนนเต็ม]:[คะแนนเต็ม]]),"",(tbl_task3[111]/tbl_task3[[คะแนนเต็ม]:[คะแนนเต็ม]])*tbl_task3[[%]:[%]])</f>
        <v/>
      </c>
      <c r="JV21" s="121" t="str">
        <f>IF(ISBLANK(tbl_task3[[คะแนนเต็ม]:[คะแนนเต็ม]]),"",(tbl_task3[112]/tbl_task3[[คะแนนเต็ม]:[คะแนนเต็ม]])*tbl_task3[[%]:[%]])</f>
        <v/>
      </c>
      <c r="JW21" s="121" t="str">
        <f>IF(ISBLANK(tbl_task3[[คะแนนเต็ม]:[คะแนนเต็ม]]),"",(tbl_task3[113]/tbl_task3[[คะแนนเต็ม]:[คะแนนเต็ม]])*tbl_task3[[%]:[%]])</f>
        <v/>
      </c>
      <c r="JX21" s="121" t="str">
        <f>IF(ISBLANK(tbl_task3[[คะแนนเต็ม]:[คะแนนเต็ม]]),"",(tbl_task3[114]/tbl_task3[[คะแนนเต็ม]:[คะแนนเต็ม]])*tbl_task3[[%]:[%]])</f>
        <v/>
      </c>
      <c r="JY21" s="121" t="str">
        <f>IF(ISBLANK(tbl_task3[[คะแนนเต็ม]:[คะแนนเต็ม]]),"",(tbl_task3[115]/tbl_task3[[คะแนนเต็ม]:[คะแนนเต็ม]])*tbl_task3[[%]:[%]])</f>
        <v/>
      </c>
      <c r="JZ21" s="121" t="str">
        <f>IF(ISBLANK(tbl_task3[[คะแนนเต็ม]:[คะแนนเต็ม]]),"",(tbl_task3[116]/tbl_task3[[คะแนนเต็ม]:[คะแนนเต็ม]])*tbl_task3[[%]:[%]])</f>
        <v/>
      </c>
      <c r="KA21" s="121" t="str">
        <f>IF(ISBLANK(tbl_task3[[คะแนนเต็ม]:[คะแนนเต็ม]]),"",(tbl_task3[117]/tbl_task3[[คะแนนเต็ม]:[คะแนนเต็ม]])*tbl_task3[[%]:[%]])</f>
        <v/>
      </c>
      <c r="KB21" s="121" t="str">
        <f>IF(ISBLANK(tbl_task3[[คะแนนเต็ม]:[คะแนนเต็ม]]),"",(tbl_task3[118]/tbl_task3[[คะแนนเต็ม]:[คะแนนเต็ม]])*tbl_task3[[%]:[%]])</f>
        <v/>
      </c>
      <c r="KC21" s="121" t="str">
        <f>IF(ISBLANK(tbl_task3[[คะแนนเต็ม]:[คะแนนเต็ม]]),"",(tbl_task3[119]/tbl_task3[[คะแนนเต็ม]:[คะแนนเต็ม]])*tbl_task3[[%]:[%]])</f>
        <v/>
      </c>
      <c r="KD21" s="121" t="str">
        <f>IF(ISBLANK(tbl_task3[[คะแนนเต็ม]:[คะแนนเต็ม]]),"",(tbl_task3[120]/tbl_task3[[คะแนนเต็ม]:[คะแนนเต็ม]])*tbl_task3[[%]:[%]])</f>
        <v/>
      </c>
      <c r="KE21" s="121" t="str">
        <f>IF(ISBLANK(tbl_task3[[คะแนนเต็ม]:[คะแนนเต็ม]]),"",(tbl_task3[121]/tbl_task3[[คะแนนเต็ม]:[คะแนนเต็ม]])*tbl_task3[[%]:[%]])</f>
        <v/>
      </c>
      <c r="KF21" s="121" t="str">
        <f>IF(ISBLANK(tbl_task3[[คะแนนเต็ม]:[คะแนนเต็ม]]),"",(tbl_task3[122]/tbl_task3[[คะแนนเต็ม]:[คะแนนเต็ม]])*tbl_task3[[%]:[%]])</f>
        <v/>
      </c>
      <c r="KG21" s="121" t="str">
        <f>IF(ISBLANK(tbl_task3[[คะแนนเต็ม]:[คะแนนเต็ม]]),"",(tbl_task3[123]/tbl_task3[[คะแนนเต็ม]:[คะแนนเต็ม]])*tbl_task3[[%]:[%]])</f>
        <v/>
      </c>
      <c r="KH21" s="121" t="str">
        <f>IF(ISBLANK(tbl_task3[[คะแนนเต็ม]:[คะแนนเต็ม]]),"",(tbl_task3[124]/tbl_task3[[คะแนนเต็ม]:[คะแนนเต็ม]])*tbl_task3[[%]:[%]])</f>
        <v/>
      </c>
      <c r="KI21" s="121" t="str">
        <f>IF(ISBLANK(tbl_task3[[คะแนนเต็ม]:[คะแนนเต็ม]]),"",(tbl_task3[125]/tbl_task3[[คะแนนเต็ม]:[คะแนนเต็ม]])*tbl_task3[[%]:[%]])</f>
        <v/>
      </c>
      <c r="KJ21" s="121" t="str">
        <f>IF(ISBLANK(tbl_task3[[คะแนนเต็ม]:[คะแนนเต็ม]]),"",(tbl_task3[126]/tbl_task3[[คะแนนเต็ม]:[คะแนนเต็ม]])*tbl_task3[[%]:[%]])</f>
        <v/>
      </c>
      <c r="KK21" s="121" t="str">
        <f>IF(ISBLANK(tbl_task3[[คะแนนเต็ม]:[คะแนนเต็ม]]),"",(tbl_task3[127]/tbl_task3[[คะแนนเต็ม]:[คะแนนเต็ม]])*tbl_task3[[%]:[%]])</f>
        <v/>
      </c>
      <c r="KL21" s="121" t="str">
        <f>IF(ISBLANK(tbl_task3[[คะแนนเต็ม]:[คะแนนเต็ม]]),"",(tbl_task3[128]/tbl_task3[[คะแนนเต็ม]:[คะแนนเต็ม]])*tbl_task3[[%]:[%]])</f>
        <v/>
      </c>
      <c r="KM21" s="121" t="str">
        <f>IF(ISBLANK(tbl_task3[[คะแนนเต็ม]:[คะแนนเต็ม]]),"",(tbl_task3[129]/tbl_task3[[คะแนนเต็ม]:[คะแนนเต็ม]])*tbl_task3[[%]:[%]])</f>
        <v/>
      </c>
      <c r="KN21" s="121" t="str">
        <f>IF(ISBLANK(tbl_task3[[คะแนนเต็ม]:[คะแนนเต็ม]]),"",(tbl_task3[130]/tbl_task3[[คะแนนเต็ม]:[คะแนนเต็ม]])*tbl_task3[[%]:[%]])</f>
        <v/>
      </c>
      <c r="KO21" s="121" t="str">
        <f>IF(ISBLANK(tbl_task3[[คะแนนเต็ม]:[คะแนนเต็ม]]),"",(tbl_task3[131]/tbl_task3[[คะแนนเต็ม]:[คะแนนเต็ม]])*tbl_task3[[%]:[%]])</f>
        <v/>
      </c>
      <c r="KP21" s="121" t="str">
        <f>IF(ISBLANK(tbl_task3[[คะแนนเต็ม]:[คะแนนเต็ม]]),"",(tbl_task3[132]/tbl_task3[[คะแนนเต็ม]:[คะแนนเต็ม]])*tbl_task3[[%]:[%]])</f>
        <v/>
      </c>
      <c r="KQ21" s="121" t="str">
        <f>IF(ISBLANK(tbl_task3[[คะแนนเต็ม]:[คะแนนเต็ม]]),"",(tbl_task3[133]/tbl_task3[[คะแนนเต็ม]:[คะแนนเต็ม]])*tbl_task3[[%]:[%]])</f>
        <v/>
      </c>
      <c r="KR21" s="121" t="str">
        <f>IF(ISBLANK(tbl_task3[[คะแนนเต็ม]:[คะแนนเต็ม]]),"",(tbl_task3[134]/tbl_task3[[คะแนนเต็ม]:[คะแนนเต็ม]])*tbl_task3[[%]:[%]])</f>
        <v/>
      </c>
      <c r="KS21" s="121" t="str">
        <f>IF(ISBLANK(tbl_task3[[คะแนนเต็ม]:[คะแนนเต็ม]]),"",(tbl_task3[135]/tbl_task3[[คะแนนเต็ม]:[คะแนนเต็ม]])*tbl_task3[[%]:[%]])</f>
        <v/>
      </c>
      <c r="KT21" s="121" t="str">
        <f>IF(ISBLANK(tbl_task3[[คะแนนเต็ม]:[คะแนนเต็ม]]),"",(tbl_task3[136]/tbl_task3[[คะแนนเต็ม]:[คะแนนเต็ม]])*tbl_task3[[%]:[%]])</f>
        <v/>
      </c>
      <c r="KU21" s="121" t="str">
        <f>IF(ISBLANK(tbl_task3[[คะแนนเต็ม]:[คะแนนเต็ม]]),"",(tbl_task3[137]/tbl_task3[[คะแนนเต็ม]:[คะแนนเต็ม]])*tbl_task3[[%]:[%]])</f>
        <v/>
      </c>
      <c r="KV21" s="121" t="str">
        <f>IF(ISBLANK(tbl_task3[[คะแนนเต็ม]:[คะแนนเต็ม]]),"",(tbl_task3[138]/tbl_task3[[คะแนนเต็ม]:[คะแนนเต็ม]])*tbl_task3[[%]:[%]])</f>
        <v/>
      </c>
      <c r="KW21" s="121" t="str">
        <f>IF(ISBLANK(tbl_task3[[คะแนนเต็ม]:[คะแนนเต็ม]]),"",(tbl_task3[139]/tbl_task3[[คะแนนเต็ม]:[คะแนนเต็ม]])*tbl_task3[[%]:[%]])</f>
        <v/>
      </c>
      <c r="KX21" s="121" t="str">
        <f>IF(ISBLANK(tbl_task3[[คะแนนเต็ม]:[คะแนนเต็ม]]),"",(tbl_task3[140]/tbl_task3[[คะแนนเต็ม]:[คะแนนเต็ม]])*tbl_task3[[%]:[%]])</f>
        <v/>
      </c>
      <c r="KY21" s="121" t="str">
        <f>IF(ISBLANK(tbl_task3[[คะแนนเต็ม]:[คะแนนเต็ม]]),"",(tbl_task3[141]/tbl_task3[[คะแนนเต็ม]:[คะแนนเต็ม]])*tbl_task3[[%]:[%]])</f>
        <v/>
      </c>
      <c r="KZ21" s="121" t="str">
        <f>IF(ISBLANK(tbl_task3[[คะแนนเต็ม]:[คะแนนเต็ม]]),"",(tbl_task3[142]/tbl_task3[[คะแนนเต็ม]:[คะแนนเต็ม]])*tbl_task3[[%]:[%]])</f>
        <v/>
      </c>
      <c r="LA21" s="121" t="str">
        <f>IF(ISBLANK(tbl_task3[[คะแนนเต็ม]:[คะแนนเต็ม]]),"",(tbl_task3[143]/tbl_task3[[คะแนนเต็ม]:[คะแนนเต็ม]])*tbl_task3[[%]:[%]])</f>
        <v/>
      </c>
      <c r="LB21" s="121" t="str">
        <f>IF(ISBLANK(tbl_task3[[คะแนนเต็ม]:[คะแนนเต็ม]]),"",(tbl_task3[144]/tbl_task3[[คะแนนเต็ม]:[คะแนนเต็ม]])*tbl_task3[[%]:[%]])</f>
        <v/>
      </c>
      <c r="LC21" s="121" t="str">
        <f>IF(ISBLANK(tbl_task3[[คะแนนเต็ม]:[คะแนนเต็ม]]),"",(tbl_task3[145]/tbl_task3[[คะแนนเต็ม]:[คะแนนเต็ม]])*tbl_task3[[%]:[%]])</f>
        <v/>
      </c>
      <c r="LD21" s="121" t="str">
        <f>IF(ISBLANK(tbl_task3[[คะแนนเต็ม]:[คะแนนเต็ม]]),"",(tbl_task3[146]/tbl_task3[[คะแนนเต็ม]:[คะแนนเต็ม]])*tbl_task3[[%]:[%]])</f>
        <v/>
      </c>
      <c r="LE21" s="121" t="str">
        <f>IF(ISBLANK(tbl_task3[[คะแนนเต็ม]:[คะแนนเต็ม]]),"",(tbl_task3[147]/tbl_task3[[คะแนนเต็ม]:[คะแนนเต็ม]])*tbl_task3[[%]:[%]])</f>
        <v/>
      </c>
      <c r="LF21" s="121" t="str">
        <f>IF(ISBLANK(tbl_task3[[คะแนนเต็ม]:[คะแนนเต็ม]]),"",(tbl_task3[148]/tbl_task3[[คะแนนเต็ม]:[คะแนนเต็ม]])*tbl_task3[[%]:[%]])</f>
        <v/>
      </c>
      <c r="LG21" s="121" t="str">
        <f>IF(ISBLANK(tbl_task3[[คะแนนเต็ม]:[คะแนนเต็ม]]),"",(tbl_task3[149]/tbl_task3[[คะแนนเต็ม]:[คะแนนเต็ม]])*tbl_task3[[%]:[%]])</f>
        <v/>
      </c>
      <c r="LH21" s="121" t="str">
        <f>IF(ISBLANK(tbl_task3[[คะแนนเต็ม]:[คะแนนเต็ม]]),"",(tbl_task3[150]/tbl_task3[[คะแนนเต็ม]:[คะแนนเต็ม]])*tbl_task3[[%]:[%]])</f>
        <v/>
      </c>
      <c r="LI21" s="121" t="str">
        <f>IF(ISBLANK(tbl_task3[[คะแนนเต็ม]:[คะแนนเต็ม]]),"",(tbl_task3[151]/tbl_task3[[คะแนนเต็ม]:[คะแนนเต็ม]])*tbl_task3[[%]:[%]])</f>
        <v/>
      </c>
      <c r="LJ21" s="121" t="str">
        <f>IF(ISBLANK(tbl_task3[[คะแนนเต็ม]:[คะแนนเต็ม]]),"",(tbl_task3[152]/tbl_task3[[คะแนนเต็ม]:[คะแนนเต็ม]])*tbl_task3[[%]:[%]])</f>
        <v/>
      </c>
      <c r="LK21" s="121" t="str">
        <f>IF(ISBLANK(tbl_task3[[คะแนนเต็ม]:[คะแนนเต็ม]]),"",(tbl_task3[153]/tbl_task3[[คะแนนเต็ม]:[คะแนนเต็ม]])*tbl_task3[[%]:[%]])</f>
        <v/>
      </c>
      <c r="LL21" s="121" t="str">
        <f>IF(ISBLANK(tbl_task3[[คะแนนเต็ม]:[คะแนนเต็ม]]),"",(tbl_task3[154]/tbl_task3[[คะแนนเต็ม]:[คะแนนเต็ม]])*tbl_task3[[%]:[%]])</f>
        <v/>
      </c>
      <c r="LM21" s="121" t="str">
        <f>IF(ISBLANK(tbl_task3[[คะแนนเต็ม]:[คะแนนเต็ม]]),"",(tbl_task3[155]/tbl_task3[[คะแนนเต็ม]:[คะแนนเต็ม]])*tbl_task3[[%]:[%]])</f>
        <v/>
      </c>
      <c r="LN21" s="121" t="str">
        <f>IF(ISBLANK(tbl_task3[[คะแนนเต็ม]:[คะแนนเต็ม]]),"",(tbl_task3[156]/tbl_task3[[คะแนนเต็ม]:[คะแนนเต็ม]])*tbl_task3[[%]:[%]])</f>
        <v/>
      </c>
      <c r="LO21" s="121" t="str">
        <f>IF(ISBLANK(tbl_task3[[คะแนนเต็ม]:[คะแนนเต็ม]]),"",(tbl_task3[157]/tbl_task3[[คะแนนเต็ม]:[คะแนนเต็ม]])*tbl_task3[[%]:[%]])</f>
        <v/>
      </c>
      <c r="LP21" s="121" t="str">
        <f>IF(ISBLANK(tbl_task3[[คะแนนเต็ม]:[คะแนนเต็ม]]),"",(tbl_task3[158]/tbl_task3[[คะแนนเต็ม]:[คะแนนเต็ม]])*tbl_task3[[%]:[%]])</f>
        <v/>
      </c>
      <c r="LQ21" s="121" t="str">
        <f>IF(ISBLANK(tbl_task3[[คะแนนเต็ม]:[คะแนนเต็ม]]),"",(tbl_task3[159]/tbl_task3[[คะแนนเต็ม]:[คะแนนเต็ม]])*tbl_task3[[%]:[%]])</f>
        <v/>
      </c>
      <c r="LR21" s="121" t="str">
        <f>IF(ISBLANK(tbl_task3[[คะแนนเต็ม]:[คะแนนเต็ม]]),"",(tbl_task3[160]/tbl_task3[[คะแนนเต็ม]:[คะแนนเต็ม]])*tbl_task3[[%]:[%]])</f>
        <v/>
      </c>
      <c r="LS21" s="121" t="str">
        <f>IF(ISBLANK(tbl_task3[[คะแนนเต็ม]:[คะแนนเต็ม]]),"",(tbl_task3[161]/tbl_task3[[คะแนนเต็ม]:[คะแนนเต็ม]])*tbl_task3[[%]:[%]])</f>
        <v/>
      </c>
      <c r="LT21" s="121" t="str">
        <f>IF(ISBLANK(tbl_task3[[คะแนนเต็ม]:[คะแนนเต็ม]]),"",(tbl_task3[162]/tbl_task3[[คะแนนเต็ม]:[คะแนนเต็ม]])*tbl_task3[[%]:[%]])</f>
        <v/>
      </c>
      <c r="LU21" s="121" t="str">
        <f>IF(ISBLANK(tbl_task3[[คะแนนเต็ม]:[คะแนนเต็ม]]),"",(tbl_task3[163]/tbl_task3[[คะแนนเต็ม]:[คะแนนเต็ม]])*tbl_task3[[%]:[%]])</f>
        <v/>
      </c>
      <c r="LV21" s="121" t="str">
        <f>IF(ISBLANK(tbl_task3[[คะแนนเต็ม]:[คะแนนเต็ม]]),"",(tbl_task3[164]/tbl_task3[[คะแนนเต็ม]:[คะแนนเต็ม]])*tbl_task3[[%]:[%]])</f>
        <v/>
      </c>
      <c r="LW21" s="121" t="str">
        <f>IF(ISBLANK(tbl_task3[[คะแนนเต็ม]:[คะแนนเต็ม]]),"",(tbl_task3[165]/tbl_task3[[คะแนนเต็ม]:[คะแนนเต็ม]])*tbl_task3[[%]:[%]])</f>
        <v/>
      </c>
    </row>
    <row r="22" spans="1:335" ht="24" customHeight="1" x14ac:dyDescent="0.25">
      <c r="A22" s="24">
        <v>19</v>
      </c>
      <c r="B22" s="20"/>
      <c r="C22" s="5" t="str">
        <f>IF(ISBLANK(B22),"",VLOOKUP(B22,tbl_PLOs[],2,0))</f>
        <v/>
      </c>
      <c r="D22" s="102"/>
      <c r="E22" s="106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121" t="str">
        <f>IF(ISBLANK(tbl_task3[[คะแนนเต็ม]:[คะแนนเต็ม]]),"",(tbl_task3[1]/tbl_task3[[คะแนนเต็ม]:[คะแนนเต็ม]])*tbl_task3[[%]:[%]])</f>
        <v/>
      </c>
      <c r="FP22" s="121" t="str">
        <f>IF(ISBLANK(tbl_task3[[คะแนนเต็ม]:[คะแนนเต็ม]]),"",(tbl_task3[2]/tbl_task3[[คะแนนเต็ม]:[คะแนนเต็ม]])*tbl_task3[[%]:[%]])</f>
        <v/>
      </c>
      <c r="FQ22" s="121" t="str">
        <f>IF(ISBLANK(tbl_task3[[คะแนนเต็ม]:[คะแนนเต็ม]]),"",(tbl_task3[3]/tbl_task3[[คะแนนเต็ม]:[คะแนนเต็ม]])*tbl_task3[[%]:[%]])</f>
        <v/>
      </c>
      <c r="FR22" s="121" t="str">
        <f>IF(ISBLANK(tbl_task3[[คะแนนเต็ม]:[คะแนนเต็ม]]),"",(tbl_task3[4]/tbl_task3[[คะแนนเต็ม]:[คะแนนเต็ม]])*tbl_task3[[%]:[%]])</f>
        <v/>
      </c>
      <c r="FS22" s="121" t="str">
        <f>IF(ISBLANK(tbl_task3[[คะแนนเต็ม]:[คะแนนเต็ม]]),"",(tbl_task3[5]/tbl_task3[[คะแนนเต็ม]:[คะแนนเต็ม]])*tbl_task3[[%]:[%]])</f>
        <v/>
      </c>
      <c r="FT22" s="121" t="str">
        <f>IF(ISBLANK(tbl_task3[[คะแนนเต็ม]:[คะแนนเต็ม]]),"",(tbl_task3[6]/tbl_task3[[คะแนนเต็ม]:[คะแนนเต็ม]])*tbl_task3[[%]:[%]])</f>
        <v/>
      </c>
      <c r="FU22" s="121" t="str">
        <f>IF(ISBLANK(tbl_task3[[คะแนนเต็ม]:[คะแนนเต็ม]]),"",(tbl_task3[7]/tbl_task3[[คะแนนเต็ม]:[คะแนนเต็ม]])*tbl_task3[[%]:[%]])</f>
        <v/>
      </c>
      <c r="FV22" s="121" t="str">
        <f>IF(ISBLANK(tbl_task3[[คะแนนเต็ม]:[คะแนนเต็ม]]),"",(tbl_task3[8]/tbl_task3[[คะแนนเต็ม]:[คะแนนเต็ม]])*tbl_task3[[%]:[%]])</f>
        <v/>
      </c>
      <c r="FW22" s="121" t="str">
        <f>IF(ISBLANK(tbl_task3[[คะแนนเต็ม]:[คะแนนเต็ม]]),"",(tbl_task3[9]/tbl_task3[[คะแนนเต็ม]:[คะแนนเต็ม]])*tbl_task3[[%]:[%]])</f>
        <v/>
      </c>
      <c r="FX22" s="121" t="str">
        <f>IF(ISBLANK(tbl_task3[[คะแนนเต็ม]:[คะแนนเต็ม]]),"",(tbl_task3[10]/tbl_task3[[คะแนนเต็ม]:[คะแนนเต็ม]])*tbl_task3[[%]:[%]])</f>
        <v/>
      </c>
      <c r="FY22" s="121" t="str">
        <f>IF(ISBLANK(tbl_task3[[คะแนนเต็ม]:[คะแนนเต็ม]]),"",(tbl_task3[11]/tbl_task3[[คะแนนเต็ม]:[คะแนนเต็ม]])*tbl_task3[[%]:[%]])</f>
        <v/>
      </c>
      <c r="FZ22" s="121" t="str">
        <f>IF(ISBLANK(tbl_task3[[คะแนนเต็ม]:[คะแนนเต็ม]]),"",(tbl_task3[12]/tbl_task3[[คะแนนเต็ม]:[คะแนนเต็ม]])*tbl_task3[[%]:[%]])</f>
        <v/>
      </c>
      <c r="GA22" s="121" t="str">
        <f>IF(ISBLANK(tbl_task3[[คะแนนเต็ม]:[คะแนนเต็ม]]),"",(tbl_task3[13]/tbl_task3[[คะแนนเต็ม]:[คะแนนเต็ม]])*tbl_task3[[%]:[%]])</f>
        <v/>
      </c>
      <c r="GB22" s="121" t="str">
        <f>IF(ISBLANK(tbl_task3[[คะแนนเต็ม]:[คะแนนเต็ม]]),"",(tbl_task3[14]/tbl_task3[[คะแนนเต็ม]:[คะแนนเต็ม]])*tbl_task3[[%]:[%]])</f>
        <v/>
      </c>
      <c r="GC22" s="121" t="str">
        <f>IF(ISBLANK(tbl_task3[[คะแนนเต็ม]:[คะแนนเต็ม]]),"",(tbl_task3[15]/tbl_task3[[คะแนนเต็ม]:[คะแนนเต็ม]])*tbl_task3[[%]:[%]])</f>
        <v/>
      </c>
      <c r="GD22" s="121" t="str">
        <f>IF(ISBLANK(tbl_task3[[คะแนนเต็ม]:[คะแนนเต็ม]]),"",(tbl_task3[16]/tbl_task3[[คะแนนเต็ม]:[คะแนนเต็ม]])*tbl_task3[[%]:[%]])</f>
        <v/>
      </c>
      <c r="GE22" s="121" t="str">
        <f>IF(ISBLANK(tbl_task3[[คะแนนเต็ม]:[คะแนนเต็ม]]),"",(tbl_task3[17]/tbl_task3[[คะแนนเต็ม]:[คะแนนเต็ม]])*tbl_task3[[%]:[%]])</f>
        <v/>
      </c>
      <c r="GF22" s="121" t="str">
        <f>IF(ISBLANK(tbl_task3[[คะแนนเต็ม]:[คะแนนเต็ม]]),"",(tbl_task3[18]/tbl_task3[[คะแนนเต็ม]:[คะแนนเต็ม]])*tbl_task3[[%]:[%]])</f>
        <v/>
      </c>
      <c r="GG22" s="121" t="str">
        <f>IF(ISBLANK(tbl_task3[[คะแนนเต็ม]:[คะแนนเต็ม]]),"",(tbl_task3[19]/tbl_task3[[คะแนนเต็ม]:[คะแนนเต็ม]])*tbl_task3[[%]:[%]])</f>
        <v/>
      </c>
      <c r="GH22" s="121" t="str">
        <f>IF(ISBLANK(tbl_task3[[คะแนนเต็ม]:[คะแนนเต็ม]]),"",(tbl_task3[20]/tbl_task3[[คะแนนเต็ม]:[คะแนนเต็ม]])*tbl_task3[[%]:[%]])</f>
        <v/>
      </c>
      <c r="GI22" s="121" t="str">
        <f>IF(ISBLANK(tbl_task3[[คะแนนเต็ม]:[คะแนนเต็ม]]),"",(tbl_task3[21]/tbl_task3[[คะแนนเต็ม]:[คะแนนเต็ม]])*tbl_task3[[%]:[%]])</f>
        <v/>
      </c>
      <c r="GJ22" s="121" t="str">
        <f>IF(ISBLANK(tbl_task3[[คะแนนเต็ม]:[คะแนนเต็ม]]),"",(tbl_task3[22]/tbl_task3[[คะแนนเต็ม]:[คะแนนเต็ม]])*tbl_task3[[%]:[%]])</f>
        <v/>
      </c>
      <c r="GK22" s="121" t="str">
        <f>IF(ISBLANK(tbl_task3[[คะแนนเต็ม]:[คะแนนเต็ม]]),"",(tbl_task3[23]/tbl_task3[[คะแนนเต็ม]:[คะแนนเต็ม]])*tbl_task3[[%]:[%]])</f>
        <v/>
      </c>
      <c r="GL22" s="121" t="str">
        <f>IF(ISBLANK(tbl_task3[[คะแนนเต็ม]:[คะแนนเต็ม]]),"",(tbl_task3[24]/tbl_task3[[คะแนนเต็ม]:[คะแนนเต็ม]])*tbl_task3[[%]:[%]])</f>
        <v/>
      </c>
      <c r="GM22" s="121" t="str">
        <f>IF(ISBLANK(tbl_task3[[คะแนนเต็ม]:[คะแนนเต็ม]]),"",(tbl_task3[25]/tbl_task3[[คะแนนเต็ม]:[คะแนนเต็ม]])*tbl_task3[[%]:[%]])</f>
        <v/>
      </c>
      <c r="GN22" s="121" t="str">
        <f>IF(ISBLANK(tbl_task3[[คะแนนเต็ม]:[คะแนนเต็ม]]),"",(tbl_task3[26]/tbl_task3[[คะแนนเต็ม]:[คะแนนเต็ม]])*tbl_task3[[%]:[%]])</f>
        <v/>
      </c>
      <c r="GO22" s="121" t="str">
        <f>IF(ISBLANK(tbl_task3[[คะแนนเต็ม]:[คะแนนเต็ม]]),"",(tbl_task3[27]/tbl_task3[[คะแนนเต็ม]:[คะแนนเต็ม]])*tbl_task3[[%]:[%]])</f>
        <v/>
      </c>
      <c r="GP22" s="121" t="str">
        <f>IF(ISBLANK(tbl_task3[[คะแนนเต็ม]:[คะแนนเต็ม]]),"",(tbl_task3[28]/tbl_task3[[คะแนนเต็ม]:[คะแนนเต็ม]])*tbl_task3[[%]:[%]])</f>
        <v/>
      </c>
      <c r="GQ22" s="121" t="str">
        <f>IF(ISBLANK(tbl_task3[[คะแนนเต็ม]:[คะแนนเต็ม]]),"",(tbl_task3[29]/tbl_task3[[คะแนนเต็ม]:[คะแนนเต็ม]])*tbl_task3[[%]:[%]])</f>
        <v/>
      </c>
      <c r="GR22" s="121" t="str">
        <f>IF(ISBLANK(tbl_task3[[คะแนนเต็ม]:[คะแนนเต็ม]]),"",(tbl_task3[30]/tbl_task3[[คะแนนเต็ม]:[คะแนนเต็ม]])*tbl_task3[[%]:[%]])</f>
        <v/>
      </c>
      <c r="GS22" s="121" t="str">
        <f>IF(ISBLANK(tbl_task3[[คะแนนเต็ม]:[คะแนนเต็ม]]),"",(tbl_task3[31]/tbl_task3[[คะแนนเต็ม]:[คะแนนเต็ม]])*tbl_task3[[%]:[%]])</f>
        <v/>
      </c>
      <c r="GT22" s="121" t="str">
        <f>IF(ISBLANK(tbl_task3[[คะแนนเต็ม]:[คะแนนเต็ม]]),"",(tbl_task3[32]/tbl_task3[[คะแนนเต็ม]:[คะแนนเต็ม]])*tbl_task3[[%]:[%]])</f>
        <v/>
      </c>
      <c r="GU22" s="121" t="str">
        <f>IF(ISBLANK(tbl_task3[[คะแนนเต็ม]:[คะแนนเต็ม]]),"",(tbl_task3[33]/tbl_task3[[คะแนนเต็ม]:[คะแนนเต็ม]])*tbl_task3[[%]:[%]])</f>
        <v/>
      </c>
      <c r="GV22" s="121" t="str">
        <f>IF(ISBLANK(tbl_task3[[คะแนนเต็ม]:[คะแนนเต็ม]]),"",(tbl_task3[34]/tbl_task3[[คะแนนเต็ม]:[คะแนนเต็ม]])*tbl_task3[[%]:[%]])</f>
        <v/>
      </c>
      <c r="GW22" s="121" t="str">
        <f>IF(ISBLANK(tbl_task3[[คะแนนเต็ม]:[คะแนนเต็ม]]),"",(tbl_task3[35]/tbl_task3[[คะแนนเต็ม]:[คะแนนเต็ม]])*tbl_task3[[%]:[%]])</f>
        <v/>
      </c>
      <c r="GX22" s="121" t="str">
        <f>IF(ISBLANK(tbl_task3[[คะแนนเต็ม]:[คะแนนเต็ม]]),"",(tbl_task3[36]/tbl_task3[[คะแนนเต็ม]:[คะแนนเต็ม]])*tbl_task3[[%]:[%]])</f>
        <v/>
      </c>
      <c r="GY22" s="121" t="str">
        <f>IF(ISBLANK(tbl_task3[[คะแนนเต็ม]:[คะแนนเต็ม]]),"",(tbl_task3[37]/tbl_task3[[คะแนนเต็ม]:[คะแนนเต็ม]])*tbl_task3[[%]:[%]])</f>
        <v/>
      </c>
      <c r="GZ22" s="121" t="str">
        <f>IF(ISBLANK(tbl_task3[[คะแนนเต็ม]:[คะแนนเต็ม]]),"",(tbl_task3[38]/tbl_task3[[คะแนนเต็ม]:[คะแนนเต็ม]])*tbl_task3[[%]:[%]])</f>
        <v/>
      </c>
      <c r="HA22" s="121" t="str">
        <f>IF(ISBLANK(tbl_task3[[คะแนนเต็ม]:[คะแนนเต็ม]]),"",(tbl_task3[39]/tbl_task3[[คะแนนเต็ม]:[คะแนนเต็ม]])*tbl_task3[[%]:[%]])</f>
        <v/>
      </c>
      <c r="HB22" s="121" t="str">
        <f>IF(ISBLANK(tbl_task3[[คะแนนเต็ม]:[คะแนนเต็ม]]),"",(tbl_task3[40]/tbl_task3[[คะแนนเต็ม]:[คะแนนเต็ม]])*tbl_task3[[%]:[%]])</f>
        <v/>
      </c>
      <c r="HC22" s="121" t="str">
        <f>IF(ISBLANK(tbl_task3[[คะแนนเต็ม]:[คะแนนเต็ม]]),"",(tbl_task3[41]/tbl_task3[[คะแนนเต็ม]:[คะแนนเต็ม]])*tbl_task3[[%]:[%]])</f>
        <v/>
      </c>
      <c r="HD22" s="121" t="str">
        <f>IF(ISBLANK(tbl_task3[[คะแนนเต็ม]:[คะแนนเต็ม]]),"",(tbl_task3[42]/tbl_task3[[คะแนนเต็ม]:[คะแนนเต็ม]])*tbl_task3[[%]:[%]])</f>
        <v/>
      </c>
      <c r="HE22" s="121" t="str">
        <f>IF(ISBLANK(tbl_task3[[คะแนนเต็ม]:[คะแนนเต็ม]]),"",(tbl_task3[43]/tbl_task3[[คะแนนเต็ม]:[คะแนนเต็ม]])*tbl_task3[[%]:[%]])</f>
        <v/>
      </c>
      <c r="HF22" s="121" t="str">
        <f>IF(ISBLANK(tbl_task3[[คะแนนเต็ม]:[คะแนนเต็ม]]),"",(tbl_task3[44]/tbl_task3[[คะแนนเต็ม]:[คะแนนเต็ม]])*tbl_task3[[%]:[%]])</f>
        <v/>
      </c>
      <c r="HG22" s="121" t="str">
        <f>IF(ISBLANK(tbl_task3[[คะแนนเต็ม]:[คะแนนเต็ม]]),"",(tbl_task3[45]/tbl_task3[[คะแนนเต็ม]:[คะแนนเต็ม]])*tbl_task3[[%]:[%]])</f>
        <v/>
      </c>
      <c r="HH22" s="121" t="str">
        <f>IF(ISBLANK(tbl_task3[[คะแนนเต็ม]:[คะแนนเต็ม]]),"",(tbl_task3[46]/tbl_task3[[คะแนนเต็ม]:[คะแนนเต็ม]])*tbl_task3[[%]:[%]])</f>
        <v/>
      </c>
      <c r="HI22" s="121" t="str">
        <f>IF(ISBLANK(tbl_task3[[คะแนนเต็ม]:[คะแนนเต็ม]]),"",(tbl_task3[47]/tbl_task3[[คะแนนเต็ม]:[คะแนนเต็ม]])*tbl_task3[[%]:[%]])</f>
        <v/>
      </c>
      <c r="HJ22" s="121" t="str">
        <f>IF(ISBLANK(tbl_task3[[คะแนนเต็ม]:[คะแนนเต็ม]]),"",(tbl_task3[48]/tbl_task3[[คะแนนเต็ม]:[คะแนนเต็ม]])*tbl_task3[[%]:[%]])</f>
        <v/>
      </c>
      <c r="HK22" s="121" t="str">
        <f>IF(ISBLANK(tbl_task3[[คะแนนเต็ม]:[คะแนนเต็ม]]),"",(tbl_task3[49]/tbl_task3[[คะแนนเต็ม]:[คะแนนเต็ม]])*tbl_task3[[%]:[%]])</f>
        <v/>
      </c>
      <c r="HL22" s="121" t="str">
        <f>IF(ISBLANK(tbl_task3[[คะแนนเต็ม]:[คะแนนเต็ม]]),"",(tbl_task3[50]/tbl_task3[[คะแนนเต็ม]:[คะแนนเต็ม]])*tbl_task3[[%]:[%]])</f>
        <v/>
      </c>
      <c r="HM22" s="121" t="str">
        <f>IF(ISBLANK(tbl_task3[[คะแนนเต็ม]:[คะแนนเต็ม]]),"",(tbl_task3[51]/tbl_task3[[คะแนนเต็ม]:[คะแนนเต็ม]])*tbl_task3[[%]:[%]])</f>
        <v/>
      </c>
      <c r="HN22" s="121" t="str">
        <f>IF(ISBLANK(tbl_task3[[คะแนนเต็ม]:[คะแนนเต็ม]]),"",(tbl_task3[52]/tbl_task3[[คะแนนเต็ม]:[คะแนนเต็ม]])*tbl_task3[[%]:[%]])</f>
        <v/>
      </c>
      <c r="HO22" s="121" t="str">
        <f>IF(ISBLANK(tbl_task3[[คะแนนเต็ม]:[คะแนนเต็ม]]),"",(tbl_task3[53]/tbl_task3[[คะแนนเต็ม]:[คะแนนเต็ม]])*tbl_task3[[%]:[%]])</f>
        <v/>
      </c>
      <c r="HP22" s="121" t="str">
        <f>IF(ISBLANK(tbl_task3[[คะแนนเต็ม]:[คะแนนเต็ม]]),"",(tbl_task3[54]/tbl_task3[[คะแนนเต็ม]:[คะแนนเต็ม]])*tbl_task3[[%]:[%]])</f>
        <v/>
      </c>
      <c r="HQ22" s="121" t="str">
        <f>IF(ISBLANK(tbl_task3[[คะแนนเต็ม]:[คะแนนเต็ม]]),"",(tbl_task3[55]/tbl_task3[[คะแนนเต็ม]:[คะแนนเต็ม]])*tbl_task3[[%]:[%]])</f>
        <v/>
      </c>
      <c r="HR22" s="121" t="str">
        <f>IF(ISBLANK(tbl_task3[[คะแนนเต็ม]:[คะแนนเต็ม]]),"",(tbl_task3[56]/tbl_task3[[คะแนนเต็ม]:[คะแนนเต็ม]])*tbl_task3[[%]:[%]])</f>
        <v/>
      </c>
      <c r="HS22" s="121" t="str">
        <f>IF(ISBLANK(tbl_task3[[คะแนนเต็ม]:[คะแนนเต็ม]]),"",(tbl_task3[57]/tbl_task3[[คะแนนเต็ม]:[คะแนนเต็ม]])*tbl_task3[[%]:[%]])</f>
        <v/>
      </c>
      <c r="HT22" s="121" t="str">
        <f>IF(ISBLANK(tbl_task3[[คะแนนเต็ม]:[คะแนนเต็ม]]),"",(tbl_task3[58]/tbl_task3[[คะแนนเต็ม]:[คะแนนเต็ม]])*tbl_task3[[%]:[%]])</f>
        <v/>
      </c>
      <c r="HU22" s="121" t="str">
        <f>IF(ISBLANK(tbl_task3[[คะแนนเต็ม]:[คะแนนเต็ม]]),"",(tbl_task3[59]/tbl_task3[[คะแนนเต็ม]:[คะแนนเต็ม]])*tbl_task3[[%]:[%]])</f>
        <v/>
      </c>
      <c r="HV22" s="121" t="str">
        <f>IF(ISBLANK(tbl_task3[[คะแนนเต็ม]:[คะแนนเต็ม]]),"",(tbl_task3[60]/tbl_task3[[คะแนนเต็ม]:[คะแนนเต็ม]])*tbl_task3[[%]:[%]])</f>
        <v/>
      </c>
      <c r="HW22" s="121" t="str">
        <f>IF(ISBLANK(tbl_task3[[คะแนนเต็ม]:[คะแนนเต็ม]]),"",(tbl_task3[61]/tbl_task3[[คะแนนเต็ม]:[คะแนนเต็ม]])*tbl_task3[[%]:[%]])</f>
        <v/>
      </c>
      <c r="HX22" s="121" t="str">
        <f>IF(ISBLANK(tbl_task3[[คะแนนเต็ม]:[คะแนนเต็ม]]),"",(tbl_task3[62]/tbl_task3[[คะแนนเต็ม]:[คะแนนเต็ม]])*tbl_task3[[%]:[%]])</f>
        <v/>
      </c>
      <c r="HY22" s="121" t="str">
        <f>IF(ISBLANK(tbl_task3[[คะแนนเต็ม]:[คะแนนเต็ม]]),"",(tbl_task3[63]/tbl_task3[[คะแนนเต็ม]:[คะแนนเต็ม]])*tbl_task3[[%]:[%]])</f>
        <v/>
      </c>
      <c r="HZ22" s="121" t="str">
        <f>IF(ISBLANK(tbl_task3[[คะแนนเต็ม]:[คะแนนเต็ม]]),"",(tbl_task3[64]/tbl_task3[[คะแนนเต็ม]:[คะแนนเต็ม]])*tbl_task3[[%]:[%]])</f>
        <v/>
      </c>
      <c r="IA22" s="121" t="str">
        <f>IF(ISBLANK(tbl_task3[[คะแนนเต็ม]:[คะแนนเต็ม]]),"",(tbl_task3[65]/tbl_task3[[คะแนนเต็ม]:[คะแนนเต็ม]])*tbl_task3[[%]:[%]])</f>
        <v/>
      </c>
      <c r="IB22" s="121" t="str">
        <f>IF(ISBLANK(tbl_task3[[คะแนนเต็ม]:[คะแนนเต็ม]]),"",(tbl_task3[66]/tbl_task3[[คะแนนเต็ม]:[คะแนนเต็ม]])*tbl_task3[[%]:[%]])</f>
        <v/>
      </c>
      <c r="IC22" s="121" t="str">
        <f>IF(ISBLANK(tbl_task3[[คะแนนเต็ม]:[คะแนนเต็ม]]),"",(tbl_task3[67]/tbl_task3[[คะแนนเต็ม]:[คะแนนเต็ม]])*tbl_task3[[%]:[%]])</f>
        <v/>
      </c>
      <c r="ID22" s="121" t="str">
        <f>IF(ISBLANK(tbl_task3[[คะแนนเต็ม]:[คะแนนเต็ม]]),"",(tbl_task3[68]/tbl_task3[[คะแนนเต็ม]:[คะแนนเต็ม]])*tbl_task3[[%]:[%]])</f>
        <v/>
      </c>
      <c r="IE22" s="121" t="str">
        <f>IF(ISBLANK(tbl_task3[[คะแนนเต็ม]:[คะแนนเต็ม]]),"",(tbl_task3[69]/tbl_task3[[คะแนนเต็ม]:[คะแนนเต็ม]])*tbl_task3[[%]:[%]])</f>
        <v/>
      </c>
      <c r="IF22" s="121" t="str">
        <f>IF(ISBLANK(tbl_task3[[คะแนนเต็ม]:[คะแนนเต็ม]]),"",(tbl_task3[70]/tbl_task3[[คะแนนเต็ม]:[คะแนนเต็ม]])*tbl_task3[[%]:[%]])</f>
        <v/>
      </c>
      <c r="IG22" s="121" t="str">
        <f>IF(ISBLANK(tbl_task3[[คะแนนเต็ม]:[คะแนนเต็ม]]),"",(tbl_task3[71]/tbl_task3[[คะแนนเต็ม]:[คะแนนเต็ม]])*tbl_task3[[%]:[%]])</f>
        <v/>
      </c>
      <c r="IH22" s="121" t="str">
        <f>IF(ISBLANK(tbl_task3[[คะแนนเต็ม]:[คะแนนเต็ม]]),"",(tbl_task3[72]/tbl_task3[[คะแนนเต็ม]:[คะแนนเต็ม]])*tbl_task3[[%]:[%]])</f>
        <v/>
      </c>
      <c r="II22" s="121" t="str">
        <f>IF(ISBLANK(tbl_task3[[คะแนนเต็ม]:[คะแนนเต็ม]]),"",(tbl_task3[73]/tbl_task3[[คะแนนเต็ม]:[คะแนนเต็ม]])*tbl_task3[[%]:[%]])</f>
        <v/>
      </c>
      <c r="IJ22" s="121" t="str">
        <f>IF(ISBLANK(tbl_task3[[คะแนนเต็ม]:[คะแนนเต็ม]]),"",(tbl_task3[74]/tbl_task3[[คะแนนเต็ม]:[คะแนนเต็ม]])*tbl_task3[[%]:[%]])</f>
        <v/>
      </c>
      <c r="IK22" s="121" t="str">
        <f>IF(ISBLANK(tbl_task3[[คะแนนเต็ม]:[คะแนนเต็ม]]),"",(tbl_task3[75]/tbl_task3[[คะแนนเต็ม]:[คะแนนเต็ม]])*tbl_task3[[%]:[%]])</f>
        <v/>
      </c>
      <c r="IL22" s="121" t="str">
        <f>IF(ISBLANK(tbl_task3[[คะแนนเต็ม]:[คะแนนเต็ม]]),"",(tbl_task3[76]/tbl_task3[[คะแนนเต็ม]:[คะแนนเต็ม]])*tbl_task3[[%]:[%]])</f>
        <v/>
      </c>
      <c r="IM22" s="121" t="str">
        <f>IF(ISBLANK(tbl_task3[[คะแนนเต็ม]:[คะแนนเต็ม]]),"",(tbl_task3[77]/tbl_task3[[คะแนนเต็ม]:[คะแนนเต็ม]])*tbl_task3[[%]:[%]])</f>
        <v/>
      </c>
      <c r="IN22" s="121" t="str">
        <f>IF(ISBLANK(tbl_task3[[คะแนนเต็ม]:[คะแนนเต็ม]]),"",(tbl_task3[78]/tbl_task3[[คะแนนเต็ม]:[คะแนนเต็ม]])*tbl_task3[[%]:[%]])</f>
        <v/>
      </c>
      <c r="IO22" s="121" t="str">
        <f>IF(ISBLANK(tbl_task3[[คะแนนเต็ม]:[คะแนนเต็ม]]),"",(tbl_task3[79]/tbl_task3[[คะแนนเต็ม]:[คะแนนเต็ม]])*tbl_task3[[%]:[%]])</f>
        <v/>
      </c>
      <c r="IP22" s="121" t="str">
        <f>IF(ISBLANK(tbl_task3[[คะแนนเต็ม]:[คะแนนเต็ม]]),"",(tbl_task3[80]/tbl_task3[[คะแนนเต็ม]:[คะแนนเต็ม]])*tbl_task3[[%]:[%]])</f>
        <v/>
      </c>
      <c r="IQ22" s="121" t="str">
        <f>IF(ISBLANK(tbl_task3[[คะแนนเต็ม]:[คะแนนเต็ม]]),"",(tbl_task3[81]/tbl_task3[[คะแนนเต็ม]:[คะแนนเต็ม]])*tbl_task3[[%]:[%]])</f>
        <v/>
      </c>
      <c r="IR22" s="121" t="str">
        <f>IF(ISBLANK(tbl_task3[[คะแนนเต็ม]:[คะแนนเต็ม]]),"",(tbl_task3[82]/tbl_task3[[คะแนนเต็ม]:[คะแนนเต็ม]])*tbl_task3[[%]:[%]])</f>
        <v/>
      </c>
      <c r="IS22" s="121" t="str">
        <f>IF(ISBLANK(tbl_task3[[คะแนนเต็ม]:[คะแนนเต็ม]]),"",(tbl_task3[83]/tbl_task3[[คะแนนเต็ม]:[คะแนนเต็ม]])*tbl_task3[[%]:[%]])</f>
        <v/>
      </c>
      <c r="IT22" s="121" t="str">
        <f>IF(ISBLANK(tbl_task3[[คะแนนเต็ม]:[คะแนนเต็ม]]),"",(tbl_task3[84]/tbl_task3[[คะแนนเต็ม]:[คะแนนเต็ม]])*tbl_task3[[%]:[%]])</f>
        <v/>
      </c>
      <c r="IU22" s="121" t="str">
        <f>IF(ISBLANK(tbl_task3[[คะแนนเต็ม]:[คะแนนเต็ม]]),"",(tbl_task3[85]/tbl_task3[[คะแนนเต็ม]:[คะแนนเต็ม]])*tbl_task3[[%]:[%]])</f>
        <v/>
      </c>
      <c r="IV22" s="121" t="str">
        <f>IF(ISBLANK(tbl_task3[[คะแนนเต็ม]:[คะแนนเต็ม]]),"",(tbl_task3[86]/tbl_task3[[คะแนนเต็ม]:[คะแนนเต็ม]])*tbl_task3[[%]:[%]])</f>
        <v/>
      </c>
      <c r="IW22" s="121" t="str">
        <f>IF(ISBLANK(tbl_task3[[คะแนนเต็ม]:[คะแนนเต็ม]]),"",(tbl_task3[87]/tbl_task3[[คะแนนเต็ม]:[คะแนนเต็ม]])*tbl_task3[[%]:[%]])</f>
        <v/>
      </c>
      <c r="IX22" s="121" t="str">
        <f>IF(ISBLANK(tbl_task3[[คะแนนเต็ม]:[คะแนนเต็ม]]),"",(tbl_task3[88]/tbl_task3[[คะแนนเต็ม]:[คะแนนเต็ม]])*tbl_task3[[%]:[%]])</f>
        <v/>
      </c>
      <c r="IY22" s="121" t="str">
        <f>IF(ISBLANK(tbl_task3[[คะแนนเต็ม]:[คะแนนเต็ม]]),"",(tbl_task3[89]/tbl_task3[[คะแนนเต็ม]:[คะแนนเต็ม]])*tbl_task3[[%]:[%]])</f>
        <v/>
      </c>
      <c r="IZ22" s="121" t="str">
        <f>IF(ISBLANK(tbl_task3[[คะแนนเต็ม]:[คะแนนเต็ม]]),"",(tbl_task3[90]/tbl_task3[[คะแนนเต็ม]:[คะแนนเต็ม]])*tbl_task3[[%]:[%]])</f>
        <v/>
      </c>
      <c r="JA22" s="121" t="str">
        <f>IF(ISBLANK(tbl_task3[[คะแนนเต็ม]:[คะแนนเต็ม]]),"",(tbl_task3[91]/tbl_task3[[คะแนนเต็ม]:[คะแนนเต็ม]])*tbl_task3[[%]:[%]])</f>
        <v/>
      </c>
      <c r="JB22" s="121" t="str">
        <f>IF(ISBLANK(tbl_task3[[คะแนนเต็ม]:[คะแนนเต็ม]]),"",(tbl_task3[92]/tbl_task3[[คะแนนเต็ม]:[คะแนนเต็ม]])*tbl_task3[[%]:[%]])</f>
        <v/>
      </c>
      <c r="JC22" s="121" t="str">
        <f>IF(ISBLANK(tbl_task3[[คะแนนเต็ม]:[คะแนนเต็ม]]),"",(tbl_task3[93]/tbl_task3[[คะแนนเต็ม]:[คะแนนเต็ม]])*tbl_task3[[%]:[%]])</f>
        <v/>
      </c>
      <c r="JD22" s="121" t="str">
        <f>IF(ISBLANK(tbl_task3[[คะแนนเต็ม]:[คะแนนเต็ม]]),"",(tbl_task3[94]/tbl_task3[[คะแนนเต็ม]:[คะแนนเต็ม]])*tbl_task3[[%]:[%]])</f>
        <v/>
      </c>
      <c r="JE22" s="121" t="str">
        <f>IF(ISBLANK(tbl_task3[[คะแนนเต็ม]:[คะแนนเต็ม]]),"",(tbl_task3[95]/tbl_task3[[คะแนนเต็ม]:[คะแนนเต็ม]])*tbl_task3[[%]:[%]])</f>
        <v/>
      </c>
      <c r="JF22" s="121" t="str">
        <f>IF(ISBLANK(tbl_task3[[คะแนนเต็ม]:[คะแนนเต็ม]]),"",(tbl_task3[96]/tbl_task3[[คะแนนเต็ม]:[คะแนนเต็ม]])*tbl_task3[[%]:[%]])</f>
        <v/>
      </c>
      <c r="JG22" s="121" t="str">
        <f>IF(ISBLANK(tbl_task3[[คะแนนเต็ม]:[คะแนนเต็ม]]),"",(tbl_task3[97]/tbl_task3[[คะแนนเต็ม]:[คะแนนเต็ม]])*tbl_task3[[%]:[%]])</f>
        <v/>
      </c>
      <c r="JH22" s="121" t="str">
        <f>IF(ISBLANK(tbl_task3[[คะแนนเต็ม]:[คะแนนเต็ม]]),"",(tbl_task3[98]/tbl_task3[[คะแนนเต็ม]:[คะแนนเต็ม]])*tbl_task3[[%]:[%]])</f>
        <v/>
      </c>
      <c r="JI22" s="121" t="str">
        <f>IF(ISBLANK(tbl_task3[[คะแนนเต็ม]:[คะแนนเต็ม]]),"",(tbl_task3[99]/tbl_task3[[คะแนนเต็ม]:[คะแนนเต็ม]])*tbl_task3[[%]:[%]])</f>
        <v/>
      </c>
      <c r="JJ22" s="121" t="str">
        <f>IF(ISBLANK(tbl_task3[[คะแนนเต็ม]:[คะแนนเต็ม]]),"",(tbl_task3[100]/tbl_task3[[คะแนนเต็ม]:[คะแนนเต็ม]])*tbl_task3[[%]:[%]])</f>
        <v/>
      </c>
      <c r="JK22" s="121" t="str">
        <f>IF(ISBLANK(tbl_task3[[คะแนนเต็ม]:[คะแนนเต็ม]]),"",(tbl_task3[101]/tbl_task3[[คะแนนเต็ม]:[คะแนนเต็ม]])*tbl_task3[[%]:[%]])</f>
        <v/>
      </c>
      <c r="JL22" s="121" t="str">
        <f>IF(ISBLANK(tbl_task3[[คะแนนเต็ม]:[คะแนนเต็ม]]),"",(tbl_task3[102]/tbl_task3[[คะแนนเต็ม]:[คะแนนเต็ม]])*tbl_task3[[%]:[%]])</f>
        <v/>
      </c>
      <c r="JM22" s="121" t="str">
        <f>IF(ISBLANK(tbl_task3[[คะแนนเต็ม]:[คะแนนเต็ม]]),"",(tbl_task3[103]/tbl_task3[[คะแนนเต็ม]:[คะแนนเต็ม]])*tbl_task3[[%]:[%]])</f>
        <v/>
      </c>
      <c r="JN22" s="121" t="str">
        <f>IF(ISBLANK(tbl_task3[[คะแนนเต็ม]:[คะแนนเต็ม]]),"",(tbl_task3[104]/tbl_task3[[คะแนนเต็ม]:[คะแนนเต็ม]])*tbl_task3[[%]:[%]])</f>
        <v/>
      </c>
      <c r="JO22" s="121" t="str">
        <f>IF(ISBLANK(tbl_task3[[คะแนนเต็ม]:[คะแนนเต็ม]]),"",(tbl_task3[105]/tbl_task3[[คะแนนเต็ม]:[คะแนนเต็ม]])*tbl_task3[[%]:[%]])</f>
        <v/>
      </c>
      <c r="JP22" s="121" t="str">
        <f>IF(ISBLANK(tbl_task3[[คะแนนเต็ม]:[คะแนนเต็ม]]),"",(tbl_task3[106]/tbl_task3[[คะแนนเต็ม]:[คะแนนเต็ม]])*tbl_task3[[%]:[%]])</f>
        <v/>
      </c>
      <c r="JQ22" s="121" t="str">
        <f>IF(ISBLANK(tbl_task3[[คะแนนเต็ม]:[คะแนนเต็ม]]),"",(tbl_task3[107]/tbl_task3[[คะแนนเต็ม]:[คะแนนเต็ม]])*tbl_task3[[%]:[%]])</f>
        <v/>
      </c>
      <c r="JR22" s="121" t="str">
        <f>IF(ISBLANK(tbl_task3[[คะแนนเต็ม]:[คะแนนเต็ม]]),"",(tbl_task3[108]/tbl_task3[[คะแนนเต็ม]:[คะแนนเต็ม]])*tbl_task3[[%]:[%]])</f>
        <v/>
      </c>
      <c r="JS22" s="121" t="str">
        <f>IF(ISBLANK(tbl_task3[[คะแนนเต็ม]:[คะแนนเต็ม]]),"",(tbl_task3[109]/tbl_task3[[คะแนนเต็ม]:[คะแนนเต็ม]])*tbl_task3[[%]:[%]])</f>
        <v/>
      </c>
      <c r="JT22" s="121" t="str">
        <f>IF(ISBLANK(tbl_task3[[คะแนนเต็ม]:[คะแนนเต็ม]]),"",(tbl_task3[110]/tbl_task3[[คะแนนเต็ม]:[คะแนนเต็ม]])*tbl_task3[[%]:[%]])</f>
        <v/>
      </c>
      <c r="JU22" s="121" t="str">
        <f>IF(ISBLANK(tbl_task3[[คะแนนเต็ม]:[คะแนนเต็ม]]),"",(tbl_task3[111]/tbl_task3[[คะแนนเต็ม]:[คะแนนเต็ม]])*tbl_task3[[%]:[%]])</f>
        <v/>
      </c>
      <c r="JV22" s="121" t="str">
        <f>IF(ISBLANK(tbl_task3[[คะแนนเต็ม]:[คะแนนเต็ม]]),"",(tbl_task3[112]/tbl_task3[[คะแนนเต็ม]:[คะแนนเต็ม]])*tbl_task3[[%]:[%]])</f>
        <v/>
      </c>
      <c r="JW22" s="121" t="str">
        <f>IF(ISBLANK(tbl_task3[[คะแนนเต็ม]:[คะแนนเต็ม]]),"",(tbl_task3[113]/tbl_task3[[คะแนนเต็ม]:[คะแนนเต็ม]])*tbl_task3[[%]:[%]])</f>
        <v/>
      </c>
      <c r="JX22" s="121" t="str">
        <f>IF(ISBLANK(tbl_task3[[คะแนนเต็ม]:[คะแนนเต็ม]]),"",(tbl_task3[114]/tbl_task3[[คะแนนเต็ม]:[คะแนนเต็ม]])*tbl_task3[[%]:[%]])</f>
        <v/>
      </c>
      <c r="JY22" s="121" t="str">
        <f>IF(ISBLANK(tbl_task3[[คะแนนเต็ม]:[คะแนนเต็ม]]),"",(tbl_task3[115]/tbl_task3[[คะแนนเต็ม]:[คะแนนเต็ม]])*tbl_task3[[%]:[%]])</f>
        <v/>
      </c>
      <c r="JZ22" s="121" t="str">
        <f>IF(ISBLANK(tbl_task3[[คะแนนเต็ม]:[คะแนนเต็ม]]),"",(tbl_task3[116]/tbl_task3[[คะแนนเต็ม]:[คะแนนเต็ม]])*tbl_task3[[%]:[%]])</f>
        <v/>
      </c>
      <c r="KA22" s="121" t="str">
        <f>IF(ISBLANK(tbl_task3[[คะแนนเต็ม]:[คะแนนเต็ม]]),"",(tbl_task3[117]/tbl_task3[[คะแนนเต็ม]:[คะแนนเต็ม]])*tbl_task3[[%]:[%]])</f>
        <v/>
      </c>
      <c r="KB22" s="121" t="str">
        <f>IF(ISBLANK(tbl_task3[[คะแนนเต็ม]:[คะแนนเต็ม]]),"",(tbl_task3[118]/tbl_task3[[คะแนนเต็ม]:[คะแนนเต็ม]])*tbl_task3[[%]:[%]])</f>
        <v/>
      </c>
      <c r="KC22" s="121" t="str">
        <f>IF(ISBLANK(tbl_task3[[คะแนนเต็ม]:[คะแนนเต็ม]]),"",(tbl_task3[119]/tbl_task3[[คะแนนเต็ม]:[คะแนนเต็ม]])*tbl_task3[[%]:[%]])</f>
        <v/>
      </c>
      <c r="KD22" s="121" t="str">
        <f>IF(ISBLANK(tbl_task3[[คะแนนเต็ม]:[คะแนนเต็ม]]),"",(tbl_task3[120]/tbl_task3[[คะแนนเต็ม]:[คะแนนเต็ม]])*tbl_task3[[%]:[%]])</f>
        <v/>
      </c>
      <c r="KE22" s="121" t="str">
        <f>IF(ISBLANK(tbl_task3[[คะแนนเต็ม]:[คะแนนเต็ม]]),"",(tbl_task3[121]/tbl_task3[[คะแนนเต็ม]:[คะแนนเต็ม]])*tbl_task3[[%]:[%]])</f>
        <v/>
      </c>
      <c r="KF22" s="121" t="str">
        <f>IF(ISBLANK(tbl_task3[[คะแนนเต็ม]:[คะแนนเต็ม]]),"",(tbl_task3[122]/tbl_task3[[คะแนนเต็ม]:[คะแนนเต็ม]])*tbl_task3[[%]:[%]])</f>
        <v/>
      </c>
      <c r="KG22" s="121" t="str">
        <f>IF(ISBLANK(tbl_task3[[คะแนนเต็ม]:[คะแนนเต็ม]]),"",(tbl_task3[123]/tbl_task3[[คะแนนเต็ม]:[คะแนนเต็ม]])*tbl_task3[[%]:[%]])</f>
        <v/>
      </c>
      <c r="KH22" s="121" t="str">
        <f>IF(ISBLANK(tbl_task3[[คะแนนเต็ม]:[คะแนนเต็ม]]),"",(tbl_task3[124]/tbl_task3[[คะแนนเต็ม]:[คะแนนเต็ม]])*tbl_task3[[%]:[%]])</f>
        <v/>
      </c>
      <c r="KI22" s="121" t="str">
        <f>IF(ISBLANK(tbl_task3[[คะแนนเต็ม]:[คะแนนเต็ม]]),"",(tbl_task3[125]/tbl_task3[[คะแนนเต็ม]:[คะแนนเต็ม]])*tbl_task3[[%]:[%]])</f>
        <v/>
      </c>
      <c r="KJ22" s="121" t="str">
        <f>IF(ISBLANK(tbl_task3[[คะแนนเต็ม]:[คะแนนเต็ม]]),"",(tbl_task3[126]/tbl_task3[[คะแนนเต็ม]:[คะแนนเต็ม]])*tbl_task3[[%]:[%]])</f>
        <v/>
      </c>
      <c r="KK22" s="121" t="str">
        <f>IF(ISBLANK(tbl_task3[[คะแนนเต็ม]:[คะแนนเต็ม]]),"",(tbl_task3[127]/tbl_task3[[คะแนนเต็ม]:[คะแนนเต็ม]])*tbl_task3[[%]:[%]])</f>
        <v/>
      </c>
      <c r="KL22" s="121" t="str">
        <f>IF(ISBLANK(tbl_task3[[คะแนนเต็ม]:[คะแนนเต็ม]]),"",(tbl_task3[128]/tbl_task3[[คะแนนเต็ม]:[คะแนนเต็ม]])*tbl_task3[[%]:[%]])</f>
        <v/>
      </c>
      <c r="KM22" s="121" t="str">
        <f>IF(ISBLANK(tbl_task3[[คะแนนเต็ม]:[คะแนนเต็ม]]),"",(tbl_task3[129]/tbl_task3[[คะแนนเต็ม]:[คะแนนเต็ม]])*tbl_task3[[%]:[%]])</f>
        <v/>
      </c>
      <c r="KN22" s="121" t="str">
        <f>IF(ISBLANK(tbl_task3[[คะแนนเต็ม]:[คะแนนเต็ม]]),"",(tbl_task3[130]/tbl_task3[[คะแนนเต็ม]:[คะแนนเต็ม]])*tbl_task3[[%]:[%]])</f>
        <v/>
      </c>
      <c r="KO22" s="121" t="str">
        <f>IF(ISBLANK(tbl_task3[[คะแนนเต็ม]:[คะแนนเต็ม]]),"",(tbl_task3[131]/tbl_task3[[คะแนนเต็ม]:[คะแนนเต็ม]])*tbl_task3[[%]:[%]])</f>
        <v/>
      </c>
      <c r="KP22" s="121" t="str">
        <f>IF(ISBLANK(tbl_task3[[คะแนนเต็ม]:[คะแนนเต็ม]]),"",(tbl_task3[132]/tbl_task3[[คะแนนเต็ม]:[คะแนนเต็ม]])*tbl_task3[[%]:[%]])</f>
        <v/>
      </c>
      <c r="KQ22" s="121" t="str">
        <f>IF(ISBLANK(tbl_task3[[คะแนนเต็ม]:[คะแนนเต็ม]]),"",(tbl_task3[133]/tbl_task3[[คะแนนเต็ม]:[คะแนนเต็ม]])*tbl_task3[[%]:[%]])</f>
        <v/>
      </c>
      <c r="KR22" s="121" t="str">
        <f>IF(ISBLANK(tbl_task3[[คะแนนเต็ม]:[คะแนนเต็ม]]),"",(tbl_task3[134]/tbl_task3[[คะแนนเต็ม]:[คะแนนเต็ม]])*tbl_task3[[%]:[%]])</f>
        <v/>
      </c>
      <c r="KS22" s="121" t="str">
        <f>IF(ISBLANK(tbl_task3[[คะแนนเต็ม]:[คะแนนเต็ม]]),"",(tbl_task3[135]/tbl_task3[[คะแนนเต็ม]:[คะแนนเต็ม]])*tbl_task3[[%]:[%]])</f>
        <v/>
      </c>
      <c r="KT22" s="121" t="str">
        <f>IF(ISBLANK(tbl_task3[[คะแนนเต็ม]:[คะแนนเต็ม]]),"",(tbl_task3[136]/tbl_task3[[คะแนนเต็ม]:[คะแนนเต็ม]])*tbl_task3[[%]:[%]])</f>
        <v/>
      </c>
      <c r="KU22" s="121" t="str">
        <f>IF(ISBLANK(tbl_task3[[คะแนนเต็ม]:[คะแนนเต็ม]]),"",(tbl_task3[137]/tbl_task3[[คะแนนเต็ม]:[คะแนนเต็ม]])*tbl_task3[[%]:[%]])</f>
        <v/>
      </c>
      <c r="KV22" s="121" t="str">
        <f>IF(ISBLANK(tbl_task3[[คะแนนเต็ม]:[คะแนนเต็ม]]),"",(tbl_task3[138]/tbl_task3[[คะแนนเต็ม]:[คะแนนเต็ม]])*tbl_task3[[%]:[%]])</f>
        <v/>
      </c>
      <c r="KW22" s="121" t="str">
        <f>IF(ISBLANK(tbl_task3[[คะแนนเต็ม]:[คะแนนเต็ม]]),"",(tbl_task3[139]/tbl_task3[[คะแนนเต็ม]:[คะแนนเต็ม]])*tbl_task3[[%]:[%]])</f>
        <v/>
      </c>
      <c r="KX22" s="121" t="str">
        <f>IF(ISBLANK(tbl_task3[[คะแนนเต็ม]:[คะแนนเต็ม]]),"",(tbl_task3[140]/tbl_task3[[คะแนนเต็ม]:[คะแนนเต็ม]])*tbl_task3[[%]:[%]])</f>
        <v/>
      </c>
      <c r="KY22" s="121" t="str">
        <f>IF(ISBLANK(tbl_task3[[คะแนนเต็ม]:[คะแนนเต็ม]]),"",(tbl_task3[141]/tbl_task3[[คะแนนเต็ม]:[คะแนนเต็ม]])*tbl_task3[[%]:[%]])</f>
        <v/>
      </c>
      <c r="KZ22" s="121" t="str">
        <f>IF(ISBLANK(tbl_task3[[คะแนนเต็ม]:[คะแนนเต็ม]]),"",(tbl_task3[142]/tbl_task3[[คะแนนเต็ม]:[คะแนนเต็ม]])*tbl_task3[[%]:[%]])</f>
        <v/>
      </c>
      <c r="LA22" s="121" t="str">
        <f>IF(ISBLANK(tbl_task3[[คะแนนเต็ม]:[คะแนนเต็ม]]),"",(tbl_task3[143]/tbl_task3[[คะแนนเต็ม]:[คะแนนเต็ม]])*tbl_task3[[%]:[%]])</f>
        <v/>
      </c>
      <c r="LB22" s="121" t="str">
        <f>IF(ISBLANK(tbl_task3[[คะแนนเต็ม]:[คะแนนเต็ม]]),"",(tbl_task3[144]/tbl_task3[[คะแนนเต็ม]:[คะแนนเต็ม]])*tbl_task3[[%]:[%]])</f>
        <v/>
      </c>
      <c r="LC22" s="121" t="str">
        <f>IF(ISBLANK(tbl_task3[[คะแนนเต็ม]:[คะแนนเต็ม]]),"",(tbl_task3[145]/tbl_task3[[คะแนนเต็ม]:[คะแนนเต็ม]])*tbl_task3[[%]:[%]])</f>
        <v/>
      </c>
      <c r="LD22" s="121" t="str">
        <f>IF(ISBLANK(tbl_task3[[คะแนนเต็ม]:[คะแนนเต็ม]]),"",(tbl_task3[146]/tbl_task3[[คะแนนเต็ม]:[คะแนนเต็ม]])*tbl_task3[[%]:[%]])</f>
        <v/>
      </c>
      <c r="LE22" s="121" t="str">
        <f>IF(ISBLANK(tbl_task3[[คะแนนเต็ม]:[คะแนนเต็ม]]),"",(tbl_task3[147]/tbl_task3[[คะแนนเต็ม]:[คะแนนเต็ม]])*tbl_task3[[%]:[%]])</f>
        <v/>
      </c>
      <c r="LF22" s="121" t="str">
        <f>IF(ISBLANK(tbl_task3[[คะแนนเต็ม]:[คะแนนเต็ม]]),"",(tbl_task3[148]/tbl_task3[[คะแนนเต็ม]:[คะแนนเต็ม]])*tbl_task3[[%]:[%]])</f>
        <v/>
      </c>
      <c r="LG22" s="121" t="str">
        <f>IF(ISBLANK(tbl_task3[[คะแนนเต็ม]:[คะแนนเต็ม]]),"",(tbl_task3[149]/tbl_task3[[คะแนนเต็ม]:[คะแนนเต็ม]])*tbl_task3[[%]:[%]])</f>
        <v/>
      </c>
      <c r="LH22" s="121" t="str">
        <f>IF(ISBLANK(tbl_task3[[คะแนนเต็ม]:[คะแนนเต็ม]]),"",(tbl_task3[150]/tbl_task3[[คะแนนเต็ม]:[คะแนนเต็ม]])*tbl_task3[[%]:[%]])</f>
        <v/>
      </c>
      <c r="LI22" s="121" t="str">
        <f>IF(ISBLANK(tbl_task3[[คะแนนเต็ม]:[คะแนนเต็ม]]),"",(tbl_task3[151]/tbl_task3[[คะแนนเต็ม]:[คะแนนเต็ม]])*tbl_task3[[%]:[%]])</f>
        <v/>
      </c>
      <c r="LJ22" s="121" t="str">
        <f>IF(ISBLANK(tbl_task3[[คะแนนเต็ม]:[คะแนนเต็ม]]),"",(tbl_task3[152]/tbl_task3[[คะแนนเต็ม]:[คะแนนเต็ม]])*tbl_task3[[%]:[%]])</f>
        <v/>
      </c>
      <c r="LK22" s="121" t="str">
        <f>IF(ISBLANK(tbl_task3[[คะแนนเต็ม]:[คะแนนเต็ม]]),"",(tbl_task3[153]/tbl_task3[[คะแนนเต็ม]:[คะแนนเต็ม]])*tbl_task3[[%]:[%]])</f>
        <v/>
      </c>
      <c r="LL22" s="121" t="str">
        <f>IF(ISBLANK(tbl_task3[[คะแนนเต็ม]:[คะแนนเต็ม]]),"",(tbl_task3[154]/tbl_task3[[คะแนนเต็ม]:[คะแนนเต็ม]])*tbl_task3[[%]:[%]])</f>
        <v/>
      </c>
      <c r="LM22" s="121" t="str">
        <f>IF(ISBLANK(tbl_task3[[คะแนนเต็ม]:[คะแนนเต็ม]]),"",(tbl_task3[155]/tbl_task3[[คะแนนเต็ม]:[คะแนนเต็ม]])*tbl_task3[[%]:[%]])</f>
        <v/>
      </c>
      <c r="LN22" s="121" t="str">
        <f>IF(ISBLANK(tbl_task3[[คะแนนเต็ม]:[คะแนนเต็ม]]),"",(tbl_task3[156]/tbl_task3[[คะแนนเต็ม]:[คะแนนเต็ม]])*tbl_task3[[%]:[%]])</f>
        <v/>
      </c>
      <c r="LO22" s="121" t="str">
        <f>IF(ISBLANK(tbl_task3[[คะแนนเต็ม]:[คะแนนเต็ม]]),"",(tbl_task3[157]/tbl_task3[[คะแนนเต็ม]:[คะแนนเต็ม]])*tbl_task3[[%]:[%]])</f>
        <v/>
      </c>
      <c r="LP22" s="121" t="str">
        <f>IF(ISBLANK(tbl_task3[[คะแนนเต็ม]:[คะแนนเต็ม]]),"",(tbl_task3[158]/tbl_task3[[คะแนนเต็ม]:[คะแนนเต็ม]])*tbl_task3[[%]:[%]])</f>
        <v/>
      </c>
      <c r="LQ22" s="121" t="str">
        <f>IF(ISBLANK(tbl_task3[[คะแนนเต็ม]:[คะแนนเต็ม]]),"",(tbl_task3[159]/tbl_task3[[คะแนนเต็ม]:[คะแนนเต็ม]])*tbl_task3[[%]:[%]])</f>
        <v/>
      </c>
      <c r="LR22" s="121" t="str">
        <f>IF(ISBLANK(tbl_task3[[คะแนนเต็ม]:[คะแนนเต็ม]]),"",(tbl_task3[160]/tbl_task3[[คะแนนเต็ม]:[คะแนนเต็ม]])*tbl_task3[[%]:[%]])</f>
        <v/>
      </c>
      <c r="LS22" s="121" t="str">
        <f>IF(ISBLANK(tbl_task3[[คะแนนเต็ม]:[คะแนนเต็ม]]),"",(tbl_task3[161]/tbl_task3[[คะแนนเต็ม]:[คะแนนเต็ม]])*tbl_task3[[%]:[%]])</f>
        <v/>
      </c>
      <c r="LT22" s="121" t="str">
        <f>IF(ISBLANK(tbl_task3[[คะแนนเต็ม]:[คะแนนเต็ม]]),"",(tbl_task3[162]/tbl_task3[[คะแนนเต็ม]:[คะแนนเต็ม]])*tbl_task3[[%]:[%]])</f>
        <v/>
      </c>
      <c r="LU22" s="121" t="str">
        <f>IF(ISBLANK(tbl_task3[[คะแนนเต็ม]:[คะแนนเต็ม]]),"",(tbl_task3[163]/tbl_task3[[คะแนนเต็ม]:[คะแนนเต็ม]])*tbl_task3[[%]:[%]])</f>
        <v/>
      </c>
      <c r="LV22" s="121" t="str">
        <f>IF(ISBLANK(tbl_task3[[คะแนนเต็ม]:[คะแนนเต็ม]]),"",(tbl_task3[164]/tbl_task3[[คะแนนเต็ม]:[คะแนนเต็ม]])*tbl_task3[[%]:[%]])</f>
        <v/>
      </c>
      <c r="LW22" s="121" t="str">
        <f>IF(ISBLANK(tbl_task3[[คะแนนเต็ม]:[คะแนนเต็ม]]),"",(tbl_task3[165]/tbl_task3[[คะแนนเต็ม]:[คะแนนเต็ม]])*tbl_task3[[%]:[%]])</f>
        <v/>
      </c>
    </row>
    <row r="23" spans="1:335" ht="24" customHeight="1" x14ac:dyDescent="0.25">
      <c r="A23" s="24">
        <v>20</v>
      </c>
      <c r="B23" s="25"/>
      <c r="C23" s="26" t="str">
        <f>IF(ISBLANK(B23),"",VLOOKUP(B23,tbl_PLOs[],2,0))</f>
        <v/>
      </c>
      <c r="D23" s="103"/>
      <c r="E23" s="10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21" t="str">
        <f>IF(ISBLANK(tbl_task3[[คะแนนเต็ม]:[คะแนนเต็ม]]),"",(tbl_task3[1]/tbl_task3[[คะแนนเต็ม]:[คะแนนเต็ม]])*tbl_task3[[%]:[%]])</f>
        <v/>
      </c>
      <c r="FP23" s="121" t="str">
        <f>IF(ISBLANK(tbl_task3[[คะแนนเต็ม]:[คะแนนเต็ม]]),"",(tbl_task3[2]/tbl_task3[[คะแนนเต็ม]:[คะแนนเต็ม]])*tbl_task3[[%]:[%]])</f>
        <v/>
      </c>
      <c r="FQ23" s="121" t="str">
        <f>IF(ISBLANK(tbl_task3[[คะแนนเต็ม]:[คะแนนเต็ม]]),"",(tbl_task3[3]/tbl_task3[[คะแนนเต็ม]:[คะแนนเต็ม]])*tbl_task3[[%]:[%]])</f>
        <v/>
      </c>
      <c r="FR23" s="121" t="str">
        <f>IF(ISBLANK(tbl_task3[[คะแนนเต็ม]:[คะแนนเต็ม]]),"",(tbl_task3[4]/tbl_task3[[คะแนนเต็ม]:[คะแนนเต็ม]])*tbl_task3[[%]:[%]])</f>
        <v/>
      </c>
      <c r="FS23" s="121" t="str">
        <f>IF(ISBLANK(tbl_task3[[คะแนนเต็ม]:[คะแนนเต็ม]]),"",(tbl_task3[5]/tbl_task3[[คะแนนเต็ม]:[คะแนนเต็ม]])*tbl_task3[[%]:[%]])</f>
        <v/>
      </c>
      <c r="FT23" s="121" t="str">
        <f>IF(ISBLANK(tbl_task3[[คะแนนเต็ม]:[คะแนนเต็ม]]),"",(tbl_task3[6]/tbl_task3[[คะแนนเต็ม]:[คะแนนเต็ม]])*tbl_task3[[%]:[%]])</f>
        <v/>
      </c>
      <c r="FU23" s="121" t="str">
        <f>IF(ISBLANK(tbl_task3[[คะแนนเต็ม]:[คะแนนเต็ม]]),"",(tbl_task3[7]/tbl_task3[[คะแนนเต็ม]:[คะแนนเต็ม]])*tbl_task3[[%]:[%]])</f>
        <v/>
      </c>
      <c r="FV23" s="121" t="str">
        <f>IF(ISBLANK(tbl_task3[[คะแนนเต็ม]:[คะแนนเต็ม]]),"",(tbl_task3[8]/tbl_task3[[คะแนนเต็ม]:[คะแนนเต็ม]])*tbl_task3[[%]:[%]])</f>
        <v/>
      </c>
      <c r="FW23" s="121" t="str">
        <f>IF(ISBLANK(tbl_task3[[คะแนนเต็ม]:[คะแนนเต็ม]]),"",(tbl_task3[9]/tbl_task3[[คะแนนเต็ม]:[คะแนนเต็ม]])*tbl_task3[[%]:[%]])</f>
        <v/>
      </c>
      <c r="FX23" s="121" t="str">
        <f>IF(ISBLANK(tbl_task3[[คะแนนเต็ม]:[คะแนนเต็ม]]),"",(tbl_task3[10]/tbl_task3[[คะแนนเต็ม]:[คะแนนเต็ม]])*tbl_task3[[%]:[%]])</f>
        <v/>
      </c>
      <c r="FY23" s="121" t="str">
        <f>IF(ISBLANK(tbl_task3[[คะแนนเต็ม]:[คะแนนเต็ม]]),"",(tbl_task3[11]/tbl_task3[[คะแนนเต็ม]:[คะแนนเต็ม]])*tbl_task3[[%]:[%]])</f>
        <v/>
      </c>
      <c r="FZ23" s="121" t="str">
        <f>IF(ISBLANK(tbl_task3[[คะแนนเต็ม]:[คะแนนเต็ม]]),"",(tbl_task3[12]/tbl_task3[[คะแนนเต็ม]:[คะแนนเต็ม]])*tbl_task3[[%]:[%]])</f>
        <v/>
      </c>
      <c r="GA23" s="121" t="str">
        <f>IF(ISBLANK(tbl_task3[[คะแนนเต็ม]:[คะแนนเต็ม]]),"",(tbl_task3[13]/tbl_task3[[คะแนนเต็ม]:[คะแนนเต็ม]])*tbl_task3[[%]:[%]])</f>
        <v/>
      </c>
      <c r="GB23" s="121" t="str">
        <f>IF(ISBLANK(tbl_task3[[คะแนนเต็ม]:[คะแนนเต็ม]]),"",(tbl_task3[14]/tbl_task3[[คะแนนเต็ม]:[คะแนนเต็ม]])*tbl_task3[[%]:[%]])</f>
        <v/>
      </c>
      <c r="GC23" s="121" t="str">
        <f>IF(ISBLANK(tbl_task3[[คะแนนเต็ม]:[คะแนนเต็ม]]),"",(tbl_task3[15]/tbl_task3[[คะแนนเต็ม]:[คะแนนเต็ม]])*tbl_task3[[%]:[%]])</f>
        <v/>
      </c>
      <c r="GD23" s="121" t="str">
        <f>IF(ISBLANK(tbl_task3[[คะแนนเต็ม]:[คะแนนเต็ม]]),"",(tbl_task3[16]/tbl_task3[[คะแนนเต็ม]:[คะแนนเต็ม]])*tbl_task3[[%]:[%]])</f>
        <v/>
      </c>
      <c r="GE23" s="121" t="str">
        <f>IF(ISBLANK(tbl_task3[[คะแนนเต็ม]:[คะแนนเต็ม]]),"",(tbl_task3[17]/tbl_task3[[คะแนนเต็ม]:[คะแนนเต็ม]])*tbl_task3[[%]:[%]])</f>
        <v/>
      </c>
      <c r="GF23" s="121" t="str">
        <f>IF(ISBLANK(tbl_task3[[คะแนนเต็ม]:[คะแนนเต็ม]]),"",(tbl_task3[18]/tbl_task3[[คะแนนเต็ม]:[คะแนนเต็ม]])*tbl_task3[[%]:[%]])</f>
        <v/>
      </c>
      <c r="GG23" s="121" t="str">
        <f>IF(ISBLANK(tbl_task3[[คะแนนเต็ม]:[คะแนนเต็ม]]),"",(tbl_task3[19]/tbl_task3[[คะแนนเต็ม]:[คะแนนเต็ม]])*tbl_task3[[%]:[%]])</f>
        <v/>
      </c>
      <c r="GH23" s="121" t="str">
        <f>IF(ISBLANK(tbl_task3[[คะแนนเต็ม]:[คะแนนเต็ม]]),"",(tbl_task3[20]/tbl_task3[[คะแนนเต็ม]:[คะแนนเต็ม]])*tbl_task3[[%]:[%]])</f>
        <v/>
      </c>
      <c r="GI23" s="121" t="str">
        <f>IF(ISBLANK(tbl_task3[[คะแนนเต็ม]:[คะแนนเต็ม]]),"",(tbl_task3[21]/tbl_task3[[คะแนนเต็ม]:[คะแนนเต็ม]])*tbl_task3[[%]:[%]])</f>
        <v/>
      </c>
      <c r="GJ23" s="121" t="str">
        <f>IF(ISBLANK(tbl_task3[[คะแนนเต็ม]:[คะแนนเต็ม]]),"",(tbl_task3[22]/tbl_task3[[คะแนนเต็ม]:[คะแนนเต็ม]])*tbl_task3[[%]:[%]])</f>
        <v/>
      </c>
      <c r="GK23" s="121" t="str">
        <f>IF(ISBLANK(tbl_task3[[คะแนนเต็ม]:[คะแนนเต็ม]]),"",(tbl_task3[23]/tbl_task3[[คะแนนเต็ม]:[คะแนนเต็ม]])*tbl_task3[[%]:[%]])</f>
        <v/>
      </c>
      <c r="GL23" s="121" t="str">
        <f>IF(ISBLANK(tbl_task3[[คะแนนเต็ม]:[คะแนนเต็ม]]),"",(tbl_task3[24]/tbl_task3[[คะแนนเต็ม]:[คะแนนเต็ม]])*tbl_task3[[%]:[%]])</f>
        <v/>
      </c>
      <c r="GM23" s="121" t="str">
        <f>IF(ISBLANK(tbl_task3[[คะแนนเต็ม]:[คะแนนเต็ม]]),"",(tbl_task3[25]/tbl_task3[[คะแนนเต็ม]:[คะแนนเต็ม]])*tbl_task3[[%]:[%]])</f>
        <v/>
      </c>
      <c r="GN23" s="121" t="str">
        <f>IF(ISBLANK(tbl_task3[[คะแนนเต็ม]:[คะแนนเต็ม]]),"",(tbl_task3[26]/tbl_task3[[คะแนนเต็ม]:[คะแนนเต็ม]])*tbl_task3[[%]:[%]])</f>
        <v/>
      </c>
      <c r="GO23" s="121" t="str">
        <f>IF(ISBLANK(tbl_task3[[คะแนนเต็ม]:[คะแนนเต็ม]]),"",(tbl_task3[27]/tbl_task3[[คะแนนเต็ม]:[คะแนนเต็ม]])*tbl_task3[[%]:[%]])</f>
        <v/>
      </c>
      <c r="GP23" s="121" t="str">
        <f>IF(ISBLANK(tbl_task3[[คะแนนเต็ม]:[คะแนนเต็ม]]),"",(tbl_task3[28]/tbl_task3[[คะแนนเต็ม]:[คะแนนเต็ม]])*tbl_task3[[%]:[%]])</f>
        <v/>
      </c>
      <c r="GQ23" s="121" t="str">
        <f>IF(ISBLANK(tbl_task3[[คะแนนเต็ม]:[คะแนนเต็ม]]),"",(tbl_task3[29]/tbl_task3[[คะแนนเต็ม]:[คะแนนเต็ม]])*tbl_task3[[%]:[%]])</f>
        <v/>
      </c>
      <c r="GR23" s="121" t="str">
        <f>IF(ISBLANK(tbl_task3[[คะแนนเต็ม]:[คะแนนเต็ม]]),"",(tbl_task3[30]/tbl_task3[[คะแนนเต็ม]:[คะแนนเต็ม]])*tbl_task3[[%]:[%]])</f>
        <v/>
      </c>
      <c r="GS23" s="121" t="str">
        <f>IF(ISBLANK(tbl_task3[[คะแนนเต็ม]:[คะแนนเต็ม]]),"",(tbl_task3[31]/tbl_task3[[คะแนนเต็ม]:[คะแนนเต็ม]])*tbl_task3[[%]:[%]])</f>
        <v/>
      </c>
      <c r="GT23" s="121" t="str">
        <f>IF(ISBLANK(tbl_task3[[คะแนนเต็ม]:[คะแนนเต็ม]]),"",(tbl_task3[32]/tbl_task3[[คะแนนเต็ม]:[คะแนนเต็ม]])*tbl_task3[[%]:[%]])</f>
        <v/>
      </c>
      <c r="GU23" s="121" t="str">
        <f>IF(ISBLANK(tbl_task3[[คะแนนเต็ม]:[คะแนนเต็ม]]),"",(tbl_task3[33]/tbl_task3[[คะแนนเต็ม]:[คะแนนเต็ม]])*tbl_task3[[%]:[%]])</f>
        <v/>
      </c>
      <c r="GV23" s="121" t="str">
        <f>IF(ISBLANK(tbl_task3[[คะแนนเต็ม]:[คะแนนเต็ม]]),"",(tbl_task3[34]/tbl_task3[[คะแนนเต็ม]:[คะแนนเต็ม]])*tbl_task3[[%]:[%]])</f>
        <v/>
      </c>
      <c r="GW23" s="121" t="str">
        <f>IF(ISBLANK(tbl_task3[[คะแนนเต็ม]:[คะแนนเต็ม]]),"",(tbl_task3[35]/tbl_task3[[คะแนนเต็ม]:[คะแนนเต็ม]])*tbl_task3[[%]:[%]])</f>
        <v/>
      </c>
      <c r="GX23" s="121" t="str">
        <f>IF(ISBLANK(tbl_task3[[คะแนนเต็ม]:[คะแนนเต็ม]]),"",(tbl_task3[36]/tbl_task3[[คะแนนเต็ม]:[คะแนนเต็ม]])*tbl_task3[[%]:[%]])</f>
        <v/>
      </c>
      <c r="GY23" s="121" t="str">
        <f>IF(ISBLANK(tbl_task3[[คะแนนเต็ม]:[คะแนนเต็ม]]),"",(tbl_task3[37]/tbl_task3[[คะแนนเต็ม]:[คะแนนเต็ม]])*tbl_task3[[%]:[%]])</f>
        <v/>
      </c>
      <c r="GZ23" s="121" t="str">
        <f>IF(ISBLANK(tbl_task3[[คะแนนเต็ม]:[คะแนนเต็ม]]),"",(tbl_task3[38]/tbl_task3[[คะแนนเต็ม]:[คะแนนเต็ม]])*tbl_task3[[%]:[%]])</f>
        <v/>
      </c>
      <c r="HA23" s="121" t="str">
        <f>IF(ISBLANK(tbl_task3[[คะแนนเต็ม]:[คะแนนเต็ม]]),"",(tbl_task3[39]/tbl_task3[[คะแนนเต็ม]:[คะแนนเต็ม]])*tbl_task3[[%]:[%]])</f>
        <v/>
      </c>
      <c r="HB23" s="121" t="str">
        <f>IF(ISBLANK(tbl_task3[[คะแนนเต็ม]:[คะแนนเต็ม]]),"",(tbl_task3[40]/tbl_task3[[คะแนนเต็ม]:[คะแนนเต็ม]])*tbl_task3[[%]:[%]])</f>
        <v/>
      </c>
      <c r="HC23" s="121" t="str">
        <f>IF(ISBLANK(tbl_task3[[คะแนนเต็ม]:[คะแนนเต็ม]]),"",(tbl_task3[41]/tbl_task3[[คะแนนเต็ม]:[คะแนนเต็ม]])*tbl_task3[[%]:[%]])</f>
        <v/>
      </c>
      <c r="HD23" s="121" t="str">
        <f>IF(ISBLANK(tbl_task3[[คะแนนเต็ม]:[คะแนนเต็ม]]),"",(tbl_task3[42]/tbl_task3[[คะแนนเต็ม]:[คะแนนเต็ม]])*tbl_task3[[%]:[%]])</f>
        <v/>
      </c>
      <c r="HE23" s="121" t="str">
        <f>IF(ISBLANK(tbl_task3[[คะแนนเต็ม]:[คะแนนเต็ม]]),"",(tbl_task3[43]/tbl_task3[[คะแนนเต็ม]:[คะแนนเต็ม]])*tbl_task3[[%]:[%]])</f>
        <v/>
      </c>
      <c r="HF23" s="121" t="str">
        <f>IF(ISBLANK(tbl_task3[[คะแนนเต็ม]:[คะแนนเต็ม]]),"",(tbl_task3[44]/tbl_task3[[คะแนนเต็ม]:[คะแนนเต็ม]])*tbl_task3[[%]:[%]])</f>
        <v/>
      </c>
      <c r="HG23" s="121" t="str">
        <f>IF(ISBLANK(tbl_task3[[คะแนนเต็ม]:[คะแนนเต็ม]]),"",(tbl_task3[45]/tbl_task3[[คะแนนเต็ม]:[คะแนนเต็ม]])*tbl_task3[[%]:[%]])</f>
        <v/>
      </c>
      <c r="HH23" s="121" t="str">
        <f>IF(ISBLANK(tbl_task3[[คะแนนเต็ม]:[คะแนนเต็ม]]),"",(tbl_task3[46]/tbl_task3[[คะแนนเต็ม]:[คะแนนเต็ม]])*tbl_task3[[%]:[%]])</f>
        <v/>
      </c>
      <c r="HI23" s="121" t="str">
        <f>IF(ISBLANK(tbl_task3[[คะแนนเต็ม]:[คะแนนเต็ม]]),"",(tbl_task3[47]/tbl_task3[[คะแนนเต็ม]:[คะแนนเต็ม]])*tbl_task3[[%]:[%]])</f>
        <v/>
      </c>
      <c r="HJ23" s="121" t="str">
        <f>IF(ISBLANK(tbl_task3[[คะแนนเต็ม]:[คะแนนเต็ม]]),"",(tbl_task3[48]/tbl_task3[[คะแนนเต็ม]:[คะแนนเต็ม]])*tbl_task3[[%]:[%]])</f>
        <v/>
      </c>
      <c r="HK23" s="121" t="str">
        <f>IF(ISBLANK(tbl_task3[[คะแนนเต็ม]:[คะแนนเต็ม]]),"",(tbl_task3[49]/tbl_task3[[คะแนนเต็ม]:[คะแนนเต็ม]])*tbl_task3[[%]:[%]])</f>
        <v/>
      </c>
      <c r="HL23" s="121" t="str">
        <f>IF(ISBLANK(tbl_task3[[คะแนนเต็ม]:[คะแนนเต็ม]]),"",(tbl_task3[50]/tbl_task3[[คะแนนเต็ม]:[คะแนนเต็ม]])*tbl_task3[[%]:[%]])</f>
        <v/>
      </c>
      <c r="HM23" s="121" t="str">
        <f>IF(ISBLANK(tbl_task3[[คะแนนเต็ม]:[คะแนนเต็ม]]),"",(tbl_task3[51]/tbl_task3[[คะแนนเต็ม]:[คะแนนเต็ม]])*tbl_task3[[%]:[%]])</f>
        <v/>
      </c>
      <c r="HN23" s="121" t="str">
        <f>IF(ISBLANK(tbl_task3[[คะแนนเต็ม]:[คะแนนเต็ม]]),"",(tbl_task3[52]/tbl_task3[[คะแนนเต็ม]:[คะแนนเต็ม]])*tbl_task3[[%]:[%]])</f>
        <v/>
      </c>
      <c r="HO23" s="121" t="str">
        <f>IF(ISBLANK(tbl_task3[[คะแนนเต็ม]:[คะแนนเต็ม]]),"",(tbl_task3[53]/tbl_task3[[คะแนนเต็ม]:[คะแนนเต็ม]])*tbl_task3[[%]:[%]])</f>
        <v/>
      </c>
      <c r="HP23" s="121" t="str">
        <f>IF(ISBLANK(tbl_task3[[คะแนนเต็ม]:[คะแนนเต็ม]]),"",(tbl_task3[54]/tbl_task3[[คะแนนเต็ม]:[คะแนนเต็ม]])*tbl_task3[[%]:[%]])</f>
        <v/>
      </c>
      <c r="HQ23" s="121" t="str">
        <f>IF(ISBLANK(tbl_task3[[คะแนนเต็ม]:[คะแนนเต็ม]]),"",(tbl_task3[55]/tbl_task3[[คะแนนเต็ม]:[คะแนนเต็ม]])*tbl_task3[[%]:[%]])</f>
        <v/>
      </c>
      <c r="HR23" s="121" t="str">
        <f>IF(ISBLANK(tbl_task3[[คะแนนเต็ม]:[คะแนนเต็ม]]),"",(tbl_task3[56]/tbl_task3[[คะแนนเต็ม]:[คะแนนเต็ม]])*tbl_task3[[%]:[%]])</f>
        <v/>
      </c>
      <c r="HS23" s="121" t="str">
        <f>IF(ISBLANK(tbl_task3[[คะแนนเต็ม]:[คะแนนเต็ม]]),"",(tbl_task3[57]/tbl_task3[[คะแนนเต็ม]:[คะแนนเต็ม]])*tbl_task3[[%]:[%]])</f>
        <v/>
      </c>
      <c r="HT23" s="121" t="str">
        <f>IF(ISBLANK(tbl_task3[[คะแนนเต็ม]:[คะแนนเต็ม]]),"",(tbl_task3[58]/tbl_task3[[คะแนนเต็ม]:[คะแนนเต็ม]])*tbl_task3[[%]:[%]])</f>
        <v/>
      </c>
      <c r="HU23" s="121" t="str">
        <f>IF(ISBLANK(tbl_task3[[คะแนนเต็ม]:[คะแนนเต็ม]]),"",(tbl_task3[59]/tbl_task3[[คะแนนเต็ม]:[คะแนนเต็ม]])*tbl_task3[[%]:[%]])</f>
        <v/>
      </c>
      <c r="HV23" s="121" t="str">
        <f>IF(ISBLANK(tbl_task3[[คะแนนเต็ม]:[คะแนนเต็ม]]),"",(tbl_task3[60]/tbl_task3[[คะแนนเต็ม]:[คะแนนเต็ม]])*tbl_task3[[%]:[%]])</f>
        <v/>
      </c>
      <c r="HW23" s="121" t="str">
        <f>IF(ISBLANK(tbl_task3[[คะแนนเต็ม]:[คะแนนเต็ม]]),"",(tbl_task3[61]/tbl_task3[[คะแนนเต็ม]:[คะแนนเต็ม]])*tbl_task3[[%]:[%]])</f>
        <v/>
      </c>
      <c r="HX23" s="121" t="str">
        <f>IF(ISBLANK(tbl_task3[[คะแนนเต็ม]:[คะแนนเต็ม]]),"",(tbl_task3[62]/tbl_task3[[คะแนนเต็ม]:[คะแนนเต็ม]])*tbl_task3[[%]:[%]])</f>
        <v/>
      </c>
      <c r="HY23" s="121" t="str">
        <f>IF(ISBLANK(tbl_task3[[คะแนนเต็ม]:[คะแนนเต็ม]]),"",(tbl_task3[63]/tbl_task3[[คะแนนเต็ม]:[คะแนนเต็ม]])*tbl_task3[[%]:[%]])</f>
        <v/>
      </c>
      <c r="HZ23" s="121" t="str">
        <f>IF(ISBLANK(tbl_task3[[คะแนนเต็ม]:[คะแนนเต็ม]]),"",(tbl_task3[64]/tbl_task3[[คะแนนเต็ม]:[คะแนนเต็ม]])*tbl_task3[[%]:[%]])</f>
        <v/>
      </c>
      <c r="IA23" s="121" t="str">
        <f>IF(ISBLANK(tbl_task3[[คะแนนเต็ม]:[คะแนนเต็ม]]),"",(tbl_task3[65]/tbl_task3[[คะแนนเต็ม]:[คะแนนเต็ม]])*tbl_task3[[%]:[%]])</f>
        <v/>
      </c>
      <c r="IB23" s="121" t="str">
        <f>IF(ISBLANK(tbl_task3[[คะแนนเต็ม]:[คะแนนเต็ม]]),"",(tbl_task3[66]/tbl_task3[[คะแนนเต็ม]:[คะแนนเต็ม]])*tbl_task3[[%]:[%]])</f>
        <v/>
      </c>
      <c r="IC23" s="121" t="str">
        <f>IF(ISBLANK(tbl_task3[[คะแนนเต็ม]:[คะแนนเต็ม]]),"",(tbl_task3[67]/tbl_task3[[คะแนนเต็ม]:[คะแนนเต็ม]])*tbl_task3[[%]:[%]])</f>
        <v/>
      </c>
      <c r="ID23" s="121" t="str">
        <f>IF(ISBLANK(tbl_task3[[คะแนนเต็ม]:[คะแนนเต็ม]]),"",(tbl_task3[68]/tbl_task3[[คะแนนเต็ม]:[คะแนนเต็ม]])*tbl_task3[[%]:[%]])</f>
        <v/>
      </c>
      <c r="IE23" s="121" t="str">
        <f>IF(ISBLANK(tbl_task3[[คะแนนเต็ม]:[คะแนนเต็ม]]),"",(tbl_task3[69]/tbl_task3[[คะแนนเต็ม]:[คะแนนเต็ม]])*tbl_task3[[%]:[%]])</f>
        <v/>
      </c>
      <c r="IF23" s="121" t="str">
        <f>IF(ISBLANK(tbl_task3[[คะแนนเต็ม]:[คะแนนเต็ม]]),"",(tbl_task3[70]/tbl_task3[[คะแนนเต็ม]:[คะแนนเต็ม]])*tbl_task3[[%]:[%]])</f>
        <v/>
      </c>
      <c r="IG23" s="121" t="str">
        <f>IF(ISBLANK(tbl_task3[[คะแนนเต็ม]:[คะแนนเต็ม]]),"",(tbl_task3[71]/tbl_task3[[คะแนนเต็ม]:[คะแนนเต็ม]])*tbl_task3[[%]:[%]])</f>
        <v/>
      </c>
      <c r="IH23" s="121" t="str">
        <f>IF(ISBLANK(tbl_task3[[คะแนนเต็ม]:[คะแนนเต็ม]]),"",(tbl_task3[72]/tbl_task3[[คะแนนเต็ม]:[คะแนนเต็ม]])*tbl_task3[[%]:[%]])</f>
        <v/>
      </c>
      <c r="II23" s="121" t="str">
        <f>IF(ISBLANK(tbl_task3[[คะแนนเต็ม]:[คะแนนเต็ม]]),"",(tbl_task3[73]/tbl_task3[[คะแนนเต็ม]:[คะแนนเต็ม]])*tbl_task3[[%]:[%]])</f>
        <v/>
      </c>
      <c r="IJ23" s="121" t="str">
        <f>IF(ISBLANK(tbl_task3[[คะแนนเต็ม]:[คะแนนเต็ม]]),"",(tbl_task3[74]/tbl_task3[[คะแนนเต็ม]:[คะแนนเต็ม]])*tbl_task3[[%]:[%]])</f>
        <v/>
      </c>
      <c r="IK23" s="121" t="str">
        <f>IF(ISBLANK(tbl_task3[[คะแนนเต็ม]:[คะแนนเต็ม]]),"",(tbl_task3[75]/tbl_task3[[คะแนนเต็ม]:[คะแนนเต็ม]])*tbl_task3[[%]:[%]])</f>
        <v/>
      </c>
      <c r="IL23" s="121" t="str">
        <f>IF(ISBLANK(tbl_task3[[คะแนนเต็ม]:[คะแนนเต็ม]]),"",(tbl_task3[76]/tbl_task3[[คะแนนเต็ม]:[คะแนนเต็ม]])*tbl_task3[[%]:[%]])</f>
        <v/>
      </c>
      <c r="IM23" s="121" t="str">
        <f>IF(ISBLANK(tbl_task3[[คะแนนเต็ม]:[คะแนนเต็ม]]),"",(tbl_task3[77]/tbl_task3[[คะแนนเต็ม]:[คะแนนเต็ม]])*tbl_task3[[%]:[%]])</f>
        <v/>
      </c>
      <c r="IN23" s="121" t="str">
        <f>IF(ISBLANK(tbl_task3[[คะแนนเต็ม]:[คะแนนเต็ม]]),"",(tbl_task3[78]/tbl_task3[[คะแนนเต็ม]:[คะแนนเต็ม]])*tbl_task3[[%]:[%]])</f>
        <v/>
      </c>
      <c r="IO23" s="121" t="str">
        <f>IF(ISBLANK(tbl_task3[[คะแนนเต็ม]:[คะแนนเต็ม]]),"",(tbl_task3[79]/tbl_task3[[คะแนนเต็ม]:[คะแนนเต็ม]])*tbl_task3[[%]:[%]])</f>
        <v/>
      </c>
      <c r="IP23" s="121" t="str">
        <f>IF(ISBLANK(tbl_task3[[คะแนนเต็ม]:[คะแนนเต็ม]]),"",(tbl_task3[80]/tbl_task3[[คะแนนเต็ม]:[คะแนนเต็ม]])*tbl_task3[[%]:[%]])</f>
        <v/>
      </c>
      <c r="IQ23" s="121" t="str">
        <f>IF(ISBLANK(tbl_task3[[คะแนนเต็ม]:[คะแนนเต็ม]]),"",(tbl_task3[81]/tbl_task3[[คะแนนเต็ม]:[คะแนนเต็ม]])*tbl_task3[[%]:[%]])</f>
        <v/>
      </c>
      <c r="IR23" s="121" t="str">
        <f>IF(ISBLANK(tbl_task3[[คะแนนเต็ม]:[คะแนนเต็ม]]),"",(tbl_task3[82]/tbl_task3[[คะแนนเต็ม]:[คะแนนเต็ม]])*tbl_task3[[%]:[%]])</f>
        <v/>
      </c>
      <c r="IS23" s="121" t="str">
        <f>IF(ISBLANK(tbl_task3[[คะแนนเต็ม]:[คะแนนเต็ม]]),"",(tbl_task3[83]/tbl_task3[[คะแนนเต็ม]:[คะแนนเต็ม]])*tbl_task3[[%]:[%]])</f>
        <v/>
      </c>
      <c r="IT23" s="121" t="str">
        <f>IF(ISBLANK(tbl_task3[[คะแนนเต็ม]:[คะแนนเต็ม]]),"",(tbl_task3[84]/tbl_task3[[คะแนนเต็ม]:[คะแนนเต็ม]])*tbl_task3[[%]:[%]])</f>
        <v/>
      </c>
      <c r="IU23" s="121" t="str">
        <f>IF(ISBLANK(tbl_task3[[คะแนนเต็ม]:[คะแนนเต็ม]]),"",(tbl_task3[85]/tbl_task3[[คะแนนเต็ม]:[คะแนนเต็ม]])*tbl_task3[[%]:[%]])</f>
        <v/>
      </c>
      <c r="IV23" s="121" t="str">
        <f>IF(ISBLANK(tbl_task3[[คะแนนเต็ม]:[คะแนนเต็ม]]),"",(tbl_task3[86]/tbl_task3[[คะแนนเต็ม]:[คะแนนเต็ม]])*tbl_task3[[%]:[%]])</f>
        <v/>
      </c>
      <c r="IW23" s="121" t="str">
        <f>IF(ISBLANK(tbl_task3[[คะแนนเต็ม]:[คะแนนเต็ม]]),"",(tbl_task3[87]/tbl_task3[[คะแนนเต็ม]:[คะแนนเต็ม]])*tbl_task3[[%]:[%]])</f>
        <v/>
      </c>
      <c r="IX23" s="121" t="str">
        <f>IF(ISBLANK(tbl_task3[[คะแนนเต็ม]:[คะแนนเต็ม]]),"",(tbl_task3[88]/tbl_task3[[คะแนนเต็ม]:[คะแนนเต็ม]])*tbl_task3[[%]:[%]])</f>
        <v/>
      </c>
      <c r="IY23" s="121" t="str">
        <f>IF(ISBLANK(tbl_task3[[คะแนนเต็ม]:[คะแนนเต็ม]]),"",(tbl_task3[89]/tbl_task3[[คะแนนเต็ม]:[คะแนนเต็ม]])*tbl_task3[[%]:[%]])</f>
        <v/>
      </c>
      <c r="IZ23" s="121" t="str">
        <f>IF(ISBLANK(tbl_task3[[คะแนนเต็ม]:[คะแนนเต็ม]]),"",(tbl_task3[90]/tbl_task3[[คะแนนเต็ม]:[คะแนนเต็ม]])*tbl_task3[[%]:[%]])</f>
        <v/>
      </c>
      <c r="JA23" s="121" t="str">
        <f>IF(ISBLANK(tbl_task3[[คะแนนเต็ม]:[คะแนนเต็ม]]),"",(tbl_task3[91]/tbl_task3[[คะแนนเต็ม]:[คะแนนเต็ม]])*tbl_task3[[%]:[%]])</f>
        <v/>
      </c>
      <c r="JB23" s="121" t="str">
        <f>IF(ISBLANK(tbl_task3[[คะแนนเต็ม]:[คะแนนเต็ม]]),"",(tbl_task3[92]/tbl_task3[[คะแนนเต็ม]:[คะแนนเต็ม]])*tbl_task3[[%]:[%]])</f>
        <v/>
      </c>
      <c r="JC23" s="121" t="str">
        <f>IF(ISBLANK(tbl_task3[[คะแนนเต็ม]:[คะแนนเต็ม]]),"",(tbl_task3[93]/tbl_task3[[คะแนนเต็ม]:[คะแนนเต็ม]])*tbl_task3[[%]:[%]])</f>
        <v/>
      </c>
      <c r="JD23" s="121" t="str">
        <f>IF(ISBLANK(tbl_task3[[คะแนนเต็ม]:[คะแนนเต็ม]]),"",(tbl_task3[94]/tbl_task3[[คะแนนเต็ม]:[คะแนนเต็ม]])*tbl_task3[[%]:[%]])</f>
        <v/>
      </c>
      <c r="JE23" s="121" t="str">
        <f>IF(ISBLANK(tbl_task3[[คะแนนเต็ม]:[คะแนนเต็ม]]),"",(tbl_task3[95]/tbl_task3[[คะแนนเต็ม]:[คะแนนเต็ม]])*tbl_task3[[%]:[%]])</f>
        <v/>
      </c>
      <c r="JF23" s="121" t="str">
        <f>IF(ISBLANK(tbl_task3[[คะแนนเต็ม]:[คะแนนเต็ม]]),"",(tbl_task3[96]/tbl_task3[[คะแนนเต็ม]:[คะแนนเต็ม]])*tbl_task3[[%]:[%]])</f>
        <v/>
      </c>
      <c r="JG23" s="121" t="str">
        <f>IF(ISBLANK(tbl_task3[[คะแนนเต็ม]:[คะแนนเต็ม]]),"",(tbl_task3[97]/tbl_task3[[คะแนนเต็ม]:[คะแนนเต็ม]])*tbl_task3[[%]:[%]])</f>
        <v/>
      </c>
      <c r="JH23" s="121" t="str">
        <f>IF(ISBLANK(tbl_task3[[คะแนนเต็ม]:[คะแนนเต็ม]]),"",(tbl_task3[98]/tbl_task3[[คะแนนเต็ม]:[คะแนนเต็ม]])*tbl_task3[[%]:[%]])</f>
        <v/>
      </c>
      <c r="JI23" s="121" t="str">
        <f>IF(ISBLANK(tbl_task3[[คะแนนเต็ม]:[คะแนนเต็ม]]),"",(tbl_task3[99]/tbl_task3[[คะแนนเต็ม]:[คะแนนเต็ม]])*tbl_task3[[%]:[%]])</f>
        <v/>
      </c>
      <c r="JJ23" s="121" t="str">
        <f>IF(ISBLANK(tbl_task3[[คะแนนเต็ม]:[คะแนนเต็ม]]),"",(tbl_task3[100]/tbl_task3[[คะแนนเต็ม]:[คะแนนเต็ม]])*tbl_task3[[%]:[%]])</f>
        <v/>
      </c>
      <c r="JK23" s="121" t="str">
        <f>IF(ISBLANK(tbl_task3[[คะแนนเต็ม]:[คะแนนเต็ม]]),"",(tbl_task3[101]/tbl_task3[[คะแนนเต็ม]:[คะแนนเต็ม]])*tbl_task3[[%]:[%]])</f>
        <v/>
      </c>
      <c r="JL23" s="121" t="str">
        <f>IF(ISBLANK(tbl_task3[[คะแนนเต็ม]:[คะแนนเต็ม]]),"",(tbl_task3[102]/tbl_task3[[คะแนนเต็ม]:[คะแนนเต็ม]])*tbl_task3[[%]:[%]])</f>
        <v/>
      </c>
      <c r="JM23" s="121" t="str">
        <f>IF(ISBLANK(tbl_task3[[คะแนนเต็ม]:[คะแนนเต็ม]]),"",(tbl_task3[103]/tbl_task3[[คะแนนเต็ม]:[คะแนนเต็ม]])*tbl_task3[[%]:[%]])</f>
        <v/>
      </c>
      <c r="JN23" s="121" t="str">
        <f>IF(ISBLANK(tbl_task3[[คะแนนเต็ม]:[คะแนนเต็ม]]),"",(tbl_task3[104]/tbl_task3[[คะแนนเต็ม]:[คะแนนเต็ม]])*tbl_task3[[%]:[%]])</f>
        <v/>
      </c>
      <c r="JO23" s="121" t="str">
        <f>IF(ISBLANK(tbl_task3[[คะแนนเต็ม]:[คะแนนเต็ม]]),"",(tbl_task3[105]/tbl_task3[[คะแนนเต็ม]:[คะแนนเต็ม]])*tbl_task3[[%]:[%]])</f>
        <v/>
      </c>
      <c r="JP23" s="121" t="str">
        <f>IF(ISBLANK(tbl_task3[[คะแนนเต็ม]:[คะแนนเต็ม]]),"",(tbl_task3[106]/tbl_task3[[คะแนนเต็ม]:[คะแนนเต็ม]])*tbl_task3[[%]:[%]])</f>
        <v/>
      </c>
      <c r="JQ23" s="121" t="str">
        <f>IF(ISBLANK(tbl_task3[[คะแนนเต็ม]:[คะแนนเต็ม]]),"",(tbl_task3[107]/tbl_task3[[คะแนนเต็ม]:[คะแนนเต็ม]])*tbl_task3[[%]:[%]])</f>
        <v/>
      </c>
      <c r="JR23" s="121" t="str">
        <f>IF(ISBLANK(tbl_task3[[คะแนนเต็ม]:[คะแนนเต็ม]]),"",(tbl_task3[108]/tbl_task3[[คะแนนเต็ม]:[คะแนนเต็ม]])*tbl_task3[[%]:[%]])</f>
        <v/>
      </c>
      <c r="JS23" s="121" t="str">
        <f>IF(ISBLANK(tbl_task3[[คะแนนเต็ม]:[คะแนนเต็ม]]),"",(tbl_task3[109]/tbl_task3[[คะแนนเต็ม]:[คะแนนเต็ม]])*tbl_task3[[%]:[%]])</f>
        <v/>
      </c>
      <c r="JT23" s="121" t="str">
        <f>IF(ISBLANK(tbl_task3[[คะแนนเต็ม]:[คะแนนเต็ม]]),"",(tbl_task3[110]/tbl_task3[[คะแนนเต็ม]:[คะแนนเต็ม]])*tbl_task3[[%]:[%]])</f>
        <v/>
      </c>
      <c r="JU23" s="121" t="str">
        <f>IF(ISBLANK(tbl_task3[[คะแนนเต็ม]:[คะแนนเต็ม]]),"",(tbl_task3[111]/tbl_task3[[คะแนนเต็ม]:[คะแนนเต็ม]])*tbl_task3[[%]:[%]])</f>
        <v/>
      </c>
      <c r="JV23" s="121" t="str">
        <f>IF(ISBLANK(tbl_task3[[คะแนนเต็ม]:[คะแนนเต็ม]]),"",(tbl_task3[112]/tbl_task3[[คะแนนเต็ม]:[คะแนนเต็ม]])*tbl_task3[[%]:[%]])</f>
        <v/>
      </c>
      <c r="JW23" s="121" t="str">
        <f>IF(ISBLANK(tbl_task3[[คะแนนเต็ม]:[คะแนนเต็ม]]),"",(tbl_task3[113]/tbl_task3[[คะแนนเต็ม]:[คะแนนเต็ม]])*tbl_task3[[%]:[%]])</f>
        <v/>
      </c>
      <c r="JX23" s="121" t="str">
        <f>IF(ISBLANK(tbl_task3[[คะแนนเต็ม]:[คะแนนเต็ม]]),"",(tbl_task3[114]/tbl_task3[[คะแนนเต็ม]:[คะแนนเต็ม]])*tbl_task3[[%]:[%]])</f>
        <v/>
      </c>
      <c r="JY23" s="121" t="str">
        <f>IF(ISBLANK(tbl_task3[[คะแนนเต็ม]:[คะแนนเต็ม]]),"",(tbl_task3[115]/tbl_task3[[คะแนนเต็ม]:[คะแนนเต็ม]])*tbl_task3[[%]:[%]])</f>
        <v/>
      </c>
      <c r="JZ23" s="121" t="str">
        <f>IF(ISBLANK(tbl_task3[[คะแนนเต็ม]:[คะแนนเต็ม]]),"",(tbl_task3[116]/tbl_task3[[คะแนนเต็ม]:[คะแนนเต็ม]])*tbl_task3[[%]:[%]])</f>
        <v/>
      </c>
      <c r="KA23" s="121" t="str">
        <f>IF(ISBLANK(tbl_task3[[คะแนนเต็ม]:[คะแนนเต็ม]]),"",(tbl_task3[117]/tbl_task3[[คะแนนเต็ม]:[คะแนนเต็ม]])*tbl_task3[[%]:[%]])</f>
        <v/>
      </c>
      <c r="KB23" s="121" t="str">
        <f>IF(ISBLANK(tbl_task3[[คะแนนเต็ม]:[คะแนนเต็ม]]),"",(tbl_task3[118]/tbl_task3[[คะแนนเต็ม]:[คะแนนเต็ม]])*tbl_task3[[%]:[%]])</f>
        <v/>
      </c>
      <c r="KC23" s="121" t="str">
        <f>IF(ISBLANK(tbl_task3[[คะแนนเต็ม]:[คะแนนเต็ม]]),"",(tbl_task3[119]/tbl_task3[[คะแนนเต็ม]:[คะแนนเต็ม]])*tbl_task3[[%]:[%]])</f>
        <v/>
      </c>
      <c r="KD23" s="121" t="str">
        <f>IF(ISBLANK(tbl_task3[[คะแนนเต็ม]:[คะแนนเต็ม]]),"",(tbl_task3[120]/tbl_task3[[คะแนนเต็ม]:[คะแนนเต็ม]])*tbl_task3[[%]:[%]])</f>
        <v/>
      </c>
      <c r="KE23" s="121" t="str">
        <f>IF(ISBLANK(tbl_task3[[คะแนนเต็ม]:[คะแนนเต็ม]]),"",(tbl_task3[121]/tbl_task3[[คะแนนเต็ม]:[คะแนนเต็ม]])*tbl_task3[[%]:[%]])</f>
        <v/>
      </c>
      <c r="KF23" s="121" t="str">
        <f>IF(ISBLANK(tbl_task3[[คะแนนเต็ม]:[คะแนนเต็ม]]),"",(tbl_task3[122]/tbl_task3[[คะแนนเต็ม]:[คะแนนเต็ม]])*tbl_task3[[%]:[%]])</f>
        <v/>
      </c>
      <c r="KG23" s="121" t="str">
        <f>IF(ISBLANK(tbl_task3[[คะแนนเต็ม]:[คะแนนเต็ม]]),"",(tbl_task3[123]/tbl_task3[[คะแนนเต็ม]:[คะแนนเต็ม]])*tbl_task3[[%]:[%]])</f>
        <v/>
      </c>
      <c r="KH23" s="121" t="str">
        <f>IF(ISBLANK(tbl_task3[[คะแนนเต็ม]:[คะแนนเต็ม]]),"",(tbl_task3[124]/tbl_task3[[คะแนนเต็ม]:[คะแนนเต็ม]])*tbl_task3[[%]:[%]])</f>
        <v/>
      </c>
      <c r="KI23" s="121" t="str">
        <f>IF(ISBLANK(tbl_task3[[คะแนนเต็ม]:[คะแนนเต็ม]]),"",(tbl_task3[125]/tbl_task3[[คะแนนเต็ม]:[คะแนนเต็ม]])*tbl_task3[[%]:[%]])</f>
        <v/>
      </c>
      <c r="KJ23" s="121" t="str">
        <f>IF(ISBLANK(tbl_task3[[คะแนนเต็ม]:[คะแนนเต็ม]]),"",(tbl_task3[126]/tbl_task3[[คะแนนเต็ม]:[คะแนนเต็ม]])*tbl_task3[[%]:[%]])</f>
        <v/>
      </c>
      <c r="KK23" s="121" t="str">
        <f>IF(ISBLANK(tbl_task3[[คะแนนเต็ม]:[คะแนนเต็ม]]),"",(tbl_task3[127]/tbl_task3[[คะแนนเต็ม]:[คะแนนเต็ม]])*tbl_task3[[%]:[%]])</f>
        <v/>
      </c>
      <c r="KL23" s="121" t="str">
        <f>IF(ISBLANK(tbl_task3[[คะแนนเต็ม]:[คะแนนเต็ม]]),"",(tbl_task3[128]/tbl_task3[[คะแนนเต็ม]:[คะแนนเต็ม]])*tbl_task3[[%]:[%]])</f>
        <v/>
      </c>
      <c r="KM23" s="121" t="str">
        <f>IF(ISBLANK(tbl_task3[[คะแนนเต็ม]:[คะแนนเต็ม]]),"",(tbl_task3[129]/tbl_task3[[คะแนนเต็ม]:[คะแนนเต็ม]])*tbl_task3[[%]:[%]])</f>
        <v/>
      </c>
      <c r="KN23" s="121" t="str">
        <f>IF(ISBLANK(tbl_task3[[คะแนนเต็ม]:[คะแนนเต็ม]]),"",(tbl_task3[130]/tbl_task3[[คะแนนเต็ม]:[คะแนนเต็ม]])*tbl_task3[[%]:[%]])</f>
        <v/>
      </c>
      <c r="KO23" s="121" t="str">
        <f>IF(ISBLANK(tbl_task3[[คะแนนเต็ม]:[คะแนนเต็ม]]),"",(tbl_task3[131]/tbl_task3[[คะแนนเต็ม]:[คะแนนเต็ม]])*tbl_task3[[%]:[%]])</f>
        <v/>
      </c>
      <c r="KP23" s="121" t="str">
        <f>IF(ISBLANK(tbl_task3[[คะแนนเต็ม]:[คะแนนเต็ม]]),"",(tbl_task3[132]/tbl_task3[[คะแนนเต็ม]:[คะแนนเต็ม]])*tbl_task3[[%]:[%]])</f>
        <v/>
      </c>
      <c r="KQ23" s="121" t="str">
        <f>IF(ISBLANK(tbl_task3[[คะแนนเต็ม]:[คะแนนเต็ม]]),"",(tbl_task3[133]/tbl_task3[[คะแนนเต็ม]:[คะแนนเต็ม]])*tbl_task3[[%]:[%]])</f>
        <v/>
      </c>
      <c r="KR23" s="121" t="str">
        <f>IF(ISBLANK(tbl_task3[[คะแนนเต็ม]:[คะแนนเต็ม]]),"",(tbl_task3[134]/tbl_task3[[คะแนนเต็ม]:[คะแนนเต็ม]])*tbl_task3[[%]:[%]])</f>
        <v/>
      </c>
      <c r="KS23" s="121" t="str">
        <f>IF(ISBLANK(tbl_task3[[คะแนนเต็ม]:[คะแนนเต็ม]]),"",(tbl_task3[135]/tbl_task3[[คะแนนเต็ม]:[คะแนนเต็ม]])*tbl_task3[[%]:[%]])</f>
        <v/>
      </c>
      <c r="KT23" s="121" t="str">
        <f>IF(ISBLANK(tbl_task3[[คะแนนเต็ม]:[คะแนนเต็ม]]),"",(tbl_task3[136]/tbl_task3[[คะแนนเต็ม]:[คะแนนเต็ม]])*tbl_task3[[%]:[%]])</f>
        <v/>
      </c>
      <c r="KU23" s="121" t="str">
        <f>IF(ISBLANK(tbl_task3[[คะแนนเต็ม]:[คะแนนเต็ม]]),"",(tbl_task3[137]/tbl_task3[[คะแนนเต็ม]:[คะแนนเต็ม]])*tbl_task3[[%]:[%]])</f>
        <v/>
      </c>
      <c r="KV23" s="121" t="str">
        <f>IF(ISBLANK(tbl_task3[[คะแนนเต็ม]:[คะแนนเต็ม]]),"",(tbl_task3[138]/tbl_task3[[คะแนนเต็ม]:[คะแนนเต็ม]])*tbl_task3[[%]:[%]])</f>
        <v/>
      </c>
      <c r="KW23" s="121" t="str">
        <f>IF(ISBLANK(tbl_task3[[คะแนนเต็ม]:[คะแนนเต็ม]]),"",(tbl_task3[139]/tbl_task3[[คะแนนเต็ม]:[คะแนนเต็ม]])*tbl_task3[[%]:[%]])</f>
        <v/>
      </c>
      <c r="KX23" s="121" t="str">
        <f>IF(ISBLANK(tbl_task3[[คะแนนเต็ม]:[คะแนนเต็ม]]),"",(tbl_task3[140]/tbl_task3[[คะแนนเต็ม]:[คะแนนเต็ม]])*tbl_task3[[%]:[%]])</f>
        <v/>
      </c>
      <c r="KY23" s="121" t="str">
        <f>IF(ISBLANK(tbl_task3[[คะแนนเต็ม]:[คะแนนเต็ม]]),"",(tbl_task3[141]/tbl_task3[[คะแนนเต็ม]:[คะแนนเต็ม]])*tbl_task3[[%]:[%]])</f>
        <v/>
      </c>
      <c r="KZ23" s="121" t="str">
        <f>IF(ISBLANK(tbl_task3[[คะแนนเต็ม]:[คะแนนเต็ม]]),"",(tbl_task3[142]/tbl_task3[[คะแนนเต็ม]:[คะแนนเต็ม]])*tbl_task3[[%]:[%]])</f>
        <v/>
      </c>
      <c r="LA23" s="121" t="str">
        <f>IF(ISBLANK(tbl_task3[[คะแนนเต็ม]:[คะแนนเต็ม]]),"",(tbl_task3[143]/tbl_task3[[คะแนนเต็ม]:[คะแนนเต็ม]])*tbl_task3[[%]:[%]])</f>
        <v/>
      </c>
      <c r="LB23" s="121" t="str">
        <f>IF(ISBLANK(tbl_task3[[คะแนนเต็ม]:[คะแนนเต็ม]]),"",(tbl_task3[144]/tbl_task3[[คะแนนเต็ม]:[คะแนนเต็ม]])*tbl_task3[[%]:[%]])</f>
        <v/>
      </c>
      <c r="LC23" s="121" t="str">
        <f>IF(ISBLANK(tbl_task3[[คะแนนเต็ม]:[คะแนนเต็ม]]),"",(tbl_task3[145]/tbl_task3[[คะแนนเต็ม]:[คะแนนเต็ม]])*tbl_task3[[%]:[%]])</f>
        <v/>
      </c>
      <c r="LD23" s="121" t="str">
        <f>IF(ISBLANK(tbl_task3[[คะแนนเต็ม]:[คะแนนเต็ม]]),"",(tbl_task3[146]/tbl_task3[[คะแนนเต็ม]:[คะแนนเต็ม]])*tbl_task3[[%]:[%]])</f>
        <v/>
      </c>
      <c r="LE23" s="121" t="str">
        <f>IF(ISBLANK(tbl_task3[[คะแนนเต็ม]:[คะแนนเต็ม]]),"",(tbl_task3[147]/tbl_task3[[คะแนนเต็ม]:[คะแนนเต็ม]])*tbl_task3[[%]:[%]])</f>
        <v/>
      </c>
      <c r="LF23" s="121" t="str">
        <f>IF(ISBLANK(tbl_task3[[คะแนนเต็ม]:[คะแนนเต็ม]]),"",(tbl_task3[148]/tbl_task3[[คะแนนเต็ม]:[คะแนนเต็ม]])*tbl_task3[[%]:[%]])</f>
        <v/>
      </c>
      <c r="LG23" s="121" t="str">
        <f>IF(ISBLANK(tbl_task3[[คะแนนเต็ม]:[คะแนนเต็ม]]),"",(tbl_task3[149]/tbl_task3[[คะแนนเต็ม]:[คะแนนเต็ม]])*tbl_task3[[%]:[%]])</f>
        <v/>
      </c>
      <c r="LH23" s="121" t="str">
        <f>IF(ISBLANK(tbl_task3[[คะแนนเต็ม]:[คะแนนเต็ม]]),"",(tbl_task3[150]/tbl_task3[[คะแนนเต็ม]:[คะแนนเต็ม]])*tbl_task3[[%]:[%]])</f>
        <v/>
      </c>
      <c r="LI23" s="121" t="str">
        <f>IF(ISBLANK(tbl_task3[[คะแนนเต็ม]:[คะแนนเต็ม]]),"",(tbl_task3[151]/tbl_task3[[คะแนนเต็ม]:[คะแนนเต็ม]])*tbl_task3[[%]:[%]])</f>
        <v/>
      </c>
      <c r="LJ23" s="121" t="str">
        <f>IF(ISBLANK(tbl_task3[[คะแนนเต็ม]:[คะแนนเต็ม]]),"",(tbl_task3[152]/tbl_task3[[คะแนนเต็ม]:[คะแนนเต็ม]])*tbl_task3[[%]:[%]])</f>
        <v/>
      </c>
      <c r="LK23" s="121" t="str">
        <f>IF(ISBLANK(tbl_task3[[คะแนนเต็ม]:[คะแนนเต็ม]]),"",(tbl_task3[153]/tbl_task3[[คะแนนเต็ม]:[คะแนนเต็ม]])*tbl_task3[[%]:[%]])</f>
        <v/>
      </c>
      <c r="LL23" s="121" t="str">
        <f>IF(ISBLANK(tbl_task3[[คะแนนเต็ม]:[คะแนนเต็ม]]),"",(tbl_task3[154]/tbl_task3[[คะแนนเต็ม]:[คะแนนเต็ม]])*tbl_task3[[%]:[%]])</f>
        <v/>
      </c>
      <c r="LM23" s="121" t="str">
        <f>IF(ISBLANK(tbl_task3[[คะแนนเต็ม]:[คะแนนเต็ม]]),"",(tbl_task3[155]/tbl_task3[[คะแนนเต็ม]:[คะแนนเต็ม]])*tbl_task3[[%]:[%]])</f>
        <v/>
      </c>
      <c r="LN23" s="121" t="str">
        <f>IF(ISBLANK(tbl_task3[[คะแนนเต็ม]:[คะแนนเต็ม]]),"",(tbl_task3[156]/tbl_task3[[คะแนนเต็ม]:[คะแนนเต็ม]])*tbl_task3[[%]:[%]])</f>
        <v/>
      </c>
      <c r="LO23" s="121" t="str">
        <f>IF(ISBLANK(tbl_task3[[คะแนนเต็ม]:[คะแนนเต็ม]]),"",(tbl_task3[157]/tbl_task3[[คะแนนเต็ม]:[คะแนนเต็ม]])*tbl_task3[[%]:[%]])</f>
        <v/>
      </c>
      <c r="LP23" s="121" t="str">
        <f>IF(ISBLANK(tbl_task3[[คะแนนเต็ม]:[คะแนนเต็ม]]),"",(tbl_task3[158]/tbl_task3[[คะแนนเต็ม]:[คะแนนเต็ม]])*tbl_task3[[%]:[%]])</f>
        <v/>
      </c>
      <c r="LQ23" s="121" t="str">
        <f>IF(ISBLANK(tbl_task3[[คะแนนเต็ม]:[คะแนนเต็ม]]),"",(tbl_task3[159]/tbl_task3[[คะแนนเต็ม]:[คะแนนเต็ม]])*tbl_task3[[%]:[%]])</f>
        <v/>
      </c>
      <c r="LR23" s="121" t="str">
        <f>IF(ISBLANK(tbl_task3[[คะแนนเต็ม]:[คะแนนเต็ม]]),"",(tbl_task3[160]/tbl_task3[[คะแนนเต็ม]:[คะแนนเต็ม]])*tbl_task3[[%]:[%]])</f>
        <v/>
      </c>
      <c r="LS23" s="121" t="str">
        <f>IF(ISBLANK(tbl_task3[[คะแนนเต็ม]:[คะแนนเต็ม]]),"",(tbl_task3[161]/tbl_task3[[คะแนนเต็ม]:[คะแนนเต็ม]])*tbl_task3[[%]:[%]])</f>
        <v/>
      </c>
      <c r="LT23" s="121" t="str">
        <f>IF(ISBLANK(tbl_task3[[คะแนนเต็ม]:[คะแนนเต็ม]]),"",(tbl_task3[162]/tbl_task3[[คะแนนเต็ม]:[คะแนนเต็ม]])*tbl_task3[[%]:[%]])</f>
        <v/>
      </c>
      <c r="LU23" s="121" t="str">
        <f>IF(ISBLANK(tbl_task3[[คะแนนเต็ม]:[คะแนนเต็ม]]),"",(tbl_task3[163]/tbl_task3[[คะแนนเต็ม]:[คะแนนเต็ม]])*tbl_task3[[%]:[%]])</f>
        <v/>
      </c>
      <c r="LV23" s="121" t="str">
        <f>IF(ISBLANK(tbl_task3[[คะแนนเต็ม]:[คะแนนเต็ม]]),"",(tbl_task3[164]/tbl_task3[[คะแนนเต็ม]:[คะแนนเต็ม]])*tbl_task3[[%]:[%]])</f>
        <v/>
      </c>
      <c r="LW23" s="121" t="str">
        <f>IF(ISBLANK(tbl_task3[[คะแนนเต็ม]:[คะแนนเต็ม]]),"",(tbl_task3[165]/tbl_task3[[คะแนนเต็ม]:[คะแนนเต็ม]])*tbl_task3[[%]:[%]])</f>
        <v/>
      </c>
    </row>
    <row r="24" spans="1:335" ht="24" customHeight="1" x14ac:dyDescent="0.25">
      <c r="A24" s="24">
        <v>21</v>
      </c>
      <c r="B24" s="20"/>
      <c r="C24" s="5" t="str">
        <f>IF(ISBLANK(B24),"",VLOOKUP(B24,tbl_PLOs[],2,0))</f>
        <v/>
      </c>
      <c r="D24" s="102"/>
      <c r="E24" s="106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21" t="str">
        <f>IF(ISBLANK(tbl_task3[[คะแนนเต็ม]:[คะแนนเต็ม]]),"",(tbl_task3[1]/tbl_task3[[คะแนนเต็ม]:[คะแนนเต็ม]])*tbl_task3[[%]:[%]])</f>
        <v/>
      </c>
      <c r="FP24" s="121" t="str">
        <f>IF(ISBLANK(tbl_task3[[คะแนนเต็ม]:[คะแนนเต็ม]]),"",(tbl_task3[2]/tbl_task3[[คะแนนเต็ม]:[คะแนนเต็ม]])*tbl_task3[[%]:[%]])</f>
        <v/>
      </c>
      <c r="FQ24" s="121" t="str">
        <f>IF(ISBLANK(tbl_task3[[คะแนนเต็ม]:[คะแนนเต็ม]]),"",(tbl_task3[3]/tbl_task3[[คะแนนเต็ม]:[คะแนนเต็ม]])*tbl_task3[[%]:[%]])</f>
        <v/>
      </c>
      <c r="FR24" s="121" t="str">
        <f>IF(ISBLANK(tbl_task3[[คะแนนเต็ม]:[คะแนนเต็ม]]),"",(tbl_task3[4]/tbl_task3[[คะแนนเต็ม]:[คะแนนเต็ม]])*tbl_task3[[%]:[%]])</f>
        <v/>
      </c>
      <c r="FS24" s="121" t="str">
        <f>IF(ISBLANK(tbl_task3[[คะแนนเต็ม]:[คะแนนเต็ม]]),"",(tbl_task3[5]/tbl_task3[[คะแนนเต็ม]:[คะแนนเต็ม]])*tbl_task3[[%]:[%]])</f>
        <v/>
      </c>
      <c r="FT24" s="121" t="str">
        <f>IF(ISBLANK(tbl_task3[[คะแนนเต็ม]:[คะแนนเต็ม]]),"",(tbl_task3[6]/tbl_task3[[คะแนนเต็ม]:[คะแนนเต็ม]])*tbl_task3[[%]:[%]])</f>
        <v/>
      </c>
      <c r="FU24" s="121" t="str">
        <f>IF(ISBLANK(tbl_task3[[คะแนนเต็ม]:[คะแนนเต็ม]]),"",(tbl_task3[7]/tbl_task3[[คะแนนเต็ม]:[คะแนนเต็ม]])*tbl_task3[[%]:[%]])</f>
        <v/>
      </c>
      <c r="FV24" s="121" t="str">
        <f>IF(ISBLANK(tbl_task3[[คะแนนเต็ม]:[คะแนนเต็ม]]),"",(tbl_task3[8]/tbl_task3[[คะแนนเต็ม]:[คะแนนเต็ม]])*tbl_task3[[%]:[%]])</f>
        <v/>
      </c>
      <c r="FW24" s="121" t="str">
        <f>IF(ISBLANK(tbl_task3[[คะแนนเต็ม]:[คะแนนเต็ม]]),"",(tbl_task3[9]/tbl_task3[[คะแนนเต็ม]:[คะแนนเต็ม]])*tbl_task3[[%]:[%]])</f>
        <v/>
      </c>
      <c r="FX24" s="121" t="str">
        <f>IF(ISBLANK(tbl_task3[[คะแนนเต็ม]:[คะแนนเต็ม]]),"",(tbl_task3[10]/tbl_task3[[คะแนนเต็ม]:[คะแนนเต็ม]])*tbl_task3[[%]:[%]])</f>
        <v/>
      </c>
      <c r="FY24" s="121" t="str">
        <f>IF(ISBLANK(tbl_task3[[คะแนนเต็ม]:[คะแนนเต็ม]]),"",(tbl_task3[11]/tbl_task3[[คะแนนเต็ม]:[คะแนนเต็ม]])*tbl_task3[[%]:[%]])</f>
        <v/>
      </c>
      <c r="FZ24" s="121" t="str">
        <f>IF(ISBLANK(tbl_task3[[คะแนนเต็ม]:[คะแนนเต็ม]]),"",(tbl_task3[12]/tbl_task3[[คะแนนเต็ม]:[คะแนนเต็ม]])*tbl_task3[[%]:[%]])</f>
        <v/>
      </c>
      <c r="GA24" s="121" t="str">
        <f>IF(ISBLANK(tbl_task3[[คะแนนเต็ม]:[คะแนนเต็ม]]),"",(tbl_task3[13]/tbl_task3[[คะแนนเต็ม]:[คะแนนเต็ม]])*tbl_task3[[%]:[%]])</f>
        <v/>
      </c>
      <c r="GB24" s="121" t="str">
        <f>IF(ISBLANK(tbl_task3[[คะแนนเต็ม]:[คะแนนเต็ม]]),"",(tbl_task3[14]/tbl_task3[[คะแนนเต็ม]:[คะแนนเต็ม]])*tbl_task3[[%]:[%]])</f>
        <v/>
      </c>
      <c r="GC24" s="121" t="str">
        <f>IF(ISBLANK(tbl_task3[[คะแนนเต็ม]:[คะแนนเต็ม]]),"",(tbl_task3[15]/tbl_task3[[คะแนนเต็ม]:[คะแนนเต็ม]])*tbl_task3[[%]:[%]])</f>
        <v/>
      </c>
      <c r="GD24" s="121" t="str">
        <f>IF(ISBLANK(tbl_task3[[คะแนนเต็ม]:[คะแนนเต็ม]]),"",(tbl_task3[16]/tbl_task3[[คะแนนเต็ม]:[คะแนนเต็ม]])*tbl_task3[[%]:[%]])</f>
        <v/>
      </c>
      <c r="GE24" s="121" t="str">
        <f>IF(ISBLANK(tbl_task3[[คะแนนเต็ม]:[คะแนนเต็ม]]),"",(tbl_task3[17]/tbl_task3[[คะแนนเต็ม]:[คะแนนเต็ม]])*tbl_task3[[%]:[%]])</f>
        <v/>
      </c>
      <c r="GF24" s="121" t="str">
        <f>IF(ISBLANK(tbl_task3[[คะแนนเต็ม]:[คะแนนเต็ม]]),"",(tbl_task3[18]/tbl_task3[[คะแนนเต็ม]:[คะแนนเต็ม]])*tbl_task3[[%]:[%]])</f>
        <v/>
      </c>
      <c r="GG24" s="121" t="str">
        <f>IF(ISBLANK(tbl_task3[[คะแนนเต็ม]:[คะแนนเต็ม]]),"",(tbl_task3[19]/tbl_task3[[คะแนนเต็ม]:[คะแนนเต็ม]])*tbl_task3[[%]:[%]])</f>
        <v/>
      </c>
      <c r="GH24" s="121" t="str">
        <f>IF(ISBLANK(tbl_task3[[คะแนนเต็ม]:[คะแนนเต็ม]]),"",(tbl_task3[20]/tbl_task3[[คะแนนเต็ม]:[คะแนนเต็ม]])*tbl_task3[[%]:[%]])</f>
        <v/>
      </c>
      <c r="GI24" s="121" t="str">
        <f>IF(ISBLANK(tbl_task3[[คะแนนเต็ม]:[คะแนนเต็ม]]),"",(tbl_task3[21]/tbl_task3[[คะแนนเต็ม]:[คะแนนเต็ม]])*tbl_task3[[%]:[%]])</f>
        <v/>
      </c>
      <c r="GJ24" s="121" t="str">
        <f>IF(ISBLANK(tbl_task3[[คะแนนเต็ม]:[คะแนนเต็ม]]),"",(tbl_task3[22]/tbl_task3[[คะแนนเต็ม]:[คะแนนเต็ม]])*tbl_task3[[%]:[%]])</f>
        <v/>
      </c>
      <c r="GK24" s="121" t="str">
        <f>IF(ISBLANK(tbl_task3[[คะแนนเต็ม]:[คะแนนเต็ม]]),"",(tbl_task3[23]/tbl_task3[[คะแนนเต็ม]:[คะแนนเต็ม]])*tbl_task3[[%]:[%]])</f>
        <v/>
      </c>
      <c r="GL24" s="121" t="str">
        <f>IF(ISBLANK(tbl_task3[[คะแนนเต็ม]:[คะแนนเต็ม]]),"",(tbl_task3[24]/tbl_task3[[คะแนนเต็ม]:[คะแนนเต็ม]])*tbl_task3[[%]:[%]])</f>
        <v/>
      </c>
      <c r="GM24" s="121" t="str">
        <f>IF(ISBLANK(tbl_task3[[คะแนนเต็ม]:[คะแนนเต็ม]]),"",(tbl_task3[25]/tbl_task3[[คะแนนเต็ม]:[คะแนนเต็ม]])*tbl_task3[[%]:[%]])</f>
        <v/>
      </c>
      <c r="GN24" s="121" t="str">
        <f>IF(ISBLANK(tbl_task3[[คะแนนเต็ม]:[คะแนนเต็ม]]),"",(tbl_task3[26]/tbl_task3[[คะแนนเต็ม]:[คะแนนเต็ม]])*tbl_task3[[%]:[%]])</f>
        <v/>
      </c>
      <c r="GO24" s="121" t="str">
        <f>IF(ISBLANK(tbl_task3[[คะแนนเต็ม]:[คะแนนเต็ม]]),"",(tbl_task3[27]/tbl_task3[[คะแนนเต็ม]:[คะแนนเต็ม]])*tbl_task3[[%]:[%]])</f>
        <v/>
      </c>
      <c r="GP24" s="121" t="str">
        <f>IF(ISBLANK(tbl_task3[[คะแนนเต็ม]:[คะแนนเต็ม]]),"",(tbl_task3[28]/tbl_task3[[คะแนนเต็ม]:[คะแนนเต็ม]])*tbl_task3[[%]:[%]])</f>
        <v/>
      </c>
      <c r="GQ24" s="121" t="str">
        <f>IF(ISBLANK(tbl_task3[[คะแนนเต็ม]:[คะแนนเต็ม]]),"",(tbl_task3[29]/tbl_task3[[คะแนนเต็ม]:[คะแนนเต็ม]])*tbl_task3[[%]:[%]])</f>
        <v/>
      </c>
      <c r="GR24" s="121" t="str">
        <f>IF(ISBLANK(tbl_task3[[คะแนนเต็ม]:[คะแนนเต็ม]]),"",(tbl_task3[30]/tbl_task3[[คะแนนเต็ม]:[คะแนนเต็ม]])*tbl_task3[[%]:[%]])</f>
        <v/>
      </c>
      <c r="GS24" s="121" t="str">
        <f>IF(ISBLANK(tbl_task3[[คะแนนเต็ม]:[คะแนนเต็ม]]),"",(tbl_task3[31]/tbl_task3[[คะแนนเต็ม]:[คะแนนเต็ม]])*tbl_task3[[%]:[%]])</f>
        <v/>
      </c>
      <c r="GT24" s="121" t="str">
        <f>IF(ISBLANK(tbl_task3[[คะแนนเต็ม]:[คะแนนเต็ม]]),"",(tbl_task3[32]/tbl_task3[[คะแนนเต็ม]:[คะแนนเต็ม]])*tbl_task3[[%]:[%]])</f>
        <v/>
      </c>
      <c r="GU24" s="121" t="str">
        <f>IF(ISBLANK(tbl_task3[[คะแนนเต็ม]:[คะแนนเต็ม]]),"",(tbl_task3[33]/tbl_task3[[คะแนนเต็ม]:[คะแนนเต็ม]])*tbl_task3[[%]:[%]])</f>
        <v/>
      </c>
      <c r="GV24" s="121" t="str">
        <f>IF(ISBLANK(tbl_task3[[คะแนนเต็ม]:[คะแนนเต็ม]]),"",(tbl_task3[34]/tbl_task3[[คะแนนเต็ม]:[คะแนนเต็ม]])*tbl_task3[[%]:[%]])</f>
        <v/>
      </c>
      <c r="GW24" s="121" t="str">
        <f>IF(ISBLANK(tbl_task3[[คะแนนเต็ม]:[คะแนนเต็ม]]),"",(tbl_task3[35]/tbl_task3[[คะแนนเต็ม]:[คะแนนเต็ม]])*tbl_task3[[%]:[%]])</f>
        <v/>
      </c>
      <c r="GX24" s="121" t="str">
        <f>IF(ISBLANK(tbl_task3[[คะแนนเต็ม]:[คะแนนเต็ม]]),"",(tbl_task3[36]/tbl_task3[[คะแนนเต็ม]:[คะแนนเต็ม]])*tbl_task3[[%]:[%]])</f>
        <v/>
      </c>
      <c r="GY24" s="121" t="str">
        <f>IF(ISBLANK(tbl_task3[[คะแนนเต็ม]:[คะแนนเต็ม]]),"",(tbl_task3[37]/tbl_task3[[คะแนนเต็ม]:[คะแนนเต็ม]])*tbl_task3[[%]:[%]])</f>
        <v/>
      </c>
      <c r="GZ24" s="121" t="str">
        <f>IF(ISBLANK(tbl_task3[[คะแนนเต็ม]:[คะแนนเต็ม]]),"",(tbl_task3[38]/tbl_task3[[คะแนนเต็ม]:[คะแนนเต็ม]])*tbl_task3[[%]:[%]])</f>
        <v/>
      </c>
      <c r="HA24" s="121" t="str">
        <f>IF(ISBLANK(tbl_task3[[คะแนนเต็ม]:[คะแนนเต็ม]]),"",(tbl_task3[39]/tbl_task3[[คะแนนเต็ม]:[คะแนนเต็ม]])*tbl_task3[[%]:[%]])</f>
        <v/>
      </c>
      <c r="HB24" s="121" t="str">
        <f>IF(ISBLANK(tbl_task3[[คะแนนเต็ม]:[คะแนนเต็ม]]),"",(tbl_task3[40]/tbl_task3[[คะแนนเต็ม]:[คะแนนเต็ม]])*tbl_task3[[%]:[%]])</f>
        <v/>
      </c>
      <c r="HC24" s="121" t="str">
        <f>IF(ISBLANK(tbl_task3[[คะแนนเต็ม]:[คะแนนเต็ม]]),"",(tbl_task3[41]/tbl_task3[[คะแนนเต็ม]:[คะแนนเต็ม]])*tbl_task3[[%]:[%]])</f>
        <v/>
      </c>
      <c r="HD24" s="121" t="str">
        <f>IF(ISBLANK(tbl_task3[[คะแนนเต็ม]:[คะแนนเต็ม]]),"",(tbl_task3[42]/tbl_task3[[คะแนนเต็ม]:[คะแนนเต็ม]])*tbl_task3[[%]:[%]])</f>
        <v/>
      </c>
      <c r="HE24" s="121" t="str">
        <f>IF(ISBLANK(tbl_task3[[คะแนนเต็ม]:[คะแนนเต็ม]]),"",(tbl_task3[43]/tbl_task3[[คะแนนเต็ม]:[คะแนนเต็ม]])*tbl_task3[[%]:[%]])</f>
        <v/>
      </c>
      <c r="HF24" s="121" t="str">
        <f>IF(ISBLANK(tbl_task3[[คะแนนเต็ม]:[คะแนนเต็ม]]),"",(tbl_task3[44]/tbl_task3[[คะแนนเต็ม]:[คะแนนเต็ม]])*tbl_task3[[%]:[%]])</f>
        <v/>
      </c>
      <c r="HG24" s="121" t="str">
        <f>IF(ISBLANK(tbl_task3[[คะแนนเต็ม]:[คะแนนเต็ม]]),"",(tbl_task3[45]/tbl_task3[[คะแนนเต็ม]:[คะแนนเต็ม]])*tbl_task3[[%]:[%]])</f>
        <v/>
      </c>
      <c r="HH24" s="121" t="str">
        <f>IF(ISBLANK(tbl_task3[[คะแนนเต็ม]:[คะแนนเต็ม]]),"",(tbl_task3[46]/tbl_task3[[คะแนนเต็ม]:[คะแนนเต็ม]])*tbl_task3[[%]:[%]])</f>
        <v/>
      </c>
      <c r="HI24" s="121" t="str">
        <f>IF(ISBLANK(tbl_task3[[คะแนนเต็ม]:[คะแนนเต็ม]]),"",(tbl_task3[47]/tbl_task3[[คะแนนเต็ม]:[คะแนนเต็ม]])*tbl_task3[[%]:[%]])</f>
        <v/>
      </c>
      <c r="HJ24" s="121" t="str">
        <f>IF(ISBLANK(tbl_task3[[คะแนนเต็ม]:[คะแนนเต็ม]]),"",(tbl_task3[48]/tbl_task3[[คะแนนเต็ม]:[คะแนนเต็ม]])*tbl_task3[[%]:[%]])</f>
        <v/>
      </c>
      <c r="HK24" s="121" t="str">
        <f>IF(ISBLANK(tbl_task3[[คะแนนเต็ม]:[คะแนนเต็ม]]),"",(tbl_task3[49]/tbl_task3[[คะแนนเต็ม]:[คะแนนเต็ม]])*tbl_task3[[%]:[%]])</f>
        <v/>
      </c>
      <c r="HL24" s="121" t="str">
        <f>IF(ISBLANK(tbl_task3[[คะแนนเต็ม]:[คะแนนเต็ม]]),"",(tbl_task3[50]/tbl_task3[[คะแนนเต็ม]:[คะแนนเต็ม]])*tbl_task3[[%]:[%]])</f>
        <v/>
      </c>
      <c r="HM24" s="121" t="str">
        <f>IF(ISBLANK(tbl_task3[[คะแนนเต็ม]:[คะแนนเต็ม]]),"",(tbl_task3[51]/tbl_task3[[คะแนนเต็ม]:[คะแนนเต็ม]])*tbl_task3[[%]:[%]])</f>
        <v/>
      </c>
      <c r="HN24" s="121" t="str">
        <f>IF(ISBLANK(tbl_task3[[คะแนนเต็ม]:[คะแนนเต็ม]]),"",(tbl_task3[52]/tbl_task3[[คะแนนเต็ม]:[คะแนนเต็ม]])*tbl_task3[[%]:[%]])</f>
        <v/>
      </c>
      <c r="HO24" s="121" t="str">
        <f>IF(ISBLANK(tbl_task3[[คะแนนเต็ม]:[คะแนนเต็ม]]),"",(tbl_task3[53]/tbl_task3[[คะแนนเต็ม]:[คะแนนเต็ม]])*tbl_task3[[%]:[%]])</f>
        <v/>
      </c>
      <c r="HP24" s="121" t="str">
        <f>IF(ISBLANK(tbl_task3[[คะแนนเต็ม]:[คะแนนเต็ม]]),"",(tbl_task3[54]/tbl_task3[[คะแนนเต็ม]:[คะแนนเต็ม]])*tbl_task3[[%]:[%]])</f>
        <v/>
      </c>
      <c r="HQ24" s="121" t="str">
        <f>IF(ISBLANK(tbl_task3[[คะแนนเต็ม]:[คะแนนเต็ม]]),"",(tbl_task3[55]/tbl_task3[[คะแนนเต็ม]:[คะแนนเต็ม]])*tbl_task3[[%]:[%]])</f>
        <v/>
      </c>
      <c r="HR24" s="121" t="str">
        <f>IF(ISBLANK(tbl_task3[[คะแนนเต็ม]:[คะแนนเต็ม]]),"",(tbl_task3[56]/tbl_task3[[คะแนนเต็ม]:[คะแนนเต็ม]])*tbl_task3[[%]:[%]])</f>
        <v/>
      </c>
      <c r="HS24" s="121" t="str">
        <f>IF(ISBLANK(tbl_task3[[คะแนนเต็ม]:[คะแนนเต็ม]]),"",(tbl_task3[57]/tbl_task3[[คะแนนเต็ม]:[คะแนนเต็ม]])*tbl_task3[[%]:[%]])</f>
        <v/>
      </c>
      <c r="HT24" s="121" t="str">
        <f>IF(ISBLANK(tbl_task3[[คะแนนเต็ม]:[คะแนนเต็ม]]),"",(tbl_task3[58]/tbl_task3[[คะแนนเต็ม]:[คะแนนเต็ม]])*tbl_task3[[%]:[%]])</f>
        <v/>
      </c>
      <c r="HU24" s="121" t="str">
        <f>IF(ISBLANK(tbl_task3[[คะแนนเต็ม]:[คะแนนเต็ม]]),"",(tbl_task3[59]/tbl_task3[[คะแนนเต็ม]:[คะแนนเต็ม]])*tbl_task3[[%]:[%]])</f>
        <v/>
      </c>
      <c r="HV24" s="121" t="str">
        <f>IF(ISBLANK(tbl_task3[[คะแนนเต็ม]:[คะแนนเต็ม]]),"",(tbl_task3[60]/tbl_task3[[คะแนนเต็ม]:[คะแนนเต็ม]])*tbl_task3[[%]:[%]])</f>
        <v/>
      </c>
      <c r="HW24" s="121" t="str">
        <f>IF(ISBLANK(tbl_task3[[คะแนนเต็ม]:[คะแนนเต็ม]]),"",(tbl_task3[61]/tbl_task3[[คะแนนเต็ม]:[คะแนนเต็ม]])*tbl_task3[[%]:[%]])</f>
        <v/>
      </c>
      <c r="HX24" s="121" t="str">
        <f>IF(ISBLANK(tbl_task3[[คะแนนเต็ม]:[คะแนนเต็ม]]),"",(tbl_task3[62]/tbl_task3[[คะแนนเต็ม]:[คะแนนเต็ม]])*tbl_task3[[%]:[%]])</f>
        <v/>
      </c>
      <c r="HY24" s="121" t="str">
        <f>IF(ISBLANK(tbl_task3[[คะแนนเต็ม]:[คะแนนเต็ม]]),"",(tbl_task3[63]/tbl_task3[[คะแนนเต็ม]:[คะแนนเต็ม]])*tbl_task3[[%]:[%]])</f>
        <v/>
      </c>
      <c r="HZ24" s="121" t="str">
        <f>IF(ISBLANK(tbl_task3[[คะแนนเต็ม]:[คะแนนเต็ม]]),"",(tbl_task3[64]/tbl_task3[[คะแนนเต็ม]:[คะแนนเต็ม]])*tbl_task3[[%]:[%]])</f>
        <v/>
      </c>
      <c r="IA24" s="121" t="str">
        <f>IF(ISBLANK(tbl_task3[[คะแนนเต็ม]:[คะแนนเต็ม]]),"",(tbl_task3[65]/tbl_task3[[คะแนนเต็ม]:[คะแนนเต็ม]])*tbl_task3[[%]:[%]])</f>
        <v/>
      </c>
      <c r="IB24" s="121" t="str">
        <f>IF(ISBLANK(tbl_task3[[คะแนนเต็ม]:[คะแนนเต็ม]]),"",(tbl_task3[66]/tbl_task3[[คะแนนเต็ม]:[คะแนนเต็ม]])*tbl_task3[[%]:[%]])</f>
        <v/>
      </c>
      <c r="IC24" s="121" t="str">
        <f>IF(ISBLANK(tbl_task3[[คะแนนเต็ม]:[คะแนนเต็ม]]),"",(tbl_task3[67]/tbl_task3[[คะแนนเต็ม]:[คะแนนเต็ม]])*tbl_task3[[%]:[%]])</f>
        <v/>
      </c>
      <c r="ID24" s="121" t="str">
        <f>IF(ISBLANK(tbl_task3[[คะแนนเต็ม]:[คะแนนเต็ม]]),"",(tbl_task3[68]/tbl_task3[[คะแนนเต็ม]:[คะแนนเต็ม]])*tbl_task3[[%]:[%]])</f>
        <v/>
      </c>
      <c r="IE24" s="121" t="str">
        <f>IF(ISBLANK(tbl_task3[[คะแนนเต็ม]:[คะแนนเต็ม]]),"",(tbl_task3[69]/tbl_task3[[คะแนนเต็ม]:[คะแนนเต็ม]])*tbl_task3[[%]:[%]])</f>
        <v/>
      </c>
      <c r="IF24" s="121" t="str">
        <f>IF(ISBLANK(tbl_task3[[คะแนนเต็ม]:[คะแนนเต็ม]]),"",(tbl_task3[70]/tbl_task3[[คะแนนเต็ม]:[คะแนนเต็ม]])*tbl_task3[[%]:[%]])</f>
        <v/>
      </c>
      <c r="IG24" s="121" t="str">
        <f>IF(ISBLANK(tbl_task3[[คะแนนเต็ม]:[คะแนนเต็ม]]),"",(tbl_task3[71]/tbl_task3[[คะแนนเต็ม]:[คะแนนเต็ม]])*tbl_task3[[%]:[%]])</f>
        <v/>
      </c>
      <c r="IH24" s="121" t="str">
        <f>IF(ISBLANK(tbl_task3[[คะแนนเต็ม]:[คะแนนเต็ม]]),"",(tbl_task3[72]/tbl_task3[[คะแนนเต็ม]:[คะแนนเต็ม]])*tbl_task3[[%]:[%]])</f>
        <v/>
      </c>
      <c r="II24" s="121" t="str">
        <f>IF(ISBLANK(tbl_task3[[คะแนนเต็ม]:[คะแนนเต็ม]]),"",(tbl_task3[73]/tbl_task3[[คะแนนเต็ม]:[คะแนนเต็ม]])*tbl_task3[[%]:[%]])</f>
        <v/>
      </c>
      <c r="IJ24" s="121" t="str">
        <f>IF(ISBLANK(tbl_task3[[คะแนนเต็ม]:[คะแนนเต็ม]]),"",(tbl_task3[74]/tbl_task3[[คะแนนเต็ม]:[คะแนนเต็ม]])*tbl_task3[[%]:[%]])</f>
        <v/>
      </c>
      <c r="IK24" s="121" t="str">
        <f>IF(ISBLANK(tbl_task3[[คะแนนเต็ม]:[คะแนนเต็ม]]),"",(tbl_task3[75]/tbl_task3[[คะแนนเต็ม]:[คะแนนเต็ม]])*tbl_task3[[%]:[%]])</f>
        <v/>
      </c>
      <c r="IL24" s="121" t="str">
        <f>IF(ISBLANK(tbl_task3[[คะแนนเต็ม]:[คะแนนเต็ม]]),"",(tbl_task3[76]/tbl_task3[[คะแนนเต็ม]:[คะแนนเต็ม]])*tbl_task3[[%]:[%]])</f>
        <v/>
      </c>
      <c r="IM24" s="121" t="str">
        <f>IF(ISBLANK(tbl_task3[[คะแนนเต็ม]:[คะแนนเต็ม]]),"",(tbl_task3[77]/tbl_task3[[คะแนนเต็ม]:[คะแนนเต็ม]])*tbl_task3[[%]:[%]])</f>
        <v/>
      </c>
      <c r="IN24" s="121" t="str">
        <f>IF(ISBLANK(tbl_task3[[คะแนนเต็ม]:[คะแนนเต็ม]]),"",(tbl_task3[78]/tbl_task3[[คะแนนเต็ม]:[คะแนนเต็ม]])*tbl_task3[[%]:[%]])</f>
        <v/>
      </c>
      <c r="IO24" s="121" t="str">
        <f>IF(ISBLANK(tbl_task3[[คะแนนเต็ม]:[คะแนนเต็ม]]),"",(tbl_task3[79]/tbl_task3[[คะแนนเต็ม]:[คะแนนเต็ม]])*tbl_task3[[%]:[%]])</f>
        <v/>
      </c>
      <c r="IP24" s="121" t="str">
        <f>IF(ISBLANK(tbl_task3[[คะแนนเต็ม]:[คะแนนเต็ม]]),"",(tbl_task3[80]/tbl_task3[[คะแนนเต็ม]:[คะแนนเต็ม]])*tbl_task3[[%]:[%]])</f>
        <v/>
      </c>
      <c r="IQ24" s="121" t="str">
        <f>IF(ISBLANK(tbl_task3[[คะแนนเต็ม]:[คะแนนเต็ม]]),"",(tbl_task3[81]/tbl_task3[[คะแนนเต็ม]:[คะแนนเต็ม]])*tbl_task3[[%]:[%]])</f>
        <v/>
      </c>
      <c r="IR24" s="121" t="str">
        <f>IF(ISBLANK(tbl_task3[[คะแนนเต็ม]:[คะแนนเต็ม]]),"",(tbl_task3[82]/tbl_task3[[คะแนนเต็ม]:[คะแนนเต็ม]])*tbl_task3[[%]:[%]])</f>
        <v/>
      </c>
      <c r="IS24" s="121" t="str">
        <f>IF(ISBLANK(tbl_task3[[คะแนนเต็ม]:[คะแนนเต็ม]]),"",(tbl_task3[83]/tbl_task3[[คะแนนเต็ม]:[คะแนนเต็ม]])*tbl_task3[[%]:[%]])</f>
        <v/>
      </c>
      <c r="IT24" s="121" t="str">
        <f>IF(ISBLANK(tbl_task3[[คะแนนเต็ม]:[คะแนนเต็ม]]),"",(tbl_task3[84]/tbl_task3[[คะแนนเต็ม]:[คะแนนเต็ม]])*tbl_task3[[%]:[%]])</f>
        <v/>
      </c>
      <c r="IU24" s="121" t="str">
        <f>IF(ISBLANK(tbl_task3[[คะแนนเต็ม]:[คะแนนเต็ม]]),"",(tbl_task3[85]/tbl_task3[[คะแนนเต็ม]:[คะแนนเต็ม]])*tbl_task3[[%]:[%]])</f>
        <v/>
      </c>
      <c r="IV24" s="121" t="str">
        <f>IF(ISBLANK(tbl_task3[[คะแนนเต็ม]:[คะแนนเต็ม]]),"",(tbl_task3[86]/tbl_task3[[คะแนนเต็ม]:[คะแนนเต็ม]])*tbl_task3[[%]:[%]])</f>
        <v/>
      </c>
      <c r="IW24" s="121" t="str">
        <f>IF(ISBLANK(tbl_task3[[คะแนนเต็ม]:[คะแนนเต็ม]]),"",(tbl_task3[87]/tbl_task3[[คะแนนเต็ม]:[คะแนนเต็ม]])*tbl_task3[[%]:[%]])</f>
        <v/>
      </c>
      <c r="IX24" s="121" t="str">
        <f>IF(ISBLANK(tbl_task3[[คะแนนเต็ม]:[คะแนนเต็ม]]),"",(tbl_task3[88]/tbl_task3[[คะแนนเต็ม]:[คะแนนเต็ม]])*tbl_task3[[%]:[%]])</f>
        <v/>
      </c>
      <c r="IY24" s="121" t="str">
        <f>IF(ISBLANK(tbl_task3[[คะแนนเต็ม]:[คะแนนเต็ม]]),"",(tbl_task3[89]/tbl_task3[[คะแนนเต็ม]:[คะแนนเต็ม]])*tbl_task3[[%]:[%]])</f>
        <v/>
      </c>
      <c r="IZ24" s="121" t="str">
        <f>IF(ISBLANK(tbl_task3[[คะแนนเต็ม]:[คะแนนเต็ม]]),"",(tbl_task3[90]/tbl_task3[[คะแนนเต็ม]:[คะแนนเต็ม]])*tbl_task3[[%]:[%]])</f>
        <v/>
      </c>
      <c r="JA24" s="121" t="str">
        <f>IF(ISBLANK(tbl_task3[[คะแนนเต็ม]:[คะแนนเต็ม]]),"",(tbl_task3[91]/tbl_task3[[คะแนนเต็ม]:[คะแนนเต็ม]])*tbl_task3[[%]:[%]])</f>
        <v/>
      </c>
      <c r="JB24" s="121" t="str">
        <f>IF(ISBLANK(tbl_task3[[คะแนนเต็ม]:[คะแนนเต็ม]]),"",(tbl_task3[92]/tbl_task3[[คะแนนเต็ม]:[คะแนนเต็ม]])*tbl_task3[[%]:[%]])</f>
        <v/>
      </c>
      <c r="JC24" s="121" t="str">
        <f>IF(ISBLANK(tbl_task3[[คะแนนเต็ม]:[คะแนนเต็ม]]),"",(tbl_task3[93]/tbl_task3[[คะแนนเต็ม]:[คะแนนเต็ม]])*tbl_task3[[%]:[%]])</f>
        <v/>
      </c>
      <c r="JD24" s="121" t="str">
        <f>IF(ISBLANK(tbl_task3[[คะแนนเต็ม]:[คะแนนเต็ม]]),"",(tbl_task3[94]/tbl_task3[[คะแนนเต็ม]:[คะแนนเต็ม]])*tbl_task3[[%]:[%]])</f>
        <v/>
      </c>
      <c r="JE24" s="121" t="str">
        <f>IF(ISBLANK(tbl_task3[[คะแนนเต็ม]:[คะแนนเต็ม]]),"",(tbl_task3[95]/tbl_task3[[คะแนนเต็ม]:[คะแนนเต็ม]])*tbl_task3[[%]:[%]])</f>
        <v/>
      </c>
      <c r="JF24" s="121" t="str">
        <f>IF(ISBLANK(tbl_task3[[คะแนนเต็ม]:[คะแนนเต็ม]]),"",(tbl_task3[96]/tbl_task3[[คะแนนเต็ม]:[คะแนนเต็ม]])*tbl_task3[[%]:[%]])</f>
        <v/>
      </c>
      <c r="JG24" s="121" t="str">
        <f>IF(ISBLANK(tbl_task3[[คะแนนเต็ม]:[คะแนนเต็ม]]),"",(tbl_task3[97]/tbl_task3[[คะแนนเต็ม]:[คะแนนเต็ม]])*tbl_task3[[%]:[%]])</f>
        <v/>
      </c>
      <c r="JH24" s="121" t="str">
        <f>IF(ISBLANK(tbl_task3[[คะแนนเต็ม]:[คะแนนเต็ม]]),"",(tbl_task3[98]/tbl_task3[[คะแนนเต็ม]:[คะแนนเต็ม]])*tbl_task3[[%]:[%]])</f>
        <v/>
      </c>
      <c r="JI24" s="121" t="str">
        <f>IF(ISBLANK(tbl_task3[[คะแนนเต็ม]:[คะแนนเต็ม]]),"",(tbl_task3[99]/tbl_task3[[คะแนนเต็ม]:[คะแนนเต็ม]])*tbl_task3[[%]:[%]])</f>
        <v/>
      </c>
      <c r="JJ24" s="121" t="str">
        <f>IF(ISBLANK(tbl_task3[[คะแนนเต็ม]:[คะแนนเต็ม]]),"",(tbl_task3[100]/tbl_task3[[คะแนนเต็ม]:[คะแนนเต็ม]])*tbl_task3[[%]:[%]])</f>
        <v/>
      </c>
      <c r="JK24" s="121" t="str">
        <f>IF(ISBLANK(tbl_task3[[คะแนนเต็ม]:[คะแนนเต็ม]]),"",(tbl_task3[101]/tbl_task3[[คะแนนเต็ม]:[คะแนนเต็ม]])*tbl_task3[[%]:[%]])</f>
        <v/>
      </c>
      <c r="JL24" s="121" t="str">
        <f>IF(ISBLANK(tbl_task3[[คะแนนเต็ม]:[คะแนนเต็ม]]),"",(tbl_task3[102]/tbl_task3[[คะแนนเต็ม]:[คะแนนเต็ม]])*tbl_task3[[%]:[%]])</f>
        <v/>
      </c>
      <c r="JM24" s="121" t="str">
        <f>IF(ISBLANK(tbl_task3[[คะแนนเต็ม]:[คะแนนเต็ม]]),"",(tbl_task3[103]/tbl_task3[[คะแนนเต็ม]:[คะแนนเต็ม]])*tbl_task3[[%]:[%]])</f>
        <v/>
      </c>
      <c r="JN24" s="121" t="str">
        <f>IF(ISBLANK(tbl_task3[[คะแนนเต็ม]:[คะแนนเต็ม]]),"",(tbl_task3[104]/tbl_task3[[คะแนนเต็ม]:[คะแนนเต็ม]])*tbl_task3[[%]:[%]])</f>
        <v/>
      </c>
      <c r="JO24" s="121" t="str">
        <f>IF(ISBLANK(tbl_task3[[คะแนนเต็ม]:[คะแนนเต็ม]]),"",(tbl_task3[105]/tbl_task3[[คะแนนเต็ม]:[คะแนนเต็ม]])*tbl_task3[[%]:[%]])</f>
        <v/>
      </c>
      <c r="JP24" s="121" t="str">
        <f>IF(ISBLANK(tbl_task3[[คะแนนเต็ม]:[คะแนนเต็ม]]),"",(tbl_task3[106]/tbl_task3[[คะแนนเต็ม]:[คะแนนเต็ม]])*tbl_task3[[%]:[%]])</f>
        <v/>
      </c>
      <c r="JQ24" s="121" t="str">
        <f>IF(ISBLANK(tbl_task3[[คะแนนเต็ม]:[คะแนนเต็ม]]),"",(tbl_task3[107]/tbl_task3[[คะแนนเต็ม]:[คะแนนเต็ม]])*tbl_task3[[%]:[%]])</f>
        <v/>
      </c>
      <c r="JR24" s="121" t="str">
        <f>IF(ISBLANK(tbl_task3[[คะแนนเต็ม]:[คะแนนเต็ม]]),"",(tbl_task3[108]/tbl_task3[[คะแนนเต็ม]:[คะแนนเต็ม]])*tbl_task3[[%]:[%]])</f>
        <v/>
      </c>
      <c r="JS24" s="121" t="str">
        <f>IF(ISBLANK(tbl_task3[[คะแนนเต็ม]:[คะแนนเต็ม]]),"",(tbl_task3[109]/tbl_task3[[คะแนนเต็ม]:[คะแนนเต็ม]])*tbl_task3[[%]:[%]])</f>
        <v/>
      </c>
      <c r="JT24" s="121" t="str">
        <f>IF(ISBLANK(tbl_task3[[คะแนนเต็ม]:[คะแนนเต็ม]]),"",(tbl_task3[110]/tbl_task3[[คะแนนเต็ม]:[คะแนนเต็ม]])*tbl_task3[[%]:[%]])</f>
        <v/>
      </c>
      <c r="JU24" s="121" t="str">
        <f>IF(ISBLANK(tbl_task3[[คะแนนเต็ม]:[คะแนนเต็ม]]),"",(tbl_task3[111]/tbl_task3[[คะแนนเต็ม]:[คะแนนเต็ม]])*tbl_task3[[%]:[%]])</f>
        <v/>
      </c>
      <c r="JV24" s="121" t="str">
        <f>IF(ISBLANK(tbl_task3[[คะแนนเต็ม]:[คะแนนเต็ม]]),"",(tbl_task3[112]/tbl_task3[[คะแนนเต็ม]:[คะแนนเต็ม]])*tbl_task3[[%]:[%]])</f>
        <v/>
      </c>
      <c r="JW24" s="121" t="str">
        <f>IF(ISBLANK(tbl_task3[[คะแนนเต็ม]:[คะแนนเต็ม]]),"",(tbl_task3[113]/tbl_task3[[คะแนนเต็ม]:[คะแนนเต็ม]])*tbl_task3[[%]:[%]])</f>
        <v/>
      </c>
      <c r="JX24" s="121" t="str">
        <f>IF(ISBLANK(tbl_task3[[คะแนนเต็ม]:[คะแนนเต็ม]]),"",(tbl_task3[114]/tbl_task3[[คะแนนเต็ม]:[คะแนนเต็ม]])*tbl_task3[[%]:[%]])</f>
        <v/>
      </c>
      <c r="JY24" s="121" t="str">
        <f>IF(ISBLANK(tbl_task3[[คะแนนเต็ม]:[คะแนนเต็ม]]),"",(tbl_task3[115]/tbl_task3[[คะแนนเต็ม]:[คะแนนเต็ม]])*tbl_task3[[%]:[%]])</f>
        <v/>
      </c>
      <c r="JZ24" s="121" t="str">
        <f>IF(ISBLANK(tbl_task3[[คะแนนเต็ม]:[คะแนนเต็ม]]),"",(tbl_task3[116]/tbl_task3[[คะแนนเต็ม]:[คะแนนเต็ม]])*tbl_task3[[%]:[%]])</f>
        <v/>
      </c>
      <c r="KA24" s="121" t="str">
        <f>IF(ISBLANK(tbl_task3[[คะแนนเต็ม]:[คะแนนเต็ม]]),"",(tbl_task3[117]/tbl_task3[[คะแนนเต็ม]:[คะแนนเต็ม]])*tbl_task3[[%]:[%]])</f>
        <v/>
      </c>
      <c r="KB24" s="121" t="str">
        <f>IF(ISBLANK(tbl_task3[[คะแนนเต็ม]:[คะแนนเต็ม]]),"",(tbl_task3[118]/tbl_task3[[คะแนนเต็ม]:[คะแนนเต็ม]])*tbl_task3[[%]:[%]])</f>
        <v/>
      </c>
      <c r="KC24" s="121" t="str">
        <f>IF(ISBLANK(tbl_task3[[คะแนนเต็ม]:[คะแนนเต็ม]]),"",(tbl_task3[119]/tbl_task3[[คะแนนเต็ม]:[คะแนนเต็ม]])*tbl_task3[[%]:[%]])</f>
        <v/>
      </c>
      <c r="KD24" s="121" t="str">
        <f>IF(ISBLANK(tbl_task3[[คะแนนเต็ม]:[คะแนนเต็ม]]),"",(tbl_task3[120]/tbl_task3[[คะแนนเต็ม]:[คะแนนเต็ม]])*tbl_task3[[%]:[%]])</f>
        <v/>
      </c>
      <c r="KE24" s="121" t="str">
        <f>IF(ISBLANK(tbl_task3[[คะแนนเต็ม]:[คะแนนเต็ม]]),"",(tbl_task3[121]/tbl_task3[[คะแนนเต็ม]:[คะแนนเต็ม]])*tbl_task3[[%]:[%]])</f>
        <v/>
      </c>
      <c r="KF24" s="121" t="str">
        <f>IF(ISBLANK(tbl_task3[[คะแนนเต็ม]:[คะแนนเต็ม]]),"",(tbl_task3[122]/tbl_task3[[คะแนนเต็ม]:[คะแนนเต็ม]])*tbl_task3[[%]:[%]])</f>
        <v/>
      </c>
      <c r="KG24" s="121" t="str">
        <f>IF(ISBLANK(tbl_task3[[คะแนนเต็ม]:[คะแนนเต็ม]]),"",(tbl_task3[123]/tbl_task3[[คะแนนเต็ม]:[คะแนนเต็ม]])*tbl_task3[[%]:[%]])</f>
        <v/>
      </c>
      <c r="KH24" s="121" t="str">
        <f>IF(ISBLANK(tbl_task3[[คะแนนเต็ม]:[คะแนนเต็ม]]),"",(tbl_task3[124]/tbl_task3[[คะแนนเต็ม]:[คะแนนเต็ม]])*tbl_task3[[%]:[%]])</f>
        <v/>
      </c>
      <c r="KI24" s="121" t="str">
        <f>IF(ISBLANK(tbl_task3[[คะแนนเต็ม]:[คะแนนเต็ม]]),"",(tbl_task3[125]/tbl_task3[[คะแนนเต็ม]:[คะแนนเต็ม]])*tbl_task3[[%]:[%]])</f>
        <v/>
      </c>
      <c r="KJ24" s="121" t="str">
        <f>IF(ISBLANK(tbl_task3[[คะแนนเต็ม]:[คะแนนเต็ม]]),"",(tbl_task3[126]/tbl_task3[[คะแนนเต็ม]:[คะแนนเต็ม]])*tbl_task3[[%]:[%]])</f>
        <v/>
      </c>
      <c r="KK24" s="121" t="str">
        <f>IF(ISBLANK(tbl_task3[[คะแนนเต็ม]:[คะแนนเต็ม]]),"",(tbl_task3[127]/tbl_task3[[คะแนนเต็ม]:[คะแนนเต็ม]])*tbl_task3[[%]:[%]])</f>
        <v/>
      </c>
      <c r="KL24" s="121" t="str">
        <f>IF(ISBLANK(tbl_task3[[คะแนนเต็ม]:[คะแนนเต็ม]]),"",(tbl_task3[128]/tbl_task3[[คะแนนเต็ม]:[คะแนนเต็ม]])*tbl_task3[[%]:[%]])</f>
        <v/>
      </c>
      <c r="KM24" s="121" t="str">
        <f>IF(ISBLANK(tbl_task3[[คะแนนเต็ม]:[คะแนนเต็ม]]),"",(tbl_task3[129]/tbl_task3[[คะแนนเต็ม]:[คะแนนเต็ม]])*tbl_task3[[%]:[%]])</f>
        <v/>
      </c>
      <c r="KN24" s="121" t="str">
        <f>IF(ISBLANK(tbl_task3[[คะแนนเต็ม]:[คะแนนเต็ม]]),"",(tbl_task3[130]/tbl_task3[[คะแนนเต็ม]:[คะแนนเต็ม]])*tbl_task3[[%]:[%]])</f>
        <v/>
      </c>
      <c r="KO24" s="121" t="str">
        <f>IF(ISBLANK(tbl_task3[[คะแนนเต็ม]:[คะแนนเต็ม]]),"",(tbl_task3[131]/tbl_task3[[คะแนนเต็ม]:[คะแนนเต็ม]])*tbl_task3[[%]:[%]])</f>
        <v/>
      </c>
      <c r="KP24" s="121" t="str">
        <f>IF(ISBLANK(tbl_task3[[คะแนนเต็ม]:[คะแนนเต็ม]]),"",(tbl_task3[132]/tbl_task3[[คะแนนเต็ม]:[คะแนนเต็ม]])*tbl_task3[[%]:[%]])</f>
        <v/>
      </c>
      <c r="KQ24" s="121" t="str">
        <f>IF(ISBLANK(tbl_task3[[คะแนนเต็ม]:[คะแนนเต็ม]]),"",(tbl_task3[133]/tbl_task3[[คะแนนเต็ม]:[คะแนนเต็ม]])*tbl_task3[[%]:[%]])</f>
        <v/>
      </c>
      <c r="KR24" s="121" t="str">
        <f>IF(ISBLANK(tbl_task3[[คะแนนเต็ม]:[คะแนนเต็ม]]),"",(tbl_task3[134]/tbl_task3[[คะแนนเต็ม]:[คะแนนเต็ม]])*tbl_task3[[%]:[%]])</f>
        <v/>
      </c>
      <c r="KS24" s="121" t="str">
        <f>IF(ISBLANK(tbl_task3[[คะแนนเต็ม]:[คะแนนเต็ม]]),"",(tbl_task3[135]/tbl_task3[[คะแนนเต็ม]:[คะแนนเต็ม]])*tbl_task3[[%]:[%]])</f>
        <v/>
      </c>
      <c r="KT24" s="121" t="str">
        <f>IF(ISBLANK(tbl_task3[[คะแนนเต็ม]:[คะแนนเต็ม]]),"",(tbl_task3[136]/tbl_task3[[คะแนนเต็ม]:[คะแนนเต็ม]])*tbl_task3[[%]:[%]])</f>
        <v/>
      </c>
      <c r="KU24" s="121" t="str">
        <f>IF(ISBLANK(tbl_task3[[คะแนนเต็ม]:[คะแนนเต็ม]]),"",(tbl_task3[137]/tbl_task3[[คะแนนเต็ม]:[คะแนนเต็ม]])*tbl_task3[[%]:[%]])</f>
        <v/>
      </c>
      <c r="KV24" s="121" t="str">
        <f>IF(ISBLANK(tbl_task3[[คะแนนเต็ม]:[คะแนนเต็ม]]),"",(tbl_task3[138]/tbl_task3[[คะแนนเต็ม]:[คะแนนเต็ม]])*tbl_task3[[%]:[%]])</f>
        <v/>
      </c>
      <c r="KW24" s="121" t="str">
        <f>IF(ISBLANK(tbl_task3[[คะแนนเต็ม]:[คะแนนเต็ม]]),"",(tbl_task3[139]/tbl_task3[[คะแนนเต็ม]:[คะแนนเต็ม]])*tbl_task3[[%]:[%]])</f>
        <v/>
      </c>
      <c r="KX24" s="121" t="str">
        <f>IF(ISBLANK(tbl_task3[[คะแนนเต็ม]:[คะแนนเต็ม]]),"",(tbl_task3[140]/tbl_task3[[คะแนนเต็ม]:[คะแนนเต็ม]])*tbl_task3[[%]:[%]])</f>
        <v/>
      </c>
      <c r="KY24" s="121" t="str">
        <f>IF(ISBLANK(tbl_task3[[คะแนนเต็ม]:[คะแนนเต็ม]]),"",(tbl_task3[141]/tbl_task3[[คะแนนเต็ม]:[คะแนนเต็ม]])*tbl_task3[[%]:[%]])</f>
        <v/>
      </c>
      <c r="KZ24" s="121" t="str">
        <f>IF(ISBLANK(tbl_task3[[คะแนนเต็ม]:[คะแนนเต็ม]]),"",(tbl_task3[142]/tbl_task3[[คะแนนเต็ม]:[คะแนนเต็ม]])*tbl_task3[[%]:[%]])</f>
        <v/>
      </c>
      <c r="LA24" s="121" t="str">
        <f>IF(ISBLANK(tbl_task3[[คะแนนเต็ม]:[คะแนนเต็ม]]),"",(tbl_task3[143]/tbl_task3[[คะแนนเต็ม]:[คะแนนเต็ม]])*tbl_task3[[%]:[%]])</f>
        <v/>
      </c>
      <c r="LB24" s="121" t="str">
        <f>IF(ISBLANK(tbl_task3[[คะแนนเต็ม]:[คะแนนเต็ม]]),"",(tbl_task3[144]/tbl_task3[[คะแนนเต็ม]:[คะแนนเต็ม]])*tbl_task3[[%]:[%]])</f>
        <v/>
      </c>
      <c r="LC24" s="121" t="str">
        <f>IF(ISBLANK(tbl_task3[[คะแนนเต็ม]:[คะแนนเต็ม]]),"",(tbl_task3[145]/tbl_task3[[คะแนนเต็ม]:[คะแนนเต็ม]])*tbl_task3[[%]:[%]])</f>
        <v/>
      </c>
      <c r="LD24" s="121" t="str">
        <f>IF(ISBLANK(tbl_task3[[คะแนนเต็ม]:[คะแนนเต็ม]]),"",(tbl_task3[146]/tbl_task3[[คะแนนเต็ม]:[คะแนนเต็ม]])*tbl_task3[[%]:[%]])</f>
        <v/>
      </c>
      <c r="LE24" s="121" t="str">
        <f>IF(ISBLANK(tbl_task3[[คะแนนเต็ม]:[คะแนนเต็ม]]),"",(tbl_task3[147]/tbl_task3[[คะแนนเต็ม]:[คะแนนเต็ม]])*tbl_task3[[%]:[%]])</f>
        <v/>
      </c>
      <c r="LF24" s="121" t="str">
        <f>IF(ISBLANK(tbl_task3[[คะแนนเต็ม]:[คะแนนเต็ม]]),"",(tbl_task3[148]/tbl_task3[[คะแนนเต็ม]:[คะแนนเต็ม]])*tbl_task3[[%]:[%]])</f>
        <v/>
      </c>
      <c r="LG24" s="121" t="str">
        <f>IF(ISBLANK(tbl_task3[[คะแนนเต็ม]:[คะแนนเต็ม]]),"",(tbl_task3[149]/tbl_task3[[คะแนนเต็ม]:[คะแนนเต็ม]])*tbl_task3[[%]:[%]])</f>
        <v/>
      </c>
      <c r="LH24" s="121" t="str">
        <f>IF(ISBLANK(tbl_task3[[คะแนนเต็ม]:[คะแนนเต็ม]]),"",(tbl_task3[150]/tbl_task3[[คะแนนเต็ม]:[คะแนนเต็ม]])*tbl_task3[[%]:[%]])</f>
        <v/>
      </c>
      <c r="LI24" s="121" t="str">
        <f>IF(ISBLANK(tbl_task3[[คะแนนเต็ม]:[คะแนนเต็ม]]),"",(tbl_task3[151]/tbl_task3[[คะแนนเต็ม]:[คะแนนเต็ม]])*tbl_task3[[%]:[%]])</f>
        <v/>
      </c>
      <c r="LJ24" s="121" t="str">
        <f>IF(ISBLANK(tbl_task3[[คะแนนเต็ม]:[คะแนนเต็ม]]),"",(tbl_task3[152]/tbl_task3[[คะแนนเต็ม]:[คะแนนเต็ม]])*tbl_task3[[%]:[%]])</f>
        <v/>
      </c>
      <c r="LK24" s="121" t="str">
        <f>IF(ISBLANK(tbl_task3[[คะแนนเต็ม]:[คะแนนเต็ม]]),"",(tbl_task3[153]/tbl_task3[[คะแนนเต็ม]:[คะแนนเต็ม]])*tbl_task3[[%]:[%]])</f>
        <v/>
      </c>
      <c r="LL24" s="121" t="str">
        <f>IF(ISBLANK(tbl_task3[[คะแนนเต็ม]:[คะแนนเต็ม]]),"",(tbl_task3[154]/tbl_task3[[คะแนนเต็ม]:[คะแนนเต็ม]])*tbl_task3[[%]:[%]])</f>
        <v/>
      </c>
      <c r="LM24" s="121" t="str">
        <f>IF(ISBLANK(tbl_task3[[คะแนนเต็ม]:[คะแนนเต็ม]]),"",(tbl_task3[155]/tbl_task3[[คะแนนเต็ม]:[คะแนนเต็ม]])*tbl_task3[[%]:[%]])</f>
        <v/>
      </c>
      <c r="LN24" s="121" t="str">
        <f>IF(ISBLANK(tbl_task3[[คะแนนเต็ม]:[คะแนนเต็ม]]),"",(tbl_task3[156]/tbl_task3[[คะแนนเต็ม]:[คะแนนเต็ม]])*tbl_task3[[%]:[%]])</f>
        <v/>
      </c>
      <c r="LO24" s="121" t="str">
        <f>IF(ISBLANK(tbl_task3[[คะแนนเต็ม]:[คะแนนเต็ม]]),"",(tbl_task3[157]/tbl_task3[[คะแนนเต็ม]:[คะแนนเต็ม]])*tbl_task3[[%]:[%]])</f>
        <v/>
      </c>
      <c r="LP24" s="121" t="str">
        <f>IF(ISBLANK(tbl_task3[[คะแนนเต็ม]:[คะแนนเต็ม]]),"",(tbl_task3[158]/tbl_task3[[คะแนนเต็ม]:[คะแนนเต็ม]])*tbl_task3[[%]:[%]])</f>
        <v/>
      </c>
      <c r="LQ24" s="121" t="str">
        <f>IF(ISBLANK(tbl_task3[[คะแนนเต็ม]:[คะแนนเต็ม]]),"",(tbl_task3[159]/tbl_task3[[คะแนนเต็ม]:[คะแนนเต็ม]])*tbl_task3[[%]:[%]])</f>
        <v/>
      </c>
      <c r="LR24" s="121" t="str">
        <f>IF(ISBLANK(tbl_task3[[คะแนนเต็ม]:[คะแนนเต็ม]]),"",(tbl_task3[160]/tbl_task3[[คะแนนเต็ม]:[คะแนนเต็ม]])*tbl_task3[[%]:[%]])</f>
        <v/>
      </c>
      <c r="LS24" s="121" t="str">
        <f>IF(ISBLANK(tbl_task3[[คะแนนเต็ม]:[คะแนนเต็ม]]),"",(tbl_task3[161]/tbl_task3[[คะแนนเต็ม]:[คะแนนเต็ม]])*tbl_task3[[%]:[%]])</f>
        <v/>
      </c>
      <c r="LT24" s="121" t="str">
        <f>IF(ISBLANK(tbl_task3[[คะแนนเต็ม]:[คะแนนเต็ม]]),"",(tbl_task3[162]/tbl_task3[[คะแนนเต็ม]:[คะแนนเต็ม]])*tbl_task3[[%]:[%]])</f>
        <v/>
      </c>
      <c r="LU24" s="121" t="str">
        <f>IF(ISBLANK(tbl_task3[[คะแนนเต็ม]:[คะแนนเต็ม]]),"",(tbl_task3[163]/tbl_task3[[คะแนนเต็ม]:[คะแนนเต็ม]])*tbl_task3[[%]:[%]])</f>
        <v/>
      </c>
      <c r="LV24" s="121" t="str">
        <f>IF(ISBLANK(tbl_task3[[คะแนนเต็ม]:[คะแนนเต็ม]]),"",(tbl_task3[164]/tbl_task3[[คะแนนเต็ม]:[คะแนนเต็ม]])*tbl_task3[[%]:[%]])</f>
        <v/>
      </c>
      <c r="LW24" s="121" t="str">
        <f>IF(ISBLANK(tbl_task3[[คะแนนเต็ม]:[คะแนนเต็ม]]),"",(tbl_task3[165]/tbl_task3[[คะแนนเต็ม]:[คะแนนเต็ม]])*tbl_task3[[%]:[%]])</f>
        <v/>
      </c>
    </row>
    <row r="25" spans="1:335" ht="24" customHeight="1" x14ac:dyDescent="0.25">
      <c r="A25" s="24">
        <v>22</v>
      </c>
      <c r="B25" s="20"/>
      <c r="C25" s="5" t="str">
        <f>IF(ISBLANK(B25),"",VLOOKUP(B25,tbl_PLOs[],2,0))</f>
        <v/>
      </c>
      <c r="D25" s="102"/>
      <c r="E25" s="106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21" t="str">
        <f>IF(ISBLANK(tbl_task3[[คะแนนเต็ม]:[คะแนนเต็ม]]),"",(tbl_task3[1]/tbl_task3[[คะแนนเต็ม]:[คะแนนเต็ม]])*tbl_task3[[%]:[%]])</f>
        <v/>
      </c>
      <c r="FP25" s="121" t="str">
        <f>IF(ISBLANK(tbl_task3[[คะแนนเต็ม]:[คะแนนเต็ม]]),"",(tbl_task3[2]/tbl_task3[[คะแนนเต็ม]:[คะแนนเต็ม]])*tbl_task3[[%]:[%]])</f>
        <v/>
      </c>
      <c r="FQ25" s="121" t="str">
        <f>IF(ISBLANK(tbl_task3[[คะแนนเต็ม]:[คะแนนเต็ม]]),"",(tbl_task3[3]/tbl_task3[[คะแนนเต็ม]:[คะแนนเต็ม]])*tbl_task3[[%]:[%]])</f>
        <v/>
      </c>
      <c r="FR25" s="121" t="str">
        <f>IF(ISBLANK(tbl_task3[[คะแนนเต็ม]:[คะแนนเต็ม]]),"",(tbl_task3[4]/tbl_task3[[คะแนนเต็ม]:[คะแนนเต็ม]])*tbl_task3[[%]:[%]])</f>
        <v/>
      </c>
      <c r="FS25" s="121" t="str">
        <f>IF(ISBLANK(tbl_task3[[คะแนนเต็ม]:[คะแนนเต็ม]]),"",(tbl_task3[5]/tbl_task3[[คะแนนเต็ม]:[คะแนนเต็ม]])*tbl_task3[[%]:[%]])</f>
        <v/>
      </c>
      <c r="FT25" s="121" t="str">
        <f>IF(ISBLANK(tbl_task3[[คะแนนเต็ม]:[คะแนนเต็ม]]),"",(tbl_task3[6]/tbl_task3[[คะแนนเต็ม]:[คะแนนเต็ม]])*tbl_task3[[%]:[%]])</f>
        <v/>
      </c>
      <c r="FU25" s="121" t="str">
        <f>IF(ISBLANK(tbl_task3[[คะแนนเต็ม]:[คะแนนเต็ม]]),"",(tbl_task3[7]/tbl_task3[[คะแนนเต็ม]:[คะแนนเต็ม]])*tbl_task3[[%]:[%]])</f>
        <v/>
      </c>
      <c r="FV25" s="121" t="str">
        <f>IF(ISBLANK(tbl_task3[[คะแนนเต็ม]:[คะแนนเต็ม]]),"",(tbl_task3[8]/tbl_task3[[คะแนนเต็ม]:[คะแนนเต็ม]])*tbl_task3[[%]:[%]])</f>
        <v/>
      </c>
      <c r="FW25" s="121" t="str">
        <f>IF(ISBLANK(tbl_task3[[คะแนนเต็ม]:[คะแนนเต็ม]]),"",(tbl_task3[9]/tbl_task3[[คะแนนเต็ม]:[คะแนนเต็ม]])*tbl_task3[[%]:[%]])</f>
        <v/>
      </c>
      <c r="FX25" s="121" t="str">
        <f>IF(ISBLANK(tbl_task3[[คะแนนเต็ม]:[คะแนนเต็ม]]),"",(tbl_task3[10]/tbl_task3[[คะแนนเต็ม]:[คะแนนเต็ม]])*tbl_task3[[%]:[%]])</f>
        <v/>
      </c>
      <c r="FY25" s="121" t="str">
        <f>IF(ISBLANK(tbl_task3[[คะแนนเต็ม]:[คะแนนเต็ม]]),"",(tbl_task3[11]/tbl_task3[[คะแนนเต็ม]:[คะแนนเต็ม]])*tbl_task3[[%]:[%]])</f>
        <v/>
      </c>
      <c r="FZ25" s="121" t="str">
        <f>IF(ISBLANK(tbl_task3[[คะแนนเต็ม]:[คะแนนเต็ม]]),"",(tbl_task3[12]/tbl_task3[[คะแนนเต็ม]:[คะแนนเต็ม]])*tbl_task3[[%]:[%]])</f>
        <v/>
      </c>
      <c r="GA25" s="121" t="str">
        <f>IF(ISBLANK(tbl_task3[[คะแนนเต็ม]:[คะแนนเต็ม]]),"",(tbl_task3[13]/tbl_task3[[คะแนนเต็ม]:[คะแนนเต็ม]])*tbl_task3[[%]:[%]])</f>
        <v/>
      </c>
      <c r="GB25" s="121" t="str">
        <f>IF(ISBLANK(tbl_task3[[คะแนนเต็ม]:[คะแนนเต็ม]]),"",(tbl_task3[14]/tbl_task3[[คะแนนเต็ม]:[คะแนนเต็ม]])*tbl_task3[[%]:[%]])</f>
        <v/>
      </c>
      <c r="GC25" s="121" t="str">
        <f>IF(ISBLANK(tbl_task3[[คะแนนเต็ม]:[คะแนนเต็ม]]),"",(tbl_task3[15]/tbl_task3[[คะแนนเต็ม]:[คะแนนเต็ม]])*tbl_task3[[%]:[%]])</f>
        <v/>
      </c>
      <c r="GD25" s="121" t="str">
        <f>IF(ISBLANK(tbl_task3[[คะแนนเต็ม]:[คะแนนเต็ม]]),"",(tbl_task3[16]/tbl_task3[[คะแนนเต็ม]:[คะแนนเต็ม]])*tbl_task3[[%]:[%]])</f>
        <v/>
      </c>
      <c r="GE25" s="121" t="str">
        <f>IF(ISBLANK(tbl_task3[[คะแนนเต็ม]:[คะแนนเต็ม]]),"",(tbl_task3[17]/tbl_task3[[คะแนนเต็ม]:[คะแนนเต็ม]])*tbl_task3[[%]:[%]])</f>
        <v/>
      </c>
      <c r="GF25" s="121" t="str">
        <f>IF(ISBLANK(tbl_task3[[คะแนนเต็ม]:[คะแนนเต็ม]]),"",(tbl_task3[18]/tbl_task3[[คะแนนเต็ม]:[คะแนนเต็ม]])*tbl_task3[[%]:[%]])</f>
        <v/>
      </c>
      <c r="GG25" s="121" t="str">
        <f>IF(ISBLANK(tbl_task3[[คะแนนเต็ม]:[คะแนนเต็ม]]),"",(tbl_task3[19]/tbl_task3[[คะแนนเต็ม]:[คะแนนเต็ม]])*tbl_task3[[%]:[%]])</f>
        <v/>
      </c>
      <c r="GH25" s="121" t="str">
        <f>IF(ISBLANK(tbl_task3[[คะแนนเต็ม]:[คะแนนเต็ม]]),"",(tbl_task3[20]/tbl_task3[[คะแนนเต็ม]:[คะแนนเต็ม]])*tbl_task3[[%]:[%]])</f>
        <v/>
      </c>
      <c r="GI25" s="121" t="str">
        <f>IF(ISBLANK(tbl_task3[[คะแนนเต็ม]:[คะแนนเต็ม]]),"",(tbl_task3[21]/tbl_task3[[คะแนนเต็ม]:[คะแนนเต็ม]])*tbl_task3[[%]:[%]])</f>
        <v/>
      </c>
      <c r="GJ25" s="121" t="str">
        <f>IF(ISBLANK(tbl_task3[[คะแนนเต็ม]:[คะแนนเต็ม]]),"",(tbl_task3[22]/tbl_task3[[คะแนนเต็ม]:[คะแนนเต็ม]])*tbl_task3[[%]:[%]])</f>
        <v/>
      </c>
      <c r="GK25" s="121" t="str">
        <f>IF(ISBLANK(tbl_task3[[คะแนนเต็ม]:[คะแนนเต็ม]]),"",(tbl_task3[23]/tbl_task3[[คะแนนเต็ม]:[คะแนนเต็ม]])*tbl_task3[[%]:[%]])</f>
        <v/>
      </c>
      <c r="GL25" s="121" t="str">
        <f>IF(ISBLANK(tbl_task3[[คะแนนเต็ม]:[คะแนนเต็ม]]),"",(tbl_task3[24]/tbl_task3[[คะแนนเต็ม]:[คะแนนเต็ม]])*tbl_task3[[%]:[%]])</f>
        <v/>
      </c>
      <c r="GM25" s="121" t="str">
        <f>IF(ISBLANK(tbl_task3[[คะแนนเต็ม]:[คะแนนเต็ม]]),"",(tbl_task3[25]/tbl_task3[[คะแนนเต็ม]:[คะแนนเต็ม]])*tbl_task3[[%]:[%]])</f>
        <v/>
      </c>
      <c r="GN25" s="121" t="str">
        <f>IF(ISBLANK(tbl_task3[[คะแนนเต็ม]:[คะแนนเต็ม]]),"",(tbl_task3[26]/tbl_task3[[คะแนนเต็ม]:[คะแนนเต็ม]])*tbl_task3[[%]:[%]])</f>
        <v/>
      </c>
      <c r="GO25" s="121" t="str">
        <f>IF(ISBLANK(tbl_task3[[คะแนนเต็ม]:[คะแนนเต็ม]]),"",(tbl_task3[27]/tbl_task3[[คะแนนเต็ม]:[คะแนนเต็ม]])*tbl_task3[[%]:[%]])</f>
        <v/>
      </c>
      <c r="GP25" s="121" t="str">
        <f>IF(ISBLANK(tbl_task3[[คะแนนเต็ม]:[คะแนนเต็ม]]),"",(tbl_task3[28]/tbl_task3[[คะแนนเต็ม]:[คะแนนเต็ม]])*tbl_task3[[%]:[%]])</f>
        <v/>
      </c>
      <c r="GQ25" s="121" t="str">
        <f>IF(ISBLANK(tbl_task3[[คะแนนเต็ม]:[คะแนนเต็ม]]),"",(tbl_task3[29]/tbl_task3[[คะแนนเต็ม]:[คะแนนเต็ม]])*tbl_task3[[%]:[%]])</f>
        <v/>
      </c>
      <c r="GR25" s="121" t="str">
        <f>IF(ISBLANK(tbl_task3[[คะแนนเต็ม]:[คะแนนเต็ม]]),"",(tbl_task3[30]/tbl_task3[[คะแนนเต็ม]:[คะแนนเต็ม]])*tbl_task3[[%]:[%]])</f>
        <v/>
      </c>
      <c r="GS25" s="121" t="str">
        <f>IF(ISBLANK(tbl_task3[[คะแนนเต็ม]:[คะแนนเต็ม]]),"",(tbl_task3[31]/tbl_task3[[คะแนนเต็ม]:[คะแนนเต็ม]])*tbl_task3[[%]:[%]])</f>
        <v/>
      </c>
      <c r="GT25" s="121" t="str">
        <f>IF(ISBLANK(tbl_task3[[คะแนนเต็ม]:[คะแนนเต็ม]]),"",(tbl_task3[32]/tbl_task3[[คะแนนเต็ม]:[คะแนนเต็ม]])*tbl_task3[[%]:[%]])</f>
        <v/>
      </c>
      <c r="GU25" s="121" t="str">
        <f>IF(ISBLANK(tbl_task3[[คะแนนเต็ม]:[คะแนนเต็ม]]),"",(tbl_task3[33]/tbl_task3[[คะแนนเต็ม]:[คะแนนเต็ม]])*tbl_task3[[%]:[%]])</f>
        <v/>
      </c>
      <c r="GV25" s="121" t="str">
        <f>IF(ISBLANK(tbl_task3[[คะแนนเต็ม]:[คะแนนเต็ม]]),"",(tbl_task3[34]/tbl_task3[[คะแนนเต็ม]:[คะแนนเต็ม]])*tbl_task3[[%]:[%]])</f>
        <v/>
      </c>
      <c r="GW25" s="121" t="str">
        <f>IF(ISBLANK(tbl_task3[[คะแนนเต็ม]:[คะแนนเต็ม]]),"",(tbl_task3[35]/tbl_task3[[คะแนนเต็ม]:[คะแนนเต็ม]])*tbl_task3[[%]:[%]])</f>
        <v/>
      </c>
      <c r="GX25" s="121" t="str">
        <f>IF(ISBLANK(tbl_task3[[คะแนนเต็ม]:[คะแนนเต็ม]]),"",(tbl_task3[36]/tbl_task3[[คะแนนเต็ม]:[คะแนนเต็ม]])*tbl_task3[[%]:[%]])</f>
        <v/>
      </c>
      <c r="GY25" s="121" t="str">
        <f>IF(ISBLANK(tbl_task3[[คะแนนเต็ม]:[คะแนนเต็ม]]),"",(tbl_task3[37]/tbl_task3[[คะแนนเต็ม]:[คะแนนเต็ม]])*tbl_task3[[%]:[%]])</f>
        <v/>
      </c>
      <c r="GZ25" s="121" t="str">
        <f>IF(ISBLANK(tbl_task3[[คะแนนเต็ม]:[คะแนนเต็ม]]),"",(tbl_task3[38]/tbl_task3[[คะแนนเต็ม]:[คะแนนเต็ม]])*tbl_task3[[%]:[%]])</f>
        <v/>
      </c>
      <c r="HA25" s="121" t="str">
        <f>IF(ISBLANK(tbl_task3[[คะแนนเต็ม]:[คะแนนเต็ม]]),"",(tbl_task3[39]/tbl_task3[[คะแนนเต็ม]:[คะแนนเต็ม]])*tbl_task3[[%]:[%]])</f>
        <v/>
      </c>
      <c r="HB25" s="121" t="str">
        <f>IF(ISBLANK(tbl_task3[[คะแนนเต็ม]:[คะแนนเต็ม]]),"",(tbl_task3[40]/tbl_task3[[คะแนนเต็ม]:[คะแนนเต็ม]])*tbl_task3[[%]:[%]])</f>
        <v/>
      </c>
      <c r="HC25" s="121" t="str">
        <f>IF(ISBLANK(tbl_task3[[คะแนนเต็ม]:[คะแนนเต็ม]]),"",(tbl_task3[41]/tbl_task3[[คะแนนเต็ม]:[คะแนนเต็ม]])*tbl_task3[[%]:[%]])</f>
        <v/>
      </c>
      <c r="HD25" s="121" t="str">
        <f>IF(ISBLANK(tbl_task3[[คะแนนเต็ม]:[คะแนนเต็ม]]),"",(tbl_task3[42]/tbl_task3[[คะแนนเต็ม]:[คะแนนเต็ม]])*tbl_task3[[%]:[%]])</f>
        <v/>
      </c>
      <c r="HE25" s="121" t="str">
        <f>IF(ISBLANK(tbl_task3[[คะแนนเต็ม]:[คะแนนเต็ม]]),"",(tbl_task3[43]/tbl_task3[[คะแนนเต็ม]:[คะแนนเต็ม]])*tbl_task3[[%]:[%]])</f>
        <v/>
      </c>
      <c r="HF25" s="121" t="str">
        <f>IF(ISBLANK(tbl_task3[[คะแนนเต็ม]:[คะแนนเต็ม]]),"",(tbl_task3[44]/tbl_task3[[คะแนนเต็ม]:[คะแนนเต็ม]])*tbl_task3[[%]:[%]])</f>
        <v/>
      </c>
      <c r="HG25" s="121" t="str">
        <f>IF(ISBLANK(tbl_task3[[คะแนนเต็ม]:[คะแนนเต็ม]]),"",(tbl_task3[45]/tbl_task3[[คะแนนเต็ม]:[คะแนนเต็ม]])*tbl_task3[[%]:[%]])</f>
        <v/>
      </c>
      <c r="HH25" s="121" t="str">
        <f>IF(ISBLANK(tbl_task3[[คะแนนเต็ม]:[คะแนนเต็ม]]),"",(tbl_task3[46]/tbl_task3[[คะแนนเต็ม]:[คะแนนเต็ม]])*tbl_task3[[%]:[%]])</f>
        <v/>
      </c>
      <c r="HI25" s="121" t="str">
        <f>IF(ISBLANK(tbl_task3[[คะแนนเต็ม]:[คะแนนเต็ม]]),"",(tbl_task3[47]/tbl_task3[[คะแนนเต็ม]:[คะแนนเต็ม]])*tbl_task3[[%]:[%]])</f>
        <v/>
      </c>
      <c r="HJ25" s="121" t="str">
        <f>IF(ISBLANK(tbl_task3[[คะแนนเต็ม]:[คะแนนเต็ม]]),"",(tbl_task3[48]/tbl_task3[[คะแนนเต็ม]:[คะแนนเต็ม]])*tbl_task3[[%]:[%]])</f>
        <v/>
      </c>
      <c r="HK25" s="121" t="str">
        <f>IF(ISBLANK(tbl_task3[[คะแนนเต็ม]:[คะแนนเต็ม]]),"",(tbl_task3[49]/tbl_task3[[คะแนนเต็ม]:[คะแนนเต็ม]])*tbl_task3[[%]:[%]])</f>
        <v/>
      </c>
      <c r="HL25" s="121" t="str">
        <f>IF(ISBLANK(tbl_task3[[คะแนนเต็ม]:[คะแนนเต็ม]]),"",(tbl_task3[50]/tbl_task3[[คะแนนเต็ม]:[คะแนนเต็ม]])*tbl_task3[[%]:[%]])</f>
        <v/>
      </c>
      <c r="HM25" s="121" t="str">
        <f>IF(ISBLANK(tbl_task3[[คะแนนเต็ม]:[คะแนนเต็ม]]),"",(tbl_task3[51]/tbl_task3[[คะแนนเต็ม]:[คะแนนเต็ม]])*tbl_task3[[%]:[%]])</f>
        <v/>
      </c>
      <c r="HN25" s="121" t="str">
        <f>IF(ISBLANK(tbl_task3[[คะแนนเต็ม]:[คะแนนเต็ม]]),"",(tbl_task3[52]/tbl_task3[[คะแนนเต็ม]:[คะแนนเต็ม]])*tbl_task3[[%]:[%]])</f>
        <v/>
      </c>
      <c r="HO25" s="121" t="str">
        <f>IF(ISBLANK(tbl_task3[[คะแนนเต็ม]:[คะแนนเต็ม]]),"",(tbl_task3[53]/tbl_task3[[คะแนนเต็ม]:[คะแนนเต็ม]])*tbl_task3[[%]:[%]])</f>
        <v/>
      </c>
      <c r="HP25" s="121" t="str">
        <f>IF(ISBLANK(tbl_task3[[คะแนนเต็ม]:[คะแนนเต็ม]]),"",(tbl_task3[54]/tbl_task3[[คะแนนเต็ม]:[คะแนนเต็ม]])*tbl_task3[[%]:[%]])</f>
        <v/>
      </c>
      <c r="HQ25" s="121" t="str">
        <f>IF(ISBLANK(tbl_task3[[คะแนนเต็ม]:[คะแนนเต็ม]]),"",(tbl_task3[55]/tbl_task3[[คะแนนเต็ม]:[คะแนนเต็ม]])*tbl_task3[[%]:[%]])</f>
        <v/>
      </c>
      <c r="HR25" s="121" t="str">
        <f>IF(ISBLANK(tbl_task3[[คะแนนเต็ม]:[คะแนนเต็ม]]),"",(tbl_task3[56]/tbl_task3[[คะแนนเต็ม]:[คะแนนเต็ม]])*tbl_task3[[%]:[%]])</f>
        <v/>
      </c>
      <c r="HS25" s="121" t="str">
        <f>IF(ISBLANK(tbl_task3[[คะแนนเต็ม]:[คะแนนเต็ม]]),"",(tbl_task3[57]/tbl_task3[[คะแนนเต็ม]:[คะแนนเต็ม]])*tbl_task3[[%]:[%]])</f>
        <v/>
      </c>
      <c r="HT25" s="121" t="str">
        <f>IF(ISBLANK(tbl_task3[[คะแนนเต็ม]:[คะแนนเต็ม]]),"",(tbl_task3[58]/tbl_task3[[คะแนนเต็ม]:[คะแนนเต็ม]])*tbl_task3[[%]:[%]])</f>
        <v/>
      </c>
      <c r="HU25" s="121" t="str">
        <f>IF(ISBLANK(tbl_task3[[คะแนนเต็ม]:[คะแนนเต็ม]]),"",(tbl_task3[59]/tbl_task3[[คะแนนเต็ม]:[คะแนนเต็ม]])*tbl_task3[[%]:[%]])</f>
        <v/>
      </c>
      <c r="HV25" s="121" t="str">
        <f>IF(ISBLANK(tbl_task3[[คะแนนเต็ม]:[คะแนนเต็ม]]),"",(tbl_task3[60]/tbl_task3[[คะแนนเต็ม]:[คะแนนเต็ม]])*tbl_task3[[%]:[%]])</f>
        <v/>
      </c>
      <c r="HW25" s="121" t="str">
        <f>IF(ISBLANK(tbl_task3[[คะแนนเต็ม]:[คะแนนเต็ม]]),"",(tbl_task3[61]/tbl_task3[[คะแนนเต็ม]:[คะแนนเต็ม]])*tbl_task3[[%]:[%]])</f>
        <v/>
      </c>
      <c r="HX25" s="121" t="str">
        <f>IF(ISBLANK(tbl_task3[[คะแนนเต็ม]:[คะแนนเต็ม]]),"",(tbl_task3[62]/tbl_task3[[คะแนนเต็ม]:[คะแนนเต็ม]])*tbl_task3[[%]:[%]])</f>
        <v/>
      </c>
      <c r="HY25" s="121" t="str">
        <f>IF(ISBLANK(tbl_task3[[คะแนนเต็ม]:[คะแนนเต็ม]]),"",(tbl_task3[63]/tbl_task3[[คะแนนเต็ม]:[คะแนนเต็ม]])*tbl_task3[[%]:[%]])</f>
        <v/>
      </c>
      <c r="HZ25" s="121" t="str">
        <f>IF(ISBLANK(tbl_task3[[คะแนนเต็ม]:[คะแนนเต็ม]]),"",(tbl_task3[64]/tbl_task3[[คะแนนเต็ม]:[คะแนนเต็ม]])*tbl_task3[[%]:[%]])</f>
        <v/>
      </c>
      <c r="IA25" s="121" t="str">
        <f>IF(ISBLANK(tbl_task3[[คะแนนเต็ม]:[คะแนนเต็ม]]),"",(tbl_task3[65]/tbl_task3[[คะแนนเต็ม]:[คะแนนเต็ม]])*tbl_task3[[%]:[%]])</f>
        <v/>
      </c>
      <c r="IB25" s="121" t="str">
        <f>IF(ISBLANK(tbl_task3[[คะแนนเต็ม]:[คะแนนเต็ม]]),"",(tbl_task3[66]/tbl_task3[[คะแนนเต็ม]:[คะแนนเต็ม]])*tbl_task3[[%]:[%]])</f>
        <v/>
      </c>
      <c r="IC25" s="121" t="str">
        <f>IF(ISBLANK(tbl_task3[[คะแนนเต็ม]:[คะแนนเต็ม]]),"",(tbl_task3[67]/tbl_task3[[คะแนนเต็ม]:[คะแนนเต็ม]])*tbl_task3[[%]:[%]])</f>
        <v/>
      </c>
      <c r="ID25" s="121" t="str">
        <f>IF(ISBLANK(tbl_task3[[คะแนนเต็ม]:[คะแนนเต็ม]]),"",(tbl_task3[68]/tbl_task3[[คะแนนเต็ม]:[คะแนนเต็ม]])*tbl_task3[[%]:[%]])</f>
        <v/>
      </c>
      <c r="IE25" s="121" t="str">
        <f>IF(ISBLANK(tbl_task3[[คะแนนเต็ม]:[คะแนนเต็ม]]),"",(tbl_task3[69]/tbl_task3[[คะแนนเต็ม]:[คะแนนเต็ม]])*tbl_task3[[%]:[%]])</f>
        <v/>
      </c>
      <c r="IF25" s="121" t="str">
        <f>IF(ISBLANK(tbl_task3[[คะแนนเต็ม]:[คะแนนเต็ม]]),"",(tbl_task3[70]/tbl_task3[[คะแนนเต็ม]:[คะแนนเต็ม]])*tbl_task3[[%]:[%]])</f>
        <v/>
      </c>
      <c r="IG25" s="121" t="str">
        <f>IF(ISBLANK(tbl_task3[[คะแนนเต็ม]:[คะแนนเต็ม]]),"",(tbl_task3[71]/tbl_task3[[คะแนนเต็ม]:[คะแนนเต็ม]])*tbl_task3[[%]:[%]])</f>
        <v/>
      </c>
      <c r="IH25" s="121" t="str">
        <f>IF(ISBLANK(tbl_task3[[คะแนนเต็ม]:[คะแนนเต็ม]]),"",(tbl_task3[72]/tbl_task3[[คะแนนเต็ม]:[คะแนนเต็ม]])*tbl_task3[[%]:[%]])</f>
        <v/>
      </c>
      <c r="II25" s="121" t="str">
        <f>IF(ISBLANK(tbl_task3[[คะแนนเต็ม]:[คะแนนเต็ม]]),"",(tbl_task3[73]/tbl_task3[[คะแนนเต็ม]:[คะแนนเต็ม]])*tbl_task3[[%]:[%]])</f>
        <v/>
      </c>
      <c r="IJ25" s="121" t="str">
        <f>IF(ISBLANK(tbl_task3[[คะแนนเต็ม]:[คะแนนเต็ม]]),"",(tbl_task3[74]/tbl_task3[[คะแนนเต็ม]:[คะแนนเต็ม]])*tbl_task3[[%]:[%]])</f>
        <v/>
      </c>
      <c r="IK25" s="121" t="str">
        <f>IF(ISBLANK(tbl_task3[[คะแนนเต็ม]:[คะแนนเต็ม]]),"",(tbl_task3[75]/tbl_task3[[คะแนนเต็ม]:[คะแนนเต็ม]])*tbl_task3[[%]:[%]])</f>
        <v/>
      </c>
      <c r="IL25" s="121" t="str">
        <f>IF(ISBLANK(tbl_task3[[คะแนนเต็ม]:[คะแนนเต็ม]]),"",(tbl_task3[76]/tbl_task3[[คะแนนเต็ม]:[คะแนนเต็ม]])*tbl_task3[[%]:[%]])</f>
        <v/>
      </c>
      <c r="IM25" s="121" t="str">
        <f>IF(ISBLANK(tbl_task3[[คะแนนเต็ม]:[คะแนนเต็ม]]),"",(tbl_task3[77]/tbl_task3[[คะแนนเต็ม]:[คะแนนเต็ม]])*tbl_task3[[%]:[%]])</f>
        <v/>
      </c>
      <c r="IN25" s="121" t="str">
        <f>IF(ISBLANK(tbl_task3[[คะแนนเต็ม]:[คะแนนเต็ม]]),"",(tbl_task3[78]/tbl_task3[[คะแนนเต็ม]:[คะแนนเต็ม]])*tbl_task3[[%]:[%]])</f>
        <v/>
      </c>
      <c r="IO25" s="121" t="str">
        <f>IF(ISBLANK(tbl_task3[[คะแนนเต็ม]:[คะแนนเต็ม]]),"",(tbl_task3[79]/tbl_task3[[คะแนนเต็ม]:[คะแนนเต็ม]])*tbl_task3[[%]:[%]])</f>
        <v/>
      </c>
      <c r="IP25" s="121" t="str">
        <f>IF(ISBLANK(tbl_task3[[คะแนนเต็ม]:[คะแนนเต็ม]]),"",(tbl_task3[80]/tbl_task3[[คะแนนเต็ม]:[คะแนนเต็ม]])*tbl_task3[[%]:[%]])</f>
        <v/>
      </c>
      <c r="IQ25" s="121" t="str">
        <f>IF(ISBLANK(tbl_task3[[คะแนนเต็ม]:[คะแนนเต็ม]]),"",(tbl_task3[81]/tbl_task3[[คะแนนเต็ม]:[คะแนนเต็ม]])*tbl_task3[[%]:[%]])</f>
        <v/>
      </c>
      <c r="IR25" s="121" t="str">
        <f>IF(ISBLANK(tbl_task3[[คะแนนเต็ม]:[คะแนนเต็ม]]),"",(tbl_task3[82]/tbl_task3[[คะแนนเต็ม]:[คะแนนเต็ม]])*tbl_task3[[%]:[%]])</f>
        <v/>
      </c>
      <c r="IS25" s="121" t="str">
        <f>IF(ISBLANK(tbl_task3[[คะแนนเต็ม]:[คะแนนเต็ม]]),"",(tbl_task3[83]/tbl_task3[[คะแนนเต็ม]:[คะแนนเต็ม]])*tbl_task3[[%]:[%]])</f>
        <v/>
      </c>
      <c r="IT25" s="121" t="str">
        <f>IF(ISBLANK(tbl_task3[[คะแนนเต็ม]:[คะแนนเต็ม]]),"",(tbl_task3[84]/tbl_task3[[คะแนนเต็ม]:[คะแนนเต็ม]])*tbl_task3[[%]:[%]])</f>
        <v/>
      </c>
      <c r="IU25" s="121" t="str">
        <f>IF(ISBLANK(tbl_task3[[คะแนนเต็ม]:[คะแนนเต็ม]]),"",(tbl_task3[85]/tbl_task3[[คะแนนเต็ม]:[คะแนนเต็ม]])*tbl_task3[[%]:[%]])</f>
        <v/>
      </c>
      <c r="IV25" s="121" t="str">
        <f>IF(ISBLANK(tbl_task3[[คะแนนเต็ม]:[คะแนนเต็ม]]),"",(tbl_task3[86]/tbl_task3[[คะแนนเต็ม]:[คะแนนเต็ม]])*tbl_task3[[%]:[%]])</f>
        <v/>
      </c>
      <c r="IW25" s="121" t="str">
        <f>IF(ISBLANK(tbl_task3[[คะแนนเต็ม]:[คะแนนเต็ม]]),"",(tbl_task3[87]/tbl_task3[[คะแนนเต็ม]:[คะแนนเต็ม]])*tbl_task3[[%]:[%]])</f>
        <v/>
      </c>
      <c r="IX25" s="121" t="str">
        <f>IF(ISBLANK(tbl_task3[[คะแนนเต็ม]:[คะแนนเต็ม]]),"",(tbl_task3[88]/tbl_task3[[คะแนนเต็ม]:[คะแนนเต็ม]])*tbl_task3[[%]:[%]])</f>
        <v/>
      </c>
      <c r="IY25" s="121" t="str">
        <f>IF(ISBLANK(tbl_task3[[คะแนนเต็ม]:[คะแนนเต็ม]]),"",(tbl_task3[89]/tbl_task3[[คะแนนเต็ม]:[คะแนนเต็ม]])*tbl_task3[[%]:[%]])</f>
        <v/>
      </c>
      <c r="IZ25" s="121" t="str">
        <f>IF(ISBLANK(tbl_task3[[คะแนนเต็ม]:[คะแนนเต็ม]]),"",(tbl_task3[90]/tbl_task3[[คะแนนเต็ม]:[คะแนนเต็ม]])*tbl_task3[[%]:[%]])</f>
        <v/>
      </c>
      <c r="JA25" s="121" t="str">
        <f>IF(ISBLANK(tbl_task3[[คะแนนเต็ม]:[คะแนนเต็ม]]),"",(tbl_task3[91]/tbl_task3[[คะแนนเต็ม]:[คะแนนเต็ม]])*tbl_task3[[%]:[%]])</f>
        <v/>
      </c>
      <c r="JB25" s="121" t="str">
        <f>IF(ISBLANK(tbl_task3[[คะแนนเต็ม]:[คะแนนเต็ม]]),"",(tbl_task3[92]/tbl_task3[[คะแนนเต็ม]:[คะแนนเต็ม]])*tbl_task3[[%]:[%]])</f>
        <v/>
      </c>
      <c r="JC25" s="121" t="str">
        <f>IF(ISBLANK(tbl_task3[[คะแนนเต็ม]:[คะแนนเต็ม]]),"",(tbl_task3[93]/tbl_task3[[คะแนนเต็ม]:[คะแนนเต็ม]])*tbl_task3[[%]:[%]])</f>
        <v/>
      </c>
      <c r="JD25" s="121" t="str">
        <f>IF(ISBLANK(tbl_task3[[คะแนนเต็ม]:[คะแนนเต็ม]]),"",(tbl_task3[94]/tbl_task3[[คะแนนเต็ม]:[คะแนนเต็ม]])*tbl_task3[[%]:[%]])</f>
        <v/>
      </c>
      <c r="JE25" s="121" t="str">
        <f>IF(ISBLANK(tbl_task3[[คะแนนเต็ม]:[คะแนนเต็ม]]),"",(tbl_task3[95]/tbl_task3[[คะแนนเต็ม]:[คะแนนเต็ม]])*tbl_task3[[%]:[%]])</f>
        <v/>
      </c>
      <c r="JF25" s="121" t="str">
        <f>IF(ISBLANK(tbl_task3[[คะแนนเต็ม]:[คะแนนเต็ม]]),"",(tbl_task3[96]/tbl_task3[[คะแนนเต็ม]:[คะแนนเต็ม]])*tbl_task3[[%]:[%]])</f>
        <v/>
      </c>
      <c r="JG25" s="121" t="str">
        <f>IF(ISBLANK(tbl_task3[[คะแนนเต็ม]:[คะแนนเต็ม]]),"",(tbl_task3[97]/tbl_task3[[คะแนนเต็ม]:[คะแนนเต็ม]])*tbl_task3[[%]:[%]])</f>
        <v/>
      </c>
      <c r="JH25" s="121" t="str">
        <f>IF(ISBLANK(tbl_task3[[คะแนนเต็ม]:[คะแนนเต็ม]]),"",(tbl_task3[98]/tbl_task3[[คะแนนเต็ม]:[คะแนนเต็ม]])*tbl_task3[[%]:[%]])</f>
        <v/>
      </c>
      <c r="JI25" s="121" t="str">
        <f>IF(ISBLANK(tbl_task3[[คะแนนเต็ม]:[คะแนนเต็ม]]),"",(tbl_task3[99]/tbl_task3[[คะแนนเต็ม]:[คะแนนเต็ม]])*tbl_task3[[%]:[%]])</f>
        <v/>
      </c>
      <c r="JJ25" s="121" t="str">
        <f>IF(ISBLANK(tbl_task3[[คะแนนเต็ม]:[คะแนนเต็ม]]),"",(tbl_task3[100]/tbl_task3[[คะแนนเต็ม]:[คะแนนเต็ม]])*tbl_task3[[%]:[%]])</f>
        <v/>
      </c>
      <c r="JK25" s="121" t="str">
        <f>IF(ISBLANK(tbl_task3[[คะแนนเต็ม]:[คะแนนเต็ม]]),"",(tbl_task3[101]/tbl_task3[[คะแนนเต็ม]:[คะแนนเต็ม]])*tbl_task3[[%]:[%]])</f>
        <v/>
      </c>
      <c r="JL25" s="121" t="str">
        <f>IF(ISBLANK(tbl_task3[[คะแนนเต็ม]:[คะแนนเต็ม]]),"",(tbl_task3[102]/tbl_task3[[คะแนนเต็ม]:[คะแนนเต็ม]])*tbl_task3[[%]:[%]])</f>
        <v/>
      </c>
      <c r="JM25" s="121" t="str">
        <f>IF(ISBLANK(tbl_task3[[คะแนนเต็ม]:[คะแนนเต็ม]]),"",(tbl_task3[103]/tbl_task3[[คะแนนเต็ม]:[คะแนนเต็ม]])*tbl_task3[[%]:[%]])</f>
        <v/>
      </c>
      <c r="JN25" s="121" t="str">
        <f>IF(ISBLANK(tbl_task3[[คะแนนเต็ม]:[คะแนนเต็ม]]),"",(tbl_task3[104]/tbl_task3[[คะแนนเต็ม]:[คะแนนเต็ม]])*tbl_task3[[%]:[%]])</f>
        <v/>
      </c>
      <c r="JO25" s="121" t="str">
        <f>IF(ISBLANK(tbl_task3[[คะแนนเต็ม]:[คะแนนเต็ม]]),"",(tbl_task3[105]/tbl_task3[[คะแนนเต็ม]:[คะแนนเต็ม]])*tbl_task3[[%]:[%]])</f>
        <v/>
      </c>
      <c r="JP25" s="121" t="str">
        <f>IF(ISBLANK(tbl_task3[[คะแนนเต็ม]:[คะแนนเต็ม]]),"",(tbl_task3[106]/tbl_task3[[คะแนนเต็ม]:[คะแนนเต็ม]])*tbl_task3[[%]:[%]])</f>
        <v/>
      </c>
      <c r="JQ25" s="121" t="str">
        <f>IF(ISBLANK(tbl_task3[[คะแนนเต็ม]:[คะแนนเต็ม]]),"",(tbl_task3[107]/tbl_task3[[คะแนนเต็ม]:[คะแนนเต็ม]])*tbl_task3[[%]:[%]])</f>
        <v/>
      </c>
      <c r="JR25" s="121" t="str">
        <f>IF(ISBLANK(tbl_task3[[คะแนนเต็ม]:[คะแนนเต็ม]]),"",(tbl_task3[108]/tbl_task3[[คะแนนเต็ม]:[คะแนนเต็ม]])*tbl_task3[[%]:[%]])</f>
        <v/>
      </c>
      <c r="JS25" s="121" t="str">
        <f>IF(ISBLANK(tbl_task3[[คะแนนเต็ม]:[คะแนนเต็ม]]),"",(tbl_task3[109]/tbl_task3[[คะแนนเต็ม]:[คะแนนเต็ม]])*tbl_task3[[%]:[%]])</f>
        <v/>
      </c>
      <c r="JT25" s="121" t="str">
        <f>IF(ISBLANK(tbl_task3[[คะแนนเต็ม]:[คะแนนเต็ม]]),"",(tbl_task3[110]/tbl_task3[[คะแนนเต็ม]:[คะแนนเต็ม]])*tbl_task3[[%]:[%]])</f>
        <v/>
      </c>
      <c r="JU25" s="121" t="str">
        <f>IF(ISBLANK(tbl_task3[[คะแนนเต็ม]:[คะแนนเต็ม]]),"",(tbl_task3[111]/tbl_task3[[คะแนนเต็ม]:[คะแนนเต็ม]])*tbl_task3[[%]:[%]])</f>
        <v/>
      </c>
      <c r="JV25" s="121" t="str">
        <f>IF(ISBLANK(tbl_task3[[คะแนนเต็ม]:[คะแนนเต็ม]]),"",(tbl_task3[112]/tbl_task3[[คะแนนเต็ม]:[คะแนนเต็ม]])*tbl_task3[[%]:[%]])</f>
        <v/>
      </c>
      <c r="JW25" s="121" t="str">
        <f>IF(ISBLANK(tbl_task3[[คะแนนเต็ม]:[คะแนนเต็ม]]),"",(tbl_task3[113]/tbl_task3[[คะแนนเต็ม]:[คะแนนเต็ม]])*tbl_task3[[%]:[%]])</f>
        <v/>
      </c>
      <c r="JX25" s="121" t="str">
        <f>IF(ISBLANK(tbl_task3[[คะแนนเต็ม]:[คะแนนเต็ม]]),"",(tbl_task3[114]/tbl_task3[[คะแนนเต็ม]:[คะแนนเต็ม]])*tbl_task3[[%]:[%]])</f>
        <v/>
      </c>
      <c r="JY25" s="121" t="str">
        <f>IF(ISBLANK(tbl_task3[[คะแนนเต็ม]:[คะแนนเต็ม]]),"",(tbl_task3[115]/tbl_task3[[คะแนนเต็ม]:[คะแนนเต็ม]])*tbl_task3[[%]:[%]])</f>
        <v/>
      </c>
      <c r="JZ25" s="121" t="str">
        <f>IF(ISBLANK(tbl_task3[[คะแนนเต็ม]:[คะแนนเต็ม]]),"",(tbl_task3[116]/tbl_task3[[คะแนนเต็ม]:[คะแนนเต็ม]])*tbl_task3[[%]:[%]])</f>
        <v/>
      </c>
      <c r="KA25" s="121" t="str">
        <f>IF(ISBLANK(tbl_task3[[คะแนนเต็ม]:[คะแนนเต็ม]]),"",(tbl_task3[117]/tbl_task3[[คะแนนเต็ม]:[คะแนนเต็ม]])*tbl_task3[[%]:[%]])</f>
        <v/>
      </c>
      <c r="KB25" s="121" t="str">
        <f>IF(ISBLANK(tbl_task3[[คะแนนเต็ม]:[คะแนนเต็ม]]),"",(tbl_task3[118]/tbl_task3[[คะแนนเต็ม]:[คะแนนเต็ม]])*tbl_task3[[%]:[%]])</f>
        <v/>
      </c>
      <c r="KC25" s="121" t="str">
        <f>IF(ISBLANK(tbl_task3[[คะแนนเต็ม]:[คะแนนเต็ม]]),"",(tbl_task3[119]/tbl_task3[[คะแนนเต็ม]:[คะแนนเต็ม]])*tbl_task3[[%]:[%]])</f>
        <v/>
      </c>
      <c r="KD25" s="121" t="str">
        <f>IF(ISBLANK(tbl_task3[[คะแนนเต็ม]:[คะแนนเต็ม]]),"",(tbl_task3[120]/tbl_task3[[คะแนนเต็ม]:[คะแนนเต็ม]])*tbl_task3[[%]:[%]])</f>
        <v/>
      </c>
      <c r="KE25" s="121" t="str">
        <f>IF(ISBLANK(tbl_task3[[คะแนนเต็ม]:[คะแนนเต็ม]]),"",(tbl_task3[121]/tbl_task3[[คะแนนเต็ม]:[คะแนนเต็ม]])*tbl_task3[[%]:[%]])</f>
        <v/>
      </c>
      <c r="KF25" s="121" t="str">
        <f>IF(ISBLANK(tbl_task3[[คะแนนเต็ม]:[คะแนนเต็ม]]),"",(tbl_task3[122]/tbl_task3[[คะแนนเต็ม]:[คะแนนเต็ม]])*tbl_task3[[%]:[%]])</f>
        <v/>
      </c>
      <c r="KG25" s="121" t="str">
        <f>IF(ISBLANK(tbl_task3[[คะแนนเต็ม]:[คะแนนเต็ม]]),"",(tbl_task3[123]/tbl_task3[[คะแนนเต็ม]:[คะแนนเต็ม]])*tbl_task3[[%]:[%]])</f>
        <v/>
      </c>
      <c r="KH25" s="121" t="str">
        <f>IF(ISBLANK(tbl_task3[[คะแนนเต็ม]:[คะแนนเต็ม]]),"",(tbl_task3[124]/tbl_task3[[คะแนนเต็ม]:[คะแนนเต็ม]])*tbl_task3[[%]:[%]])</f>
        <v/>
      </c>
      <c r="KI25" s="121" t="str">
        <f>IF(ISBLANK(tbl_task3[[คะแนนเต็ม]:[คะแนนเต็ม]]),"",(tbl_task3[125]/tbl_task3[[คะแนนเต็ม]:[คะแนนเต็ม]])*tbl_task3[[%]:[%]])</f>
        <v/>
      </c>
      <c r="KJ25" s="121" t="str">
        <f>IF(ISBLANK(tbl_task3[[คะแนนเต็ม]:[คะแนนเต็ม]]),"",(tbl_task3[126]/tbl_task3[[คะแนนเต็ม]:[คะแนนเต็ม]])*tbl_task3[[%]:[%]])</f>
        <v/>
      </c>
      <c r="KK25" s="121" t="str">
        <f>IF(ISBLANK(tbl_task3[[คะแนนเต็ม]:[คะแนนเต็ม]]),"",(tbl_task3[127]/tbl_task3[[คะแนนเต็ม]:[คะแนนเต็ม]])*tbl_task3[[%]:[%]])</f>
        <v/>
      </c>
      <c r="KL25" s="121" t="str">
        <f>IF(ISBLANK(tbl_task3[[คะแนนเต็ม]:[คะแนนเต็ม]]),"",(tbl_task3[128]/tbl_task3[[คะแนนเต็ม]:[คะแนนเต็ม]])*tbl_task3[[%]:[%]])</f>
        <v/>
      </c>
      <c r="KM25" s="121" t="str">
        <f>IF(ISBLANK(tbl_task3[[คะแนนเต็ม]:[คะแนนเต็ม]]),"",(tbl_task3[129]/tbl_task3[[คะแนนเต็ม]:[คะแนนเต็ม]])*tbl_task3[[%]:[%]])</f>
        <v/>
      </c>
      <c r="KN25" s="121" t="str">
        <f>IF(ISBLANK(tbl_task3[[คะแนนเต็ม]:[คะแนนเต็ม]]),"",(tbl_task3[130]/tbl_task3[[คะแนนเต็ม]:[คะแนนเต็ม]])*tbl_task3[[%]:[%]])</f>
        <v/>
      </c>
      <c r="KO25" s="121" t="str">
        <f>IF(ISBLANK(tbl_task3[[คะแนนเต็ม]:[คะแนนเต็ม]]),"",(tbl_task3[131]/tbl_task3[[คะแนนเต็ม]:[คะแนนเต็ม]])*tbl_task3[[%]:[%]])</f>
        <v/>
      </c>
      <c r="KP25" s="121" t="str">
        <f>IF(ISBLANK(tbl_task3[[คะแนนเต็ม]:[คะแนนเต็ม]]),"",(tbl_task3[132]/tbl_task3[[คะแนนเต็ม]:[คะแนนเต็ม]])*tbl_task3[[%]:[%]])</f>
        <v/>
      </c>
      <c r="KQ25" s="121" t="str">
        <f>IF(ISBLANK(tbl_task3[[คะแนนเต็ม]:[คะแนนเต็ม]]),"",(tbl_task3[133]/tbl_task3[[คะแนนเต็ม]:[คะแนนเต็ม]])*tbl_task3[[%]:[%]])</f>
        <v/>
      </c>
      <c r="KR25" s="121" t="str">
        <f>IF(ISBLANK(tbl_task3[[คะแนนเต็ม]:[คะแนนเต็ม]]),"",(tbl_task3[134]/tbl_task3[[คะแนนเต็ม]:[คะแนนเต็ม]])*tbl_task3[[%]:[%]])</f>
        <v/>
      </c>
      <c r="KS25" s="121" t="str">
        <f>IF(ISBLANK(tbl_task3[[คะแนนเต็ม]:[คะแนนเต็ม]]),"",(tbl_task3[135]/tbl_task3[[คะแนนเต็ม]:[คะแนนเต็ม]])*tbl_task3[[%]:[%]])</f>
        <v/>
      </c>
      <c r="KT25" s="121" t="str">
        <f>IF(ISBLANK(tbl_task3[[คะแนนเต็ม]:[คะแนนเต็ม]]),"",(tbl_task3[136]/tbl_task3[[คะแนนเต็ม]:[คะแนนเต็ม]])*tbl_task3[[%]:[%]])</f>
        <v/>
      </c>
      <c r="KU25" s="121" t="str">
        <f>IF(ISBLANK(tbl_task3[[คะแนนเต็ม]:[คะแนนเต็ม]]),"",(tbl_task3[137]/tbl_task3[[คะแนนเต็ม]:[คะแนนเต็ม]])*tbl_task3[[%]:[%]])</f>
        <v/>
      </c>
      <c r="KV25" s="121" t="str">
        <f>IF(ISBLANK(tbl_task3[[คะแนนเต็ม]:[คะแนนเต็ม]]),"",(tbl_task3[138]/tbl_task3[[คะแนนเต็ม]:[คะแนนเต็ม]])*tbl_task3[[%]:[%]])</f>
        <v/>
      </c>
      <c r="KW25" s="121" t="str">
        <f>IF(ISBLANK(tbl_task3[[คะแนนเต็ม]:[คะแนนเต็ม]]),"",(tbl_task3[139]/tbl_task3[[คะแนนเต็ม]:[คะแนนเต็ม]])*tbl_task3[[%]:[%]])</f>
        <v/>
      </c>
      <c r="KX25" s="121" t="str">
        <f>IF(ISBLANK(tbl_task3[[คะแนนเต็ม]:[คะแนนเต็ม]]),"",(tbl_task3[140]/tbl_task3[[คะแนนเต็ม]:[คะแนนเต็ม]])*tbl_task3[[%]:[%]])</f>
        <v/>
      </c>
      <c r="KY25" s="121" t="str">
        <f>IF(ISBLANK(tbl_task3[[คะแนนเต็ม]:[คะแนนเต็ม]]),"",(tbl_task3[141]/tbl_task3[[คะแนนเต็ม]:[คะแนนเต็ม]])*tbl_task3[[%]:[%]])</f>
        <v/>
      </c>
      <c r="KZ25" s="121" t="str">
        <f>IF(ISBLANK(tbl_task3[[คะแนนเต็ม]:[คะแนนเต็ม]]),"",(tbl_task3[142]/tbl_task3[[คะแนนเต็ม]:[คะแนนเต็ม]])*tbl_task3[[%]:[%]])</f>
        <v/>
      </c>
      <c r="LA25" s="121" t="str">
        <f>IF(ISBLANK(tbl_task3[[คะแนนเต็ม]:[คะแนนเต็ม]]),"",(tbl_task3[143]/tbl_task3[[คะแนนเต็ม]:[คะแนนเต็ม]])*tbl_task3[[%]:[%]])</f>
        <v/>
      </c>
      <c r="LB25" s="121" t="str">
        <f>IF(ISBLANK(tbl_task3[[คะแนนเต็ม]:[คะแนนเต็ม]]),"",(tbl_task3[144]/tbl_task3[[คะแนนเต็ม]:[คะแนนเต็ม]])*tbl_task3[[%]:[%]])</f>
        <v/>
      </c>
      <c r="LC25" s="121" t="str">
        <f>IF(ISBLANK(tbl_task3[[คะแนนเต็ม]:[คะแนนเต็ม]]),"",(tbl_task3[145]/tbl_task3[[คะแนนเต็ม]:[คะแนนเต็ม]])*tbl_task3[[%]:[%]])</f>
        <v/>
      </c>
      <c r="LD25" s="121" t="str">
        <f>IF(ISBLANK(tbl_task3[[คะแนนเต็ม]:[คะแนนเต็ม]]),"",(tbl_task3[146]/tbl_task3[[คะแนนเต็ม]:[คะแนนเต็ม]])*tbl_task3[[%]:[%]])</f>
        <v/>
      </c>
      <c r="LE25" s="121" t="str">
        <f>IF(ISBLANK(tbl_task3[[คะแนนเต็ม]:[คะแนนเต็ม]]),"",(tbl_task3[147]/tbl_task3[[คะแนนเต็ม]:[คะแนนเต็ม]])*tbl_task3[[%]:[%]])</f>
        <v/>
      </c>
      <c r="LF25" s="121" t="str">
        <f>IF(ISBLANK(tbl_task3[[คะแนนเต็ม]:[คะแนนเต็ม]]),"",(tbl_task3[148]/tbl_task3[[คะแนนเต็ม]:[คะแนนเต็ม]])*tbl_task3[[%]:[%]])</f>
        <v/>
      </c>
      <c r="LG25" s="121" t="str">
        <f>IF(ISBLANK(tbl_task3[[คะแนนเต็ม]:[คะแนนเต็ม]]),"",(tbl_task3[149]/tbl_task3[[คะแนนเต็ม]:[คะแนนเต็ม]])*tbl_task3[[%]:[%]])</f>
        <v/>
      </c>
      <c r="LH25" s="121" t="str">
        <f>IF(ISBLANK(tbl_task3[[คะแนนเต็ม]:[คะแนนเต็ม]]),"",(tbl_task3[150]/tbl_task3[[คะแนนเต็ม]:[คะแนนเต็ม]])*tbl_task3[[%]:[%]])</f>
        <v/>
      </c>
      <c r="LI25" s="121" t="str">
        <f>IF(ISBLANK(tbl_task3[[คะแนนเต็ม]:[คะแนนเต็ม]]),"",(tbl_task3[151]/tbl_task3[[คะแนนเต็ม]:[คะแนนเต็ม]])*tbl_task3[[%]:[%]])</f>
        <v/>
      </c>
      <c r="LJ25" s="121" t="str">
        <f>IF(ISBLANK(tbl_task3[[คะแนนเต็ม]:[คะแนนเต็ม]]),"",(tbl_task3[152]/tbl_task3[[คะแนนเต็ม]:[คะแนนเต็ม]])*tbl_task3[[%]:[%]])</f>
        <v/>
      </c>
      <c r="LK25" s="121" t="str">
        <f>IF(ISBLANK(tbl_task3[[คะแนนเต็ม]:[คะแนนเต็ม]]),"",(tbl_task3[153]/tbl_task3[[คะแนนเต็ม]:[คะแนนเต็ม]])*tbl_task3[[%]:[%]])</f>
        <v/>
      </c>
      <c r="LL25" s="121" t="str">
        <f>IF(ISBLANK(tbl_task3[[คะแนนเต็ม]:[คะแนนเต็ม]]),"",(tbl_task3[154]/tbl_task3[[คะแนนเต็ม]:[คะแนนเต็ม]])*tbl_task3[[%]:[%]])</f>
        <v/>
      </c>
      <c r="LM25" s="121" t="str">
        <f>IF(ISBLANK(tbl_task3[[คะแนนเต็ม]:[คะแนนเต็ม]]),"",(tbl_task3[155]/tbl_task3[[คะแนนเต็ม]:[คะแนนเต็ม]])*tbl_task3[[%]:[%]])</f>
        <v/>
      </c>
      <c r="LN25" s="121" t="str">
        <f>IF(ISBLANK(tbl_task3[[คะแนนเต็ม]:[คะแนนเต็ม]]),"",(tbl_task3[156]/tbl_task3[[คะแนนเต็ม]:[คะแนนเต็ม]])*tbl_task3[[%]:[%]])</f>
        <v/>
      </c>
      <c r="LO25" s="121" t="str">
        <f>IF(ISBLANK(tbl_task3[[คะแนนเต็ม]:[คะแนนเต็ม]]),"",(tbl_task3[157]/tbl_task3[[คะแนนเต็ม]:[คะแนนเต็ม]])*tbl_task3[[%]:[%]])</f>
        <v/>
      </c>
      <c r="LP25" s="121" t="str">
        <f>IF(ISBLANK(tbl_task3[[คะแนนเต็ม]:[คะแนนเต็ม]]),"",(tbl_task3[158]/tbl_task3[[คะแนนเต็ม]:[คะแนนเต็ม]])*tbl_task3[[%]:[%]])</f>
        <v/>
      </c>
      <c r="LQ25" s="121" t="str">
        <f>IF(ISBLANK(tbl_task3[[คะแนนเต็ม]:[คะแนนเต็ม]]),"",(tbl_task3[159]/tbl_task3[[คะแนนเต็ม]:[คะแนนเต็ม]])*tbl_task3[[%]:[%]])</f>
        <v/>
      </c>
      <c r="LR25" s="121" t="str">
        <f>IF(ISBLANK(tbl_task3[[คะแนนเต็ม]:[คะแนนเต็ม]]),"",(tbl_task3[160]/tbl_task3[[คะแนนเต็ม]:[คะแนนเต็ม]])*tbl_task3[[%]:[%]])</f>
        <v/>
      </c>
      <c r="LS25" s="121" t="str">
        <f>IF(ISBLANK(tbl_task3[[คะแนนเต็ม]:[คะแนนเต็ม]]),"",(tbl_task3[161]/tbl_task3[[คะแนนเต็ม]:[คะแนนเต็ม]])*tbl_task3[[%]:[%]])</f>
        <v/>
      </c>
      <c r="LT25" s="121" t="str">
        <f>IF(ISBLANK(tbl_task3[[คะแนนเต็ม]:[คะแนนเต็ม]]),"",(tbl_task3[162]/tbl_task3[[คะแนนเต็ม]:[คะแนนเต็ม]])*tbl_task3[[%]:[%]])</f>
        <v/>
      </c>
      <c r="LU25" s="121" t="str">
        <f>IF(ISBLANK(tbl_task3[[คะแนนเต็ม]:[คะแนนเต็ม]]),"",(tbl_task3[163]/tbl_task3[[คะแนนเต็ม]:[คะแนนเต็ม]])*tbl_task3[[%]:[%]])</f>
        <v/>
      </c>
      <c r="LV25" s="121" t="str">
        <f>IF(ISBLANK(tbl_task3[[คะแนนเต็ม]:[คะแนนเต็ม]]),"",(tbl_task3[164]/tbl_task3[[คะแนนเต็ม]:[คะแนนเต็ม]])*tbl_task3[[%]:[%]])</f>
        <v/>
      </c>
      <c r="LW25" s="121" t="str">
        <f>IF(ISBLANK(tbl_task3[[คะแนนเต็ม]:[คะแนนเต็ม]]),"",(tbl_task3[165]/tbl_task3[[คะแนนเต็ม]:[คะแนนเต็ม]])*tbl_task3[[%]:[%]])</f>
        <v/>
      </c>
    </row>
    <row r="26" spans="1:335" ht="24" customHeight="1" x14ac:dyDescent="0.25">
      <c r="A26" s="24">
        <v>23</v>
      </c>
      <c r="B26" s="20"/>
      <c r="C26" s="5" t="str">
        <f>IF(ISBLANK(B26),"",VLOOKUP(B26,tbl_PLOs[],2,0))</f>
        <v/>
      </c>
      <c r="D26" s="102"/>
      <c r="E26" s="106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21" t="str">
        <f>IF(ISBLANK(tbl_task3[[คะแนนเต็ม]:[คะแนนเต็ม]]),"",(tbl_task3[1]/tbl_task3[[คะแนนเต็ม]:[คะแนนเต็ม]])*tbl_task3[[%]:[%]])</f>
        <v/>
      </c>
      <c r="FP26" s="121" t="str">
        <f>IF(ISBLANK(tbl_task3[[คะแนนเต็ม]:[คะแนนเต็ม]]),"",(tbl_task3[2]/tbl_task3[[คะแนนเต็ม]:[คะแนนเต็ม]])*tbl_task3[[%]:[%]])</f>
        <v/>
      </c>
      <c r="FQ26" s="121" t="str">
        <f>IF(ISBLANK(tbl_task3[[คะแนนเต็ม]:[คะแนนเต็ม]]),"",(tbl_task3[3]/tbl_task3[[คะแนนเต็ม]:[คะแนนเต็ม]])*tbl_task3[[%]:[%]])</f>
        <v/>
      </c>
      <c r="FR26" s="121" t="str">
        <f>IF(ISBLANK(tbl_task3[[คะแนนเต็ม]:[คะแนนเต็ม]]),"",(tbl_task3[4]/tbl_task3[[คะแนนเต็ม]:[คะแนนเต็ม]])*tbl_task3[[%]:[%]])</f>
        <v/>
      </c>
      <c r="FS26" s="121" t="str">
        <f>IF(ISBLANK(tbl_task3[[คะแนนเต็ม]:[คะแนนเต็ม]]),"",(tbl_task3[5]/tbl_task3[[คะแนนเต็ม]:[คะแนนเต็ม]])*tbl_task3[[%]:[%]])</f>
        <v/>
      </c>
      <c r="FT26" s="121" t="str">
        <f>IF(ISBLANK(tbl_task3[[คะแนนเต็ม]:[คะแนนเต็ม]]),"",(tbl_task3[6]/tbl_task3[[คะแนนเต็ม]:[คะแนนเต็ม]])*tbl_task3[[%]:[%]])</f>
        <v/>
      </c>
      <c r="FU26" s="121" t="str">
        <f>IF(ISBLANK(tbl_task3[[คะแนนเต็ม]:[คะแนนเต็ม]]),"",(tbl_task3[7]/tbl_task3[[คะแนนเต็ม]:[คะแนนเต็ม]])*tbl_task3[[%]:[%]])</f>
        <v/>
      </c>
      <c r="FV26" s="121" t="str">
        <f>IF(ISBLANK(tbl_task3[[คะแนนเต็ม]:[คะแนนเต็ม]]),"",(tbl_task3[8]/tbl_task3[[คะแนนเต็ม]:[คะแนนเต็ม]])*tbl_task3[[%]:[%]])</f>
        <v/>
      </c>
      <c r="FW26" s="121" t="str">
        <f>IF(ISBLANK(tbl_task3[[คะแนนเต็ม]:[คะแนนเต็ม]]),"",(tbl_task3[9]/tbl_task3[[คะแนนเต็ม]:[คะแนนเต็ม]])*tbl_task3[[%]:[%]])</f>
        <v/>
      </c>
      <c r="FX26" s="121" t="str">
        <f>IF(ISBLANK(tbl_task3[[คะแนนเต็ม]:[คะแนนเต็ม]]),"",(tbl_task3[10]/tbl_task3[[คะแนนเต็ม]:[คะแนนเต็ม]])*tbl_task3[[%]:[%]])</f>
        <v/>
      </c>
      <c r="FY26" s="121" t="str">
        <f>IF(ISBLANK(tbl_task3[[คะแนนเต็ม]:[คะแนนเต็ม]]),"",(tbl_task3[11]/tbl_task3[[คะแนนเต็ม]:[คะแนนเต็ม]])*tbl_task3[[%]:[%]])</f>
        <v/>
      </c>
      <c r="FZ26" s="121" t="str">
        <f>IF(ISBLANK(tbl_task3[[คะแนนเต็ม]:[คะแนนเต็ม]]),"",(tbl_task3[12]/tbl_task3[[คะแนนเต็ม]:[คะแนนเต็ม]])*tbl_task3[[%]:[%]])</f>
        <v/>
      </c>
      <c r="GA26" s="121" t="str">
        <f>IF(ISBLANK(tbl_task3[[คะแนนเต็ม]:[คะแนนเต็ม]]),"",(tbl_task3[13]/tbl_task3[[คะแนนเต็ม]:[คะแนนเต็ม]])*tbl_task3[[%]:[%]])</f>
        <v/>
      </c>
      <c r="GB26" s="121" t="str">
        <f>IF(ISBLANK(tbl_task3[[คะแนนเต็ม]:[คะแนนเต็ม]]),"",(tbl_task3[14]/tbl_task3[[คะแนนเต็ม]:[คะแนนเต็ม]])*tbl_task3[[%]:[%]])</f>
        <v/>
      </c>
      <c r="GC26" s="121" t="str">
        <f>IF(ISBLANK(tbl_task3[[คะแนนเต็ม]:[คะแนนเต็ม]]),"",(tbl_task3[15]/tbl_task3[[คะแนนเต็ม]:[คะแนนเต็ม]])*tbl_task3[[%]:[%]])</f>
        <v/>
      </c>
      <c r="GD26" s="121" t="str">
        <f>IF(ISBLANK(tbl_task3[[คะแนนเต็ม]:[คะแนนเต็ม]]),"",(tbl_task3[16]/tbl_task3[[คะแนนเต็ม]:[คะแนนเต็ม]])*tbl_task3[[%]:[%]])</f>
        <v/>
      </c>
      <c r="GE26" s="121" t="str">
        <f>IF(ISBLANK(tbl_task3[[คะแนนเต็ม]:[คะแนนเต็ม]]),"",(tbl_task3[17]/tbl_task3[[คะแนนเต็ม]:[คะแนนเต็ม]])*tbl_task3[[%]:[%]])</f>
        <v/>
      </c>
      <c r="GF26" s="121" t="str">
        <f>IF(ISBLANK(tbl_task3[[คะแนนเต็ม]:[คะแนนเต็ม]]),"",(tbl_task3[18]/tbl_task3[[คะแนนเต็ม]:[คะแนนเต็ม]])*tbl_task3[[%]:[%]])</f>
        <v/>
      </c>
      <c r="GG26" s="121" t="str">
        <f>IF(ISBLANK(tbl_task3[[คะแนนเต็ม]:[คะแนนเต็ม]]),"",(tbl_task3[19]/tbl_task3[[คะแนนเต็ม]:[คะแนนเต็ม]])*tbl_task3[[%]:[%]])</f>
        <v/>
      </c>
      <c r="GH26" s="121" t="str">
        <f>IF(ISBLANK(tbl_task3[[คะแนนเต็ม]:[คะแนนเต็ม]]),"",(tbl_task3[20]/tbl_task3[[คะแนนเต็ม]:[คะแนนเต็ม]])*tbl_task3[[%]:[%]])</f>
        <v/>
      </c>
      <c r="GI26" s="121" t="str">
        <f>IF(ISBLANK(tbl_task3[[คะแนนเต็ม]:[คะแนนเต็ม]]),"",(tbl_task3[21]/tbl_task3[[คะแนนเต็ม]:[คะแนนเต็ม]])*tbl_task3[[%]:[%]])</f>
        <v/>
      </c>
      <c r="GJ26" s="121" t="str">
        <f>IF(ISBLANK(tbl_task3[[คะแนนเต็ม]:[คะแนนเต็ม]]),"",(tbl_task3[22]/tbl_task3[[คะแนนเต็ม]:[คะแนนเต็ม]])*tbl_task3[[%]:[%]])</f>
        <v/>
      </c>
      <c r="GK26" s="121" t="str">
        <f>IF(ISBLANK(tbl_task3[[คะแนนเต็ม]:[คะแนนเต็ม]]),"",(tbl_task3[23]/tbl_task3[[คะแนนเต็ม]:[คะแนนเต็ม]])*tbl_task3[[%]:[%]])</f>
        <v/>
      </c>
      <c r="GL26" s="121" t="str">
        <f>IF(ISBLANK(tbl_task3[[คะแนนเต็ม]:[คะแนนเต็ม]]),"",(tbl_task3[24]/tbl_task3[[คะแนนเต็ม]:[คะแนนเต็ม]])*tbl_task3[[%]:[%]])</f>
        <v/>
      </c>
      <c r="GM26" s="121" t="str">
        <f>IF(ISBLANK(tbl_task3[[คะแนนเต็ม]:[คะแนนเต็ม]]),"",(tbl_task3[25]/tbl_task3[[คะแนนเต็ม]:[คะแนนเต็ม]])*tbl_task3[[%]:[%]])</f>
        <v/>
      </c>
      <c r="GN26" s="121" t="str">
        <f>IF(ISBLANK(tbl_task3[[คะแนนเต็ม]:[คะแนนเต็ม]]),"",(tbl_task3[26]/tbl_task3[[คะแนนเต็ม]:[คะแนนเต็ม]])*tbl_task3[[%]:[%]])</f>
        <v/>
      </c>
      <c r="GO26" s="121" t="str">
        <f>IF(ISBLANK(tbl_task3[[คะแนนเต็ม]:[คะแนนเต็ม]]),"",(tbl_task3[27]/tbl_task3[[คะแนนเต็ม]:[คะแนนเต็ม]])*tbl_task3[[%]:[%]])</f>
        <v/>
      </c>
      <c r="GP26" s="121" t="str">
        <f>IF(ISBLANK(tbl_task3[[คะแนนเต็ม]:[คะแนนเต็ม]]),"",(tbl_task3[28]/tbl_task3[[คะแนนเต็ม]:[คะแนนเต็ม]])*tbl_task3[[%]:[%]])</f>
        <v/>
      </c>
      <c r="GQ26" s="121" t="str">
        <f>IF(ISBLANK(tbl_task3[[คะแนนเต็ม]:[คะแนนเต็ม]]),"",(tbl_task3[29]/tbl_task3[[คะแนนเต็ม]:[คะแนนเต็ม]])*tbl_task3[[%]:[%]])</f>
        <v/>
      </c>
      <c r="GR26" s="121" t="str">
        <f>IF(ISBLANK(tbl_task3[[คะแนนเต็ม]:[คะแนนเต็ม]]),"",(tbl_task3[30]/tbl_task3[[คะแนนเต็ม]:[คะแนนเต็ม]])*tbl_task3[[%]:[%]])</f>
        <v/>
      </c>
      <c r="GS26" s="121" t="str">
        <f>IF(ISBLANK(tbl_task3[[คะแนนเต็ม]:[คะแนนเต็ม]]),"",(tbl_task3[31]/tbl_task3[[คะแนนเต็ม]:[คะแนนเต็ม]])*tbl_task3[[%]:[%]])</f>
        <v/>
      </c>
      <c r="GT26" s="121" t="str">
        <f>IF(ISBLANK(tbl_task3[[คะแนนเต็ม]:[คะแนนเต็ม]]),"",(tbl_task3[32]/tbl_task3[[คะแนนเต็ม]:[คะแนนเต็ม]])*tbl_task3[[%]:[%]])</f>
        <v/>
      </c>
      <c r="GU26" s="121" t="str">
        <f>IF(ISBLANK(tbl_task3[[คะแนนเต็ม]:[คะแนนเต็ม]]),"",(tbl_task3[33]/tbl_task3[[คะแนนเต็ม]:[คะแนนเต็ม]])*tbl_task3[[%]:[%]])</f>
        <v/>
      </c>
      <c r="GV26" s="121" t="str">
        <f>IF(ISBLANK(tbl_task3[[คะแนนเต็ม]:[คะแนนเต็ม]]),"",(tbl_task3[34]/tbl_task3[[คะแนนเต็ม]:[คะแนนเต็ม]])*tbl_task3[[%]:[%]])</f>
        <v/>
      </c>
      <c r="GW26" s="121" t="str">
        <f>IF(ISBLANK(tbl_task3[[คะแนนเต็ม]:[คะแนนเต็ม]]),"",(tbl_task3[35]/tbl_task3[[คะแนนเต็ม]:[คะแนนเต็ม]])*tbl_task3[[%]:[%]])</f>
        <v/>
      </c>
      <c r="GX26" s="121" t="str">
        <f>IF(ISBLANK(tbl_task3[[คะแนนเต็ม]:[คะแนนเต็ม]]),"",(tbl_task3[36]/tbl_task3[[คะแนนเต็ม]:[คะแนนเต็ม]])*tbl_task3[[%]:[%]])</f>
        <v/>
      </c>
      <c r="GY26" s="121" t="str">
        <f>IF(ISBLANK(tbl_task3[[คะแนนเต็ม]:[คะแนนเต็ม]]),"",(tbl_task3[37]/tbl_task3[[คะแนนเต็ม]:[คะแนนเต็ม]])*tbl_task3[[%]:[%]])</f>
        <v/>
      </c>
      <c r="GZ26" s="121" t="str">
        <f>IF(ISBLANK(tbl_task3[[คะแนนเต็ม]:[คะแนนเต็ม]]),"",(tbl_task3[38]/tbl_task3[[คะแนนเต็ม]:[คะแนนเต็ม]])*tbl_task3[[%]:[%]])</f>
        <v/>
      </c>
      <c r="HA26" s="121" t="str">
        <f>IF(ISBLANK(tbl_task3[[คะแนนเต็ม]:[คะแนนเต็ม]]),"",(tbl_task3[39]/tbl_task3[[คะแนนเต็ม]:[คะแนนเต็ม]])*tbl_task3[[%]:[%]])</f>
        <v/>
      </c>
      <c r="HB26" s="121" t="str">
        <f>IF(ISBLANK(tbl_task3[[คะแนนเต็ม]:[คะแนนเต็ม]]),"",(tbl_task3[40]/tbl_task3[[คะแนนเต็ม]:[คะแนนเต็ม]])*tbl_task3[[%]:[%]])</f>
        <v/>
      </c>
      <c r="HC26" s="121" t="str">
        <f>IF(ISBLANK(tbl_task3[[คะแนนเต็ม]:[คะแนนเต็ม]]),"",(tbl_task3[41]/tbl_task3[[คะแนนเต็ม]:[คะแนนเต็ม]])*tbl_task3[[%]:[%]])</f>
        <v/>
      </c>
      <c r="HD26" s="121" t="str">
        <f>IF(ISBLANK(tbl_task3[[คะแนนเต็ม]:[คะแนนเต็ม]]),"",(tbl_task3[42]/tbl_task3[[คะแนนเต็ม]:[คะแนนเต็ม]])*tbl_task3[[%]:[%]])</f>
        <v/>
      </c>
      <c r="HE26" s="121" t="str">
        <f>IF(ISBLANK(tbl_task3[[คะแนนเต็ม]:[คะแนนเต็ม]]),"",(tbl_task3[43]/tbl_task3[[คะแนนเต็ม]:[คะแนนเต็ม]])*tbl_task3[[%]:[%]])</f>
        <v/>
      </c>
      <c r="HF26" s="121" t="str">
        <f>IF(ISBLANK(tbl_task3[[คะแนนเต็ม]:[คะแนนเต็ม]]),"",(tbl_task3[44]/tbl_task3[[คะแนนเต็ม]:[คะแนนเต็ม]])*tbl_task3[[%]:[%]])</f>
        <v/>
      </c>
      <c r="HG26" s="121" t="str">
        <f>IF(ISBLANK(tbl_task3[[คะแนนเต็ม]:[คะแนนเต็ม]]),"",(tbl_task3[45]/tbl_task3[[คะแนนเต็ม]:[คะแนนเต็ม]])*tbl_task3[[%]:[%]])</f>
        <v/>
      </c>
      <c r="HH26" s="121" t="str">
        <f>IF(ISBLANK(tbl_task3[[คะแนนเต็ม]:[คะแนนเต็ม]]),"",(tbl_task3[46]/tbl_task3[[คะแนนเต็ม]:[คะแนนเต็ม]])*tbl_task3[[%]:[%]])</f>
        <v/>
      </c>
      <c r="HI26" s="121" t="str">
        <f>IF(ISBLANK(tbl_task3[[คะแนนเต็ม]:[คะแนนเต็ม]]),"",(tbl_task3[47]/tbl_task3[[คะแนนเต็ม]:[คะแนนเต็ม]])*tbl_task3[[%]:[%]])</f>
        <v/>
      </c>
      <c r="HJ26" s="121" t="str">
        <f>IF(ISBLANK(tbl_task3[[คะแนนเต็ม]:[คะแนนเต็ม]]),"",(tbl_task3[48]/tbl_task3[[คะแนนเต็ม]:[คะแนนเต็ม]])*tbl_task3[[%]:[%]])</f>
        <v/>
      </c>
      <c r="HK26" s="121" t="str">
        <f>IF(ISBLANK(tbl_task3[[คะแนนเต็ม]:[คะแนนเต็ม]]),"",(tbl_task3[49]/tbl_task3[[คะแนนเต็ม]:[คะแนนเต็ม]])*tbl_task3[[%]:[%]])</f>
        <v/>
      </c>
      <c r="HL26" s="121" t="str">
        <f>IF(ISBLANK(tbl_task3[[คะแนนเต็ม]:[คะแนนเต็ม]]),"",(tbl_task3[50]/tbl_task3[[คะแนนเต็ม]:[คะแนนเต็ม]])*tbl_task3[[%]:[%]])</f>
        <v/>
      </c>
      <c r="HM26" s="121" t="str">
        <f>IF(ISBLANK(tbl_task3[[คะแนนเต็ม]:[คะแนนเต็ม]]),"",(tbl_task3[51]/tbl_task3[[คะแนนเต็ม]:[คะแนนเต็ม]])*tbl_task3[[%]:[%]])</f>
        <v/>
      </c>
      <c r="HN26" s="121" t="str">
        <f>IF(ISBLANK(tbl_task3[[คะแนนเต็ม]:[คะแนนเต็ม]]),"",(tbl_task3[52]/tbl_task3[[คะแนนเต็ม]:[คะแนนเต็ม]])*tbl_task3[[%]:[%]])</f>
        <v/>
      </c>
      <c r="HO26" s="121" t="str">
        <f>IF(ISBLANK(tbl_task3[[คะแนนเต็ม]:[คะแนนเต็ม]]),"",(tbl_task3[53]/tbl_task3[[คะแนนเต็ม]:[คะแนนเต็ม]])*tbl_task3[[%]:[%]])</f>
        <v/>
      </c>
      <c r="HP26" s="121" t="str">
        <f>IF(ISBLANK(tbl_task3[[คะแนนเต็ม]:[คะแนนเต็ม]]),"",(tbl_task3[54]/tbl_task3[[คะแนนเต็ม]:[คะแนนเต็ม]])*tbl_task3[[%]:[%]])</f>
        <v/>
      </c>
      <c r="HQ26" s="121" t="str">
        <f>IF(ISBLANK(tbl_task3[[คะแนนเต็ม]:[คะแนนเต็ม]]),"",(tbl_task3[55]/tbl_task3[[คะแนนเต็ม]:[คะแนนเต็ม]])*tbl_task3[[%]:[%]])</f>
        <v/>
      </c>
      <c r="HR26" s="121" t="str">
        <f>IF(ISBLANK(tbl_task3[[คะแนนเต็ม]:[คะแนนเต็ม]]),"",(tbl_task3[56]/tbl_task3[[คะแนนเต็ม]:[คะแนนเต็ม]])*tbl_task3[[%]:[%]])</f>
        <v/>
      </c>
      <c r="HS26" s="121" t="str">
        <f>IF(ISBLANK(tbl_task3[[คะแนนเต็ม]:[คะแนนเต็ม]]),"",(tbl_task3[57]/tbl_task3[[คะแนนเต็ม]:[คะแนนเต็ม]])*tbl_task3[[%]:[%]])</f>
        <v/>
      </c>
      <c r="HT26" s="121" t="str">
        <f>IF(ISBLANK(tbl_task3[[คะแนนเต็ม]:[คะแนนเต็ม]]),"",(tbl_task3[58]/tbl_task3[[คะแนนเต็ม]:[คะแนนเต็ม]])*tbl_task3[[%]:[%]])</f>
        <v/>
      </c>
      <c r="HU26" s="121" t="str">
        <f>IF(ISBLANK(tbl_task3[[คะแนนเต็ม]:[คะแนนเต็ม]]),"",(tbl_task3[59]/tbl_task3[[คะแนนเต็ม]:[คะแนนเต็ม]])*tbl_task3[[%]:[%]])</f>
        <v/>
      </c>
      <c r="HV26" s="121" t="str">
        <f>IF(ISBLANK(tbl_task3[[คะแนนเต็ม]:[คะแนนเต็ม]]),"",(tbl_task3[60]/tbl_task3[[คะแนนเต็ม]:[คะแนนเต็ม]])*tbl_task3[[%]:[%]])</f>
        <v/>
      </c>
      <c r="HW26" s="121" t="str">
        <f>IF(ISBLANK(tbl_task3[[คะแนนเต็ม]:[คะแนนเต็ม]]),"",(tbl_task3[61]/tbl_task3[[คะแนนเต็ม]:[คะแนนเต็ม]])*tbl_task3[[%]:[%]])</f>
        <v/>
      </c>
      <c r="HX26" s="121" t="str">
        <f>IF(ISBLANK(tbl_task3[[คะแนนเต็ม]:[คะแนนเต็ม]]),"",(tbl_task3[62]/tbl_task3[[คะแนนเต็ม]:[คะแนนเต็ม]])*tbl_task3[[%]:[%]])</f>
        <v/>
      </c>
      <c r="HY26" s="121" t="str">
        <f>IF(ISBLANK(tbl_task3[[คะแนนเต็ม]:[คะแนนเต็ม]]),"",(tbl_task3[63]/tbl_task3[[คะแนนเต็ม]:[คะแนนเต็ม]])*tbl_task3[[%]:[%]])</f>
        <v/>
      </c>
      <c r="HZ26" s="121" t="str">
        <f>IF(ISBLANK(tbl_task3[[คะแนนเต็ม]:[คะแนนเต็ม]]),"",(tbl_task3[64]/tbl_task3[[คะแนนเต็ม]:[คะแนนเต็ม]])*tbl_task3[[%]:[%]])</f>
        <v/>
      </c>
      <c r="IA26" s="121" t="str">
        <f>IF(ISBLANK(tbl_task3[[คะแนนเต็ม]:[คะแนนเต็ม]]),"",(tbl_task3[65]/tbl_task3[[คะแนนเต็ม]:[คะแนนเต็ม]])*tbl_task3[[%]:[%]])</f>
        <v/>
      </c>
      <c r="IB26" s="121" t="str">
        <f>IF(ISBLANK(tbl_task3[[คะแนนเต็ม]:[คะแนนเต็ม]]),"",(tbl_task3[66]/tbl_task3[[คะแนนเต็ม]:[คะแนนเต็ม]])*tbl_task3[[%]:[%]])</f>
        <v/>
      </c>
      <c r="IC26" s="121" t="str">
        <f>IF(ISBLANK(tbl_task3[[คะแนนเต็ม]:[คะแนนเต็ม]]),"",(tbl_task3[67]/tbl_task3[[คะแนนเต็ม]:[คะแนนเต็ม]])*tbl_task3[[%]:[%]])</f>
        <v/>
      </c>
      <c r="ID26" s="121" t="str">
        <f>IF(ISBLANK(tbl_task3[[คะแนนเต็ม]:[คะแนนเต็ม]]),"",(tbl_task3[68]/tbl_task3[[คะแนนเต็ม]:[คะแนนเต็ม]])*tbl_task3[[%]:[%]])</f>
        <v/>
      </c>
      <c r="IE26" s="121" t="str">
        <f>IF(ISBLANK(tbl_task3[[คะแนนเต็ม]:[คะแนนเต็ม]]),"",(tbl_task3[69]/tbl_task3[[คะแนนเต็ม]:[คะแนนเต็ม]])*tbl_task3[[%]:[%]])</f>
        <v/>
      </c>
      <c r="IF26" s="121" t="str">
        <f>IF(ISBLANK(tbl_task3[[คะแนนเต็ม]:[คะแนนเต็ม]]),"",(tbl_task3[70]/tbl_task3[[คะแนนเต็ม]:[คะแนนเต็ม]])*tbl_task3[[%]:[%]])</f>
        <v/>
      </c>
      <c r="IG26" s="121" t="str">
        <f>IF(ISBLANK(tbl_task3[[คะแนนเต็ม]:[คะแนนเต็ม]]),"",(tbl_task3[71]/tbl_task3[[คะแนนเต็ม]:[คะแนนเต็ม]])*tbl_task3[[%]:[%]])</f>
        <v/>
      </c>
      <c r="IH26" s="121" t="str">
        <f>IF(ISBLANK(tbl_task3[[คะแนนเต็ม]:[คะแนนเต็ม]]),"",(tbl_task3[72]/tbl_task3[[คะแนนเต็ม]:[คะแนนเต็ม]])*tbl_task3[[%]:[%]])</f>
        <v/>
      </c>
      <c r="II26" s="121" t="str">
        <f>IF(ISBLANK(tbl_task3[[คะแนนเต็ม]:[คะแนนเต็ม]]),"",(tbl_task3[73]/tbl_task3[[คะแนนเต็ม]:[คะแนนเต็ม]])*tbl_task3[[%]:[%]])</f>
        <v/>
      </c>
      <c r="IJ26" s="121" t="str">
        <f>IF(ISBLANK(tbl_task3[[คะแนนเต็ม]:[คะแนนเต็ม]]),"",(tbl_task3[74]/tbl_task3[[คะแนนเต็ม]:[คะแนนเต็ม]])*tbl_task3[[%]:[%]])</f>
        <v/>
      </c>
      <c r="IK26" s="121" t="str">
        <f>IF(ISBLANK(tbl_task3[[คะแนนเต็ม]:[คะแนนเต็ม]]),"",(tbl_task3[75]/tbl_task3[[คะแนนเต็ม]:[คะแนนเต็ม]])*tbl_task3[[%]:[%]])</f>
        <v/>
      </c>
      <c r="IL26" s="121" t="str">
        <f>IF(ISBLANK(tbl_task3[[คะแนนเต็ม]:[คะแนนเต็ม]]),"",(tbl_task3[76]/tbl_task3[[คะแนนเต็ม]:[คะแนนเต็ม]])*tbl_task3[[%]:[%]])</f>
        <v/>
      </c>
      <c r="IM26" s="121" t="str">
        <f>IF(ISBLANK(tbl_task3[[คะแนนเต็ม]:[คะแนนเต็ม]]),"",(tbl_task3[77]/tbl_task3[[คะแนนเต็ม]:[คะแนนเต็ม]])*tbl_task3[[%]:[%]])</f>
        <v/>
      </c>
      <c r="IN26" s="121" t="str">
        <f>IF(ISBLANK(tbl_task3[[คะแนนเต็ม]:[คะแนนเต็ม]]),"",(tbl_task3[78]/tbl_task3[[คะแนนเต็ม]:[คะแนนเต็ม]])*tbl_task3[[%]:[%]])</f>
        <v/>
      </c>
      <c r="IO26" s="121" t="str">
        <f>IF(ISBLANK(tbl_task3[[คะแนนเต็ม]:[คะแนนเต็ม]]),"",(tbl_task3[79]/tbl_task3[[คะแนนเต็ม]:[คะแนนเต็ม]])*tbl_task3[[%]:[%]])</f>
        <v/>
      </c>
      <c r="IP26" s="121" t="str">
        <f>IF(ISBLANK(tbl_task3[[คะแนนเต็ม]:[คะแนนเต็ม]]),"",(tbl_task3[80]/tbl_task3[[คะแนนเต็ม]:[คะแนนเต็ม]])*tbl_task3[[%]:[%]])</f>
        <v/>
      </c>
      <c r="IQ26" s="121" t="str">
        <f>IF(ISBLANK(tbl_task3[[คะแนนเต็ม]:[คะแนนเต็ม]]),"",(tbl_task3[81]/tbl_task3[[คะแนนเต็ม]:[คะแนนเต็ม]])*tbl_task3[[%]:[%]])</f>
        <v/>
      </c>
      <c r="IR26" s="121" t="str">
        <f>IF(ISBLANK(tbl_task3[[คะแนนเต็ม]:[คะแนนเต็ม]]),"",(tbl_task3[82]/tbl_task3[[คะแนนเต็ม]:[คะแนนเต็ม]])*tbl_task3[[%]:[%]])</f>
        <v/>
      </c>
      <c r="IS26" s="121" t="str">
        <f>IF(ISBLANK(tbl_task3[[คะแนนเต็ม]:[คะแนนเต็ม]]),"",(tbl_task3[83]/tbl_task3[[คะแนนเต็ม]:[คะแนนเต็ม]])*tbl_task3[[%]:[%]])</f>
        <v/>
      </c>
      <c r="IT26" s="121" t="str">
        <f>IF(ISBLANK(tbl_task3[[คะแนนเต็ม]:[คะแนนเต็ม]]),"",(tbl_task3[84]/tbl_task3[[คะแนนเต็ม]:[คะแนนเต็ม]])*tbl_task3[[%]:[%]])</f>
        <v/>
      </c>
      <c r="IU26" s="121" t="str">
        <f>IF(ISBLANK(tbl_task3[[คะแนนเต็ม]:[คะแนนเต็ม]]),"",(tbl_task3[85]/tbl_task3[[คะแนนเต็ม]:[คะแนนเต็ม]])*tbl_task3[[%]:[%]])</f>
        <v/>
      </c>
      <c r="IV26" s="121" t="str">
        <f>IF(ISBLANK(tbl_task3[[คะแนนเต็ม]:[คะแนนเต็ม]]),"",(tbl_task3[86]/tbl_task3[[คะแนนเต็ม]:[คะแนนเต็ม]])*tbl_task3[[%]:[%]])</f>
        <v/>
      </c>
      <c r="IW26" s="121" t="str">
        <f>IF(ISBLANK(tbl_task3[[คะแนนเต็ม]:[คะแนนเต็ม]]),"",(tbl_task3[87]/tbl_task3[[คะแนนเต็ม]:[คะแนนเต็ม]])*tbl_task3[[%]:[%]])</f>
        <v/>
      </c>
      <c r="IX26" s="121" t="str">
        <f>IF(ISBLANK(tbl_task3[[คะแนนเต็ม]:[คะแนนเต็ม]]),"",(tbl_task3[88]/tbl_task3[[คะแนนเต็ม]:[คะแนนเต็ม]])*tbl_task3[[%]:[%]])</f>
        <v/>
      </c>
      <c r="IY26" s="121" t="str">
        <f>IF(ISBLANK(tbl_task3[[คะแนนเต็ม]:[คะแนนเต็ม]]),"",(tbl_task3[89]/tbl_task3[[คะแนนเต็ม]:[คะแนนเต็ม]])*tbl_task3[[%]:[%]])</f>
        <v/>
      </c>
      <c r="IZ26" s="121" t="str">
        <f>IF(ISBLANK(tbl_task3[[คะแนนเต็ม]:[คะแนนเต็ม]]),"",(tbl_task3[90]/tbl_task3[[คะแนนเต็ม]:[คะแนนเต็ม]])*tbl_task3[[%]:[%]])</f>
        <v/>
      </c>
      <c r="JA26" s="121" t="str">
        <f>IF(ISBLANK(tbl_task3[[คะแนนเต็ม]:[คะแนนเต็ม]]),"",(tbl_task3[91]/tbl_task3[[คะแนนเต็ม]:[คะแนนเต็ม]])*tbl_task3[[%]:[%]])</f>
        <v/>
      </c>
      <c r="JB26" s="121" t="str">
        <f>IF(ISBLANK(tbl_task3[[คะแนนเต็ม]:[คะแนนเต็ม]]),"",(tbl_task3[92]/tbl_task3[[คะแนนเต็ม]:[คะแนนเต็ม]])*tbl_task3[[%]:[%]])</f>
        <v/>
      </c>
      <c r="JC26" s="121" t="str">
        <f>IF(ISBLANK(tbl_task3[[คะแนนเต็ม]:[คะแนนเต็ม]]),"",(tbl_task3[93]/tbl_task3[[คะแนนเต็ม]:[คะแนนเต็ม]])*tbl_task3[[%]:[%]])</f>
        <v/>
      </c>
      <c r="JD26" s="121" t="str">
        <f>IF(ISBLANK(tbl_task3[[คะแนนเต็ม]:[คะแนนเต็ม]]),"",(tbl_task3[94]/tbl_task3[[คะแนนเต็ม]:[คะแนนเต็ม]])*tbl_task3[[%]:[%]])</f>
        <v/>
      </c>
      <c r="JE26" s="121" t="str">
        <f>IF(ISBLANK(tbl_task3[[คะแนนเต็ม]:[คะแนนเต็ม]]),"",(tbl_task3[95]/tbl_task3[[คะแนนเต็ม]:[คะแนนเต็ม]])*tbl_task3[[%]:[%]])</f>
        <v/>
      </c>
      <c r="JF26" s="121" t="str">
        <f>IF(ISBLANK(tbl_task3[[คะแนนเต็ม]:[คะแนนเต็ม]]),"",(tbl_task3[96]/tbl_task3[[คะแนนเต็ม]:[คะแนนเต็ม]])*tbl_task3[[%]:[%]])</f>
        <v/>
      </c>
      <c r="JG26" s="121" t="str">
        <f>IF(ISBLANK(tbl_task3[[คะแนนเต็ม]:[คะแนนเต็ม]]),"",(tbl_task3[97]/tbl_task3[[คะแนนเต็ม]:[คะแนนเต็ม]])*tbl_task3[[%]:[%]])</f>
        <v/>
      </c>
      <c r="JH26" s="121" t="str">
        <f>IF(ISBLANK(tbl_task3[[คะแนนเต็ม]:[คะแนนเต็ม]]),"",(tbl_task3[98]/tbl_task3[[คะแนนเต็ม]:[คะแนนเต็ม]])*tbl_task3[[%]:[%]])</f>
        <v/>
      </c>
      <c r="JI26" s="121" t="str">
        <f>IF(ISBLANK(tbl_task3[[คะแนนเต็ม]:[คะแนนเต็ม]]),"",(tbl_task3[99]/tbl_task3[[คะแนนเต็ม]:[คะแนนเต็ม]])*tbl_task3[[%]:[%]])</f>
        <v/>
      </c>
      <c r="JJ26" s="121" t="str">
        <f>IF(ISBLANK(tbl_task3[[คะแนนเต็ม]:[คะแนนเต็ม]]),"",(tbl_task3[100]/tbl_task3[[คะแนนเต็ม]:[คะแนนเต็ม]])*tbl_task3[[%]:[%]])</f>
        <v/>
      </c>
      <c r="JK26" s="121" t="str">
        <f>IF(ISBLANK(tbl_task3[[คะแนนเต็ม]:[คะแนนเต็ม]]),"",(tbl_task3[101]/tbl_task3[[คะแนนเต็ม]:[คะแนนเต็ม]])*tbl_task3[[%]:[%]])</f>
        <v/>
      </c>
      <c r="JL26" s="121" t="str">
        <f>IF(ISBLANK(tbl_task3[[คะแนนเต็ม]:[คะแนนเต็ม]]),"",(tbl_task3[102]/tbl_task3[[คะแนนเต็ม]:[คะแนนเต็ม]])*tbl_task3[[%]:[%]])</f>
        <v/>
      </c>
      <c r="JM26" s="121" t="str">
        <f>IF(ISBLANK(tbl_task3[[คะแนนเต็ม]:[คะแนนเต็ม]]),"",(tbl_task3[103]/tbl_task3[[คะแนนเต็ม]:[คะแนนเต็ม]])*tbl_task3[[%]:[%]])</f>
        <v/>
      </c>
      <c r="JN26" s="121" t="str">
        <f>IF(ISBLANK(tbl_task3[[คะแนนเต็ม]:[คะแนนเต็ม]]),"",(tbl_task3[104]/tbl_task3[[คะแนนเต็ม]:[คะแนนเต็ม]])*tbl_task3[[%]:[%]])</f>
        <v/>
      </c>
      <c r="JO26" s="121" t="str">
        <f>IF(ISBLANK(tbl_task3[[คะแนนเต็ม]:[คะแนนเต็ม]]),"",(tbl_task3[105]/tbl_task3[[คะแนนเต็ม]:[คะแนนเต็ม]])*tbl_task3[[%]:[%]])</f>
        <v/>
      </c>
      <c r="JP26" s="121" t="str">
        <f>IF(ISBLANK(tbl_task3[[คะแนนเต็ม]:[คะแนนเต็ม]]),"",(tbl_task3[106]/tbl_task3[[คะแนนเต็ม]:[คะแนนเต็ม]])*tbl_task3[[%]:[%]])</f>
        <v/>
      </c>
      <c r="JQ26" s="121" t="str">
        <f>IF(ISBLANK(tbl_task3[[คะแนนเต็ม]:[คะแนนเต็ม]]),"",(tbl_task3[107]/tbl_task3[[คะแนนเต็ม]:[คะแนนเต็ม]])*tbl_task3[[%]:[%]])</f>
        <v/>
      </c>
      <c r="JR26" s="121" t="str">
        <f>IF(ISBLANK(tbl_task3[[คะแนนเต็ม]:[คะแนนเต็ม]]),"",(tbl_task3[108]/tbl_task3[[คะแนนเต็ม]:[คะแนนเต็ม]])*tbl_task3[[%]:[%]])</f>
        <v/>
      </c>
      <c r="JS26" s="121" t="str">
        <f>IF(ISBLANK(tbl_task3[[คะแนนเต็ม]:[คะแนนเต็ม]]),"",(tbl_task3[109]/tbl_task3[[คะแนนเต็ม]:[คะแนนเต็ม]])*tbl_task3[[%]:[%]])</f>
        <v/>
      </c>
      <c r="JT26" s="121" t="str">
        <f>IF(ISBLANK(tbl_task3[[คะแนนเต็ม]:[คะแนนเต็ม]]),"",(tbl_task3[110]/tbl_task3[[คะแนนเต็ม]:[คะแนนเต็ม]])*tbl_task3[[%]:[%]])</f>
        <v/>
      </c>
      <c r="JU26" s="121" t="str">
        <f>IF(ISBLANK(tbl_task3[[คะแนนเต็ม]:[คะแนนเต็ม]]),"",(tbl_task3[111]/tbl_task3[[คะแนนเต็ม]:[คะแนนเต็ม]])*tbl_task3[[%]:[%]])</f>
        <v/>
      </c>
      <c r="JV26" s="121" t="str">
        <f>IF(ISBLANK(tbl_task3[[คะแนนเต็ม]:[คะแนนเต็ม]]),"",(tbl_task3[112]/tbl_task3[[คะแนนเต็ม]:[คะแนนเต็ม]])*tbl_task3[[%]:[%]])</f>
        <v/>
      </c>
      <c r="JW26" s="121" t="str">
        <f>IF(ISBLANK(tbl_task3[[คะแนนเต็ม]:[คะแนนเต็ม]]),"",(tbl_task3[113]/tbl_task3[[คะแนนเต็ม]:[คะแนนเต็ม]])*tbl_task3[[%]:[%]])</f>
        <v/>
      </c>
      <c r="JX26" s="121" t="str">
        <f>IF(ISBLANK(tbl_task3[[คะแนนเต็ม]:[คะแนนเต็ม]]),"",(tbl_task3[114]/tbl_task3[[คะแนนเต็ม]:[คะแนนเต็ม]])*tbl_task3[[%]:[%]])</f>
        <v/>
      </c>
      <c r="JY26" s="121" t="str">
        <f>IF(ISBLANK(tbl_task3[[คะแนนเต็ม]:[คะแนนเต็ม]]),"",(tbl_task3[115]/tbl_task3[[คะแนนเต็ม]:[คะแนนเต็ม]])*tbl_task3[[%]:[%]])</f>
        <v/>
      </c>
      <c r="JZ26" s="121" t="str">
        <f>IF(ISBLANK(tbl_task3[[คะแนนเต็ม]:[คะแนนเต็ม]]),"",(tbl_task3[116]/tbl_task3[[คะแนนเต็ม]:[คะแนนเต็ม]])*tbl_task3[[%]:[%]])</f>
        <v/>
      </c>
      <c r="KA26" s="121" t="str">
        <f>IF(ISBLANK(tbl_task3[[คะแนนเต็ม]:[คะแนนเต็ม]]),"",(tbl_task3[117]/tbl_task3[[คะแนนเต็ม]:[คะแนนเต็ม]])*tbl_task3[[%]:[%]])</f>
        <v/>
      </c>
      <c r="KB26" s="121" t="str">
        <f>IF(ISBLANK(tbl_task3[[คะแนนเต็ม]:[คะแนนเต็ม]]),"",(tbl_task3[118]/tbl_task3[[คะแนนเต็ม]:[คะแนนเต็ม]])*tbl_task3[[%]:[%]])</f>
        <v/>
      </c>
      <c r="KC26" s="121" t="str">
        <f>IF(ISBLANK(tbl_task3[[คะแนนเต็ม]:[คะแนนเต็ม]]),"",(tbl_task3[119]/tbl_task3[[คะแนนเต็ม]:[คะแนนเต็ม]])*tbl_task3[[%]:[%]])</f>
        <v/>
      </c>
      <c r="KD26" s="121" t="str">
        <f>IF(ISBLANK(tbl_task3[[คะแนนเต็ม]:[คะแนนเต็ม]]),"",(tbl_task3[120]/tbl_task3[[คะแนนเต็ม]:[คะแนนเต็ม]])*tbl_task3[[%]:[%]])</f>
        <v/>
      </c>
      <c r="KE26" s="121" t="str">
        <f>IF(ISBLANK(tbl_task3[[คะแนนเต็ม]:[คะแนนเต็ม]]),"",(tbl_task3[121]/tbl_task3[[คะแนนเต็ม]:[คะแนนเต็ม]])*tbl_task3[[%]:[%]])</f>
        <v/>
      </c>
      <c r="KF26" s="121" t="str">
        <f>IF(ISBLANK(tbl_task3[[คะแนนเต็ม]:[คะแนนเต็ม]]),"",(tbl_task3[122]/tbl_task3[[คะแนนเต็ม]:[คะแนนเต็ม]])*tbl_task3[[%]:[%]])</f>
        <v/>
      </c>
      <c r="KG26" s="121" t="str">
        <f>IF(ISBLANK(tbl_task3[[คะแนนเต็ม]:[คะแนนเต็ม]]),"",(tbl_task3[123]/tbl_task3[[คะแนนเต็ม]:[คะแนนเต็ม]])*tbl_task3[[%]:[%]])</f>
        <v/>
      </c>
      <c r="KH26" s="121" t="str">
        <f>IF(ISBLANK(tbl_task3[[คะแนนเต็ม]:[คะแนนเต็ม]]),"",(tbl_task3[124]/tbl_task3[[คะแนนเต็ม]:[คะแนนเต็ม]])*tbl_task3[[%]:[%]])</f>
        <v/>
      </c>
      <c r="KI26" s="121" t="str">
        <f>IF(ISBLANK(tbl_task3[[คะแนนเต็ม]:[คะแนนเต็ม]]),"",(tbl_task3[125]/tbl_task3[[คะแนนเต็ม]:[คะแนนเต็ม]])*tbl_task3[[%]:[%]])</f>
        <v/>
      </c>
      <c r="KJ26" s="121" t="str">
        <f>IF(ISBLANK(tbl_task3[[คะแนนเต็ม]:[คะแนนเต็ม]]),"",(tbl_task3[126]/tbl_task3[[คะแนนเต็ม]:[คะแนนเต็ม]])*tbl_task3[[%]:[%]])</f>
        <v/>
      </c>
      <c r="KK26" s="121" t="str">
        <f>IF(ISBLANK(tbl_task3[[คะแนนเต็ม]:[คะแนนเต็ม]]),"",(tbl_task3[127]/tbl_task3[[คะแนนเต็ม]:[คะแนนเต็ม]])*tbl_task3[[%]:[%]])</f>
        <v/>
      </c>
      <c r="KL26" s="121" t="str">
        <f>IF(ISBLANK(tbl_task3[[คะแนนเต็ม]:[คะแนนเต็ม]]),"",(tbl_task3[128]/tbl_task3[[คะแนนเต็ม]:[คะแนนเต็ม]])*tbl_task3[[%]:[%]])</f>
        <v/>
      </c>
      <c r="KM26" s="121" t="str">
        <f>IF(ISBLANK(tbl_task3[[คะแนนเต็ม]:[คะแนนเต็ม]]),"",(tbl_task3[129]/tbl_task3[[คะแนนเต็ม]:[คะแนนเต็ม]])*tbl_task3[[%]:[%]])</f>
        <v/>
      </c>
      <c r="KN26" s="121" t="str">
        <f>IF(ISBLANK(tbl_task3[[คะแนนเต็ม]:[คะแนนเต็ม]]),"",(tbl_task3[130]/tbl_task3[[คะแนนเต็ม]:[คะแนนเต็ม]])*tbl_task3[[%]:[%]])</f>
        <v/>
      </c>
      <c r="KO26" s="121" t="str">
        <f>IF(ISBLANK(tbl_task3[[คะแนนเต็ม]:[คะแนนเต็ม]]),"",(tbl_task3[131]/tbl_task3[[คะแนนเต็ม]:[คะแนนเต็ม]])*tbl_task3[[%]:[%]])</f>
        <v/>
      </c>
      <c r="KP26" s="121" t="str">
        <f>IF(ISBLANK(tbl_task3[[คะแนนเต็ม]:[คะแนนเต็ม]]),"",(tbl_task3[132]/tbl_task3[[คะแนนเต็ม]:[คะแนนเต็ม]])*tbl_task3[[%]:[%]])</f>
        <v/>
      </c>
      <c r="KQ26" s="121" t="str">
        <f>IF(ISBLANK(tbl_task3[[คะแนนเต็ม]:[คะแนนเต็ม]]),"",(tbl_task3[133]/tbl_task3[[คะแนนเต็ม]:[คะแนนเต็ม]])*tbl_task3[[%]:[%]])</f>
        <v/>
      </c>
      <c r="KR26" s="121" t="str">
        <f>IF(ISBLANK(tbl_task3[[คะแนนเต็ม]:[คะแนนเต็ม]]),"",(tbl_task3[134]/tbl_task3[[คะแนนเต็ม]:[คะแนนเต็ม]])*tbl_task3[[%]:[%]])</f>
        <v/>
      </c>
      <c r="KS26" s="121" t="str">
        <f>IF(ISBLANK(tbl_task3[[คะแนนเต็ม]:[คะแนนเต็ม]]),"",(tbl_task3[135]/tbl_task3[[คะแนนเต็ม]:[คะแนนเต็ม]])*tbl_task3[[%]:[%]])</f>
        <v/>
      </c>
      <c r="KT26" s="121" t="str">
        <f>IF(ISBLANK(tbl_task3[[คะแนนเต็ม]:[คะแนนเต็ม]]),"",(tbl_task3[136]/tbl_task3[[คะแนนเต็ม]:[คะแนนเต็ม]])*tbl_task3[[%]:[%]])</f>
        <v/>
      </c>
      <c r="KU26" s="121" t="str">
        <f>IF(ISBLANK(tbl_task3[[คะแนนเต็ม]:[คะแนนเต็ม]]),"",(tbl_task3[137]/tbl_task3[[คะแนนเต็ม]:[คะแนนเต็ม]])*tbl_task3[[%]:[%]])</f>
        <v/>
      </c>
      <c r="KV26" s="121" t="str">
        <f>IF(ISBLANK(tbl_task3[[คะแนนเต็ม]:[คะแนนเต็ม]]),"",(tbl_task3[138]/tbl_task3[[คะแนนเต็ม]:[คะแนนเต็ม]])*tbl_task3[[%]:[%]])</f>
        <v/>
      </c>
      <c r="KW26" s="121" t="str">
        <f>IF(ISBLANK(tbl_task3[[คะแนนเต็ม]:[คะแนนเต็ม]]),"",(tbl_task3[139]/tbl_task3[[คะแนนเต็ม]:[คะแนนเต็ม]])*tbl_task3[[%]:[%]])</f>
        <v/>
      </c>
      <c r="KX26" s="121" t="str">
        <f>IF(ISBLANK(tbl_task3[[คะแนนเต็ม]:[คะแนนเต็ม]]),"",(tbl_task3[140]/tbl_task3[[คะแนนเต็ม]:[คะแนนเต็ม]])*tbl_task3[[%]:[%]])</f>
        <v/>
      </c>
      <c r="KY26" s="121" t="str">
        <f>IF(ISBLANK(tbl_task3[[คะแนนเต็ม]:[คะแนนเต็ม]]),"",(tbl_task3[141]/tbl_task3[[คะแนนเต็ม]:[คะแนนเต็ม]])*tbl_task3[[%]:[%]])</f>
        <v/>
      </c>
      <c r="KZ26" s="121" t="str">
        <f>IF(ISBLANK(tbl_task3[[คะแนนเต็ม]:[คะแนนเต็ม]]),"",(tbl_task3[142]/tbl_task3[[คะแนนเต็ม]:[คะแนนเต็ม]])*tbl_task3[[%]:[%]])</f>
        <v/>
      </c>
      <c r="LA26" s="121" t="str">
        <f>IF(ISBLANK(tbl_task3[[คะแนนเต็ม]:[คะแนนเต็ม]]),"",(tbl_task3[143]/tbl_task3[[คะแนนเต็ม]:[คะแนนเต็ม]])*tbl_task3[[%]:[%]])</f>
        <v/>
      </c>
      <c r="LB26" s="121" t="str">
        <f>IF(ISBLANK(tbl_task3[[คะแนนเต็ม]:[คะแนนเต็ม]]),"",(tbl_task3[144]/tbl_task3[[คะแนนเต็ม]:[คะแนนเต็ม]])*tbl_task3[[%]:[%]])</f>
        <v/>
      </c>
      <c r="LC26" s="121" t="str">
        <f>IF(ISBLANK(tbl_task3[[คะแนนเต็ม]:[คะแนนเต็ม]]),"",(tbl_task3[145]/tbl_task3[[คะแนนเต็ม]:[คะแนนเต็ม]])*tbl_task3[[%]:[%]])</f>
        <v/>
      </c>
      <c r="LD26" s="121" t="str">
        <f>IF(ISBLANK(tbl_task3[[คะแนนเต็ม]:[คะแนนเต็ม]]),"",(tbl_task3[146]/tbl_task3[[คะแนนเต็ม]:[คะแนนเต็ม]])*tbl_task3[[%]:[%]])</f>
        <v/>
      </c>
      <c r="LE26" s="121" t="str">
        <f>IF(ISBLANK(tbl_task3[[คะแนนเต็ม]:[คะแนนเต็ม]]),"",(tbl_task3[147]/tbl_task3[[คะแนนเต็ม]:[คะแนนเต็ม]])*tbl_task3[[%]:[%]])</f>
        <v/>
      </c>
      <c r="LF26" s="121" t="str">
        <f>IF(ISBLANK(tbl_task3[[คะแนนเต็ม]:[คะแนนเต็ม]]),"",(tbl_task3[148]/tbl_task3[[คะแนนเต็ม]:[คะแนนเต็ม]])*tbl_task3[[%]:[%]])</f>
        <v/>
      </c>
      <c r="LG26" s="121" t="str">
        <f>IF(ISBLANK(tbl_task3[[คะแนนเต็ม]:[คะแนนเต็ม]]),"",(tbl_task3[149]/tbl_task3[[คะแนนเต็ม]:[คะแนนเต็ม]])*tbl_task3[[%]:[%]])</f>
        <v/>
      </c>
      <c r="LH26" s="121" t="str">
        <f>IF(ISBLANK(tbl_task3[[คะแนนเต็ม]:[คะแนนเต็ม]]),"",(tbl_task3[150]/tbl_task3[[คะแนนเต็ม]:[คะแนนเต็ม]])*tbl_task3[[%]:[%]])</f>
        <v/>
      </c>
      <c r="LI26" s="121" t="str">
        <f>IF(ISBLANK(tbl_task3[[คะแนนเต็ม]:[คะแนนเต็ม]]),"",(tbl_task3[151]/tbl_task3[[คะแนนเต็ม]:[คะแนนเต็ม]])*tbl_task3[[%]:[%]])</f>
        <v/>
      </c>
      <c r="LJ26" s="121" t="str">
        <f>IF(ISBLANK(tbl_task3[[คะแนนเต็ม]:[คะแนนเต็ม]]),"",(tbl_task3[152]/tbl_task3[[คะแนนเต็ม]:[คะแนนเต็ม]])*tbl_task3[[%]:[%]])</f>
        <v/>
      </c>
      <c r="LK26" s="121" t="str">
        <f>IF(ISBLANK(tbl_task3[[คะแนนเต็ม]:[คะแนนเต็ม]]),"",(tbl_task3[153]/tbl_task3[[คะแนนเต็ม]:[คะแนนเต็ม]])*tbl_task3[[%]:[%]])</f>
        <v/>
      </c>
      <c r="LL26" s="121" t="str">
        <f>IF(ISBLANK(tbl_task3[[คะแนนเต็ม]:[คะแนนเต็ม]]),"",(tbl_task3[154]/tbl_task3[[คะแนนเต็ม]:[คะแนนเต็ม]])*tbl_task3[[%]:[%]])</f>
        <v/>
      </c>
      <c r="LM26" s="121" t="str">
        <f>IF(ISBLANK(tbl_task3[[คะแนนเต็ม]:[คะแนนเต็ม]]),"",(tbl_task3[155]/tbl_task3[[คะแนนเต็ม]:[คะแนนเต็ม]])*tbl_task3[[%]:[%]])</f>
        <v/>
      </c>
      <c r="LN26" s="121" t="str">
        <f>IF(ISBLANK(tbl_task3[[คะแนนเต็ม]:[คะแนนเต็ม]]),"",(tbl_task3[156]/tbl_task3[[คะแนนเต็ม]:[คะแนนเต็ม]])*tbl_task3[[%]:[%]])</f>
        <v/>
      </c>
      <c r="LO26" s="121" t="str">
        <f>IF(ISBLANK(tbl_task3[[คะแนนเต็ม]:[คะแนนเต็ม]]),"",(tbl_task3[157]/tbl_task3[[คะแนนเต็ม]:[คะแนนเต็ม]])*tbl_task3[[%]:[%]])</f>
        <v/>
      </c>
      <c r="LP26" s="121" t="str">
        <f>IF(ISBLANK(tbl_task3[[คะแนนเต็ม]:[คะแนนเต็ม]]),"",(tbl_task3[158]/tbl_task3[[คะแนนเต็ม]:[คะแนนเต็ม]])*tbl_task3[[%]:[%]])</f>
        <v/>
      </c>
      <c r="LQ26" s="121" t="str">
        <f>IF(ISBLANK(tbl_task3[[คะแนนเต็ม]:[คะแนนเต็ม]]),"",(tbl_task3[159]/tbl_task3[[คะแนนเต็ม]:[คะแนนเต็ม]])*tbl_task3[[%]:[%]])</f>
        <v/>
      </c>
      <c r="LR26" s="121" t="str">
        <f>IF(ISBLANK(tbl_task3[[คะแนนเต็ม]:[คะแนนเต็ม]]),"",(tbl_task3[160]/tbl_task3[[คะแนนเต็ม]:[คะแนนเต็ม]])*tbl_task3[[%]:[%]])</f>
        <v/>
      </c>
      <c r="LS26" s="121" t="str">
        <f>IF(ISBLANK(tbl_task3[[คะแนนเต็ม]:[คะแนนเต็ม]]),"",(tbl_task3[161]/tbl_task3[[คะแนนเต็ม]:[คะแนนเต็ม]])*tbl_task3[[%]:[%]])</f>
        <v/>
      </c>
      <c r="LT26" s="121" t="str">
        <f>IF(ISBLANK(tbl_task3[[คะแนนเต็ม]:[คะแนนเต็ม]]),"",(tbl_task3[162]/tbl_task3[[คะแนนเต็ม]:[คะแนนเต็ม]])*tbl_task3[[%]:[%]])</f>
        <v/>
      </c>
      <c r="LU26" s="121" t="str">
        <f>IF(ISBLANK(tbl_task3[[คะแนนเต็ม]:[คะแนนเต็ม]]),"",(tbl_task3[163]/tbl_task3[[คะแนนเต็ม]:[คะแนนเต็ม]])*tbl_task3[[%]:[%]])</f>
        <v/>
      </c>
      <c r="LV26" s="121" t="str">
        <f>IF(ISBLANK(tbl_task3[[คะแนนเต็ม]:[คะแนนเต็ม]]),"",(tbl_task3[164]/tbl_task3[[คะแนนเต็ม]:[คะแนนเต็ม]])*tbl_task3[[%]:[%]])</f>
        <v/>
      </c>
      <c r="LW26" s="121" t="str">
        <f>IF(ISBLANK(tbl_task3[[คะแนนเต็ม]:[คะแนนเต็ม]]),"",(tbl_task3[165]/tbl_task3[[คะแนนเต็ม]:[คะแนนเต็ม]])*tbl_task3[[%]:[%]])</f>
        <v/>
      </c>
    </row>
    <row r="27" spans="1:335" ht="24" customHeight="1" x14ac:dyDescent="0.25">
      <c r="A27" s="24">
        <v>24</v>
      </c>
      <c r="B27" s="20"/>
      <c r="C27" s="5" t="str">
        <f>IF(ISBLANK(B27),"",VLOOKUP(B27,tbl_PLOs[],2,0))</f>
        <v/>
      </c>
      <c r="D27" s="102"/>
      <c r="E27" s="106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21" t="str">
        <f>IF(ISBLANK(tbl_task3[[คะแนนเต็ม]:[คะแนนเต็ม]]),"",(tbl_task3[1]/tbl_task3[[คะแนนเต็ม]:[คะแนนเต็ม]])*tbl_task3[[%]:[%]])</f>
        <v/>
      </c>
      <c r="FP27" s="121" t="str">
        <f>IF(ISBLANK(tbl_task3[[คะแนนเต็ม]:[คะแนนเต็ม]]),"",(tbl_task3[2]/tbl_task3[[คะแนนเต็ม]:[คะแนนเต็ม]])*tbl_task3[[%]:[%]])</f>
        <v/>
      </c>
      <c r="FQ27" s="121" t="str">
        <f>IF(ISBLANK(tbl_task3[[คะแนนเต็ม]:[คะแนนเต็ม]]),"",(tbl_task3[3]/tbl_task3[[คะแนนเต็ม]:[คะแนนเต็ม]])*tbl_task3[[%]:[%]])</f>
        <v/>
      </c>
      <c r="FR27" s="121" t="str">
        <f>IF(ISBLANK(tbl_task3[[คะแนนเต็ม]:[คะแนนเต็ม]]),"",(tbl_task3[4]/tbl_task3[[คะแนนเต็ม]:[คะแนนเต็ม]])*tbl_task3[[%]:[%]])</f>
        <v/>
      </c>
      <c r="FS27" s="121" t="str">
        <f>IF(ISBLANK(tbl_task3[[คะแนนเต็ม]:[คะแนนเต็ม]]),"",(tbl_task3[5]/tbl_task3[[คะแนนเต็ม]:[คะแนนเต็ม]])*tbl_task3[[%]:[%]])</f>
        <v/>
      </c>
      <c r="FT27" s="121" t="str">
        <f>IF(ISBLANK(tbl_task3[[คะแนนเต็ม]:[คะแนนเต็ม]]),"",(tbl_task3[6]/tbl_task3[[คะแนนเต็ม]:[คะแนนเต็ม]])*tbl_task3[[%]:[%]])</f>
        <v/>
      </c>
      <c r="FU27" s="121" t="str">
        <f>IF(ISBLANK(tbl_task3[[คะแนนเต็ม]:[คะแนนเต็ม]]),"",(tbl_task3[7]/tbl_task3[[คะแนนเต็ม]:[คะแนนเต็ม]])*tbl_task3[[%]:[%]])</f>
        <v/>
      </c>
      <c r="FV27" s="121" t="str">
        <f>IF(ISBLANK(tbl_task3[[คะแนนเต็ม]:[คะแนนเต็ม]]),"",(tbl_task3[8]/tbl_task3[[คะแนนเต็ม]:[คะแนนเต็ม]])*tbl_task3[[%]:[%]])</f>
        <v/>
      </c>
      <c r="FW27" s="121" t="str">
        <f>IF(ISBLANK(tbl_task3[[คะแนนเต็ม]:[คะแนนเต็ม]]),"",(tbl_task3[9]/tbl_task3[[คะแนนเต็ม]:[คะแนนเต็ม]])*tbl_task3[[%]:[%]])</f>
        <v/>
      </c>
      <c r="FX27" s="121" t="str">
        <f>IF(ISBLANK(tbl_task3[[คะแนนเต็ม]:[คะแนนเต็ม]]),"",(tbl_task3[10]/tbl_task3[[คะแนนเต็ม]:[คะแนนเต็ม]])*tbl_task3[[%]:[%]])</f>
        <v/>
      </c>
      <c r="FY27" s="121" t="str">
        <f>IF(ISBLANK(tbl_task3[[คะแนนเต็ม]:[คะแนนเต็ม]]),"",(tbl_task3[11]/tbl_task3[[คะแนนเต็ม]:[คะแนนเต็ม]])*tbl_task3[[%]:[%]])</f>
        <v/>
      </c>
      <c r="FZ27" s="121" t="str">
        <f>IF(ISBLANK(tbl_task3[[คะแนนเต็ม]:[คะแนนเต็ม]]),"",(tbl_task3[12]/tbl_task3[[คะแนนเต็ม]:[คะแนนเต็ม]])*tbl_task3[[%]:[%]])</f>
        <v/>
      </c>
      <c r="GA27" s="121" t="str">
        <f>IF(ISBLANK(tbl_task3[[คะแนนเต็ม]:[คะแนนเต็ม]]),"",(tbl_task3[13]/tbl_task3[[คะแนนเต็ม]:[คะแนนเต็ม]])*tbl_task3[[%]:[%]])</f>
        <v/>
      </c>
      <c r="GB27" s="121" t="str">
        <f>IF(ISBLANK(tbl_task3[[คะแนนเต็ม]:[คะแนนเต็ม]]),"",(tbl_task3[14]/tbl_task3[[คะแนนเต็ม]:[คะแนนเต็ม]])*tbl_task3[[%]:[%]])</f>
        <v/>
      </c>
      <c r="GC27" s="121" t="str">
        <f>IF(ISBLANK(tbl_task3[[คะแนนเต็ม]:[คะแนนเต็ม]]),"",(tbl_task3[15]/tbl_task3[[คะแนนเต็ม]:[คะแนนเต็ม]])*tbl_task3[[%]:[%]])</f>
        <v/>
      </c>
      <c r="GD27" s="121" t="str">
        <f>IF(ISBLANK(tbl_task3[[คะแนนเต็ม]:[คะแนนเต็ม]]),"",(tbl_task3[16]/tbl_task3[[คะแนนเต็ม]:[คะแนนเต็ม]])*tbl_task3[[%]:[%]])</f>
        <v/>
      </c>
      <c r="GE27" s="121" t="str">
        <f>IF(ISBLANK(tbl_task3[[คะแนนเต็ม]:[คะแนนเต็ม]]),"",(tbl_task3[17]/tbl_task3[[คะแนนเต็ม]:[คะแนนเต็ม]])*tbl_task3[[%]:[%]])</f>
        <v/>
      </c>
      <c r="GF27" s="121" t="str">
        <f>IF(ISBLANK(tbl_task3[[คะแนนเต็ม]:[คะแนนเต็ม]]),"",(tbl_task3[18]/tbl_task3[[คะแนนเต็ม]:[คะแนนเต็ม]])*tbl_task3[[%]:[%]])</f>
        <v/>
      </c>
      <c r="GG27" s="121" t="str">
        <f>IF(ISBLANK(tbl_task3[[คะแนนเต็ม]:[คะแนนเต็ม]]),"",(tbl_task3[19]/tbl_task3[[คะแนนเต็ม]:[คะแนนเต็ม]])*tbl_task3[[%]:[%]])</f>
        <v/>
      </c>
      <c r="GH27" s="121" t="str">
        <f>IF(ISBLANK(tbl_task3[[คะแนนเต็ม]:[คะแนนเต็ม]]),"",(tbl_task3[20]/tbl_task3[[คะแนนเต็ม]:[คะแนนเต็ม]])*tbl_task3[[%]:[%]])</f>
        <v/>
      </c>
      <c r="GI27" s="121" t="str">
        <f>IF(ISBLANK(tbl_task3[[คะแนนเต็ม]:[คะแนนเต็ม]]),"",(tbl_task3[21]/tbl_task3[[คะแนนเต็ม]:[คะแนนเต็ม]])*tbl_task3[[%]:[%]])</f>
        <v/>
      </c>
      <c r="GJ27" s="121" t="str">
        <f>IF(ISBLANK(tbl_task3[[คะแนนเต็ม]:[คะแนนเต็ม]]),"",(tbl_task3[22]/tbl_task3[[คะแนนเต็ม]:[คะแนนเต็ม]])*tbl_task3[[%]:[%]])</f>
        <v/>
      </c>
      <c r="GK27" s="121" t="str">
        <f>IF(ISBLANK(tbl_task3[[คะแนนเต็ม]:[คะแนนเต็ม]]),"",(tbl_task3[23]/tbl_task3[[คะแนนเต็ม]:[คะแนนเต็ม]])*tbl_task3[[%]:[%]])</f>
        <v/>
      </c>
      <c r="GL27" s="121" t="str">
        <f>IF(ISBLANK(tbl_task3[[คะแนนเต็ม]:[คะแนนเต็ม]]),"",(tbl_task3[24]/tbl_task3[[คะแนนเต็ม]:[คะแนนเต็ม]])*tbl_task3[[%]:[%]])</f>
        <v/>
      </c>
      <c r="GM27" s="121" t="str">
        <f>IF(ISBLANK(tbl_task3[[คะแนนเต็ม]:[คะแนนเต็ม]]),"",(tbl_task3[25]/tbl_task3[[คะแนนเต็ม]:[คะแนนเต็ม]])*tbl_task3[[%]:[%]])</f>
        <v/>
      </c>
      <c r="GN27" s="121" t="str">
        <f>IF(ISBLANK(tbl_task3[[คะแนนเต็ม]:[คะแนนเต็ม]]),"",(tbl_task3[26]/tbl_task3[[คะแนนเต็ม]:[คะแนนเต็ม]])*tbl_task3[[%]:[%]])</f>
        <v/>
      </c>
      <c r="GO27" s="121" t="str">
        <f>IF(ISBLANK(tbl_task3[[คะแนนเต็ม]:[คะแนนเต็ม]]),"",(tbl_task3[27]/tbl_task3[[คะแนนเต็ม]:[คะแนนเต็ม]])*tbl_task3[[%]:[%]])</f>
        <v/>
      </c>
      <c r="GP27" s="121" t="str">
        <f>IF(ISBLANK(tbl_task3[[คะแนนเต็ม]:[คะแนนเต็ม]]),"",(tbl_task3[28]/tbl_task3[[คะแนนเต็ม]:[คะแนนเต็ม]])*tbl_task3[[%]:[%]])</f>
        <v/>
      </c>
      <c r="GQ27" s="121" t="str">
        <f>IF(ISBLANK(tbl_task3[[คะแนนเต็ม]:[คะแนนเต็ม]]),"",(tbl_task3[29]/tbl_task3[[คะแนนเต็ม]:[คะแนนเต็ม]])*tbl_task3[[%]:[%]])</f>
        <v/>
      </c>
      <c r="GR27" s="121" t="str">
        <f>IF(ISBLANK(tbl_task3[[คะแนนเต็ม]:[คะแนนเต็ม]]),"",(tbl_task3[30]/tbl_task3[[คะแนนเต็ม]:[คะแนนเต็ม]])*tbl_task3[[%]:[%]])</f>
        <v/>
      </c>
      <c r="GS27" s="121" t="str">
        <f>IF(ISBLANK(tbl_task3[[คะแนนเต็ม]:[คะแนนเต็ม]]),"",(tbl_task3[31]/tbl_task3[[คะแนนเต็ม]:[คะแนนเต็ม]])*tbl_task3[[%]:[%]])</f>
        <v/>
      </c>
      <c r="GT27" s="121" t="str">
        <f>IF(ISBLANK(tbl_task3[[คะแนนเต็ม]:[คะแนนเต็ม]]),"",(tbl_task3[32]/tbl_task3[[คะแนนเต็ม]:[คะแนนเต็ม]])*tbl_task3[[%]:[%]])</f>
        <v/>
      </c>
      <c r="GU27" s="121" t="str">
        <f>IF(ISBLANK(tbl_task3[[คะแนนเต็ม]:[คะแนนเต็ม]]),"",(tbl_task3[33]/tbl_task3[[คะแนนเต็ม]:[คะแนนเต็ม]])*tbl_task3[[%]:[%]])</f>
        <v/>
      </c>
      <c r="GV27" s="121" t="str">
        <f>IF(ISBLANK(tbl_task3[[คะแนนเต็ม]:[คะแนนเต็ม]]),"",(tbl_task3[34]/tbl_task3[[คะแนนเต็ม]:[คะแนนเต็ม]])*tbl_task3[[%]:[%]])</f>
        <v/>
      </c>
      <c r="GW27" s="121" t="str">
        <f>IF(ISBLANK(tbl_task3[[คะแนนเต็ม]:[คะแนนเต็ม]]),"",(tbl_task3[35]/tbl_task3[[คะแนนเต็ม]:[คะแนนเต็ม]])*tbl_task3[[%]:[%]])</f>
        <v/>
      </c>
      <c r="GX27" s="121" t="str">
        <f>IF(ISBLANK(tbl_task3[[คะแนนเต็ม]:[คะแนนเต็ม]]),"",(tbl_task3[36]/tbl_task3[[คะแนนเต็ม]:[คะแนนเต็ม]])*tbl_task3[[%]:[%]])</f>
        <v/>
      </c>
      <c r="GY27" s="121" t="str">
        <f>IF(ISBLANK(tbl_task3[[คะแนนเต็ม]:[คะแนนเต็ม]]),"",(tbl_task3[37]/tbl_task3[[คะแนนเต็ม]:[คะแนนเต็ม]])*tbl_task3[[%]:[%]])</f>
        <v/>
      </c>
      <c r="GZ27" s="121" t="str">
        <f>IF(ISBLANK(tbl_task3[[คะแนนเต็ม]:[คะแนนเต็ม]]),"",(tbl_task3[38]/tbl_task3[[คะแนนเต็ม]:[คะแนนเต็ม]])*tbl_task3[[%]:[%]])</f>
        <v/>
      </c>
      <c r="HA27" s="121" t="str">
        <f>IF(ISBLANK(tbl_task3[[คะแนนเต็ม]:[คะแนนเต็ม]]),"",(tbl_task3[39]/tbl_task3[[คะแนนเต็ม]:[คะแนนเต็ม]])*tbl_task3[[%]:[%]])</f>
        <v/>
      </c>
      <c r="HB27" s="121" t="str">
        <f>IF(ISBLANK(tbl_task3[[คะแนนเต็ม]:[คะแนนเต็ม]]),"",(tbl_task3[40]/tbl_task3[[คะแนนเต็ม]:[คะแนนเต็ม]])*tbl_task3[[%]:[%]])</f>
        <v/>
      </c>
      <c r="HC27" s="121" t="str">
        <f>IF(ISBLANK(tbl_task3[[คะแนนเต็ม]:[คะแนนเต็ม]]),"",(tbl_task3[41]/tbl_task3[[คะแนนเต็ม]:[คะแนนเต็ม]])*tbl_task3[[%]:[%]])</f>
        <v/>
      </c>
      <c r="HD27" s="121" t="str">
        <f>IF(ISBLANK(tbl_task3[[คะแนนเต็ม]:[คะแนนเต็ม]]),"",(tbl_task3[42]/tbl_task3[[คะแนนเต็ม]:[คะแนนเต็ม]])*tbl_task3[[%]:[%]])</f>
        <v/>
      </c>
      <c r="HE27" s="121" t="str">
        <f>IF(ISBLANK(tbl_task3[[คะแนนเต็ม]:[คะแนนเต็ม]]),"",(tbl_task3[43]/tbl_task3[[คะแนนเต็ม]:[คะแนนเต็ม]])*tbl_task3[[%]:[%]])</f>
        <v/>
      </c>
      <c r="HF27" s="121" t="str">
        <f>IF(ISBLANK(tbl_task3[[คะแนนเต็ม]:[คะแนนเต็ม]]),"",(tbl_task3[44]/tbl_task3[[คะแนนเต็ม]:[คะแนนเต็ม]])*tbl_task3[[%]:[%]])</f>
        <v/>
      </c>
      <c r="HG27" s="121" t="str">
        <f>IF(ISBLANK(tbl_task3[[คะแนนเต็ม]:[คะแนนเต็ม]]),"",(tbl_task3[45]/tbl_task3[[คะแนนเต็ม]:[คะแนนเต็ม]])*tbl_task3[[%]:[%]])</f>
        <v/>
      </c>
      <c r="HH27" s="121" t="str">
        <f>IF(ISBLANK(tbl_task3[[คะแนนเต็ม]:[คะแนนเต็ม]]),"",(tbl_task3[46]/tbl_task3[[คะแนนเต็ม]:[คะแนนเต็ม]])*tbl_task3[[%]:[%]])</f>
        <v/>
      </c>
      <c r="HI27" s="121" t="str">
        <f>IF(ISBLANK(tbl_task3[[คะแนนเต็ม]:[คะแนนเต็ม]]),"",(tbl_task3[47]/tbl_task3[[คะแนนเต็ม]:[คะแนนเต็ม]])*tbl_task3[[%]:[%]])</f>
        <v/>
      </c>
      <c r="HJ27" s="121" t="str">
        <f>IF(ISBLANK(tbl_task3[[คะแนนเต็ม]:[คะแนนเต็ม]]),"",(tbl_task3[48]/tbl_task3[[คะแนนเต็ม]:[คะแนนเต็ม]])*tbl_task3[[%]:[%]])</f>
        <v/>
      </c>
      <c r="HK27" s="121" t="str">
        <f>IF(ISBLANK(tbl_task3[[คะแนนเต็ม]:[คะแนนเต็ม]]),"",(tbl_task3[49]/tbl_task3[[คะแนนเต็ม]:[คะแนนเต็ม]])*tbl_task3[[%]:[%]])</f>
        <v/>
      </c>
      <c r="HL27" s="121" t="str">
        <f>IF(ISBLANK(tbl_task3[[คะแนนเต็ม]:[คะแนนเต็ม]]),"",(tbl_task3[50]/tbl_task3[[คะแนนเต็ม]:[คะแนนเต็ม]])*tbl_task3[[%]:[%]])</f>
        <v/>
      </c>
      <c r="HM27" s="121" t="str">
        <f>IF(ISBLANK(tbl_task3[[คะแนนเต็ม]:[คะแนนเต็ม]]),"",(tbl_task3[51]/tbl_task3[[คะแนนเต็ม]:[คะแนนเต็ม]])*tbl_task3[[%]:[%]])</f>
        <v/>
      </c>
      <c r="HN27" s="121" t="str">
        <f>IF(ISBLANK(tbl_task3[[คะแนนเต็ม]:[คะแนนเต็ม]]),"",(tbl_task3[52]/tbl_task3[[คะแนนเต็ม]:[คะแนนเต็ม]])*tbl_task3[[%]:[%]])</f>
        <v/>
      </c>
      <c r="HO27" s="121" t="str">
        <f>IF(ISBLANK(tbl_task3[[คะแนนเต็ม]:[คะแนนเต็ม]]),"",(tbl_task3[53]/tbl_task3[[คะแนนเต็ม]:[คะแนนเต็ม]])*tbl_task3[[%]:[%]])</f>
        <v/>
      </c>
      <c r="HP27" s="121" t="str">
        <f>IF(ISBLANK(tbl_task3[[คะแนนเต็ม]:[คะแนนเต็ม]]),"",(tbl_task3[54]/tbl_task3[[คะแนนเต็ม]:[คะแนนเต็ม]])*tbl_task3[[%]:[%]])</f>
        <v/>
      </c>
      <c r="HQ27" s="121" t="str">
        <f>IF(ISBLANK(tbl_task3[[คะแนนเต็ม]:[คะแนนเต็ม]]),"",(tbl_task3[55]/tbl_task3[[คะแนนเต็ม]:[คะแนนเต็ม]])*tbl_task3[[%]:[%]])</f>
        <v/>
      </c>
      <c r="HR27" s="121" t="str">
        <f>IF(ISBLANK(tbl_task3[[คะแนนเต็ม]:[คะแนนเต็ม]]),"",(tbl_task3[56]/tbl_task3[[คะแนนเต็ม]:[คะแนนเต็ม]])*tbl_task3[[%]:[%]])</f>
        <v/>
      </c>
      <c r="HS27" s="121" t="str">
        <f>IF(ISBLANK(tbl_task3[[คะแนนเต็ม]:[คะแนนเต็ม]]),"",(tbl_task3[57]/tbl_task3[[คะแนนเต็ม]:[คะแนนเต็ม]])*tbl_task3[[%]:[%]])</f>
        <v/>
      </c>
      <c r="HT27" s="121" t="str">
        <f>IF(ISBLANK(tbl_task3[[คะแนนเต็ม]:[คะแนนเต็ม]]),"",(tbl_task3[58]/tbl_task3[[คะแนนเต็ม]:[คะแนนเต็ม]])*tbl_task3[[%]:[%]])</f>
        <v/>
      </c>
      <c r="HU27" s="121" t="str">
        <f>IF(ISBLANK(tbl_task3[[คะแนนเต็ม]:[คะแนนเต็ม]]),"",(tbl_task3[59]/tbl_task3[[คะแนนเต็ม]:[คะแนนเต็ม]])*tbl_task3[[%]:[%]])</f>
        <v/>
      </c>
      <c r="HV27" s="121" t="str">
        <f>IF(ISBLANK(tbl_task3[[คะแนนเต็ม]:[คะแนนเต็ม]]),"",(tbl_task3[60]/tbl_task3[[คะแนนเต็ม]:[คะแนนเต็ม]])*tbl_task3[[%]:[%]])</f>
        <v/>
      </c>
      <c r="HW27" s="121" t="str">
        <f>IF(ISBLANK(tbl_task3[[คะแนนเต็ม]:[คะแนนเต็ม]]),"",(tbl_task3[61]/tbl_task3[[คะแนนเต็ม]:[คะแนนเต็ม]])*tbl_task3[[%]:[%]])</f>
        <v/>
      </c>
      <c r="HX27" s="121" t="str">
        <f>IF(ISBLANK(tbl_task3[[คะแนนเต็ม]:[คะแนนเต็ม]]),"",(tbl_task3[62]/tbl_task3[[คะแนนเต็ม]:[คะแนนเต็ม]])*tbl_task3[[%]:[%]])</f>
        <v/>
      </c>
      <c r="HY27" s="121" t="str">
        <f>IF(ISBLANK(tbl_task3[[คะแนนเต็ม]:[คะแนนเต็ม]]),"",(tbl_task3[63]/tbl_task3[[คะแนนเต็ม]:[คะแนนเต็ม]])*tbl_task3[[%]:[%]])</f>
        <v/>
      </c>
      <c r="HZ27" s="121" t="str">
        <f>IF(ISBLANK(tbl_task3[[คะแนนเต็ม]:[คะแนนเต็ม]]),"",(tbl_task3[64]/tbl_task3[[คะแนนเต็ม]:[คะแนนเต็ม]])*tbl_task3[[%]:[%]])</f>
        <v/>
      </c>
      <c r="IA27" s="121" t="str">
        <f>IF(ISBLANK(tbl_task3[[คะแนนเต็ม]:[คะแนนเต็ม]]),"",(tbl_task3[65]/tbl_task3[[คะแนนเต็ม]:[คะแนนเต็ม]])*tbl_task3[[%]:[%]])</f>
        <v/>
      </c>
      <c r="IB27" s="121" t="str">
        <f>IF(ISBLANK(tbl_task3[[คะแนนเต็ม]:[คะแนนเต็ม]]),"",(tbl_task3[66]/tbl_task3[[คะแนนเต็ม]:[คะแนนเต็ม]])*tbl_task3[[%]:[%]])</f>
        <v/>
      </c>
      <c r="IC27" s="121" t="str">
        <f>IF(ISBLANK(tbl_task3[[คะแนนเต็ม]:[คะแนนเต็ม]]),"",(tbl_task3[67]/tbl_task3[[คะแนนเต็ม]:[คะแนนเต็ม]])*tbl_task3[[%]:[%]])</f>
        <v/>
      </c>
      <c r="ID27" s="121" t="str">
        <f>IF(ISBLANK(tbl_task3[[คะแนนเต็ม]:[คะแนนเต็ม]]),"",(tbl_task3[68]/tbl_task3[[คะแนนเต็ม]:[คะแนนเต็ม]])*tbl_task3[[%]:[%]])</f>
        <v/>
      </c>
      <c r="IE27" s="121" t="str">
        <f>IF(ISBLANK(tbl_task3[[คะแนนเต็ม]:[คะแนนเต็ม]]),"",(tbl_task3[69]/tbl_task3[[คะแนนเต็ม]:[คะแนนเต็ม]])*tbl_task3[[%]:[%]])</f>
        <v/>
      </c>
      <c r="IF27" s="121" t="str">
        <f>IF(ISBLANK(tbl_task3[[คะแนนเต็ม]:[คะแนนเต็ม]]),"",(tbl_task3[70]/tbl_task3[[คะแนนเต็ม]:[คะแนนเต็ม]])*tbl_task3[[%]:[%]])</f>
        <v/>
      </c>
      <c r="IG27" s="121" t="str">
        <f>IF(ISBLANK(tbl_task3[[คะแนนเต็ม]:[คะแนนเต็ม]]),"",(tbl_task3[71]/tbl_task3[[คะแนนเต็ม]:[คะแนนเต็ม]])*tbl_task3[[%]:[%]])</f>
        <v/>
      </c>
      <c r="IH27" s="121" t="str">
        <f>IF(ISBLANK(tbl_task3[[คะแนนเต็ม]:[คะแนนเต็ม]]),"",(tbl_task3[72]/tbl_task3[[คะแนนเต็ม]:[คะแนนเต็ม]])*tbl_task3[[%]:[%]])</f>
        <v/>
      </c>
      <c r="II27" s="121" t="str">
        <f>IF(ISBLANK(tbl_task3[[คะแนนเต็ม]:[คะแนนเต็ม]]),"",(tbl_task3[73]/tbl_task3[[คะแนนเต็ม]:[คะแนนเต็ม]])*tbl_task3[[%]:[%]])</f>
        <v/>
      </c>
      <c r="IJ27" s="121" t="str">
        <f>IF(ISBLANK(tbl_task3[[คะแนนเต็ม]:[คะแนนเต็ม]]),"",(tbl_task3[74]/tbl_task3[[คะแนนเต็ม]:[คะแนนเต็ม]])*tbl_task3[[%]:[%]])</f>
        <v/>
      </c>
      <c r="IK27" s="121" t="str">
        <f>IF(ISBLANK(tbl_task3[[คะแนนเต็ม]:[คะแนนเต็ม]]),"",(tbl_task3[75]/tbl_task3[[คะแนนเต็ม]:[คะแนนเต็ม]])*tbl_task3[[%]:[%]])</f>
        <v/>
      </c>
      <c r="IL27" s="121" t="str">
        <f>IF(ISBLANK(tbl_task3[[คะแนนเต็ม]:[คะแนนเต็ม]]),"",(tbl_task3[76]/tbl_task3[[คะแนนเต็ม]:[คะแนนเต็ม]])*tbl_task3[[%]:[%]])</f>
        <v/>
      </c>
      <c r="IM27" s="121" t="str">
        <f>IF(ISBLANK(tbl_task3[[คะแนนเต็ม]:[คะแนนเต็ม]]),"",(tbl_task3[77]/tbl_task3[[คะแนนเต็ม]:[คะแนนเต็ม]])*tbl_task3[[%]:[%]])</f>
        <v/>
      </c>
      <c r="IN27" s="121" t="str">
        <f>IF(ISBLANK(tbl_task3[[คะแนนเต็ม]:[คะแนนเต็ม]]),"",(tbl_task3[78]/tbl_task3[[คะแนนเต็ม]:[คะแนนเต็ม]])*tbl_task3[[%]:[%]])</f>
        <v/>
      </c>
      <c r="IO27" s="121" t="str">
        <f>IF(ISBLANK(tbl_task3[[คะแนนเต็ม]:[คะแนนเต็ม]]),"",(tbl_task3[79]/tbl_task3[[คะแนนเต็ม]:[คะแนนเต็ม]])*tbl_task3[[%]:[%]])</f>
        <v/>
      </c>
      <c r="IP27" s="121" t="str">
        <f>IF(ISBLANK(tbl_task3[[คะแนนเต็ม]:[คะแนนเต็ม]]),"",(tbl_task3[80]/tbl_task3[[คะแนนเต็ม]:[คะแนนเต็ม]])*tbl_task3[[%]:[%]])</f>
        <v/>
      </c>
      <c r="IQ27" s="121" t="str">
        <f>IF(ISBLANK(tbl_task3[[คะแนนเต็ม]:[คะแนนเต็ม]]),"",(tbl_task3[81]/tbl_task3[[คะแนนเต็ม]:[คะแนนเต็ม]])*tbl_task3[[%]:[%]])</f>
        <v/>
      </c>
      <c r="IR27" s="121" t="str">
        <f>IF(ISBLANK(tbl_task3[[คะแนนเต็ม]:[คะแนนเต็ม]]),"",(tbl_task3[82]/tbl_task3[[คะแนนเต็ม]:[คะแนนเต็ม]])*tbl_task3[[%]:[%]])</f>
        <v/>
      </c>
      <c r="IS27" s="121" t="str">
        <f>IF(ISBLANK(tbl_task3[[คะแนนเต็ม]:[คะแนนเต็ม]]),"",(tbl_task3[83]/tbl_task3[[คะแนนเต็ม]:[คะแนนเต็ม]])*tbl_task3[[%]:[%]])</f>
        <v/>
      </c>
      <c r="IT27" s="121" t="str">
        <f>IF(ISBLANK(tbl_task3[[คะแนนเต็ม]:[คะแนนเต็ม]]),"",(tbl_task3[84]/tbl_task3[[คะแนนเต็ม]:[คะแนนเต็ม]])*tbl_task3[[%]:[%]])</f>
        <v/>
      </c>
      <c r="IU27" s="121" t="str">
        <f>IF(ISBLANK(tbl_task3[[คะแนนเต็ม]:[คะแนนเต็ม]]),"",(tbl_task3[85]/tbl_task3[[คะแนนเต็ม]:[คะแนนเต็ม]])*tbl_task3[[%]:[%]])</f>
        <v/>
      </c>
      <c r="IV27" s="121" t="str">
        <f>IF(ISBLANK(tbl_task3[[คะแนนเต็ม]:[คะแนนเต็ม]]),"",(tbl_task3[86]/tbl_task3[[คะแนนเต็ม]:[คะแนนเต็ม]])*tbl_task3[[%]:[%]])</f>
        <v/>
      </c>
      <c r="IW27" s="121" t="str">
        <f>IF(ISBLANK(tbl_task3[[คะแนนเต็ม]:[คะแนนเต็ม]]),"",(tbl_task3[87]/tbl_task3[[คะแนนเต็ม]:[คะแนนเต็ม]])*tbl_task3[[%]:[%]])</f>
        <v/>
      </c>
      <c r="IX27" s="121" t="str">
        <f>IF(ISBLANK(tbl_task3[[คะแนนเต็ม]:[คะแนนเต็ม]]),"",(tbl_task3[88]/tbl_task3[[คะแนนเต็ม]:[คะแนนเต็ม]])*tbl_task3[[%]:[%]])</f>
        <v/>
      </c>
      <c r="IY27" s="121" t="str">
        <f>IF(ISBLANK(tbl_task3[[คะแนนเต็ม]:[คะแนนเต็ม]]),"",(tbl_task3[89]/tbl_task3[[คะแนนเต็ม]:[คะแนนเต็ม]])*tbl_task3[[%]:[%]])</f>
        <v/>
      </c>
      <c r="IZ27" s="121" t="str">
        <f>IF(ISBLANK(tbl_task3[[คะแนนเต็ม]:[คะแนนเต็ม]]),"",(tbl_task3[90]/tbl_task3[[คะแนนเต็ม]:[คะแนนเต็ม]])*tbl_task3[[%]:[%]])</f>
        <v/>
      </c>
      <c r="JA27" s="121" t="str">
        <f>IF(ISBLANK(tbl_task3[[คะแนนเต็ม]:[คะแนนเต็ม]]),"",(tbl_task3[91]/tbl_task3[[คะแนนเต็ม]:[คะแนนเต็ม]])*tbl_task3[[%]:[%]])</f>
        <v/>
      </c>
      <c r="JB27" s="121" t="str">
        <f>IF(ISBLANK(tbl_task3[[คะแนนเต็ม]:[คะแนนเต็ม]]),"",(tbl_task3[92]/tbl_task3[[คะแนนเต็ม]:[คะแนนเต็ม]])*tbl_task3[[%]:[%]])</f>
        <v/>
      </c>
      <c r="JC27" s="121" t="str">
        <f>IF(ISBLANK(tbl_task3[[คะแนนเต็ม]:[คะแนนเต็ม]]),"",(tbl_task3[93]/tbl_task3[[คะแนนเต็ม]:[คะแนนเต็ม]])*tbl_task3[[%]:[%]])</f>
        <v/>
      </c>
      <c r="JD27" s="121" t="str">
        <f>IF(ISBLANK(tbl_task3[[คะแนนเต็ม]:[คะแนนเต็ม]]),"",(tbl_task3[94]/tbl_task3[[คะแนนเต็ม]:[คะแนนเต็ม]])*tbl_task3[[%]:[%]])</f>
        <v/>
      </c>
      <c r="JE27" s="121" t="str">
        <f>IF(ISBLANK(tbl_task3[[คะแนนเต็ม]:[คะแนนเต็ม]]),"",(tbl_task3[95]/tbl_task3[[คะแนนเต็ม]:[คะแนนเต็ม]])*tbl_task3[[%]:[%]])</f>
        <v/>
      </c>
      <c r="JF27" s="121" t="str">
        <f>IF(ISBLANK(tbl_task3[[คะแนนเต็ม]:[คะแนนเต็ม]]),"",(tbl_task3[96]/tbl_task3[[คะแนนเต็ม]:[คะแนนเต็ม]])*tbl_task3[[%]:[%]])</f>
        <v/>
      </c>
      <c r="JG27" s="121" t="str">
        <f>IF(ISBLANK(tbl_task3[[คะแนนเต็ม]:[คะแนนเต็ม]]),"",(tbl_task3[97]/tbl_task3[[คะแนนเต็ม]:[คะแนนเต็ม]])*tbl_task3[[%]:[%]])</f>
        <v/>
      </c>
      <c r="JH27" s="121" t="str">
        <f>IF(ISBLANK(tbl_task3[[คะแนนเต็ม]:[คะแนนเต็ม]]),"",(tbl_task3[98]/tbl_task3[[คะแนนเต็ม]:[คะแนนเต็ม]])*tbl_task3[[%]:[%]])</f>
        <v/>
      </c>
      <c r="JI27" s="121" t="str">
        <f>IF(ISBLANK(tbl_task3[[คะแนนเต็ม]:[คะแนนเต็ม]]),"",(tbl_task3[99]/tbl_task3[[คะแนนเต็ม]:[คะแนนเต็ม]])*tbl_task3[[%]:[%]])</f>
        <v/>
      </c>
      <c r="JJ27" s="121" t="str">
        <f>IF(ISBLANK(tbl_task3[[คะแนนเต็ม]:[คะแนนเต็ม]]),"",(tbl_task3[100]/tbl_task3[[คะแนนเต็ม]:[คะแนนเต็ม]])*tbl_task3[[%]:[%]])</f>
        <v/>
      </c>
      <c r="JK27" s="121" t="str">
        <f>IF(ISBLANK(tbl_task3[[คะแนนเต็ม]:[คะแนนเต็ม]]),"",(tbl_task3[101]/tbl_task3[[คะแนนเต็ม]:[คะแนนเต็ม]])*tbl_task3[[%]:[%]])</f>
        <v/>
      </c>
      <c r="JL27" s="121" t="str">
        <f>IF(ISBLANK(tbl_task3[[คะแนนเต็ม]:[คะแนนเต็ม]]),"",(tbl_task3[102]/tbl_task3[[คะแนนเต็ม]:[คะแนนเต็ม]])*tbl_task3[[%]:[%]])</f>
        <v/>
      </c>
      <c r="JM27" s="121" t="str">
        <f>IF(ISBLANK(tbl_task3[[คะแนนเต็ม]:[คะแนนเต็ม]]),"",(tbl_task3[103]/tbl_task3[[คะแนนเต็ม]:[คะแนนเต็ม]])*tbl_task3[[%]:[%]])</f>
        <v/>
      </c>
      <c r="JN27" s="121" t="str">
        <f>IF(ISBLANK(tbl_task3[[คะแนนเต็ม]:[คะแนนเต็ม]]),"",(tbl_task3[104]/tbl_task3[[คะแนนเต็ม]:[คะแนนเต็ม]])*tbl_task3[[%]:[%]])</f>
        <v/>
      </c>
      <c r="JO27" s="121" t="str">
        <f>IF(ISBLANK(tbl_task3[[คะแนนเต็ม]:[คะแนนเต็ม]]),"",(tbl_task3[105]/tbl_task3[[คะแนนเต็ม]:[คะแนนเต็ม]])*tbl_task3[[%]:[%]])</f>
        <v/>
      </c>
      <c r="JP27" s="121" t="str">
        <f>IF(ISBLANK(tbl_task3[[คะแนนเต็ม]:[คะแนนเต็ม]]),"",(tbl_task3[106]/tbl_task3[[คะแนนเต็ม]:[คะแนนเต็ม]])*tbl_task3[[%]:[%]])</f>
        <v/>
      </c>
      <c r="JQ27" s="121" t="str">
        <f>IF(ISBLANK(tbl_task3[[คะแนนเต็ม]:[คะแนนเต็ม]]),"",(tbl_task3[107]/tbl_task3[[คะแนนเต็ม]:[คะแนนเต็ม]])*tbl_task3[[%]:[%]])</f>
        <v/>
      </c>
      <c r="JR27" s="121" t="str">
        <f>IF(ISBLANK(tbl_task3[[คะแนนเต็ม]:[คะแนนเต็ม]]),"",(tbl_task3[108]/tbl_task3[[คะแนนเต็ม]:[คะแนนเต็ม]])*tbl_task3[[%]:[%]])</f>
        <v/>
      </c>
      <c r="JS27" s="121" t="str">
        <f>IF(ISBLANK(tbl_task3[[คะแนนเต็ม]:[คะแนนเต็ม]]),"",(tbl_task3[109]/tbl_task3[[คะแนนเต็ม]:[คะแนนเต็ม]])*tbl_task3[[%]:[%]])</f>
        <v/>
      </c>
      <c r="JT27" s="121" t="str">
        <f>IF(ISBLANK(tbl_task3[[คะแนนเต็ม]:[คะแนนเต็ม]]),"",(tbl_task3[110]/tbl_task3[[คะแนนเต็ม]:[คะแนนเต็ม]])*tbl_task3[[%]:[%]])</f>
        <v/>
      </c>
      <c r="JU27" s="121" t="str">
        <f>IF(ISBLANK(tbl_task3[[คะแนนเต็ม]:[คะแนนเต็ม]]),"",(tbl_task3[111]/tbl_task3[[คะแนนเต็ม]:[คะแนนเต็ม]])*tbl_task3[[%]:[%]])</f>
        <v/>
      </c>
      <c r="JV27" s="121" t="str">
        <f>IF(ISBLANK(tbl_task3[[คะแนนเต็ม]:[คะแนนเต็ม]]),"",(tbl_task3[112]/tbl_task3[[คะแนนเต็ม]:[คะแนนเต็ม]])*tbl_task3[[%]:[%]])</f>
        <v/>
      </c>
      <c r="JW27" s="121" t="str">
        <f>IF(ISBLANK(tbl_task3[[คะแนนเต็ม]:[คะแนนเต็ม]]),"",(tbl_task3[113]/tbl_task3[[คะแนนเต็ม]:[คะแนนเต็ม]])*tbl_task3[[%]:[%]])</f>
        <v/>
      </c>
      <c r="JX27" s="121" t="str">
        <f>IF(ISBLANK(tbl_task3[[คะแนนเต็ม]:[คะแนนเต็ม]]),"",(tbl_task3[114]/tbl_task3[[คะแนนเต็ม]:[คะแนนเต็ม]])*tbl_task3[[%]:[%]])</f>
        <v/>
      </c>
      <c r="JY27" s="121" t="str">
        <f>IF(ISBLANK(tbl_task3[[คะแนนเต็ม]:[คะแนนเต็ม]]),"",(tbl_task3[115]/tbl_task3[[คะแนนเต็ม]:[คะแนนเต็ม]])*tbl_task3[[%]:[%]])</f>
        <v/>
      </c>
      <c r="JZ27" s="121" t="str">
        <f>IF(ISBLANK(tbl_task3[[คะแนนเต็ม]:[คะแนนเต็ม]]),"",(tbl_task3[116]/tbl_task3[[คะแนนเต็ม]:[คะแนนเต็ม]])*tbl_task3[[%]:[%]])</f>
        <v/>
      </c>
      <c r="KA27" s="121" t="str">
        <f>IF(ISBLANK(tbl_task3[[คะแนนเต็ม]:[คะแนนเต็ม]]),"",(tbl_task3[117]/tbl_task3[[คะแนนเต็ม]:[คะแนนเต็ม]])*tbl_task3[[%]:[%]])</f>
        <v/>
      </c>
      <c r="KB27" s="121" t="str">
        <f>IF(ISBLANK(tbl_task3[[คะแนนเต็ม]:[คะแนนเต็ม]]),"",(tbl_task3[118]/tbl_task3[[คะแนนเต็ม]:[คะแนนเต็ม]])*tbl_task3[[%]:[%]])</f>
        <v/>
      </c>
      <c r="KC27" s="121" t="str">
        <f>IF(ISBLANK(tbl_task3[[คะแนนเต็ม]:[คะแนนเต็ม]]),"",(tbl_task3[119]/tbl_task3[[คะแนนเต็ม]:[คะแนนเต็ม]])*tbl_task3[[%]:[%]])</f>
        <v/>
      </c>
      <c r="KD27" s="121" t="str">
        <f>IF(ISBLANK(tbl_task3[[คะแนนเต็ม]:[คะแนนเต็ม]]),"",(tbl_task3[120]/tbl_task3[[คะแนนเต็ม]:[คะแนนเต็ม]])*tbl_task3[[%]:[%]])</f>
        <v/>
      </c>
      <c r="KE27" s="121" t="str">
        <f>IF(ISBLANK(tbl_task3[[คะแนนเต็ม]:[คะแนนเต็ม]]),"",(tbl_task3[121]/tbl_task3[[คะแนนเต็ม]:[คะแนนเต็ม]])*tbl_task3[[%]:[%]])</f>
        <v/>
      </c>
      <c r="KF27" s="121" t="str">
        <f>IF(ISBLANK(tbl_task3[[คะแนนเต็ม]:[คะแนนเต็ม]]),"",(tbl_task3[122]/tbl_task3[[คะแนนเต็ม]:[คะแนนเต็ม]])*tbl_task3[[%]:[%]])</f>
        <v/>
      </c>
      <c r="KG27" s="121" t="str">
        <f>IF(ISBLANK(tbl_task3[[คะแนนเต็ม]:[คะแนนเต็ม]]),"",(tbl_task3[123]/tbl_task3[[คะแนนเต็ม]:[คะแนนเต็ม]])*tbl_task3[[%]:[%]])</f>
        <v/>
      </c>
      <c r="KH27" s="121" t="str">
        <f>IF(ISBLANK(tbl_task3[[คะแนนเต็ม]:[คะแนนเต็ม]]),"",(tbl_task3[124]/tbl_task3[[คะแนนเต็ม]:[คะแนนเต็ม]])*tbl_task3[[%]:[%]])</f>
        <v/>
      </c>
      <c r="KI27" s="121" t="str">
        <f>IF(ISBLANK(tbl_task3[[คะแนนเต็ม]:[คะแนนเต็ม]]),"",(tbl_task3[125]/tbl_task3[[คะแนนเต็ม]:[คะแนนเต็ม]])*tbl_task3[[%]:[%]])</f>
        <v/>
      </c>
      <c r="KJ27" s="121" t="str">
        <f>IF(ISBLANK(tbl_task3[[คะแนนเต็ม]:[คะแนนเต็ม]]),"",(tbl_task3[126]/tbl_task3[[คะแนนเต็ม]:[คะแนนเต็ม]])*tbl_task3[[%]:[%]])</f>
        <v/>
      </c>
      <c r="KK27" s="121" t="str">
        <f>IF(ISBLANK(tbl_task3[[คะแนนเต็ม]:[คะแนนเต็ม]]),"",(tbl_task3[127]/tbl_task3[[คะแนนเต็ม]:[คะแนนเต็ม]])*tbl_task3[[%]:[%]])</f>
        <v/>
      </c>
      <c r="KL27" s="121" t="str">
        <f>IF(ISBLANK(tbl_task3[[คะแนนเต็ม]:[คะแนนเต็ม]]),"",(tbl_task3[128]/tbl_task3[[คะแนนเต็ม]:[คะแนนเต็ม]])*tbl_task3[[%]:[%]])</f>
        <v/>
      </c>
      <c r="KM27" s="121" t="str">
        <f>IF(ISBLANK(tbl_task3[[คะแนนเต็ม]:[คะแนนเต็ม]]),"",(tbl_task3[129]/tbl_task3[[คะแนนเต็ม]:[คะแนนเต็ม]])*tbl_task3[[%]:[%]])</f>
        <v/>
      </c>
      <c r="KN27" s="121" t="str">
        <f>IF(ISBLANK(tbl_task3[[คะแนนเต็ม]:[คะแนนเต็ม]]),"",(tbl_task3[130]/tbl_task3[[คะแนนเต็ม]:[คะแนนเต็ม]])*tbl_task3[[%]:[%]])</f>
        <v/>
      </c>
      <c r="KO27" s="121" t="str">
        <f>IF(ISBLANK(tbl_task3[[คะแนนเต็ม]:[คะแนนเต็ม]]),"",(tbl_task3[131]/tbl_task3[[คะแนนเต็ม]:[คะแนนเต็ม]])*tbl_task3[[%]:[%]])</f>
        <v/>
      </c>
      <c r="KP27" s="121" t="str">
        <f>IF(ISBLANK(tbl_task3[[คะแนนเต็ม]:[คะแนนเต็ม]]),"",(tbl_task3[132]/tbl_task3[[คะแนนเต็ม]:[คะแนนเต็ม]])*tbl_task3[[%]:[%]])</f>
        <v/>
      </c>
      <c r="KQ27" s="121" t="str">
        <f>IF(ISBLANK(tbl_task3[[คะแนนเต็ม]:[คะแนนเต็ม]]),"",(tbl_task3[133]/tbl_task3[[คะแนนเต็ม]:[คะแนนเต็ม]])*tbl_task3[[%]:[%]])</f>
        <v/>
      </c>
      <c r="KR27" s="121" t="str">
        <f>IF(ISBLANK(tbl_task3[[คะแนนเต็ม]:[คะแนนเต็ม]]),"",(tbl_task3[134]/tbl_task3[[คะแนนเต็ม]:[คะแนนเต็ม]])*tbl_task3[[%]:[%]])</f>
        <v/>
      </c>
      <c r="KS27" s="121" t="str">
        <f>IF(ISBLANK(tbl_task3[[คะแนนเต็ม]:[คะแนนเต็ม]]),"",(tbl_task3[135]/tbl_task3[[คะแนนเต็ม]:[คะแนนเต็ม]])*tbl_task3[[%]:[%]])</f>
        <v/>
      </c>
      <c r="KT27" s="121" t="str">
        <f>IF(ISBLANK(tbl_task3[[คะแนนเต็ม]:[คะแนนเต็ม]]),"",(tbl_task3[136]/tbl_task3[[คะแนนเต็ม]:[คะแนนเต็ม]])*tbl_task3[[%]:[%]])</f>
        <v/>
      </c>
      <c r="KU27" s="121" t="str">
        <f>IF(ISBLANK(tbl_task3[[คะแนนเต็ม]:[คะแนนเต็ม]]),"",(tbl_task3[137]/tbl_task3[[คะแนนเต็ม]:[คะแนนเต็ม]])*tbl_task3[[%]:[%]])</f>
        <v/>
      </c>
      <c r="KV27" s="121" t="str">
        <f>IF(ISBLANK(tbl_task3[[คะแนนเต็ม]:[คะแนนเต็ม]]),"",(tbl_task3[138]/tbl_task3[[คะแนนเต็ม]:[คะแนนเต็ม]])*tbl_task3[[%]:[%]])</f>
        <v/>
      </c>
      <c r="KW27" s="121" t="str">
        <f>IF(ISBLANK(tbl_task3[[คะแนนเต็ม]:[คะแนนเต็ม]]),"",(tbl_task3[139]/tbl_task3[[คะแนนเต็ม]:[คะแนนเต็ม]])*tbl_task3[[%]:[%]])</f>
        <v/>
      </c>
      <c r="KX27" s="121" t="str">
        <f>IF(ISBLANK(tbl_task3[[คะแนนเต็ม]:[คะแนนเต็ม]]),"",(tbl_task3[140]/tbl_task3[[คะแนนเต็ม]:[คะแนนเต็ม]])*tbl_task3[[%]:[%]])</f>
        <v/>
      </c>
      <c r="KY27" s="121" t="str">
        <f>IF(ISBLANK(tbl_task3[[คะแนนเต็ม]:[คะแนนเต็ม]]),"",(tbl_task3[141]/tbl_task3[[คะแนนเต็ม]:[คะแนนเต็ม]])*tbl_task3[[%]:[%]])</f>
        <v/>
      </c>
      <c r="KZ27" s="121" t="str">
        <f>IF(ISBLANK(tbl_task3[[คะแนนเต็ม]:[คะแนนเต็ม]]),"",(tbl_task3[142]/tbl_task3[[คะแนนเต็ม]:[คะแนนเต็ม]])*tbl_task3[[%]:[%]])</f>
        <v/>
      </c>
      <c r="LA27" s="121" t="str">
        <f>IF(ISBLANK(tbl_task3[[คะแนนเต็ม]:[คะแนนเต็ม]]),"",(tbl_task3[143]/tbl_task3[[คะแนนเต็ม]:[คะแนนเต็ม]])*tbl_task3[[%]:[%]])</f>
        <v/>
      </c>
      <c r="LB27" s="121" t="str">
        <f>IF(ISBLANK(tbl_task3[[คะแนนเต็ม]:[คะแนนเต็ม]]),"",(tbl_task3[144]/tbl_task3[[คะแนนเต็ม]:[คะแนนเต็ม]])*tbl_task3[[%]:[%]])</f>
        <v/>
      </c>
      <c r="LC27" s="121" t="str">
        <f>IF(ISBLANK(tbl_task3[[คะแนนเต็ม]:[คะแนนเต็ม]]),"",(tbl_task3[145]/tbl_task3[[คะแนนเต็ม]:[คะแนนเต็ม]])*tbl_task3[[%]:[%]])</f>
        <v/>
      </c>
      <c r="LD27" s="121" t="str">
        <f>IF(ISBLANK(tbl_task3[[คะแนนเต็ม]:[คะแนนเต็ม]]),"",(tbl_task3[146]/tbl_task3[[คะแนนเต็ม]:[คะแนนเต็ม]])*tbl_task3[[%]:[%]])</f>
        <v/>
      </c>
      <c r="LE27" s="121" t="str">
        <f>IF(ISBLANK(tbl_task3[[คะแนนเต็ม]:[คะแนนเต็ม]]),"",(tbl_task3[147]/tbl_task3[[คะแนนเต็ม]:[คะแนนเต็ม]])*tbl_task3[[%]:[%]])</f>
        <v/>
      </c>
      <c r="LF27" s="121" t="str">
        <f>IF(ISBLANK(tbl_task3[[คะแนนเต็ม]:[คะแนนเต็ม]]),"",(tbl_task3[148]/tbl_task3[[คะแนนเต็ม]:[คะแนนเต็ม]])*tbl_task3[[%]:[%]])</f>
        <v/>
      </c>
      <c r="LG27" s="121" t="str">
        <f>IF(ISBLANK(tbl_task3[[คะแนนเต็ม]:[คะแนนเต็ม]]),"",(tbl_task3[149]/tbl_task3[[คะแนนเต็ม]:[คะแนนเต็ม]])*tbl_task3[[%]:[%]])</f>
        <v/>
      </c>
      <c r="LH27" s="121" t="str">
        <f>IF(ISBLANK(tbl_task3[[คะแนนเต็ม]:[คะแนนเต็ม]]),"",(tbl_task3[150]/tbl_task3[[คะแนนเต็ม]:[คะแนนเต็ม]])*tbl_task3[[%]:[%]])</f>
        <v/>
      </c>
      <c r="LI27" s="121" t="str">
        <f>IF(ISBLANK(tbl_task3[[คะแนนเต็ม]:[คะแนนเต็ม]]),"",(tbl_task3[151]/tbl_task3[[คะแนนเต็ม]:[คะแนนเต็ม]])*tbl_task3[[%]:[%]])</f>
        <v/>
      </c>
      <c r="LJ27" s="121" t="str">
        <f>IF(ISBLANK(tbl_task3[[คะแนนเต็ม]:[คะแนนเต็ม]]),"",(tbl_task3[152]/tbl_task3[[คะแนนเต็ม]:[คะแนนเต็ม]])*tbl_task3[[%]:[%]])</f>
        <v/>
      </c>
      <c r="LK27" s="121" t="str">
        <f>IF(ISBLANK(tbl_task3[[คะแนนเต็ม]:[คะแนนเต็ม]]),"",(tbl_task3[153]/tbl_task3[[คะแนนเต็ม]:[คะแนนเต็ม]])*tbl_task3[[%]:[%]])</f>
        <v/>
      </c>
      <c r="LL27" s="121" t="str">
        <f>IF(ISBLANK(tbl_task3[[คะแนนเต็ม]:[คะแนนเต็ม]]),"",(tbl_task3[154]/tbl_task3[[คะแนนเต็ม]:[คะแนนเต็ม]])*tbl_task3[[%]:[%]])</f>
        <v/>
      </c>
      <c r="LM27" s="121" t="str">
        <f>IF(ISBLANK(tbl_task3[[คะแนนเต็ม]:[คะแนนเต็ม]]),"",(tbl_task3[155]/tbl_task3[[คะแนนเต็ม]:[คะแนนเต็ม]])*tbl_task3[[%]:[%]])</f>
        <v/>
      </c>
      <c r="LN27" s="121" t="str">
        <f>IF(ISBLANK(tbl_task3[[คะแนนเต็ม]:[คะแนนเต็ม]]),"",(tbl_task3[156]/tbl_task3[[คะแนนเต็ม]:[คะแนนเต็ม]])*tbl_task3[[%]:[%]])</f>
        <v/>
      </c>
      <c r="LO27" s="121" t="str">
        <f>IF(ISBLANK(tbl_task3[[คะแนนเต็ม]:[คะแนนเต็ม]]),"",(tbl_task3[157]/tbl_task3[[คะแนนเต็ม]:[คะแนนเต็ม]])*tbl_task3[[%]:[%]])</f>
        <v/>
      </c>
      <c r="LP27" s="121" t="str">
        <f>IF(ISBLANK(tbl_task3[[คะแนนเต็ม]:[คะแนนเต็ม]]),"",(tbl_task3[158]/tbl_task3[[คะแนนเต็ม]:[คะแนนเต็ม]])*tbl_task3[[%]:[%]])</f>
        <v/>
      </c>
      <c r="LQ27" s="121" t="str">
        <f>IF(ISBLANK(tbl_task3[[คะแนนเต็ม]:[คะแนนเต็ม]]),"",(tbl_task3[159]/tbl_task3[[คะแนนเต็ม]:[คะแนนเต็ม]])*tbl_task3[[%]:[%]])</f>
        <v/>
      </c>
      <c r="LR27" s="121" t="str">
        <f>IF(ISBLANK(tbl_task3[[คะแนนเต็ม]:[คะแนนเต็ม]]),"",(tbl_task3[160]/tbl_task3[[คะแนนเต็ม]:[คะแนนเต็ม]])*tbl_task3[[%]:[%]])</f>
        <v/>
      </c>
      <c r="LS27" s="121" t="str">
        <f>IF(ISBLANK(tbl_task3[[คะแนนเต็ม]:[คะแนนเต็ม]]),"",(tbl_task3[161]/tbl_task3[[คะแนนเต็ม]:[คะแนนเต็ม]])*tbl_task3[[%]:[%]])</f>
        <v/>
      </c>
      <c r="LT27" s="121" t="str">
        <f>IF(ISBLANK(tbl_task3[[คะแนนเต็ม]:[คะแนนเต็ม]]),"",(tbl_task3[162]/tbl_task3[[คะแนนเต็ม]:[คะแนนเต็ม]])*tbl_task3[[%]:[%]])</f>
        <v/>
      </c>
      <c r="LU27" s="121" t="str">
        <f>IF(ISBLANK(tbl_task3[[คะแนนเต็ม]:[คะแนนเต็ม]]),"",(tbl_task3[163]/tbl_task3[[คะแนนเต็ม]:[คะแนนเต็ม]])*tbl_task3[[%]:[%]])</f>
        <v/>
      </c>
      <c r="LV27" s="121" t="str">
        <f>IF(ISBLANK(tbl_task3[[คะแนนเต็ม]:[คะแนนเต็ม]]),"",(tbl_task3[164]/tbl_task3[[คะแนนเต็ม]:[คะแนนเต็ม]])*tbl_task3[[%]:[%]])</f>
        <v/>
      </c>
      <c r="LW27" s="121" t="str">
        <f>IF(ISBLANK(tbl_task3[[คะแนนเต็ม]:[คะแนนเต็ม]]),"",(tbl_task3[165]/tbl_task3[[คะแนนเต็ม]:[คะแนนเต็ม]])*tbl_task3[[%]:[%]])</f>
        <v/>
      </c>
    </row>
    <row r="28" spans="1:335" ht="24" customHeight="1" x14ac:dyDescent="0.25">
      <c r="A28" s="24">
        <v>25</v>
      </c>
      <c r="B28" s="25"/>
      <c r="C28" s="26" t="str">
        <f>IF(ISBLANK(B28),"",VLOOKUP(B28,tbl_PLOs[],2,0))</f>
        <v/>
      </c>
      <c r="D28" s="103"/>
      <c r="E28" s="10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121" t="str">
        <f>IF(ISBLANK(tbl_task3[[คะแนนเต็ม]:[คะแนนเต็ม]]),"",(tbl_task3[1]/tbl_task3[[คะแนนเต็ม]:[คะแนนเต็ม]])*tbl_task3[[%]:[%]])</f>
        <v/>
      </c>
      <c r="FP28" s="121" t="str">
        <f>IF(ISBLANK(tbl_task3[[คะแนนเต็ม]:[คะแนนเต็ม]]),"",(tbl_task3[2]/tbl_task3[[คะแนนเต็ม]:[คะแนนเต็ม]])*tbl_task3[[%]:[%]])</f>
        <v/>
      </c>
      <c r="FQ28" s="121" t="str">
        <f>IF(ISBLANK(tbl_task3[[คะแนนเต็ม]:[คะแนนเต็ม]]),"",(tbl_task3[3]/tbl_task3[[คะแนนเต็ม]:[คะแนนเต็ม]])*tbl_task3[[%]:[%]])</f>
        <v/>
      </c>
      <c r="FR28" s="121" t="str">
        <f>IF(ISBLANK(tbl_task3[[คะแนนเต็ม]:[คะแนนเต็ม]]),"",(tbl_task3[4]/tbl_task3[[คะแนนเต็ม]:[คะแนนเต็ม]])*tbl_task3[[%]:[%]])</f>
        <v/>
      </c>
      <c r="FS28" s="121" t="str">
        <f>IF(ISBLANK(tbl_task3[[คะแนนเต็ม]:[คะแนนเต็ม]]),"",(tbl_task3[5]/tbl_task3[[คะแนนเต็ม]:[คะแนนเต็ม]])*tbl_task3[[%]:[%]])</f>
        <v/>
      </c>
      <c r="FT28" s="121" t="str">
        <f>IF(ISBLANK(tbl_task3[[คะแนนเต็ม]:[คะแนนเต็ม]]),"",(tbl_task3[6]/tbl_task3[[คะแนนเต็ม]:[คะแนนเต็ม]])*tbl_task3[[%]:[%]])</f>
        <v/>
      </c>
      <c r="FU28" s="121" t="str">
        <f>IF(ISBLANK(tbl_task3[[คะแนนเต็ม]:[คะแนนเต็ม]]),"",(tbl_task3[7]/tbl_task3[[คะแนนเต็ม]:[คะแนนเต็ม]])*tbl_task3[[%]:[%]])</f>
        <v/>
      </c>
      <c r="FV28" s="121" t="str">
        <f>IF(ISBLANK(tbl_task3[[คะแนนเต็ม]:[คะแนนเต็ม]]),"",(tbl_task3[8]/tbl_task3[[คะแนนเต็ม]:[คะแนนเต็ม]])*tbl_task3[[%]:[%]])</f>
        <v/>
      </c>
      <c r="FW28" s="121" t="str">
        <f>IF(ISBLANK(tbl_task3[[คะแนนเต็ม]:[คะแนนเต็ม]]),"",(tbl_task3[9]/tbl_task3[[คะแนนเต็ม]:[คะแนนเต็ม]])*tbl_task3[[%]:[%]])</f>
        <v/>
      </c>
      <c r="FX28" s="121" t="str">
        <f>IF(ISBLANK(tbl_task3[[คะแนนเต็ม]:[คะแนนเต็ม]]),"",(tbl_task3[10]/tbl_task3[[คะแนนเต็ม]:[คะแนนเต็ม]])*tbl_task3[[%]:[%]])</f>
        <v/>
      </c>
      <c r="FY28" s="121" t="str">
        <f>IF(ISBLANK(tbl_task3[[คะแนนเต็ม]:[คะแนนเต็ม]]),"",(tbl_task3[11]/tbl_task3[[คะแนนเต็ม]:[คะแนนเต็ม]])*tbl_task3[[%]:[%]])</f>
        <v/>
      </c>
      <c r="FZ28" s="121" t="str">
        <f>IF(ISBLANK(tbl_task3[[คะแนนเต็ม]:[คะแนนเต็ม]]),"",(tbl_task3[12]/tbl_task3[[คะแนนเต็ม]:[คะแนนเต็ม]])*tbl_task3[[%]:[%]])</f>
        <v/>
      </c>
      <c r="GA28" s="121" t="str">
        <f>IF(ISBLANK(tbl_task3[[คะแนนเต็ม]:[คะแนนเต็ม]]),"",(tbl_task3[13]/tbl_task3[[คะแนนเต็ม]:[คะแนนเต็ม]])*tbl_task3[[%]:[%]])</f>
        <v/>
      </c>
      <c r="GB28" s="121" t="str">
        <f>IF(ISBLANK(tbl_task3[[คะแนนเต็ม]:[คะแนนเต็ม]]),"",(tbl_task3[14]/tbl_task3[[คะแนนเต็ม]:[คะแนนเต็ม]])*tbl_task3[[%]:[%]])</f>
        <v/>
      </c>
      <c r="GC28" s="121" t="str">
        <f>IF(ISBLANK(tbl_task3[[คะแนนเต็ม]:[คะแนนเต็ม]]),"",(tbl_task3[15]/tbl_task3[[คะแนนเต็ม]:[คะแนนเต็ม]])*tbl_task3[[%]:[%]])</f>
        <v/>
      </c>
      <c r="GD28" s="121" t="str">
        <f>IF(ISBLANK(tbl_task3[[คะแนนเต็ม]:[คะแนนเต็ม]]),"",(tbl_task3[16]/tbl_task3[[คะแนนเต็ม]:[คะแนนเต็ม]])*tbl_task3[[%]:[%]])</f>
        <v/>
      </c>
      <c r="GE28" s="121" t="str">
        <f>IF(ISBLANK(tbl_task3[[คะแนนเต็ม]:[คะแนนเต็ม]]),"",(tbl_task3[17]/tbl_task3[[คะแนนเต็ม]:[คะแนนเต็ม]])*tbl_task3[[%]:[%]])</f>
        <v/>
      </c>
      <c r="GF28" s="121" t="str">
        <f>IF(ISBLANK(tbl_task3[[คะแนนเต็ม]:[คะแนนเต็ม]]),"",(tbl_task3[18]/tbl_task3[[คะแนนเต็ม]:[คะแนนเต็ม]])*tbl_task3[[%]:[%]])</f>
        <v/>
      </c>
      <c r="GG28" s="121" t="str">
        <f>IF(ISBLANK(tbl_task3[[คะแนนเต็ม]:[คะแนนเต็ม]]),"",(tbl_task3[19]/tbl_task3[[คะแนนเต็ม]:[คะแนนเต็ม]])*tbl_task3[[%]:[%]])</f>
        <v/>
      </c>
      <c r="GH28" s="121" t="str">
        <f>IF(ISBLANK(tbl_task3[[คะแนนเต็ม]:[คะแนนเต็ม]]),"",(tbl_task3[20]/tbl_task3[[คะแนนเต็ม]:[คะแนนเต็ม]])*tbl_task3[[%]:[%]])</f>
        <v/>
      </c>
      <c r="GI28" s="121" t="str">
        <f>IF(ISBLANK(tbl_task3[[คะแนนเต็ม]:[คะแนนเต็ม]]),"",(tbl_task3[21]/tbl_task3[[คะแนนเต็ม]:[คะแนนเต็ม]])*tbl_task3[[%]:[%]])</f>
        <v/>
      </c>
      <c r="GJ28" s="121" t="str">
        <f>IF(ISBLANK(tbl_task3[[คะแนนเต็ม]:[คะแนนเต็ม]]),"",(tbl_task3[22]/tbl_task3[[คะแนนเต็ม]:[คะแนนเต็ม]])*tbl_task3[[%]:[%]])</f>
        <v/>
      </c>
      <c r="GK28" s="121" t="str">
        <f>IF(ISBLANK(tbl_task3[[คะแนนเต็ม]:[คะแนนเต็ม]]),"",(tbl_task3[23]/tbl_task3[[คะแนนเต็ม]:[คะแนนเต็ม]])*tbl_task3[[%]:[%]])</f>
        <v/>
      </c>
      <c r="GL28" s="121" t="str">
        <f>IF(ISBLANK(tbl_task3[[คะแนนเต็ม]:[คะแนนเต็ม]]),"",(tbl_task3[24]/tbl_task3[[คะแนนเต็ม]:[คะแนนเต็ม]])*tbl_task3[[%]:[%]])</f>
        <v/>
      </c>
      <c r="GM28" s="121" t="str">
        <f>IF(ISBLANK(tbl_task3[[คะแนนเต็ม]:[คะแนนเต็ม]]),"",(tbl_task3[25]/tbl_task3[[คะแนนเต็ม]:[คะแนนเต็ม]])*tbl_task3[[%]:[%]])</f>
        <v/>
      </c>
      <c r="GN28" s="121" t="str">
        <f>IF(ISBLANK(tbl_task3[[คะแนนเต็ม]:[คะแนนเต็ม]]),"",(tbl_task3[26]/tbl_task3[[คะแนนเต็ม]:[คะแนนเต็ม]])*tbl_task3[[%]:[%]])</f>
        <v/>
      </c>
      <c r="GO28" s="121" t="str">
        <f>IF(ISBLANK(tbl_task3[[คะแนนเต็ม]:[คะแนนเต็ม]]),"",(tbl_task3[27]/tbl_task3[[คะแนนเต็ม]:[คะแนนเต็ม]])*tbl_task3[[%]:[%]])</f>
        <v/>
      </c>
      <c r="GP28" s="121" t="str">
        <f>IF(ISBLANK(tbl_task3[[คะแนนเต็ม]:[คะแนนเต็ม]]),"",(tbl_task3[28]/tbl_task3[[คะแนนเต็ม]:[คะแนนเต็ม]])*tbl_task3[[%]:[%]])</f>
        <v/>
      </c>
      <c r="GQ28" s="121" t="str">
        <f>IF(ISBLANK(tbl_task3[[คะแนนเต็ม]:[คะแนนเต็ม]]),"",(tbl_task3[29]/tbl_task3[[คะแนนเต็ม]:[คะแนนเต็ม]])*tbl_task3[[%]:[%]])</f>
        <v/>
      </c>
      <c r="GR28" s="121" t="str">
        <f>IF(ISBLANK(tbl_task3[[คะแนนเต็ม]:[คะแนนเต็ม]]),"",(tbl_task3[30]/tbl_task3[[คะแนนเต็ม]:[คะแนนเต็ม]])*tbl_task3[[%]:[%]])</f>
        <v/>
      </c>
      <c r="GS28" s="121" t="str">
        <f>IF(ISBLANK(tbl_task3[[คะแนนเต็ม]:[คะแนนเต็ม]]),"",(tbl_task3[31]/tbl_task3[[คะแนนเต็ม]:[คะแนนเต็ม]])*tbl_task3[[%]:[%]])</f>
        <v/>
      </c>
      <c r="GT28" s="121" t="str">
        <f>IF(ISBLANK(tbl_task3[[คะแนนเต็ม]:[คะแนนเต็ม]]),"",(tbl_task3[32]/tbl_task3[[คะแนนเต็ม]:[คะแนนเต็ม]])*tbl_task3[[%]:[%]])</f>
        <v/>
      </c>
      <c r="GU28" s="121" t="str">
        <f>IF(ISBLANK(tbl_task3[[คะแนนเต็ม]:[คะแนนเต็ม]]),"",(tbl_task3[33]/tbl_task3[[คะแนนเต็ม]:[คะแนนเต็ม]])*tbl_task3[[%]:[%]])</f>
        <v/>
      </c>
      <c r="GV28" s="121" t="str">
        <f>IF(ISBLANK(tbl_task3[[คะแนนเต็ม]:[คะแนนเต็ม]]),"",(tbl_task3[34]/tbl_task3[[คะแนนเต็ม]:[คะแนนเต็ม]])*tbl_task3[[%]:[%]])</f>
        <v/>
      </c>
      <c r="GW28" s="121" t="str">
        <f>IF(ISBLANK(tbl_task3[[คะแนนเต็ม]:[คะแนนเต็ม]]),"",(tbl_task3[35]/tbl_task3[[คะแนนเต็ม]:[คะแนนเต็ม]])*tbl_task3[[%]:[%]])</f>
        <v/>
      </c>
      <c r="GX28" s="121" t="str">
        <f>IF(ISBLANK(tbl_task3[[คะแนนเต็ม]:[คะแนนเต็ม]]),"",(tbl_task3[36]/tbl_task3[[คะแนนเต็ม]:[คะแนนเต็ม]])*tbl_task3[[%]:[%]])</f>
        <v/>
      </c>
      <c r="GY28" s="121" t="str">
        <f>IF(ISBLANK(tbl_task3[[คะแนนเต็ม]:[คะแนนเต็ม]]),"",(tbl_task3[37]/tbl_task3[[คะแนนเต็ม]:[คะแนนเต็ม]])*tbl_task3[[%]:[%]])</f>
        <v/>
      </c>
      <c r="GZ28" s="121" t="str">
        <f>IF(ISBLANK(tbl_task3[[คะแนนเต็ม]:[คะแนนเต็ม]]),"",(tbl_task3[38]/tbl_task3[[คะแนนเต็ม]:[คะแนนเต็ม]])*tbl_task3[[%]:[%]])</f>
        <v/>
      </c>
      <c r="HA28" s="121" t="str">
        <f>IF(ISBLANK(tbl_task3[[คะแนนเต็ม]:[คะแนนเต็ม]]),"",(tbl_task3[39]/tbl_task3[[คะแนนเต็ม]:[คะแนนเต็ม]])*tbl_task3[[%]:[%]])</f>
        <v/>
      </c>
      <c r="HB28" s="121" t="str">
        <f>IF(ISBLANK(tbl_task3[[คะแนนเต็ม]:[คะแนนเต็ม]]),"",(tbl_task3[40]/tbl_task3[[คะแนนเต็ม]:[คะแนนเต็ม]])*tbl_task3[[%]:[%]])</f>
        <v/>
      </c>
      <c r="HC28" s="121" t="str">
        <f>IF(ISBLANK(tbl_task3[[คะแนนเต็ม]:[คะแนนเต็ม]]),"",(tbl_task3[41]/tbl_task3[[คะแนนเต็ม]:[คะแนนเต็ม]])*tbl_task3[[%]:[%]])</f>
        <v/>
      </c>
      <c r="HD28" s="121" t="str">
        <f>IF(ISBLANK(tbl_task3[[คะแนนเต็ม]:[คะแนนเต็ม]]),"",(tbl_task3[42]/tbl_task3[[คะแนนเต็ม]:[คะแนนเต็ม]])*tbl_task3[[%]:[%]])</f>
        <v/>
      </c>
      <c r="HE28" s="121" t="str">
        <f>IF(ISBLANK(tbl_task3[[คะแนนเต็ม]:[คะแนนเต็ม]]),"",(tbl_task3[43]/tbl_task3[[คะแนนเต็ม]:[คะแนนเต็ม]])*tbl_task3[[%]:[%]])</f>
        <v/>
      </c>
      <c r="HF28" s="121" t="str">
        <f>IF(ISBLANK(tbl_task3[[คะแนนเต็ม]:[คะแนนเต็ม]]),"",(tbl_task3[44]/tbl_task3[[คะแนนเต็ม]:[คะแนนเต็ม]])*tbl_task3[[%]:[%]])</f>
        <v/>
      </c>
      <c r="HG28" s="121" t="str">
        <f>IF(ISBLANK(tbl_task3[[คะแนนเต็ม]:[คะแนนเต็ม]]),"",(tbl_task3[45]/tbl_task3[[คะแนนเต็ม]:[คะแนนเต็ม]])*tbl_task3[[%]:[%]])</f>
        <v/>
      </c>
      <c r="HH28" s="121" t="str">
        <f>IF(ISBLANK(tbl_task3[[คะแนนเต็ม]:[คะแนนเต็ม]]),"",(tbl_task3[46]/tbl_task3[[คะแนนเต็ม]:[คะแนนเต็ม]])*tbl_task3[[%]:[%]])</f>
        <v/>
      </c>
      <c r="HI28" s="121" t="str">
        <f>IF(ISBLANK(tbl_task3[[คะแนนเต็ม]:[คะแนนเต็ม]]),"",(tbl_task3[47]/tbl_task3[[คะแนนเต็ม]:[คะแนนเต็ม]])*tbl_task3[[%]:[%]])</f>
        <v/>
      </c>
      <c r="HJ28" s="121" t="str">
        <f>IF(ISBLANK(tbl_task3[[คะแนนเต็ม]:[คะแนนเต็ม]]),"",(tbl_task3[48]/tbl_task3[[คะแนนเต็ม]:[คะแนนเต็ม]])*tbl_task3[[%]:[%]])</f>
        <v/>
      </c>
      <c r="HK28" s="121" t="str">
        <f>IF(ISBLANK(tbl_task3[[คะแนนเต็ม]:[คะแนนเต็ม]]),"",(tbl_task3[49]/tbl_task3[[คะแนนเต็ม]:[คะแนนเต็ม]])*tbl_task3[[%]:[%]])</f>
        <v/>
      </c>
      <c r="HL28" s="121" t="str">
        <f>IF(ISBLANK(tbl_task3[[คะแนนเต็ม]:[คะแนนเต็ม]]),"",(tbl_task3[50]/tbl_task3[[คะแนนเต็ม]:[คะแนนเต็ม]])*tbl_task3[[%]:[%]])</f>
        <v/>
      </c>
      <c r="HM28" s="121" t="str">
        <f>IF(ISBLANK(tbl_task3[[คะแนนเต็ม]:[คะแนนเต็ม]]),"",(tbl_task3[51]/tbl_task3[[คะแนนเต็ม]:[คะแนนเต็ม]])*tbl_task3[[%]:[%]])</f>
        <v/>
      </c>
      <c r="HN28" s="121" t="str">
        <f>IF(ISBLANK(tbl_task3[[คะแนนเต็ม]:[คะแนนเต็ม]]),"",(tbl_task3[52]/tbl_task3[[คะแนนเต็ม]:[คะแนนเต็ม]])*tbl_task3[[%]:[%]])</f>
        <v/>
      </c>
      <c r="HO28" s="121" t="str">
        <f>IF(ISBLANK(tbl_task3[[คะแนนเต็ม]:[คะแนนเต็ม]]),"",(tbl_task3[53]/tbl_task3[[คะแนนเต็ม]:[คะแนนเต็ม]])*tbl_task3[[%]:[%]])</f>
        <v/>
      </c>
      <c r="HP28" s="121" t="str">
        <f>IF(ISBLANK(tbl_task3[[คะแนนเต็ม]:[คะแนนเต็ม]]),"",(tbl_task3[54]/tbl_task3[[คะแนนเต็ม]:[คะแนนเต็ม]])*tbl_task3[[%]:[%]])</f>
        <v/>
      </c>
      <c r="HQ28" s="121" t="str">
        <f>IF(ISBLANK(tbl_task3[[คะแนนเต็ม]:[คะแนนเต็ม]]),"",(tbl_task3[55]/tbl_task3[[คะแนนเต็ม]:[คะแนนเต็ม]])*tbl_task3[[%]:[%]])</f>
        <v/>
      </c>
      <c r="HR28" s="121" t="str">
        <f>IF(ISBLANK(tbl_task3[[คะแนนเต็ม]:[คะแนนเต็ม]]),"",(tbl_task3[56]/tbl_task3[[คะแนนเต็ม]:[คะแนนเต็ม]])*tbl_task3[[%]:[%]])</f>
        <v/>
      </c>
      <c r="HS28" s="121" t="str">
        <f>IF(ISBLANK(tbl_task3[[คะแนนเต็ม]:[คะแนนเต็ม]]),"",(tbl_task3[57]/tbl_task3[[คะแนนเต็ม]:[คะแนนเต็ม]])*tbl_task3[[%]:[%]])</f>
        <v/>
      </c>
      <c r="HT28" s="121" t="str">
        <f>IF(ISBLANK(tbl_task3[[คะแนนเต็ม]:[คะแนนเต็ม]]),"",(tbl_task3[58]/tbl_task3[[คะแนนเต็ม]:[คะแนนเต็ม]])*tbl_task3[[%]:[%]])</f>
        <v/>
      </c>
      <c r="HU28" s="121" t="str">
        <f>IF(ISBLANK(tbl_task3[[คะแนนเต็ม]:[คะแนนเต็ม]]),"",(tbl_task3[59]/tbl_task3[[คะแนนเต็ม]:[คะแนนเต็ม]])*tbl_task3[[%]:[%]])</f>
        <v/>
      </c>
      <c r="HV28" s="121" t="str">
        <f>IF(ISBLANK(tbl_task3[[คะแนนเต็ม]:[คะแนนเต็ม]]),"",(tbl_task3[60]/tbl_task3[[คะแนนเต็ม]:[คะแนนเต็ม]])*tbl_task3[[%]:[%]])</f>
        <v/>
      </c>
      <c r="HW28" s="121" t="str">
        <f>IF(ISBLANK(tbl_task3[[คะแนนเต็ม]:[คะแนนเต็ม]]),"",(tbl_task3[61]/tbl_task3[[คะแนนเต็ม]:[คะแนนเต็ม]])*tbl_task3[[%]:[%]])</f>
        <v/>
      </c>
      <c r="HX28" s="121" t="str">
        <f>IF(ISBLANK(tbl_task3[[คะแนนเต็ม]:[คะแนนเต็ม]]),"",(tbl_task3[62]/tbl_task3[[คะแนนเต็ม]:[คะแนนเต็ม]])*tbl_task3[[%]:[%]])</f>
        <v/>
      </c>
      <c r="HY28" s="121" t="str">
        <f>IF(ISBLANK(tbl_task3[[คะแนนเต็ม]:[คะแนนเต็ม]]),"",(tbl_task3[63]/tbl_task3[[คะแนนเต็ม]:[คะแนนเต็ม]])*tbl_task3[[%]:[%]])</f>
        <v/>
      </c>
      <c r="HZ28" s="121" t="str">
        <f>IF(ISBLANK(tbl_task3[[คะแนนเต็ม]:[คะแนนเต็ม]]),"",(tbl_task3[64]/tbl_task3[[คะแนนเต็ม]:[คะแนนเต็ม]])*tbl_task3[[%]:[%]])</f>
        <v/>
      </c>
      <c r="IA28" s="121" t="str">
        <f>IF(ISBLANK(tbl_task3[[คะแนนเต็ม]:[คะแนนเต็ม]]),"",(tbl_task3[65]/tbl_task3[[คะแนนเต็ม]:[คะแนนเต็ม]])*tbl_task3[[%]:[%]])</f>
        <v/>
      </c>
      <c r="IB28" s="121" t="str">
        <f>IF(ISBLANK(tbl_task3[[คะแนนเต็ม]:[คะแนนเต็ม]]),"",(tbl_task3[66]/tbl_task3[[คะแนนเต็ม]:[คะแนนเต็ม]])*tbl_task3[[%]:[%]])</f>
        <v/>
      </c>
      <c r="IC28" s="121" t="str">
        <f>IF(ISBLANK(tbl_task3[[คะแนนเต็ม]:[คะแนนเต็ม]]),"",(tbl_task3[67]/tbl_task3[[คะแนนเต็ม]:[คะแนนเต็ม]])*tbl_task3[[%]:[%]])</f>
        <v/>
      </c>
      <c r="ID28" s="121" t="str">
        <f>IF(ISBLANK(tbl_task3[[คะแนนเต็ม]:[คะแนนเต็ม]]),"",(tbl_task3[68]/tbl_task3[[คะแนนเต็ม]:[คะแนนเต็ม]])*tbl_task3[[%]:[%]])</f>
        <v/>
      </c>
      <c r="IE28" s="121" t="str">
        <f>IF(ISBLANK(tbl_task3[[คะแนนเต็ม]:[คะแนนเต็ม]]),"",(tbl_task3[69]/tbl_task3[[คะแนนเต็ม]:[คะแนนเต็ม]])*tbl_task3[[%]:[%]])</f>
        <v/>
      </c>
      <c r="IF28" s="121" t="str">
        <f>IF(ISBLANK(tbl_task3[[คะแนนเต็ม]:[คะแนนเต็ม]]),"",(tbl_task3[70]/tbl_task3[[คะแนนเต็ม]:[คะแนนเต็ม]])*tbl_task3[[%]:[%]])</f>
        <v/>
      </c>
      <c r="IG28" s="121" t="str">
        <f>IF(ISBLANK(tbl_task3[[คะแนนเต็ม]:[คะแนนเต็ม]]),"",(tbl_task3[71]/tbl_task3[[คะแนนเต็ม]:[คะแนนเต็ม]])*tbl_task3[[%]:[%]])</f>
        <v/>
      </c>
      <c r="IH28" s="121" t="str">
        <f>IF(ISBLANK(tbl_task3[[คะแนนเต็ม]:[คะแนนเต็ม]]),"",(tbl_task3[72]/tbl_task3[[คะแนนเต็ม]:[คะแนนเต็ม]])*tbl_task3[[%]:[%]])</f>
        <v/>
      </c>
      <c r="II28" s="121" t="str">
        <f>IF(ISBLANK(tbl_task3[[คะแนนเต็ม]:[คะแนนเต็ม]]),"",(tbl_task3[73]/tbl_task3[[คะแนนเต็ม]:[คะแนนเต็ม]])*tbl_task3[[%]:[%]])</f>
        <v/>
      </c>
      <c r="IJ28" s="121" t="str">
        <f>IF(ISBLANK(tbl_task3[[คะแนนเต็ม]:[คะแนนเต็ม]]),"",(tbl_task3[74]/tbl_task3[[คะแนนเต็ม]:[คะแนนเต็ม]])*tbl_task3[[%]:[%]])</f>
        <v/>
      </c>
      <c r="IK28" s="121" t="str">
        <f>IF(ISBLANK(tbl_task3[[คะแนนเต็ม]:[คะแนนเต็ม]]),"",(tbl_task3[75]/tbl_task3[[คะแนนเต็ม]:[คะแนนเต็ม]])*tbl_task3[[%]:[%]])</f>
        <v/>
      </c>
      <c r="IL28" s="121" t="str">
        <f>IF(ISBLANK(tbl_task3[[คะแนนเต็ม]:[คะแนนเต็ม]]),"",(tbl_task3[76]/tbl_task3[[คะแนนเต็ม]:[คะแนนเต็ม]])*tbl_task3[[%]:[%]])</f>
        <v/>
      </c>
      <c r="IM28" s="121" t="str">
        <f>IF(ISBLANK(tbl_task3[[คะแนนเต็ม]:[คะแนนเต็ม]]),"",(tbl_task3[77]/tbl_task3[[คะแนนเต็ม]:[คะแนนเต็ม]])*tbl_task3[[%]:[%]])</f>
        <v/>
      </c>
      <c r="IN28" s="121" t="str">
        <f>IF(ISBLANK(tbl_task3[[คะแนนเต็ม]:[คะแนนเต็ม]]),"",(tbl_task3[78]/tbl_task3[[คะแนนเต็ม]:[คะแนนเต็ม]])*tbl_task3[[%]:[%]])</f>
        <v/>
      </c>
      <c r="IO28" s="121" t="str">
        <f>IF(ISBLANK(tbl_task3[[คะแนนเต็ม]:[คะแนนเต็ม]]),"",(tbl_task3[79]/tbl_task3[[คะแนนเต็ม]:[คะแนนเต็ม]])*tbl_task3[[%]:[%]])</f>
        <v/>
      </c>
      <c r="IP28" s="121" t="str">
        <f>IF(ISBLANK(tbl_task3[[คะแนนเต็ม]:[คะแนนเต็ม]]),"",(tbl_task3[80]/tbl_task3[[คะแนนเต็ม]:[คะแนนเต็ม]])*tbl_task3[[%]:[%]])</f>
        <v/>
      </c>
      <c r="IQ28" s="121" t="str">
        <f>IF(ISBLANK(tbl_task3[[คะแนนเต็ม]:[คะแนนเต็ม]]),"",(tbl_task3[81]/tbl_task3[[คะแนนเต็ม]:[คะแนนเต็ม]])*tbl_task3[[%]:[%]])</f>
        <v/>
      </c>
      <c r="IR28" s="121" t="str">
        <f>IF(ISBLANK(tbl_task3[[คะแนนเต็ม]:[คะแนนเต็ม]]),"",(tbl_task3[82]/tbl_task3[[คะแนนเต็ม]:[คะแนนเต็ม]])*tbl_task3[[%]:[%]])</f>
        <v/>
      </c>
      <c r="IS28" s="121" t="str">
        <f>IF(ISBLANK(tbl_task3[[คะแนนเต็ม]:[คะแนนเต็ม]]),"",(tbl_task3[83]/tbl_task3[[คะแนนเต็ม]:[คะแนนเต็ม]])*tbl_task3[[%]:[%]])</f>
        <v/>
      </c>
      <c r="IT28" s="121" t="str">
        <f>IF(ISBLANK(tbl_task3[[คะแนนเต็ม]:[คะแนนเต็ม]]),"",(tbl_task3[84]/tbl_task3[[คะแนนเต็ม]:[คะแนนเต็ม]])*tbl_task3[[%]:[%]])</f>
        <v/>
      </c>
      <c r="IU28" s="121" t="str">
        <f>IF(ISBLANK(tbl_task3[[คะแนนเต็ม]:[คะแนนเต็ม]]),"",(tbl_task3[85]/tbl_task3[[คะแนนเต็ม]:[คะแนนเต็ม]])*tbl_task3[[%]:[%]])</f>
        <v/>
      </c>
      <c r="IV28" s="121" t="str">
        <f>IF(ISBLANK(tbl_task3[[คะแนนเต็ม]:[คะแนนเต็ม]]),"",(tbl_task3[86]/tbl_task3[[คะแนนเต็ม]:[คะแนนเต็ม]])*tbl_task3[[%]:[%]])</f>
        <v/>
      </c>
      <c r="IW28" s="121" t="str">
        <f>IF(ISBLANK(tbl_task3[[คะแนนเต็ม]:[คะแนนเต็ม]]),"",(tbl_task3[87]/tbl_task3[[คะแนนเต็ม]:[คะแนนเต็ม]])*tbl_task3[[%]:[%]])</f>
        <v/>
      </c>
      <c r="IX28" s="121" t="str">
        <f>IF(ISBLANK(tbl_task3[[คะแนนเต็ม]:[คะแนนเต็ม]]),"",(tbl_task3[88]/tbl_task3[[คะแนนเต็ม]:[คะแนนเต็ม]])*tbl_task3[[%]:[%]])</f>
        <v/>
      </c>
      <c r="IY28" s="121" t="str">
        <f>IF(ISBLANK(tbl_task3[[คะแนนเต็ม]:[คะแนนเต็ม]]),"",(tbl_task3[89]/tbl_task3[[คะแนนเต็ม]:[คะแนนเต็ม]])*tbl_task3[[%]:[%]])</f>
        <v/>
      </c>
      <c r="IZ28" s="121" t="str">
        <f>IF(ISBLANK(tbl_task3[[คะแนนเต็ม]:[คะแนนเต็ม]]),"",(tbl_task3[90]/tbl_task3[[คะแนนเต็ม]:[คะแนนเต็ม]])*tbl_task3[[%]:[%]])</f>
        <v/>
      </c>
      <c r="JA28" s="121" t="str">
        <f>IF(ISBLANK(tbl_task3[[คะแนนเต็ม]:[คะแนนเต็ม]]),"",(tbl_task3[91]/tbl_task3[[คะแนนเต็ม]:[คะแนนเต็ม]])*tbl_task3[[%]:[%]])</f>
        <v/>
      </c>
      <c r="JB28" s="121" t="str">
        <f>IF(ISBLANK(tbl_task3[[คะแนนเต็ม]:[คะแนนเต็ม]]),"",(tbl_task3[92]/tbl_task3[[คะแนนเต็ม]:[คะแนนเต็ม]])*tbl_task3[[%]:[%]])</f>
        <v/>
      </c>
      <c r="JC28" s="121" t="str">
        <f>IF(ISBLANK(tbl_task3[[คะแนนเต็ม]:[คะแนนเต็ม]]),"",(tbl_task3[93]/tbl_task3[[คะแนนเต็ม]:[คะแนนเต็ม]])*tbl_task3[[%]:[%]])</f>
        <v/>
      </c>
      <c r="JD28" s="121" t="str">
        <f>IF(ISBLANK(tbl_task3[[คะแนนเต็ม]:[คะแนนเต็ม]]),"",(tbl_task3[94]/tbl_task3[[คะแนนเต็ม]:[คะแนนเต็ม]])*tbl_task3[[%]:[%]])</f>
        <v/>
      </c>
      <c r="JE28" s="121" t="str">
        <f>IF(ISBLANK(tbl_task3[[คะแนนเต็ม]:[คะแนนเต็ม]]),"",(tbl_task3[95]/tbl_task3[[คะแนนเต็ม]:[คะแนนเต็ม]])*tbl_task3[[%]:[%]])</f>
        <v/>
      </c>
      <c r="JF28" s="121" t="str">
        <f>IF(ISBLANK(tbl_task3[[คะแนนเต็ม]:[คะแนนเต็ม]]),"",(tbl_task3[96]/tbl_task3[[คะแนนเต็ม]:[คะแนนเต็ม]])*tbl_task3[[%]:[%]])</f>
        <v/>
      </c>
      <c r="JG28" s="121" t="str">
        <f>IF(ISBLANK(tbl_task3[[คะแนนเต็ม]:[คะแนนเต็ม]]),"",(tbl_task3[97]/tbl_task3[[คะแนนเต็ม]:[คะแนนเต็ม]])*tbl_task3[[%]:[%]])</f>
        <v/>
      </c>
      <c r="JH28" s="121" t="str">
        <f>IF(ISBLANK(tbl_task3[[คะแนนเต็ม]:[คะแนนเต็ม]]),"",(tbl_task3[98]/tbl_task3[[คะแนนเต็ม]:[คะแนนเต็ม]])*tbl_task3[[%]:[%]])</f>
        <v/>
      </c>
      <c r="JI28" s="121" t="str">
        <f>IF(ISBLANK(tbl_task3[[คะแนนเต็ม]:[คะแนนเต็ม]]),"",(tbl_task3[99]/tbl_task3[[คะแนนเต็ม]:[คะแนนเต็ม]])*tbl_task3[[%]:[%]])</f>
        <v/>
      </c>
      <c r="JJ28" s="121" t="str">
        <f>IF(ISBLANK(tbl_task3[[คะแนนเต็ม]:[คะแนนเต็ม]]),"",(tbl_task3[100]/tbl_task3[[คะแนนเต็ม]:[คะแนนเต็ม]])*tbl_task3[[%]:[%]])</f>
        <v/>
      </c>
      <c r="JK28" s="121" t="str">
        <f>IF(ISBLANK(tbl_task3[[คะแนนเต็ม]:[คะแนนเต็ม]]),"",(tbl_task3[101]/tbl_task3[[คะแนนเต็ม]:[คะแนนเต็ม]])*tbl_task3[[%]:[%]])</f>
        <v/>
      </c>
      <c r="JL28" s="121" t="str">
        <f>IF(ISBLANK(tbl_task3[[คะแนนเต็ม]:[คะแนนเต็ม]]),"",(tbl_task3[102]/tbl_task3[[คะแนนเต็ม]:[คะแนนเต็ม]])*tbl_task3[[%]:[%]])</f>
        <v/>
      </c>
      <c r="JM28" s="121" t="str">
        <f>IF(ISBLANK(tbl_task3[[คะแนนเต็ม]:[คะแนนเต็ม]]),"",(tbl_task3[103]/tbl_task3[[คะแนนเต็ม]:[คะแนนเต็ม]])*tbl_task3[[%]:[%]])</f>
        <v/>
      </c>
      <c r="JN28" s="121" t="str">
        <f>IF(ISBLANK(tbl_task3[[คะแนนเต็ม]:[คะแนนเต็ม]]),"",(tbl_task3[104]/tbl_task3[[คะแนนเต็ม]:[คะแนนเต็ม]])*tbl_task3[[%]:[%]])</f>
        <v/>
      </c>
      <c r="JO28" s="121" t="str">
        <f>IF(ISBLANK(tbl_task3[[คะแนนเต็ม]:[คะแนนเต็ม]]),"",(tbl_task3[105]/tbl_task3[[คะแนนเต็ม]:[คะแนนเต็ม]])*tbl_task3[[%]:[%]])</f>
        <v/>
      </c>
      <c r="JP28" s="121" t="str">
        <f>IF(ISBLANK(tbl_task3[[คะแนนเต็ม]:[คะแนนเต็ม]]),"",(tbl_task3[106]/tbl_task3[[คะแนนเต็ม]:[คะแนนเต็ม]])*tbl_task3[[%]:[%]])</f>
        <v/>
      </c>
      <c r="JQ28" s="121" t="str">
        <f>IF(ISBLANK(tbl_task3[[คะแนนเต็ม]:[คะแนนเต็ม]]),"",(tbl_task3[107]/tbl_task3[[คะแนนเต็ม]:[คะแนนเต็ม]])*tbl_task3[[%]:[%]])</f>
        <v/>
      </c>
      <c r="JR28" s="121" t="str">
        <f>IF(ISBLANK(tbl_task3[[คะแนนเต็ม]:[คะแนนเต็ม]]),"",(tbl_task3[108]/tbl_task3[[คะแนนเต็ม]:[คะแนนเต็ม]])*tbl_task3[[%]:[%]])</f>
        <v/>
      </c>
      <c r="JS28" s="121" t="str">
        <f>IF(ISBLANK(tbl_task3[[คะแนนเต็ม]:[คะแนนเต็ม]]),"",(tbl_task3[109]/tbl_task3[[คะแนนเต็ม]:[คะแนนเต็ม]])*tbl_task3[[%]:[%]])</f>
        <v/>
      </c>
      <c r="JT28" s="121" t="str">
        <f>IF(ISBLANK(tbl_task3[[คะแนนเต็ม]:[คะแนนเต็ม]]),"",(tbl_task3[110]/tbl_task3[[คะแนนเต็ม]:[คะแนนเต็ม]])*tbl_task3[[%]:[%]])</f>
        <v/>
      </c>
      <c r="JU28" s="121" t="str">
        <f>IF(ISBLANK(tbl_task3[[คะแนนเต็ม]:[คะแนนเต็ม]]),"",(tbl_task3[111]/tbl_task3[[คะแนนเต็ม]:[คะแนนเต็ม]])*tbl_task3[[%]:[%]])</f>
        <v/>
      </c>
      <c r="JV28" s="121" t="str">
        <f>IF(ISBLANK(tbl_task3[[คะแนนเต็ม]:[คะแนนเต็ม]]),"",(tbl_task3[112]/tbl_task3[[คะแนนเต็ม]:[คะแนนเต็ม]])*tbl_task3[[%]:[%]])</f>
        <v/>
      </c>
      <c r="JW28" s="121" t="str">
        <f>IF(ISBLANK(tbl_task3[[คะแนนเต็ม]:[คะแนนเต็ม]]),"",(tbl_task3[113]/tbl_task3[[คะแนนเต็ม]:[คะแนนเต็ม]])*tbl_task3[[%]:[%]])</f>
        <v/>
      </c>
      <c r="JX28" s="121" t="str">
        <f>IF(ISBLANK(tbl_task3[[คะแนนเต็ม]:[คะแนนเต็ม]]),"",(tbl_task3[114]/tbl_task3[[คะแนนเต็ม]:[คะแนนเต็ม]])*tbl_task3[[%]:[%]])</f>
        <v/>
      </c>
      <c r="JY28" s="121" t="str">
        <f>IF(ISBLANK(tbl_task3[[คะแนนเต็ม]:[คะแนนเต็ม]]),"",(tbl_task3[115]/tbl_task3[[คะแนนเต็ม]:[คะแนนเต็ม]])*tbl_task3[[%]:[%]])</f>
        <v/>
      </c>
      <c r="JZ28" s="121" t="str">
        <f>IF(ISBLANK(tbl_task3[[คะแนนเต็ม]:[คะแนนเต็ม]]),"",(tbl_task3[116]/tbl_task3[[คะแนนเต็ม]:[คะแนนเต็ม]])*tbl_task3[[%]:[%]])</f>
        <v/>
      </c>
      <c r="KA28" s="121" t="str">
        <f>IF(ISBLANK(tbl_task3[[คะแนนเต็ม]:[คะแนนเต็ม]]),"",(tbl_task3[117]/tbl_task3[[คะแนนเต็ม]:[คะแนนเต็ม]])*tbl_task3[[%]:[%]])</f>
        <v/>
      </c>
      <c r="KB28" s="121" t="str">
        <f>IF(ISBLANK(tbl_task3[[คะแนนเต็ม]:[คะแนนเต็ม]]),"",(tbl_task3[118]/tbl_task3[[คะแนนเต็ม]:[คะแนนเต็ม]])*tbl_task3[[%]:[%]])</f>
        <v/>
      </c>
      <c r="KC28" s="121" t="str">
        <f>IF(ISBLANK(tbl_task3[[คะแนนเต็ม]:[คะแนนเต็ม]]),"",(tbl_task3[119]/tbl_task3[[คะแนนเต็ม]:[คะแนนเต็ม]])*tbl_task3[[%]:[%]])</f>
        <v/>
      </c>
      <c r="KD28" s="121" t="str">
        <f>IF(ISBLANK(tbl_task3[[คะแนนเต็ม]:[คะแนนเต็ม]]),"",(tbl_task3[120]/tbl_task3[[คะแนนเต็ม]:[คะแนนเต็ม]])*tbl_task3[[%]:[%]])</f>
        <v/>
      </c>
      <c r="KE28" s="121" t="str">
        <f>IF(ISBLANK(tbl_task3[[คะแนนเต็ม]:[คะแนนเต็ม]]),"",(tbl_task3[121]/tbl_task3[[คะแนนเต็ม]:[คะแนนเต็ม]])*tbl_task3[[%]:[%]])</f>
        <v/>
      </c>
      <c r="KF28" s="121" t="str">
        <f>IF(ISBLANK(tbl_task3[[คะแนนเต็ม]:[คะแนนเต็ม]]),"",(tbl_task3[122]/tbl_task3[[คะแนนเต็ม]:[คะแนนเต็ม]])*tbl_task3[[%]:[%]])</f>
        <v/>
      </c>
      <c r="KG28" s="121" t="str">
        <f>IF(ISBLANK(tbl_task3[[คะแนนเต็ม]:[คะแนนเต็ม]]),"",(tbl_task3[123]/tbl_task3[[คะแนนเต็ม]:[คะแนนเต็ม]])*tbl_task3[[%]:[%]])</f>
        <v/>
      </c>
      <c r="KH28" s="121" t="str">
        <f>IF(ISBLANK(tbl_task3[[คะแนนเต็ม]:[คะแนนเต็ม]]),"",(tbl_task3[124]/tbl_task3[[คะแนนเต็ม]:[คะแนนเต็ม]])*tbl_task3[[%]:[%]])</f>
        <v/>
      </c>
      <c r="KI28" s="121" t="str">
        <f>IF(ISBLANK(tbl_task3[[คะแนนเต็ม]:[คะแนนเต็ม]]),"",(tbl_task3[125]/tbl_task3[[คะแนนเต็ม]:[คะแนนเต็ม]])*tbl_task3[[%]:[%]])</f>
        <v/>
      </c>
      <c r="KJ28" s="121" t="str">
        <f>IF(ISBLANK(tbl_task3[[คะแนนเต็ม]:[คะแนนเต็ม]]),"",(tbl_task3[126]/tbl_task3[[คะแนนเต็ม]:[คะแนนเต็ม]])*tbl_task3[[%]:[%]])</f>
        <v/>
      </c>
      <c r="KK28" s="121" t="str">
        <f>IF(ISBLANK(tbl_task3[[คะแนนเต็ม]:[คะแนนเต็ม]]),"",(tbl_task3[127]/tbl_task3[[คะแนนเต็ม]:[คะแนนเต็ม]])*tbl_task3[[%]:[%]])</f>
        <v/>
      </c>
      <c r="KL28" s="121" t="str">
        <f>IF(ISBLANK(tbl_task3[[คะแนนเต็ม]:[คะแนนเต็ม]]),"",(tbl_task3[128]/tbl_task3[[คะแนนเต็ม]:[คะแนนเต็ม]])*tbl_task3[[%]:[%]])</f>
        <v/>
      </c>
      <c r="KM28" s="121" t="str">
        <f>IF(ISBLANK(tbl_task3[[คะแนนเต็ม]:[คะแนนเต็ม]]),"",(tbl_task3[129]/tbl_task3[[คะแนนเต็ม]:[คะแนนเต็ม]])*tbl_task3[[%]:[%]])</f>
        <v/>
      </c>
      <c r="KN28" s="121" t="str">
        <f>IF(ISBLANK(tbl_task3[[คะแนนเต็ม]:[คะแนนเต็ม]]),"",(tbl_task3[130]/tbl_task3[[คะแนนเต็ม]:[คะแนนเต็ม]])*tbl_task3[[%]:[%]])</f>
        <v/>
      </c>
      <c r="KO28" s="121" t="str">
        <f>IF(ISBLANK(tbl_task3[[คะแนนเต็ม]:[คะแนนเต็ม]]),"",(tbl_task3[131]/tbl_task3[[คะแนนเต็ม]:[คะแนนเต็ม]])*tbl_task3[[%]:[%]])</f>
        <v/>
      </c>
      <c r="KP28" s="121" t="str">
        <f>IF(ISBLANK(tbl_task3[[คะแนนเต็ม]:[คะแนนเต็ม]]),"",(tbl_task3[132]/tbl_task3[[คะแนนเต็ม]:[คะแนนเต็ม]])*tbl_task3[[%]:[%]])</f>
        <v/>
      </c>
      <c r="KQ28" s="121" t="str">
        <f>IF(ISBLANK(tbl_task3[[คะแนนเต็ม]:[คะแนนเต็ม]]),"",(tbl_task3[133]/tbl_task3[[คะแนนเต็ม]:[คะแนนเต็ม]])*tbl_task3[[%]:[%]])</f>
        <v/>
      </c>
      <c r="KR28" s="121" t="str">
        <f>IF(ISBLANK(tbl_task3[[คะแนนเต็ม]:[คะแนนเต็ม]]),"",(tbl_task3[134]/tbl_task3[[คะแนนเต็ม]:[คะแนนเต็ม]])*tbl_task3[[%]:[%]])</f>
        <v/>
      </c>
      <c r="KS28" s="121" t="str">
        <f>IF(ISBLANK(tbl_task3[[คะแนนเต็ม]:[คะแนนเต็ม]]),"",(tbl_task3[135]/tbl_task3[[คะแนนเต็ม]:[คะแนนเต็ม]])*tbl_task3[[%]:[%]])</f>
        <v/>
      </c>
      <c r="KT28" s="121" t="str">
        <f>IF(ISBLANK(tbl_task3[[คะแนนเต็ม]:[คะแนนเต็ม]]),"",(tbl_task3[136]/tbl_task3[[คะแนนเต็ม]:[คะแนนเต็ม]])*tbl_task3[[%]:[%]])</f>
        <v/>
      </c>
      <c r="KU28" s="121" t="str">
        <f>IF(ISBLANK(tbl_task3[[คะแนนเต็ม]:[คะแนนเต็ม]]),"",(tbl_task3[137]/tbl_task3[[คะแนนเต็ม]:[คะแนนเต็ม]])*tbl_task3[[%]:[%]])</f>
        <v/>
      </c>
      <c r="KV28" s="121" t="str">
        <f>IF(ISBLANK(tbl_task3[[คะแนนเต็ม]:[คะแนนเต็ม]]),"",(tbl_task3[138]/tbl_task3[[คะแนนเต็ม]:[คะแนนเต็ม]])*tbl_task3[[%]:[%]])</f>
        <v/>
      </c>
      <c r="KW28" s="121" t="str">
        <f>IF(ISBLANK(tbl_task3[[คะแนนเต็ม]:[คะแนนเต็ม]]),"",(tbl_task3[139]/tbl_task3[[คะแนนเต็ม]:[คะแนนเต็ม]])*tbl_task3[[%]:[%]])</f>
        <v/>
      </c>
      <c r="KX28" s="121" t="str">
        <f>IF(ISBLANK(tbl_task3[[คะแนนเต็ม]:[คะแนนเต็ม]]),"",(tbl_task3[140]/tbl_task3[[คะแนนเต็ม]:[คะแนนเต็ม]])*tbl_task3[[%]:[%]])</f>
        <v/>
      </c>
      <c r="KY28" s="121" t="str">
        <f>IF(ISBLANK(tbl_task3[[คะแนนเต็ม]:[คะแนนเต็ม]]),"",(tbl_task3[141]/tbl_task3[[คะแนนเต็ม]:[คะแนนเต็ม]])*tbl_task3[[%]:[%]])</f>
        <v/>
      </c>
      <c r="KZ28" s="121" t="str">
        <f>IF(ISBLANK(tbl_task3[[คะแนนเต็ม]:[คะแนนเต็ม]]),"",(tbl_task3[142]/tbl_task3[[คะแนนเต็ม]:[คะแนนเต็ม]])*tbl_task3[[%]:[%]])</f>
        <v/>
      </c>
      <c r="LA28" s="121" t="str">
        <f>IF(ISBLANK(tbl_task3[[คะแนนเต็ม]:[คะแนนเต็ม]]),"",(tbl_task3[143]/tbl_task3[[คะแนนเต็ม]:[คะแนนเต็ม]])*tbl_task3[[%]:[%]])</f>
        <v/>
      </c>
      <c r="LB28" s="121" t="str">
        <f>IF(ISBLANK(tbl_task3[[คะแนนเต็ม]:[คะแนนเต็ม]]),"",(tbl_task3[144]/tbl_task3[[คะแนนเต็ม]:[คะแนนเต็ม]])*tbl_task3[[%]:[%]])</f>
        <v/>
      </c>
      <c r="LC28" s="121" t="str">
        <f>IF(ISBLANK(tbl_task3[[คะแนนเต็ม]:[คะแนนเต็ม]]),"",(tbl_task3[145]/tbl_task3[[คะแนนเต็ม]:[คะแนนเต็ม]])*tbl_task3[[%]:[%]])</f>
        <v/>
      </c>
      <c r="LD28" s="121" t="str">
        <f>IF(ISBLANK(tbl_task3[[คะแนนเต็ม]:[คะแนนเต็ม]]),"",(tbl_task3[146]/tbl_task3[[คะแนนเต็ม]:[คะแนนเต็ม]])*tbl_task3[[%]:[%]])</f>
        <v/>
      </c>
      <c r="LE28" s="121" t="str">
        <f>IF(ISBLANK(tbl_task3[[คะแนนเต็ม]:[คะแนนเต็ม]]),"",(tbl_task3[147]/tbl_task3[[คะแนนเต็ม]:[คะแนนเต็ม]])*tbl_task3[[%]:[%]])</f>
        <v/>
      </c>
      <c r="LF28" s="121" t="str">
        <f>IF(ISBLANK(tbl_task3[[คะแนนเต็ม]:[คะแนนเต็ม]]),"",(tbl_task3[148]/tbl_task3[[คะแนนเต็ม]:[คะแนนเต็ม]])*tbl_task3[[%]:[%]])</f>
        <v/>
      </c>
      <c r="LG28" s="121" t="str">
        <f>IF(ISBLANK(tbl_task3[[คะแนนเต็ม]:[คะแนนเต็ม]]),"",(tbl_task3[149]/tbl_task3[[คะแนนเต็ม]:[คะแนนเต็ม]])*tbl_task3[[%]:[%]])</f>
        <v/>
      </c>
      <c r="LH28" s="121" t="str">
        <f>IF(ISBLANK(tbl_task3[[คะแนนเต็ม]:[คะแนนเต็ม]]),"",(tbl_task3[150]/tbl_task3[[คะแนนเต็ม]:[คะแนนเต็ม]])*tbl_task3[[%]:[%]])</f>
        <v/>
      </c>
      <c r="LI28" s="121" t="str">
        <f>IF(ISBLANK(tbl_task3[[คะแนนเต็ม]:[คะแนนเต็ม]]),"",(tbl_task3[151]/tbl_task3[[คะแนนเต็ม]:[คะแนนเต็ม]])*tbl_task3[[%]:[%]])</f>
        <v/>
      </c>
      <c r="LJ28" s="121" t="str">
        <f>IF(ISBLANK(tbl_task3[[คะแนนเต็ม]:[คะแนนเต็ม]]),"",(tbl_task3[152]/tbl_task3[[คะแนนเต็ม]:[คะแนนเต็ม]])*tbl_task3[[%]:[%]])</f>
        <v/>
      </c>
      <c r="LK28" s="121" t="str">
        <f>IF(ISBLANK(tbl_task3[[คะแนนเต็ม]:[คะแนนเต็ม]]),"",(tbl_task3[153]/tbl_task3[[คะแนนเต็ม]:[คะแนนเต็ม]])*tbl_task3[[%]:[%]])</f>
        <v/>
      </c>
      <c r="LL28" s="121" t="str">
        <f>IF(ISBLANK(tbl_task3[[คะแนนเต็ม]:[คะแนนเต็ม]]),"",(tbl_task3[154]/tbl_task3[[คะแนนเต็ม]:[คะแนนเต็ม]])*tbl_task3[[%]:[%]])</f>
        <v/>
      </c>
      <c r="LM28" s="121" t="str">
        <f>IF(ISBLANK(tbl_task3[[คะแนนเต็ม]:[คะแนนเต็ม]]),"",(tbl_task3[155]/tbl_task3[[คะแนนเต็ม]:[คะแนนเต็ม]])*tbl_task3[[%]:[%]])</f>
        <v/>
      </c>
      <c r="LN28" s="121" t="str">
        <f>IF(ISBLANK(tbl_task3[[คะแนนเต็ม]:[คะแนนเต็ม]]),"",(tbl_task3[156]/tbl_task3[[คะแนนเต็ม]:[คะแนนเต็ม]])*tbl_task3[[%]:[%]])</f>
        <v/>
      </c>
      <c r="LO28" s="121" t="str">
        <f>IF(ISBLANK(tbl_task3[[คะแนนเต็ม]:[คะแนนเต็ม]]),"",(tbl_task3[157]/tbl_task3[[คะแนนเต็ม]:[คะแนนเต็ม]])*tbl_task3[[%]:[%]])</f>
        <v/>
      </c>
      <c r="LP28" s="121" t="str">
        <f>IF(ISBLANK(tbl_task3[[คะแนนเต็ม]:[คะแนนเต็ม]]),"",(tbl_task3[158]/tbl_task3[[คะแนนเต็ม]:[คะแนนเต็ม]])*tbl_task3[[%]:[%]])</f>
        <v/>
      </c>
      <c r="LQ28" s="121" t="str">
        <f>IF(ISBLANK(tbl_task3[[คะแนนเต็ม]:[คะแนนเต็ม]]),"",(tbl_task3[159]/tbl_task3[[คะแนนเต็ม]:[คะแนนเต็ม]])*tbl_task3[[%]:[%]])</f>
        <v/>
      </c>
      <c r="LR28" s="121" t="str">
        <f>IF(ISBLANK(tbl_task3[[คะแนนเต็ม]:[คะแนนเต็ม]]),"",(tbl_task3[160]/tbl_task3[[คะแนนเต็ม]:[คะแนนเต็ม]])*tbl_task3[[%]:[%]])</f>
        <v/>
      </c>
      <c r="LS28" s="121" t="str">
        <f>IF(ISBLANK(tbl_task3[[คะแนนเต็ม]:[คะแนนเต็ม]]),"",(tbl_task3[161]/tbl_task3[[คะแนนเต็ม]:[คะแนนเต็ม]])*tbl_task3[[%]:[%]])</f>
        <v/>
      </c>
      <c r="LT28" s="121" t="str">
        <f>IF(ISBLANK(tbl_task3[[คะแนนเต็ม]:[คะแนนเต็ม]]),"",(tbl_task3[162]/tbl_task3[[คะแนนเต็ม]:[คะแนนเต็ม]])*tbl_task3[[%]:[%]])</f>
        <v/>
      </c>
      <c r="LU28" s="121" t="str">
        <f>IF(ISBLANK(tbl_task3[[คะแนนเต็ม]:[คะแนนเต็ม]]),"",(tbl_task3[163]/tbl_task3[[คะแนนเต็ม]:[คะแนนเต็ม]])*tbl_task3[[%]:[%]])</f>
        <v/>
      </c>
      <c r="LV28" s="121" t="str">
        <f>IF(ISBLANK(tbl_task3[[คะแนนเต็ม]:[คะแนนเต็ม]]),"",(tbl_task3[164]/tbl_task3[[คะแนนเต็ม]:[คะแนนเต็ม]])*tbl_task3[[%]:[%]])</f>
        <v/>
      </c>
      <c r="LW28" s="121" t="str">
        <f>IF(ISBLANK(tbl_task3[[คะแนนเต็ม]:[คะแนนเต็ม]]),"",(tbl_task3[165]/tbl_task3[[คะแนนเต็ม]:[คะแนนเต็ม]])*tbl_task3[[%]:[%]])</f>
        <v/>
      </c>
    </row>
    <row r="29" spans="1:335" s="34" customFormat="1" ht="24" customHeight="1" x14ac:dyDescent="0.25">
      <c r="A29" s="42" t="s">
        <v>11</v>
      </c>
      <c r="B29" s="109">
        <f>COUNTA(tbl_task3[SubPLOs])</f>
        <v>0</v>
      </c>
      <c r="C29" s="129"/>
      <c r="D29" s="108">
        <f>SUM(tbl_task3[คะแนนเต็ม])</f>
        <v>0</v>
      </c>
      <c r="E29" s="108">
        <f>SUM(tbl_task3[%])</f>
        <v>0</v>
      </c>
      <c r="F29" s="124">
        <f>SUM(tbl_task3[1])</f>
        <v>0</v>
      </c>
      <c r="G29" s="124">
        <f>SUM(tbl_task3[2])</f>
        <v>0</v>
      </c>
      <c r="H29" s="124">
        <f>SUM(tbl_task3[3])</f>
        <v>0</v>
      </c>
      <c r="I29" s="124">
        <f>SUM(tbl_task3[4])</f>
        <v>0</v>
      </c>
      <c r="J29" s="124">
        <f>SUM(tbl_task3[5])</f>
        <v>0</v>
      </c>
      <c r="K29" s="124">
        <f>SUM(tbl_task3[6])</f>
        <v>0</v>
      </c>
      <c r="L29" s="124">
        <f>SUM(tbl_task3[7])</f>
        <v>0</v>
      </c>
      <c r="M29" s="124">
        <f>SUM(tbl_task3[8])</f>
        <v>0</v>
      </c>
      <c r="N29" s="124">
        <f>SUM(tbl_task3[9])</f>
        <v>0</v>
      </c>
      <c r="O29" s="124">
        <f>SUM(tbl_task3[10])</f>
        <v>0</v>
      </c>
      <c r="P29" s="124">
        <f>SUM(tbl_task3[11])</f>
        <v>0</v>
      </c>
      <c r="Q29" s="124">
        <f>SUM(tbl_task3[12])</f>
        <v>0</v>
      </c>
      <c r="R29" s="124">
        <f>SUM(tbl_task3[13])</f>
        <v>0</v>
      </c>
      <c r="S29" s="124">
        <f>SUM(tbl_task3[14])</f>
        <v>0</v>
      </c>
      <c r="T29" s="124">
        <f>SUM(tbl_task3[15])</f>
        <v>0</v>
      </c>
      <c r="U29" s="124">
        <f>SUM(tbl_task3[16])</f>
        <v>0</v>
      </c>
      <c r="V29" s="124">
        <f>SUM(tbl_task3[17])</f>
        <v>0</v>
      </c>
      <c r="W29" s="124">
        <f>SUM(tbl_task3[18])</f>
        <v>0</v>
      </c>
      <c r="X29" s="124">
        <f>SUM(tbl_task3[19])</f>
        <v>0</v>
      </c>
      <c r="Y29" s="124">
        <f>SUM(tbl_task3[20])</f>
        <v>0</v>
      </c>
      <c r="Z29" s="124">
        <f>SUM(tbl_task3[21])</f>
        <v>0</v>
      </c>
      <c r="AA29" s="124">
        <f>SUM(tbl_task3[22])</f>
        <v>0</v>
      </c>
      <c r="AB29" s="124">
        <f>SUM(tbl_task3[23])</f>
        <v>0</v>
      </c>
      <c r="AC29" s="124">
        <f>SUM(tbl_task3[24])</f>
        <v>0</v>
      </c>
      <c r="AD29" s="124">
        <f>SUM(tbl_task3[25])</f>
        <v>0</v>
      </c>
      <c r="AE29" s="124">
        <f>SUM(tbl_task3[26])</f>
        <v>0</v>
      </c>
      <c r="AF29" s="124">
        <f>SUM(tbl_task3[27])</f>
        <v>0</v>
      </c>
      <c r="AG29" s="124">
        <f>SUM(tbl_task3[28])</f>
        <v>0</v>
      </c>
      <c r="AH29" s="124">
        <f>SUM(tbl_task3[29])</f>
        <v>0</v>
      </c>
      <c r="AI29" s="124">
        <f>SUM(tbl_task3[30])</f>
        <v>0</v>
      </c>
      <c r="AJ29" s="124">
        <f>SUM(tbl_task3[31])</f>
        <v>0</v>
      </c>
      <c r="AK29" s="124">
        <f>SUM(tbl_task3[32])</f>
        <v>0</v>
      </c>
      <c r="AL29" s="124">
        <f>SUM(tbl_task3[33])</f>
        <v>0</v>
      </c>
      <c r="AM29" s="124">
        <f>SUM(tbl_task3[34])</f>
        <v>0</v>
      </c>
      <c r="AN29" s="124">
        <f>SUM(tbl_task3[35])</f>
        <v>0</v>
      </c>
      <c r="AO29" s="124">
        <f>SUM(tbl_task3[36])</f>
        <v>0</v>
      </c>
      <c r="AP29" s="124">
        <f>SUM(tbl_task3[37])</f>
        <v>0</v>
      </c>
      <c r="AQ29" s="124">
        <f>SUM(tbl_task3[38])</f>
        <v>0</v>
      </c>
      <c r="AR29" s="124">
        <f>SUM(tbl_task3[39])</f>
        <v>0</v>
      </c>
      <c r="AS29" s="124">
        <f>SUM(tbl_task3[40])</f>
        <v>0</v>
      </c>
      <c r="AT29" s="124">
        <f>SUM(tbl_task3[41])</f>
        <v>0</v>
      </c>
      <c r="AU29" s="124">
        <f>SUM(tbl_task3[42])</f>
        <v>0</v>
      </c>
      <c r="AV29" s="124">
        <f>SUM(tbl_task3[43])</f>
        <v>0</v>
      </c>
      <c r="AW29" s="124">
        <f>SUM(tbl_task3[44])</f>
        <v>0</v>
      </c>
      <c r="AX29" s="124">
        <f>SUM(tbl_task3[45])</f>
        <v>0</v>
      </c>
      <c r="AY29" s="124">
        <f>SUM(tbl_task3[46])</f>
        <v>0</v>
      </c>
      <c r="AZ29" s="124">
        <f>SUM(tbl_task3[47])</f>
        <v>0</v>
      </c>
      <c r="BA29" s="124">
        <f>SUM(tbl_task3[48])</f>
        <v>0</v>
      </c>
      <c r="BB29" s="124">
        <f>SUM(tbl_task3[49])</f>
        <v>0</v>
      </c>
      <c r="BC29" s="124">
        <f>SUM(tbl_task3[50])</f>
        <v>0</v>
      </c>
      <c r="BD29" s="124">
        <f>SUM(tbl_task3[51])</f>
        <v>0</v>
      </c>
      <c r="BE29" s="124">
        <f>SUM(tbl_task3[52])</f>
        <v>0</v>
      </c>
      <c r="BF29" s="124">
        <f>SUM(tbl_task3[53])</f>
        <v>0</v>
      </c>
      <c r="BG29" s="124">
        <f>SUM(tbl_task3[54])</f>
        <v>0</v>
      </c>
      <c r="BH29" s="124">
        <f>SUM(tbl_task3[55])</f>
        <v>0</v>
      </c>
      <c r="BI29" s="124">
        <f>SUM(tbl_task3[56])</f>
        <v>0</v>
      </c>
      <c r="BJ29" s="124">
        <f>SUM(tbl_task3[57])</f>
        <v>0</v>
      </c>
      <c r="BK29" s="124">
        <f>SUM(tbl_task3[58])</f>
        <v>0</v>
      </c>
      <c r="BL29" s="124">
        <f>SUM(tbl_task3[59])</f>
        <v>0</v>
      </c>
      <c r="BM29" s="124">
        <f>SUM(tbl_task3[60])</f>
        <v>0</v>
      </c>
      <c r="BN29" s="124">
        <f>SUM(tbl_task3[61])</f>
        <v>0</v>
      </c>
      <c r="BO29" s="124">
        <f>SUM(tbl_task3[62])</f>
        <v>0</v>
      </c>
      <c r="BP29" s="124">
        <f>SUM(tbl_task3[63])</f>
        <v>0</v>
      </c>
      <c r="BQ29" s="124">
        <f>SUM(tbl_task3[64])</f>
        <v>0</v>
      </c>
      <c r="BR29" s="124">
        <f>SUM(tbl_task3[65])</f>
        <v>0</v>
      </c>
      <c r="BS29" s="124">
        <f>SUM(tbl_task3[66])</f>
        <v>0</v>
      </c>
      <c r="BT29" s="124">
        <f>SUM(tbl_task3[67])</f>
        <v>0</v>
      </c>
      <c r="BU29" s="124">
        <f>SUM(tbl_task3[68])</f>
        <v>0</v>
      </c>
      <c r="BV29" s="124">
        <f>SUM(tbl_task3[69])</f>
        <v>0</v>
      </c>
      <c r="BW29" s="124">
        <f>SUM(tbl_task3[70])</f>
        <v>0</v>
      </c>
      <c r="BX29" s="124">
        <f>SUM(tbl_task3[71])</f>
        <v>0</v>
      </c>
      <c r="BY29" s="124">
        <f>SUM(tbl_task3[72])</f>
        <v>0</v>
      </c>
      <c r="BZ29" s="124">
        <f>SUM(tbl_task3[73])</f>
        <v>0</v>
      </c>
      <c r="CA29" s="124">
        <f>SUM(tbl_task3[74])</f>
        <v>0</v>
      </c>
      <c r="CB29" s="124">
        <f>SUM(tbl_task3[75])</f>
        <v>0</v>
      </c>
      <c r="CC29" s="124">
        <f>SUM(tbl_task3[76])</f>
        <v>0</v>
      </c>
      <c r="CD29" s="124">
        <f>SUM(tbl_task3[77])</f>
        <v>0</v>
      </c>
      <c r="CE29" s="124">
        <f>SUM(tbl_task3[78])</f>
        <v>0</v>
      </c>
      <c r="CF29" s="124">
        <f>SUM(tbl_task3[79])</f>
        <v>0</v>
      </c>
      <c r="CG29" s="124">
        <f>SUM(tbl_task3[80])</f>
        <v>0</v>
      </c>
      <c r="CH29" s="124">
        <f>SUM(tbl_task3[81])</f>
        <v>0</v>
      </c>
      <c r="CI29" s="124">
        <f>SUM(tbl_task3[82])</f>
        <v>0</v>
      </c>
      <c r="CJ29" s="124">
        <f>SUM(tbl_task3[83])</f>
        <v>0</v>
      </c>
      <c r="CK29" s="124">
        <f>SUM(tbl_task3[84])</f>
        <v>0</v>
      </c>
      <c r="CL29" s="124">
        <f>SUM(tbl_task3[85])</f>
        <v>0</v>
      </c>
      <c r="CM29" s="124">
        <f>SUM(tbl_task3[86])</f>
        <v>0</v>
      </c>
      <c r="CN29" s="124">
        <f>SUM(tbl_task3[87])</f>
        <v>0</v>
      </c>
      <c r="CO29" s="124">
        <f>SUM(tbl_task3[88])</f>
        <v>0</v>
      </c>
      <c r="CP29" s="124">
        <f>SUM(tbl_task3[89])</f>
        <v>0</v>
      </c>
      <c r="CQ29" s="124">
        <f>SUM(tbl_task3[90])</f>
        <v>0</v>
      </c>
      <c r="CR29" s="124">
        <f>SUM(tbl_task3[91])</f>
        <v>0</v>
      </c>
      <c r="CS29" s="124">
        <f>SUM(tbl_task3[92])</f>
        <v>0</v>
      </c>
      <c r="CT29" s="124">
        <f>SUM(tbl_task3[93])</f>
        <v>0</v>
      </c>
      <c r="CU29" s="124">
        <f>SUM(tbl_task3[94])</f>
        <v>0</v>
      </c>
      <c r="CV29" s="124">
        <f>SUM(tbl_task3[95])</f>
        <v>0</v>
      </c>
      <c r="CW29" s="124">
        <f>SUM(tbl_task3[96])</f>
        <v>0</v>
      </c>
      <c r="CX29" s="124">
        <f>SUM(tbl_task3[97])</f>
        <v>0</v>
      </c>
      <c r="CY29" s="124">
        <f>SUM(tbl_task3[98])</f>
        <v>0</v>
      </c>
      <c r="CZ29" s="124">
        <f>SUM(tbl_task3[99])</f>
        <v>0</v>
      </c>
      <c r="DA29" s="124">
        <f>SUM(tbl_task3[100])</f>
        <v>0</v>
      </c>
      <c r="DB29" s="124">
        <f>SUM(tbl_task3[101])</f>
        <v>0</v>
      </c>
      <c r="DC29" s="124">
        <f>SUM(tbl_task3[102])</f>
        <v>0</v>
      </c>
      <c r="DD29" s="124">
        <f>SUM(tbl_task3[103])</f>
        <v>0</v>
      </c>
      <c r="DE29" s="124">
        <f>SUM(tbl_task3[104])</f>
        <v>0</v>
      </c>
      <c r="DF29" s="124">
        <f>SUM(tbl_task3[105])</f>
        <v>0</v>
      </c>
      <c r="DG29" s="124">
        <f>SUM(tbl_task3[106])</f>
        <v>0</v>
      </c>
      <c r="DH29" s="124">
        <f>SUM(tbl_task3[107])</f>
        <v>0</v>
      </c>
      <c r="DI29" s="124">
        <f>SUM(tbl_task3[108])</f>
        <v>0</v>
      </c>
      <c r="DJ29" s="124">
        <f>SUM(tbl_task3[109])</f>
        <v>0</v>
      </c>
      <c r="DK29" s="124">
        <f>SUM(tbl_task3[110])</f>
        <v>0</v>
      </c>
      <c r="DL29" s="124">
        <f>SUM(tbl_task3[111])</f>
        <v>0</v>
      </c>
      <c r="DM29" s="124">
        <f>SUM(tbl_task3[112])</f>
        <v>0</v>
      </c>
      <c r="DN29" s="124">
        <f>SUM(tbl_task3[113])</f>
        <v>0</v>
      </c>
      <c r="DO29" s="124">
        <f>SUM(tbl_task3[114])</f>
        <v>0</v>
      </c>
      <c r="DP29" s="124">
        <f>SUM(tbl_task3[115])</f>
        <v>0</v>
      </c>
      <c r="DQ29" s="124">
        <f>SUM(tbl_task3[116])</f>
        <v>0</v>
      </c>
      <c r="DR29" s="124">
        <f>SUM(tbl_task3[117])</f>
        <v>0</v>
      </c>
      <c r="DS29" s="124">
        <f>SUM(tbl_task3[118])</f>
        <v>0</v>
      </c>
      <c r="DT29" s="124">
        <f>SUM(tbl_task3[119])</f>
        <v>0</v>
      </c>
      <c r="DU29" s="124">
        <f>SUM(tbl_task3[120])</f>
        <v>0</v>
      </c>
      <c r="DV29" s="124">
        <f>SUM(tbl_task3[121])</f>
        <v>0</v>
      </c>
      <c r="DW29" s="124">
        <f>SUM(tbl_task3[122])</f>
        <v>0</v>
      </c>
      <c r="DX29" s="124">
        <f>SUM(tbl_task3[123])</f>
        <v>0</v>
      </c>
      <c r="DY29" s="124">
        <f>SUM(tbl_task3[124])</f>
        <v>0</v>
      </c>
      <c r="DZ29" s="124">
        <f>SUM(tbl_task3[125])</f>
        <v>0</v>
      </c>
      <c r="EA29" s="124">
        <f>SUM(tbl_task3[126])</f>
        <v>0</v>
      </c>
      <c r="EB29" s="124">
        <f>SUM(tbl_task3[127])</f>
        <v>0</v>
      </c>
      <c r="EC29" s="124">
        <f>SUM(tbl_task3[128])</f>
        <v>0</v>
      </c>
      <c r="ED29" s="124">
        <f>SUM(tbl_task3[129])</f>
        <v>0</v>
      </c>
      <c r="EE29" s="124">
        <f>SUM(tbl_task3[130])</f>
        <v>0</v>
      </c>
      <c r="EF29" s="124">
        <f>SUM(tbl_task3[131])</f>
        <v>0</v>
      </c>
      <c r="EG29" s="124">
        <f>SUM(tbl_task3[132])</f>
        <v>0</v>
      </c>
      <c r="EH29" s="124">
        <f>SUM(tbl_task3[133])</f>
        <v>0</v>
      </c>
      <c r="EI29" s="124">
        <f>SUM(tbl_task3[134])</f>
        <v>0</v>
      </c>
      <c r="EJ29" s="124">
        <f>SUM(tbl_task3[135])</f>
        <v>0</v>
      </c>
      <c r="EK29" s="124">
        <f>SUM(tbl_task3[136])</f>
        <v>0</v>
      </c>
      <c r="EL29" s="124">
        <f>SUM(tbl_task3[137])</f>
        <v>0</v>
      </c>
      <c r="EM29" s="124">
        <f>SUM(tbl_task3[138])</f>
        <v>0</v>
      </c>
      <c r="EN29" s="124">
        <f>SUM(tbl_task3[139])</f>
        <v>0</v>
      </c>
      <c r="EO29" s="124">
        <f>SUM(tbl_task3[140])</f>
        <v>0</v>
      </c>
      <c r="EP29" s="124">
        <f>SUM(tbl_task3[141])</f>
        <v>0</v>
      </c>
      <c r="EQ29" s="124">
        <f>SUM(tbl_task3[142])</f>
        <v>0</v>
      </c>
      <c r="ER29" s="124">
        <f>SUM(tbl_task3[143])</f>
        <v>0</v>
      </c>
      <c r="ES29" s="124">
        <f>SUM(tbl_task3[144])</f>
        <v>0</v>
      </c>
      <c r="ET29" s="124">
        <f>SUM(tbl_task3[145])</f>
        <v>0</v>
      </c>
      <c r="EU29" s="124">
        <f>SUM(tbl_task3[146])</f>
        <v>0</v>
      </c>
      <c r="EV29" s="124">
        <f>SUM(tbl_task3[147])</f>
        <v>0</v>
      </c>
      <c r="EW29" s="124">
        <f>SUM(tbl_task3[148])</f>
        <v>0</v>
      </c>
      <c r="EX29" s="124">
        <f>SUM(tbl_task3[149])</f>
        <v>0</v>
      </c>
      <c r="EY29" s="124">
        <f>SUM(tbl_task3[150])</f>
        <v>0</v>
      </c>
      <c r="EZ29" s="124">
        <f>SUM(tbl_task3[151])</f>
        <v>0</v>
      </c>
      <c r="FA29" s="124">
        <f>SUM(tbl_task3[152])</f>
        <v>0</v>
      </c>
      <c r="FB29" s="124">
        <f>SUM(tbl_task3[153])</f>
        <v>0</v>
      </c>
      <c r="FC29" s="124">
        <f>SUM(tbl_task3[154])</f>
        <v>0</v>
      </c>
      <c r="FD29" s="124">
        <f>SUM(tbl_task3[155])</f>
        <v>0</v>
      </c>
      <c r="FE29" s="124">
        <f>SUM(tbl_task3[156])</f>
        <v>0</v>
      </c>
      <c r="FF29" s="124">
        <f>SUM(tbl_task3[157])</f>
        <v>0</v>
      </c>
      <c r="FG29" s="124">
        <f>SUM(tbl_task3[158])</f>
        <v>0</v>
      </c>
      <c r="FH29" s="124">
        <f>SUM(tbl_task3[159])</f>
        <v>0</v>
      </c>
      <c r="FI29" s="124">
        <f>SUM(tbl_task3[160])</f>
        <v>0</v>
      </c>
      <c r="FJ29" s="124">
        <f>SUM(tbl_task3[161])</f>
        <v>0</v>
      </c>
      <c r="FK29" s="124">
        <f>SUM(tbl_task3[162])</f>
        <v>0</v>
      </c>
      <c r="FL29" s="124">
        <f>SUM(tbl_task3[163])</f>
        <v>0</v>
      </c>
      <c r="FM29" s="124">
        <f>SUM(tbl_task3[164])</f>
        <v>0</v>
      </c>
      <c r="FN29" s="124">
        <f>SUM(tbl_task3[165])</f>
        <v>0</v>
      </c>
      <c r="FO29" s="124">
        <f>SUM(tbl_task3[S1])</f>
        <v>0</v>
      </c>
      <c r="FP29" s="124">
        <f>SUM(tbl_task3[S2])</f>
        <v>0</v>
      </c>
      <c r="FQ29" s="124">
        <f>SUM(tbl_task3[S3])</f>
        <v>0</v>
      </c>
      <c r="FR29" s="124">
        <f>SUM(tbl_task3[S4])</f>
        <v>0</v>
      </c>
      <c r="FS29" s="124">
        <f>SUM(tbl_task3[S5])</f>
        <v>0</v>
      </c>
      <c r="FT29" s="124">
        <f>SUM(tbl_task3[S6])</f>
        <v>0</v>
      </c>
      <c r="FU29" s="124">
        <f>SUM(tbl_task3[S7])</f>
        <v>0</v>
      </c>
      <c r="FV29" s="124">
        <f>SUM(tbl_task3[S8])</f>
        <v>0</v>
      </c>
      <c r="FW29" s="124">
        <f>SUM(tbl_task3[S9])</f>
        <v>0</v>
      </c>
      <c r="FX29" s="124">
        <f>SUM(tbl_task3[S10])</f>
        <v>0</v>
      </c>
      <c r="FY29" s="124">
        <f>SUM(tbl_task3[S11])</f>
        <v>0</v>
      </c>
      <c r="FZ29" s="124">
        <f>SUM(tbl_task3[S12])</f>
        <v>0</v>
      </c>
      <c r="GA29" s="124">
        <f>SUM(tbl_task3[S13])</f>
        <v>0</v>
      </c>
      <c r="GB29" s="124">
        <f>SUM(tbl_task3[S14])</f>
        <v>0</v>
      </c>
      <c r="GC29" s="124">
        <f>SUM(tbl_task3[S15])</f>
        <v>0</v>
      </c>
      <c r="GD29" s="124">
        <f>SUM(tbl_task3[S16])</f>
        <v>0</v>
      </c>
      <c r="GE29" s="124">
        <f>SUM(tbl_task3[S17])</f>
        <v>0</v>
      </c>
      <c r="GF29" s="124">
        <f>SUM(tbl_task3[S18])</f>
        <v>0</v>
      </c>
      <c r="GG29" s="124">
        <f>SUM(tbl_task3[S19])</f>
        <v>0</v>
      </c>
      <c r="GH29" s="124">
        <f>SUM(tbl_task3[S20])</f>
        <v>0</v>
      </c>
      <c r="GI29" s="124">
        <f>SUM(tbl_task3[S21])</f>
        <v>0</v>
      </c>
      <c r="GJ29" s="124">
        <f>SUM(tbl_task3[S22])</f>
        <v>0</v>
      </c>
      <c r="GK29" s="124">
        <f>SUM(tbl_task3[S23])</f>
        <v>0</v>
      </c>
      <c r="GL29" s="124">
        <f>SUM(tbl_task3[S24])</f>
        <v>0</v>
      </c>
      <c r="GM29" s="124">
        <f>SUM(tbl_task3[S25])</f>
        <v>0</v>
      </c>
      <c r="GN29" s="124">
        <f>SUM(tbl_task3[S26])</f>
        <v>0</v>
      </c>
      <c r="GO29" s="124">
        <f>SUM(tbl_task3[S27])</f>
        <v>0</v>
      </c>
      <c r="GP29" s="124">
        <f>SUM(tbl_task3[S28])</f>
        <v>0</v>
      </c>
      <c r="GQ29" s="124">
        <f>SUM(tbl_task3[S29])</f>
        <v>0</v>
      </c>
      <c r="GR29" s="124">
        <f>SUM(tbl_task3[S30])</f>
        <v>0</v>
      </c>
      <c r="GS29" s="124">
        <f>SUM(tbl_task3[S31])</f>
        <v>0</v>
      </c>
      <c r="GT29" s="124">
        <f>SUM(tbl_task3[S32])</f>
        <v>0</v>
      </c>
      <c r="GU29" s="124">
        <f>SUM(tbl_task3[S33])</f>
        <v>0</v>
      </c>
      <c r="GV29" s="124">
        <f>SUM(tbl_task3[S34])</f>
        <v>0</v>
      </c>
      <c r="GW29" s="124">
        <f>SUM(tbl_task3[S35])</f>
        <v>0</v>
      </c>
      <c r="GX29" s="124">
        <f>SUM(tbl_task3[S36])</f>
        <v>0</v>
      </c>
      <c r="GY29" s="124">
        <f>SUM(tbl_task3[S37])</f>
        <v>0</v>
      </c>
      <c r="GZ29" s="124">
        <f>SUM(tbl_task3[S38])</f>
        <v>0</v>
      </c>
      <c r="HA29" s="124">
        <f>SUM(tbl_task3[S39])</f>
        <v>0</v>
      </c>
      <c r="HB29" s="124">
        <f>SUM(tbl_task3[S40])</f>
        <v>0</v>
      </c>
      <c r="HC29" s="124">
        <f>SUM(tbl_task3[S41])</f>
        <v>0</v>
      </c>
      <c r="HD29" s="124">
        <f>SUM(tbl_task3[S42])</f>
        <v>0</v>
      </c>
      <c r="HE29" s="124">
        <f>SUM(tbl_task3[S43])</f>
        <v>0</v>
      </c>
      <c r="HF29" s="124">
        <f>SUM(tbl_task3[S44])</f>
        <v>0</v>
      </c>
      <c r="HG29" s="124">
        <f>SUM(tbl_task3[S45])</f>
        <v>0</v>
      </c>
      <c r="HH29" s="124">
        <f>SUM(tbl_task3[S46])</f>
        <v>0</v>
      </c>
      <c r="HI29" s="124">
        <f>SUM(tbl_task3[S47])</f>
        <v>0</v>
      </c>
      <c r="HJ29" s="124">
        <f>SUM(tbl_task3[S48])</f>
        <v>0</v>
      </c>
      <c r="HK29" s="124">
        <f>SUM(tbl_task3[S49])</f>
        <v>0</v>
      </c>
      <c r="HL29" s="124">
        <f>SUM(tbl_task3[S50])</f>
        <v>0</v>
      </c>
      <c r="HM29" s="124">
        <f>SUM(tbl_task3[S51])</f>
        <v>0</v>
      </c>
      <c r="HN29" s="124">
        <f>SUM(tbl_task3[S52])</f>
        <v>0</v>
      </c>
      <c r="HO29" s="124">
        <f>SUM(tbl_task3[S53])</f>
        <v>0</v>
      </c>
      <c r="HP29" s="124">
        <f>SUM(tbl_task3[S54])</f>
        <v>0</v>
      </c>
      <c r="HQ29" s="124">
        <f>SUM(tbl_task3[S55])</f>
        <v>0</v>
      </c>
      <c r="HR29" s="124">
        <f>SUM(tbl_task3[S56])</f>
        <v>0</v>
      </c>
      <c r="HS29" s="124">
        <f>SUM(tbl_task3[S57])</f>
        <v>0</v>
      </c>
      <c r="HT29" s="124">
        <f>SUM(tbl_task3[S58])</f>
        <v>0</v>
      </c>
      <c r="HU29" s="124">
        <f>SUM(tbl_task3[S59])</f>
        <v>0</v>
      </c>
      <c r="HV29" s="124">
        <f>SUM(tbl_task3[S60])</f>
        <v>0</v>
      </c>
      <c r="HW29" s="124">
        <f>SUM(tbl_task3[S61])</f>
        <v>0</v>
      </c>
      <c r="HX29" s="124">
        <f>SUM(tbl_task3[S62])</f>
        <v>0</v>
      </c>
      <c r="HY29" s="124">
        <f>SUM(tbl_task3[S63])</f>
        <v>0</v>
      </c>
      <c r="HZ29" s="124">
        <f>SUM(tbl_task3[S64])</f>
        <v>0</v>
      </c>
      <c r="IA29" s="124">
        <f>SUM(tbl_task3[S65])</f>
        <v>0</v>
      </c>
      <c r="IB29" s="124">
        <f>SUM(tbl_task3[S66])</f>
        <v>0</v>
      </c>
      <c r="IC29" s="124">
        <f>SUM(tbl_task3[S67])</f>
        <v>0</v>
      </c>
      <c r="ID29" s="124">
        <f>SUM(tbl_task3[S68])</f>
        <v>0</v>
      </c>
      <c r="IE29" s="124">
        <f>SUM(tbl_task3[S69])</f>
        <v>0</v>
      </c>
      <c r="IF29" s="124">
        <f>SUM(tbl_task3[S70])</f>
        <v>0</v>
      </c>
      <c r="IG29" s="124">
        <f>SUM(tbl_task3[S71])</f>
        <v>0</v>
      </c>
      <c r="IH29" s="124">
        <f>SUM(tbl_task3[S72])</f>
        <v>0</v>
      </c>
      <c r="II29" s="124">
        <f>SUM(tbl_task3[S73])</f>
        <v>0</v>
      </c>
      <c r="IJ29" s="124">
        <f>SUM(tbl_task3[S74])</f>
        <v>0</v>
      </c>
      <c r="IK29" s="124">
        <f>SUM(tbl_task3[S75])</f>
        <v>0</v>
      </c>
      <c r="IL29" s="124">
        <f>SUM(tbl_task3[S76])</f>
        <v>0</v>
      </c>
      <c r="IM29" s="124">
        <f>SUM(tbl_task3[S77])</f>
        <v>0</v>
      </c>
      <c r="IN29" s="124">
        <f>SUM(tbl_task3[S78])</f>
        <v>0</v>
      </c>
      <c r="IO29" s="124">
        <f>SUM(tbl_task3[S79])</f>
        <v>0</v>
      </c>
      <c r="IP29" s="124">
        <f>SUM(tbl_task3[S80])</f>
        <v>0</v>
      </c>
      <c r="IQ29" s="124">
        <f>SUM(tbl_task3[S81])</f>
        <v>0</v>
      </c>
      <c r="IR29" s="124">
        <f>SUM(tbl_task3[S82])</f>
        <v>0</v>
      </c>
      <c r="IS29" s="124">
        <f>SUM(tbl_task3[S83])</f>
        <v>0</v>
      </c>
      <c r="IT29" s="124">
        <f>SUM(tbl_task3[S84])</f>
        <v>0</v>
      </c>
      <c r="IU29" s="124">
        <f>SUM(tbl_task3[S85])</f>
        <v>0</v>
      </c>
      <c r="IV29" s="124">
        <f>SUM(tbl_task3[S86])</f>
        <v>0</v>
      </c>
      <c r="IW29" s="124">
        <f>SUM(tbl_task3[S87])</f>
        <v>0</v>
      </c>
      <c r="IX29" s="124">
        <f>SUM(tbl_task3[S88])</f>
        <v>0</v>
      </c>
      <c r="IY29" s="124">
        <f>SUM(tbl_task3[S89])</f>
        <v>0</v>
      </c>
      <c r="IZ29" s="124">
        <f>SUM(tbl_task3[S90])</f>
        <v>0</v>
      </c>
      <c r="JA29" s="124">
        <f>SUM(tbl_task3[S91])</f>
        <v>0</v>
      </c>
      <c r="JB29" s="124">
        <f>SUM(tbl_task3[S92])</f>
        <v>0</v>
      </c>
      <c r="JC29" s="124">
        <f>SUM(tbl_task3[S93])</f>
        <v>0</v>
      </c>
      <c r="JD29" s="124">
        <f>SUM(tbl_task3[S94])</f>
        <v>0</v>
      </c>
      <c r="JE29" s="124">
        <f>SUM(tbl_task3[S95])</f>
        <v>0</v>
      </c>
      <c r="JF29" s="124">
        <f>SUM(tbl_task3[S96])</f>
        <v>0</v>
      </c>
      <c r="JG29" s="124">
        <f>SUM(tbl_task3[S97])</f>
        <v>0</v>
      </c>
      <c r="JH29" s="124">
        <f>SUM(tbl_task3[S98])</f>
        <v>0</v>
      </c>
      <c r="JI29" s="124">
        <f>SUM(tbl_task3[S99])</f>
        <v>0</v>
      </c>
      <c r="JJ29" s="124">
        <f>SUM(tbl_task3[S100])</f>
        <v>0</v>
      </c>
      <c r="JK29" s="124">
        <f>SUM(tbl_task3[S101])</f>
        <v>0</v>
      </c>
      <c r="JL29" s="124">
        <f>SUM(tbl_task3[S102])</f>
        <v>0</v>
      </c>
      <c r="JM29" s="124">
        <f>SUM(tbl_task3[S103])</f>
        <v>0</v>
      </c>
      <c r="JN29" s="124">
        <f>SUM(tbl_task3[S104])</f>
        <v>0</v>
      </c>
      <c r="JO29" s="124">
        <f>SUM(tbl_task3[S105])</f>
        <v>0</v>
      </c>
      <c r="JP29" s="124">
        <f>SUM(tbl_task3[S106])</f>
        <v>0</v>
      </c>
      <c r="JQ29" s="124">
        <f>SUM(tbl_task3[S107])</f>
        <v>0</v>
      </c>
      <c r="JR29" s="124">
        <f>SUM(tbl_task3[S108])</f>
        <v>0</v>
      </c>
      <c r="JS29" s="124">
        <f>SUM(tbl_task3[S109])</f>
        <v>0</v>
      </c>
      <c r="JT29" s="124">
        <f>SUM(tbl_task3[S110])</f>
        <v>0</v>
      </c>
      <c r="JU29" s="124">
        <f>SUM(tbl_task3[S111])</f>
        <v>0</v>
      </c>
      <c r="JV29" s="124">
        <f>SUM(tbl_task3[S112])</f>
        <v>0</v>
      </c>
      <c r="JW29" s="124">
        <f>SUM(tbl_task3[S113])</f>
        <v>0</v>
      </c>
      <c r="JX29" s="124">
        <f>SUM(tbl_task3[S114])</f>
        <v>0</v>
      </c>
      <c r="JY29" s="124">
        <f>SUM(tbl_task3[S115])</f>
        <v>0</v>
      </c>
      <c r="JZ29" s="124">
        <f>SUM(tbl_task3[S116])</f>
        <v>0</v>
      </c>
      <c r="KA29" s="124">
        <f>SUM(tbl_task3[S117])</f>
        <v>0</v>
      </c>
      <c r="KB29" s="124">
        <f>SUM(tbl_task3[S118])</f>
        <v>0</v>
      </c>
      <c r="KC29" s="124">
        <f>SUM(tbl_task3[S119])</f>
        <v>0</v>
      </c>
      <c r="KD29" s="124">
        <f>SUM(tbl_task3[S120])</f>
        <v>0</v>
      </c>
      <c r="KE29" s="124">
        <f>SUM(tbl_task3[S121])</f>
        <v>0</v>
      </c>
      <c r="KF29" s="124">
        <f>SUM(tbl_task3[S122])</f>
        <v>0</v>
      </c>
      <c r="KG29" s="124">
        <f>SUM(tbl_task3[S123])</f>
        <v>0</v>
      </c>
      <c r="KH29" s="124">
        <f>SUM(tbl_task3[S124])</f>
        <v>0</v>
      </c>
      <c r="KI29" s="124">
        <f>SUM(tbl_task3[S125])</f>
        <v>0</v>
      </c>
      <c r="KJ29" s="124">
        <f>SUM(tbl_task3[S126])</f>
        <v>0</v>
      </c>
      <c r="KK29" s="124">
        <f>SUM(tbl_task3[S127])</f>
        <v>0</v>
      </c>
      <c r="KL29" s="124">
        <f>SUM(tbl_task3[S128])</f>
        <v>0</v>
      </c>
      <c r="KM29" s="124">
        <f>SUM(tbl_task3[S129])</f>
        <v>0</v>
      </c>
      <c r="KN29" s="124">
        <f>SUM(tbl_task3[S130])</f>
        <v>0</v>
      </c>
      <c r="KO29" s="124">
        <f>SUM(tbl_task3[S131])</f>
        <v>0</v>
      </c>
      <c r="KP29" s="124">
        <f>SUM(tbl_task3[S132])</f>
        <v>0</v>
      </c>
      <c r="KQ29" s="124">
        <f>SUM(tbl_task3[S133])</f>
        <v>0</v>
      </c>
      <c r="KR29" s="124">
        <f>SUM(tbl_task3[S134])</f>
        <v>0</v>
      </c>
      <c r="KS29" s="124">
        <f>SUM(tbl_task3[S135])</f>
        <v>0</v>
      </c>
      <c r="KT29" s="124">
        <f>SUM(tbl_task3[S136])</f>
        <v>0</v>
      </c>
      <c r="KU29" s="124">
        <f>SUM(tbl_task3[S137])</f>
        <v>0</v>
      </c>
      <c r="KV29" s="124">
        <f>SUM(tbl_task3[S138])</f>
        <v>0</v>
      </c>
      <c r="KW29" s="124">
        <f>SUM(tbl_task3[S139])</f>
        <v>0</v>
      </c>
      <c r="KX29" s="124">
        <f>SUM(tbl_task3[S140])</f>
        <v>0</v>
      </c>
      <c r="KY29" s="124">
        <f>SUM(tbl_task3[S141])</f>
        <v>0</v>
      </c>
      <c r="KZ29" s="124">
        <f>SUM(tbl_task3[S142])</f>
        <v>0</v>
      </c>
      <c r="LA29" s="124">
        <f>SUM(tbl_task3[S143])</f>
        <v>0</v>
      </c>
      <c r="LB29" s="124">
        <f>SUM(tbl_task3[S144])</f>
        <v>0</v>
      </c>
      <c r="LC29" s="124">
        <f>SUM(tbl_task3[S145])</f>
        <v>0</v>
      </c>
      <c r="LD29" s="124">
        <f>SUM(tbl_task3[S146])</f>
        <v>0</v>
      </c>
      <c r="LE29" s="124">
        <f>SUM(tbl_task3[S147])</f>
        <v>0</v>
      </c>
      <c r="LF29" s="124">
        <f>SUM(tbl_task3[S148])</f>
        <v>0</v>
      </c>
      <c r="LG29" s="124">
        <f>SUM(tbl_task3[S149])</f>
        <v>0</v>
      </c>
      <c r="LH29" s="124">
        <f>SUM(tbl_task3[S150])</f>
        <v>0</v>
      </c>
      <c r="LI29" s="124">
        <f>SUM(tbl_task3[S151])</f>
        <v>0</v>
      </c>
      <c r="LJ29" s="124">
        <f>SUM(tbl_task3[S152])</f>
        <v>0</v>
      </c>
      <c r="LK29" s="124">
        <f>SUM(tbl_task3[S153])</f>
        <v>0</v>
      </c>
      <c r="LL29" s="124">
        <f>SUM(tbl_task3[S154])</f>
        <v>0</v>
      </c>
      <c r="LM29" s="124">
        <f>SUM(tbl_task3[S155])</f>
        <v>0</v>
      </c>
      <c r="LN29" s="124">
        <f>SUM(tbl_task3[S156])</f>
        <v>0</v>
      </c>
      <c r="LO29" s="124">
        <f>SUM(tbl_task3[S157])</f>
        <v>0</v>
      </c>
      <c r="LP29" s="124">
        <f>SUM(tbl_task3[S158])</f>
        <v>0</v>
      </c>
      <c r="LQ29" s="124">
        <f>SUM(tbl_task3[S159])</f>
        <v>0</v>
      </c>
      <c r="LR29" s="124">
        <f>SUM(tbl_task3[S160])</f>
        <v>0</v>
      </c>
      <c r="LS29" s="124">
        <f>SUM(tbl_task3[S161])</f>
        <v>0</v>
      </c>
      <c r="LT29" s="124">
        <f>SUM(tbl_task3[S162])</f>
        <v>0</v>
      </c>
      <c r="LU29" s="124">
        <f>SUM(tbl_task3[S163])</f>
        <v>0</v>
      </c>
      <c r="LV29" s="124">
        <f>SUM(tbl_task3[S164])</f>
        <v>0</v>
      </c>
      <c r="LW29" s="124">
        <f>SUM(tbl_task3[S165])</f>
        <v>0</v>
      </c>
    </row>
    <row r="30" spans="1:335" s="39" customFormat="1" ht="9" customHeight="1" x14ac:dyDescent="0.25">
      <c r="A30" s="23"/>
      <c r="B30" s="35"/>
      <c r="C30" s="36"/>
      <c r="D30" s="100"/>
      <c r="E30" s="37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</row>
    <row r="31" spans="1:335" ht="10.5" customHeight="1" x14ac:dyDescent="0.25">
      <c r="A31" s="23"/>
      <c r="B31" s="35"/>
      <c r="C31" s="36"/>
      <c r="D31" s="100"/>
      <c r="E31" s="37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</row>
    <row r="32" spans="1:335" x14ac:dyDescent="0.25">
      <c r="A32" s="6" t="s">
        <v>410</v>
      </c>
    </row>
    <row r="33" spans="1:170" ht="42" x14ac:dyDescent="0.25">
      <c r="A33" s="7" t="s">
        <v>10</v>
      </c>
      <c r="B33" s="21" t="s">
        <v>286</v>
      </c>
      <c r="C33" s="21" t="s">
        <v>451</v>
      </c>
      <c r="D33" s="21" t="s">
        <v>409</v>
      </c>
      <c r="E33" s="43" t="s">
        <v>249</v>
      </c>
      <c r="F33" s="122" t="s">
        <v>22</v>
      </c>
      <c r="G33" s="122" t="s">
        <v>23</v>
      </c>
      <c r="H33" s="122" t="s">
        <v>24</v>
      </c>
      <c r="I33" s="122" t="s">
        <v>25</v>
      </c>
      <c r="J33" s="122" t="s">
        <v>26</v>
      </c>
      <c r="K33" s="122" t="s">
        <v>27</v>
      </c>
      <c r="L33" s="122" t="s">
        <v>28</v>
      </c>
      <c r="M33" s="122" t="s">
        <v>29</v>
      </c>
      <c r="N33" s="122" t="s">
        <v>30</v>
      </c>
      <c r="O33" s="122" t="s">
        <v>31</v>
      </c>
      <c r="P33" s="122" t="s">
        <v>32</v>
      </c>
      <c r="Q33" s="122" t="s">
        <v>33</v>
      </c>
      <c r="R33" s="122" t="s">
        <v>34</v>
      </c>
      <c r="S33" s="122" t="s">
        <v>35</v>
      </c>
      <c r="T33" s="122" t="s">
        <v>36</v>
      </c>
      <c r="U33" s="122" t="s">
        <v>37</v>
      </c>
      <c r="V33" s="122" t="s">
        <v>38</v>
      </c>
      <c r="W33" s="122" t="s">
        <v>39</v>
      </c>
      <c r="X33" s="122" t="s">
        <v>40</v>
      </c>
      <c r="Y33" s="122" t="s">
        <v>41</v>
      </c>
      <c r="Z33" s="122" t="s">
        <v>42</v>
      </c>
      <c r="AA33" s="122" t="s">
        <v>43</v>
      </c>
      <c r="AB33" s="122" t="s">
        <v>44</v>
      </c>
      <c r="AC33" s="122" t="s">
        <v>45</v>
      </c>
      <c r="AD33" s="122" t="s">
        <v>46</v>
      </c>
      <c r="AE33" s="122" t="s">
        <v>47</v>
      </c>
      <c r="AF33" s="122" t="s">
        <v>48</v>
      </c>
      <c r="AG33" s="122" t="s">
        <v>49</v>
      </c>
      <c r="AH33" s="122" t="s">
        <v>50</v>
      </c>
      <c r="AI33" s="122" t="s">
        <v>51</v>
      </c>
      <c r="AJ33" s="122" t="s">
        <v>52</v>
      </c>
      <c r="AK33" s="122" t="s">
        <v>53</v>
      </c>
      <c r="AL33" s="122" t="s">
        <v>54</v>
      </c>
      <c r="AM33" s="122" t="s">
        <v>55</v>
      </c>
      <c r="AN33" s="122" t="s">
        <v>56</v>
      </c>
      <c r="AO33" s="122" t="s">
        <v>57</v>
      </c>
      <c r="AP33" s="122" t="s">
        <v>58</v>
      </c>
      <c r="AQ33" s="122" t="s">
        <v>59</v>
      </c>
      <c r="AR33" s="122" t="s">
        <v>60</v>
      </c>
      <c r="AS33" s="122" t="s">
        <v>61</v>
      </c>
      <c r="AT33" s="122" t="s">
        <v>62</v>
      </c>
      <c r="AU33" s="122" t="s">
        <v>63</v>
      </c>
      <c r="AV33" s="122" t="s">
        <v>64</v>
      </c>
      <c r="AW33" s="122" t="s">
        <v>65</v>
      </c>
      <c r="AX33" s="122" t="s">
        <v>66</v>
      </c>
      <c r="AY33" s="122" t="s">
        <v>67</v>
      </c>
      <c r="AZ33" s="122" t="s">
        <v>68</v>
      </c>
      <c r="BA33" s="122" t="s">
        <v>69</v>
      </c>
      <c r="BB33" s="122" t="s">
        <v>70</v>
      </c>
      <c r="BC33" s="122" t="s">
        <v>71</v>
      </c>
      <c r="BD33" s="122" t="s">
        <v>72</v>
      </c>
      <c r="BE33" s="122" t="s">
        <v>73</v>
      </c>
      <c r="BF33" s="122" t="s">
        <v>74</v>
      </c>
      <c r="BG33" s="122" t="s">
        <v>75</v>
      </c>
      <c r="BH33" s="122" t="s">
        <v>76</v>
      </c>
      <c r="BI33" s="122" t="s">
        <v>77</v>
      </c>
      <c r="BJ33" s="122" t="s">
        <v>78</v>
      </c>
      <c r="BK33" s="122" t="s">
        <v>79</v>
      </c>
      <c r="BL33" s="122" t="s">
        <v>80</v>
      </c>
      <c r="BM33" s="122" t="s">
        <v>81</v>
      </c>
      <c r="BN33" s="122" t="s">
        <v>82</v>
      </c>
      <c r="BO33" s="122" t="s">
        <v>83</v>
      </c>
      <c r="BP33" s="122" t="s">
        <v>84</v>
      </c>
      <c r="BQ33" s="122" t="s">
        <v>85</v>
      </c>
      <c r="BR33" s="122" t="s">
        <v>86</v>
      </c>
      <c r="BS33" s="122" t="s">
        <v>87</v>
      </c>
      <c r="BT33" s="122" t="s">
        <v>88</v>
      </c>
      <c r="BU33" s="122" t="s">
        <v>89</v>
      </c>
      <c r="BV33" s="122" t="s">
        <v>90</v>
      </c>
      <c r="BW33" s="122" t="s">
        <v>91</v>
      </c>
      <c r="BX33" s="122" t="s">
        <v>92</v>
      </c>
      <c r="BY33" s="122" t="s">
        <v>93</v>
      </c>
      <c r="BZ33" s="122" t="s">
        <v>94</v>
      </c>
      <c r="CA33" s="122" t="s">
        <v>95</v>
      </c>
      <c r="CB33" s="122" t="s">
        <v>96</v>
      </c>
      <c r="CC33" s="122" t="s">
        <v>97</v>
      </c>
      <c r="CD33" s="122" t="s">
        <v>98</v>
      </c>
      <c r="CE33" s="122" t="s">
        <v>99</v>
      </c>
      <c r="CF33" s="122" t="s">
        <v>100</v>
      </c>
      <c r="CG33" s="122" t="s">
        <v>101</v>
      </c>
      <c r="CH33" s="122" t="s">
        <v>102</v>
      </c>
      <c r="CI33" s="122" t="s">
        <v>103</v>
      </c>
      <c r="CJ33" s="122" t="s">
        <v>104</v>
      </c>
      <c r="CK33" s="122" t="s">
        <v>105</v>
      </c>
      <c r="CL33" s="122" t="s">
        <v>106</v>
      </c>
      <c r="CM33" s="122" t="s">
        <v>107</v>
      </c>
      <c r="CN33" s="122" t="s">
        <v>108</v>
      </c>
      <c r="CO33" s="122" t="s">
        <v>109</v>
      </c>
      <c r="CP33" s="122" t="s">
        <v>110</v>
      </c>
      <c r="CQ33" s="122" t="s">
        <v>111</v>
      </c>
      <c r="CR33" s="122" t="s">
        <v>112</v>
      </c>
      <c r="CS33" s="122" t="s">
        <v>113</v>
      </c>
      <c r="CT33" s="122" t="s">
        <v>114</v>
      </c>
      <c r="CU33" s="122" t="s">
        <v>115</v>
      </c>
      <c r="CV33" s="122" t="s">
        <v>116</v>
      </c>
      <c r="CW33" s="122" t="s">
        <v>117</v>
      </c>
      <c r="CX33" s="122" t="s">
        <v>118</v>
      </c>
      <c r="CY33" s="122" t="s">
        <v>119</v>
      </c>
      <c r="CZ33" s="122" t="s">
        <v>120</v>
      </c>
      <c r="DA33" s="122" t="s">
        <v>121</v>
      </c>
      <c r="DB33" s="122" t="s">
        <v>122</v>
      </c>
      <c r="DC33" s="122" t="s">
        <v>123</v>
      </c>
      <c r="DD33" s="122" t="s">
        <v>124</v>
      </c>
      <c r="DE33" s="122" t="s">
        <v>125</v>
      </c>
      <c r="DF33" s="122" t="s">
        <v>126</v>
      </c>
      <c r="DG33" s="122" t="s">
        <v>127</v>
      </c>
      <c r="DH33" s="122" t="s">
        <v>128</v>
      </c>
      <c r="DI33" s="122" t="s">
        <v>129</v>
      </c>
      <c r="DJ33" s="122" t="s">
        <v>130</v>
      </c>
      <c r="DK33" s="122" t="s">
        <v>131</v>
      </c>
      <c r="DL33" s="122" t="s">
        <v>132</v>
      </c>
      <c r="DM33" s="122" t="s">
        <v>133</v>
      </c>
      <c r="DN33" s="122" t="s">
        <v>134</v>
      </c>
      <c r="DO33" s="122" t="s">
        <v>135</v>
      </c>
      <c r="DP33" s="122" t="s">
        <v>136</v>
      </c>
      <c r="DQ33" s="122" t="s">
        <v>359</v>
      </c>
      <c r="DR33" s="122" t="s">
        <v>360</v>
      </c>
      <c r="DS33" s="122" t="s">
        <v>361</v>
      </c>
      <c r="DT33" s="122" t="s">
        <v>362</v>
      </c>
      <c r="DU33" s="122" t="s">
        <v>363</v>
      </c>
      <c r="DV33" s="122" t="s">
        <v>364</v>
      </c>
      <c r="DW33" s="122" t="s">
        <v>365</v>
      </c>
      <c r="DX33" s="122" t="s">
        <v>366</v>
      </c>
      <c r="DY33" s="122" t="s">
        <v>367</v>
      </c>
      <c r="DZ33" s="122" t="s">
        <v>368</v>
      </c>
      <c r="EA33" s="122" t="s">
        <v>369</v>
      </c>
      <c r="EB33" s="122" t="s">
        <v>370</v>
      </c>
      <c r="EC33" s="122" t="s">
        <v>371</v>
      </c>
      <c r="ED33" s="122" t="s">
        <v>372</v>
      </c>
      <c r="EE33" s="122" t="s">
        <v>373</v>
      </c>
      <c r="EF33" s="122" t="s">
        <v>374</v>
      </c>
      <c r="EG33" s="122" t="s">
        <v>375</v>
      </c>
      <c r="EH33" s="122" t="s">
        <v>376</v>
      </c>
      <c r="EI33" s="122" t="s">
        <v>377</v>
      </c>
      <c r="EJ33" s="122" t="s">
        <v>378</v>
      </c>
      <c r="EK33" s="122" t="s">
        <v>379</v>
      </c>
      <c r="EL33" s="122" t="s">
        <v>380</v>
      </c>
      <c r="EM33" s="122" t="s">
        <v>381</v>
      </c>
      <c r="EN33" s="122" t="s">
        <v>382</v>
      </c>
      <c r="EO33" s="122" t="s">
        <v>383</v>
      </c>
      <c r="EP33" s="122" t="s">
        <v>384</v>
      </c>
      <c r="EQ33" s="122" t="s">
        <v>385</v>
      </c>
      <c r="ER33" s="122" t="s">
        <v>386</v>
      </c>
      <c r="ES33" s="122" t="s">
        <v>387</v>
      </c>
      <c r="ET33" s="122" t="s">
        <v>388</v>
      </c>
      <c r="EU33" s="122" t="s">
        <v>389</v>
      </c>
      <c r="EV33" s="122" t="s">
        <v>390</v>
      </c>
      <c r="EW33" s="122" t="s">
        <v>391</v>
      </c>
      <c r="EX33" s="122" t="s">
        <v>392</v>
      </c>
      <c r="EY33" s="122" t="s">
        <v>393</v>
      </c>
      <c r="EZ33" s="122" t="s">
        <v>394</v>
      </c>
      <c r="FA33" s="122" t="s">
        <v>395</v>
      </c>
      <c r="FB33" s="122" t="s">
        <v>396</v>
      </c>
      <c r="FC33" s="122" t="s">
        <v>397</v>
      </c>
      <c r="FD33" s="122" t="s">
        <v>398</v>
      </c>
      <c r="FE33" s="122" t="s">
        <v>399</v>
      </c>
      <c r="FF33" s="122" t="s">
        <v>400</v>
      </c>
      <c r="FG33" s="122" t="s">
        <v>401</v>
      </c>
      <c r="FH33" s="122" t="s">
        <v>402</v>
      </c>
      <c r="FI33" s="122" t="s">
        <v>403</v>
      </c>
      <c r="FJ33" s="122" t="s">
        <v>404</v>
      </c>
      <c r="FK33" s="122" t="s">
        <v>405</v>
      </c>
      <c r="FL33" s="122" t="s">
        <v>406</v>
      </c>
      <c r="FM33" s="122" t="s">
        <v>407</v>
      </c>
      <c r="FN33" s="122" t="s">
        <v>408</v>
      </c>
    </row>
    <row r="34" spans="1:170" ht="84" x14ac:dyDescent="0.25">
      <c r="A34" s="135">
        <v>1</v>
      </c>
      <c r="B34" s="5" t="s">
        <v>617</v>
      </c>
      <c r="C34" s="136">
        <f>COUNTIFS(tbl_task3[SubPLOs],"&gt;=1",tbl_task3[SubPLOs],"&lt;2")</f>
        <v>0</v>
      </c>
      <c r="D34" s="136">
        <f>SUMIFS(tbl_task3[คะแนนเต็ม],tbl_task3[SubPLOs],"&gt;=1",tbl_task3[SubPLOs],"&lt;2")</f>
        <v>0</v>
      </c>
      <c r="E34" s="137">
        <f>SUMIFS(tbl_task3[%],tbl_task3[SubPLOs],"&gt;=1",tbl_task3[SubPLOs],"&lt;2")</f>
        <v>0</v>
      </c>
      <c r="F34" s="138">
        <f>SUMIFS(tbl_task3[S1],tbl_task3[[SubPLOs]:[SubPLOs]],"&gt;=1",tbl_task3[[SubPLOs]:[SubPLOs]],"&lt;2")</f>
        <v>0</v>
      </c>
      <c r="G34" s="138">
        <f>SUMIFS(tbl_task3[S2],tbl_task3[[SubPLOs]:[SubPLOs]],"&gt;=1",tbl_task3[[SubPLOs]:[SubPLOs]],"&lt;2")</f>
        <v>0</v>
      </c>
      <c r="H34" s="138">
        <f>SUMIFS(tbl_task3[S3],tbl_task3[[SubPLOs]:[SubPLOs]],"&gt;=1",tbl_task3[[SubPLOs]:[SubPLOs]],"&lt;2")</f>
        <v>0</v>
      </c>
      <c r="I34" s="138">
        <f>SUMIFS(tbl_task3[S4],tbl_task3[[SubPLOs]:[SubPLOs]],"&gt;=1",tbl_task3[[SubPLOs]:[SubPLOs]],"&lt;2")</f>
        <v>0</v>
      </c>
      <c r="J34" s="138">
        <f>SUMIFS(tbl_task3[S5],tbl_task3[[SubPLOs]:[SubPLOs]],"&gt;=1",tbl_task3[[SubPLOs]:[SubPLOs]],"&lt;2")</f>
        <v>0</v>
      </c>
      <c r="K34" s="138">
        <f>SUMIFS(tbl_task3[S6],tbl_task3[[SubPLOs]:[SubPLOs]],"&gt;=1",tbl_task3[[SubPLOs]:[SubPLOs]],"&lt;2")</f>
        <v>0</v>
      </c>
      <c r="L34" s="138">
        <f>SUMIFS(tbl_task3[S7],tbl_task3[[SubPLOs]:[SubPLOs]],"&gt;=1",tbl_task3[[SubPLOs]:[SubPLOs]],"&lt;2")</f>
        <v>0</v>
      </c>
      <c r="M34" s="138">
        <f>SUMIFS(tbl_task3[S8],tbl_task3[[SubPLOs]:[SubPLOs]],"&gt;=1",tbl_task3[[SubPLOs]:[SubPLOs]],"&lt;2")</f>
        <v>0</v>
      </c>
      <c r="N34" s="138">
        <f>SUMIFS(tbl_task3[S9],tbl_task3[[SubPLOs]:[SubPLOs]],"&gt;=1",tbl_task3[[SubPLOs]:[SubPLOs]],"&lt;2")</f>
        <v>0</v>
      </c>
      <c r="O34" s="138">
        <f>SUMIFS(tbl_task3[S10],tbl_task3[[SubPLOs]:[SubPLOs]],"&gt;=1",tbl_task3[[SubPLOs]:[SubPLOs]],"&lt;2")</f>
        <v>0</v>
      </c>
      <c r="P34" s="138">
        <f>SUMIFS(tbl_task3[S11],tbl_task3[[SubPLOs]:[SubPLOs]],"&gt;=1",tbl_task3[[SubPLOs]:[SubPLOs]],"&lt;2")</f>
        <v>0</v>
      </c>
      <c r="Q34" s="138">
        <f>SUMIFS(tbl_task3[S12],tbl_task3[[SubPLOs]:[SubPLOs]],"&gt;=1",tbl_task3[[SubPLOs]:[SubPLOs]],"&lt;2")</f>
        <v>0</v>
      </c>
      <c r="R34" s="138">
        <f>SUMIFS(tbl_task3[S13],tbl_task3[[SubPLOs]:[SubPLOs]],"&gt;=1",tbl_task3[[SubPLOs]:[SubPLOs]],"&lt;2")</f>
        <v>0</v>
      </c>
      <c r="S34" s="138">
        <f>SUMIFS(tbl_task3[S14],tbl_task3[[SubPLOs]:[SubPLOs]],"&gt;=1",tbl_task3[[SubPLOs]:[SubPLOs]],"&lt;2")</f>
        <v>0</v>
      </c>
      <c r="T34" s="138">
        <f>SUMIFS(tbl_task3[S15],tbl_task3[[SubPLOs]:[SubPLOs]],"&gt;=1",tbl_task3[[SubPLOs]:[SubPLOs]],"&lt;2")</f>
        <v>0</v>
      </c>
      <c r="U34" s="138">
        <f>SUMIFS(tbl_task3[S16],tbl_task3[[SubPLOs]:[SubPLOs]],"&gt;=1",tbl_task3[[SubPLOs]:[SubPLOs]],"&lt;2")</f>
        <v>0</v>
      </c>
      <c r="V34" s="138">
        <f>SUMIFS(tbl_task3[S17],tbl_task3[[SubPLOs]:[SubPLOs]],"&gt;=1",tbl_task3[[SubPLOs]:[SubPLOs]],"&lt;2")</f>
        <v>0</v>
      </c>
      <c r="W34" s="138">
        <f>SUMIFS(tbl_task3[S18],tbl_task3[[SubPLOs]:[SubPLOs]],"&gt;=1",tbl_task3[[SubPLOs]:[SubPLOs]],"&lt;2")</f>
        <v>0</v>
      </c>
      <c r="X34" s="138">
        <f>SUMIFS(tbl_task3[S19],tbl_task3[[SubPLOs]:[SubPLOs]],"&gt;=1",tbl_task3[[SubPLOs]:[SubPLOs]],"&lt;2")</f>
        <v>0</v>
      </c>
      <c r="Y34" s="138">
        <f>SUMIFS(tbl_task3[S20],tbl_task3[[SubPLOs]:[SubPLOs]],"&gt;=1",tbl_task3[[SubPLOs]:[SubPLOs]],"&lt;2")</f>
        <v>0</v>
      </c>
      <c r="Z34" s="138">
        <f>SUMIFS(tbl_task3[S21],tbl_task3[[SubPLOs]:[SubPLOs]],"&gt;=1",tbl_task3[[SubPLOs]:[SubPLOs]],"&lt;2")</f>
        <v>0</v>
      </c>
      <c r="AA34" s="138">
        <f>SUMIFS(tbl_task3[S22],tbl_task3[[SubPLOs]:[SubPLOs]],"&gt;=1",tbl_task3[[SubPLOs]:[SubPLOs]],"&lt;2")</f>
        <v>0</v>
      </c>
      <c r="AB34" s="138">
        <f>SUMIFS(tbl_task3[S23],tbl_task3[[SubPLOs]:[SubPLOs]],"&gt;=1",tbl_task3[[SubPLOs]:[SubPLOs]],"&lt;2")</f>
        <v>0</v>
      </c>
      <c r="AC34" s="138">
        <f>SUMIFS(tbl_task3[S24],tbl_task3[[SubPLOs]:[SubPLOs]],"&gt;=1",tbl_task3[[SubPLOs]:[SubPLOs]],"&lt;2")</f>
        <v>0</v>
      </c>
      <c r="AD34" s="138">
        <f>SUMIFS(tbl_task3[S25],tbl_task3[[SubPLOs]:[SubPLOs]],"&gt;=1",tbl_task3[[SubPLOs]:[SubPLOs]],"&lt;2")</f>
        <v>0</v>
      </c>
      <c r="AE34" s="138">
        <f>SUMIFS(tbl_task3[S26],tbl_task3[[SubPLOs]:[SubPLOs]],"&gt;=1",tbl_task3[[SubPLOs]:[SubPLOs]],"&lt;2")</f>
        <v>0</v>
      </c>
      <c r="AF34" s="138">
        <f>SUMIFS(tbl_task3[S27],tbl_task3[[SubPLOs]:[SubPLOs]],"&gt;=1",tbl_task3[[SubPLOs]:[SubPLOs]],"&lt;2")</f>
        <v>0</v>
      </c>
      <c r="AG34" s="138">
        <f>SUMIFS(tbl_task3[S28],tbl_task3[[SubPLOs]:[SubPLOs]],"&gt;=1",tbl_task3[[SubPLOs]:[SubPLOs]],"&lt;2")</f>
        <v>0</v>
      </c>
      <c r="AH34" s="138">
        <f>SUMIFS(tbl_task3[S29],tbl_task3[[SubPLOs]:[SubPLOs]],"&gt;=1",tbl_task3[[SubPLOs]:[SubPLOs]],"&lt;2")</f>
        <v>0</v>
      </c>
      <c r="AI34" s="138">
        <f>SUMIFS(tbl_task3[S30],tbl_task3[[SubPLOs]:[SubPLOs]],"&gt;=1",tbl_task3[[SubPLOs]:[SubPLOs]],"&lt;2")</f>
        <v>0</v>
      </c>
      <c r="AJ34" s="138">
        <f>SUMIFS(tbl_task3[S31],tbl_task3[[SubPLOs]:[SubPLOs]],"&gt;=1",tbl_task3[[SubPLOs]:[SubPLOs]],"&lt;2")</f>
        <v>0</v>
      </c>
      <c r="AK34" s="138">
        <f>SUMIFS(tbl_task3[S32],tbl_task3[[SubPLOs]:[SubPLOs]],"&gt;=1",tbl_task3[[SubPLOs]:[SubPLOs]],"&lt;2")</f>
        <v>0</v>
      </c>
      <c r="AL34" s="138">
        <f>SUMIFS(tbl_task3[S33],tbl_task3[[SubPLOs]:[SubPLOs]],"&gt;=1",tbl_task3[[SubPLOs]:[SubPLOs]],"&lt;2")</f>
        <v>0</v>
      </c>
      <c r="AM34" s="138">
        <f>SUMIFS(tbl_task3[S34],tbl_task3[[SubPLOs]:[SubPLOs]],"&gt;=1",tbl_task3[[SubPLOs]:[SubPLOs]],"&lt;2")</f>
        <v>0</v>
      </c>
      <c r="AN34" s="138">
        <f>SUMIFS(tbl_task3[S35],tbl_task3[[SubPLOs]:[SubPLOs]],"&gt;=1",tbl_task3[[SubPLOs]:[SubPLOs]],"&lt;2")</f>
        <v>0</v>
      </c>
      <c r="AO34" s="138">
        <f>SUMIFS(tbl_task3[S36],tbl_task3[[SubPLOs]:[SubPLOs]],"&gt;=1",tbl_task3[[SubPLOs]:[SubPLOs]],"&lt;2")</f>
        <v>0</v>
      </c>
      <c r="AP34" s="138">
        <f>SUMIFS(tbl_task3[S37],tbl_task3[[SubPLOs]:[SubPLOs]],"&gt;=1",tbl_task3[[SubPLOs]:[SubPLOs]],"&lt;2")</f>
        <v>0</v>
      </c>
      <c r="AQ34" s="138">
        <f>SUMIFS(tbl_task3[S38],tbl_task3[[SubPLOs]:[SubPLOs]],"&gt;=1",tbl_task3[[SubPLOs]:[SubPLOs]],"&lt;2")</f>
        <v>0</v>
      </c>
      <c r="AR34" s="138">
        <f>SUMIFS(tbl_task3[S39],tbl_task3[[SubPLOs]:[SubPLOs]],"&gt;=1",tbl_task3[[SubPLOs]:[SubPLOs]],"&lt;2")</f>
        <v>0</v>
      </c>
      <c r="AS34" s="138">
        <f>SUMIFS(tbl_task3[S40],tbl_task3[[SubPLOs]:[SubPLOs]],"&gt;=1",tbl_task3[[SubPLOs]:[SubPLOs]],"&lt;2")</f>
        <v>0</v>
      </c>
      <c r="AT34" s="138">
        <f>SUMIFS(tbl_task3[S41],tbl_task3[[SubPLOs]:[SubPLOs]],"&gt;=1",tbl_task3[[SubPLOs]:[SubPLOs]],"&lt;2")</f>
        <v>0</v>
      </c>
      <c r="AU34" s="138">
        <f>SUMIFS(tbl_task3[S42],tbl_task3[[SubPLOs]:[SubPLOs]],"&gt;=1",tbl_task3[[SubPLOs]:[SubPLOs]],"&lt;2")</f>
        <v>0</v>
      </c>
      <c r="AV34" s="138">
        <f>SUMIFS(tbl_task3[S43],tbl_task3[[SubPLOs]:[SubPLOs]],"&gt;=1",tbl_task3[[SubPLOs]:[SubPLOs]],"&lt;2")</f>
        <v>0</v>
      </c>
      <c r="AW34" s="138">
        <f>SUMIFS(tbl_task3[S44],tbl_task3[[SubPLOs]:[SubPLOs]],"&gt;=1",tbl_task3[[SubPLOs]:[SubPLOs]],"&lt;2")</f>
        <v>0</v>
      </c>
      <c r="AX34" s="138">
        <f>SUMIFS(tbl_task3[S45],tbl_task3[[SubPLOs]:[SubPLOs]],"&gt;=1",tbl_task3[[SubPLOs]:[SubPLOs]],"&lt;2")</f>
        <v>0</v>
      </c>
      <c r="AY34" s="138">
        <f>SUMIFS(tbl_task3[S46],tbl_task3[[SubPLOs]:[SubPLOs]],"&gt;=1",tbl_task3[[SubPLOs]:[SubPLOs]],"&lt;2")</f>
        <v>0</v>
      </c>
      <c r="AZ34" s="138">
        <f>SUMIFS(tbl_task3[S47],tbl_task3[[SubPLOs]:[SubPLOs]],"&gt;=1",tbl_task3[[SubPLOs]:[SubPLOs]],"&lt;2")</f>
        <v>0</v>
      </c>
      <c r="BA34" s="138">
        <f>SUMIFS(tbl_task3[S48],tbl_task3[[SubPLOs]:[SubPLOs]],"&gt;=1",tbl_task3[[SubPLOs]:[SubPLOs]],"&lt;2")</f>
        <v>0</v>
      </c>
      <c r="BB34" s="138">
        <f>SUMIFS(tbl_task3[S49],tbl_task3[[SubPLOs]:[SubPLOs]],"&gt;=1",tbl_task3[[SubPLOs]:[SubPLOs]],"&lt;2")</f>
        <v>0</v>
      </c>
      <c r="BC34" s="138">
        <f>SUMIFS(tbl_task3[S50],tbl_task3[[SubPLOs]:[SubPLOs]],"&gt;=1",tbl_task3[[SubPLOs]:[SubPLOs]],"&lt;2")</f>
        <v>0</v>
      </c>
      <c r="BD34" s="138">
        <f>SUMIFS(tbl_task3[S51],tbl_task3[[SubPLOs]:[SubPLOs]],"&gt;=1",tbl_task3[[SubPLOs]:[SubPLOs]],"&lt;2")</f>
        <v>0</v>
      </c>
      <c r="BE34" s="138">
        <f>SUMIFS(tbl_task3[S52],tbl_task3[[SubPLOs]:[SubPLOs]],"&gt;=1",tbl_task3[[SubPLOs]:[SubPLOs]],"&lt;2")</f>
        <v>0</v>
      </c>
      <c r="BF34" s="138">
        <f>SUMIFS(tbl_task3[S53],tbl_task3[[SubPLOs]:[SubPLOs]],"&gt;=1",tbl_task3[[SubPLOs]:[SubPLOs]],"&lt;2")</f>
        <v>0</v>
      </c>
      <c r="BG34" s="138">
        <f>SUMIFS(tbl_task3[S54],tbl_task3[[SubPLOs]:[SubPLOs]],"&gt;=1",tbl_task3[[SubPLOs]:[SubPLOs]],"&lt;2")</f>
        <v>0</v>
      </c>
      <c r="BH34" s="138">
        <f>SUMIFS(tbl_task3[S55],tbl_task3[[SubPLOs]:[SubPLOs]],"&gt;=1",tbl_task3[[SubPLOs]:[SubPLOs]],"&lt;2")</f>
        <v>0</v>
      </c>
      <c r="BI34" s="138">
        <f>SUMIFS(tbl_task3[S56],tbl_task3[[SubPLOs]:[SubPLOs]],"&gt;=1",tbl_task3[[SubPLOs]:[SubPLOs]],"&lt;2")</f>
        <v>0</v>
      </c>
      <c r="BJ34" s="138">
        <f>SUMIFS(tbl_task3[S57],tbl_task3[[SubPLOs]:[SubPLOs]],"&gt;=1",tbl_task3[[SubPLOs]:[SubPLOs]],"&lt;2")</f>
        <v>0</v>
      </c>
      <c r="BK34" s="138">
        <f>SUMIFS(tbl_task3[S58],tbl_task3[[SubPLOs]:[SubPLOs]],"&gt;=1",tbl_task3[[SubPLOs]:[SubPLOs]],"&lt;2")</f>
        <v>0</v>
      </c>
      <c r="BL34" s="138">
        <f>SUMIFS(tbl_task3[S59],tbl_task3[[SubPLOs]:[SubPLOs]],"&gt;=1",tbl_task3[[SubPLOs]:[SubPLOs]],"&lt;2")</f>
        <v>0</v>
      </c>
      <c r="BM34" s="138">
        <f>SUMIFS(tbl_task3[S60],tbl_task3[[SubPLOs]:[SubPLOs]],"&gt;=1",tbl_task3[[SubPLOs]:[SubPLOs]],"&lt;2")</f>
        <v>0</v>
      </c>
      <c r="BN34" s="138">
        <f>SUMIFS(tbl_task3[S61],tbl_task3[[SubPLOs]:[SubPLOs]],"&gt;=1",tbl_task3[[SubPLOs]:[SubPLOs]],"&lt;2")</f>
        <v>0</v>
      </c>
      <c r="BO34" s="138">
        <f>SUMIFS(tbl_task3[S62],tbl_task3[[SubPLOs]:[SubPLOs]],"&gt;=1",tbl_task3[[SubPLOs]:[SubPLOs]],"&lt;2")</f>
        <v>0</v>
      </c>
      <c r="BP34" s="138">
        <f>SUMIFS(tbl_task3[S63],tbl_task3[[SubPLOs]:[SubPLOs]],"&gt;=1",tbl_task3[[SubPLOs]:[SubPLOs]],"&lt;2")</f>
        <v>0</v>
      </c>
      <c r="BQ34" s="138">
        <f>SUMIFS(tbl_task3[S64],tbl_task3[[SubPLOs]:[SubPLOs]],"&gt;=1",tbl_task3[[SubPLOs]:[SubPLOs]],"&lt;2")</f>
        <v>0</v>
      </c>
      <c r="BR34" s="138">
        <f>SUMIFS(tbl_task3[S65],tbl_task3[[SubPLOs]:[SubPLOs]],"&gt;=1",tbl_task3[[SubPLOs]:[SubPLOs]],"&lt;2")</f>
        <v>0</v>
      </c>
      <c r="BS34" s="138">
        <f>SUMIFS(tbl_task3[S66],tbl_task3[[SubPLOs]:[SubPLOs]],"&gt;=1",tbl_task3[[SubPLOs]:[SubPLOs]],"&lt;2")</f>
        <v>0</v>
      </c>
      <c r="BT34" s="138">
        <f>SUMIFS(tbl_task3[S67],tbl_task3[[SubPLOs]:[SubPLOs]],"&gt;=1",tbl_task3[[SubPLOs]:[SubPLOs]],"&lt;2")</f>
        <v>0</v>
      </c>
      <c r="BU34" s="138">
        <f>SUMIFS(tbl_task3[S68],tbl_task3[[SubPLOs]:[SubPLOs]],"&gt;=1",tbl_task3[[SubPLOs]:[SubPLOs]],"&lt;2")</f>
        <v>0</v>
      </c>
      <c r="BV34" s="138">
        <f>SUMIFS(tbl_task3[S69],tbl_task3[[SubPLOs]:[SubPLOs]],"&gt;=1",tbl_task3[[SubPLOs]:[SubPLOs]],"&lt;2")</f>
        <v>0</v>
      </c>
      <c r="BW34" s="138">
        <f>SUMIFS(tbl_task3[S70],tbl_task3[[SubPLOs]:[SubPLOs]],"&gt;=1",tbl_task3[[SubPLOs]:[SubPLOs]],"&lt;2")</f>
        <v>0</v>
      </c>
      <c r="BX34" s="138">
        <f>SUMIFS(tbl_task3[S71],tbl_task3[[SubPLOs]:[SubPLOs]],"&gt;=1",tbl_task3[[SubPLOs]:[SubPLOs]],"&lt;2")</f>
        <v>0</v>
      </c>
      <c r="BY34" s="138">
        <f>SUMIFS(tbl_task3[S72],tbl_task3[[SubPLOs]:[SubPLOs]],"&gt;=1",tbl_task3[[SubPLOs]:[SubPLOs]],"&lt;2")</f>
        <v>0</v>
      </c>
      <c r="BZ34" s="138">
        <f>SUMIFS(tbl_task3[S73],tbl_task3[[SubPLOs]:[SubPLOs]],"&gt;=1",tbl_task3[[SubPLOs]:[SubPLOs]],"&lt;2")</f>
        <v>0</v>
      </c>
      <c r="CA34" s="138">
        <f>SUMIFS(tbl_task3[S74],tbl_task3[[SubPLOs]:[SubPLOs]],"&gt;=1",tbl_task3[[SubPLOs]:[SubPLOs]],"&lt;2")</f>
        <v>0</v>
      </c>
      <c r="CB34" s="138">
        <f>SUMIFS(tbl_task3[S75],tbl_task3[[SubPLOs]:[SubPLOs]],"&gt;=1",tbl_task3[[SubPLOs]:[SubPLOs]],"&lt;2")</f>
        <v>0</v>
      </c>
      <c r="CC34" s="138">
        <f>SUMIFS(tbl_task3[S76],tbl_task3[[SubPLOs]:[SubPLOs]],"&gt;=1",tbl_task3[[SubPLOs]:[SubPLOs]],"&lt;2")</f>
        <v>0</v>
      </c>
      <c r="CD34" s="138">
        <f>SUMIFS(tbl_task3[S77],tbl_task3[[SubPLOs]:[SubPLOs]],"&gt;=1",tbl_task3[[SubPLOs]:[SubPLOs]],"&lt;2")</f>
        <v>0</v>
      </c>
      <c r="CE34" s="138">
        <f>SUMIFS(tbl_task3[S78],tbl_task3[[SubPLOs]:[SubPLOs]],"&gt;=1",tbl_task3[[SubPLOs]:[SubPLOs]],"&lt;2")</f>
        <v>0</v>
      </c>
      <c r="CF34" s="138">
        <f>SUMIFS(tbl_task3[S79],tbl_task3[[SubPLOs]:[SubPLOs]],"&gt;=1",tbl_task3[[SubPLOs]:[SubPLOs]],"&lt;2")</f>
        <v>0</v>
      </c>
      <c r="CG34" s="138">
        <f>SUMIFS(tbl_task3[S80],tbl_task3[[SubPLOs]:[SubPLOs]],"&gt;=1",tbl_task3[[SubPLOs]:[SubPLOs]],"&lt;2")</f>
        <v>0</v>
      </c>
      <c r="CH34" s="138">
        <f>SUMIFS(tbl_task3[S81],tbl_task3[[SubPLOs]:[SubPLOs]],"&gt;=1",tbl_task3[[SubPLOs]:[SubPLOs]],"&lt;2")</f>
        <v>0</v>
      </c>
      <c r="CI34" s="138">
        <f>SUMIFS(tbl_task3[S82],tbl_task3[[SubPLOs]:[SubPLOs]],"&gt;=1",tbl_task3[[SubPLOs]:[SubPLOs]],"&lt;2")</f>
        <v>0</v>
      </c>
      <c r="CJ34" s="138">
        <f>SUMIFS(tbl_task3[S83],tbl_task3[[SubPLOs]:[SubPLOs]],"&gt;=1",tbl_task3[[SubPLOs]:[SubPLOs]],"&lt;2")</f>
        <v>0</v>
      </c>
      <c r="CK34" s="138">
        <f>SUMIFS(tbl_task3[S84],tbl_task3[[SubPLOs]:[SubPLOs]],"&gt;=1",tbl_task3[[SubPLOs]:[SubPLOs]],"&lt;2")</f>
        <v>0</v>
      </c>
      <c r="CL34" s="138">
        <f>SUMIFS(tbl_task3[S85],tbl_task3[[SubPLOs]:[SubPLOs]],"&gt;=1",tbl_task3[[SubPLOs]:[SubPLOs]],"&lt;2")</f>
        <v>0</v>
      </c>
      <c r="CM34" s="138">
        <f>SUMIFS(tbl_task3[S86],tbl_task3[[SubPLOs]:[SubPLOs]],"&gt;=1",tbl_task3[[SubPLOs]:[SubPLOs]],"&lt;2")</f>
        <v>0</v>
      </c>
      <c r="CN34" s="138">
        <f>SUMIFS(tbl_task3[S87],tbl_task3[[SubPLOs]:[SubPLOs]],"&gt;=1",tbl_task3[[SubPLOs]:[SubPLOs]],"&lt;2")</f>
        <v>0</v>
      </c>
      <c r="CO34" s="138">
        <f>SUMIFS(tbl_task3[S88],tbl_task3[[SubPLOs]:[SubPLOs]],"&gt;=1",tbl_task3[[SubPLOs]:[SubPLOs]],"&lt;2")</f>
        <v>0</v>
      </c>
      <c r="CP34" s="138">
        <f>SUMIFS(tbl_task3[S89],tbl_task3[[SubPLOs]:[SubPLOs]],"&gt;=1",tbl_task3[[SubPLOs]:[SubPLOs]],"&lt;2")</f>
        <v>0</v>
      </c>
      <c r="CQ34" s="138">
        <f>SUMIFS(tbl_task3[S90],tbl_task3[[SubPLOs]:[SubPLOs]],"&gt;=1",tbl_task3[[SubPLOs]:[SubPLOs]],"&lt;2")</f>
        <v>0</v>
      </c>
      <c r="CR34" s="138">
        <f>SUMIFS(tbl_task3[S91],tbl_task3[[SubPLOs]:[SubPLOs]],"&gt;=1",tbl_task3[[SubPLOs]:[SubPLOs]],"&lt;2")</f>
        <v>0</v>
      </c>
      <c r="CS34" s="138">
        <f>SUMIFS(tbl_task3[S92],tbl_task3[[SubPLOs]:[SubPLOs]],"&gt;=1",tbl_task3[[SubPLOs]:[SubPLOs]],"&lt;2")</f>
        <v>0</v>
      </c>
      <c r="CT34" s="138">
        <f>SUMIFS(tbl_task3[S93],tbl_task3[[SubPLOs]:[SubPLOs]],"&gt;=1",tbl_task3[[SubPLOs]:[SubPLOs]],"&lt;2")</f>
        <v>0</v>
      </c>
      <c r="CU34" s="138">
        <f>SUMIFS(tbl_task3[S94],tbl_task3[[SubPLOs]:[SubPLOs]],"&gt;=1",tbl_task3[[SubPLOs]:[SubPLOs]],"&lt;2")</f>
        <v>0</v>
      </c>
      <c r="CV34" s="138">
        <f>SUMIFS(tbl_task3[S95],tbl_task3[[SubPLOs]:[SubPLOs]],"&gt;=1",tbl_task3[[SubPLOs]:[SubPLOs]],"&lt;2")</f>
        <v>0</v>
      </c>
      <c r="CW34" s="138">
        <f>SUMIFS(tbl_task3[S96],tbl_task3[[SubPLOs]:[SubPLOs]],"&gt;=1",tbl_task3[[SubPLOs]:[SubPLOs]],"&lt;2")</f>
        <v>0</v>
      </c>
      <c r="CX34" s="138">
        <f>SUMIFS(tbl_task3[S97],tbl_task3[[SubPLOs]:[SubPLOs]],"&gt;=1",tbl_task3[[SubPLOs]:[SubPLOs]],"&lt;2")</f>
        <v>0</v>
      </c>
      <c r="CY34" s="138">
        <f>SUMIFS(tbl_task3[S98],tbl_task3[[SubPLOs]:[SubPLOs]],"&gt;=1",tbl_task3[[SubPLOs]:[SubPLOs]],"&lt;2")</f>
        <v>0</v>
      </c>
      <c r="CZ34" s="138">
        <f>SUMIFS(tbl_task3[S99],tbl_task3[[SubPLOs]:[SubPLOs]],"&gt;=1",tbl_task3[[SubPLOs]:[SubPLOs]],"&lt;2")</f>
        <v>0</v>
      </c>
      <c r="DA34" s="138">
        <f>SUMIFS(tbl_task3[S100],tbl_task3[[SubPLOs]:[SubPLOs]],"&gt;=1",tbl_task3[[SubPLOs]:[SubPLOs]],"&lt;2")</f>
        <v>0</v>
      </c>
      <c r="DB34" s="138">
        <f>SUMIFS(tbl_task3[S101],tbl_task3[[SubPLOs]:[SubPLOs]],"&gt;=1",tbl_task3[[SubPLOs]:[SubPLOs]],"&lt;2")</f>
        <v>0</v>
      </c>
      <c r="DC34" s="138">
        <f>SUMIFS(tbl_task3[S102],tbl_task3[[SubPLOs]:[SubPLOs]],"&gt;=1",tbl_task3[[SubPLOs]:[SubPLOs]],"&lt;2")</f>
        <v>0</v>
      </c>
      <c r="DD34" s="138">
        <f>SUMIFS(tbl_task3[S103],tbl_task3[[SubPLOs]:[SubPLOs]],"&gt;=1",tbl_task3[[SubPLOs]:[SubPLOs]],"&lt;2")</f>
        <v>0</v>
      </c>
      <c r="DE34" s="138">
        <f>SUMIFS(tbl_task3[S104],tbl_task3[[SubPLOs]:[SubPLOs]],"&gt;=1",tbl_task3[[SubPLOs]:[SubPLOs]],"&lt;2")</f>
        <v>0</v>
      </c>
      <c r="DF34" s="138">
        <f>SUMIFS(tbl_task3[S105],tbl_task3[[SubPLOs]:[SubPLOs]],"&gt;=1",tbl_task3[[SubPLOs]:[SubPLOs]],"&lt;2")</f>
        <v>0</v>
      </c>
      <c r="DG34" s="138">
        <f>SUMIFS(tbl_task3[S106],tbl_task3[[SubPLOs]:[SubPLOs]],"&gt;=1",tbl_task3[[SubPLOs]:[SubPLOs]],"&lt;2")</f>
        <v>0</v>
      </c>
      <c r="DH34" s="138">
        <f>SUMIFS(tbl_task3[S106],tbl_task3[[SubPLOs]:[SubPLOs]],"&gt;=1",tbl_task3[[SubPLOs]:[SubPLOs]],"&lt;2")</f>
        <v>0</v>
      </c>
      <c r="DI34" s="138">
        <f>SUMIFS(tbl_task3[S108],tbl_task3[[SubPLOs]:[SubPLOs]],"&gt;=1",tbl_task3[[SubPLOs]:[SubPLOs]],"&lt;2")</f>
        <v>0</v>
      </c>
      <c r="DJ34" s="138">
        <f>SUMIFS(tbl_task3[S109],tbl_task3[[SubPLOs]:[SubPLOs]],"&gt;=1",tbl_task3[[SubPLOs]:[SubPLOs]],"&lt;2")</f>
        <v>0</v>
      </c>
      <c r="DK34" s="138">
        <f>SUMIFS(tbl_task3[S110],tbl_task3[[SubPLOs]:[SubPLOs]],"&gt;=1",tbl_task3[[SubPLOs]:[SubPLOs]],"&lt;2")</f>
        <v>0</v>
      </c>
      <c r="DL34" s="138">
        <f>SUMIFS(tbl_task3[S111],tbl_task3[[SubPLOs]:[SubPLOs]],"&gt;=1",tbl_task3[[SubPLOs]:[SubPLOs]],"&lt;2")</f>
        <v>0</v>
      </c>
      <c r="DM34" s="138">
        <f>SUMIFS(tbl_task3[S112],tbl_task3[[SubPLOs]:[SubPLOs]],"&gt;=1",tbl_task3[[SubPLOs]:[SubPLOs]],"&lt;2")</f>
        <v>0</v>
      </c>
      <c r="DN34" s="138">
        <f>SUMIFS(tbl_task3[S113],tbl_task3[[SubPLOs]:[SubPLOs]],"&gt;=1",tbl_task3[[SubPLOs]:[SubPLOs]],"&lt;2")</f>
        <v>0</v>
      </c>
      <c r="DO34" s="138">
        <f>SUMIFS(tbl_task3[S114],tbl_task3[[SubPLOs]:[SubPLOs]],"&gt;=1",tbl_task3[[SubPLOs]:[SubPLOs]],"&lt;2")</f>
        <v>0</v>
      </c>
      <c r="DP34" s="138">
        <f>SUMIFS(tbl_task3[S115],tbl_task3[[SubPLOs]:[SubPLOs]],"&gt;=1",tbl_task3[[SubPLOs]:[SubPLOs]],"&lt;2")</f>
        <v>0</v>
      </c>
      <c r="DQ34" s="138">
        <f>SUMIFS(tbl_task3[S116],tbl_task3[[SubPLOs]:[SubPLOs]],"&gt;=1",tbl_task3[[SubPLOs]:[SubPLOs]],"&lt;2")</f>
        <v>0</v>
      </c>
      <c r="DR34" s="138">
        <f>SUMIFS(tbl_task3[S117],tbl_task3[[SubPLOs]:[SubPLOs]],"&gt;=1",tbl_task3[[SubPLOs]:[SubPLOs]],"&lt;2")</f>
        <v>0</v>
      </c>
      <c r="DS34" s="138">
        <f>SUMIFS(tbl_task3[S118],tbl_task3[[SubPLOs]:[SubPLOs]],"&gt;=1",tbl_task3[[SubPLOs]:[SubPLOs]],"&lt;2")</f>
        <v>0</v>
      </c>
      <c r="DT34" s="138">
        <f>SUMIFS(tbl_task3[S119],tbl_task3[[SubPLOs]:[SubPLOs]],"&gt;=1",tbl_task3[[SubPLOs]:[SubPLOs]],"&lt;2")</f>
        <v>0</v>
      </c>
      <c r="DU34" s="138">
        <f>SUMIFS(tbl_task3[S120],tbl_task3[[SubPLOs]:[SubPLOs]],"&gt;=1",tbl_task3[[SubPLOs]:[SubPLOs]],"&lt;2")</f>
        <v>0</v>
      </c>
      <c r="DV34" s="138">
        <f>SUMIFS(tbl_task3[S121],tbl_task3[[SubPLOs]:[SubPLOs]],"&gt;=1",tbl_task3[[SubPLOs]:[SubPLOs]],"&lt;2")</f>
        <v>0</v>
      </c>
      <c r="DW34" s="138">
        <f>SUMIFS(tbl_task3[S122],tbl_task3[[SubPLOs]:[SubPLOs]],"&gt;=1",tbl_task3[[SubPLOs]:[SubPLOs]],"&lt;2")</f>
        <v>0</v>
      </c>
      <c r="DX34" s="138">
        <f>SUMIFS(tbl_task3[S123],tbl_task3[[SubPLOs]:[SubPLOs]],"&gt;=1",tbl_task3[[SubPLOs]:[SubPLOs]],"&lt;2")</f>
        <v>0</v>
      </c>
      <c r="DY34" s="138">
        <f>SUMIFS(tbl_task3[S124],tbl_task3[[SubPLOs]:[SubPLOs]],"&gt;=1",tbl_task3[[SubPLOs]:[SubPLOs]],"&lt;2")</f>
        <v>0</v>
      </c>
      <c r="DZ34" s="138">
        <f>SUMIFS(tbl_task3[S125],tbl_task3[[SubPLOs]:[SubPLOs]],"&gt;=1",tbl_task3[[SubPLOs]:[SubPLOs]],"&lt;2")</f>
        <v>0</v>
      </c>
      <c r="EA34" s="138">
        <f>SUMIFS(tbl_task3[S126],tbl_task3[[SubPLOs]:[SubPLOs]],"&gt;=1",tbl_task3[[SubPLOs]:[SubPLOs]],"&lt;2")</f>
        <v>0</v>
      </c>
      <c r="EB34" s="138">
        <f>SUMIFS(tbl_task3[S127],tbl_task3[[SubPLOs]:[SubPLOs]],"&gt;=1",tbl_task3[[SubPLOs]:[SubPLOs]],"&lt;2")</f>
        <v>0</v>
      </c>
      <c r="EC34" s="138">
        <f>SUMIFS(tbl_task3[S128],tbl_task3[[SubPLOs]:[SubPLOs]],"&gt;=1",tbl_task3[[SubPLOs]:[SubPLOs]],"&lt;2")</f>
        <v>0</v>
      </c>
      <c r="ED34" s="138">
        <f>SUMIFS(tbl_task3[S129],tbl_task3[[SubPLOs]:[SubPLOs]],"&gt;=1",tbl_task3[[SubPLOs]:[SubPLOs]],"&lt;2")</f>
        <v>0</v>
      </c>
      <c r="EE34" s="138">
        <f>SUMIFS(tbl_task3[S130],tbl_task3[[SubPLOs]:[SubPLOs]],"&gt;=1",tbl_task3[[SubPLOs]:[SubPLOs]],"&lt;2")</f>
        <v>0</v>
      </c>
      <c r="EF34" s="138">
        <f>SUMIFS(tbl_task3[S131],tbl_task3[[SubPLOs]:[SubPLOs]],"&gt;=1",tbl_task3[[SubPLOs]:[SubPLOs]],"&lt;2")</f>
        <v>0</v>
      </c>
      <c r="EG34" s="138">
        <f>SUMIFS(tbl_task3[S132],tbl_task3[[SubPLOs]:[SubPLOs]],"&gt;=1",tbl_task3[[SubPLOs]:[SubPLOs]],"&lt;2")</f>
        <v>0</v>
      </c>
      <c r="EH34" s="138">
        <f>SUMIFS(tbl_task3[S133],tbl_task3[[SubPLOs]:[SubPLOs]],"&gt;=1",tbl_task3[[SubPLOs]:[SubPLOs]],"&lt;2")</f>
        <v>0</v>
      </c>
      <c r="EI34" s="138">
        <f>SUMIFS(tbl_task3[S134],tbl_task3[[SubPLOs]:[SubPLOs]],"&gt;=1",tbl_task3[[SubPLOs]:[SubPLOs]],"&lt;2")</f>
        <v>0</v>
      </c>
      <c r="EJ34" s="138">
        <f>SUMIFS(tbl_task3[S135],tbl_task3[[SubPLOs]:[SubPLOs]],"&gt;=1",tbl_task3[[SubPLOs]:[SubPLOs]],"&lt;2")</f>
        <v>0</v>
      </c>
      <c r="EK34" s="138">
        <f>SUMIFS(tbl_task3[S136],tbl_task3[[SubPLOs]:[SubPLOs]],"&gt;=1",tbl_task3[[SubPLOs]:[SubPLOs]],"&lt;2")</f>
        <v>0</v>
      </c>
      <c r="EL34" s="138">
        <f>SUMIFS(tbl_task3[S137],tbl_task3[[SubPLOs]:[SubPLOs]],"&gt;=1",tbl_task3[[SubPLOs]:[SubPLOs]],"&lt;2")</f>
        <v>0</v>
      </c>
      <c r="EM34" s="138">
        <f>SUMIFS(tbl_task3[S138],tbl_task3[[SubPLOs]:[SubPLOs]],"&gt;=1",tbl_task3[[SubPLOs]:[SubPLOs]],"&lt;2")</f>
        <v>0</v>
      </c>
      <c r="EN34" s="138">
        <f>SUMIFS(tbl_task3[S139],tbl_task3[[SubPLOs]:[SubPLOs]],"&gt;=1",tbl_task3[[SubPLOs]:[SubPLOs]],"&lt;2")</f>
        <v>0</v>
      </c>
      <c r="EO34" s="138">
        <f>SUMIFS(tbl_task3[S140],tbl_task3[[SubPLOs]:[SubPLOs]],"&gt;=1",tbl_task3[[SubPLOs]:[SubPLOs]],"&lt;2")</f>
        <v>0</v>
      </c>
      <c r="EP34" s="138">
        <f>SUMIFS(tbl_task3[S141],tbl_task3[[SubPLOs]:[SubPLOs]],"&gt;=1",tbl_task3[[SubPLOs]:[SubPLOs]],"&lt;2")</f>
        <v>0</v>
      </c>
      <c r="EQ34" s="138">
        <f>SUMIFS(tbl_task3[S142],tbl_task3[[SubPLOs]:[SubPLOs]],"&gt;=1",tbl_task3[[SubPLOs]:[SubPLOs]],"&lt;2")</f>
        <v>0</v>
      </c>
      <c r="ER34" s="138">
        <f>SUMIFS(tbl_task3[S143],tbl_task3[[SubPLOs]:[SubPLOs]],"&gt;=1",tbl_task3[[SubPLOs]:[SubPLOs]],"&lt;2")</f>
        <v>0</v>
      </c>
      <c r="ES34" s="138">
        <f>SUMIFS(tbl_task3[S144],tbl_task3[[SubPLOs]:[SubPLOs]],"&gt;=1",tbl_task3[[SubPLOs]:[SubPLOs]],"&lt;2")</f>
        <v>0</v>
      </c>
      <c r="ET34" s="138">
        <f>SUMIFS(tbl_task3[S145],tbl_task3[[SubPLOs]:[SubPLOs]],"&gt;=1",tbl_task3[[SubPLOs]:[SubPLOs]],"&lt;2")</f>
        <v>0</v>
      </c>
      <c r="EU34" s="138">
        <f>SUMIFS(tbl_task3[S146],tbl_task3[[SubPLOs]:[SubPLOs]],"&gt;=1",tbl_task3[[SubPLOs]:[SubPLOs]],"&lt;2")</f>
        <v>0</v>
      </c>
      <c r="EV34" s="138">
        <f>SUMIFS(tbl_task3[S147],tbl_task3[[SubPLOs]:[SubPLOs]],"&gt;=1",tbl_task3[[SubPLOs]:[SubPLOs]],"&lt;2")</f>
        <v>0</v>
      </c>
      <c r="EW34" s="138">
        <f>SUMIFS(tbl_task3[S148],tbl_task3[[SubPLOs]:[SubPLOs]],"&gt;=1",tbl_task3[[SubPLOs]:[SubPLOs]],"&lt;2")</f>
        <v>0</v>
      </c>
      <c r="EX34" s="138">
        <f>SUMIFS(tbl_task3[S149],tbl_task3[[SubPLOs]:[SubPLOs]],"&gt;=1",tbl_task3[[SubPLOs]:[SubPLOs]],"&lt;2")</f>
        <v>0</v>
      </c>
      <c r="EY34" s="138">
        <f>SUMIFS(tbl_task3[S150],tbl_task3[[SubPLOs]:[SubPLOs]],"&gt;=1",tbl_task3[[SubPLOs]:[SubPLOs]],"&lt;2")</f>
        <v>0</v>
      </c>
      <c r="EZ34" s="138">
        <f>SUMIFS(tbl_task3[S151],tbl_task3[[SubPLOs]:[SubPLOs]],"&gt;=1",tbl_task3[[SubPLOs]:[SubPLOs]],"&lt;2")</f>
        <v>0</v>
      </c>
      <c r="FA34" s="138">
        <f>SUMIFS(tbl_task3[S152],tbl_task3[[SubPLOs]:[SubPLOs]],"&gt;=1",tbl_task3[[SubPLOs]:[SubPLOs]],"&lt;2")</f>
        <v>0</v>
      </c>
      <c r="FB34" s="138">
        <f>SUMIFS(tbl_task3[S153],tbl_task3[[SubPLOs]:[SubPLOs]],"&gt;=1",tbl_task3[[SubPLOs]:[SubPLOs]],"&lt;2")</f>
        <v>0</v>
      </c>
      <c r="FC34" s="138">
        <f>SUMIFS(tbl_task3[S154],tbl_task3[[SubPLOs]:[SubPLOs]],"&gt;=1",tbl_task3[[SubPLOs]:[SubPLOs]],"&lt;2")</f>
        <v>0</v>
      </c>
      <c r="FD34" s="138">
        <f>SUMIFS(tbl_task3[S155],tbl_task3[[SubPLOs]:[SubPLOs]],"&gt;=1",tbl_task3[[SubPLOs]:[SubPLOs]],"&lt;2")</f>
        <v>0</v>
      </c>
      <c r="FE34" s="138">
        <f>SUMIFS(tbl_task3[S156],tbl_task3[[SubPLOs]:[SubPLOs]],"&gt;=1",tbl_task3[[SubPLOs]:[SubPLOs]],"&lt;2")</f>
        <v>0</v>
      </c>
      <c r="FF34" s="138">
        <f>SUMIFS(tbl_task3[S157],tbl_task3[[SubPLOs]:[SubPLOs]],"&gt;=1",tbl_task3[[SubPLOs]:[SubPLOs]],"&lt;2")</f>
        <v>0</v>
      </c>
      <c r="FG34" s="138">
        <f>SUMIFS(tbl_task3[S158],tbl_task3[[SubPLOs]:[SubPLOs]],"&gt;=1",tbl_task3[[SubPLOs]:[SubPLOs]],"&lt;2")</f>
        <v>0</v>
      </c>
      <c r="FH34" s="138">
        <f>SUMIFS(tbl_task3[S159],tbl_task3[[SubPLOs]:[SubPLOs]],"&gt;=1",tbl_task3[[SubPLOs]:[SubPLOs]],"&lt;2")</f>
        <v>0</v>
      </c>
      <c r="FI34" s="138">
        <f>SUMIFS(tbl_task3[S160],tbl_task3[[SubPLOs]:[SubPLOs]],"&gt;=1",tbl_task3[[SubPLOs]:[SubPLOs]],"&lt;2")</f>
        <v>0</v>
      </c>
      <c r="FJ34" s="138">
        <f>SUMIFS(tbl_task3[S161],tbl_task3[[SubPLOs]:[SubPLOs]],"&gt;=1",tbl_task3[[SubPLOs]:[SubPLOs]],"&lt;2")</f>
        <v>0</v>
      </c>
      <c r="FK34" s="138">
        <f>SUMIFS(tbl_task3[S162],tbl_task3[[SubPLOs]:[SubPLOs]],"&gt;=1",tbl_task3[[SubPLOs]:[SubPLOs]],"&lt;2")</f>
        <v>0</v>
      </c>
      <c r="FL34" s="138">
        <f>SUMIFS(tbl_task3[S163],tbl_task3[[SubPLOs]:[SubPLOs]],"&gt;=1",tbl_task3[[SubPLOs]:[SubPLOs]],"&lt;2")</f>
        <v>0</v>
      </c>
      <c r="FM34" s="138">
        <f>SUMIFS(tbl_task3[S164],tbl_task3[[SubPLOs]:[SubPLOs]],"&gt;=1",tbl_task3[[SubPLOs]:[SubPLOs]],"&lt;2")</f>
        <v>0</v>
      </c>
      <c r="FN34" s="138">
        <f>SUMIFS(tbl_task3[S165],tbl_task3[[SubPLOs]:[SubPLOs]],"&gt;=1",tbl_task3[[SubPLOs]:[SubPLOs]],"&lt;2")</f>
        <v>0</v>
      </c>
    </row>
    <row r="35" spans="1:170" ht="147" x14ac:dyDescent="0.25">
      <c r="A35" s="135">
        <v>2</v>
      </c>
      <c r="B35" s="5" t="s">
        <v>435</v>
      </c>
      <c r="C35" s="136">
        <f>COUNTIFS(tbl_task3[SubPLOs],"&gt;=2",tbl_task3[SubPLOs],"&lt;3")</f>
        <v>0</v>
      </c>
      <c r="D35" s="136">
        <f>SUMIFS(tbl_task3[คะแนนเต็ม],tbl_task3[SubPLOs],"&gt;=2",tbl_task3[SubPLOs],"&lt;3")</f>
        <v>0</v>
      </c>
      <c r="E35" s="137">
        <f>SUMIFS(tbl_task3[%],tbl_task3[SubPLOs],"&gt;=2",tbl_task3[SubPLOs],"&lt;3")</f>
        <v>0</v>
      </c>
      <c r="F35" s="138">
        <f>SUMIFS(tbl_task3[S1],tbl_task3[[SubPLOs]:[SubPLOs]],"&gt;=2",tbl_task3[[SubPLOs]:[SubPLOs]],"&lt;3")</f>
        <v>0</v>
      </c>
      <c r="G35" s="138">
        <f>SUMIFS(tbl_task3[S2],tbl_task3[[SubPLOs]:[SubPLOs]],"&gt;=2",tbl_task3[[SubPLOs]:[SubPLOs]],"&lt;3")</f>
        <v>0</v>
      </c>
      <c r="H35" s="138">
        <f>SUMIFS(tbl_task3[S3],tbl_task3[[SubPLOs]:[SubPLOs]],"&gt;=2",tbl_task3[[SubPLOs]:[SubPLOs]],"&lt;3")</f>
        <v>0</v>
      </c>
      <c r="I35" s="138">
        <f>SUMIFS(tbl_task3[S4],tbl_task3[[SubPLOs]:[SubPLOs]],"&gt;=2",tbl_task3[[SubPLOs]:[SubPLOs]],"&lt;3")</f>
        <v>0</v>
      </c>
      <c r="J35" s="138">
        <f>SUMIFS(tbl_task3[S5],tbl_task3[[SubPLOs]:[SubPLOs]],"&gt;=2",tbl_task3[[SubPLOs]:[SubPLOs]],"&lt;3")</f>
        <v>0</v>
      </c>
      <c r="K35" s="138">
        <f>SUMIFS(tbl_task3[S6],tbl_task3[[SubPLOs]:[SubPLOs]],"&gt;=2",tbl_task3[[SubPLOs]:[SubPLOs]],"&lt;3")</f>
        <v>0</v>
      </c>
      <c r="L35" s="138">
        <f>SUMIFS(tbl_task3[S7],tbl_task3[[SubPLOs]:[SubPLOs]],"&gt;=2",tbl_task3[[SubPLOs]:[SubPLOs]],"&lt;3")</f>
        <v>0</v>
      </c>
      <c r="M35" s="138">
        <f>SUMIFS(tbl_task3[S8],tbl_task3[[SubPLOs]:[SubPLOs]],"&gt;=2",tbl_task3[[SubPLOs]:[SubPLOs]],"&lt;3")</f>
        <v>0</v>
      </c>
      <c r="N35" s="138">
        <f>SUMIFS(tbl_task3[S9],tbl_task3[[SubPLOs]:[SubPLOs]],"&gt;=2",tbl_task3[[SubPLOs]:[SubPLOs]],"&lt;3")</f>
        <v>0</v>
      </c>
      <c r="O35" s="138">
        <f>SUMIFS(tbl_task3[S10],tbl_task3[[SubPLOs]:[SubPLOs]],"&gt;=2",tbl_task3[[SubPLOs]:[SubPLOs]],"&lt;3")</f>
        <v>0</v>
      </c>
      <c r="P35" s="138">
        <f>SUMIFS(tbl_task3[S11],tbl_task3[[SubPLOs]:[SubPLOs]],"&gt;=2",tbl_task3[[SubPLOs]:[SubPLOs]],"&lt;3")</f>
        <v>0</v>
      </c>
      <c r="Q35" s="138">
        <f>SUMIFS(tbl_task3[S12],tbl_task3[[SubPLOs]:[SubPLOs]],"&gt;=2",tbl_task3[[SubPLOs]:[SubPLOs]],"&lt;3")</f>
        <v>0</v>
      </c>
      <c r="R35" s="138">
        <f>SUMIFS(tbl_task3[S13],tbl_task3[[SubPLOs]:[SubPLOs]],"&gt;=2",tbl_task3[[SubPLOs]:[SubPLOs]],"&lt;3")</f>
        <v>0</v>
      </c>
      <c r="S35" s="138">
        <f>SUMIFS(tbl_task3[S14],tbl_task3[[SubPLOs]:[SubPLOs]],"&gt;=2",tbl_task3[[SubPLOs]:[SubPLOs]],"&lt;3")</f>
        <v>0</v>
      </c>
      <c r="T35" s="138">
        <f>SUMIFS(tbl_task3[S15],tbl_task3[[SubPLOs]:[SubPLOs]],"&gt;=2",tbl_task3[[SubPLOs]:[SubPLOs]],"&lt;3")</f>
        <v>0</v>
      </c>
      <c r="U35" s="138">
        <f>SUMIFS(tbl_task3[S16],tbl_task3[[SubPLOs]:[SubPLOs]],"&gt;=2",tbl_task3[[SubPLOs]:[SubPLOs]],"&lt;3")</f>
        <v>0</v>
      </c>
      <c r="V35" s="138">
        <f>SUMIFS(tbl_task3[S17],tbl_task3[[SubPLOs]:[SubPLOs]],"&gt;=2",tbl_task3[[SubPLOs]:[SubPLOs]],"&lt;3")</f>
        <v>0</v>
      </c>
      <c r="W35" s="138">
        <f>SUMIFS(tbl_task3[S18],tbl_task3[[SubPLOs]:[SubPLOs]],"&gt;=2",tbl_task3[[SubPLOs]:[SubPLOs]],"&lt;3")</f>
        <v>0</v>
      </c>
      <c r="X35" s="138">
        <f>SUMIFS(tbl_task3[S19],tbl_task3[[SubPLOs]:[SubPLOs]],"&gt;=2",tbl_task3[[SubPLOs]:[SubPLOs]],"&lt;3")</f>
        <v>0</v>
      </c>
      <c r="Y35" s="138">
        <f>SUMIFS(tbl_task3[S20],tbl_task3[[SubPLOs]:[SubPLOs]],"&gt;=2",tbl_task3[[SubPLOs]:[SubPLOs]],"&lt;3")</f>
        <v>0</v>
      </c>
      <c r="Z35" s="138">
        <f>SUMIFS(tbl_task3[S21],tbl_task3[[SubPLOs]:[SubPLOs]],"&gt;=2",tbl_task3[[SubPLOs]:[SubPLOs]],"&lt;3")</f>
        <v>0</v>
      </c>
      <c r="AA35" s="138">
        <f>SUMIFS(tbl_task3[S22],tbl_task3[[SubPLOs]:[SubPLOs]],"&gt;=2",tbl_task3[[SubPLOs]:[SubPLOs]],"&lt;3")</f>
        <v>0</v>
      </c>
      <c r="AB35" s="138">
        <f>SUMIFS(tbl_task3[S23],tbl_task3[[SubPLOs]:[SubPLOs]],"&gt;=2",tbl_task3[[SubPLOs]:[SubPLOs]],"&lt;3")</f>
        <v>0</v>
      </c>
      <c r="AC35" s="138">
        <f>SUMIFS(tbl_task3[S24],tbl_task3[[SubPLOs]:[SubPLOs]],"&gt;=2",tbl_task3[[SubPLOs]:[SubPLOs]],"&lt;3")</f>
        <v>0</v>
      </c>
      <c r="AD35" s="138">
        <f>SUMIFS(tbl_task3[S25],tbl_task3[[SubPLOs]:[SubPLOs]],"&gt;=2",tbl_task3[[SubPLOs]:[SubPLOs]],"&lt;3")</f>
        <v>0</v>
      </c>
      <c r="AE35" s="138">
        <f>SUMIFS(tbl_task3[S26],tbl_task3[[SubPLOs]:[SubPLOs]],"&gt;=2",tbl_task3[[SubPLOs]:[SubPLOs]],"&lt;3")</f>
        <v>0</v>
      </c>
      <c r="AF35" s="138">
        <f>SUMIFS(tbl_task3[S27],tbl_task3[[SubPLOs]:[SubPLOs]],"&gt;=2",tbl_task3[[SubPLOs]:[SubPLOs]],"&lt;3")</f>
        <v>0</v>
      </c>
      <c r="AG35" s="138">
        <f>SUMIFS(tbl_task3[S28],tbl_task3[[SubPLOs]:[SubPLOs]],"&gt;=2",tbl_task3[[SubPLOs]:[SubPLOs]],"&lt;3")</f>
        <v>0</v>
      </c>
      <c r="AH35" s="138">
        <f>SUMIFS(tbl_task3[S29],tbl_task3[[SubPLOs]:[SubPLOs]],"&gt;=2",tbl_task3[[SubPLOs]:[SubPLOs]],"&lt;3")</f>
        <v>0</v>
      </c>
      <c r="AI35" s="138">
        <f>SUMIFS(tbl_task3[S30],tbl_task3[[SubPLOs]:[SubPLOs]],"&gt;=2",tbl_task3[[SubPLOs]:[SubPLOs]],"&lt;3")</f>
        <v>0</v>
      </c>
      <c r="AJ35" s="138">
        <f>SUMIFS(tbl_task3[S31],tbl_task3[[SubPLOs]:[SubPLOs]],"&gt;=2",tbl_task3[[SubPLOs]:[SubPLOs]],"&lt;3")</f>
        <v>0</v>
      </c>
      <c r="AK35" s="138">
        <f>SUMIFS(tbl_task3[S32],tbl_task3[[SubPLOs]:[SubPLOs]],"&gt;=2",tbl_task3[[SubPLOs]:[SubPLOs]],"&lt;3")</f>
        <v>0</v>
      </c>
      <c r="AL35" s="138">
        <f>SUMIFS(tbl_task3[S33],tbl_task3[[SubPLOs]:[SubPLOs]],"&gt;=2",tbl_task3[[SubPLOs]:[SubPLOs]],"&lt;3")</f>
        <v>0</v>
      </c>
      <c r="AM35" s="138">
        <f>SUMIFS(tbl_task3[S34],tbl_task3[[SubPLOs]:[SubPLOs]],"&gt;=2",tbl_task3[[SubPLOs]:[SubPLOs]],"&lt;3")</f>
        <v>0</v>
      </c>
      <c r="AN35" s="138">
        <f>SUMIFS(tbl_task3[S35],tbl_task3[[SubPLOs]:[SubPLOs]],"&gt;=2",tbl_task3[[SubPLOs]:[SubPLOs]],"&lt;3")</f>
        <v>0</v>
      </c>
      <c r="AO35" s="138">
        <f>SUMIFS(tbl_task3[S36],tbl_task3[[SubPLOs]:[SubPLOs]],"&gt;=2",tbl_task3[[SubPLOs]:[SubPLOs]],"&lt;3")</f>
        <v>0</v>
      </c>
      <c r="AP35" s="138">
        <f>SUMIFS(tbl_task3[S37],tbl_task3[[SubPLOs]:[SubPLOs]],"&gt;=2",tbl_task3[[SubPLOs]:[SubPLOs]],"&lt;3")</f>
        <v>0</v>
      </c>
      <c r="AQ35" s="138">
        <f>SUMIFS(tbl_task3[S38],tbl_task3[[SubPLOs]:[SubPLOs]],"&gt;=2",tbl_task3[[SubPLOs]:[SubPLOs]],"&lt;3")</f>
        <v>0</v>
      </c>
      <c r="AR35" s="138">
        <f>SUMIFS(tbl_task3[S39],tbl_task3[[SubPLOs]:[SubPLOs]],"&gt;=2",tbl_task3[[SubPLOs]:[SubPLOs]],"&lt;3")</f>
        <v>0</v>
      </c>
      <c r="AS35" s="138">
        <f>SUMIFS(tbl_task3[S40],tbl_task3[[SubPLOs]:[SubPLOs]],"&gt;=2",tbl_task3[[SubPLOs]:[SubPLOs]],"&lt;3")</f>
        <v>0</v>
      </c>
      <c r="AT35" s="138">
        <f>SUMIFS(tbl_task3[S41],tbl_task3[[SubPLOs]:[SubPLOs]],"&gt;=2",tbl_task3[[SubPLOs]:[SubPLOs]],"&lt;3")</f>
        <v>0</v>
      </c>
      <c r="AU35" s="138">
        <f>SUMIFS(tbl_task3[S42],tbl_task3[[SubPLOs]:[SubPLOs]],"&gt;=2",tbl_task3[[SubPLOs]:[SubPLOs]],"&lt;3")</f>
        <v>0</v>
      </c>
      <c r="AV35" s="138">
        <f>SUMIFS(tbl_task3[S43],tbl_task3[[SubPLOs]:[SubPLOs]],"&gt;=2",tbl_task3[[SubPLOs]:[SubPLOs]],"&lt;3")</f>
        <v>0</v>
      </c>
      <c r="AW35" s="138">
        <f>SUMIFS(tbl_task3[S44],tbl_task3[[SubPLOs]:[SubPLOs]],"&gt;=2",tbl_task3[[SubPLOs]:[SubPLOs]],"&lt;3")</f>
        <v>0</v>
      </c>
      <c r="AX35" s="138">
        <f>SUMIFS(tbl_task3[S45],tbl_task3[[SubPLOs]:[SubPLOs]],"&gt;=2",tbl_task3[[SubPLOs]:[SubPLOs]],"&lt;3")</f>
        <v>0</v>
      </c>
      <c r="AY35" s="138">
        <f>SUMIFS(tbl_task3[S46],tbl_task3[[SubPLOs]:[SubPLOs]],"&gt;=2",tbl_task3[[SubPLOs]:[SubPLOs]],"&lt;3")</f>
        <v>0</v>
      </c>
      <c r="AZ35" s="138">
        <f>SUMIFS(tbl_task3[S47],tbl_task3[[SubPLOs]:[SubPLOs]],"&gt;=2",tbl_task3[[SubPLOs]:[SubPLOs]],"&lt;3")</f>
        <v>0</v>
      </c>
      <c r="BA35" s="138">
        <f>SUMIFS(tbl_task3[S48],tbl_task3[[SubPLOs]:[SubPLOs]],"&gt;=2",tbl_task3[[SubPLOs]:[SubPLOs]],"&lt;3")</f>
        <v>0</v>
      </c>
      <c r="BB35" s="138">
        <f>SUMIFS(tbl_task3[S49],tbl_task3[[SubPLOs]:[SubPLOs]],"&gt;=2",tbl_task3[[SubPLOs]:[SubPLOs]],"&lt;3")</f>
        <v>0</v>
      </c>
      <c r="BC35" s="138">
        <f>SUMIFS(tbl_task3[S50],tbl_task3[[SubPLOs]:[SubPLOs]],"&gt;=2",tbl_task3[[SubPLOs]:[SubPLOs]],"&lt;3")</f>
        <v>0</v>
      </c>
      <c r="BD35" s="138">
        <f>SUMIFS(tbl_task3[S51],tbl_task3[[SubPLOs]:[SubPLOs]],"&gt;=2",tbl_task3[[SubPLOs]:[SubPLOs]],"&lt;3")</f>
        <v>0</v>
      </c>
      <c r="BE35" s="138">
        <f>SUMIFS(tbl_task3[S52],tbl_task3[[SubPLOs]:[SubPLOs]],"&gt;=2",tbl_task3[[SubPLOs]:[SubPLOs]],"&lt;3")</f>
        <v>0</v>
      </c>
      <c r="BF35" s="138">
        <f>SUMIFS(tbl_task3[S53],tbl_task3[[SubPLOs]:[SubPLOs]],"&gt;=2",tbl_task3[[SubPLOs]:[SubPLOs]],"&lt;3")</f>
        <v>0</v>
      </c>
      <c r="BG35" s="138">
        <f>SUMIFS(tbl_task3[S54],tbl_task3[[SubPLOs]:[SubPLOs]],"&gt;=2",tbl_task3[[SubPLOs]:[SubPLOs]],"&lt;3")</f>
        <v>0</v>
      </c>
      <c r="BH35" s="138">
        <f>SUMIFS(tbl_task3[S55],tbl_task3[[SubPLOs]:[SubPLOs]],"&gt;=2",tbl_task3[[SubPLOs]:[SubPLOs]],"&lt;3")</f>
        <v>0</v>
      </c>
      <c r="BI35" s="138">
        <f>SUMIFS(tbl_task3[S56],tbl_task3[[SubPLOs]:[SubPLOs]],"&gt;=2",tbl_task3[[SubPLOs]:[SubPLOs]],"&lt;3")</f>
        <v>0</v>
      </c>
      <c r="BJ35" s="138">
        <f>SUMIFS(tbl_task3[S57],tbl_task3[[SubPLOs]:[SubPLOs]],"&gt;=2",tbl_task3[[SubPLOs]:[SubPLOs]],"&lt;3")</f>
        <v>0</v>
      </c>
      <c r="BK35" s="138">
        <f>SUMIFS(tbl_task3[S58],tbl_task3[[SubPLOs]:[SubPLOs]],"&gt;=2",tbl_task3[[SubPLOs]:[SubPLOs]],"&lt;3")</f>
        <v>0</v>
      </c>
      <c r="BL35" s="138">
        <f>SUMIFS(tbl_task3[S59],tbl_task3[[SubPLOs]:[SubPLOs]],"&gt;=2",tbl_task3[[SubPLOs]:[SubPLOs]],"&lt;3")</f>
        <v>0</v>
      </c>
      <c r="BM35" s="138">
        <f>SUMIFS(tbl_task3[S60],tbl_task3[[SubPLOs]:[SubPLOs]],"&gt;=2",tbl_task3[[SubPLOs]:[SubPLOs]],"&lt;3")</f>
        <v>0</v>
      </c>
      <c r="BN35" s="138">
        <f>SUMIFS(tbl_task3[S61],tbl_task3[[SubPLOs]:[SubPLOs]],"&gt;=2",tbl_task3[[SubPLOs]:[SubPLOs]],"&lt;3")</f>
        <v>0</v>
      </c>
      <c r="BO35" s="138">
        <f>SUMIFS(tbl_task3[S62],tbl_task3[[SubPLOs]:[SubPLOs]],"&gt;=2",tbl_task3[[SubPLOs]:[SubPLOs]],"&lt;3")</f>
        <v>0</v>
      </c>
      <c r="BP35" s="138">
        <f>SUMIFS(tbl_task3[S63],tbl_task3[[SubPLOs]:[SubPLOs]],"&gt;=2",tbl_task3[[SubPLOs]:[SubPLOs]],"&lt;3")</f>
        <v>0</v>
      </c>
      <c r="BQ35" s="138">
        <f>SUMIFS(tbl_task3[S64],tbl_task3[[SubPLOs]:[SubPLOs]],"&gt;=2",tbl_task3[[SubPLOs]:[SubPLOs]],"&lt;3")</f>
        <v>0</v>
      </c>
      <c r="BR35" s="138">
        <f>SUMIFS(tbl_task3[S65],tbl_task3[[SubPLOs]:[SubPLOs]],"&gt;=2",tbl_task3[[SubPLOs]:[SubPLOs]],"&lt;3")</f>
        <v>0</v>
      </c>
      <c r="BS35" s="138">
        <f>SUMIFS(tbl_task3[S66],tbl_task3[[SubPLOs]:[SubPLOs]],"&gt;=2",tbl_task3[[SubPLOs]:[SubPLOs]],"&lt;3")</f>
        <v>0</v>
      </c>
      <c r="BT35" s="138">
        <f>SUMIFS(tbl_task3[S67],tbl_task3[[SubPLOs]:[SubPLOs]],"&gt;=2",tbl_task3[[SubPLOs]:[SubPLOs]],"&lt;3")</f>
        <v>0</v>
      </c>
      <c r="BU35" s="138">
        <f>SUMIFS(tbl_task3[S68],tbl_task3[[SubPLOs]:[SubPLOs]],"&gt;=2",tbl_task3[[SubPLOs]:[SubPLOs]],"&lt;3")</f>
        <v>0</v>
      </c>
      <c r="BV35" s="138">
        <f>SUMIFS(tbl_task3[S69],tbl_task3[[SubPLOs]:[SubPLOs]],"&gt;=2",tbl_task3[[SubPLOs]:[SubPLOs]],"&lt;3")</f>
        <v>0</v>
      </c>
      <c r="BW35" s="138">
        <f>SUMIFS(tbl_task3[S70],tbl_task3[[SubPLOs]:[SubPLOs]],"&gt;=2",tbl_task3[[SubPLOs]:[SubPLOs]],"&lt;3")</f>
        <v>0</v>
      </c>
      <c r="BX35" s="138">
        <f>SUMIFS(tbl_task3[S71],tbl_task3[[SubPLOs]:[SubPLOs]],"&gt;=2",tbl_task3[[SubPLOs]:[SubPLOs]],"&lt;3")</f>
        <v>0</v>
      </c>
      <c r="BY35" s="138">
        <f>SUMIFS(tbl_task3[S72],tbl_task3[[SubPLOs]:[SubPLOs]],"&gt;=2",tbl_task3[[SubPLOs]:[SubPLOs]],"&lt;3")</f>
        <v>0</v>
      </c>
      <c r="BZ35" s="138">
        <f>SUMIFS(tbl_task3[S73],tbl_task3[[SubPLOs]:[SubPLOs]],"&gt;=2",tbl_task3[[SubPLOs]:[SubPLOs]],"&lt;3")</f>
        <v>0</v>
      </c>
      <c r="CA35" s="138">
        <f>SUMIFS(tbl_task3[S74],tbl_task3[[SubPLOs]:[SubPLOs]],"&gt;=2",tbl_task3[[SubPLOs]:[SubPLOs]],"&lt;3")</f>
        <v>0</v>
      </c>
      <c r="CB35" s="138">
        <f>SUMIFS(tbl_task3[S75],tbl_task3[[SubPLOs]:[SubPLOs]],"&gt;=2",tbl_task3[[SubPLOs]:[SubPLOs]],"&lt;3")</f>
        <v>0</v>
      </c>
      <c r="CC35" s="138">
        <f>SUMIFS(tbl_task3[S76],tbl_task3[[SubPLOs]:[SubPLOs]],"&gt;=2",tbl_task3[[SubPLOs]:[SubPLOs]],"&lt;3")</f>
        <v>0</v>
      </c>
      <c r="CD35" s="138">
        <f>SUMIFS(tbl_task3[S77],tbl_task3[[SubPLOs]:[SubPLOs]],"&gt;=2",tbl_task3[[SubPLOs]:[SubPLOs]],"&lt;3")</f>
        <v>0</v>
      </c>
      <c r="CE35" s="138">
        <f>SUMIFS(tbl_task3[S78],tbl_task3[[SubPLOs]:[SubPLOs]],"&gt;=2",tbl_task3[[SubPLOs]:[SubPLOs]],"&lt;3")</f>
        <v>0</v>
      </c>
      <c r="CF35" s="138">
        <f>SUMIFS(tbl_task3[S79],tbl_task3[[SubPLOs]:[SubPLOs]],"&gt;=2",tbl_task3[[SubPLOs]:[SubPLOs]],"&lt;3")</f>
        <v>0</v>
      </c>
      <c r="CG35" s="138">
        <f>SUMIFS(tbl_task3[S80],tbl_task3[[SubPLOs]:[SubPLOs]],"&gt;=2",tbl_task3[[SubPLOs]:[SubPLOs]],"&lt;3")</f>
        <v>0</v>
      </c>
      <c r="CH35" s="138">
        <f>SUMIFS(tbl_task3[S81],tbl_task3[[SubPLOs]:[SubPLOs]],"&gt;=2",tbl_task3[[SubPLOs]:[SubPLOs]],"&lt;3")</f>
        <v>0</v>
      </c>
      <c r="CI35" s="138">
        <f>SUMIFS(tbl_task3[S82],tbl_task3[[SubPLOs]:[SubPLOs]],"&gt;=2",tbl_task3[[SubPLOs]:[SubPLOs]],"&lt;3")</f>
        <v>0</v>
      </c>
      <c r="CJ35" s="138">
        <f>SUMIFS(tbl_task3[S83],tbl_task3[[SubPLOs]:[SubPLOs]],"&gt;=2",tbl_task3[[SubPLOs]:[SubPLOs]],"&lt;3")</f>
        <v>0</v>
      </c>
      <c r="CK35" s="138">
        <f>SUMIFS(tbl_task3[S84],tbl_task3[[SubPLOs]:[SubPLOs]],"&gt;=2",tbl_task3[[SubPLOs]:[SubPLOs]],"&lt;3")</f>
        <v>0</v>
      </c>
      <c r="CL35" s="138">
        <f>SUMIFS(tbl_task3[S85],tbl_task3[[SubPLOs]:[SubPLOs]],"&gt;=2",tbl_task3[[SubPLOs]:[SubPLOs]],"&lt;3")</f>
        <v>0</v>
      </c>
      <c r="CM35" s="138">
        <f>SUMIFS(tbl_task3[S86],tbl_task3[[SubPLOs]:[SubPLOs]],"&gt;=2",tbl_task3[[SubPLOs]:[SubPLOs]],"&lt;3")</f>
        <v>0</v>
      </c>
      <c r="CN35" s="138">
        <f>SUMIFS(tbl_task3[S87],tbl_task3[[SubPLOs]:[SubPLOs]],"&gt;=2",tbl_task3[[SubPLOs]:[SubPLOs]],"&lt;3")</f>
        <v>0</v>
      </c>
      <c r="CO35" s="138">
        <f>SUMIFS(tbl_task3[S88],tbl_task3[[SubPLOs]:[SubPLOs]],"&gt;=2",tbl_task3[[SubPLOs]:[SubPLOs]],"&lt;3")</f>
        <v>0</v>
      </c>
      <c r="CP35" s="138">
        <f>SUMIFS(tbl_task3[S89],tbl_task3[[SubPLOs]:[SubPLOs]],"&gt;=2",tbl_task3[[SubPLOs]:[SubPLOs]],"&lt;3")</f>
        <v>0</v>
      </c>
      <c r="CQ35" s="138">
        <f>SUMIFS(tbl_task3[S90],tbl_task3[[SubPLOs]:[SubPLOs]],"&gt;=2",tbl_task3[[SubPLOs]:[SubPLOs]],"&lt;3")</f>
        <v>0</v>
      </c>
      <c r="CR35" s="138">
        <f>SUMIFS(tbl_task3[S91],tbl_task3[[SubPLOs]:[SubPLOs]],"&gt;=2",tbl_task3[[SubPLOs]:[SubPLOs]],"&lt;3")</f>
        <v>0</v>
      </c>
      <c r="CS35" s="138">
        <f>SUMIFS(tbl_task3[S92],tbl_task3[[SubPLOs]:[SubPLOs]],"&gt;=2",tbl_task3[[SubPLOs]:[SubPLOs]],"&lt;3")</f>
        <v>0</v>
      </c>
      <c r="CT35" s="138">
        <f>SUMIFS(tbl_task3[S93],tbl_task3[[SubPLOs]:[SubPLOs]],"&gt;=2",tbl_task3[[SubPLOs]:[SubPLOs]],"&lt;3")</f>
        <v>0</v>
      </c>
      <c r="CU35" s="138">
        <f>SUMIFS(tbl_task3[S94],tbl_task3[[SubPLOs]:[SubPLOs]],"&gt;=2",tbl_task3[[SubPLOs]:[SubPLOs]],"&lt;3")</f>
        <v>0</v>
      </c>
      <c r="CV35" s="138">
        <f>SUMIFS(tbl_task3[S95],tbl_task3[[SubPLOs]:[SubPLOs]],"&gt;=2",tbl_task3[[SubPLOs]:[SubPLOs]],"&lt;3")</f>
        <v>0</v>
      </c>
      <c r="CW35" s="138">
        <f>SUMIFS(tbl_task3[S96],tbl_task3[[SubPLOs]:[SubPLOs]],"&gt;=2",tbl_task3[[SubPLOs]:[SubPLOs]],"&lt;3")</f>
        <v>0</v>
      </c>
      <c r="CX35" s="138">
        <f>SUMIFS(tbl_task3[S97],tbl_task3[[SubPLOs]:[SubPLOs]],"&gt;=2",tbl_task3[[SubPLOs]:[SubPLOs]],"&lt;3")</f>
        <v>0</v>
      </c>
      <c r="CY35" s="138">
        <f>SUMIFS(tbl_task3[S98],tbl_task3[[SubPLOs]:[SubPLOs]],"&gt;=2",tbl_task3[[SubPLOs]:[SubPLOs]],"&lt;3")</f>
        <v>0</v>
      </c>
      <c r="CZ35" s="138">
        <f>SUMIFS(tbl_task3[S99],tbl_task3[[SubPLOs]:[SubPLOs]],"&gt;=2",tbl_task3[[SubPLOs]:[SubPLOs]],"&lt;3")</f>
        <v>0</v>
      </c>
      <c r="DA35" s="138">
        <f>SUMIFS(tbl_task3[S100],tbl_task3[[SubPLOs]:[SubPLOs]],"&gt;=2",tbl_task3[[SubPLOs]:[SubPLOs]],"&lt;3")</f>
        <v>0</v>
      </c>
      <c r="DB35" s="138">
        <f>SUMIFS(tbl_task3[S101],tbl_task3[[SubPLOs]:[SubPLOs]],"&gt;=2",tbl_task3[[SubPLOs]:[SubPLOs]],"&lt;3")</f>
        <v>0</v>
      </c>
      <c r="DC35" s="138">
        <f>SUMIFS(tbl_task3[S102],tbl_task3[[SubPLOs]:[SubPLOs]],"&gt;=2",tbl_task3[[SubPLOs]:[SubPLOs]],"&lt;3")</f>
        <v>0</v>
      </c>
      <c r="DD35" s="138">
        <f>SUMIFS(tbl_task3[S103],tbl_task3[[SubPLOs]:[SubPLOs]],"&gt;=2",tbl_task3[[SubPLOs]:[SubPLOs]],"&lt;3")</f>
        <v>0</v>
      </c>
      <c r="DE35" s="138">
        <f>SUMIFS(tbl_task3[S104],tbl_task3[[SubPLOs]:[SubPLOs]],"&gt;=2",tbl_task3[[SubPLOs]:[SubPLOs]],"&lt;3")</f>
        <v>0</v>
      </c>
      <c r="DF35" s="138">
        <f>SUMIFS(tbl_task3[S105],tbl_task3[[SubPLOs]:[SubPLOs]],"&gt;=2",tbl_task3[[SubPLOs]:[SubPLOs]],"&lt;3")</f>
        <v>0</v>
      </c>
      <c r="DG35" s="138">
        <f>SUMIFS(tbl_task3[S106],tbl_task3[[SubPLOs]:[SubPLOs]],"&gt;=2",tbl_task3[[SubPLOs]:[SubPLOs]],"&lt;3")</f>
        <v>0</v>
      </c>
      <c r="DH35" s="138">
        <f>SUMIFS(tbl_task3[S106],tbl_task3[[SubPLOs]:[SubPLOs]],"&gt;=2",tbl_task3[[SubPLOs]:[SubPLOs]],"&lt;3")</f>
        <v>0</v>
      </c>
      <c r="DI35" s="138">
        <f>SUMIFS(tbl_task3[S108],tbl_task3[[SubPLOs]:[SubPLOs]],"&gt;=2",tbl_task3[[SubPLOs]:[SubPLOs]],"&lt;3")</f>
        <v>0</v>
      </c>
      <c r="DJ35" s="138">
        <f>SUMIFS(tbl_task3[S109],tbl_task3[[SubPLOs]:[SubPLOs]],"&gt;=2",tbl_task3[[SubPLOs]:[SubPLOs]],"&lt;3")</f>
        <v>0</v>
      </c>
      <c r="DK35" s="138">
        <f>SUMIFS(tbl_task3[S110],tbl_task3[[SubPLOs]:[SubPLOs]],"&gt;=2",tbl_task3[[SubPLOs]:[SubPLOs]],"&lt;3")</f>
        <v>0</v>
      </c>
      <c r="DL35" s="138">
        <f>SUMIFS(tbl_task3[S111],tbl_task3[[SubPLOs]:[SubPLOs]],"&gt;=2",tbl_task3[[SubPLOs]:[SubPLOs]],"&lt;3")</f>
        <v>0</v>
      </c>
      <c r="DM35" s="138">
        <f>SUMIFS(tbl_task3[S112],tbl_task3[[SubPLOs]:[SubPLOs]],"&gt;=2",tbl_task3[[SubPLOs]:[SubPLOs]],"&lt;3")</f>
        <v>0</v>
      </c>
      <c r="DN35" s="138">
        <f>SUMIFS(tbl_task3[S113],tbl_task3[[SubPLOs]:[SubPLOs]],"&gt;=2",tbl_task3[[SubPLOs]:[SubPLOs]],"&lt;3")</f>
        <v>0</v>
      </c>
      <c r="DO35" s="138">
        <f>SUMIFS(tbl_task3[S114],tbl_task3[[SubPLOs]:[SubPLOs]],"&gt;=2",tbl_task3[[SubPLOs]:[SubPLOs]],"&lt;3")</f>
        <v>0</v>
      </c>
      <c r="DP35" s="138">
        <f>SUMIFS(tbl_task3[S115],tbl_task3[[SubPLOs]:[SubPLOs]],"&gt;=2",tbl_task3[[SubPLOs]:[SubPLOs]],"&lt;3")</f>
        <v>0</v>
      </c>
      <c r="DQ35" s="138">
        <f>SUMIFS(tbl_task3[S116],tbl_task3[[SubPLOs]:[SubPLOs]],"&gt;=2",tbl_task3[[SubPLOs]:[SubPLOs]],"&lt;3")</f>
        <v>0</v>
      </c>
      <c r="DR35" s="138">
        <f>SUMIFS(tbl_task3[S117],tbl_task3[[SubPLOs]:[SubPLOs]],"&gt;=2",tbl_task3[[SubPLOs]:[SubPLOs]],"&lt;3")</f>
        <v>0</v>
      </c>
      <c r="DS35" s="138">
        <f>SUMIFS(tbl_task3[S118],tbl_task3[[SubPLOs]:[SubPLOs]],"&gt;=2",tbl_task3[[SubPLOs]:[SubPLOs]],"&lt;3")</f>
        <v>0</v>
      </c>
      <c r="DT35" s="138">
        <f>SUMIFS(tbl_task3[S119],tbl_task3[[SubPLOs]:[SubPLOs]],"&gt;=2",tbl_task3[[SubPLOs]:[SubPLOs]],"&lt;3")</f>
        <v>0</v>
      </c>
      <c r="DU35" s="138">
        <f>SUMIFS(tbl_task3[S120],tbl_task3[[SubPLOs]:[SubPLOs]],"&gt;=2",tbl_task3[[SubPLOs]:[SubPLOs]],"&lt;3")</f>
        <v>0</v>
      </c>
      <c r="DV35" s="138">
        <f>SUMIFS(tbl_task3[S121],tbl_task3[[SubPLOs]:[SubPLOs]],"&gt;=2",tbl_task3[[SubPLOs]:[SubPLOs]],"&lt;3")</f>
        <v>0</v>
      </c>
      <c r="DW35" s="138">
        <f>SUMIFS(tbl_task3[S122],tbl_task3[[SubPLOs]:[SubPLOs]],"&gt;=2",tbl_task3[[SubPLOs]:[SubPLOs]],"&lt;3")</f>
        <v>0</v>
      </c>
      <c r="DX35" s="138">
        <f>SUMIFS(tbl_task3[S123],tbl_task3[[SubPLOs]:[SubPLOs]],"&gt;=2",tbl_task3[[SubPLOs]:[SubPLOs]],"&lt;3")</f>
        <v>0</v>
      </c>
      <c r="DY35" s="138">
        <f>SUMIFS(tbl_task3[S124],tbl_task3[[SubPLOs]:[SubPLOs]],"&gt;=2",tbl_task3[[SubPLOs]:[SubPLOs]],"&lt;3")</f>
        <v>0</v>
      </c>
      <c r="DZ35" s="138">
        <f>SUMIFS(tbl_task3[S125],tbl_task3[[SubPLOs]:[SubPLOs]],"&gt;=2",tbl_task3[[SubPLOs]:[SubPLOs]],"&lt;3")</f>
        <v>0</v>
      </c>
      <c r="EA35" s="138">
        <f>SUMIFS(tbl_task3[S126],tbl_task3[[SubPLOs]:[SubPLOs]],"&gt;=2",tbl_task3[[SubPLOs]:[SubPLOs]],"&lt;3")</f>
        <v>0</v>
      </c>
      <c r="EB35" s="138">
        <f>SUMIFS(tbl_task3[S127],tbl_task3[[SubPLOs]:[SubPLOs]],"&gt;=2",tbl_task3[[SubPLOs]:[SubPLOs]],"&lt;3")</f>
        <v>0</v>
      </c>
      <c r="EC35" s="138">
        <f>SUMIFS(tbl_task3[S128],tbl_task3[[SubPLOs]:[SubPLOs]],"&gt;=2",tbl_task3[[SubPLOs]:[SubPLOs]],"&lt;3")</f>
        <v>0</v>
      </c>
      <c r="ED35" s="138">
        <f>SUMIFS(tbl_task3[S129],tbl_task3[[SubPLOs]:[SubPLOs]],"&gt;=2",tbl_task3[[SubPLOs]:[SubPLOs]],"&lt;3")</f>
        <v>0</v>
      </c>
      <c r="EE35" s="138">
        <f>SUMIFS(tbl_task3[S130],tbl_task3[[SubPLOs]:[SubPLOs]],"&gt;=2",tbl_task3[[SubPLOs]:[SubPLOs]],"&lt;3")</f>
        <v>0</v>
      </c>
      <c r="EF35" s="138">
        <f>SUMIFS(tbl_task3[S131],tbl_task3[[SubPLOs]:[SubPLOs]],"&gt;=2",tbl_task3[[SubPLOs]:[SubPLOs]],"&lt;3")</f>
        <v>0</v>
      </c>
      <c r="EG35" s="138">
        <f>SUMIFS(tbl_task3[S132],tbl_task3[[SubPLOs]:[SubPLOs]],"&gt;=2",tbl_task3[[SubPLOs]:[SubPLOs]],"&lt;3")</f>
        <v>0</v>
      </c>
      <c r="EH35" s="138">
        <f>SUMIFS(tbl_task3[S133],tbl_task3[[SubPLOs]:[SubPLOs]],"&gt;=2",tbl_task3[[SubPLOs]:[SubPLOs]],"&lt;3")</f>
        <v>0</v>
      </c>
      <c r="EI35" s="138">
        <f>SUMIFS(tbl_task3[S134],tbl_task3[[SubPLOs]:[SubPLOs]],"&gt;=2",tbl_task3[[SubPLOs]:[SubPLOs]],"&lt;3")</f>
        <v>0</v>
      </c>
      <c r="EJ35" s="138">
        <f>SUMIFS(tbl_task3[S135],tbl_task3[[SubPLOs]:[SubPLOs]],"&gt;=2",tbl_task3[[SubPLOs]:[SubPLOs]],"&lt;3")</f>
        <v>0</v>
      </c>
      <c r="EK35" s="138">
        <f>SUMIFS(tbl_task3[S136],tbl_task3[[SubPLOs]:[SubPLOs]],"&gt;=2",tbl_task3[[SubPLOs]:[SubPLOs]],"&lt;3")</f>
        <v>0</v>
      </c>
      <c r="EL35" s="138">
        <f>SUMIFS(tbl_task3[S137],tbl_task3[[SubPLOs]:[SubPLOs]],"&gt;=2",tbl_task3[[SubPLOs]:[SubPLOs]],"&lt;3")</f>
        <v>0</v>
      </c>
      <c r="EM35" s="138">
        <f>SUMIFS(tbl_task3[S138],tbl_task3[[SubPLOs]:[SubPLOs]],"&gt;=2",tbl_task3[[SubPLOs]:[SubPLOs]],"&lt;3")</f>
        <v>0</v>
      </c>
      <c r="EN35" s="138">
        <f>SUMIFS(tbl_task3[S139],tbl_task3[[SubPLOs]:[SubPLOs]],"&gt;=2",tbl_task3[[SubPLOs]:[SubPLOs]],"&lt;3")</f>
        <v>0</v>
      </c>
      <c r="EO35" s="138">
        <f>SUMIFS(tbl_task3[S140],tbl_task3[[SubPLOs]:[SubPLOs]],"&gt;=2",tbl_task3[[SubPLOs]:[SubPLOs]],"&lt;3")</f>
        <v>0</v>
      </c>
      <c r="EP35" s="138">
        <f>SUMIFS(tbl_task3[S141],tbl_task3[[SubPLOs]:[SubPLOs]],"&gt;=2",tbl_task3[[SubPLOs]:[SubPLOs]],"&lt;3")</f>
        <v>0</v>
      </c>
      <c r="EQ35" s="138">
        <f>SUMIFS(tbl_task3[S142],tbl_task3[[SubPLOs]:[SubPLOs]],"&gt;=2",tbl_task3[[SubPLOs]:[SubPLOs]],"&lt;3")</f>
        <v>0</v>
      </c>
      <c r="ER35" s="138">
        <f>SUMIFS(tbl_task3[S143],tbl_task3[[SubPLOs]:[SubPLOs]],"&gt;=2",tbl_task3[[SubPLOs]:[SubPLOs]],"&lt;3")</f>
        <v>0</v>
      </c>
      <c r="ES35" s="138">
        <f>SUMIFS(tbl_task3[S144],tbl_task3[[SubPLOs]:[SubPLOs]],"&gt;=2",tbl_task3[[SubPLOs]:[SubPLOs]],"&lt;3")</f>
        <v>0</v>
      </c>
      <c r="ET35" s="138">
        <f>SUMIFS(tbl_task3[S145],tbl_task3[[SubPLOs]:[SubPLOs]],"&gt;=2",tbl_task3[[SubPLOs]:[SubPLOs]],"&lt;3")</f>
        <v>0</v>
      </c>
      <c r="EU35" s="138">
        <f>SUMIFS(tbl_task3[S146],tbl_task3[[SubPLOs]:[SubPLOs]],"&gt;=2",tbl_task3[[SubPLOs]:[SubPLOs]],"&lt;3")</f>
        <v>0</v>
      </c>
      <c r="EV35" s="138">
        <f>SUMIFS(tbl_task3[S147],tbl_task3[[SubPLOs]:[SubPLOs]],"&gt;=2",tbl_task3[[SubPLOs]:[SubPLOs]],"&lt;3")</f>
        <v>0</v>
      </c>
      <c r="EW35" s="138">
        <f>SUMIFS(tbl_task3[S148],tbl_task3[[SubPLOs]:[SubPLOs]],"&gt;=2",tbl_task3[[SubPLOs]:[SubPLOs]],"&lt;3")</f>
        <v>0</v>
      </c>
      <c r="EX35" s="138">
        <f>SUMIFS(tbl_task3[S149],tbl_task3[[SubPLOs]:[SubPLOs]],"&gt;=2",tbl_task3[[SubPLOs]:[SubPLOs]],"&lt;3")</f>
        <v>0</v>
      </c>
      <c r="EY35" s="138">
        <f>SUMIFS(tbl_task3[S150],tbl_task3[[SubPLOs]:[SubPLOs]],"&gt;=2",tbl_task3[[SubPLOs]:[SubPLOs]],"&lt;3")</f>
        <v>0</v>
      </c>
      <c r="EZ35" s="138">
        <f>SUMIFS(tbl_task3[S151],tbl_task3[[SubPLOs]:[SubPLOs]],"&gt;=2",tbl_task3[[SubPLOs]:[SubPLOs]],"&lt;3")</f>
        <v>0</v>
      </c>
      <c r="FA35" s="138">
        <f>SUMIFS(tbl_task3[S152],tbl_task3[[SubPLOs]:[SubPLOs]],"&gt;=2",tbl_task3[[SubPLOs]:[SubPLOs]],"&lt;3")</f>
        <v>0</v>
      </c>
      <c r="FB35" s="138">
        <f>SUMIFS(tbl_task3[S153],tbl_task3[[SubPLOs]:[SubPLOs]],"&gt;=2",tbl_task3[[SubPLOs]:[SubPLOs]],"&lt;3")</f>
        <v>0</v>
      </c>
      <c r="FC35" s="138">
        <f>SUMIFS(tbl_task3[S154],tbl_task3[[SubPLOs]:[SubPLOs]],"&gt;=2",tbl_task3[[SubPLOs]:[SubPLOs]],"&lt;3")</f>
        <v>0</v>
      </c>
      <c r="FD35" s="138">
        <f>SUMIFS(tbl_task3[S155],tbl_task3[[SubPLOs]:[SubPLOs]],"&gt;=2",tbl_task3[[SubPLOs]:[SubPLOs]],"&lt;3")</f>
        <v>0</v>
      </c>
      <c r="FE35" s="138">
        <f>SUMIFS(tbl_task3[S156],tbl_task3[[SubPLOs]:[SubPLOs]],"&gt;=2",tbl_task3[[SubPLOs]:[SubPLOs]],"&lt;3")</f>
        <v>0</v>
      </c>
      <c r="FF35" s="138">
        <f>SUMIFS(tbl_task3[S157],tbl_task3[[SubPLOs]:[SubPLOs]],"&gt;=2",tbl_task3[[SubPLOs]:[SubPLOs]],"&lt;3")</f>
        <v>0</v>
      </c>
      <c r="FG35" s="138">
        <f>SUMIFS(tbl_task3[S158],tbl_task3[[SubPLOs]:[SubPLOs]],"&gt;=2",tbl_task3[[SubPLOs]:[SubPLOs]],"&lt;3")</f>
        <v>0</v>
      </c>
      <c r="FH35" s="138">
        <f>SUMIFS(tbl_task3[S159],tbl_task3[[SubPLOs]:[SubPLOs]],"&gt;=2",tbl_task3[[SubPLOs]:[SubPLOs]],"&lt;3")</f>
        <v>0</v>
      </c>
      <c r="FI35" s="138">
        <f>SUMIFS(tbl_task3[S160],tbl_task3[[SubPLOs]:[SubPLOs]],"&gt;=2",tbl_task3[[SubPLOs]:[SubPLOs]],"&lt;3")</f>
        <v>0</v>
      </c>
      <c r="FJ35" s="138">
        <f>SUMIFS(tbl_task3[S161],tbl_task3[[SubPLOs]:[SubPLOs]],"&gt;=2",tbl_task3[[SubPLOs]:[SubPLOs]],"&lt;3")</f>
        <v>0</v>
      </c>
      <c r="FK35" s="138">
        <f>SUMIFS(tbl_task3[S162],tbl_task3[[SubPLOs]:[SubPLOs]],"&gt;=2",tbl_task3[[SubPLOs]:[SubPLOs]],"&lt;3")</f>
        <v>0</v>
      </c>
      <c r="FL35" s="138">
        <f>SUMIFS(tbl_task3[S163],tbl_task3[[SubPLOs]:[SubPLOs]],"&gt;=2",tbl_task3[[SubPLOs]:[SubPLOs]],"&lt;3")</f>
        <v>0</v>
      </c>
      <c r="FM35" s="138">
        <f>SUMIFS(tbl_task3[S164],tbl_task3[[SubPLOs]:[SubPLOs]],"&gt;=2",tbl_task3[[SubPLOs]:[SubPLOs]],"&lt;3")</f>
        <v>0</v>
      </c>
      <c r="FN35" s="138">
        <f>SUMIFS(tbl_task3[S165],tbl_task3[[SubPLOs]:[SubPLOs]],"&gt;=2",tbl_task3[[SubPLOs]:[SubPLOs]],"&lt;3")</f>
        <v>0</v>
      </c>
    </row>
    <row r="36" spans="1:170" ht="63" x14ac:dyDescent="0.25">
      <c r="A36" s="135">
        <v>3</v>
      </c>
      <c r="B36" s="5" t="s">
        <v>436</v>
      </c>
      <c r="C36" s="136">
        <f>COUNTIFS(tbl_task3[SubPLOs],"&gt;=3",tbl_task3[SubPLOs],"&lt;4")</f>
        <v>0</v>
      </c>
      <c r="D36" s="136">
        <f>SUMIFS(tbl_task3[คะแนนเต็ม],tbl_task3[SubPLOs],"&gt;=3",tbl_task3[SubPLOs],"&lt;4")</f>
        <v>0</v>
      </c>
      <c r="E36" s="137">
        <f>SUMIFS(tbl_task3[%],tbl_task3[SubPLOs],"&gt;=3",tbl_task3[SubPLOs],"&lt;4")</f>
        <v>0</v>
      </c>
      <c r="F36" s="138">
        <f>SUMIFS(tbl_task3[S1],tbl_task3[[SubPLOs]:[SubPLOs]],"&gt;=3",tbl_task3[[SubPLOs]:[SubPLOs]],"&lt;4")</f>
        <v>0</v>
      </c>
      <c r="G36" s="138">
        <f>SUMIFS(tbl_task3[S2],tbl_task3[[SubPLOs]:[SubPLOs]],"&gt;=3",tbl_task3[[SubPLOs]:[SubPLOs]],"&lt;4")</f>
        <v>0</v>
      </c>
      <c r="H36" s="138">
        <f>SUMIFS(tbl_task3[S3],tbl_task3[[SubPLOs]:[SubPLOs]],"&gt;=3",tbl_task3[[SubPLOs]:[SubPLOs]],"&lt;4")</f>
        <v>0</v>
      </c>
      <c r="I36" s="138">
        <f>SUMIFS(tbl_task3[S4],tbl_task3[[SubPLOs]:[SubPLOs]],"&gt;=3",tbl_task3[[SubPLOs]:[SubPLOs]],"&lt;4")</f>
        <v>0</v>
      </c>
      <c r="J36" s="138">
        <f>SUMIFS(tbl_task3[S5],tbl_task3[[SubPLOs]:[SubPLOs]],"&gt;=3",tbl_task3[[SubPLOs]:[SubPLOs]],"&lt;4")</f>
        <v>0</v>
      </c>
      <c r="K36" s="138">
        <f>SUMIFS(tbl_task3[S6],tbl_task3[[SubPLOs]:[SubPLOs]],"&gt;=3",tbl_task3[[SubPLOs]:[SubPLOs]],"&lt;4")</f>
        <v>0</v>
      </c>
      <c r="L36" s="138">
        <f>SUMIFS(tbl_task3[S7],tbl_task3[[SubPLOs]:[SubPLOs]],"&gt;=3",tbl_task3[[SubPLOs]:[SubPLOs]],"&lt;4")</f>
        <v>0</v>
      </c>
      <c r="M36" s="138">
        <f>SUMIFS(tbl_task3[S8],tbl_task3[[SubPLOs]:[SubPLOs]],"&gt;=3",tbl_task3[[SubPLOs]:[SubPLOs]],"&lt;4")</f>
        <v>0</v>
      </c>
      <c r="N36" s="138">
        <f>SUMIFS(tbl_task3[S9],tbl_task3[[SubPLOs]:[SubPLOs]],"&gt;=3",tbl_task3[[SubPLOs]:[SubPLOs]],"&lt;4")</f>
        <v>0</v>
      </c>
      <c r="O36" s="138">
        <f>SUMIFS(tbl_task3[S10],tbl_task3[[SubPLOs]:[SubPLOs]],"&gt;=3",tbl_task3[[SubPLOs]:[SubPLOs]],"&lt;4")</f>
        <v>0</v>
      </c>
      <c r="P36" s="138">
        <f>SUMIFS(tbl_task3[S11],tbl_task3[[SubPLOs]:[SubPLOs]],"&gt;=3",tbl_task3[[SubPLOs]:[SubPLOs]],"&lt;4")</f>
        <v>0</v>
      </c>
      <c r="Q36" s="138">
        <f>SUMIFS(tbl_task3[S12],tbl_task3[[SubPLOs]:[SubPLOs]],"&gt;=3",tbl_task3[[SubPLOs]:[SubPLOs]],"&lt;4")</f>
        <v>0</v>
      </c>
      <c r="R36" s="138">
        <f>SUMIFS(tbl_task3[S13],tbl_task3[[SubPLOs]:[SubPLOs]],"&gt;=3",tbl_task3[[SubPLOs]:[SubPLOs]],"&lt;4")</f>
        <v>0</v>
      </c>
      <c r="S36" s="138">
        <f>SUMIFS(tbl_task3[S14],tbl_task3[[SubPLOs]:[SubPLOs]],"&gt;=3",tbl_task3[[SubPLOs]:[SubPLOs]],"&lt;4")</f>
        <v>0</v>
      </c>
      <c r="T36" s="138">
        <f>SUMIFS(tbl_task3[S15],tbl_task3[[SubPLOs]:[SubPLOs]],"&gt;=3",tbl_task3[[SubPLOs]:[SubPLOs]],"&lt;4")</f>
        <v>0</v>
      </c>
      <c r="U36" s="138">
        <f>SUMIFS(tbl_task3[S16],tbl_task3[[SubPLOs]:[SubPLOs]],"&gt;=3",tbl_task3[[SubPLOs]:[SubPLOs]],"&lt;4")</f>
        <v>0</v>
      </c>
      <c r="V36" s="138">
        <f>SUMIFS(tbl_task3[S17],tbl_task3[[SubPLOs]:[SubPLOs]],"&gt;=3",tbl_task3[[SubPLOs]:[SubPLOs]],"&lt;4")</f>
        <v>0</v>
      </c>
      <c r="W36" s="138">
        <f>SUMIFS(tbl_task3[S18],tbl_task3[[SubPLOs]:[SubPLOs]],"&gt;=3",tbl_task3[[SubPLOs]:[SubPLOs]],"&lt;4")</f>
        <v>0</v>
      </c>
      <c r="X36" s="138">
        <f>SUMIFS(tbl_task3[S19],tbl_task3[[SubPLOs]:[SubPLOs]],"&gt;=3",tbl_task3[[SubPLOs]:[SubPLOs]],"&lt;4")</f>
        <v>0</v>
      </c>
      <c r="Y36" s="138">
        <f>SUMIFS(tbl_task3[S20],tbl_task3[[SubPLOs]:[SubPLOs]],"&gt;=3",tbl_task3[[SubPLOs]:[SubPLOs]],"&lt;4")</f>
        <v>0</v>
      </c>
      <c r="Z36" s="138">
        <f>SUMIFS(tbl_task3[S21],tbl_task3[[SubPLOs]:[SubPLOs]],"&gt;=3",tbl_task3[[SubPLOs]:[SubPLOs]],"&lt;4")</f>
        <v>0</v>
      </c>
      <c r="AA36" s="138">
        <f>SUMIFS(tbl_task3[S22],tbl_task3[[SubPLOs]:[SubPLOs]],"&gt;=3",tbl_task3[[SubPLOs]:[SubPLOs]],"&lt;4")</f>
        <v>0</v>
      </c>
      <c r="AB36" s="138">
        <f>SUMIFS(tbl_task3[S23],tbl_task3[[SubPLOs]:[SubPLOs]],"&gt;=3",tbl_task3[[SubPLOs]:[SubPLOs]],"&lt;4")</f>
        <v>0</v>
      </c>
      <c r="AC36" s="138">
        <f>SUMIFS(tbl_task3[S24],tbl_task3[[SubPLOs]:[SubPLOs]],"&gt;=3",tbl_task3[[SubPLOs]:[SubPLOs]],"&lt;4")</f>
        <v>0</v>
      </c>
      <c r="AD36" s="138">
        <f>SUMIFS(tbl_task3[S25],tbl_task3[[SubPLOs]:[SubPLOs]],"&gt;=3",tbl_task3[[SubPLOs]:[SubPLOs]],"&lt;4")</f>
        <v>0</v>
      </c>
      <c r="AE36" s="138">
        <f>SUMIFS(tbl_task3[S26],tbl_task3[[SubPLOs]:[SubPLOs]],"&gt;=3",tbl_task3[[SubPLOs]:[SubPLOs]],"&lt;4")</f>
        <v>0</v>
      </c>
      <c r="AF36" s="138">
        <f>SUMIFS(tbl_task3[S27],tbl_task3[[SubPLOs]:[SubPLOs]],"&gt;=3",tbl_task3[[SubPLOs]:[SubPLOs]],"&lt;4")</f>
        <v>0</v>
      </c>
      <c r="AG36" s="138">
        <f>SUMIFS(tbl_task3[S28],tbl_task3[[SubPLOs]:[SubPLOs]],"&gt;=3",tbl_task3[[SubPLOs]:[SubPLOs]],"&lt;4")</f>
        <v>0</v>
      </c>
      <c r="AH36" s="138">
        <f>SUMIFS(tbl_task3[S29],tbl_task3[[SubPLOs]:[SubPLOs]],"&gt;=3",tbl_task3[[SubPLOs]:[SubPLOs]],"&lt;4")</f>
        <v>0</v>
      </c>
      <c r="AI36" s="138">
        <f>SUMIFS(tbl_task3[S30],tbl_task3[[SubPLOs]:[SubPLOs]],"&gt;=3",tbl_task3[[SubPLOs]:[SubPLOs]],"&lt;4")</f>
        <v>0</v>
      </c>
      <c r="AJ36" s="138">
        <f>SUMIFS(tbl_task3[S31],tbl_task3[[SubPLOs]:[SubPLOs]],"&gt;=3",tbl_task3[[SubPLOs]:[SubPLOs]],"&lt;4")</f>
        <v>0</v>
      </c>
      <c r="AK36" s="138">
        <f>SUMIFS(tbl_task3[S32],tbl_task3[[SubPLOs]:[SubPLOs]],"&gt;=3",tbl_task3[[SubPLOs]:[SubPLOs]],"&lt;4")</f>
        <v>0</v>
      </c>
      <c r="AL36" s="138">
        <f>SUMIFS(tbl_task3[S33],tbl_task3[[SubPLOs]:[SubPLOs]],"&gt;=3",tbl_task3[[SubPLOs]:[SubPLOs]],"&lt;4")</f>
        <v>0</v>
      </c>
      <c r="AM36" s="138">
        <f>SUMIFS(tbl_task3[S34],tbl_task3[[SubPLOs]:[SubPLOs]],"&gt;=3",tbl_task3[[SubPLOs]:[SubPLOs]],"&lt;4")</f>
        <v>0</v>
      </c>
      <c r="AN36" s="138">
        <f>SUMIFS(tbl_task3[S35],tbl_task3[[SubPLOs]:[SubPLOs]],"&gt;=3",tbl_task3[[SubPLOs]:[SubPLOs]],"&lt;4")</f>
        <v>0</v>
      </c>
      <c r="AO36" s="138">
        <f>SUMIFS(tbl_task3[S36],tbl_task3[[SubPLOs]:[SubPLOs]],"&gt;=3",tbl_task3[[SubPLOs]:[SubPLOs]],"&lt;4")</f>
        <v>0</v>
      </c>
      <c r="AP36" s="138">
        <f>SUMIFS(tbl_task3[S37],tbl_task3[[SubPLOs]:[SubPLOs]],"&gt;=3",tbl_task3[[SubPLOs]:[SubPLOs]],"&lt;4")</f>
        <v>0</v>
      </c>
      <c r="AQ36" s="138">
        <f>SUMIFS(tbl_task3[S38],tbl_task3[[SubPLOs]:[SubPLOs]],"&gt;=3",tbl_task3[[SubPLOs]:[SubPLOs]],"&lt;4")</f>
        <v>0</v>
      </c>
      <c r="AR36" s="138">
        <f>SUMIFS(tbl_task3[S39],tbl_task3[[SubPLOs]:[SubPLOs]],"&gt;=3",tbl_task3[[SubPLOs]:[SubPLOs]],"&lt;4")</f>
        <v>0</v>
      </c>
      <c r="AS36" s="138">
        <f>SUMIFS(tbl_task3[S40],tbl_task3[[SubPLOs]:[SubPLOs]],"&gt;=3",tbl_task3[[SubPLOs]:[SubPLOs]],"&lt;4")</f>
        <v>0</v>
      </c>
      <c r="AT36" s="138">
        <f>SUMIFS(tbl_task3[S41],tbl_task3[[SubPLOs]:[SubPLOs]],"&gt;=3",tbl_task3[[SubPLOs]:[SubPLOs]],"&lt;4")</f>
        <v>0</v>
      </c>
      <c r="AU36" s="138">
        <f>SUMIFS(tbl_task3[S42],tbl_task3[[SubPLOs]:[SubPLOs]],"&gt;=3",tbl_task3[[SubPLOs]:[SubPLOs]],"&lt;4")</f>
        <v>0</v>
      </c>
      <c r="AV36" s="138">
        <f>SUMIFS(tbl_task3[S43],tbl_task3[[SubPLOs]:[SubPLOs]],"&gt;=3",tbl_task3[[SubPLOs]:[SubPLOs]],"&lt;4")</f>
        <v>0</v>
      </c>
      <c r="AW36" s="138">
        <f>SUMIFS(tbl_task3[S44],tbl_task3[[SubPLOs]:[SubPLOs]],"&gt;=3",tbl_task3[[SubPLOs]:[SubPLOs]],"&lt;4")</f>
        <v>0</v>
      </c>
      <c r="AX36" s="138">
        <f>SUMIFS(tbl_task3[S45],tbl_task3[[SubPLOs]:[SubPLOs]],"&gt;=3",tbl_task3[[SubPLOs]:[SubPLOs]],"&lt;4")</f>
        <v>0</v>
      </c>
      <c r="AY36" s="138">
        <f>SUMIFS(tbl_task3[S46],tbl_task3[[SubPLOs]:[SubPLOs]],"&gt;=3",tbl_task3[[SubPLOs]:[SubPLOs]],"&lt;4")</f>
        <v>0</v>
      </c>
      <c r="AZ36" s="138">
        <f>SUMIFS(tbl_task3[S47],tbl_task3[[SubPLOs]:[SubPLOs]],"&gt;=3",tbl_task3[[SubPLOs]:[SubPLOs]],"&lt;4")</f>
        <v>0</v>
      </c>
      <c r="BA36" s="138">
        <f>SUMIFS(tbl_task3[S48],tbl_task3[[SubPLOs]:[SubPLOs]],"&gt;=3",tbl_task3[[SubPLOs]:[SubPLOs]],"&lt;4")</f>
        <v>0</v>
      </c>
      <c r="BB36" s="138">
        <f>SUMIFS(tbl_task3[S49],tbl_task3[[SubPLOs]:[SubPLOs]],"&gt;=3",tbl_task3[[SubPLOs]:[SubPLOs]],"&lt;4")</f>
        <v>0</v>
      </c>
      <c r="BC36" s="138">
        <f>SUMIFS(tbl_task3[S50],tbl_task3[[SubPLOs]:[SubPLOs]],"&gt;=3",tbl_task3[[SubPLOs]:[SubPLOs]],"&lt;4")</f>
        <v>0</v>
      </c>
      <c r="BD36" s="138">
        <f>SUMIFS(tbl_task3[S51],tbl_task3[[SubPLOs]:[SubPLOs]],"&gt;=3",tbl_task3[[SubPLOs]:[SubPLOs]],"&lt;4")</f>
        <v>0</v>
      </c>
      <c r="BE36" s="138">
        <f>SUMIFS(tbl_task3[S52],tbl_task3[[SubPLOs]:[SubPLOs]],"&gt;=3",tbl_task3[[SubPLOs]:[SubPLOs]],"&lt;4")</f>
        <v>0</v>
      </c>
      <c r="BF36" s="138">
        <f>SUMIFS(tbl_task3[S53],tbl_task3[[SubPLOs]:[SubPLOs]],"&gt;=3",tbl_task3[[SubPLOs]:[SubPLOs]],"&lt;4")</f>
        <v>0</v>
      </c>
      <c r="BG36" s="138">
        <f>SUMIFS(tbl_task3[S54],tbl_task3[[SubPLOs]:[SubPLOs]],"&gt;=3",tbl_task3[[SubPLOs]:[SubPLOs]],"&lt;4")</f>
        <v>0</v>
      </c>
      <c r="BH36" s="138">
        <f>SUMIFS(tbl_task3[S55],tbl_task3[[SubPLOs]:[SubPLOs]],"&gt;=3",tbl_task3[[SubPLOs]:[SubPLOs]],"&lt;4")</f>
        <v>0</v>
      </c>
      <c r="BI36" s="138">
        <f>SUMIFS(tbl_task3[S56],tbl_task3[[SubPLOs]:[SubPLOs]],"&gt;=3",tbl_task3[[SubPLOs]:[SubPLOs]],"&lt;4")</f>
        <v>0</v>
      </c>
      <c r="BJ36" s="138">
        <f>SUMIFS(tbl_task3[S57],tbl_task3[[SubPLOs]:[SubPLOs]],"&gt;=3",tbl_task3[[SubPLOs]:[SubPLOs]],"&lt;4")</f>
        <v>0</v>
      </c>
      <c r="BK36" s="138">
        <f>SUMIFS(tbl_task3[S58],tbl_task3[[SubPLOs]:[SubPLOs]],"&gt;=3",tbl_task3[[SubPLOs]:[SubPLOs]],"&lt;4")</f>
        <v>0</v>
      </c>
      <c r="BL36" s="138">
        <f>SUMIFS(tbl_task3[S59],tbl_task3[[SubPLOs]:[SubPLOs]],"&gt;=3",tbl_task3[[SubPLOs]:[SubPLOs]],"&lt;4")</f>
        <v>0</v>
      </c>
      <c r="BM36" s="138">
        <f>SUMIFS(tbl_task3[S60],tbl_task3[[SubPLOs]:[SubPLOs]],"&gt;=3",tbl_task3[[SubPLOs]:[SubPLOs]],"&lt;4")</f>
        <v>0</v>
      </c>
      <c r="BN36" s="138">
        <f>SUMIFS(tbl_task3[S61],tbl_task3[[SubPLOs]:[SubPLOs]],"&gt;=3",tbl_task3[[SubPLOs]:[SubPLOs]],"&lt;4")</f>
        <v>0</v>
      </c>
      <c r="BO36" s="138">
        <f>SUMIFS(tbl_task3[S62],tbl_task3[[SubPLOs]:[SubPLOs]],"&gt;=3",tbl_task3[[SubPLOs]:[SubPLOs]],"&lt;4")</f>
        <v>0</v>
      </c>
      <c r="BP36" s="138">
        <f>SUMIFS(tbl_task3[S63],tbl_task3[[SubPLOs]:[SubPLOs]],"&gt;=3",tbl_task3[[SubPLOs]:[SubPLOs]],"&lt;4")</f>
        <v>0</v>
      </c>
      <c r="BQ36" s="138">
        <f>SUMIFS(tbl_task3[S64],tbl_task3[[SubPLOs]:[SubPLOs]],"&gt;=3",tbl_task3[[SubPLOs]:[SubPLOs]],"&lt;4")</f>
        <v>0</v>
      </c>
      <c r="BR36" s="138">
        <f>SUMIFS(tbl_task3[S65],tbl_task3[[SubPLOs]:[SubPLOs]],"&gt;=3",tbl_task3[[SubPLOs]:[SubPLOs]],"&lt;4")</f>
        <v>0</v>
      </c>
      <c r="BS36" s="138">
        <f>SUMIFS(tbl_task3[S66],tbl_task3[[SubPLOs]:[SubPLOs]],"&gt;=3",tbl_task3[[SubPLOs]:[SubPLOs]],"&lt;4")</f>
        <v>0</v>
      </c>
      <c r="BT36" s="138">
        <f>SUMIFS(tbl_task3[S67],tbl_task3[[SubPLOs]:[SubPLOs]],"&gt;=3",tbl_task3[[SubPLOs]:[SubPLOs]],"&lt;4")</f>
        <v>0</v>
      </c>
      <c r="BU36" s="138">
        <f>SUMIFS(tbl_task3[S68],tbl_task3[[SubPLOs]:[SubPLOs]],"&gt;=3",tbl_task3[[SubPLOs]:[SubPLOs]],"&lt;4")</f>
        <v>0</v>
      </c>
      <c r="BV36" s="138">
        <f>SUMIFS(tbl_task3[S69],tbl_task3[[SubPLOs]:[SubPLOs]],"&gt;=3",tbl_task3[[SubPLOs]:[SubPLOs]],"&lt;4")</f>
        <v>0</v>
      </c>
      <c r="BW36" s="138">
        <f>SUMIFS(tbl_task3[S70],tbl_task3[[SubPLOs]:[SubPLOs]],"&gt;=3",tbl_task3[[SubPLOs]:[SubPLOs]],"&lt;4")</f>
        <v>0</v>
      </c>
      <c r="BX36" s="138">
        <f>SUMIFS(tbl_task3[S71],tbl_task3[[SubPLOs]:[SubPLOs]],"&gt;=3",tbl_task3[[SubPLOs]:[SubPLOs]],"&lt;4")</f>
        <v>0</v>
      </c>
      <c r="BY36" s="138">
        <f>SUMIFS(tbl_task3[S72],tbl_task3[[SubPLOs]:[SubPLOs]],"&gt;=3",tbl_task3[[SubPLOs]:[SubPLOs]],"&lt;4")</f>
        <v>0</v>
      </c>
      <c r="BZ36" s="138">
        <f>SUMIFS(tbl_task3[S73],tbl_task3[[SubPLOs]:[SubPLOs]],"&gt;=3",tbl_task3[[SubPLOs]:[SubPLOs]],"&lt;4")</f>
        <v>0</v>
      </c>
      <c r="CA36" s="138">
        <f>SUMIFS(tbl_task3[S74],tbl_task3[[SubPLOs]:[SubPLOs]],"&gt;=3",tbl_task3[[SubPLOs]:[SubPLOs]],"&lt;4")</f>
        <v>0</v>
      </c>
      <c r="CB36" s="138">
        <f>SUMIFS(tbl_task3[S75],tbl_task3[[SubPLOs]:[SubPLOs]],"&gt;=3",tbl_task3[[SubPLOs]:[SubPLOs]],"&lt;4")</f>
        <v>0</v>
      </c>
      <c r="CC36" s="138">
        <f>SUMIFS(tbl_task3[S76],tbl_task3[[SubPLOs]:[SubPLOs]],"&gt;=3",tbl_task3[[SubPLOs]:[SubPLOs]],"&lt;4")</f>
        <v>0</v>
      </c>
      <c r="CD36" s="138">
        <f>SUMIFS(tbl_task3[S77],tbl_task3[[SubPLOs]:[SubPLOs]],"&gt;=3",tbl_task3[[SubPLOs]:[SubPLOs]],"&lt;4")</f>
        <v>0</v>
      </c>
      <c r="CE36" s="138">
        <f>SUMIFS(tbl_task3[S78],tbl_task3[[SubPLOs]:[SubPLOs]],"&gt;=3",tbl_task3[[SubPLOs]:[SubPLOs]],"&lt;4")</f>
        <v>0</v>
      </c>
      <c r="CF36" s="138">
        <f>SUMIFS(tbl_task3[S79],tbl_task3[[SubPLOs]:[SubPLOs]],"&gt;=3",tbl_task3[[SubPLOs]:[SubPLOs]],"&lt;4")</f>
        <v>0</v>
      </c>
      <c r="CG36" s="138">
        <f>SUMIFS(tbl_task3[S80],tbl_task3[[SubPLOs]:[SubPLOs]],"&gt;=3",tbl_task3[[SubPLOs]:[SubPLOs]],"&lt;4")</f>
        <v>0</v>
      </c>
      <c r="CH36" s="138">
        <f>SUMIFS(tbl_task3[S81],tbl_task3[[SubPLOs]:[SubPLOs]],"&gt;=3",tbl_task3[[SubPLOs]:[SubPLOs]],"&lt;4")</f>
        <v>0</v>
      </c>
      <c r="CI36" s="138">
        <f>SUMIFS(tbl_task3[S82],tbl_task3[[SubPLOs]:[SubPLOs]],"&gt;=3",tbl_task3[[SubPLOs]:[SubPLOs]],"&lt;4")</f>
        <v>0</v>
      </c>
      <c r="CJ36" s="138">
        <f>SUMIFS(tbl_task3[S83],tbl_task3[[SubPLOs]:[SubPLOs]],"&gt;=3",tbl_task3[[SubPLOs]:[SubPLOs]],"&lt;4")</f>
        <v>0</v>
      </c>
      <c r="CK36" s="138">
        <f>SUMIFS(tbl_task3[S84],tbl_task3[[SubPLOs]:[SubPLOs]],"&gt;=3",tbl_task3[[SubPLOs]:[SubPLOs]],"&lt;4")</f>
        <v>0</v>
      </c>
      <c r="CL36" s="138">
        <f>SUMIFS(tbl_task3[S85],tbl_task3[[SubPLOs]:[SubPLOs]],"&gt;=3",tbl_task3[[SubPLOs]:[SubPLOs]],"&lt;4")</f>
        <v>0</v>
      </c>
      <c r="CM36" s="138">
        <f>SUMIFS(tbl_task3[S86],tbl_task3[[SubPLOs]:[SubPLOs]],"&gt;=3",tbl_task3[[SubPLOs]:[SubPLOs]],"&lt;4")</f>
        <v>0</v>
      </c>
      <c r="CN36" s="138">
        <f>SUMIFS(tbl_task3[S87],tbl_task3[[SubPLOs]:[SubPLOs]],"&gt;=3",tbl_task3[[SubPLOs]:[SubPLOs]],"&lt;4")</f>
        <v>0</v>
      </c>
      <c r="CO36" s="138">
        <f>SUMIFS(tbl_task3[S88],tbl_task3[[SubPLOs]:[SubPLOs]],"&gt;=3",tbl_task3[[SubPLOs]:[SubPLOs]],"&lt;4")</f>
        <v>0</v>
      </c>
      <c r="CP36" s="138">
        <f>SUMIFS(tbl_task3[S89],tbl_task3[[SubPLOs]:[SubPLOs]],"&gt;=3",tbl_task3[[SubPLOs]:[SubPLOs]],"&lt;4")</f>
        <v>0</v>
      </c>
      <c r="CQ36" s="138">
        <f>SUMIFS(tbl_task3[S90],tbl_task3[[SubPLOs]:[SubPLOs]],"&gt;=3",tbl_task3[[SubPLOs]:[SubPLOs]],"&lt;4")</f>
        <v>0</v>
      </c>
      <c r="CR36" s="138">
        <f>SUMIFS(tbl_task3[S91],tbl_task3[[SubPLOs]:[SubPLOs]],"&gt;=3",tbl_task3[[SubPLOs]:[SubPLOs]],"&lt;4")</f>
        <v>0</v>
      </c>
      <c r="CS36" s="138">
        <f>SUMIFS(tbl_task3[S92],tbl_task3[[SubPLOs]:[SubPLOs]],"&gt;=3",tbl_task3[[SubPLOs]:[SubPLOs]],"&lt;4")</f>
        <v>0</v>
      </c>
      <c r="CT36" s="138">
        <f>SUMIFS(tbl_task3[S93],tbl_task3[[SubPLOs]:[SubPLOs]],"&gt;=3",tbl_task3[[SubPLOs]:[SubPLOs]],"&lt;4")</f>
        <v>0</v>
      </c>
      <c r="CU36" s="138">
        <f>SUMIFS(tbl_task3[S94],tbl_task3[[SubPLOs]:[SubPLOs]],"&gt;=3",tbl_task3[[SubPLOs]:[SubPLOs]],"&lt;4")</f>
        <v>0</v>
      </c>
      <c r="CV36" s="138">
        <f>SUMIFS(tbl_task3[S95],tbl_task3[[SubPLOs]:[SubPLOs]],"&gt;=3",tbl_task3[[SubPLOs]:[SubPLOs]],"&lt;4")</f>
        <v>0</v>
      </c>
      <c r="CW36" s="138">
        <f>SUMIFS(tbl_task3[S96],tbl_task3[[SubPLOs]:[SubPLOs]],"&gt;=3",tbl_task3[[SubPLOs]:[SubPLOs]],"&lt;4")</f>
        <v>0</v>
      </c>
      <c r="CX36" s="138">
        <f>SUMIFS(tbl_task3[S97],tbl_task3[[SubPLOs]:[SubPLOs]],"&gt;=3",tbl_task3[[SubPLOs]:[SubPLOs]],"&lt;4")</f>
        <v>0</v>
      </c>
      <c r="CY36" s="138">
        <f>SUMIFS(tbl_task3[S98],tbl_task3[[SubPLOs]:[SubPLOs]],"&gt;=3",tbl_task3[[SubPLOs]:[SubPLOs]],"&lt;4")</f>
        <v>0</v>
      </c>
      <c r="CZ36" s="138">
        <f>SUMIFS(tbl_task3[S99],tbl_task3[[SubPLOs]:[SubPLOs]],"&gt;=3",tbl_task3[[SubPLOs]:[SubPLOs]],"&lt;4")</f>
        <v>0</v>
      </c>
      <c r="DA36" s="138">
        <f>SUMIFS(tbl_task3[S100],tbl_task3[[SubPLOs]:[SubPLOs]],"&gt;=3",tbl_task3[[SubPLOs]:[SubPLOs]],"&lt;4")</f>
        <v>0</v>
      </c>
      <c r="DB36" s="138">
        <f>SUMIFS(tbl_task3[S101],tbl_task3[[SubPLOs]:[SubPLOs]],"&gt;=3",tbl_task3[[SubPLOs]:[SubPLOs]],"&lt;4")</f>
        <v>0</v>
      </c>
      <c r="DC36" s="138">
        <f>SUMIFS(tbl_task3[S102],tbl_task3[[SubPLOs]:[SubPLOs]],"&gt;=3",tbl_task3[[SubPLOs]:[SubPLOs]],"&lt;4")</f>
        <v>0</v>
      </c>
      <c r="DD36" s="138">
        <f>SUMIFS(tbl_task3[S103],tbl_task3[[SubPLOs]:[SubPLOs]],"&gt;=3",tbl_task3[[SubPLOs]:[SubPLOs]],"&lt;4")</f>
        <v>0</v>
      </c>
      <c r="DE36" s="138">
        <f>SUMIFS(tbl_task3[S104],tbl_task3[[SubPLOs]:[SubPLOs]],"&gt;=3",tbl_task3[[SubPLOs]:[SubPLOs]],"&lt;4")</f>
        <v>0</v>
      </c>
      <c r="DF36" s="138">
        <f>SUMIFS(tbl_task3[S105],tbl_task3[[SubPLOs]:[SubPLOs]],"&gt;=3",tbl_task3[[SubPLOs]:[SubPLOs]],"&lt;4")</f>
        <v>0</v>
      </c>
      <c r="DG36" s="138">
        <f>SUMIFS(tbl_task3[S106],tbl_task3[[SubPLOs]:[SubPLOs]],"&gt;=3",tbl_task3[[SubPLOs]:[SubPLOs]],"&lt;4")</f>
        <v>0</v>
      </c>
      <c r="DH36" s="138">
        <f>SUMIFS(tbl_task3[S106],tbl_task3[[SubPLOs]:[SubPLOs]],"&gt;=3",tbl_task3[[SubPLOs]:[SubPLOs]],"&lt;4")</f>
        <v>0</v>
      </c>
      <c r="DI36" s="138">
        <f>SUMIFS(tbl_task3[S108],tbl_task3[[SubPLOs]:[SubPLOs]],"&gt;=3",tbl_task3[[SubPLOs]:[SubPLOs]],"&lt;4")</f>
        <v>0</v>
      </c>
      <c r="DJ36" s="138">
        <f>SUMIFS(tbl_task3[S109],tbl_task3[[SubPLOs]:[SubPLOs]],"&gt;=3",tbl_task3[[SubPLOs]:[SubPLOs]],"&lt;4")</f>
        <v>0</v>
      </c>
      <c r="DK36" s="138">
        <f>SUMIFS(tbl_task3[S110],tbl_task3[[SubPLOs]:[SubPLOs]],"&gt;=3",tbl_task3[[SubPLOs]:[SubPLOs]],"&lt;4")</f>
        <v>0</v>
      </c>
      <c r="DL36" s="138">
        <f>SUMIFS(tbl_task3[S111],tbl_task3[[SubPLOs]:[SubPLOs]],"&gt;=3",tbl_task3[[SubPLOs]:[SubPLOs]],"&lt;4")</f>
        <v>0</v>
      </c>
      <c r="DM36" s="138">
        <f>SUMIFS(tbl_task3[S112],tbl_task3[[SubPLOs]:[SubPLOs]],"&gt;=3",tbl_task3[[SubPLOs]:[SubPLOs]],"&lt;4")</f>
        <v>0</v>
      </c>
      <c r="DN36" s="138">
        <f>SUMIFS(tbl_task3[S113],tbl_task3[[SubPLOs]:[SubPLOs]],"&gt;=3",tbl_task3[[SubPLOs]:[SubPLOs]],"&lt;4")</f>
        <v>0</v>
      </c>
      <c r="DO36" s="138">
        <f>SUMIFS(tbl_task3[S114],tbl_task3[[SubPLOs]:[SubPLOs]],"&gt;=3",tbl_task3[[SubPLOs]:[SubPLOs]],"&lt;4")</f>
        <v>0</v>
      </c>
      <c r="DP36" s="138">
        <f>SUMIFS(tbl_task3[S115],tbl_task3[[SubPLOs]:[SubPLOs]],"&gt;=3",tbl_task3[[SubPLOs]:[SubPLOs]],"&lt;4")</f>
        <v>0</v>
      </c>
      <c r="DQ36" s="138">
        <f>SUMIFS(tbl_task3[S116],tbl_task3[[SubPLOs]:[SubPLOs]],"&gt;=3",tbl_task3[[SubPLOs]:[SubPLOs]],"&lt;4")</f>
        <v>0</v>
      </c>
      <c r="DR36" s="138">
        <f>SUMIFS(tbl_task3[S117],tbl_task3[[SubPLOs]:[SubPLOs]],"&gt;=3",tbl_task3[[SubPLOs]:[SubPLOs]],"&lt;4")</f>
        <v>0</v>
      </c>
      <c r="DS36" s="138">
        <f>SUMIFS(tbl_task3[S118],tbl_task3[[SubPLOs]:[SubPLOs]],"&gt;=3",tbl_task3[[SubPLOs]:[SubPLOs]],"&lt;4")</f>
        <v>0</v>
      </c>
      <c r="DT36" s="138">
        <f>SUMIFS(tbl_task3[S119],tbl_task3[[SubPLOs]:[SubPLOs]],"&gt;=3",tbl_task3[[SubPLOs]:[SubPLOs]],"&lt;4")</f>
        <v>0</v>
      </c>
      <c r="DU36" s="138">
        <f>SUMIFS(tbl_task3[S120],tbl_task3[[SubPLOs]:[SubPLOs]],"&gt;=3",tbl_task3[[SubPLOs]:[SubPLOs]],"&lt;4")</f>
        <v>0</v>
      </c>
      <c r="DV36" s="138">
        <f>SUMIFS(tbl_task3[S121],tbl_task3[[SubPLOs]:[SubPLOs]],"&gt;=3",tbl_task3[[SubPLOs]:[SubPLOs]],"&lt;4")</f>
        <v>0</v>
      </c>
      <c r="DW36" s="138">
        <f>SUMIFS(tbl_task3[S122],tbl_task3[[SubPLOs]:[SubPLOs]],"&gt;=3",tbl_task3[[SubPLOs]:[SubPLOs]],"&lt;4")</f>
        <v>0</v>
      </c>
      <c r="DX36" s="138">
        <f>SUMIFS(tbl_task3[S123],tbl_task3[[SubPLOs]:[SubPLOs]],"&gt;=3",tbl_task3[[SubPLOs]:[SubPLOs]],"&lt;4")</f>
        <v>0</v>
      </c>
      <c r="DY36" s="138">
        <f>SUMIFS(tbl_task3[S124],tbl_task3[[SubPLOs]:[SubPLOs]],"&gt;=3",tbl_task3[[SubPLOs]:[SubPLOs]],"&lt;4")</f>
        <v>0</v>
      </c>
      <c r="DZ36" s="138">
        <f>SUMIFS(tbl_task3[S125],tbl_task3[[SubPLOs]:[SubPLOs]],"&gt;=3",tbl_task3[[SubPLOs]:[SubPLOs]],"&lt;4")</f>
        <v>0</v>
      </c>
      <c r="EA36" s="138">
        <f>SUMIFS(tbl_task3[S126],tbl_task3[[SubPLOs]:[SubPLOs]],"&gt;=3",tbl_task3[[SubPLOs]:[SubPLOs]],"&lt;4")</f>
        <v>0</v>
      </c>
      <c r="EB36" s="138">
        <f>SUMIFS(tbl_task3[S127],tbl_task3[[SubPLOs]:[SubPLOs]],"&gt;=3",tbl_task3[[SubPLOs]:[SubPLOs]],"&lt;4")</f>
        <v>0</v>
      </c>
      <c r="EC36" s="138">
        <f>SUMIFS(tbl_task3[S128],tbl_task3[[SubPLOs]:[SubPLOs]],"&gt;=3",tbl_task3[[SubPLOs]:[SubPLOs]],"&lt;4")</f>
        <v>0</v>
      </c>
      <c r="ED36" s="138">
        <f>SUMIFS(tbl_task3[S129],tbl_task3[[SubPLOs]:[SubPLOs]],"&gt;=3",tbl_task3[[SubPLOs]:[SubPLOs]],"&lt;4")</f>
        <v>0</v>
      </c>
      <c r="EE36" s="138">
        <f>SUMIFS(tbl_task3[S130],tbl_task3[[SubPLOs]:[SubPLOs]],"&gt;=3",tbl_task3[[SubPLOs]:[SubPLOs]],"&lt;4")</f>
        <v>0</v>
      </c>
      <c r="EF36" s="138">
        <f>SUMIFS(tbl_task3[S131],tbl_task3[[SubPLOs]:[SubPLOs]],"&gt;=3",tbl_task3[[SubPLOs]:[SubPLOs]],"&lt;4")</f>
        <v>0</v>
      </c>
      <c r="EG36" s="138">
        <f>SUMIFS(tbl_task3[S132],tbl_task3[[SubPLOs]:[SubPLOs]],"&gt;=3",tbl_task3[[SubPLOs]:[SubPLOs]],"&lt;4")</f>
        <v>0</v>
      </c>
      <c r="EH36" s="138">
        <f>SUMIFS(tbl_task3[S133],tbl_task3[[SubPLOs]:[SubPLOs]],"&gt;=3",tbl_task3[[SubPLOs]:[SubPLOs]],"&lt;4")</f>
        <v>0</v>
      </c>
      <c r="EI36" s="138">
        <f>SUMIFS(tbl_task3[S134],tbl_task3[[SubPLOs]:[SubPLOs]],"&gt;=3",tbl_task3[[SubPLOs]:[SubPLOs]],"&lt;4")</f>
        <v>0</v>
      </c>
      <c r="EJ36" s="138">
        <f>SUMIFS(tbl_task3[S135],tbl_task3[[SubPLOs]:[SubPLOs]],"&gt;=3",tbl_task3[[SubPLOs]:[SubPLOs]],"&lt;4")</f>
        <v>0</v>
      </c>
      <c r="EK36" s="138">
        <f>SUMIFS(tbl_task3[S136],tbl_task3[[SubPLOs]:[SubPLOs]],"&gt;=3",tbl_task3[[SubPLOs]:[SubPLOs]],"&lt;4")</f>
        <v>0</v>
      </c>
      <c r="EL36" s="138">
        <f>SUMIFS(tbl_task3[S137],tbl_task3[[SubPLOs]:[SubPLOs]],"&gt;=3",tbl_task3[[SubPLOs]:[SubPLOs]],"&lt;4")</f>
        <v>0</v>
      </c>
      <c r="EM36" s="138">
        <f>SUMIFS(tbl_task3[S138],tbl_task3[[SubPLOs]:[SubPLOs]],"&gt;=3",tbl_task3[[SubPLOs]:[SubPLOs]],"&lt;4")</f>
        <v>0</v>
      </c>
      <c r="EN36" s="138">
        <f>SUMIFS(tbl_task3[S139],tbl_task3[[SubPLOs]:[SubPLOs]],"&gt;=3",tbl_task3[[SubPLOs]:[SubPLOs]],"&lt;4")</f>
        <v>0</v>
      </c>
      <c r="EO36" s="138">
        <f>SUMIFS(tbl_task3[S140],tbl_task3[[SubPLOs]:[SubPLOs]],"&gt;=3",tbl_task3[[SubPLOs]:[SubPLOs]],"&lt;4")</f>
        <v>0</v>
      </c>
      <c r="EP36" s="138">
        <f>SUMIFS(tbl_task3[S141],tbl_task3[[SubPLOs]:[SubPLOs]],"&gt;=3",tbl_task3[[SubPLOs]:[SubPLOs]],"&lt;4")</f>
        <v>0</v>
      </c>
      <c r="EQ36" s="138">
        <f>SUMIFS(tbl_task3[S142],tbl_task3[[SubPLOs]:[SubPLOs]],"&gt;=3",tbl_task3[[SubPLOs]:[SubPLOs]],"&lt;4")</f>
        <v>0</v>
      </c>
      <c r="ER36" s="138">
        <f>SUMIFS(tbl_task3[S143],tbl_task3[[SubPLOs]:[SubPLOs]],"&gt;=3",tbl_task3[[SubPLOs]:[SubPLOs]],"&lt;4")</f>
        <v>0</v>
      </c>
      <c r="ES36" s="138">
        <f>SUMIFS(tbl_task3[S144],tbl_task3[[SubPLOs]:[SubPLOs]],"&gt;=3",tbl_task3[[SubPLOs]:[SubPLOs]],"&lt;4")</f>
        <v>0</v>
      </c>
      <c r="ET36" s="138">
        <f>SUMIFS(tbl_task3[S145],tbl_task3[[SubPLOs]:[SubPLOs]],"&gt;=3",tbl_task3[[SubPLOs]:[SubPLOs]],"&lt;4")</f>
        <v>0</v>
      </c>
      <c r="EU36" s="138">
        <f>SUMIFS(tbl_task3[S146],tbl_task3[[SubPLOs]:[SubPLOs]],"&gt;=3",tbl_task3[[SubPLOs]:[SubPLOs]],"&lt;4")</f>
        <v>0</v>
      </c>
      <c r="EV36" s="138">
        <f>SUMIFS(tbl_task3[S147],tbl_task3[[SubPLOs]:[SubPLOs]],"&gt;=3",tbl_task3[[SubPLOs]:[SubPLOs]],"&lt;4")</f>
        <v>0</v>
      </c>
      <c r="EW36" s="138">
        <f>SUMIFS(tbl_task3[S148],tbl_task3[[SubPLOs]:[SubPLOs]],"&gt;=3",tbl_task3[[SubPLOs]:[SubPLOs]],"&lt;4")</f>
        <v>0</v>
      </c>
      <c r="EX36" s="138">
        <f>SUMIFS(tbl_task3[S149],tbl_task3[[SubPLOs]:[SubPLOs]],"&gt;=3",tbl_task3[[SubPLOs]:[SubPLOs]],"&lt;4")</f>
        <v>0</v>
      </c>
      <c r="EY36" s="138">
        <f>SUMIFS(tbl_task3[S150],tbl_task3[[SubPLOs]:[SubPLOs]],"&gt;=3",tbl_task3[[SubPLOs]:[SubPLOs]],"&lt;4")</f>
        <v>0</v>
      </c>
      <c r="EZ36" s="138">
        <f>SUMIFS(tbl_task3[S151],tbl_task3[[SubPLOs]:[SubPLOs]],"&gt;=3",tbl_task3[[SubPLOs]:[SubPLOs]],"&lt;4")</f>
        <v>0</v>
      </c>
      <c r="FA36" s="138">
        <f>SUMIFS(tbl_task3[S152],tbl_task3[[SubPLOs]:[SubPLOs]],"&gt;=3",tbl_task3[[SubPLOs]:[SubPLOs]],"&lt;4")</f>
        <v>0</v>
      </c>
      <c r="FB36" s="138">
        <f>SUMIFS(tbl_task3[S153],tbl_task3[[SubPLOs]:[SubPLOs]],"&gt;=3",tbl_task3[[SubPLOs]:[SubPLOs]],"&lt;4")</f>
        <v>0</v>
      </c>
      <c r="FC36" s="138">
        <f>SUMIFS(tbl_task3[S154],tbl_task3[[SubPLOs]:[SubPLOs]],"&gt;=3",tbl_task3[[SubPLOs]:[SubPLOs]],"&lt;4")</f>
        <v>0</v>
      </c>
      <c r="FD36" s="138">
        <f>SUMIFS(tbl_task3[S155],tbl_task3[[SubPLOs]:[SubPLOs]],"&gt;=3",tbl_task3[[SubPLOs]:[SubPLOs]],"&lt;4")</f>
        <v>0</v>
      </c>
      <c r="FE36" s="138">
        <f>SUMIFS(tbl_task3[S156],tbl_task3[[SubPLOs]:[SubPLOs]],"&gt;=3",tbl_task3[[SubPLOs]:[SubPLOs]],"&lt;4")</f>
        <v>0</v>
      </c>
      <c r="FF36" s="138">
        <f>SUMIFS(tbl_task3[S157],tbl_task3[[SubPLOs]:[SubPLOs]],"&gt;=3",tbl_task3[[SubPLOs]:[SubPLOs]],"&lt;4")</f>
        <v>0</v>
      </c>
      <c r="FG36" s="138">
        <f>SUMIFS(tbl_task3[S158],tbl_task3[[SubPLOs]:[SubPLOs]],"&gt;=3",tbl_task3[[SubPLOs]:[SubPLOs]],"&lt;4")</f>
        <v>0</v>
      </c>
      <c r="FH36" s="138">
        <f>SUMIFS(tbl_task3[S159],tbl_task3[[SubPLOs]:[SubPLOs]],"&gt;=3",tbl_task3[[SubPLOs]:[SubPLOs]],"&lt;4")</f>
        <v>0</v>
      </c>
      <c r="FI36" s="138">
        <f>SUMIFS(tbl_task3[S160],tbl_task3[[SubPLOs]:[SubPLOs]],"&gt;=3",tbl_task3[[SubPLOs]:[SubPLOs]],"&lt;4")</f>
        <v>0</v>
      </c>
      <c r="FJ36" s="138">
        <f>SUMIFS(tbl_task3[S161],tbl_task3[[SubPLOs]:[SubPLOs]],"&gt;=3",tbl_task3[[SubPLOs]:[SubPLOs]],"&lt;4")</f>
        <v>0</v>
      </c>
      <c r="FK36" s="138">
        <f>SUMIFS(tbl_task3[S162],tbl_task3[[SubPLOs]:[SubPLOs]],"&gt;=3",tbl_task3[[SubPLOs]:[SubPLOs]],"&lt;4")</f>
        <v>0</v>
      </c>
      <c r="FL36" s="138">
        <f>SUMIFS(tbl_task3[S163],tbl_task3[[SubPLOs]:[SubPLOs]],"&gt;=3",tbl_task3[[SubPLOs]:[SubPLOs]],"&lt;4")</f>
        <v>0</v>
      </c>
      <c r="FM36" s="138">
        <f>SUMIFS(tbl_task3[S164],tbl_task3[[SubPLOs]:[SubPLOs]],"&gt;=3",tbl_task3[[SubPLOs]:[SubPLOs]],"&lt;4")</f>
        <v>0</v>
      </c>
      <c r="FN36" s="138">
        <f>SUMIFS(tbl_task3[S165],tbl_task3[[SubPLOs]:[SubPLOs]],"&gt;=3",tbl_task3[[SubPLOs]:[SubPLOs]],"&lt;4")</f>
        <v>0</v>
      </c>
    </row>
    <row r="37" spans="1:170" ht="63" x14ac:dyDescent="0.25">
      <c r="A37" s="135">
        <v>4</v>
      </c>
      <c r="B37" s="5" t="s">
        <v>437</v>
      </c>
      <c r="C37" s="136">
        <f>COUNTIFS(tbl_task3[SubPLOs],"&gt;=4",tbl_task3[SubPLOs],"&lt;5")</f>
        <v>0</v>
      </c>
      <c r="D37" s="136">
        <f>SUMIFS(tbl_task3[คะแนนเต็ม],tbl_task3[SubPLOs],"&gt;=4",tbl_task3[SubPLOs],"&lt;5")</f>
        <v>0</v>
      </c>
      <c r="E37" s="137">
        <f>SUMIFS(tbl_task3[%],tbl_task3[SubPLOs],"&gt;=4",tbl_task3[SubPLOs],"&lt;5")</f>
        <v>0</v>
      </c>
      <c r="F37" s="138">
        <f>SUMIFS(tbl_task3[S1],tbl_task3[[SubPLOs]:[SubPLOs]],"&gt;=4",tbl_task3[[SubPLOs]:[SubPLOs]],"&lt;5")</f>
        <v>0</v>
      </c>
      <c r="G37" s="138">
        <f>SUMIFS(tbl_task3[S2],tbl_task3[[SubPLOs]:[SubPLOs]],"&gt;=4",tbl_task3[[SubPLOs]:[SubPLOs]],"&lt;5")</f>
        <v>0</v>
      </c>
      <c r="H37" s="138">
        <f>SUMIFS(tbl_task3[S3],tbl_task3[[SubPLOs]:[SubPLOs]],"&gt;=4",tbl_task3[[SubPLOs]:[SubPLOs]],"&lt;5")</f>
        <v>0</v>
      </c>
      <c r="I37" s="138">
        <f>SUMIFS(tbl_task3[S4],tbl_task3[[SubPLOs]:[SubPLOs]],"&gt;=4",tbl_task3[[SubPLOs]:[SubPLOs]],"&lt;5")</f>
        <v>0</v>
      </c>
      <c r="J37" s="138">
        <f>SUMIFS(tbl_task3[S5],tbl_task3[[SubPLOs]:[SubPLOs]],"&gt;=4",tbl_task3[[SubPLOs]:[SubPLOs]],"&lt;5")</f>
        <v>0</v>
      </c>
      <c r="K37" s="138">
        <f>SUMIFS(tbl_task3[S6],tbl_task3[[SubPLOs]:[SubPLOs]],"&gt;=4",tbl_task3[[SubPLOs]:[SubPLOs]],"&lt;5")</f>
        <v>0</v>
      </c>
      <c r="L37" s="138">
        <f>SUMIFS(tbl_task3[S7],tbl_task3[[SubPLOs]:[SubPLOs]],"&gt;=4",tbl_task3[[SubPLOs]:[SubPLOs]],"&lt;5")</f>
        <v>0</v>
      </c>
      <c r="M37" s="138">
        <f>SUMIFS(tbl_task3[S8],tbl_task3[[SubPLOs]:[SubPLOs]],"&gt;=4",tbl_task3[[SubPLOs]:[SubPLOs]],"&lt;5")</f>
        <v>0</v>
      </c>
      <c r="N37" s="138">
        <f>SUMIFS(tbl_task3[S9],tbl_task3[[SubPLOs]:[SubPLOs]],"&gt;=4",tbl_task3[[SubPLOs]:[SubPLOs]],"&lt;5")</f>
        <v>0</v>
      </c>
      <c r="O37" s="138">
        <f>SUMIFS(tbl_task3[S10],tbl_task3[[SubPLOs]:[SubPLOs]],"&gt;=4",tbl_task3[[SubPLOs]:[SubPLOs]],"&lt;5")</f>
        <v>0</v>
      </c>
      <c r="P37" s="138">
        <f>SUMIFS(tbl_task3[S11],tbl_task3[[SubPLOs]:[SubPLOs]],"&gt;=4",tbl_task3[[SubPLOs]:[SubPLOs]],"&lt;5")</f>
        <v>0</v>
      </c>
      <c r="Q37" s="138">
        <f>SUMIFS(tbl_task3[S12],tbl_task3[[SubPLOs]:[SubPLOs]],"&gt;=4",tbl_task3[[SubPLOs]:[SubPLOs]],"&lt;5")</f>
        <v>0</v>
      </c>
      <c r="R37" s="138">
        <f>SUMIFS(tbl_task3[S13],tbl_task3[[SubPLOs]:[SubPLOs]],"&gt;=4",tbl_task3[[SubPLOs]:[SubPLOs]],"&lt;5")</f>
        <v>0</v>
      </c>
      <c r="S37" s="138">
        <f>SUMIFS(tbl_task3[S14],tbl_task3[[SubPLOs]:[SubPLOs]],"&gt;=4",tbl_task3[[SubPLOs]:[SubPLOs]],"&lt;5")</f>
        <v>0</v>
      </c>
      <c r="T37" s="138">
        <f>SUMIFS(tbl_task3[S15],tbl_task3[[SubPLOs]:[SubPLOs]],"&gt;=4",tbl_task3[[SubPLOs]:[SubPLOs]],"&lt;5")</f>
        <v>0</v>
      </c>
      <c r="U37" s="138">
        <f>SUMIFS(tbl_task3[S16],tbl_task3[[SubPLOs]:[SubPLOs]],"&gt;=4",tbl_task3[[SubPLOs]:[SubPLOs]],"&lt;5")</f>
        <v>0</v>
      </c>
      <c r="V37" s="138">
        <f>SUMIFS(tbl_task3[S17],tbl_task3[[SubPLOs]:[SubPLOs]],"&gt;=4",tbl_task3[[SubPLOs]:[SubPLOs]],"&lt;5")</f>
        <v>0</v>
      </c>
      <c r="W37" s="138">
        <f>SUMIFS(tbl_task3[S18],tbl_task3[[SubPLOs]:[SubPLOs]],"&gt;=4",tbl_task3[[SubPLOs]:[SubPLOs]],"&lt;5")</f>
        <v>0</v>
      </c>
      <c r="X37" s="138">
        <f>SUMIFS(tbl_task3[S19],tbl_task3[[SubPLOs]:[SubPLOs]],"&gt;=4",tbl_task3[[SubPLOs]:[SubPLOs]],"&lt;5")</f>
        <v>0</v>
      </c>
      <c r="Y37" s="138">
        <f>SUMIFS(tbl_task3[S20],tbl_task3[[SubPLOs]:[SubPLOs]],"&gt;=4",tbl_task3[[SubPLOs]:[SubPLOs]],"&lt;5")</f>
        <v>0</v>
      </c>
      <c r="Z37" s="138">
        <f>SUMIFS(tbl_task3[S21],tbl_task3[[SubPLOs]:[SubPLOs]],"&gt;=4",tbl_task3[[SubPLOs]:[SubPLOs]],"&lt;5")</f>
        <v>0</v>
      </c>
      <c r="AA37" s="138">
        <f>SUMIFS(tbl_task3[S22],tbl_task3[[SubPLOs]:[SubPLOs]],"&gt;=4",tbl_task3[[SubPLOs]:[SubPLOs]],"&lt;5")</f>
        <v>0</v>
      </c>
      <c r="AB37" s="138">
        <f>SUMIFS(tbl_task3[S23],tbl_task3[[SubPLOs]:[SubPLOs]],"&gt;=4",tbl_task3[[SubPLOs]:[SubPLOs]],"&lt;5")</f>
        <v>0</v>
      </c>
      <c r="AC37" s="138">
        <f>SUMIFS(tbl_task3[S24],tbl_task3[[SubPLOs]:[SubPLOs]],"&gt;=4",tbl_task3[[SubPLOs]:[SubPLOs]],"&lt;5")</f>
        <v>0</v>
      </c>
      <c r="AD37" s="138">
        <f>SUMIFS(tbl_task3[S25],tbl_task3[[SubPLOs]:[SubPLOs]],"&gt;=4",tbl_task3[[SubPLOs]:[SubPLOs]],"&lt;5")</f>
        <v>0</v>
      </c>
      <c r="AE37" s="138">
        <f>SUMIFS(tbl_task3[S26],tbl_task3[[SubPLOs]:[SubPLOs]],"&gt;=4",tbl_task3[[SubPLOs]:[SubPLOs]],"&lt;5")</f>
        <v>0</v>
      </c>
      <c r="AF37" s="138">
        <f>SUMIFS(tbl_task3[S27],tbl_task3[[SubPLOs]:[SubPLOs]],"&gt;=4",tbl_task3[[SubPLOs]:[SubPLOs]],"&lt;5")</f>
        <v>0</v>
      </c>
      <c r="AG37" s="138">
        <f>SUMIFS(tbl_task3[S28],tbl_task3[[SubPLOs]:[SubPLOs]],"&gt;=4",tbl_task3[[SubPLOs]:[SubPLOs]],"&lt;5")</f>
        <v>0</v>
      </c>
      <c r="AH37" s="138">
        <f>SUMIFS(tbl_task3[S29],tbl_task3[[SubPLOs]:[SubPLOs]],"&gt;=4",tbl_task3[[SubPLOs]:[SubPLOs]],"&lt;5")</f>
        <v>0</v>
      </c>
      <c r="AI37" s="138">
        <f>SUMIFS(tbl_task3[S30],tbl_task3[[SubPLOs]:[SubPLOs]],"&gt;=4",tbl_task3[[SubPLOs]:[SubPLOs]],"&lt;5")</f>
        <v>0</v>
      </c>
      <c r="AJ37" s="138">
        <f>SUMIFS(tbl_task3[S31],tbl_task3[[SubPLOs]:[SubPLOs]],"&gt;=4",tbl_task3[[SubPLOs]:[SubPLOs]],"&lt;5")</f>
        <v>0</v>
      </c>
      <c r="AK37" s="138">
        <f>SUMIFS(tbl_task3[S32],tbl_task3[[SubPLOs]:[SubPLOs]],"&gt;=4",tbl_task3[[SubPLOs]:[SubPLOs]],"&lt;5")</f>
        <v>0</v>
      </c>
      <c r="AL37" s="138">
        <f>SUMIFS(tbl_task3[S33],tbl_task3[[SubPLOs]:[SubPLOs]],"&gt;=4",tbl_task3[[SubPLOs]:[SubPLOs]],"&lt;5")</f>
        <v>0</v>
      </c>
      <c r="AM37" s="138">
        <f>SUMIFS(tbl_task3[S34],tbl_task3[[SubPLOs]:[SubPLOs]],"&gt;=4",tbl_task3[[SubPLOs]:[SubPLOs]],"&lt;5")</f>
        <v>0</v>
      </c>
      <c r="AN37" s="138">
        <f>SUMIFS(tbl_task3[S35],tbl_task3[[SubPLOs]:[SubPLOs]],"&gt;=4",tbl_task3[[SubPLOs]:[SubPLOs]],"&lt;5")</f>
        <v>0</v>
      </c>
      <c r="AO37" s="138">
        <f>SUMIFS(tbl_task3[S36],tbl_task3[[SubPLOs]:[SubPLOs]],"&gt;=4",tbl_task3[[SubPLOs]:[SubPLOs]],"&lt;5")</f>
        <v>0</v>
      </c>
      <c r="AP37" s="138">
        <f>SUMIFS(tbl_task3[S37],tbl_task3[[SubPLOs]:[SubPLOs]],"&gt;=4",tbl_task3[[SubPLOs]:[SubPLOs]],"&lt;5")</f>
        <v>0</v>
      </c>
      <c r="AQ37" s="138">
        <f>SUMIFS(tbl_task3[S38],tbl_task3[[SubPLOs]:[SubPLOs]],"&gt;=4",tbl_task3[[SubPLOs]:[SubPLOs]],"&lt;5")</f>
        <v>0</v>
      </c>
      <c r="AR37" s="138">
        <f>SUMIFS(tbl_task3[S39],tbl_task3[[SubPLOs]:[SubPLOs]],"&gt;=4",tbl_task3[[SubPLOs]:[SubPLOs]],"&lt;5")</f>
        <v>0</v>
      </c>
      <c r="AS37" s="138">
        <f>SUMIFS(tbl_task3[S40],tbl_task3[[SubPLOs]:[SubPLOs]],"&gt;=4",tbl_task3[[SubPLOs]:[SubPLOs]],"&lt;5")</f>
        <v>0</v>
      </c>
      <c r="AT37" s="138">
        <f>SUMIFS(tbl_task3[S41],tbl_task3[[SubPLOs]:[SubPLOs]],"&gt;=4",tbl_task3[[SubPLOs]:[SubPLOs]],"&lt;5")</f>
        <v>0</v>
      </c>
      <c r="AU37" s="138">
        <f>SUMIFS(tbl_task3[S42],tbl_task3[[SubPLOs]:[SubPLOs]],"&gt;=4",tbl_task3[[SubPLOs]:[SubPLOs]],"&lt;5")</f>
        <v>0</v>
      </c>
      <c r="AV37" s="138">
        <f>SUMIFS(tbl_task3[S43],tbl_task3[[SubPLOs]:[SubPLOs]],"&gt;=4",tbl_task3[[SubPLOs]:[SubPLOs]],"&lt;5")</f>
        <v>0</v>
      </c>
      <c r="AW37" s="138">
        <f>SUMIFS(tbl_task3[S44],tbl_task3[[SubPLOs]:[SubPLOs]],"&gt;=4",tbl_task3[[SubPLOs]:[SubPLOs]],"&lt;5")</f>
        <v>0</v>
      </c>
      <c r="AX37" s="138">
        <f>SUMIFS(tbl_task3[S45],tbl_task3[[SubPLOs]:[SubPLOs]],"&gt;=4",tbl_task3[[SubPLOs]:[SubPLOs]],"&lt;5")</f>
        <v>0</v>
      </c>
      <c r="AY37" s="138">
        <f>SUMIFS(tbl_task3[S46],tbl_task3[[SubPLOs]:[SubPLOs]],"&gt;=4",tbl_task3[[SubPLOs]:[SubPLOs]],"&lt;5")</f>
        <v>0</v>
      </c>
      <c r="AZ37" s="138">
        <f>SUMIFS(tbl_task3[S47],tbl_task3[[SubPLOs]:[SubPLOs]],"&gt;=4",tbl_task3[[SubPLOs]:[SubPLOs]],"&lt;5")</f>
        <v>0</v>
      </c>
      <c r="BA37" s="138">
        <f>SUMIFS(tbl_task3[S48],tbl_task3[[SubPLOs]:[SubPLOs]],"&gt;=4",tbl_task3[[SubPLOs]:[SubPLOs]],"&lt;5")</f>
        <v>0</v>
      </c>
      <c r="BB37" s="138">
        <f>SUMIFS(tbl_task3[S49],tbl_task3[[SubPLOs]:[SubPLOs]],"&gt;=4",tbl_task3[[SubPLOs]:[SubPLOs]],"&lt;5")</f>
        <v>0</v>
      </c>
      <c r="BC37" s="138">
        <f>SUMIFS(tbl_task3[S50],tbl_task3[[SubPLOs]:[SubPLOs]],"&gt;=4",tbl_task3[[SubPLOs]:[SubPLOs]],"&lt;5")</f>
        <v>0</v>
      </c>
      <c r="BD37" s="138">
        <f>SUMIFS(tbl_task3[S51],tbl_task3[[SubPLOs]:[SubPLOs]],"&gt;=4",tbl_task3[[SubPLOs]:[SubPLOs]],"&lt;5")</f>
        <v>0</v>
      </c>
      <c r="BE37" s="138">
        <f>SUMIFS(tbl_task3[S52],tbl_task3[[SubPLOs]:[SubPLOs]],"&gt;=4",tbl_task3[[SubPLOs]:[SubPLOs]],"&lt;5")</f>
        <v>0</v>
      </c>
      <c r="BF37" s="138">
        <f>SUMIFS(tbl_task3[S53],tbl_task3[[SubPLOs]:[SubPLOs]],"&gt;=4",tbl_task3[[SubPLOs]:[SubPLOs]],"&lt;5")</f>
        <v>0</v>
      </c>
      <c r="BG37" s="138">
        <f>SUMIFS(tbl_task3[S54],tbl_task3[[SubPLOs]:[SubPLOs]],"&gt;=4",tbl_task3[[SubPLOs]:[SubPLOs]],"&lt;5")</f>
        <v>0</v>
      </c>
      <c r="BH37" s="138">
        <f>SUMIFS(tbl_task3[S55],tbl_task3[[SubPLOs]:[SubPLOs]],"&gt;=4",tbl_task3[[SubPLOs]:[SubPLOs]],"&lt;5")</f>
        <v>0</v>
      </c>
      <c r="BI37" s="138">
        <f>SUMIFS(tbl_task3[S56],tbl_task3[[SubPLOs]:[SubPLOs]],"&gt;=4",tbl_task3[[SubPLOs]:[SubPLOs]],"&lt;5")</f>
        <v>0</v>
      </c>
      <c r="BJ37" s="138">
        <f>SUMIFS(tbl_task3[S57],tbl_task3[[SubPLOs]:[SubPLOs]],"&gt;=4",tbl_task3[[SubPLOs]:[SubPLOs]],"&lt;5")</f>
        <v>0</v>
      </c>
      <c r="BK37" s="138">
        <f>SUMIFS(tbl_task3[S58],tbl_task3[[SubPLOs]:[SubPLOs]],"&gt;=4",tbl_task3[[SubPLOs]:[SubPLOs]],"&lt;5")</f>
        <v>0</v>
      </c>
      <c r="BL37" s="138">
        <f>SUMIFS(tbl_task3[S59],tbl_task3[[SubPLOs]:[SubPLOs]],"&gt;=4",tbl_task3[[SubPLOs]:[SubPLOs]],"&lt;5")</f>
        <v>0</v>
      </c>
      <c r="BM37" s="138">
        <f>SUMIFS(tbl_task3[S60],tbl_task3[[SubPLOs]:[SubPLOs]],"&gt;=4",tbl_task3[[SubPLOs]:[SubPLOs]],"&lt;5")</f>
        <v>0</v>
      </c>
      <c r="BN37" s="138">
        <f>SUMIFS(tbl_task3[S61],tbl_task3[[SubPLOs]:[SubPLOs]],"&gt;=4",tbl_task3[[SubPLOs]:[SubPLOs]],"&lt;5")</f>
        <v>0</v>
      </c>
      <c r="BO37" s="138">
        <f>SUMIFS(tbl_task3[S62],tbl_task3[[SubPLOs]:[SubPLOs]],"&gt;=4",tbl_task3[[SubPLOs]:[SubPLOs]],"&lt;5")</f>
        <v>0</v>
      </c>
      <c r="BP37" s="138">
        <f>SUMIFS(tbl_task3[S63],tbl_task3[[SubPLOs]:[SubPLOs]],"&gt;=4",tbl_task3[[SubPLOs]:[SubPLOs]],"&lt;5")</f>
        <v>0</v>
      </c>
      <c r="BQ37" s="138">
        <f>SUMIFS(tbl_task3[S64],tbl_task3[[SubPLOs]:[SubPLOs]],"&gt;=4",tbl_task3[[SubPLOs]:[SubPLOs]],"&lt;5")</f>
        <v>0</v>
      </c>
      <c r="BR37" s="138">
        <f>SUMIFS(tbl_task3[S65],tbl_task3[[SubPLOs]:[SubPLOs]],"&gt;=4",tbl_task3[[SubPLOs]:[SubPLOs]],"&lt;5")</f>
        <v>0</v>
      </c>
      <c r="BS37" s="138">
        <f>SUMIFS(tbl_task3[S66],tbl_task3[[SubPLOs]:[SubPLOs]],"&gt;=4",tbl_task3[[SubPLOs]:[SubPLOs]],"&lt;5")</f>
        <v>0</v>
      </c>
      <c r="BT37" s="138">
        <f>SUMIFS(tbl_task3[S67],tbl_task3[[SubPLOs]:[SubPLOs]],"&gt;=4",tbl_task3[[SubPLOs]:[SubPLOs]],"&lt;5")</f>
        <v>0</v>
      </c>
      <c r="BU37" s="138">
        <f>SUMIFS(tbl_task3[S68],tbl_task3[[SubPLOs]:[SubPLOs]],"&gt;=4",tbl_task3[[SubPLOs]:[SubPLOs]],"&lt;5")</f>
        <v>0</v>
      </c>
      <c r="BV37" s="138">
        <f>SUMIFS(tbl_task3[S69],tbl_task3[[SubPLOs]:[SubPLOs]],"&gt;=4",tbl_task3[[SubPLOs]:[SubPLOs]],"&lt;5")</f>
        <v>0</v>
      </c>
      <c r="BW37" s="138">
        <f>SUMIFS(tbl_task3[S70],tbl_task3[[SubPLOs]:[SubPLOs]],"&gt;=4",tbl_task3[[SubPLOs]:[SubPLOs]],"&lt;5")</f>
        <v>0</v>
      </c>
      <c r="BX37" s="138">
        <f>SUMIFS(tbl_task3[S71],tbl_task3[[SubPLOs]:[SubPLOs]],"&gt;=4",tbl_task3[[SubPLOs]:[SubPLOs]],"&lt;5")</f>
        <v>0</v>
      </c>
      <c r="BY37" s="138">
        <f>SUMIFS(tbl_task3[S72],tbl_task3[[SubPLOs]:[SubPLOs]],"&gt;=4",tbl_task3[[SubPLOs]:[SubPLOs]],"&lt;5")</f>
        <v>0</v>
      </c>
      <c r="BZ37" s="138">
        <f>SUMIFS(tbl_task3[S73],tbl_task3[[SubPLOs]:[SubPLOs]],"&gt;=4",tbl_task3[[SubPLOs]:[SubPLOs]],"&lt;5")</f>
        <v>0</v>
      </c>
      <c r="CA37" s="138">
        <f>SUMIFS(tbl_task3[S74],tbl_task3[[SubPLOs]:[SubPLOs]],"&gt;=4",tbl_task3[[SubPLOs]:[SubPLOs]],"&lt;5")</f>
        <v>0</v>
      </c>
      <c r="CB37" s="138">
        <f>SUMIFS(tbl_task3[S75],tbl_task3[[SubPLOs]:[SubPLOs]],"&gt;=4",tbl_task3[[SubPLOs]:[SubPLOs]],"&lt;5")</f>
        <v>0</v>
      </c>
      <c r="CC37" s="138">
        <f>SUMIFS(tbl_task3[S76],tbl_task3[[SubPLOs]:[SubPLOs]],"&gt;=4",tbl_task3[[SubPLOs]:[SubPLOs]],"&lt;5")</f>
        <v>0</v>
      </c>
      <c r="CD37" s="138">
        <f>SUMIFS(tbl_task3[S77],tbl_task3[[SubPLOs]:[SubPLOs]],"&gt;=4",tbl_task3[[SubPLOs]:[SubPLOs]],"&lt;5")</f>
        <v>0</v>
      </c>
      <c r="CE37" s="138">
        <f>SUMIFS(tbl_task3[S78],tbl_task3[[SubPLOs]:[SubPLOs]],"&gt;=4",tbl_task3[[SubPLOs]:[SubPLOs]],"&lt;5")</f>
        <v>0</v>
      </c>
      <c r="CF37" s="138">
        <f>SUMIFS(tbl_task3[S79],tbl_task3[[SubPLOs]:[SubPLOs]],"&gt;=4",tbl_task3[[SubPLOs]:[SubPLOs]],"&lt;5")</f>
        <v>0</v>
      </c>
      <c r="CG37" s="138">
        <f>SUMIFS(tbl_task3[S80],tbl_task3[[SubPLOs]:[SubPLOs]],"&gt;=4",tbl_task3[[SubPLOs]:[SubPLOs]],"&lt;5")</f>
        <v>0</v>
      </c>
      <c r="CH37" s="138">
        <f>SUMIFS(tbl_task3[S81],tbl_task3[[SubPLOs]:[SubPLOs]],"&gt;=4",tbl_task3[[SubPLOs]:[SubPLOs]],"&lt;5")</f>
        <v>0</v>
      </c>
      <c r="CI37" s="138">
        <f>SUMIFS(tbl_task3[S82],tbl_task3[[SubPLOs]:[SubPLOs]],"&gt;=4",tbl_task3[[SubPLOs]:[SubPLOs]],"&lt;5")</f>
        <v>0</v>
      </c>
      <c r="CJ37" s="138">
        <f>SUMIFS(tbl_task3[S83],tbl_task3[[SubPLOs]:[SubPLOs]],"&gt;=4",tbl_task3[[SubPLOs]:[SubPLOs]],"&lt;5")</f>
        <v>0</v>
      </c>
      <c r="CK37" s="138">
        <f>SUMIFS(tbl_task3[S84],tbl_task3[[SubPLOs]:[SubPLOs]],"&gt;=4",tbl_task3[[SubPLOs]:[SubPLOs]],"&lt;5")</f>
        <v>0</v>
      </c>
      <c r="CL37" s="138">
        <f>SUMIFS(tbl_task3[S85],tbl_task3[[SubPLOs]:[SubPLOs]],"&gt;=4",tbl_task3[[SubPLOs]:[SubPLOs]],"&lt;5")</f>
        <v>0</v>
      </c>
      <c r="CM37" s="138">
        <f>SUMIFS(tbl_task3[S86],tbl_task3[[SubPLOs]:[SubPLOs]],"&gt;=4",tbl_task3[[SubPLOs]:[SubPLOs]],"&lt;5")</f>
        <v>0</v>
      </c>
      <c r="CN37" s="138">
        <f>SUMIFS(tbl_task3[S87],tbl_task3[[SubPLOs]:[SubPLOs]],"&gt;=4",tbl_task3[[SubPLOs]:[SubPLOs]],"&lt;5")</f>
        <v>0</v>
      </c>
      <c r="CO37" s="138">
        <f>SUMIFS(tbl_task3[S88],tbl_task3[[SubPLOs]:[SubPLOs]],"&gt;=4",tbl_task3[[SubPLOs]:[SubPLOs]],"&lt;5")</f>
        <v>0</v>
      </c>
      <c r="CP37" s="138">
        <f>SUMIFS(tbl_task3[S89],tbl_task3[[SubPLOs]:[SubPLOs]],"&gt;=4",tbl_task3[[SubPLOs]:[SubPLOs]],"&lt;5")</f>
        <v>0</v>
      </c>
      <c r="CQ37" s="138">
        <f>SUMIFS(tbl_task3[S90],tbl_task3[[SubPLOs]:[SubPLOs]],"&gt;=4",tbl_task3[[SubPLOs]:[SubPLOs]],"&lt;5")</f>
        <v>0</v>
      </c>
      <c r="CR37" s="138">
        <f>SUMIFS(tbl_task3[S91],tbl_task3[[SubPLOs]:[SubPLOs]],"&gt;=4",tbl_task3[[SubPLOs]:[SubPLOs]],"&lt;5")</f>
        <v>0</v>
      </c>
      <c r="CS37" s="138">
        <f>SUMIFS(tbl_task3[S92],tbl_task3[[SubPLOs]:[SubPLOs]],"&gt;=4",tbl_task3[[SubPLOs]:[SubPLOs]],"&lt;5")</f>
        <v>0</v>
      </c>
      <c r="CT37" s="138">
        <f>SUMIFS(tbl_task3[S93],tbl_task3[[SubPLOs]:[SubPLOs]],"&gt;=4",tbl_task3[[SubPLOs]:[SubPLOs]],"&lt;5")</f>
        <v>0</v>
      </c>
      <c r="CU37" s="138">
        <f>SUMIFS(tbl_task3[S94],tbl_task3[[SubPLOs]:[SubPLOs]],"&gt;=4",tbl_task3[[SubPLOs]:[SubPLOs]],"&lt;5")</f>
        <v>0</v>
      </c>
      <c r="CV37" s="138">
        <f>SUMIFS(tbl_task3[S95],tbl_task3[[SubPLOs]:[SubPLOs]],"&gt;=4",tbl_task3[[SubPLOs]:[SubPLOs]],"&lt;5")</f>
        <v>0</v>
      </c>
      <c r="CW37" s="138">
        <f>SUMIFS(tbl_task3[S96],tbl_task3[[SubPLOs]:[SubPLOs]],"&gt;=4",tbl_task3[[SubPLOs]:[SubPLOs]],"&lt;5")</f>
        <v>0</v>
      </c>
      <c r="CX37" s="138">
        <f>SUMIFS(tbl_task3[S97],tbl_task3[[SubPLOs]:[SubPLOs]],"&gt;=4",tbl_task3[[SubPLOs]:[SubPLOs]],"&lt;5")</f>
        <v>0</v>
      </c>
      <c r="CY37" s="138">
        <f>SUMIFS(tbl_task3[S98],tbl_task3[[SubPLOs]:[SubPLOs]],"&gt;=4",tbl_task3[[SubPLOs]:[SubPLOs]],"&lt;5")</f>
        <v>0</v>
      </c>
      <c r="CZ37" s="138">
        <f>SUMIFS(tbl_task3[S99],tbl_task3[[SubPLOs]:[SubPLOs]],"&gt;=4",tbl_task3[[SubPLOs]:[SubPLOs]],"&lt;5")</f>
        <v>0</v>
      </c>
      <c r="DA37" s="138">
        <f>SUMIFS(tbl_task3[S100],tbl_task3[[SubPLOs]:[SubPLOs]],"&gt;=4",tbl_task3[[SubPLOs]:[SubPLOs]],"&lt;5")</f>
        <v>0</v>
      </c>
      <c r="DB37" s="138">
        <f>SUMIFS(tbl_task3[S101],tbl_task3[[SubPLOs]:[SubPLOs]],"&gt;=4",tbl_task3[[SubPLOs]:[SubPLOs]],"&lt;5")</f>
        <v>0</v>
      </c>
      <c r="DC37" s="138">
        <f>SUMIFS(tbl_task3[S102],tbl_task3[[SubPLOs]:[SubPLOs]],"&gt;=4",tbl_task3[[SubPLOs]:[SubPLOs]],"&lt;5")</f>
        <v>0</v>
      </c>
      <c r="DD37" s="138">
        <f>SUMIFS(tbl_task3[S103],tbl_task3[[SubPLOs]:[SubPLOs]],"&gt;=4",tbl_task3[[SubPLOs]:[SubPLOs]],"&lt;5")</f>
        <v>0</v>
      </c>
      <c r="DE37" s="138">
        <f>SUMIFS(tbl_task3[S104],tbl_task3[[SubPLOs]:[SubPLOs]],"&gt;=4",tbl_task3[[SubPLOs]:[SubPLOs]],"&lt;5")</f>
        <v>0</v>
      </c>
      <c r="DF37" s="138">
        <f>SUMIFS(tbl_task3[S105],tbl_task3[[SubPLOs]:[SubPLOs]],"&gt;=4",tbl_task3[[SubPLOs]:[SubPLOs]],"&lt;5")</f>
        <v>0</v>
      </c>
      <c r="DG37" s="138">
        <f>SUMIFS(tbl_task3[S106],tbl_task3[[SubPLOs]:[SubPLOs]],"&gt;=4",tbl_task3[[SubPLOs]:[SubPLOs]],"&lt;5")</f>
        <v>0</v>
      </c>
      <c r="DH37" s="138">
        <f>SUMIFS(tbl_task3[S106],tbl_task3[[SubPLOs]:[SubPLOs]],"&gt;=4",tbl_task3[[SubPLOs]:[SubPLOs]],"&lt;5")</f>
        <v>0</v>
      </c>
      <c r="DI37" s="138">
        <f>SUMIFS(tbl_task3[S108],tbl_task3[[SubPLOs]:[SubPLOs]],"&gt;=4",tbl_task3[[SubPLOs]:[SubPLOs]],"&lt;5")</f>
        <v>0</v>
      </c>
      <c r="DJ37" s="138">
        <f>SUMIFS(tbl_task3[S109],tbl_task3[[SubPLOs]:[SubPLOs]],"&gt;=4",tbl_task3[[SubPLOs]:[SubPLOs]],"&lt;5")</f>
        <v>0</v>
      </c>
      <c r="DK37" s="138">
        <f>SUMIFS(tbl_task3[S110],tbl_task3[[SubPLOs]:[SubPLOs]],"&gt;=4",tbl_task3[[SubPLOs]:[SubPLOs]],"&lt;5")</f>
        <v>0</v>
      </c>
      <c r="DL37" s="138">
        <f>SUMIFS(tbl_task3[S111],tbl_task3[[SubPLOs]:[SubPLOs]],"&gt;=4",tbl_task3[[SubPLOs]:[SubPLOs]],"&lt;5")</f>
        <v>0</v>
      </c>
      <c r="DM37" s="138">
        <f>SUMIFS(tbl_task3[S112],tbl_task3[[SubPLOs]:[SubPLOs]],"&gt;=4",tbl_task3[[SubPLOs]:[SubPLOs]],"&lt;5")</f>
        <v>0</v>
      </c>
      <c r="DN37" s="138">
        <f>SUMIFS(tbl_task3[S113],tbl_task3[[SubPLOs]:[SubPLOs]],"&gt;=4",tbl_task3[[SubPLOs]:[SubPLOs]],"&lt;5")</f>
        <v>0</v>
      </c>
      <c r="DO37" s="138">
        <f>SUMIFS(tbl_task3[S114],tbl_task3[[SubPLOs]:[SubPLOs]],"&gt;=4",tbl_task3[[SubPLOs]:[SubPLOs]],"&lt;5")</f>
        <v>0</v>
      </c>
      <c r="DP37" s="138">
        <f>SUMIFS(tbl_task3[S115],tbl_task3[[SubPLOs]:[SubPLOs]],"&gt;=4",tbl_task3[[SubPLOs]:[SubPLOs]],"&lt;5")</f>
        <v>0</v>
      </c>
      <c r="DQ37" s="138">
        <f>SUMIFS(tbl_task3[S116],tbl_task3[[SubPLOs]:[SubPLOs]],"&gt;=4",tbl_task3[[SubPLOs]:[SubPLOs]],"&lt;5")</f>
        <v>0</v>
      </c>
      <c r="DR37" s="138">
        <f>SUMIFS(tbl_task3[S117],tbl_task3[[SubPLOs]:[SubPLOs]],"&gt;=4",tbl_task3[[SubPLOs]:[SubPLOs]],"&lt;5")</f>
        <v>0</v>
      </c>
      <c r="DS37" s="138">
        <f>SUMIFS(tbl_task3[S118],tbl_task3[[SubPLOs]:[SubPLOs]],"&gt;=4",tbl_task3[[SubPLOs]:[SubPLOs]],"&lt;5")</f>
        <v>0</v>
      </c>
      <c r="DT37" s="138">
        <f>SUMIFS(tbl_task3[S119],tbl_task3[[SubPLOs]:[SubPLOs]],"&gt;=4",tbl_task3[[SubPLOs]:[SubPLOs]],"&lt;5")</f>
        <v>0</v>
      </c>
      <c r="DU37" s="138">
        <f>SUMIFS(tbl_task3[S120],tbl_task3[[SubPLOs]:[SubPLOs]],"&gt;=4",tbl_task3[[SubPLOs]:[SubPLOs]],"&lt;5")</f>
        <v>0</v>
      </c>
      <c r="DV37" s="138">
        <f>SUMIFS(tbl_task3[S121],tbl_task3[[SubPLOs]:[SubPLOs]],"&gt;=4",tbl_task3[[SubPLOs]:[SubPLOs]],"&lt;5")</f>
        <v>0</v>
      </c>
      <c r="DW37" s="138">
        <f>SUMIFS(tbl_task3[S122],tbl_task3[[SubPLOs]:[SubPLOs]],"&gt;=4",tbl_task3[[SubPLOs]:[SubPLOs]],"&lt;5")</f>
        <v>0</v>
      </c>
      <c r="DX37" s="138">
        <f>SUMIFS(tbl_task3[S123],tbl_task3[[SubPLOs]:[SubPLOs]],"&gt;=4",tbl_task3[[SubPLOs]:[SubPLOs]],"&lt;5")</f>
        <v>0</v>
      </c>
      <c r="DY37" s="138">
        <f>SUMIFS(tbl_task3[S124],tbl_task3[[SubPLOs]:[SubPLOs]],"&gt;=4",tbl_task3[[SubPLOs]:[SubPLOs]],"&lt;5")</f>
        <v>0</v>
      </c>
      <c r="DZ37" s="138">
        <f>SUMIFS(tbl_task3[S125],tbl_task3[[SubPLOs]:[SubPLOs]],"&gt;=4",tbl_task3[[SubPLOs]:[SubPLOs]],"&lt;5")</f>
        <v>0</v>
      </c>
      <c r="EA37" s="138">
        <f>SUMIFS(tbl_task3[S126],tbl_task3[[SubPLOs]:[SubPLOs]],"&gt;=4",tbl_task3[[SubPLOs]:[SubPLOs]],"&lt;5")</f>
        <v>0</v>
      </c>
      <c r="EB37" s="138">
        <f>SUMIFS(tbl_task3[S127],tbl_task3[[SubPLOs]:[SubPLOs]],"&gt;=4",tbl_task3[[SubPLOs]:[SubPLOs]],"&lt;5")</f>
        <v>0</v>
      </c>
      <c r="EC37" s="138">
        <f>SUMIFS(tbl_task3[S128],tbl_task3[[SubPLOs]:[SubPLOs]],"&gt;=4",tbl_task3[[SubPLOs]:[SubPLOs]],"&lt;5")</f>
        <v>0</v>
      </c>
      <c r="ED37" s="138">
        <f>SUMIFS(tbl_task3[S129],tbl_task3[[SubPLOs]:[SubPLOs]],"&gt;=4",tbl_task3[[SubPLOs]:[SubPLOs]],"&lt;5")</f>
        <v>0</v>
      </c>
      <c r="EE37" s="138">
        <f>SUMIFS(tbl_task3[S130],tbl_task3[[SubPLOs]:[SubPLOs]],"&gt;=4",tbl_task3[[SubPLOs]:[SubPLOs]],"&lt;5")</f>
        <v>0</v>
      </c>
      <c r="EF37" s="138">
        <f>SUMIFS(tbl_task3[S131],tbl_task3[[SubPLOs]:[SubPLOs]],"&gt;=4",tbl_task3[[SubPLOs]:[SubPLOs]],"&lt;5")</f>
        <v>0</v>
      </c>
      <c r="EG37" s="138">
        <f>SUMIFS(tbl_task3[S132],tbl_task3[[SubPLOs]:[SubPLOs]],"&gt;=4",tbl_task3[[SubPLOs]:[SubPLOs]],"&lt;5")</f>
        <v>0</v>
      </c>
      <c r="EH37" s="138">
        <f>SUMIFS(tbl_task3[S133],tbl_task3[[SubPLOs]:[SubPLOs]],"&gt;=4",tbl_task3[[SubPLOs]:[SubPLOs]],"&lt;5")</f>
        <v>0</v>
      </c>
      <c r="EI37" s="138">
        <f>SUMIFS(tbl_task3[S134],tbl_task3[[SubPLOs]:[SubPLOs]],"&gt;=4",tbl_task3[[SubPLOs]:[SubPLOs]],"&lt;5")</f>
        <v>0</v>
      </c>
      <c r="EJ37" s="138">
        <f>SUMIFS(tbl_task3[S135],tbl_task3[[SubPLOs]:[SubPLOs]],"&gt;=4",tbl_task3[[SubPLOs]:[SubPLOs]],"&lt;5")</f>
        <v>0</v>
      </c>
      <c r="EK37" s="138">
        <f>SUMIFS(tbl_task3[S136],tbl_task3[[SubPLOs]:[SubPLOs]],"&gt;=4",tbl_task3[[SubPLOs]:[SubPLOs]],"&lt;5")</f>
        <v>0</v>
      </c>
      <c r="EL37" s="138">
        <f>SUMIFS(tbl_task3[S137],tbl_task3[[SubPLOs]:[SubPLOs]],"&gt;=4",tbl_task3[[SubPLOs]:[SubPLOs]],"&lt;5")</f>
        <v>0</v>
      </c>
      <c r="EM37" s="138">
        <f>SUMIFS(tbl_task3[S138],tbl_task3[[SubPLOs]:[SubPLOs]],"&gt;=4",tbl_task3[[SubPLOs]:[SubPLOs]],"&lt;5")</f>
        <v>0</v>
      </c>
      <c r="EN37" s="138">
        <f>SUMIFS(tbl_task3[S139],tbl_task3[[SubPLOs]:[SubPLOs]],"&gt;=4",tbl_task3[[SubPLOs]:[SubPLOs]],"&lt;5")</f>
        <v>0</v>
      </c>
      <c r="EO37" s="138">
        <f>SUMIFS(tbl_task3[S140],tbl_task3[[SubPLOs]:[SubPLOs]],"&gt;=4",tbl_task3[[SubPLOs]:[SubPLOs]],"&lt;5")</f>
        <v>0</v>
      </c>
      <c r="EP37" s="138">
        <f>SUMIFS(tbl_task3[S141],tbl_task3[[SubPLOs]:[SubPLOs]],"&gt;=4",tbl_task3[[SubPLOs]:[SubPLOs]],"&lt;5")</f>
        <v>0</v>
      </c>
      <c r="EQ37" s="138">
        <f>SUMIFS(tbl_task3[S142],tbl_task3[[SubPLOs]:[SubPLOs]],"&gt;=4",tbl_task3[[SubPLOs]:[SubPLOs]],"&lt;5")</f>
        <v>0</v>
      </c>
      <c r="ER37" s="138">
        <f>SUMIFS(tbl_task3[S143],tbl_task3[[SubPLOs]:[SubPLOs]],"&gt;=4",tbl_task3[[SubPLOs]:[SubPLOs]],"&lt;5")</f>
        <v>0</v>
      </c>
      <c r="ES37" s="138">
        <f>SUMIFS(tbl_task3[S144],tbl_task3[[SubPLOs]:[SubPLOs]],"&gt;=4",tbl_task3[[SubPLOs]:[SubPLOs]],"&lt;5")</f>
        <v>0</v>
      </c>
      <c r="ET37" s="138">
        <f>SUMIFS(tbl_task3[S145],tbl_task3[[SubPLOs]:[SubPLOs]],"&gt;=4",tbl_task3[[SubPLOs]:[SubPLOs]],"&lt;5")</f>
        <v>0</v>
      </c>
      <c r="EU37" s="138">
        <f>SUMIFS(tbl_task3[S146],tbl_task3[[SubPLOs]:[SubPLOs]],"&gt;=4",tbl_task3[[SubPLOs]:[SubPLOs]],"&lt;5")</f>
        <v>0</v>
      </c>
      <c r="EV37" s="138">
        <f>SUMIFS(tbl_task3[S147],tbl_task3[[SubPLOs]:[SubPLOs]],"&gt;=4",tbl_task3[[SubPLOs]:[SubPLOs]],"&lt;5")</f>
        <v>0</v>
      </c>
      <c r="EW37" s="138">
        <f>SUMIFS(tbl_task3[S148],tbl_task3[[SubPLOs]:[SubPLOs]],"&gt;=4",tbl_task3[[SubPLOs]:[SubPLOs]],"&lt;5")</f>
        <v>0</v>
      </c>
      <c r="EX37" s="138">
        <f>SUMIFS(tbl_task3[S149],tbl_task3[[SubPLOs]:[SubPLOs]],"&gt;=4",tbl_task3[[SubPLOs]:[SubPLOs]],"&lt;5")</f>
        <v>0</v>
      </c>
      <c r="EY37" s="138">
        <f>SUMIFS(tbl_task3[S150],tbl_task3[[SubPLOs]:[SubPLOs]],"&gt;=4",tbl_task3[[SubPLOs]:[SubPLOs]],"&lt;5")</f>
        <v>0</v>
      </c>
      <c r="EZ37" s="138">
        <f>SUMIFS(tbl_task3[S151],tbl_task3[[SubPLOs]:[SubPLOs]],"&gt;=4",tbl_task3[[SubPLOs]:[SubPLOs]],"&lt;5")</f>
        <v>0</v>
      </c>
      <c r="FA37" s="138">
        <f>SUMIFS(tbl_task3[S152],tbl_task3[[SubPLOs]:[SubPLOs]],"&gt;=4",tbl_task3[[SubPLOs]:[SubPLOs]],"&lt;5")</f>
        <v>0</v>
      </c>
      <c r="FB37" s="138">
        <f>SUMIFS(tbl_task3[S153],tbl_task3[[SubPLOs]:[SubPLOs]],"&gt;=4",tbl_task3[[SubPLOs]:[SubPLOs]],"&lt;5")</f>
        <v>0</v>
      </c>
      <c r="FC37" s="138">
        <f>SUMIFS(tbl_task3[S154],tbl_task3[[SubPLOs]:[SubPLOs]],"&gt;=4",tbl_task3[[SubPLOs]:[SubPLOs]],"&lt;5")</f>
        <v>0</v>
      </c>
      <c r="FD37" s="138">
        <f>SUMIFS(tbl_task3[S155],tbl_task3[[SubPLOs]:[SubPLOs]],"&gt;=4",tbl_task3[[SubPLOs]:[SubPLOs]],"&lt;5")</f>
        <v>0</v>
      </c>
      <c r="FE37" s="138">
        <f>SUMIFS(tbl_task3[S156],tbl_task3[[SubPLOs]:[SubPLOs]],"&gt;=4",tbl_task3[[SubPLOs]:[SubPLOs]],"&lt;5")</f>
        <v>0</v>
      </c>
      <c r="FF37" s="138">
        <f>SUMIFS(tbl_task3[S157],tbl_task3[[SubPLOs]:[SubPLOs]],"&gt;=4",tbl_task3[[SubPLOs]:[SubPLOs]],"&lt;5")</f>
        <v>0</v>
      </c>
      <c r="FG37" s="138">
        <f>SUMIFS(tbl_task3[S158],tbl_task3[[SubPLOs]:[SubPLOs]],"&gt;=4",tbl_task3[[SubPLOs]:[SubPLOs]],"&lt;5")</f>
        <v>0</v>
      </c>
      <c r="FH37" s="138">
        <f>SUMIFS(tbl_task3[S159],tbl_task3[[SubPLOs]:[SubPLOs]],"&gt;=4",tbl_task3[[SubPLOs]:[SubPLOs]],"&lt;5")</f>
        <v>0</v>
      </c>
      <c r="FI37" s="138">
        <f>SUMIFS(tbl_task3[S160],tbl_task3[[SubPLOs]:[SubPLOs]],"&gt;=4",tbl_task3[[SubPLOs]:[SubPLOs]],"&lt;5")</f>
        <v>0</v>
      </c>
      <c r="FJ37" s="138">
        <f>SUMIFS(tbl_task3[S161],tbl_task3[[SubPLOs]:[SubPLOs]],"&gt;=4",tbl_task3[[SubPLOs]:[SubPLOs]],"&lt;5")</f>
        <v>0</v>
      </c>
      <c r="FK37" s="138">
        <f>SUMIFS(tbl_task3[S162],tbl_task3[[SubPLOs]:[SubPLOs]],"&gt;=4",tbl_task3[[SubPLOs]:[SubPLOs]],"&lt;5")</f>
        <v>0</v>
      </c>
      <c r="FL37" s="138">
        <f>SUMIFS(tbl_task3[S163],tbl_task3[[SubPLOs]:[SubPLOs]],"&gt;=4",tbl_task3[[SubPLOs]:[SubPLOs]],"&lt;5")</f>
        <v>0</v>
      </c>
      <c r="FM37" s="138">
        <f>SUMIFS(tbl_task3[S164],tbl_task3[[SubPLOs]:[SubPLOs]],"&gt;=4",tbl_task3[[SubPLOs]:[SubPLOs]],"&lt;5")</f>
        <v>0</v>
      </c>
      <c r="FN37" s="138">
        <f>SUMIFS(tbl_task3[S165],tbl_task3[[SubPLOs]:[SubPLOs]],"&gt;=4",tbl_task3[[SubPLOs]:[SubPLOs]],"&lt;5")</f>
        <v>0</v>
      </c>
    </row>
    <row r="38" spans="1:170" ht="84" x14ac:dyDescent="0.25">
      <c r="A38" s="135">
        <v>5</v>
      </c>
      <c r="B38" s="5" t="s">
        <v>438</v>
      </c>
      <c r="C38" s="136">
        <f>COUNTIFS(tbl_task3[SubPLOs],"&gt;=5",tbl_task3[SubPLOs],"&lt;6")</f>
        <v>0</v>
      </c>
      <c r="D38" s="136">
        <f>SUMIFS(tbl_task3[คะแนนเต็ม],tbl_task3[SubPLOs],"&gt;=5",tbl_task3[SubPLOs],"&lt;6")</f>
        <v>0</v>
      </c>
      <c r="E38" s="137">
        <f>SUMIFS(tbl_task3[%],tbl_task3[SubPLOs],"&gt;=5",tbl_task3[SubPLOs],"&lt;6")</f>
        <v>0</v>
      </c>
      <c r="F38" s="138">
        <f>SUMIFS(tbl_task3[S1],tbl_task3[[SubPLOs]:[SubPLOs]],"&gt;=5",tbl_task3[[SubPLOs]:[SubPLOs]],"&lt;6")</f>
        <v>0</v>
      </c>
      <c r="G38" s="138">
        <f>SUMIFS(tbl_task3[S2],tbl_task3[[SubPLOs]:[SubPLOs]],"&gt;=5",tbl_task3[[SubPLOs]:[SubPLOs]],"&lt;6")</f>
        <v>0</v>
      </c>
      <c r="H38" s="138">
        <f>SUMIFS(tbl_task3[S3],tbl_task3[[SubPLOs]:[SubPLOs]],"&gt;=5",tbl_task3[[SubPLOs]:[SubPLOs]],"&lt;6")</f>
        <v>0</v>
      </c>
      <c r="I38" s="138">
        <f>SUMIFS(tbl_task3[S4],tbl_task3[[SubPLOs]:[SubPLOs]],"&gt;=5",tbl_task3[[SubPLOs]:[SubPLOs]],"&lt;6")</f>
        <v>0</v>
      </c>
      <c r="J38" s="138">
        <f>SUMIFS(tbl_task3[S5],tbl_task3[[SubPLOs]:[SubPLOs]],"&gt;=5",tbl_task3[[SubPLOs]:[SubPLOs]],"&lt;6")</f>
        <v>0</v>
      </c>
      <c r="K38" s="138">
        <f>SUMIFS(tbl_task3[S6],tbl_task3[[SubPLOs]:[SubPLOs]],"&gt;=5",tbl_task3[[SubPLOs]:[SubPLOs]],"&lt;6")</f>
        <v>0</v>
      </c>
      <c r="L38" s="138">
        <f>SUMIFS(tbl_task3[S7],tbl_task3[[SubPLOs]:[SubPLOs]],"&gt;=5",tbl_task3[[SubPLOs]:[SubPLOs]],"&lt;6")</f>
        <v>0</v>
      </c>
      <c r="M38" s="138">
        <f>SUMIFS(tbl_task3[S8],tbl_task3[[SubPLOs]:[SubPLOs]],"&gt;=5",tbl_task3[[SubPLOs]:[SubPLOs]],"&lt;6")</f>
        <v>0</v>
      </c>
      <c r="N38" s="138">
        <f>SUMIFS(tbl_task3[S9],tbl_task3[[SubPLOs]:[SubPLOs]],"&gt;=5",tbl_task3[[SubPLOs]:[SubPLOs]],"&lt;6")</f>
        <v>0</v>
      </c>
      <c r="O38" s="138">
        <f>SUMIFS(tbl_task3[S10],tbl_task3[[SubPLOs]:[SubPLOs]],"&gt;=5",tbl_task3[[SubPLOs]:[SubPLOs]],"&lt;6")</f>
        <v>0</v>
      </c>
      <c r="P38" s="138">
        <f>SUMIFS(tbl_task3[S11],tbl_task3[[SubPLOs]:[SubPLOs]],"&gt;=5",tbl_task3[[SubPLOs]:[SubPLOs]],"&lt;6")</f>
        <v>0</v>
      </c>
      <c r="Q38" s="138">
        <f>SUMIFS(tbl_task3[S12],tbl_task3[[SubPLOs]:[SubPLOs]],"&gt;=5",tbl_task3[[SubPLOs]:[SubPLOs]],"&lt;6")</f>
        <v>0</v>
      </c>
      <c r="R38" s="138">
        <f>SUMIFS(tbl_task3[S13],tbl_task3[[SubPLOs]:[SubPLOs]],"&gt;=5",tbl_task3[[SubPLOs]:[SubPLOs]],"&lt;6")</f>
        <v>0</v>
      </c>
      <c r="S38" s="138">
        <f>SUMIFS(tbl_task3[S14],tbl_task3[[SubPLOs]:[SubPLOs]],"&gt;=5",tbl_task3[[SubPLOs]:[SubPLOs]],"&lt;6")</f>
        <v>0</v>
      </c>
      <c r="T38" s="138">
        <f>SUMIFS(tbl_task3[S15],tbl_task3[[SubPLOs]:[SubPLOs]],"&gt;=5",tbl_task3[[SubPLOs]:[SubPLOs]],"&lt;6")</f>
        <v>0</v>
      </c>
      <c r="U38" s="138">
        <f>SUMIFS(tbl_task3[S16],tbl_task3[[SubPLOs]:[SubPLOs]],"&gt;=5",tbl_task3[[SubPLOs]:[SubPLOs]],"&lt;6")</f>
        <v>0</v>
      </c>
      <c r="V38" s="138">
        <f>SUMIFS(tbl_task3[S17],tbl_task3[[SubPLOs]:[SubPLOs]],"&gt;=5",tbl_task3[[SubPLOs]:[SubPLOs]],"&lt;6")</f>
        <v>0</v>
      </c>
      <c r="W38" s="138">
        <f>SUMIFS(tbl_task3[S18],tbl_task3[[SubPLOs]:[SubPLOs]],"&gt;=5",tbl_task3[[SubPLOs]:[SubPLOs]],"&lt;6")</f>
        <v>0</v>
      </c>
      <c r="X38" s="138">
        <f>SUMIFS(tbl_task3[S19],tbl_task3[[SubPLOs]:[SubPLOs]],"&gt;=5",tbl_task3[[SubPLOs]:[SubPLOs]],"&lt;6")</f>
        <v>0</v>
      </c>
      <c r="Y38" s="138">
        <f>SUMIFS(tbl_task3[S20],tbl_task3[[SubPLOs]:[SubPLOs]],"&gt;=5",tbl_task3[[SubPLOs]:[SubPLOs]],"&lt;6")</f>
        <v>0</v>
      </c>
      <c r="Z38" s="138">
        <f>SUMIFS(tbl_task3[S21],tbl_task3[[SubPLOs]:[SubPLOs]],"&gt;=5",tbl_task3[[SubPLOs]:[SubPLOs]],"&lt;6")</f>
        <v>0</v>
      </c>
      <c r="AA38" s="138">
        <f>SUMIFS(tbl_task3[S22],tbl_task3[[SubPLOs]:[SubPLOs]],"&gt;=5",tbl_task3[[SubPLOs]:[SubPLOs]],"&lt;6")</f>
        <v>0</v>
      </c>
      <c r="AB38" s="138">
        <f>SUMIFS(tbl_task3[S23],tbl_task3[[SubPLOs]:[SubPLOs]],"&gt;=5",tbl_task3[[SubPLOs]:[SubPLOs]],"&lt;6")</f>
        <v>0</v>
      </c>
      <c r="AC38" s="138">
        <f>SUMIFS(tbl_task3[S24],tbl_task3[[SubPLOs]:[SubPLOs]],"&gt;=5",tbl_task3[[SubPLOs]:[SubPLOs]],"&lt;6")</f>
        <v>0</v>
      </c>
      <c r="AD38" s="138">
        <f>SUMIFS(tbl_task3[S25],tbl_task3[[SubPLOs]:[SubPLOs]],"&gt;=5",tbl_task3[[SubPLOs]:[SubPLOs]],"&lt;6")</f>
        <v>0</v>
      </c>
      <c r="AE38" s="138">
        <f>SUMIFS(tbl_task3[S26],tbl_task3[[SubPLOs]:[SubPLOs]],"&gt;=5",tbl_task3[[SubPLOs]:[SubPLOs]],"&lt;6")</f>
        <v>0</v>
      </c>
      <c r="AF38" s="138">
        <f>SUMIFS(tbl_task3[S27],tbl_task3[[SubPLOs]:[SubPLOs]],"&gt;=5",tbl_task3[[SubPLOs]:[SubPLOs]],"&lt;6")</f>
        <v>0</v>
      </c>
      <c r="AG38" s="138">
        <f>SUMIFS(tbl_task3[S28],tbl_task3[[SubPLOs]:[SubPLOs]],"&gt;=5",tbl_task3[[SubPLOs]:[SubPLOs]],"&lt;6")</f>
        <v>0</v>
      </c>
      <c r="AH38" s="138">
        <f>SUMIFS(tbl_task3[S29],tbl_task3[[SubPLOs]:[SubPLOs]],"&gt;=5",tbl_task3[[SubPLOs]:[SubPLOs]],"&lt;6")</f>
        <v>0</v>
      </c>
      <c r="AI38" s="138">
        <f>SUMIFS(tbl_task3[S30],tbl_task3[[SubPLOs]:[SubPLOs]],"&gt;=5",tbl_task3[[SubPLOs]:[SubPLOs]],"&lt;6")</f>
        <v>0</v>
      </c>
      <c r="AJ38" s="138">
        <f>SUMIFS(tbl_task3[S31],tbl_task3[[SubPLOs]:[SubPLOs]],"&gt;=5",tbl_task3[[SubPLOs]:[SubPLOs]],"&lt;6")</f>
        <v>0</v>
      </c>
      <c r="AK38" s="138">
        <f>SUMIFS(tbl_task3[S32],tbl_task3[[SubPLOs]:[SubPLOs]],"&gt;=5",tbl_task3[[SubPLOs]:[SubPLOs]],"&lt;6")</f>
        <v>0</v>
      </c>
      <c r="AL38" s="138">
        <f>SUMIFS(tbl_task3[S33],tbl_task3[[SubPLOs]:[SubPLOs]],"&gt;=5",tbl_task3[[SubPLOs]:[SubPLOs]],"&lt;6")</f>
        <v>0</v>
      </c>
      <c r="AM38" s="138">
        <f>SUMIFS(tbl_task3[S34],tbl_task3[[SubPLOs]:[SubPLOs]],"&gt;=5",tbl_task3[[SubPLOs]:[SubPLOs]],"&lt;6")</f>
        <v>0</v>
      </c>
      <c r="AN38" s="138">
        <f>SUMIFS(tbl_task3[S35],tbl_task3[[SubPLOs]:[SubPLOs]],"&gt;=5",tbl_task3[[SubPLOs]:[SubPLOs]],"&lt;6")</f>
        <v>0</v>
      </c>
      <c r="AO38" s="138">
        <f>SUMIFS(tbl_task3[S36],tbl_task3[[SubPLOs]:[SubPLOs]],"&gt;=5",tbl_task3[[SubPLOs]:[SubPLOs]],"&lt;6")</f>
        <v>0</v>
      </c>
      <c r="AP38" s="138">
        <f>SUMIFS(tbl_task3[S37],tbl_task3[[SubPLOs]:[SubPLOs]],"&gt;=5",tbl_task3[[SubPLOs]:[SubPLOs]],"&lt;6")</f>
        <v>0</v>
      </c>
      <c r="AQ38" s="138">
        <f>SUMIFS(tbl_task3[S38],tbl_task3[[SubPLOs]:[SubPLOs]],"&gt;=5",tbl_task3[[SubPLOs]:[SubPLOs]],"&lt;6")</f>
        <v>0</v>
      </c>
      <c r="AR38" s="138">
        <f>SUMIFS(tbl_task3[S39],tbl_task3[[SubPLOs]:[SubPLOs]],"&gt;=5",tbl_task3[[SubPLOs]:[SubPLOs]],"&lt;6")</f>
        <v>0</v>
      </c>
      <c r="AS38" s="138">
        <f>SUMIFS(tbl_task3[S40],tbl_task3[[SubPLOs]:[SubPLOs]],"&gt;=5",tbl_task3[[SubPLOs]:[SubPLOs]],"&lt;6")</f>
        <v>0</v>
      </c>
      <c r="AT38" s="138">
        <f>SUMIFS(tbl_task3[S41],tbl_task3[[SubPLOs]:[SubPLOs]],"&gt;=5",tbl_task3[[SubPLOs]:[SubPLOs]],"&lt;6")</f>
        <v>0</v>
      </c>
      <c r="AU38" s="138">
        <f>SUMIFS(tbl_task3[S42],tbl_task3[[SubPLOs]:[SubPLOs]],"&gt;=5",tbl_task3[[SubPLOs]:[SubPLOs]],"&lt;6")</f>
        <v>0</v>
      </c>
      <c r="AV38" s="138">
        <f>SUMIFS(tbl_task3[S43],tbl_task3[[SubPLOs]:[SubPLOs]],"&gt;=5",tbl_task3[[SubPLOs]:[SubPLOs]],"&lt;6")</f>
        <v>0</v>
      </c>
      <c r="AW38" s="138">
        <f>SUMIFS(tbl_task3[S44],tbl_task3[[SubPLOs]:[SubPLOs]],"&gt;=5",tbl_task3[[SubPLOs]:[SubPLOs]],"&lt;6")</f>
        <v>0</v>
      </c>
      <c r="AX38" s="138">
        <f>SUMIFS(tbl_task3[S45],tbl_task3[[SubPLOs]:[SubPLOs]],"&gt;=5",tbl_task3[[SubPLOs]:[SubPLOs]],"&lt;6")</f>
        <v>0</v>
      </c>
      <c r="AY38" s="138">
        <f>SUMIFS(tbl_task3[S46],tbl_task3[[SubPLOs]:[SubPLOs]],"&gt;=5",tbl_task3[[SubPLOs]:[SubPLOs]],"&lt;6")</f>
        <v>0</v>
      </c>
      <c r="AZ38" s="138">
        <f>SUMIFS(tbl_task3[S47],tbl_task3[[SubPLOs]:[SubPLOs]],"&gt;=5",tbl_task3[[SubPLOs]:[SubPLOs]],"&lt;6")</f>
        <v>0</v>
      </c>
      <c r="BA38" s="138">
        <f>SUMIFS(tbl_task3[S48],tbl_task3[[SubPLOs]:[SubPLOs]],"&gt;=5",tbl_task3[[SubPLOs]:[SubPLOs]],"&lt;6")</f>
        <v>0</v>
      </c>
      <c r="BB38" s="138">
        <f>SUMIFS(tbl_task3[S49],tbl_task3[[SubPLOs]:[SubPLOs]],"&gt;=5",tbl_task3[[SubPLOs]:[SubPLOs]],"&lt;6")</f>
        <v>0</v>
      </c>
      <c r="BC38" s="138">
        <f>SUMIFS(tbl_task3[S50],tbl_task3[[SubPLOs]:[SubPLOs]],"&gt;=5",tbl_task3[[SubPLOs]:[SubPLOs]],"&lt;6")</f>
        <v>0</v>
      </c>
      <c r="BD38" s="138">
        <f>SUMIFS(tbl_task3[S51],tbl_task3[[SubPLOs]:[SubPLOs]],"&gt;=5",tbl_task3[[SubPLOs]:[SubPLOs]],"&lt;6")</f>
        <v>0</v>
      </c>
      <c r="BE38" s="138">
        <f>SUMIFS(tbl_task3[S52],tbl_task3[[SubPLOs]:[SubPLOs]],"&gt;=5",tbl_task3[[SubPLOs]:[SubPLOs]],"&lt;6")</f>
        <v>0</v>
      </c>
      <c r="BF38" s="138">
        <f>SUMIFS(tbl_task3[S53],tbl_task3[[SubPLOs]:[SubPLOs]],"&gt;=5",tbl_task3[[SubPLOs]:[SubPLOs]],"&lt;6")</f>
        <v>0</v>
      </c>
      <c r="BG38" s="138">
        <f>SUMIFS(tbl_task3[S54],tbl_task3[[SubPLOs]:[SubPLOs]],"&gt;=5",tbl_task3[[SubPLOs]:[SubPLOs]],"&lt;6")</f>
        <v>0</v>
      </c>
      <c r="BH38" s="138">
        <f>SUMIFS(tbl_task3[S55],tbl_task3[[SubPLOs]:[SubPLOs]],"&gt;=5",tbl_task3[[SubPLOs]:[SubPLOs]],"&lt;6")</f>
        <v>0</v>
      </c>
      <c r="BI38" s="138">
        <f>SUMIFS(tbl_task3[S56],tbl_task3[[SubPLOs]:[SubPLOs]],"&gt;=5",tbl_task3[[SubPLOs]:[SubPLOs]],"&lt;6")</f>
        <v>0</v>
      </c>
      <c r="BJ38" s="138">
        <f>SUMIFS(tbl_task3[S57],tbl_task3[[SubPLOs]:[SubPLOs]],"&gt;=5",tbl_task3[[SubPLOs]:[SubPLOs]],"&lt;6")</f>
        <v>0</v>
      </c>
      <c r="BK38" s="138">
        <f>SUMIFS(tbl_task3[S58],tbl_task3[[SubPLOs]:[SubPLOs]],"&gt;=5",tbl_task3[[SubPLOs]:[SubPLOs]],"&lt;6")</f>
        <v>0</v>
      </c>
      <c r="BL38" s="138">
        <f>SUMIFS(tbl_task3[S59],tbl_task3[[SubPLOs]:[SubPLOs]],"&gt;=5",tbl_task3[[SubPLOs]:[SubPLOs]],"&lt;6")</f>
        <v>0</v>
      </c>
      <c r="BM38" s="138">
        <f>SUMIFS(tbl_task3[S60],tbl_task3[[SubPLOs]:[SubPLOs]],"&gt;=5",tbl_task3[[SubPLOs]:[SubPLOs]],"&lt;6")</f>
        <v>0</v>
      </c>
      <c r="BN38" s="138">
        <f>SUMIFS(tbl_task3[S61],tbl_task3[[SubPLOs]:[SubPLOs]],"&gt;=5",tbl_task3[[SubPLOs]:[SubPLOs]],"&lt;6")</f>
        <v>0</v>
      </c>
      <c r="BO38" s="138">
        <f>SUMIFS(tbl_task3[S62],tbl_task3[[SubPLOs]:[SubPLOs]],"&gt;=5",tbl_task3[[SubPLOs]:[SubPLOs]],"&lt;6")</f>
        <v>0</v>
      </c>
      <c r="BP38" s="138">
        <f>SUMIFS(tbl_task3[S63],tbl_task3[[SubPLOs]:[SubPLOs]],"&gt;=5",tbl_task3[[SubPLOs]:[SubPLOs]],"&lt;6")</f>
        <v>0</v>
      </c>
      <c r="BQ38" s="138">
        <f>SUMIFS(tbl_task3[S64],tbl_task3[[SubPLOs]:[SubPLOs]],"&gt;=5",tbl_task3[[SubPLOs]:[SubPLOs]],"&lt;6")</f>
        <v>0</v>
      </c>
      <c r="BR38" s="138">
        <f>SUMIFS(tbl_task3[S65],tbl_task3[[SubPLOs]:[SubPLOs]],"&gt;=5",tbl_task3[[SubPLOs]:[SubPLOs]],"&lt;6")</f>
        <v>0</v>
      </c>
      <c r="BS38" s="138">
        <f>SUMIFS(tbl_task3[S66],tbl_task3[[SubPLOs]:[SubPLOs]],"&gt;=5",tbl_task3[[SubPLOs]:[SubPLOs]],"&lt;6")</f>
        <v>0</v>
      </c>
      <c r="BT38" s="138">
        <f>SUMIFS(tbl_task3[S67],tbl_task3[[SubPLOs]:[SubPLOs]],"&gt;=5",tbl_task3[[SubPLOs]:[SubPLOs]],"&lt;6")</f>
        <v>0</v>
      </c>
      <c r="BU38" s="138">
        <f>SUMIFS(tbl_task3[S68],tbl_task3[[SubPLOs]:[SubPLOs]],"&gt;=5",tbl_task3[[SubPLOs]:[SubPLOs]],"&lt;6")</f>
        <v>0</v>
      </c>
      <c r="BV38" s="138">
        <f>SUMIFS(tbl_task3[S69],tbl_task3[[SubPLOs]:[SubPLOs]],"&gt;=5",tbl_task3[[SubPLOs]:[SubPLOs]],"&lt;6")</f>
        <v>0</v>
      </c>
      <c r="BW38" s="138">
        <f>SUMIFS(tbl_task3[S70],tbl_task3[[SubPLOs]:[SubPLOs]],"&gt;=5",tbl_task3[[SubPLOs]:[SubPLOs]],"&lt;6")</f>
        <v>0</v>
      </c>
      <c r="BX38" s="138">
        <f>SUMIFS(tbl_task3[S71],tbl_task3[[SubPLOs]:[SubPLOs]],"&gt;=5",tbl_task3[[SubPLOs]:[SubPLOs]],"&lt;6")</f>
        <v>0</v>
      </c>
      <c r="BY38" s="138">
        <f>SUMIFS(tbl_task3[S72],tbl_task3[[SubPLOs]:[SubPLOs]],"&gt;=5",tbl_task3[[SubPLOs]:[SubPLOs]],"&lt;6")</f>
        <v>0</v>
      </c>
      <c r="BZ38" s="138">
        <f>SUMIFS(tbl_task3[S73],tbl_task3[[SubPLOs]:[SubPLOs]],"&gt;=5",tbl_task3[[SubPLOs]:[SubPLOs]],"&lt;6")</f>
        <v>0</v>
      </c>
      <c r="CA38" s="138">
        <f>SUMIFS(tbl_task3[S74],tbl_task3[[SubPLOs]:[SubPLOs]],"&gt;=5",tbl_task3[[SubPLOs]:[SubPLOs]],"&lt;6")</f>
        <v>0</v>
      </c>
      <c r="CB38" s="138">
        <f>SUMIFS(tbl_task3[S75],tbl_task3[[SubPLOs]:[SubPLOs]],"&gt;=5",tbl_task3[[SubPLOs]:[SubPLOs]],"&lt;6")</f>
        <v>0</v>
      </c>
      <c r="CC38" s="138">
        <f>SUMIFS(tbl_task3[S76],tbl_task3[[SubPLOs]:[SubPLOs]],"&gt;=5",tbl_task3[[SubPLOs]:[SubPLOs]],"&lt;6")</f>
        <v>0</v>
      </c>
      <c r="CD38" s="138">
        <f>SUMIFS(tbl_task3[S77],tbl_task3[[SubPLOs]:[SubPLOs]],"&gt;=5",tbl_task3[[SubPLOs]:[SubPLOs]],"&lt;6")</f>
        <v>0</v>
      </c>
      <c r="CE38" s="138">
        <f>SUMIFS(tbl_task3[S78],tbl_task3[[SubPLOs]:[SubPLOs]],"&gt;=5",tbl_task3[[SubPLOs]:[SubPLOs]],"&lt;6")</f>
        <v>0</v>
      </c>
      <c r="CF38" s="138">
        <f>SUMIFS(tbl_task3[S79],tbl_task3[[SubPLOs]:[SubPLOs]],"&gt;=5",tbl_task3[[SubPLOs]:[SubPLOs]],"&lt;6")</f>
        <v>0</v>
      </c>
      <c r="CG38" s="138">
        <f>SUMIFS(tbl_task3[S80],tbl_task3[[SubPLOs]:[SubPLOs]],"&gt;=5",tbl_task3[[SubPLOs]:[SubPLOs]],"&lt;6")</f>
        <v>0</v>
      </c>
      <c r="CH38" s="138">
        <f>SUMIFS(tbl_task3[S81],tbl_task3[[SubPLOs]:[SubPLOs]],"&gt;=5",tbl_task3[[SubPLOs]:[SubPLOs]],"&lt;6")</f>
        <v>0</v>
      </c>
      <c r="CI38" s="138">
        <f>SUMIFS(tbl_task3[S82],tbl_task3[[SubPLOs]:[SubPLOs]],"&gt;=5",tbl_task3[[SubPLOs]:[SubPLOs]],"&lt;6")</f>
        <v>0</v>
      </c>
      <c r="CJ38" s="138">
        <f>SUMIFS(tbl_task3[S83],tbl_task3[[SubPLOs]:[SubPLOs]],"&gt;=5",tbl_task3[[SubPLOs]:[SubPLOs]],"&lt;6")</f>
        <v>0</v>
      </c>
      <c r="CK38" s="138">
        <f>SUMIFS(tbl_task3[S84],tbl_task3[[SubPLOs]:[SubPLOs]],"&gt;=5",tbl_task3[[SubPLOs]:[SubPLOs]],"&lt;6")</f>
        <v>0</v>
      </c>
      <c r="CL38" s="138">
        <f>SUMIFS(tbl_task3[S85],tbl_task3[[SubPLOs]:[SubPLOs]],"&gt;=5",tbl_task3[[SubPLOs]:[SubPLOs]],"&lt;6")</f>
        <v>0</v>
      </c>
      <c r="CM38" s="138">
        <f>SUMIFS(tbl_task3[S86],tbl_task3[[SubPLOs]:[SubPLOs]],"&gt;=5",tbl_task3[[SubPLOs]:[SubPLOs]],"&lt;6")</f>
        <v>0</v>
      </c>
      <c r="CN38" s="138">
        <f>SUMIFS(tbl_task3[S87],tbl_task3[[SubPLOs]:[SubPLOs]],"&gt;=5",tbl_task3[[SubPLOs]:[SubPLOs]],"&lt;6")</f>
        <v>0</v>
      </c>
      <c r="CO38" s="138">
        <f>SUMIFS(tbl_task3[S88],tbl_task3[[SubPLOs]:[SubPLOs]],"&gt;=5",tbl_task3[[SubPLOs]:[SubPLOs]],"&lt;6")</f>
        <v>0</v>
      </c>
      <c r="CP38" s="138">
        <f>SUMIFS(tbl_task3[S89],tbl_task3[[SubPLOs]:[SubPLOs]],"&gt;=5",tbl_task3[[SubPLOs]:[SubPLOs]],"&lt;6")</f>
        <v>0</v>
      </c>
      <c r="CQ38" s="138">
        <f>SUMIFS(tbl_task3[S90],tbl_task3[[SubPLOs]:[SubPLOs]],"&gt;=5",tbl_task3[[SubPLOs]:[SubPLOs]],"&lt;6")</f>
        <v>0</v>
      </c>
      <c r="CR38" s="138">
        <f>SUMIFS(tbl_task3[S91],tbl_task3[[SubPLOs]:[SubPLOs]],"&gt;=5",tbl_task3[[SubPLOs]:[SubPLOs]],"&lt;6")</f>
        <v>0</v>
      </c>
      <c r="CS38" s="138">
        <f>SUMIFS(tbl_task3[S92],tbl_task3[[SubPLOs]:[SubPLOs]],"&gt;=5",tbl_task3[[SubPLOs]:[SubPLOs]],"&lt;6")</f>
        <v>0</v>
      </c>
      <c r="CT38" s="138">
        <f>SUMIFS(tbl_task3[S93],tbl_task3[[SubPLOs]:[SubPLOs]],"&gt;=5",tbl_task3[[SubPLOs]:[SubPLOs]],"&lt;6")</f>
        <v>0</v>
      </c>
      <c r="CU38" s="138">
        <f>SUMIFS(tbl_task3[S94],tbl_task3[[SubPLOs]:[SubPLOs]],"&gt;=5",tbl_task3[[SubPLOs]:[SubPLOs]],"&lt;6")</f>
        <v>0</v>
      </c>
      <c r="CV38" s="138">
        <f>SUMIFS(tbl_task3[S95],tbl_task3[[SubPLOs]:[SubPLOs]],"&gt;=5",tbl_task3[[SubPLOs]:[SubPLOs]],"&lt;6")</f>
        <v>0</v>
      </c>
      <c r="CW38" s="138">
        <f>SUMIFS(tbl_task3[S96],tbl_task3[[SubPLOs]:[SubPLOs]],"&gt;=5",tbl_task3[[SubPLOs]:[SubPLOs]],"&lt;6")</f>
        <v>0</v>
      </c>
      <c r="CX38" s="138">
        <f>SUMIFS(tbl_task3[S97],tbl_task3[[SubPLOs]:[SubPLOs]],"&gt;=5",tbl_task3[[SubPLOs]:[SubPLOs]],"&lt;6")</f>
        <v>0</v>
      </c>
      <c r="CY38" s="138">
        <f>SUMIFS(tbl_task3[S98],tbl_task3[[SubPLOs]:[SubPLOs]],"&gt;=5",tbl_task3[[SubPLOs]:[SubPLOs]],"&lt;6")</f>
        <v>0</v>
      </c>
      <c r="CZ38" s="138">
        <f>SUMIFS(tbl_task3[S99],tbl_task3[[SubPLOs]:[SubPLOs]],"&gt;=5",tbl_task3[[SubPLOs]:[SubPLOs]],"&lt;6")</f>
        <v>0</v>
      </c>
      <c r="DA38" s="138">
        <f>SUMIFS(tbl_task3[S100],tbl_task3[[SubPLOs]:[SubPLOs]],"&gt;=5",tbl_task3[[SubPLOs]:[SubPLOs]],"&lt;6")</f>
        <v>0</v>
      </c>
      <c r="DB38" s="138">
        <f>SUMIFS(tbl_task3[S101],tbl_task3[[SubPLOs]:[SubPLOs]],"&gt;=5",tbl_task3[[SubPLOs]:[SubPLOs]],"&lt;6")</f>
        <v>0</v>
      </c>
      <c r="DC38" s="138">
        <f>SUMIFS(tbl_task3[S102],tbl_task3[[SubPLOs]:[SubPLOs]],"&gt;=5",tbl_task3[[SubPLOs]:[SubPLOs]],"&lt;6")</f>
        <v>0</v>
      </c>
      <c r="DD38" s="138">
        <f>SUMIFS(tbl_task3[S103],tbl_task3[[SubPLOs]:[SubPLOs]],"&gt;=5",tbl_task3[[SubPLOs]:[SubPLOs]],"&lt;6")</f>
        <v>0</v>
      </c>
      <c r="DE38" s="138">
        <f>SUMIFS(tbl_task3[S104],tbl_task3[[SubPLOs]:[SubPLOs]],"&gt;=5",tbl_task3[[SubPLOs]:[SubPLOs]],"&lt;6")</f>
        <v>0</v>
      </c>
      <c r="DF38" s="138">
        <f>SUMIFS(tbl_task3[S105],tbl_task3[[SubPLOs]:[SubPLOs]],"&gt;=5",tbl_task3[[SubPLOs]:[SubPLOs]],"&lt;6")</f>
        <v>0</v>
      </c>
      <c r="DG38" s="138">
        <f>SUMIFS(tbl_task3[S106],tbl_task3[[SubPLOs]:[SubPLOs]],"&gt;=5",tbl_task3[[SubPLOs]:[SubPLOs]],"&lt;6")</f>
        <v>0</v>
      </c>
      <c r="DH38" s="138">
        <f>SUMIFS(tbl_task3[S106],tbl_task3[[SubPLOs]:[SubPLOs]],"&gt;=5",tbl_task3[[SubPLOs]:[SubPLOs]],"&lt;6")</f>
        <v>0</v>
      </c>
      <c r="DI38" s="138">
        <f>SUMIFS(tbl_task3[S108],tbl_task3[[SubPLOs]:[SubPLOs]],"&gt;=5",tbl_task3[[SubPLOs]:[SubPLOs]],"&lt;6")</f>
        <v>0</v>
      </c>
      <c r="DJ38" s="138">
        <f>SUMIFS(tbl_task3[S109],tbl_task3[[SubPLOs]:[SubPLOs]],"&gt;=5",tbl_task3[[SubPLOs]:[SubPLOs]],"&lt;6")</f>
        <v>0</v>
      </c>
      <c r="DK38" s="138">
        <f>SUMIFS(tbl_task3[S110],tbl_task3[[SubPLOs]:[SubPLOs]],"&gt;=5",tbl_task3[[SubPLOs]:[SubPLOs]],"&lt;6")</f>
        <v>0</v>
      </c>
      <c r="DL38" s="138">
        <f>SUMIFS(tbl_task3[S111],tbl_task3[[SubPLOs]:[SubPLOs]],"&gt;=5",tbl_task3[[SubPLOs]:[SubPLOs]],"&lt;6")</f>
        <v>0</v>
      </c>
      <c r="DM38" s="138">
        <f>SUMIFS(tbl_task3[S112],tbl_task3[[SubPLOs]:[SubPLOs]],"&gt;=5",tbl_task3[[SubPLOs]:[SubPLOs]],"&lt;6")</f>
        <v>0</v>
      </c>
      <c r="DN38" s="138">
        <f>SUMIFS(tbl_task3[S113],tbl_task3[[SubPLOs]:[SubPLOs]],"&gt;=5",tbl_task3[[SubPLOs]:[SubPLOs]],"&lt;6")</f>
        <v>0</v>
      </c>
      <c r="DO38" s="138">
        <f>SUMIFS(tbl_task3[S114],tbl_task3[[SubPLOs]:[SubPLOs]],"&gt;=5",tbl_task3[[SubPLOs]:[SubPLOs]],"&lt;6")</f>
        <v>0</v>
      </c>
      <c r="DP38" s="138">
        <f>SUMIFS(tbl_task3[S115],tbl_task3[[SubPLOs]:[SubPLOs]],"&gt;=5",tbl_task3[[SubPLOs]:[SubPLOs]],"&lt;6")</f>
        <v>0</v>
      </c>
      <c r="DQ38" s="138">
        <f>SUMIFS(tbl_task3[S116],tbl_task3[[SubPLOs]:[SubPLOs]],"&gt;=5",tbl_task3[[SubPLOs]:[SubPLOs]],"&lt;6")</f>
        <v>0</v>
      </c>
      <c r="DR38" s="138">
        <f>SUMIFS(tbl_task3[S117],tbl_task3[[SubPLOs]:[SubPLOs]],"&gt;=5",tbl_task3[[SubPLOs]:[SubPLOs]],"&lt;6")</f>
        <v>0</v>
      </c>
      <c r="DS38" s="138">
        <f>SUMIFS(tbl_task3[S118],tbl_task3[[SubPLOs]:[SubPLOs]],"&gt;=5",tbl_task3[[SubPLOs]:[SubPLOs]],"&lt;6")</f>
        <v>0</v>
      </c>
      <c r="DT38" s="138">
        <f>SUMIFS(tbl_task3[S119],tbl_task3[[SubPLOs]:[SubPLOs]],"&gt;=5",tbl_task3[[SubPLOs]:[SubPLOs]],"&lt;6")</f>
        <v>0</v>
      </c>
      <c r="DU38" s="138">
        <f>SUMIFS(tbl_task3[S120],tbl_task3[[SubPLOs]:[SubPLOs]],"&gt;=5",tbl_task3[[SubPLOs]:[SubPLOs]],"&lt;6")</f>
        <v>0</v>
      </c>
      <c r="DV38" s="138">
        <f>SUMIFS(tbl_task3[S121],tbl_task3[[SubPLOs]:[SubPLOs]],"&gt;=5",tbl_task3[[SubPLOs]:[SubPLOs]],"&lt;6")</f>
        <v>0</v>
      </c>
      <c r="DW38" s="138">
        <f>SUMIFS(tbl_task3[S122],tbl_task3[[SubPLOs]:[SubPLOs]],"&gt;=5",tbl_task3[[SubPLOs]:[SubPLOs]],"&lt;6")</f>
        <v>0</v>
      </c>
      <c r="DX38" s="138">
        <f>SUMIFS(tbl_task3[S123],tbl_task3[[SubPLOs]:[SubPLOs]],"&gt;=5",tbl_task3[[SubPLOs]:[SubPLOs]],"&lt;6")</f>
        <v>0</v>
      </c>
      <c r="DY38" s="138">
        <f>SUMIFS(tbl_task3[S124],tbl_task3[[SubPLOs]:[SubPLOs]],"&gt;=5",tbl_task3[[SubPLOs]:[SubPLOs]],"&lt;6")</f>
        <v>0</v>
      </c>
      <c r="DZ38" s="138">
        <f>SUMIFS(tbl_task3[S125],tbl_task3[[SubPLOs]:[SubPLOs]],"&gt;=5",tbl_task3[[SubPLOs]:[SubPLOs]],"&lt;6")</f>
        <v>0</v>
      </c>
      <c r="EA38" s="138">
        <f>SUMIFS(tbl_task3[S126],tbl_task3[[SubPLOs]:[SubPLOs]],"&gt;=5",tbl_task3[[SubPLOs]:[SubPLOs]],"&lt;6")</f>
        <v>0</v>
      </c>
      <c r="EB38" s="138">
        <f>SUMIFS(tbl_task3[S127],tbl_task3[[SubPLOs]:[SubPLOs]],"&gt;=5",tbl_task3[[SubPLOs]:[SubPLOs]],"&lt;6")</f>
        <v>0</v>
      </c>
      <c r="EC38" s="138">
        <f>SUMIFS(tbl_task3[S128],tbl_task3[[SubPLOs]:[SubPLOs]],"&gt;=5",tbl_task3[[SubPLOs]:[SubPLOs]],"&lt;6")</f>
        <v>0</v>
      </c>
      <c r="ED38" s="138">
        <f>SUMIFS(tbl_task3[S129],tbl_task3[[SubPLOs]:[SubPLOs]],"&gt;=5",tbl_task3[[SubPLOs]:[SubPLOs]],"&lt;6")</f>
        <v>0</v>
      </c>
      <c r="EE38" s="138">
        <f>SUMIFS(tbl_task3[S130],tbl_task3[[SubPLOs]:[SubPLOs]],"&gt;=5",tbl_task3[[SubPLOs]:[SubPLOs]],"&lt;6")</f>
        <v>0</v>
      </c>
      <c r="EF38" s="138">
        <f>SUMIFS(tbl_task3[S131],tbl_task3[[SubPLOs]:[SubPLOs]],"&gt;=5",tbl_task3[[SubPLOs]:[SubPLOs]],"&lt;6")</f>
        <v>0</v>
      </c>
      <c r="EG38" s="138">
        <f>SUMIFS(tbl_task3[S132],tbl_task3[[SubPLOs]:[SubPLOs]],"&gt;=5",tbl_task3[[SubPLOs]:[SubPLOs]],"&lt;6")</f>
        <v>0</v>
      </c>
      <c r="EH38" s="138">
        <f>SUMIFS(tbl_task3[S133],tbl_task3[[SubPLOs]:[SubPLOs]],"&gt;=5",tbl_task3[[SubPLOs]:[SubPLOs]],"&lt;6")</f>
        <v>0</v>
      </c>
      <c r="EI38" s="138">
        <f>SUMIFS(tbl_task3[S134],tbl_task3[[SubPLOs]:[SubPLOs]],"&gt;=5",tbl_task3[[SubPLOs]:[SubPLOs]],"&lt;6")</f>
        <v>0</v>
      </c>
      <c r="EJ38" s="138">
        <f>SUMIFS(tbl_task3[S135],tbl_task3[[SubPLOs]:[SubPLOs]],"&gt;=5",tbl_task3[[SubPLOs]:[SubPLOs]],"&lt;6")</f>
        <v>0</v>
      </c>
      <c r="EK38" s="138">
        <f>SUMIFS(tbl_task3[S136],tbl_task3[[SubPLOs]:[SubPLOs]],"&gt;=5",tbl_task3[[SubPLOs]:[SubPLOs]],"&lt;6")</f>
        <v>0</v>
      </c>
      <c r="EL38" s="138">
        <f>SUMIFS(tbl_task3[S137],tbl_task3[[SubPLOs]:[SubPLOs]],"&gt;=5",tbl_task3[[SubPLOs]:[SubPLOs]],"&lt;6")</f>
        <v>0</v>
      </c>
      <c r="EM38" s="138">
        <f>SUMIFS(tbl_task3[S138],tbl_task3[[SubPLOs]:[SubPLOs]],"&gt;=5",tbl_task3[[SubPLOs]:[SubPLOs]],"&lt;6")</f>
        <v>0</v>
      </c>
      <c r="EN38" s="138">
        <f>SUMIFS(tbl_task3[S139],tbl_task3[[SubPLOs]:[SubPLOs]],"&gt;=5",tbl_task3[[SubPLOs]:[SubPLOs]],"&lt;6")</f>
        <v>0</v>
      </c>
      <c r="EO38" s="138">
        <f>SUMIFS(tbl_task3[S140],tbl_task3[[SubPLOs]:[SubPLOs]],"&gt;=5",tbl_task3[[SubPLOs]:[SubPLOs]],"&lt;6")</f>
        <v>0</v>
      </c>
      <c r="EP38" s="138">
        <f>SUMIFS(tbl_task3[S141],tbl_task3[[SubPLOs]:[SubPLOs]],"&gt;=5",tbl_task3[[SubPLOs]:[SubPLOs]],"&lt;6")</f>
        <v>0</v>
      </c>
      <c r="EQ38" s="138">
        <f>SUMIFS(tbl_task3[S142],tbl_task3[[SubPLOs]:[SubPLOs]],"&gt;=5",tbl_task3[[SubPLOs]:[SubPLOs]],"&lt;6")</f>
        <v>0</v>
      </c>
      <c r="ER38" s="138">
        <f>SUMIFS(tbl_task3[S143],tbl_task3[[SubPLOs]:[SubPLOs]],"&gt;=5",tbl_task3[[SubPLOs]:[SubPLOs]],"&lt;6")</f>
        <v>0</v>
      </c>
      <c r="ES38" s="138">
        <f>SUMIFS(tbl_task3[S144],tbl_task3[[SubPLOs]:[SubPLOs]],"&gt;=5",tbl_task3[[SubPLOs]:[SubPLOs]],"&lt;6")</f>
        <v>0</v>
      </c>
      <c r="ET38" s="138">
        <f>SUMIFS(tbl_task3[S145],tbl_task3[[SubPLOs]:[SubPLOs]],"&gt;=5",tbl_task3[[SubPLOs]:[SubPLOs]],"&lt;6")</f>
        <v>0</v>
      </c>
      <c r="EU38" s="138">
        <f>SUMIFS(tbl_task3[S146],tbl_task3[[SubPLOs]:[SubPLOs]],"&gt;=5",tbl_task3[[SubPLOs]:[SubPLOs]],"&lt;6")</f>
        <v>0</v>
      </c>
      <c r="EV38" s="138">
        <f>SUMIFS(tbl_task3[S147],tbl_task3[[SubPLOs]:[SubPLOs]],"&gt;=5",tbl_task3[[SubPLOs]:[SubPLOs]],"&lt;6")</f>
        <v>0</v>
      </c>
      <c r="EW38" s="138">
        <f>SUMIFS(tbl_task3[S148],tbl_task3[[SubPLOs]:[SubPLOs]],"&gt;=5",tbl_task3[[SubPLOs]:[SubPLOs]],"&lt;6")</f>
        <v>0</v>
      </c>
      <c r="EX38" s="138">
        <f>SUMIFS(tbl_task3[S149],tbl_task3[[SubPLOs]:[SubPLOs]],"&gt;=5",tbl_task3[[SubPLOs]:[SubPLOs]],"&lt;6")</f>
        <v>0</v>
      </c>
      <c r="EY38" s="138">
        <f>SUMIFS(tbl_task3[S150],tbl_task3[[SubPLOs]:[SubPLOs]],"&gt;=5",tbl_task3[[SubPLOs]:[SubPLOs]],"&lt;6")</f>
        <v>0</v>
      </c>
      <c r="EZ38" s="138">
        <f>SUMIFS(tbl_task3[S151],tbl_task3[[SubPLOs]:[SubPLOs]],"&gt;=5",tbl_task3[[SubPLOs]:[SubPLOs]],"&lt;6")</f>
        <v>0</v>
      </c>
      <c r="FA38" s="138">
        <f>SUMIFS(tbl_task3[S152],tbl_task3[[SubPLOs]:[SubPLOs]],"&gt;=5",tbl_task3[[SubPLOs]:[SubPLOs]],"&lt;6")</f>
        <v>0</v>
      </c>
      <c r="FB38" s="138">
        <f>SUMIFS(tbl_task3[S153],tbl_task3[[SubPLOs]:[SubPLOs]],"&gt;=5",tbl_task3[[SubPLOs]:[SubPLOs]],"&lt;6")</f>
        <v>0</v>
      </c>
      <c r="FC38" s="138">
        <f>SUMIFS(tbl_task3[S154],tbl_task3[[SubPLOs]:[SubPLOs]],"&gt;=5",tbl_task3[[SubPLOs]:[SubPLOs]],"&lt;6")</f>
        <v>0</v>
      </c>
      <c r="FD38" s="138">
        <f>SUMIFS(tbl_task3[S155],tbl_task3[[SubPLOs]:[SubPLOs]],"&gt;=5",tbl_task3[[SubPLOs]:[SubPLOs]],"&lt;6")</f>
        <v>0</v>
      </c>
      <c r="FE38" s="138">
        <f>SUMIFS(tbl_task3[S156],tbl_task3[[SubPLOs]:[SubPLOs]],"&gt;=5",tbl_task3[[SubPLOs]:[SubPLOs]],"&lt;6")</f>
        <v>0</v>
      </c>
      <c r="FF38" s="138">
        <f>SUMIFS(tbl_task3[S157],tbl_task3[[SubPLOs]:[SubPLOs]],"&gt;=5",tbl_task3[[SubPLOs]:[SubPLOs]],"&lt;6")</f>
        <v>0</v>
      </c>
      <c r="FG38" s="138">
        <f>SUMIFS(tbl_task3[S158],tbl_task3[[SubPLOs]:[SubPLOs]],"&gt;=5",tbl_task3[[SubPLOs]:[SubPLOs]],"&lt;6")</f>
        <v>0</v>
      </c>
      <c r="FH38" s="138">
        <f>SUMIFS(tbl_task3[S159],tbl_task3[[SubPLOs]:[SubPLOs]],"&gt;=5",tbl_task3[[SubPLOs]:[SubPLOs]],"&lt;6")</f>
        <v>0</v>
      </c>
      <c r="FI38" s="138">
        <f>SUMIFS(tbl_task3[S160],tbl_task3[[SubPLOs]:[SubPLOs]],"&gt;=5",tbl_task3[[SubPLOs]:[SubPLOs]],"&lt;6")</f>
        <v>0</v>
      </c>
      <c r="FJ38" s="138">
        <f>SUMIFS(tbl_task3[S161],tbl_task3[[SubPLOs]:[SubPLOs]],"&gt;=5",tbl_task3[[SubPLOs]:[SubPLOs]],"&lt;6")</f>
        <v>0</v>
      </c>
      <c r="FK38" s="138">
        <f>SUMIFS(tbl_task3[S162],tbl_task3[[SubPLOs]:[SubPLOs]],"&gt;=5",tbl_task3[[SubPLOs]:[SubPLOs]],"&lt;6")</f>
        <v>0</v>
      </c>
      <c r="FL38" s="138">
        <f>SUMIFS(tbl_task3[S163],tbl_task3[[SubPLOs]:[SubPLOs]],"&gt;=5",tbl_task3[[SubPLOs]:[SubPLOs]],"&lt;6")</f>
        <v>0</v>
      </c>
      <c r="FM38" s="138">
        <f>SUMIFS(tbl_task3[S164],tbl_task3[[SubPLOs]:[SubPLOs]],"&gt;=5",tbl_task3[[SubPLOs]:[SubPLOs]],"&lt;6")</f>
        <v>0</v>
      </c>
      <c r="FN38" s="138">
        <f>SUMIFS(tbl_task3[S165],tbl_task3[[SubPLOs]:[SubPLOs]],"&gt;=5",tbl_task3[[SubPLOs]:[SubPLOs]],"&lt;6")</f>
        <v>0</v>
      </c>
    </row>
    <row r="39" spans="1:170" ht="42" x14ac:dyDescent="0.25">
      <c r="A39" s="135">
        <v>6</v>
      </c>
      <c r="B39" s="5" t="s">
        <v>439</v>
      </c>
      <c r="C39" s="136">
        <f>COUNTIFS(tbl_task3[SubPLOs],"&gt;=6",tbl_task3[SubPLOs],"&lt;7")</f>
        <v>0</v>
      </c>
      <c r="D39" s="136">
        <f>SUMIFS(tbl_task3[คะแนนเต็ม],tbl_task3[SubPLOs],"&gt;=6",tbl_task3[SubPLOs],"&lt;7")</f>
        <v>0</v>
      </c>
      <c r="E39" s="137">
        <f>SUMIFS(tbl_task3[%],tbl_task3[SubPLOs],"&gt;=6",tbl_task3[SubPLOs],"&lt;7")</f>
        <v>0</v>
      </c>
      <c r="F39" s="138">
        <f>SUMIFS(tbl_task3[S1],tbl_task3[[SubPLOs]:[SubPLOs]],"&gt;=6",tbl_task3[[SubPLOs]:[SubPLOs]],"&lt;7")</f>
        <v>0</v>
      </c>
      <c r="G39" s="138">
        <f>SUMIFS(tbl_task3[S2],tbl_task3[[SubPLOs]:[SubPLOs]],"&gt;=6",tbl_task3[[SubPLOs]:[SubPLOs]],"&lt;7")</f>
        <v>0</v>
      </c>
      <c r="H39" s="138">
        <f>SUMIFS(tbl_task3[S3],tbl_task3[[SubPLOs]:[SubPLOs]],"&gt;=6",tbl_task3[[SubPLOs]:[SubPLOs]],"&lt;7")</f>
        <v>0</v>
      </c>
      <c r="I39" s="138">
        <f>SUMIFS(tbl_task3[S4],tbl_task3[[SubPLOs]:[SubPLOs]],"&gt;=6",tbl_task3[[SubPLOs]:[SubPLOs]],"&lt;7")</f>
        <v>0</v>
      </c>
      <c r="J39" s="138">
        <f>SUMIFS(tbl_task3[S5],tbl_task3[[SubPLOs]:[SubPLOs]],"&gt;=6",tbl_task3[[SubPLOs]:[SubPLOs]],"&lt;7")</f>
        <v>0</v>
      </c>
      <c r="K39" s="138">
        <f>SUMIFS(tbl_task3[S6],tbl_task3[[SubPLOs]:[SubPLOs]],"&gt;=6",tbl_task3[[SubPLOs]:[SubPLOs]],"&lt;7")</f>
        <v>0</v>
      </c>
      <c r="L39" s="138">
        <f>SUMIFS(tbl_task3[S7],tbl_task3[[SubPLOs]:[SubPLOs]],"&gt;=6",tbl_task3[[SubPLOs]:[SubPLOs]],"&lt;7")</f>
        <v>0</v>
      </c>
      <c r="M39" s="138">
        <f>SUMIFS(tbl_task3[S8],tbl_task3[[SubPLOs]:[SubPLOs]],"&gt;=6",tbl_task3[[SubPLOs]:[SubPLOs]],"&lt;7")</f>
        <v>0</v>
      </c>
      <c r="N39" s="138">
        <f>SUMIFS(tbl_task3[S9],tbl_task3[[SubPLOs]:[SubPLOs]],"&gt;=6",tbl_task3[[SubPLOs]:[SubPLOs]],"&lt;7")</f>
        <v>0</v>
      </c>
      <c r="O39" s="138">
        <f>SUMIFS(tbl_task3[S10],tbl_task3[[SubPLOs]:[SubPLOs]],"&gt;=6",tbl_task3[[SubPLOs]:[SubPLOs]],"&lt;7")</f>
        <v>0</v>
      </c>
      <c r="P39" s="138">
        <f>SUMIFS(tbl_task3[S11],tbl_task3[[SubPLOs]:[SubPLOs]],"&gt;=6",tbl_task3[[SubPLOs]:[SubPLOs]],"&lt;7")</f>
        <v>0</v>
      </c>
      <c r="Q39" s="138">
        <f>SUMIFS(tbl_task3[S12],tbl_task3[[SubPLOs]:[SubPLOs]],"&gt;=6",tbl_task3[[SubPLOs]:[SubPLOs]],"&lt;7")</f>
        <v>0</v>
      </c>
      <c r="R39" s="138">
        <f>SUMIFS(tbl_task3[S13],tbl_task3[[SubPLOs]:[SubPLOs]],"&gt;=6",tbl_task3[[SubPLOs]:[SubPLOs]],"&lt;7")</f>
        <v>0</v>
      </c>
      <c r="S39" s="138">
        <f>SUMIFS(tbl_task3[S14],tbl_task3[[SubPLOs]:[SubPLOs]],"&gt;=6",tbl_task3[[SubPLOs]:[SubPLOs]],"&lt;7")</f>
        <v>0</v>
      </c>
      <c r="T39" s="138">
        <f>SUMIFS(tbl_task3[S15],tbl_task3[[SubPLOs]:[SubPLOs]],"&gt;=6",tbl_task3[[SubPLOs]:[SubPLOs]],"&lt;7")</f>
        <v>0</v>
      </c>
      <c r="U39" s="138">
        <f>SUMIFS(tbl_task3[S16],tbl_task3[[SubPLOs]:[SubPLOs]],"&gt;=6",tbl_task3[[SubPLOs]:[SubPLOs]],"&lt;7")</f>
        <v>0</v>
      </c>
      <c r="V39" s="138">
        <f>SUMIFS(tbl_task3[S17],tbl_task3[[SubPLOs]:[SubPLOs]],"&gt;=6",tbl_task3[[SubPLOs]:[SubPLOs]],"&lt;7")</f>
        <v>0</v>
      </c>
      <c r="W39" s="138">
        <f>SUMIFS(tbl_task3[S18],tbl_task3[[SubPLOs]:[SubPLOs]],"&gt;=6",tbl_task3[[SubPLOs]:[SubPLOs]],"&lt;7")</f>
        <v>0</v>
      </c>
      <c r="X39" s="138">
        <f>SUMIFS(tbl_task3[S19],tbl_task3[[SubPLOs]:[SubPLOs]],"&gt;=6",tbl_task3[[SubPLOs]:[SubPLOs]],"&lt;7")</f>
        <v>0</v>
      </c>
      <c r="Y39" s="138">
        <f>SUMIFS(tbl_task3[S20],tbl_task3[[SubPLOs]:[SubPLOs]],"&gt;=6",tbl_task3[[SubPLOs]:[SubPLOs]],"&lt;7")</f>
        <v>0</v>
      </c>
      <c r="Z39" s="138">
        <f>SUMIFS(tbl_task3[S21],tbl_task3[[SubPLOs]:[SubPLOs]],"&gt;=6",tbl_task3[[SubPLOs]:[SubPLOs]],"&lt;7")</f>
        <v>0</v>
      </c>
      <c r="AA39" s="138">
        <f>SUMIFS(tbl_task3[S22],tbl_task3[[SubPLOs]:[SubPLOs]],"&gt;=6",tbl_task3[[SubPLOs]:[SubPLOs]],"&lt;7")</f>
        <v>0</v>
      </c>
      <c r="AB39" s="138">
        <f>SUMIFS(tbl_task3[S23],tbl_task3[[SubPLOs]:[SubPLOs]],"&gt;=6",tbl_task3[[SubPLOs]:[SubPLOs]],"&lt;7")</f>
        <v>0</v>
      </c>
      <c r="AC39" s="138">
        <f>SUMIFS(tbl_task3[S24],tbl_task3[[SubPLOs]:[SubPLOs]],"&gt;=6",tbl_task3[[SubPLOs]:[SubPLOs]],"&lt;7")</f>
        <v>0</v>
      </c>
      <c r="AD39" s="138">
        <f>SUMIFS(tbl_task3[S25],tbl_task3[[SubPLOs]:[SubPLOs]],"&gt;=6",tbl_task3[[SubPLOs]:[SubPLOs]],"&lt;7")</f>
        <v>0</v>
      </c>
      <c r="AE39" s="138">
        <f>SUMIFS(tbl_task3[S26],tbl_task3[[SubPLOs]:[SubPLOs]],"&gt;=6",tbl_task3[[SubPLOs]:[SubPLOs]],"&lt;7")</f>
        <v>0</v>
      </c>
      <c r="AF39" s="138">
        <f>SUMIFS(tbl_task3[S27],tbl_task3[[SubPLOs]:[SubPLOs]],"&gt;=6",tbl_task3[[SubPLOs]:[SubPLOs]],"&lt;7")</f>
        <v>0</v>
      </c>
      <c r="AG39" s="138">
        <f>SUMIFS(tbl_task3[S28],tbl_task3[[SubPLOs]:[SubPLOs]],"&gt;=6",tbl_task3[[SubPLOs]:[SubPLOs]],"&lt;7")</f>
        <v>0</v>
      </c>
      <c r="AH39" s="138">
        <f>SUMIFS(tbl_task3[S29],tbl_task3[[SubPLOs]:[SubPLOs]],"&gt;=6",tbl_task3[[SubPLOs]:[SubPLOs]],"&lt;7")</f>
        <v>0</v>
      </c>
      <c r="AI39" s="138">
        <f>SUMIFS(tbl_task3[S30],tbl_task3[[SubPLOs]:[SubPLOs]],"&gt;=6",tbl_task3[[SubPLOs]:[SubPLOs]],"&lt;7")</f>
        <v>0</v>
      </c>
      <c r="AJ39" s="138">
        <f>SUMIFS(tbl_task3[S31],tbl_task3[[SubPLOs]:[SubPLOs]],"&gt;=6",tbl_task3[[SubPLOs]:[SubPLOs]],"&lt;7")</f>
        <v>0</v>
      </c>
      <c r="AK39" s="138">
        <f>SUMIFS(tbl_task3[S32],tbl_task3[[SubPLOs]:[SubPLOs]],"&gt;=6",tbl_task3[[SubPLOs]:[SubPLOs]],"&lt;7")</f>
        <v>0</v>
      </c>
      <c r="AL39" s="138">
        <f>SUMIFS(tbl_task3[S33],tbl_task3[[SubPLOs]:[SubPLOs]],"&gt;=6",tbl_task3[[SubPLOs]:[SubPLOs]],"&lt;7")</f>
        <v>0</v>
      </c>
      <c r="AM39" s="138">
        <f>SUMIFS(tbl_task3[S34],tbl_task3[[SubPLOs]:[SubPLOs]],"&gt;=6",tbl_task3[[SubPLOs]:[SubPLOs]],"&lt;7")</f>
        <v>0</v>
      </c>
      <c r="AN39" s="138">
        <f>SUMIFS(tbl_task3[S35],tbl_task3[[SubPLOs]:[SubPLOs]],"&gt;=6",tbl_task3[[SubPLOs]:[SubPLOs]],"&lt;7")</f>
        <v>0</v>
      </c>
      <c r="AO39" s="138">
        <f>SUMIFS(tbl_task3[S36],tbl_task3[[SubPLOs]:[SubPLOs]],"&gt;=6",tbl_task3[[SubPLOs]:[SubPLOs]],"&lt;7")</f>
        <v>0</v>
      </c>
      <c r="AP39" s="138">
        <f>SUMIFS(tbl_task3[S37],tbl_task3[[SubPLOs]:[SubPLOs]],"&gt;=6",tbl_task3[[SubPLOs]:[SubPLOs]],"&lt;7")</f>
        <v>0</v>
      </c>
      <c r="AQ39" s="138">
        <f>SUMIFS(tbl_task3[S38],tbl_task3[[SubPLOs]:[SubPLOs]],"&gt;=6",tbl_task3[[SubPLOs]:[SubPLOs]],"&lt;7")</f>
        <v>0</v>
      </c>
      <c r="AR39" s="138">
        <f>SUMIFS(tbl_task3[S39],tbl_task3[[SubPLOs]:[SubPLOs]],"&gt;=6",tbl_task3[[SubPLOs]:[SubPLOs]],"&lt;7")</f>
        <v>0</v>
      </c>
      <c r="AS39" s="138">
        <f>SUMIFS(tbl_task3[S40],tbl_task3[[SubPLOs]:[SubPLOs]],"&gt;=6",tbl_task3[[SubPLOs]:[SubPLOs]],"&lt;7")</f>
        <v>0</v>
      </c>
      <c r="AT39" s="138">
        <f>SUMIFS(tbl_task3[S41],tbl_task3[[SubPLOs]:[SubPLOs]],"&gt;=6",tbl_task3[[SubPLOs]:[SubPLOs]],"&lt;7")</f>
        <v>0</v>
      </c>
      <c r="AU39" s="138">
        <f>SUMIFS(tbl_task3[S42],tbl_task3[[SubPLOs]:[SubPLOs]],"&gt;=6",tbl_task3[[SubPLOs]:[SubPLOs]],"&lt;7")</f>
        <v>0</v>
      </c>
      <c r="AV39" s="138">
        <f>SUMIFS(tbl_task3[S43],tbl_task3[[SubPLOs]:[SubPLOs]],"&gt;=6",tbl_task3[[SubPLOs]:[SubPLOs]],"&lt;7")</f>
        <v>0</v>
      </c>
      <c r="AW39" s="138">
        <f>SUMIFS(tbl_task3[S44],tbl_task3[[SubPLOs]:[SubPLOs]],"&gt;=6",tbl_task3[[SubPLOs]:[SubPLOs]],"&lt;7")</f>
        <v>0</v>
      </c>
      <c r="AX39" s="138">
        <f>SUMIFS(tbl_task3[S45],tbl_task3[[SubPLOs]:[SubPLOs]],"&gt;=6",tbl_task3[[SubPLOs]:[SubPLOs]],"&lt;7")</f>
        <v>0</v>
      </c>
      <c r="AY39" s="138">
        <f>SUMIFS(tbl_task3[S46],tbl_task3[[SubPLOs]:[SubPLOs]],"&gt;=6",tbl_task3[[SubPLOs]:[SubPLOs]],"&lt;7")</f>
        <v>0</v>
      </c>
      <c r="AZ39" s="138">
        <f>SUMIFS(tbl_task3[S47],tbl_task3[[SubPLOs]:[SubPLOs]],"&gt;=6",tbl_task3[[SubPLOs]:[SubPLOs]],"&lt;7")</f>
        <v>0</v>
      </c>
      <c r="BA39" s="138">
        <f>SUMIFS(tbl_task3[S48],tbl_task3[[SubPLOs]:[SubPLOs]],"&gt;=6",tbl_task3[[SubPLOs]:[SubPLOs]],"&lt;7")</f>
        <v>0</v>
      </c>
      <c r="BB39" s="138">
        <f>SUMIFS(tbl_task3[S49],tbl_task3[[SubPLOs]:[SubPLOs]],"&gt;=6",tbl_task3[[SubPLOs]:[SubPLOs]],"&lt;7")</f>
        <v>0</v>
      </c>
      <c r="BC39" s="138">
        <f>SUMIFS(tbl_task3[S50],tbl_task3[[SubPLOs]:[SubPLOs]],"&gt;=6",tbl_task3[[SubPLOs]:[SubPLOs]],"&lt;7")</f>
        <v>0</v>
      </c>
      <c r="BD39" s="138">
        <f>SUMIFS(tbl_task3[S51],tbl_task3[[SubPLOs]:[SubPLOs]],"&gt;=6",tbl_task3[[SubPLOs]:[SubPLOs]],"&lt;7")</f>
        <v>0</v>
      </c>
      <c r="BE39" s="138">
        <f>SUMIFS(tbl_task3[S52],tbl_task3[[SubPLOs]:[SubPLOs]],"&gt;=6",tbl_task3[[SubPLOs]:[SubPLOs]],"&lt;7")</f>
        <v>0</v>
      </c>
      <c r="BF39" s="138">
        <f>SUMIFS(tbl_task3[S53],tbl_task3[[SubPLOs]:[SubPLOs]],"&gt;=6",tbl_task3[[SubPLOs]:[SubPLOs]],"&lt;7")</f>
        <v>0</v>
      </c>
      <c r="BG39" s="138">
        <f>SUMIFS(tbl_task3[S54],tbl_task3[[SubPLOs]:[SubPLOs]],"&gt;=6",tbl_task3[[SubPLOs]:[SubPLOs]],"&lt;7")</f>
        <v>0</v>
      </c>
      <c r="BH39" s="138">
        <f>SUMIFS(tbl_task3[S55],tbl_task3[[SubPLOs]:[SubPLOs]],"&gt;=6",tbl_task3[[SubPLOs]:[SubPLOs]],"&lt;7")</f>
        <v>0</v>
      </c>
      <c r="BI39" s="138">
        <f>SUMIFS(tbl_task3[S56],tbl_task3[[SubPLOs]:[SubPLOs]],"&gt;=6",tbl_task3[[SubPLOs]:[SubPLOs]],"&lt;7")</f>
        <v>0</v>
      </c>
      <c r="BJ39" s="138">
        <f>SUMIFS(tbl_task3[S57],tbl_task3[[SubPLOs]:[SubPLOs]],"&gt;=6",tbl_task3[[SubPLOs]:[SubPLOs]],"&lt;7")</f>
        <v>0</v>
      </c>
      <c r="BK39" s="138">
        <f>SUMIFS(tbl_task3[S58],tbl_task3[[SubPLOs]:[SubPLOs]],"&gt;=6",tbl_task3[[SubPLOs]:[SubPLOs]],"&lt;7")</f>
        <v>0</v>
      </c>
      <c r="BL39" s="138">
        <f>SUMIFS(tbl_task3[S59],tbl_task3[[SubPLOs]:[SubPLOs]],"&gt;=6",tbl_task3[[SubPLOs]:[SubPLOs]],"&lt;7")</f>
        <v>0</v>
      </c>
      <c r="BM39" s="138">
        <f>SUMIFS(tbl_task3[S60],tbl_task3[[SubPLOs]:[SubPLOs]],"&gt;=6",tbl_task3[[SubPLOs]:[SubPLOs]],"&lt;7")</f>
        <v>0</v>
      </c>
      <c r="BN39" s="138">
        <f>SUMIFS(tbl_task3[S61],tbl_task3[[SubPLOs]:[SubPLOs]],"&gt;=6",tbl_task3[[SubPLOs]:[SubPLOs]],"&lt;7")</f>
        <v>0</v>
      </c>
      <c r="BO39" s="138">
        <f>SUMIFS(tbl_task3[S62],tbl_task3[[SubPLOs]:[SubPLOs]],"&gt;=6",tbl_task3[[SubPLOs]:[SubPLOs]],"&lt;7")</f>
        <v>0</v>
      </c>
      <c r="BP39" s="138">
        <f>SUMIFS(tbl_task3[S63],tbl_task3[[SubPLOs]:[SubPLOs]],"&gt;=6",tbl_task3[[SubPLOs]:[SubPLOs]],"&lt;7")</f>
        <v>0</v>
      </c>
      <c r="BQ39" s="138">
        <f>SUMIFS(tbl_task3[S64],tbl_task3[[SubPLOs]:[SubPLOs]],"&gt;=6",tbl_task3[[SubPLOs]:[SubPLOs]],"&lt;7")</f>
        <v>0</v>
      </c>
      <c r="BR39" s="138">
        <f>SUMIFS(tbl_task3[S65],tbl_task3[[SubPLOs]:[SubPLOs]],"&gt;=6",tbl_task3[[SubPLOs]:[SubPLOs]],"&lt;7")</f>
        <v>0</v>
      </c>
      <c r="BS39" s="138">
        <f>SUMIFS(tbl_task3[S66],tbl_task3[[SubPLOs]:[SubPLOs]],"&gt;=6",tbl_task3[[SubPLOs]:[SubPLOs]],"&lt;7")</f>
        <v>0</v>
      </c>
      <c r="BT39" s="138">
        <f>SUMIFS(tbl_task3[S67],tbl_task3[[SubPLOs]:[SubPLOs]],"&gt;=6",tbl_task3[[SubPLOs]:[SubPLOs]],"&lt;7")</f>
        <v>0</v>
      </c>
      <c r="BU39" s="138">
        <f>SUMIFS(tbl_task3[S68],tbl_task3[[SubPLOs]:[SubPLOs]],"&gt;=6",tbl_task3[[SubPLOs]:[SubPLOs]],"&lt;7")</f>
        <v>0</v>
      </c>
      <c r="BV39" s="138">
        <f>SUMIFS(tbl_task3[S69],tbl_task3[[SubPLOs]:[SubPLOs]],"&gt;=6",tbl_task3[[SubPLOs]:[SubPLOs]],"&lt;7")</f>
        <v>0</v>
      </c>
      <c r="BW39" s="138">
        <f>SUMIFS(tbl_task3[S70],tbl_task3[[SubPLOs]:[SubPLOs]],"&gt;=6",tbl_task3[[SubPLOs]:[SubPLOs]],"&lt;7")</f>
        <v>0</v>
      </c>
      <c r="BX39" s="138">
        <f>SUMIFS(tbl_task3[S71],tbl_task3[[SubPLOs]:[SubPLOs]],"&gt;=6",tbl_task3[[SubPLOs]:[SubPLOs]],"&lt;7")</f>
        <v>0</v>
      </c>
      <c r="BY39" s="138">
        <f>SUMIFS(tbl_task3[S72],tbl_task3[[SubPLOs]:[SubPLOs]],"&gt;=6",tbl_task3[[SubPLOs]:[SubPLOs]],"&lt;7")</f>
        <v>0</v>
      </c>
      <c r="BZ39" s="138">
        <f>SUMIFS(tbl_task3[S73],tbl_task3[[SubPLOs]:[SubPLOs]],"&gt;=6",tbl_task3[[SubPLOs]:[SubPLOs]],"&lt;7")</f>
        <v>0</v>
      </c>
      <c r="CA39" s="138">
        <f>SUMIFS(tbl_task3[S74],tbl_task3[[SubPLOs]:[SubPLOs]],"&gt;=6",tbl_task3[[SubPLOs]:[SubPLOs]],"&lt;7")</f>
        <v>0</v>
      </c>
      <c r="CB39" s="138">
        <f>SUMIFS(tbl_task3[S75],tbl_task3[[SubPLOs]:[SubPLOs]],"&gt;=6",tbl_task3[[SubPLOs]:[SubPLOs]],"&lt;7")</f>
        <v>0</v>
      </c>
      <c r="CC39" s="138">
        <f>SUMIFS(tbl_task3[S76],tbl_task3[[SubPLOs]:[SubPLOs]],"&gt;=6",tbl_task3[[SubPLOs]:[SubPLOs]],"&lt;7")</f>
        <v>0</v>
      </c>
      <c r="CD39" s="138">
        <f>SUMIFS(tbl_task3[S77],tbl_task3[[SubPLOs]:[SubPLOs]],"&gt;=6",tbl_task3[[SubPLOs]:[SubPLOs]],"&lt;7")</f>
        <v>0</v>
      </c>
      <c r="CE39" s="138">
        <f>SUMIFS(tbl_task3[S78],tbl_task3[[SubPLOs]:[SubPLOs]],"&gt;=6",tbl_task3[[SubPLOs]:[SubPLOs]],"&lt;7")</f>
        <v>0</v>
      </c>
      <c r="CF39" s="138">
        <f>SUMIFS(tbl_task3[S79],tbl_task3[[SubPLOs]:[SubPLOs]],"&gt;=6",tbl_task3[[SubPLOs]:[SubPLOs]],"&lt;7")</f>
        <v>0</v>
      </c>
      <c r="CG39" s="138">
        <f>SUMIFS(tbl_task3[S80],tbl_task3[[SubPLOs]:[SubPLOs]],"&gt;=6",tbl_task3[[SubPLOs]:[SubPLOs]],"&lt;7")</f>
        <v>0</v>
      </c>
      <c r="CH39" s="138">
        <f>SUMIFS(tbl_task3[S81],tbl_task3[[SubPLOs]:[SubPLOs]],"&gt;=6",tbl_task3[[SubPLOs]:[SubPLOs]],"&lt;7")</f>
        <v>0</v>
      </c>
      <c r="CI39" s="138">
        <f>SUMIFS(tbl_task3[S82],tbl_task3[[SubPLOs]:[SubPLOs]],"&gt;=6",tbl_task3[[SubPLOs]:[SubPLOs]],"&lt;7")</f>
        <v>0</v>
      </c>
      <c r="CJ39" s="138">
        <f>SUMIFS(tbl_task3[S83],tbl_task3[[SubPLOs]:[SubPLOs]],"&gt;=6",tbl_task3[[SubPLOs]:[SubPLOs]],"&lt;7")</f>
        <v>0</v>
      </c>
      <c r="CK39" s="138">
        <f>SUMIFS(tbl_task3[S84],tbl_task3[[SubPLOs]:[SubPLOs]],"&gt;=6",tbl_task3[[SubPLOs]:[SubPLOs]],"&lt;7")</f>
        <v>0</v>
      </c>
      <c r="CL39" s="138">
        <f>SUMIFS(tbl_task3[S85],tbl_task3[[SubPLOs]:[SubPLOs]],"&gt;=6",tbl_task3[[SubPLOs]:[SubPLOs]],"&lt;7")</f>
        <v>0</v>
      </c>
      <c r="CM39" s="138">
        <f>SUMIFS(tbl_task3[S86],tbl_task3[[SubPLOs]:[SubPLOs]],"&gt;=6",tbl_task3[[SubPLOs]:[SubPLOs]],"&lt;7")</f>
        <v>0</v>
      </c>
      <c r="CN39" s="138">
        <f>SUMIFS(tbl_task3[S87],tbl_task3[[SubPLOs]:[SubPLOs]],"&gt;=6",tbl_task3[[SubPLOs]:[SubPLOs]],"&lt;7")</f>
        <v>0</v>
      </c>
      <c r="CO39" s="138">
        <f>SUMIFS(tbl_task3[S88],tbl_task3[[SubPLOs]:[SubPLOs]],"&gt;=6",tbl_task3[[SubPLOs]:[SubPLOs]],"&lt;7")</f>
        <v>0</v>
      </c>
      <c r="CP39" s="138">
        <f>SUMIFS(tbl_task3[S89],tbl_task3[[SubPLOs]:[SubPLOs]],"&gt;=6",tbl_task3[[SubPLOs]:[SubPLOs]],"&lt;7")</f>
        <v>0</v>
      </c>
      <c r="CQ39" s="138">
        <f>SUMIFS(tbl_task3[S90],tbl_task3[[SubPLOs]:[SubPLOs]],"&gt;=6",tbl_task3[[SubPLOs]:[SubPLOs]],"&lt;7")</f>
        <v>0</v>
      </c>
      <c r="CR39" s="138">
        <f>SUMIFS(tbl_task3[S91],tbl_task3[[SubPLOs]:[SubPLOs]],"&gt;=6",tbl_task3[[SubPLOs]:[SubPLOs]],"&lt;7")</f>
        <v>0</v>
      </c>
      <c r="CS39" s="138">
        <f>SUMIFS(tbl_task3[S92],tbl_task3[[SubPLOs]:[SubPLOs]],"&gt;=6",tbl_task3[[SubPLOs]:[SubPLOs]],"&lt;7")</f>
        <v>0</v>
      </c>
      <c r="CT39" s="138">
        <f>SUMIFS(tbl_task3[S93],tbl_task3[[SubPLOs]:[SubPLOs]],"&gt;=6",tbl_task3[[SubPLOs]:[SubPLOs]],"&lt;7")</f>
        <v>0</v>
      </c>
      <c r="CU39" s="138">
        <f>SUMIFS(tbl_task3[S94],tbl_task3[[SubPLOs]:[SubPLOs]],"&gt;=6",tbl_task3[[SubPLOs]:[SubPLOs]],"&lt;7")</f>
        <v>0</v>
      </c>
      <c r="CV39" s="138">
        <f>SUMIFS(tbl_task3[S95],tbl_task3[[SubPLOs]:[SubPLOs]],"&gt;=6",tbl_task3[[SubPLOs]:[SubPLOs]],"&lt;7")</f>
        <v>0</v>
      </c>
      <c r="CW39" s="138">
        <f>SUMIFS(tbl_task3[S96],tbl_task3[[SubPLOs]:[SubPLOs]],"&gt;=6",tbl_task3[[SubPLOs]:[SubPLOs]],"&lt;7")</f>
        <v>0</v>
      </c>
      <c r="CX39" s="138">
        <f>SUMIFS(tbl_task3[S97],tbl_task3[[SubPLOs]:[SubPLOs]],"&gt;=6",tbl_task3[[SubPLOs]:[SubPLOs]],"&lt;7")</f>
        <v>0</v>
      </c>
      <c r="CY39" s="138">
        <f>SUMIFS(tbl_task3[S98],tbl_task3[[SubPLOs]:[SubPLOs]],"&gt;=6",tbl_task3[[SubPLOs]:[SubPLOs]],"&lt;7")</f>
        <v>0</v>
      </c>
      <c r="CZ39" s="138">
        <f>SUMIFS(tbl_task3[S99],tbl_task3[[SubPLOs]:[SubPLOs]],"&gt;=6",tbl_task3[[SubPLOs]:[SubPLOs]],"&lt;7")</f>
        <v>0</v>
      </c>
      <c r="DA39" s="138">
        <f>SUMIFS(tbl_task3[S100],tbl_task3[[SubPLOs]:[SubPLOs]],"&gt;=6",tbl_task3[[SubPLOs]:[SubPLOs]],"&lt;7")</f>
        <v>0</v>
      </c>
      <c r="DB39" s="138">
        <f>SUMIFS(tbl_task3[S101],tbl_task3[[SubPLOs]:[SubPLOs]],"&gt;=6",tbl_task3[[SubPLOs]:[SubPLOs]],"&lt;7")</f>
        <v>0</v>
      </c>
      <c r="DC39" s="138">
        <f>SUMIFS(tbl_task3[S102],tbl_task3[[SubPLOs]:[SubPLOs]],"&gt;=6",tbl_task3[[SubPLOs]:[SubPLOs]],"&lt;7")</f>
        <v>0</v>
      </c>
      <c r="DD39" s="138">
        <f>SUMIFS(tbl_task3[S103],tbl_task3[[SubPLOs]:[SubPLOs]],"&gt;=6",tbl_task3[[SubPLOs]:[SubPLOs]],"&lt;7")</f>
        <v>0</v>
      </c>
      <c r="DE39" s="138">
        <f>SUMIFS(tbl_task3[S104],tbl_task3[[SubPLOs]:[SubPLOs]],"&gt;=6",tbl_task3[[SubPLOs]:[SubPLOs]],"&lt;7")</f>
        <v>0</v>
      </c>
      <c r="DF39" s="138">
        <f>SUMIFS(tbl_task3[S105],tbl_task3[[SubPLOs]:[SubPLOs]],"&gt;=6",tbl_task3[[SubPLOs]:[SubPLOs]],"&lt;7")</f>
        <v>0</v>
      </c>
      <c r="DG39" s="138">
        <f>SUMIFS(tbl_task3[S106],tbl_task3[[SubPLOs]:[SubPLOs]],"&gt;=6",tbl_task3[[SubPLOs]:[SubPLOs]],"&lt;7")</f>
        <v>0</v>
      </c>
      <c r="DH39" s="138">
        <f>SUMIFS(tbl_task3[S106],tbl_task3[[SubPLOs]:[SubPLOs]],"&gt;=6",tbl_task3[[SubPLOs]:[SubPLOs]],"&lt;7")</f>
        <v>0</v>
      </c>
      <c r="DI39" s="138">
        <f>SUMIFS(tbl_task3[S108],tbl_task3[[SubPLOs]:[SubPLOs]],"&gt;=6",tbl_task3[[SubPLOs]:[SubPLOs]],"&lt;7")</f>
        <v>0</v>
      </c>
      <c r="DJ39" s="138">
        <f>SUMIFS(tbl_task3[S109],tbl_task3[[SubPLOs]:[SubPLOs]],"&gt;=6",tbl_task3[[SubPLOs]:[SubPLOs]],"&lt;7")</f>
        <v>0</v>
      </c>
      <c r="DK39" s="138">
        <f>SUMIFS(tbl_task3[S110],tbl_task3[[SubPLOs]:[SubPLOs]],"&gt;=6",tbl_task3[[SubPLOs]:[SubPLOs]],"&lt;7")</f>
        <v>0</v>
      </c>
      <c r="DL39" s="138">
        <f>SUMIFS(tbl_task3[S111],tbl_task3[[SubPLOs]:[SubPLOs]],"&gt;=6",tbl_task3[[SubPLOs]:[SubPLOs]],"&lt;7")</f>
        <v>0</v>
      </c>
      <c r="DM39" s="138">
        <f>SUMIFS(tbl_task3[S112],tbl_task3[[SubPLOs]:[SubPLOs]],"&gt;=6",tbl_task3[[SubPLOs]:[SubPLOs]],"&lt;7")</f>
        <v>0</v>
      </c>
      <c r="DN39" s="138">
        <f>SUMIFS(tbl_task3[S113],tbl_task3[[SubPLOs]:[SubPLOs]],"&gt;=6",tbl_task3[[SubPLOs]:[SubPLOs]],"&lt;7")</f>
        <v>0</v>
      </c>
      <c r="DO39" s="138">
        <f>SUMIFS(tbl_task3[S114],tbl_task3[[SubPLOs]:[SubPLOs]],"&gt;=6",tbl_task3[[SubPLOs]:[SubPLOs]],"&lt;7")</f>
        <v>0</v>
      </c>
      <c r="DP39" s="138">
        <f>SUMIFS(tbl_task3[S115],tbl_task3[[SubPLOs]:[SubPLOs]],"&gt;=6",tbl_task3[[SubPLOs]:[SubPLOs]],"&lt;7")</f>
        <v>0</v>
      </c>
      <c r="DQ39" s="138">
        <f>SUMIFS(tbl_task3[S116],tbl_task3[[SubPLOs]:[SubPLOs]],"&gt;=6",tbl_task3[[SubPLOs]:[SubPLOs]],"&lt;7")</f>
        <v>0</v>
      </c>
      <c r="DR39" s="138">
        <f>SUMIFS(tbl_task3[S117],tbl_task3[[SubPLOs]:[SubPLOs]],"&gt;=6",tbl_task3[[SubPLOs]:[SubPLOs]],"&lt;7")</f>
        <v>0</v>
      </c>
      <c r="DS39" s="138">
        <f>SUMIFS(tbl_task3[S118],tbl_task3[[SubPLOs]:[SubPLOs]],"&gt;=6",tbl_task3[[SubPLOs]:[SubPLOs]],"&lt;7")</f>
        <v>0</v>
      </c>
      <c r="DT39" s="138">
        <f>SUMIFS(tbl_task3[S119],tbl_task3[[SubPLOs]:[SubPLOs]],"&gt;=6",tbl_task3[[SubPLOs]:[SubPLOs]],"&lt;7")</f>
        <v>0</v>
      </c>
      <c r="DU39" s="138">
        <f>SUMIFS(tbl_task3[S120],tbl_task3[[SubPLOs]:[SubPLOs]],"&gt;=6",tbl_task3[[SubPLOs]:[SubPLOs]],"&lt;7")</f>
        <v>0</v>
      </c>
      <c r="DV39" s="138">
        <f>SUMIFS(tbl_task3[S121],tbl_task3[[SubPLOs]:[SubPLOs]],"&gt;=6",tbl_task3[[SubPLOs]:[SubPLOs]],"&lt;7")</f>
        <v>0</v>
      </c>
      <c r="DW39" s="138">
        <f>SUMIFS(tbl_task3[S122],tbl_task3[[SubPLOs]:[SubPLOs]],"&gt;=6",tbl_task3[[SubPLOs]:[SubPLOs]],"&lt;7")</f>
        <v>0</v>
      </c>
      <c r="DX39" s="138">
        <f>SUMIFS(tbl_task3[S123],tbl_task3[[SubPLOs]:[SubPLOs]],"&gt;=6",tbl_task3[[SubPLOs]:[SubPLOs]],"&lt;7")</f>
        <v>0</v>
      </c>
      <c r="DY39" s="138">
        <f>SUMIFS(tbl_task3[S124],tbl_task3[[SubPLOs]:[SubPLOs]],"&gt;=6",tbl_task3[[SubPLOs]:[SubPLOs]],"&lt;7")</f>
        <v>0</v>
      </c>
      <c r="DZ39" s="138">
        <f>SUMIFS(tbl_task3[S125],tbl_task3[[SubPLOs]:[SubPLOs]],"&gt;=6",tbl_task3[[SubPLOs]:[SubPLOs]],"&lt;7")</f>
        <v>0</v>
      </c>
      <c r="EA39" s="138">
        <f>SUMIFS(tbl_task3[S126],tbl_task3[[SubPLOs]:[SubPLOs]],"&gt;=6",tbl_task3[[SubPLOs]:[SubPLOs]],"&lt;7")</f>
        <v>0</v>
      </c>
      <c r="EB39" s="138">
        <f>SUMIFS(tbl_task3[S127],tbl_task3[[SubPLOs]:[SubPLOs]],"&gt;=6",tbl_task3[[SubPLOs]:[SubPLOs]],"&lt;7")</f>
        <v>0</v>
      </c>
      <c r="EC39" s="138">
        <f>SUMIFS(tbl_task3[S128],tbl_task3[[SubPLOs]:[SubPLOs]],"&gt;=6",tbl_task3[[SubPLOs]:[SubPLOs]],"&lt;7")</f>
        <v>0</v>
      </c>
      <c r="ED39" s="138">
        <f>SUMIFS(tbl_task3[S129],tbl_task3[[SubPLOs]:[SubPLOs]],"&gt;=6",tbl_task3[[SubPLOs]:[SubPLOs]],"&lt;7")</f>
        <v>0</v>
      </c>
      <c r="EE39" s="138">
        <f>SUMIFS(tbl_task3[S130],tbl_task3[[SubPLOs]:[SubPLOs]],"&gt;=6",tbl_task3[[SubPLOs]:[SubPLOs]],"&lt;7")</f>
        <v>0</v>
      </c>
      <c r="EF39" s="138">
        <f>SUMIFS(tbl_task3[S131],tbl_task3[[SubPLOs]:[SubPLOs]],"&gt;=6",tbl_task3[[SubPLOs]:[SubPLOs]],"&lt;7")</f>
        <v>0</v>
      </c>
      <c r="EG39" s="138">
        <f>SUMIFS(tbl_task3[S132],tbl_task3[[SubPLOs]:[SubPLOs]],"&gt;=6",tbl_task3[[SubPLOs]:[SubPLOs]],"&lt;7")</f>
        <v>0</v>
      </c>
      <c r="EH39" s="138">
        <f>SUMIFS(tbl_task3[S133],tbl_task3[[SubPLOs]:[SubPLOs]],"&gt;=6",tbl_task3[[SubPLOs]:[SubPLOs]],"&lt;7")</f>
        <v>0</v>
      </c>
      <c r="EI39" s="138">
        <f>SUMIFS(tbl_task3[S134],tbl_task3[[SubPLOs]:[SubPLOs]],"&gt;=6",tbl_task3[[SubPLOs]:[SubPLOs]],"&lt;7")</f>
        <v>0</v>
      </c>
      <c r="EJ39" s="138">
        <f>SUMIFS(tbl_task3[S135],tbl_task3[[SubPLOs]:[SubPLOs]],"&gt;=6",tbl_task3[[SubPLOs]:[SubPLOs]],"&lt;7")</f>
        <v>0</v>
      </c>
      <c r="EK39" s="138">
        <f>SUMIFS(tbl_task3[S136],tbl_task3[[SubPLOs]:[SubPLOs]],"&gt;=6",tbl_task3[[SubPLOs]:[SubPLOs]],"&lt;7")</f>
        <v>0</v>
      </c>
      <c r="EL39" s="138">
        <f>SUMIFS(tbl_task3[S137],tbl_task3[[SubPLOs]:[SubPLOs]],"&gt;=6",tbl_task3[[SubPLOs]:[SubPLOs]],"&lt;7")</f>
        <v>0</v>
      </c>
      <c r="EM39" s="138">
        <f>SUMIFS(tbl_task3[S138],tbl_task3[[SubPLOs]:[SubPLOs]],"&gt;=6",tbl_task3[[SubPLOs]:[SubPLOs]],"&lt;7")</f>
        <v>0</v>
      </c>
      <c r="EN39" s="138">
        <f>SUMIFS(tbl_task3[S139],tbl_task3[[SubPLOs]:[SubPLOs]],"&gt;=6",tbl_task3[[SubPLOs]:[SubPLOs]],"&lt;7")</f>
        <v>0</v>
      </c>
      <c r="EO39" s="138">
        <f>SUMIFS(tbl_task3[S140],tbl_task3[[SubPLOs]:[SubPLOs]],"&gt;=6",tbl_task3[[SubPLOs]:[SubPLOs]],"&lt;7")</f>
        <v>0</v>
      </c>
      <c r="EP39" s="138">
        <f>SUMIFS(tbl_task3[S141],tbl_task3[[SubPLOs]:[SubPLOs]],"&gt;=6",tbl_task3[[SubPLOs]:[SubPLOs]],"&lt;7")</f>
        <v>0</v>
      </c>
      <c r="EQ39" s="138">
        <f>SUMIFS(tbl_task3[S142],tbl_task3[[SubPLOs]:[SubPLOs]],"&gt;=6",tbl_task3[[SubPLOs]:[SubPLOs]],"&lt;7")</f>
        <v>0</v>
      </c>
      <c r="ER39" s="138">
        <f>SUMIFS(tbl_task3[S143],tbl_task3[[SubPLOs]:[SubPLOs]],"&gt;=6",tbl_task3[[SubPLOs]:[SubPLOs]],"&lt;7")</f>
        <v>0</v>
      </c>
      <c r="ES39" s="138">
        <f>SUMIFS(tbl_task3[S144],tbl_task3[[SubPLOs]:[SubPLOs]],"&gt;=6",tbl_task3[[SubPLOs]:[SubPLOs]],"&lt;7")</f>
        <v>0</v>
      </c>
      <c r="ET39" s="138">
        <f>SUMIFS(tbl_task3[S145],tbl_task3[[SubPLOs]:[SubPLOs]],"&gt;=6",tbl_task3[[SubPLOs]:[SubPLOs]],"&lt;7")</f>
        <v>0</v>
      </c>
      <c r="EU39" s="138">
        <f>SUMIFS(tbl_task3[S146],tbl_task3[[SubPLOs]:[SubPLOs]],"&gt;=6",tbl_task3[[SubPLOs]:[SubPLOs]],"&lt;7")</f>
        <v>0</v>
      </c>
      <c r="EV39" s="138">
        <f>SUMIFS(tbl_task3[S147],tbl_task3[[SubPLOs]:[SubPLOs]],"&gt;=6",tbl_task3[[SubPLOs]:[SubPLOs]],"&lt;7")</f>
        <v>0</v>
      </c>
      <c r="EW39" s="138">
        <f>SUMIFS(tbl_task3[S148],tbl_task3[[SubPLOs]:[SubPLOs]],"&gt;=6",tbl_task3[[SubPLOs]:[SubPLOs]],"&lt;7")</f>
        <v>0</v>
      </c>
      <c r="EX39" s="138">
        <f>SUMIFS(tbl_task3[S149],tbl_task3[[SubPLOs]:[SubPLOs]],"&gt;=6",tbl_task3[[SubPLOs]:[SubPLOs]],"&lt;7")</f>
        <v>0</v>
      </c>
      <c r="EY39" s="138">
        <f>SUMIFS(tbl_task3[S150],tbl_task3[[SubPLOs]:[SubPLOs]],"&gt;=6",tbl_task3[[SubPLOs]:[SubPLOs]],"&lt;7")</f>
        <v>0</v>
      </c>
      <c r="EZ39" s="138">
        <f>SUMIFS(tbl_task3[S151],tbl_task3[[SubPLOs]:[SubPLOs]],"&gt;=6",tbl_task3[[SubPLOs]:[SubPLOs]],"&lt;7")</f>
        <v>0</v>
      </c>
      <c r="FA39" s="138">
        <f>SUMIFS(tbl_task3[S152],tbl_task3[[SubPLOs]:[SubPLOs]],"&gt;=6",tbl_task3[[SubPLOs]:[SubPLOs]],"&lt;7")</f>
        <v>0</v>
      </c>
      <c r="FB39" s="138">
        <f>SUMIFS(tbl_task3[S153],tbl_task3[[SubPLOs]:[SubPLOs]],"&gt;=6",tbl_task3[[SubPLOs]:[SubPLOs]],"&lt;7")</f>
        <v>0</v>
      </c>
      <c r="FC39" s="138">
        <f>SUMIFS(tbl_task3[S154],tbl_task3[[SubPLOs]:[SubPLOs]],"&gt;=6",tbl_task3[[SubPLOs]:[SubPLOs]],"&lt;7")</f>
        <v>0</v>
      </c>
      <c r="FD39" s="138">
        <f>SUMIFS(tbl_task3[S155],tbl_task3[[SubPLOs]:[SubPLOs]],"&gt;=6",tbl_task3[[SubPLOs]:[SubPLOs]],"&lt;7")</f>
        <v>0</v>
      </c>
      <c r="FE39" s="138">
        <f>SUMIFS(tbl_task3[S156],tbl_task3[[SubPLOs]:[SubPLOs]],"&gt;=6",tbl_task3[[SubPLOs]:[SubPLOs]],"&lt;7")</f>
        <v>0</v>
      </c>
      <c r="FF39" s="138">
        <f>SUMIFS(tbl_task3[S157],tbl_task3[[SubPLOs]:[SubPLOs]],"&gt;=6",tbl_task3[[SubPLOs]:[SubPLOs]],"&lt;7")</f>
        <v>0</v>
      </c>
      <c r="FG39" s="138">
        <f>SUMIFS(tbl_task3[S158],tbl_task3[[SubPLOs]:[SubPLOs]],"&gt;=6",tbl_task3[[SubPLOs]:[SubPLOs]],"&lt;7")</f>
        <v>0</v>
      </c>
      <c r="FH39" s="138">
        <f>SUMIFS(tbl_task3[S159],tbl_task3[[SubPLOs]:[SubPLOs]],"&gt;=6",tbl_task3[[SubPLOs]:[SubPLOs]],"&lt;7")</f>
        <v>0</v>
      </c>
      <c r="FI39" s="138">
        <f>SUMIFS(tbl_task3[S160],tbl_task3[[SubPLOs]:[SubPLOs]],"&gt;=6",tbl_task3[[SubPLOs]:[SubPLOs]],"&lt;7")</f>
        <v>0</v>
      </c>
      <c r="FJ39" s="138">
        <f>SUMIFS(tbl_task3[S161],tbl_task3[[SubPLOs]:[SubPLOs]],"&gt;=6",tbl_task3[[SubPLOs]:[SubPLOs]],"&lt;7")</f>
        <v>0</v>
      </c>
      <c r="FK39" s="138">
        <f>SUMIFS(tbl_task3[S162],tbl_task3[[SubPLOs]:[SubPLOs]],"&gt;=6",tbl_task3[[SubPLOs]:[SubPLOs]],"&lt;7")</f>
        <v>0</v>
      </c>
      <c r="FL39" s="138">
        <f>SUMIFS(tbl_task3[S163],tbl_task3[[SubPLOs]:[SubPLOs]],"&gt;=6",tbl_task3[[SubPLOs]:[SubPLOs]],"&lt;7")</f>
        <v>0</v>
      </c>
      <c r="FM39" s="138">
        <f>SUMIFS(tbl_task3[S164],tbl_task3[[SubPLOs]:[SubPLOs]],"&gt;=6",tbl_task3[[SubPLOs]:[SubPLOs]],"&lt;7")</f>
        <v>0</v>
      </c>
      <c r="FN39" s="138">
        <f>SUMIFS(tbl_task3[S165],tbl_task3[[SubPLOs]:[SubPLOs]],"&gt;=6",tbl_task3[[SubPLOs]:[SubPLOs]],"&lt;7")</f>
        <v>0</v>
      </c>
    </row>
    <row r="40" spans="1:170" ht="42" x14ac:dyDescent="0.25">
      <c r="A40" s="135">
        <v>7</v>
      </c>
      <c r="B40" s="5" t="s">
        <v>440</v>
      </c>
      <c r="C40" s="136">
        <f>COUNTIFS(tbl_task3[SubPLOs],"&gt;=7",tbl_task3[SubPLOs],"&lt;8")</f>
        <v>0</v>
      </c>
      <c r="D40" s="136">
        <f>SUMIFS(tbl_task3[คะแนนเต็ม],tbl_task3[SubPLOs],"&gt;=7",tbl_task3[SubPLOs],"&lt;8")</f>
        <v>0</v>
      </c>
      <c r="E40" s="137">
        <f>SUMIFS(tbl_task3[%],tbl_task3[SubPLOs],"&gt;=7",tbl_task3[SubPLOs],"&lt;8")</f>
        <v>0</v>
      </c>
      <c r="F40" s="138">
        <f>SUMIFS(tbl_task3[S1],tbl_task3[[SubPLOs]:[SubPLOs]],"&gt;=7",tbl_task3[[SubPLOs]:[SubPLOs]],"&lt;8")</f>
        <v>0</v>
      </c>
      <c r="G40" s="138">
        <f>SUMIFS(tbl_task3[S2],tbl_task3[[SubPLOs]:[SubPLOs]],"&gt;=7",tbl_task3[[SubPLOs]:[SubPLOs]],"&lt;8")</f>
        <v>0</v>
      </c>
      <c r="H40" s="138">
        <f>SUMIFS(tbl_task3[S3],tbl_task3[[SubPLOs]:[SubPLOs]],"&gt;=7",tbl_task3[[SubPLOs]:[SubPLOs]],"&lt;8")</f>
        <v>0</v>
      </c>
      <c r="I40" s="138">
        <f>SUMIFS(tbl_task3[S4],tbl_task3[[SubPLOs]:[SubPLOs]],"&gt;=7",tbl_task3[[SubPLOs]:[SubPLOs]],"&lt;8")</f>
        <v>0</v>
      </c>
      <c r="J40" s="138">
        <f>SUMIFS(tbl_task3[S5],tbl_task3[[SubPLOs]:[SubPLOs]],"&gt;=7",tbl_task3[[SubPLOs]:[SubPLOs]],"&lt;8")</f>
        <v>0</v>
      </c>
      <c r="K40" s="138">
        <f>SUMIFS(tbl_task3[S6],tbl_task3[[SubPLOs]:[SubPLOs]],"&gt;=7",tbl_task3[[SubPLOs]:[SubPLOs]],"&lt;8")</f>
        <v>0</v>
      </c>
      <c r="L40" s="138">
        <f>SUMIFS(tbl_task3[S7],tbl_task3[[SubPLOs]:[SubPLOs]],"&gt;=7",tbl_task3[[SubPLOs]:[SubPLOs]],"&lt;8")</f>
        <v>0</v>
      </c>
      <c r="M40" s="138">
        <f>SUMIFS(tbl_task3[S8],tbl_task3[[SubPLOs]:[SubPLOs]],"&gt;=7",tbl_task3[[SubPLOs]:[SubPLOs]],"&lt;8")</f>
        <v>0</v>
      </c>
      <c r="N40" s="138">
        <f>SUMIFS(tbl_task3[S9],tbl_task3[[SubPLOs]:[SubPLOs]],"&gt;=7",tbl_task3[[SubPLOs]:[SubPLOs]],"&lt;8")</f>
        <v>0</v>
      </c>
      <c r="O40" s="138">
        <f>SUMIFS(tbl_task3[S10],tbl_task3[[SubPLOs]:[SubPLOs]],"&gt;=7",tbl_task3[[SubPLOs]:[SubPLOs]],"&lt;8")</f>
        <v>0</v>
      </c>
      <c r="P40" s="138">
        <f>SUMIFS(tbl_task3[S11],tbl_task3[[SubPLOs]:[SubPLOs]],"&gt;=7",tbl_task3[[SubPLOs]:[SubPLOs]],"&lt;8")</f>
        <v>0</v>
      </c>
      <c r="Q40" s="138">
        <f>SUMIFS(tbl_task3[S12],tbl_task3[[SubPLOs]:[SubPLOs]],"&gt;=7",tbl_task3[[SubPLOs]:[SubPLOs]],"&lt;8")</f>
        <v>0</v>
      </c>
      <c r="R40" s="138">
        <f>SUMIFS(tbl_task3[S13],tbl_task3[[SubPLOs]:[SubPLOs]],"&gt;=7",tbl_task3[[SubPLOs]:[SubPLOs]],"&lt;8")</f>
        <v>0</v>
      </c>
      <c r="S40" s="138">
        <f>SUMIFS(tbl_task3[S14],tbl_task3[[SubPLOs]:[SubPLOs]],"&gt;=7",tbl_task3[[SubPLOs]:[SubPLOs]],"&lt;8")</f>
        <v>0</v>
      </c>
      <c r="T40" s="138">
        <f>SUMIFS(tbl_task3[S15],tbl_task3[[SubPLOs]:[SubPLOs]],"&gt;=7",tbl_task3[[SubPLOs]:[SubPLOs]],"&lt;8")</f>
        <v>0</v>
      </c>
      <c r="U40" s="138">
        <f>SUMIFS(tbl_task3[S16],tbl_task3[[SubPLOs]:[SubPLOs]],"&gt;=7",tbl_task3[[SubPLOs]:[SubPLOs]],"&lt;8")</f>
        <v>0</v>
      </c>
      <c r="V40" s="138">
        <f>SUMIFS(tbl_task3[S17],tbl_task3[[SubPLOs]:[SubPLOs]],"&gt;=7",tbl_task3[[SubPLOs]:[SubPLOs]],"&lt;8")</f>
        <v>0</v>
      </c>
      <c r="W40" s="138">
        <f>SUMIFS(tbl_task3[S18],tbl_task3[[SubPLOs]:[SubPLOs]],"&gt;=7",tbl_task3[[SubPLOs]:[SubPLOs]],"&lt;8")</f>
        <v>0</v>
      </c>
      <c r="X40" s="138">
        <f>SUMIFS(tbl_task3[S19],tbl_task3[[SubPLOs]:[SubPLOs]],"&gt;=7",tbl_task3[[SubPLOs]:[SubPLOs]],"&lt;8")</f>
        <v>0</v>
      </c>
      <c r="Y40" s="138">
        <f>SUMIFS(tbl_task3[S20],tbl_task3[[SubPLOs]:[SubPLOs]],"&gt;=7",tbl_task3[[SubPLOs]:[SubPLOs]],"&lt;8")</f>
        <v>0</v>
      </c>
      <c r="Z40" s="138">
        <f>SUMIFS(tbl_task3[S21],tbl_task3[[SubPLOs]:[SubPLOs]],"&gt;=7",tbl_task3[[SubPLOs]:[SubPLOs]],"&lt;8")</f>
        <v>0</v>
      </c>
      <c r="AA40" s="138">
        <f>SUMIFS(tbl_task3[S22],tbl_task3[[SubPLOs]:[SubPLOs]],"&gt;=7",tbl_task3[[SubPLOs]:[SubPLOs]],"&lt;8")</f>
        <v>0</v>
      </c>
      <c r="AB40" s="138">
        <f>SUMIFS(tbl_task3[S23],tbl_task3[[SubPLOs]:[SubPLOs]],"&gt;=7",tbl_task3[[SubPLOs]:[SubPLOs]],"&lt;8")</f>
        <v>0</v>
      </c>
      <c r="AC40" s="138">
        <f>SUMIFS(tbl_task3[S24],tbl_task3[[SubPLOs]:[SubPLOs]],"&gt;=7",tbl_task3[[SubPLOs]:[SubPLOs]],"&lt;8")</f>
        <v>0</v>
      </c>
      <c r="AD40" s="138">
        <f>SUMIFS(tbl_task3[S25],tbl_task3[[SubPLOs]:[SubPLOs]],"&gt;=7",tbl_task3[[SubPLOs]:[SubPLOs]],"&lt;8")</f>
        <v>0</v>
      </c>
      <c r="AE40" s="138">
        <f>SUMIFS(tbl_task3[S26],tbl_task3[[SubPLOs]:[SubPLOs]],"&gt;=7",tbl_task3[[SubPLOs]:[SubPLOs]],"&lt;8")</f>
        <v>0</v>
      </c>
      <c r="AF40" s="138">
        <f>SUMIFS(tbl_task3[S27],tbl_task3[[SubPLOs]:[SubPLOs]],"&gt;=7",tbl_task3[[SubPLOs]:[SubPLOs]],"&lt;8")</f>
        <v>0</v>
      </c>
      <c r="AG40" s="138">
        <f>SUMIFS(tbl_task3[S28],tbl_task3[[SubPLOs]:[SubPLOs]],"&gt;=7",tbl_task3[[SubPLOs]:[SubPLOs]],"&lt;8")</f>
        <v>0</v>
      </c>
      <c r="AH40" s="138">
        <f>SUMIFS(tbl_task3[S29],tbl_task3[[SubPLOs]:[SubPLOs]],"&gt;=7",tbl_task3[[SubPLOs]:[SubPLOs]],"&lt;8")</f>
        <v>0</v>
      </c>
      <c r="AI40" s="138">
        <f>SUMIFS(tbl_task3[S30],tbl_task3[[SubPLOs]:[SubPLOs]],"&gt;=7",tbl_task3[[SubPLOs]:[SubPLOs]],"&lt;8")</f>
        <v>0</v>
      </c>
      <c r="AJ40" s="138">
        <f>SUMIFS(tbl_task3[S31],tbl_task3[[SubPLOs]:[SubPLOs]],"&gt;=7",tbl_task3[[SubPLOs]:[SubPLOs]],"&lt;8")</f>
        <v>0</v>
      </c>
      <c r="AK40" s="138">
        <f>SUMIFS(tbl_task3[S32],tbl_task3[[SubPLOs]:[SubPLOs]],"&gt;=7",tbl_task3[[SubPLOs]:[SubPLOs]],"&lt;8")</f>
        <v>0</v>
      </c>
      <c r="AL40" s="138">
        <f>SUMIFS(tbl_task3[S33],tbl_task3[[SubPLOs]:[SubPLOs]],"&gt;=7",tbl_task3[[SubPLOs]:[SubPLOs]],"&lt;8")</f>
        <v>0</v>
      </c>
      <c r="AM40" s="138">
        <f>SUMIFS(tbl_task3[S34],tbl_task3[[SubPLOs]:[SubPLOs]],"&gt;=7",tbl_task3[[SubPLOs]:[SubPLOs]],"&lt;8")</f>
        <v>0</v>
      </c>
      <c r="AN40" s="138">
        <f>SUMIFS(tbl_task3[S35],tbl_task3[[SubPLOs]:[SubPLOs]],"&gt;=7",tbl_task3[[SubPLOs]:[SubPLOs]],"&lt;8")</f>
        <v>0</v>
      </c>
      <c r="AO40" s="138">
        <f>SUMIFS(tbl_task3[S36],tbl_task3[[SubPLOs]:[SubPLOs]],"&gt;=7",tbl_task3[[SubPLOs]:[SubPLOs]],"&lt;8")</f>
        <v>0</v>
      </c>
      <c r="AP40" s="138">
        <f>SUMIFS(tbl_task3[S37],tbl_task3[[SubPLOs]:[SubPLOs]],"&gt;=7",tbl_task3[[SubPLOs]:[SubPLOs]],"&lt;8")</f>
        <v>0</v>
      </c>
      <c r="AQ40" s="138">
        <f>SUMIFS(tbl_task3[S38],tbl_task3[[SubPLOs]:[SubPLOs]],"&gt;=7",tbl_task3[[SubPLOs]:[SubPLOs]],"&lt;8")</f>
        <v>0</v>
      </c>
      <c r="AR40" s="138">
        <f>SUMIFS(tbl_task3[S39],tbl_task3[[SubPLOs]:[SubPLOs]],"&gt;=7",tbl_task3[[SubPLOs]:[SubPLOs]],"&lt;8")</f>
        <v>0</v>
      </c>
      <c r="AS40" s="138">
        <f>SUMIFS(tbl_task3[S40],tbl_task3[[SubPLOs]:[SubPLOs]],"&gt;=7",tbl_task3[[SubPLOs]:[SubPLOs]],"&lt;8")</f>
        <v>0</v>
      </c>
      <c r="AT40" s="138">
        <f>SUMIFS(tbl_task3[S41],tbl_task3[[SubPLOs]:[SubPLOs]],"&gt;=7",tbl_task3[[SubPLOs]:[SubPLOs]],"&lt;8")</f>
        <v>0</v>
      </c>
      <c r="AU40" s="138">
        <f>SUMIFS(tbl_task3[S42],tbl_task3[[SubPLOs]:[SubPLOs]],"&gt;=7",tbl_task3[[SubPLOs]:[SubPLOs]],"&lt;8")</f>
        <v>0</v>
      </c>
      <c r="AV40" s="138">
        <f>SUMIFS(tbl_task3[S43],tbl_task3[[SubPLOs]:[SubPLOs]],"&gt;=7",tbl_task3[[SubPLOs]:[SubPLOs]],"&lt;8")</f>
        <v>0</v>
      </c>
      <c r="AW40" s="138">
        <f>SUMIFS(tbl_task3[S44],tbl_task3[[SubPLOs]:[SubPLOs]],"&gt;=7",tbl_task3[[SubPLOs]:[SubPLOs]],"&lt;8")</f>
        <v>0</v>
      </c>
      <c r="AX40" s="138">
        <f>SUMIFS(tbl_task3[S45],tbl_task3[[SubPLOs]:[SubPLOs]],"&gt;=7",tbl_task3[[SubPLOs]:[SubPLOs]],"&lt;8")</f>
        <v>0</v>
      </c>
      <c r="AY40" s="138">
        <f>SUMIFS(tbl_task3[S46],tbl_task3[[SubPLOs]:[SubPLOs]],"&gt;=7",tbl_task3[[SubPLOs]:[SubPLOs]],"&lt;8")</f>
        <v>0</v>
      </c>
      <c r="AZ40" s="138">
        <f>SUMIFS(tbl_task3[S47],tbl_task3[[SubPLOs]:[SubPLOs]],"&gt;=7",tbl_task3[[SubPLOs]:[SubPLOs]],"&lt;8")</f>
        <v>0</v>
      </c>
      <c r="BA40" s="138">
        <f>SUMIFS(tbl_task3[S48],tbl_task3[[SubPLOs]:[SubPLOs]],"&gt;=7",tbl_task3[[SubPLOs]:[SubPLOs]],"&lt;8")</f>
        <v>0</v>
      </c>
      <c r="BB40" s="138">
        <f>SUMIFS(tbl_task3[S49],tbl_task3[[SubPLOs]:[SubPLOs]],"&gt;=7",tbl_task3[[SubPLOs]:[SubPLOs]],"&lt;8")</f>
        <v>0</v>
      </c>
      <c r="BC40" s="138">
        <f>SUMIFS(tbl_task3[S50],tbl_task3[[SubPLOs]:[SubPLOs]],"&gt;=7",tbl_task3[[SubPLOs]:[SubPLOs]],"&lt;8")</f>
        <v>0</v>
      </c>
      <c r="BD40" s="138">
        <f>SUMIFS(tbl_task3[S51],tbl_task3[[SubPLOs]:[SubPLOs]],"&gt;=7",tbl_task3[[SubPLOs]:[SubPLOs]],"&lt;8")</f>
        <v>0</v>
      </c>
      <c r="BE40" s="138">
        <f>SUMIFS(tbl_task3[S52],tbl_task3[[SubPLOs]:[SubPLOs]],"&gt;=7",tbl_task3[[SubPLOs]:[SubPLOs]],"&lt;8")</f>
        <v>0</v>
      </c>
      <c r="BF40" s="138">
        <f>SUMIFS(tbl_task3[S53],tbl_task3[[SubPLOs]:[SubPLOs]],"&gt;=7",tbl_task3[[SubPLOs]:[SubPLOs]],"&lt;8")</f>
        <v>0</v>
      </c>
      <c r="BG40" s="138">
        <f>SUMIFS(tbl_task3[S54],tbl_task3[[SubPLOs]:[SubPLOs]],"&gt;=7",tbl_task3[[SubPLOs]:[SubPLOs]],"&lt;8")</f>
        <v>0</v>
      </c>
      <c r="BH40" s="138">
        <f>SUMIFS(tbl_task3[S55],tbl_task3[[SubPLOs]:[SubPLOs]],"&gt;=7",tbl_task3[[SubPLOs]:[SubPLOs]],"&lt;8")</f>
        <v>0</v>
      </c>
      <c r="BI40" s="138">
        <f>SUMIFS(tbl_task3[S56],tbl_task3[[SubPLOs]:[SubPLOs]],"&gt;=7",tbl_task3[[SubPLOs]:[SubPLOs]],"&lt;8")</f>
        <v>0</v>
      </c>
      <c r="BJ40" s="138">
        <f>SUMIFS(tbl_task3[S57],tbl_task3[[SubPLOs]:[SubPLOs]],"&gt;=7",tbl_task3[[SubPLOs]:[SubPLOs]],"&lt;8")</f>
        <v>0</v>
      </c>
      <c r="BK40" s="138">
        <f>SUMIFS(tbl_task3[S58],tbl_task3[[SubPLOs]:[SubPLOs]],"&gt;=7",tbl_task3[[SubPLOs]:[SubPLOs]],"&lt;8")</f>
        <v>0</v>
      </c>
      <c r="BL40" s="138">
        <f>SUMIFS(tbl_task3[S59],tbl_task3[[SubPLOs]:[SubPLOs]],"&gt;=7",tbl_task3[[SubPLOs]:[SubPLOs]],"&lt;8")</f>
        <v>0</v>
      </c>
      <c r="BM40" s="138">
        <f>SUMIFS(tbl_task3[S60],tbl_task3[[SubPLOs]:[SubPLOs]],"&gt;=7",tbl_task3[[SubPLOs]:[SubPLOs]],"&lt;8")</f>
        <v>0</v>
      </c>
      <c r="BN40" s="138">
        <f>SUMIFS(tbl_task3[S61],tbl_task3[[SubPLOs]:[SubPLOs]],"&gt;=7",tbl_task3[[SubPLOs]:[SubPLOs]],"&lt;8")</f>
        <v>0</v>
      </c>
      <c r="BO40" s="138">
        <f>SUMIFS(tbl_task3[S62],tbl_task3[[SubPLOs]:[SubPLOs]],"&gt;=7",tbl_task3[[SubPLOs]:[SubPLOs]],"&lt;8")</f>
        <v>0</v>
      </c>
      <c r="BP40" s="138">
        <f>SUMIFS(tbl_task3[S63],tbl_task3[[SubPLOs]:[SubPLOs]],"&gt;=7",tbl_task3[[SubPLOs]:[SubPLOs]],"&lt;8")</f>
        <v>0</v>
      </c>
      <c r="BQ40" s="138">
        <f>SUMIFS(tbl_task3[S64],tbl_task3[[SubPLOs]:[SubPLOs]],"&gt;=7",tbl_task3[[SubPLOs]:[SubPLOs]],"&lt;8")</f>
        <v>0</v>
      </c>
      <c r="BR40" s="138">
        <f>SUMIFS(tbl_task3[S65],tbl_task3[[SubPLOs]:[SubPLOs]],"&gt;=7",tbl_task3[[SubPLOs]:[SubPLOs]],"&lt;8")</f>
        <v>0</v>
      </c>
      <c r="BS40" s="138">
        <f>SUMIFS(tbl_task3[S66],tbl_task3[[SubPLOs]:[SubPLOs]],"&gt;=7",tbl_task3[[SubPLOs]:[SubPLOs]],"&lt;8")</f>
        <v>0</v>
      </c>
      <c r="BT40" s="138">
        <f>SUMIFS(tbl_task3[S67],tbl_task3[[SubPLOs]:[SubPLOs]],"&gt;=7",tbl_task3[[SubPLOs]:[SubPLOs]],"&lt;8")</f>
        <v>0</v>
      </c>
      <c r="BU40" s="138">
        <f>SUMIFS(tbl_task3[S68],tbl_task3[[SubPLOs]:[SubPLOs]],"&gt;=7",tbl_task3[[SubPLOs]:[SubPLOs]],"&lt;8")</f>
        <v>0</v>
      </c>
      <c r="BV40" s="138">
        <f>SUMIFS(tbl_task3[S69],tbl_task3[[SubPLOs]:[SubPLOs]],"&gt;=7",tbl_task3[[SubPLOs]:[SubPLOs]],"&lt;8")</f>
        <v>0</v>
      </c>
      <c r="BW40" s="138">
        <f>SUMIFS(tbl_task3[S70],tbl_task3[[SubPLOs]:[SubPLOs]],"&gt;=7",tbl_task3[[SubPLOs]:[SubPLOs]],"&lt;8")</f>
        <v>0</v>
      </c>
      <c r="BX40" s="138">
        <f>SUMIFS(tbl_task3[S71],tbl_task3[[SubPLOs]:[SubPLOs]],"&gt;=7",tbl_task3[[SubPLOs]:[SubPLOs]],"&lt;8")</f>
        <v>0</v>
      </c>
      <c r="BY40" s="138">
        <f>SUMIFS(tbl_task3[S72],tbl_task3[[SubPLOs]:[SubPLOs]],"&gt;=7",tbl_task3[[SubPLOs]:[SubPLOs]],"&lt;8")</f>
        <v>0</v>
      </c>
      <c r="BZ40" s="138">
        <f>SUMIFS(tbl_task3[S73],tbl_task3[[SubPLOs]:[SubPLOs]],"&gt;=7",tbl_task3[[SubPLOs]:[SubPLOs]],"&lt;8")</f>
        <v>0</v>
      </c>
      <c r="CA40" s="138">
        <f>SUMIFS(tbl_task3[S74],tbl_task3[[SubPLOs]:[SubPLOs]],"&gt;=7",tbl_task3[[SubPLOs]:[SubPLOs]],"&lt;8")</f>
        <v>0</v>
      </c>
      <c r="CB40" s="138">
        <f>SUMIFS(tbl_task3[S75],tbl_task3[[SubPLOs]:[SubPLOs]],"&gt;=7",tbl_task3[[SubPLOs]:[SubPLOs]],"&lt;8")</f>
        <v>0</v>
      </c>
      <c r="CC40" s="138">
        <f>SUMIFS(tbl_task3[S76],tbl_task3[[SubPLOs]:[SubPLOs]],"&gt;=7",tbl_task3[[SubPLOs]:[SubPLOs]],"&lt;8")</f>
        <v>0</v>
      </c>
      <c r="CD40" s="138">
        <f>SUMIFS(tbl_task3[S77],tbl_task3[[SubPLOs]:[SubPLOs]],"&gt;=7",tbl_task3[[SubPLOs]:[SubPLOs]],"&lt;8")</f>
        <v>0</v>
      </c>
      <c r="CE40" s="138">
        <f>SUMIFS(tbl_task3[S78],tbl_task3[[SubPLOs]:[SubPLOs]],"&gt;=7",tbl_task3[[SubPLOs]:[SubPLOs]],"&lt;8")</f>
        <v>0</v>
      </c>
      <c r="CF40" s="138">
        <f>SUMIFS(tbl_task3[S79],tbl_task3[[SubPLOs]:[SubPLOs]],"&gt;=7",tbl_task3[[SubPLOs]:[SubPLOs]],"&lt;8")</f>
        <v>0</v>
      </c>
      <c r="CG40" s="138">
        <f>SUMIFS(tbl_task3[S80],tbl_task3[[SubPLOs]:[SubPLOs]],"&gt;=7",tbl_task3[[SubPLOs]:[SubPLOs]],"&lt;8")</f>
        <v>0</v>
      </c>
      <c r="CH40" s="138">
        <f>SUMIFS(tbl_task3[S81],tbl_task3[[SubPLOs]:[SubPLOs]],"&gt;=7",tbl_task3[[SubPLOs]:[SubPLOs]],"&lt;8")</f>
        <v>0</v>
      </c>
      <c r="CI40" s="138">
        <f>SUMIFS(tbl_task3[S82],tbl_task3[[SubPLOs]:[SubPLOs]],"&gt;=7",tbl_task3[[SubPLOs]:[SubPLOs]],"&lt;8")</f>
        <v>0</v>
      </c>
      <c r="CJ40" s="138">
        <f>SUMIFS(tbl_task3[S83],tbl_task3[[SubPLOs]:[SubPLOs]],"&gt;=7",tbl_task3[[SubPLOs]:[SubPLOs]],"&lt;8")</f>
        <v>0</v>
      </c>
      <c r="CK40" s="138">
        <f>SUMIFS(tbl_task3[S84],tbl_task3[[SubPLOs]:[SubPLOs]],"&gt;=7",tbl_task3[[SubPLOs]:[SubPLOs]],"&lt;8")</f>
        <v>0</v>
      </c>
      <c r="CL40" s="138">
        <f>SUMIFS(tbl_task3[S85],tbl_task3[[SubPLOs]:[SubPLOs]],"&gt;=7",tbl_task3[[SubPLOs]:[SubPLOs]],"&lt;8")</f>
        <v>0</v>
      </c>
      <c r="CM40" s="138">
        <f>SUMIFS(tbl_task3[S86],tbl_task3[[SubPLOs]:[SubPLOs]],"&gt;=7",tbl_task3[[SubPLOs]:[SubPLOs]],"&lt;8")</f>
        <v>0</v>
      </c>
      <c r="CN40" s="138">
        <f>SUMIFS(tbl_task3[S87],tbl_task3[[SubPLOs]:[SubPLOs]],"&gt;=7",tbl_task3[[SubPLOs]:[SubPLOs]],"&lt;8")</f>
        <v>0</v>
      </c>
      <c r="CO40" s="138">
        <f>SUMIFS(tbl_task3[S88],tbl_task3[[SubPLOs]:[SubPLOs]],"&gt;=7",tbl_task3[[SubPLOs]:[SubPLOs]],"&lt;8")</f>
        <v>0</v>
      </c>
      <c r="CP40" s="138">
        <f>SUMIFS(tbl_task3[S89],tbl_task3[[SubPLOs]:[SubPLOs]],"&gt;=7",tbl_task3[[SubPLOs]:[SubPLOs]],"&lt;8")</f>
        <v>0</v>
      </c>
      <c r="CQ40" s="138">
        <f>SUMIFS(tbl_task3[S90],tbl_task3[[SubPLOs]:[SubPLOs]],"&gt;=7",tbl_task3[[SubPLOs]:[SubPLOs]],"&lt;8")</f>
        <v>0</v>
      </c>
      <c r="CR40" s="138">
        <f>SUMIFS(tbl_task3[S91],tbl_task3[[SubPLOs]:[SubPLOs]],"&gt;=7",tbl_task3[[SubPLOs]:[SubPLOs]],"&lt;8")</f>
        <v>0</v>
      </c>
      <c r="CS40" s="138">
        <f>SUMIFS(tbl_task3[S92],tbl_task3[[SubPLOs]:[SubPLOs]],"&gt;=7",tbl_task3[[SubPLOs]:[SubPLOs]],"&lt;8")</f>
        <v>0</v>
      </c>
      <c r="CT40" s="138">
        <f>SUMIFS(tbl_task3[S93],tbl_task3[[SubPLOs]:[SubPLOs]],"&gt;=7",tbl_task3[[SubPLOs]:[SubPLOs]],"&lt;8")</f>
        <v>0</v>
      </c>
      <c r="CU40" s="138">
        <f>SUMIFS(tbl_task3[S94],tbl_task3[[SubPLOs]:[SubPLOs]],"&gt;=7",tbl_task3[[SubPLOs]:[SubPLOs]],"&lt;8")</f>
        <v>0</v>
      </c>
      <c r="CV40" s="138">
        <f>SUMIFS(tbl_task3[S95],tbl_task3[[SubPLOs]:[SubPLOs]],"&gt;=7",tbl_task3[[SubPLOs]:[SubPLOs]],"&lt;8")</f>
        <v>0</v>
      </c>
      <c r="CW40" s="138">
        <f>SUMIFS(tbl_task3[S96],tbl_task3[[SubPLOs]:[SubPLOs]],"&gt;=7",tbl_task3[[SubPLOs]:[SubPLOs]],"&lt;8")</f>
        <v>0</v>
      </c>
      <c r="CX40" s="138">
        <f>SUMIFS(tbl_task3[S97],tbl_task3[[SubPLOs]:[SubPLOs]],"&gt;=7",tbl_task3[[SubPLOs]:[SubPLOs]],"&lt;8")</f>
        <v>0</v>
      </c>
      <c r="CY40" s="138">
        <f>SUMIFS(tbl_task3[S98],tbl_task3[[SubPLOs]:[SubPLOs]],"&gt;=7",tbl_task3[[SubPLOs]:[SubPLOs]],"&lt;8")</f>
        <v>0</v>
      </c>
      <c r="CZ40" s="138">
        <f>SUMIFS(tbl_task3[S99],tbl_task3[[SubPLOs]:[SubPLOs]],"&gt;=7",tbl_task3[[SubPLOs]:[SubPLOs]],"&lt;8")</f>
        <v>0</v>
      </c>
      <c r="DA40" s="138">
        <f>SUMIFS(tbl_task3[S100],tbl_task3[[SubPLOs]:[SubPLOs]],"&gt;=7",tbl_task3[[SubPLOs]:[SubPLOs]],"&lt;8")</f>
        <v>0</v>
      </c>
      <c r="DB40" s="138">
        <f>SUMIFS(tbl_task3[S101],tbl_task3[[SubPLOs]:[SubPLOs]],"&gt;=7",tbl_task3[[SubPLOs]:[SubPLOs]],"&lt;8")</f>
        <v>0</v>
      </c>
      <c r="DC40" s="138">
        <f>SUMIFS(tbl_task3[S102],tbl_task3[[SubPLOs]:[SubPLOs]],"&gt;=7",tbl_task3[[SubPLOs]:[SubPLOs]],"&lt;8")</f>
        <v>0</v>
      </c>
      <c r="DD40" s="138">
        <f>SUMIFS(tbl_task3[S103],tbl_task3[[SubPLOs]:[SubPLOs]],"&gt;=7",tbl_task3[[SubPLOs]:[SubPLOs]],"&lt;8")</f>
        <v>0</v>
      </c>
      <c r="DE40" s="138">
        <f>SUMIFS(tbl_task3[S104],tbl_task3[[SubPLOs]:[SubPLOs]],"&gt;=7",tbl_task3[[SubPLOs]:[SubPLOs]],"&lt;8")</f>
        <v>0</v>
      </c>
      <c r="DF40" s="138">
        <f>SUMIFS(tbl_task3[S105],tbl_task3[[SubPLOs]:[SubPLOs]],"&gt;=7",tbl_task3[[SubPLOs]:[SubPLOs]],"&lt;8")</f>
        <v>0</v>
      </c>
      <c r="DG40" s="138">
        <f>SUMIFS(tbl_task3[S106],tbl_task3[[SubPLOs]:[SubPLOs]],"&gt;=7",tbl_task3[[SubPLOs]:[SubPLOs]],"&lt;8")</f>
        <v>0</v>
      </c>
      <c r="DH40" s="138">
        <f>SUMIFS(tbl_task3[S106],tbl_task3[[SubPLOs]:[SubPLOs]],"&gt;=7",tbl_task3[[SubPLOs]:[SubPLOs]],"&lt;8")</f>
        <v>0</v>
      </c>
      <c r="DI40" s="138">
        <f>SUMIFS(tbl_task3[S108],tbl_task3[[SubPLOs]:[SubPLOs]],"&gt;=7",tbl_task3[[SubPLOs]:[SubPLOs]],"&lt;8")</f>
        <v>0</v>
      </c>
      <c r="DJ40" s="138">
        <f>SUMIFS(tbl_task3[S109],tbl_task3[[SubPLOs]:[SubPLOs]],"&gt;=7",tbl_task3[[SubPLOs]:[SubPLOs]],"&lt;8")</f>
        <v>0</v>
      </c>
      <c r="DK40" s="138">
        <f>SUMIFS(tbl_task3[S110],tbl_task3[[SubPLOs]:[SubPLOs]],"&gt;=7",tbl_task3[[SubPLOs]:[SubPLOs]],"&lt;8")</f>
        <v>0</v>
      </c>
      <c r="DL40" s="138">
        <f>SUMIFS(tbl_task3[S111],tbl_task3[[SubPLOs]:[SubPLOs]],"&gt;=7",tbl_task3[[SubPLOs]:[SubPLOs]],"&lt;8")</f>
        <v>0</v>
      </c>
      <c r="DM40" s="138">
        <f>SUMIFS(tbl_task3[S112],tbl_task3[[SubPLOs]:[SubPLOs]],"&gt;=7",tbl_task3[[SubPLOs]:[SubPLOs]],"&lt;8")</f>
        <v>0</v>
      </c>
      <c r="DN40" s="138">
        <f>SUMIFS(tbl_task3[S113],tbl_task3[[SubPLOs]:[SubPLOs]],"&gt;=7",tbl_task3[[SubPLOs]:[SubPLOs]],"&lt;8")</f>
        <v>0</v>
      </c>
      <c r="DO40" s="138">
        <f>SUMIFS(tbl_task3[S114],tbl_task3[[SubPLOs]:[SubPLOs]],"&gt;=7",tbl_task3[[SubPLOs]:[SubPLOs]],"&lt;8")</f>
        <v>0</v>
      </c>
      <c r="DP40" s="138">
        <f>SUMIFS(tbl_task3[S115],tbl_task3[[SubPLOs]:[SubPLOs]],"&gt;=7",tbl_task3[[SubPLOs]:[SubPLOs]],"&lt;8")</f>
        <v>0</v>
      </c>
      <c r="DQ40" s="138">
        <f>SUMIFS(tbl_task3[S116],tbl_task3[[SubPLOs]:[SubPLOs]],"&gt;=7",tbl_task3[[SubPLOs]:[SubPLOs]],"&lt;8")</f>
        <v>0</v>
      </c>
      <c r="DR40" s="138">
        <f>SUMIFS(tbl_task3[S117],tbl_task3[[SubPLOs]:[SubPLOs]],"&gt;=7",tbl_task3[[SubPLOs]:[SubPLOs]],"&lt;8")</f>
        <v>0</v>
      </c>
      <c r="DS40" s="138">
        <f>SUMIFS(tbl_task3[S118],tbl_task3[[SubPLOs]:[SubPLOs]],"&gt;=7",tbl_task3[[SubPLOs]:[SubPLOs]],"&lt;8")</f>
        <v>0</v>
      </c>
      <c r="DT40" s="138">
        <f>SUMIFS(tbl_task3[S119],tbl_task3[[SubPLOs]:[SubPLOs]],"&gt;=7",tbl_task3[[SubPLOs]:[SubPLOs]],"&lt;8")</f>
        <v>0</v>
      </c>
      <c r="DU40" s="138">
        <f>SUMIFS(tbl_task3[S120],tbl_task3[[SubPLOs]:[SubPLOs]],"&gt;=7",tbl_task3[[SubPLOs]:[SubPLOs]],"&lt;8")</f>
        <v>0</v>
      </c>
      <c r="DV40" s="138">
        <f>SUMIFS(tbl_task3[S121],tbl_task3[[SubPLOs]:[SubPLOs]],"&gt;=7",tbl_task3[[SubPLOs]:[SubPLOs]],"&lt;8")</f>
        <v>0</v>
      </c>
      <c r="DW40" s="138">
        <f>SUMIFS(tbl_task3[S122],tbl_task3[[SubPLOs]:[SubPLOs]],"&gt;=7",tbl_task3[[SubPLOs]:[SubPLOs]],"&lt;8")</f>
        <v>0</v>
      </c>
      <c r="DX40" s="138">
        <f>SUMIFS(tbl_task3[S123],tbl_task3[[SubPLOs]:[SubPLOs]],"&gt;=7",tbl_task3[[SubPLOs]:[SubPLOs]],"&lt;8")</f>
        <v>0</v>
      </c>
      <c r="DY40" s="138">
        <f>SUMIFS(tbl_task3[S124],tbl_task3[[SubPLOs]:[SubPLOs]],"&gt;=7",tbl_task3[[SubPLOs]:[SubPLOs]],"&lt;8")</f>
        <v>0</v>
      </c>
      <c r="DZ40" s="138">
        <f>SUMIFS(tbl_task3[S125],tbl_task3[[SubPLOs]:[SubPLOs]],"&gt;=7",tbl_task3[[SubPLOs]:[SubPLOs]],"&lt;8")</f>
        <v>0</v>
      </c>
      <c r="EA40" s="138">
        <f>SUMIFS(tbl_task3[S126],tbl_task3[[SubPLOs]:[SubPLOs]],"&gt;=7",tbl_task3[[SubPLOs]:[SubPLOs]],"&lt;8")</f>
        <v>0</v>
      </c>
      <c r="EB40" s="138">
        <f>SUMIFS(tbl_task3[S127],tbl_task3[[SubPLOs]:[SubPLOs]],"&gt;=7",tbl_task3[[SubPLOs]:[SubPLOs]],"&lt;8")</f>
        <v>0</v>
      </c>
      <c r="EC40" s="138">
        <f>SUMIFS(tbl_task3[S128],tbl_task3[[SubPLOs]:[SubPLOs]],"&gt;=7",tbl_task3[[SubPLOs]:[SubPLOs]],"&lt;8")</f>
        <v>0</v>
      </c>
      <c r="ED40" s="138">
        <f>SUMIFS(tbl_task3[S129],tbl_task3[[SubPLOs]:[SubPLOs]],"&gt;=7",tbl_task3[[SubPLOs]:[SubPLOs]],"&lt;8")</f>
        <v>0</v>
      </c>
      <c r="EE40" s="138">
        <f>SUMIFS(tbl_task3[S130],tbl_task3[[SubPLOs]:[SubPLOs]],"&gt;=7",tbl_task3[[SubPLOs]:[SubPLOs]],"&lt;8")</f>
        <v>0</v>
      </c>
      <c r="EF40" s="138">
        <f>SUMIFS(tbl_task3[S131],tbl_task3[[SubPLOs]:[SubPLOs]],"&gt;=7",tbl_task3[[SubPLOs]:[SubPLOs]],"&lt;8")</f>
        <v>0</v>
      </c>
      <c r="EG40" s="138">
        <f>SUMIFS(tbl_task3[S132],tbl_task3[[SubPLOs]:[SubPLOs]],"&gt;=7",tbl_task3[[SubPLOs]:[SubPLOs]],"&lt;8")</f>
        <v>0</v>
      </c>
      <c r="EH40" s="138">
        <f>SUMIFS(tbl_task3[S133],tbl_task3[[SubPLOs]:[SubPLOs]],"&gt;=7",tbl_task3[[SubPLOs]:[SubPLOs]],"&lt;8")</f>
        <v>0</v>
      </c>
      <c r="EI40" s="138">
        <f>SUMIFS(tbl_task3[S134],tbl_task3[[SubPLOs]:[SubPLOs]],"&gt;=7",tbl_task3[[SubPLOs]:[SubPLOs]],"&lt;8")</f>
        <v>0</v>
      </c>
      <c r="EJ40" s="138">
        <f>SUMIFS(tbl_task3[S135],tbl_task3[[SubPLOs]:[SubPLOs]],"&gt;=7",tbl_task3[[SubPLOs]:[SubPLOs]],"&lt;8")</f>
        <v>0</v>
      </c>
      <c r="EK40" s="138">
        <f>SUMIFS(tbl_task3[S136],tbl_task3[[SubPLOs]:[SubPLOs]],"&gt;=7",tbl_task3[[SubPLOs]:[SubPLOs]],"&lt;8")</f>
        <v>0</v>
      </c>
      <c r="EL40" s="138">
        <f>SUMIFS(tbl_task3[S137],tbl_task3[[SubPLOs]:[SubPLOs]],"&gt;=7",tbl_task3[[SubPLOs]:[SubPLOs]],"&lt;8")</f>
        <v>0</v>
      </c>
      <c r="EM40" s="138">
        <f>SUMIFS(tbl_task3[S138],tbl_task3[[SubPLOs]:[SubPLOs]],"&gt;=7",tbl_task3[[SubPLOs]:[SubPLOs]],"&lt;8")</f>
        <v>0</v>
      </c>
      <c r="EN40" s="138">
        <f>SUMIFS(tbl_task3[S139],tbl_task3[[SubPLOs]:[SubPLOs]],"&gt;=7",tbl_task3[[SubPLOs]:[SubPLOs]],"&lt;8")</f>
        <v>0</v>
      </c>
      <c r="EO40" s="138">
        <f>SUMIFS(tbl_task3[S140],tbl_task3[[SubPLOs]:[SubPLOs]],"&gt;=7",tbl_task3[[SubPLOs]:[SubPLOs]],"&lt;8")</f>
        <v>0</v>
      </c>
      <c r="EP40" s="138">
        <f>SUMIFS(tbl_task3[S141],tbl_task3[[SubPLOs]:[SubPLOs]],"&gt;=7",tbl_task3[[SubPLOs]:[SubPLOs]],"&lt;8")</f>
        <v>0</v>
      </c>
      <c r="EQ40" s="138">
        <f>SUMIFS(tbl_task3[S142],tbl_task3[[SubPLOs]:[SubPLOs]],"&gt;=7",tbl_task3[[SubPLOs]:[SubPLOs]],"&lt;8")</f>
        <v>0</v>
      </c>
      <c r="ER40" s="138">
        <f>SUMIFS(tbl_task3[S143],tbl_task3[[SubPLOs]:[SubPLOs]],"&gt;=7",tbl_task3[[SubPLOs]:[SubPLOs]],"&lt;8")</f>
        <v>0</v>
      </c>
      <c r="ES40" s="138">
        <f>SUMIFS(tbl_task3[S144],tbl_task3[[SubPLOs]:[SubPLOs]],"&gt;=7",tbl_task3[[SubPLOs]:[SubPLOs]],"&lt;8")</f>
        <v>0</v>
      </c>
      <c r="ET40" s="138">
        <f>SUMIFS(tbl_task3[S145],tbl_task3[[SubPLOs]:[SubPLOs]],"&gt;=7",tbl_task3[[SubPLOs]:[SubPLOs]],"&lt;8")</f>
        <v>0</v>
      </c>
      <c r="EU40" s="138">
        <f>SUMIFS(tbl_task3[S146],tbl_task3[[SubPLOs]:[SubPLOs]],"&gt;=7",tbl_task3[[SubPLOs]:[SubPLOs]],"&lt;8")</f>
        <v>0</v>
      </c>
      <c r="EV40" s="138">
        <f>SUMIFS(tbl_task3[S147],tbl_task3[[SubPLOs]:[SubPLOs]],"&gt;=7",tbl_task3[[SubPLOs]:[SubPLOs]],"&lt;8")</f>
        <v>0</v>
      </c>
      <c r="EW40" s="138">
        <f>SUMIFS(tbl_task3[S148],tbl_task3[[SubPLOs]:[SubPLOs]],"&gt;=7",tbl_task3[[SubPLOs]:[SubPLOs]],"&lt;8")</f>
        <v>0</v>
      </c>
      <c r="EX40" s="138">
        <f>SUMIFS(tbl_task3[S149],tbl_task3[[SubPLOs]:[SubPLOs]],"&gt;=7",tbl_task3[[SubPLOs]:[SubPLOs]],"&lt;8")</f>
        <v>0</v>
      </c>
      <c r="EY40" s="138">
        <f>SUMIFS(tbl_task3[S150],tbl_task3[[SubPLOs]:[SubPLOs]],"&gt;=7",tbl_task3[[SubPLOs]:[SubPLOs]],"&lt;8")</f>
        <v>0</v>
      </c>
      <c r="EZ40" s="138">
        <f>SUMIFS(tbl_task3[S151],tbl_task3[[SubPLOs]:[SubPLOs]],"&gt;=7",tbl_task3[[SubPLOs]:[SubPLOs]],"&lt;8")</f>
        <v>0</v>
      </c>
      <c r="FA40" s="138">
        <f>SUMIFS(tbl_task3[S152],tbl_task3[[SubPLOs]:[SubPLOs]],"&gt;=7",tbl_task3[[SubPLOs]:[SubPLOs]],"&lt;8")</f>
        <v>0</v>
      </c>
      <c r="FB40" s="138">
        <f>SUMIFS(tbl_task3[S153],tbl_task3[[SubPLOs]:[SubPLOs]],"&gt;=7",tbl_task3[[SubPLOs]:[SubPLOs]],"&lt;8")</f>
        <v>0</v>
      </c>
      <c r="FC40" s="138">
        <f>SUMIFS(tbl_task3[S154],tbl_task3[[SubPLOs]:[SubPLOs]],"&gt;=7",tbl_task3[[SubPLOs]:[SubPLOs]],"&lt;8")</f>
        <v>0</v>
      </c>
      <c r="FD40" s="138">
        <f>SUMIFS(tbl_task3[S155],tbl_task3[[SubPLOs]:[SubPLOs]],"&gt;=7",tbl_task3[[SubPLOs]:[SubPLOs]],"&lt;8")</f>
        <v>0</v>
      </c>
      <c r="FE40" s="138">
        <f>SUMIFS(tbl_task3[S156],tbl_task3[[SubPLOs]:[SubPLOs]],"&gt;=7",tbl_task3[[SubPLOs]:[SubPLOs]],"&lt;8")</f>
        <v>0</v>
      </c>
      <c r="FF40" s="138">
        <f>SUMIFS(tbl_task3[S157],tbl_task3[[SubPLOs]:[SubPLOs]],"&gt;=7",tbl_task3[[SubPLOs]:[SubPLOs]],"&lt;8")</f>
        <v>0</v>
      </c>
      <c r="FG40" s="138">
        <f>SUMIFS(tbl_task3[S158],tbl_task3[[SubPLOs]:[SubPLOs]],"&gt;=7",tbl_task3[[SubPLOs]:[SubPLOs]],"&lt;8")</f>
        <v>0</v>
      </c>
      <c r="FH40" s="138">
        <f>SUMIFS(tbl_task3[S159],tbl_task3[[SubPLOs]:[SubPLOs]],"&gt;=7",tbl_task3[[SubPLOs]:[SubPLOs]],"&lt;8")</f>
        <v>0</v>
      </c>
      <c r="FI40" s="138">
        <f>SUMIFS(tbl_task3[S160],tbl_task3[[SubPLOs]:[SubPLOs]],"&gt;=7",tbl_task3[[SubPLOs]:[SubPLOs]],"&lt;8")</f>
        <v>0</v>
      </c>
      <c r="FJ40" s="138">
        <f>SUMIFS(tbl_task3[S161],tbl_task3[[SubPLOs]:[SubPLOs]],"&gt;=7",tbl_task3[[SubPLOs]:[SubPLOs]],"&lt;8")</f>
        <v>0</v>
      </c>
      <c r="FK40" s="138">
        <f>SUMIFS(tbl_task3[S162],tbl_task3[[SubPLOs]:[SubPLOs]],"&gt;=7",tbl_task3[[SubPLOs]:[SubPLOs]],"&lt;8")</f>
        <v>0</v>
      </c>
      <c r="FL40" s="138">
        <f>SUMIFS(tbl_task3[S163],tbl_task3[[SubPLOs]:[SubPLOs]],"&gt;=7",tbl_task3[[SubPLOs]:[SubPLOs]],"&lt;8")</f>
        <v>0</v>
      </c>
      <c r="FM40" s="138">
        <f>SUMIFS(tbl_task3[S164],tbl_task3[[SubPLOs]:[SubPLOs]],"&gt;=7",tbl_task3[[SubPLOs]:[SubPLOs]],"&lt;8")</f>
        <v>0</v>
      </c>
      <c r="FN40" s="138">
        <f>SUMIFS(tbl_task3[S165],tbl_task3[[SubPLOs]:[SubPLOs]],"&gt;=7",tbl_task3[[SubPLOs]:[SubPLOs]],"&lt;8")</f>
        <v>0</v>
      </c>
    </row>
    <row r="41" spans="1:170" ht="63" x14ac:dyDescent="0.25">
      <c r="A41" s="135">
        <v>8</v>
      </c>
      <c r="B41" s="5" t="s">
        <v>441</v>
      </c>
      <c r="C41" s="136">
        <f>COUNTIFS(tbl_task3[SubPLOs],"&gt;=8",tbl_task3[SubPLOs],"&lt;9")</f>
        <v>0</v>
      </c>
      <c r="D41" s="136">
        <f>SUMIFS(tbl_task3[คะแนนเต็ม],tbl_task3[SubPLOs],"&gt;=8",tbl_task3[SubPLOs],"&lt;9")</f>
        <v>0</v>
      </c>
      <c r="E41" s="137">
        <f>SUMIFS(tbl_task3[%],tbl_task3[SubPLOs],"&gt;=8",tbl_task3[SubPLOs],"&lt;9")</f>
        <v>0</v>
      </c>
      <c r="F41" s="138">
        <f>SUMIFS(tbl_task3[S1],tbl_task3[[SubPLOs]:[SubPLOs]],"&gt;=8",tbl_task3[[SubPLOs]:[SubPLOs]],"&lt;9")</f>
        <v>0</v>
      </c>
      <c r="G41" s="138">
        <f>SUMIFS(tbl_task3[S2],tbl_task3[[SubPLOs]:[SubPLOs]],"&gt;=8",tbl_task3[[SubPLOs]:[SubPLOs]],"&lt;9")</f>
        <v>0</v>
      </c>
      <c r="H41" s="138">
        <f>SUMIFS(tbl_task3[S3],tbl_task3[[SubPLOs]:[SubPLOs]],"&gt;=8",tbl_task3[[SubPLOs]:[SubPLOs]],"&lt;9")</f>
        <v>0</v>
      </c>
      <c r="I41" s="138">
        <f>SUMIFS(tbl_task3[S4],tbl_task3[[SubPLOs]:[SubPLOs]],"&gt;=8",tbl_task3[[SubPLOs]:[SubPLOs]],"&lt;9")</f>
        <v>0</v>
      </c>
      <c r="J41" s="138">
        <f>SUMIFS(tbl_task3[S5],tbl_task3[[SubPLOs]:[SubPLOs]],"&gt;=8",tbl_task3[[SubPLOs]:[SubPLOs]],"&lt;9")</f>
        <v>0</v>
      </c>
      <c r="K41" s="138">
        <f>SUMIFS(tbl_task3[S6],tbl_task3[[SubPLOs]:[SubPLOs]],"&gt;=8",tbl_task3[[SubPLOs]:[SubPLOs]],"&lt;9")</f>
        <v>0</v>
      </c>
      <c r="L41" s="138">
        <f>SUMIFS(tbl_task3[S7],tbl_task3[[SubPLOs]:[SubPLOs]],"&gt;=8",tbl_task3[[SubPLOs]:[SubPLOs]],"&lt;9")</f>
        <v>0</v>
      </c>
      <c r="M41" s="138">
        <f>SUMIFS(tbl_task3[S8],tbl_task3[[SubPLOs]:[SubPLOs]],"&gt;=8",tbl_task3[[SubPLOs]:[SubPLOs]],"&lt;9")</f>
        <v>0</v>
      </c>
      <c r="N41" s="138">
        <f>SUMIFS(tbl_task3[S9],tbl_task3[[SubPLOs]:[SubPLOs]],"&gt;=8",tbl_task3[[SubPLOs]:[SubPLOs]],"&lt;9")</f>
        <v>0</v>
      </c>
      <c r="O41" s="138">
        <f>SUMIFS(tbl_task3[S10],tbl_task3[[SubPLOs]:[SubPLOs]],"&gt;=8",tbl_task3[[SubPLOs]:[SubPLOs]],"&lt;9")</f>
        <v>0</v>
      </c>
      <c r="P41" s="138">
        <f>SUMIFS(tbl_task3[S11],tbl_task3[[SubPLOs]:[SubPLOs]],"&gt;=8",tbl_task3[[SubPLOs]:[SubPLOs]],"&lt;9")</f>
        <v>0</v>
      </c>
      <c r="Q41" s="138">
        <f>SUMIFS(tbl_task3[S12],tbl_task3[[SubPLOs]:[SubPLOs]],"&gt;=8",tbl_task3[[SubPLOs]:[SubPLOs]],"&lt;9")</f>
        <v>0</v>
      </c>
      <c r="R41" s="138">
        <f>SUMIFS(tbl_task3[S13],tbl_task3[[SubPLOs]:[SubPLOs]],"&gt;=8",tbl_task3[[SubPLOs]:[SubPLOs]],"&lt;9")</f>
        <v>0</v>
      </c>
      <c r="S41" s="138">
        <f>SUMIFS(tbl_task3[S14],tbl_task3[[SubPLOs]:[SubPLOs]],"&gt;=8",tbl_task3[[SubPLOs]:[SubPLOs]],"&lt;9")</f>
        <v>0</v>
      </c>
      <c r="T41" s="138">
        <f>SUMIFS(tbl_task3[S15],tbl_task3[[SubPLOs]:[SubPLOs]],"&gt;=8",tbl_task3[[SubPLOs]:[SubPLOs]],"&lt;9")</f>
        <v>0</v>
      </c>
      <c r="U41" s="138">
        <f>SUMIFS(tbl_task3[S16],tbl_task3[[SubPLOs]:[SubPLOs]],"&gt;=8",tbl_task3[[SubPLOs]:[SubPLOs]],"&lt;9")</f>
        <v>0</v>
      </c>
      <c r="V41" s="138">
        <f>SUMIFS(tbl_task3[S17],tbl_task3[[SubPLOs]:[SubPLOs]],"&gt;=8",tbl_task3[[SubPLOs]:[SubPLOs]],"&lt;9")</f>
        <v>0</v>
      </c>
      <c r="W41" s="138">
        <f>SUMIFS(tbl_task3[S18],tbl_task3[[SubPLOs]:[SubPLOs]],"&gt;=8",tbl_task3[[SubPLOs]:[SubPLOs]],"&lt;9")</f>
        <v>0</v>
      </c>
      <c r="X41" s="138">
        <f>SUMIFS(tbl_task3[S19],tbl_task3[[SubPLOs]:[SubPLOs]],"&gt;=8",tbl_task3[[SubPLOs]:[SubPLOs]],"&lt;9")</f>
        <v>0</v>
      </c>
      <c r="Y41" s="138">
        <f>SUMIFS(tbl_task3[S20],tbl_task3[[SubPLOs]:[SubPLOs]],"&gt;=8",tbl_task3[[SubPLOs]:[SubPLOs]],"&lt;9")</f>
        <v>0</v>
      </c>
      <c r="Z41" s="138">
        <f>SUMIFS(tbl_task3[S21],tbl_task3[[SubPLOs]:[SubPLOs]],"&gt;=8",tbl_task3[[SubPLOs]:[SubPLOs]],"&lt;9")</f>
        <v>0</v>
      </c>
      <c r="AA41" s="138">
        <f>SUMIFS(tbl_task3[S22],tbl_task3[[SubPLOs]:[SubPLOs]],"&gt;=8",tbl_task3[[SubPLOs]:[SubPLOs]],"&lt;9")</f>
        <v>0</v>
      </c>
      <c r="AB41" s="138">
        <f>SUMIFS(tbl_task3[S23],tbl_task3[[SubPLOs]:[SubPLOs]],"&gt;=8",tbl_task3[[SubPLOs]:[SubPLOs]],"&lt;9")</f>
        <v>0</v>
      </c>
      <c r="AC41" s="138">
        <f>SUMIFS(tbl_task3[S24],tbl_task3[[SubPLOs]:[SubPLOs]],"&gt;=8",tbl_task3[[SubPLOs]:[SubPLOs]],"&lt;9")</f>
        <v>0</v>
      </c>
      <c r="AD41" s="138">
        <f>SUMIFS(tbl_task3[S25],tbl_task3[[SubPLOs]:[SubPLOs]],"&gt;=8",tbl_task3[[SubPLOs]:[SubPLOs]],"&lt;9")</f>
        <v>0</v>
      </c>
      <c r="AE41" s="138">
        <f>SUMIFS(tbl_task3[S26],tbl_task3[[SubPLOs]:[SubPLOs]],"&gt;=8",tbl_task3[[SubPLOs]:[SubPLOs]],"&lt;9")</f>
        <v>0</v>
      </c>
      <c r="AF41" s="138">
        <f>SUMIFS(tbl_task3[S27],tbl_task3[[SubPLOs]:[SubPLOs]],"&gt;=8",tbl_task3[[SubPLOs]:[SubPLOs]],"&lt;9")</f>
        <v>0</v>
      </c>
      <c r="AG41" s="138">
        <f>SUMIFS(tbl_task3[S28],tbl_task3[[SubPLOs]:[SubPLOs]],"&gt;=8",tbl_task3[[SubPLOs]:[SubPLOs]],"&lt;9")</f>
        <v>0</v>
      </c>
      <c r="AH41" s="138">
        <f>SUMIFS(tbl_task3[S29],tbl_task3[[SubPLOs]:[SubPLOs]],"&gt;=8",tbl_task3[[SubPLOs]:[SubPLOs]],"&lt;9")</f>
        <v>0</v>
      </c>
      <c r="AI41" s="138">
        <f>SUMIFS(tbl_task3[S30],tbl_task3[[SubPLOs]:[SubPLOs]],"&gt;=8",tbl_task3[[SubPLOs]:[SubPLOs]],"&lt;9")</f>
        <v>0</v>
      </c>
      <c r="AJ41" s="138">
        <f>SUMIFS(tbl_task3[S31],tbl_task3[[SubPLOs]:[SubPLOs]],"&gt;=8",tbl_task3[[SubPLOs]:[SubPLOs]],"&lt;9")</f>
        <v>0</v>
      </c>
      <c r="AK41" s="138">
        <f>SUMIFS(tbl_task3[S32],tbl_task3[[SubPLOs]:[SubPLOs]],"&gt;=8",tbl_task3[[SubPLOs]:[SubPLOs]],"&lt;9")</f>
        <v>0</v>
      </c>
      <c r="AL41" s="138">
        <f>SUMIFS(tbl_task3[S33],tbl_task3[[SubPLOs]:[SubPLOs]],"&gt;=8",tbl_task3[[SubPLOs]:[SubPLOs]],"&lt;9")</f>
        <v>0</v>
      </c>
      <c r="AM41" s="138">
        <f>SUMIFS(tbl_task3[S34],tbl_task3[[SubPLOs]:[SubPLOs]],"&gt;=8",tbl_task3[[SubPLOs]:[SubPLOs]],"&lt;9")</f>
        <v>0</v>
      </c>
      <c r="AN41" s="138">
        <f>SUMIFS(tbl_task3[S35],tbl_task3[[SubPLOs]:[SubPLOs]],"&gt;=8",tbl_task3[[SubPLOs]:[SubPLOs]],"&lt;9")</f>
        <v>0</v>
      </c>
      <c r="AO41" s="138">
        <f>SUMIFS(tbl_task3[S36],tbl_task3[[SubPLOs]:[SubPLOs]],"&gt;=8",tbl_task3[[SubPLOs]:[SubPLOs]],"&lt;9")</f>
        <v>0</v>
      </c>
      <c r="AP41" s="138">
        <f>SUMIFS(tbl_task3[S37],tbl_task3[[SubPLOs]:[SubPLOs]],"&gt;=8",tbl_task3[[SubPLOs]:[SubPLOs]],"&lt;9")</f>
        <v>0</v>
      </c>
      <c r="AQ41" s="138">
        <f>SUMIFS(tbl_task3[S38],tbl_task3[[SubPLOs]:[SubPLOs]],"&gt;=8",tbl_task3[[SubPLOs]:[SubPLOs]],"&lt;9")</f>
        <v>0</v>
      </c>
      <c r="AR41" s="138">
        <f>SUMIFS(tbl_task3[S39],tbl_task3[[SubPLOs]:[SubPLOs]],"&gt;=8",tbl_task3[[SubPLOs]:[SubPLOs]],"&lt;9")</f>
        <v>0</v>
      </c>
      <c r="AS41" s="138">
        <f>SUMIFS(tbl_task3[S40],tbl_task3[[SubPLOs]:[SubPLOs]],"&gt;=8",tbl_task3[[SubPLOs]:[SubPLOs]],"&lt;9")</f>
        <v>0</v>
      </c>
      <c r="AT41" s="138">
        <f>SUMIFS(tbl_task3[S41],tbl_task3[[SubPLOs]:[SubPLOs]],"&gt;=8",tbl_task3[[SubPLOs]:[SubPLOs]],"&lt;9")</f>
        <v>0</v>
      </c>
      <c r="AU41" s="138">
        <f>SUMIFS(tbl_task3[S42],tbl_task3[[SubPLOs]:[SubPLOs]],"&gt;=8",tbl_task3[[SubPLOs]:[SubPLOs]],"&lt;9")</f>
        <v>0</v>
      </c>
      <c r="AV41" s="138">
        <f>SUMIFS(tbl_task3[S43],tbl_task3[[SubPLOs]:[SubPLOs]],"&gt;=8",tbl_task3[[SubPLOs]:[SubPLOs]],"&lt;9")</f>
        <v>0</v>
      </c>
      <c r="AW41" s="138">
        <f>SUMIFS(tbl_task3[S44],tbl_task3[[SubPLOs]:[SubPLOs]],"&gt;=8",tbl_task3[[SubPLOs]:[SubPLOs]],"&lt;9")</f>
        <v>0</v>
      </c>
      <c r="AX41" s="138">
        <f>SUMIFS(tbl_task3[S45],tbl_task3[[SubPLOs]:[SubPLOs]],"&gt;=8",tbl_task3[[SubPLOs]:[SubPLOs]],"&lt;9")</f>
        <v>0</v>
      </c>
      <c r="AY41" s="138">
        <f>SUMIFS(tbl_task3[S46],tbl_task3[[SubPLOs]:[SubPLOs]],"&gt;=8",tbl_task3[[SubPLOs]:[SubPLOs]],"&lt;9")</f>
        <v>0</v>
      </c>
      <c r="AZ41" s="138">
        <f>SUMIFS(tbl_task3[S47],tbl_task3[[SubPLOs]:[SubPLOs]],"&gt;=8",tbl_task3[[SubPLOs]:[SubPLOs]],"&lt;9")</f>
        <v>0</v>
      </c>
      <c r="BA41" s="138">
        <f>SUMIFS(tbl_task3[S48],tbl_task3[[SubPLOs]:[SubPLOs]],"&gt;=8",tbl_task3[[SubPLOs]:[SubPLOs]],"&lt;9")</f>
        <v>0</v>
      </c>
      <c r="BB41" s="138">
        <f>SUMIFS(tbl_task3[S49],tbl_task3[[SubPLOs]:[SubPLOs]],"&gt;=8",tbl_task3[[SubPLOs]:[SubPLOs]],"&lt;9")</f>
        <v>0</v>
      </c>
      <c r="BC41" s="138">
        <f>SUMIFS(tbl_task3[S50],tbl_task3[[SubPLOs]:[SubPLOs]],"&gt;=8",tbl_task3[[SubPLOs]:[SubPLOs]],"&lt;9")</f>
        <v>0</v>
      </c>
      <c r="BD41" s="138">
        <f>SUMIFS(tbl_task3[S51],tbl_task3[[SubPLOs]:[SubPLOs]],"&gt;=8",tbl_task3[[SubPLOs]:[SubPLOs]],"&lt;9")</f>
        <v>0</v>
      </c>
      <c r="BE41" s="138">
        <f>SUMIFS(tbl_task3[S52],tbl_task3[[SubPLOs]:[SubPLOs]],"&gt;=8",tbl_task3[[SubPLOs]:[SubPLOs]],"&lt;9")</f>
        <v>0</v>
      </c>
      <c r="BF41" s="138">
        <f>SUMIFS(tbl_task3[S53],tbl_task3[[SubPLOs]:[SubPLOs]],"&gt;=8",tbl_task3[[SubPLOs]:[SubPLOs]],"&lt;9")</f>
        <v>0</v>
      </c>
      <c r="BG41" s="138">
        <f>SUMIFS(tbl_task3[S54],tbl_task3[[SubPLOs]:[SubPLOs]],"&gt;=8",tbl_task3[[SubPLOs]:[SubPLOs]],"&lt;9")</f>
        <v>0</v>
      </c>
      <c r="BH41" s="138">
        <f>SUMIFS(tbl_task3[S55],tbl_task3[[SubPLOs]:[SubPLOs]],"&gt;=8",tbl_task3[[SubPLOs]:[SubPLOs]],"&lt;9")</f>
        <v>0</v>
      </c>
      <c r="BI41" s="138">
        <f>SUMIFS(tbl_task3[S56],tbl_task3[[SubPLOs]:[SubPLOs]],"&gt;=8",tbl_task3[[SubPLOs]:[SubPLOs]],"&lt;9")</f>
        <v>0</v>
      </c>
      <c r="BJ41" s="138">
        <f>SUMIFS(tbl_task3[S57],tbl_task3[[SubPLOs]:[SubPLOs]],"&gt;=8",tbl_task3[[SubPLOs]:[SubPLOs]],"&lt;9")</f>
        <v>0</v>
      </c>
      <c r="BK41" s="138">
        <f>SUMIFS(tbl_task3[S58],tbl_task3[[SubPLOs]:[SubPLOs]],"&gt;=8",tbl_task3[[SubPLOs]:[SubPLOs]],"&lt;9")</f>
        <v>0</v>
      </c>
      <c r="BL41" s="138">
        <f>SUMIFS(tbl_task3[S59],tbl_task3[[SubPLOs]:[SubPLOs]],"&gt;=8",tbl_task3[[SubPLOs]:[SubPLOs]],"&lt;9")</f>
        <v>0</v>
      </c>
      <c r="BM41" s="138">
        <f>SUMIFS(tbl_task3[S60],tbl_task3[[SubPLOs]:[SubPLOs]],"&gt;=8",tbl_task3[[SubPLOs]:[SubPLOs]],"&lt;9")</f>
        <v>0</v>
      </c>
      <c r="BN41" s="138">
        <f>SUMIFS(tbl_task3[S61],tbl_task3[[SubPLOs]:[SubPLOs]],"&gt;=8",tbl_task3[[SubPLOs]:[SubPLOs]],"&lt;9")</f>
        <v>0</v>
      </c>
      <c r="BO41" s="138">
        <f>SUMIFS(tbl_task3[S62],tbl_task3[[SubPLOs]:[SubPLOs]],"&gt;=8",tbl_task3[[SubPLOs]:[SubPLOs]],"&lt;9")</f>
        <v>0</v>
      </c>
      <c r="BP41" s="138">
        <f>SUMIFS(tbl_task3[S63],tbl_task3[[SubPLOs]:[SubPLOs]],"&gt;=8",tbl_task3[[SubPLOs]:[SubPLOs]],"&lt;9")</f>
        <v>0</v>
      </c>
      <c r="BQ41" s="138">
        <f>SUMIFS(tbl_task3[S64],tbl_task3[[SubPLOs]:[SubPLOs]],"&gt;=8",tbl_task3[[SubPLOs]:[SubPLOs]],"&lt;9")</f>
        <v>0</v>
      </c>
      <c r="BR41" s="138">
        <f>SUMIFS(tbl_task3[S65],tbl_task3[[SubPLOs]:[SubPLOs]],"&gt;=8",tbl_task3[[SubPLOs]:[SubPLOs]],"&lt;9")</f>
        <v>0</v>
      </c>
      <c r="BS41" s="138">
        <f>SUMIFS(tbl_task3[S66],tbl_task3[[SubPLOs]:[SubPLOs]],"&gt;=8",tbl_task3[[SubPLOs]:[SubPLOs]],"&lt;9")</f>
        <v>0</v>
      </c>
      <c r="BT41" s="138">
        <f>SUMIFS(tbl_task3[S67],tbl_task3[[SubPLOs]:[SubPLOs]],"&gt;=8",tbl_task3[[SubPLOs]:[SubPLOs]],"&lt;9")</f>
        <v>0</v>
      </c>
      <c r="BU41" s="138">
        <f>SUMIFS(tbl_task3[S68],tbl_task3[[SubPLOs]:[SubPLOs]],"&gt;=8",tbl_task3[[SubPLOs]:[SubPLOs]],"&lt;9")</f>
        <v>0</v>
      </c>
      <c r="BV41" s="138">
        <f>SUMIFS(tbl_task3[S69],tbl_task3[[SubPLOs]:[SubPLOs]],"&gt;=8",tbl_task3[[SubPLOs]:[SubPLOs]],"&lt;9")</f>
        <v>0</v>
      </c>
      <c r="BW41" s="138">
        <f>SUMIFS(tbl_task3[S70],tbl_task3[[SubPLOs]:[SubPLOs]],"&gt;=8",tbl_task3[[SubPLOs]:[SubPLOs]],"&lt;9")</f>
        <v>0</v>
      </c>
      <c r="BX41" s="138">
        <f>SUMIFS(tbl_task3[S71],tbl_task3[[SubPLOs]:[SubPLOs]],"&gt;=8",tbl_task3[[SubPLOs]:[SubPLOs]],"&lt;9")</f>
        <v>0</v>
      </c>
      <c r="BY41" s="138">
        <f>SUMIFS(tbl_task3[S72],tbl_task3[[SubPLOs]:[SubPLOs]],"&gt;=8",tbl_task3[[SubPLOs]:[SubPLOs]],"&lt;9")</f>
        <v>0</v>
      </c>
      <c r="BZ41" s="138">
        <f>SUMIFS(tbl_task3[S73],tbl_task3[[SubPLOs]:[SubPLOs]],"&gt;=8",tbl_task3[[SubPLOs]:[SubPLOs]],"&lt;9")</f>
        <v>0</v>
      </c>
      <c r="CA41" s="138">
        <f>SUMIFS(tbl_task3[S74],tbl_task3[[SubPLOs]:[SubPLOs]],"&gt;=8",tbl_task3[[SubPLOs]:[SubPLOs]],"&lt;9")</f>
        <v>0</v>
      </c>
      <c r="CB41" s="138">
        <f>SUMIFS(tbl_task3[S75],tbl_task3[[SubPLOs]:[SubPLOs]],"&gt;=8",tbl_task3[[SubPLOs]:[SubPLOs]],"&lt;9")</f>
        <v>0</v>
      </c>
      <c r="CC41" s="138">
        <f>SUMIFS(tbl_task3[S76],tbl_task3[[SubPLOs]:[SubPLOs]],"&gt;=8",tbl_task3[[SubPLOs]:[SubPLOs]],"&lt;9")</f>
        <v>0</v>
      </c>
      <c r="CD41" s="138">
        <f>SUMIFS(tbl_task3[S77],tbl_task3[[SubPLOs]:[SubPLOs]],"&gt;=8",tbl_task3[[SubPLOs]:[SubPLOs]],"&lt;9")</f>
        <v>0</v>
      </c>
      <c r="CE41" s="138">
        <f>SUMIFS(tbl_task3[S78],tbl_task3[[SubPLOs]:[SubPLOs]],"&gt;=8",tbl_task3[[SubPLOs]:[SubPLOs]],"&lt;9")</f>
        <v>0</v>
      </c>
      <c r="CF41" s="138">
        <f>SUMIFS(tbl_task3[S79],tbl_task3[[SubPLOs]:[SubPLOs]],"&gt;=8",tbl_task3[[SubPLOs]:[SubPLOs]],"&lt;9")</f>
        <v>0</v>
      </c>
      <c r="CG41" s="138">
        <f>SUMIFS(tbl_task3[S80],tbl_task3[[SubPLOs]:[SubPLOs]],"&gt;=8",tbl_task3[[SubPLOs]:[SubPLOs]],"&lt;9")</f>
        <v>0</v>
      </c>
      <c r="CH41" s="138">
        <f>SUMIFS(tbl_task3[S81],tbl_task3[[SubPLOs]:[SubPLOs]],"&gt;=8",tbl_task3[[SubPLOs]:[SubPLOs]],"&lt;9")</f>
        <v>0</v>
      </c>
      <c r="CI41" s="138">
        <f>SUMIFS(tbl_task3[S82],tbl_task3[[SubPLOs]:[SubPLOs]],"&gt;=8",tbl_task3[[SubPLOs]:[SubPLOs]],"&lt;9")</f>
        <v>0</v>
      </c>
      <c r="CJ41" s="138">
        <f>SUMIFS(tbl_task3[S83],tbl_task3[[SubPLOs]:[SubPLOs]],"&gt;=8",tbl_task3[[SubPLOs]:[SubPLOs]],"&lt;9")</f>
        <v>0</v>
      </c>
      <c r="CK41" s="138">
        <f>SUMIFS(tbl_task3[S84],tbl_task3[[SubPLOs]:[SubPLOs]],"&gt;=8",tbl_task3[[SubPLOs]:[SubPLOs]],"&lt;9")</f>
        <v>0</v>
      </c>
      <c r="CL41" s="138">
        <f>SUMIFS(tbl_task3[S85],tbl_task3[[SubPLOs]:[SubPLOs]],"&gt;=8",tbl_task3[[SubPLOs]:[SubPLOs]],"&lt;9")</f>
        <v>0</v>
      </c>
      <c r="CM41" s="138">
        <f>SUMIFS(tbl_task3[S86],tbl_task3[[SubPLOs]:[SubPLOs]],"&gt;=8",tbl_task3[[SubPLOs]:[SubPLOs]],"&lt;9")</f>
        <v>0</v>
      </c>
      <c r="CN41" s="138">
        <f>SUMIFS(tbl_task3[S87],tbl_task3[[SubPLOs]:[SubPLOs]],"&gt;=8",tbl_task3[[SubPLOs]:[SubPLOs]],"&lt;9")</f>
        <v>0</v>
      </c>
      <c r="CO41" s="138">
        <f>SUMIFS(tbl_task3[S88],tbl_task3[[SubPLOs]:[SubPLOs]],"&gt;=8",tbl_task3[[SubPLOs]:[SubPLOs]],"&lt;9")</f>
        <v>0</v>
      </c>
      <c r="CP41" s="138">
        <f>SUMIFS(tbl_task3[S89],tbl_task3[[SubPLOs]:[SubPLOs]],"&gt;=8",tbl_task3[[SubPLOs]:[SubPLOs]],"&lt;9")</f>
        <v>0</v>
      </c>
      <c r="CQ41" s="138">
        <f>SUMIFS(tbl_task3[S90],tbl_task3[[SubPLOs]:[SubPLOs]],"&gt;=8",tbl_task3[[SubPLOs]:[SubPLOs]],"&lt;9")</f>
        <v>0</v>
      </c>
      <c r="CR41" s="138">
        <f>SUMIFS(tbl_task3[S91],tbl_task3[[SubPLOs]:[SubPLOs]],"&gt;=8",tbl_task3[[SubPLOs]:[SubPLOs]],"&lt;9")</f>
        <v>0</v>
      </c>
      <c r="CS41" s="138">
        <f>SUMIFS(tbl_task3[S92],tbl_task3[[SubPLOs]:[SubPLOs]],"&gt;=8",tbl_task3[[SubPLOs]:[SubPLOs]],"&lt;9")</f>
        <v>0</v>
      </c>
      <c r="CT41" s="138">
        <f>SUMIFS(tbl_task3[S93],tbl_task3[[SubPLOs]:[SubPLOs]],"&gt;=8",tbl_task3[[SubPLOs]:[SubPLOs]],"&lt;9")</f>
        <v>0</v>
      </c>
      <c r="CU41" s="138">
        <f>SUMIFS(tbl_task3[S94],tbl_task3[[SubPLOs]:[SubPLOs]],"&gt;=8",tbl_task3[[SubPLOs]:[SubPLOs]],"&lt;9")</f>
        <v>0</v>
      </c>
      <c r="CV41" s="138">
        <f>SUMIFS(tbl_task3[S95],tbl_task3[[SubPLOs]:[SubPLOs]],"&gt;=8",tbl_task3[[SubPLOs]:[SubPLOs]],"&lt;9")</f>
        <v>0</v>
      </c>
      <c r="CW41" s="138">
        <f>SUMIFS(tbl_task3[S96],tbl_task3[[SubPLOs]:[SubPLOs]],"&gt;=8",tbl_task3[[SubPLOs]:[SubPLOs]],"&lt;9")</f>
        <v>0</v>
      </c>
      <c r="CX41" s="138">
        <f>SUMIFS(tbl_task3[S97],tbl_task3[[SubPLOs]:[SubPLOs]],"&gt;=8",tbl_task3[[SubPLOs]:[SubPLOs]],"&lt;9")</f>
        <v>0</v>
      </c>
      <c r="CY41" s="138">
        <f>SUMIFS(tbl_task3[S98],tbl_task3[[SubPLOs]:[SubPLOs]],"&gt;=8",tbl_task3[[SubPLOs]:[SubPLOs]],"&lt;9")</f>
        <v>0</v>
      </c>
      <c r="CZ41" s="138">
        <f>SUMIFS(tbl_task3[S99],tbl_task3[[SubPLOs]:[SubPLOs]],"&gt;=8",tbl_task3[[SubPLOs]:[SubPLOs]],"&lt;9")</f>
        <v>0</v>
      </c>
      <c r="DA41" s="138">
        <f>SUMIFS(tbl_task3[S100],tbl_task3[[SubPLOs]:[SubPLOs]],"&gt;=8",tbl_task3[[SubPLOs]:[SubPLOs]],"&lt;9")</f>
        <v>0</v>
      </c>
      <c r="DB41" s="138">
        <f>SUMIFS(tbl_task3[S101],tbl_task3[[SubPLOs]:[SubPLOs]],"&gt;=8",tbl_task3[[SubPLOs]:[SubPLOs]],"&lt;9")</f>
        <v>0</v>
      </c>
      <c r="DC41" s="138">
        <f>SUMIFS(tbl_task3[S102],tbl_task3[[SubPLOs]:[SubPLOs]],"&gt;=8",tbl_task3[[SubPLOs]:[SubPLOs]],"&lt;9")</f>
        <v>0</v>
      </c>
      <c r="DD41" s="138">
        <f>SUMIFS(tbl_task3[S103],tbl_task3[[SubPLOs]:[SubPLOs]],"&gt;=8",tbl_task3[[SubPLOs]:[SubPLOs]],"&lt;9")</f>
        <v>0</v>
      </c>
      <c r="DE41" s="138">
        <f>SUMIFS(tbl_task3[S104],tbl_task3[[SubPLOs]:[SubPLOs]],"&gt;=8",tbl_task3[[SubPLOs]:[SubPLOs]],"&lt;9")</f>
        <v>0</v>
      </c>
      <c r="DF41" s="138">
        <f>SUMIFS(tbl_task3[S105],tbl_task3[[SubPLOs]:[SubPLOs]],"&gt;=8",tbl_task3[[SubPLOs]:[SubPLOs]],"&lt;9")</f>
        <v>0</v>
      </c>
      <c r="DG41" s="138">
        <f>SUMIFS(tbl_task3[S106],tbl_task3[[SubPLOs]:[SubPLOs]],"&gt;=8",tbl_task3[[SubPLOs]:[SubPLOs]],"&lt;9")</f>
        <v>0</v>
      </c>
      <c r="DH41" s="138">
        <f>SUMIFS(tbl_task3[S106],tbl_task3[[SubPLOs]:[SubPLOs]],"&gt;=8",tbl_task3[[SubPLOs]:[SubPLOs]],"&lt;9")</f>
        <v>0</v>
      </c>
      <c r="DI41" s="138">
        <f>SUMIFS(tbl_task3[S108],tbl_task3[[SubPLOs]:[SubPLOs]],"&gt;=8",tbl_task3[[SubPLOs]:[SubPLOs]],"&lt;9")</f>
        <v>0</v>
      </c>
      <c r="DJ41" s="138">
        <f>SUMIFS(tbl_task3[S109],tbl_task3[[SubPLOs]:[SubPLOs]],"&gt;=8",tbl_task3[[SubPLOs]:[SubPLOs]],"&lt;9")</f>
        <v>0</v>
      </c>
      <c r="DK41" s="138">
        <f>SUMIFS(tbl_task3[S110],tbl_task3[[SubPLOs]:[SubPLOs]],"&gt;=8",tbl_task3[[SubPLOs]:[SubPLOs]],"&lt;9")</f>
        <v>0</v>
      </c>
      <c r="DL41" s="138">
        <f>SUMIFS(tbl_task3[S111],tbl_task3[[SubPLOs]:[SubPLOs]],"&gt;=8",tbl_task3[[SubPLOs]:[SubPLOs]],"&lt;9")</f>
        <v>0</v>
      </c>
      <c r="DM41" s="138">
        <f>SUMIFS(tbl_task3[S112],tbl_task3[[SubPLOs]:[SubPLOs]],"&gt;=8",tbl_task3[[SubPLOs]:[SubPLOs]],"&lt;9")</f>
        <v>0</v>
      </c>
      <c r="DN41" s="138">
        <f>SUMIFS(tbl_task3[S113],tbl_task3[[SubPLOs]:[SubPLOs]],"&gt;=8",tbl_task3[[SubPLOs]:[SubPLOs]],"&lt;9")</f>
        <v>0</v>
      </c>
      <c r="DO41" s="138">
        <f>SUMIFS(tbl_task3[S114],tbl_task3[[SubPLOs]:[SubPLOs]],"&gt;=8",tbl_task3[[SubPLOs]:[SubPLOs]],"&lt;9")</f>
        <v>0</v>
      </c>
      <c r="DP41" s="138">
        <f>SUMIFS(tbl_task3[S115],tbl_task3[[SubPLOs]:[SubPLOs]],"&gt;=8",tbl_task3[[SubPLOs]:[SubPLOs]],"&lt;9")</f>
        <v>0</v>
      </c>
      <c r="DQ41" s="138">
        <f>SUMIFS(tbl_task3[S116],tbl_task3[[SubPLOs]:[SubPLOs]],"&gt;=8",tbl_task3[[SubPLOs]:[SubPLOs]],"&lt;9")</f>
        <v>0</v>
      </c>
      <c r="DR41" s="138">
        <f>SUMIFS(tbl_task3[S117],tbl_task3[[SubPLOs]:[SubPLOs]],"&gt;=8",tbl_task3[[SubPLOs]:[SubPLOs]],"&lt;9")</f>
        <v>0</v>
      </c>
      <c r="DS41" s="138">
        <f>SUMIFS(tbl_task3[S118],tbl_task3[[SubPLOs]:[SubPLOs]],"&gt;=8",tbl_task3[[SubPLOs]:[SubPLOs]],"&lt;9")</f>
        <v>0</v>
      </c>
      <c r="DT41" s="138">
        <f>SUMIFS(tbl_task3[S119],tbl_task3[[SubPLOs]:[SubPLOs]],"&gt;=8",tbl_task3[[SubPLOs]:[SubPLOs]],"&lt;9")</f>
        <v>0</v>
      </c>
      <c r="DU41" s="138">
        <f>SUMIFS(tbl_task3[S120],tbl_task3[[SubPLOs]:[SubPLOs]],"&gt;=8",tbl_task3[[SubPLOs]:[SubPLOs]],"&lt;9")</f>
        <v>0</v>
      </c>
      <c r="DV41" s="138">
        <f>SUMIFS(tbl_task3[S121],tbl_task3[[SubPLOs]:[SubPLOs]],"&gt;=8",tbl_task3[[SubPLOs]:[SubPLOs]],"&lt;9")</f>
        <v>0</v>
      </c>
      <c r="DW41" s="138">
        <f>SUMIFS(tbl_task3[S122],tbl_task3[[SubPLOs]:[SubPLOs]],"&gt;=8",tbl_task3[[SubPLOs]:[SubPLOs]],"&lt;9")</f>
        <v>0</v>
      </c>
      <c r="DX41" s="138">
        <f>SUMIFS(tbl_task3[S123],tbl_task3[[SubPLOs]:[SubPLOs]],"&gt;=8",tbl_task3[[SubPLOs]:[SubPLOs]],"&lt;9")</f>
        <v>0</v>
      </c>
      <c r="DY41" s="138">
        <f>SUMIFS(tbl_task3[S124],tbl_task3[[SubPLOs]:[SubPLOs]],"&gt;=8",tbl_task3[[SubPLOs]:[SubPLOs]],"&lt;9")</f>
        <v>0</v>
      </c>
      <c r="DZ41" s="138">
        <f>SUMIFS(tbl_task3[S125],tbl_task3[[SubPLOs]:[SubPLOs]],"&gt;=8",tbl_task3[[SubPLOs]:[SubPLOs]],"&lt;9")</f>
        <v>0</v>
      </c>
      <c r="EA41" s="138">
        <f>SUMIFS(tbl_task3[S126],tbl_task3[[SubPLOs]:[SubPLOs]],"&gt;=8",tbl_task3[[SubPLOs]:[SubPLOs]],"&lt;9")</f>
        <v>0</v>
      </c>
      <c r="EB41" s="138">
        <f>SUMIFS(tbl_task3[S127],tbl_task3[[SubPLOs]:[SubPLOs]],"&gt;=8",tbl_task3[[SubPLOs]:[SubPLOs]],"&lt;9")</f>
        <v>0</v>
      </c>
      <c r="EC41" s="138">
        <f>SUMIFS(tbl_task3[S128],tbl_task3[[SubPLOs]:[SubPLOs]],"&gt;=8",tbl_task3[[SubPLOs]:[SubPLOs]],"&lt;9")</f>
        <v>0</v>
      </c>
      <c r="ED41" s="138">
        <f>SUMIFS(tbl_task3[S129],tbl_task3[[SubPLOs]:[SubPLOs]],"&gt;=8",tbl_task3[[SubPLOs]:[SubPLOs]],"&lt;9")</f>
        <v>0</v>
      </c>
      <c r="EE41" s="138">
        <f>SUMIFS(tbl_task3[S130],tbl_task3[[SubPLOs]:[SubPLOs]],"&gt;=8",tbl_task3[[SubPLOs]:[SubPLOs]],"&lt;9")</f>
        <v>0</v>
      </c>
      <c r="EF41" s="138">
        <f>SUMIFS(tbl_task3[S131],tbl_task3[[SubPLOs]:[SubPLOs]],"&gt;=8",tbl_task3[[SubPLOs]:[SubPLOs]],"&lt;9")</f>
        <v>0</v>
      </c>
      <c r="EG41" s="138">
        <f>SUMIFS(tbl_task3[S132],tbl_task3[[SubPLOs]:[SubPLOs]],"&gt;=8",tbl_task3[[SubPLOs]:[SubPLOs]],"&lt;9")</f>
        <v>0</v>
      </c>
      <c r="EH41" s="138">
        <f>SUMIFS(tbl_task3[S133],tbl_task3[[SubPLOs]:[SubPLOs]],"&gt;=8",tbl_task3[[SubPLOs]:[SubPLOs]],"&lt;9")</f>
        <v>0</v>
      </c>
      <c r="EI41" s="138">
        <f>SUMIFS(tbl_task3[S134],tbl_task3[[SubPLOs]:[SubPLOs]],"&gt;=8",tbl_task3[[SubPLOs]:[SubPLOs]],"&lt;9")</f>
        <v>0</v>
      </c>
      <c r="EJ41" s="138">
        <f>SUMIFS(tbl_task3[S135],tbl_task3[[SubPLOs]:[SubPLOs]],"&gt;=8",tbl_task3[[SubPLOs]:[SubPLOs]],"&lt;9")</f>
        <v>0</v>
      </c>
      <c r="EK41" s="138">
        <f>SUMIFS(tbl_task3[S136],tbl_task3[[SubPLOs]:[SubPLOs]],"&gt;=8",tbl_task3[[SubPLOs]:[SubPLOs]],"&lt;9")</f>
        <v>0</v>
      </c>
      <c r="EL41" s="138">
        <f>SUMIFS(tbl_task3[S137],tbl_task3[[SubPLOs]:[SubPLOs]],"&gt;=8",tbl_task3[[SubPLOs]:[SubPLOs]],"&lt;9")</f>
        <v>0</v>
      </c>
      <c r="EM41" s="138">
        <f>SUMIFS(tbl_task3[S138],tbl_task3[[SubPLOs]:[SubPLOs]],"&gt;=8",tbl_task3[[SubPLOs]:[SubPLOs]],"&lt;9")</f>
        <v>0</v>
      </c>
      <c r="EN41" s="138">
        <f>SUMIFS(tbl_task3[S139],tbl_task3[[SubPLOs]:[SubPLOs]],"&gt;=8",tbl_task3[[SubPLOs]:[SubPLOs]],"&lt;9")</f>
        <v>0</v>
      </c>
      <c r="EO41" s="138">
        <f>SUMIFS(tbl_task3[S140],tbl_task3[[SubPLOs]:[SubPLOs]],"&gt;=8",tbl_task3[[SubPLOs]:[SubPLOs]],"&lt;9")</f>
        <v>0</v>
      </c>
      <c r="EP41" s="138">
        <f>SUMIFS(tbl_task3[S141],tbl_task3[[SubPLOs]:[SubPLOs]],"&gt;=8",tbl_task3[[SubPLOs]:[SubPLOs]],"&lt;9")</f>
        <v>0</v>
      </c>
      <c r="EQ41" s="138">
        <f>SUMIFS(tbl_task3[S142],tbl_task3[[SubPLOs]:[SubPLOs]],"&gt;=8",tbl_task3[[SubPLOs]:[SubPLOs]],"&lt;9")</f>
        <v>0</v>
      </c>
      <c r="ER41" s="138">
        <f>SUMIFS(tbl_task3[S143],tbl_task3[[SubPLOs]:[SubPLOs]],"&gt;=8",tbl_task3[[SubPLOs]:[SubPLOs]],"&lt;9")</f>
        <v>0</v>
      </c>
      <c r="ES41" s="138">
        <f>SUMIFS(tbl_task3[S144],tbl_task3[[SubPLOs]:[SubPLOs]],"&gt;=8",tbl_task3[[SubPLOs]:[SubPLOs]],"&lt;9")</f>
        <v>0</v>
      </c>
      <c r="ET41" s="138">
        <f>SUMIFS(tbl_task3[S145],tbl_task3[[SubPLOs]:[SubPLOs]],"&gt;=8",tbl_task3[[SubPLOs]:[SubPLOs]],"&lt;9")</f>
        <v>0</v>
      </c>
      <c r="EU41" s="138">
        <f>SUMIFS(tbl_task3[S146],tbl_task3[[SubPLOs]:[SubPLOs]],"&gt;=8",tbl_task3[[SubPLOs]:[SubPLOs]],"&lt;9")</f>
        <v>0</v>
      </c>
      <c r="EV41" s="138">
        <f>SUMIFS(tbl_task3[S147],tbl_task3[[SubPLOs]:[SubPLOs]],"&gt;=8",tbl_task3[[SubPLOs]:[SubPLOs]],"&lt;9")</f>
        <v>0</v>
      </c>
      <c r="EW41" s="138">
        <f>SUMIFS(tbl_task3[S148],tbl_task3[[SubPLOs]:[SubPLOs]],"&gt;=8",tbl_task3[[SubPLOs]:[SubPLOs]],"&lt;9")</f>
        <v>0</v>
      </c>
      <c r="EX41" s="138">
        <f>SUMIFS(tbl_task3[S149],tbl_task3[[SubPLOs]:[SubPLOs]],"&gt;=8",tbl_task3[[SubPLOs]:[SubPLOs]],"&lt;9")</f>
        <v>0</v>
      </c>
      <c r="EY41" s="138">
        <f>SUMIFS(tbl_task3[S150],tbl_task3[[SubPLOs]:[SubPLOs]],"&gt;=8",tbl_task3[[SubPLOs]:[SubPLOs]],"&lt;9")</f>
        <v>0</v>
      </c>
      <c r="EZ41" s="138">
        <f>SUMIFS(tbl_task3[S151],tbl_task3[[SubPLOs]:[SubPLOs]],"&gt;=8",tbl_task3[[SubPLOs]:[SubPLOs]],"&lt;9")</f>
        <v>0</v>
      </c>
      <c r="FA41" s="138">
        <f>SUMIFS(tbl_task3[S152],tbl_task3[[SubPLOs]:[SubPLOs]],"&gt;=8",tbl_task3[[SubPLOs]:[SubPLOs]],"&lt;9")</f>
        <v>0</v>
      </c>
      <c r="FB41" s="138">
        <f>SUMIFS(tbl_task3[S153],tbl_task3[[SubPLOs]:[SubPLOs]],"&gt;=8",tbl_task3[[SubPLOs]:[SubPLOs]],"&lt;9")</f>
        <v>0</v>
      </c>
      <c r="FC41" s="138">
        <f>SUMIFS(tbl_task3[S154],tbl_task3[[SubPLOs]:[SubPLOs]],"&gt;=8",tbl_task3[[SubPLOs]:[SubPLOs]],"&lt;9")</f>
        <v>0</v>
      </c>
      <c r="FD41" s="138">
        <f>SUMIFS(tbl_task3[S155],tbl_task3[[SubPLOs]:[SubPLOs]],"&gt;=8",tbl_task3[[SubPLOs]:[SubPLOs]],"&lt;9")</f>
        <v>0</v>
      </c>
      <c r="FE41" s="138">
        <f>SUMIFS(tbl_task3[S156],tbl_task3[[SubPLOs]:[SubPLOs]],"&gt;=8",tbl_task3[[SubPLOs]:[SubPLOs]],"&lt;9")</f>
        <v>0</v>
      </c>
      <c r="FF41" s="138">
        <f>SUMIFS(tbl_task3[S157],tbl_task3[[SubPLOs]:[SubPLOs]],"&gt;=8",tbl_task3[[SubPLOs]:[SubPLOs]],"&lt;9")</f>
        <v>0</v>
      </c>
      <c r="FG41" s="138">
        <f>SUMIFS(tbl_task3[S158],tbl_task3[[SubPLOs]:[SubPLOs]],"&gt;=8",tbl_task3[[SubPLOs]:[SubPLOs]],"&lt;9")</f>
        <v>0</v>
      </c>
      <c r="FH41" s="138">
        <f>SUMIFS(tbl_task3[S159],tbl_task3[[SubPLOs]:[SubPLOs]],"&gt;=8",tbl_task3[[SubPLOs]:[SubPLOs]],"&lt;9")</f>
        <v>0</v>
      </c>
      <c r="FI41" s="138">
        <f>SUMIFS(tbl_task3[S160],tbl_task3[[SubPLOs]:[SubPLOs]],"&gt;=8",tbl_task3[[SubPLOs]:[SubPLOs]],"&lt;9")</f>
        <v>0</v>
      </c>
      <c r="FJ41" s="138">
        <f>SUMIFS(tbl_task3[S161],tbl_task3[[SubPLOs]:[SubPLOs]],"&gt;=8",tbl_task3[[SubPLOs]:[SubPLOs]],"&lt;9")</f>
        <v>0</v>
      </c>
      <c r="FK41" s="138">
        <f>SUMIFS(tbl_task3[S162],tbl_task3[[SubPLOs]:[SubPLOs]],"&gt;=8",tbl_task3[[SubPLOs]:[SubPLOs]],"&lt;9")</f>
        <v>0</v>
      </c>
      <c r="FL41" s="138">
        <f>SUMIFS(tbl_task3[S163],tbl_task3[[SubPLOs]:[SubPLOs]],"&gt;=8",tbl_task3[[SubPLOs]:[SubPLOs]],"&lt;9")</f>
        <v>0</v>
      </c>
      <c r="FM41" s="138">
        <f>SUMIFS(tbl_task3[S164],tbl_task3[[SubPLOs]:[SubPLOs]],"&gt;=8",tbl_task3[[SubPLOs]:[SubPLOs]],"&lt;9")</f>
        <v>0</v>
      </c>
      <c r="FN41" s="138">
        <f>SUMIFS(tbl_task3[S165],tbl_task3[[SubPLOs]:[SubPLOs]],"&gt;=8",tbl_task3[[SubPLOs]:[SubPLOs]],"&lt;9")</f>
        <v>0</v>
      </c>
    </row>
    <row r="42" spans="1:170" ht="63" x14ac:dyDescent="0.25">
      <c r="A42" s="135">
        <v>9</v>
      </c>
      <c r="B42" s="5" t="s">
        <v>442</v>
      </c>
      <c r="C42" s="136">
        <f>COUNTIFS(tbl_task3[SubPLOs],"&gt;=9",tbl_task3[SubPLOs],"&lt;10")</f>
        <v>0</v>
      </c>
      <c r="D42" s="136">
        <f>SUMIFS(tbl_task3[คะแนนเต็ม],tbl_task3[SubPLOs],"&gt;=9",tbl_task3[SubPLOs],"&lt;10")</f>
        <v>0</v>
      </c>
      <c r="E42" s="137">
        <f>SUMIFS(tbl_task3[%],tbl_task3[SubPLOs],"&gt;=9",tbl_task3[SubPLOs],"&lt;10")</f>
        <v>0</v>
      </c>
      <c r="F42" s="138">
        <f>SUMIFS(tbl_task3[S1],tbl_task3[[SubPLOs]:[SubPLOs]],"&gt;=9",tbl_task3[[SubPLOs]:[SubPLOs]],"&lt;10")</f>
        <v>0</v>
      </c>
      <c r="G42" s="138">
        <f>SUMIFS(tbl_task3[S2],tbl_task3[[SubPLOs]:[SubPLOs]],"&gt;=9",tbl_task3[[SubPLOs]:[SubPLOs]],"&lt;10")</f>
        <v>0</v>
      </c>
      <c r="H42" s="138">
        <f>SUMIFS(tbl_task3[S3],tbl_task3[[SubPLOs]:[SubPLOs]],"&gt;=9",tbl_task3[[SubPLOs]:[SubPLOs]],"&lt;10")</f>
        <v>0</v>
      </c>
      <c r="I42" s="138">
        <f>SUMIFS(tbl_task3[S4],tbl_task3[[SubPLOs]:[SubPLOs]],"&gt;=9",tbl_task3[[SubPLOs]:[SubPLOs]],"&lt;10")</f>
        <v>0</v>
      </c>
      <c r="J42" s="138">
        <f>SUMIFS(tbl_task3[S5],tbl_task3[[SubPLOs]:[SubPLOs]],"&gt;=9",tbl_task3[[SubPLOs]:[SubPLOs]],"&lt;10")</f>
        <v>0</v>
      </c>
      <c r="K42" s="138">
        <f>SUMIFS(tbl_task3[S6],tbl_task3[[SubPLOs]:[SubPLOs]],"&gt;=9",tbl_task3[[SubPLOs]:[SubPLOs]],"&lt;10")</f>
        <v>0</v>
      </c>
      <c r="L42" s="138">
        <f>SUMIFS(tbl_task3[S7],tbl_task3[[SubPLOs]:[SubPLOs]],"&gt;=9",tbl_task3[[SubPLOs]:[SubPLOs]],"&lt;10")</f>
        <v>0</v>
      </c>
      <c r="M42" s="138">
        <f>SUMIFS(tbl_task3[S8],tbl_task3[[SubPLOs]:[SubPLOs]],"&gt;=9",tbl_task3[[SubPLOs]:[SubPLOs]],"&lt;10")</f>
        <v>0</v>
      </c>
      <c r="N42" s="138">
        <f>SUMIFS(tbl_task3[S9],tbl_task3[[SubPLOs]:[SubPLOs]],"&gt;=9",tbl_task3[[SubPLOs]:[SubPLOs]],"&lt;10")</f>
        <v>0</v>
      </c>
      <c r="O42" s="138">
        <f>SUMIFS(tbl_task3[S10],tbl_task3[[SubPLOs]:[SubPLOs]],"&gt;=9",tbl_task3[[SubPLOs]:[SubPLOs]],"&lt;10")</f>
        <v>0</v>
      </c>
      <c r="P42" s="138">
        <f>SUMIFS(tbl_task3[S11],tbl_task3[[SubPLOs]:[SubPLOs]],"&gt;=9",tbl_task3[[SubPLOs]:[SubPLOs]],"&lt;10")</f>
        <v>0</v>
      </c>
      <c r="Q42" s="138">
        <f>SUMIFS(tbl_task3[S12],tbl_task3[[SubPLOs]:[SubPLOs]],"&gt;=9",tbl_task3[[SubPLOs]:[SubPLOs]],"&lt;10")</f>
        <v>0</v>
      </c>
      <c r="R42" s="138">
        <f>SUMIFS(tbl_task3[S13],tbl_task3[[SubPLOs]:[SubPLOs]],"&gt;=9",tbl_task3[[SubPLOs]:[SubPLOs]],"&lt;10")</f>
        <v>0</v>
      </c>
      <c r="S42" s="138">
        <f>SUMIFS(tbl_task3[S14],tbl_task3[[SubPLOs]:[SubPLOs]],"&gt;=9",tbl_task3[[SubPLOs]:[SubPLOs]],"&lt;10")</f>
        <v>0</v>
      </c>
      <c r="T42" s="138">
        <f>SUMIFS(tbl_task3[S15],tbl_task3[[SubPLOs]:[SubPLOs]],"&gt;=9",tbl_task3[[SubPLOs]:[SubPLOs]],"&lt;10")</f>
        <v>0</v>
      </c>
      <c r="U42" s="138">
        <f>SUMIFS(tbl_task3[S16],tbl_task3[[SubPLOs]:[SubPLOs]],"&gt;=9",tbl_task3[[SubPLOs]:[SubPLOs]],"&lt;10")</f>
        <v>0</v>
      </c>
      <c r="V42" s="138">
        <f>SUMIFS(tbl_task3[S17],tbl_task3[[SubPLOs]:[SubPLOs]],"&gt;=9",tbl_task3[[SubPLOs]:[SubPLOs]],"&lt;10")</f>
        <v>0</v>
      </c>
      <c r="W42" s="138">
        <f>SUMIFS(tbl_task3[S18],tbl_task3[[SubPLOs]:[SubPLOs]],"&gt;=9",tbl_task3[[SubPLOs]:[SubPLOs]],"&lt;10")</f>
        <v>0</v>
      </c>
      <c r="X42" s="138">
        <f>SUMIFS(tbl_task3[S19],tbl_task3[[SubPLOs]:[SubPLOs]],"&gt;=9",tbl_task3[[SubPLOs]:[SubPLOs]],"&lt;10")</f>
        <v>0</v>
      </c>
      <c r="Y42" s="138">
        <f>SUMIFS(tbl_task3[S20],tbl_task3[[SubPLOs]:[SubPLOs]],"&gt;=9",tbl_task3[[SubPLOs]:[SubPLOs]],"&lt;10")</f>
        <v>0</v>
      </c>
      <c r="Z42" s="138">
        <f>SUMIFS(tbl_task3[S21],tbl_task3[[SubPLOs]:[SubPLOs]],"&gt;=9",tbl_task3[[SubPLOs]:[SubPLOs]],"&lt;10")</f>
        <v>0</v>
      </c>
      <c r="AA42" s="138">
        <f>SUMIFS(tbl_task3[S22],tbl_task3[[SubPLOs]:[SubPLOs]],"&gt;=9",tbl_task3[[SubPLOs]:[SubPLOs]],"&lt;10")</f>
        <v>0</v>
      </c>
      <c r="AB42" s="138">
        <f>SUMIFS(tbl_task3[S23],tbl_task3[[SubPLOs]:[SubPLOs]],"&gt;=9",tbl_task3[[SubPLOs]:[SubPLOs]],"&lt;10")</f>
        <v>0</v>
      </c>
      <c r="AC42" s="138">
        <f>SUMIFS(tbl_task3[S24],tbl_task3[[SubPLOs]:[SubPLOs]],"&gt;=9",tbl_task3[[SubPLOs]:[SubPLOs]],"&lt;10")</f>
        <v>0</v>
      </c>
      <c r="AD42" s="138">
        <f>SUMIFS(tbl_task3[S25],tbl_task3[[SubPLOs]:[SubPLOs]],"&gt;=9",tbl_task3[[SubPLOs]:[SubPLOs]],"&lt;10")</f>
        <v>0</v>
      </c>
      <c r="AE42" s="138">
        <f>SUMIFS(tbl_task3[S26],tbl_task3[[SubPLOs]:[SubPLOs]],"&gt;=9",tbl_task3[[SubPLOs]:[SubPLOs]],"&lt;10")</f>
        <v>0</v>
      </c>
      <c r="AF42" s="138">
        <f>SUMIFS(tbl_task3[S27],tbl_task3[[SubPLOs]:[SubPLOs]],"&gt;=9",tbl_task3[[SubPLOs]:[SubPLOs]],"&lt;10")</f>
        <v>0</v>
      </c>
      <c r="AG42" s="138">
        <f>SUMIFS(tbl_task3[S28],tbl_task3[[SubPLOs]:[SubPLOs]],"&gt;=9",tbl_task3[[SubPLOs]:[SubPLOs]],"&lt;10")</f>
        <v>0</v>
      </c>
      <c r="AH42" s="138">
        <f>SUMIFS(tbl_task3[S29],tbl_task3[[SubPLOs]:[SubPLOs]],"&gt;=9",tbl_task3[[SubPLOs]:[SubPLOs]],"&lt;10")</f>
        <v>0</v>
      </c>
      <c r="AI42" s="138">
        <f>SUMIFS(tbl_task3[S30],tbl_task3[[SubPLOs]:[SubPLOs]],"&gt;=9",tbl_task3[[SubPLOs]:[SubPLOs]],"&lt;10")</f>
        <v>0</v>
      </c>
      <c r="AJ42" s="138">
        <f>SUMIFS(tbl_task3[S31],tbl_task3[[SubPLOs]:[SubPLOs]],"&gt;=9",tbl_task3[[SubPLOs]:[SubPLOs]],"&lt;10")</f>
        <v>0</v>
      </c>
      <c r="AK42" s="138">
        <f>SUMIFS(tbl_task3[S32],tbl_task3[[SubPLOs]:[SubPLOs]],"&gt;=9",tbl_task3[[SubPLOs]:[SubPLOs]],"&lt;10")</f>
        <v>0</v>
      </c>
      <c r="AL42" s="138">
        <f>SUMIFS(tbl_task3[S33],tbl_task3[[SubPLOs]:[SubPLOs]],"&gt;=9",tbl_task3[[SubPLOs]:[SubPLOs]],"&lt;10")</f>
        <v>0</v>
      </c>
      <c r="AM42" s="138">
        <f>SUMIFS(tbl_task3[S34],tbl_task3[[SubPLOs]:[SubPLOs]],"&gt;=9",tbl_task3[[SubPLOs]:[SubPLOs]],"&lt;10")</f>
        <v>0</v>
      </c>
      <c r="AN42" s="138">
        <f>SUMIFS(tbl_task3[S35],tbl_task3[[SubPLOs]:[SubPLOs]],"&gt;=9",tbl_task3[[SubPLOs]:[SubPLOs]],"&lt;10")</f>
        <v>0</v>
      </c>
      <c r="AO42" s="138">
        <f>SUMIFS(tbl_task3[S36],tbl_task3[[SubPLOs]:[SubPLOs]],"&gt;=9",tbl_task3[[SubPLOs]:[SubPLOs]],"&lt;10")</f>
        <v>0</v>
      </c>
      <c r="AP42" s="138">
        <f>SUMIFS(tbl_task3[S37],tbl_task3[[SubPLOs]:[SubPLOs]],"&gt;=9",tbl_task3[[SubPLOs]:[SubPLOs]],"&lt;10")</f>
        <v>0</v>
      </c>
      <c r="AQ42" s="138">
        <f>SUMIFS(tbl_task3[S38],tbl_task3[[SubPLOs]:[SubPLOs]],"&gt;=9",tbl_task3[[SubPLOs]:[SubPLOs]],"&lt;10")</f>
        <v>0</v>
      </c>
      <c r="AR42" s="138">
        <f>SUMIFS(tbl_task3[S39],tbl_task3[[SubPLOs]:[SubPLOs]],"&gt;=9",tbl_task3[[SubPLOs]:[SubPLOs]],"&lt;10")</f>
        <v>0</v>
      </c>
      <c r="AS42" s="138">
        <f>SUMIFS(tbl_task3[S40],tbl_task3[[SubPLOs]:[SubPLOs]],"&gt;=9",tbl_task3[[SubPLOs]:[SubPLOs]],"&lt;10")</f>
        <v>0</v>
      </c>
      <c r="AT42" s="138">
        <f>SUMIFS(tbl_task3[S41],tbl_task3[[SubPLOs]:[SubPLOs]],"&gt;=9",tbl_task3[[SubPLOs]:[SubPLOs]],"&lt;10")</f>
        <v>0</v>
      </c>
      <c r="AU42" s="138">
        <f>SUMIFS(tbl_task3[S42],tbl_task3[[SubPLOs]:[SubPLOs]],"&gt;=9",tbl_task3[[SubPLOs]:[SubPLOs]],"&lt;10")</f>
        <v>0</v>
      </c>
      <c r="AV42" s="138">
        <f>SUMIFS(tbl_task3[S43],tbl_task3[[SubPLOs]:[SubPLOs]],"&gt;=9",tbl_task3[[SubPLOs]:[SubPLOs]],"&lt;10")</f>
        <v>0</v>
      </c>
      <c r="AW42" s="138">
        <f>SUMIFS(tbl_task3[S44],tbl_task3[[SubPLOs]:[SubPLOs]],"&gt;=9",tbl_task3[[SubPLOs]:[SubPLOs]],"&lt;10")</f>
        <v>0</v>
      </c>
      <c r="AX42" s="138">
        <f>SUMIFS(tbl_task3[S45],tbl_task3[[SubPLOs]:[SubPLOs]],"&gt;=9",tbl_task3[[SubPLOs]:[SubPLOs]],"&lt;10")</f>
        <v>0</v>
      </c>
      <c r="AY42" s="138">
        <f>SUMIFS(tbl_task3[S46],tbl_task3[[SubPLOs]:[SubPLOs]],"&gt;=9",tbl_task3[[SubPLOs]:[SubPLOs]],"&lt;10")</f>
        <v>0</v>
      </c>
      <c r="AZ42" s="138">
        <f>SUMIFS(tbl_task3[S47],tbl_task3[[SubPLOs]:[SubPLOs]],"&gt;=9",tbl_task3[[SubPLOs]:[SubPLOs]],"&lt;10")</f>
        <v>0</v>
      </c>
      <c r="BA42" s="138">
        <f>SUMIFS(tbl_task3[S48],tbl_task3[[SubPLOs]:[SubPLOs]],"&gt;=9",tbl_task3[[SubPLOs]:[SubPLOs]],"&lt;10")</f>
        <v>0</v>
      </c>
      <c r="BB42" s="138">
        <f>SUMIFS(tbl_task3[S49],tbl_task3[[SubPLOs]:[SubPLOs]],"&gt;=9",tbl_task3[[SubPLOs]:[SubPLOs]],"&lt;10")</f>
        <v>0</v>
      </c>
      <c r="BC42" s="138">
        <f>SUMIFS(tbl_task3[S50],tbl_task3[[SubPLOs]:[SubPLOs]],"&gt;=9",tbl_task3[[SubPLOs]:[SubPLOs]],"&lt;10")</f>
        <v>0</v>
      </c>
      <c r="BD42" s="138">
        <f>SUMIFS(tbl_task3[S51],tbl_task3[[SubPLOs]:[SubPLOs]],"&gt;=9",tbl_task3[[SubPLOs]:[SubPLOs]],"&lt;10")</f>
        <v>0</v>
      </c>
      <c r="BE42" s="138">
        <f>SUMIFS(tbl_task3[S52],tbl_task3[[SubPLOs]:[SubPLOs]],"&gt;=9",tbl_task3[[SubPLOs]:[SubPLOs]],"&lt;10")</f>
        <v>0</v>
      </c>
      <c r="BF42" s="138">
        <f>SUMIFS(tbl_task3[S53],tbl_task3[[SubPLOs]:[SubPLOs]],"&gt;=9",tbl_task3[[SubPLOs]:[SubPLOs]],"&lt;10")</f>
        <v>0</v>
      </c>
      <c r="BG42" s="138">
        <f>SUMIFS(tbl_task3[S54],tbl_task3[[SubPLOs]:[SubPLOs]],"&gt;=9",tbl_task3[[SubPLOs]:[SubPLOs]],"&lt;10")</f>
        <v>0</v>
      </c>
      <c r="BH42" s="138">
        <f>SUMIFS(tbl_task3[S55],tbl_task3[[SubPLOs]:[SubPLOs]],"&gt;=9",tbl_task3[[SubPLOs]:[SubPLOs]],"&lt;10")</f>
        <v>0</v>
      </c>
      <c r="BI42" s="138">
        <f>SUMIFS(tbl_task3[S56],tbl_task3[[SubPLOs]:[SubPLOs]],"&gt;=9",tbl_task3[[SubPLOs]:[SubPLOs]],"&lt;10")</f>
        <v>0</v>
      </c>
      <c r="BJ42" s="138">
        <f>SUMIFS(tbl_task3[S57],tbl_task3[[SubPLOs]:[SubPLOs]],"&gt;=9",tbl_task3[[SubPLOs]:[SubPLOs]],"&lt;10")</f>
        <v>0</v>
      </c>
      <c r="BK42" s="138">
        <f>SUMIFS(tbl_task3[S58],tbl_task3[[SubPLOs]:[SubPLOs]],"&gt;=9",tbl_task3[[SubPLOs]:[SubPLOs]],"&lt;10")</f>
        <v>0</v>
      </c>
      <c r="BL42" s="138">
        <f>SUMIFS(tbl_task3[S59],tbl_task3[[SubPLOs]:[SubPLOs]],"&gt;=9",tbl_task3[[SubPLOs]:[SubPLOs]],"&lt;10")</f>
        <v>0</v>
      </c>
      <c r="BM42" s="138">
        <f>SUMIFS(tbl_task3[S60],tbl_task3[[SubPLOs]:[SubPLOs]],"&gt;=9",tbl_task3[[SubPLOs]:[SubPLOs]],"&lt;10")</f>
        <v>0</v>
      </c>
      <c r="BN42" s="138">
        <f>SUMIFS(tbl_task3[S61],tbl_task3[[SubPLOs]:[SubPLOs]],"&gt;=9",tbl_task3[[SubPLOs]:[SubPLOs]],"&lt;10")</f>
        <v>0</v>
      </c>
      <c r="BO42" s="138">
        <f>SUMIFS(tbl_task3[S62],tbl_task3[[SubPLOs]:[SubPLOs]],"&gt;=9",tbl_task3[[SubPLOs]:[SubPLOs]],"&lt;10")</f>
        <v>0</v>
      </c>
      <c r="BP42" s="138">
        <f>SUMIFS(tbl_task3[S63],tbl_task3[[SubPLOs]:[SubPLOs]],"&gt;=9",tbl_task3[[SubPLOs]:[SubPLOs]],"&lt;10")</f>
        <v>0</v>
      </c>
      <c r="BQ42" s="138">
        <f>SUMIFS(tbl_task3[S64],tbl_task3[[SubPLOs]:[SubPLOs]],"&gt;=9",tbl_task3[[SubPLOs]:[SubPLOs]],"&lt;10")</f>
        <v>0</v>
      </c>
      <c r="BR42" s="138">
        <f>SUMIFS(tbl_task3[S65],tbl_task3[[SubPLOs]:[SubPLOs]],"&gt;=9",tbl_task3[[SubPLOs]:[SubPLOs]],"&lt;10")</f>
        <v>0</v>
      </c>
      <c r="BS42" s="138">
        <f>SUMIFS(tbl_task3[S66],tbl_task3[[SubPLOs]:[SubPLOs]],"&gt;=9",tbl_task3[[SubPLOs]:[SubPLOs]],"&lt;10")</f>
        <v>0</v>
      </c>
      <c r="BT42" s="138">
        <f>SUMIFS(tbl_task3[S67],tbl_task3[[SubPLOs]:[SubPLOs]],"&gt;=9",tbl_task3[[SubPLOs]:[SubPLOs]],"&lt;10")</f>
        <v>0</v>
      </c>
      <c r="BU42" s="138">
        <f>SUMIFS(tbl_task3[S68],tbl_task3[[SubPLOs]:[SubPLOs]],"&gt;=9",tbl_task3[[SubPLOs]:[SubPLOs]],"&lt;10")</f>
        <v>0</v>
      </c>
      <c r="BV42" s="138">
        <f>SUMIFS(tbl_task3[S69],tbl_task3[[SubPLOs]:[SubPLOs]],"&gt;=9",tbl_task3[[SubPLOs]:[SubPLOs]],"&lt;10")</f>
        <v>0</v>
      </c>
      <c r="BW42" s="138">
        <f>SUMIFS(tbl_task3[S70],tbl_task3[[SubPLOs]:[SubPLOs]],"&gt;=9",tbl_task3[[SubPLOs]:[SubPLOs]],"&lt;10")</f>
        <v>0</v>
      </c>
      <c r="BX42" s="138">
        <f>SUMIFS(tbl_task3[S71],tbl_task3[[SubPLOs]:[SubPLOs]],"&gt;=9",tbl_task3[[SubPLOs]:[SubPLOs]],"&lt;10")</f>
        <v>0</v>
      </c>
      <c r="BY42" s="138">
        <f>SUMIFS(tbl_task3[S72],tbl_task3[[SubPLOs]:[SubPLOs]],"&gt;=9",tbl_task3[[SubPLOs]:[SubPLOs]],"&lt;10")</f>
        <v>0</v>
      </c>
      <c r="BZ42" s="138">
        <f>SUMIFS(tbl_task3[S73],tbl_task3[[SubPLOs]:[SubPLOs]],"&gt;=9",tbl_task3[[SubPLOs]:[SubPLOs]],"&lt;10")</f>
        <v>0</v>
      </c>
      <c r="CA42" s="138">
        <f>SUMIFS(tbl_task3[S74],tbl_task3[[SubPLOs]:[SubPLOs]],"&gt;=9",tbl_task3[[SubPLOs]:[SubPLOs]],"&lt;10")</f>
        <v>0</v>
      </c>
      <c r="CB42" s="138">
        <f>SUMIFS(tbl_task3[S75],tbl_task3[[SubPLOs]:[SubPLOs]],"&gt;=9",tbl_task3[[SubPLOs]:[SubPLOs]],"&lt;10")</f>
        <v>0</v>
      </c>
      <c r="CC42" s="138">
        <f>SUMIFS(tbl_task3[S76],tbl_task3[[SubPLOs]:[SubPLOs]],"&gt;=9",tbl_task3[[SubPLOs]:[SubPLOs]],"&lt;10")</f>
        <v>0</v>
      </c>
      <c r="CD42" s="138">
        <f>SUMIFS(tbl_task3[S77],tbl_task3[[SubPLOs]:[SubPLOs]],"&gt;=9",tbl_task3[[SubPLOs]:[SubPLOs]],"&lt;10")</f>
        <v>0</v>
      </c>
      <c r="CE42" s="138">
        <f>SUMIFS(tbl_task3[S78],tbl_task3[[SubPLOs]:[SubPLOs]],"&gt;=9",tbl_task3[[SubPLOs]:[SubPLOs]],"&lt;10")</f>
        <v>0</v>
      </c>
      <c r="CF42" s="138">
        <f>SUMIFS(tbl_task3[S79],tbl_task3[[SubPLOs]:[SubPLOs]],"&gt;=9",tbl_task3[[SubPLOs]:[SubPLOs]],"&lt;10")</f>
        <v>0</v>
      </c>
      <c r="CG42" s="138">
        <f>SUMIFS(tbl_task3[S80],tbl_task3[[SubPLOs]:[SubPLOs]],"&gt;=9",tbl_task3[[SubPLOs]:[SubPLOs]],"&lt;10")</f>
        <v>0</v>
      </c>
      <c r="CH42" s="138">
        <f>SUMIFS(tbl_task3[S81],tbl_task3[[SubPLOs]:[SubPLOs]],"&gt;=9",tbl_task3[[SubPLOs]:[SubPLOs]],"&lt;10")</f>
        <v>0</v>
      </c>
      <c r="CI42" s="138">
        <f>SUMIFS(tbl_task3[S82],tbl_task3[[SubPLOs]:[SubPLOs]],"&gt;=9",tbl_task3[[SubPLOs]:[SubPLOs]],"&lt;10")</f>
        <v>0</v>
      </c>
      <c r="CJ42" s="138">
        <f>SUMIFS(tbl_task3[S83],tbl_task3[[SubPLOs]:[SubPLOs]],"&gt;=9",tbl_task3[[SubPLOs]:[SubPLOs]],"&lt;10")</f>
        <v>0</v>
      </c>
      <c r="CK42" s="138">
        <f>SUMIFS(tbl_task3[S84],tbl_task3[[SubPLOs]:[SubPLOs]],"&gt;=9",tbl_task3[[SubPLOs]:[SubPLOs]],"&lt;10")</f>
        <v>0</v>
      </c>
      <c r="CL42" s="138">
        <f>SUMIFS(tbl_task3[S85],tbl_task3[[SubPLOs]:[SubPLOs]],"&gt;=9",tbl_task3[[SubPLOs]:[SubPLOs]],"&lt;10")</f>
        <v>0</v>
      </c>
      <c r="CM42" s="138">
        <f>SUMIFS(tbl_task3[S86],tbl_task3[[SubPLOs]:[SubPLOs]],"&gt;=9",tbl_task3[[SubPLOs]:[SubPLOs]],"&lt;10")</f>
        <v>0</v>
      </c>
      <c r="CN42" s="138">
        <f>SUMIFS(tbl_task3[S87],tbl_task3[[SubPLOs]:[SubPLOs]],"&gt;=9",tbl_task3[[SubPLOs]:[SubPLOs]],"&lt;10")</f>
        <v>0</v>
      </c>
      <c r="CO42" s="138">
        <f>SUMIFS(tbl_task3[S88],tbl_task3[[SubPLOs]:[SubPLOs]],"&gt;=9",tbl_task3[[SubPLOs]:[SubPLOs]],"&lt;10")</f>
        <v>0</v>
      </c>
      <c r="CP42" s="138">
        <f>SUMIFS(tbl_task3[S89],tbl_task3[[SubPLOs]:[SubPLOs]],"&gt;=9",tbl_task3[[SubPLOs]:[SubPLOs]],"&lt;10")</f>
        <v>0</v>
      </c>
      <c r="CQ42" s="138">
        <f>SUMIFS(tbl_task3[S90],tbl_task3[[SubPLOs]:[SubPLOs]],"&gt;=9",tbl_task3[[SubPLOs]:[SubPLOs]],"&lt;10")</f>
        <v>0</v>
      </c>
      <c r="CR42" s="138">
        <f>SUMIFS(tbl_task3[S91],tbl_task3[[SubPLOs]:[SubPLOs]],"&gt;=9",tbl_task3[[SubPLOs]:[SubPLOs]],"&lt;10")</f>
        <v>0</v>
      </c>
      <c r="CS42" s="138">
        <f>SUMIFS(tbl_task3[S92],tbl_task3[[SubPLOs]:[SubPLOs]],"&gt;=9",tbl_task3[[SubPLOs]:[SubPLOs]],"&lt;10")</f>
        <v>0</v>
      </c>
      <c r="CT42" s="138">
        <f>SUMIFS(tbl_task3[S93],tbl_task3[[SubPLOs]:[SubPLOs]],"&gt;=9",tbl_task3[[SubPLOs]:[SubPLOs]],"&lt;10")</f>
        <v>0</v>
      </c>
      <c r="CU42" s="138">
        <f>SUMIFS(tbl_task3[S94],tbl_task3[[SubPLOs]:[SubPLOs]],"&gt;=9",tbl_task3[[SubPLOs]:[SubPLOs]],"&lt;10")</f>
        <v>0</v>
      </c>
      <c r="CV42" s="138">
        <f>SUMIFS(tbl_task3[S95],tbl_task3[[SubPLOs]:[SubPLOs]],"&gt;=9",tbl_task3[[SubPLOs]:[SubPLOs]],"&lt;10")</f>
        <v>0</v>
      </c>
      <c r="CW42" s="138">
        <f>SUMIFS(tbl_task3[S96],tbl_task3[[SubPLOs]:[SubPLOs]],"&gt;=9",tbl_task3[[SubPLOs]:[SubPLOs]],"&lt;10")</f>
        <v>0</v>
      </c>
      <c r="CX42" s="138">
        <f>SUMIFS(tbl_task3[S97],tbl_task3[[SubPLOs]:[SubPLOs]],"&gt;=9",tbl_task3[[SubPLOs]:[SubPLOs]],"&lt;10")</f>
        <v>0</v>
      </c>
      <c r="CY42" s="138">
        <f>SUMIFS(tbl_task3[S98],tbl_task3[[SubPLOs]:[SubPLOs]],"&gt;=9",tbl_task3[[SubPLOs]:[SubPLOs]],"&lt;10")</f>
        <v>0</v>
      </c>
      <c r="CZ42" s="138">
        <f>SUMIFS(tbl_task3[S99],tbl_task3[[SubPLOs]:[SubPLOs]],"&gt;=9",tbl_task3[[SubPLOs]:[SubPLOs]],"&lt;10")</f>
        <v>0</v>
      </c>
      <c r="DA42" s="138">
        <f>SUMIFS(tbl_task3[S100],tbl_task3[[SubPLOs]:[SubPLOs]],"&gt;=9",tbl_task3[[SubPLOs]:[SubPLOs]],"&lt;10")</f>
        <v>0</v>
      </c>
      <c r="DB42" s="138">
        <f>SUMIFS(tbl_task3[S101],tbl_task3[[SubPLOs]:[SubPLOs]],"&gt;=9",tbl_task3[[SubPLOs]:[SubPLOs]],"&lt;10")</f>
        <v>0</v>
      </c>
      <c r="DC42" s="138">
        <f>SUMIFS(tbl_task3[S102],tbl_task3[[SubPLOs]:[SubPLOs]],"&gt;=9",tbl_task3[[SubPLOs]:[SubPLOs]],"&lt;10")</f>
        <v>0</v>
      </c>
      <c r="DD42" s="138">
        <f>SUMIFS(tbl_task3[S103],tbl_task3[[SubPLOs]:[SubPLOs]],"&gt;=9",tbl_task3[[SubPLOs]:[SubPLOs]],"&lt;10")</f>
        <v>0</v>
      </c>
      <c r="DE42" s="138">
        <f>SUMIFS(tbl_task3[S104],tbl_task3[[SubPLOs]:[SubPLOs]],"&gt;=9",tbl_task3[[SubPLOs]:[SubPLOs]],"&lt;10")</f>
        <v>0</v>
      </c>
      <c r="DF42" s="138">
        <f>SUMIFS(tbl_task3[S105],tbl_task3[[SubPLOs]:[SubPLOs]],"&gt;=9",tbl_task3[[SubPLOs]:[SubPLOs]],"&lt;10")</f>
        <v>0</v>
      </c>
      <c r="DG42" s="138">
        <f>SUMIFS(tbl_task3[S106],tbl_task3[[SubPLOs]:[SubPLOs]],"&gt;=9",tbl_task3[[SubPLOs]:[SubPLOs]],"&lt;10")</f>
        <v>0</v>
      </c>
      <c r="DH42" s="138">
        <f>SUMIFS(tbl_task3[S106],tbl_task3[[SubPLOs]:[SubPLOs]],"&gt;=9",tbl_task3[[SubPLOs]:[SubPLOs]],"&lt;10")</f>
        <v>0</v>
      </c>
      <c r="DI42" s="138">
        <f>SUMIFS(tbl_task3[S108],tbl_task3[[SubPLOs]:[SubPLOs]],"&gt;=9",tbl_task3[[SubPLOs]:[SubPLOs]],"&lt;10")</f>
        <v>0</v>
      </c>
      <c r="DJ42" s="138">
        <f>SUMIFS(tbl_task3[S109],tbl_task3[[SubPLOs]:[SubPLOs]],"&gt;=9",tbl_task3[[SubPLOs]:[SubPLOs]],"&lt;10")</f>
        <v>0</v>
      </c>
      <c r="DK42" s="138">
        <f>SUMIFS(tbl_task3[S110],tbl_task3[[SubPLOs]:[SubPLOs]],"&gt;=9",tbl_task3[[SubPLOs]:[SubPLOs]],"&lt;10")</f>
        <v>0</v>
      </c>
      <c r="DL42" s="138">
        <f>SUMIFS(tbl_task3[S111],tbl_task3[[SubPLOs]:[SubPLOs]],"&gt;=9",tbl_task3[[SubPLOs]:[SubPLOs]],"&lt;10")</f>
        <v>0</v>
      </c>
      <c r="DM42" s="138">
        <f>SUMIFS(tbl_task3[S112],tbl_task3[[SubPLOs]:[SubPLOs]],"&gt;=9",tbl_task3[[SubPLOs]:[SubPLOs]],"&lt;10")</f>
        <v>0</v>
      </c>
      <c r="DN42" s="138">
        <f>SUMIFS(tbl_task3[S113],tbl_task3[[SubPLOs]:[SubPLOs]],"&gt;=9",tbl_task3[[SubPLOs]:[SubPLOs]],"&lt;10")</f>
        <v>0</v>
      </c>
      <c r="DO42" s="138">
        <f>SUMIFS(tbl_task3[S114],tbl_task3[[SubPLOs]:[SubPLOs]],"&gt;=9",tbl_task3[[SubPLOs]:[SubPLOs]],"&lt;10")</f>
        <v>0</v>
      </c>
      <c r="DP42" s="138">
        <f>SUMIFS(tbl_task3[S115],tbl_task3[[SubPLOs]:[SubPLOs]],"&gt;=9",tbl_task3[[SubPLOs]:[SubPLOs]],"&lt;10")</f>
        <v>0</v>
      </c>
      <c r="DQ42" s="138">
        <f>SUMIFS(tbl_task3[S116],tbl_task3[[SubPLOs]:[SubPLOs]],"&gt;=9",tbl_task3[[SubPLOs]:[SubPLOs]],"&lt;10")</f>
        <v>0</v>
      </c>
      <c r="DR42" s="138">
        <f>SUMIFS(tbl_task3[S117],tbl_task3[[SubPLOs]:[SubPLOs]],"&gt;=9",tbl_task3[[SubPLOs]:[SubPLOs]],"&lt;10")</f>
        <v>0</v>
      </c>
      <c r="DS42" s="138">
        <f>SUMIFS(tbl_task3[S118],tbl_task3[[SubPLOs]:[SubPLOs]],"&gt;=9",tbl_task3[[SubPLOs]:[SubPLOs]],"&lt;10")</f>
        <v>0</v>
      </c>
      <c r="DT42" s="138">
        <f>SUMIFS(tbl_task3[S119],tbl_task3[[SubPLOs]:[SubPLOs]],"&gt;=9",tbl_task3[[SubPLOs]:[SubPLOs]],"&lt;10")</f>
        <v>0</v>
      </c>
      <c r="DU42" s="138">
        <f>SUMIFS(tbl_task3[S120],tbl_task3[[SubPLOs]:[SubPLOs]],"&gt;=9",tbl_task3[[SubPLOs]:[SubPLOs]],"&lt;10")</f>
        <v>0</v>
      </c>
      <c r="DV42" s="138">
        <f>SUMIFS(tbl_task3[S121],tbl_task3[[SubPLOs]:[SubPLOs]],"&gt;=9",tbl_task3[[SubPLOs]:[SubPLOs]],"&lt;10")</f>
        <v>0</v>
      </c>
      <c r="DW42" s="138">
        <f>SUMIFS(tbl_task3[S122],tbl_task3[[SubPLOs]:[SubPLOs]],"&gt;=9",tbl_task3[[SubPLOs]:[SubPLOs]],"&lt;10")</f>
        <v>0</v>
      </c>
      <c r="DX42" s="138">
        <f>SUMIFS(tbl_task3[S123],tbl_task3[[SubPLOs]:[SubPLOs]],"&gt;=9",tbl_task3[[SubPLOs]:[SubPLOs]],"&lt;10")</f>
        <v>0</v>
      </c>
      <c r="DY42" s="138">
        <f>SUMIFS(tbl_task3[S124],tbl_task3[[SubPLOs]:[SubPLOs]],"&gt;=9",tbl_task3[[SubPLOs]:[SubPLOs]],"&lt;10")</f>
        <v>0</v>
      </c>
      <c r="DZ42" s="138">
        <f>SUMIFS(tbl_task3[S125],tbl_task3[[SubPLOs]:[SubPLOs]],"&gt;=9",tbl_task3[[SubPLOs]:[SubPLOs]],"&lt;10")</f>
        <v>0</v>
      </c>
      <c r="EA42" s="138">
        <f>SUMIFS(tbl_task3[S126],tbl_task3[[SubPLOs]:[SubPLOs]],"&gt;=9",tbl_task3[[SubPLOs]:[SubPLOs]],"&lt;10")</f>
        <v>0</v>
      </c>
      <c r="EB42" s="138">
        <f>SUMIFS(tbl_task3[S127],tbl_task3[[SubPLOs]:[SubPLOs]],"&gt;=9",tbl_task3[[SubPLOs]:[SubPLOs]],"&lt;10")</f>
        <v>0</v>
      </c>
      <c r="EC42" s="138">
        <f>SUMIFS(tbl_task3[S128],tbl_task3[[SubPLOs]:[SubPLOs]],"&gt;=9",tbl_task3[[SubPLOs]:[SubPLOs]],"&lt;10")</f>
        <v>0</v>
      </c>
      <c r="ED42" s="138">
        <f>SUMIFS(tbl_task3[S129],tbl_task3[[SubPLOs]:[SubPLOs]],"&gt;=9",tbl_task3[[SubPLOs]:[SubPLOs]],"&lt;10")</f>
        <v>0</v>
      </c>
      <c r="EE42" s="138">
        <f>SUMIFS(tbl_task3[S130],tbl_task3[[SubPLOs]:[SubPLOs]],"&gt;=9",tbl_task3[[SubPLOs]:[SubPLOs]],"&lt;10")</f>
        <v>0</v>
      </c>
      <c r="EF42" s="138">
        <f>SUMIFS(tbl_task3[S131],tbl_task3[[SubPLOs]:[SubPLOs]],"&gt;=9",tbl_task3[[SubPLOs]:[SubPLOs]],"&lt;10")</f>
        <v>0</v>
      </c>
      <c r="EG42" s="138">
        <f>SUMIFS(tbl_task3[S132],tbl_task3[[SubPLOs]:[SubPLOs]],"&gt;=9",tbl_task3[[SubPLOs]:[SubPLOs]],"&lt;10")</f>
        <v>0</v>
      </c>
      <c r="EH42" s="138">
        <f>SUMIFS(tbl_task3[S133],tbl_task3[[SubPLOs]:[SubPLOs]],"&gt;=9",tbl_task3[[SubPLOs]:[SubPLOs]],"&lt;10")</f>
        <v>0</v>
      </c>
      <c r="EI42" s="138">
        <f>SUMIFS(tbl_task3[S134],tbl_task3[[SubPLOs]:[SubPLOs]],"&gt;=9",tbl_task3[[SubPLOs]:[SubPLOs]],"&lt;10")</f>
        <v>0</v>
      </c>
      <c r="EJ42" s="138">
        <f>SUMIFS(tbl_task3[S135],tbl_task3[[SubPLOs]:[SubPLOs]],"&gt;=9",tbl_task3[[SubPLOs]:[SubPLOs]],"&lt;10")</f>
        <v>0</v>
      </c>
      <c r="EK42" s="138">
        <f>SUMIFS(tbl_task3[S136],tbl_task3[[SubPLOs]:[SubPLOs]],"&gt;=9",tbl_task3[[SubPLOs]:[SubPLOs]],"&lt;10")</f>
        <v>0</v>
      </c>
      <c r="EL42" s="138">
        <f>SUMIFS(tbl_task3[S137],tbl_task3[[SubPLOs]:[SubPLOs]],"&gt;=9",tbl_task3[[SubPLOs]:[SubPLOs]],"&lt;10")</f>
        <v>0</v>
      </c>
      <c r="EM42" s="138">
        <f>SUMIFS(tbl_task3[S138],tbl_task3[[SubPLOs]:[SubPLOs]],"&gt;=9",tbl_task3[[SubPLOs]:[SubPLOs]],"&lt;10")</f>
        <v>0</v>
      </c>
      <c r="EN42" s="138">
        <f>SUMIFS(tbl_task3[S139],tbl_task3[[SubPLOs]:[SubPLOs]],"&gt;=9",tbl_task3[[SubPLOs]:[SubPLOs]],"&lt;10")</f>
        <v>0</v>
      </c>
      <c r="EO42" s="138">
        <f>SUMIFS(tbl_task3[S140],tbl_task3[[SubPLOs]:[SubPLOs]],"&gt;=9",tbl_task3[[SubPLOs]:[SubPLOs]],"&lt;10")</f>
        <v>0</v>
      </c>
      <c r="EP42" s="138">
        <f>SUMIFS(tbl_task3[S141],tbl_task3[[SubPLOs]:[SubPLOs]],"&gt;=9",tbl_task3[[SubPLOs]:[SubPLOs]],"&lt;10")</f>
        <v>0</v>
      </c>
      <c r="EQ42" s="138">
        <f>SUMIFS(tbl_task3[S142],tbl_task3[[SubPLOs]:[SubPLOs]],"&gt;=9",tbl_task3[[SubPLOs]:[SubPLOs]],"&lt;10")</f>
        <v>0</v>
      </c>
      <c r="ER42" s="138">
        <f>SUMIFS(tbl_task3[S143],tbl_task3[[SubPLOs]:[SubPLOs]],"&gt;=9",tbl_task3[[SubPLOs]:[SubPLOs]],"&lt;10")</f>
        <v>0</v>
      </c>
      <c r="ES42" s="138">
        <f>SUMIFS(tbl_task3[S144],tbl_task3[[SubPLOs]:[SubPLOs]],"&gt;=9",tbl_task3[[SubPLOs]:[SubPLOs]],"&lt;10")</f>
        <v>0</v>
      </c>
      <c r="ET42" s="138">
        <f>SUMIFS(tbl_task3[S145],tbl_task3[[SubPLOs]:[SubPLOs]],"&gt;=9",tbl_task3[[SubPLOs]:[SubPLOs]],"&lt;10")</f>
        <v>0</v>
      </c>
      <c r="EU42" s="138">
        <f>SUMIFS(tbl_task3[S146],tbl_task3[[SubPLOs]:[SubPLOs]],"&gt;=9",tbl_task3[[SubPLOs]:[SubPLOs]],"&lt;10")</f>
        <v>0</v>
      </c>
      <c r="EV42" s="138">
        <f>SUMIFS(tbl_task3[S147],tbl_task3[[SubPLOs]:[SubPLOs]],"&gt;=9",tbl_task3[[SubPLOs]:[SubPLOs]],"&lt;10")</f>
        <v>0</v>
      </c>
      <c r="EW42" s="138">
        <f>SUMIFS(tbl_task3[S148],tbl_task3[[SubPLOs]:[SubPLOs]],"&gt;=9",tbl_task3[[SubPLOs]:[SubPLOs]],"&lt;10")</f>
        <v>0</v>
      </c>
      <c r="EX42" s="138">
        <f>SUMIFS(tbl_task3[S149],tbl_task3[[SubPLOs]:[SubPLOs]],"&gt;=9",tbl_task3[[SubPLOs]:[SubPLOs]],"&lt;10")</f>
        <v>0</v>
      </c>
      <c r="EY42" s="138">
        <f>SUMIFS(tbl_task3[S150],tbl_task3[[SubPLOs]:[SubPLOs]],"&gt;=9",tbl_task3[[SubPLOs]:[SubPLOs]],"&lt;10")</f>
        <v>0</v>
      </c>
      <c r="EZ42" s="138">
        <f>SUMIFS(tbl_task3[S151],tbl_task3[[SubPLOs]:[SubPLOs]],"&gt;=9",tbl_task3[[SubPLOs]:[SubPLOs]],"&lt;10")</f>
        <v>0</v>
      </c>
      <c r="FA42" s="138">
        <f>SUMIFS(tbl_task3[S152],tbl_task3[[SubPLOs]:[SubPLOs]],"&gt;=9",tbl_task3[[SubPLOs]:[SubPLOs]],"&lt;10")</f>
        <v>0</v>
      </c>
      <c r="FB42" s="138">
        <f>SUMIFS(tbl_task3[S153],tbl_task3[[SubPLOs]:[SubPLOs]],"&gt;=9",tbl_task3[[SubPLOs]:[SubPLOs]],"&lt;10")</f>
        <v>0</v>
      </c>
      <c r="FC42" s="138">
        <f>SUMIFS(tbl_task3[S154],tbl_task3[[SubPLOs]:[SubPLOs]],"&gt;=9",tbl_task3[[SubPLOs]:[SubPLOs]],"&lt;10")</f>
        <v>0</v>
      </c>
      <c r="FD42" s="138">
        <f>SUMIFS(tbl_task3[S155],tbl_task3[[SubPLOs]:[SubPLOs]],"&gt;=9",tbl_task3[[SubPLOs]:[SubPLOs]],"&lt;10")</f>
        <v>0</v>
      </c>
      <c r="FE42" s="138">
        <f>SUMIFS(tbl_task3[S156],tbl_task3[[SubPLOs]:[SubPLOs]],"&gt;=9",tbl_task3[[SubPLOs]:[SubPLOs]],"&lt;10")</f>
        <v>0</v>
      </c>
      <c r="FF42" s="138">
        <f>SUMIFS(tbl_task3[S157],tbl_task3[[SubPLOs]:[SubPLOs]],"&gt;=9",tbl_task3[[SubPLOs]:[SubPLOs]],"&lt;10")</f>
        <v>0</v>
      </c>
      <c r="FG42" s="138">
        <f>SUMIFS(tbl_task3[S158],tbl_task3[[SubPLOs]:[SubPLOs]],"&gt;=9",tbl_task3[[SubPLOs]:[SubPLOs]],"&lt;10")</f>
        <v>0</v>
      </c>
      <c r="FH42" s="138">
        <f>SUMIFS(tbl_task3[S159],tbl_task3[[SubPLOs]:[SubPLOs]],"&gt;=9",tbl_task3[[SubPLOs]:[SubPLOs]],"&lt;10")</f>
        <v>0</v>
      </c>
      <c r="FI42" s="138">
        <f>SUMIFS(tbl_task3[S160],tbl_task3[[SubPLOs]:[SubPLOs]],"&gt;=9",tbl_task3[[SubPLOs]:[SubPLOs]],"&lt;10")</f>
        <v>0</v>
      </c>
      <c r="FJ42" s="138">
        <f>SUMIFS(tbl_task3[S161],tbl_task3[[SubPLOs]:[SubPLOs]],"&gt;=9",tbl_task3[[SubPLOs]:[SubPLOs]],"&lt;10")</f>
        <v>0</v>
      </c>
      <c r="FK42" s="138">
        <f>SUMIFS(tbl_task3[S162],tbl_task3[[SubPLOs]:[SubPLOs]],"&gt;=9",tbl_task3[[SubPLOs]:[SubPLOs]],"&lt;10")</f>
        <v>0</v>
      </c>
      <c r="FL42" s="138">
        <f>SUMIFS(tbl_task3[S163],tbl_task3[[SubPLOs]:[SubPLOs]],"&gt;=9",tbl_task3[[SubPLOs]:[SubPLOs]],"&lt;10")</f>
        <v>0</v>
      </c>
      <c r="FM42" s="138">
        <f>SUMIFS(tbl_task3[S164],tbl_task3[[SubPLOs]:[SubPLOs]],"&gt;=9",tbl_task3[[SubPLOs]:[SubPLOs]],"&lt;10")</f>
        <v>0</v>
      </c>
      <c r="FN42" s="138">
        <f>SUMIFS(tbl_task3[S165],tbl_task3[[SubPLOs]:[SubPLOs]],"&gt;=9",tbl_task3[[SubPLOs]:[SubPLOs]],"&lt;10")</f>
        <v>0</v>
      </c>
    </row>
    <row r="43" spans="1:170" ht="41.4" customHeight="1" x14ac:dyDescent="0.25">
      <c r="A43" s="135">
        <v>10</v>
      </c>
      <c r="B43" s="5" t="s">
        <v>443</v>
      </c>
      <c r="C43" s="136">
        <f>COUNTIFS(tbl_task3[SubPLOs],"&gt;=10",tbl_task3[SubPLOs],"&lt;11")</f>
        <v>0</v>
      </c>
      <c r="D43" s="136">
        <f>SUMIFS(tbl_task3[คะแนนเต็ม],tbl_task3[SubPLOs],"&gt;=10",tbl_task3[SubPLOs],"&lt;11")</f>
        <v>0</v>
      </c>
      <c r="E43" s="137">
        <f>SUMIFS(tbl_task3[%],tbl_task3[SubPLOs],"&gt;=10",tbl_task3[SubPLOs],"&lt;11")</f>
        <v>0</v>
      </c>
      <c r="F43" s="138">
        <f>SUMIFS(tbl_task3[S1],tbl_task3[[SubPLOs]:[SubPLOs]],"&gt;=10",tbl_task3[[SubPLOs]:[SubPLOs]],"&lt;11")</f>
        <v>0</v>
      </c>
      <c r="G43" s="138">
        <f>SUMIFS(tbl_task3[S2],tbl_task3[[SubPLOs]:[SubPLOs]],"&gt;=10",tbl_task3[[SubPLOs]:[SubPLOs]],"&lt;11")</f>
        <v>0</v>
      </c>
      <c r="H43" s="138">
        <f>SUMIFS(tbl_task3[S3],tbl_task3[[SubPLOs]:[SubPLOs]],"&gt;=10",tbl_task3[[SubPLOs]:[SubPLOs]],"&lt;11")</f>
        <v>0</v>
      </c>
      <c r="I43" s="138">
        <f>SUMIFS(tbl_task3[S4],tbl_task3[[SubPLOs]:[SubPLOs]],"&gt;=10",tbl_task3[[SubPLOs]:[SubPLOs]],"&lt;11")</f>
        <v>0</v>
      </c>
      <c r="J43" s="138">
        <f>SUMIFS(tbl_task3[S5],tbl_task3[[SubPLOs]:[SubPLOs]],"&gt;=10",tbl_task3[[SubPLOs]:[SubPLOs]],"&lt;11")</f>
        <v>0</v>
      </c>
      <c r="K43" s="138">
        <f>SUMIFS(tbl_task3[S6],tbl_task3[[SubPLOs]:[SubPLOs]],"&gt;=10",tbl_task3[[SubPLOs]:[SubPLOs]],"&lt;11")</f>
        <v>0</v>
      </c>
      <c r="L43" s="138">
        <f>SUMIFS(tbl_task3[S7],tbl_task3[[SubPLOs]:[SubPLOs]],"&gt;=10",tbl_task3[[SubPLOs]:[SubPLOs]],"&lt;11")</f>
        <v>0</v>
      </c>
      <c r="M43" s="138">
        <f>SUMIFS(tbl_task3[S8],tbl_task3[[SubPLOs]:[SubPLOs]],"&gt;=10",tbl_task3[[SubPLOs]:[SubPLOs]],"&lt;11")</f>
        <v>0</v>
      </c>
      <c r="N43" s="138">
        <f>SUMIFS(tbl_task3[S9],tbl_task3[[SubPLOs]:[SubPLOs]],"&gt;=10",tbl_task3[[SubPLOs]:[SubPLOs]],"&lt;11")</f>
        <v>0</v>
      </c>
      <c r="O43" s="138">
        <f>SUMIFS(tbl_task3[S10],tbl_task3[[SubPLOs]:[SubPLOs]],"&gt;=10",tbl_task3[[SubPLOs]:[SubPLOs]],"&lt;11")</f>
        <v>0</v>
      </c>
      <c r="P43" s="138">
        <f>SUMIFS(tbl_task3[S11],tbl_task3[[SubPLOs]:[SubPLOs]],"&gt;=10",tbl_task3[[SubPLOs]:[SubPLOs]],"&lt;11")</f>
        <v>0</v>
      </c>
      <c r="Q43" s="138">
        <f>SUMIFS(tbl_task3[S12],tbl_task3[[SubPLOs]:[SubPLOs]],"&gt;=10",tbl_task3[[SubPLOs]:[SubPLOs]],"&lt;11")</f>
        <v>0</v>
      </c>
      <c r="R43" s="138">
        <f>SUMIFS(tbl_task3[S13],tbl_task3[[SubPLOs]:[SubPLOs]],"&gt;=10",tbl_task3[[SubPLOs]:[SubPLOs]],"&lt;11")</f>
        <v>0</v>
      </c>
      <c r="S43" s="138">
        <f>SUMIFS(tbl_task3[S14],tbl_task3[[SubPLOs]:[SubPLOs]],"&gt;=10",tbl_task3[[SubPLOs]:[SubPLOs]],"&lt;11")</f>
        <v>0</v>
      </c>
      <c r="T43" s="138">
        <f>SUMIFS(tbl_task3[S15],tbl_task3[[SubPLOs]:[SubPLOs]],"&gt;=10",tbl_task3[[SubPLOs]:[SubPLOs]],"&lt;11")</f>
        <v>0</v>
      </c>
      <c r="U43" s="138">
        <f>SUMIFS(tbl_task3[S16],tbl_task3[[SubPLOs]:[SubPLOs]],"&gt;=10",tbl_task3[[SubPLOs]:[SubPLOs]],"&lt;11")</f>
        <v>0</v>
      </c>
      <c r="V43" s="138">
        <f>SUMIFS(tbl_task3[S17],tbl_task3[[SubPLOs]:[SubPLOs]],"&gt;=10",tbl_task3[[SubPLOs]:[SubPLOs]],"&lt;11")</f>
        <v>0</v>
      </c>
      <c r="W43" s="138">
        <f>SUMIFS(tbl_task3[S18],tbl_task3[[SubPLOs]:[SubPLOs]],"&gt;=10",tbl_task3[[SubPLOs]:[SubPLOs]],"&lt;11")</f>
        <v>0</v>
      </c>
      <c r="X43" s="138">
        <f>SUMIFS(tbl_task3[S19],tbl_task3[[SubPLOs]:[SubPLOs]],"&gt;=10",tbl_task3[[SubPLOs]:[SubPLOs]],"&lt;11")</f>
        <v>0</v>
      </c>
      <c r="Y43" s="138">
        <f>SUMIFS(tbl_task3[S20],tbl_task3[[SubPLOs]:[SubPLOs]],"&gt;=10",tbl_task3[[SubPLOs]:[SubPLOs]],"&lt;11")</f>
        <v>0</v>
      </c>
      <c r="Z43" s="138">
        <f>SUMIFS(tbl_task3[S21],tbl_task3[[SubPLOs]:[SubPLOs]],"&gt;=10",tbl_task3[[SubPLOs]:[SubPLOs]],"&lt;11")</f>
        <v>0</v>
      </c>
      <c r="AA43" s="138">
        <f>SUMIFS(tbl_task3[S22],tbl_task3[[SubPLOs]:[SubPLOs]],"&gt;=10",tbl_task3[[SubPLOs]:[SubPLOs]],"&lt;11")</f>
        <v>0</v>
      </c>
      <c r="AB43" s="138">
        <f>SUMIFS(tbl_task3[S23],tbl_task3[[SubPLOs]:[SubPLOs]],"&gt;=10",tbl_task3[[SubPLOs]:[SubPLOs]],"&lt;11")</f>
        <v>0</v>
      </c>
      <c r="AC43" s="138">
        <f>SUMIFS(tbl_task3[S24],tbl_task3[[SubPLOs]:[SubPLOs]],"&gt;=10",tbl_task3[[SubPLOs]:[SubPLOs]],"&lt;11")</f>
        <v>0</v>
      </c>
      <c r="AD43" s="138">
        <f>SUMIFS(tbl_task3[S25],tbl_task3[[SubPLOs]:[SubPLOs]],"&gt;=10",tbl_task3[[SubPLOs]:[SubPLOs]],"&lt;11")</f>
        <v>0</v>
      </c>
      <c r="AE43" s="138">
        <f>SUMIFS(tbl_task3[S26],tbl_task3[[SubPLOs]:[SubPLOs]],"&gt;=10",tbl_task3[[SubPLOs]:[SubPLOs]],"&lt;11")</f>
        <v>0</v>
      </c>
      <c r="AF43" s="138">
        <f>SUMIFS(tbl_task3[S27],tbl_task3[[SubPLOs]:[SubPLOs]],"&gt;=10",tbl_task3[[SubPLOs]:[SubPLOs]],"&lt;11")</f>
        <v>0</v>
      </c>
      <c r="AG43" s="138">
        <f>SUMIFS(tbl_task3[S28],tbl_task3[[SubPLOs]:[SubPLOs]],"&gt;=10",tbl_task3[[SubPLOs]:[SubPLOs]],"&lt;11")</f>
        <v>0</v>
      </c>
      <c r="AH43" s="138">
        <f>SUMIFS(tbl_task3[S29],tbl_task3[[SubPLOs]:[SubPLOs]],"&gt;=10",tbl_task3[[SubPLOs]:[SubPLOs]],"&lt;11")</f>
        <v>0</v>
      </c>
      <c r="AI43" s="138">
        <f>SUMIFS(tbl_task3[S30],tbl_task3[[SubPLOs]:[SubPLOs]],"&gt;=10",tbl_task3[[SubPLOs]:[SubPLOs]],"&lt;11")</f>
        <v>0</v>
      </c>
      <c r="AJ43" s="138">
        <f>SUMIFS(tbl_task3[S31],tbl_task3[[SubPLOs]:[SubPLOs]],"&gt;=10",tbl_task3[[SubPLOs]:[SubPLOs]],"&lt;11")</f>
        <v>0</v>
      </c>
      <c r="AK43" s="138">
        <f>SUMIFS(tbl_task3[S32],tbl_task3[[SubPLOs]:[SubPLOs]],"&gt;=10",tbl_task3[[SubPLOs]:[SubPLOs]],"&lt;11")</f>
        <v>0</v>
      </c>
      <c r="AL43" s="138">
        <f>SUMIFS(tbl_task3[S33],tbl_task3[[SubPLOs]:[SubPLOs]],"&gt;=10",tbl_task3[[SubPLOs]:[SubPLOs]],"&lt;11")</f>
        <v>0</v>
      </c>
      <c r="AM43" s="138">
        <f>SUMIFS(tbl_task3[S34],tbl_task3[[SubPLOs]:[SubPLOs]],"&gt;=10",tbl_task3[[SubPLOs]:[SubPLOs]],"&lt;11")</f>
        <v>0</v>
      </c>
      <c r="AN43" s="138">
        <f>SUMIFS(tbl_task3[S35],tbl_task3[[SubPLOs]:[SubPLOs]],"&gt;=10",tbl_task3[[SubPLOs]:[SubPLOs]],"&lt;11")</f>
        <v>0</v>
      </c>
      <c r="AO43" s="138">
        <f>SUMIFS(tbl_task3[S36],tbl_task3[[SubPLOs]:[SubPLOs]],"&gt;=10",tbl_task3[[SubPLOs]:[SubPLOs]],"&lt;11")</f>
        <v>0</v>
      </c>
      <c r="AP43" s="138">
        <f>SUMIFS(tbl_task3[S37],tbl_task3[[SubPLOs]:[SubPLOs]],"&gt;=10",tbl_task3[[SubPLOs]:[SubPLOs]],"&lt;11")</f>
        <v>0</v>
      </c>
      <c r="AQ43" s="138">
        <f>SUMIFS(tbl_task3[S38],tbl_task3[[SubPLOs]:[SubPLOs]],"&gt;=10",tbl_task3[[SubPLOs]:[SubPLOs]],"&lt;11")</f>
        <v>0</v>
      </c>
      <c r="AR43" s="138">
        <f>SUMIFS(tbl_task3[S39],tbl_task3[[SubPLOs]:[SubPLOs]],"&gt;=10",tbl_task3[[SubPLOs]:[SubPLOs]],"&lt;11")</f>
        <v>0</v>
      </c>
      <c r="AS43" s="138">
        <f>SUMIFS(tbl_task3[S40],tbl_task3[[SubPLOs]:[SubPLOs]],"&gt;=10",tbl_task3[[SubPLOs]:[SubPLOs]],"&lt;11")</f>
        <v>0</v>
      </c>
      <c r="AT43" s="138">
        <f>SUMIFS(tbl_task3[S41],tbl_task3[[SubPLOs]:[SubPLOs]],"&gt;=10",tbl_task3[[SubPLOs]:[SubPLOs]],"&lt;11")</f>
        <v>0</v>
      </c>
      <c r="AU43" s="138">
        <f>SUMIFS(tbl_task3[S42],tbl_task3[[SubPLOs]:[SubPLOs]],"&gt;=10",tbl_task3[[SubPLOs]:[SubPLOs]],"&lt;11")</f>
        <v>0</v>
      </c>
      <c r="AV43" s="138">
        <f>SUMIFS(tbl_task3[S43],tbl_task3[[SubPLOs]:[SubPLOs]],"&gt;=10",tbl_task3[[SubPLOs]:[SubPLOs]],"&lt;11")</f>
        <v>0</v>
      </c>
      <c r="AW43" s="138">
        <f>SUMIFS(tbl_task3[S44],tbl_task3[[SubPLOs]:[SubPLOs]],"&gt;=10",tbl_task3[[SubPLOs]:[SubPLOs]],"&lt;11")</f>
        <v>0</v>
      </c>
      <c r="AX43" s="138">
        <f>SUMIFS(tbl_task3[S45],tbl_task3[[SubPLOs]:[SubPLOs]],"&gt;=10",tbl_task3[[SubPLOs]:[SubPLOs]],"&lt;11")</f>
        <v>0</v>
      </c>
      <c r="AY43" s="138">
        <f>SUMIFS(tbl_task3[S46],tbl_task3[[SubPLOs]:[SubPLOs]],"&gt;=10",tbl_task3[[SubPLOs]:[SubPLOs]],"&lt;11")</f>
        <v>0</v>
      </c>
      <c r="AZ43" s="138">
        <f>SUMIFS(tbl_task3[S47],tbl_task3[[SubPLOs]:[SubPLOs]],"&gt;=10",tbl_task3[[SubPLOs]:[SubPLOs]],"&lt;11")</f>
        <v>0</v>
      </c>
      <c r="BA43" s="138">
        <f>SUMIFS(tbl_task3[S48],tbl_task3[[SubPLOs]:[SubPLOs]],"&gt;=10",tbl_task3[[SubPLOs]:[SubPLOs]],"&lt;11")</f>
        <v>0</v>
      </c>
      <c r="BB43" s="138">
        <f>SUMIFS(tbl_task3[S49],tbl_task3[[SubPLOs]:[SubPLOs]],"&gt;=10",tbl_task3[[SubPLOs]:[SubPLOs]],"&lt;11")</f>
        <v>0</v>
      </c>
      <c r="BC43" s="138">
        <f>SUMIFS(tbl_task3[S50],tbl_task3[[SubPLOs]:[SubPLOs]],"&gt;=10",tbl_task3[[SubPLOs]:[SubPLOs]],"&lt;11")</f>
        <v>0</v>
      </c>
      <c r="BD43" s="138">
        <f>SUMIFS(tbl_task3[S51],tbl_task3[[SubPLOs]:[SubPLOs]],"&gt;=10",tbl_task3[[SubPLOs]:[SubPLOs]],"&lt;11")</f>
        <v>0</v>
      </c>
      <c r="BE43" s="138">
        <f>SUMIFS(tbl_task3[S52],tbl_task3[[SubPLOs]:[SubPLOs]],"&gt;=10",tbl_task3[[SubPLOs]:[SubPLOs]],"&lt;11")</f>
        <v>0</v>
      </c>
      <c r="BF43" s="138">
        <f>SUMIFS(tbl_task3[S53],tbl_task3[[SubPLOs]:[SubPLOs]],"&gt;=10",tbl_task3[[SubPLOs]:[SubPLOs]],"&lt;11")</f>
        <v>0</v>
      </c>
      <c r="BG43" s="138">
        <f>SUMIFS(tbl_task3[S54],tbl_task3[[SubPLOs]:[SubPLOs]],"&gt;=10",tbl_task3[[SubPLOs]:[SubPLOs]],"&lt;11")</f>
        <v>0</v>
      </c>
      <c r="BH43" s="138">
        <f>SUMIFS(tbl_task3[S55],tbl_task3[[SubPLOs]:[SubPLOs]],"&gt;=10",tbl_task3[[SubPLOs]:[SubPLOs]],"&lt;11")</f>
        <v>0</v>
      </c>
      <c r="BI43" s="138">
        <f>SUMIFS(tbl_task3[S56],tbl_task3[[SubPLOs]:[SubPLOs]],"&gt;=10",tbl_task3[[SubPLOs]:[SubPLOs]],"&lt;11")</f>
        <v>0</v>
      </c>
      <c r="BJ43" s="138">
        <f>SUMIFS(tbl_task3[S57],tbl_task3[[SubPLOs]:[SubPLOs]],"&gt;=10",tbl_task3[[SubPLOs]:[SubPLOs]],"&lt;11")</f>
        <v>0</v>
      </c>
      <c r="BK43" s="138">
        <f>SUMIFS(tbl_task3[S58],tbl_task3[[SubPLOs]:[SubPLOs]],"&gt;=10",tbl_task3[[SubPLOs]:[SubPLOs]],"&lt;11")</f>
        <v>0</v>
      </c>
      <c r="BL43" s="138">
        <f>SUMIFS(tbl_task3[S59],tbl_task3[[SubPLOs]:[SubPLOs]],"&gt;=10",tbl_task3[[SubPLOs]:[SubPLOs]],"&lt;11")</f>
        <v>0</v>
      </c>
      <c r="BM43" s="138">
        <f>SUMIFS(tbl_task3[S60],tbl_task3[[SubPLOs]:[SubPLOs]],"&gt;=10",tbl_task3[[SubPLOs]:[SubPLOs]],"&lt;11")</f>
        <v>0</v>
      </c>
      <c r="BN43" s="138">
        <f>SUMIFS(tbl_task3[S61],tbl_task3[[SubPLOs]:[SubPLOs]],"&gt;=10",tbl_task3[[SubPLOs]:[SubPLOs]],"&lt;11")</f>
        <v>0</v>
      </c>
      <c r="BO43" s="138">
        <f>SUMIFS(tbl_task3[S62],tbl_task3[[SubPLOs]:[SubPLOs]],"&gt;=10",tbl_task3[[SubPLOs]:[SubPLOs]],"&lt;11")</f>
        <v>0</v>
      </c>
      <c r="BP43" s="138">
        <f>SUMIFS(tbl_task3[S63],tbl_task3[[SubPLOs]:[SubPLOs]],"&gt;=10",tbl_task3[[SubPLOs]:[SubPLOs]],"&lt;11")</f>
        <v>0</v>
      </c>
      <c r="BQ43" s="138">
        <f>SUMIFS(tbl_task3[S64],tbl_task3[[SubPLOs]:[SubPLOs]],"&gt;=10",tbl_task3[[SubPLOs]:[SubPLOs]],"&lt;11")</f>
        <v>0</v>
      </c>
      <c r="BR43" s="138">
        <f>SUMIFS(tbl_task3[S65],tbl_task3[[SubPLOs]:[SubPLOs]],"&gt;=10",tbl_task3[[SubPLOs]:[SubPLOs]],"&lt;11")</f>
        <v>0</v>
      </c>
      <c r="BS43" s="138">
        <f>SUMIFS(tbl_task3[S66],tbl_task3[[SubPLOs]:[SubPLOs]],"&gt;=10",tbl_task3[[SubPLOs]:[SubPLOs]],"&lt;11")</f>
        <v>0</v>
      </c>
      <c r="BT43" s="138">
        <f>SUMIFS(tbl_task3[S67],tbl_task3[[SubPLOs]:[SubPLOs]],"&gt;=10",tbl_task3[[SubPLOs]:[SubPLOs]],"&lt;11")</f>
        <v>0</v>
      </c>
      <c r="BU43" s="138">
        <f>SUMIFS(tbl_task3[S68],tbl_task3[[SubPLOs]:[SubPLOs]],"&gt;=10",tbl_task3[[SubPLOs]:[SubPLOs]],"&lt;11")</f>
        <v>0</v>
      </c>
      <c r="BV43" s="138">
        <f>SUMIFS(tbl_task3[S69],tbl_task3[[SubPLOs]:[SubPLOs]],"&gt;=10",tbl_task3[[SubPLOs]:[SubPLOs]],"&lt;11")</f>
        <v>0</v>
      </c>
      <c r="BW43" s="138">
        <f>SUMIFS(tbl_task3[S70],tbl_task3[[SubPLOs]:[SubPLOs]],"&gt;=10",tbl_task3[[SubPLOs]:[SubPLOs]],"&lt;11")</f>
        <v>0</v>
      </c>
      <c r="BX43" s="138">
        <f>SUMIFS(tbl_task3[S71],tbl_task3[[SubPLOs]:[SubPLOs]],"&gt;=10",tbl_task3[[SubPLOs]:[SubPLOs]],"&lt;11")</f>
        <v>0</v>
      </c>
      <c r="BY43" s="138">
        <f>SUMIFS(tbl_task3[S72],tbl_task3[[SubPLOs]:[SubPLOs]],"&gt;=10",tbl_task3[[SubPLOs]:[SubPLOs]],"&lt;11")</f>
        <v>0</v>
      </c>
      <c r="BZ43" s="138">
        <f>SUMIFS(tbl_task3[S73],tbl_task3[[SubPLOs]:[SubPLOs]],"&gt;=10",tbl_task3[[SubPLOs]:[SubPLOs]],"&lt;11")</f>
        <v>0</v>
      </c>
      <c r="CA43" s="138">
        <f>SUMIFS(tbl_task3[S74],tbl_task3[[SubPLOs]:[SubPLOs]],"&gt;=10",tbl_task3[[SubPLOs]:[SubPLOs]],"&lt;11")</f>
        <v>0</v>
      </c>
      <c r="CB43" s="138">
        <f>SUMIFS(tbl_task3[S75],tbl_task3[[SubPLOs]:[SubPLOs]],"&gt;=10",tbl_task3[[SubPLOs]:[SubPLOs]],"&lt;11")</f>
        <v>0</v>
      </c>
      <c r="CC43" s="138">
        <f>SUMIFS(tbl_task3[S76],tbl_task3[[SubPLOs]:[SubPLOs]],"&gt;=10",tbl_task3[[SubPLOs]:[SubPLOs]],"&lt;11")</f>
        <v>0</v>
      </c>
      <c r="CD43" s="138">
        <f>SUMIFS(tbl_task3[S77],tbl_task3[[SubPLOs]:[SubPLOs]],"&gt;=10",tbl_task3[[SubPLOs]:[SubPLOs]],"&lt;11")</f>
        <v>0</v>
      </c>
      <c r="CE43" s="138">
        <f>SUMIFS(tbl_task3[S78],tbl_task3[[SubPLOs]:[SubPLOs]],"&gt;=10",tbl_task3[[SubPLOs]:[SubPLOs]],"&lt;11")</f>
        <v>0</v>
      </c>
      <c r="CF43" s="138">
        <f>SUMIFS(tbl_task3[S79],tbl_task3[[SubPLOs]:[SubPLOs]],"&gt;=10",tbl_task3[[SubPLOs]:[SubPLOs]],"&lt;11")</f>
        <v>0</v>
      </c>
      <c r="CG43" s="138">
        <f>SUMIFS(tbl_task3[S80],tbl_task3[[SubPLOs]:[SubPLOs]],"&gt;=10",tbl_task3[[SubPLOs]:[SubPLOs]],"&lt;11")</f>
        <v>0</v>
      </c>
      <c r="CH43" s="138">
        <f>SUMIFS(tbl_task3[S81],tbl_task3[[SubPLOs]:[SubPLOs]],"&gt;=10",tbl_task3[[SubPLOs]:[SubPLOs]],"&lt;11")</f>
        <v>0</v>
      </c>
      <c r="CI43" s="138">
        <f>SUMIFS(tbl_task3[S82],tbl_task3[[SubPLOs]:[SubPLOs]],"&gt;=10",tbl_task3[[SubPLOs]:[SubPLOs]],"&lt;11")</f>
        <v>0</v>
      </c>
      <c r="CJ43" s="138">
        <f>SUMIFS(tbl_task3[S83],tbl_task3[[SubPLOs]:[SubPLOs]],"&gt;=10",tbl_task3[[SubPLOs]:[SubPLOs]],"&lt;11")</f>
        <v>0</v>
      </c>
      <c r="CK43" s="138">
        <f>SUMIFS(tbl_task3[S84],tbl_task3[[SubPLOs]:[SubPLOs]],"&gt;=10",tbl_task3[[SubPLOs]:[SubPLOs]],"&lt;11")</f>
        <v>0</v>
      </c>
      <c r="CL43" s="138">
        <f>SUMIFS(tbl_task3[S85],tbl_task3[[SubPLOs]:[SubPLOs]],"&gt;=10",tbl_task3[[SubPLOs]:[SubPLOs]],"&lt;11")</f>
        <v>0</v>
      </c>
      <c r="CM43" s="138">
        <f>SUMIFS(tbl_task3[S86],tbl_task3[[SubPLOs]:[SubPLOs]],"&gt;=10",tbl_task3[[SubPLOs]:[SubPLOs]],"&lt;11")</f>
        <v>0</v>
      </c>
      <c r="CN43" s="138">
        <f>SUMIFS(tbl_task3[S87],tbl_task3[[SubPLOs]:[SubPLOs]],"&gt;=10",tbl_task3[[SubPLOs]:[SubPLOs]],"&lt;11")</f>
        <v>0</v>
      </c>
      <c r="CO43" s="138">
        <f>SUMIFS(tbl_task3[S88],tbl_task3[[SubPLOs]:[SubPLOs]],"&gt;=10",tbl_task3[[SubPLOs]:[SubPLOs]],"&lt;11")</f>
        <v>0</v>
      </c>
      <c r="CP43" s="138">
        <f>SUMIFS(tbl_task3[S89],tbl_task3[[SubPLOs]:[SubPLOs]],"&gt;=10",tbl_task3[[SubPLOs]:[SubPLOs]],"&lt;11")</f>
        <v>0</v>
      </c>
      <c r="CQ43" s="138">
        <f>SUMIFS(tbl_task3[S90],tbl_task3[[SubPLOs]:[SubPLOs]],"&gt;=10",tbl_task3[[SubPLOs]:[SubPLOs]],"&lt;11")</f>
        <v>0</v>
      </c>
      <c r="CR43" s="138">
        <f>SUMIFS(tbl_task3[S91],tbl_task3[[SubPLOs]:[SubPLOs]],"&gt;=10",tbl_task3[[SubPLOs]:[SubPLOs]],"&lt;11")</f>
        <v>0</v>
      </c>
      <c r="CS43" s="138">
        <f>SUMIFS(tbl_task3[S92],tbl_task3[[SubPLOs]:[SubPLOs]],"&gt;=10",tbl_task3[[SubPLOs]:[SubPLOs]],"&lt;11")</f>
        <v>0</v>
      </c>
      <c r="CT43" s="138">
        <f>SUMIFS(tbl_task3[S93],tbl_task3[[SubPLOs]:[SubPLOs]],"&gt;=10",tbl_task3[[SubPLOs]:[SubPLOs]],"&lt;11")</f>
        <v>0</v>
      </c>
      <c r="CU43" s="138">
        <f>SUMIFS(tbl_task3[S94],tbl_task3[[SubPLOs]:[SubPLOs]],"&gt;=10",tbl_task3[[SubPLOs]:[SubPLOs]],"&lt;11")</f>
        <v>0</v>
      </c>
      <c r="CV43" s="138">
        <f>SUMIFS(tbl_task3[S95],tbl_task3[[SubPLOs]:[SubPLOs]],"&gt;=10",tbl_task3[[SubPLOs]:[SubPLOs]],"&lt;11")</f>
        <v>0</v>
      </c>
      <c r="CW43" s="138">
        <f>SUMIFS(tbl_task3[S96],tbl_task3[[SubPLOs]:[SubPLOs]],"&gt;=10",tbl_task3[[SubPLOs]:[SubPLOs]],"&lt;11")</f>
        <v>0</v>
      </c>
      <c r="CX43" s="138">
        <f>SUMIFS(tbl_task3[S97],tbl_task3[[SubPLOs]:[SubPLOs]],"&gt;=10",tbl_task3[[SubPLOs]:[SubPLOs]],"&lt;11")</f>
        <v>0</v>
      </c>
      <c r="CY43" s="138">
        <f>SUMIFS(tbl_task3[S98],tbl_task3[[SubPLOs]:[SubPLOs]],"&gt;=10",tbl_task3[[SubPLOs]:[SubPLOs]],"&lt;11")</f>
        <v>0</v>
      </c>
      <c r="CZ43" s="138">
        <f>SUMIFS(tbl_task3[S99],tbl_task3[[SubPLOs]:[SubPLOs]],"&gt;=10",tbl_task3[[SubPLOs]:[SubPLOs]],"&lt;11")</f>
        <v>0</v>
      </c>
      <c r="DA43" s="138">
        <f>SUMIFS(tbl_task3[S100],tbl_task3[[SubPLOs]:[SubPLOs]],"&gt;=10",tbl_task3[[SubPLOs]:[SubPLOs]],"&lt;11")</f>
        <v>0</v>
      </c>
      <c r="DB43" s="138">
        <f>SUMIFS(tbl_task3[S101],tbl_task3[[SubPLOs]:[SubPLOs]],"&gt;=10",tbl_task3[[SubPLOs]:[SubPLOs]],"&lt;11")</f>
        <v>0</v>
      </c>
      <c r="DC43" s="138">
        <f>SUMIFS(tbl_task3[S102],tbl_task3[[SubPLOs]:[SubPLOs]],"&gt;=10",tbl_task3[[SubPLOs]:[SubPLOs]],"&lt;11")</f>
        <v>0</v>
      </c>
      <c r="DD43" s="138">
        <f>SUMIFS(tbl_task3[S103],tbl_task3[[SubPLOs]:[SubPLOs]],"&gt;=10",tbl_task3[[SubPLOs]:[SubPLOs]],"&lt;11")</f>
        <v>0</v>
      </c>
      <c r="DE43" s="138">
        <f>SUMIFS(tbl_task3[S104],tbl_task3[[SubPLOs]:[SubPLOs]],"&gt;=10",tbl_task3[[SubPLOs]:[SubPLOs]],"&lt;11")</f>
        <v>0</v>
      </c>
      <c r="DF43" s="138">
        <f>SUMIFS(tbl_task3[S105],tbl_task3[[SubPLOs]:[SubPLOs]],"&gt;=10",tbl_task3[[SubPLOs]:[SubPLOs]],"&lt;11")</f>
        <v>0</v>
      </c>
      <c r="DG43" s="138">
        <f>SUMIFS(tbl_task3[S106],tbl_task3[[SubPLOs]:[SubPLOs]],"&gt;=10",tbl_task3[[SubPLOs]:[SubPLOs]],"&lt;11")</f>
        <v>0</v>
      </c>
      <c r="DH43" s="138">
        <f>SUMIFS(tbl_task3[S106],tbl_task3[[SubPLOs]:[SubPLOs]],"&gt;=10",tbl_task3[[SubPLOs]:[SubPLOs]],"&lt;11")</f>
        <v>0</v>
      </c>
      <c r="DI43" s="138">
        <f>SUMIFS(tbl_task3[S108],tbl_task3[[SubPLOs]:[SubPLOs]],"&gt;=10",tbl_task3[[SubPLOs]:[SubPLOs]],"&lt;11")</f>
        <v>0</v>
      </c>
      <c r="DJ43" s="138">
        <f>SUMIFS(tbl_task3[S109],tbl_task3[[SubPLOs]:[SubPLOs]],"&gt;=10",tbl_task3[[SubPLOs]:[SubPLOs]],"&lt;11")</f>
        <v>0</v>
      </c>
      <c r="DK43" s="138">
        <f>SUMIFS(tbl_task3[S110],tbl_task3[[SubPLOs]:[SubPLOs]],"&gt;=10",tbl_task3[[SubPLOs]:[SubPLOs]],"&lt;11")</f>
        <v>0</v>
      </c>
      <c r="DL43" s="138">
        <f>SUMIFS(tbl_task3[S111],tbl_task3[[SubPLOs]:[SubPLOs]],"&gt;=10",tbl_task3[[SubPLOs]:[SubPLOs]],"&lt;11")</f>
        <v>0</v>
      </c>
      <c r="DM43" s="138">
        <f>SUMIFS(tbl_task3[S112],tbl_task3[[SubPLOs]:[SubPLOs]],"&gt;=10",tbl_task3[[SubPLOs]:[SubPLOs]],"&lt;11")</f>
        <v>0</v>
      </c>
      <c r="DN43" s="138">
        <f>SUMIFS(tbl_task3[S113],tbl_task3[[SubPLOs]:[SubPLOs]],"&gt;=10",tbl_task3[[SubPLOs]:[SubPLOs]],"&lt;11")</f>
        <v>0</v>
      </c>
      <c r="DO43" s="138">
        <f>SUMIFS(tbl_task3[S114],tbl_task3[[SubPLOs]:[SubPLOs]],"&gt;=10",tbl_task3[[SubPLOs]:[SubPLOs]],"&lt;11")</f>
        <v>0</v>
      </c>
      <c r="DP43" s="138">
        <f>SUMIFS(tbl_task3[S115],tbl_task3[[SubPLOs]:[SubPLOs]],"&gt;=10",tbl_task3[[SubPLOs]:[SubPLOs]],"&lt;11")</f>
        <v>0</v>
      </c>
      <c r="DQ43" s="138">
        <f>SUMIFS(tbl_task3[S116],tbl_task3[[SubPLOs]:[SubPLOs]],"&gt;=10",tbl_task3[[SubPLOs]:[SubPLOs]],"&lt;11")</f>
        <v>0</v>
      </c>
      <c r="DR43" s="138">
        <f>SUMIFS(tbl_task3[S117],tbl_task3[[SubPLOs]:[SubPLOs]],"&gt;=10",tbl_task3[[SubPLOs]:[SubPLOs]],"&lt;11")</f>
        <v>0</v>
      </c>
      <c r="DS43" s="138">
        <f>SUMIFS(tbl_task3[S118],tbl_task3[[SubPLOs]:[SubPLOs]],"&gt;=10",tbl_task3[[SubPLOs]:[SubPLOs]],"&lt;11")</f>
        <v>0</v>
      </c>
      <c r="DT43" s="138">
        <f>SUMIFS(tbl_task3[S119],tbl_task3[[SubPLOs]:[SubPLOs]],"&gt;=10",tbl_task3[[SubPLOs]:[SubPLOs]],"&lt;11")</f>
        <v>0</v>
      </c>
      <c r="DU43" s="138">
        <f>SUMIFS(tbl_task3[S120],tbl_task3[[SubPLOs]:[SubPLOs]],"&gt;=10",tbl_task3[[SubPLOs]:[SubPLOs]],"&lt;11")</f>
        <v>0</v>
      </c>
      <c r="DV43" s="138">
        <f>SUMIFS(tbl_task3[S121],tbl_task3[[SubPLOs]:[SubPLOs]],"&gt;=10",tbl_task3[[SubPLOs]:[SubPLOs]],"&lt;11")</f>
        <v>0</v>
      </c>
      <c r="DW43" s="138">
        <f>SUMIFS(tbl_task3[S122],tbl_task3[[SubPLOs]:[SubPLOs]],"&gt;=10",tbl_task3[[SubPLOs]:[SubPLOs]],"&lt;11")</f>
        <v>0</v>
      </c>
      <c r="DX43" s="138">
        <f>SUMIFS(tbl_task3[S123],tbl_task3[[SubPLOs]:[SubPLOs]],"&gt;=10",tbl_task3[[SubPLOs]:[SubPLOs]],"&lt;11")</f>
        <v>0</v>
      </c>
      <c r="DY43" s="138">
        <f>SUMIFS(tbl_task3[S124],tbl_task3[[SubPLOs]:[SubPLOs]],"&gt;=10",tbl_task3[[SubPLOs]:[SubPLOs]],"&lt;11")</f>
        <v>0</v>
      </c>
      <c r="DZ43" s="138">
        <f>SUMIFS(tbl_task3[S125],tbl_task3[[SubPLOs]:[SubPLOs]],"&gt;=10",tbl_task3[[SubPLOs]:[SubPLOs]],"&lt;11")</f>
        <v>0</v>
      </c>
      <c r="EA43" s="138">
        <f>SUMIFS(tbl_task3[S126],tbl_task3[[SubPLOs]:[SubPLOs]],"&gt;=10",tbl_task3[[SubPLOs]:[SubPLOs]],"&lt;11")</f>
        <v>0</v>
      </c>
      <c r="EB43" s="138">
        <f>SUMIFS(tbl_task3[S127],tbl_task3[[SubPLOs]:[SubPLOs]],"&gt;=10",tbl_task3[[SubPLOs]:[SubPLOs]],"&lt;11")</f>
        <v>0</v>
      </c>
      <c r="EC43" s="138">
        <f>SUMIFS(tbl_task3[S128],tbl_task3[[SubPLOs]:[SubPLOs]],"&gt;=10",tbl_task3[[SubPLOs]:[SubPLOs]],"&lt;11")</f>
        <v>0</v>
      </c>
      <c r="ED43" s="138">
        <f>SUMIFS(tbl_task3[S129],tbl_task3[[SubPLOs]:[SubPLOs]],"&gt;=10",tbl_task3[[SubPLOs]:[SubPLOs]],"&lt;11")</f>
        <v>0</v>
      </c>
      <c r="EE43" s="138">
        <f>SUMIFS(tbl_task3[S130],tbl_task3[[SubPLOs]:[SubPLOs]],"&gt;=10",tbl_task3[[SubPLOs]:[SubPLOs]],"&lt;11")</f>
        <v>0</v>
      </c>
      <c r="EF43" s="138">
        <f>SUMIFS(tbl_task3[S131],tbl_task3[[SubPLOs]:[SubPLOs]],"&gt;=10",tbl_task3[[SubPLOs]:[SubPLOs]],"&lt;11")</f>
        <v>0</v>
      </c>
      <c r="EG43" s="138">
        <f>SUMIFS(tbl_task3[S132],tbl_task3[[SubPLOs]:[SubPLOs]],"&gt;=10",tbl_task3[[SubPLOs]:[SubPLOs]],"&lt;11")</f>
        <v>0</v>
      </c>
      <c r="EH43" s="138">
        <f>SUMIFS(tbl_task3[S133],tbl_task3[[SubPLOs]:[SubPLOs]],"&gt;=10",tbl_task3[[SubPLOs]:[SubPLOs]],"&lt;11")</f>
        <v>0</v>
      </c>
      <c r="EI43" s="138">
        <f>SUMIFS(tbl_task3[S134],tbl_task3[[SubPLOs]:[SubPLOs]],"&gt;=10",tbl_task3[[SubPLOs]:[SubPLOs]],"&lt;11")</f>
        <v>0</v>
      </c>
      <c r="EJ43" s="138">
        <f>SUMIFS(tbl_task3[S135],tbl_task3[[SubPLOs]:[SubPLOs]],"&gt;=10",tbl_task3[[SubPLOs]:[SubPLOs]],"&lt;11")</f>
        <v>0</v>
      </c>
      <c r="EK43" s="138">
        <f>SUMIFS(tbl_task3[S136],tbl_task3[[SubPLOs]:[SubPLOs]],"&gt;=10",tbl_task3[[SubPLOs]:[SubPLOs]],"&lt;11")</f>
        <v>0</v>
      </c>
      <c r="EL43" s="138">
        <f>SUMIFS(tbl_task3[S137],tbl_task3[[SubPLOs]:[SubPLOs]],"&gt;=10",tbl_task3[[SubPLOs]:[SubPLOs]],"&lt;11")</f>
        <v>0</v>
      </c>
      <c r="EM43" s="138">
        <f>SUMIFS(tbl_task3[S138],tbl_task3[[SubPLOs]:[SubPLOs]],"&gt;=10",tbl_task3[[SubPLOs]:[SubPLOs]],"&lt;11")</f>
        <v>0</v>
      </c>
      <c r="EN43" s="138">
        <f>SUMIFS(tbl_task3[S139],tbl_task3[[SubPLOs]:[SubPLOs]],"&gt;=10",tbl_task3[[SubPLOs]:[SubPLOs]],"&lt;11")</f>
        <v>0</v>
      </c>
      <c r="EO43" s="138">
        <f>SUMIFS(tbl_task3[S140],tbl_task3[[SubPLOs]:[SubPLOs]],"&gt;=10",tbl_task3[[SubPLOs]:[SubPLOs]],"&lt;11")</f>
        <v>0</v>
      </c>
      <c r="EP43" s="138">
        <f>SUMIFS(tbl_task3[S141],tbl_task3[[SubPLOs]:[SubPLOs]],"&gt;=10",tbl_task3[[SubPLOs]:[SubPLOs]],"&lt;11")</f>
        <v>0</v>
      </c>
      <c r="EQ43" s="138">
        <f>SUMIFS(tbl_task3[S142],tbl_task3[[SubPLOs]:[SubPLOs]],"&gt;=10",tbl_task3[[SubPLOs]:[SubPLOs]],"&lt;11")</f>
        <v>0</v>
      </c>
      <c r="ER43" s="138">
        <f>SUMIFS(tbl_task3[S143],tbl_task3[[SubPLOs]:[SubPLOs]],"&gt;=10",tbl_task3[[SubPLOs]:[SubPLOs]],"&lt;11")</f>
        <v>0</v>
      </c>
      <c r="ES43" s="138">
        <f>SUMIFS(tbl_task3[S144],tbl_task3[[SubPLOs]:[SubPLOs]],"&gt;=10",tbl_task3[[SubPLOs]:[SubPLOs]],"&lt;11")</f>
        <v>0</v>
      </c>
      <c r="ET43" s="138">
        <f>SUMIFS(tbl_task3[S145],tbl_task3[[SubPLOs]:[SubPLOs]],"&gt;=10",tbl_task3[[SubPLOs]:[SubPLOs]],"&lt;11")</f>
        <v>0</v>
      </c>
      <c r="EU43" s="138">
        <f>SUMIFS(tbl_task3[S146],tbl_task3[[SubPLOs]:[SubPLOs]],"&gt;=10",tbl_task3[[SubPLOs]:[SubPLOs]],"&lt;11")</f>
        <v>0</v>
      </c>
      <c r="EV43" s="138">
        <f>SUMIFS(tbl_task3[S147],tbl_task3[[SubPLOs]:[SubPLOs]],"&gt;=10",tbl_task3[[SubPLOs]:[SubPLOs]],"&lt;11")</f>
        <v>0</v>
      </c>
      <c r="EW43" s="138">
        <f>SUMIFS(tbl_task3[S148],tbl_task3[[SubPLOs]:[SubPLOs]],"&gt;=10",tbl_task3[[SubPLOs]:[SubPLOs]],"&lt;11")</f>
        <v>0</v>
      </c>
      <c r="EX43" s="138">
        <f>SUMIFS(tbl_task3[S149],tbl_task3[[SubPLOs]:[SubPLOs]],"&gt;=10",tbl_task3[[SubPLOs]:[SubPLOs]],"&lt;11")</f>
        <v>0</v>
      </c>
      <c r="EY43" s="138">
        <f>SUMIFS(tbl_task3[S150],tbl_task3[[SubPLOs]:[SubPLOs]],"&gt;=10",tbl_task3[[SubPLOs]:[SubPLOs]],"&lt;11")</f>
        <v>0</v>
      </c>
      <c r="EZ43" s="138">
        <f>SUMIFS(tbl_task3[S151],tbl_task3[[SubPLOs]:[SubPLOs]],"&gt;=10",tbl_task3[[SubPLOs]:[SubPLOs]],"&lt;11")</f>
        <v>0</v>
      </c>
      <c r="FA43" s="138">
        <f>SUMIFS(tbl_task3[S152],tbl_task3[[SubPLOs]:[SubPLOs]],"&gt;=10",tbl_task3[[SubPLOs]:[SubPLOs]],"&lt;11")</f>
        <v>0</v>
      </c>
      <c r="FB43" s="138">
        <f>SUMIFS(tbl_task3[S153],tbl_task3[[SubPLOs]:[SubPLOs]],"&gt;=10",tbl_task3[[SubPLOs]:[SubPLOs]],"&lt;11")</f>
        <v>0</v>
      </c>
      <c r="FC43" s="138">
        <f>SUMIFS(tbl_task3[S154],tbl_task3[[SubPLOs]:[SubPLOs]],"&gt;=10",tbl_task3[[SubPLOs]:[SubPLOs]],"&lt;11")</f>
        <v>0</v>
      </c>
      <c r="FD43" s="138">
        <f>SUMIFS(tbl_task3[S155],tbl_task3[[SubPLOs]:[SubPLOs]],"&gt;=10",tbl_task3[[SubPLOs]:[SubPLOs]],"&lt;11")</f>
        <v>0</v>
      </c>
      <c r="FE43" s="138">
        <f>SUMIFS(tbl_task3[S156],tbl_task3[[SubPLOs]:[SubPLOs]],"&gt;=10",tbl_task3[[SubPLOs]:[SubPLOs]],"&lt;11")</f>
        <v>0</v>
      </c>
      <c r="FF43" s="138">
        <f>SUMIFS(tbl_task3[S157],tbl_task3[[SubPLOs]:[SubPLOs]],"&gt;=10",tbl_task3[[SubPLOs]:[SubPLOs]],"&lt;11")</f>
        <v>0</v>
      </c>
      <c r="FG43" s="138">
        <f>SUMIFS(tbl_task3[S158],tbl_task3[[SubPLOs]:[SubPLOs]],"&gt;=10",tbl_task3[[SubPLOs]:[SubPLOs]],"&lt;11")</f>
        <v>0</v>
      </c>
      <c r="FH43" s="138">
        <f>SUMIFS(tbl_task3[S159],tbl_task3[[SubPLOs]:[SubPLOs]],"&gt;=10",tbl_task3[[SubPLOs]:[SubPLOs]],"&lt;11")</f>
        <v>0</v>
      </c>
      <c r="FI43" s="138">
        <f>SUMIFS(tbl_task3[S160],tbl_task3[[SubPLOs]:[SubPLOs]],"&gt;=10",tbl_task3[[SubPLOs]:[SubPLOs]],"&lt;11")</f>
        <v>0</v>
      </c>
      <c r="FJ43" s="138">
        <f>SUMIFS(tbl_task3[S161],tbl_task3[[SubPLOs]:[SubPLOs]],"&gt;=10",tbl_task3[[SubPLOs]:[SubPLOs]],"&lt;11")</f>
        <v>0</v>
      </c>
      <c r="FK43" s="138">
        <f>SUMIFS(tbl_task3[S162],tbl_task3[[SubPLOs]:[SubPLOs]],"&gt;=10",tbl_task3[[SubPLOs]:[SubPLOs]],"&lt;11")</f>
        <v>0</v>
      </c>
      <c r="FL43" s="138">
        <f>SUMIFS(tbl_task3[S163],tbl_task3[[SubPLOs]:[SubPLOs]],"&gt;=10",tbl_task3[[SubPLOs]:[SubPLOs]],"&lt;11")</f>
        <v>0</v>
      </c>
      <c r="FM43" s="138">
        <f>SUMIFS(tbl_task3[S164],tbl_task3[[SubPLOs]:[SubPLOs]],"&gt;=10",tbl_task3[[SubPLOs]:[SubPLOs]],"&lt;11")</f>
        <v>0</v>
      </c>
      <c r="FN43" s="138">
        <f>SUMIFS(tbl_task3[S165],tbl_task3[[SubPLOs]:[SubPLOs]],"&gt;=10",tbl_task3[[SubPLOs]:[SubPLOs]],"&lt;11")</f>
        <v>0</v>
      </c>
    </row>
    <row r="44" spans="1:170" s="34" customFormat="1" x14ac:dyDescent="0.25">
      <c r="A44" s="125"/>
      <c r="B44" s="126" t="s">
        <v>11</v>
      </c>
      <c r="C44" s="127">
        <f>SUM(C34:C43)</f>
        <v>0</v>
      </c>
      <c r="D44" s="128">
        <f>SUM(D34:D43)</f>
        <v>0</v>
      </c>
      <c r="E44" s="128">
        <f>SUM(E34:E43)</f>
        <v>0</v>
      </c>
      <c r="F44" s="128">
        <f t="shared" ref="F44:BQ44" si="0">SUM(F34:F43)</f>
        <v>0</v>
      </c>
      <c r="G44" s="128">
        <f t="shared" si="0"/>
        <v>0</v>
      </c>
      <c r="H44" s="128">
        <f t="shared" si="0"/>
        <v>0</v>
      </c>
      <c r="I44" s="128">
        <f t="shared" si="0"/>
        <v>0</v>
      </c>
      <c r="J44" s="128">
        <f t="shared" si="0"/>
        <v>0</v>
      </c>
      <c r="K44" s="128">
        <f t="shared" si="0"/>
        <v>0</v>
      </c>
      <c r="L44" s="128">
        <f t="shared" si="0"/>
        <v>0</v>
      </c>
      <c r="M44" s="128">
        <f t="shared" si="0"/>
        <v>0</v>
      </c>
      <c r="N44" s="128">
        <f t="shared" si="0"/>
        <v>0</v>
      </c>
      <c r="O44" s="128">
        <f t="shared" si="0"/>
        <v>0</v>
      </c>
      <c r="P44" s="128">
        <f t="shared" si="0"/>
        <v>0</v>
      </c>
      <c r="Q44" s="128">
        <f t="shared" si="0"/>
        <v>0</v>
      </c>
      <c r="R44" s="128">
        <f t="shared" si="0"/>
        <v>0</v>
      </c>
      <c r="S44" s="128">
        <f t="shared" si="0"/>
        <v>0</v>
      </c>
      <c r="T44" s="128">
        <f t="shared" si="0"/>
        <v>0</v>
      </c>
      <c r="U44" s="128">
        <f t="shared" si="0"/>
        <v>0</v>
      </c>
      <c r="V44" s="128">
        <f t="shared" si="0"/>
        <v>0</v>
      </c>
      <c r="W44" s="128">
        <f t="shared" si="0"/>
        <v>0</v>
      </c>
      <c r="X44" s="128">
        <f t="shared" si="0"/>
        <v>0</v>
      </c>
      <c r="Y44" s="128">
        <f t="shared" si="0"/>
        <v>0</v>
      </c>
      <c r="Z44" s="128">
        <f t="shared" si="0"/>
        <v>0</v>
      </c>
      <c r="AA44" s="128">
        <f t="shared" si="0"/>
        <v>0</v>
      </c>
      <c r="AB44" s="128">
        <f t="shared" si="0"/>
        <v>0</v>
      </c>
      <c r="AC44" s="128">
        <f t="shared" si="0"/>
        <v>0</v>
      </c>
      <c r="AD44" s="128">
        <f t="shared" si="0"/>
        <v>0</v>
      </c>
      <c r="AE44" s="128">
        <f t="shared" si="0"/>
        <v>0</v>
      </c>
      <c r="AF44" s="128">
        <f t="shared" si="0"/>
        <v>0</v>
      </c>
      <c r="AG44" s="128">
        <f t="shared" si="0"/>
        <v>0</v>
      </c>
      <c r="AH44" s="128">
        <f t="shared" si="0"/>
        <v>0</v>
      </c>
      <c r="AI44" s="128">
        <f t="shared" si="0"/>
        <v>0</v>
      </c>
      <c r="AJ44" s="128">
        <f t="shared" si="0"/>
        <v>0</v>
      </c>
      <c r="AK44" s="128">
        <f t="shared" si="0"/>
        <v>0</v>
      </c>
      <c r="AL44" s="128">
        <f t="shared" si="0"/>
        <v>0</v>
      </c>
      <c r="AM44" s="128">
        <f t="shared" si="0"/>
        <v>0</v>
      </c>
      <c r="AN44" s="128">
        <f t="shared" si="0"/>
        <v>0</v>
      </c>
      <c r="AO44" s="128">
        <f t="shared" si="0"/>
        <v>0</v>
      </c>
      <c r="AP44" s="128">
        <f t="shared" si="0"/>
        <v>0</v>
      </c>
      <c r="AQ44" s="128">
        <f t="shared" si="0"/>
        <v>0</v>
      </c>
      <c r="AR44" s="128">
        <f t="shared" si="0"/>
        <v>0</v>
      </c>
      <c r="AS44" s="128">
        <f t="shared" si="0"/>
        <v>0</v>
      </c>
      <c r="AT44" s="128">
        <f t="shared" si="0"/>
        <v>0</v>
      </c>
      <c r="AU44" s="128">
        <f t="shared" si="0"/>
        <v>0</v>
      </c>
      <c r="AV44" s="128">
        <f t="shared" si="0"/>
        <v>0</v>
      </c>
      <c r="AW44" s="128">
        <f t="shared" si="0"/>
        <v>0</v>
      </c>
      <c r="AX44" s="128">
        <f t="shared" si="0"/>
        <v>0</v>
      </c>
      <c r="AY44" s="128">
        <f t="shared" si="0"/>
        <v>0</v>
      </c>
      <c r="AZ44" s="128">
        <f t="shared" si="0"/>
        <v>0</v>
      </c>
      <c r="BA44" s="128">
        <f t="shared" si="0"/>
        <v>0</v>
      </c>
      <c r="BB44" s="128">
        <f t="shared" si="0"/>
        <v>0</v>
      </c>
      <c r="BC44" s="128">
        <f t="shared" si="0"/>
        <v>0</v>
      </c>
      <c r="BD44" s="128">
        <f t="shared" si="0"/>
        <v>0</v>
      </c>
      <c r="BE44" s="128">
        <f t="shared" si="0"/>
        <v>0</v>
      </c>
      <c r="BF44" s="128">
        <f t="shared" si="0"/>
        <v>0</v>
      </c>
      <c r="BG44" s="128">
        <f t="shared" si="0"/>
        <v>0</v>
      </c>
      <c r="BH44" s="128">
        <f t="shared" si="0"/>
        <v>0</v>
      </c>
      <c r="BI44" s="128">
        <f t="shared" si="0"/>
        <v>0</v>
      </c>
      <c r="BJ44" s="128">
        <f t="shared" si="0"/>
        <v>0</v>
      </c>
      <c r="BK44" s="128">
        <f t="shared" si="0"/>
        <v>0</v>
      </c>
      <c r="BL44" s="128">
        <f t="shared" si="0"/>
        <v>0</v>
      </c>
      <c r="BM44" s="128">
        <f t="shared" si="0"/>
        <v>0</v>
      </c>
      <c r="BN44" s="128">
        <f t="shared" si="0"/>
        <v>0</v>
      </c>
      <c r="BO44" s="128">
        <f t="shared" si="0"/>
        <v>0</v>
      </c>
      <c r="BP44" s="128">
        <f t="shared" si="0"/>
        <v>0</v>
      </c>
      <c r="BQ44" s="128">
        <f t="shared" si="0"/>
        <v>0</v>
      </c>
      <c r="BR44" s="128">
        <f t="shared" ref="BR44:EC44" si="1">SUM(BR34:BR43)</f>
        <v>0</v>
      </c>
      <c r="BS44" s="128">
        <f t="shared" si="1"/>
        <v>0</v>
      </c>
      <c r="BT44" s="128">
        <f t="shared" si="1"/>
        <v>0</v>
      </c>
      <c r="BU44" s="128">
        <f t="shared" si="1"/>
        <v>0</v>
      </c>
      <c r="BV44" s="128">
        <f t="shared" si="1"/>
        <v>0</v>
      </c>
      <c r="BW44" s="128">
        <f t="shared" si="1"/>
        <v>0</v>
      </c>
      <c r="BX44" s="128">
        <f t="shared" si="1"/>
        <v>0</v>
      </c>
      <c r="BY44" s="128">
        <f t="shared" si="1"/>
        <v>0</v>
      </c>
      <c r="BZ44" s="128">
        <f t="shared" si="1"/>
        <v>0</v>
      </c>
      <c r="CA44" s="128">
        <f t="shared" si="1"/>
        <v>0</v>
      </c>
      <c r="CB44" s="128">
        <f t="shared" si="1"/>
        <v>0</v>
      </c>
      <c r="CC44" s="128">
        <f t="shared" si="1"/>
        <v>0</v>
      </c>
      <c r="CD44" s="128">
        <f t="shared" si="1"/>
        <v>0</v>
      </c>
      <c r="CE44" s="128">
        <f t="shared" si="1"/>
        <v>0</v>
      </c>
      <c r="CF44" s="128">
        <f t="shared" si="1"/>
        <v>0</v>
      </c>
      <c r="CG44" s="128">
        <f t="shared" si="1"/>
        <v>0</v>
      </c>
      <c r="CH44" s="128">
        <f t="shared" si="1"/>
        <v>0</v>
      </c>
      <c r="CI44" s="128">
        <f t="shared" si="1"/>
        <v>0</v>
      </c>
      <c r="CJ44" s="128">
        <f t="shared" si="1"/>
        <v>0</v>
      </c>
      <c r="CK44" s="128">
        <f t="shared" si="1"/>
        <v>0</v>
      </c>
      <c r="CL44" s="128">
        <f t="shared" si="1"/>
        <v>0</v>
      </c>
      <c r="CM44" s="128">
        <f t="shared" si="1"/>
        <v>0</v>
      </c>
      <c r="CN44" s="128">
        <f t="shared" si="1"/>
        <v>0</v>
      </c>
      <c r="CO44" s="128">
        <f t="shared" si="1"/>
        <v>0</v>
      </c>
      <c r="CP44" s="128">
        <f t="shared" si="1"/>
        <v>0</v>
      </c>
      <c r="CQ44" s="128">
        <f t="shared" si="1"/>
        <v>0</v>
      </c>
      <c r="CR44" s="128">
        <f t="shared" si="1"/>
        <v>0</v>
      </c>
      <c r="CS44" s="128">
        <f t="shared" si="1"/>
        <v>0</v>
      </c>
      <c r="CT44" s="128">
        <f t="shared" si="1"/>
        <v>0</v>
      </c>
      <c r="CU44" s="128">
        <f t="shared" si="1"/>
        <v>0</v>
      </c>
      <c r="CV44" s="128">
        <f t="shared" si="1"/>
        <v>0</v>
      </c>
      <c r="CW44" s="128">
        <f t="shared" si="1"/>
        <v>0</v>
      </c>
      <c r="CX44" s="128">
        <f t="shared" si="1"/>
        <v>0</v>
      </c>
      <c r="CY44" s="128">
        <f t="shared" si="1"/>
        <v>0</v>
      </c>
      <c r="CZ44" s="128">
        <f t="shared" si="1"/>
        <v>0</v>
      </c>
      <c r="DA44" s="128">
        <f t="shared" si="1"/>
        <v>0</v>
      </c>
      <c r="DB44" s="128">
        <f t="shared" si="1"/>
        <v>0</v>
      </c>
      <c r="DC44" s="128">
        <f t="shared" si="1"/>
        <v>0</v>
      </c>
      <c r="DD44" s="128">
        <f t="shared" si="1"/>
        <v>0</v>
      </c>
      <c r="DE44" s="128">
        <f t="shared" si="1"/>
        <v>0</v>
      </c>
      <c r="DF44" s="128">
        <f t="shared" si="1"/>
        <v>0</v>
      </c>
      <c r="DG44" s="128">
        <f t="shared" si="1"/>
        <v>0</v>
      </c>
      <c r="DH44" s="128">
        <f t="shared" si="1"/>
        <v>0</v>
      </c>
      <c r="DI44" s="128">
        <f t="shared" si="1"/>
        <v>0</v>
      </c>
      <c r="DJ44" s="128">
        <f t="shared" si="1"/>
        <v>0</v>
      </c>
      <c r="DK44" s="128">
        <f t="shared" si="1"/>
        <v>0</v>
      </c>
      <c r="DL44" s="128">
        <f t="shared" si="1"/>
        <v>0</v>
      </c>
      <c r="DM44" s="128">
        <f t="shared" si="1"/>
        <v>0</v>
      </c>
      <c r="DN44" s="128">
        <f t="shared" si="1"/>
        <v>0</v>
      </c>
      <c r="DO44" s="128">
        <f t="shared" si="1"/>
        <v>0</v>
      </c>
      <c r="DP44" s="128">
        <f t="shared" si="1"/>
        <v>0</v>
      </c>
      <c r="DQ44" s="128">
        <f t="shared" si="1"/>
        <v>0</v>
      </c>
      <c r="DR44" s="128">
        <f t="shared" si="1"/>
        <v>0</v>
      </c>
      <c r="DS44" s="128">
        <f t="shared" si="1"/>
        <v>0</v>
      </c>
      <c r="DT44" s="128">
        <f t="shared" si="1"/>
        <v>0</v>
      </c>
      <c r="DU44" s="128">
        <f t="shared" si="1"/>
        <v>0</v>
      </c>
      <c r="DV44" s="128">
        <f t="shared" si="1"/>
        <v>0</v>
      </c>
      <c r="DW44" s="128">
        <f t="shared" si="1"/>
        <v>0</v>
      </c>
      <c r="DX44" s="128">
        <f t="shared" si="1"/>
        <v>0</v>
      </c>
      <c r="DY44" s="128">
        <f t="shared" si="1"/>
        <v>0</v>
      </c>
      <c r="DZ44" s="128">
        <f t="shared" si="1"/>
        <v>0</v>
      </c>
      <c r="EA44" s="128">
        <f t="shared" si="1"/>
        <v>0</v>
      </c>
      <c r="EB44" s="128">
        <f t="shared" si="1"/>
        <v>0</v>
      </c>
      <c r="EC44" s="128">
        <f t="shared" si="1"/>
        <v>0</v>
      </c>
      <c r="ED44" s="128">
        <f t="shared" ref="ED44:FN44" si="2">SUM(ED34:ED43)</f>
        <v>0</v>
      </c>
      <c r="EE44" s="128">
        <f t="shared" si="2"/>
        <v>0</v>
      </c>
      <c r="EF44" s="128">
        <f t="shared" si="2"/>
        <v>0</v>
      </c>
      <c r="EG44" s="128">
        <f t="shared" si="2"/>
        <v>0</v>
      </c>
      <c r="EH44" s="128">
        <f t="shared" si="2"/>
        <v>0</v>
      </c>
      <c r="EI44" s="128">
        <f t="shared" si="2"/>
        <v>0</v>
      </c>
      <c r="EJ44" s="128">
        <f t="shared" si="2"/>
        <v>0</v>
      </c>
      <c r="EK44" s="128">
        <f t="shared" si="2"/>
        <v>0</v>
      </c>
      <c r="EL44" s="128">
        <f t="shared" si="2"/>
        <v>0</v>
      </c>
      <c r="EM44" s="128">
        <f t="shared" si="2"/>
        <v>0</v>
      </c>
      <c r="EN44" s="128">
        <f t="shared" si="2"/>
        <v>0</v>
      </c>
      <c r="EO44" s="128">
        <f t="shared" si="2"/>
        <v>0</v>
      </c>
      <c r="EP44" s="128">
        <f t="shared" si="2"/>
        <v>0</v>
      </c>
      <c r="EQ44" s="128">
        <f t="shared" si="2"/>
        <v>0</v>
      </c>
      <c r="ER44" s="128">
        <f t="shared" si="2"/>
        <v>0</v>
      </c>
      <c r="ES44" s="128">
        <f t="shared" si="2"/>
        <v>0</v>
      </c>
      <c r="ET44" s="128">
        <f t="shared" si="2"/>
        <v>0</v>
      </c>
      <c r="EU44" s="128">
        <f t="shared" si="2"/>
        <v>0</v>
      </c>
      <c r="EV44" s="128">
        <f t="shared" si="2"/>
        <v>0</v>
      </c>
      <c r="EW44" s="128">
        <f t="shared" si="2"/>
        <v>0</v>
      </c>
      <c r="EX44" s="128">
        <f t="shared" si="2"/>
        <v>0</v>
      </c>
      <c r="EY44" s="128">
        <f t="shared" si="2"/>
        <v>0</v>
      </c>
      <c r="EZ44" s="128">
        <f t="shared" si="2"/>
        <v>0</v>
      </c>
      <c r="FA44" s="128">
        <f t="shared" si="2"/>
        <v>0</v>
      </c>
      <c r="FB44" s="128">
        <f t="shared" si="2"/>
        <v>0</v>
      </c>
      <c r="FC44" s="128">
        <f t="shared" si="2"/>
        <v>0</v>
      </c>
      <c r="FD44" s="128">
        <f t="shared" si="2"/>
        <v>0</v>
      </c>
      <c r="FE44" s="128">
        <f t="shared" si="2"/>
        <v>0</v>
      </c>
      <c r="FF44" s="128">
        <f t="shared" si="2"/>
        <v>0</v>
      </c>
      <c r="FG44" s="128">
        <f t="shared" si="2"/>
        <v>0</v>
      </c>
      <c r="FH44" s="128">
        <f t="shared" si="2"/>
        <v>0</v>
      </c>
      <c r="FI44" s="128">
        <f t="shared" si="2"/>
        <v>0</v>
      </c>
      <c r="FJ44" s="128">
        <f t="shared" si="2"/>
        <v>0</v>
      </c>
      <c r="FK44" s="128">
        <f t="shared" si="2"/>
        <v>0</v>
      </c>
      <c r="FL44" s="128">
        <f t="shared" si="2"/>
        <v>0</v>
      </c>
      <c r="FM44" s="128">
        <f t="shared" si="2"/>
        <v>0</v>
      </c>
      <c r="FN44" s="128">
        <f t="shared" si="2"/>
        <v>0</v>
      </c>
    </row>
  </sheetData>
  <mergeCells count="1">
    <mergeCell ref="C1:P1"/>
  </mergeCells>
  <dataValidations count="2">
    <dataValidation type="whole" allowBlank="1" showInputMessage="1" showErrorMessage="1" sqref="F30:FN31">
      <formula1>1</formula1>
      <formula2>4</formula2>
    </dataValidation>
    <dataValidation type="decimal" operator="greaterThanOrEqual" allowBlank="1" showInputMessage="1" showErrorMessage="1" sqref="F4:FN28">
      <formula1>0</formula1>
    </dataValidation>
  </dataValidations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52" fitToHeight="0" orientation="landscape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X44"/>
  <sheetViews>
    <sheetView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B34" sqref="B34"/>
    </sheetView>
  </sheetViews>
  <sheetFormatPr defaultColWidth="0" defaultRowHeight="21" x14ac:dyDescent="0.25"/>
  <cols>
    <col min="1" max="1" width="5.69921875" style="3" customWidth="1"/>
    <col min="2" max="2" width="27.09765625" style="1" customWidth="1"/>
    <col min="3" max="3" width="28.3984375" style="2" customWidth="1"/>
    <col min="4" max="4" width="10.09765625" style="101" customWidth="1"/>
    <col min="5" max="5" width="11" style="3" customWidth="1"/>
    <col min="6" max="290" width="6.69921875" style="3" customWidth="1"/>
    <col min="291" max="335" width="6.69921875" style="3" hidden="1" customWidth="1"/>
    <col min="336" max="336" width="9.09765625" style="3" customWidth="1"/>
    <col min="337" max="16384" width="9.09765625" style="3" hidden="1"/>
  </cols>
  <sheetData>
    <row r="1" spans="1:335" s="110" customFormat="1" ht="27.75" customHeight="1" x14ac:dyDescent="0.25">
      <c r="A1" s="120" t="s">
        <v>267</v>
      </c>
      <c r="B1" s="119" t="s">
        <v>308</v>
      </c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</row>
    <row r="2" spans="1:335" s="111" customFormat="1" ht="13.5" customHeight="1" x14ac:dyDescent="0.25">
      <c r="A2" s="112"/>
      <c r="B2" s="112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4"/>
    </row>
    <row r="3" spans="1:335" s="32" customFormat="1" x14ac:dyDescent="0.6">
      <c r="A3" s="28" t="s">
        <v>137</v>
      </c>
      <c r="B3" s="29" t="s">
        <v>452</v>
      </c>
      <c r="C3" s="30" t="s">
        <v>453</v>
      </c>
      <c r="D3" s="104" t="s">
        <v>306</v>
      </c>
      <c r="E3" s="105" t="s">
        <v>307</v>
      </c>
      <c r="F3" s="31" t="s">
        <v>2</v>
      </c>
      <c r="G3" s="31" t="s">
        <v>0</v>
      </c>
      <c r="H3" s="31" t="s">
        <v>1</v>
      </c>
      <c r="I3" s="31" t="s">
        <v>4</v>
      </c>
      <c r="J3" s="31" t="s">
        <v>138</v>
      </c>
      <c r="K3" s="31" t="s">
        <v>139</v>
      </c>
      <c r="L3" s="31" t="s">
        <v>140</v>
      </c>
      <c r="M3" s="31" t="s">
        <v>141</v>
      </c>
      <c r="N3" s="31" t="s">
        <v>142</v>
      </c>
      <c r="O3" s="31" t="s">
        <v>143</v>
      </c>
      <c r="P3" s="31" t="s">
        <v>144</v>
      </c>
      <c r="Q3" s="31" t="s">
        <v>145</v>
      </c>
      <c r="R3" s="31" t="s">
        <v>146</v>
      </c>
      <c r="S3" s="31" t="s">
        <v>147</v>
      </c>
      <c r="T3" s="31" t="s">
        <v>148</v>
      </c>
      <c r="U3" s="31" t="s">
        <v>149</v>
      </c>
      <c r="V3" s="31" t="s">
        <v>150</v>
      </c>
      <c r="W3" s="31" t="s">
        <v>151</v>
      </c>
      <c r="X3" s="31" t="s">
        <v>152</v>
      </c>
      <c r="Y3" s="31" t="s">
        <v>153</v>
      </c>
      <c r="Z3" s="31" t="s">
        <v>154</v>
      </c>
      <c r="AA3" s="31" t="s">
        <v>155</v>
      </c>
      <c r="AB3" s="31" t="s">
        <v>156</v>
      </c>
      <c r="AC3" s="31" t="s">
        <v>157</v>
      </c>
      <c r="AD3" s="31" t="s">
        <v>158</v>
      </c>
      <c r="AE3" s="31" t="s">
        <v>159</v>
      </c>
      <c r="AF3" s="31" t="s">
        <v>160</v>
      </c>
      <c r="AG3" s="31" t="s">
        <v>161</v>
      </c>
      <c r="AH3" s="31" t="s">
        <v>162</v>
      </c>
      <c r="AI3" s="31" t="s">
        <v>163</v>
      </c>
      <c r="AJ3" s="31" t="s">
        <v>164</v>
      </c>
      <c r="AK3" s="31" t="s">
        <v>165</v>
      </c>
      <c r="AL3" s="31" t="s">
        <v>166</v>
      </c>
      <c r="AM3" s="31" t="s">
        <v>167</v>
      </c>
      <c r="AN3" s="31" t="s">
        <v>168</v>
      </c>
      <c r="AO3" s="31" t="s">
        <v>169</v>
      </c>
      <c r="AP3" s="31" t="s">
        <v>170</v>
      </c>
      <c r="AQ3" s="31" t="s">
        <v>171</v>
      </c>
      <c r="AR3" s="31" t="s">
        <v>172</v>
      </c>
      <c r="AS3" s="31" t="s">
        <v>173</v>
      </c>
      <c r="AT3" s="31" t="s">
        <v>174</v>
      </c>
      <c r="AU3" s="31" t="s">
        <v>175</v>
      </c>
      <c r="AV3" s="31" t="s">
        <v>176</v>
      </c>
      <c r="AW3" s="31" t="s">
        <v>177</v>
      </c>
      <c r="AX3" s="31" t="s">
        <v>178</v>
      </c>
      <c r="AY3" s="31" t="s">
        <v>179</v>
      </c>
      <c r="AZ3" s="31" t="s">
        <v>180</v>
      </c>
      <c r="BA3" s="31" t="s">
        <v>181</v>
      </c>
      <c r="BB3" s="31" t="s">
        <v>182</v>
      </c>
      <c r="BC3" s="31" t="s">
        <v>183</v>
      </c>
      <c r="BD3" s="31" t="s">
        <v>184</v>
      </c>
      <c r="BE3" s="31" t="s">
        <v>185</v>
      </c>
      <c r="BF3" s="31" t="s">
        <v>186</v>
      </c>
      <c r="BG3" s="31" t="s">
        <v>187</v>
      </c>
      <c r="BH3" s="31" t="s">
        <v>188</v>
      </c>
      <c r="BI3" s="31" t="s">
        <v>189</v>
      </c>
      <c r="BJ3" s="31" t="s">
        <v>190</v>
      </c>
      <c r="BK3" s="31" t="s">
        <v>191</v>
      </c>
      <c r="BL3" s="31" t="s">
        <v>192</v>
      </c>
      <c r="BM3" s="31" t="s">
        <v>193</v>
      </c>
      <c r="BN3" s="31" t="s">
        <v>194</v>
      </c>
      <c r="BO3" s="31" t="s">
        <v>195</v>
      </c>
      <c r="BP3" s="31" t="s">
        <v>196</v>
      </c>
      <c r="BQ3" s="31" t="s">
        <v>197</v>
      </c>
      <c r="BR3" s="31" t="s">
        <v>198</v>
      </c>
      <c r="BS3" s="31" t="s">
        <v>199</v>
      </c>
      <c r="BT3" s="31" t="s">
        <v>200</v>
      </c>
      <c r="BU3" s="31" t="s">
        <v>201</v>
      </c>
      <c r="BV3" s="31" t="s">
        <v>202</v>
      </c>
      <c r="BW3" s="31" t="s">
        <v>203</v>
      </c>
      <c r="BX3" s="31" t="s">
        <v>204</v>
      </c>
      <c r="BY3" s="31" t="s">
        <v>205</v>
      </c>
      <c r="BZ3" s="31" t="s">
        <v>206</v>
      </c>
      <c r="CA3" s="31" t="s">
        <v>207</v>
      </c>
      <c r="CB3" s="31" t="s">
        <v>208</v>
      </c>
      <c r="CC3" s="31" t="s">
        <v>209</v>
      </c>
      <c r="CD3" s="31" t="s">
        <v>210</v>
      </c>
      <c r="CE3" s="31" t="s">
        <v>211</v>
      </c>
      <c r="CF3" s="31" t="s">
        <v>212</v>
      </c>
      <c r="CG3" s="31" t="s">
        <v>213</v>
      </c>
      <c r="CH3" s="31" t="s">
        <v>214</v>
      </c>
      <c r="CI3" s="31" t="s">
        <v>215</v>
      </c>
      <c r="CJ3" s="31" t="s">
        <v>216</v>
      </c>
      <c r="CK3" s="31" t="s">
        <v>217</v>
      </c>
      <c r="CL3" s="31" t="s">
        <v>218</v>
      </c>
      <c r="CM3" s="31" t="s">
        <v>219</v>
      </c>
      <c r="CN3" s="31" t="s">
        <v>220</v>
      </c>
      <c r="CO3" s="31" t="s">
        <v>221</v>
      </c>
      <c r="CP3" s="31" t="s">
        <v>222</v>
      </c>
      <c r="CQ3" s="31" t="s">
        <v>223</v>
      </c>
      <c r="CR3" s="31" t="s">
        <v>224</v>
      </c>
      <c r="CS3" s="31" t="s">
        <v>225</v>
      </c>
      <c r="CT3" s="31" t="s">
        <v>226</v>
      </c>
      <c r="CU3" s="31" t="s">
        <v>227</v>
      </c>
      <c r="CV3" s="31" t="s">
        <v>228</v>
      </c>
      <c r="CW3" s="31" t="s">
        <v>229</v>
      </c>
      <c r="CX3" s="31" t="s">
        <v>230</v>
      </c>
      <c r="CY3" s="31" t="s">
        <v>231</v>
      </c>
      <c r="CZ3" s="31" t="s">
        <v>232</v>
      </c>
      <c r="DA3" s="31" t="s">
        <v>233</v>
      </c>
      <c r="DB3" s="31" t="s">
        <v>234</v>
      </c>
      <c r="DC3" s="31" t="s">
        <v>235</v>
      </c>
      <c r="DD3" s="31" t="s">
        <v>236</v>
      </c>
      <c r="DE3" s="31" t="s">
        <v>237</v>
      </c>
      <c r="DF3" s="31" t="s">
        <v>238</v>
      </c>
      <c r="DG3" s="31" t="s">
        <v>239</v>
      </c>
      <c r="DH3" s="31" t="s">
        <v>240</v>
      </c>
      <c r="DI3" s="31" t="s">
        <v>241</v>
      </c>
      <c r="DJ3" s="31" t="s">
        <v>242</v>
      </c>
      <c r="DK3" s="31" t="s">
        <v>243</v>
      </c>
      <c r="DL3" s="31" t="s">
        <v>244</v>
      </c>
      <c r="DM3" s="31" t="s">
        <v>245</v>
      </c>
      <c r="DN3" s="31" t="s">
        <v>246</v>
      </c>
      <c r="DO3" s="31" t="s">
        <v>247</v>
      </c>
      <c r="DP3" s="31" t="s">
        <v>248</v>
      </c>
      <c r="DQ3" s="31" t="s">
        <v>309</v>
      </c>
      <c r="DR3" s="31" t="s">
        <v>310</v>
      </c>
      <c r="DS3" s="31" t="s">
        <v>311</v>
      </c>
      <c r="DT3" s="31" t="s">
        <v>312</v>
      </c>
      <c r="DU3" s="31" t="s">
        <v>313</v>
      </c>
      <c r="DV3" s="31" t="s">
        <v>314</v>
      </c>
      <c r="DW3" s="31" t="s">
        <v>315</v>
      </c>
      <c r="DX3" s="31" t="s">
        <v>316</v>
      </c>
      <c r="DY3" s="31" t="s">
        <v>317</v>
      </c>
      <c r="DZ3" s="31" t="s">
        <v>318</v>
      </c>
      <c r="EA3" s="31" t="s">
        <v>319</v>
      </c>
      <c r="EB3" s="31" t="s">
        <v>320</v>
      </c>
      <c r="EC3" s="31" t="s">
        <v>321</v>
      </c>
      <c r="ED3" s="31" t="s">
        <v>322</v>
      </c>
      <c r="EE3" s="31" t="s">
        <v>323</v>
      </c>
      <c r="EF3" s="31" t="s">
        <v>324</v>
      </c>
      <c r="EG3" s="31" t="s">
        <v>325</v>
      </c>
      <c r="EH3" s="31" t="s">
        <v>326</v>
      </c>
      <c r="EI3" s="31" t="s">
        <v>327</v>
      </c>
      <c r="EJ3" s="31" t="s">
        <v>328</v>
      </c>
      <c r="EK3" s="31" t="s">
        <v>329</v>
      </c>
      <c r="EL3" s="31" t="s">
        <v>330</v>
      </c>
      <c r="EM3" s="31" t="s">
        <v>331</v>
      </c>
      <c r="EN3" s="31" t="s">
        <v>332</v>
      </c>
      <c r="EO3" s="31" t="s">
        <v>333</v>
      </c>
      <c r="EP3" s="31" t="s">
        <v>334</v>
      </c>
      <c r="EQ3" s="31" t="s">
        <v>335</v>
      </c>
      <c r="ER3" s="31" t="s">
        <v>336</v>
      </c>
      <c r="ES3" s="31" t="s">
        <v>337</v>
      </c>
      <c r="ET3" s="31" t="s">
        <v>338</v>
      </c>
      <c r="EU3" s="31" t="s">
        <v>339</v>
      </c>
      <c r="EV3" s="31" t="s">
        <v>340</v>
      </c>
      <c r="EW3" s="31" t="s">
        <v>341</v>
      </c>
      <c r="EX3" s="31" t="s">
        <v>342</v>
      </c>
      <c r="EY3" s="31" t="s">
        <v>343</v>
      </c>
      <c r="EZ3" s="31" t="s">
        <v>344</v>
      </c>
      <c r="FA3" s="31" t="s">
        <v>345</v>
      </c>
      <c r="FB3" s="31" t="s">
        <v>346</v>
      </c>
      <c r="FC3" s="31" t="s">
        <v>347</v>
      </c>
      <c r="FD3" s="31" t="s">
        <v>348</v>
      </c>
      <c r="FE3" s="31" t="s">
        <v>349</v>
      </c>
      <c r="FF3" s="31" t="s">
        <v>350</v>
      </c>
      <c r="FG3" s="31" t="s">
        <v>351</v>
      </c>
      <c r="FH3" s="31" t="s">
        <v>352</v>
      </c>
      <c r="FI3" s="31" t="s">
        <v>353</v>
      </c>
      <c r="FJ3" s="31" t="s">
        <v>354</v>
      </c>
      <c r="FK3" s="31" t="s">
        <v>355</v>
      </c>
      <c r="FL3" s="31" t="s">
        <v>356</v>
      </c>
      <c r="FM3" s="31" t="s">
        <v>357</v>
      </c>
      <c r="FN3" s="31" t="s">
        <v>358</v>
      </c>
      <c r="FO3" s="123" t="s">
        <v>22</v>
      </c>
      <c r="FP3" s="123" t="s">
        <v>23</v>
      </c>
      <c r="FQ3" s="123" t="s">
        <v>24</v>
      </c>
      <c r="FR3" s="123" t="s">
        <v>25</v>
      </c>
      <c r="FS3" s="123" t="s">
        <v>26</v>
      </c>
      <c r="FT3" s="123" t="s">
        <v>27</v>
      </c>
      <c r="FU3" s="123" t="s">
        <v>28</v>
      </c>
      <c r="FV3" s="123" t="s">
        <v>29</v>
      </c>
      <c r="FW3" s="123" t="s">
        <v>30</v>
      </c>
      <c r="FX3" s="123" t="s">
        <v>31</v>
      </c>
      <c r="FY3" s="123" t="s">
        <v>32</v>
      </c>
      <c r="FZ3" s="123" t="s">
        <v>33</v>
      </c>
      <c r="GA3" s="123" t="s">
        <v>34</v>
      </c>
      <c r="GB3" s="123" t="s">
        <v>35</v>
      </c>
      <c r="GC3" s="123" t="s">
        <v>36</v>
      </c>
      <c r="GD3" s="123" t="s">
        <v>37</v>
      </c>
      <c r="GE3" s="123" t="s">
        <v>38</v>
      </c>
      <c r="GF3" s="123" t="s">
        <v>39</v>
      </c>
      <c r="GG3" s="123" t="s">
        <v>40</v>
      </c>
      <c r="GH3" s="123" t="s">
        <v>41</v>
      </c>
      <c r="GI3" s="123" t="s">
        <v>42</v>
      </c>
      <c r="GJ3" s="123" t="s">
        <v>43</v>
      </c>
      <c r="GK3" s="123" t="s">
        <v>44</v>
      </c>
      <c r="GL3" s="123" t="s">
        <v>45</v>
      </c>
      <c r="GM3" s="123" t="s">
        <v>46</v>
      </c>
      <c r="GN3" s="123" t="s">
        <v>47</v>
      </c>
      <c r="GO3" s="123" t="s">
        <v>48</v>
      </c>
      <c r="GP3" s="123" t="s">
        <v>49</v>
      </c>
      <c r="GQ3" s="123" t="s">
        <v>50</v>
      </c>
      <c r="GR3" s="123" t="s">
        <v>51</v>
      </c>
      <c r="GS3" s="123" t="s">
        <v>52</v>
      </c>
      <c r="GT3" s="123" t="s">
        <v>53</v>
      </c>
      <c r="GU3" s="123" t="s">
        <v>54</v>
      </c>
      <c r="GV3" s="123" t="s">
        <v>55</v>
      </c>
      <c r="GW3" s="123" t="s">
        <v>56</v>
      </c>
      <c r="GX3" s="123" t="s">
        <v>57</v>
      </c>
      <c r="GY3" s="123" t="s">
        <v>58</v>
      </c>
      <c r="GZ3" s="123" t="s">
        <v>59</v>
      </c>
      <c r="HA3" s="123" t="s">
        <v>60</v>
      </c>
      <c r="HB3" s="123" t="s">
        <v>61</v>
      </c>
      <c r="HC3" s="123" t="s">
        <v>62</v>
      </c>
      <c r="HD3" s="123" t="s">
        <v>63</v>
      </c>
      <c r="HE3" s="123" t="s">
        <v>64</v>
      </c>
      <c r="HF3" s="123" t="s">
        <v>65</v>
      </c>
      <c r="HG3" s="123" t="s">
        <v>66</v>
      </c>
      <c r="HH3" s="123" t="s">
        <v>67</v>
      </c>
      <c r="HI3" s="123" t="s">
        <v>68</v>
      </c>
      <c r="HJ3" s="123" t="s">
        <v>69</v>
      </c>
      <c r="HK3" s="123" t="s">
        <v>70</v>
      </c>
      <c r="HL3" s="123" t="s">
        <v>71</v>
      </c>
      <c r="HM3" s="123" t="s">
        <v>72</v>
      </c>
      <c r="HN3" s="123" t="s">
        <v>73</v>
      </c>
      <c r="HO3" s="123" t="s">
        <v>74</v>
      </c>
      <c r="HP3" s="123" t="s">
        <v>75</v>
      </c>
      <c r="HQ3" s="123" t="s">
        <v>76</v>
      </c>
      <c r="HR3" s="123" t="s">
        <v>77</v>
      </c>
      <c r="HS3" s="123" t="s">
        <v>78</v>
      </c>
      <c r="HT3" s="123" t="s">
        <v>79</v>
      </c>
      <c r="HU3" s="123" t="s">
        <v>80</v>
      </c>
      <c r="HV3" s="123" t="s">
        <v>81</v>
      </c>
      <c r="HW3" s="123" t="s">
        <v>82</v>
      </c>
      <c r="HX3" s="123" t="s">
        <v>83</v>
      </c>
      <c r="HY3" s="123" t="s">
        <v>84</v>
      </c>
      <c r="HZ3" s="123" t="s">
        <v>85</v>
      </c>
      <c r="IA3" s="123" t="s">
        <v>86</v>
      </c>
      <c r="IB3" s="123" t="s">
        <v>87</v>
      </c>
      <c r="IC3" s="123" t="s">
        <v>88</v>
      </c>
      <c r="ID3" s="123" t="s">
        <v>89</v>
      </c>
      <c r="IE3" s="123" t="s">
        <v>90</v>
      </c>
      <c r="IF3" s="123" t="s">
        <v>91</v>
      </c>
      <c r="IG3" s="123" t="s">
        <v>92</v>
      </c>
      <c r="IH3" s="123" t="s">
        <v>93</v>
      </c>
      <c r="II3" s="123" t="s">
        <v>94</v>
      </c>
      <c r="IJ3" s="123" t="s">
        <v>95</v>
      </c>
      <c r="IK3" s="123" t="s">
        <v>96</v>
      </c>
      <c r="IL3" s="123" t="s">
        <v>97</v>
      </c>
      <c r="IM3" s="123" t="s">
        <v>98</v>
      </c>
      <c r="IN3" s="123" t="s">
        <v>99</v>
      </c>
      <c r="IO3" s="123" t="s">
        <v>100</v>
      </c>
      <c r="IP3" s="123" t="s">
        <v>101</v>
      </c>
      <c r="IQ3" s="123" t="s">
        <v>102</v>
      </c>
      <c r="IR3" s="123" t="s">
        <v>103</v>
      </c>
      <c r="IS3" s="123" t="s">
        <v>104</v>
      </c>
      <c r="IT3" s="123" t="s">
        <v>105</v>
      </c>
      <c r="IU3" s="123" t="s">
        <v>106</v>
      </c>
      <c r="IV3" s="123" t="s">
        <v>107</v>
      </c>
      <c r="IW3" s="123" t="s">
        <v>108</v>
      </c>
      <c r="IX3" s="123" t="s">
        <v>109</v>
      </c>
      <c r="IY3" s="123" t="s">
        <v>110</v>
      </c>
      <c r="IZ3" s="123" t="s">
        <v>111</v>
      </c>
      <c r="JA3" s="123" t="s">
        <v>112</v>
      </c>
      <c r="JB3" s="123" t="s">
        <v>113</v>
      </c>
      <c r="JC3" s="123" t="s">
        <v>114</v>
      </c>
      <c r="JD3" s="123" t="s">
        <v>115</v>
      </c>
      <c r="JE3" s="123" t="s">
        <v>116</v>
      </c>
      <c r="JF3" s="123" t="s">
        <v>117</v>
      </c>
      <c r="JG3" s="123" t="s">
        <v>118</v>
      </c>
      <c r="JH3" s="123" t="s">
        <v>119</v>
      </c>
      <c r="JI3" s="123" t="s">
        <v>120</v>
      </c>
      <c r="JJ3" s="123" t="s">
        <v>121</v>
      </c>
      <c r="JK3" s="123" t="s">
        <v>122</v>
      </c>
      <c r="JL3" s="123" t="s">
        <v>123</v>
      </c>
      <c r="JM3" s="123" t="s">
        <v>124</v>
      </c>
      <c r="JN3" s="123" t="s">
        <v>125</v>
      </c>
      <c r="JO3" s="123" t="s">
        <v>126</v>
      </c>
      <c r="JP3" s="123" t="s">
        <v>127</v>
      </c>
      <c r="JQ3" s="123" t="s">
        <v>128</v>
      </c>
      <c r="JR3" s="123" t="s">
        <v>129</v>
      </c>
      <c r="JS3" s="123" t="s">
        <v>130</v>
      </c>
      <c r="JT3" s="123" t="s">
        <v>131</v>
      </c>
      <c r="JU3" s="123" t="s">
        <v>132</v>
      </c>
      <c r="JV3" s="123" t="s">
        <v>133</v>
      </c>
      <c r="JW3" s="123" t="s">
        <v>134</v>
      </c>
      <c r="JX3" s="123" t="s">
        <v>135</v>
      </c>
      <c r="JY3" s="123" t="s">
        <v>136</v>
      </c>
      <c r="JZ3" s="123" t="s">
        <v>359</v>
      </c>
      <c r="KA3" s="123" t="s">
        <v>360</v>
      </c>
      <c r="KB3" s="123" t="s">
        <v>361</v>
      </c>
      <c r="KC3" s="123" t="s">
        <v>362</v>
      </c>
      <c r="KD3" s="123" t="s">
        <v>363</v>
      </c>
      <c r="KE3" s="123" t="s">
        <v>364</v>
      </c>
      <c r="KF3" s="123" t="s">
        <v>365</v>
      </c>
      <c r="KG3" s="123" t="s">
        <v>366</v>
      </c>
      <c r="KH3" s="123" t="s">
        <v>367</v>
      </c>
      <c r="KI3" s="123" t="s">
        <v>368</v>
      </c>
      <c r="KJ3" s="123" t="s">
        <v>369</v>
      </c>
      <c r="KK3" s="123" t="s">
        <v>370</v>
      </c>
      <c r="KL3" s="123" t="s">
        <v>371</v>
      </c>
      <c r="KM3" s="123" t="s">
        <v>372</v>
      </c>
      <c r="KN3" s="123" t="s">
        <v>373</v>
      </c>
      <c r="KO3" s="123" t="s">
        <v>374</v>
      </c>
      <c r="KP3" s="123" t="s">
        <v>375</v>
      </c>
      <c r="KQ3" s="123" t="s">
        <v>376</v>
      </c>
      <c r="KR3" s="123" t="s">
        <v>377</v>
      </c>
      <c r="KS3" s="123" t="s">
        <v>378</v>
      </c>
      <c r="KT3" s="123" t="s">
        <v>379</v>
      </c>
      <c r="KU3" s="123" t="s">
        <v>380</v>
      </c>
      <c r="KV3" s="123" t="s">
        <v>381</v>
      </c>
      <c r="KW3" s="123" t="s">
        <v>382</v>
      </c>
      <c r="KX3" s="123" t="s">
        <v>383</v>
      </c>
      <c r="KY3" s="123" t="s">
        <v>384</v>
      </c>
      <c r="KZ3" s="123" t="s">
        <v>385</v>
      </c>
      <c r="LA3" s="123" t="s">
        <v>386</v>
      </c>
      <c r="LB3" s="123" t="s">
        <v>387</v>
      </c>
      <c r="LC3" s="123" t="s">
        <v>388</v>
      </c>
      <c r="LD3" s="123" t="s">
        <v>389</v>
      </c>
      <c r="LE3" s="123" t="s">
        <v>390</v>
      </c>
      <c r="LF3" s="123" t="s">
        <v>391</v>
      </c>
      <c r="LG3" s="123" t="s">
        <v>392</v>
      </c>
      <c r="LH3" s="123" t="s">
        <v>393</v>
      </c>
      <c r="LI3" s="123" t="s">
        <v>394</v>
      </c>
      <c r="LJ3" s="123" t="s">
        <v>395</v>
      </c>
      <c r="LK3" s="123" t="s">
        <v>396</v>
      </c>
      <c r="LL3" s="123" t="s">
        <v>397</v>
      </c>
      <c r="LM3" s="123" t="s">
        <v>398</v>
      </c>
      <c r="LN3" s="123" t="s">
        <v>399</v>
      </c>
      <c r="LO3" s="123" t="s">
        <v>400</v>
      </c>
      <c r="LP3" s="123" t="s">
        <v>401</v>
      </c>
      <c r="LQ3" s="123" t="s">
        <v>402</v>
      </c>
      <c r="LR3" s="123" t="s">
        <v>403</v>
      </c>
      <c r="LS3" s="123" t="s">
        <v>404</v>
      </c>
      <c r="LT3" s="123" t="s">
        <v>405</v>
      </c>
      <c r="LU3" s="123" t="s">
        <v>406</v>
      </c>
      <c r="LV3" s="123" t="s">
        <v>407</v>
      </c>
      <c r="LW3" s="123" t="s">
        <v>408</v>
      </c>
    </row>
    <row r="4" spans="1:335" ht="26.4" customHeight="1" x14ac:dyDescent="0.25">
      <c r="A4" s="24">
        <v>1</v>
      </c>
      <c r="B4" s="20"/>
      <c r="C4" s="5" t="str">
        <f>IF(ISBLANK(B4),"",VLOOKUP(B4,tbl_PLOs[],2,0))</f>
        <v/>
      </c>
      <c r="D4" s="102"/>
      <c r="E4" s="10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22"/>
      <c r="FO4" s="121" t="str">
        <f>IF(ISBLANK(tbl_task4[[คะแนนเต็ม]:[คะแนนเต็ม]]),"",(tbl_task4[1]/tbl_task4[[คะแนนเต็ม]:[คะแนนเต็ม]])*tbl_task4[[%]:[%]])</f>
        <v/>
      </c>
      <c r="FP4" s="121" t="str">
        <f>IF(ISBLANK(tbl_task4[[คะแนนเต็ม]:[คะแนนเต็ม]]),"",(tbl_task4[2]/tbl_task4[[คะแนนเต็ม]:[คะแนนเต็ม]])*tbl_task4[[%]:[%]])</f>
        <v/>
      </c>
      <c r="FQ4" s="121" t="str">
        <f>IF(ISBLANK(tbl_task4[[คะแนนเต็ม]:[คะแนนเต็ม]]),"",(tbl_task4[3]/tbl_task4[[คะแนนเต็ม]:[คะแนนเต็ม]])*tbl_task4[[%]:[%]])</f>
        <v/>
      </c>
      <c r="FR4" s="121" t="str">
        <f>IF(ISBLANK(tbl_task4[[คะแนนเต็ม]:[คะแนนเต็ม]]),"",(tbl_task4[4]/tbl_task4[[คะแนนเต็ม]:[คะแนนเต็ม]])*tbl_task4[[%]:[%]])</f>
        <v/>
      </c>
      <c r="FS4" s="121" t="str">
        <f>IF(ISBLANK(tbl_task4[[คะแนนเต็ม]:[คะแนนเต็ม]]),"",(tbl_task4[5]/tbl_task4[[คะแนนเต็ม]:[คะแนนเต็ม]])*tbl_task4[[%]:[%]])</f>
        <v/>
      </c>
      <c r="FT4" s="121" t="str">
        <f>IF(ISBLANK(tbl_task4[[คะแนนเต็ม]:[คะแนนเต็ม]]),"",(tbl_task4[6]/tbl_task4[[คะแนนเต็ม]:[คะแนนเต็ม]])*tbl_task4[[%]:[%]])</f>
        <v/>
      </c>
      <c r="FU4" s="121" t="str">
        <f>IF(ISBLANK(tbl_task4[[คะแนนเต็ม]:[คะแนนเต็ม]]),"",(tbl_task4[7]/tbl_task4[[คะแนนเต็ม]:[คะแนนเต็ม]])*tbl_task4[[%]:[%]])</f>
        <v/>
      </c>
      <c r="FV4" s="121" t="str">
        <f>IF(ISBLANK(tbl_task4[[คะแนนเต็ม]:[คะแนนเต็ม]]),"",(tbl_task4[8]/tbl_task4[[คะแนนเต็ม]:[คะแนนเต็ม]])*tbl_task4[[%]:[%]])</f>
        <v/>
      </c>
      <c r="FW4" s="121" t="str">
        <f>IF(ISBLANK(tbl_task4[[คะแนนเต็ม]:[คะแนนเต็ม]]),"",(tbl_task4[9]/tbl_task4[[คะแนนเต็ม]:[คะแนนเต็ม]])*tbl_task4[[%]:[%]])</f>
        <v/>
      </c>
      <c r="FX4" s="121" t="str">
        <f>IF(ISBLANK(tbl_task4[[คะแนนเต็ม]:[คะแนนเต็ม]]),"",(tbl_task4[10]/tbl_task4[[คะแนนเต็ม]:[คะแนนเต็ม]])*tbl_task4[[%]:[%]])</f>
        <v/>
      </c>
      <c r="FY4" s="121" t="str">
        <f>IF(ISBLANK(tbl_task4[[คะแนนเต็ม]:[คะแนนเต็ม]]),"",(tbl_task4[11]/tbl_task4[[คะแนนเต็ม]:[คะแนนเต็ม]])*tbl_task4[[%]:[%]])</f>
        <v/>
      </c>
      <c r="FZ4" s="121" t="str">
        <f>IF(ISBLANK(tbl_task4[[คะแนนเต็ม]:[คะแนนเต็ม]]),"",(tbl_task4[12]/tbl_task4[[คะแนนเต็ม]:[คะแนนเต็ม]])*tbl_task4[[%]:[%]])</f>
        <v/>
      </c>
      <c r="GA4" s="121" t="str">
        <f>IF(ISBLANK(tbl_task4[[คะแนนเต็ม]:[คะแนนเต็ม]]),"",(tbl_task4[13]/tbl_task4[[คะแนนเต็ม]:[คะแนนเต็ม]])*tbl_task4[[%]:[%]])</f>
        <v/>
      </c>
      <c r="GB4" s="121" t="str">
        <f>IF(ISBLANK(tbl_task4[[คะแนนเต็ม]:[คะแนนเต็ม]]),"",(tbl_task4[14]/tbl_task4[[คะแนนเต็ม]:[คะแนนเต็ม]])*tbl_task4[[%]:[%]])</f>
        <v/>
      </c>
      <c r="GC4" s="121" t="str">
        <f>IF(ISBLANK(tbl_task4[[คะแนนเต็ม]:[คะแนนเต็ม]]),"",(tbl_task4[15]/tbl_task4[[คะแนนเต็ม]:[คะแนนเต็ม]])*tbl_task4[[%]:[%]])</f>
        <v/>
      </c>
      <c r="GD4" s="121" t="str">
        <f>IF(ISBLANK(tbl_task4[[คะแนนเต็ม]:[คะแนนเต็ม]]),"",(tbl_task4[16]/tbl_task4[[คะแนนเต็ม]:[คะแนนเต็ม]])*tbl_task4[[%]:[%]])</f>
        <v/>
      </c>
      <c r="GE4" s="121" t="str">
        <f>IF(ISBLANK(tbl_task4[[คะแนนเต็ม]:[คะแนนเต็ม]]),"",(tbl_task4[17]/tbl_task4[[คะแนนเต็ม]:[คะแนนเต็ม]])*tbl_task4[[%]:[%]])</f>
        <v/>
      </c>
      <c r="GF4" s="121" t="str">
        <f>IF(ISBLANK(tbl_task4[[คะแนนเต็ม]:[คะแนนเต็ม]]),"",(tbl_task4[18]/tbl_task4[[คะแนนเต็ม]:[คะแนนเต็ม]])*tbl_task4[[%]:[%]])</f>
        <v/>
      </c>
      <c r="GG4" s="121" t="str">
        <f>IF(ISBLANK(tbl_task4[[คะแนนเต็ม]:[คะแนนเต็ม]]),"",(tbl_task4[19]/tbl_task4[[คะแนนเต็ม]:[คะแนนเต็ม]])*tbl_task4[[%]:[%]])</f>
        <v/>
      </c>
      <c r="GH4" s="121" t="str">
        <f>IF(ISBLANK(tbl_task4[[คะแนนเต็ม]:[คะแนนเต็ม]]),"",(tbl_task4[20]/tbl_task4[[คะแนนเต็ม]:[คะแนนเต็ม]])*tbl_task4[[%]:[%]])</f>
        <v/>
      </c>
      <c r="GI4" s="121" t="str">
        <f>IF(ISBLANK(tbl_task4[[คะแนนเต็ม]:[คะแนนเต็ม]]),"",(tbl_task4[21]/tbl_task4[[คะแนนเต็ม]:[คะแนนเต็ม]])*tbl_task4[[%]:[%]])</f>
        <v/>
      </c>
      <c r="GJ4" s="121" t="str">
        <f>IF(ISBLANK(tbl_task4[[คะแนนเต็ม]:[คะแนนเต็ม]]),"",(tbl_task4[22]/tbl_task4[[คะแนนเต็ม]:[คะแนนเต็ม]])*tbl_task4[[%]:[%]])</f>
        <v/>
      </c>
      <c r="GK4" s="121" t="str">
        <f>IF(ISBLANK(tbl_task4[[คะแนนเต็ม]:[คะแนนเต็ม]]),"",(tbl_task4[23]/tbl_task4[[คะแนนเต็ม]:[คะแนนเต็ม]])*tbl_task4[[%]:[%]])</f>
        <v/>
      </c>
      <c r="GL4" s="121" t="str">
        <f>IF(ISBLANK(tbl_task4[[คะแนนเต็ม]:[คะแนนเต็ม]]),"",(tbl_task4[24]/tbl_task4[[คะแนนเต็ม]:[คะแนนเต็ม]])*tbl_task4[[%]:[%]])</f>
        <v/>
      </c>
      <c r="GM4" s="121" t="str">
        <f>IF(ISBLANK(tbl_task4[[คะแนนเต็ม]:[คะแนนเต็ม]]),"",(tbl_task4[25]/tbl_task4[[คะแนนเต็ม]:[คะแนนเต็ม]])*tbl_task4[[%]:[%]])</f>
        <v/>
      </c>
      <c r="GN4" s="121" t="str">
        <f>IF(ISBLANK(tbl_task4[[คะแนนเต็ม]:[คะแนนเต็ม]]),"",(tbl_task4[26]/tbl_task4[[คะแนนเต็ม]:[คะแนนเต็ม]])*tbl_task4[[%]:[%]])</f>
        <v/>
      </c>
      <c r="GO4" s="121" t="str">
        <f>IF(ISBLANK(tbl_task4[[คะแนนเต็ม]:[คะแนนเต็ม]]),"",(tbl_task4[27]/tbl_task4[[คะแนนเต็ม]:[คะแนนเต็ม]])*tbl_task4[[%]:[%]])</f>
        <v/>
      </c>
      <c r="GP4" s="121" t="str">
        <f>IF(ISBLANK(tbl_task4[[คะแนนเต็ม]:[คะแนนเต็ม]]),"",(tbl_task4[28]/tbl_task4[[คะแนนเต็ม]:[คะแนนเต็ม]])*tbl_task4[[%]:[%]])</f>
        <v/>
      </c>
      <c r="GQ4" s="121" t="str">
        <f>IF(ISBLANK(tbl_task4[[คะแนนเต็ม]:[คะแนนเต็ม]]),"",(tbl_task4[29]/tbl_task4[[คะแนนเต็ม]:[คะแนนเต็ม]])*tbl_task4[[%]:[%]])</f>
        <v/>
      </c>
      <c r="GR4" s="121" t="str">
        <f>IF(ISBLANK(tbl_task4[[คะแนนเต็ม]:[คะแนนเต็ม]]),"",(tbl_task4[30]/tbl_task4[[คะแนนเต็ม]:[คะแนนเต็ม]])*tbl_task4[[%]:[%]])</f>
        <v/>
      </c>
      <c r="GS4" s="121" t="str">
        <f>IF(ISBLANK(tbl_task4[[คะแนนเต็ม]:[คะแนนเต็ม]]),"",(tbl_task4[31]/tbl_task4[[คะแนนเต็ม]:[คะแนนเต็ม]])*tbl_task4[[%]:[%]])</f>
        <v/>
      </c>
      <c r="GT4" s="121" t="str">
        <f>IF(ISBLANK(tbl_task4[[คะแนนเต็ม]:[คะแนนเต็ม]]),"",(tbl_task4[32]/tbl_task4[[คะแนนเต็ม]:[คะแนนเต็ม]])*tbl_task4[[%]:[%]])</f>
        <v/>
      </c>
      <c r="GU4" s="121" t="str">
        <f>IF(ISBLANK(tbl_task4[[คะแนนเต็ม]:[คะแนนเต็ม]]),"",(tbl_task4[33]/tbl_task4[[คะแนนเต็ม]:[คะแนนเต็ม]])*tbl_task4[[%]:[%]])</f>
        <v/>
      </c>
      <c r="GV4" s="121" t="str">
        <f>IF(ISBLANK(tbl_task4[[คะแนนเต็ม]:[คะแนนเต็ม]]),"",(tbl_task4[34]/tbl_task4[[คะแนนเต็ม]:[คะแนนเต็ม]])*tbl_task4[[%]:[%]])</f>
        <v/>
      </c>
      <c r="GW4" s="121" t="str">
        <f>IF(ISBLANK(tbl_task4[[คะแนนเต็ม]:[คะแนนเต็ม]]),"",(tbl_task4[35]/tbl_task4[[คะแนนเต็ม]:[คะแนนเต็ม]])*tbl_task4[[%]:[%]])</f>
        <v/>
      </c>
      <c r="GX4" s="121" t="str">
        <f>IF(ISBLANK(tbl_task4[[คะแนนเต็ม]:[คะแนนเต็ม]]),"",(tbl_task4[36]/tbl_task4[[คะแนนเต็ม]:[คะแนนเต็ม]])*tbl_task4[[%]:[%]])</f>
        <v/>
      </c>
      <c r="GY4" s="121" t="str">
        <f>IF(ISBLANK(tbl_task4[[คะแนนเต็ม]:[คะแนนเต็ม]]),"",(tbl_task4[37]/tbl_task4[[คะแนนเต็ม]:[คะแนนเต็ม]])*tbl_task4[[%]:[%]])</f>
        <v/>
      </c>
      <c r="GZ4" s="121" t="str">
        <f>IF(ISBLANK(tbl_task4[[คะแนนเต็ม]:[คะแนนเต็ม]]),"",(tbl_task4[38]/tbl_task4[[คะแนนเต็ม]:[คะแนนเต็ม]])*tbl_task4[[%]:[%]])</f>
        <v/>
      </c>
      <c r="HA4" s="121" t="str">
        <f>IF(ISBLANK(tbl_task4[[คะแนนเต็ม]:[คะแนนเต็ม]]),"",(tbl_task4[39]/tbl_task4[[คะแนนเต็ม]:[คะแนนเต็ม]])*tbl_task4[[%]:[%]])</f>
        <v/>
      </c>
      <c r="HB4" s="121" t="str">
        <f>IF(ISBLANK(tbl_task4[[คะแนนเต็ม]:[คะแนนเต็ม]]),"",(tbl_task4[40]/tbl_task4[[คะแนนเต็ม]:[คะแนนเต็ม]])*tbl_task4[[%]:[%]])</f>
        <v/>
      </c>
      <c r="HC4" s="121" t="str">
        <f>IF(ISBLANK(tbl_task4[[คะแนนเต็ม]:[คะแนนเต็ม]]),"",(tbl_task4[41]/tbl_task4[[คะแนนเต็ม]:[คะแนนเต็ม]])*tbl_task4[[%]:[%]])</f>
        <v/>
      </c>
      <c r="HD4" s="121" t="str">
        <f>IF(ISBLANK(tbl_task4[[คะแนนเต็ม]:[คะแนนเต็ม]]),"",(tbl_task4[42]/tbl_task4[[คะแนนเต็ม]:[คะแนนเต็ม]])*tbl_task4[[%]:[%]])</f>
        <v/>
      </c>
      <c r="HE4" s="121" t="str">
        <f>IF(ISBLANK(tbl_task4[[คะแนนเต็ม]:[คะแนนเต็ม]]),"",(tbl_task4[43]/tbl_task4[[คะแนนเต็ม]:[คะแนนเต็ม]])*tbl_task4[[%]:[%]])</f>
        <v/>
      </c>
      <c r="HF4" s="121" t="str">
        <f>IF(ISBLANK(tbl_task4[[คะแนนเต็ม]:[คะแนนเต็ม]]),"",(tbl_task4[44]/tbl_task4[[คะแนนเต็ม]:[คะแนนเต็ม]])*tbl_task4[[%]:[%]])</f>
        <v/>
      </c>
      <c r="HG4" s="121" t="str">
        <f>IF(ISBLANK(tbl_task4[[คะแนนเต็ม]:[คะแนนเต็ม]]),"",(tbl_task4[45]/tbl_task4[[คะแนนเต็ม]:[คะแนนเต็ม]])*tbl_task4[[%]:[%]])</f>
        <v/>
      </c>
      <c r="HH4" s="121" t="str">
        <f>IF(ISBLANK(tbl_task4[[คะแนนเต็ม]:[คะแนนเต็ม]]),"",(tbl_task4[46]/tbl_task4[[คะแนนเต็ม]:[คะแนนเต็ม]])*tbl_task4[[%]:[%]])</f>
        <v/>
      </c>
      <c r="HI4" s="121" t="str">
        <f>IF(ISBLANK(tbl_task4[[คะแนนเต็ม]:[คะแนนเต็ม]]),"",(tbl_task4[47]/tbl_task4[[คะแนนเต็ม]:[คะแนนเต็ม]])*tbl_task4[[%]:[%]])</f>
        <v/>
      </c>
      <c r="HJ4" s="121" t="str">
        <f>IF(ISBLANK(tbl_task4[[คะแนนเต็ม]:[คะแนนเต็ม]]),"",(tbl_task4[48]/tbl_task4[[คะแนนเต็ม]:[คะแนนเต็ม]])*tbl_task4[[%]:[%]])</f>
        <v/>
      </c>
      <c r="HK4" s="121" t="str">
        <f>IF(ISBLANK(tbl_task4[[คะแนนเต็ม]:[คะแนนเต็ม]]),"",(tbl_task4[49]/tbl_task4[[คะแนนเต็ม]:[คะแนนเต็ม]])*tbl_task4[[%]:[%]])</f>
        <v/>
      </c>
      <c r="HL4" s="121" t="str">
        <f>IF(ISBLANK(tbl_task4[[คะแนนเต็ม]:[คะแนนเต็ม]]),"",(tbl_task4[50]/tbl_task4[[คะแนนเต็ม]:[คะแนนเต็ม]])*tbl_task4[[%]:[%]])</f>
        <v/>
      </c>
      <c r="HM4" s="121" t="str">
        <f>IF(ISBLANK(tbl_task4[[คะแนนเต็ม]:[คะแนนเต็ม]]),"",(tbl_task4[51]/tbl_task4[[คะแนนเต็ม]:[คะแนนเต็ม]])*tbl_task4[[%]:[%]])</f>
        <v/>
      </c>
      <c r="HN4" s="121" t="str">
        <f>IF(ISBLANK(tbl_task4[[คะแนนเต็ม]:[คะแนนเต็ม]]),"",(tbl_task4[52]/tbl_task4[[คะแนนเต็ม]:[คะแนนเต็ม]])*tbl_task4[[%]:[%]])</f>
        <v/>
      </c>
      <c r="HO4" s="121" t="str">
        <f>IF(ISBLANK(tbl_task4[[คะแนนเต็ม]:[คะแนนเต็ม]]),"",(tbl_task4[53]/tbl_task4[[คะแนนเต็ม]:[คะแนนเต็ม]])*tbl_task4[[%]:[%]])</f>
        <v/>
      </c>
      <c r="HP4" s="121" t="str">
        <f>IF(ISBLANK(tbl_task4[[คะแนนเต็ม]:[คะแนนเต็ม]]),"",(tbl_task4[54]/tbl_task4[[คะแนนเต็ม]:[คะแนนเต็ม]])*tbl_task4[[%]:[%]])</f>
        <v/>
      </c>
      <c r="HQ4" s="121" t="str">
        <f>IF(ISBLANK(tbl_task4[[คะแนนเต็ม]:[คะแนนเต็ม]]),"",(tbl_task4[55]/tbl_task4[[คะแนนเต็ม]:[คะแนนเต็ม]])*tbl_task4[[%]:[%]])</f>
        <v/>
      </c>
      <c r="HR4" s="121" t="str">
        <f>IF(ISBLANK(tbl_task4[[คะแนนเต็ม]:[คะแนนเต็ม]]),"",(tbl_task4[56]/tbl_task4[[คะแนนเต็ม]:[คะแนนเต็ม]])*tbl_task4[[%]:[%]])</f>
        <v/>
      </c>
      <c r="HS4" s="121" t="str">
        <f>IF(ISBLANK(tbl_task4[[คะแนนเต็ม]:[คะแนนเต็ม]]),"",(tbl_task4[57]/tbl_task4[[คะแนนเต็ม]:[คะแนนเต็ม]])*tbl_task4[[%]:[%]])</f>
        <v/>
      </c>
      <c r="HT4" s="121" t="str">
        <f>IF(ISBLANK(tbl_task4[[คะแนนเต็ม]:[คะแนนเต็ม]]),"",(tbl_task4[58]/tbl_task4[[คะแนนเต็ม]:[คะแนนเต็ม]])*tbl_task4[[%]:[%]])</f>
        <v/>
      </c>
      <c r="HU4" s="121" t="str">
        <f>IF(ISBLANK(tbl_task4[[คะแนนเต็ม]:[คะแนนเต็ม]]),"",(tbl_task4[59]/tbl_task4[[คะแนนเต็ม]:[คะแนนเต็ม]])*tbl_task4[[%]:[%]])</f>
        <v/>
      </c>
      <c r="HV4" s="121" t="str">
        <f>IF(ISBLANK(tbl_task4[[คะแนนเต็ม]:[คะแนนเต็ม]]),"",(tbl_task4[60]/tbl_task4[[คะแนนเต็ม]:[คะแนนเต็ม]])*tbl_task4[[%]:[%]])</f>
        <v/>
      </c>
      <c r="HW4" s="121" t="str">
        <f>IF(ISBLANK(tbl_task4[[คะแนนเต็ม]:[คะแนนเต็ม]]),"",(tbl_task4[61]/tbl_task4[[คะแนนเต็ม]:[คะแนนเต็ม]])*tbl_task4[[%]:[%]])</f>
        <v/>
      </c>
      <c r="HX4" s="121" t="str">
        <f>IF(ISBLANK(tbl_task4[[คะแนนเต็ม]:[คะแนนเต็ม]]),"",(tbl_task4[62]/tbl_task4[[คะแนนเต็ม]:[คะแนนเต็ม]])*tbl_task4[[%]:[%]])</f>
        <v/>
      </c>
      <c r="HY4" s="121" t="str">
        <f>IF(ISBLANK(tbl_task4[[คะแนนเต็ม]:[คะแนนเต็ม]]),"",(tbl_task4[63]/tbl_task4[[คะแนนเต็ม]:[คะแนนเต็ม]])*tbl_task4[[%]:[%]])</f>
        <v/>
      </c>
      <c r="HZ4" s="121" t="str">
        <f>IF(ISBLANK(tbl_task4[[คะแนนเต็ม]:[คะแนนเต็ม]]),"",(tbl_task4[64]/tbl_task4[[คะแนนเต็ม]:[คะแนนเต็ม]])*tbl_task4[[%]:[%]])</f>
        <v/>
      </c>
      <c r="IA4" s="121" t="str">
        <f>IF(ISBLANK(tbl_task4[[คะแนนเต็ม]:[คะแนนเต็ม]]),"",(tbl_task4[65]/tbl_task4[[คะแนนเต็ม]:[คะแนนเต็ม]])*tbl_task4[[%]:[%]])</f>
        <v/>
      </c>
      <c r="IB4" s="121" t="str">
        <f>IF(ISBLANK(tbl_task4[[คะแนนเต็ม]:[คะแนนเต็ม]]),"",(tbl_task4[66]/tbl_task4[[คะแนนเต็ม]:[คะแนนเต็ม]])*tbl_task4[[%]:[%]])</f>
        <v/>
      </c>
      <c r="IC4" s="121" t="str">
        <f>IF(ISBLANK(tbl_task4[[คะแนนเต็ม]:[คะแนนเต็ม]]),"",(tbl_task4[67]/tbl_task4[[คะแนนเต็ม]:[คะแนนเต็ม]])*tbl_task4[[%]:[%]])</f>
        <v/>
      </c>
      <c r="ID4" s="121" t="str">
        <f>IF(ISBLANK(tbl_task4[[คะแนนเต็ม]:[คะแนนเต็ม]]),"",(tbl_task4[68]/tbl_task4[[คะแนนเต็ม]:[คะแนนเต็ม]])*tbl_task4[[%]:[%]])</f>
        <v/>
      </c>
      <c r="IE4" s="121" t="str">
        <f>IF(ISBLANK(tbl_task4[[คะแนนเต็ม]:[คะแนนเต็ม]]),"",(tbl_task4[69]/tbl_task4[[คะแนนเต็ม]:[คะแนนเต็ม]])*tbl_task4[[%]:[%]])</f>
        <v/>
      </c>
      <c r="IF4" s="121" t="str">
        <f>IF(ISBLANK(tbl_task4[[คะแนนเต็ม]:[คะแนนเต็ม]]),"",(tbl_task4[70]/tbl_task4[[คะแนนเต็ม]:[คะแนนเต็ม]])*tbl_task4[[%]:[%]])</f>
        <v/>
      </c>
      <c r="IG4" s="121" t="str">
        <f>IF(ISBLANK(tbl_task4[[คะแนนเต็ม]:[คะแนนเต็ม]]),"",(tbl_task4[71]/tbl_task4[[คะแนนเต็ม]:[คะแนนเต็ม]])*tbl_task4[[%]:[%]])</f>
        <v/>
      </c>
      <c r="IH4" s="121" t="str">
        <f>IF(ISBLANK(tbl_task4[[คะแนนเต็ม]:[คะแนนเต็ม]]),"",(tbl_task4[72]/tbl_task4[[คะแนนเต็ม]:[คะแนนเต็ม]])*tbl_task4[[%]:[%]])</f>
        <v/>
      </c>
      <c r="II4" s="121" t="str">
        <f>IF(ISBLANK(tbl_task4[[คะแนนเต็ม]:[คะแนนเต็ม]]),"",(tbl_task4[73]/tbl_task4[[คะแนนเต็ม]:[คะแนนเต็ม]])*tbl_task4[[%]:[%]])</f>
        <v/>
      </c>
      <c r="IJ4" s="121" t="str">
        <f>IF(ISBLANK(tbl_task4[[คะแนนเต็ม]:[คะแนนเต็ม]]),"",(tbl_task4[74]/tbl_task4[[คะแนนเต็ม]:[คะแนนเต็ม]])*tbl_task4[[%]:[%]])</f>
        <v/>
      </c>
      <c r="IK4" s="121" t="str">
        <f>IF(ISBLANK(tbl_task4[[คะแนนเต็ม]:[คะแนนเต็ม]]),"",(tbl_task4[75]/tbl_task4[[คะแนนเต็ม]:[คะแนนเต็ม]])*tbl_task4[[%]:[%]])</f>
        <v/>
      </c>
      <c r="IL4" s="121" t="str">
        <f>IF(ISBLANK(tbl_task4[[คะแนนเต็ม]:[คะแนนเต็ม]]),"",(tbl_task4[76]/tbl_task4[[คะแนนเต็ม]:[คะแนนเต็ม]])*tbl_task4[[%]:[%]])</f>
        <v/>
      </c>
      <c r="IM4" s="121" t="str">
        <f>IF(ISBLANK(tbl_task4[[คะแนนเต็ม]:[คะแนนเต็ม]]),"",(tbl_task4[77]/tbl_task4[[คะแนนเต็ม]:[คะแนนเต็ม]])*tbl_task4[[%]:[%]])</f>
        <v/>
      </c>
      <c r="IN4" s="121" t="str">
        <f>IF(ISBLANK(tbl_task4[[คะแนนเต็ม]:[คะแนนเต็ม]]),"",(tbl_task4[78]/tbl_task4[[คะแนนเต็ม]:[คะแนนเต็ม]])*tbl_task4[[%]:[%]])</f>
        <v/>
      </c>
      <c r="IO4" s="121" t="str">
        <f>IF(ISBLANK(tbl_task4[[คะแนนเต็ม]:[คะแนนเต็ม]]),"",(tbl_task4[79]/tbl_task4[[คะแนนเต็ม]:[คะแนนเต็ม]])*tbl_task4[[%]:[%]])</f>
        <v/>
      </c>
      <c r="IP4" s="121" t="str">
        <f>IF(ISBLANK(tbl_task4[[คะแนนเต็ม]:[คะแนนเต็ม]]),"",(tbl_task4[80]/tbl_task4[[คะแนนเต็ม]:[คะแนนเต็ม]])*tbl_task4[[%]:[%]])</f>
        <v/>
      </c>
      <c r="IQ4" s="121" t="str">
        <f>IF(ISBLANK(tbl_task4[[คะแนนเต็ม]:[คะแนนเต็ม]]),"",(tbl_task4[81]/tbl_task4[[คะแนนเต็ม]:[คะแนนเต็ม]])*tbl_task4[[%]:[%]])</f>
        <v/>
      </c>
      <c r="IR4" s="121" t="str">
        <f>IF(ISBLANK(tbl_task4[[คะแนนเต็ม]:[คะแนนเต็ม]]),"",(tbl_task4[82]/tbl_task4[[คะแนนเต็ม]:[คะแนนเต็ม]])*tbl_task4[[%]:[%]])</f>
        <v/>
      </c>
      <c r="IS4" s="121" t="str">
        <f>IF(ISBLANK(tbl_task4[[คะแนนเต็ม]:[คะแนนเต็ม]]),"",(tbl_task4[83]/tbl_task4[[คะแนนเต็ม]:[คะแนนเต็ม]])*tbl_task4[[%]:[%]])</f>
        <v/>
      </c>
      <c r="IT4" s="121" t="str">
        <f>IF(ISBLANK(tbl_task4[[คะแนนเต็ม]:[คะแนนเต็ม]]),"",(tbl_task4[84]/tbl_task4[[คะแนนเต็ม]:[คะแนนเต็ม]])*tbl_task4[[%]:[%]])</f>
        <v/>
      </c>
      <c r="IU4" s="121" t="str">
        <f>IF(ISBLANK(tbl_task4[[คะแนนเต็ม]:[คะแนนเต็ม]]),"",(tbl_task4[85]/tbl_task4[[คะแนนเต็ม]:[คะแนนเต็ม]])*tbl_task4[[%]:[%]])</f>
        <v/>
      </c>
      <c r="IV4" s="121" t="str">
        <f>IF(ISBLANK(tbl_task4[[คะแนนเต็ม]:[คะแนนเต็ม]]),"",(tbl_task4[86]/tbl_task4[[คะแนนเต็ม]:[คะแนนเต็ม]])*tbl_task4[[%]:[%]])</f>
        <v/>
      </c>
      <c r="IW4" s="121" t="str">
        <f>IF(ISBLANK(tbl_task4[[คะแนนเต็ม]:[คะแนนเต็ม]]),"",(tbl_task4[87]/tbl_task4[[คะแนนเต็ม]:[คะแนนเต็ม]])*tbl_task4[[%]:[%]])</f>
        <v/>
      </c>
      <c r="IX4" s="121" t="str">
        <f>IF(ISBLANK(tbl_task4[[คะแนนเต็ม]:[คะแนนเต็ม]]),"",(tbl_task4[88]/tbl_task4[[คะแนนเต็ม]:[คะแนนเต็ม]])*tbl_task4[[%]:[%]])</f>
        <v/>
      </c>
      <c r="IY4" s="121" t="str">
        <f>IF(ISBLANK(tbl_task4[[คะแนนเต็ม]:[คะแนนเต็ม]]),"",(tbl_task4[89]/tbl_task4[[คะแนนเต็ม]:[คะแนนเต็ม]])*tbl_task4[[%]:[%]])</f>
        <v/>
      </c>
      <c r="IZ4" s="121" t="str">
        <f>IF(ISBLANK(tbl_task4[[คะแนนเต็ม]:[คะแนนเต็ม]]),"",(tbl_task4[90]/tbl_task4[[คะแนนเต็ม]:[คะแนนเต็ม]])*tbl_task4[[%]:[%]])</f>
        <v/>
      </c>
      <c r="JA4" s="121" t="str">
        <f>IF(ISBLANK(tbl_task4[[คะแนนเต็ม]:[คะแนนเต็ม]]),"",(tbl_task4[91]/tbl_task4[[คะแนนเต็ม]:[คะแนนเต็ม]])*tbl_task4[[%]:[%]])</f>
        <v/>
      </c>
      <c r="JB4" s="121" t="str">
        <f>IF(ISBLANK(tbl_task4[[คะแนนเต็ม]:[คะแนนเต็ม]]),"",(tbl_task4[92]/tbl_task4[[คะแนนเต็ม]:[คะแนนเต็ม]])*tbl_task4[[%]:[%]])</f>
        <v/>
      </c>
      <c r="JC4" s="121" t="str">
        <f>IF(ISBLANK(tbl_task4[[คะแนนเต็ม]:[คะแนนเต็ม]]),"",(tbl_task4[93]/tbl_task4[[คะแนนเต็ม]:[คะแนนเต็ม]])*tbl_task4[[%]:[%]])</f>
        <v/>
      </c>
      <c r="JD4" s="121" t="str">
        <f>IF(ISBLANK(tbl_task4[[คะแนนเต็ม]:[คะแนนเต็ม]]),"",(tbl_task4[94]/tbl_task4[[คะแนนเต็ม]:[คะแนนเต็ม]])*tbl_task4[[%]:[%]])</f>
        <v/>
      </c>
      <c r="JE4" s="121" t="str">
        <f>IF(ISBLANK(tbl_task4[[คะแนนเต็ม]:[คะแนนเต็ม]]),"",(tbl_task4[95]/tbl_task4[[คะแนนเต็ม]:[คะแนนเต็ม]])*tbl_task4[[%]:[%]])</f>
        <v/>
      </c>
      <c r="JF4" s="121" t="str">
        <f>IF(ISBLANK(tbl_task4[[คะแนนเต็ม]:[คะแนนเต็ม]]),"",(tbl_task4[96]/tbl_task4[[คะแนนเต็ม]:[คะแนนเต็ม]])*tbl_task4[[%]:[%]])</f>
        <v/>
      </c>
      <c r="JG4" s="121" t="str">
        <f>IF(ISBLANK(tbl_task4[[คะแนนเต็ม]:[คะแนนเต็ม]]),"",(tbl_task4[97]/tbl_task4[[คะแนนเต็ม]:[คะแนนเต็ม]])*tbl_task4[[%]:[%]])</f>
        <v/>
      </c>
      <c r="JH4" s="121" t="str">
        <f>IF(ISBLANK(tbl_task4[[คะแนนเต็ม]:[คะแนนเต็ม]]),"",(tbl_task4[98]/tbl_task4[[คะแนนเต็ม]:[คะแนนเต็ม]])*tbl_task4[[%]:[%]])</f>
        <v/>
      </c>
      <c r="JI4" s="121" t="str">
        <f>IF(ISBLANK(tbl_task4[[คะแนนเต็ม]:[คะแนนเต็ม]]),"",(tbl_task4[99]/tbl_task4[[คะแนนเต็ม]:[คะแนนเต็ม]])*tbl_task4[[%]:[%]])</f>
        <v/>
      </c>
      <c r="JJ4" s="121" t="str">
        <f>IF(ISBLANK(tbl_task4[[คะแนนเต็ม]:[คะแนนเต็ม]]),"",(tbl_task4[100]/tbl_task4[[คะแนนเต็ม]:[คะแนนเต็ม]])*tbl_task4[[%]:[%]])</f>
        <v/>
      </c>
      <c r="JK4" s="121" t="str">
        <f>IF(ISBLANK(tbl_task4[[คะแนนเต็ม]:[คะแนนเต็ม]]),"",(tbl_task4[101]/tbl_task4[[คะแนนเต็ม]:[คะแนนเต็ม]])*tbl_task4[[%]:[%]])</f>
        <v/>
      </c>
      <c r="JL4" s="121" t="str">
        <f>IF(ISBLANK(tbl_task4[[คะแนนเต็ม]:[คะแนนเต็ม]]),"",(tbl_task4[102]/tbl_task4[[คะแนนเต็ม]:[คะแนนเต็ม]])*tbl_task4[[%]:[%]])</f>
        <v/>
      </c>
      <c r="JM4" s="121" t="str">
        <f>IF(ISBLANK(tbl_task4[[คะแนนเต็ม]:[คะแนนเต็ม]]),"",(tbl_task4[103]/tbl_task4[[คะแนนเต็ม]:[คะแนนเต็ม]])*tbl_task4[[%]:[%]])</f>
        <v/>
      </c>
      <c r="JN4" s="121" t="str">
        <f>IF(ISBLANK(tbl_task4[[คะแนนเต็ม]:[คะแนนเต็ม]]),"",(tbl_task4[104]/tbl_task4[[คะแนนเต็ม]:[คะแนนเต็ม]])*tbl_task4[[%]:[%]])</f>
        <v/>
      </c>
      <c r="JO4" s="121" t="str">
        <f>IF(ISBLANK(tbl_task4[[คะแนนเต็ม]:[คะแนนเต็ม]]),"",(tbl_task4[105]/tbl_task4[[คะแนนเต็ม]:[คะแนนเต็ม]])*tbl_task4[[%]:[%]])</f>
        <v/>
      </c>
      <c r="JP4" s="121" t="str">
        <f>IF(ISBLANK(tbl_task4[[คะแนนเต็ม]:[คะแนนเต็ม]]),"",(tbl_task4[106]/tbl_task4[[คะแนนเต็ม]:[คะแนนเต็ม]])*tbl_task4[[%]:[%]])</f>
        <v/>
      </c>
      <c r="JQ4" s="121" t="str">
        <f>IF(ISBLANK(tbl_task4[[คะแนนเต็ม]:[คะแนนเต็ม]]),"",(tbl_task4[107]/tbl_task4[[คะแนนเต็ม]:[คะแนนเต็ม]])*tbl_task4[[%]:[%]])</f>
        <v/>
      </c>
      <c r="JR4" s="121" t="str">
        <f>IF(ISBLANK(tbl_task4[[คะแนนเต็ม]:[คะแนนเต็ม]]),"",(tbl_task4[108]/tbl_task4[[คะแนนเต็ม]:[คะแนนเต็ม]])*tbl_task4[[%]:[%]])</f>
        <v/>
      </c>
      <c r="JS4" s="121" t="str">
        <f>IF(ISBLANK(tbl_task4[[คะแนนเต็ม]:[คะแนนเต็ม]]),"",(tbl_task4[109]/tbl_task4[[คะแนนเต็ม]:[คะแนนเต็ม]])*tbl_task4[[%]:[%]])</f>
        <v/>
      </c>
      <c r="JT4" s="121" t="str">
        <f>IF(ISBLANK(tbl_task4[[คะแนนเต็ม]:[คะแนนเต็ม]]),"",(tbl_task4[110]/tbl_task4[[คะแนนเต็ม]:[คะแนนเต็ม]])*tbl_task4[[%]:[%]])</f>
        <v/>
      </c>
      <c r="JU4" s="121" t="str">
        <f>IF(ISBLANK(tbl_task4[[คะแนนเต็ม]:[คะแนนเต็ม]]),"",(tbl_task4[111]/tbl_task4[[คะแนนเต็ม]:[คะแนนเต็ม]])*tbl_task4[[%]:[%]])</f>
        <v/>
      </c>
      <c r="JV4" s="121" t="str">
        <f>IF(ISBLANK(tbl_task4[[คะแนนเต็ม]:[คะแนนเต็ม]]),"",(tbl_task4[112]/tbl_task4[[คะแนนเต็ม]:[คะแนนเต็ม]])*tbl_task4[[%]:[%]])</f>
        <v/>
      </c>
      <c r="JW4" s="121" t="str">
        <f>IF(ISBLANK(tbl_task4[[คะแนนเต็ม]:[คะแนนเต็ม]]),"",(tbl_task4[113]/tbl_task4[[คะแนนเต็ม]:[คะแนนเต็ม]])*tbl_task4[[%]:[%]])</f>
        <v/>
      </c>
      <c r="JX4" s="121" t="str">
        <f>IF(ISBLANK(tbl_task4[[คะแนนเต็ม]:[คะแนนเต็ม]]),"",(tbl_task4[114]/tbl_task4[[คะแนนเต็ม]:[คะแนนเต็ม]])*tbl_task4[[%]:[%]])</f>
        <v/>
      </c>
      <c r="JY4" s="121" t="str">
        <f>IF(ISBLANK(tbl_task4[[คะแนนเต็ม]:[คะแนนเต็ม]]),"",(tbl_task4[115]/tbl_task4[[คะแนนเต็ม]:[คะแนนเต็ม]])*tbl_task4[[%]:[%]])</f>
        <v/>
      </c>
      <c r="JZ4" s="121" t="str">
        <f>IF(ISBLANK(tbl_task4[[คะแนนเต็ม]:[คะแนนเต็ม]]),"",(tbl_task4[116]/tbl_task4[[คะแนนเต็ม]:[คะแนนเต็ม]])*tbl_task4[[%]:[%]])</f>
        <v/>
      </c>
      <c r="KA4" s="121" t="str">
        <f>IF(ISBLANK(tbl_task4[[คะแนนเต็ม]:[คะแนนเต็ม]]),"",(tbl_task4[117]/tbl_task4[[คะแนนเต็ม]:[คะแนนเต็ม]])*tbl_task4[[%]:[%]])</f>
        <v/>
      </c>
      <c r="KB4" s="121" t="str">
        <f>IF(ISBLANK(tbl_task4[[คะแนนเต็ม]:[คะแนนเต็ม]]),"",(tbl_task4[118]/tbl_task4[[คะแนนเต็ม]:[คะแนนเต็ม]])*tbl_task4[[%]:[%]])</f>
        <v/>
      </c>
      <c r="KC4" s="121" t="str">
        <f>IF(ISBLANK(tbl_task4[[คะแนนเต็ม]:[คะแนนเต็ม]]),"",(tbl_task4[119]/tbl_task4[[คะแนนเต็ม]:[คะแนนเต็ม]])*tbl_task4[[%]:[%]])</f>
        <v/>
      </c>
      <c r="KD4" s="121" t="str">
        <f>IF(ISBLANK(tbl_task4[[คะแนนเต็ม]:[คะแนนเต็ม]]),"",(tbl_task4[120]/tbl_task4[[คะแนนเต็ม]:[คะแนนเต็ม]])*tbl_task4[[%]:[%]])</f>
        <v/>
      </c>
      <c r="KE4" s="121" t="str">
        <f>IF(ISBLANK(tbl_task4[[คะแนนเต็ม]:[คะแนนเต็ม]]),"",(tbl_task4[121]/tbl_task4[[คะแนนเต็ม]:[คะแนนเต็ม]])*tbl_task4[[%]:[%]])</f>
        <v/>
      </c>
      <c r="KF4" s="121" t="str">
        <f>IF(ISBLANK(tbl_task4[[คะแนนเต็ม]:[คะแนนเต็ม]]),"",(tbl_task4[122]/tbl_task4[[คะแนนเต็ม]:[คะแนนเต็ม]])*tbl_task4[[%]:[%]])</f>
        <v/>
      </c>
      <c r="KG4" s="121" t="str">
        <f>IF(ISBLANK(tbl_task4[[คะแนนเต็ม]:[คะแนนเต็ม]]),"",(tbl_task4[123]/tbl_task4[[คะแนนเต็ม]:[คะแนนเต็ม]])*tbl_task4[[%]:[%]])</f>
        <v/>
      </c>
      <c r="KH4" s="121" t="str">
        <f>IF(ISBLANK(tbl_task4[[คะแนนเต็ม]:[คะแนนเต็ม]]),"",(tbl_task4[124]/tbl_task4[[คะแนนเต็ม]:[คะแนนเต็ม]])*tbl_task4[[%]:[%]])</f>
        <v/>
      </c>
      <c r="KI4" s="121" t="str">
        <f>IF(ISBLANK(tbl_task4[[คะแนนเต็ม]:[คะแนนเต็ม]]),"",(tbl_task4[125]/tbl_task4[[คะแนนเต็ม]:[คะแนนเต็ม]])*tbl_task4[[%]:[%]])</f>
        <v/>
      </c>
      <c r="KJ4" s="121" t="str">
        <f>IF(ISBLANK(tbl_task4[[คะแนนเต็ม]:[คะแนนเต็ม]]),"",(tbl_task4[126]/tbl_task4[[คะแนนเต็ม]:[คะแนนเต็ม]])*tbl_task4[[%]:[%]])</f>
        <v/>
      </c>
      <c r="KK4" s="121" t="str">
        <f>IF(ISBLANK(tbl_task4[[คะแนนเต็ม]:[คะแนนเต็ม]]),"",(tbl_task4[127]/tbl_task4[[คะแนนเต็ม]:[คะแนนเต็ม]])*tbl_task4[[%]:[%]])</f>
        <v/>
      </c>
      <c r="KL4" s="121" t="str">
        <f>IF(ISBLANK(tbl_task4[[คะแนนเต็ม]:[คะแนนเต็ม]]),"",(tbl_task4[128]/tbl_task4[[คะแนนเต็ม]:[คะแนนเต็ม]])*tbl_task4[[%]:[%]])</f>
        <v/>
      </c>
      <c r="KM4" s="121" t="str">
        <f>IF(ISBLANK(tbl_task4[[คะแนนเต็ม]:[คะแนนเต็ม]]),"",(tbl_task4[129]/tbl_task4[[คะแนนเต็ม]:[คะแนนเต็ม]])*tbl_task4[[%]:[%]])</f>
        <v/>
      </c>
      <c r="KN4" s="121" t="str">
        <f>IF(ISBLANK(tbl_task4[[คะแนนเต็ม]:[คะแนนเต็ม]]),"",(tbl_task4[130]/tbl_task4[[คะแนนเต็ม]:[คะแนนเต็ม]])*tbl_task4[[%]:[%]])</f>
        <v/>
      </c>
      <c r="KO4" s="121" t="str">
        <f>IF(ISBLANK(tbl_task4[[คะแนนเต็ม]:[คะแนนเต็ม]]),"",(tbl_task4[131]/tbl_task4[[คะแนนเต็ม]:[คะแนนเต็ม]])*tbl_task4[[%]:[%]])</f>
        <v/>
      </c>
      <c r="KP4" s="121" t="str">
        <f>IF(ISBLANK(tbl_task4[[คะแนนเต็ม]:[คะแนนเต็ม]]),"",(tbl_task4[132]/tbl_task4[[คะแนนเต็ม]:[คะแนนเต็ม]])*tbl_task4[[%]:[%]])</f>
        <v/>
      </c>
      <c r="KQ4" s="121" t="str">
        <f>IF(ISBLANK(tbl_task4[[คะแนนเต็ม]:[คะแนนเต็ม]]),"",(tbl_task4[133]/tbl_task4[[คะแนนเต็ม]:[คะแนนเต็ม]])*tbl_task4[[%]:[%]])</f>
        <v/>
      </c>
      <c r="KR4" s="121" t="str">
        <f>IF(ISBLANK(tbl_task4[[คะแนนเต็ม]:[คะแนนเต็ม]]),"",(tbl_task4[134]/tbl_task4[[คะแนนเต็ม]:[คะแนนเต็ม]])*tbl_task4[[%]:[%]])</f>
        <v/>
      </c>
      <c r="KS4" s="121" t="str">
        <f>IF(ISBLANK(tbl_task4[[คะแนนเต็ม]:[คะแนนเต็ม]]),"",(tbl_task4[135]/tbl_task4[[คะแนนเต็ม]:[คะแนนเต็ม]])*tbl_task4[[%]:[%]])</f>
        <v/>
      </c>
      <c r="KT4" s="121" t="str">
        <f>IF(ISBLANK(tbl_task4[[คะแนนเต็ม]:[คะแนนเต็ม]]),"",(tbl_task4[136]/tbl_task4[[คะแนนเต็ม]:[คะแนนเต็ม]])*tbl_task4[[%]:[%]])</f>
        <v/>
      </c>
      <c r="KU4" s="121" t="str">
        <f>IF(ISBLANK(tbl_task4[[คะแนนเต็ม]:[คะแนนเต็ม]]),"",(tbl_task4[137]/tbl_task4[[คะแนนเต็ม]:[คะแนนเต็ม]])*tbl_task4[[%]:[%]])</f>
        <v/>
      </c>
      <c r="KV4" s="121" t="str">
        <f>IF(ISBLANK(tbl_task4[[คะแนนเต็ม]:[คะแนนเต็ม]]),"",(tbl_task4[138]/tbl_task4[[คะแนนเต็ม]:[คะแนนเต็ม]])*tbl_task4[[%]:[%]])</f>
        <v/>
      </c>
      <c r="KW4" s="121" t="str">
        <f>IF(ISBLANK(tbl_task4[[คะแนนเต็ม]:[คะแนนเต็ม]]),"",(tbl_task4[139]/tbl_task4[[คะแนนเต็ม]:[คะแนนเต็ม]])*tbl_task4[[%]:[%]])</f>
        <v/>
      </c>
      <c r="KX4" s="121" t="str">
        <f>IF(ISBLANK(tbl_task4[[คะแนนเต็ม]:[คะแนนเต็ม]]),"",(tbl_task4[140]/tbl_task4[[คะแนนเต็ม]:[คะแนนเต็ม]])*tbl_task4[[%]:[%]])</f>
        <v/>
      </c>
      <c r="KY4" s="121" t="str">
        <f>IF(ISBLANK(tbl_task4[[คะแนนเต็ม]:[คะแนนเต็ม]]),"",(tbl_task4[141]/tbl_task4[[คะแนนเต็ม]:[คะแนนเต็ม]])*tbl_task4[[%]:[%]])</f>
        <v/>
      </c>
      <c r="KZ4" s="121" t="str">
        <f>IF(ISBLANK(tbl_task4[[คะแนนเต็ม]:[คะแนนเต็ม]]),"",(tbl_task4[142]/tbl_task4[[คะแนนเต็ม]:[คะแนนเต็ม]])*tbl_task4[[%]:[%]])</f>
        <v/>
      </c>
      <c r="LA4" s="121" t="str">
        <f>IF(ISBLANK(tbl_task4[[คะแนนเต็ม]:[คะแนนเต็ม]]),"",(tbl_task4[143]/tbl_task4[[คะแนนเต็ม]:[คะแนนเต็ม]])*tbl_task4[[%]:[%]])</f>
        <v/>
      </c>
      <c r="LB4" s="121" t="str">
        <f>IF(ISBLANK(tbl_task4[[คะแนนเต็ม]:[คะแนนเต็ม]]),"",(tbl_task4[144]/tbl_task4[[คะแนนเต็ม]:[คะแนนเต็ม]])*tbl_task4[[%]:[%]])</f>
        <v/>
      </c>
      <c r="LC4" s="121" t="str">
        <f>IF(ISBLANK(tbl_task4[[คะแนนเต็ม]:[คะแนนเต็ม]]),"",(tbl_task4[145]/tbl_task4[[คะแนนเต็ม]:[คะแนนเต็ม]])*tbl_task4[[%]:[%]])</f>
        <v/>
      </c>
      <c r="LD4" s="121" t="str">
        <f>IF(ISBLANK(tbl_task4[[คะแนนเต็ม]:[คะแนนเต็ม]]),"",(tbl_task4[146]/tbl_task4[[คะแนนเต็ม]:[คะแนนเต็ม]])*tbl_task4[[%]:[%]])</f>
        <v/>
      </c>
      <c r="LE4" s="121" t="str">
        <f>IF(ISBLANK(tbl_task4[[คะแนนเต็ม]:[คะแนนเต็ม]]),"",(tbl_task4[147]/tbl_task4[[คะแนนเต็ม]:[คะแนนเต็ม]])*tbl_task4[[%]:[%]])</f>
        <v/>
      </c>
      <c r="LF4" s="121" t="str">
        <f>IF(ISBLANK(tbl_task4[[คะแนนเต็ม]:[คะแนนเต็ม]]),"",(tbl_task4[148]/tbl_task4[[คะแนนเต็ม]:[คะแนนเต็ม]])*tbl_task4[[%]:[%]])</f>
        <v/>
      </c>
      <c r="LG4" s="121" t="str">
        <f>IF(ISBLANK(tbl_task4[[คะแนนเต็ม]:[คะแนนเต็ม]]),"",(tbl_task4[149]/tbl_task4[[คะแนนเต็ม]:[คะแนนเต็ม]])*tbl_task4[[%]:[%]])</f>
        <v/>
      </c>
      <c r="LH4" s="121" t="str">
        <f>IF(ISBLANK(tbl_task4[[คะแนนเต็ม]:[คะแนนเต็ม]]),"",(tbl_task4[150]/tbl_task4[[คะแนนเต็ม]:[คะแนนเต็ม]])*tbl_task4[[%]:[%]])</f>
        <v/>
      </c>
      <c r="LI4" s="121" t="str">
        <f>IF(ISBLANK(tbl_task4[[คะแนนเต็ม]:[คะแนนเต็ม]]),"",(tbl_task4[151]/tbl_task4[[คะแนนเต็ม]:[คะแนนเต็ม]])*tbl_task4[[%]:[%]])</f>
        <v/>
      </c>
      <c r="LJ4" s="121" t="str">
        <f>IF(ISBLANK(tbl_task4[[คะแนนเต็ม]:[คะแนนเต็ม]]),"",(tbl_task4[152]/tbl_task4[[คะแนนเต็ม]:[คะแนนเต็ม]])*tbl_task4[[%]:[%]])</f>
        <v/>
      </c>
      <c r="LK4" s="121" t="str">
        <f>IF(ISBLANK(tbl_task4[[คะแนนเต็ม]:[คะแนนเต็ม]]),"",(tbl_task4[153]/tbl_task4[[คะแนนเต็ม]:[คะแนนเต็ม]])*tbl_task4[[%]:[%]])</f>
        <v/>
      </c>
      <c r="LL4" s="121" t="str">
        <f>IF(ISBLANK(tbl_task4[[คะแนนเต็ม]:[คะแนนเต็ม]]),"",(tbl_task4[154]/tbl_task4[[คะแนนเต็ม]:[คะแนนเต็ม]])*tbl_task4[[%]:[%]])</f>
        <v/>
      </c>
      <c r="LM4" s="121" t="str">
        <f>IF(ISBLANK(tbl_task4[[คะแนนเต็ม]:[คะแนนเต็ม]]),"",(tbl_task4[155]/tbl_task4[[คะแนนเต็ม]:[คะแนนเต็ม]])*tbl_task4[[%]:[%]])</f>
        <v/>
      </c>
      <c r="LN4" s="121" t="str">
        <f>IF(ISBLANK(tbl_task4[[คะแนนเต็ม]:[คะแนนเต็ม]]),"",(tbl_task4[156]/tbl_task4[[คะแนนเต็ม]:[คะแนนเต็ม]])*tbl_task4[[%]:[%]])</f>
        <v/>
      </c>
      <c r="LO4" s="121" t="str">
        <f>IF(ISBLANK(tbl_task4[[คะแนนเต็ม]:[คะแนนเต็ม]]),"",(tbl_task4[157]/tbl_task4[[คะแนนเต็ม]:[คะแนนเต็ม]])*tbl_task4[[%]:[%]])</f>
        <v/>
      </c>
      <c r="LP4" s="121" t="str">
        <f>IF(ISBLANK(tbl_task4[[คะแนนเต็ม]:[คะแนนเต็ม]]),"",(tbl_task4[158]/tbl_task4[[คะแนนเต็ม]:[คะแนนเต็ม]])*tbl_task4[[%]:[%]])</f>
        <v/>
      </c>
      <c r="LQ4" s="121" t="str">
        <f>IF(ISBLANK(tbl_task4[[คะแนนเต็ม]:[คะแนนเต็ม]]),"",(tbl_task4[159]/tbl_task4[[คะแนนเต็ม]:[คะแนนเต็ม]])*tbl_task4[[%]:[%]])</f>
        <v/>
      </c>
      <c r="LR4" s="121" t="str">
        <f>IF(ISBLANK(tbl_task4[[คะแนนเต็ม]:[คะแนนเต็ม]]),"",(tbl_task4[160]/tbl_task4[[คะแนนเต็ม]:[คะแนนเต็ม]])*tbl_task4[[%]:[%]])</f>
        <v/>
      </c>
      <c r="LS4" s="121" t="str">
        <f>IF(ISBLANK(tbl_task4[[คะแนนเต็ม]:[คะแนนเต็ม]]),"",(tbl_task4[161]/tbl_task4[[คะแนนเต็ม]:[คะแนนเต็ม]])*tbl_task4[[%]:[%]])</f>
        <v/>
      </c>
      <c r="LT4" s="121" t="str">
        <f>IF(ISBLANK(tbl_task4[[คะแนนเต็ม]:[คะแนนเต็ม]]),"",(tbl_task4[162]/tbl_task4[[คะแนนเต็ม]:[คะแนนเต็ม]])*tbl_task4[[%]:[%]])</f>
        <v/>
      </c>
      <c r="LU4" s="121" t="str">
        <f>IF(ISBLANK(tbl_task4[[คะแนนเต็ม]:[คะแนนเต็ม]]),"",(tbl_task4[163]/tbl_task4[[คะแนนเต็ม]:[คะแนนเต็ม]])*tbl_task4[[%]:[%]])</f>
        <v/>
      </c>
      <c r="LV4" s="121" t="str">
        <f>IF(ISBLANK(tbl_task4[[คะแนนเต็ม]:[คะแนนเต็ม]]),"",(tbl_task4[164]/tbl_task4[[คะแนนเต็ม]:[คะแนนเต็ม]])*tbl_task4[[%]:[%]])</f>
        <v/>
      </c>
      <c r="LW4" s="121" t="str">
        <f>IF(ISBLANK(tbl_task4[[คะแนนเต็ม]:[คะแนนเต็ม]]),"",(tbl_task4[165]/tbl_task4[[คะแนนเต็ม]:[คะแนนเต็ม]])*tbl_task4[[%]:[%]])</f>
        <v/>
      </c>
    </row>
    <row r="5" spans="1:335" ht="23.25" customHeight="1" x14ac:dyDescent="0.25">
      <c r="A5" s="24">
        <v>2</v>
      </c>
      <c r="B5" s="20"/>
      <c r="C5" s="5" t="str">
        <f>IF(ISBLANK(B5),"",VLOOKUP(B5,tbl_PLOs[],2,0))</f>
        <v/>
      </c>
      <c r="D5" s="102"/>
      <c r="E5" s="10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22"/>
      <c r="FO5" s="121" t="str">
        <f>IF(ISBLANK(tbl_task4[[คะแนนเต็ม]:[คะแนนเต็ม]]),"",(tbl_task4[1]/tbl_task4[[คะแนนเต็ม]:[คะแนนเต็ม]])*tbl_task4[[%]:[%]])</f>
        <v/>
      </c>
      <c r="FP5" s="121" t="str">
        <f>IF(ISBLANK(tbl_task4[[คะแนนเต็ม]:[คะแนนเต็ม]]),"",(tbl_task4[2]/tbl_task4[[คะแนนเต็ม]:[คะแนนเต็ม]])*tbl_task4[[%]:[%]])</f>
        <v/>
      </c>
      <c r="FQ5" s="121" t="str">
        <f>IF(ISBLANK(tbl_task4[[คะแนนเต็ม]:[คะแนนเต็ม]]),"",(tbl_task4[3]/tbl_task4[[คะแนนเต็ม]:[คะแนนเต็ม]])*tbl_task4[[%]:[%]])</f>
        <v/>
      </c>
      <c r="FR5" s="121" t="str">
        <f>IF(ISBLANK(tbl_task4[[คะแนนเต็ม]:[คะแนนเต็ม]]),"",(tbl_task4[4]/tbl_task4[[คะแนนเต็ม]:[คะแนนเต็ม]])*tbl_task4[[%]:[%]])</f>
        <v/>
      </c>
      <c r="FS5" s="121" t="str">
        <f>IF(ISBLANK(tbl_task4[[คะแนนเต็ม]:[คะแนนเต็ม]]),"",(tbl_task4[5]/tbl_task4[[คะแนนเต็ม]:[คะแนนเต็ม]])*tbl_task4[[%]:[%]])</f>
        <v/>
      </c>
      <c r="FT5" s="121" t="str">
        <f>IF(ISBLANK(tbl_task4[[คะแนนเต็ม]:[คะแนนเต็ม]]),"",(tbl_task4[6]/tbl_task4[[คะแนนเต็ม]:[คะแนนเต็ม]])*tbl_task4[[%]:[%]])</f>
        <v/>
      </c>
      <c r="FU5" s="121" t="str">
        <f>IF(ISBLANK(tbl_task4[[คะแนนเต็ม]:[คะแนนเต็ม]]),"",(tbl_task4[7]/tbl_task4[[คะแนนเต็ม]:[คะแนนเต็ม]])*tbl_task4[[%]:[%]])</f>
        <v/>
      </c>
      <c r="FV5" s="121" t="str">
        <f>IF(ISBLANK(tbl_task4[[คะแนนเต็ม]:[คะแนนเต็ม]]),"",(tbl_task4[8]/tbl_task4[[คะแนนเต็ม]:[คะแนนเต็ม]])*tbl_task4[[%]:[%]])</f>
        <v/>
      </c>
      <c r="FW5" s="121" t="str">
        <f>IF(ISBLANK(tbl_task4[[คะแนนเต็ม]:[คะแนนเต็ม]]),"",(tbl_task4[9]/tbl_task4[[คะแนนเต็ม]:[คะแนนเต็ม]])*tbl_task4[[%]:[%]])</f>
        <v/>
      </c>
      <c r="FX5" s="121" t="str">
        <f>IF(ISBLANK(tbl_task4[[คะแนนเต็ม]:[คะแนนเต็ม]]),"",(tbl_task4[10]/tbl_task4[[คะแนนเต็ม]:[คะแนนเต็ม]])*tbl_task4[[%]:[%]])</f>
        <v/>
      </c>
      <c r="FY5" s="121" t="str">
        <f>IF(ISBLANK(tbl_task4[[คะแนนเต็ม]:[คะแนนเต็ม]]),"",(tbl_task4[11]/tbl_task4[[คะแนนเต็ม]:[คะแนนเต็ม]])*tbl_task4[[%]:[%]])</f>
        <v/>
      </c>
      <c r="FZ5" s="121" t="str">
        <f>IF(ISBLANK(tbl_task4[[คะแนนเต็ม]:[คะแนนเต็ม]]),"",(tbl_task4[12]/tbl_task4[[คะแนนเต็ม]:[คะแนนเต็ม]])*tbl_task4[[%]:[%]])</f>
        <v/>
      </c>
      <c r="GA5" s="121" t="str">
        <f>IF(ISBLANK(tbl_task4[[คะแนนเต็ม]:[คะแนนเต็ม]]),"",(tbl_task4[13]/tbl_task4[[คะแนนเต็ม]:[คะแนนเต็ม]])*tbl_task4[[%]:[%]])</f>
        <v/>
      </c>
      <c r="GB5" s="121" t="str">
        <f>IF(ISBLANK(tbl_task4[[คะแนนเต็ม]:[คะแนนเต็ม]]),"",(tbl_task4[14]/tbl_task4[[คะแนนเต็ม]:[คะแนนเต็ม]])*tbl_task4[[%]:[%]])</f>
        <v/>
      </c>
      <c r="GC5" s="121" t="str">
        <f>IF(ISBLANK(tbl_task4[[คะแนนเต็ม]:[คะแนนเต็ม]]),"",(tbl_task4[15]/tbl_task4[[คะแนนเต็ม]:[คะแนนเต็ม]])*tbl_task4[[%]:[%]])</f>
        <v/>
      </c>
      <c r="GD5" s="121" t="str">
        <f>IF(ISBLANK(tbl_task4[[คะแนนเต็ม]:[คะแนนเต็ม]]),"",(tbl_task4[16]/tbl_task4[[คะแนนเต็ม]:[คะแนนเต็ม]])*tbl_task4[[%]:[%]])</f>
        <v/>
      </c>
      <c r="GE5" s="121" t="str">
        <f>IF(ISBLANK(tbl_task4[[คะแนนเต็ม]:[คะแนนเต็ม]]),"",(tbl_task4[17]/tbl_task4[[คะแนนเต็ม]:[คะแนนเต็ม]])*tbl_task4[[%]:[%]])</f>
        <v/>
      </c>
      <c r="GF5" s="121" t="str">
        <f>IF(ISBLANK(tbl_task4[[คะแนนเต็ม]:[คะแนนเต็ม]]),"",(tbl_task4[18]/tbl_task4[[คะแนนเต็ม]:[คะแนนเต็ม]])*tbl_task4[[%]:[%]])</f>
        <v/>
      </c>
      <c r="GG5" s="121" t="str">
        <f>IF(ISBLANK(tbl_task4[[คะแนนเต็ม]:[คะแนนเต็ม]]),"",(tbl_task4[19]/tbl_task4[[คะแนนเต็ม]:[คะแนนเต็ม]])*tbl_task4[[%]:[%]])</f>
        <v/>
      </c>
      <c r="GH5" s="121" t="str">
        <f>IF(ISBLANK(tbl_task4[[คะแนนเต็ม]:[คะแนนเต็ม]]),"",(tbl_task4[20]/tbl_task4[[คะแนนเต็ม]:[คะแนนเต็ม]])*tbl_task4[[%]:[%]])</f>
        <v/>
      </c>
      <c r="GI5" s="121" t="str">
        <f>IF(ISBLANK(tbl_task4[[คะแนนเต็ม]:[คะแนนเต็ม]]),"",(tbl_task4[21]/tbl_task4[[คะแนนเต็ม]:[คะแนนเต็ม]])*tbl_task4[[%]:[%]])</f>
        <v/>
      </c>
      <c r="GJ5" s="121" t="str">
        <f>IF(ISBLANK(tbl_task4[[คะแนนเต็ม]:[คะแนนเต็ม]]),"",(tbl_task4[22]/tbl_task4[[คะแนนเต็ม]:[คะแนนเต็ม]])*tbl_task4[[%]:[%]])</f>
        <v/>
      </c>
      <c r="GK5" s="121" t="str">
        <f>IF(ISBLANK(tbl_task4[[คะแนนเต็ม]:[คะแนนเต็ม]]),"",(tbl_task4[23]/tbl_task4[[คะแนนเต็ม]:[คะแนนเต็ม]])*tbl_task4[[%]:[%]])</f>
        <v/>
      </c>
      <c r="GL5" s="121" t="str">
        <f>IF(ISBLANK(tbl_task4[[คะแนนเต็ม]:[คะแนนเต็ม]]),"",(tbl_task4[24]/tbl_task4[[คะแนนเต็ม]:[คะแนนเต็ม]])*tbl_task4[[%]:[%]])</f>
        <v/>
      </c>
      <c r="GM5" s="121" t="str">
        <f>IF(ISBLANK(tbl_task4[[คะแนนเต็ม]:[คะแนนเต็ม]]),"",(tbl_task4[25]/tbl_task4[[คะแนนเต็ม]:[คะแนนเต็ม]])*tbl_task4[[%]:[%]])</f>
        <v/>
      </c>
      <c r="GN5" s="121" t="str">
        <f>IF(ISBLANK(tbl_task4[[คะแนนเต็ม]:[คะแนนเต็ม]]),"",(tbl_task4[26]/tbl_task4[[คะแนนเต็ม]:[คะแนนเต็ม]])*tbl_task4[[%]:[%]])</f>
        <v/>
      </c>
      <c r="GO5" s="121" t="str">
        <f>IF(ISBLANK(tbl_task4[[คะแนนเต็ม]:[คะแนนเต็ม]]),"",(tbl_task4[27]/tbl_task4[[คะแนนเต็ม]:[คะแนนเต็ม]])*tbl_task4[[%]:[%]])</f>
        <v/>
      </c>
      <c r="GP5" s="121" t="str">
        <f>IF(ISBLANK(tbl_task4[[คะแนนเต็ม]:[คะแนนเต็ม]]),"",(tbl_task4[28]/tbl_task4[[คะแนนเต็ม]:[คะแนนเต็ม]])*tbl_task4[[%]:[%]])</f>
        <v/>
      </c>
      <c r="GQ5" s="121" t="str">
        <f>IF(ISBLANK(tbl_task4[[คะแนนเต็ม]:[คะแนนเต็ม]]),"",(tbl_task4[29]/tbl_task4[[คะแนนเต็ม]:[คะแนนเต็ม]])*tbl_task4[[%]:[%]])</f>
        <v/>
      </c>
      <c r="GR5" s="121" t="str">
        <f>IF(ISBLANK(tbl_task4[[คะแนนเต็ม]:[คะแนนเต็ม]]),"",(tbl_task4[30]/tbl_task4[[คะแนนเต็ม]:[คะแนนเต็ม]])*tbl_task4[[%]:[%]])</f>
        <v/>
      </c>
      <c r="GS5" s="121" t="str">
        <f>IF(ISBLANK(tbl_task4[[คะแนนเต็ม]:[คะแนนเต็ม]]),"",(tbl_task4[31]/tbl_task4[[คะแนนเต็ม]:[คะแนนเต็ม]])*tbl_task4[[%]:[%]])</f>
        <v/>
      </c>
      <c r="GT5" s="121" t="str">
        <f>IF(ISBLANK(tbl_task4[[คะแนนเต็ม]:[คะแนนเต็ม]]),"",(tbl_task4[32]/tbl_task4[[คะแนนเต็ม]:[คะแนนเต็ม]])*tbl_task4[[%]:[%]])</f>
        <v/>
      </c>
      <c r="GU5" s="121" t="str">
        <f>IF(ISBLANK(tbl_task4[[คะแนนเต็ม]:[คะแนนเต็ม]]),"",(tbl_task4[33]/tbl_task4[[คะแนนเต็ม]:[คะแนนเต็ม]])*tbl_task4[[%]:[%]])</f>
        <v/>
      </c>
      <c r="GV5" s="121" t="str">
        <f>IF(ISBLANK(tbl_task4[[คะแนนเต็ม]:[คะแนนเต็ม]]),"",(tbl_task4[34]/tbl_task4[[คะแนนเต็ม]:[คะแนนเต็ม]])*tbl_task4[[%]:[%]])</f>
        <v/>
      </c>
      <c r="GW5" s="121" t="str">
        <f>IF(ISBLANK(tbl_task4[[คะแนนเต็ม]:[คะแนนเต็ม]]),"",(tbl_task4[35]/tbl_task4[[คะแนนเต็ม]:[คะแนนเต็ม]])*tbl_task4[[%]:[%]])</f>
        <v/>
      </c>
      <c r="GX5" s="121" t="str">
        <f>IF(ISBLANK(tbl_task4[[คะแนนเต็ม]:[คะแนนเต็ม]]),"",(tbl_task4[36]/tbl_task4[[คะแนนเต็ม]:[คะแนนเต็ม]])*tbl_task4[[%]:[%]])</f>
        <v/>
      </c>
      <c r="GY5" s="121" t="str">
        <f>IF(ISBLANK(tbl_task4[[คะแนนเต็ม]:[คะแนนเต็ม]]),"",(tbl_task4[37]/tbl_task4[[คะแนนเต็ม]:[คะแนนเต็ม]])*tbl_task4[[%]:[%]])</f>
        <v/>
      </c>
      <c r="GZ5" s="121" t="str">
        <f>IF(ISBLANK(tbl_task4[[คะแนนเต็ม]:[คะแนนเต็ม]]),"",(tbl_task4[38]/tbl_task4[[คะแนนเต็ม]:[คะแนนเต็ม]])*tbl_task4[[%]:[%]])</f>
        <v/>
      </c>
      <c r="HA5" s="121" t="str">
        <f>IF(ISBLANK(tbl_task4[[คะแนนเต็ม]:[คะแนนเต็ม]]),"",(tbl_task4[39]/tbl_task4[[คะแนนเต็ม]:[คะแนนเต็ม]])*tbl_task4[[%]:[%]])</f>
        <v/>
      </c>
      <c r="HB5" s="121" t="str">
        <f>IF(ISBLANK(tbl_task4[[คะแนนเต็ม]:[คะแนนเต็ม]]),"",(tbl_task4[40]/tbl_task4[[คะแนนเต็ม]:[คะแนนเต็ม]])*tbl_task4[[%]:[%]])</f>
        <v/>
      </c>
      <c r="HC5" s="121" t="str">
        <f>IF(ISBLANK(tbl_task4[[คะแนนเต็ม]:[คะแนนเต็ม]]),"",(tbl_task4[41]/tbl_task4[[คะแนนเต็ม]:[คะแนนเต็ม]])*tbl_task4[[%]:[%]])</f>
        <v/>
      </c>
      <c r="HD5" s="121" t="str">
        <f>IF(ISBLANK(tbl_task4[[คะแนนเต็ม]:[คะแนนเต็ม]]),"",(tbl_task4[42]/tbl_task4[[คะแนนเต็ม]:[คะแนนเต็ม]])*tbl_task4[[%]:[%]])</f>
        <v/>
      </c>
      <c r="HE5" s="121" t="str">
        <f>IF(ISBLANK(tbl_task4[[คะแนนเต็ม]:[คะแนนเต็ม]]),"",(tbl_task4[43]/tbl_task4[[คะแนนเต็ม]:[คะแนนเต็ม]])*tbl_task4[[%]:[%]])</f>
        <v/>
      </c>
      <c r="HF5" s="121" t="str">
        <f>IF(ISBLANK(tbl_task4[[คะแนนเต็ม]:[คะแนนเต็ม]]),"",(tbl_task4[44]/tbl_task4[[คะแนนเต็ม]:[คะแนนเต็ม]])*tbl_task4[[%]:[%]])</f>
        <v/>
      </c>
      <c r="HG5" s="121" t="str">
        <f>IF(ISBLANK(tbl_task4[[คะแนนเต็ม]:[คะแนนเต็ม]]),"",(tbl_task4[45]/tbl_task4[[คะแนนเต็ม]:[คะแนนเต็ม]])*tbl_task4[[%]:[%]])</f>
        <v/>
      </c>
      <c r="HH5" s="121" t="str">
        <f>IF(ISBLANK(tbl_task4[[คะแนนเต็ม]:[คะแนนเต็ม]]),"",(tbl_task4[46]/tbl_task4[[คะแนนเต็ม]:[คะแนนเต็ม]])*tbl_task4[[%]:[%]])</f>
        <v/>
      </c>
      <c r="HI5" s="121" t="str">
        <f>IF(ISBLANK(tbl_task4[[คะแนนเต็ม]:[คะแนนเต็ม]]),"",(tbl_task4[47]/tbl_task4[[คะแนนเต็ม]:[คะแนนเต็ม]])*tbl_task4[[%]:[%]])</f>
        <v/>
      </c>
      <c r="HJ5" s="121" t="str">
        <f>IF(ISBLANK(tbl_task4[[คะแนนเต็ม]:[คะแนนเต็ม]]),"",(tbl_task4[48]/tbl_task4[[คะแนนเต็ม]:[คะแนนเต็ม]])*tbl_task4[[%]:[%]])</f>
        <v/>
      </c>
      <c r="HK5" s="121" t="str">
        <f>IF(ISBLANK(tbl_task4[[คะแนนเต็ม]:[คะแนนเต็ม]]),"",(tbl_task4[49]/tbl_task4[[คะแนนเต็ม]:[คะแนนเต็ม]])*tbl_task4[[%]:[%]])</f>
        <v/>
      </c>
      <c r="HL5" s="121" t="str">
        <f>IF(ISBLANK(tbl_task4[[คะแนนเต็ม]:[คะแนนเต็ม]]),"",(tbl_task4[50]/tbl_task4[[คะแนนเต็ม]:[คะแนนเต็ม]])*tbl_task4[[%]:[%]])</f>
        <v/>
      </c>
      <c r="HM5" s="121" t="str">
        <f>IF(ISBLANK(tbl_task4[[คะแนนเต็ม]:[คะแนนเต็ม]]),"",(tbl_task4[51]/tbl_task4[[คะแนนเต็ม]:[คะแนนเต็ม]])*tbl_task4[[%]:[%]])</f>
        <v/>
      </c>
      <c r="HN5" s="121" t="str">
        <f>IF(ISBLANK(tbl_task4[[คะแนนเต็ม]:[คะแนนเต็ม]]),"",(tbl_task4[52]/tbl_task4[[คะแนนเต็ม]:[คะแนนเต็ม]])*tbl_task4[[%]:[%]])</f>
        <v/>
      </c>
      <c r="HO5" s="121" t="str">
        <f>IF(ISBLANK(tbl_task4[[คะแนนเต็ม]:[คะแนนเต็ม]]),"",(tbl_task4[53]/tbl_task4[[คะแนนเต็ม]:[คะแนนเต็ม]])*tbl_task4[[%]:[%]])</f>
        <v/>
      </c>
      <c r="HP5" s="121" t="str">
        <f>IF(ISBLANK(tbl_task4[[คะแนนเต็ม]:[คะแนนเต็ม]]),"",(tbl_task4[54]/tbl_task4[[คะแนนเต็ม]:[คะแนนเต็ม]])*tbl_task4[[%]:[%]])</f>
        <v/>
      </c>
      <c r="HQ5" s="121" t="str">
        <f>IF(ISBLANK(tbl_task4[[คะแนนเต็ม]:[คะแนนเต็ม]]),"",(tbl_task4[55]/tbl_task4[[คะแนนเต็ม]:[คะแนนเต็ม]])*tbl_task4[[%]:[%]])</f>
        <v/>
      </c>
      <c r="HR5" s="121" t="str">
        <f>IF(ISBLANK(tbl_task4[[คะแนนเต็ม]:[คะแนนเต็ม]]),"",(tbl_task4[56]/tbl_task4[[คะแนนเต็ม]:[คะแนนเต็ม]])*tbl_task4[[%]:[%]])</f>
        <v/>
      </c>
      <c r="HS5" s="121" t="str">
        <f>IF(ISBLANK(tbl_task4[[คะแนนเต็ม]:[คะแนนเต็ม]]),"",(tbl_task4[57]/tbl_task4[[คะแนนเต็ม]:[คะแนนเต็ม]])*tbl_task4[[%]:[%]])</f>
        <v/>
      </c>
      <c r="HT5" s="121" t="str">
        <f>IF(ISBLANK(tbl_task4[[คะแนนเต็ม]:[คะแนนเต็ม]]),"",(tbl_task4[58]/tbl_task4[[คะแนนเต็ม]:[คะแนนเต็ม]])*tbl_task4[[%]:[%]])</f>
        <v/>
      </c>
      <c r="HU5" s="121" t="str">
        <f>IF(ISBLANK(tbl_task4[[คะแนนเต็ม]:[คะแนนเต็ม]]),"",(tbl_task4[59]/tbl_task4[[คะแนนเต็ม]:[คะแนนเต็ม]])*tbl_task4[[%]:[%]])</f>
        <v/>
      </c>
      <c r="HV5" s="121" t="str">
        <f>IF(ISBLANK(tbl_task4[[คะแนนเต็ม]:[คะแนนเต็ม]]),"",(tbl_task4[60]/tbl_task4[[คะแนนเต็ม]:[คะแนนเต็ม]])*tbl_task4[[%]:[%]])</f>
        <v/>
      </c>
      <c r="HW5" s="121" t="str">
        <f>IF(ISBLANK(tbl_task4[[คะแนนเต็ม]:[คะแนนเต็ม]]),"",(tbl_task4[61]/tbl_task4[[คะแนนเต็ม]:[คะแนนเต็ม]])*tbl_task4[[%]:[%]])</f>
        <v/>
      </c>
      <c r="HX5" s="121" t="str">
        <f>IF(ISBLANK(tbl_task4[[คะแนนเต็ม]:[คะแนนเต็ม]]),"",(tbl_task4[62]/tbl_task4[[คะแนนเต็ม]:[คะแนนเต็ม]])*tbl_task4[[%]:[%]])</f>
        <v/>
      </c>
      <c r="HY5" s="121" t="str">
        <f>IF(ISBLANK(tbl_task4[[คะแนนเต็ม]:[คะแนนเต็ม]]),"",(tbl_task4[63]/tbl_task4[[คะแนนเต็ม]:[คะแนนเต็ม]])*tbl_task4[[%]:[%]])</f>
        <v/>
      </c>
      <c r="HZ5" s="121" t="str">
        <f>IF(ISBLANK(tbl_task4[[คะแนนเต็ม]:[คะแนนเต็ม]]),"",(tbl_task4[64]/tbl_task4[[คะแนนเต็ม]:[คะแนนเต็ม]])*tbl_task4[[%]:[%]])</f>
        <v/>
      </c>
      <c r="IA5" s="121" t="str">
        <f>IF(ISBLANK(tbl_task4[[คะแนนเต็ม]:[คะแนนเต็ม]]),"",(tbl_task4[65]/tbl_task4[[คะแนนเต็ม]:[คะแนนเต็ม]])*tbl_task4[[%]:[%]])</f>
        <v/>
      </c>
      <c r="IB5" s="121" t="str">
        <f>IF(ISBLANK(tbl_task4[[คะแนนเต็ม]:[คะแนนเต็ม]]),"",(tbl_task4[66]/tbl_task4[[คะแนนเต็ม]:[คะแนนเต็ม]])*tbl_task4[[%]:[%]])</f>
        <v/>
      </c>
      <c r="IC5" s="121" t="str">
        <f>IF(ISBLANK(tbl_task4[[คะแนนเต็ม]:[คะแนนเต็ม]]),"",(tbl_task4[67]/tbl_task4[[คะแนนเต็ม]:[คะแนนเต็ม]])*tbl_task4[[%]:[%]])</f>
        <v/>
      </c>
      <c r="ID5" s="121" t="str">
        <f>IF(ISBLANK(tbl_task4[[คะแนนเต็ม]:[คะแนนเต็ม]]),"",(tbl_task4[68]/tbl_task4[[คะแนนเต็ม]:[คะแนนเต็ม]])*tbl_task4[[%]:[%]])</f>
        <v/>
      </c>
      <c r="IE5" s="121" t="str">
        <f>IF(ISBLANK(tbl_task4[[คะแนนเต็ม]:[คะแนนเต็ม]]),"",(tbl_task4[69]/tbl_task4[[คะแนนเต็ม]:[คะแนนเต็ม]])*tbl_task4[[%]:[%]])</f>
        <v/>
      </c>
      <c r="IF5" s="121" t="str">
        <f>IF(ISBLANK(tbl_task4[[คะแนนเต็ม]:[คะแนนเต็ม]]),"",(tbl_task4[70]/tbl_task4[[คะแนนเต็ม]:[คะแนนเต็ม]])*tbl_task4[[%]:[%]])</f>
        <v/>
      </c>
      <c r="IG5" s="121" t="str">
        <f>IF(ISBLANK(tbl_task4[[คะแนนเต็ม]:[คะแนนเต็ม]]),"",(tbl_task4[71]/tbl_task4[[คะแนนเต็ม]:[คะแนนเต็ม]])*tbl_task4[[%]:[%]])</f>
        <v/>
      </c>
      <c r="IH5" s="121" t="str">
        <f>IF(ISBLANK(tbl_task4[[คะแนนเต็ม]:[คะแนนเต็ม]]),"",(tbl_task4[72]/tbl_task4[[คะแนนเต็ม]:[คะแนนเต็ม]])*tbl_task4[[%]:[%]])</f>
        <v/>
      </c>
      <c r="II5" s="121" t="str">
        <f>IF(ISBLANK(tbl_task4[[คะแนนเต็ม]:[คะแนนเต็ม]]),"",(tbl_task4[73]/tbl_task4[[คะแนนเต็ม]:[คะแนนเต็ม]])*tbl_task4[[%]:[%]])</f>
        <v/>
      </c>
      <c r="IJ5" s="121" t="str">
        <f>IF(ISBLANK(tbl_task4[[คะแนนเต็ม]:[คะแนนเต็ม]]),"",(tbl_task4[74]/tbl_task4[[คะแนนเต็ม]:[คะแนนเต็ม]])*tbl_task4[[%]:[%]])</f>
        <v/>
      </c>
      <c r="IK5" s="121" t="str">
        <f>IF(ISBLANK(tbl_task4[[คะแนนเต็ม]:[คะแนนเต็ม]]),"",(tbl_task4[75]/tbl_task4[[คะแนนเต็ม]:[คะแนนเต็ม]])*tbl_task4[[%]:[%]])</f>
        <v/>
      </c>
      <c r="IL5" s="121" t="str">
        <f>IF(ISBLANK(tbl_task4[[คะแนนเต็ม]:[คะแนนเต็ม]]),"",(tbl_task4[76]/tbl_task4[[คะแนนเต็ม]:[คะแนนเต็ม]])*tbl_task4[[%]:[%]])</f>
        <v/>
      </c>
      <c r="IM5" s="121" t="str">
        <f>IF(ISBLANK(tbl_task4[[คะแนนเต็ม]:[คะแนนเต็ม]]),"",(tbl_task4[77]/tbl_task4[[คะแนนเต็ม]:[คะแนนเต็ม]])*tbl_task4[[%]:[%]])</f>
        <v/>
      </c>
      <c r="IN5" s="121" t="str">
        <f>IF(ISBLANK(tbl_task4[[คะแนนเต็ม]:[คะแนนเต็ม]]),"",(tbl_task4[78]/tbl_task4[[คะแนนเต็ม]:[คะแนนเต็ม]])*tbl_task4[[%]:[%]])</f>
        <v/>
      </c>
      <c r="IO5" s="121" t="str">
        <f>IF(ISBLANK(tbl_task4[[คะแนนเต็ม]:[คะแนนเต็ม]]),"",(tbl_task4[79]/tbl_task4[[คะแนนเต็ม]:[คะแนนเต็ม]])*tbl_task4[[%]:[%]])</f>
        <v/>
      </c>
      <c r="IP5" s="121" t="str">
        <f>IF(ISBLANK(tbl_task4[[คะแนนเต็ม]:[คะแนนเต็ม]]),"",(tbl_task4[80]/tbl_task4[[คะแนนเต็ม]:[คะแนนเต็ม]])*tbl_task4[[%]:[%]])</f>
        <v/>
      </c>
      <c r="IQ5" s="121" t="str">
        <f>IF(ISBLANK(tbl_task4[[คะแนนเต็ม]:[คะแนนเต็ม]]),"",(tbl_task4[81]/tbl_task4[[คะแนนเต็ม]:[คะแนนเต็ม]])*tbl_task4[[%]:[%]])</f>
        <v/>
      </c>
      <c r="IR5" s="121" t="str">
        <f>IF(ISBLANK(tbl_task4[[คะแนนเต็ม]:[คะแนนเต็ม]]),"",(tbl_task4[82]/tbl_task4[[คะแนนเต็ม]:[คะแนนเต็ม]])*tbl_task4[[%]:[%]])</f>
        <v/>
      </c>
      <c r="IS5" s="121" t="str">
        <f>IF(ISBLANK(tbl_task4[[คะแนนเต็ม]:[คะแนนเต็ม]]),"",(tbl_task4[83]/tbl_task4[[คะแนนเต็ม]:[คะแนนเต็ม]])*tbl_task4[[%]:[%]])</f>
        <v/>
      </c>
      <c r="IT5" s="121" t="str">
        <f>IF(ISBLANK(tbl_task4[[คะแนนเต็ม]:[คะแนนเต็ม]]),"",(tbl_task4[84]/tbl_task4[[คะแนนเต็ม]:[คะแนนเต็ม]])*tbl_task4[[%]:[%]])</f>
        <v/>
      </c>
      <c r="IU5" s="121" t="str">
        <f>IF(ISBLANK(tbl_task4[[คะแนนเต็ม]:[คะแนนเต็ม]]),"",(tbl_task4[85]/tbl_task4[[คะแนนเต็ม]:[คะแนนเต็ม]])*tbl_task4[[%]:[%]])</f>
        <v/>
      </c>
      <c r="IV5" s="121" t="str">
        <f>IF(ISBLANK(tbl_task4[[คะแนนเต็ม]:[คะแนนเต็ม]]),"",(tbl_task4[86]/tbl_task4[[คะแนนเต็ม]:[คะแนนเต็ม]])*tbl_task4[[%]:[%]])</f>
        <v/>
      </c>
      <c r="IW5" s="121" t="str">
        <f>IF(ISBLANK(tbl_task4[[คะแนนเต็ม]:[คะแนนเต็ม]]),"",(tbl_task4[87]/tbl_task4[[คะแนนเต็ม]:[คะแนนเต็ม]])*tbl_task4[[%]:[%]])</f>
        <v/>
      </c>
      <c r="IX5" s="121" t="str">
        <f>IF(ISBLANK(tbl_task4[[คะแนนเต็ม]:[คะแนนเต็ม]]),"",(tbl_task4[88]/tbl_task4[[คะแนนเต็ม]:[คะแนนเต็ม]])*tbl_task4[[%]:[%]])</f>
        <v/>
      </c>
      <c r="IY5" s="121" t="str">
        <f>IF(ISBLANK(tbl_task4[[คะแนนเต็ม]:[คะแนนเต็ม]]),"",(tbl_task4[89]/tbl_task4[[คะแนนเต็ม]:[คะแนนเต็ม]])*tbl_task4[[%]:[%]])</f>
        <v/>
      </c>
      <c r="IZ5" s="121" t="str">
        <f>IF(ISBLANK(tbl_task4[[คะแนนเต็ม]:[คะแนนเต็ม]]),"",(tbl_task4[90]/tbl_task4[[คะแนนเต็ม]:[คะแนนเต็ม]])*tbl_task4[[%]:[%]])</f>
        <v/>
      </c>
      <c r="JA5" s="121" t="str">
        <f>IF(ISBLANK(tbl_task4[[คะแนนเต็ม]:[คะแนนเต็ม]]),"",(tbl_task4[91]/tbl_task4[[คะแนนเต็ม]:[คะแนนเต็ม]])*tbl_task4[[%]:[%]])</f>
        <v/>
      </c>
      <c r="JB5" s="121" t="str">
        <f>IF(ISBLANK(tbl_task4[[คะแนนเต็ม]:[คะแนนเต็ม]]),"",(tbl_task4[92]/tbl_task4[[คะแนนเต็ม]:[คะแนนเต็ม]])*tbl_task4[[%]:[%]])</f>
        <v/>
      </c>
      <c r="JC5" s="121" t="str">
        <f>IF(ISBLANK(tbl_task4[[คะแนนเต็ม]:[คะแนนเต็ม]]),"",(tbl_task4[93]/tbl_task4[[คะแนนเต็ม]:[คะแนนเต็ม]])*tbl_task4[[%]:[%]])</f>
        <v/>
      </c>
      <c r="JD5" s="121" t="str">
        <f>IF(ISBLANK(tbl_task4[[คะแนนเต็ม]:[คะแนนเต็ม]]),"",(tbl_task4[94]/tbl_task4[[คะแนนเต็ม]:[คะแนนเต็ม]])*tbl_task4[[%]:[%]])</f>
        <v/>
      </c>
      <c r="JE5" s="121" t="str">
        <f>IF(ISBLANK(tbl_task4[[คะแนนเต็ม]:[คะแนนเต็ม]]),"",(tbl_task4[95]/tbl_task4[[คะแนนเต็ม]:[คะแนนเต็ม]])*tbl_task4[[%]:[%]])</f>
        <v/>
      </c>
      <c r="JF5" s="121" t="str">
        <f>IF(ISBLANK(tbl_task4[[คะแนนเต็ม]:[คะแนนเต็ม]]),"",(tbl_task4[96]/tbl_task4[[คะแนนเต็ม]:[คะแนนเต็ม]])*tbl_task4[[%]:[%]])</f>
        <v/>
      </c>
      <c r="JG5" s="121" t="str">
        <f>IF(ISBLANK(tbl_task4[[คะแนนเต็ม]:[คะแนนเต็ม]]),"",(tbl_task4[97]/tbl_task4[[คะแนนเต็ม]:[คะแนนเต็ม]])*tbl_task4[[%]:[%]])</f>
        <v/>
      </c>
      <c r="JH5" s="121" t="str">
        <f>IF(ISBLANK(tbl_task4[[คะแนนเต็ม]:[คะแนนเต็ม]]),"",(tbl_task4[98]/tbl_task4[[คะแนนเต็ม]:[คะแนนเต็ม]])*tbl_task4[[%]:[%]])</f>
        <v/>
      </c>
      <c r="JI5" s="121" t="str">
        <f>IF(ISBLANK(tbl_task4[[คะแนนเต็ม]:[คะแนนเต็ม]]),"",(tbl_task4[99]/tbl_task4[[คะแนนเต็ม]:[คะแนนเต็ม]])*tbl_task4[[%]:[%]])</f>
        <v/>
      </c>
      <c r="JJ5" s="121" t="str">
        <f>IF(ISBLANK(tbl_task4[[คะแนนเต็ม]:[คะแนนเต็ม]]),"",(tbl_task4[100]/tbl_task4[[คะแนนเต็ม]:[คะแนนเต็ม]])*tbl_task4[[%]:[%]])</f>
        <v/>
      </c>
      <c r="JK5" s="121" t="str">
        <f>IF(ISBLANK(tbl_task4[[คะแนนเต็ม]:[คะแนนเต็ม]]),"",(tbl_task4[101]/tbl_task4[[คะแนนเต็ม]:[คะแนนเต็ม]])*tbl_task4[[%]:[%]])</f>
        <v/>
      </c>
      <c r="JL5" s="121" t="str">
        <f>IF(ISBLANK(tbl_task4[[คะแนนเต็ม]:[คะแนนเต็ม]]),"",(tbl_task4[102]/tbl_task4[[คะแนนเต็ม]:[คะแนนเต็ม]])*tbl_task4[[%]:[%]])</f>
        <v/>
      </c>
      <c r="JM5" s="121" t="str">
        <f>IF(ISBLANK(tbl_task4[[คะแนนเต็ม]:[คะแนนเต็ม]]),"",(tbl_task4[103]/tbl_task4[[คะแนนเต็ม]:[คะแนนเต็ม]])*tbl_task4[[%]:[%]])</f>
        <v/>
      </c>
      <c r="JN5" s="121" t="str">
        <f>IF(ISBLANK(tbl_task4[[คะแนนเต็ม]:[คะแนนเต็ม]]),"",(tbl_task4[104]/tbl_task4[[คะแนนเต็ม]:[คะแนนเต็ม]])*tbl_task4[[%]:[%]])</f>
        <v/>
      </c>
      <c r="JO5" s="121" t="str">
        <f>IF(ISBLANK(tbl_task4[[คะแนนเต็ม]:[คะแนนเต็ม]]),"",(tbl_task4[105]/tbl_task4[[คะแนนเต็ม]:[คะแนนเต็ม]])*tbl_task4[[%]:[%]])</f>
        <v/>
      </c>
      <c r="JP5" s="121" t="str">
        <f>IF(ISBLANK(tbl_task4[[คะแนนเต็ม]:[คะแนนเต็ม]]),"",(tbl_task4[106]/tbl_task4[[คะแนนเต็ม]:[คะแนนเต็ม]])*tbl_task4[[%]:[%]])</f>
        <v/>
      </c>
      <c r="JQ5" s="121" t="str">
        <f>IF(ISBLANK(tbl_task4[[คะแนนเต็ม]:[คะแนนเต็ม]]),"",(tbl_task4[107]/tbl_task4[[คะแนนเต็ม]:[คะแนนเต็ม]])*tbl_task4[[%]:[%]])</f>
        <v/>
      </c>
      <c r="JR5" s="121" t="str">
        <f>IF(ISBLANK(tbl_task4[[คะแนนเต็ม]:[คะแนนเต็ม]]),"",(tbl_task4[108]/tbl_task4[[คะแนนเต็ม]:[คะแนนเต็ม]])*tbl_task4[[%]:[%]])</f>
        <v/>
      </c>
      <c r="JS5" s="121" t="str">
        <f>IF(ISBLANK(tbl_task4[[คะแนนเต็ม]:[คะแนนเต็ม]]),"",(tbl_task4[109]/tbl_task4[[คะแนนเต็ม]:[คะแนนเต็ม]])*tbl_task4[[%]:[%]])</f>
        <v/>
      </c>
      <c r="JT5" s="121" t="str">
        <f>IF(ISBLANK(tbl_task4[[คะแนนเต็ม]:[คะแนนเต็ม]]),"",(tbl_task4[110]/tbl_task4[[คะแนนเต็ม]:[คะแนนเต็ม]])*tbl_task4[[%]:[%]])</f>
        <v/>
      </c>
      <c r="JU5" s="121" t="str">
        <f>IF(ISBLANK(tbl_task4[[คะแนนเต็ม]:[คะแนนเต็ม]]),"",(tbl_task4[111]/tbl_task4[[คะแนนเต็ม]:[คะแนนเต็ม]])*tbl_task4[[%]:[%]])</f>
        <v/>
      </c>
      <c r="JV5" s="121" t="str">
        <f>IF(ISBLANK(tbl_task4[[คะแนนเต็ม]:[คะแนนเต็ม]]),"",(tbl_task4[112]/tbl_task4[[คะแนนเต็ม]:[คะแนนเต็ม]])*tbl_task4[[%]:[%]])</f>
        <v/>
      </c>
      <c r="JW5" s="121" t="str">
        <f>IF(ISBLANK(tbl_task4[[คะแนนเต็ม]:[คะแนนเต็ม]]),"",(tbl_task4[113]/tbl_task4[[คะแนนเต็ม]:[คะแนนเต็ม]])*tbl_task4[[%]:[%]])</f>
        <v/>
      </c>
      <c r="JX5" s="121" t="str">
        <f>IF(ISBLANK(tbl_task4[[คะแนนเต็ม]:[คะแนนเต็ม]]),"",(tbl_task4[114]/tbl_task4[[คะแนนเต็ม]:[คะแนนเต็ม]])*tbl_task4[[%]:[%]])</f>
        <v/>
      </c>
      <c r="JY5" s="121" t="str">
        <f>IF(ISBLANK(tbl_task4[[คะแนนเต็ม]:[คะแนนเต็ม]]),"",(tbl_task4[115]/tbl_task4[[คะแนนเต็ม]:[คะแนนเต็ม]])*tbl_task4[[%]:[%]])</f>
        <v/>
      </c>
      <c r="JZ5" s="121" t="str">
        <f>IF(ISBLANK(tbl_task4[[คะแนนเต็ม]:[คะแนนเต็ม]]),"",(tbl_task4[116]/tbl_task4[[คะแนนเต็ม]:[คะแนนเต็ม]])*tbl_task4[[%]:[%]])</f>
        <v/>
      </c>
      <c r="KA5" s="121" t="str">
        <f>IF(ISBLANK(tbl_task4[[คะแนนเต็ม]:[คะแนนเต็ม]]),"",(tbl_task4[117]/tbl_task4[[คะแนนเต็ม]:[คะแนนเต็ม]])*tbl_task4[[%]:[%]])</f>
        <v/>
      </c>
      <c r="KB5" s="121" t="str">
        <f>IF(ISBLANK(tbl_task4[[คะแนนเต็ม]:[คะแนนเต็ม]]),"",(tbl_task4[118]/tbl_task4[[คะแนนเต็ม]:[คะแนนเต็ม]])*tbl_task4[[%]:[%]])</f>
        <v/>
      </c>
      <c r="KC5" s="121" t="str">
        <f>IF(ISBLANK(tbl_task4[[คะแนนเต็ม]:[คะแนนเต็ม]]),"",(tbl_task4[119]/tbl_task4[[คะแนนเต็ม]:[คะแนนเต็ม]])*tbl_task4[[%]:[%]])</f>
        <v/>
      </c>
      <c r="KD5" s="121" t="str">
        <f>IF(ISBLANK(tbl_task4[[คะแนนเต็ม]:[คะแนนเต็ม]]),"",(tbl_task4[120]/tbl_task4[[คะแนนเต็ม]:[คะแนนเต็ม]])*tbl_task4[[%]:[%]])</f>
        <v/>
      </c>
      <c r="KE5" s="121" t="str">
        <f>IF(ISBLANK(tbl_task4[[คะแนนเต็ม]:[คะแนนเต็ม]]),"",(tbl_task4[121]/tbl_task4[[คะแนนเต็ม]:[คะแนนเต็ม]])*tbl_task4[[%]:[%]])</f>
        <v/>
      </c>
      <c r="KF5" s="121" t="str">
        <f>IF(ISBLANK(tbl_task4[[คะแนนเต็ม]:[คะแนนเต็ม]]),"",(tbl_task4[122]/tbl_task4[[คะแนนเต็ม]:[คะแนนเต็ม]])*tbl_task4[[%]:[%]])</f>
        <v/>
      </c>
      <c r="KG5" s="121" t="str">
        <f>IF(ISBLANK(tbl_task4[[คะแนนเต็ม]:[คะแนนเต็ม]]),"",(tbl_task4[123]/tbl_task4[[คะแนนเต็ม]:[คะแนนเต็ม]])*tbl_task4[[%]:[%]])</f>
        <v/>
      </c>
      <c r="KH5" s="121" t="str">
        <f>IF(ISBLANK(tbl_task4[[คะแนนเต็ม]:[คะแนนเต็ม]]),"",(tbl_task4[124]/tbl_task4[[คะแนนเต็ม]:[คะแนนเต็ม]])*tbl_task4[[%]:[%]])</f>
        <v/>
      </c>
      <c r="KI5" s="121" t="str">
        <f>IF(ISBLANK(tbl_task4[[คะแนนเต็ม]:[คะแนนเต็ม]]),"",(tbl_task4[125]/tbl_task4[[คะแนนเต็ม]:[คะแนนเต็ม]])*tbl_task4[[%]:[%]])</f>
        <v/>
      </c>
      <c r="KJ5" s="121" t="str">
        <f>IF(ISBLANK(tbl_task4[[คะแนนเต็ม]:[คะแนนเต็ม]]),"",(tbl_task4[126]/tbl_task4[[คะแนนเต็ม]:[คะแนนเต็ม]])*tbl_task4[[%]:[%]])</f>
        <v/>
      </c>
      <c r="KK5" s="121" t="str">
        <f>IF(ISBLANK(tbl_task4[[คะแนนเต็ม]:[คะแนนเต็ม]]),"",(tbl_task4[127]/tbl_task4[[คะแนนเต็ม]:[คะแนนเต็ม]])*tbl_task4[[%]:[%]])</f>
        <v/>
      </c>
      <c r="KL5" s="121" t="str">
        <f>IF(ISBLANK(tbl_task4[[คะแนนเต็ม]:[คะแนนเต็ม]]),"",(tbl_task4[128]/tbl_task4[[คะแนนเต็ม]:[คะแนนเต็ม]])*tbl_task4[[%]:[%]])</f>
        <v/>
      </c>
      <c r="KM5" s="121" t="str">
        <f>IF(ISBLANK(tbl_task4[[คะแนนเต็ม]:[คะแนนเต็ม]]),"",(tbl_task4[129]/tbl_task4[[คะแนนเต็ม]:[คะแนนเต็ม]])*tbl_task4[[%]:[%]])</f>
        <v/>
      </c>
      <c r="KN5" s="121" t="str">
        <f>IF(ISBLANK(tbl_task4[[คะแนนเต็ม]:[คะแนนเต็ม]]),"",(tbl_task4[130]/tbl_task4[[คะแนนเต็ม]:[คะแนนเต็ม]])*tbl_task4[[%]:[%]])</f>
        <v/>
      </c>
      <c r="KO5" s="121" t="str">
        <f>IF(ISBLANK(tbl_task4[[คะแนนเต็ม]:[คะแนนเต็ม]]),"",(tbl_task4[131]/tbl_task4[[คะแนนเต็ม]:[คะแนนเต็ม]])*tbl_task4[[%]:[%]])</f>
        <v/>
      </c>
      <c r="KP5" s="121" t="str">
        <f>IF(ISBLANK(tbl_task4[[คะแนนเต็ม]:[คะแนนเต็ม]]),"",(tbl_task4[132]/tbl_task4[[คะแนนเต็ม]:[คะแนนเต็ม]])*tbl_task4[[%]:[%]])</f>
        <v/>
      </c>
      <c r="KQ5" s="121" t="str">
        <f>IF(ISBLANK(tbl_task4[[คะแนนเต็ม]:[คะแนนเต็ม]]),"",(tbl_task4[133]/tbl_task4[[คะแนนเต็ม]:[คะแนนเต็ม]])*tbl_task4[[%]:[%]])</f>
        <v/>
      </c>
      <c r="KR5" s="121" t="str">
        <f>IF(ISBLANK(tbl_task4[[คะแนนเต็ม]:[คะแนนเต็ม]]),"",(tbl_task4[134]/tbl_task4[[คะแนนเต็ม]:[คะแนนเต็ม]])*tbl_task4[[%]:[%]])</f>
        <v/>
      </c>
      <c r="KS5" s="121" t="str">
        <f>IF(ISBLANK(tbl_task4[[คะแนนเต็ม]:[คะแนนเต็ม]]),"",(tbl_task4[135]/tbl_task4[[คะแนนเต็ม]:[คะแนนเต็ม]])*tbl_task4[[%]:[%]])</f>
        <v/>
      </c>
      <c r="KT5" s="121" t="str">
        <f>IF(ISBLANK(tbl_task4[[คะแนนเต็ม]:[คะแนนเต็ม]]),"",(tbl_task4[136]/tbl_task4[[คะแนนเต็ม]:[คะแนนเต็ม]])*tbl_task4[[%]:[%]])</f>
        <v/>
      </c>
      <c r="KU5" s="121" t="str">
        <f>IF(ISBLANK(tbl_task4[[คะแนนเต็ม]:[คะแนนเต็ม]]),"",(tbl_task4[137]/tbl_task4[[คะแนนเต็ม]:[คะแนนเต็ม]])*tbl_task4[[%]:[%]])</f>
        <v/>
      </c>
      <c r="KV5" s="121" t="str">
        <f>IF(ISBLANK(tbl_task4[[คะแนนเต็ม]:[คะแนนเต็ม]]),"",(tbl_task4[138]/tbl_task4[[คะแนนเต็ม]:[คะแนนเต็ม]])*tbl_task4[[%]:[%]])</f>
        <v/>
      </c>
      <c r="KW5" s="121" t="str">
        <f>IF(ISBLANK(tbl_task4[[คะแนนเต็ม]:[คะแนนเต็ม]]),"",(tbl_task4[139]/tbl_task4[[คะแนนเต็ม]:[คะแนนเต็ม]])*tbl_task4[[%]:[%]])</f>
        <v/>
      </c>
      <c r="KX5" s="121" t="str">
        <f>IF(ISBLANK(tbl_task4[[คะแนนเต็ม]:[คะแนนเต็ม]]),"",(tbl_task4[140]/tbl_task4[[คะแนนเต็ม]:[คะแนนเต็ม]])*tbl_task4[[%]:[%]])</f>
        <v/>
      </c>
      <c r="KY5" s="121" t="str">
        <f>IF(ISBLANK(tbl_task4[[คะแนนเต็ม]:[คะแนนเต็ม]]),"",(tbl_task4[141]/tbl_task4[[คะแนนเต็ม]:[คะแนนเต็ม]])*tbl_task4[[%]:[%]])</f>
        <v/>
      </c>
      <c r="KZ5" s="121" t="str">
        <f>IF(ISBLANK(tbl_task4[[คะแนนเต็ม]:[คะแนนเต็ม]]),"",(tbl_task4[142]/tbl_task4[[คะแนนเต็ม]:[คะแนนเต็ม]])*tbl_task4[[%]:[%]])</f>
        <v/>
      </c>
      <c r="LA5" s="121" t="str">
        <f>IF(ISBLANK(tbl_task4[[คะแนนเต็ม]:[คะแนนเต็ม]]),"",(tbl_task4[143]/tbl_task4[[คะแนนเต็ม]:[คะแนนเต็ม]])*tbl_task4[[%]:[%]])</f>
        <v/>
      </c>
      <c r="LB5" s="121" t="str">
        <f>IF(ISBLANK(tbl_task4[[คะแนนเต็ม]:[คะแนนเต็ม]]),"",(tbl_task4[144]/tbl_task4[[คะแนนเต็ม]:[คะแนนเต็ม]])*tbl_task4[[%]:[%]])</f>
        <v/>
      </c>
      <c r="LC5" s="121" t="str">
        <f>IF(ISBLANK(tbl_task4[[คะแนนเต็ม]:[คะแนนเต็ม]]),"",(tbl_task4[145]/tbl_task4[[คะแนนเต็ม]:[คะแนนเต็ม]])*tbl_task4[[%]:[%]])</f>
        <v/>
      </c>
      <c r="LD5" s="121" t="str">
        <f>IF(ISBLANK(tbl_task4[[คะแนนเต็ม]:[คะแนนเต็ม]]),"",(tbl_task4[146]/tbl_task4[[คะแนนเต็ม]:[คะแนนเต็ม]])*tbl_task4[[%]:[%]])</f>
        <v/>
      </c>
      <c r="LE5" s="121" t="str">
        <f>IF(ISBLANK(tbl_task4[[คะแนนเต็ม]:[คะแนนเต็ม]]),"",(tbl_task4[147]/tbl_task4[[คะแนนเต็ม]:[คะแนนเต็ม]])*tbl_task4[[%]:[%]])</f>
        <v/>
      </c>
      <c r="LF5" s="121" t="str">
        <f>IF(ISBLANK(tbl_task4[[คะแนนเต็ม]:[คะแนนเต็ม]]),"",(tbl_task4[148]/tbl_task4[[คะแนนเต็ม]:[คะแนนเต็ม]])*tbl_task4[[%]:[%]])</f>
        <v/>
      </c>
      <c r="LG5" s="121" t="str">
        <f>IF(ISBLANK(tbl_task4[[คะแนนเต็ม]:[คะแนนเต็ม]]),"",(tbl_task4[149]/tbl_task4[[คะแนนเต็ม]:[คะแนนเต็ม]])*tbl_task4[[%]:[%]])</f>
        <v/>
      </c>
      <c r="LH5" s="121" t="str">
        <f>IF(ISBLANK(tbl_task4[[คะแนนเต็ม]:[คะแนนเต็ม]]),"",(tbl_task4[150]/tbl_task4[[คะแนนเต็ม]:[คะแนนเต็ม]])*tbl_task4[[%]:[%]])</f>
        <v/>
      </c>
      <c r="LI5" s="121" t="str">
        <f>IF(ISBLANK(tbl_task4[[คะแนนเต็ม]:[คะแนนเต็ม]]),"",(tbl_task4[151]/tbl_task4[[คะแนนเต็ม]:[คะแนนเต็ม]])*tbl_task4[[%]:[%]])</f>
        <v/>
      </c>
      <c r="LJ5" s="121" t="str">
        <f>IF(ISBLANK(tbl_task4[[คะแนนเต็ม]:[คะแนนเต็ม]]),"",(tbl_task4[152]/tbl_task4[[คะแนนเต็ม]:[คะแนนเต็ม]])*tbl_task4[[%]:[%]])</f>
        <v/>
      </c>
      <c r="LK5" s="121" t="str">
        <f>IF(ISBLANK(tbl_task4[[คะแนนเต็ม]:[คะแนนเต็ม]]),"",(tbl_task4[153]/tbl_task4[[คะแนนเต็ม]:[คะแนนเต็ม]])*tbl_task4[[%]:[%]])</f>
        <v/>
      </c>
      <c r="LL5" s="121" t="str">
        <f>IF(ISBLANK(tbl_task4[[คะแนนเต็ม]:[คะแนนเต็ม]]),"",(tbl_task4[154]/tbl_task4[[คะแนนเต็ม]:[คะแนนเต็ม]])*tbl_task4[[%]:[%]])</f>
        <v/>
      </c>
      <c r="LM5" s="121" t="str">
        <f>IF(ISBLANK(tbl_task4[[คะแนนเต็ม]:[คะแนนเต็ม]]),"",(tbl_task4[155]/tbl_task4[[คะแนนเต็ม]:[คะแนนเต็ม]])*tbl_task4[[%]:[%]])</f>
        <v/>
      </c>
      <c r="LN5" s="121" t="str">
        <f>IF(ISBLANK(tbl_task4[[คะแนนเต็ม]:[คะแนนเต็ม]]),"",(tbl_task4[156]/tbl_task4[[คะแนนเต็ม]:[คะแนนเต็ม]])*tbl_task4[[%]:[%]])</f>
        <v/>
      </c>
      <c r="LO5" s="121" t="str">
        <f>IF(ISBLANK(tbl_task4[[คะแนนเต็ม]:[คะแนนเต็ม]]),"",(tbl_task4[157]/tbl_task4[[คะแนนเต็ม]:[คะแนนเต็ม]])*tbl_task4[[%]:[%]])</f>
        <v/>
      </c>
      <c r="LP5" s="121" t="str">
        <f>IF(ISBLANK(tbl_task4[[คะแนนเต็ม]:[คะแนนเต็ม]]),"",(tbl_task4[158]/tbl_task4[[คะแนนเต็ม]:[คะแนนเต็ม]])*tbl_task4[[%]:[%]])</f>
        <v/>
      </c>
      <c r="LQ5" s="121" t="str">
        <f>IF(ISBLANK(tbl_task4[[คะแนนเต็ม]:[คะแนนเต็ม]]),"",(tbl_task4[159]/tbl_task4[[คะแนนเต็ม]:[คะแนนเต็ม]])*tbl_task4[[%]:[%]])</f>
        <v/>
      </c>
      <c r="LR5" s="121" t="str">
        <f>IF(ISBLANK(tbl_task4[[คะแนนเต็ม]:[คะแนนเต็ม]]),"",(tbl_task4[160]/tbl_task4[[คะแนนเต็ม]:[คะแนนเต็ม]])*tbl_task4[[%]:[%]])</f>
        <v/>
      </c>
      <c r="LS5" s="121" t="str">
        <f>IF(ISBLANK(tbl_task4[[คะแนนเต็ม]:[คะแนนเต็ม]]),"",(tbl_task4[161]/tbl_task4[[คะแนนเต็ม]:[คะแนนเต็ม]])*tbl_task4[[%]:[%]])</f>
        <v/>
      </c>
      <c r="LT5" s="121" t="str">
        <f>IF(ISBLANK(tbl_task4[[คะแนนเต็ม]:[คะแนนเต็ม]]),"",(tbl_task4[162]/tbl_task4[[คะแนนเต็ม]:[คะแนนเต็ม]])*tbl_task4[[%]:[%]])</f>
        <v/>
      </c>
      <c r="LU5" s="121" t="str">
        <f>IF(ISBLANK(tbl_task4[[คะแนนเต็ม]:[คะแนนเต็ม]]),"",(tbl_task4[163]/tbl_task4[[คะแนนเต็ม]:[คะแนนเต็ม]])*tbl_task4[[%]:[%]])</f>
        <v/>
      </c>
      <c r="LV5" s="121" t="str">
        <f>IF(ISBLANK(tbl_task4[[คะแนนเต็ม]:[คะแนนเต็ม]]),"",(tbl_task4[164]/tbl_task4[[คะแนนเต็ม]:[คะแนนเต็ม]])*tbl_task4[[%]:[%]])</f>
        <v/>
      </c>
      <c r="LW5" s="121" t="str">
        <f>IF(ISBLANK(tbl_task4[[คะแนนเต็ม]:[คะแนนเต็ม]]),"",(tbl_task4[165]/tbl_task4[[คะแนนเต็ม]:[คะแนนเต็ม]])*tbl_task4[[%]:[%]])</f>
        <v/>
      </c>
    </row>
    <row r="6" spans="1:335" ht="24.75" customHeight="1" x14ac:dyDescent="0.25">
      <c r="A6" s="24">
        <v>3</v>
      </c>
      <c r="B6" s="20"/>
      <c r="C6" s="5" t="str">
        <f>IF(ISBLANK(B6),"",VLOOKUP(B6,tbl_PLOs[],2,0))</f>
        <v/>
      </c>
      <c r="D6" s="102"/>
      <c r="E6" s="10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22"/>
      <c r="FO6" s="121" t="str">
        <f>IF(ISBLANK(tbl_task4[[คะแนนเต็ม]:[คะแนนเต็ม]]),"",(tbl_task4[1]/tbl_task4[[คะแนนเต็ม]:[คะแนนเต็ม]])*tbl_task4[[%]:[%]])</f>
        <v/>
      </c>
      <c r="FP6" s="121" t="str">
        <f>IF(ISBLANK(tbl_task4[[คะแนนเต็ม]:[คะแนนเต็ม]]),"",(tbl_task4[2]/tbl_task4[[คะแนนเต็ม]:[คะแนนเต็ม]])*tbl_task4[[%]:[%]])</f>
        <v/>
      </c>
      <c r="FQ6" s="121" t="str">
        <f>IF(ISBLANK(tbl_task4[[คะแนนเต็ม]:[คะแนนเต็ม]]),"",(tbl_task4[3]/tbl_task4[[คะแนนเต็ม]:[คะแนนเต็ม]])*tbl_task4[[%]:[%]])</f>
        <v/>
      </c>
      <c r="FR6" s="121" t="str">
        <f>IF(ISBLANK(tbl_task4[[คะแนนเต็ม]:[คะแนนเต็ม]]),"",(tbl_task4[4]/tbl_task4[[คะแนนเต็ม]:[คะแนนเต็ม]])*tbl_task4[[%]:[%]])</f>
        <v/>
      </c>
      <c r="FS6" s="121" t="str">
        <f>IF(ISBLANK(tbl_task4[[คะแนนเต็ม]:[คะแนนเต็ม]]),"",(tbl_task4[5]/tbl_task4[[คะแนนเต็ม]:[คะแนนเต็ม]])*tbl_task4[[%]:[%]])</f>
        <v/>
      </c>
      <c r="FT6" s="121" t="str">
        <f>IF(ISBLANK(tbl_task4[[คะแนนเต็ม]:[คะแนนเต็ม]]),"",(tbl_task4[6]/tbl_task4[[คะแนนเต็ม]:[คะแนนเต็ม]])*tbl_task4[[%]:[%]])</f>
        <v/>
      </c>
      <c r="FU6" s="121" t="str">
        <f>IF(ISBLANK(tbl_task4[[คะแนนเต็ม]:[คะแนนเต็ม]]),"",(tbl_task4[7]/tbl_task4[[คะแนนเต็ม]:[คะแนนเต็ม]])*tbl_task4[[%]:[%]])</f>
        <v/>
      </c>
      <c r="FV6" s="121" t="str">
        <f>IF(ISBLANK(tbl_task4[[คะแนนเต็ม]:[คะแนนเต็ม]]),"",(tbl_task4[8]/tbl_task4[[คะแนนเต็ม]:[คะแนนเต็ม]])*tbl_task4[[%]:[%]])</f>
        <v/>
      </c>
      <c r="FW6" s="121" t="str">
        <f>IF(ISBLANK(tbl_task4[[คะแนนเต็ม]:[คะแนนเต็ม]]),"",(tbl_task4[9]/tbl_task4[[คะแนนเต็ม]:[คะแนนเต็ม]])*tbl_task4[[%]:[%]])</f>
        <v/>
      </c>
      <c r="FX6" s="121" t="str">
        <f>IF(ISBLANK(tbl_task4[[คะแนนเต็ม]:[คะแนนเต็ม]]),"",(tbl_task4[10]/tbl_task4[[คะแนนเต็ม]:[คะแนนเต็ม]])*tbl_task4[[%]:[%]])</f>
        <v/>
      </c>
      <c r="FY6" s="121" t="str">
        <f>IF(ISBLANK(tbl_task4[[คะแนนเต็ม]:[คะแนนเต็ม]]),"",(tbl_task4[11]/tbl_task4[[คะแนนเต็ม]:[คะแนนเต็ม]])*tbl_task4[[%]:[%]])</f>
        <v/>
      </c>
      <c r="FZ6" s="121" t="str">
        <f>IF(ISBLANK(tbl_task4[[คะแนนเต็ม]:[คะแนนเต็ม]]),"",(tbl_task4[12]/tbl_task4[[คะแนนเต็ม]:[คะแนนเต็ม]])*tbl_task4[[%]:[%]])</f>
        <v/>
      </c>
      <c r="GA6" s="121" t="str">
        <f>IF(ISBLANK(tbl_task4[[คะแนนเต็ม]:[คะแนนเต็ม]]),"",(tbl_task4[13]/tbl_task4[[คะแนนเต็ม]:[คะแนนเต็ม]])*tbl_task4[[%]:[%]])</f>
        <v/>
      </c>
      <c r="GB6" s="121" t="str">
        <f>IF(ISBLANK(tbl_task4[[คะแนนเต็ม]:[คะแนนเต็ม]]),"",(tbl_task4[14]/tbl_task4[[คะแนนเต็ม]:[คะแนนเต็ม]])*tbl_task4[[%]:[%]])</f>
        <v/>
      </c>
      <c r="GC6" s="121" t="str">
        <f>IF(ISBLANK(tbl_task4[[คะแนนเต็ม]:[คะแนนเต็ม]]),"",(tbl_task4[15]/tbl_task4[[คะแนนเต็ม]:[คะแนนเต็ม]])*tbl_task4[[%]:[%]])</f>
        <v/>
      </c>
      <c r="GD6" s="121" t="str">
        <f>IF(ISBLANK(tbl_task4[[คะแนนเต็ม]:[คะแนนเต็ม]]),"",(tbl_task4[16]/tbl_task4[[คะแนนเต็ม]:[คะแนนเต็ม]])*tbl_task4[[%]:[%]])</f>
        <v/>
      </c>
      <c r="GE6" s="121" t="str">
        <f>IF(ISBLANK(tbl_task4[[คะแนนเต็ม]:[คะแนนเต็ม]]),"",(tbl_task4[17]/tbl_task4[[คะแนนเต็ม]:[คะแนนเต็ม]])*tbl_task4[[%]:[%]])</f>
        <v/>
      </c>
      <c r="GF6" s="121" t="str">
        <f>IF(ISBLANK(tbl_task4[[คะแนนเต็ม]:[คะแนนเต็ม]]),"",(tbl_task4[18]/tbl_task4[[คะแนนเต็ม]:[คะแนนเต็ม]])*tbl_task4[[%]:[%]])</f>
        <v/>
      </c>
      <c r="GG6" s="121" t="str">
        <f>IF(ISBLANK(tbl_task4[[คะแนนเต็ม]:[คะแนนเต็ม]]),"",(tbl_task4[19]/tbl_task4[[คะแนนเต็ม]:[คะแนนเต็ม]])*tbl_task4[[%]:[%]])</f>
        <v/>
      </c>
      <c r="GH6" s="121" t="str">
        <f>IF(ISBLANK(tbl_task4[[คะแนนเต็ม]:[คะแนนเต็ม]]),"",(tbl_task4[20]/tbl_task4[[คะแนนเต็ม]:[คะแนนเต็ม]])*tbl_task4[[%]:[%]])</f>
        <v/>
      </c>
      <c r="GI6" s="121" t="str">
        <f>IF(ISBLANK(tbl_task4[[คะแนนเต็ม]:[คะแนนเต็ม]]),"",(tbl_task4[21]/tbl_task4[[คะแนนเต็ม]:[คะแนนเต็ม]])*tbl_task4[[%]:[%]])</f>
        <v/>
      </c>
      <c r="GJ6" s="121" t="str">
        <f>IF(ISBLANK(tbl_task4[[คะแนนเต็ม]:[คะแนนเต็ม]]),"",(tbl_task4[22]/tbl_task4[[คะแนนเต็ม]:[คะแนนเต็ม]])*tbl_task4[[%]:[%]])</f>
        <v/>
      </c>
      <c r="GK6" s="121" t="str">
        <f>IF(ISBLANK(tbl_task4[[คะแนนเต็ม]:[คะแนนเต็ม]]),"",(tbl_task4[23]/tbl_task4[[คะแนนเต็ม]:[คะแนนเต็ม]])*tbl_task4[[%]:[%]])</f>
        <v/>
      </c>
      <c r="GL6" s="121" t="str">
        <f>IF(ISBLANK(tbl_task4[[คะแนนเต็ม]:[คะแนนเต็ม]]),"",(tbl_task4[24]/tbl_task4[[คะแนนเต็ม]:[คะแนนเต็ม]])*tbl_task4[[%]:[%]])</f>
        <v/>
      </c>
      <c r="GM6" s="121" t="str">
        <f>IF(ISBLANK(tbl_task4[[คะแนนเต็ม]:[คะแนนเต็ม]]),"",(tbl_task4[25]/tbl_task4[[คะแนนเต็ม]:[คะแนนเต็ม]])*tbl_task4[[%]:[%]])</f>
        <v/>
      </c>
      <c r="GN6" s="121" t="str">
        <f>IF(ISBLANK(tbl_task4[[คะแนนเต็ม]:[คะแนนเต็ม]]),"",(tbl_task4[26]/tbl_task4[[คะแนนเต็ม]:[คะแนนเต็ม]])*tbl_task4[[%]:[%]])</f>
        <v/>
      </c>
      <c r="GO6" s="121" t="str">
        <f>IF(ISBLANK(tbl_task4[[คะแนนเต็ม]:[คะแนนเต็ม]]),"",(tbl_task4[27]/tbl_task4[[คะแนนเต็ม]:[คะแนนเต็ม]])*tbl_task4[[%]:[%]])</f>
        <v/>
      </c>
      <c r="GP6" s="121" t="str">
        <f>IF(ISBLANK(tbl_task4[[คะแนนเต็ม]:[คะแนนเต็ม]]),"",(tbl_task4[28]/tbl_task4[[คะแนนเต็ม]:[คะแนนเต็ม]])*tbl_task4[[%]:[%]])</f>
        <v/>
      </c>
      <c r="GQ6" s="121" t="str">
        <f>IF(ISBLANK(tbl_task4[[คะแนนเต็ม]:[คะแนนเต็ม]]),"",(tbl_task4[29]/tbl_task4[[คะแนนเต็ม]:[คะแนนเต็ม]])*tbl_task4[[%]:[%]])</f>
        <v/>
      </c>
      <c r="GR6" s="121" t="str">
        <f>IF(ISBLANK(tbl_task4[[คะแนนเต็ม]:[คะแนนเต็ม]]),"",(tbl_task4[30]/tbl_task4[[คะแนนเต็ม]:[คะแนนเต็ม]])*tbl_task4[[%]:[%]])</f>
        <v/>
      </c>
      <c r="GS6" s="121" t="str">
        <f>IF(ISBLANK(tbl_task4[[คะแนนเต็ม]:[คะแนนเต็ม]]),"",(tbl_task4[31]/tbl_task4[[คะแนนเต็ม]:[คะแนนเต็ม]])*tbl_task4[[%]:[%]])</f>
        <v/>
      </c>
      <c r="GT6" s="121" t="str">
        <f>IF(ISBLANK(tbl_task4[[คะแนนเต็ม]:[คะแนนเต็ม]]),"",(tbl_task4[32]/tbl_task4[[คะแนนเต็ม]:[คะแนนเต็ม]])*tbl_task4[[%]:[%]])</f>
        <v/>
      </c>
      <c r="GU6" s="121" t="str">
        <f>IF(ISBLANK(tbl_task4[[คะแนนเต็ม]:[คะแนนเต็ม]]),"",(tbl_task4[33]/tbl_task4[[คะแนนเต็ม]:[คะแนนเต็ม]])*tbl_task4[[%]:[%]])</f>
        <v/>
      </c>
      <c r="GV6" s="121" t="str">
        <f>IF(ISBLANK(tbl_task4[[คะแนนเต็ม]:[คะแนนเต็ม]]),"",(tbl_task4[34]/tbl_task4[[คะแนนเต็ม]:[คะแนนเต็ม]])*tbl_task4[[%]:[%]])</f>
        <v/>
      </c>
      <c r="GW6" s="121" t="str">
        <f>IF(ISBLANK(tbl_task4[[คะแนนเต็ม]:[คะแนนเต็ม]]),"",(tbl_task4[35]/tbl_task4[[คะแนนเต็ม]:[คะแนนเต็ม]])*tbl_task4[[%]:[%]])</f>
        <v/>
      </c>
      <c r="GX6" s="121" t="str">
        <f>IF(ISBLANK(tbl_task4[[คะแนนเต็ม]:[คะแนนเต็ม]]),"",(tbl_task4[36]/tbl_task4[[คะแนนเต็ม]:[คะแนนเต็ม]])*tbl_task4[[%]:[%]])</f>
        <v/>
      </c>
      <c r="GY6" s="121" t="str">
        <f>IF(ISBLANK(tbl_task4[[คะแนนเต็ม]:[คะแนนเต็ม]]),"",(tbl_task4[37]/tbl_task4[[คะแนนเต็ม]:[คะแนนเต็ม]])*tbl_task4[[%]:[%]])</f>
        <v/>
      </c>
      <c r="GZ6" s="121" t="str">
        <f>IF(ISBLANK(tbl_task4[[คะแนนเต็ม]:[คะแนนเต็ม]]),"",(tbl_task4[38]/tbl_task4[[คะแนนเต็ม]:[คะแนนเต็ม]])*tbl_task4[[%]:[%]])</f>
        <v/>
      </c>
      <c r="HA6" s="121" t="str">
        <f>IF(ISBLANK(tbl_task4[[คะแนนเต็ม]:[คะแนนเต็ม]]),"",(tbl_task4[39]/tbl_task4[[คะแนนเต็ม]:[คะแนนเต็ม]])*tbl_task4[[%]:[%]])</f>
        <v/>
      </c>
      <c r="HB6" s="121" t="str">
        <f>IF(ISBLANK(tbl_task4[[คะแนนเต็ม]:[คะแนนเต็ม]]),"",(tbl_task4[40]/tbl_task4[[คะแนนเต็ม]:[คะแนนเต็ม]])*tbl_task4[[%]:[%]])</f>
        <v/>
      </c>
      <c r="HC6" s="121" t="str">
        <f>IF(ISBLANK(tbl_task4[[คะแนนเต็ม]:[คะแนนเต็ม]]),"",(tbl_task4[41]/tbl_task4[[คะแนนเต็ม]:[คะแนนเต็ม]])*tbl_task4[[%]:[%]])</f>
        <v/>
      </c>
      <c r="HD6" s="121" t="str">
        <f>IF(ISBLANK(tbl_task4[[คะแนนเต็ม]:[คะแนนเต็ม]]),"",(tbl_task4[42]/tbl_task4[[คะแนนเต็ม]:[คะแนนเต็ม]])*tbl_task4[[%]:[%]])</f>
        <v/>
      </c>
      <c r="HE6" s="121" t="str">
        <f>IF(ISBLANK(tbl_task4[[คะแนนเต็ม]:[คะแนนเต็ม]]),"",(tbl_task4[43]/tbl_task4[[คะแนนเต็ม]:[คะแนนเต็ม]])*tbl_task4[[%]:[%]])</f>
        <v/>
      </c>
      <c r="HF6" s="121" t="str">
        <f>IF(ISBLANK(tbl_task4[[คะแนนเต็ม]:[คะแนนเต็ม]]),"",(tbl_task4[44]/tbl_task4[[คะแนนเต็ม]:[คะแนนเต็ม]])*tbl_task4[[%]:[%]])</f>
        <v/>
      </c>
      <c r="HG6" s="121" t="str">
        <f>IF(ISBLANK(tbl_task4[[คะแนนเต็ม]:[คะแนนเต็ม]]),"",(tbl_task4[45]/tbl_task4[[คะแนนเต็ม]:[คะแนนเต็ม]])*tbl_task4[[%]:[%]])</f>
        <v/>
      </c>
      <c r="HH6" s="121" t="str">
        <f>IF(ISBLANK(tbl_task4[[คะแนนเต็ม]:[คะแนนเต็ม]]),"",(tbl_task4[46]/tbl_task4[[คะแนนเต็ม]:[คะแนนเต็ม]])*tbl_task4[[%]:[%]])</f>
        <v/>
      </c>
      <c r="HI6" s="121" t="str">
        <f>IF(ISBLANK(tbl_task4[[คะแนนเต็ม]:[คะแนนเต็ม]]),"",(tbl_task4[47]/tbl_task4[[คะแนนเต็ม]:[คะแนนเต็ม]])*tbl_task4[[%]:[%]])</f>
        <v/>
      </c>
      <c r="HJ6" s="121" t="str">
        <f>IF(ISBLANK(tbl_task4[[คะแนนเต็ม]:[คะแนนเต็ม]]),"",(tbl_task4[48]/tbl_task4[[คะแนนเต็ม]:[คะแนนเต็ม]])*tbl_task4[[%]:[%]])</f>
        <v/>
      </c>
      <c r="HK6" s="121" t="str">
        <f>IF(ISBLANK(tbl_task4[[คะแนนเต็ม]:[คะแนนเต็ม]]),"",(tbl_task4[49]/tbl_task4[[คะแนนเต็ม]:[คะแนนเต็ม]])*tbl_task4[[%]:[%]])</f>
        <v/>
      </c>
      <c r="HL6" s="121" t="str">
        <f>IF(ISBLANK(tbl_task4[[คะแนนเต็ม]:[คะแนนเต็ม]]),"",(tbl_task4[50]/tbl_task4[[คะแนนเต็ม]:[คะแนนเต็ม]])*tbl_task4[[%]:[%]])</f>
        <v/>
      </c>
      <c r="HM6" s="121" t="str">
        <f>IF(ISBLANK(tbl_task4[[คะแนนเต็ม]:[คะแนนเต็ม]]),"",(tbl_task4[51]/tbl_task4[[คะแนนเต็ม]:[คะแนนเต็ม]])*tbl_task4[[%]:[%]])</f>
        <v/>
      </c>
      <c r="HN6" s="121" t="str">
        <f>IF(ISBLANK(tbl_task4[[คะแนนเต็ม]:[คะแนนเต็ม]]),"",(tbl_task4[52]/tbl_task4[[คะแนนเต็ม]:[คะแนนเต็ม]])*tbl_task4[[%]:[%]])</f>
        <v/>
      </c>
      <c r="HO6" s="121" t="str">
        <f>IF(ISBLANK(tbl_task4[[คะแนนเต็ม]:[คะแนนเต็ม]]),"",(tbl_task4[53]/tbl_task4[[คะแนนเต็ม]:[คะแนนเต็ม]])*tbl_task4[[%]:[%]])</f>
        <v/>
      </c>
      <c r="HP6" s="121" t="str">
        <f>IF(ISBLANK(tbl_task4[[คะแนนเต็ม]:[คะแนนเต็ม]]),"",(tbl_task4[54]/tbl_task4[[คะแนนเต็ม]:[คะแนนเต็ม]])*tbl_task4[[%]:[%]])</f>
        <v/>
      </c>
      <c r="HQ6" s="121" t="str">
        <f>IF(ISBLANK(tbl_task4[[คะแนนเต็ม]:[คะแนนเต็ม]]),"",(tbl_task4[55]/tbl_task4[[คะแนนเต็ม]:[คะแนนเต็ม]])*tbl_task4[[%]:[%]])</f>
        <v/>
      </c>
      <c r="HR6" s="121" t="str">
        <f>IF(ISBLANK(tbl_task4[[คะแนนเต็ม]:[คะแนนเต็ม]]),"",(tbl_task4[56]/tbl_task4[[คะแนนเต็ม]:[คะแนนเต็ม]])*tbl_task4[[%]:[%]])</f>
        <v/>
      </c>
      <c r="HS6" s="121" t="str">
        <f>IF(ISBLANK(tbl_task4[[คะแนนเต็ม]:[คะแนนเต็ม]]),"",(tbl_task4[57]/tbl_task4[[คะแนนเต็ม]:[คะแนนเต็ม]])*tbl_task4[[%]:[%]])</f>
        <v/>
      </c>
      <c r="HT6" s="121" t="str">
        <f>IF(ISBLANK(tbl_task4[[คะแนนเต็ม]:[คะแนนเต็ม]]),"",(tbl_task4[58]/tbl_task4[[คะแนนเต็ม]:[คะแนนเต็ม]])*tbl_task4[[%]:[%]])</f>
        <v/>
      </c>
      <c r="HU6" s="121" t="str">
        <f>IF(ISBLANK(tbl_task4[[คะแนนเต็ม]:[คะแนนเต็ม]]),"",(tbl_task4[59]/tbl_task4[[คะแนนเต็ม]:[คะแนนเต็ม]])*tbl_task4[[%]:[%]])</f>
        <v/>
      </c>
      <c r="HV6" s="121" t="str">
        <f>IF(ISBLANK(tbl_task4[[คะแนนเต็ม]:[คะแนนเต็ม]]),"",(tbl_task4[60]/tbl_task4[[คะแนนเต็ม]:[คะแนนเต็ม]])*tbl_task4[[%]:[%]])</f>
        <v/>
      </c>
      <c r="HW6" s="121" t="str">
        <f>IF(ISBLANK(tbl_task4[[คะแนนเต็ม]:[คะแนนเต็ม]]),"",(tbl_task4[61]/tbl_task4[[คะแนนเต็ม]:[คะแนนเต็ม]])*tbl_task4[[%]:[%]])</f>
        <v/>
      </c>
      <c r="HX6" s="121" t="str">
        <f>IF(ISBLANK(tbl_task4[[คะแนนเต็ม]:[คะแนนเต็ม]]),"",(tbl_task4[62]/tbl_task4[[คะแนนเต็ม]:[คะแนนเต็ม]])*tbl_task4[[%]:[%]])</f>
        <v/>
      </c>
      <c r="HY6" s="121" t="str">
        <f>IF(ISBLANK(tbl_task4[[คะแนนเต็ม]:[คะแนนเต็ม]]),"",(tbl_task4[63]/tbl_task4[[คะแนนเต็ม]:[คะแนนเต็ม]])*tbl_task4[[%]:[%]])</f>
        <v/>
      </c>
      <c r="HZ6" s="121" t="str">
        <f>IF(ISBLANK(tbl_task4[[คะแนนเต็ม]:[คะแนนเต็ม]]),"",(tbl_task4[64]/tbl_task4[[คะแนนเต็ม]:[คะแนนเต็ม]])*tbl_task4[[%]:[%]])</f>
        <v/>
      </c>
      <c r="IA6" s="121" t="str">
        <f>IF(ISBLANK(tbl_task4[[คะแนนเต็ม]:[คะแนนเต็ม]]),"",(tbl_task4[65]/tbl_task4[[คะแนนเต็ม]:[คะแนนเต็ม]])*tbl_task4[[%]:[%]])</f>
        <v/>
      </c>
      <c r="IB6" s="121" t="str">
        <f>IF(ISBLANK(tbl_task4[[คะแนนเต็ม]:[คะแนนเต็ม]]),"",(tbl_task4[66]/tbl_task4[[คะแนนเต็ม]:[คะแนนเต็ม]])*tbl_task4[[%]:[%]])</f>
        <v/>
      </c>
      <c r="IC6" s="121" t="str">
        <f>IF(ISBLANK(tbl_task4[[คะแนนเต็ม]:[คะแนนเต็ม]]),"",(tbl_task4[67]/tbl_task4[[คะแนนเต็ม]:[คะแนนเต็ม]])*tbl_task4[[%]:[%]])</f>
        <v/>
      </c>
      <c r="ID6" s="121" t="str">
        <f>IF(ISBLANK(tbl_task4[[คะแนนเต็ม]:[คะแนนเต็ม]]),"",(tbl_task4[68]/tbl_task4[[คะแนนเต็ม]:[คะแนนเต็ม]])*tbl_task4[[%]:[%]])</f>
        <v/>
      </c>
      <c r="IE6" s="121" t="str">
        <f>IF(ISBLANK(tbl_task4[[คะแนนเต็ม]:[คะแนนเต็ม]]),"",(tbl_task4[69]/tbl_task4[[คะแนนเต็ม]:[คะแนนเต็ม]])*tbl_task4[[%]:[%]])</f>
        <v/>
      </c>
      <c r="IF6" s="121" t="str">
        <f>IF(ISBLANK(tbl_task4[[คะแนนเต็ม]:[คะแนนเต็ม]]),"",(tbl_task4[70]/tbl_task4[[คะแนนเต็ม]:[คะแนนเต็ม]])*tbl_task4[[%]:[%]])</f>
        <v/>
      </c>
      <c r="IG6" s="121" t="str">
        <f>IF(ISBLANK(tbl_task4[[คะแนนเต็ม]:[คะแนนเต็ม]]),"",(tbl_task4[71]/tbl_task4[[คะแนนเต็ม]:[คะแนนเต็ม]])*tbl_task4[[%]:[%]])</f>
        <v/>
      </c>
      <c r="IH6" s="121" t="str">
        <f>IF(ISBLANK(tbl_task4[[คะแนนเต็ม]:[คะแนนเต็ม]]),"",(tbl_task4[72]/tbl_task4[[คะแนนเต็ม]:[คะแนนเต็ม]])*tbl_task4[[%]:[%]])</f>
        <v/>
      </c>
      <c r="II6" s="121" t="str">
        <f>IF(ISBLANK(tbl_task4[[คะแนนเต็ม]:[คะแนนเต็ม]]),"",(tbl_task4[73]/tbl_task4[[คะแนนเต็ม]:[คะแนนเต็ม]])*tbl_task4[[%]:[%]])</f>
        <v/>
      </c>
      <c r="IJ6" s="121" t="str">
        <f>IF(ISBLANK(tbl_task4[[คะแนนเต็ม]:[คะแนนเต็ม]]),"",(tbl_task4[74]/tbl_task4[[คะแนนเต็ม]:[คะแนนเต็ม]])*tbl_task4[[%]:[%]])</f>
        <v/>
      </c>
      <c r="IK6" s="121" t="str">
        <f>IF(ISBLANK(tbl_task4[[คะแนนเต็ม]:[คะแนนเต็ม]]),"",(tbl_task4[75]/tbl_task4[[คะแนนเต็ม]:[คะแนนเต็ม]])*tbl_task4[[%]:[%]])</f>
        <v/>
      </c>
      <c r="IL6" s="121" t="str">
        <f>IF(ISBLANK(tbl_task4[[คะแนนเต็ม]:[คะแนนเต็ม]]),"",(tbl_task4[76]/tbl_task4[[คะแนนเต็ม]:[คะแนนเต็ม]])*tbl_task4[[%]:[%]])</f>
        <v/>
      </c>
      <c r="IM6" s="121" t="str">
        <f>IF(ISBLANK(tbl_task4[[คะแนนเต็ม]:[คะแนนเต็ม]]),"",(tbl_task4[77]/tbl_task4[[คะแนนเต็ม]:[คะแนนเต็ม]])*tbl_task4[[%]:[%]])</f>
        <v/>
      </c>
      <c r="IN6" s="121" t="str">
        <f>IF(ISBLANK(tbl_task4[[คะแนนเต็ม]:[คะแนนเต็ม]]),"",(tbl_task4[78]/tbl_task4[[คะแนนเต็ม]:[คะแนนเต็ม]])*tbl_task4[[%]:[%]])</f>
        <v/>
      </c>
      <c r="IO6" s="121" t="str">
        <f>IF(ISBLANK(tbl_task4[[คะแนนเต็ม]:[คะแนนเต็ม]]),"",(tbl_task4[79]/tbl_task4[[คะแนนเต็ม]:[คะแนนเต็ม]])*tbl_task4[[%]:[%]])</f>
        <v/>
      </c>
      <c r="IP6" s="121" t="str">
        <f>IF(ISBLANK(tbl_task4[[คะแนนเต็ม]:[คะแนนเต็ม]]),"",(tbl_task4[80]/tbl_task4[[คะแนนเต็ม]:[คะแนนเต็ม]])*tbl_task4[[%]:[%]])</f>
        <v/>
      </c>
      <c r="IQ6" s="121" t="str">
        <f>IF(ISBLANK(tbl_task4[[คะแนนเต็ม]:[คะแนนเต็ม]]),"",(tbl_task4[81]/tbl_task4[[คะแนนเต็ม]:[คะแนนเต็ม]])*tbl_task4[[%]:[%]])</f>
        <v/>
      </c>
      <c r="IR6" s="121" t="str">
        <f>IF(ISBLANK(tbl_task4[[คะแนนเต็ม]:[คะแนนเต็ม]]),"",(tbl_task4[82]/tbl_task4[[คะแนนเต็ม]:[คะแนนเต็ม]])*tbl_task4[[%]:[%]])</f>
        <v/>
      </c>
      <c r="IS6" s="121" t="str">
        <f>IF(ISBLANK(tbl_task4[[คะแนนเต็ม]:[คะแนนเต็ม]]),"",(tbl_task4[83]/tbl_task4[[คะแนนเต็ม]:[คะแนนเต็ม]])*tbl_task4[[%]:[%]])</f>
        <v/>
      </c>
      <c r="IT6" s="121" t="str">
        <f>IF(ISBLANK(tbl_task4[[คะแนนเต็ม]:[คะแนนเต็ม]]),"",(tbl_task4[84]/tbl_task4[[คะแนนเต็ม]:[คะแนนเต็ม]])*tbl_task4[[%]:[%]])</f>
        <v/>
      </c>
      <c r="IU6" s="121" t="str">
        <f>IF(ISBLANK(tbl_task4[[คะแนนเต็ม]:[คะแนนเต็ม]]),"",(tbl_task4[85]/tbl_task4[[คะแนนเต็ม]:[คะแนนเต็ม]])*tbl_task4[[%]:[%]])</f>
        <v/>
      </c>
      <c r="IV6" s="121" t="str">
        <f>IF(ISBLANK(tbl_task4[[คะแนนเต็ม]:[คะแนนเต็ม]]),"",(tbl_task4[86]/tbl_task4[[คะแนนเต็ม]:[คะแนนเต็ม]])*tbl_task4[[%]:[%]])</f>
        <v/>
      </c>
      <c r="IW6" s="121" t="str">
        <f>IF(ISBLANK(tbl_task4[[คะแนนเต็ม]:[คะแนนเต็ม]]),"",(tbl_task4[87]/tbl_task4[[คะแนนเต็ม]:[คะแนนเต็ม]])*tbl_task4[[%]:[%]])</f>
        <v/>
      </c>
      <c r="IX6" s="121" t="str">
        <f>IF(ISBLANK(tbl_task4[[คะแนนเต็ม]:[คะแนนเต็ม]]),"",(tbl_task4[88]/tbl_task4[[คะแนนเต็ม]:[คะแนนเต็ม]])*tbl_task4[[%]:[%]])</f>
        <v/>
      </c>
      <c r="IY6" s="121" t="str">
        <f>IF(ISBLANK(tbl_task4[[คะแนนเต็ม]:[คะแนนเต็ม]]),"",(tbl_task4[89]/tbl_task4[[คะแนนเต็ม]:[คะแนนเต็ม]])*tbl_task4[[%]:[%]])</f>
        <v/>
      </c>
      <c r="IZ6" s="121" t="str">
        <f>IF(ISBLANK(tbl_task4[[คะแนนเต็ม]:[คะแนนเต็ม]]),"",(tbl_task4[90]/tbl_task4[[คะแนนเต็ม]:[คะแนนเต็ม]])*tbl_task4[[%]:[%]])</f>
        <v/>
      </c>
      <c r="JA6" s="121" t="str">
        <f>IF(ISBLANK(tbl_task4[[คะแนนเต็ม]:[คะแนนเต็ม]]),"",(tbl_task4[91]/tbl_task4[[คะแนนเต็ม]:[คะแนนเต็ม]])*tbl_task4[[%]:[%]])</f>
        <v/>
      </c>
      <c r="JB6" s="121" t="str">
        <f>IF(ISBLANK(tbl_task4[[คะแนนเต็ม]:[คะแนนเต็ม]]),"",(tbl_task4[92]/tbl_task4[[คะแนนเต็ม]:[คะแนนเต็ม]])*tbl_task4[[%]:[%]])</f>
        <v/>
      </c>
      <c r="JC6" s="121" t="str">
        <f>IF(ISBLANK(tbl_task4[[คะแนนเต็ม]:[คะแนนเต็ม]]),"",(tbl_task4[93]/tbl_task4[[คะแนนเต็ม]:[คะแนนเต็ม]])*tbl_task4[[%]:[%]])</f>
        <v/>
      </c>
      <c r="JD6" s="121" t="str">
        <f>IF(ISBLANK(tbl_task4[[คะแนนเต็ม]:[คะแนนเต็ม]]),"",(tbl_task4[94]/tbl_task4[[คะแนนเต็ม]:[คะแนนเต็ม]])*tbl_task4[[%]:[%]])</f>
        <v/>
      </c>
      <c r="JE6" s="121" t="str">
        <f>IF(ISBLANK(tbl_task4[[คะแนนเต็ม]:[คะแนนเต็ม]]),"",(tbl_task4[95]/tbl_task4[[คะแนนเต็ม]:[คะแนนเต็ม]])*tbl_task4[[%]:[%]])</f>
        <v/>
      </c>
      <c r="JF6" s="121" t="str">
        <f>IF(ISBLANK(tbl_task4[[คะแนนเต็ม]:[คะแนนเต็ม]]),"",(tbl_task4[96]/tbl_task4[[คะแนนเต็ม]:[คะแนนเต็ม]])*tbl_task4[[%]:[%]])</f>
        <v/>
      </c>
      <c r="JG6" s="121" t="str">
        <f>IF(ISBLANK(tbl_task4[[คะแนนเต็ม]:[คะแนนเต็ม]]),"",(tbl_task4[97]/tbl_task4[[คะแนนเต็ม]:[คะแนนเต็ม]])*tbl_task4[[%]:[%]])</f>
        <v/>
      </c>
      <c r="JH6" s="121" t="str">
        <f>IF(ISBLANK(tbl_task4[[คะแนนเต็ม]:[คะแนนเต็ม]]),"",(tbl_task4[98]/tbl_task4[[คะแนนเต็ม]:[คะแนนเต็ม]])*tbl_task4[[%]:[%]])</f>
        <v/>
      </c>
      <c r="JI6" s="121" t="str">
        <f>IF(ISBLANK(tbl_task4[[คะแนนเต็ม]:[คะแนนเต็ม]]),"",(tbl_task4[99]/tbl_task4[[คะแนนเต็ม]:[คะแนนเต็ม]])*tbl_task4[[%]:[%]])</f>
        <v/>
      </c>
      <c r="JJ6" s="121" t="str">
        <f>IF(ISBLANK(tbl_task4[[คะแนนเต็ม]:[คะแนนเต็ม]]),"",(tbl_task4[100]/tbl_task4[[คะแนนเต็ม]:[คะแนนเต็ม]])*tbl_task4[[%]:[%]])</f>
        <v/>
      </c>
      <c r="JK6" s="121" t="str">
        <f>IF(ISBLANK(tbl_task4[[คะแนนเต็ม]:[คะแนนเต็ม]]),"",(tbl_task4[101]/tbl_task4[[คะแนนเต็ม]:[คะแนนเต็ม]])*tbl_task4[[%]:[%]])</f>
        <v/>
      </c>
      <c r="JL6" s="121" t="str">
        <f>IF(ISBLANK(tbl_task4[[คะแนนเต็ม]:[คะแนนเต็ม]]),"",(tbl_task4[102]/tbl_task4[[คะแนนเต็ม]:[คะแนนเต็ม]])*tbl_task4[[%]:[%]])</f>
        <v/>
      </c>
      <c r="JM6" s="121" t="str">
        <f>IF(ISBLANK(tbl_task4[[คะแนนเต็ม]:[คะแนนเต็ม]]),"",(tbl_task4[103]/tbl_task4[[คะแนนเต็ม]:[คะแนนเต็ม]])*tbl_task4[[%]:[%]])</f>
        <v/>
      </c>
      <c r="JN6" s="121" t="str">
        <f>IF(ISBLANK(tbl_task4[[คะแนนเต็ม]:[คะแนนเต็ม]]),"",(tbl_task4[104]/tbl_task4[[คะแนนเต็ม]:[คะแนนเต็ม]])*tbl_task4[[%]:[%]])</f>
        <v/>
      </c>
      <c r="JO6" s="121" t="str">
        <f>IF(ISBLANK(tbl_task4[[คะแนนเต็ม]:[คะแนนเต็ม]]),"",(tbl_task4[105]/tbl_task4[[คะแนนเต็ม]:[คะแนนเต็ม]])*tbl_task4[[%]:[%]])</f>
        <v/>
      </c>
      <c r="JP6" s="121" t="str">
        <f>IF(ISBLANK(tbl_task4[[คะแนนเต็ม]:[คะแนนเต็ม]]),"",(tbl_task4[106]/tbl_task4[[คะแนนเต็ม]:[คะแนนเต็ม]])*tbl_task4[[%]:[%]])</f>
        <v/>
      </c>
      <c r="JQ6" s="121" t="str">
        <f>IF(ISBLANK(tbl_task4[[คะแนนเต็ม]:[คะแนนเต็ม]]),"",(tbl_task4[107]/tbl_task4[[คะแนนเต็ม]:[คะแนนเต็ม]])*tbl_task4[[%]:[%]])</f>
        <v/>
      </c>
      <c r="JR6" s="121" t="str">
        <f>IF(ISBLANK(tbl_task4[[คะแนนเต็ม]:[คะแนนเต็ม]]),"",(tbl_task4[108]/tbl_task4[[คะแนนเต็ม]:[คะแนนเต็ม]])*tbl_task4[[%]:[%]])</f>
        <v/>
      </c>
      <c r="JS6" s="121" t="str">
        <f>IF(ISBLANK(tbl_task4[[คะแนนเต็ม]:[คะแนนเต็ม]]),"",(tbl_task4[109]/tbl_task4[[คะแนนเต็ม]:[คะแนนเต็ม]])*tbl_task4[[%]:[%]])</f>
        <v/>
      </c>
      <c r="JT6" s="121" t="str">
        <f>IF(ISBLANK(tbl_task4[[คะแนนเต็ม]:[คะแนนเต็ม]]),"",(tbl_task4[110]/tbl_task4[[คะแนนเต็ม]:[คะแนนเต็ม]])*tbl_task4[[%]:[%]])</f>
        <v/>
      </c>
      <c r="JU6" s="121" t="str">
        <f>IF(ISBLANK(tbl_task4[[คะแนนเต็ม]:[คะแนนเต็ม]]),"",(tbl_task4[111]/tbl_task4[[คะแนนเต็ม]:[คะแนนเต็ม]])*tbl_task4[[%]:[%]])</f>
        <v/>
      </c>
      <c r="JV6" s="121" t="str">
        <f>IF(ISBLANK(tbl_task4[[คะแนนเต็ม]:[คะแนนเต็ม]]),"",(tbl_task4[112]/tbl_task4[[คะแนนเต็ม]:[คะแนนเต็ม]])*tbl_task4[[%]:[%]])</f>
        <v/>
      </c>
      <c r="JW6" s="121" t="str">
        <f>IF(ISBLANK(tbl_task4[[คะแนนเต็ม]:[คะแนนเต็ม]]),"",(tbl_task4[113]/tbl_task4[[คะแนนเต็ม]:[คะแนนเต็ม]])*tbl_task4[[%]:[%]])</f>
        <v/>
      </c>
      <c r="JX6" s="121" t="str">
        <f>IF(ISBLANK(tbl_task4[[คะแนนเต็ม]:[คะแนนเต็ม]]),"",(tbl_task4[114]/tbl_task4[[คะแนนเต็ม]:[คะแนนเต็ม]])*tbl_task4[[%]:[%]])</f>
        <v/>
      </c>
      <c r="JY6" s="121" t="str">
        <f>IF(ISBLANK(tbl_task4[[คะแนนเต็ม]:[คะแนนเต็ม]]),"",(tbl_task4[115]/tbl_task4[[คะแนนเต็ม]:[คะแนนเต็ม]])*tbl_task4[[%]:[%]])</f>
        <v/>
      </c>
      <c r="JZ6" s="121" t="str">
        <f>IF(ISBLANK(tbl_task4[[คะแนนเต็ม]:[คะแนนเต็ม]]),"",(tbl_task4[116]/tbl_task4[[คะแนนเต็ม]:[คะแนนเต็ม]])*tbl_task4[[%]:[%]])</f>
        <v/>
      </c>
      <c r="KA6" s="121" t="str">
        <f>IF(ISBLANK(tbl_task4[[คะแนนเต็ม]:[คะแนนเต็ม]]),"",(tbl_task4[117]/tbl_task4[[คะแนนเต็ม]:[คะแนนเต็ม]])*tbl_task4[[%]:[%]])</f>
        <v/>
      </c>
      <c r="KB6" s="121" t="str">
        <f>IF(ISBLANK(tbl_task4[[คะแนนเต็ม]:[คะแนนเต็ม]]),"",(tbl_task4[118]/tbl_task4[[คะแนนเต็ม]:[คะแนนเต็ม]])*tbl_task4[[%]:[%]])</f>
        <v/>
      </c>
      <c r="KC6" s="121" t="str">
        <f>IF(ISBLANK(tbl_task4[[คะแนนเต็ม]:[คะแนนเต็ม]]),"",(tbl_task4[119]/tbl_task4[[คะแนนเต็ม]:[คะแนนเต็ม]])*tbl_task4[[%]:[%]])</f>
        <v/>
      </c>
      <c r="KD6" s="121" t="str">
        <f>IF(ISBLANK(tbl_task4[[คะแนนเต็ม]:[คะแนนเต็ม]]),"",(tbl_task4[120]/tbl_task4[[คะแนนเต็ม]:[คะแนนเต็ม]])*tbl_task4[[%]:[%]])</f>
        <v/>
      </c>
      <c r="KE6" s="121" t="str">
        <f>IF(ISBLANK(tbl_task4[[คะแนนเต็ม]:[คะแนนเต็ม]]),"",(tbl_task4[121]/tbl_task4[[คะแนนเต็ม]:[คะแนนเต็ม]])*tbl_task4[[%]:[%]])</f>
        <v/>
      </c>
      <c r="KF6" s="121" t="str">
        <f>IF(ISBLANK(tbl_task4[[คะแนนเต็ม]:[คะแนนเต็ม]]),"",(tbl_task4[122]/tbl_task4[[คะแนนเต็ม]:[คะแนนเต็ม]])*tbl_task4[[%]:[%]])</f>
        <v/>
      </c>
      <c r="KG6" s="121" t="str">
        <f>IF(ISBLANK(tbl_task4[[คะแนนเต็ม]:[คะแนนเต็ม]]),"",(tbl_task4[123]/tbl_task4[[คะแนนเต็ม]:[คะแนนเต็ม]])*tbl_task4[[%]:[%]])</f>
        <v/>
      </c>
      <c r="KH6" s="121" t="str">
        <f>IF(ISBLANK(tbl_task4[[คะแนนเต็ม]:[คะแนนเต็ม]]),"",(tbl_task4[124]/tbl_task4[[คะแนนเต็ม]:[คะแนนเต็ม]])*tbl_task4[[%]:[%]])</f>
        <v/>
      </c>
      <c r="KI6" s="121" t="str">
        <f>IF(ISBLANK(tbl_task4[[คะแนนเต็ม]:[คะแนนเต็ม]]),"",(tbl_task4[125]/tbl_task4[[คะแนนเต็ม]:[คะแนนเต็ม]])*tbl_task4[[%]:[%]])</f>
        <v/>
      </c>
      <c r="KJ6" s="121" t="str">
        <f>IF(ISBLANK(tbl_task4[[คะแนนเต็ม]:[คะแนนเต็ม]]),"",(tbl_task4[126]/tbl_task4[[คะแนนเต็ม]:[คะแนนเต็ม]])*tbl_task4[[%]:[%]])</f>
        <v/>
      </c>
      <c r="KK6" s="121" t="str">
        <f>IF(ISBLANK(tbl_task4[[คะแนนเต็ม]:[คะแนนเต็ม]]),"",(tbl_task4[127]/tbl_task4[[คะแนนเต็ม]:[คะแนนเต็ม]])*tbl_task4[[%]:[%]])</f>
        <v/>
      </c>
      <c r="KL6" s="121" t="str">
        <f>IF(ISBLANK(tbl_task4[[คะแนนเต็ม]:[คะแนนเต็ม]]),"",(tbl_task4[128]/tbl_task4[[คะแนนเต็ม]:[คะแนนเต็ม]])*tbl_task4[[%]:[%]])</f>
        <v/>
      </c>
      <c r="KM6" s="121" t="str">
        <f>IF(ISBLANK(tbl_task4[[คะแนนเต็ม]:[คะแนนเต็ม]]),"",(tbl_task4[129]/tbl_task4[[คะแนนเต็ม]:[คะแนนเต็ม]])*tbl_task4[[%]:[%]])</f>
        <v/>
      </c>
      <c r="KN6" s="121" t="str">
        <f>IF(ISBLANK(tbl_task4[[คะแนนเต็ม]:[คะแนนเต็ม]]),"",(tbl_task4[130]/tbl_task4[[คะแนนเต็ม]:[คะแนนเต็ม]])*tbl_task4[[%]:[%]])</f>
        <v/>
      </c>
      <c r="KO6" s="121" t="str">
        <f>IF(ISBLANK(tbl_task4[[คะแนนเต็ม]:[คะแนนเต็ม]]),"",(tbl_task4[131]/tbl_task4[[คะแนนเต็ม]:[คะแนนเต็ม]])*tbl_task4[[%]:[%]])</f>
        <v/>
      </c>
      <c r="KP6" s="121" t="str">
        <f>IF(ISBLANK(tbl_task4[[คะแนนเต็ม]:[คะแนนเต็ม]]),"",(tbl_task4[132]/tbl_task4[[คะแนนเต็ม]:[คะแนนเต็ม]])*tbl_task4[[%]:[%]])</f>
        <v/>
      </c>
      <c r="KQ6" s="121" t="str">
        <f>IF(ISBLANK(tbl_task4[[คะแนนเต็ม]:[คะแนนเต็ม]]),"",(tbl_task4[133]/tbl_task4[[คะแนนเต็ม]:[คะแนนเต็ม]])*tbl_task4[[%]:[%]])</f>
        <v/>
      </c>
      <c r="KR6" s="121" t="str">
        <f>IF(ISBLANK(tbl_task4[[คะแนนเต็ม]:[คะแนนเต็ม]]),"",(tbl_task4[134]/tbl_task4[[คะแนนเต็ม]:[คะแนนเต็ม]])*tbl_task4[[%]:[%]])</f>
        <v/>
      </c>
      <c r="KS6" s="121" t="str">
        <f>IF(ISBLANK(tbl_task4[[คะแนนเต็ม]:[คะแนนเต็ม]]),"",(tbl_task4[135]/tbl_task4[[คะแนนเต็ม]:[คะแนนเต็ม]])*tbl_task4[[%]:[%]])</f>
        <v/>
      </c>
      <c r="KT6" s="121" t="str">
        <f>IF(ISBLANK(tbl_task4[[คะแนนเต็ม]:[คะแนนเต็ม]]),"",(tbl_task4[136]/tbl_task4[[คะแนนเต็ม]:[คะแนนเต็ม]])*tbl_task4[[%]:[%]])</f>
        <v/>
      </c>
      <c r="KU6" s="121" t="str">
        <f>IF(ISBLANK(tbl_task4[[คะแนนเต็ม]:[คะแนนเต็ม]]),"",(tbl_task4[137]/tbl_task4[[คะแนนเต็ม]:[คะแนนเต็ม]])*tbl_task4[[%]:[%]])</f>
        <v/>
      </c>
      <c r="KV6" s="121" t="str">
        <f>IF(ISBLANK(tbl_task4[[คะแนนเต็ม]:[คะแนนเต็ม]]),"",(tbl_task4[138]/tbl_task4[[คะแนนเต็ม]:[คะแนนเต็ม]])*tbl_task4[[%]:[%]])</f>
        <v/>
      </c>
      <c r="KW6" s="121" t="str">
        <f>IF(ISBLANK(tbl_task4[[คะแนนเต็ม]:[คะแนนเต็ม]]),"",(tbl_task4[139]/tbl_task4[[คะแนนเต็ม]:[คะแนนเต็ม]])*tbl_task4[[%]:[%]])</f>
        <v/>
      </c>
      <c r="KX6" s="121" t="str">
        <f>IF(ISBLANK(tbl_task4[[คะแนนเต็ม]:[คะแนนเต็ม]]),"",(tbl_task4[140]/tbl_task4[[คะแนนเต็ม]:[คะแนนเต็ม]])*tbl_task4[[%]:[%]])</f>
        <v/>
      </c>
      <c r="KY6" s="121" t="str">
        <f>IF(ISBLANK(tbl_task4[[คะแนนเต็ม]:[คะแนนเต็ม]]),"",(tbl_task4[141]/tbl_task4[[คะแนนเต็ม]:[คะแนนเต็ม]])*tbl_task4[[%]:[%]])</f>
        <v/>
      </c>
      <c r="KZ6" s="121" t="str">
        <f>IF(ISBLANK(tbl_task4[[คะแนนเต็ม]:[คะแนนเต็ม]]),"",(tbl_task4[142]/tbl_task4[[คะแนนเต็ม]:[คะแนนเต็ม]])*tbl_task4[[%]:[%]])</f>
        <v/>
      </c>
      <c r="LA6" s="121" t="str">
        <f>IF(ISBLANK(tbl_task4[[คะแนนเต็ม]:[คะแนนเต็ม]]),"",(tbl_task4[143]/tbl_task4[[คะแนนเต็ม]:[คะแนนเต็ม]])*tbl_task4[[%]:[%]])</f>
        <v/>
      </c>
      <c r="LB6" s="121" t="str">
        <f>IF(ISBLANK(tbl_task4[[คะแนนเต็ม]:[คะแนนเต็ม]]),"",(tbl_task4[144]/tbl_task4[[คะแนนเต็ม]:[คะแนนเต็ม]])*tbl_task4[[%]:[%]])</f>
        <v/>
      </c>
      <c r="LC6" s="121" t="str">
        <f>IF(ISBLANK(tbl_task4[[คะแนนเต็ม]:[คะแนนเต็ม]]),"",(tbl_task4[145]/tbl_task4[[คะแนนเต็ม]:[คะแนนเต็ม]])*tbl_task4[[%]:[%]])</f>
        <v/>
      </c>
      <c r="LD6" s="121" t="str">
        <f>IF(ISBLANK(tbl_task4[[คะแนนเต็ม]:[คะแนนเต็ม]]),"",(tbl_task4[146]/tbl_task4[[คะแนนเต็ม]:[คะแนนเต็ม]])*tbl_task4[[%]:[%]])</f>
        <v/>
      </c>
      <c r="LE6" s="121" t="str">
        <f>IF(ISBLANK(tbl_task4[[คะแนนเต็ม]:[คะแนนเต็ม]]),"",(tbl_task4[147]/tbl_task4[[คะแนนเต็ม]:[คะแนนเต็ม]])*tbl_task4[[%]:[%]])</f>
        <v/>
      </c>
      <c r="LF6" s="121" t="str">
        <f>IF(ISBLANK(tbl_task4[[คะแนนเต็ม]:[คะแนนเต็ม]]),"",(tbl_task4[148]/tbl_task4[[คะแนนเต็ม]:[คะแนนเต็ม]])*tbl_task4[[%]:[%]])</f>
        <v/>
      </c>
      <c r="LG6" s="121" t="str">
        <f>IF(ISBLANK(tbl_task4[[คะแนนเต็ม]:[คะแนนเต็ม]]),"",(tbl_task4[149]/tbl_task4[[คะแนนเต็ม]:[คะแนนเต็ม]])*tbl_task4[[%]:[%]])</f>
        <v/>
      </c>
      <c r="LH6" s="121" t="str">
        <f>IF(ISBLANK(tbl_task4[[คะแนนเต็ม]:[คะแนนเต็ม]]),"",(tbl_task4[150]/tbl_task4[[คะแนนเต็ม]:[คะแนนเต็ม]])*tbl_task4[[%]:[%]])</f>
        <v/>
      </c>
      <c r="LI6" s="121" t="str">
        <f>IF(ISBLANK(tbl_task4[[คะแนนเต็ม]:[คะแนนเต็ม]]),"",(tbl_task4[151]/tbl_task4[[คะแนนเต็ม]:[คะแนนเต็ม]])*tbl_task4[[%]:[%]])</f>
        <v/>
      </c>
      <c r="LJ6" s="121" t="str">
        <f>IF(ISBLANK(tbl_task4[[คะแนนเต็ม]:[คะแนนเต็ม]]),"",(tbl_task4[152]/tbl_task4[[คะแนนเต็ม]:[คะแนนเต็ม]])*tbl_task4[[%]:[%]])</f>
        <v/>
      </c>
      <c r="LK6" s="121" t="str">
        <f>IF(ISBLANK(tbl_task4[[คะแนนเต็ม]:[คะแนนเต็ม]]),"",(tbl_task4[153]/tbl_task4[[คะแนนเต็ม]:[คะแนนเต็ม]])*tbl_task4[[%]:[%]])</f>
        <v/>
      </c>
      <c r="LL6" s="121" t="str">
        <f>IF(ISBLANK(tbl_task4[[คะแนนเต็ม]:[คะแนนเต็ม]]),"",(tbl_task4[154]/tbl_task4[[คะแนนเต็ม]:[คะแนนเต็ม]])*tbl_task4[[%]:[%]])</f>
        <v/>
      </c>
      <c r="LM6" s="121" t="str">
        <f>IF(ISBLANK(tbl_task4[[คะแนนเต็ม]:[คะแนนเต็ม]]),"",(tbl_task4[155]/tbl_task4[[คะแนนเต็ม]:[คะแนนเต็ม]])*tbl_task4[[%]:[%]])</f>
        <v/>
      </c>
      <c r="LN6" s="121" t="str">
        <f>IF(ISBLANK(tbl_task4[[คะแนนเต็ม]:[คะแนนเต็ม]]),"",(tbl_task4[156]/tbl_task4[[คะแนนเต็ม]:[คะแนนเต็ม]])*tbl_task4[[%]:[%]])</f>
        <v/>
      </c>
      <c r="LO6" s="121" t="str">
        <f>IF(ISBLANK(tbl_task4[[คะแนนเต็ม]:[คะแนนเต็ม]]),"",(tbl_task4[157]/tbl_task4[[คะแนนเต็ม]:[คะแนนเต็ม]])*tbl_task4[[%]:[%]])</f>
        <v/>
      </c>
      <c r="LP6" s="121" t="str">
        <f>IF(ISBLANK(tbl_task4[[คะแนนเต็ม]:[คะแนนเต็ม]]),"",(tbl_task4[158]/tbl_task4[[คะแนนเต็ม]:[คะแนนเต็ม]])*tbl_task4[[%]:[%]])</f>
        <v/>
      </c>
      <c r="LQ6" s="121" t="str">
        <f>IF(ISBLANK(tbl_task4[[คะแนนเต็ม]:[คะแนนเต็ม]]),"",(tbl_task4[159]/tbl_task4[[คะแนนเต็ม]:[คะแนนเต็ม]])*tbl_task4[[%]:[%]])</f>
        <v/>
      </c>
      <c r="LR6" s="121" t="str">
        <f>IF(ISBLANK(tbl_task4[[คะแนนเต็ม]:[คะแนนเต็ม]]),"",(tbl_task4[160]/tbl_task4[[คะแนนเต็ม]:[คะแนนเต็ม]])*tbl_task4[[%]:[%]])</f>
        <v/>
      </c>
      <c r="LS6" s="121" t="str">
        <f>IF(ISBLANK(tbl_task4[[คะแนนเต็ม]:[คะแนนเต็ม]]),"",(tbl_task4[161]/tbl_task4[[คะแนนเต็ม]:[คะแนนเต็ม]])*tbl_task4[[%]:[%]])</f>
        <v/>
      </c>
      <c r="LT6" s="121" t="str">
        <f>IF(ISBLANK(tbl_task4[[คะแนนเต็ม]:[คะแนนเต็ม]]),"",(tbl_task4[162]/tbl_task4[[คะแนนเต็ม]:[คะแนนเต็ม]])*tbl_task4[[%]:[%]])</f>
        <v/>
      </c>
      <c r="LU6" s="121" t="str">
        <f>IF(ISBLANK(tbl_task4[[คะแนนเต็ม]:[คะแนนเต็ม]]),"",(tbl_task4[163]/tbl_task4[[คะแนนเต็ม]:[คะแนนเต็ม]])*tbl_task4[[%]:[%]])</f>
        <v/>
      </c>
      <c r="LV6" s="121" t="str">
        <f>IF(ISBLANK(tbl_task4[[คะแนนเต็ม]:[คะแนนเต็ม]]),"",(tbl_task4[164]/tbl_task4[[คะแนนเต็ม]:[คะแนนเต็ม]])*tbl_task4[[%]:[%]])</f>
        <v/>
      </c>
      <c r="LW6" s="121" t="str">
        <f>IF(ISBLANK(tbl_task4[[คะแนนเต็ม]:[คะแนนเต็ม]]),"",(tbl_task4[165]/tbl_task4[[คะแนนเต็ม]:[คะแนนเต็ม]])*tbl_task4[[%]:[%]])</f>
        <v/>
      </c>
    </row>
    <row r="7" spans="1:335" ht="22.5" customHeight="1" x14ac:dyDescent="0.25">
      <c r="A7" s="24">
        <v>4</v>
      </c>
      <c r="B7" s="33"/>
      <c r="C7" s="5" t="str">
        <f>IF(ISBLANK(B7),"",VLOOKUP(B7,tbl_PLOs[],2,0))</f>
        <v/>
      </c>
      <c r="D7" s="102"/>
      <c r="E7" s="10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22"/>
      <c r="FO7" s="121" t="str">
        <f>IF(ISBLANK(tbl_task4[[คะแนนเต็ม]:[คะแนนเต็ม]]),"",(tbl_task4[1]/tbl_task4[[คะแนนเต็ม]:[คะแนนเต็ม]])*tbl_task4[[%]:[%]])</f>
        <v/>
      </c>
      <c r="FP7" s="121" t="str">
        <f>IF(ISBLANK(tbl_task4[[คะแนนเต็ม]:[คะแนนเต็ม]]),"",(tbl_task4[2]/tbl_task4[[คะแนนเต็ม]:[คะแนนเต็ม]])*tbl_task4[[%]:[%]])</f>
        <v/>
      </c>
      <c r="FQ7" s="121" t="str">
        <f>IF(ISBLANK(tbl_task4[[คะแนนเต็ม]:[คะแนนเต็ม]]),"",(tbl_task4[3]/tbl_task4[[คะแนนเต็ม]:[คะแนนเต็ม]])*tbl_task4[[%]:[%]])</f>
        <v/>
      </c>
      <c r="FR7" s="121" t="str">
        <f>IF(ISBLANK(tbl_task4[[คะแนนเต็ม]:[คะแนนเต็ม]]),"",(tbl_task4[4]/tbl_task4[[คะแนนเต็ม]:[คะแนนเต็ม]])*tbl_task4[[%]:[%]])</f>
        <v/>
      </c>
      <c r="FS7" s="121" t="str">
        <f>IF(ISBLANK(tbl_task4[[คะแนนเต็ม]:[คะแนนเต็ม]]),"",(tbl_task4[5]/tbl_task4[[คะแนนเต็ม]:[คะแนนเต็ม]])*tbl_task4[[%]:[%]])</f>
        <v/>
      </c>
      <c r="FT7" s="121" t="str">
        <f>IF(ISBLANK(tbl_task4[[คะแนนเต็ม]:[คะแนนเต็ม]]),"",(tbl_task4[6]/tbl_task4[[คะแนนเต็ม]:[คะแนนเต็ม]])*tbl_task4[[%]:[%]])</f>
        <v/>
      </c>
      <c r="FU7" s="121" t="str">
        <f>IF(ISBLANK(tbl_task4[[คะแนนเต็ม]:[คะแนนเต็ม]]),"",(tbl_task4[7]/tbl_task4[[คะแนนเต็ม]:[คะแนนเต็ม]])*tbl_task4[[%]:[%]])</f>
        <v/>
      </c>
      <c r="FV7" s="121" t="str">
        <f>IF(ISBLANK(tbl_task4[[คะแนนเต็ม]:[คะแนนเต็ม]]),"",(tbl_task4[8]/tbl_task4[[คะแนนเต็ม]:[คะแนนเต็ม]])*tbl_task4[[%]:[%]])</f>
        <v/>
      </c>
      <c r="FW7" s="121" t="str">
        <f>IF(ISBLANK(tbl_task4[[คะแนนเต็ม]:[คะแนนเต็ม]]),"",(tbl_task4[9]/tbl_task4[[คะแนนเต็ม]:[คะแนนเต็ม]])*tbl_task4[[%]:[%]])</f>
        <v/>
      </c>
      <c r="FX7" s="121" t="str">
        <f>IF(ISBLANK(tbl_task4[[คะแนนเต็ม]:[คะแนนเต็ม]]),"",(tbl_task4[10]/tbl_task4[[คะแนนเต็ม]:[คะแนนเต็ม]])*tbl_task4[[%]:[%]])</f>
        <v/>
      </c>
      <c r="FY7" s="121" t="str">
        <f>IF(ISBLANK(tbl_task4[[คะแนนเต็ม]:[คะแนนเต็ม]]),"",(tbl_task4[11]/tbl_task4[[คะแนนเต็ม]:[คะแนนเต็ม]])*tbl_task4[[%]:[%]])</f>
        <v/>
      </c>
      <c r="FZ7" s="121" t="str">
        <f>IF(ISBLANK(tbl_task4[[คะแนนเต็ม]:[คะแนนเต็ม]]),"",(tbl_task4[12]/tbl_task4[[คะแนนเต็ม]:[คะแนนเต็ม]])*tbl_task4[[%]:[%]])</f>
        <v/>
      </c>
      <c r="GA7" s="121" t="str">
        <f>IF(ISBLANK(tbl_task4[[คะแนนเต็ม]:[คะแนนเต็ม]]),"",(tbl_task4[13]/tbl_task4[[คะแนนเต็ม]:[คะแนนเต็ม]])*tbl_task4[[%]:[%]])</f>
        <v/>
      </c>
      <c r="GB7" s="121" t="str">
        <f>IF(ISBLANK(tbl_task4[[คะแนนเต็ม]:[คะแนนเต็ม]]),"",(tbl_task4[14]/tbl_task4[[คะแนนเต็ม]:[คะแนนเต็ม]])*tbl_task4[[%]:[%]])</f>
        <v/>
      </c>
      <c r="GC7" s="121" t="str">
        <f>IF(ISBLANK(tbl_task4[[คะแนนเต็ม]:[คะแนนเต็ม]]),"",(tbl_task4[15]/tbl_task4[[คะแนนเต็ม]:[คะแนนเต็ม]])*tbl_task4[[%]:[%]])</f>
        <v/>
      </c>
      <c r="GD7" s="121" t="str">
        <f>IF(ISBLANK(tbl_task4[[คะแนนเต็ม]:[คะแนนเต็ม]]),"",(tbl_task4[16]/tbl_task4[[คะแนนเต็ม]:[คะแนนเต็ม]])*tbl_task4[[%]:[%]])</f>
        <v/>
      </c>
      <c r="GE7" s="121" t="str">
        <f>IF(ISBLANK(tbl_task4[[คะแนนเต็ม]:[คะแนนเต็ม]]),"",(tbl_task4[17]/tbl_task4[[คะแนนเต็ม]:[คะแนนเต็ม]])*tbl_task4[[%]:[%]])</f>
        <v/>
      </c>
      <c r="GF7" s="121" t="str">
        <f>IF(ISBLANK(tbl_task4[[คะแนนเต็ม]:[คะแนนเต็ม]]),"",(tbl_task4[18]/tbl_task4[[คะแนนเต็ม]:[คะแนนเต็ม]])*tbl_task4[[%]:[%]])</f>
        <v/>
      </c>
      <c r="GG7" s="121" t="str">
        <f>IF(ISBLANK(tbl_task4[[คะแนนเต็ม]:[คะแนนเต็ม]]),"",(tbl_task4[19]/tbl_task4[[คะแนนเต็ม]:[คะแนนเต็ม]])*tbl_task4[[%]:[%]])</f>
        <v/>
      </c>
      <c r="GH7" s="121" t="str">
        <f>IF(ISBLANK(tbl_task4[[คะแนนเต็ม]:[คะแนนเต็ม]]),"",(tbl_task4[20]/tbl_task4[[คะแนนเต็ม]:[คะแนนเต็ม]])*tbl_task4[[%]:[%]])</f>
        <v/>
      </c>
      <c r="GI7" s="121" t="str">
        <f>IF(ISBLANK(tbl_task4[[คะแนนเต็ม]:[คะแนนเต็ม]]),"",(tbl_task4[21]/tbl_task4[[คะแนนเต็ม]:[คะแนนเต็ม]])*tbl_task4[[%]:[%]])</f>
        <v/>
      </c>
      <c r="GJ7" s="121" t="str">
        <f>IF(ISBLANK(tbl_task4[[คะแนนเต็ม]:[คะแนนเต็ม]]),"",(tbl_task4[22]/tbl_task4[[คะแนนเต็ม]:[คะแนนเต็ม]])*tbl_task4[[%]:[%]])</f>
        <v/>
      </c>
      <c r="GK7" s="121" t="str">
        <f>IF(ISBLANK(tbl_task4[[คะแนนเต็ม]:[คะแนนเต็ม]]),"",(tbl_task4[23]/tbl_task4[[คะแนนเต็ม]:[คะแนนเต็ม]])*tbl_task4[[%]:[%]])</f>
        <v/>
      </c>
      <c r="GL7" s="121" t="str">
        <f>IF(ISBLANK(tbl_task4[[คะแนนเต็ม]:[คะแนนเต็ม]]),"",(tbl_task4[24]/tbl_task4[[คะแนนเต็ม]:[คะแนนเต็ม]])*tbl_task4[[%]:[%]])</f>
        <v/>
      </c>
      <c r="GM7" s="121" t="str">
        <f>IF(ISBLANK(tbl_task4[[คะแนนเต็ม]:[คะแนนเต็ม]]),"",(tbl_task4[25]/tbl_task4[[คะแนนเต็ม]:[คะแนนเต็ม]])*tbl_task4[[%]:[%]])</f>
        <v/>
      </c>
      <c r="GN7" s="121" t="str">
        <f>IF(ISBLANK(tbl_task4[[คะแนนเต็ม]:[คะแนนเต็ม]]),"",(tbl_task4[26]/tbl_task4[[คะแนนเต็ม]:[คะแนนเต็ม]])*tbl_task4[[%]:[%]])</f>
        <v/>
      </c>
      <c r="GO7" s="121" t="str">
        <f>IF(ISBLANK(tbl_task4[[คะแนนเต็ม]:[คะแนนเต็ม]]),"",(tbl_task4[27]/tbl_task4[[คะแนนเต็ม]:[คะแนนเต็ม]])*tbl_task4[[%]:[%]])</f>
        <v/>
      </c>
      <c r="GP7" s="121" t="str">
        <f>IF(ISBLANK(tbl_task4[[คะแนนเต็ม]:[คะแนนเต็ม]]),"",(tbl_task4[28]/tbl_task4[[คะแนนเต็ม]:[คะแนนเต็ม]])*tbl_task4[[%]:[%]])</f>
        <v/>
      </c>
      <c r="GQ7" s="121" t="str">
        <f>IF(ISBLANK(tbl_task4[[คะแนนเต็ม]:[คะแนนเต็ม]]),"",(tbl_task4[29]/tbl_task4[[คะแนนเต็ม]:[คะแนนเต็ม]])*tbl_task4[[%]:[%]])</f>
        <v/>
      </c>
      <c r="GR7" s="121" t="str">
        <f>IF(ISBLANK(tbl_task4[[คะแนนเต็ม]:[คะแนนเต็ม]]),"",(tbl_task4[30]/tbl_task4[[คะแนนเต็ม]:[คะแนนเต็ม]])*tbl_task4[[%]:[%]])</f>
        <v/>
      </c>
      <c r="GS7" s="121" t="str">
        <f>IF(ISBLANK(tbl_task4[[คะแนนเต็ม]:[คะแนนเต็ม]]),"",(tbl_task4[31]/tbl_task4[[คะแนนเต็ม]:[คะแนนเต็ม]])*tbl_task4[[%]:[%]])</f>
        <v/>
      </c>
      <c r="GT7" s="121" t="str">
        <f>IF(ISBLANK(tbl_task4[[คะแนนเต็ม]:[คะแนนเต็ม]]),"",(tbl_task4[32]/tbl_task4[[คะแนนเต็ม]:[คะแนนเต็ม]])*tbl_task4[[%]:[%]])</f>
        <v/>
      </c>
      <c r="GU7" s="121" t="str">
        <f>IF(ISBLANK(tbl_task4[[คะแนนเต็ม]:[คะแนนเต็ม]]),"",(tbl_task4[33]/tbl_task4[[คะแนนเต็ม]:[คะแนนเต็ม]])*tbl_task4[[%]:[%]])</f>
        <v/>
      </c>
      <c r="GV7" s="121" t="str">
        <f>IF(ISBLANK(tbl_task4[[คะแนนเต็ม]:[คะแนนเต็ม]]),"",(tbl_task4[34]/tbl_task4[[คะแนนเต็ม]:[คะแนนเต็ม]])*tbl_task4[[%]:[%]])</f>
        <v/>
      </c>
      <c r="GW7" s="121" t="str">
        <f>IF(ISBLANK(tbl_task4[[คะแนนเต็ม]:[คะแนนเต็ม]]),"",(tbl_task4[35]/tbl_task4[[คะแนนเต็ม]:[คะแนนเต็ม]])*tbl_task4[[%]:[%]])</f>
        <v/>
      </c>
      <c r="GX7" s="121" t="str">
        <f>IF(ISBLANK(tbl_task4[[คะแนนเต็ม]:[คะแนนเต็ม]]),"",(tbl_task4[36]/tbl_task4[[คะแนนเต็ม]:[คะแนนเต็ม]])*tbl_task4[[%]:[%]])</f>
        <v/>
      </c>
      <c r="GY7" s="121" t="str">
        <f>IF(ISBLANK(tbl_task4[[คะแนนเต็ม]:[คะแนนเต็ม]]),"",(tbl_task4[37]/tbl_task4[[คะแนนเต็ม]:[คะแนนเต็ม]])*tbl_task4[[%]:[%]])</f>
        <v/>
      </c>
      <c r="GZ7" s="121" t="str">
        <f>IF(ISBLANK(tbl_task4[[คะแนนเต็ม]:[คะแนนเต็ม]]),"",(tbl_task4[38]/tbl_task4[[คะแนนเต็ม]:[คะแนนเต็ม]])*tbl_task4[[%]:[%]])</f>
        <v/>
      </c>
      <c r="HA7" s="121" t="str">
        <f>IF(ISBLANK(tbl_task4[[คะแนนเต็ม]:[คะแนนเต็ม]]),"",(tbl_task4[39]/tbl_task4[[คะแนนเต็ม]:[คะแนนเต็ม]])*tbl_task4[[%]:[%]])</f>
        <v/>
      </c>
      <c r="HB7" s="121" t="str">
        <f>IF(ISBLANK(tbl_task4[[คะแนนเต็ม]:[คะแนนเต็ม]]),"",(tbl_task4[40]/tbl_task4[[คะแนนเต็ม]:[คะแนนเต็ม]])*tbl_task4[[%]:[%]])</f>
        <v/>
      </c>
      <c r="HC7" s="121" t="str">
        <f>IF(ISBLANK(tbl_task4[[คะแนนเต็ม]:[คะแนนเต็ม]]),"",(tbl_task4[41]/tbl_task4[[คะแนนเต็ม]:[คะแนนเต็ม]])*tbl_task4[[%]:[%]])</f>
        <v/>
      </c>
      <c r="HD7" s="121" t="str">
        <f>IF(ISBLANK(tbl_task4[[คะแนนเต็ม]:[คะแนนเต็ม]]),"",(tbl_task4[42]/tbl_task4[[คะแนนเต็ม]:[คะแนนเต็ม]])*tbl_task4[[%]:[%]])</f>
        <v/>
      </c>
      <c r="HE7" s="121" t="str">
        <f>IF(ISBLANK(tbl_task4[[คะแนนเต็ม]:[คะแนนเต็ม]]),"",(tbl_task4[43]/tbl_task4[[คะแนนเต็ม]:[คะแนนเต็ม]])*tbl_task4[[%]:[%]])</f>
        <v/>
      </c>
      <c r="HF7" s="121" t="str">
        <f>IF(ISBLANK(tbl_task4[[คะแนนเต็ม]:[คะแนนเต็ม]]),"",(tbl_task4[44]/tbl_task4[[คะแนนเต็ม]:[คะแนนเต็ม]])*tbl_task4[[%]:[%]])</f>
        <v/>
      </c>
      <c r="HG7" s="121" t="str">
        <f>IF(ISBLANK(tbl_task4[[คะแนนเต็ม]:[คะแนนเต็ม]]),"",(tbl_task4[45]/tbl_task4[[คะแนนเต็ม]:[คะแนนเต็ม]])*tbl_task4[[%]:[%]])</f>
        <v/>
      </c>
      <c r="HH7" s="121" t="str">
        <f>IF(ISBLANK(tbl_task4[[คะแนนเต็ม]:[คะแนนเต็ม]]),"",(tbl_task4[46]/tbl_task4[[คะแนนเต็ม]:[คะแนนเต็ม]])*tbl_task4[[%]:[%]])</f>
        <v/>
      </c>
      <c r="HI7" s="121" t="str">
        <f>IF(ISBLANK(tbl_task4[[คะแนนเต็ม]:[คะแนนเต็ม]]),"",(tbl_task4[47]/tbl_task4[[คะแนนเต็ม]:[คะแนนเต็ม]])*tbl_task4[[%]:[%]])</f>
        <v/>
      </c>
      <c r="HJ7" s="121" t="str">
        <f>IF(ISBLANK(tbl_task4[[คะแนนเต็ม]:[คะแนนเต็ม]]),"",(tbl_task4[48]/tbl_task4[[คะแนนเต็ม]:[คะแนนเต็ม]])*tbl_task4[[%]:[%]])</f>
        <v/>
      </c>
      <c r="HK7" s="121" t="str">
        <f>IF(ISBLANK(tbl_task4[[คะแนนเต็ม]:[คะแนนเต็ม]]),"",(tbl_task4[49]/tbl_task4[[คะแนนเต็ม]:[คะแนนเต็ม]])*tbl_task4[[%]:[%]])</f>
        <v/>
      </c>
      <c r="HL7" s="121" t="str">
        <f>IF(ISBLANK(tbl_task4[[คะแนนเต็ม]:[คะแนนเต็ม]]),"",(tbl_task4[50]/tbl_task4[[คะแนนเต็ม]:[คะแนนเต็ม]])*tbl_task4[[%]:[%]])</f>
        <v/>
      </c>
      <c r="HM7" s="121" t="str">
        <f>IF(ISBLANK(tbl_task4[[คะแนนเต็ม]:[คะแนนเต็ม]]),"",(tbl_task4[51]/tbl_task4[[คะแนนเต็ม]:[คะแนนเต็ม]])*tbl_task4[[%]:[%]])</f>
        <v/>
      </c>
      <c r="HN7" s="121" t="str">
        <f>IF(ISBLANK(tbl_task4[[คะแนนเต็ม]:[คะแนนเต็ม]]),"",(tbl_task4[52]/tbl_task4[[คะแนนเต็ม]:[คะแนนเต็ม]])*tbl_task4[[%]:[%]])</f>
        <v/>
      </c>
      <c r="HO7" s="121" t="str">
        <f>IF(ISBLANK(tbl_task4[[คะแนนเต็ม]:[คะแนนเต็ม]]),"",(tbl_task4[53]/tbl_task4[[คะแนนเต็ม]:[คะแนนเต็ม]])*tbl_task4[[%]:[%]])</f>
        <v/>
      </c>
      <c r="HP7" s="121" t="str">
        <f>IF(ISBLANK(tbl_task4[[คะแนนเต็ม]:[คะแนนเต็ม]]),"",(tbl_task4[54]/tbl_task4[[คะแนนเต็ม]:[คะแนนเต็ม]])*tbl_task4[[%]:[%]])</f>
        <v/>
      </c>
      <c r="HQ7" s="121" t="str">
        <f>IF(ISBLANK(tbl_task4[[คะแนนเต็ม]:[คะแนนเต็ม]]),"",(tbl_task4[55]/tbl_task4[[คะแนนเต็ม]:[คะแนนเต็ม]])*tbl_task4[[%]:[%]])</f>
        <v/>
      </c>
      <c r="HR7" s="121" t="str">
        <f>IF(ISBLANK(tbl_task4[[คะแนนเต็ม]:[คะแนนเต็ม]]),"",(tbl_task4[56]/tbl_task4[[คะแนนเต็ม]:[คะแนนเต็ม]])*tbl_task4[[%]:[%]])</f>
        <v/>
      </c>
      <c r="HS7" s="121" t="str">
        <f>IF(ISBLANK(tbl_task4[[คะแนนเต็ม]:[คะแนนเต็ม]]),"",(tbl_task4[57]/tbl_task4[[คะแนนเต็ม]:[คะแนนเต็ม]])*tbl_task4[[%]:[%]])</f>
        <v/>
      </c>
      <c r="HT7" s="121" t="str">
        <f>IF(ISBLANK(tbl_task4[[คะแนนเต็ม]:[คะแนนเต็ม]]),"",(tbl_task4[58]/tbl_task4[[คะแนนเต็ม]:[คะแนนเต็ม]])*tbl_task4[[%]:[%]])</f>
        <v/>
      </c>
      <c r="HU7" s="121" t="str">
        <f>IF(ISBLANK(tbl_task4[[คะแนนเต็ม]:[คะแนนเต็ม]]),"",(tbl_task4[59]/tbl_task4[[คะแนนเต็ม]:[คะแนนเต็ม]])*tbl_task4[[%]:[%]])</f>
        <v/>
      </c>
      <c r="HV7" s="121" t="str">
        <f>IF(ISBLANK(tbl_task4[[คะแนนเต็ม]:[คะแนนเต็ม]]),"",(tbl_task4[60]/tbl_task4[[คะแนนเต็ม]:[คะแนนเต็ม]])*tbl_task4[[%]:[%]])</f>
        <v/>
      </c>
      <c r="HW7" s="121" t="str">
        <f>IF(ISBLANK(tbl_task4[[คะแนนเต็ม]:[คะแนนเต็ม]]),"",(tbl_task4[61]/tbl_task4[[คะแนนเต็ม]:[คะแนนเต็ม]])*tbl_task4[[%]:[%]])</f>
        <v/>
      </c>
      <c r="HX7" s="121" t="str">
        <f>IF(ISBLANK(tbl_task4[[คะแนนเต็ม]:[คะแนนเต็ม]]),"",(tbl_task4[62]/tbl_task4[[คะแนนเต็ม]:[คะแนนเต็ม]])*tbl_task4[[%]:[%]])</f>
        <v/>
      </c>
      <c r="HY7" s="121" t="str">
        <f>IF(ISBLANK(tbl_task4[[คะแนนเต็ม]:[คะแนนเต็ม]]),"",(tbl_task4[63]/tbl_task4[[คะแนนเต็ม]:[คะแนนเต็ม]])*tbl_task4[[%]:[%]])</f>
        <v/>
      </c>
      <c r="HZ7" s="121" t="str">
        <f>IF(ISBLANK(tbl_task4[[คะแนนเต็ม]:[คะแนนเต็ม]]),"",(tbl_task4[64]/tbl_task4[[คะแนนเต็ม]:[คะแนนเต็ม]])*tbl_task4[[%]:[%]])</f>
        <v/>
      </c>
      <c r="IA7" s="121" t="str">
        <f>IF(ISBLANK(tbl_task4[[คะแนนเต็ม]:[คะแนนเต็ม]]),"",(tbl_task4[65]/tbl_task4[[คะแนนเต็ม]:[คะแนนเต็ม]])*tbl_task4[[%]:[%]])</f>
        <v/>
      </c>
      <c r="IB7" s="121" t="str">
        <f>IF(ISBLANK(tbl_task4[[คะแนนเต็ม]:[คะแนนเต็ม]]),"",(tbl_task4[66]/tbl_task4[[คะแนนเต็ม]:[คะแนนเต็ม]])*tbl_task4[[%]:[%]])</f>
        <v/>
      </c>
      <c r="IC7" s="121" t="str">
        <f>IF(ISBLANK(tbl_task4[[คะแนนเต็ม]:[คะแนนเต็ม]]),"",(tbl_task4[67]/tbl_task4[[คะแนนเต็ม]:[คะแนนเต็ม]])*tbl_task4[[%]:[%]])</f>
        <v/>
      </c>
      <c r="ID7" s="121" t="str">
        <f>IF(ISBLANK(tbl_task4[[คะแนนเต็ม]:[คะแนนเต็ม]]),"",(tbl_task4[68]/tbl_task4[[คะแนนเต็ม]:[คะแนนเต็ม]])*tbl_task4[[%]:[%]])</f>
        <v/>
      </c>
      <c r="IE7" s="121" t="str">
        <f>IF(ISBLANK(tbl_task4[[คะแนนเต็ม]:[คะแนนเต็ม]]),"",(tbl_task4[69]/tbl_task4[[คะแนนเต็ม]:[คะแนนเต็ม]])*tbl_task4[[%]:[%]])</f>
        <v/>
      </c>
      <c r="IF7" s="121" t="str">
        <f>IF(ISBLANK(tbl_task4[[คะแนนเต็ม]:[คะแนนเต็ม]]),"",(tbl_task4[70]/tbl_task4[[คะแนนเต็ม]:[คะแนนเต็ม]])*tbl_task4[[%]:[%]])</f>
        <v/>
      </c>
      <c r="IG7" s="121" t="str">
        <f>IF(ISBLANK(tbl_task4[[คะแนนเต็ม]:[คะแนนเต็ม]]),"",(tbl_task4[71]/tbl_task4[[คะแนนเต็ม]:[คะแนนเต็ม]])*tbl_task4[[%]:[%]])</f>
        <v/>
      </c>
      <c r="IH7" s="121" t="str">
        <f>IF(ISBLANK(tbl_task4[[คะแนนเต็ม]:[คะแนนเต็ม]]),"",(tbl_task4[72]/tbl_task4[[คะแนนเต็ม]:[คะแนนเต็ม]])*tbl_task4[[%]:[%]])</f>
        <v/>
      </c>
      <c r="II7" s="121" t="str">
        <f>IF(ISBLANK(tbl_task4[[คะแนนเต็ม]:[คะแนนเต็ม]]),"",(tbl_task4[73]/tbl_task4[[คะแนนเต็ม]:[คะแนนเต็ม]])*tbl_task4[[%]:[%]])</f>
        <v/>
      </c>
      <c r="IJ7" s="121" t="str">
        <f>IF(ISBLANK(tbl_task4[[คะแนนเต็ม]:[คะแนนเต็ม]]),"",(tbl_task4[74]/tbl_task4[[คะแนนเต็ม]:[คะแนนเต็ม]])*tbl_task4[[%]:[%]])</f>
        <v/>
      </c>
      <c r="IK7" s="121" t="str">
        <f>IF(ISBLANK(tbl_task4[[คะแนนเต็ม]:[คะแนนเต็ม]]),"",(tbl_task4[75]/tbl_task4[[คะแนนเต็ม]:[คะแนนเต็ม]])*tbl_task4[[%]:[%]])</f>
        <v/>
      </c>
      <c r="IL7" s="121" t="str">
        <f>IF(ISBLANK(tbl_task4[[คะแนนเต็ม]:[คะแนนเต็ม]]),"",(tbl_task4[76]/tbl_task4[[คะแนนเต็ม]:[คะแนนเต็ม]])*tbl_task4[[%]:[%]])</f>
        <v/>
      </c>
      <c r="IM7" s="121" t="str">
        <f>IF(ISBLANK(tbl_task4[[คะแนนเต็ม]:[คะแนนเต็ม]]),"",(tbl_task4[77]/tbl_task4[[คะแนนเต็ม]:[คะแนนเต็ม]])*tbl_task4[[%]:[%]])</f>
        <v/>
      </c>
      <c r="IN7" s="121" t="str">
        <f>IF(ISBLANK(tbl_task4[[คะแนนเต็ม]:[คะแนนเต็ม]]),"",(tbl_task4[78]/tbl_task4[[คะแนนเต็ม]:[คะแนนเต็ม]])*tbl_task4[[%]:[%]])</f>
        <v/>
      </c>
      <c r="IO7" s="121" t="str">
        <f>IF(ISBLANK(tbl_task4[[คะแนนเต็ม]:[คะแนนเต็ม]]),"",(tbl_task4[79]/tbl_task4[[คะแนนเต็ม]:[คะแนนเต็ม]])*tbl_task4[[%]:[%]])</f>
        <v/>
      </c>
      <c r="IP7" s="121" t="str">
        <f>IF(ISBLANK(tbl_task4[[คะแนนเต็ม]:[คะแนนเต็ม]]),"",(tbl_task4[80]/tbl_task4[[คะแนนเต็ม]:[คะแนนเต็ม]])*tbl_task4[[%]:[%]])</f>
        <v/>
      </c>
      <c r="IQ7" s="121" t="str">
        <f>IF(ISBLANK(tbl_task4[[คะแนนเต็ม]:[คะแนนเต็ม]]),"",(tbl_task4[81]/tbl_task4[[คะแนนเต็ม]:[คะแนนเต็ม]])*tbl_task4[[%]:[%]])</f>
        <v/>
      </c>
      <c r="IR7" s="121" t="str">
        <f>IF(ISBLANK(tbl_task4[[คะแนนเต็ม]:[คะแนนเต็ม]]),"",(tbl_task4[82]/tbl_task4[[คะแนนเต็ม]:[คะแนนเต็ม]])*tbl_task4[[%]:[%]])</f>
        <v/>
      </c>
      <c r="IS7" s="121" t="str">
        <f>IF(ISBLANK(tbl_task4[[คะแนนเต็ม]:[คะแนนเต็ม]]),"",(tbl_task4[83]/tbl_task4[[คะแนนเต็ม]:[คะแนนเต็ม]])*tbl_task4[[%]:[%]])</f>
        <v/>
      </c>
      <c r="IT7" s="121" t="str">
        <f>IF(ISBLANK(tbl_task4[[คะแนนเต็ม]:[คะแนนเต็ม]]),"",(tbl_task4[84]/tbl_task4[[คะแนนเต็ม]:[คะแนนเต็ม]])*tbl_task4[[%]:[%]])</f>
        <v/>
      </c>
      <c r="IU7" s="121" t="str">
        <f>IF(ISBLANK(tbl_task4[[คะแนนเต็ม]:[คะแนนเต็ม]]),"",(tbl_task4[85]/tbl_task4[[คะแนนเต็ม]:[คะแนนเต็ม]])*tbl_task4[[%]:[%]])</f>
        <v/>
      </c>
      <c r="IV7" s="121" t="str">
        <f>IF(ISBLANK(tbl_task4[[คะแนนเต็ม]:[คะแนนเต็ม]]),"",(tbl_task4[86]/tbl_task4[[คะแนนเต็ม]:[คะแนนเต็ม]])*tbl_task4[[%]:[%]])</f>
        <v/>
      </c>
      <c r="IW7" s="121" t="str">
        <f>IF(ISBLANK(tbl_task4[[คะแนนเต็ม]:[คะแนนเต็ม]]),"",(tbl_task4[87]/tbl_task4[[คะแนนเต็ม]:[คะแนนเต็ม]])*tbl_task4[[%]:[%]])</f>
        <v/>
      </c>
      <c r="IX7" s="121" t="str">
        <f>IF(ISBLANK(tbl_task4[[คะแนนเต็ม]:[คะแนนเต็ม]]),"",(tbl_task4[88]/tbl_task4[[คะแนนเต็ม]:[คะแนนเต็ม]])*tbl_task4[[%]:[%]])</f>
        <v/>
      </c>
      <c r="IY7" s="121" t="str">
        <f>IF(ISBLANK(tbl_task4[[คะแนนเต็ม]:[คะแนนเต็ม]]),"",(tbl_task4[89]/tbl_task4[[คะแนนเต็ม]:[คะแนนเต็ม]])*tbl_task4[[%]:[%]])</f>
        <v/>
      </c>
      <c r="IZ7" s="121" t="str">
        <f>IF(ISBLANK(tbl_task4[[คะแนนเต็ม]:[คะแนนเต็ม]]),"",(tbl_task4[90]/tbl_task4[[คะแนนเต็ม]:[คะแนนเต็ม]])*tbl_task4[[%]:[%]])</f>
        <v/>
      </c>
      <c r="JA7" s="121" t="str">
        <f>IF(ISBLANK(tbl_task4[[คะแนนเต็ม]:[คะแนนเต็ม]]),"",(tbl_task4[91]/tbl_task4[[คะแนนเต็ม]:[คะแนนเต็ม]])*tbl_task4[[%]:[%]])</f>
        <v/>
      </c>
      <c r="JB7" s="121" t="str">
        <f>IF(ISBLANK(tbl_task4[[คะแนนเต็ม]:[คะแนนเต็ม]]),"",(tbl_task4[92]/tbl_task4[[คะแนนเต็ม]:[คะแนนเต็ม]])*tbl_task4[[%]:[%]])</f>
        <v/>
      </c>
      <c r="JC7" s="121" t="str">
        <f>IF(ISBLANK(tbl_task4[[คะแนนเต็ม]:[คะแนนเต็ม]]),"",(tbl_task4[93]/tbl_task4[[คะแนนเต็ม]:[คะแนนเต็ม]])*tbl_task4[[%]:[%]])</f>
        <v/>
      </c>
      <c r="JD7" s="121" t="str">
        <f>IF(ISBLANK(tbl_task4[[คะแนนเต็ม]:[คะแนนเต็ม]]),"",(tbl_task4[94]/tbl_task4[[คะแนนเต็ม]:[คะแนนเต็ม]])*tbl_task4[[%]:[%]])</f>
        <v/>
      </c>
      <c r="JE7" s="121" t="str">
        <f>IF(ISBLANK(tbl_task4[[คะแนนเต็ม]:[คะแนนเต็ม]]),"",(tbl_task4[95]/tbl_task4[[คะแนนเต็ม]:[คะแนนเต็ม]])*tbl_task4[[%]:[%]])</f>
        <v/>
      </c>
      <c r="JF7" s="121" t="str">
        <f>IF(ISBLANK(tbl_task4[[คะแนนเต็ม]:[คะแนนเต็ม]]),"",(tbl_task4[96]/tbl_task4[[คะแนนเต็ม]:[คะแนนเต็ม]])*tbl_task4[[%]:[%]])</f>
        <v/>
      </c>
      <c r="JG7" s="121" t="str">
        <f>IF(ISBLANK(tbl_task4[[คะแนนเต็ม]:[คะแนนเต็ม]]),"",(tbl_task4[97]/tbl_task4[[คะแนนเต็ม]:[คะแนนเต็ม]])*tbl_task4[[%]:[%]])</f>
        <v/>
      </c>
      <c r="JH7" s="121" t="str">
        <f>IF(ISBLANK(tbl_task4[[คะแนนเต็ม]:[คะแนนเต็ม]]),"",(tbl_task4[98]/tbl_task4[[คะแนนเต็ม]:[คะแนนเต็ม]])*tbl_task4[[%]:[%]])</f>
        <v/>
      </c>
      <c r="JI7" s="121" t="str">
        <f>IF(ISBLANK(tbl_task4[[คะแนนเต็ม]:[คะแนนเต็ม]]),"",(tbl_task4[99]/tbl_task4[[คะแนนเต็ม]:[คะแนนเต็ม]])*tbl_task4[[%]:[%]])</f>
        <v/>
      </c>
      <c r="JJ7" s="121" t="str">
        <f>IF(ISBLANK(tbl_task4[[คะแนนเต็ม]:[คะแนนเต็ม]]),"",(tbl_task4[100]/tbl_task4[[คะแนนเต็ม]:[คะแนนเต็ม]])*tbl_task4[[%]:[%]])</f>
        <v/>
      </c>
      <c r="JK7" s="121" t="str">
        <f>IF(ISBLANK(tbl_task4[[คะแนนเต็ม]:[คะแนนเต็ม]]),"",(tbl_task4[101]/tbl_task4[[คะแนนเต็ม]:[คะแนนเต็ม]])*tbl_task4[[%]:[%]])</f>
        <v/>
      </c>
      <c r="JL7" s="121" t="str">
        <f>IF(ISBLANK(tbl_task4[[คะแนนเต็ม]:[คะแนนเต็ม]]),"",(tbl_task4[102]/tbl_task4[[คะแนนเต็ม]:[คะแนนเต็ม]])*tbl_task4[[%]:[%]])</f>
        <v/>
      </c>
      <c r="JM7" s="121" t="str">
        <f>IF(ISBLANK(tbl_task4[[คะแนนเต็ม]:[คะแนนเต็ม]]),"",(tbl_task4[103]/tbl_task4[[คะแนนเต็ม]:[คะแนนเต็ม]])*tbl_task4[[%]:[%]])</f>
        <v/>
      </c>
      <c r="JN7" s="121" t="str">
        <f>IF(ISBLANK(tbl_task4[[คะแนนเต็ม]:[คะแนนเต็ม]]),"",(tbl_task4[104]/tbl_task4[[คะแนนเต็ม]:[คะแนนเต็ม]])*tbl_task4[[%]:[%]])</f>
        <v/>
      </c>
      <c r="JO7" s="121" t="str">
        <f>IF(ISBLANK(tbl_task4[[คะแนนเต็ม]:[คะแนนเต็ม]]),"",(tbl_task4[105]/tbl_task4[[คะแนนเต็ม]:[คะแนนเต็ม]])*tbl_task4[[%]:[%]])</f>
        <v/>
      </c>
      <c r="JP7" s="121" t="str">
        <f>IF(ISBLANK(tbl_task4[[คะแนนเต็ม]:[คะแนนเต็ม]]),"",(tbl_task4[106]/tbl_task4[[คะแนนเต็ม]:[คะแนนเต็ม]])*tbl_task4[[%]:[%]])</f>
        <v/>
      </c>
      <c r="JQ7" s="121" t="str">
        <f>IF(ISBLANK(tbl_task4[[คะแนนเต็ม]:[คะแนนเต็ม]]),"",(tbl_task4[107]/tbl_task4[[คะแนนเต็ม]:[คะแนนเต็ม]])*tbl_task4[[%]:[%]])</f>
        <v/>
      </c>
      <c r="JR7" s="121" t="str">
        <f>IF(ISBLANK(tbl_task4[[คะแนนเต็ม]:[คะแนนเต็ม]]),"",(tbl_task4[108]/tbl_task4[[คะแนนเต็ม]:[คะแนนเต็ม]])*tbl_task4[[%]:[%]])</f>
        <v/>
      </c>
      <c r="JS7" s="121" t="str">
        <f>IF(ISBLANK(tbl_task4[[คะแนนเต็ม]:[คะแนนเต็ม]]),"",(tbl_task4[109]/tbl_task4[[คะแนนเต็ม]:[คะแนนเต็ม]])*tbl_task4[[%]:[%]])</f>
        <v/>
      </c>
      <c r="JT7" s="121" t="str">
        <f>IF(ISBLANK(tbl_task4[[คะแนนเต็ม]:[คะแนนเต็ม]]),"",(tbl_task4[110]/tbl_task4[[คะแนนเต็ม]:[คะแนนเต็ม]])*tbl_task4[[%]:[%]])</f>
        <v/>
      </c>
      <c r="JU7" s="121" t="str">
        <f>IF(ISBLANK(tbl_task4[[คะแนนเต็ม]:[คะแนนเต็ม]]),"",(tbl_task4[111]/tbl_task4[[คะแนนเต็ม]:[คะแนนเต็ม]])*tbl_task4[[%]:[%]])</f>
        <v/>
      </c>
      <c r="JV7" s="121" t="str">
        <f>IF(ISBLANK(tbl_task4[[คะแนนเต็ม]:[คะแนนเต็ม]]),"",(tbl_task4[112]/tbl_task4[[คะแนนเต็ม]:[คะแนนเต็ม]])*tbl_task4[[%]:[%]])</f>
        <v/>
      </c>
      <c r="JW7" s="121" t="str">
        <f>IF(ISBLANK(tbl_task4[[คะแนนเต็ม]:[คะแนนเต็ม]]),"",(tbl_task4[113]/tbl_task4[[คะแนนเต็ม]:[คะแนนเต็ม]])*tbl_task4[[%]:[%]])</f>
        <v/>
      </c>
      <c r="JX7" s="121" t="str">
        <f>IF(ISBLANK(tbl_task4[[คะแนนเต็ม]:[คะแนนเต็ม]]),"",(tbl_task4[114]/tbl_task4[[คะแนนเต็ม]:[คะแนนเต็ม]])*tbl_task4[[%]:[%]])</f>
        <v/>
      </c>
      <c r="JY7" s="121" t="str">
        <f>IF(ISBLANK(tbl_task4[[คะแนนเต็ม]:[คะแนนเต็ม]]),"",(tbl_task4[115]/tbl_task4[[คะแนนเต็ม]:[คะแนนเต็ม]])*tbl_task4[[%]:[%]])</f>
        <v/>
      </c>
      <c r="JZ7" s="121" t="str">
        <f>IF(ISBLANK(tbl_task4[[คะแนนเต็ม]:[คะแนนเต็ม]]),"",(tbl_task4[116]/tbl_task4[[คะแนนเต็ม]:[คะแนนเต็ม]])*tbl_task4[[%]:[%]])</f>
        <v/>
      </c>
      <c r="KA7" s="121" t="str">
        <f>IF(ISBLANK(tbl_task4[[คะแนนเต็ม]:[คะแนนเต็ม]]),"",(tbl_task4[117]/tbl_task4[[คะแนนเต็ม]:[คะแนนเต็ม]])*tbl_task4[[%]:[%]])</f>
        <v/>
      </c>
      <c r="KB7" s="121" t="str">
        <f>IF(ISBLANK(tbl_task4[[คะแนนเต็ม]:[คะแนนเต็ม]]),"",(tbl_task4[118]/tbl_task4[[คะแนนเต็ม]:[คะแนนเต็ม]])*tbl_task4[[%]:[%]])</f>
        <v/>
      </c>
      <c r="KC7" s="121" t="str">
        <f>IF(ISBLANK(tbl_task4[[คะแนนเต็ม]:[คะแนนเต็ม]]),"",(tbl_task4[119]/tbl_task4[[คะแนนเต็ม]:[คะแนนเต็ม]])*tbl_task4[[%]:[%]])</f>
        <v/>
      </c>
      <c r="KD7" s="121" t="str">
        <f>IF(ISBLANK(tbl_task4[[คะแนนเต็ม]:[คะแนนเต็ม]]),"",(tbl_task4[120]/tbl_task4[[คะแนนเต็ม]:[คะแนนเต็ม]])*tbl_task4[[%]:[%]])</f>
        <v/>
      </c>
      <c r="KE7" s="121" t="str">
        <f>IF(ISBLANK(tbl_task4[[คะแนนเต็ม]:[คะแนนเต็ม]]),"",(tbl_task4[121]/tbl_task4[[คะแนนเต็ม]:[คะแนนเต็ม]])*tbl_task4[[%]:[%]])</f>
        <v/>
      </c>
      <c r="KF7" s="121" t="str">
        <f>IF(ISBLANK(tbl_task4[[คะแนนเต็ม]:[คะแนนเต็ม]]),"",(tbl_task4[122]/tbl_task4[[คะแนนเต็ม]:[คะแนนเต็ม]])*tbl_task4[[%]:[%]])</f>
        <v/>
      </c>
      <c r="KG7" s="121" t="str">
        <f>IF(ISBLANK(tbl_task4[[คะแนนเต็ม]:[คะแนนเต็ม]]),"",(tbl_task4[123]/tbl_task4[[คะแนนเต็ม]:[คะแนนเต็ม]])*tbl_task4[[%]:[%]])</f>
        <v/>
      </c>
      <c r="KH7" s="121" t="str">
        <f>IF(ISBLANK(tbl_task4[[คะแนนเต็ม]:[คะแนนเต็ม]]),"",(tbl_task4[124]/tbl_task4[[คะแนนเต็ม]:[คะแนนเต็ม]])*tbl_task4[[%]:[%]])</f>
        <v/>
      </c>
      <c r="KI7" s="121" t="str">
        <f>IF(ISBLANK(tbl_task4[[คะแนนเต็ม]:[คะแนนเต็ม]]),"",(tbl_task4[125]/tbl_task4[[คะแนนเต็ม]:[คะแนนเต็ม]])*tbl_task4[[%]:[%]])</f>
        <v/>
      </c>
      <c r="KJ7" s="121" t="str">
        <f>IF(ISBLANK(tbl_task4[[คะแนนเต็ม]:[คะแนนเต็ม]]),"",(tbl_task4[126]/tbl_task4[[คะแนนเต็ม]:[คะแนนเต็ม]])*tbl_task4[[%]:[%]])</f>
        <v/>
      </c>
      <c r="KK7" s="121" t="str">
        <f>IF(ISBLANK(tbl_task4[[คะแนนเต็ม]:[คะแนนเต็ม]]),"",(tbl_task4[127]/tbl_task4[[คะแนนเต็ม]:[คะแนนเต็ม]])*tbl_task4[[%]:[%]])</f>
        <v/>
      </c>
      <c r="KL7" s="121" t="str">
        <f>IF(ISBLANK(tbl_task4[[คะแนนเต็ม]:[คะแนนเต็ม]]),"",(tbl_task4[128]/tbl_task4[[คะแนนเต็ม]:[คะแนนเต็ม]])*tbl_task4[[%]:[%]])</f>
        <v/>
      </c>
      <c r="KM7" s="121" t="str">
        <f>IF(ISBLANK(tbl_task4[[คะแนนเต็ม]:[คะแนนเต็ม]]),"",(tbl_task4[129]/tbl_task4[[คะแนนเต็ม]:[คะแนนเต็ม]])*tbl_task4[[%]:[%]])</f>
        <v/>
      </c>
      <c r="KN7" s="121" t="str">
        <f>IF(ISBLANK(tbl_task4[[คะแนนเต็ม]:[คะแนนเต็ม]]),"",(tbl_task4[130]/tbl_task4[[คะแนนเต็ม]:[คะแนนเต็ม]])*tbl_task4[[%]:[%]])</f>
        <v/>
      </c>
      <c r="KO7" s="121" t="str">
        <f>IF(ISBLANK(tbl_task4[[คะแนนเต็ม]:[คะแนนเต็ม]]),"",(tbl_task4[131]/tbl_task4[[คะแนนเต็ม]:[คะแนนเต็ม]])*tbl_task4[[%]:[%]])</f>
        <v/>
      </c>
      <c r="KP7" s="121" t="str">
        <f>IF(ISBLANK(tbl_task4[[คะแนนเต็ม]:[คะแนนเต็ม]]),"",(tbl_task4[132]/tbl_task4[[คะแนนเต็ม]:[คะแนนเต็ม]])*tbl_task4[[%]:[%]])</f>
        <v/>
      </c>
      <c r="KQ7" s="121" t="str">
        <f>IF(ISBLANK(tbl_task4[[คะแนนเต็ม]:[คะแนนเต็ม]]),"",(tbl_task4[133]/tbl_task4[[คะแนนเต็ม]:[คะแนนเต็ม]])*tbl_task4[[%]:[%]])</f>
        <v/>
      </c>
      <c r="KR7" s="121" t="str">
        <f>IF(ISBLANK(tbl_task4[[คะแนนเต็ม]:[คะแนนเต็ม]]),"",(tbl_task4[134]/tbl_task4[[คะแนนเต็ม]:[คะแนนเต็ม]])*tbl_task4[[%]:[%]])</f>
        <v/>
      </c>
      <c r="KS7" s="121" t="str">
        <f>IF(ISBLANK(tbl_task4[[คะแนนเต็ม]:[คะแนนเต็ม]]),"",(tbl_task4[135]/tbl_task4[[คะแนนเต็ม]:[คะแนนเต็ม]])*tbl_task4[[%]:[%]])</f>
        <v/>
      </c>
      <c r="KT7" s="121" t="str">
        <f>IF(ISBLANK(tbl_task4[[คะแนนเต็ม]:[คะแนนเต็ม]]),"",(tbl_task4[136]/tbl_task4[[คะแนนเต็ม]:[คะแนนเต็ม]])*tbl_task4[[%]:[%]])</f>
        <v/>
      </c>
      <c r="KU7" s="121" t="str">
        <f>IF(ISBLANK(tbl_task4[[คะแนนเต็ม]:[คะแนนเต็ม]]),"",(tbl_task4[137]/tbl_task4[[คะแนนเต็ม]:[คะแนนเต็ม]])*tbl_task4[[%]:[%]])</f>
        <v/>
      </c>
      <c r="KV7" s="121" t="str">
        <f>IF(ISBLANK(tbl_task4[[คะแนนเต็ม]:[คะแนนเต็ม]]),"",(tbl_task4[138]/tbl_task4[[คะแนนเต็ม]:[คะแนนเต็ม]])*tbl_task4[[%]:[%]])</f>
        <v/>
      </c>
      <c r="KW7" s="121" t="str">
        <f>IF(ISBLANK(tbl_task4[[คะแนนเต็ม]:[คะแนนเต็ม]]),"",(tbl_task4[139]/tbl_task4[[คะแนนเต็ม]:[คะแนนเต็ม]])*tbl_task4[[%]:[%]])</f>
        <v/>
      </c>
      <c r="KX7" s="121" t="str">
        <f>IF(ISBLANK(tbl_task4[[คะแนนเต็ม]:[คะแนนเต็ม]]),"",(tbl_task4[140]/tbl_task4[[คะแนนเต็ม]:[คะแนนเต็ม]])*tbl_task4[[%]:[%]])</f>
        <v/>
      </c>
      <c r="KY7" s="121" t="str">
        <f>IF(ISBLANK(tbl_task4[[คะแนนเต็ม]:[คะแนนเต็ม]]),"",(tbl_task4[141]/tbl_task4[[คะแนนเต็ม]:[คะแนนเต็ม]])*tbl_task4[[%]:[%]])</f>
        <v/>
      </c>
      <c r="KZ7" s="121" t="str">
        <f>IF(ISBLANK(tbl_task4[[คะแนนเต็ม]:[คะแนนเต็ม]]),"",(tbl_task4[142]/tbl_task4[[คะแนนเต็ม]:[คะแนนเต็ม]])*tbl_task4[[%]:[%]])</f>
        <v/>
      </c>
      <c r="LA7" s="121" t="str">
        <f>IF(ISBLANK(tbl_task4[[คะแนนเต็ม]:[คะแนนเต็ม]]),"",(tbl_task4[143]/tbl_task4[[คะแนนเต็ม]:[คะแนนเต็ม]])*tbl_task4[[%]:[%]])</f>
        <v/>
      </c>
      <c r="LB7" s="121" t="str">
        <f>IF(ISBLANK(tbl_task4[[คะแนนเต็ม]:[คะแนนเต็ม]]),"",(tbl_task4[144]/tbl_task4[[คะแนนเต็ม]:[คะแนนเต็ม]])*tbl_task4[[%]:[%]])</f>
        <v/>
      </c>
      <c r="LC7" s="121" t="str">
        <f>IF(ISBLANK(tbl_task4[[คะแนนเต็ม]:[คะแนนเต็ม]]),"",(tbl_task4[145]/tbl_task4[[คะแนนเต็ม]:[คะแนนเต็ม]])*tbl_task4[[%]:[%]])</f>
        <v/>
      </c>
      <c r="LD7" s="121" t="str">
        <f>IF(ISBLANK(tbl_task4[[คะแนนเต็ม]:[คะแนนเต็ม]]),"",(tbl_task4[146]/tbl_task4[[คะแนนเต็ม]:[คะแนนเต็ม]])*tbl_task4[[%]:[%]])</f>
        <v/>
      </c>
      <c r="LE7" s="121" t="str">
        <f>IF(ISBLANK(tbl_task4[[คะแนนเต็ม]:[คะแนนเต็ม]]),"",(tbl_task4[147]/tbl_task4[[คะแนนเต็ม]:[คะแนนเต็ม]])*tbl_task4[[%]:[%]])</f>
        <v/>
      </c>
      <c r="LF7" s="121" t="str">
        <f>IF(ISBLANK(tbl_task4[[คะแนนเต็ม]:[คะแนนเต็ม]]),"",(tbl_task4[148]/tbl_task4[[คะแนนเต็ม]:[คะแนนเต็ม]])*tbl_task4[[%]:[%]])</f>
        <v/>
      </c>
      <c r="LG7" s="121" t="str">
        <f>IF(ISBLANK(tbl_task4[[คะแนนเต็ม]:[คะแนนเต็ม]]),"",(tbl_task4[149]/tbl_task4[[คะแนนเต็ม]:[คะแนนเต็ม]])*tbl_task4[[%]:[%]])</f>
        <v/>
      </c>
      <c r="LH7" s="121" t="str">
        <f>IF(ISBLANK(tbl_task4[[คะแนนเต็ม]:[คะแนนเต็ม]]),"",(tbl_task4[150]/tbl_task4[[คะแนนเต็ม]:[คะแนนเต็ม]])*tbl_task4[[%]:[%]])</f>
        <v/>
      </c>
      <c r="LI7" s="121" t="str">
        <f>IF(ISBLANK(tbl_task4[[คะแนนเต็ม]:[คะแนนเต็ม]]),"",(tbl_task4[151]/tbl_task4[[คะแนนเต็ม]:[คะแนนเต็ม]])*tbl_task4[[%]:[%]])</f>
        <v/>
      </c>
      <c r="LJ7" s="121" t="str">
        <f>IF(ISBLANK(tbl_task4[[คะแนนเต็ม]:[คะแนนเต็ม]]),"",(tbl_task4[152]/tbl_task4[[คะแนนเต็ม]:[คะแนนเต็ม]])*tbl_task4[[%]:[%]])</f>
        <v/>
      </c>
      <c r="LK7" s="121" t="str">
        <f>IF(ISBLANK(tbl_task4[[คะแนนเต็ม]:[คะแนนเต็ม]]),"",(tbl_task4[153]/tbl_task4[[คะแนนเต็ม]:[คะแนนเต็ม]])*tbl_task4[[%]:[%]])</f>
        <v/>
      </c>
      <c r="LL7" s="121" t="str">
        <f>IF(ISBLANK(tbl_task4[[คะแนนเต็ม]:[คะแนนเต็ม]]),"",(tbl_task4[154]/tbl_task4[[คะแนนเต็ม]:[คะแนนเต็ม]])*tbl_task4[[%]:[%]])</f>
        <v/>
      </c>
      <c r="LM7" s="121" t="str">
        <f>IF(ISBLANK(tbl_task4[[คะแนนเต็ม]:[คะแนนเต็ม]]),"",(tbl_task4[155]/tbl_task4[[คะแนนเต็ม]:[คะแนนเต็ม]])*tbl_task4[[%]:[%]])</f>
        <v/>
      </c>
      <c r="LN7" s="121" t="str">
        <f>IF(ISBLANK(tbl_task4[[คะแนนเต็ม]:[คะแนนเต็ม]]),"",(tbl_task4[156]/tbl_task4[[คะแนนเต็ม]:[คะแนนเต็ม]])*tbl_task4[[%]:[%]])</f>
        <v/>
      </c>
      <c r="LO7" s="121" t="str">
        <f>IF(ISBLANK(tbl_task4[[คะแนนเต็ม]:[คะแนนเต็ม]]),"",(tbl_task4[157]/tbl_task4[[คะแนนเต็ม]:[คะแนนเต็ม]])*tbl_task4[[%]:[%]])</f>
        <v/>
      </c>
      <c r="LP7" s="121" t="str">
        <f>IF(ISBLANK(tbl_task4[[คะแนนเต็ม]:[คะแนนเต็ม]]),"",(tbl_task4[158]/tbl_task4[[คะแนนเต็ม]:[คะแนนเต็ม]])*tbl_task4[[%]:[%]])</f>
        <v/>
      </c>
      <c r="LQ7" s="121" t="str">
        <f>IF(ISBLANK(tbl_task4[[คะแนนเต็ม]:[คะแนนเต็ม]]),"",(tbl_task4[159]/tbl_task4[[คะแนนเต็ม]:[คะแนนเต็ม]])*tbl_task4[[%]:[%]])</f>
        <v/>
      </c>
      <c r="LR7" s="121" t="str">
        <f>IF(ISBLANK(tbl_task4[[คะแนนเต็ม]:[คะแนนเต็ม]]),"",(tbl_task4[160]/tbl_task4[[คะแนนเต็ม]:[คะแนนเต็ม]])*tbl_task4[[%]:[%]])</f>
        <v/>
      </c>
      <c r="LS7" s="121" t="str">
        <f>IF(ISBLANK(tbl_task4[[คะแนนเต็ม]:[คะแนนเต็ม]]),"",(tbl_task4[161]/tbl_task4[[คะแนนเต็ม]:[คะแนนเต็ม]])*tbl_task4[[%]:[%]])</f>
        <v/>
      </c>
      <c r="LT7" s="121" t="str">
        <f>IF(ISBLANK(tbl_task4[[คะแนนเต็ม]:[คะแนนเต็ม]]),"",(tbl_task4[162]/tbl_task4[[คะแนนเต็ม]:[คะแนนเต็ม]])*tbl_task4[[%]:[%]])</f>
        <v/>
      </c>
      <c r="LU7" s="121" t="str">
        <f>IF(ISBLANK(tbl_task4[[คะแนนเต็ม]:[คะแนนเต็ม]]),"",(tbl_task4[163]/tbl_task4[[คะแนนเต็ม]:[คะแนนเต็ม]])*tbl_task4[[%]:[%]])</f>
        <v/>
      </c>
      <c r="LV7" s="121" t="str">
        <f>IF(ISBLANK(tbl_task4[[คะแนนเต็ม]:[คะแนนเต็ม]]),"",(tbl_task4[164]/tbl_task4[[คะแนนเต็ม]:[คะแนนเต็ม]])*tbl_task4[[%]:[%]])</f>
        <v/>
      </c>
      <c r="LW7" s="121" t="str">
        <f>IF(ISBLANK(tbl_task4[[คะแนนเต็ม]:[คะแนนเต็ม]]),"",(tbl_task4[165]/tbl_task4[[คะแนนเต็ม]:[คะแนนเต็ม]])*tbl_task4[[%]:[%]])</f>
        <v/>
      </c>
    </row>
    <row r="8" spans="1:335" ht="24.75" customHeight="1" x14ac:dyDescent="0.25">
      <c r="A8" s="24">
        <v>5</v>
      </c>
      <c r="B8" s="33"/>
      <c r="C8" s="5" t="str">
        <f>IF(ISBLANK(B8),"",VLOOKUP(B8,tbl_PLOs[],2,0))</f>
        <v/>
      </c>
      <c r="D8" s="102"/>
      <c r="E8" s="10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22"/>
      <c r="FO8" s="121" t="str">
        <f>IF(ISBLANK(tbl_task4[[คะแนนเต็ม]:[คะแนนเต็ม]]),"",(tbl_task4[1]/tbl_task4[[คะแนนเต็ม]:[คะแนนเต็ม]])*tbl_task4[[%]:[%]])</f>
        <v/>
      </c>
      <c r="FP8" s="121" t="str">
        <f>IF(ISBLANK(tbl_task4[[คะแนนเต็ม]:[คะแนนเต็ม]]),"",(tbl_task4[2]/tbl_task4[[คะแนนเต็ม]:[คะแนนเต็ม]])*tbl_task4[[%]:[%]])</f>
        <v/>
      </c>
      <c r="FQ8" s="121" t="str">
        <f>IF(ISBLANK(tbl_task4[[คะแนนเต็ม]:[คะแนนเต็ม]]),"",(tbl_task4[3]/tbl_task4[[คะแนนเต็ม]:[คะแนนเต็ม]])*tbl_task4[[%]:[%]])</f>
        <v/>
      </c>
      <c r="FR8" s="121" t="str">
        <f>IF(ISBLANK(tbl_task4[[คะแนนเต็ม]:[คะแนนเต็ม]]),"",(tbl_task4[4]/tbl_task4[[คะแนนเต็ม]:[คะแนนเต็ม]])*tbl_task4[[%]:[%]])</f>
        <v/>
      </c>
      <c r="FS8" s="121" t="str">
        <f>IF(ISBLANK(tbl_task4[[คะแนนเต็ม]:[คะแนนเต็ม]]),"",(tbl_task4[5]/tbl_task4[[คะแนนเต็ม]:[คะแนนเต็ม]])*tbl_task4[[%]:[%]])</f>
        <v/>
      </c>
      <c r="FT8" s="121" t="str">
        <f>IF(ISBLANK(tbl_task4[[คะแนนเต็ม]:[คะแนนเต็ม]]),"",(tbl_task4[6]/tbl_task4[[คะแนนเต็ม]:[คะแนนเต็ม]])*tbl_task4[[%]:[%]])</f>
        <v/>
      </c>
      <c r="FU8" s="121" t="str">
        <f>IF(ISBLANK(tbl_task4[[คะแนนเต็ม]:[คะแนนเต็ม]]),"",(tbl_task4[7]/tbl_task4[[คะแนนเต็ม]:[คะแนนเต็ม]])*tbl_task4[[%]:[%]])</f>
        <v/>
      </c>
      <c r="FV8" s="121" t="str">
        <f>IF(ISBLANK(tbl_task4[[คะแนนเต็ม]:[คะแนนเต็ม]]),"",(tbl_task4[8]/tbl_task4[[คะแนนเต็ม]:[คะแนนเต็ม]])*tbl_task4[[%]:[%]])</f>
        <v/>
      </c>
      <c r="FW8" s="121" t="str">
        <f>IF(ISBLANK(tbl_task4[[คะแนนเต็ม]:[คะแนนเต็ม]]),"",(tbl_task4[9]/tbl_task4[[คะแนนเต็ม]:[คะแนนเต็ม]])*tbl_task4[[%]:[%]])</f>
        <v/>
      </c>
      <c r="FX8" s="121" t="str">
        <f>IF(ISBLANK(tbl_task4[[คะแนนเต็ม]:[คะแนนเต็ม]]),"",(tbl_task4[10]/tbl_task4[[คะแนนเต็ม]:[คะแนนเต็ม]])*tbl_task4[[%]:[%]])</f>
        <v/>
      </c>
      <c r="FY8" s="121" t="str">
        <f>IF(ISBLANK(tbl_task4[[คะแนนเต็ม]:[คะแนนเต็ม]]),"",(tbl_task4[11]/tbl_task4[[คะแนนเต็ม]:[คะแนนเต็ม]])*tbl_task4[[%]:[%]])</f>
        <v/>
      </c>
      <c r="FZ8" s="121" t="str">
        <f>IF(ISBLANK(tbl_task4[[คะแนนเต็ม]:[คะแนนเต็ม]]),"",(tbl_task4[12]/tbl_task4[[คะแนนเต็ม]:[คะแนนเต็ม]])*tbl_task4[[%]:[%]])</f>
        <v/>
      </c>
      <c r="GA8" s="121" t="str">
        <f>IF(ISBLANK(tbl_task4[[คะแนนเต็ม]:[คะแนนเต็ม]]),"",(tbl_task4[13]/tbl_task4[[คะแนนเต็ม]:[คะแนนเต็ม]])*tbl_task4[[%]:[%]])</f>
        <v/>
      </c>
      <c r="GB8" s="121" t="str">
        <f>IF(ISBLANK(tbl_task4[[คะแนนเต็ม]:[คะแนนเต็ม]]),"",(tbl_task4[14]/tbl_task4[[คะแนนเต็ม]:[คะแนนเต็ม]])*tbl_task4[[%]:[%]])</f>
        <v/>
      </c>
      <c r="GC8" s="121" t="str">
        <f>IF(ISBLANK(tbl_task4[[คะแนนเต็ม]:[คะแนนเต็ม]]),"",(tbl_task4[15]/tbl_task4[[คะแนนเต็ม]:[คะแนนเต็ม]])*tbl_task4[[%]:[%]])</f>
        <v/>
      </c>
      <c r="GD8" s="121" t="str">
        <f>IF(ISBLANK(tbl_task4[[คะแนนเต็ม]:[คะแนนเต็ม]]),"",(tbl_task4[16]/tbl_task4[[คะแนนเต็ม]:[คะแนนเต็ม]])*tbl_task4[[%]:[%]])</f>
        <v/>
      </c>
      <c r="GE8" s="121" t="str">
        <f>IF(ISBLANK(tbl_task4[[คะแนนเต็ม]:[คะแนนเต็ม]]),"",(tbl_task4[17]/tbl_task4[[คะแนนเต็ม]:[คะแนนเต็ม]])*tbl_task4[[%]:[%]])</f>
        <v/>
      </c>
      <c r="GF8" s="121" t="str">
        <f>IF(ISBLANK(tbl_task4[[คะแนนเต็ม]:[คะแนนเต็ม]]),"",(tbl_task4[18]/tbl_task4[[คะแนนเต็ม]:[คะแนนเต็ม]])*tbl_task4[[%]:[%]])</f>
        <v/>
      </c>
      <c r="GG8" s="121" t="str">
        <f>IF(ISBLANK(tbl_task4[[คะแนนเต็ม]:[คะแนนเต็ม]]),"",(tbl_task4[19]/tbl_task4[[คะแนนเต็ม]:[คะแนนเต็ม]])*tbl_task4[[%]:[%]])</f>
        <v/>
      </c>
      <c r="GH8" s="121" t="str">
        <f>IF(ISBLANK(tbl_task4[[คะแนนเต็ม]:[คะแนนเต็ม]]),"",(tbl_task4[20]/tbl_task4[[คะแนนเต็ม]:[คะแนนเต็ม]])*tbl_task4[[%]:[%]])</f>
        <v/>
      </c>
      <c r="GI8" s="121" t="str">
        <f>IF(ISBLANK(tbl_task4[[คะแนนเต็ม]:[คะแนนเต็ม]]),"",(tbl_task4[21]/tbl_task4[[คะแนนเต็ม]:[คะแนนเต็ม]])*tbl_task4[[%]:[%]])</f>
        <v/>
      </c>
      <c r="GJ8" s="121" t="str">
        <f>IF(ISBLANK(tbl_task4[[คะแนนเต็ม]:[คะแนนเต็ม]]),"",(tbl_task4[22]/tbl_task4[[คะแนนเต็ม]:[คะแนนเต็ม]])*tbl_task4[[%]:[%]])</f>
        <v/>
      </c>
      <c r="GK8" s="121" t="str">
        <f>IF(ISBLANK(tbl_task4[[คะแนนเต็ม]:[คะแนนเต็ม]]),"",(tbl_task4[23]/tbl_task4[[คะแนนเต็ม]:[คะแนนเต็ม]])*tbl_task4[[%]:[%]])</f>
        <v/>
      </c>
      <c r="GL8" s="121" t="str">
        <f>IF(ISBLANK(tbl_task4[[คะแนนเต็ม]:[คะแนนเต็ม]]),"",(tbl_task4[24]/tbl_task4[[คะแนนเต็ม]:[คะแนนเต็ม]])*tbl_task4[[%]:[%]])</f>
        <v/>
      </c>
      <c r="GM8" s="121" t="str">
        <f>IF(ISBLANK(tbl_task4[[คะแนนเต็ม]:[คะแนนเต็ม]]),"",(tbl_task4[25]/tbl_task4[[คะแนนเต็ม]:[คะแนนเต็ม]])*tbl_task4[[%]:[%]])</f>
        <v/>
      </c>
      <c r="GN8" s="121" t="str">
        <f>IF(ISBLANK(tbl_task4[[คะแนนเต็ม]:[คะแนนเต็ม]]),"",(tbl_task4[26]/tbl_task4[[คะแนนเต็ม]:[คะแนนเต็ม]])*tbl_task4[[%]:[%]])</f>
        <v/>
      </c>
      <c r="GO8" s="121" t="str">
        <f>IF(ISBLANK(tbl_task4[[คะแนนเต็ม]:[คะแนนเต็ม]]),"",(tbl_task4[27]/tbl_task4[[คะแนนเต็ม]:[คะแนนเต็ม]])*tbl_task4[[%]:[%]])</f>
        <v/>
      </c>
      <c r="GP8" s="121" t="str">
        <f>IF(ISBLANK(tbl_task4[[คะแนนเต็ม]:[คะแนนเต็ม]]),"",(tbl_task4[28]/tbl_task4[[คะแนนเต็ม]:[คะแนนเต็ม]])*tbl_task4[[%]:[%]])</f>
        <v/>
      </c>
      <c r="GQ8" s="121" t="str">
        <f>IF(ISBLANK(tbl_task4[[คะแนนเต็ม]:[คะแนนเต็ม]]),"",(tbl_task4[29]/tbl_task4[[คะแนนเต็ม]:[คะแนนเต็ม]])*tbl_task4[[%]:[%]])</f>
        <v/>
      </c>
      <c r="GR8" s="121" t="str">
        <f>IF(ISBLANK(tbl_task4[[คะแนนเต็ม]:[คะแนนเต็ม]]),"",(tbl_task4[30]/tbl_task4[[คะแนนเต็ม]:[คะแนนเต็ม]])*tbl_task4[[%]:[%]])</f>
        <v/>
      </c>
      <c r="GS8" s="121" t="str">
        <f>IF(ISBLANK(tbl_task4[[คะแนนเต็ม]:[คะแนนเต็ม]]),"",(tbl_task4[31]/tbl_task4[[คะแนนเต็ม]:[คะแนนเต็ม]])*tbl_task4[[%]:[%]])</f>
        <v/>
      </c>
      <c r="GT8" s="121" t="str">
        <f>IF(ISBLANK(tbl_task4[[คะแนนเต็ม]:[คะแนนเต็ม]]),"",(tbl_task4[32]/tbl_task4[[คะแนนเต็ม]:[คะแนนเต็ม]])*tbl_task4[[%]:[%]])</f>
        <v/>
      </c>
      <c r="GU8" s="121" t="str">
        <f>IF(ISBLANK(tbl_task4[[คะแนนเต็ม]:[คะแนนเต็ม]]),"",(tbl_task4[33]/tbl_task4[[คะแนนเต็ม]:[คะแนนเต็ม]])*tbl_task4[[%]:[%]])</f>
        <v/>
      </c>
      <c r="GV8" s="121" t="str">
        <f>IF(ISBLANK(tbl_task4[[คะแนนเต็ม]:[คะแนนเต็ม]]),"",(tbl_task4[34]/tbl_task4[[คะแนนเต็ม]:[คะแนนเต็ม]])*tbl_task4[[%]:[%]])</f>
        <v/>
      </c>
      <c r="GW8" s="121" t="str">
        <f>IF(ISBLANK(tbl_task4[[คะแนนเต็ม]:[คะแนนเต็ม]]),"",(tbl_task4[35]/tbl_task4[[คะแนนเต็ม]:[คะแนนเต็ม]])*tbl_task4[[%]:[%]])</f>
        <v/>
      </c>
      <c r="GX8" s="121" t="str">
        <f>IF(ISBLANK(tbl_task4[[คะแนนเต็ม]:[คะแนนเต็ม]]),"",(tbl_task4[36]/tbl_task4[[คะแนนเต็ม]:[คะแนนเต็ม]])*tbl_task4[[%]:[%]])</f>
        <v/>
      </c>
      <c r="GY8" s="121" t="str">
        <f>IF(ISBLANK(tbl_task4[[คะแนนเต็ม]:[คะแนนเต็ม]]),"",(tbl_task4[37]/tbl_task4[[คะแนนเต็ม]:[คะแนนเต็ม]])*tbl_task4[[%]:[%]])</f>
        <v/>
      </c>
      <c r="GZ8" s="121" t="str">
        <f>IF(ISBLANK(tbl_task4[[คะแนนเต็ม]:[คะแนนเต็ม]]),"",(tbl_task4[38]/tbl_task4[[คะแนนเต็ม]:[คะแนนเต็ม]])*tbl_task4[[%]:[%]])</f>
        <v/>
      </c>
      <c r="HA8" s="121" t="str">
        <f>IF(ISBLANK(tbl_task4[[คะแนนเต็ม]:[คะแนนเต็ม]]),"",(tbl_task4[39]/tbl_task4[[คะแนนเต็ม]:[คะแนนเต็ม]])*tbl_task4[[%]:[%]])</f>
        <v/>
      </c>
      <c r="HB8" s="121" t="str">
        <f>IF(ISBLANK(tbl_task4[[คะแนนเต็ม]:[คะแนนเต็ม]]),"",(tbl_task4[40]/tbl_task4[[คะแนนเต็ม]:[คะแนนเต็ม]])*tbl_task4[[%]:[%]])</f>
        <v/>
      </c>
      <c r="HC8" s="121" t="str">
        <f>IF(ISBLANK(tbl_task4[[คะแนนเต็ม]:[คะแนนเต็ม]]),"",(tbl_task4[41]/tbl_task4[[คะแนนเต็ม]:[คะแนนเต็ม]])*tbl_task4[[%]:[%]])</f>
        <v/>
      </c>
      <c r="HD8" s="121" t="str">
        <f>IF(ISBLANK(tbl_task4[[คะแนนเต็ม]:[คะแนนเต็ม]]),"",(tbl_task4[42]/tbl_task4[[คะแนนเต็ม]:[คะแนนเต็ม]])*tbl_task4[[%]:[%]])</f>
        <v/>
      </c>
      <c r="HE8" s="121" t="str">
        <f>IF(ISBLANK(tbl_task4[[คะแนนเต็ม]:[คะแนนเต็ม]]),"",(tbl_task4[43]/tbl_task4[[คะแนนเต็ม]:[คะแนนเต็ม]])*tbl_task4[[%]:[%]])</f>
        <v/>
      </c>
      <c r="HF8" s="121" t="str">
        <f>IF(ISBLANK(tbl_task4[[คะแนนเต็ม]:[คะแนนเต็ม]]),"",(tbl_task4[44]/tbl_task4[[คะแนนเต็ม]:[คะแนนเต็ม]])*tbl_task4[[%]:[%]])</f>
        <v/>
      </c>
      <c r="HG8" s="121" t="str">
        <f>IF(ISBLANK(tbl_task4[[คะแนนเต็ม]:[คะแนนเต็ม]]),"",(tbl_task4[45]/tbl_task4[[คะแนนเต็ม]:[คะแนนเต็ม]])*tbl_task4[[%]:[%]])</f>
        <v/>
      </c>
      <c r="HH8" s="121" t="str">
        <f>IF(ISBLANK(tbl_task4[[คะแนนเต็ม]:[คะแนนเต็ม]]),"",(tbl_task4[46]/tbl_task4[[คะแนนเต็ม]:[คะแนนเต็ม]])*tbl_task4[[%]:[%]])</f>
        <v/>
      </c>
      <c r="HI8" s="121" t="str">
        <f>IF(ISBLANK(tbl_task4[[คะแนนเต็ม]:[คะแนนเต็ม]]),"",(tbl_task4[47]/tbl_task4[[คะแนนเต็ม]:[คะแนนเต็ม]])*tbl_task4[[%]:[%]])</f>
        <v/>
      </c>
      <c r="HJ8" s="121" t="str">
        <f>IF(ISBLANK(tbl_task4[[คะแนนเต็ม]:[คะแนนเต็ม]]),"",(tbl_task4[48]/tbl_task4[[คะแนนเต็ม]:[คะแนนเต็ม]])*tbl_task4[[%]:[%]])</f>
        <v/>
      </c>
      <c r="HK8" s="121" t="str">
        <f>IF(ISBLANK(tbl_task4[[คะแนนเต็ม]:[คะแนนเต็ม]]),"",(tbl_task4[49]/tbl_task4[[คะแนนเต็ม]:[คะแนนเต็ม]])*tbl_task4[[%]:[%]])</f>
        <v/>
      </c>
      <c r="HL8" s="121" t="str">
        <f>IF(ISBLANK(tbl_task4[[คะแนนเต็ม]:[คะแนนเต็ม]]),"",(tbl_task4[50]/tbl_task4[[คะแนนเต็ม]:[คะแนนเต็ม]])*tbl_task4[[%]:[%]])</f>
        <v/>
      </c>
      <c r="HM8" s="121" t="str">
        <f>IF(ISBLANK(tbl_task4[[คะแนนเต็ม]:[คะแนนเต็ม]]),"",(tbl_task4[51]/tbl_task4[[คะแนนเต็ม]:[คะแนนเต็ม]])*tbl_task4[[%]:[%]])</f>
        <v/>
      </c>
      <c r="HN8" s="121" t="str">
        <f>IF(ISBLANK(tbl_task4[[คะแนนเต็ม]:[คะแนนเต็ม]]),"",(tbl_task4[52]/tbl_task4[[คะแนนเต็ม]:[คะแนนเต็ม]])*tbl_task4[[%]:[%]])</f>
        <v/>
      </c>
      <c r="HO8" s="121" t="str">
        <f>IF(ISBLANK(tbl_task4[[คะแนนเต็ม]:[คะแนนเต็ม]]),"",(tbl_task4[53]/tbl_task4[[คะแนนเต็ม]:[คะแนนเต็ม]])*tbl_task4[[%]:[%]])</f>
        <v/>
      </c>
      <c r="HP8" s="121" t="str">
        <f>IF(ISBLANK(tbl_task4[[คะแนนเต็ม]:[คะแนนเต็ม]]),"",(tbl_task4[54]/tbl_task4[[คะแนนเต็ม]:[คะแนนเต็ม]])*tbl_task4[[%]:[%]])</f>
        <v/>
      </c>
      <c r="HQ8" s="121" t="str">
        <f>IF(ISBLANK(tbl_task4[[คะแนนเต็ม]:[คะแนนเต็ม]]),"",(tbl_task4[55]/tbl_task4[[คะแนนเต็ม]:[คะแนนเต็ม]])*tbl_task4[[%]:[%]])</f>
        <v/>
      </c>
      <c r="HR8" s="121" t="str">
        <f>IF(ISBLANK(tbl_task4[[คะแนนเต็ม]:[คะแนนเต็ม]]),"",(tbl_task4[56]/tbl_task4[[คะแนนเต็ม]:[คะแนนเต็ม]])*tbl_task4[[%]:[%]])</f>
        <v/>
      </c>
      <c r="HS8" s="121" t="str">
        <f>IF(ISBLANK(tbl_task4[[คะแนนเต็ม]:[คะแนนเต็ม]]),"",(tbl_task4[57]/tbl_task4[[คะแนนเต็ม]:[คะแนนเต็ม]])*tbl_task4[[%]:[%]])</f>
        <v/>
      </c>
      <c r="HT8" s="121" t="str">
        <f>IF(ISBLANK(tbl_task4[[คะแนนเต็ม]:[คะแนนเต็ม]]),"",(tbl_task4[58]/tbl_task4[[คะแนนเต็ม]:[คะแนนเต็ม]])*tbl_task4[[%]:[%]])</f>
        <v/>
      </c>
      <c r="HU8" s="121" t="str">
        <f>IF(ISBLANK(tbl_task4[[คะแนนเต็ม]:[คะแนนเต็ม]]),"",(tbl_task4[59]/tbl_task4[[คะแนนเต็ม]:[คะแนนเต็ม]])*tbl_task4[[%]:[%]])</f>
        <v/>
      </c>
      <c r="HV8" s="121" t="str">
        <f>IF(ISBLANK(tbl_task4[[คะแนนเต็ม]:[คะแนนเต็ม]]),"",(tbl_task4[60]/tbl_task4[[คะแนนเต็ม]:[คะแนนเต็ม]])*tbl_task4[[%]:[%]])</f>
        <v/>
      </c>
      <c r="HW8" s="121" t="str">
        <f>IF(ISBLANK(tbl_task4[[คะแนนเต็ม]:[คะแนนเต็ม]]),"",(tbl_task4[61]/tbl_task4[[คะแนนเต็ม]:[คะแนนเต็ม]])*tbl_task4[[%]:[%]])</f>
        <v/>
      </c>
      <c r="HX8" s="121" t="str">
        <f>IF(ISBLANK(tbl_task4[[คะแนนเต็ม]:[คะแนนเต็ม]]),"",(tbl_task4[62]/tbl_task4[[คะแนนเต็ม]:[คะแนนเต็ม]])*tbl_task4[[%]:[%]])</f>
        <v/>
      </c>
      <c r="HY8" s="121" t="str">
        <f>IF(ISBLANK(tbl_task4[[คะแนนเต็ม]:[คะแนนเต็ม]]),"",(tbl_task4[63]/tbl_task4[[คะแนนเต็ม]:[คะแนนเต็ม]])*tbl_task4[[%]:[%]])</f>
        <v/>
      </c>
      <c r="HZ8" s="121" t="str">
        <f>IF(ISBLANK(tbl_task4[[คะแนนเต็ม]:[คะแนนเต็ม]]),"",(tbl_task4[64]/tbl_task4[[คะแนนเต็ม]:[คะแนนเต็ม]])*tbl_task4[[%]:[%]])</f>
        <v/>
      </c>
      <c r="IA8" s="121" t="str">
        <f>IF(ISBLANK(tbl_task4[[คะแนนเต็ม]:[คะแนนเต็ม]]),"",(tbl_task4[65]/tbl_task4[[คะแนนเต็ม]:[คะแนนเต็ม]])*tbl_task4[[%]:[%]])</f>
        <v/>
      </c>
      <c r="IB8" s="121" t="str">
        <f>IF(ISBLANK(tbl_task4[[คะแนนเต็ม]:[คะแนนเต็ม]]),"",(tbl_task4[66]/tbl_task4[[คะแนนเต็ม]:[คะแนนเต็ม]])*tbl_task4[[%]:[%]])</f>
        <v/>
      </c>
      <c r="IC8" s="121" t="str">
        <f>IF(ISBLANK(tbl_task4[[คะแนนเต็ม]:[คะแนนเต็ม]]),"",(tbl_task4[67]/tbl_task4[[คะแนนเต็ม]:[คะแนนเต็ม]])*tbl_task4[[%]:[%]])</f>
        <v/>
      </c>
      <c r="ID8" s="121" t="str">
        <f>IF(ISBLANK(tbl_task4[[คะแนนเต็ม]:[คะแนนเต็ม]]),"",(tbl_task4[68]/tbl_task4[[คะแนนเต็ม]:[คะแนนเต็ม]])*tbl_task4[[%]:[%]])</f>
        <v/>
      </c>
      <c r="IE8" s="121" t="str">
        <f>IF(ISBLANK(tbl_task4[[คะแนนเต็ม]:[คะแนนเต็ม]]),"",(tbl_task4[69]/tbl_task4[[คะแนนเต็ม]:[คะแนนเต็ม]])*tbl_task4[[%]:[%]])</f>
        <v/>
      </c>
      <c r="IF8" s="121" t="str">
        <f>IF(ISBLANK(tbl_task4[[คะแนนเต็ม]:[คะแนนเต็ม]]),"",(tbl_task4[70]/tbl_task4[[คะแนนเต็ม]:[คะแนนเต็ม]])*tbl_task4[[%]:[%]])</f>
        <v/>
      </c>
      <c r="IG8" s="121" t="str">
        <f>IF(ISBLANK(tbl_task4[[คะแนนเต็ม]:[คะแนนเต็ม]]),"",(tbl_task4[71]/tbl_task4[[คะแนนเต็ม]:[คะแนนเต็ม]])*tbl_task4[[%]:[%]])</f>
        <v/>
      </c>
      <c r="IH8" s="121" t="str">
        <f>IF(ISBLANK(tbl_task4[[คะแนนเต็ม]:[คะแนนเต็ม]]),"",(tbl_task4[72]/tbl_task4[[คะแนนเต็ม]:[คะแนนเต็ม]])*tbl_task4[[%]:[%]])</f>
        <v/>
      </c>
      <c r="II8" s="121" t="str">
        <f>IF(ISBLANK(tbl_task4[[คะแนนเต็ม]:[คะแนนเต็ม]]),"",(tbl_task4[73]/tbl_task4[[คะแนนเต็ม]:[คะแนนเต็ม]])*tbl_task4[[%]:[%]])</f>
        <v/>
      </c>
      <c r="IJ8" s="121" t="str">
        <f>IF(ISBLANK(tbl_task4[[คะแนนเต็ม]:[คะแนนเต็ม]]),"",(tbl_task4[74]/tbl_task4[[คะแนนเต็ม]:[คะแนนเต็ม]])*tbl_task4[[%]:[%]])</f>
        <v/>
      </c>
      <c r="IK8" s="121" t="str">
        <f>IF(ISBLANK(tbl_task4[[คะแนนเต็ม]:[คะแนนเต็ม]]),"",(tbl_task4[75]/tbl_task4[[คะแนนเต็ม]:[คะแนนเต็ม]])*tbl_task4[[%]:[%]])</f>
        <v/>
      </c>
      <c r="IL8" s="121" t="str">
        <f>IF(ISBLANK(tbl_task4[[คะแนนเต็ม]:[คะแนนเต็ม]]),"",(tbl_task4[76]/tbl_task4[[คะแนนเต็ม]:[คะแนนเต็ม]])*tbl_task4[[%]:[%]])</f>
        <v/>
      </c>
      <c r="IM8" s="121" t="str">
        <f>IF(ISBLANK(tbl_task4[[คะแนนเต็ม]:[คะแนนเต็ม]]),"",(tbl_task4[77]/tbl_task4[[คะแนนเต็ม]:[คะแนนเต็ม]])*tbl_task4[[%]:[%]])</f>
        <v/>
      </c>
      <c r="IN8" s="121" t="str">
        <f>IF(ISBLANK(tbl_task4[[คะแนนเต็ม]:[คะแนนเต็ม]]),"",(tbl_task4[78]/tbl_task4[[คะแนนเต็ม]:[คะแนนเต็ม]])*tbl_task4[[%]:[%]])</f>
        <v/>
      </c>
      <c r="IO8" s="121" t="str">
        <f>IF(ISBLANK(tbl_task4[[คะแนนเต็ม]:[คะแนนเต็ม]]),"",(tbl_task4[79]/tbl_task4[[คะแนนเต็ม]:[คะแนนเต็ม]])*tbl_task4[[%]:[%]])</f>
        <v/>
      </c>
      <c r="IP8" s="121" t="str">
        <f>IF(ISBLANK(tbl_task4[[คะแนนเต็ม]:[คะแนนเต็ม]]),"",(tbl_task4[80]/tbl_task4[[คะแนนเต็ม]:[คะแนนเต็ม]])*tbl_task4[[%]:[%]])</f>
        <v/>
      </c>
      <c r="IQ8" s="121" t="str">
        <f>IF(ISBLANK(tbl_task4[[คะแนนเต็ม]:[คะแนนเต็ม]]),"",(tbl_task4[81]/tbl_task4[[คะแนนเต็ม]:[คะแนนเต็ม]])*tbl_task4[[%]:[%]])</f>
        <v/>
      </c>
      <c r="IR8" s="121" t="str">
        <f>IF(ISBLANK(tbl_task4[[คะแนนเต็ม]:[คะแนนเต็ม]]),"",(tbl_task4[82]/tbl_task4[[คะแนนเต็ม]:[คะแนนเต็ม]])*tbl_task4[[%]:[%]])</f>
        <v/>
      </c>
      <c r="IS8" s="121" t="str">
        <f>IF(ISBLANK(tbl_task4[[คะแนนเต็ม]:[คะแนนเต็ม]]),"",(tbl_task4[83]/tbl_task4[[คะแนนเต็ม]:[คะแนนเต็ม]])*tbl_task4[[%]:[%]])</f>
        <v/>
      </c>
      <c r="IT8" s="121" t="str">
        <f>IF(ISBLANK(tbl_task4[[คะแนนเต็ม]:[คะแนนเต็ม]]),"",(tbl_task4[84]/tbl_task4[[คะแนนเต็ม]:[คะแนนเต็ม]])*tbl_task4[[%]:[%]])</f>
        <v/>
      </c>
      <c r="IU8" s="121" t="str">
        <f>IF(ISBLANK(tbl_task4[[คะแนนเต็ม]:[คะแนนเต็ม]]),"",(tbl_task4[85]/tbl_task4[[คะแนนเต็ม]:[คะแนนเต็ม]])*tbl_task4[[%]:[%]])</f>
        <v/>
      </c>
      <c r="IV8" s="121" t="str">
        <f>IF(ISBLANK(tbl_task4[[คะแนนเต็ม]:[คะแนนเต็ม]]),"",(tbl_task4[86]/tbl_task4[[คะแนนเต็ม]:[คะแนนเต็ม]])*tbl_task4[[%]:[%]])</f>
        <v/>
      </c>
      <c r="IW8" s="121" t="str">
        <f>IF(ISBLANK(tbl_task4[[คะแนนเต็ม]:[คะแนนเต็ม]]),"",(tbl_task4[87]/tbl_task4[[คะแนนเต็ม]:[คะแนนเต็ม]])*tbl_task4[[%]:[%]])</f>
        <v/>
      </c>
      <c r="IX8" s="121" t="str">
        <f>IF(ISBLANK(tbl_task4[[คะแนนเต็ม]:[คะแนนเต็ม]]),"",(tbl_task4[88]/tbl_task4[[คะแนนเต็ม]:[คะแนนเต็ม]])*tbl_task4[[%]:[%]])</f>
        <v/>
      </c>
      <c r="IY8" s="121" t="str">
        <f>IF(ISBLANK(tbl_task4[[คะแนนเต็ม]:[คะแนนเต็ม]]),"",(tbl_task4[89]/tbl_task4[[คะแนนเต็ม]:[คะแนนเต็ม]])*tbl_task4[[%]:[%]])</f>
        <v/>
      </c>
      <c r="IZ8" s="121" t="str">
        <f>IF(ISBLANK(tbl_task4[[คะแนนเต็ม]:[คะแนนเต็ม]]),"",(tbl_task4[90]/tbl_task4[[คะแนนเต็ม]:[คะแนนเต็ม]])*tbl_task4[[%]:[%]])</f>
        <v/>
      </c>
      <c r="JA8" s="121" t="str">
        <f>IF(ISBLANK(tbl_task4[[คะแนนเต็ม]:[คะแนนเต็ม]]),"",(tbl_task4[91]/tbl_task4[[คะแนนเต็ม]:[คะแนนเต็ม]])*tbl_task4[[%]:[%]])</f>
        <v/>
      </c>
      <c r="JB8" s="121" t="str">
        <f>IF(ISBLANK(tbl_task4[[คะแนนเต็ม]:[คะแนนเต็ม]]),"",(tbl_task4[92]/tbl_task4[[คะแนนเต็ม]:[คะแนนเต็ม]])*tbl_task4[[%]:[%]])</f>
        <v/>
      </c>
      <c r="JC8" s="121" t="str">
        <f>IF(ISBLANK(tbl_task4[[คะแนนเต็ม]:[คะแนนเต็ม]]),"",(tbl_task4[93]/tbl_task4[[คะแนนเต็ม]:[คะแนนเต็ม]])*tbl_task4[[%]:[%]])</f>
        <v/>
      </c>
      <c r="JD8" s="121" t="str">
        <f>IF(ISBLANK(tbl_task4[[คะแนนเต็ม]:[คะแนนเต็ม]]),"",(tbl_task4[94]/tbl_task4[[คะแนนเต็ม]:[คะแนนเต็ม]])*tbl_task4[[%]:[%]])</f>
        <v/>
      </c>
      <c r="JE8" s="121" t="str">
        <f>IF(ISBLANK(tbl_task4[[คะแนนเต็ม]:[คะแนนเต็ม]]),"",(tbl_task4[95]/tbl_task4[[คะแนนเต็ม]:[คะแนนเต็ม]])*tbl_task4[[%]:[%]])</f>
        <v/>
      </c>
      <c r="JF8" s="121" t="str">
        <f>IF(ISBLANK(tbl_task4[[คะแนนเต็ม]:[คะแนนเต็ม]]),"",(tbl_task4[96]/tbl_task4[[คะแนนเต็ม]:[คะแนนเต็ม]])*tbl_task4[[%]:[%]])</f>
        <v/>
      </c>
      <c r="JG8" s="121" t="str">
        <f>IF(ISBLANK(tbl_task4[[คะแนนเต็ม]:[คะแนนเต็ม]]),"",(tbl_task4[97]/tbl_task4[[คะแนนเต็ม]:[คะแนนเต็ม]])*tbl_task4[[%]:[%]])</f>
        <v/>
      </c>
      <c r="JH8" s="121" t="str">
        <f>IF(ISBLANK(tbl_task4[[คะแนนเต็ม]:[คะแนนเต็ม]]),"",(tbl_task4[98]/tbl_task4[[คะแนนเต็ม]:[คะแนนเต็ม]])*tbl_task4[[%]:[%]])</f>
        <v/>
      </c>
      <c r="JI8" s="121" t="str">
        <f>IF(ISBLANK(tbl_task4[[คะแนนเต็ม]:[คะแนนเต็ม]]),"",(tbl_task4[99]/tbl_task4[[คะแนนเต็ม]:[คะแนนเต็ม]])*tbl_task4[[%]:[%]])</f>
        <v/>
      </c>
      <c r="JJ8" s="121" t="str">
        <f>IF(ISBLANK(tbl_task4[[คะแนนเต็ม]:[คะแนนเต็ม]]),"",(tbl_task4[100]/tbl_task4[[คะแนนเต็ม]:[คะแนนเต็ม]])*tbl_task4[[%]:[%]])</f>
        <v/>
      </c>
      <c r="JK8" s="121" t="str">
        <f>IF(ISBLANK(tbl_task4[[คะแนนเต็ม]:[คะแนนเต็ม]]),"",(tbl_task4[101]/tbl_task4[[คะแนนเต็ม]:[คะแนนเต็ม]])*tbl_task4[[%]:[%]])</f>
        <v/>
      </c>
      <c r="JL8" s="121" t="str">
        <f>IF(ISBLANK(tbl_task4[[คะแนนเต็ม]:[คะแนนเต็ม]]),"",(tbl_task4[102]/tbl_task4[[คะแนนเต็ม]:[คะแนนเต็ม]])*tbl_task4[[%]:[%]])</f>
        <v/>
      </c>
      <c r="JM8" s="121" t="str">
        <f>IF(ISBLANK(tbl_task4[[คะแนนเต็ม]:[คะแนนเต็ม]]),"",(tbl_task4[103]/tbl_task4[[คะแนนเต็ม]:[คะแนนเต็ม]])*tbl_task4[[%]:[%]])</f>
        <v/>
      </c>
      <c r="JN8" s="121" t="str">
        <f>IF(ISBLANK(tbl_task4[[คะแนนเต็ม]:[คะแนนเต็ม]]),"",(tbl_task4[104]/tbl_task4[[คะแนนเต็ม]:[คะแนนเต็ม]])*tbl_task4[[%]:[%]])</f>
        <v/>
      </c>
      <c r="JO8" s="121" t="str">
        <f>IF(ISBLANK(tbl_task4[[คะแนนเต็ม]:[คะแนนเต็ม]]),"",(tbl_task4[105]/tbl_task4[[คะแนนเต็ม]:[คะแนนเต็ม]])*tbl_task4[[%]:[%]])</f>
        <v/>
      </c>
      <c r="JP8" s="121" t="str">
        <f>IF(ISBLANK(tbl_task4[[คะแนนเต็ม]:[คะแนนเต็ม]]),"",(tbl_task4[106]/tbl_task4[[คะแนนเต็ม]:[คะแนนเต็ม]])*tbl_task4[[%]:[%]])</f>
        <v/>
      </c>
      <c r="JQ8" s="121" t="str">
        <f>IF(ISBLANK(tbl_task4[[คะแนนเต็ม]:[คะแนนเต็ม]]),"",(tbl_task4[107]/tbl_task4[[คะแนนเต็ม]:[คะแนนเต็ม]])*tbl_task4[[%]:[%]])</f>
        <v/>
      </c>
      <c r="JR8" s="121" t="str">
        <f>IF(ISBLANK(tbl_task4[[คะแนนเต็ม]:[คะแนนเต็ม]]),"",(tbl_task4[108]/tbl_task4[[คะแนนเต็ม]:[คะแนนเต็ม]])*tbl_task4[[%]:[%]])</f>
        <v/>
      </c>
      <c r="JS8" s="121" t="str">
        <f>IF(ISBLANK(tbl_task4[[คะแนนเต็ม]:[คะแนนเต็ม]]),"",(tbl_task4[109]/tbl_task4[[คะแนนเต็ม]:[คะแนนเต็ม]])*tbl_task4[[%]:[%]])</f>
        <v/>
      </c>
      <c r="JT8" s="121" t="str">
        <f>IF(ISBLANK(tbl_task4[[คะแนนเต็ม]:[คะแนนเต็ม]]),"",(tbl_task4[110]/tbl_task4[[คะแนนเต็ม]:[คะแนนเต็ม]])*tbl_task4[[%]:[%]])</f>
        <v/>
      </c>
      <c r="JU8" s="121" t="str">
        <f>IF(ISBLANK(tbl_task4[[คะแนนเต็ม]:[คะแนนเต็ม]]),"",(tbl_task4[111]/tbl_task4[[คะแนนเต็ม]:[คะแนนเต็ม]])*tbl_task4[[%]:[%]])</f>
        <v/>
      </c>
      <c r="JV8" s="121" t="str">
        <f>IF(ISBLANK(tbl_task4[[คะแนนเต็ม]:[คะแนนเต็ม]]),"",(tbl_task4[112]/tbl_task4[[คะแนนเต็ม]:[คะแนนเต็ม]])*tbl_task4[[%]:[%]])</f>
        <v/>
      </c>
      <c r="JW8" s="121" t="str">
        <f>IF(ISBLANK(tbl_task4[[คะแนนเต็ม]:[คะแนนเต็ม]]),"",(tbl_task4[113]/tbl_task4[[คะแนนเต็ม]:[คะแนนเต็ม]])*tbl_task4[[%]:[%]])</f>
        <v/>
      </c>
      <c r="JX8" s="121" t="str">
        <f>IF(ISBLANK(tbl_task4[[คะแนนเต็ม]:[คะแนนเต็ม]]),"",(tbl_task4[114]/tbl_task4[[คะแนนเต็ม]:[คะแนนเต็ม]])*tbl_task4[[%]:[%]])</f>
        <v/>
      </c>
      <c r="JY8" s="121" t="str">
        <f>IF(ISBLANK(tbl_task4[[คะแนนเต็ม]:[คะแนนเต็ม]]),"",(tbl_task4[115]/tbl_task4[[คะแนนเต็ม]:[คะแนนเต็ม]])*tbl_task4[[%]:[%]])</f>
        <v/>
      </c>
      <c r="JZ8" s="121" t="str">
        <f>IF(ISBLANK(tbl_task4[[คะแนนเต็ม]:[คะแนนเต็ม]]),"",(tbl_task4[116]/tbl_task4[[คะแนนเต็ม]:[คะแนนเต็ม]])*tbl_task4[[%]:[%]])</f>
        <v/>
      </c>
      <c r="KA8" s="121" t="str">
        <f>IF(ISBLANK(tbl_task4[[คะแนนเต็ม]:[คะแนนเต็ม]]),"",(tbl_task4[117]/tbl_task4[[คะแนนเต็ม]:[คะแนนเต็ม]])*tbl_task4[[%]:[%]])</f>
        <v/>
      </c>
      <c r="KB8" s="121" t="str">
        <f>IF(ISBLANK(tbl_task4[[คะแนนเต็ม]:[คะแนนเต็ม]]),"",(tbl_task4[118]/tbl_task4[[คะแนนเต็ม]:[คะแนนเต็ม]])*tbl_task4[[%]:[%]])</f>
        <v/>
      </c>
      <c r="KC8" s="121" t="str">
        <f>IF(ISBLANK(tbl_task4[[คะแนนเต็ม]:[คะแนนเต็ม]]),"",(tbl_task4[119]/tbl_task4[[คะแนนเต็ม]:[คะแนนเต็ม]])*tbl_task4[[%]:[%]])</f>
        <v/>
      </c>
      <c r="KD8" s="121" t="str">
        <f>IF(ISBLANK(tbl_task4[[คะแนนเต็ม]:[คะแนนเต็ม]]),"",(tbl_task4[120]/tbl_task4[[คะแนนเต็ม]:[คะแนนเต็ม]])*tbl_task4[[%]:[%]])</f>
        <v/>
      </c>
      <c r="KE8" s="121" t="str">
        <f>IF(ISBLANK(tbl_task4[[คะแนนเต็ม]:[คะแนนเต็ม]]),"",(tbl_task4[121]/tbl_task4[[คะแนนเต็ม]:[คะแนนเต็ม]])*tbl_task4[[%]:[%]])</f>
        <v/>
      </c>
      <c r="KF8" s="121" t="str">
        <f>IF(ISBLANK(tbl_task4[[คะแนนเต็ม]:[คะแนนเต็ม]]),"",(tbl_task4[122]/tbl_task4[[คะแนนเต็ม]:[คะแนนเต็ม]])*tbl_task4[[%]:[%]])</f>
        <v/>
      </c>
      <c r="KG8" s="121" t="str">
        <f>IF(ISBLANK(tbl_task4[[คะแนนเต็ม]:[คะแนนเต็ม]]),"",(tbl_task4[123]/tbl_task4[[คะแนนเต็ม]:[คะแนนเต็ม]])*tbl_task4[[%]:[%]])</f>
        <v/>
      </c>
      <c r="KH8" s="121" t="str">
        <f>IF(ISBLANK(tbl_task4[[คะแนนเต็ม]:[คะแนนเต็ม]]),"",(tbl_task4[124]/tbl_task4[[คะแนนเต็ม]:[คะแนนเต็ม]])*tbl_task4[[%]:[%]])</f>
        <v/>
      </c>
      <c r="KI8" s="121" t="str">
        <f>IF(ISBLANK(tbl_task4[[คะแนนเต็ม]:[คะแนนเต็ม]]),"",(tbl_task4[125]/tbl_task4[[คะแนนเต็ม]:[คะแนนเต็ม]])*tbl_task4[[%]:[%]])</f>
        <v/>
      </c>
      <c r="KJ8" s="121" t="str">
        <f>IF(ISBLANK(tbl_task4[[คะแนนเต็ม]:[คะแนนเต็ม]]),"",(tbl_task4[126]/tbl_task4[[คะแนนเต็ม]:[คะแนนเต็ม]])*tbl_task4[[%]:[%]])</f>
        <v/>
      </c>
      <c r="KK8" s="121" t="str">
        <f>IF(ISBLANK(tbl_task4[[คะแนนเต็ม]:[คะแนนเต็ม]]),"",(tbl_task4[127]/tbl_task4[[คะแนนเต็ม]:[คะแนนเต็ม]])*tbl_task4[[%]:[%]])</f>
        <v/>
      </c>
      <c r="KL8" s="121" t="str">
        <f>IF(ISBLANK(tbl_task4[[คะแนนเต็ม]:[คะแนนเต็ม]]),"",(tbl_task4[128]/tbl_task4[[คะแนนเต็ม]:[คะแนนเต็ม]])*tbl_task4[[%]:[%]])</f>
        <v/>
      </c>
      <c r="KM8" s="121" t="str">
        <f>IF(ISBLANK(tbl_task4[[คะแนนเต็ม]:[คะแนนเต็ม]]),"",(tbl_task4[129]/tbl_task4[[คะแนนเต็ม]:[คะแนนเต็ม]])*tbl_task4[[%]:[%]])</f>
        <v/>
      </c>
      <c r="KN8" s="121" t="str">
        <f>IF(ISBLANK(tbl_task4[[คะแนนเต็ม]:[คะแนนเต็ม]]),"",(tbl_task4[130]/tbl_task4[[คะแนนเต็ม]:[คะแนนเต็ม]])*tbl_task4[[%]:[%]])</f>
        <v/>
      </c>
      <c r="KO8" s="121" t="str">
        <f>IF(ISBLANK(tbl_task4[[คะแนนเต็ม]:[คะแนนเต็ม]]),"",(tbl_task4[131]/tbl_task4[[คะแนนเต็ม]:[คะแนนเต็ม]])*tbl_task4[[%]:[%]])</f>
        <v/>
      </c>
      <c r="KP8" s="121" t="str">
        <f>IF(ISBLANK(tbl_task4[[คะแนนเต็ม]:[คะแนนเต็ม]]),"",(tbl_task4[132]/tbl_task4[[คะแนนเต็ม]:[คะแนนเต็ม]])*tbl_task4[[%]:[%]])</f>
        <v/>
      </c>
      <c r="KQ8" s="121" t="str">
        <f>IF(ISBLANK(tbl_task4[[คะแนนเต็ม]:[คะแนนเต็ม]]),"",(tbl_task4[133]/tbl_task4[[คะแนนเต็ม]:[คะแนนเต็ม]])*tbl_task4[[%]:[%]])</f>
        <v/>
      </c>
      <c r="KR8" s="121" t="str">
        <f>IF(ISBLANK(tbl_task4[[คะแนนเต็ม]:[คะแนนเต็ม]]),"",(tbl_task4[134]/tbl_task4[[คะแนนเต็ม]:[คะแนนเต็ม]])*tbl_task4[[%]:[%]])</f>
        <v/>
      </c>
      <c r="KS8" s="121" t="str">
        <f>IF(ISBLANK(tbl_task4[[คะแนนเต็ม]:[คะแนนเต็ม]]),"",(tbl_task4[135]/tbl_task4[[คะแนนเต็ม]:[คะแนนเต็ม]])*tbl_task4[[%]:[%]])</f>
        <v/>
      </c>
      <c r="KT8" s="121" t="str">
        <f>IF(ISBLANK(tbl_task4[[คะแนนเต็ม]:[คะแนนเต็ม]]),"",(tbl_task4[136]/tbl_task4[[คะแนนเต็ม]:[คะแนนเต็ม]])*tbl_task4[[%]:[%]])</f>
        <v/>
      </c>
      <c r="KU8" s="121" t="str">
        <f>IF(ISBLANK(tbl_task4[[คะแนนเต็ม]:[คะแนนเต็ม]]),"",(tbl_task4[137]/tbl_task4[[คะแนนเต็ม]:[คะแนนเต็ม]])*tbl_task4[[%]:[%]])</f>
        <v/>
      </c>
      <c r="KV8" s="121" t="str">
        <f>IF(ISBLANK(tbl_task4[[คะแนนเต็ม]:[คะแนนเต็ม]]),"",(tbl_task4[138]/tbl_task4[[คะแนนเต็ม]:[คะแนนเต็ม]])*tbl_task4[[%]:[%]])</f>
        <v/>
      </c>
      <c r="KW8" s="121" t="str">
        <f>IF(ISBLANK(tbl_task4[[คะแนนเต็ม]:[คะแนนเต็ม]]),"",(tbl_task4[139]/tbl_task4[[คะแนนเต็ม]:[คะแนนเต็ม]])*tbl_task4[[%]:[%]])</f>
        <v/>
      </c>
      <c r="KX8" s="121" t="str">
        <f>IF(ISBLANK(tbl_task4[[คะแนนเต็ม]:[คะแนนเต็ม]]),"",(tbl_task4[140]/tbl_task4[[คะแนนเต็ม]:[คะแนนเต็ม]])*tbl_task4[[%]:[%]])</f>
        <v/>
      </c>
      <c r="KY8" s="121" t="str">
        <f>IF(ISBLANK(tbl_task4[[คะแนนเต็ม]:[คะแนนเต็ม]]),"",(tbl_task4[141]/tbl_task4[[คะแนนเต็ม]:[คะแนนเต็ม]])*tbl_task4[[%]:[%]])</f>
        <v/>
      </c>
      <c r="KZ8" s="121" t="str">
        <f>IF(ISBLANK(tbl_task4[[คะแนนเต็ม]:[คะแนนเต็ม]]),"",(tbl_task4[142]/tbl_task4[[คะแนนเต็ม]:[คะแนนเต็ม]])*tbl_task4[[%]:[%]])</f>
        <v/>
      </c>
      <c r="LA8" s="121" t="str">
        <f>IF(ISBLANK(tbl_task4[[คะแนนเต็ม]:[คะแนนเต็ม]]),"",(tbl_task4[143]/tbl_task4[[คะแนนเต็ม]:[คะแนนเต็ม]])*tbl_task4[[%]:[%]])</f>
        <v/>
      </c>
      <c r="LB8" s="121" t="str">
        <f>IF(ISBLANK(tbl_task4[[คะแนนเต็ม]:[คะแนนเต็ม]]),"",(tbl_task4[144]/tbl_task4[[คะแนนเต็ม]:[คะแนนเต็ม]])*tbl_task4[[%]:[%]])</f>
        <v/>
      </c>
      <c r="LC8" s="121" t="str">
        <f>IF(ISBLANK(tbl_task4[[คะแนนเต็ม]:[คะแนนเต็ม]]),"",(tbl_task4[145]/tbl_task4[[คะแนนเต็ม]:[คะแนนเต็ม]])*tbl_task4[[%]:[%]])</f>
        <v/>
      </c>
      <c r="LD8" s="121" t="str">
        <f>IF(ISBLANK(tbl_task4[[คะแนนเต็ม]:[คะแนนเต็ม]]),"",(tbl_task4[146]/tbl_task4[[คะแนนเต็ม]:[คะแนนเต็ม]])*tbl_task4[[%]:[%]])</f>
        <v/>
      </c>
      <c r="LE8" s="121" t="str">
        <f>IF(ISBLANK(tbl_task4[[คะแนนเต็ม]:[คะแนนเต็ม]]),"",(tbl_task4[147]/tbl_task4[[คะแนนเต็ม]:[คะแนนเต็ม]])*tbl_task4[[%]:[%]])</f>
        <v/>
      </c>
      <c r="LF8" s="121" t="str">
        <f>IF(ISBLANK(tbl_task4[[คะแนนเต็ม]:[คะแนนเต็ม]]),"",(tbl_task4[148]/tbl_task4[[คะแนนเต็ม]:[คะแนนเต็ม]])*tbl_task4[[%]:[%]])</f>
        <v/>
      </c>
      <c r="LG8" s="121" t="str">
        <f>IF(ISBLANK(tbl_task4[[คะแนนเต็ม]:[คะแนนเต็ม]]),"",(tbl_task4[149]/tbl_task4[[คะแนนเต็ม]:[คะแนนเต็ม]])*tbl_task4[[%]:[%]])</f>
        <v/>
      </c>
      <c r="LH8" s="121" t="str">
        <f>IF(ISBLANK(tbl_task4[[คะแนนเต็ม]:[คะแนนเต็ม]]),"",(tbl_task4[150]/tbl_task4[[คะแนนเต็ม]:[คะแนนเต็ม]])*tbl_task4[[%]:[%]])</f>
        <v/>
      </c>
      <c r="LI8" s="121" t="str">
        <f>IF(ISBLANK(tbl_task4[[คะแนนเต็ม]:[คะแนนเต็ม]]),"",(tbl_task4[151]/tbl_task4[[คะแนนเต็ม]:[คะแนนเต็ม]])*tbl_task4[[%]:[%]])</f>
        <v/>
      </c>
      <c r="LJ8" s="121" t="str">
        <f>IF(ISBLANK(tbl_task4[[คะแนนเต็ม]:[คะแนนเต็ม]]),"",(tbl_task4[152]/tbl_task4[[คะแนนเต็ม]:[คะแนนเต็ม]])*tbl_task4[[%]:[%]])</f>
        <v/>
      </c>
      <c r="LK8" s="121" t="str">
        <f>IF(ISBLANK(tbl_task4[[คะแนนเต็ม]:[คะแนนเต็ม]]),"",(tbl_task4[153]/tbl_task4[[คะแนนเต็ม]:[คะแนนเต็ม]])*tbl_task4[[%]:[%]])</f>
        <v/>
      </c>
      <c r="LL8" s="121" t="str">
        <f>IF(ISBLANK(tbl_task4[[คะแนนเต็ม]:[คะแนนเต็ม]]),"",(tbl_task4[154]/tbl_task4[[คะแนนเต็ม]:[คะแนนเต็ม]])*tbl_task4[[%]:[%]])</f>
        <v/>
      </c>
      <c r="LM8" s="121" t="str">
        <f>IF(ISBLANK(tbl_task4[[คะแนนเต็ม]:[คะแนนเต็ม]]),"",(tbl_task4[155]/tbl_task4[[คะแนนเต็ม]:[คะแนนเต็ม]])*tbl_task4[[%]:[%]])</f>
        <v/>
      </c>
      <c r="LN8" s="121" t="str">
        <f>IF(ISBLANK(tbl_task4[[คะแนนเต็ม]:[คะแนนเต็ม]]),"",(tbl_task4[156]/tbl_task4[[คะแนนเต็ม]:[คะแนนเต็ม]])*tbl_task4[[%]:[%]])</f>
        <v/>
      </c>
      <c r="LO8" s="121" t="str">
        <f>IF(ISBLANK(tbl_task4[[คะแนนเต็ม]:[คะแนนเต็ม]]),"",(tbl_task4[157]/tbl_task4[[คะแนนเต็ม]:[คะแนนเต็ม]])*tbl_task4[[%]:[%]])</f>
        <v/>
      </c>
      <c r="LP8" s="121" t="str">
        <f>IF(ISBLANK(tbl_task4[[คะแนนเต็ม]:[คะแนนเต็ม]]),"",(tbl_task4[158]/tbl_task4[[คะแนนเต็ม]:[คะแนนเต็ม]])*tbl_task4[[%]:[%]])</f>
        <v/>
      </c>
      <c r="LQ8" s="121" t="str">
        <f>IF(ISBLANK(tbl_task4[[คะแนนเต็ม]:[คะแนนเต็ม]]),"",(tbl_task4[159]/tbl_task4[[คะแนนเต็ม]:[คะแนนเต็ม]])*tbl_task4[[%]:[%]])</f>
        <v/>
      </c>
      <c r="LR8" s="121" t="str">
        <f>IF(ISBLANK(tbl_task4[[คะแนนเต็ม]:[คะแนนเต็ม]]),"",(tbl_task4[160]/tbl_task4[[คะแนนเต็ม]:[คะแนนเต็ม]])*tbl_task4[[%]:[%]])</f>
        <v/>
      </c>
      <c r="LS8" s="121" t="str">
        <f>IF(ISBLANK(tbl_task4[[คะแนนเต็ม]:[คะแนนเต็ม]]),"",(tbl_task4[161]/tbl_task4[[คะแนนเต็ม]:[คะแนนเต็ม]])*tbl_task4[[%]:[%]])</f>
        <v/>
      </c>
      <c r="LT8" s="121" t="str">
        <f>IF(ISBLANK(tbl_task4[[คะแนนเต็ม]:[คะแนนเต็ม]]),"",(tbl_task4[162]/tbl_task4[[คะแนนเต็ม]:[คะแนนเต็ม]])*tbl_task4[[%]:[%]])</f>
        <v/>
      </c>
      <c r="LU8" s="121" t="str">
        <f>IF(ISBLANK(tbl_task4[[คะแนนเต็ม]:[คะแนนเต็ม]]),"",(tbl_task4[163]/tbl_task4[[คะแนนเต็ม]:[คะแนนเต็ม]])*tbl_task4[[%]:[%]])</f>
        <v/>
      </c>
      <c r="LV8" s="121" t="str">
        <f>IF(ISBLANK(tbl_task4[[คะแนนเต็ม]:[คะแนนเต็ม]]),"",(tbl_task4[164]/tbl_task4[[คะแนนเต็ม]:[คะแนนเต็ม]])*tbl_task4[[%]:[%]])</f>
        <v/>
      </c>
      <c r="LW8" s="121" t="str">
        <f>IF(ISBLANK(tbl_task4[[คะแนนเต็ม]:[คะแนนเต็ม]]),"",(tbl_task4[165]/tbl_task4[[คะแนนเต็ม]:[คะแนนเต็ม]])*tbl_task4[[%]:[%]])</f>
        <v/>
      </c>
    </row>
    <row r="9" spans="1:335" x14ac:dyDescent="0.25">
      <c r="A9" s="24">
        <v>6</v>
      </c>
      <c r="B9" s="20"/>
      <c r="C9" s="5" t="str">
        <f>IF(ISBLANK(B9),"",VLOOKUP(B9,tbl_PLOs[],2,0))</f>
        <v/>
      </c>
      <c r="D9" s="102"/>
      <c r="E9" s="106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22"/>
      <c r="FO9" s="121" t="str">
        <f>IF(ISBLANK(tbl_task4[[คะแนนเต็ม]:[คะแนนเต็ม]]),"",(tbl_task4[1]/tbl_task4[[คะแนนเต็ม]:[คะแนนเต็ม]])*tbl_task4[[%]:[%]])</f>
        <v/>
      </c>
      <c r="FP9" s="121" t="str">
        <f>IF(ISBLANK(tbl_task4[[คะแนนเต็ม]:[คะแนนเต็ม]]),"",(tbl_task4[2]/tbl_task4[[คะแนนเต็ม]:[คะแนนเต็ม]])*tbl_task4[[%]:[%]])</f>
        <v/>
      </c>
      <c r="FQ9" s="121" t="str">
        <f>IF(ISBLANK(tbl_task4[[คะแนนเต็ม]:[คะแนนเต็ม]]),"",(tbl_task4[3]/tbl_task4[[คะแนนเต็ม]:[คะแนนเต็ม]])*tbl_task4[[%]:[%]])</f>
        <v/>
      </c>
      <c r="FR9" s="121" t="str">
        <f>IF(ISBLANK(tbl_task4[[คะแนนเต็ม]:[คะแนนเต็ม]]),"",(tbl_task4[4]/tbl_task4[[คะแนนเต็ม]:[คะแนนเต็ม]])*tbl_task4[[%]:[%]])</f>
        <v/>
      </c>
      <c r="FS9" s="121" t="str">
        <f>IF(ISBLANK(tbl_task4[[คะแนนเต็ม]:[คะแนนเต็ม]]),"",(tbl_task4[5]/tbl_task4[[คะแนนเต็ม]:[คะแนนเต็ม]])*tbl_task4[[%]:[%]])</f>
        <v/>
      </c>
      <c r="FT9" s="121" t="str">
        <f>IF(ISBLANK(tbl_task4[[คะแนนเต็ม]:[คะแนนเต็ม]]),"",(tbl_task4[6]/tbl_task4[[คะแนนเต็ม]:[คะแนนเต็ม]])*tbl_task4[[%]:[%]])</f>
        <v/>
      </c>
      <c r="FU9" s="121" t="str">
        <f>IF(ISBLANK(tbl_task4[[คะแนนเต็ม]:[คะแนนเต็ม]]),"",(tbl_task4[7]/tbl_task4[[คะแนนเต็ม]:[คะแนนเต็ม]])*tbl_task4[[%]:[%]])</f>
        <v/>
      </c>
      <c r="FV9" s="121" t="str">
        <f>IF(ISBLANK(tbl_task4[[คะแนนเต็ม]:[คะแนนเต็ม]]),"",(tbl_task4[8]/tbl_task4[[คะแนนเต็ม]:[คะแนนเต็ม]])*tbl_task4[[%]:[%]])</f>
        <v/>
      </c>
      <c r="FW9" s="121" t="str">
        <f>IF(ISBLANK(tbl_task4[[คะแนนเต็ม]:[คะแนนเต็ม]]),"",(tbl_task4[9]/tbl_task4[[คะแนนเต็ม]:[คะแนนเต็ม]])*tbl_task4[[%]:[%]])</f>
        <v/>
      </c>
      <c r="FX9" s="121" t="str">
        <f>IF(ISBLANK(tbl_task4[[คะแนนเต็ม]:[คะแนนเต็ม]]),"",(tbl_task4[10]/tbl_task4[[คะแนนเต็ม]:[คะแนนเต็ม]])*tbl_task4[[%]:[%]])</f>
        <v/>
      </c>
      <c r="FY9" s="121" t="str">
        <f>IF(ISBLANK(tbl_task4[[คะแนนเต็ม]:[คะแนนเต็ม]]),"",(tbl_task4[11]/tbl_task4[[คะแนนเต็ม]:[คะแนนเต็ม]])*tbl_task4[[%]:[%]])</f>
        <v/>
      </c>
      <c r="FZ9" s="121" t="str">
        <f>IF(ISBLANK(tbl_task4[[คะแนนเต็ม]:[คะแนนเต็ม]]),"",(tbl_task4[12]/tbl_task4[[คะแนนเต็ม]:[คะแนนเต็ม]])*tbl_task4[[%]:[%]])</f>
        <v/>
      </c>
      <c r="GA9" s="121" t="str">
        <f>IF(ISBLANK(tbl_task4[[คะแนนเต็ม]:[คะแนนเต็ม]]),"",(tbl_task4[13]/tbl_task4[[คะแนนเต็ม]:[คะแนนเต็ม]])*tbl_task4[[%]:[%]])</f>
        <v/>
      </c>
      <c r="GB9" s="121" t="str">
        <f>IF(ISBLANK(tbl_task4[[คะแนนเต็ม]:[คะแนนเต็ม]]),"",(tbl_task4[14]/tbl_task4[[คะแนนเต็ม]:[คะแนนเต็ม]])*tbl_task4[[%]:[%]])</f>
        <v/>
      </c>
      <c r="GC9" s="121" t="str">
        <f>IF(ISBLANK(tbl_task4[[คะแนนเต็ม]:[คะแนนเต็ม]]),"",(tbl_task4[15]/tbl_task4[[คะแนนเต็ม]:[คะแนนเต็ม]])*tbl_task4[[%]:[%]])</f>
        <v/>
      </c>
      <c r="GD9" s="121" t="str">
        <f>IF(ISBLANK(tbl_task4[[คะแนนเต็ม]:[คะแนนเต็ม]]),"",(tbl_task4[16]/tbl_task4[[คะแนนเต็ม]:[คะแนนเต็ม]])*tbl_task4[[%]:[%]])</f>
        <v/>
      </c>
      <c r="GE9" s="121" t="str">
        <f>IF(ISBLANK(tbl_task4[[คะแนนเต็ม]:[คะแนนเต็ม]]),"",(tbl_task4[17]/tbl_task4[[คะแนนเต็ม]:[คะแนนเต็ม]])*tbl_task4[[%]:[%]])</f>
        <v/>
      </c>
      <c r="GF9" s="121" t="str">
        <f>IF(ISBLANK(tbl_task4[[คะแนนเต็ม]:[คะแนนเต็ม]]),"",(tbl_task4[18]/tbl_task4[[คะแนนเต็ม]:[คะแนนเต็ม]])*tbl_task4[[%]:[%]])</f>
        <v/>
      </c>
      <c r="GG9" s="121" t="str">
        <f>IF(ISBLANK(tbl_task4[[คะแนนเต็ม]:[คะแนนเต็ม]]),"",(tbl_task4[19]/tbl_task4[[คะแนนเต็ม]:[คะแนนเต็ม]])*tbl_task4[[%]:[%]])</f>
        <v/>
      </c>
      <c r="GH9" s="121" t="str">
        <f>IF(ISBLANK(tbl_task4[[คะแนนเต็ม]:[คะแนนเต็ม]]),"",(tbl_task4[20]/tbl_task4[[คะแนนเต็ม]:[คะแนนเต็ม]])*tbl_task4[[%]:[%]])</f>
        <v/>
      </c>
      <c r="GI9" s="121" t="str">
        <f>IF(ISBLANK(tbl_task4[[คะแนนเต็ม]:[คะแนนเต็ม]]),"",(tbl_task4[21]/tbl_task4[[คะแนนเต็ม]:[คะแนนเต็ม]])*tbl_task4[[%]:[%]])</f>
        <v/>
      </c>
      <c r="GJ9" s="121" t="str">
        <f>IF(ISBLANK(tbl_task4[[คะแนนเต็ม]:[คะแนนเต็ม]]),"",(tbl_task4[22]/tbl_task4[[คะแนนเต็ม]:[คะแนนเต็ม]])*tbl_task4[[%]:[%]])</f>
        <v/>
      </c>
      <c r="GK9" s="121" t="str">
        <f>IF(ISBLANK(tbl_task4[[คะแนนเต็ม]:[คะแนนเต็ม]]),"",(tbl_task4[23]/tbl_task4[[คะแนนเต็ม]:[คะแนนเต็ม]])*tbl_task4[[%]:[%]])</f>
        <v/>
      </c>
      <c r="GL9" s="121" t="str">
        <f>IF(ISBLANK(tbl_task4[[คะแนนเต็ม]:[คะแนนเต็ม]]),"",(tbl_task4[24]/tbl_task4[[คะแนนเต็ม]:[คะแนนเต็ม]])*tbl_task4[[%]:[%]])</f>
        <v/>
      </c>
      <c r="GM9" s="121" t="str">
        <f>IF(ISBLANK(tbl_task4[[คะแนนเต็ม]:[คะแนนเต็ม]]),"",(tbl_task4[25]/tbl_task4[[คะแนนเต็ม]:[คะแนนเต็ม]])*tbl_task4[[%]:[%]])</f>
        <v/>
      </c>
      <c r="GN9" s="121" t="str">
        <f>IF(ISBLANK(tbl_task4[[คะแนนเต็ม]:[คะแนนเต็ม]]),"",(tbl_task4[26]/tbl_task4[[คะแนนเต็ม]:[คะแนนเต็ม]])*tbl_task4[[%]:[%]])</f>
        <v/>
      </c>
      <c r="GO9" s="121" t="str">
        <f>IF(ISBLANK(tbl_task4[[คะแนนเต็ม]:[คะแนนเต็ม]]),"",(tbl_task4[27]/tbl_task4[[คะแนนเต็ม]:[คะแนนเต็ม]])*tbl_task4[[%]:[%]])</f>
        <v/>
      </c>
      <c r="GP9" s="121" t="str">
        <f>IF(ISBLANK(tbl_task4[[คะแนนเต็ม]:[คะแนนเต็ม]]),"",(tbl_task4[28]/tbl_task4[[คะแนนเต็ม]:[คะแนนเต็ม]])*tbl_task4[[%]:[%]])</f>
        <v/>
      </c>
      <c r="GQ9" s="121" t="str">
        <f>IF(ISBLANK(tbl_task4[[คะแนนเต็ม]:[คะแนนเต็ม]]),"",(tbl_task4[29]/tbl_task4[[คะแนนเต็ม]:[คะแนนเต็ม]])*tbl_task4[[%]:[%]])</f>
        <v/>
      </c>
      <c r="GR9" s="121" t="str">
        <f>IF(ISBLANK(tbl_task4[[คะแนนเต็ม]:[คะแนนเต็ม]]),"",(tbl_task4[30]/tbl_task4[[คะแนนเต็ม]:[คะแนนเต็ม]])*tbl_task4[[%]:[%]])</f>
        <v/>
      </c>
      <c r="GS9" s="121" t="str">
        <f>IF(ISBLANK(tbl_task4[[คะแนนเต็ม]:[คะแนนเต็ม]]),"",(tbl_task4[31]/tbl_task4[[คะแนนเต็ม]:[คะแนนเต็ม]])*tbl_task4[[%]:[%]])</f>
        <v/>
      </c>
      <c r="GT9" s="121" t="str">
        <f>IF(ISBLANK(tbl_task4[[คะแนนเต็ม]:[คะแนนเต็ม]]),"",(tbl_task4[32]/tbl_task4[[คะแนนเต็ม]:[คะแนนเต็ม]])*tbl_task4[[%]:[%]])</f>
        <v/>
      </c>
      <c r="GU9" s="121" t="str">
        <f>IF(ISBLANK(tbl_task4[[คะแนนเต็ม]:[คะแนนเต็ม]]),"",(tbl_task4[33]/tbl_task4[[คะแนนเต็ม]:[คะแนนเต็ม]])*tbl_task4[[%]:[%]])</f>
        <v/>
      </c>
      <c r="GV9" s="121" t="str">
        <f>IF(ISBLANK(tbl_task4[[คะแนนเต็ม]:[คะแนนเต็ม]]),"",(tbl_task4[34]/tbl_task4[[คะแนนเต็ม]:[คะแนนเต็ม]])*tbl_task4[[%]:[%]])</f>
        <v/>
      </c>
      <c r="GW9" s="121" t="str">
        <f>IF(ISBLANK(tbl_task4[[คะแนนเต็ม]:[คะแนนเต็ม]]),"",(tbl_task4[35]/tbl_task4[[คะแนนเต็ม]:[คะแนนเต็ม]])*tbl_task4[[%]:[%]])</f>
        <v/>
      </c>
      <c r="GX9" s="121" t="str">
        <f>IF(ISBLANK(tbl_task4[[คะแนนเต็ม]:[คะแนนเต็ม]]),"",(tbl_task4[36]/tbl_task4[[คะแนนเต็ม]:[คะแนนเต็ม]])*tbl_task4[[%]:[%]])</f>
        <v/>
      </c>
      <c r="GY9" s="121" t="str">
        <f>IF(ISBLANK(tbl_task4[[คะแนนเต็ม]:[คะแนนเต็ม]]),"",(tbl_task4[37]/tbl_task4[[คะแนนเต็ม]:[คะแนนเต็ม]])*tbl_task4[[%]:[%]])</f>
        <v/>
      </c>
      <c r="GZ9" s="121" t="str">
        <f>IF(ISBLANK(tbl_task4[[คะแนนเต็ม]:[คะแนนเต็ม]]),"",(tbl_task4[38]/tbl_task4[[คะแนนเต็ม]:[คะแนนเต็ม]])*tbl_task4[[%]:[%]])</f>
        <v/>
      </c>
      <c r="HA9" s="121" t="str">
        <f>IF(ISBLANK(tbl_task4[[คะแนนเต็ม]:[คะแนนเต็ม]]),"",(tbl_task4[39]/tbl_task4[[คะแนนเต็ม]:[คะแนนเต็ม]])*tbl_task4[[%]:[%]])</f>
        <v/>
      </c>
      <c r="HB9" s="121" t="str">
        <f>IF(ISBLANK(tbl_task4[[คะแนนเต็ม]:[คะแนนเต็ม]]),"",(tbl_task4[40]/tbl_task4[[คะแนนเต็ม]:[คะแนนเต็ม]])*tbl_task4[[%]:[%]])</f>
        <v/>
      </c>
      <c r="HC9" s="121" t="str">
        <f>IF(ISBLANK(tbl_task4[[คะแนนเต็ม]:[คะแนนเต็ม]]),"",(tbl_task4[41]/tbl_task4[[คะแนนเต็ม]:[คะแนนเต็ม]])*tbl_task4[[%]:[%]])</f>
        <v/>
      </c>
      <c r="HD9" s="121" t="str">
        <f>IF(ISBLANK(tbl_task4[[คะแนนเต็ม]:[คะแนนเต็ม]]),"",(tbl_task4[42]/tbl_task4[[คะแนนเต็ม]:[คะแนนเต็ม]])*tbl_task4[[%]:[%]])</f>
        <v/>
      </c>
      <c r="HE9" s="121" t="str">
        <f>IF(ISBLANK(tbl_task4[[คะแนนเต็ม]:[คะแนนเต็ม]]),"",(tbl_task4[43]/tbl_task4[[คะแนนเต็ม]:[คะแนนเต็ม]])*tbl_task4[[%]:[%]])</f>
        <v/>
      </c>
      <c r="HF9" s="121" t="str">
        <f>IF(ISBLANK(tbl_task4[[คะแนนเต็ม]:[คะแนนเต็ม]]),"",(tbl_task4[44]/tbl_task4[[คะแนนเต็ม]:[คะแนนเต็ม]])*tbl_task4[[%]:[%]])</f>
        <v/>
      </c>
      <c r="HG9" s="121" t="str">
        <f>IF(ISBLANK(tbl_task4[[คะแนนเต็ม]:[คะแนนเต็ม]]),"",(tbl_task4[45]/tbl_task4[[คะแนนเต็ม]:[คะแนนเต็ม]])*tbl_task4[[%]:[%]])</f>
        <v/>
      </c>
      <c r="HH9" s="121" t="str">
        <f>IF(ISBLANK(tbl_task4[[คะแนนเต็ม]:[คะแนนเต็ม]]),"",(tbl_task4[46]/tbl_task4[[คะแนนเต็ม]:[คะแนนเต็ม]])*tbl_task4[[%]:[%]])</f>
        <v/>
      </c>
      <c r="HI9" s="121" t="str">
        <f>IF(ISBLANK(tbl_task4[[คะแนนเต็ม]:[คะแนนเต็ม]]),"",(tbl_task4[47]/tbl_task4[[คะแนนเต็ม]:[คะแนนเต็ม]])*tbl_task4[[%]:[%]])</f>
        <v/>
      </c>
      <c r="HJ9" s="121" t="str">
        <f>IF(ISBLANK(tbl_task4[[คะแนนเต็ม]:[คะแนนเต็ม]]),"",(tbl_task4[48]/tbl_task4[[คะแนนเต็ม]:[คะแนนเต็ม]])*tbl_task4[[%]:[%]])</f>
        <v/>
      </c>
      <c r="HK9" s="121" t="str">
        <f>IF(ISBLANK(tbl_task4[[คะแนนเต็ม]:[คะแนนเต็ม]]),"",(tbl_task4[49]/tbl_task4[[คะแนนเต็ม]:[คะแนนเต็ม]])*tbl_task4[[%]:[%]])</f>
        <v/>
      </c>
      <c r="HL9" s="121" t="str">
        <f>IF(ISBLANK(tbl_task4[[คะแนนเต็ม]:[คะแนนเต็ม]]),"",(tbl_task4[50]/tbl_task4[[คะแนนเต็ม]:[คะแนนเต็ม]])*tbl_task4[[%]:[%]])</f>
        <v/>
      </c>
      <c r="HM9" s="121" t="str">
        <f>IF(ISBLANK(tbl_task4[[คะแนนเต็ม]:[คะแนนเต็ม]]),"",(tbl_task4[51]/tbl_task4[[คะแนนเต็ม]:[คะแนนเต็ม]])*tbl_task4[[%]:[%]])</f>
        <v/>
      </c>
      <c r="HN9" s="121" t="str">
        <f>IF(ISBLANK(tbl_task4[[คะแนนเต็ม]:[คะแนนเต็ม]]),"",(tbl_task4[52]/tbl_task4[[คะแนนเต็ม]:[คะแนนเต็ม]])*tbl_task4[[%]:[%]])</f>
        <v/>
      </c>
      <c r="HO9" s="121" t="str">
        <f>IF(ISBLANK(tbl_task4[[คะแนนเต็ม]:[คะแนนเต็ม]]),"",(tbl_task4[53]/tbl_task4[[คะแนนเต็ม]:[คะแนนเต็ม]])*tbl_task4[[%]:[%]])</f>
        <v/>
      </c>
      <c r="HP9" s="121" t="str">
        <f>IF(ISBLANK(tbl_task4[[คะแนนเต็ม]:[คะแนนเต็ม]]),"",(tbl_task4[54]/tbl_task4[[คะแนนเต็ม]:[คะแนนเต็ม]])*tbl_task4[[%]:[%]])</f>
        <v/>
      </c>
      <c r="HQ9" s="121" t="str">
        <f>IF(ISBLANK(tbl_task4[[คะแนนเต็ม]:[คะแนนเต็ม]]),"",(tbl_task4[55]/tbl_task4[[คะแนนเต็ม]:[คะแนนเต็ม]])*tbl_task4[[%]:[%]])</f>
        <v/>
      </c>
      <c r="HR9" s="121" t="str">
        <f>IF(ISBLANK(tbl_task4[[คะแนนเต็ม]:[คะแนนเต็ม]]),"",(tbl_task4[56]/tbl_task4[[คะแนนเต็ม]:[คะแนนเต็ม]])*tbl_task4[[%]:[%]])</f>
        <v/>
      </c>
      <c r="HS9" s="121" t="str">
        <f>IF(ISBLANK(tbl_task4[[คะแนนเต็ม]:[คะแนนเต็ม]]),"",(tbl_task4[57]/tbl_task4[[คะแนนเต็ม]:[คะแนนเต็ม]])*tbl_task4[[%]:[%]])</f>
        <v/>
      </c>
      <c r="HT9" s="121" t="str">
        <f>IF(ISBLANK(tbl_task4[[คะแนนเต็ม]:[คะแนนเต็ม]]),"",(tbl_task4[58]/tbl_task4[[คะแนนเต็ม]:[คะแนนเต็ม]])*tbl_task4[[%]:[%]])</f>
        <v/>
      </c>
      <c r="HU9" s="121" t="str">
        <f>IF(ISBLANK(tbl_task4[[คะแนนเต็ม]:[คะแนนเต็ม]]),"",(tbl_task4[59]/tbl_task4[[คะแนนเต็ม]:[คะแนนเต็ม]])*tbl_task4[[%]:[%]])</f>
        <v/>
      </c>
      <c r="HV9" s="121" t="str">
        <f>IF(ISBLANK(tbl_task4[[คะแนนเต็ม]:[คะแนนเต็ม]]),"",(tbl_task4[60]/tbl_task4[[คะแนนเต็ม]:[คะแนนเต็ม]])*tbl_task4[[%]:[%]])</f>
        <v/>
      </c>
      <c r="HW9" s="121" t="str">
        <f>IF(ISBLANK(tbl_task4[[คะแนนเต็ม]:[คะแนนเต็ม]]),"",(tbl_task4[61]/tbl_task4[[คะแนนเต็ม]:[คะแนนเต็ม]])*tbl_task4[[%]:[%]])</f>
        <v/>
      </c>
      <c r="HX9" s="121" t="str">
        <f>IF(ISBLANK(tbl_task4[[คะแนนเต็ม]:[คะแนนเต็ม]]),"",(tbl_task4[62]/tbl_task4[[คะแนนเต็ม]:[คะแนนเต็ม]])*tbl_task4[[%]:[%]])</f>
        <v/>
      </c>
      <c r="HY9" s="121" t="str">
        <f>IF(ISBLANK(tbl_task4[[คะแนนเต็ม]:[คะแนนเต็ม]]),"",(tbl_task4[63]/tbl_task4[[คะแนนเต็ม]:[คะแนนเต็ม]])*tbl_task4[[%]:[%]])</f>
        <v/>
      </c>
      <c r="HZ9" s="121" t="str">
        <f>IF(ISBLANK(tbl_task4[[คะแนนเต็ม]:[คะแนนเต็ม]]),"",(tbl_task4[64]/tbl_task4[[คะแนนเต็ม]:[คะแนนเต็ม]])*tbl_task4[[%]:[%]])</f>
        <v/>
      </c>
      <c r="IA9" s="121" t="str">
        <f>IF(ISBLANK(tbl_task4[[คะแนนเต็ม]:[คะแนนเต็ม]]),"",(tbl_task4[65]/tbl_task4[[คะแนนเต็ม]:[คะแนนเต็ม]])*tbl_task4[[%]:[%]])</f>
        <v/>
      </c>
      <c r="IB9" s="121" t="str">
        <f>IF(ISBLANK(tbl_task4[[คะแนนเต็ม]:[คะแนนเต็ม]]),"",(tbl_task4[66]/tbl_task4[[คะแนนเต็ม]:[คะแนนเต็ม]])*tbl_task4[[%]:[%]])</f>
        <v/>
      </c>
      <c r="IC9" s="121" t="str">
        <f>IF(ISBLANK(tbl_task4[[คะแนนเต็ม]:[คะแนนเต็ม]]),"",(tbl_task4[67]/tbl_task4[[คะแนนเต็ม]:[คะแนนเต็ม]])*tbl_task4[[%]:[%]])</f>
        <v/>
      </c>
      <c r="ID9" s="121" t="str">
        <f>IF(ISBLANK(tbl_task4[[คะแนนเต็ม]:[คะแนนเต็ม]]),"",(tbl_task4[68]/tbl_task4[[คะแนนเต็ม]:[คะแนนเต็ม]])*tbl_task4[[%]:[%]])</f>
        <v/>
      </c>
      <c r="IE9" s="121" t="str">
        <f>IF(ISBLANK(tbl_task4[[คะแนนเต็ม]:[คะแนนเต็ม]]),"",(tbl_task4[69]/tbl_task4[[คะแนนเต็ม]:[คะแนนเต็ม]])*tbl_task4[[%]:[%]])</f>
        <v/>
      </c>
      <c r="IF9" s="121" t="str">
        <f>IF(ISBLANK(tbl_task4[[คะแนนเต็ม]:[คะแนนเต็ม]]),"",(tbl_task4[70]/tbl_task4[[คะแนนเต็ม]:[คะแนนเต็ม]])*tbl_task4[[%]:[%]])</f>
        <v/>
      </c>
      <c r="IG9" s="121" t="str">
        <f>IF(ISBLANK(tbl_task4[[คะแนนเต็ม]:[คะแนนเต็ม]]),"",(tbl_task4[71]/tbl_task4[[คะแนนเต็ม]:[คะแนนเต็ม]])*tbl_task4[[%]:[%]])</f>
        <v/>
      </c>
      <c r="IH9" s="121" t="str">
        <f>IF(ISBLANK(tbl_task4[[คะแนนเต็ม]:[คะแนนเต็ม]]),"",(tbl_task4[72]/tbl_task4[[คะแนนเต็ม]:[คะแนนเต็ม]])*tbl_task4[[%]:[%]])</f>
        <v/>
      </c>
      <c r="II9" s="121" t="str">
        <f>IF(ISBLANK(tbl_task4[[คะแนนเต็ม]:[คะแนนเต็ม]]),"",(tbl_task4[73]/tbl_task4[[คะแนนเต็ม]:[คะแนนเต็ม]])*tbl_task4[[%]:[%]])</f>
        <v/>
      </c>
      <c r="IJ9" s="121" t="str">
        <f>IF(ISBLANK(tbl_task4[[คะแนนเต็ม]:[คะแนนเต็ม]]),"",(tbl_task4[74]/tbl_task4[[คะแนนเต็ม]:[คะแนนเต็ม]])*tbl_task4[[%]:[%]])</f>
        <v/>
      </c>
      <c r="IK9" s="121" t="str">
        <f>IF(ISBLANK(tbl_task4[[คะแนนเต็ม]:[คะแนนเต็ม]]),"",(tbl_task4[75]/tbl_task4[[คะแนนเต็ม]:[คะแนนเต็ม]])*tbl_task4[[%]:[%]])</f>
        <v/>
      </c>
      <c r="IL9" s="121" t="str">
        <f>IF(ISBLANK(tbl_task4[[คะแนนเต็ม]:[คะแนนเต็ม]]),"",(tbl_task4[76]/tbl_task4[[คะแนนเต็ม]:[คะแนนเต็ม]])*tbl_task4[[%]:[%]])</f>
        <v/>
      </c>
      <c r="IM9" s="121" t="str">
        <f>IF(ISBLANK(tbl_task4[[คะแนนเต็ม]:[คะแนนเต็ม]]),"",(tbl_task4[77]/tbl_task4[[คะแนนเต็ม]:[คะแนนเต็ม]])*tbl_task4[[%]:[%]])</f>
        <v/>
      </c>
      <c r="IN9" s="121" t="str">
        <f>IF(ISBLANK(tbl_task4[[คะแนนเต็ม]:[คะแนนเต็ม]]),"",(tbl_task4[78]/tbl_task4[[คะแนนเต็ม]:[คะแนนเต็ม]])*tbl_task4[[%]:[%]])</f>
        <v/>
      </c>
      <c r="IO9" s="121" t="str">
        <f>IF(ISBLANK(tbl_task4[[คะแนนเต็ม]:[คะแนนเต็ม]]),"",(tbl_task4[79]/tbl_task4[[คะแนนเต็ม]:[คะแนนเต็ม]])*tbl_task4[[%]:[%]])</f>
        <v/>
      </c>
      <c r="IP9" s="121" t="str">
        <f>IF(ISBLANK(tbl_task4[[คะแนนเต็ม]:[คะแนนเต็ม]]),"",(tbl_task4[80]/tbl_task4[[คะแนนเต็ม]:[คะแนนเต็ม]])*tbl_task4[[%]:[%]])</f>
        <v/>
      </c>
      <c r="IQ9" s="121" t="str">
        <f>IF(ISBLANK(tbl_task4[[คะแนนเต็ม]:[คะแนนเต็ม]]),"",(tbl_task4[81]/tbl_task4[[คะแนนเต็ม]:[คะแนนเต็ม]])*tbl_task4[[%]:[%]])</f>
        <v/>
      </c>
      <c r="IR9" s="121" t="str">
        <f>IF(ISBLANK(tbl_task4[[คะแนนเต็ม]:[คะแนนเต็ม]]),"",(tbl_task4[82]/tbl_task4[[คะแนนเต็ม]:[คะแนนเต็ม]])*tbl_task4[[%]:[%]])</f>
        <v/>
      </c>
      <c r="IS9" s="121" t="str">
        <f>IF(ISBLANK(tbl_task4[[คะแนนเต็ม]:[คะแนนเต็ม]]),"",(tbl_task4[83]/tbl_task4[[คะแนนเต็ม]:[คะแนนเต็ม]])*tbl_task4[[%]:[%]])</f>
        <v/>
      </c>
      <c r="IT9" s="121" t="str">
        <f>IF(ISBLANK(tbl_task4[[คะแนนเต็ม]:[คะแนนเต็ม]]),"",(tbl_task4[84]/tbl_task4[[คะแนนเต็ม]:[คะแนนเต็ม]])*tbl_task4[[%]:[%]])</f>
        <v/>
      </c>
      <c r="IU9" s="121" t="str">
        <f>IF(ISBLANK(tbl_task4[[คะแนนเต็ม]:[คะแนนเต็ม]]),"",(tbl_task4[85]/tbl_task4[[คะแนนเต็ม]:[คะแนนเต็ม]])*tbl_task4[[%]:[%]])</f>
        <v/>
      </c>
      <c r="IV9" s="121" t="str">
        <f>IF(ISBLANK(tbl_task4[[คะแนนเต็ม]:[คะแนนเต็ม]]),"",(tbl_task4[86]/tbl_task4[[คะแนนเต็ม]:[คะแนนเต็ม]])*tbl_task4[[%]:[%]])</f>
        <v/>
      </c>
      <c r="IW9" s="121" t="str">
        <f>IF(ISBLANK(tbl_task4[[คะแนนเต็ม]:[คะแนนเต็ม]]),"",(tbl_task4[87]/tbl_task4[[คะแนนเต็ม]:[คะแนนเต็ม]])*tbl_task4[[%]:[%]])</f>
        <v/>
      </c>
      <c r="IX9" s="121" t="str">
        <f>IF(ISBLANK(tbl_task4[[คะแนนเต็ม]:[คะแนนเต็ม]]),"",(tbl_task4[88]/tbl_task4[[คะแนนเต็ม]:[คะแนนเต็ม]])*tbl_task4[[%]:[%]])</f>
        <v/>
      </c>
      <c r="IY9" s="121" t="str">
        <f>IF(ISBLANK(tbl_task4[[คะแนนเต็ม]:[คะแนนเต็ม]]),"",(tbl_task4[89]/tbl_task4[[คะแนนเต็ม]:[คะแนนเต็ม]])*tbl_task4[[%]:[%]])</f>
        <v/>
      </c>
      <c r="IZ9" s="121" t="str">
        <f>IF(ISBLANK(tbl_task4[[คะแนนเต็ม]:[คะแนนเต็ม]]),"",(tbl_task4[90]/tbl_task4[[คะแนนเต็ม]:[คะแนนเต็ม]])*tbl_task4[[%]:[%]])</f>
        <v/>
      </c>
      <c r="JA9" s="121" t="str">
        <f>IF(ISBLANK(tbl_task4[[คะแนนเต็ม]:[คะแนนเต็ม]]),"",(tbl_task4[91]/tbl_task4[[คะแนนเต็ม]:[คะแนนเต็ม]])*tbl_task4[[%]:[%]])</f>
        <v/>
      </c>
      <c r="JB9" s="121" t="str">
        <f>IF(ISBLANK(tbl_task4[[คะแนนเต็ม]:[คะแนนเต็ม]]),"",(tbl_task4[92]/tbl_task4[[คะแนนเต็ม]:[คะแนนเต็ม]])*tbl_task4[[%]:[%]])</f>
        <v/>
      </c>
      <c r="JC9" s="121" t="str">
        <f>IF(ISBLANK(tbl_task4[[คะแนนเต็ม]:[คะแนนเต็ม]]),"",(tbl_task4[93]/tbl_task4[[คะแนนเต็ม]:[คะแนนเต็ม]])*tbl_task4[[%]:[%]])</f>
        <v/>
      </c>
      <c r="JD9" s="121" t="str">
        <f>IF(ISBLANK(tbl_task4[[คะแนนเต็ม]:[คะแนนเต็ม]]),"",(tbl_task4[94]/tbl_task4[[คะแนนเต็ม]:[คะแนนเต็ม]])*tbl_task4[[%]:[%]])</f>
        <v/>
      </c>
      <c r="JE9" s="121" t="str">
        <f>IF(ISBLANK(tbl_task4[[คะแนนเต็ม]:[คะแนนเต็ม]]),"",(tbl_task4[95]/tbl_task4[[คะแนนเต็ม]:[คะแนนเต็ม]])*tbl_task4[[%]:[%]])</f>
        <v/>
      </c>
      <c r="JF9" s="121" t="str">
        <f>IF(ISBLANK(tbl_task4[[คะแนนเต็ม]:[คะแนนเต็ม]]),"",(tbl_task4[96]/tbl_task4[[คะแนนเต็ม]:[คะแนนเต็ม]])*tbl_task4[[%]:[%]])</f>
        <v/>
      </c>
      <c r="JG9" s="121" t="str">
        <f>IF(ISBLANK(tbl_task4[[คะแนนเต็ม]:[คะแนนเต็ม]]),"",(tbl_task4[97]/tbl_task4[[คะแนนเต็ม]:[คะแนนเต็ม]])*tbl_task4[[%]:[%]])</f>
        <v/>
      </c>
      <c r="JH9" s="121" t="str">
        <f>IF(ISBLANK(tbl_task4[[คะแนนเต็ม]:[คะแนนเต็ม]]),"",(tbl_task4[98]/tbl_task4[[คะแนนเต็ม]:[คะแนนเต็ม]])*tbl_task4[[%]:[%]])</f>
        <v/>
      </c>
      <c r="JI9" s="121" t="str">
        <f>IF(ISBLANK(tbl_task4[[คะแนนเต็ม]:[คะแนนเต็ม]]),"",(tbl_task4[99]/tbl_task4[[คะแนนเต็ม]:[คะแนนเต็ม]])*tbl_task4[[%]:[%]])</f>
        <v/>
      </c>
      <c r="JJ9" s="121" t="str">
        <f>IF(ISBLANK(tbl_task4[[คะแนนเต็ม]:[คะแนนเต็ม]]),"",(tbl_task4[100]/tbl_task4[[คะแนนเต็ม]:[คะแนนเต็ม]])*tbl_task4[[%]:[%]])</f>
        <v/>
      </c>
      <c r="JK9" s="121" t="str">
        <f>IF(ISBLANK(tbl_task4[[คะแนนเต็ม]:[คะแนนเต็ม]]),"",(tbl_task4[101]/tbl_task4[[คะแนนเต็ม]:[คะแนนเต็ม]])*tbl_task4[[%]:[%]])</f>
        <v/>
      </c>
      <c r="JL9" s="121" t="str">
        <f>IF(ISBLANK(tbl_task4[[คะแนนเต็ม]:[คะแนนเต็ม]]),"",(tbl_task4[102]/tbl_task4[[คะแนนเต็ม]:[คะแนนเต็ม]])*tbl_task4[[%]:[%]])</f>
        <v/>
      </c>
      <c r="JM9" s="121" t="str">
        <f>IF(ISBLANK(tbl_task4[[คะแนนเต็ม]:[คะแนนเต็ม]]),"",(tbl_task4[103]/tbl_task4[[คะแนนเต็ม]:[คะแนนเต็ม]])*tbl_task4[[%]:[%]])</f>
        <v/>
      </c>
      <c r="JN9" s="121" t="str">
        <f>IF(ISBLANK(tbl_task4[[คะแนนเต็ม]:[คะแนนเต็ม]]),"",(tbl_task4[104]/tbl_task4[[คะแนนเต็ม]:[คะแนนเต็ม]])*tbl_task4[[%]:[%]])</f>
        <v/>
      </c>
      <c r="JO9" s="121" t="str">
        <f>IF(ISBLANK(tbl_task4[[คะแนนเต็ม]:[คะแนนเต็ม]]),"",(tbl_task4[105]/tbl_task4[[คะแนนเต็ม]:[คะแนนเต็ม]])*tbl_task4[[%]:[%]])</f>
        <v/>
      </c>
      <c r="JP9" s="121" t="str">
        <f>IF(ISBLANK(tbl_task4[[คะแนนเต็ม]:[คะแนนเต็ม]]),"",(tbl_task4[106]/tbl_task4[[คะแนนเต็ม]:[คะแนนเต็ม]])*tbl_task4[[%]:[%]])</f>
        <v/>
      </c>
      <c r="JQ9" s="121" t="str">
        <f>IF(ISBLANK(tbl_task4[[คะแนนเต็ม]:[คะแนนเต็ม]]),"",(tbl_task4[107]/tbl_task4[[คะแนนเต็ม]:[คะแนนเต็ม]])*tbl_task4[[%]:[%]])</f>
        <v/>
      </c>
      <c r="JR9" s="121" t="str">
        <f>IF(ISBLANK(tbl_task4[[คะแนนเต็ม]:[คะแนนเต็ม]]),"",(tbl_task4[108]/tbl_task4[[คะแนนเต็ม]:[คะแนนเต็ม]])*tbl_task4[[%]:[%]])</f>
        <v/>
      </c>
      <c r="JS9" s="121" t="str">
        <f>IF(ISBLANK(tbl_task4[[คะแนนเต็ม]:[คะแนนเต็ม]]),"",(tbl_task4[109]/tbl_task4[[คะแนนเต็ม]:[คะแนนเต็ม]])*tbl_task4[[%]:[%]])</f>
        <v/>
      </c>
      <c r="JT9" s="121" t="str">
        <f>IF(ISBLANK(tbl_task4[[คะแนนเต็ม]:[คะแนนเต็ม]]),"",(tbl_task4[110]/tbl_task4[[คะแนนเต็ม]:[คะแนนเต็ม]])*tbl_task4[[%]:[%]])</f>
        <v/>
      </c>
      <c r="JU9" s="121" t="str">
        <f>IF(ISBLANK(tbl_task4[[คะแนนเต็ม]:[คะแนนเต็ม]]),"",(tbl_task4[111]/tbl_task4[[คะแนนเต็ม]:[คะแนนเต็ม]])*tbl_task4[[%]:[%]])</f>
        <v/>
      </c>
      <c r="JV9" s="121" t="str">
        <f>IF(ISBLANK(tbl_task4[[คะแนนเต็ม]:[คะแนนเต็ม]]),"",(tbl_task4[112]/tbl_task4[[คะแนนเต็ม]:[คะแนนเต็ม]])*tbl_task4[[%]:[%]])</f>
        <v/>
      </c>
      <c r="JW9" s="121" t="str">
        <f>IF(ISBLANK(tbl_task4[[คะแนนเต็ม]:[คะแนนเต็ม]]),"",(tbl_task4[113]/tbl_task4[[คะแนนเต็ม]:[คะแนนเต็ม]])*tbl_task4[[%]:[%]])</f>
        <v/>
      </c>
      <c r="JX9" s="121" t="str">
        <f>IF(ISBLANK(tbl_task4[[คะแนนเต็ม]:[คะแนนเต็ม]]),"",(tbl_task4[114]/tbl_task4[[คะแนนเต็ม]:[คะแนนเต็ม]])*tbl_task4[[%]:[%]])</f>
        <v/>
      </c>
      <c r="JY9" s="121" t="str">
        <f>IF(ISBLANK(tbl_task4[[คะแนนเต็ม]:[คะแนนเต็ม]]),"",(tbl_task4[115]/tbl_task4[[คะแนนเต็ม]:[คะแนนเต็ม]])*tbl_task4[[%]:[%]])</f>
        <v/>
      </c>
      <c r="JZ9" s="121" t="str">
        <f>IF(ISBLANK(tbl_task4[[คะแนนเต็ม]:[คะแนนเต็ม]]),"",(tbl_task4[116]/tbl_task4[[คะแนนเต็ม]:[คะแนนเต็ม]])*tbl_task4[[%]:[%]])</f>
        <v/>
      </c>
      <c r="KA9" s="121" t="str">
        <f>IF(ISBLANK(tbl_task4[[คะแนนเต็ม]:[คะแนนเต็ม]]),"",(tbl_task4[117]/tbl_task4[[คะแนนเต็ม]:[คะแนนเต็ม]])*tbl_task4[[%]:[%]])</f>
        <v/>
      </c>
      <c r="KB9" s="121" t="str">
        <f>IF(ISBLANK(tbl_task4[[คะแนนเต็ม]:[คะแนนเต็ม]]),"",(tbl_task4[118]/tbl_task4[[คะแนนเต็ม]:[คะแนนเต็ม]])*tbl_task4[[%]:[%]])</f>
        <v/>
      </c>
      <c r="KC9" s="121" t="str">
        <f>IF(ISBLANK(tbl_task4[[คะแนนเต็ม]:[คะแนนเต็ม]]),"",(tbl_task4[119]/tbl_task4[[คะแนนเต็ม]:[คะแนนเต็ม]])*tbl_task4[[%]:[%]])</f>
        <v/>
      </c>
      <c r="KD9" s="121" t="str">
        <f>IF(ISBLANK(tbl_task4[[คะแนนเต็ม]:[คะแนนเต็ม]]),"",(tbl_task4[120]/tbl_task4[[คะแนนเต็ม]:[คะแนนเต็ม]])*tbl_task4[[%]:[%]])</f>
        <v/>
      </c>
      <c r="KE9" s="121" t="str">
        <f>IF(ISBLANK(tbl_task4[[คะแนนเต็ม]:[คะแนนเต็ม]]),"",(tbl_task4[121]/tbl_task4[[คะแนนเต็ม]:[คะแนนเต็ม]])*tbl_task4[[%]:[%]])</f>
        <v/>
      </c>
      <c r="KF9" s="121" t="str">
        <f>IF(ISBLANK(tbl_task4[[คะแนนเต็ม]:[คะแนนเต็ม]]),"",(tbl_task4[122]/tbl_task4[[คะแนนเต็ม]:[คะแนนเต็ม]])*tbl_task4[[%]:[%]])</f>
        <v/>
      </c>
      <c r="KG9" s="121" t="str">
        <f>IF(ISBLANK(tbl_task4[[คะแนนเต็ม]:[คะแนนเต็ม]]),"",(tbl_task4[123]/tbl_task4[[คะแนนเต็ม]:[คะแนนเต็ม]])*tbl_task4[[%]:[%]])</f>
        <v/>
      </c>
      <c r="KH9" s="121" t="str">
        <f>IF(ISBLANK(tbl_task4[[คะแนนเต็ม]:[คะแนนเต็ม]]),"",(tbl_task4[124]/tbl_task4[[คะแนนเต็ม]:[คะแนนเต็ม]])*tbl_task4[[%]:[%]])</f>
        <v/>
      </c>
      <c r="KI9" s="121" t="str">
        <f>IF(ISBLANK(tbl_task4[[คะแนนเต็ม]:[คะแนนเต็ม]]),"",(tbl_task4[125]/tbl_task4[[คะแนนเต็ม]:[คะแนนเต็ม]])*tbl_task4[[%]:[%]])</f>
        <v/>
      </c>
      <c r="KJ9" s="121" t="str">
        <f>IF(ISBLANK(tbl_task4[[คะแนนเต็ม]:[คะแนนเต็ม]]),"",(tbl_task4[126]/tbl_task4[[คะแนนเต็ม]:[คะแนนเต็ม]])*tbl_task4[[%]:[%]])</f>
        <v/>
      </c>
      <c r="KK9" s="121" t="str">
        <f>IF(ISBLANK(tbl_task4[[คะแนนเต็ม]:[คะแนนเต็ม]]),"",(tbl_task4[127]/tbl_task4[[คะแนนเต็ม]:[คะแนนเต็ม]])*tbl_task4[[%]:[%]])</f>
        <v/>
      </c>
      <c r="KL9" s="121" t="str">
        <f>IF(ISBLANK(tbl_task4[[คะแนนเต็ม]:[คะแนนเต็ม]]),"",(tbl_task4[128]/tbl_task4[[คะแนนเต็ม]:[คะแนนเต็ม]])*tbl_task4[[%]:[%]])</f>
        <v/>
      </c>
      <c r="KM9" s="121" t="str">
        <f>IF(ISBLANK(tbl_task4[[คะแนนเต็ม]:[คะแนนเต็ม]]),"",(tbl_task4[129]/tbl_task4[[คะแนนเต็ม]:[คะแนนเต็ม]])*tbl_task4[[%]:[%]])</f>
        <v/>
      </c>
      <c r="KN9" s="121" t="str">
        <f>IF(ISBLANK(tbl_task4[[คะแนนเต็ม]:[คะแนนเต็ม]]),"",(tbl_task4[130]/tbl_task4[[คะแนนเต็ม]:[คะแนนเต็ม]])*tbl_task4[[%]:[%]])</f>
        <v/>
      </c>
      <c r="KO9" s="121" t="str">
        <f>IF(ISBLANK(tbl_task4[[คะแนนเต็ม]:[คะแนนเต็ม]]),"",(tbl_task4[131]/tbl_task4[[คะแนนเต็ม]:[คะแนนเต็ม]])*tbl_task4[[%]:[%]])</f>
        <v/>
      </c>
      <c r="KP9" s="121" t="str">
        <f>IF(ISBLANK(tbl_task4[[คะแนนเต็ม]:[คะแนนเต็ม]]),"",(tbl_task4[132]/tbl_task4[[คะแนนเต็ม]:[คะแนนเต็ม]])*tbl_task4[[%]:[%]])</f>
        <v/>
      </c>
      <c r="KQ9" s="121" t="str">
        <f>IF(ISBLANK(tbl_task4[[คะแนนเต็ม]:[คะแนนเต็ม]]),"",(tbl_task4[133]/tbl_task4[[คะแนนเต็ม]:[คะแนนเต็ม]])*tbl_task4[[%]:[%]])</f>
        <v/>
      </c>
      <c r="KR9" s="121" t="str">
        <f>IF(ISBLANK(tbl_task4[[คะแนนเต็ม]:[คะแนนเต็ม]]),"",(tbl_task4[134]/tbl_task4[[คะแนนเต็ม]:[คะแนนเต็ม]])*tbl_task4[[%]:[%]])</f>
        <v/>
      </c>
      <c r="KS9" s="121" t="str">
        <f>IF(ISBLANK(tbl_task4[[คะแนนเต็ม]:[คะแนนเต็ม]]),"",(tbl_task4[135]/tbl_task4[[คะแนนเต็ม]:[คะแนนเต็ม]])*tbl_task4[[%]:[%]])</f>
        <v/>
      </c>
      <c r="KT9" s="121" t="str">
        <f>IF(ISBLANK(tbl_task4[[คะแนนเต็ม]:[คะแนนเต็ม]]),"",(tbl_task4[136]/tbl_task4[[คะแนนเต็ม]:[คะแนนเต็ม]])*tbl_task4[[%]:[%]])</f>
        <v/>
      </c>
      <c r="KU9" s="121" t="str">
        <f>IF(ISBLANK(tbl_task4[[คะแนนเต็ม]:[คะแนนเต็ม]]),"",(tbl_task4[137]/tbl_task4[[คะแนนเต็ม]:[คะแนนเต็ม]])*tbl_task4[[%]:[%]])</f>
        <v/>
      </c>
      <c r="KV9" s="121" t="str">
        <f>IF(ISBLANK(tbl_task4[[คะแนนเต็ม]:[คะแนนเต็ม]]),"",(tbl_task4[138]/tbl_task4[[คะแนนเต็ม]:[คะแนนเต็ม]])*tbl_task4[[%]:[%]])</f>
        <v/>
      </c>
      <c r="KW9" s="121" t="str">
        <f>IF(ISBLANK(tbl_task4[[คะแนนเต็ม]:[คะแนนเต็ม]]),"",(tbl_task4[139]/tbl_task4[[คะแนนเต็ม]:[คะแนนเต็ม]])*tbl_task4[[%]:[%]])</f>
        <v/>
      </c>
      <c r="KX9" s="121" t="str">
        <f>IF(ISBLANK(tbl_task4[[คะแนนเต็ม]:[คะแนนเต็ม]]),"",(tbl_task4[140]/tbl_task4[[คะแนนเต็ม]:[คะแนนเต็ม]])*tbl_task4[[%]:[%]])</f>
        <v/>
      </c>
      <c r="KY9" s="121" t="str">
        <f>IF(ISBLANK(tbl_task4[[คะแนนเต็ม]:[คะแนนเต็ม]]),"",(tbl_task4[141]/tbl_task4[[คะแนนเต็ม]:[คะแนนเต็ม]])*tbl_task4[[%]:[%]])</f>
        <v/>
      </c>
      <c r="KZ9" s="121" t="str">
        <f>IF(ISBLANK(tbl_task4[[คะแนนเต็ม]:[คะแนนเต็ม]]),"",(tbl_task4[142]/tbl_task4[[คะแนนเต็ม]:[คะแนนเต็ม]])*tbl_task4[[%]:[%]])</f>
        <v/>
      </c>
      <c r="LA9" s="121" t="str">
        <f>IF(ISBLANK(tbl_task4[[คะแนนเต็ม]:[คะแนนเต็ม]]),"",(tbl_task4[143]/tbl_task4[[คะแนนเต็ม]:[คะแนนเต็ม]])*tbl_task4[[%]:[%]])</f>
        <v/>
      </c>
      <c r="LB9" s="121" t="str">
        <f>IF(ISBLANK(tbl_task4[[คะแนนเต็ม]:[คะแนนเต็ม]]),"",(tbl_task4[144]/tbl_task4[[คะแนนเต็ม]:[คะแนนเต็ม]])*tbl_task4[[%]:[%]])</f>
        <v/>
      </c>
      <c r="LC9" s="121" t="str">
        <f>IF(ISBLANK(tbl_task4[[คะแนนเต็ม]:[คะแนนเต็ม]]),"",(tbl_task4[145]/tbl_task4[[คะแนนเต็ม]:[คะแนนเต็ม]])*tbl_task4[[%]:[%]])</f>
        <v/>
      </c>
      <c r="LD9" s="121" t="str">
        <f>IF(ISBLANK(tbl_task4[[คะแนนเต็ม]:[คะแนนเต็ม]]),"",(tbl_task4[146]/tbl_task4[[คะแนนเต็ม]:[คะแนนเต็ม]])*tbl_task4[[%]:[%]])</f>
        <v/>
      </c>
      <c r="LE9" s="121" t="str">
        <f>IF(ISBLANK(tbl_task4[[คะแนนเต็ม]:[คะแนนเต็ม]]),"",(tbl_task4[147]/tbl_task4[[คะแนนเต็ม]:[คะแนนเต็ม]])*tbl_task4[[%]:[%]])</f>
        <v/>
      </c>
      <c r="LF9" s="121" t="str">
        <f>IF(ISBLANK(tbl_task4[[คะแนนเต็ม]:[คะแนนเต็ม]]),"",(tbl_task4[148]/tbl_task4[[คะแนนเต็ม]:[คะแนนเต็ม]])*tbl_task4[[%]:[%]])</f>
        <v/>
      </c>
      <c r="LG9" s="121" t="str">
        <f>IF(ISBLANK(tbl_task4[[คะแนนเต็ม]:[คะแนนเต็ม]]),"",(tbl_task4[149]/tbl_task4[[คะแนนเต็ม]:[คะแนนเต็ม]])*tbl_task4[[%]:[%]])</f>
        <v/>
      </c>
      <c r="LH9" s="121" t="str">
        <f>IF(ISBLANK(tbl_task4[[คะแนนเต็ม]:[คะแนนเต็ม]]),"",(tbl_task4[150]/tbl_task4[[คะแนนเต็ม]:[คะแนนเต็ม]])*tbl_task4[[%]:[%]])</f>
        <v/>
      </c>
      <c r="LI9" s="121" t="str">
        <f>IF(ISBLANK(tbl_task4[[คะแนนเต็ม]:[คะแนนเต็ม]]),"",(tbl_task4[151]/tbl_task4[[คะแนนเต็ม]:[คะแนนเต็ม]])*tbl_task4[[%]:[%]])</f>
        <v/>
      </c>
      <c r="LJ9" s="121" t="str">
        <f>IF(ISBLANK(tbl_task4[[คะแนนเต็ม]:[คะแนนเต็ม]]),"",(tbl_task4[152]/tbl_task4[[คะแนนเต็ม]:[คะแนนเต็ม]])*tbl_task4[[%]:[%]])</f>
        <v/>
      </c>
      <c r="LK9" s="121" t="str">
        <f>IF(ISBLANK(tbl_task4[[คะแนนเต็ม]:[คะแนนเต็ม]]),"",(tbl_task4[153]/tbl_task4[[คะแนนเต็ม]:[คะแนนเต็ม]])*tbl_task4[[%]:[%]])</f>
        <v/>
      </c>
      <c r="LL9" s="121" t="str">
        <f>IF(ISBLANK(tbl_task4[[คะแนนเต็ม]:[คะแนนเต็ม]]),"",(tbl_task4[154]/tbl_task4[[คะแนนเต็ม]:[คะแนนเต็ม]])*tbl_task4[[%]:[%]])</f>
        <v/>
      </c>
      <c r="LM9" s="121" t="str">
        <f>IF(ISBLANK(tbl_task4[[คะแนนเต็ม]:[คะแนนเต็ม]]),"",(tbl_task4[155]/tbl_task4[[คะแนนเต็ม]:[คะแนนเต็ม]])*tbl_task4[[%]:[%]])</f>
        <v/>
      </c>
      <c r="LN9" s="121" t="str">
        <f>IF(ISBLANK(tbl_task4[[คะแนนเต็ม]:[คะแนนเต็ม]]),"",(tbl_task4[156]/tbl_task4[[คะแนนเต็ม]:[คะแนนเต็ม]])*tbl_task4[[%]:[%]])</f>
        <v/>
      </c>
      <c r="LO9" s="121" t="str">
        <f>IF(ISBLANK(tbl_task4[[คะแนนเต็ม]:[คะแนนเต็ม]]),"",(tbl_task4[157]/tbl_task4[[คะแนนเต็ม]:[คะแนนเต็ม]])*tbl_task4[[%]:[%]])</f>
        <v/>
      </c>
      <c r="LP9" s="121" t="str">
        <f>IF(ISBLANK(tbl_task4[[คะแนนเต็ม]:[คะแนนเต็ม]]),"",(tbl_task4[158]/tbl_task4[[คะแนนเต็ม]:[คะแนนเต็ม]])*tbl_task4[[%]:[%]])</f>
        <v/>
      </c>
      <c r="LQ9" s="121" t="str">
        <f>IF(ISBLANK(tbl_task4[[คะแนนเต็ม]:[คะแนนเต็ม]]),"",(tbl_task4[159]/tbl_task4[[คะแนนเต็ม]:[คะแนนเต็ม]])*tbl_task4[[%]:[%]])</f>
        <v/>
      </c>
      <c r="LR9" s="121" t="str">
        <f>IF(ISBLANK(tbl_task4[[คะแนนเต็ม]:[คะแนนเต็ม]]),"",(tbl_task4[160]/tbl_task4[[คะแนนเต็ม]:[คะแนนเต็ม]])*tbl_task4[[%]:[%]])</f>
        <v/>
      </c>
      <c r="LS9" s="121" t="str">
        <f>IF(ISBLANK(tbl_task4[[คะแนนเต็ม]:[คะแนนเต็ม]]),"",(tbl_task4[161]/tbl_task4[[คะแนนเต็ม]:[คะแนนเต็ม]])*tbl_task4[[%]:[%]])</f>
        <v/>
      </c>
      <c r="LT9" s="121" t="str">
        <f>IF(ISBLANK(tbl_task4[[คะแนนเต็ม]:[คะแนนเต็ม]]),"",(tbl_task4[162]/tbl_task4[[คะแนนเต็ม]:[คะแนนเต็ม]])*tbl_task4[[%]:[%]])</f>
        <v/>
      </c>
      <c r="LU9" s="121" t="str">
        <f>IF(ISBLANK(tbl_task4[[คะแนนเต็ม]:[คะแนนเต็ม]]),"",(tbl_task4[163]/tbl_task4[[คะแนนเต็ม]:[คะแนนเต็ม]])*tbl_task4[[%]:[%]])</f>
        <v/>
      </c>
      <c r="LV9" s="121" t="str">
        <f>IF(ISBLANK(tbl_task4[[คะแนนเต็ม]:[คะแนนเต็ม]]),"",(tbl_task4[164]/tbl_task4[[คะแนนเต็ม]:[คะแนนเต็ม]])*tbl_task4[[%]:[%]])</f>
        <v/>
      </c>
      <c r="LW9" s="121" t="str">
        <f>IF(ISBLANK(tbl_task4[[คะแนนเต็ม]:[คะแนนเต็ม]]),"",(tbl_task4[165]/tbl_task4[[คะแนนเต็ม]:[คะแนนเต็ม]])*tbl_task4[[%]:[%]])</f>
        <v/>
      </c>
    </row>
    <row r="10" spans="1:335" ht="24" customHeight="1" x14ac:dyDescent="0.25">
      <c r="A10" s="24">
        <v>7</v>
      </c>
      <c r="B10" s="20"/>
      <c r="C10" s="5" t="str">
        <f>IF(ISBLANK(B10),"",VLOOKUP(B10,tbl_PLOs[],2,0))</f>
        <v/>
      </c>
      <c r="D10" s="102"/>
      <c r="E10" s="106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22"/>
      <c r="FO10" s="121" t="str">
        <f>IF(ISBLANK(tbl_task4[[คะแนนเต็ม]:[คะแนนเต็ม]]),"",(tbl_task4[1]/tbl_task4[[คะแนนเต็ม]:[คะแนนเต็ม]])*tbl_task4[[%]:[%]])</f>
        <v/>
      </c>
      <c r="FP10" s="121" t="str">
        <f>IF(ISBLANK(tbl_task4[[คะแนนเต็ม]:[คะแนนเต็ม]]),"",(tbl_task4[2]/tbl_task4[[คะแนนเต็ม]:[คะแนนเต็ม]])*tbl_task4[[%]:[%]])</f>
        <v/>
      </c>
      <c r="FQ10" s="121" t="str">
        <f>IF(ISBLANK(tbl_task4[[คะแนนเต็ม]:[คะแนนเต็ม]]),"",(tbl_task4[3]/tbl_task4[[คะแนนเต็ม]:[คะแนนเต็ม]])*tbl_task4[[%]:[%]])</f>
        <v/>
      </c>
      <c r="FR10" s="121" t="str">
        <f>IF(ISBLANK(tbl_task4[[คะแนนเต็ม]:[คะแนนเต็ม]]),"",(tbl_task4[4]/tbl_task4[[คะแนนเต็ม]:[คะแนนเต็ม]])*tbl_task4[[%]:[%]])</f>
        <v/>
      </c>
      <c r="FS10" s="121" t="str">
        <f>IF(ISBLANK(tbl_task4[[คะแนนเต็ม]:[คะแนนเต็ม]]),"",(tbl_task4[5]/tbl_task4[[คะแนนเต็ม]:[คะแนนเต็ม]])*tbl_task4[[%]:[%]])</f>
        <v/>
      </c>
      <c r="FT10" s="121" t="str">
        <f>IF(ISBLANK(tbl_task4[[คะแนนเต็ม]:[คะแนนเต็ม]]),"",(tbl_task4[6]/tbl_task4[[คะแนนเต็ม]:[คะแนนเต็ม]])*tbl_task4[[%]:[%]])</f>
        <v/>
      </c>
      <c r="FU10" s="121" t="str">
        <f>IF(ISBLANK(tbl_task4[[คะแนนเต็ม]:[คะแนนเต็ม]]),"",(tbl_task4[7]/tbl_task4[[คะแนนเต็ม]:[คะแนนเต็ม]])*tbl_task4[[%]:[%]])</f>
        <v/>
      </c>
      <c r="FV10" s="121" t="str">
        <f>IF(ISBLANK(tbl_task4[[คะแนนเต็ม]:[คะแนนเต็ม]]),"",(tbl_task4[8]/tbl_task4[[คะแนนเต็ม]:[คะแนนเต็ม]])*tbl_task4[[%]:[%]])</f>
        <v/>
      </c>
      <c r="FW10" s="121" t="str">
        <f>IF(ISBLANK(tbl_task4[[คะแนนเต็ม]:[คะแนนเต็ม]]),"",(tbl_task4[9]/tbl_task4[[คะแนนเต็ม]:[คะแนนเต็ม]])*tbl_task4[[%]:[%]])</f>
        <v/>
      </c>
      <c r="FX10" s="121" t="str">
        <f>IF(ISBLANK(tbl_task4[[คะแนนเต็ม]:[คะแนนเต็ม]]),"",(tbl_task4[10]/tbl_task4[[คะแนนเต็ม]:[คะแนนเต็ม]])*tbl_task4[[%]:[%]])</f>
        <v/>
      </c>
      <c r="FY10" s="121" t="str">
        <f>IF(ISBLANK(tbl_task4[[คะแนนเต็ม]:[คะแนนเต็ม]]),"",(tbl_task4[11]/tbl_task4[[คะแนนเต็ม]:[คะแนนเต็ม]])*tbl_task4[[%]:[%]])</f>
        <v/>
      </c>
      <c r="FZ10" s="121" t="str">
        <f>IF(ISBLANK(tbl_task4[[คะแนนเต็ม]:[คะแนนเต็ม]]),"",(tbl_task4[12]/tbl_task4[[คะแนนเต็ม]:[คะแนนเต็ม]])*tbl_task4[[%]:[%]])</f>
        <v/>
      </c>
      <c r="GA10" s="121" t="str">
        <f>IF(ISBLANK(tbl_task4[[คะแนนเต็ม]:[คะแนนเต็ม]]),"",(tbl_task4[13]/tbl_task4[[คะแนนเต็ม]:[คะแนนเต็ม]])*tbl_task4[[%]:[%]])</f>
        <v/>
      </c>
      <c r="GB10" s="121" t="str">
        <f>IF(ISBLANK(tbl_task4[[คะแนนเต็ม]:[คะแนนเต็ม]]),"",(tbl_task4[14]/tbl_task4[[คะแนนเต็ม]:[คะแนนเต็ม]])*tbl_task4[[%]:[%]])</f>
        <v/>
      </c>
      <c r="GC10" s="121" t="str">
        <f>IF(ISBLANK(tbl_task4[[คะแนนเต็ม]:[คะแนนเต็ม]]),"",(tbl_task4[15]/tbl_task4[[คะแนนเต็ม]:[คะแนนเต็ม]])*tbl_task4[[%]:[%]])</f>
        <v/>
      </c>
      <c r="GD10" s="121" t="str">
        <f>IF(ISBLANK(tbl_task4[[คะแนนเต็ม]:[คะแนนเต็ม]]),"",(tbl_task4[16]/tbl_task4[[คะแนนเต็ม]:[คะแนนเต็ม]])*tbl_task4[[%]:[%]])</f>
        <v/>
      </c>
      <c r="GE10" s="121" t="str">
        <f>IF(ISBLANK(tbl_task4[[คะแนนเต็ม]:[คะแนนเต็ม]]),"",(tbl_task4[17]/tbl_task4[[คะแนนเต็ม]:[คะแนนเต็ม]])*tbl_task4[[%]:[%]])</f>
        <v/>
      </c>
      <c r="GF10" s="121" t="str">
        <f>IF(ISBLANK(tbl_task4[[คะแนนเต็ม]:[คะแนนเต็ม]]),"",(tbl_task4[18]/tbl_task4[[คะแนนเต็ม]:[คะแนนเต็ม]])*tbl_task4[[%]:[%]])</f>
        <v/>
      </c>
      <c r="GG10" s="121" t="str">
        <f>IF(ISBLANK(tbl_task4[[คะแนนเต็ม]:[คะแนนเต็ม]]),"",(tbl_task4[19]/tbl_task4[[คะแนนเต็ม]:[คะแนนเต็ม]])*tbl_task4[[%]:[%]])</f>
        <v/>
      </c>
      <c r="GH10" s="121" t="str">
        <f>IF(ISBLANK(tbl_task4[[คะแนนเต็ม]:[คะแนนเต็ม]]),"",(tbl_task4[20]/tbl_task4[[คะแนนเต็ม]:[คะแนนเต็ม]])*tbl_task4[[%]:[%]])</f>
        <v/>
      </c>
      <c r="GI10" s="121" t="str">
        <f>IF(ISBLANK(tbl_task4[[คะแนนเต็ม]:[คะแนนเต็ม]]),"",(tbl_task4[21]/tbl_task4[[คะแนนเต็ม]:[คะแนนเต็ม]])*tbl_task4[[%]:[%]])</f>
        <v/>
      </c>
      <c r="GJ10" s="121" t="str">
        <f>IF(ISBLANK(tbl_task4[[คะแนนเต็ม]:[คะแนนเต็ม]]),"",(tbl_task4[22]/tbl_task4[[คะแนนเต็ม]:[คะแนนเต็ม]])*tbl_task4[[%]:[%]])</f>
        <v/>
      </c>
      <c r="GK10" s="121" t="str">
        <f>IF(ISBLANK(tbl_task4[[คะแนนเต็ม]:[คะแนนเต็ม]]),"",(tbl_task4[23]/tbl_task4[[คะแนนเต็ม]:[คะแนนเต็ม]])*tbl_task4[[%]:[%]])</f>
        <v/>
      </c>
      <c r="GL10" s="121" t="str">
        <f>IF(ISBLANK(tbl_task4[[คะแนนเต็ม]:[คะแนนเต็ม]]),"",(tbl_task4[24]/tbl_task4[[คะแนนเต็ม]:[คะแนนเต็ม]])*tbl_task4[[%]:[%]])</f>
        <v/>
      </c>
      <c r="GM10" s="121" t="str">
        <f>IF(ISBLANK(tbl_task4[[คะแนนเต็ม]:[คะแนนเต็ม]]),"",(tbl_task4[25]/tbl_task4[[คะแนนเต็ม]:[คะแนนเต็ม]])*tbl_task4[[%]:[%]])</f>
        <v/>
      </c>
      <c r="GN10" s="121" t="str">
        <f>IF(ISBLANK(tbl_task4[[คะแนนเต็ม]:[คะแนนเต็ม]]),"",(tbl_task4[26]/tbl_task4[[คะแนนเต็ม]:[คะแนนเต็ม]])*tbl_task4[[%]:[%]])</f>
        <v/>
      </c>
      <c r="GO10" s="121" t="str">
        <f>IF(ISBLANK(tbl_task4[[คะแนนเต็ม]:[คะแนนเต็ม]]),"",(tbl_task4[27]/tbl_task4[[คะแนนเต็ม]:[คะแนนเต็ม]])*tbl_task4[[%]:[%]])</f>
        <v/>
      </c>
      <c r="GP10" s="121" t="str">
        <f>IF(ISBLANK(tbl_task4[[คะแนนเต็ม]:[คะแนนเต็ม]]),"",(tbl_task4[28]/tbl_task4[[คะแนนเต็ม]:[คะแนนเต็ม]])*tbl_task4[[%]:[%]])</f>
        <v/>
      </c>
      <c r="GQ10" s="121" t="str">
        <f>IF(ISBLANK(tbl_task4[[คะแนนเต็ม]:[คะแนนเต็ม]]),"",(tbl_task4[29]/tbl_task4[[คะแนนเต็ม]:[คะแนนเต็ม]])*tbl_task4[[%]:[%]])</f>
        <v/>
      </c>
      <c r="GR10" s="121" t="str">
        <f>IF(ISBLANK(tbl_task4[[คะแนนเต็ม]:[คะแนนเต็ม]]),"",(tbl_task4[30]/tbl_task4[[คะแนนเต็ม]:[คะแนนเต็ม]])*tbl_task4[[%]:[%]])</f>
        <v/>
      </c>
      <c r="GS10" s="121" t="str">
        <f>IF(ISBLANK(tbl_task4[[คะแนนเต็ม]:[คะแนนเต็ม]]),"",(tbl_task4[31]/tbl_task4[[คะแนนเต็ม]:[คะแนนเต็ม]])*tbl_task4[[%]:[%]])</f>
        <v/>
      </c>
      <c r="GT10" s="121" t="str">
        <f>IF(ISBLANK(tbl_task4[[คะแนนเต็ม]:[คะแนนเต็ม]]),"",(tbl_task4[32]/tbl_task4[[คะแนนเต็ม]:[คะแนนเต็ม]])*tbl_task4[[%]:[%]])</f>
        <v/>
      </c>
      <c r="GU10" s="121" t="str">
        <f>IF(ISBLANK(tbl_task4[[คะแนนเต็ม]:[คะแนนเต็ม]]),"",(tbl_task4[33]/tbl_task4[[คะแนนเต็ม]:[คะแนนเต็ม]])*tbl_task4[[%]:[%]])</f>
        <v/>
      </c>
      <c r="GV10" s="121" t="str">
        <f>IF(ISBLANK(tbl_task4[[คะแนนเต็ม]:[คะแนนเต็ม]]),"",(tbl_task4[34]/tbl_task4[[คะแนนเต็ม]:[คะแนนเต็ม]])*tbl_task4[[%]:[%]])</f>
        <v/>
      </c>
      <c r="GW10" s="121" t="str">
        <f>IF(ISBLANK(tbl_task4[[คะแนนเต็ม]:[คะแนนเต็ม]]),"",(tbl_task4[35]/tbl_task4[[คะแนนเต็ม]:[คะแนนเต็ม]])*tbl_task4[[%]:[%]])</f>
        <v/>
      </c>
      <c r="GX10" s="121" t="str">
        <f>IF(ISBLANK(tbl_task4[[คะแนนเต็ม]:[คะแนนเต็ม]]),"",(tbl_task4[36]/tbl_task4[[คะแนนเต็ม]:[คะแนนเต็ม]])*tbl_task4[[%]:[%]])</f>
        <v/>
      </c>
      <c r="GY10" s="121" t="str">
        <f>IF(ISBLANK(tbl_task4[[คะแนนเต็ม]:[คะแนนเต็ม]]),"",(tbl_task4[37]/tbl_task4[[คะแนนเต็ม]:[คะแนนเต็ม]])*tbl_task4[[%]:[%]])</f>
        <v/>
      </c>
      <c r="GZ10" s="121" t="str">
        <f>IF(ISBLANK(tbl_task4[[คะแนนเต็ม]:[คะแนนเต็ม]]),"",(tbl_task4[38]/tbl_task4[[คะแนนเต็ม]:[คะแนนเต็ม]])*tbl_task4[[%]:[%]])</f>
        <v/>
      </c>
      <c r="HA10" s="121" t="str">
        <f>IF(ISBLANK(tbl_task4[[คะแนนเต็ม]:[คะแนนเต็ม]]),"",(tbl_task4[39]/tbl_task4[[คะแนนเต็ม]:[คะแนนเต็ม]])*tbl_task4[[%]:[%]])</f>
        <v/>
      </c>
      <c r="HB10" s="121" t="str">
        <f>IF(ISBLANK(tbl_task4[[คะแนนเต็ม]:[คะแนนเต็ม]]),"",(tbl_task4[40]/tbl_task4[[คะแนนเต็ม]:[คะแนนเต็ม]])*tbl_task4[[%]:[%]])</f>
        <v/>
      </c>
      <c r="HC10" s="121" t="str">
        <f>IF(ISBLANK(tbl_task4[[คะแนนเต็ม]:[คะแนนเต็ม]]),"",(tbl_task4[41]/tbl_task4[[คะแนนเต็ม]:[คะแนนเต็ม]])*tbl_task4[[%]:[%]])</f>
        <v/>
      </c>
      <c r="HD10" s="121" t="str">
        <f>IF(ISBLANK(tbl_task4[[คะแนนเต็ม]:[คะแนนเต็ม]]),"",(tbl_task4[42]/tbl_task4[[คะแนนเต็ม]:[คะแนนเต็ม]])*tbl_task4[[%]:[%]])</f>
        <v/>
      </c>
      <c r="HE10" s="121" t="str">
        <f>IF(ISBLANK(tbl_task4[[คะแนนเต็ม]:[คะแนนเต็ม]]),"",(tbl_task4[43]/tbl_task4[[คะแนนเต็ม]:[คะแนนเต็ม]])*tbl_task4[[%]:[%]])</f>
        <v/>
      </c>
      <c r="HF10" s="121" t="str">
        <f>IF(ISBLANK(tbl_task4[[คะแนนเต็ม]:[คะแนนเต็ม]]),"",(tbl_task4[44]/tbl_task4[[คะแนนเต็ม]:[คะแนนเต็ม]])*tbl_task4[[%]:[%]])</f>
        <v/>
      </c>
      <c r="HG10" s="121" t="str">
        <f>IF(ISBLANK(tbl_task4[[คะแนนเต็ม]:[คะแนนเต็ม]]),"",(tbl_task4[45]/tbl_task4[[คะแนนเต็ม]:[คะแนนเต็ม]])*tbl_task4[[%]:[%]])</f>
        <v/>
      </c>
      <c r="HH10" s="121" t="str">
        <f>IF(ISBLANK(tbl_task4[[คะแนนเต็ม]:[คะแนนเต็ม]]),"",(tbl_task4[46]/tbl_task4[[คะแนนเต็ม]:[คะแนนเต็ม]])*tbl_task4[[%]:[%]])</f>
        <v/>
      </c>
      <c r="HI10" s="121" t="str">
        <f>IF(ISBLANK(tbl_task4[[คะแนนเต็ม]:[คะแนนเต็ม]]),"",(tbl_task4[47]/tbl_task4[[คะแนนเต็ม]:[คะแนนเต็ม]])*tbl_task4[[%]:[%]])</f>
        <v/>
      </c>
      <c r="HJ10" s="121" t="str">
        <f>IF(ISBLANK(tbl_task4[[คะแนนเต็ม]:[คะแนนเต็ม]]),"",(tbl_task4[48]/tbl_task4[[คะแนนเต็ม]:[คะแนนเต็ม]])*tbl_task4[[%]:[%]])</f>
        <v/>
      </c>
      <c r="HK10" s="121" t="str">
        <f>IF(ISBLANK(tbl_task4[[คะแนนเต็ม]:[คะแนนเต็ม]]),"",(tbl_task4[49]/tbl_task4[[คะแนนเต็ม]:[คะแนนเต็ม]])*tbl_task4[[%]:[%]])</f>
        <v/>
      </c>
      <c r="HL10" s="121" t="str">
        <f>IF(ISBLANK(tbl_task4[[คะแนนเต็ม]:[คะแนนเต็ม]]),"",(tbl_task4[50]/tbl_task4[[คะแนนเต็ม]:[คะแนนเต็ม]])*tbl_task4[[%]:[%]])</f>
        <v/>
      </c>
      <c r="HM10" s="121" t="str">
        <f>IF(ISBLANK(tbl_task4[[คะแนนเต็ม]:[คะแนนเต็ม]]),"",(tbl_task4[51]/tbl_task4[[คะแนนเต็ม]:[คะแนนเต็ม]])*tbl_task4[[%]:[%]])</f>
        <v/>
      </c>
      <c r="HN10" s="121" t="str">
        <f>IF(ISBLANK(tbl_task4[[คะแนนเต็ม]:[คะแนนเต็ม]]),"",(tbl_task4[52]/tbl_task4[[คะแนนเต็ม]:[คะแนนเต็ม]])*tbl_task4[[%]:[%]])</f>
        <v/>
      </c>
      <c r="HO10" s="121" t="str">
        <f>IF(ISBLANK(tbl_task4[[คะแนนเต็ม]:[คะแนนเต็ม]]),"",(tbl_task4[53]/tbl_task4[[คะแนนเต็ม]:[คะแนนเต็ม]])*tbl_task4[[%]:[%]])</f>
        <v/>
      </c>
      <c r="HP10" s="121" t="str">
        <f>IF(ISBLANK(tbl_task4[[คะแนนเต็ม]:[คะแนนเต็ม]]),"",(tbl_task4[54]/tbl_task4[[คะแนนเต็ม]:[คะแนนเต็ม]])*tbl_task4[[%]:[%]])</f>
        <v/>
      </c>
      <c r="HQ10" s="121" t="str">
        <f>IF(ISBLANK(tbl_task4[[คะแนนเต็ม]:[คะแนนเต็ม]]),"",(tbl_task4[55]/tbl_task4[[คะแนนเต็ม]:[คะแนนเต็ม]])*tbl_task4[[%]:[%]])</f>
        <v/>
      </c>
      <c r="HR10" s="121" t="str">
        <f>IF(ISBLANK(tbl_task4[[คะแนนเต็ม]:[คะแนนเต็ม]]),"",(tbl_task4[56]/tbl_task4[[คะแนนเต็ม]:[คะแนนเต็ม]])*tbl_task4[[%]:[%]])</f>
        <v/>
      </c>
      <c r="HS10" s="121" t="str">
        <f>IF(ISBLANK(tbl_task4[[คะแนนเต็ม]:[คะแนนเต็ม]]),"",(tbl_task4[57]/tbl_task4[[คะแนนเต็ม]:[คะแนนเต็ม]])*tbl_task4[[%]:[%]])</f>
        <v/>
      </c>
      <c r="HT10" s="121" t="str">
        <f>IF(ISBLANK(tbl_task4[[คะแนนเต็ม]:[คะแนนเต็ม]]),"",(tbl_task4[58]/tbl_task4[[คะแนนเต็ม]:[คะแนนเต็ม]])*tbl_task4[[%]:[%]])</f>
        <v/>
      </c>
      <c r="HU10" s="121" t="str">
        <f>IF(ISBLANK(tbl_task4[[คะแนนเต็ม]:[คะแนนเต็ม]]),"",(tbl_task4[59]/tbl_task4[[คะแนนเต็ม]:[คะแนนเต็ม]])*tbl_task4[[%]:[%]])</f>
        <v/>
      </c>
      <c r="HV10" s="121" t="str">
        <f>IF(ISBLANK(tbl_task4[[คะแนนเต็ม]:[คะแนนเต็ม]]),"",(tbl_task4[60]/tbl_task4[[คะแนนเต็ม]:[คะแนนเต็ม]])*tbl_task4[[%]:[%]])</f>
        <v/>
      </c>
      <c r="HW10" s="121" t="str">
        <f>IF(ISBLANK(tbl_task4[[คะแนนเต็ม]:[คะแนนเต็ม]]),"",(tbl_task4[61]/tbl_task4[[คะแนนเต็ม]:[คะแนนเต็ม]])*tbl_task4[[%]:[%]])</f>
        <v/>
      </c>
      <c r="HX10" s="121" t="str">
        <f>IF(ISBLANK(tbl_task4[[คะแนนเต็ม]:[คะแนนเต็ม]]),"",(tbl_task4[62]/tbl_task4[[คะแนนเต็ม]:[คะแนนเต็ม]])*tbl_task4[[%]:[%]])</f>
        <v/>
      </c>
      <c r="HY10" s="121" t="str">
        <f>IF(ISBLANK(tbl_task4[[คะแนนเต็ม]:[คะแนนเต็ม]]),"",(tbl_task4[63]/tbl_task4[[คะแนนเต็ม]:[คะแนนเต็ม]])*tbl_task4[[%]:[%]])</f>
        <v/>
      </c>
      <c r="HZ10" s="121" t="str">
        <f>IF(ISBLANK(tbl_task4[[คะแนนเต็ม]:[คะแนนเต็ม]]),"",(tbl_task4[64]/tbl_task4[[คะแนนเต็ม]:[คะแนนเต็ม]])*tbl_task4[[%]:[%]])</f>
        <v/>
      </c>
      <c r="IA10" s="121" t="str">
        <f>IF(ISBLANK(tbl_task4[[คะแนนเต็ม]:[คะแนนเต็ม]]),"",(tbl_task4[65]/tbl_task4[[คะแนนเต็ม]:[คะแนนเต็ม]])*tbl_task4[[%]:[%]])</f>
        <v/>
      </c>
      <c r="IB10" s="121" t="str">
        <f>IF(ISBLANK(tbl_task4[[คะแนนเต็ม]:[คะแนนเต็ม]]),"",(tbl_task4[66]/tbl_task4[[คะแนนเต็ม]:[คะแนนเต็ม]])*tbl_task4[[%]:[%]])</f>
        <v/>
      </c>
      <c r="IC10" s="121" t="str">
        <f>IF(ISBLANK(tbl_task4[[คะแนนเต็ม]:[คะแนนเต็ม]]),"",(tbl_task4[67]/tbl_task4[[คะแนนเต็ม]:[คะแนนเต็ม]])*tbl_task4[[%]:[%]])</f>
        <v/>
      </c>
      <c r="ID10" s="121" t="str">
        <f>IF(ISBLANK(tbl_task4[[คะแนนเต็ม]:[คะแนนเต็ม]]),"",(tbl_task4[68]/tbl_task4[[คะแนนเต็ม]:[คะแนนเต็ม]])*tbl_task4[[%]:[%]])</f>
        <v/>
      </c>
      <c r="IE10" s="121" t="str">
        <f>IF(ISBLANK(tbl_task4[[คะแนนเต็ม]:[คะแนนเต็ม]]),"",(tbl_task4[69]/tbl_task4[[คะแนนเต็ม]:[คะแนนเต็ม]])*tbl_task4[[%]:[%]])</f>
        <v/>
      </c>
      <c r="IF10" s="121" t="str">
        <f>IF(ISBLANK(tbl_task4[[คะแนนเต็ม]:[คะแนนเต็ม]]),"",(tbl_task4[70]/tbl_task4[[คะแนนเต็ม]:[คะแนนเต็ม]])*tbl_task4[[%]:[%]])</f>
        <v/>
      </c>
      <c r="IG10" s="121" t="str">
        <f>IF(ISBLANK(tbl_task4[[คะแนนเต็ม]:[คะแนนเต็ม]]),"",(tbl_task4[71]/tbl_task4[[คะแนนเต็ม]:[คะแนนเต็ม]])*tbl_task4[[%]:[%]])</f>
        <v/>
      </c>
      <c r="IH10" s="121" t="str">
        <f>IF(ISBLANK(tbl_task4[[คะแนนเต็ม]:[คะแนนเต็ม]]),"",(tbl_task4[72]/tbl_task4[[คะแนนเต็ม]:[คะแนนเต็ม]])*tbl_task4[[%]:[%]])</f>
        <v/>
      </c>
      <c r="II10" s="121" t="str">
        <f>IF(ISBLANK(tbl_task4[[คะแนนเต็ม]:[คะแนนเต็ม]]),"",(tbl_task4[73]/tbl_task4[[คะแนนเต็ม]:[คะแนนเต็ม]])*tbl_task4[[%]:[%]])</f>
        <v/>
      </c>
      <c r="IJ10" s="121" t="str">
        <f>IF(ISBLANK(tbl_task4[[คะแนนเต็ม]:[คะแนนเต็ม]]),"",(tbl_task4[74]/tbl_task4[[คะแนนเต็ม]:[คะแนนเต็ม]])*tbl_task4[[%]:[%]])</f>
        <v/>
      </c>
      <c r="IK10" s="121" t="str">
        <f>IF(ISBLANK(tbl_task4[[คะแนนเต็ม]:[คะแนนเต็ม]]),"",(tbl_task4[75]/tbl_task4[[คะแนนเต็ม]:[คะแนนเต็ม]])*tbl_task4[[%]:[%]])</f>
        <v/>
      </c>
      <c r="IL10" s="121" t="str">
        <f>IF(ISBLANK(tbl_task4[[คะแนนเต็ม]:[คะแนนเต็ม]]),"",(tbl_task4[76]/tbl_task4[[คะแนนเต็ม]:[คะแนนเต็ม]])*tbl_task4[[%]:[%]])</f>
        <v/>
      </c>
      <c r="IM10" s="121" t="str">
        <f>IF(ISBLANK(tbl_task4[[คะแนนเต็ม]:[คะแนนเต็ม]]),"",(tbl_task4[77]/tbl_task4[[คะแนนเต็ม]:[คะแนนเต็ม]])*tbl_task4[[%]:[%]])</f>
        <v/>
      </c>
      <c r="IN10" s="121" t="str">
        <f>IF(ISBLANK(tbl_task4[[คะแนนเต็ม]:[คะแนนเต็ม]]),"",(tbl_task4[78]/tbl_task4[[คะแนนเต็ม]:[คะแนนเต็ม]])*tbl_task4[[%]:[%]])</f>
        <v/>
      </c>
      <c r="IO10" s="121" t="str">
        <f>IF(ISBLANK(tbl_task4[[คะแนนเต็ม]:[คะแนนเต็ม]]),"",(tbl_task4[79]/tbl_task4[[คะแนนเต็ม]:[คะแนนเต็ม]])*tbl_task4[[%]:[%]])</f>
        <v/>
      </c>
      <c r="IP10" s="121" t="str">
        <f>IF(ISBLANK(tbl_task4[[คะแนนเต็ม]:[คะแนนเต็ม]]),"",(tbl_task4[80]/tbl_task4[[คะแนนเต็ม]:[คะแนนเต็ม]])*tbl_task4[[%]:[%]])</f>
        <v/>
      </c>
      <c r="IQ10" s="121" t="str">
        <f>IF(ISBLANK(tbl_task4[[คะแนนเต็ม]:[คะแนนเต็ม]]),"",(tbl_task4[81]/tbl_task4[[คะแนนเต็ม]:[คะแนนเต็ม]])*tbl_task4[[%]:[%]])</f>
        <v/>
      </c>
      <c r="IR10" s="121" t="str">
        <f>IF(ISBLANK(tbl_task4[[คะแนนเต็ม]:[คะแนนเต็ม]]),"",(tbl_task4[82]/tbl_task4[[คะแนนเต็ม]:[คะแนนเต็ม]])*tbl_task4[[%]:[%]])</f>
        <v/>
      </c>
      <c r="IS10" s="121" t="str">
        <f>IF(ISBLANK(tbl_task4[[คะแนนเต็ม]:[คะแนนเต็ม]]),"",(tbl_task4[83]/tbl_task4[[คะแนนเต็ม]:[คะแนนเต็ม]])*tbl_task4[[%]:[%]])</f>
        <v/>
      </c>
      <c r="IT10" s="121" t="str">
        <f>IF(ISBLANK(tbl_task4[[คะแนนเต็ม]:[คะแนนเต็ม]]),"",(tbl_task4[84]/tbl_task4[[คะแนนเต็ม]:[คะแนนเต็ม]])*tbl_task4[[%]:[%]])</f>
        <v/>
      </c>
      <c r="IU10" s="121" t="str">
        <f>IF(ISBLANK(tbl_task4[[คะแนนเต็ม]:[คะแนนเต็ม]]),"",(tbl_task4[85]/tbl_task4[[คะแนนเต็ม]:[คะแนนเต็ม]])*tbl_task4[[%]:[%]])</f>
        <v/>
      </c>
      <c r="IV10" s="121" t="str">
        <f>IF(ISBLANK(tbl_task4[[คะแนนเต็ม]:[คะแนนเต็ม]]),"",(tbl_task4[86]/tbl_task4[[คะแนนเต็ม]:[คะแนนเต็ม]])*tbl_task4[[%]:[%]])</f>
        <v/>
      </c>
      <c r="IW10" s="121" t="str">
        <f>IF(ISBLANK(tbl_task4[[คะแนนเต็ม]:[คะแนนเต็ม]]),"",(tbl_task4[87]/tbl_task4[[คะแนนเต็ม]:[คะแนนเต็ม]])*tbl_task4[[%]:[%]])</f>
        <v/>
      </c>
      <c r="IX10" s="121" t="str">
        <f>IF(ISBLANK(tbl_task4[[คะแนนเต็ม]:[คะแนนเต็ม]]),"",(tbl_task4[88]/tbl_task4[[คะแนนเต็ม]:[คะแนนเต็ม]])*tbl_task4[[%]:[%]])</f>
        <v/>
      </c>
      <c r="IY10" s="121" t="str">
        <f>IF(ISBLANK(tbl_task4[[คะแนนเต็ม]:[คะแนนเต็ม]]),"",(tbl_task4[89]/tbl_task4[[คะแนนเต็ม]:[คะแนนเต็ม]])*tbl_task4[[%]:[%]])</f>
        <v/>
      </c>
      <c r="IZ10" s="121" t="str">
        <f>IF(ISBLANK(tbl_task4[[คะแนนเต็ม]:[คะแนนเต็ม]]),"",(tbl_task4[90]/tbl_task4[[คะแนนเต็ม]:[คะแนนเต็ม]])*tbl_task4[[%]:[%]])</f>
        <v/>
      </c>
      <c r="JA10" s="121" t="str">
        <f>IF(ISBLANK(tbl_task4[[คะแนนเต็ม]:[คะแนนเต็ม]]),"",(tbl_task4[91]/tbl_task4[[คะแนนเต็ม]:[คะแนนเต็ม]])*tbl_task4[[%]:[%]])</f>
        <v/>
      </c>
      <c r="JB10" s="121" t="str">
        <f>IF(ISBLANK(tbl_task4[[คะแนนเต็ม]:[คะแนนเต็ม]]),"",(tbl_task4[92]/tbl_task4[[คะแนนเต็ม]:[คะแนนเต็ม]])*tbl_task4[[%]:[%]])</f>
        <v/>
      </c>
      <c r="JC10" s="121" t="str">
        <f>IF(ISBLANK(tbl_task4[[คะแนนเต็ม]:[คะแนนเต็ม]]),"",(tbl_task4[93]/tbl_task4[[คะแนนเต็ม]:[คะแนนเต็ม]])*tbl_task4[[%]:[%]])</f>
        <v/>
      </c>
      <c r="JD10" s="121" t="str">
        <f>IF(ISBLANK(tbl_task4[[คะแนนเต็ม]:[คะแนนเต็ม]]),"",(tbl_task4[94]/tbl_task4[[คะแนนเต็ม]:[คะแนนเต็ม]])*tbl_task4[[%]:[%]])</f>
        <v/>
      </c>
      <c r="JE10" s="121" t="str">
        <f>IF(ISBLANK(tbl_task4[[คะแนนเต็ม]:[คะแนนเต็ม]]),"",(tbl_task4[95]/tbl_task4[[คะแนนเต็ม]:[คะแนนเต็ม]])*tbl_task4[[%]:[%]])</f>
        <v/>
      </c>
      <c r="JF10" s="121" t="str">
        <f>IF(ISBLANK(tbl_task4[[คะแนนเต็ม]:[คะแนนเต็ม]]),"",(tbl_task4[96]/tbl_task4[[คะแนนเต็ม]:[คะแนนเต็ม]])*tbl_task4[[%]:[%]])</f>
        <v/>
      </c>
      <c r="JG10" s="121" t="str">
        <f>IF(ISBLANK(tbl_task4[[คะแนนเต็ม]:[คะแนนเต็ม]]),"",(tbl_task4[97]/tbl_task4[[คะแนนเต็ม]:[คะแนนเต็ม]])*tbl_task4[[%]:[%]])</f>
        <v/>
      </c>
      <c r="JH10" s="121" t="str">
        <f>IF(ISBLANK(tbl_task4[[คะแนนเต็ม]:[คะแนนเต็ม]]),"",(tbl_task4[98]/tbl_task4[[คะแนนเต็ม]:[คะแนนเต็ม]])*tbl_task4[[%]:[%]])</f>
        <v/>
      </c>
      <c r="JI10" s="121" t="str">
        <f>IF(ISBLANK(tbl_task4[[คะแนนเต็ม]:[คะแนนเต็ม]]),"",(tbl_task4[99]/tbl_task4[[คะแนนเต็ม]:[คะแนนเต็ม]])*tbl_task4[[%]:[%]])</f>
        <v/>
      </c>
      <c r="JJ10" s="121" t="str">
        <f>IF(ISBLANK(tbl_task4[[คะแนนเต็ม]:[คะแนนเต็ม]]),"",(tbl_task4[100]/tbl_task4[[คะแนนเต็ม]:[คะแนนเต็ม]])*tbl_task4[[%]:[%]])</f>
        <v/>
      </c>
      <c r="JK10" s="121" t="str">
        <f>IF(ISBLANK(tbl_task4[[คะแนนเต็ม]:[คะแนนเต็ม]]),"",(tbl_task4[101]/tbl_task4[[คะแนนเต็ม]:[คะแนนเต็ม]])*tbl_task4[[%]:[%]])</f>
        <v/>
      </c>
      <c r="JL10" s="121" t="str">
        <f>IF(ISBLANK(tbl_task4[[คะแนนเต็ม]:[คะแนนเต็ม]]),"",(tbl_task4[102]/tbl_task4[[คะแนนเต็ม]:[คะแนนเต็ม]])*tbl_task4[[%]:[%]])</f>
        <v/>
      </c>
      <c r="JM10" s="121" t="str">
        <f>IF(ISBLANK(tbl_task4[[คะแนนเต็ม]:[คะแนนเต็ม]]),"",(tbl_task4[103]/tbl_task4[[คะแนนเต็ม]:[คะแนนเต็ม]])*tbl_task4[[%]:[%]])</f>
        <v/>
      </c>
      <c r="JN10" s="121" t="str">
        <f>IF(ISBLANK(tbl_task4[[คะแนนเต็ม]:[คะแนนเต็ม]]),"",(tbl_task4[104]/tbl_task4[[คะแนนเต็ม]:[คะแนนเต็ม]])*tbl_task4[[%]:[%]])</f>
        <v/>
      </c>
      <c r="JO10" s="121" t="str">
        <f>IF(ISBLANK(tbl_task4[[คะแนนเต็ม]:[คะแนนเต็ม]]),"",(tbl_task4[105]/tbl_task4[[คะแนนเต็ม]:[คะแนนเต็ม]])*tbl_task4[[%]:[%]])</f>
        <v/>
      </c>
      <c r="JP10" s="121" t="str">
        <f>IF(ISBLANK(tbl_task4[[คะแนนเต็ม]:[คะแนนเต็ม]]),"",(tbl_task4[106]/tbl_task4[[คะแนนเต็ม]:[คะแนนเต็ม]])*tbl_task4[[%]:[%]])</f>
        <v/>
      </c>
      <c r="JQ10" s="121" t="str">
        <f>IF(ISBLANK(tbl_task4[[คะแนนเต็ม]:[คะแนนเต็ม]]),"",(tbl_task4[107]/tbl_task4[[คะแนนเต็ม]:[คะแนนเต็ม]])*tbl_task4[[%]:[%]])</f>
        <v/>
      </c>
      <c r="JR10" s="121" t="str">
        <f>IF(ISBLANK(tbl_task4[[คะแนนเต็ม]:[คะแนนเต็ม]]),"",(tbl_task4[108]/tbl_task4[[คะแนนเต็ม]:[คะแนนเต็ม]])*tbl_task4[[%]:[%]])</f>
        <v/>
      </c>
      <c r="JS10" s="121" t="str">
        <f>IF(ISBLANK(tbl_task4[[คะแนนเต็ม]:[คะแนนเต็ม]]),"",(tbl_task4[109]/tbl_task4[[คะแนนเต็ม]:[คะแนนเต็ม]])*tbl_task4[[%]:[%]])</f>
        <v/>
      </c>
      <c r="JT10" s="121" t="str">
        <f>IF(ISBLANK(tbl_task4[[คะแนนเต็ม]:[คะแนนเต็ม]]),"",(tbl_task4[110]/tbl_task4[[คะแนนเต็ม]:[คะแนนเต็ม]])*tbl_task4[[%]:[%]])</f>
        <v/>
      </c>
      <c r="JU10" s="121" t="str">
        <f>IF(ISBLANK(tbl_task4[[คะแนนเต็ม]:[คะแนนเต็ม]]),"",(tbl_task4[111]/tbl_task4[[คะแนนเต็ม]:[คะแนนเต็ม]])*tbl_task4[[%]:[%]])</f>
        <v/>
      </c>
      <c r="JV10" s="121" t="str">
        <f>IF(ISBLANK(tbl_task4[[คะแนนเต็ม]:[คะแนนเต็ม]]),"",(tbl_task4[112]/tbl_task4[[คะแนนเต็ม]:[คะแนนเต็ม]])*tbl_task4[[%]:[%]])</f>
        <v/>
      </c>
      <c r="JW10" s="121" t="str">
        <f>IF(ISBLANK(tbl_task4[[คะแนนเต็ม]:[คะแนนเต็ม]]),"",(tbl_task4[113]/tbl_task4[[คะแนนเต็ม]:[คะแนนเต็ม]])*tbl_task4[[%]:[%]])</f>
        <v/>
      </c>
      <c r="JX10" s="121" t="str">
        <f>IF(ISBLANK(tbl_task4[[คะแนนเต็ม]:[คะแนนเต็ม]]),"",(tbl_task4[114]/tbl_task4[[คะแนนเต็ม]:[คะแนนเต็ม]])*tbl_task4[[%]:[%]])</f>
        <v/>
      </c>
      <c r="JY10" s="121" t="str">
        <f>IF(ISBLANK(tbl_task4[[คะแนนเต็ม]:[คะแนนเต็ม]]),"",(tbl_task4[115]/tbl_task4[[คะแนนเต็ม]:[คะแนนเต็ม]])*tbl_task4[[%]:[%]])</f>
        <v/>
      </c>
      <c r="JZ10" s="121" t="str">
        <f>IF(ISBLANK(tbl_task4[[คะแนนเต็ม]:[คะแนนเต็ม]]),"",(tbl_task4[116]/tbl_task4[[คะแนนเต็ม]:[คะแนนเต็ม]])*tbl_task4[[%]:[%]])</f>
        <v/>
      </c>
      <c r="KA10" s="121" t="str">
        <f>IF(ISBLANK(tbl_task4[[คะแนนเต็ม]:[คะแนนเต็ม]]),"",(tbl_task4[117]/tbl_task4[[คะแนนเต็ม]:[คะแนนเต็ม]])*tbl_task4[[%]:[%]])</f>
        <v/>
      </c>
      <c r="KB10" s="121" t="str">
        <f>IF(ISBLANK(tbl_task4[[คะแนนเต็ม]:[คะแนนเต็ม]]),"",(tbl_task4[118]/tbl_task4[[คะแนนเต็ม]:[คะแนนเต็ม]])*tbl_task4[[%]:[%]])</f>
        <v/>
      </c>
      <c r="KC10" s="121" t="str">
        <f>IF(ISBLANK(tbl_task4[[คะแนนเต็ม]:[คะแนนเต็ม]]),"",(tbl_task4[119]/tbl_task4[[คะแนนเต็ม]:[คะแนนเต็ม]])*tbl_task4[[%]:[%]])</f>
        <v/>
      </c>
      <c r="KD10" s="121" t="str">
        <f>IF(ISBLANK(tbl_task4[[คะแนนเต็ม]:[คะแนนเต็ม]]),"",(tbl_task4[120]/tbl_task4[[คะแนนเต็ม]:[คะแนนเต็ม]])*tbl_task4[[%]:[%]])</f>
        <v/>
      </c>
      <c r="KE10" s="121" t="str">
        <f>IF(ISBLANK(tbl_task4[[คะแนนเต็ม]:[คะแนนเต็ม]]),"",(tbl_task4[121]/tbl_task4[[คะแนนเต็ม]:[คะแนนเต็ม]])*tbl_task4[[%]:[%]])</f>
        <v/>
      </c>
      <c r="KF10" s="121" t="str">
        <f>IF(ISBLANK(tbl_task4[[คะแนนเต็ม]:[คะแนนเต็ม]]),"",(tbl_task4[122]/tbl_task4[[คะแนนเต็ม]:[คะแนนเต็ม]])*tbl_task4[[%]:[%]])</f>
        <v/>
      </c>
      <c r="KG10" s="121" t="str">
        <f>IF(ISBLANK(tbl_task4[[คะแนนเต็ม]:[คะแนนเต็ม]]),"",(tbl_task4[123]/tbl_task4[[คะแนนเต็ม]:[คะแนนเต็ม]])*tbl_task4[[%]:[%]])</f>
        <v/>
      </c>
      <c r="KH10" s="121" t="str">
        <f>IF(ISBLANK(tbl_task4[[คะแนนเต็ม]:[คะแนนเต็ม]]),"",(tbl_task4[124]/tbl_task4[[คะแนนเต็ม]:[คะแนนเต็ม]])*tbl_task4[[%]:[%]])</f>
        <v/>
      </c>
      <c r="KI10" s="121" t="str">
        <f>IF(ISBLANK(tbl_task4[[คะแนนเต็ม]:[คะแนนเต็ม]]),"",(tbl_task4[125]/tbl_task4[[คะแนนเต็ม]:[คะแนนเต็ม]])*tbl_task4[[%]:[%]])</f>
        <v/>
      </c>
      <c r="KJ10" s="121" t="str">
        <f>IF(ISBLANK(tbl_task4[[คะแนนเต็ม]:[คะแนนเต็ม]]),"",(tbl_task4[126]/tbl_task4[[คะแนนเต็ม]:[คะแนนเต็ม]])*tbl_task4[[%]:[%]])</f>
        <v/>
      </c>
      <c r="KK10" s="121" t="str">
        <f>IF(ISBLANK(tbl_task4[[คะแนนเต็ม]:[คะแนนเต็ม]]),"",(tbl_task4[127]/tbl_task4[[คะแนนเต็ม]:[คะแนนเต็ม]])*tbl_task4[[%]:[%]])</f>
        <v/>
      </c>
      <c r="KL10" s="121" t="str">
        <f>IF(ISBLANK(tbl_task4[[คะแนนเต็ม]:[คะแนนเต็ม]]),"",(tbl_task4[128]/tbl_task4[[คะแนนเต็ม]:[คะแนนเต็ม]])*tbl_task4[[%]:[%]])</f>
        <v/>
      </c>
      <c r="KM10" s="121" t="str">
        <f>IF(ISBLANK(tbl_task4[[คะแนนเต็ม]:[คะแนนเต็ม]]),"",(tbl_task4[129]/tbl_task4[[คะแนนเต็ม]:[คะแนนเต็ม]])*tbl_task4[[%]:[%]])</f>
        <v/>
      </c>
      <c r="KN10" s="121" t="str">
        <f>IF(ISBLANK(tbl_task4[[คะแนนเต็ม]:[คะแนนเต็ม]]),"",(tbl_task4[130]/tbl_task4[[คะแนนเต็ม]:[คะแนนเต็ม]])*tbl_task4[[%]:[%]])</f>
        <v/>
      </c>
      <c r="KO10" s="121" t="str">
        <f>IF(ISBLANK(tbl_task4[[คะแนนเต็ม]:[คะแนนเต็ม]]),"",(tbl_task4[131]/tbl_task4[[คะแนนเต็ม]:[คะแนนเต็ม]])*tbl_task4[[%]:[%]])</f>
        <v/>
      </c>
      <c r="KP10" s="121" t="str">
        <f>IF(ISBLANK(tbl_task4[[คะแนนเต็ม]:[คะแนนเต็ม]]),"",(tbl_task4[132]/tbl_task4[[คะแนนเต็ม]:[คะแนนเต็ม]])*tbl_task4[[%]:[%]])</f>
        <v/>
      </c>
      <c r="KQ10" s="121" t="str">
        <f>IF(ISBLANK(tbl_task4[[คะแนนเต็ม]:[คะแนนเต็ม]]),"",(tbl_task4[133]/tbl_task4[[คะแนนเต็ม]:[คะแนนเต็ม]])*tbl_task4[[%]:[%]])</f>
        <v/>
      </c>
      <c r="KR10" s="121" t="str">
        <f>IF(ISBLANK(tbl_task4[[คะแนนเต็ม]:[คะแนนเต็ม]]),"",(tbl_task4[134]/tbl_task4[[คะแนนเต็ม]:[คะแนนเต็ม]])*tbl_task4[[%]:[%]])</f>
        <v/>
      </c>
      <c r="KS10" s="121" t="str">
        <f>IF(ISBLANK(tbl_task4[[คะแนนเต็ม]:[คะแนนเต็ม]]),"",(tbl_task4[135]/tbl_task4[[คะแนนเต็ม]:[คะแนนเต็ม]])*tbl_task4[[%]:[%]])</f>
        <v/>
      </c>
      <c r="KT10" s="121" t="str">
        <f>IF(ISBLANK(tbl_task4[[คะแนนเต็ม]:[คะแนนเต็ม]]),"",(tbl_task4[136]/tbl_task4[[คะแนนเต็ม]:[คะแนนเต็ม]])*tbl_task4[[%]:[%]])</f>
        <v/>
      </c>
      <c r="KU10" s="121" t="str">
        <f>IF(ISBLANK(tbl_task4[[คะแนนเต็ม]:[คะแนนเต็ม]]),"",(tbl_task4[137]/tbl_task4[[คะแนนเต็ม]:[คะแนนเต็ม]])*tbl_task4[[%]:[%]])</f>
        <v/>
      </c>
      <c r="KV10" s="121" t="str">
        <f>IF(ISBLANK(tbl_task4[[คะแนนเต็ม]:[คะแนนเต็ม]]),"",(tbl_task4[138]/tbl_task4[[คะแนนเต็ม]:[คะแนนเต็ม]])*tbl_task4[[%]:[%]])</f>
        <v/>
      </c>
      <c r="KW10" s="121" t="str">
        <f>IF(ISBLANK(tbl_task4[[คะแนนเต็ม]:[คะแนนเต็ม]]),"",(tbl_task4[139]/tbl_task4[[คะแนนเต็ม]:[คะแนนเต็ม]])*tbl_task4[[%]:[%]])</f>
        <v/>
      </c>
      <c r="KX10" s="121" t="str">
        <f>IF(ISBLANK(tbl_task4[[คะแนนเต็ม]:[คะแนนเต็ม]]),"",(tbl_task4[140]/tbl_task4[[คะแนนเต็ม]:[คะแนนเต็ม]])*tbl_task4[[%]:[%]])</f>
        <v/>
      </c>
      <c r="KY10" s="121" t="str">
        <f>IF(ISBLANK(tbl_task4[[คะแนนเต็ม]:[คะแนนเต็ม]]),"",(tbl_task4[141]/tbl_task4[[คะแนนเต็ม]:[คะแนนเต็ม]])*tbl_task4[[%]:[%]])</f>
        <v/>
      </c>
      <c r="KZ10" s="121" t="str">
        <f>IF(ISBLANK(tbl_task4[[คะแนนเต็ม]:[คะแนนเต็ม]]),"",(tbl_task4[142]/tbl_task4[[คะแนนเต็ม]:[คะแนนเต็ม]])*tbl_task4[[%]:[%]])</f>
        <v/>
      </c>
      <c r="LA10" s="121" t="str">
        <f>IF(ISBLANK(tbl_task4[[คะแนนเต็ม]:[คะแนนเต็ม]]),"",(tbl_task4[143]/tbl_task4[[คะแนนเต็ม]:[คะแนนเต็ม]])*tbl_task4[[%]:[%]])</f>
        <v/>
      </c>
      <c r="LB10" s="121" t="str">
        <f>IF(ISBLANK(tbl_task4[[คะแนนเต็ม]:[คะแนนเต็ม]]),"",(tbl_task4[144]/tbl_task4[[คะแนนเต็ม]:[คะแนนเต็ม]])*tbl_task4[[%]:[%]])</f>
        <v/>
      </c>
      <c r="LC10" s="121" t="str">
        <f>IF(ISBLANK(tbl_task4[[คะแนนเต็ม]:[คะแนนเต็ม]]),"",(tbl_task4[145]/tbl_task4[[คะแนนเต็ม]:[คะแนนเต็ม]])*tbl_task4[[%]:[%]])</f>
        <v/>
      </c>
      <c r="LD10" s="121" t="str">
        <f>IF(ISBLANK(tbl_task4[[คะแนนเต็ม]:[คะแนนเต็ม]]),"",(tbl_task4[146]/tbl_task4[[คะแนนเต็ม]:[คะแนนเต็ม]])*tbl_task4[[%]:[%]])</f>
        <v/>
      </c>
      <c r="LE10" s="121" t="str">
        <f>IF(ISBLANK(tbl_task4[[คะแนนเต็ม]:[คะแนนเต็ม]]),"",(tbl_task4[147]/tbl_task4[[คะแนนเต็ม]:[คะแนนเต็ม]])*tbl_task4[[%]:[%]])</f>
        <v/>
      </c>
      <c r="LF10" s="121" t="str">
        <f>IF(ISBLANK(tbl_task4[[คะแนนเต็ม]:[คะแนนเต็ม]]),"",(tbl_task4[148]/tbl_task4[[คะแนนเต็ม]:[คะแนนเต็ม]])*tbl_task4[[%]:[%]])</f>
        <v/>
      </c>
      <c r="LG10" s="121" t="str">
        <f>IF(ISBLANK(tbl_task4[[คะแนนเต็ม]:[คะแนนเต็ม]]),"",(tbl_task4[149]/tbl_task4[[คะแนนเต็ม]:[คะแนนเต็ม]])*tbl_task4[[%]:[%]])</f>
        <v/>
      </c>
      <c r="LH10" s="121" t="str">
        <f>IF(ISBLANK(tbl_task4[[คะแนนเต็ม]:[คะแนนเต็ม]]),"",(tbl_task4[150]/tbl_task4[[คะแนนเต็ม]:[คะแนนเต็ม]])*tbl_task4[[%]:[%]])</f>
        <v/>
      </c>
      <c r="LI10" s="121" t="str">
        <f>IF(ISBLANK(tbl_task4[[คะแนนเต็ม]:[คะแนนเต็ม]]),"",(tbl_task4[151]/tbl_task4[[คะแนนเต็ม]:[คะแนนเต็ม]])*tbl_task4[[%]:[%]])</f>
        <v/>
      </c>
      <c r="LJ10" s="121" t="str">
        <f>IF(ISBLANK(tbl_task4[[คะแนนเต็ม]:[คะแนนเต็ม]]),"",(tbl_task4[152]/tbl_task4[[คะแนนเต็ม]:[คะแนนเต็ม]])*tbl_task4[[%]:[%]])</f>
        <v/>
      </c>
      <c r="LK10" s="121" t="str">
        <f>IF(ISBLANK(tbl_task4[[คะแนนเต็ม]:[คะแนนเต็ม]]),"",(tbl_task4[153]/tbl_task4[[คะแนนเต็ม]:[คะแนนเต็ม]])*tbl_task4[[%]:[%]])</f>
        <v/>
      </c>
      <c r="LL10" s="121" t="str">
        <f>IF(ISBLANK(tbl_task4[[คะแนนเต็ม]:[คะแนนเต็ม]]),"",(tbl_task4[154]/tbl_task4[[คะแนนเต็ม]:[คะแนนเต็ม]])*tbl_task4[[%]:[%]])</f>
        <v/>
      </c>
      <c r="LM10" s="121" t="str">
        <f>IF(ISBLANK(tbl_task4[[คะแนนเต็ม]:[คะแนนเต็ม]]),"",(tbl_task4[155]/tbl_task4[[คะแนนเต็ม]:[คะแนนเต็ม]])*tbl_task4[[%]:[%]])</f>
        <v/>
      </c>
      <c r="LN10" s="121" t="str">
        <f>IF(ISBLANK(tbl_task4[[คะแนนเต็ม]:[คะแนนเต็ม]]),"",(tbl_task4[156]/tbl_task4[[คะแนนเต็ม]:[คะแนนเต็ม]])*tbl_task4[[%]:[%]])</f>
        <v/>
      </c>
      <c r="LO10" s="121" t="str">
        <f>IF(ISBLANK(tbl_task4[[คะแนนเต็ม]:[คะแนนเต็ม]]),"",(tbl_task4[157]/tbl_task4[[คะแนนเต็ม]:[คะแนนเต็ม]])*tbl_task4[[%]:[%]])</f>
        <v/>
      </c>
      <c r="LP10" s="121" t="str">
        <f>IF(ISBLANK(tbl_task4[[คะแนนเต็ม]:[คะแนนเต็ม]]),"",(tbl_task4[158]/tbl_task4[[คะแนนเต็ม]:[คะแนนเต็ม]])*tbl_task4[[%]:[%]])</f>
        <v/>
      </c>
      <c r="LQ10" s="121" t="str">
        <f>IF(ISBLANK(tbl_task4[[คะแนนเต็ม]:[คะแนนเต็ม]]),"",(tbl_task4[159]/tbl_task4[[คะแนนเต็ม]:[คะแนนเต็ม]])*tbl_task4[[%]:[%]])</f>
        <v/>
      </c>
      <c r="LR10" s="121" t="str">
        <f>IF(ISBLANK(tbl_task4[[คะแนนเต็ม]:[คะแนนเต็ม]]),"",(tbl_task4[160]/tbl_task4[[คะแนนเต็ม]:[คะแนนเต็ม]])*tbl_task4[[%]:[%]])</f>
        <v/>
      </c>
      <c r="LS10" s="121" t="str">
        <f>IF(ISBLANK(tbl_task4[[คะแนนเต็ม]:[คะแนนเต็ม]]),"",(tbl_task4[161]/tbl_task4[[คะแนนเต็ม]:[คะแนนเต็ม]])*tbl_task4[[%]:[%]])</f>
        <v/>
      </c>
      <c r="LT10" s="121" t="str">
        <f>IF(ISBLANK(tbl_task4[[คะแนนเต็ม]:[คะแนนเต็ม]]),"",(tbl_task4[162]/tbl_task4[[คะแนนเต็ม]:[คะแนนเต็ม]])*tbl_task4[[%]:[%]])</f>
        <v/>
      </c>
      <c r="LU10" s="121" t="str">
        <f>IF(ISBLANK(tbl_task4[[คะแนนเต็ม]:[คะแนนเต็ม]]),"",(tbl_task4[163]/tbl_task4[[คะแนนเต็ม]:[คะแนนเต็ม]])*tbl_task4[[%]:[%]])</f>
        <v/>
      </c>
      <c r="LV10" s="121" t="str">
        <f>IF(ISBLANK(tbl_task4[[คะแนนเต็ม]:[คะแนนเต็ม]]),"",(tbl_task4[164]/tbl_task4[[คะแนนเต็ม]:[คะแนนเต็ม]])*tbl_task4[[%]:[%]])</f>
        <v/>
      </c>
      <c r="LW10" s="121" t="str">
        <f>IF(ISBLANK(tbl_task4[[คะแนนเต็ม]:[คะแนนเต็ม]]),"",(tbl_task4[165]/tbl_task4[[คะแนนเต็ม]:[คะแนนเต็ม]])*tbl_task4[[%]:[%]])</f>
        <v/>
      </c>
    </row>
    <row r="11" spans="1:335" ht="24" customHeight="1" x14ac:dyDescent="0.25">
      <c r="A11" s="24">
        <v>8</v>
      </c>
      <c r="B11" s="20"/>
      <c r="C11" s="5" t="str">
        <f>IF(ISBLANK(B11),"",VLOOKUP(B11,tbl_PLOs[],2,0))</f>
        <v/>
      </c>
      <c r="D11" s="102"/>
      <c r="E11" s="106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22"/>
      <c r="FO11" s="121" t="str">
        <f>IF(ISBLANK(tbl_task4[[คะแนนเต็ม]:[คะแนนเต็ม]]),"",(tbl_task4[1]/tbl_task4[[คะแนนเต็ม]:[คะแนนเต็ม]])*tbl_task4[[%]:[%]])</f>
        <v/>
      </c>
      <c r="FP11" s="121" t="str">
        <f>IF(ISBLANK(tbl_task4[[คะแนนเต็ม]:[คะแนนเต็ม]]),"",(tbl_task4[2]/tbl_task4[[คะแนนเต็ม]:[คะแนนเต็ม]])*tbl_task4[[%]:[%]])</f>
        <v/>
      </c>
      <c r="FQ11" s="121" t="str">
        <f>IF(ISBLANK(tbl_task4[[คะแนนเต็ม]:[คะแนนเต็ม]]),"",(tbl_task4[3]/tbl_task4[[คะแนนเต็ม]:[คะแนนเต็ม]])*tbl_task4[[%]:[%]])</f>
        <v/>
      </c>
      <c r="FR11" s="121" t="str">
        <f>IF(ISBLANK(tbl_task4[[คะแนนเต็ม]:[คะแนนเต็ม]]),"",(tbl_task4[4]/tbl_task4[[คะแนนเต็ม]:[คะแนนเต็ม]])*tbl_task4[[%]:[%]])</f>
        <v/>
      </c>
      <c r="FS11" s="121" t="str">
        <f>IF(ISBLANK(tbl_task4[[คะแนนเต็ม]:[คะแนนเต็ม]]),"",(tbl_task4[5]/tbl_task4[[คะแนนเต็ม]:[คะแนนเต็ม]])*tbl_task4[[%]:[%]])</f>
        <v/>
      </c>
      <c r="FT11" s="121" t="str">
        <f>IF(ISBLANK(tbl_task4[[คะแนนเต็ม]:[คะแนนเต็ม]]),"",(tbl_task4[6]/tbl_task4[[คะแนนเต็ม]:[คะแนนเต็ม]])*tbl_task4[[%]:[%]])</f>
        <v/>
      </c>
      <c r="FU11" s="121" t="str">
        <f>IF(ISBLANK(tbl_task4[[คะแนนเต็ม]:[คะแนนเต็ม]]),"",(tbl_task4[7]/tbl_task4[[คะแนนเต็ม]:[คะแนนเต็ม]])*tbl_task4[[%]:[%]])</f>
        <v/>
      </c>
      <c r="FV11" s="121" t="str">
        <f>IF(ISBLANK(tbl_task4[[คะแนนเต็ม]:[คะแนนเต็ม]]),"",(tbl_task4[8]/tbl_task4[[คะแนนเต็ม]:[คะแนนเต็ม]])*tbl_task4[[%]:[%]])</f>
        <v/>
      </c>
      <c r="FW11" s="121" t="str">
        <f>IF(ISBLANK(tbl_task4[[คะแนนเต็ม]:[คะแนนเต็ม]]),"",(tbl_task4[9]/tbl_task4[[คะแนนเต็ม]:[คะแนนเต็ม]])*tbl_task4[[%]:[%]])</f>
        <v/>
      </c>
      <c r="FX11" s="121" t="str">
        <f>IF(ISBLANK(tbl_task4[[คะแนนเต็ม]:[คะแนนเต็ม]]),"",(tbl_task4[10]/tbl_task4[[คะแนนเต็ม]:[คะแนนเต็ม]])*tbl_task4[[%]:[%]])</f>
        <v/>
      </c>
      <c r="FY11" s="121" t="str">
        <f>IF(ISBLANK(tbl_task4[[คะแนนเต็ม]:[คะแนนเต็ม]]),"",(tbl_task4[11]/tbl_task4[[คะแนนเต็ม]:[คะแนนเต็ม]])*tbl_task4[[%]:[%]])</f>
        <v/>
      </c>
      <c r="FZ11" s="121" t="str">
        <f>IF(ISBLANK(tbl_task4[[คะแนนเต็ม]:[คะแนนเต็ม]]),"",(tbl_task4[12]/tbl_task4[[คะแนนเต็ม]:[คะแนนเต็ม]])*tbl_task4[[%]:[%]])</f>
        <v/>
      </c>
      <c r="GA11" s="121" t="str">
        <f>IF(ISBLANK(tbl_task4[[คะแนนเต็ม]:[คะแนนเต็ม]]),"",(tbl_task4[13]/tbl_task4[[คะแนนเต็ม]:[คะแนนเต็ม]])*tbl_task4[[%]:[%]])</f>
        <v/>
      </c>
      <c r="GB11" s="121" t="str">
        <f>IF(ISBLANK(tbl_task4[[คะแนนเต็ม]:[คะแนนเต็ม]]),"",(tbl_task4[14]/tbl_task4[[คะแนนเต็ม]:[คะแนนเต็ม]])*tbl_task4[[%]:[%]])</f>
        <v/>
      </c>
      <c r="GC11" s="121" t="str">
        <f>IF(ISBLANK(tbl_task4[[คะแนนเต็ม]:[คะแนนเต็ม]]),"",(tbl_task4[15]/tbl_task4[[คะแนนเต็ม]:[คะแนนเต็ม]])*tbl_task4[[%]:[%]])</f>
        <v/>
      </c>
      <c r="GD11" s="121" t="str">
        <f>IF(ISBLANK(tbl_task4[[คะแนนเต็ม]:[คะแนนเต็ม]]),"",(tbl_task4[16]/tbl_task4[[คะแนนเต็ม]:[คะแนนเต็ม]])*tbl_task4[[%]:[%]])</f>
        <v/>
      </c>
      <c r="GE11" s="121" t="str">
        <f>IF(ISBLANK(tbl_task4[[คะแนนเต็ม]:[คะแนนเต็ม]]),"",(tbl_task4[17]/tbl_task4[[คะแนนเต็ม]:[คะแนนเต็ม]])*tbl_task4[[%]:[%]])</f>
        <v/>
      </c>
      <c r="GF11" s="121" t="str">
        <f>IF(ISBLANK(tbl_task4[[คะแนนเต็ม]:[คะแนนเต็ม]]),"",(tbl_task4[18]/tbl_task4[[คะแนนเต็ม]:[คะแนนเต็ม]])*tbl_task4[[%]:[%]])</f>
        <v/>
      </c>
      <c r="GG11" s="121" t="str">
        <f>IF(ISBLANK(tbl_task4[[คะแนนเต็ม]:[คะแนนเต็ม]]),"",(tbl_task4[19]/tbl_task4[[คะแนนเต็ม]:[คะแนนเต็ม]])*tbl_task4[[%]:[%]])</f>
        <v/>
      </c>
      <c r="GH11" s="121" t="str">
        <f>IF(ISBLANK(tbl_task4[[คะแนนเต็ม]:[คะแนนเต็ม]]),"",(tbl_task4[20]/tbl_task4[[คะแนนเต็ม]:[คะแนนเต็ม]])*tbl_task4[[%]:[%]])</f>
        <v/>
      </c>
      <c r="GI11" s="121" t="str">
        <f>IF(ISBLANK(tbl_task4[[คะแนนเต็ม]:[คะแนนเต็ม]]),"",(tbl_task4[21]/tbl_task4[[คะแนนเต็ม]:[คะแนนเต็ม]])*tbl_task4[[%]:[%]])</f>
        <v/>
      </c>
      <c r="GJ11" s="121" t="str">
        <f>IF(ISBLANK(tbl_task4[[คะแนนเต็ม]:[คะแนนเต็ม]]),"",(tbl_task4[22]/tbl_task4[[คะแนนเต็ม]:[คะแนนเต็ม]])*tbl_task4[[%]:[%]])</f>
        <v/>
      </c>
      <c r="GK11" s="121" t="str">
        <f>IF(ISBLANK(tbl_task4[[คะแนนเต็ม]:[คะแนนเต็ม]]),"",(tbl_task4[23]/tbl_task4[[คะแนนเต็ม]:[คะแนนเต็ม]])*tbl_task4[[%]:[%]])</f>
        <v/>
      </c>
      <c r="GL11" s="121" t="str">
        <f>IF(ISBLANK(tbl_task4[[คะแนนเต็ม]:[คะแนนเต็ม]]),"",(tbl_task4[24]/tbl_task4[[คะแนนเต็ม]:[คะแนนเต็ม]])*tbl_task4[[%]:[%]])</f>
        <v/>
      </c>
      <c r="GM11" s="121" t="str">
        <f>IF(ISBLANK(tbl_task4[[คะแนนเต็ม]:[คะแนนเต็ม]]),"",(tbl_task4[25]/tbl_task4[[คะแนนเต็ม]:[คะแนนเต็ม]])*tbl_task4[[%]:[%]])</f>
        <v/>
      </c>
      <c r="GN11" s="121" t="str">
        <f>IF(ISBLANK(tbl_task4[[คะแนนเต็ม]:[คะแนนเต็ม]]),"",(tbl_task4[26]/tbl_task4[[คะแนนเต็ม]:[คะแนนเต็ม]])*tbl_task4[[%]:[%]])</f>
        <v/>
      </c>
      <c r="GO11" s="121" t="str">
        <f>IF(ISBLANK(tbl_task4[[คะแนนเต็ม]:[คะแนนเต็ม]]),"",(tbl_task4[27]/tbl_task4[[คะแนนเต็ม]:[คะแนนเต็ม]])*tbl_task4[[%]:[%]])</f>
        <v/>
      </c>
      <c r="GP11" s="121" t="str">
        <f>IF(ISBLANK(tbl_task4[[คะแนนเต็ม]:[คะแนนเต็ม]]),"",(tbl_task4[28]/tbl_task4[[คะแนนเต็ม]:[คะแนนเต็ม]])*tbl_task4[[%]:[%]])</f>
        <v/>
      </c>
      <c r="GQ11" s="121" t="str">
        <f>IF(ISBLANK(tbl_task4[[คะแนนเต็ม]:[คะแนนเต็ม]]),"",(tbl_task4[29]/tbl_task4[[คะแนนเต็ม]:[คะแนนเต็ม]])*tbl_task4[[%]:[%]])</f>
        <v/>
      </c>
      <c r="GR11" s="121" t="str">
        <f>IF(ISBLANK(tbl_task4[[คะแนนเต็ม]:[คะแนนเต็ม]]),"",(tbl_task4[30]/tbl_task4[[คะแนนเต็ม]:[คะแนนเต็ม]])*tbl_task4[[%]:[%]])</f>
        <v/>
      </c>
      <c r="GS11" s="121" t="str">
        <f>IF(ISBLANK(tbl_task4[[คะแนนเต็ม]:[คะแนนเต็ม]]),"",(tbl_task4[31]/tbl_task4[[คะแนนเต็ม]:[คะแนนเต็ม]])*tbl_task4[[%]:[%]])</f>
        <v/>
      </c>
      <c r="GT11" s="121" t="str">
        <f>IF(ISBLANK(tbl_task4[[คะแนนเต็ม]:[คะแนนเต็ม]]),"",(tbl_task4[32]/tbl_task4[[คะแนนเต็ม]:[คะแนนเต็ม]])*tbl_task4[[%]:[%]])</f>
        <v/>
      </c>
      <c r="GU11" s="121" t="str">
        <f>IF(ISBLANK(tbl_task4[[คะแนนเต็ม]:[คะแนนเต็ม]]),"",(tbl_task4[33]/tbl_task4[[คะแนนเต็ม]:[คะแนนเต็ม]])*tbl_task4[[%]:[%]])</f>
        <v/>
      </c>
      <c r="GV11" s="121" t="str">
        <f>IF(ISBLANK(tbl_task4[[คะแนนเต็ม]:[คะแนนเต็ม]]),"",(tbl_task4[34]/tbl_task4[[คะแนนเต็ม]:[คะแนนเต็ม]])*tbl_task4[[%]:[%]])</f>
        <v/>
      </c>
      <c r="GW11" s="121" t="str">
        <f>IF(ISBLANK(tbl_task4[[คะแนนเต็ม]:[คะแนนเต็ม]]),"",(tbl_task4[35]/tbl_task4[[คะแนนเต็ม]:[คะแนนเต็ม]])*tbl_task4[[%]:[%]])</f>
        <v/>
      </c>
      <c r="GX11" s="121" t="str">
        <f>IF(ISBLANK(tbl_task4[[คะแนนเต็ม]:[คะแนนเต็ม]]),"",(tbl_task4[36]/tbl_task4[[คะแนนเต็ม]:[คะแนนเต็ม]])*tbl_task4[[%]:[%]])</f>
        <v/>
      </c>
      <c r="GY11" s="121" t="str">
        <f>IF(ISBLANK(tbl_task4[[คะแนนเต็ม]:[คะแนนเต็ม]]),"",(tbl_task4[37]/tbl_task4[[คะแนนเต็ม]:[คะแนนเต็ม]])*tbl_task4[[%]:[%]])</f>
        <v/>
      </c>
      <c r="GZ11" s="121" t="str">
        <f>IF(ISBLANK(tbl_task4[[คะแนนเต็ม]:[คะแนนเต็ม]]),"",(tbl_task4[38]/tbl_task4[[คะแนนเต็ม]:[คะแนนเต็ม]])*tbl_task4[[%]:[%]])</f>
        <v/>
      </c>
      <c r="HA11" s="121" t="str">
        <f>IF(ISBLANK(tbl_task4[[คะแนนเต็ม]:[คะแนนเต็ม]]),"",(tbl_task4[39]/tbl_task4[[คะแนนเต็ม]:[คะแนนเต็ม]])*tbl_task4[[%]:[%]])</f>
        <v/>
      </c>
      <c r="HB11" s="121" t="str">
        <f>IF(ISBLANK(tbl_task4[[คะแนนเต็ม]:[คะแนนเต็ม]]),"",(tbl_task4[40]/tbl_task4[[คะแนนเต็ม]:[คะแนนเต็ม]])*tbl_task4[[%]:[%]])</f>
        <v/>
      </c>
      <c r="HC11" s="121" t="str">
        <f>IF(ISBLANK(tbl_task4[[คะแนนเต็ม]:[คะแนนเต็ม]]),"",(tbl_task4[41]/tbl_task4[[คะแนนเต็ม]:[คะแนนเต็ม]])*tbl_task4[[%]:[%]])</f>
        <v/>
      </c>
      <c r="HD11" s="121" t="str">
        <f>IF(ISBLANK(tbl_task4[[คะแนนเต็ม]:[คะแนนเต็ม]]),"",(tbl_task4[42]/tbl_task4[[คะแนนเต็ม]:[คะแนนเต็ม]])*tbl_task4[[%]:[%]])</f>
        <v/>
      </c>
      <c r="HE11" s="121" t="str">
        <f>IF(ISBLANK(tbl_task4[[คะแนนเต็ม]:[คะแนนเต็ม]]),"",(tbl_task4[43]/tbl_task4[[คะแนนเต็ม]:[คะแนนเต็ม]])*tbl_task4[[%]:[%]])</f>
        <v/>
      </c>
      <c r="HF11" s="121" t="str">
        <f>IF(ISBLANK(tbl_task4[[คะแนนเต็ม]:[คะแนนเต็ม]]),"",(tbl_task4[44]/tbl_task4[[คะแนนเต็ม]:[คะแนนเต็ม]])*tbl_task4[[%]:[%]])</f>
        <v/>
      </c>
      <c r="HG11" s="121" t="str">
        <f>IF(ISBLANK(tbl_task4[[คะแนนเต็ม]:[คะแนนเต็ม]]),"",(tbl_task4[45]/tbl_task4[[คะแนนเต็ม]:[คะแนนเต็ม]])*tbl_task4[[%]:[%]])</f>
        <v/>
      </c>
      <c r="HH11" s="121" t="str">
        <f>IF(ISBLANK(tbl_task4[[คะแนนเต็ม]:[คะแนนเต็ม]]),"",(tbl_task4[46]/tbl_task4[[คะแนนเต็ม]:[คะแนนเต็ม]])*tbl_task4[[%]:[%]])</f>
        <v/>
      </c>
      <c r="HI11" s="121" t="str">
        <f>IF(ISBLANK(tbl_task4[[คะแนนเต็ม]:[คะแนนเต็ม]]),"",(tbl_task4[47]/tbl_task4[[คะแนนเต็ม]:[คะแนนเต็ม]])*tbl_task4[[%]:[%]])</f>
        <v/>
      </c>
      <c r="HJ11" s="121" t="str">
        <f>IF(ISBLANK(tbl_task4[[คะแนนเต็ม]:[คะแนนเต็ม]]),"",(tbl_task4[48]/tbl_task4[[คะแนนเต็ม]:[คะแนนเต็ม]])*tbl_task4[[%]:[%]])</f>
        <v/>
      </c>
      <c r="HK11" s="121" t="str">
        <f>IF(ISBLANK(tbl_task4[[คะแนนเต็ม]:[คะแนนเต็ม]]),"",(tbl_task4[49]/tbl_task4[[คะแนนเต็ม]:[คะแนนเต็ม]])*tbl_task4[[%]:[%]])</f>
        <v/>
      </c>
      <c r="HL11" s="121" t="str">
        <f>IF(ISBLANK(tbl_task4[[คะแนนเต็ม]:[คะแนนเต็ม]]),"",(tbl_task4[50]/tbl_task4[[คะแนนเต็ม]:[คะแนนเต็ม]])*tbl_task4[[%]:[%]])</f>
        <v/>
      </c>
      <c r="HM11" s="121" t="str">
        <f>IF(ISBLANK(tbl_task4[[คะแนนเต็ม]:[คะแนนเต็ม]]),"",(tbl_task4[51]/tbl_task4[[คะแนนเต็ม]:[คะแนนเต็ม]])*tbl_task4[[%]:[%]])</f>
        <v/>
      </c>
      <c r="HN11" s="121" t="str">
        <f>IF(ISBLANK(tbl_task4[[คะแนนเต็ม]:[คะแนนเต็ม]]),"",(tbl_task4[52]/tbl_task4[[คะแนนเต็ม]:[คะแนนเต็ม]])*tbl_task4[[%]:[%]])</f>
        <v/>
      </c>
      <c r="HO11" s="121" t="str">
        <f>IF(ISBLANK(tbl_task4[[คะแนนเต็ม]:[คะแนนเต็ม]]),"",(tbl_task4[53]/tbl_task4[[คะแนนเต็ม]:[คะแนนเต็ม]])*tbl_task4[[%]:[%]])</f>
        <v/>
      </c>
      <c r="HP11" s="121" t="str">
        <f>IF(ISBLANK(tbl_task4[[คะแนนเต็ม]:[คะแนนเต็ม]]),"",(tbl_task4[54]/tbl_task4[[คะแนนเต็ม]:[คะแนนเต็ม]])*tbl_task4[[%]:[%]])</f>
        <v/>
      </c>
      <c r="HQ11" s="121" t="str">
        <f>IF(ISBLANK(tbl_task4[[คะแนนเต็ม]:[คะแนนเต็ม]]),"",(tbl_task4[55]/tbl_task4[[คะแนนเต็ม]:[คะแนนเต็ม]])*tbl_task4[[%]:[%]])</f>
        <v/>
      </c>
      <c r="HR11" s="121" t="str">
        <f>IF(ISBLANK(tbl_task4[[คะแนนเต็ม]:[คะแนนเต็ม]]),"",(tbl_task4[56]/tbl_task4[[คะแนนเต็ม]:[คะแนนเต็ม]])*tbl_task4[[%]:[%]])</f>
        <v/>
      </c>
      <c r="HS11" s="121" t="str">
        <f>IF(ISBLANK(tbl_task4[[คะแนนเต็ม]:[คะแนนเต็ม]]),"",(tbl_task4[57]/tbl_task4[[คะแนนเต็ม]:[คะแนนเต็ม]])*tbl_task4[[%]:[%]])</f>
        <v/>
      </c>
      <c r="HT11" s="121" t="str">
        <f>IF(ISBLANK(tbl_task4[[คะแนนเต็ม]:[คะแนนเต็ม]]),"",(tbl_task4[58]/tbl_task4[[คะแนนเต็ม]:[คะแนนเต็ม]])*tbl_task4[[%]:[%]])</f>
        <v/>
      </c>
      <c r="HU11" s="121" t="str">
        <f>IF(ISBLANK(tbl_task4[[คะแนนเต็ม]:[คะแนนเต็ม]]),"",(tbl_task4[59]/tbl_task4[[คะแนนเต็ม]:[คะแนนเต็ม]])*tbl_task4[[%]:[%]])</f>
        <v/>
      </c>
      <c r="HV11" s="121" t="str">
        <f>IF(ISBLANK(tbl_task4[[คะแนนเต็ม]:[คะแนนเต็ม]]),"",(tbl_task4[60]/tbl_task4[[คะแนนเต็ม]:[คะแนนเต็ม]])*tbl_task4[[%]:[%]])</f>
        <v/>
      </c>
      <c r="HW11" s="121" t="str">
        <f>IF(ISBLANK(tbl_task4[[คะแนนเต็ม]:[คะแนนเต็ม]]),"",(tbl_task4[61]/tbl_task4[[คะแนนเต็ม]:[คะแนนเต็ม]])*tbl_task4[[%]:[%]])</f>
        <v/>
      </c>
      <c r="HX11" s="121" t="str">
        <f>IF(ISBLANK(tbl_task4[[คะแนนเต็ม]:[คะแนนเต็ม]]),"",(tbl_task4[62]/tbl_task4[[คะแนนเต็ม]:[คะแนนเต็ม]])*tbl_task4[[%]:[%]])</f>
        <v/>
      </c>
      <c r="HY11" s="121" t="str">
        <f>IF(ISBLANK(tbl_task4[[คะแนนเต็ม]:[คะแนนเต็ม]]),"",(tbl_task4[63]/tbl_task4[[คะแนนเต็ม]:[คะแนนเต็ม]])*tbl_task4[[%]:[%]])</f>
        <v/>
      </c>
      <c r="HZ11" s="121" t="str">
        <f>IF(ISBLANK(tbl_task4[[คะแนนเต็ม]:[คะแนนเต็ม]]),"",(tbl_task4[64]/tbl_task4[[คะแนนเต็ม]:[คะแนนเต็ม]])*tbl_task4[[%]:[%]])</f>
        <v/>
      </c>
      <c r="IA11" s="121" t="str">
        <f>IF(ISBLANK(tbl_task4[[คะแนนเต็ม]:[คะแนนเต็ม]]),"",(tbl_task4[65]/tbl_task4[[คะแนนเต็ม]:[คะแนนเต็ม]])*tbl_task4[[%]:[%]])</f>
        <v/>
      </c>
      <c r="IB11" s="121" t="str">
        <f>IF(ISBLANK(tbl_task4[[คะแนนเต็ม]:[คะแนนเต็ม]]),"",(tbl_task4[66]/tbl_task4[[คะแนนเต็ม]:[คะแนนเต็ม]])*tbl_task4[[%]:[%]])</f>
        <v/>
      </c>
      <c r="IC11" s="121" t="str">
        <f>IF(ISBLANK(tbl_task4[[คะแนนเต็ม]:[คะแนนเต็ม]]),"",(tbl_task4[67]/tbl_task4[[คะแนนเต็ม]:[คะแนนเต็ม]])*tbl_task4[[%]:[%]])</f>
        <v/>
      </c>
      <c r="ID11" s="121" t="str">
        <f>IF(ISBLANK(tbl_task4[[คะแนนเต็ม]:[คะแนนเต็ม]]),"",(tbl_task4[68]/tbl_task4[[คะแนนเต็ม]:[คะแนนเต็ม]])*tbl_task4[[%]:[%]])</f>
        <v/>
      </c>
      <c r="IE11" s="121" t="str">
        <f>IF(ISBLANK(tbl_task4[[คะแนนเต็ม]:[คะแนนเต็ม]]),"",(tbl_task4[69]/tbl_task4[[คะแนนเต็ม]:[คะแนนเต็ม]])*tbl_task4[[%]:[%]])</f>
        <v/>
      </c>
      <c r="IF11" s="121" t="str">
        <f>IF(ISBLANK(tbl_task4[[คะแนนเต็ม]:[คะแนนเต็ม]]),"",(tbl_task4[70]/tbl_task4[[คะแนนเต็ม]:[คะแนนเต็ม]])*tbl_task4[[%]:[%]])</f>
        <v/>
      </c>
      <c r="IG11" s="121" t="str">
        <f>IF(ISBLANK(tbl_task4[[คะแนนเต็ม]:[คะแนนเต็ม]]),"",(tbl_task4[71]/tbl_task4[[คะแนนเต็ม]:[คะแนนเต็ม]])*tbl_task4[[%]:[%]])</f>
        <v/>
      </c>
      <c r="IH11" s="121" t="str">
        <f>IF(ISBLANK(tbl_task4[[คะแนนเต็ม]:[คะแนนเต็ม]]),"",(tbl_task4[72]/tbl_task4[[คะแนนเต็ม]:[คะแนนเต็ม]])*tbl_task4[[%]:[%]])</f>
        <v/>
      </c>
      <c r="II11" s="121" t="str">
        <f>IF(ISBLANK(tbl_task4[[คะแนนเต็ม]:[คะแนนเต็ม]]),"",(tbl_task4[73]/tbl_task4[[คะแนนเต็ม]:[คะแนนเต็ม]])*tbl_task4[[%]:[%]])</f>
        <v/>
      </c>
      <c r="IJ11" s="121" t="str">
        <f>IF(ISBLANK(tbl_task4[[คะแนนเต็ม]:[คะแนนเต็ม]]),"",(tbl_task4[74]/tbl_task4[[คะแนนเต็ม]:[คะแนนเต็ม]])*tbl_task4[[%]:[%]])</f>
        <v/>
      </c>
      <c r="IK11" s="121" t="str">
        <f>IF(ISBLANK(tbl_task4[[คะแนนเต็ม]:[คะแนนเต็ม]]),"",(tbl_task4[75]/tbl_task4[[คะแนนเต็ม]:[คะแนนเต็ม]])*tbl_task4[[%]:[%]])</f>
        <v/>
      </c>
      <c r="IL11" s="121" t="str">
        <f>IF(ISBLANK(tbl_task4[[คะแนนเต็ม]:[คะแนนเต็ม]]),"",(tbl_task4[76]/tbl_task4[[คะแนนเต็ม]:[คะแนนเต็ม]])*tbl_task4[[%]:[%]])</f>
        <v/>
      </c>
      <c r="IM11" s="121" t="str">
        <f>IF(ISBLANK(tbl_task4[[คะแนนเต็ม]:[คะแนนเต็ม]]),"",(tbl_task4[77]/tbl_task4[[คะแนนเต็ม]:[คะแนนเต็ม]])*tbl_task4[[%]:[%]])</f>
        <v/>
      </c>
      <c r="IN11" s="121" t="str">
        <f>IF(ISBLANK(tbl_task4[[คะแนนเต็ม]:[คะแนนเต็ม]]),"",(tbl_task4[78]/tbl_task4[[คะแนนเต็ม]:[คะแนนเต็ม]])*tbl_task4[[%]:[%]])</f>
        <v/>
      </c>
      <c r="IO11" s="121" t="str">
        <f>IF(ISBLANK(tbl_task4[[คะแนนเต็ม]:[คะแนนเต็ม]]),"",(tbl_task4[79]/tbl_task4[[คะแนนเต็ม]:[คะแนนเต็ม]])*tbl_task4[[%]:[%]])</f>
        <v/>
      </c>
      <c r="IP11" s="121" t="str">
        <f>IF(ISBLANK(tbl_task4[[คะแนนเต็ม]:[คะแนนเต็ม]]),"",(tbl_task4[80]/tbl_task4[[คะแนนเต็ม]:[คะแนนเต็ม]])*tbl_task4[[%]:[%]])</f>
        <v/>
      </c>
      <c r="IQ11" s="121" t="str">
        <f>IF(ISBLANK(tbl_task4[[คะแนนเต็ม]:[คะแนนเต็ม]]),"",(tbl_task4[81]/tbl_task4[[คะแนนเต็ม]:[คะแนนเต็ม]])*tbl_task4[[%]:[%]])</f>
        <v/>
      </c>
      <c r="IR11" s="121" t="str">
        <f>IF(ISBLANK(tbl_task4[[คะแนนเต็ม]:[คะแนนเต็ม]]),"",(tbl_task4[82]/tbl_task4[[คะแนนเต็ม]:[คะแนนเต็ม]])*tbl_task4[[%]:[%]])</f>
        <v/>
      </c>
      <c r="IS11" s="121" t="str">
        <f>IF(ISBLANK(tbl_task4[[คะแนนเต็ม]:[คะแนนเต็ม]]),"",(tbl_task4[83]/tbl_task4[[คะแนนเต็ม]:[คะแนนเต็ม]])*tbl_task4[[%]:[%]])</f>
        <v/>
      </c>
      <c r="IT11" s="121" t="str">
        <f>IF(ISBLANK(tbl_task4[[คะแนนเต็ม]:[คะแนนเต็ม]]),"",(tbl_task4[84]/tbl_task4[[คะแนนเต็ม]:[คะแนนเต็ม]])*tbl_task4[[%]:[%]])</f>
        <v/>
      </c>
      <c r="IU11" s="121" t="str">
        <f>IF(ISBLANK(tbl_task4[[คะแนนเต็ม]:[คะแนนเต็ม]]),"",(tbl_task4[85]/tbl_task4[[คะแนนเต็ม]:[คะแนนเต็ม]])*tbl_task4[[%]:[%]])</f>
        <v/>
      </c>
      <c r="IV11" s="121" t="str">
        <f>IF(ISBLANK(tbl_task4[[คะแนนเต็ม]:[คะแนนเต็ม]]),"",(tbl_task4[86]/tbl_task4[[คะแนนเต็ม]:[คะแนนเต็ม]])*tbl_task4[[%]:[%]])</f>
        <v/>
      </c>
      <c r="IW11" s="121" t="str">
        <f>IF(ISBLANK(tbl_task4[[คะแนนเต็ม]:[คะแนนเต็ม]]),"",(tbl_task4[87]/tbl_task4[[คะแนนเต็ม]:[คะแนนเต็ม]])*tbl_task4[[%]:[%]])</f>
        <v/>
      </c>
      <c r="IX11" s="121" t="str">
        <f>IF(ISBLANK(tbl_task4[[คะแนนเต็ม]:[คะแนนเต็ม]]),"",(tbl_task4[88]/tbl_task4[[คะแนนเต็ม]:[คะแนนเต็ม]])*tbl_task4[[%]:[%]])</f>
        <v/>
      </c>
      <c r="IY11" s="121" t="str">
        <f>IF(ISBLANK(tbl_task4[[คะแนนเต็ม]:[คะแนนเต็ม]]),"",(tbl_task4[89]/tbl_task4[[คะแนนเต็ม]:[คะแนนเต็ม]])*tbl_task4[[%]:[%]])</f>
        <v/>
      </c>
      <c r="IZ11" s="121" t="str">
        <f>IF(ISBLANK(tbl_task4[[คะแนนเต็ม]:[คะแนนเต็ม]]),"",(tbl_task4[90]/tbl_task4[[คะแนนเต็ม]:[คะแนนเต็ม]])*tbl_task4[[%]:[%]])</f>
        <v/>
      </c>
      <c r="JA11" s="121" t="str">
        <f>IF(ISBLANK(tbl_task4[[คะแนนเต็ม]:[คะแนนเต็ม]]),"",(tbl_task4[91]/tbl_task4[[คะแนนเต็ม]:[คะแนนเต็ม]])*tbl_task4[[%]:[%]])</f>
        <v/>
      </c>
      <c r="JB11" s="121" t="str">
        <f>IF(ISBLANK(tbl_task4[[คะแนนเต็ม]:[คะแนนเต็ม]]),"",(tbl_task4[92]/tbl_task4[[คะแนนเต็ม]:[คะแนนเต็ม]])*tbl_task4[[%]:[%]])</f>
        <v/>
      </c>
      <c r="JC11" s="121" t="str">
        <f>IF(ISBLANK(tbl_task4[[คะแนนเต็ม]:[คะแนนเต็ม]]),"",(tbl_task4[93]/tbl_task4[[คะแนนเต็ม]:[คะแนนเต็ม]])*tbl_task4[[%]:[%]])</f>
        <v/>
      </c>
      <c r="JD11" s="121" t="str">
        <f>IF(ISBLANK(tbl_task4[[คะแนนเต็ม]:[คะแนนเต็ม]]),"",(tbl_task4[94]/tbl_task4[[คะแนนเต็ม]:[คะแนนเต็ม]])*tbl_task4[[%]:[%]])</f>
        <v/>
      </c>
      <c r="JE11" s="121" t="str">
        <f>IF(ISBLANK(tbl_task4[[คะแนนเต็ม]:[คะแนนเต็ม]]),"",(tbl_task4[95]/tbl_task4[[คะแนนเต็ม]:[คะแนนเต็ม]])*tbl_task4[[%]:[%]])</f>
        <v/>
      </c>
      <c r="JF11" s="121" t="str">
        <f>IF(ISBLANK(tbl_task4[[คะแนนเต็ม]:[คะแนนเต็ม]]),"",(tbl_task4[96]/tbl_task4[[คะแนนเต็ม]:[คะแนนเต็ม]])*tbl_task4[[%]:[%]])</f>
        <v/>
      </c>
      <c r="JG11" s="121" t="str">
        <f>IF(ISBLANK(tbl_task4[[คะแนนเต็ม]:[คะแนนเต็ม]]),"",(tbl_task4[97]/tbl_task4[[คะแนนเต็ม]:[คะแนนเต็ม]])*tbl_task4[[%]:[%]])</f>
        <v/>
      </c>
      <c r="JH11" s="121" t="str">
        <f>IF(ISBLANK(tbl_task4[[คะแนนเต็ม]:[คะแนนเต็ม]]),"",(tbl_task4[98]/tbl_task4[[คะแนนเต็ม]:[คะแนนเต็ม]])*tbl_task4[[%]:[%]])</f>
        <v/>
      </c>
      <c r="JI11" s="121" t="str">
        <f>IF(ISBLANK(tbl_task4[[คะแนนเต็ม]:[คะแนนเต็ม]]),"",(tbl_task4[99]/tbl_task4[[คะแนนเต็ม]:[คะแนนเต็ม]])*tbl_task4[[%]:[%]])</f>
        <v/>
      </c>
      <c r="JJ11" s="121" t="str">
        <f>IF(ISBLANK(tbl_task4[[คะแนนเต็ม]:[คะแนนเต็ม]]),"",(tbl_task4[100]/tbl_task4[[คะแนนเต็ม]:[คะแนนเต็ม]])*tbl_task4[[%]:[%]])</f>
        <v/>
      </c>
      <c r="JK11" s="121" t="str">
        <f>IF(ISBLANK(tbl_task4[[คะแนนเต็ม]:[คะแนนเต็ม]]),"",(tbl_task4[101]/tbl_task4[[คะแนนเต็ม]:[คะแนนเต็ม]])*tbl_task4[[%]:[%]])</f>
        <v/>
      </c>
      <c r="JL11" s="121" t="str">
        <f>IF(ISBLANK(tbl_task4[[คะแนนเต็ม]:[คะแนนเต็ม]]),"",(tbl_task4[102]/tbl_task4[[คะแนนเต็ม]:[คะแนนเต็ม]])*tbl_task4[[%]:[%]])</f>
        <v/>
      </c>
      <c r="JM11" s="121" t="str">
        <f>IF(ISBLANK(tbl_task4[[คะแนนเต็ม]:[คะแนนเต็ม]]),"",(tbl_task4[103]/tbl_task4[[คะแนนเต็ม]:[คะแนนเต็ม]])*tbl_task4[[%]:[%]])</f>
        <v/>
      </c>
      <c r="JN11" s="121" t="str">
        <f>IF(ISBLANK(tbl_task4[[คะแนนเต็ม]:[คะแนนเต็ม]]),"",(tbl_task4[104]/tbl_task4[[คะแนนเต็ม]:[คะแนนเต็ม]])*tbl_task4[[%]:[%]])</f>
        <v/>
      </c>
      <c r="JO11" s="121" t="str">
        <f>IF(ISBLANK(tbl_task4[[คะแนนเต็ม]:[คะแนนเต็ม]]),"",(tbl_task4[105]/tbl_task4[[คะแนนเต็ม]:[คะแนนเต็ม]])*tbl_task4[[%]:[%]])</f>
        <v/>
      </c>
      <c r="JP11" s="121" t="str">
        <f>IF(ISBLANK(tbl_task4[[คะแนนเต็ม]:[คะแนนเต็ม]]),"",(tbl_task4[106]/tbl_task4[[คะแนนเต็ม]:[คะแนนเต็ม]])*tbl_task4[[%]:[%]])</f>
        <v/>
      </c>
      <c r="JQ11" s="121" t="str">
        <f>IF(ISBLANK(tbl_task4[[คะแนนเต็ม]:[คะแนนเต็ม]]),"",(tbl_task4[107]/tbl_task4[[คะแนนเต็ม]:[คะแนนเต็ม]])*tbl_task4[[%]:[%]])</f>
        <v/>
      </c>
      <c r="JR11" s="121" t="str">
        <f>IF(ISBLANK(tbl_task4[[คะแนนเต็ม]:[คะแนนเต็ม]]),"",(tbl_task4[108]/tbl_task4[[คะแนนเต็ม]:[คะแนนเต็ม]])*tbl_task4[[%]:[%]])</f>
        <v/>
      </c>
      <c r="JS11" s="121" t="str">
        <f>IF(ISBLANK(tbl_task4[[คะแนนเต็ม]:[คะแนนเต็ม]]),"",(tbl_task4[109]/tbl_task4[[คะแนนเต็ม]:[คะแนนเต็ม]])*tbl_task4[[%]:[%]])</f>
        <v/>
      </c>
      <c r="JT11" s="121" t="str">
        <f>IF(ISBLANK(tbl_task4[[คะแนนเต็ม]:[คะแนนเต็ม]]),"",(tbl_task4[110]/tbl_task4[[คะแนนเต็ม]:[คะแนนเต็ม]])*tbl_task4[[%]:[%]])</f>
        <v/>
      </c>
      <c r="JU11" s="121" t="str">
        <f>IF(ISBLANK(tbl_task4[[คะแนนเต็ม]:[คะแนนเต็ม]]),"",(tbl_task4[111]/tbl_task4[[คะแนนเต็ม]:[คะแนนเต็ม]])*tbl_task4[[%]:[%]])</f>
        <v/>
      </c>
      <c r="JV11" s="121" t="str">
        <f>IF(ISBLANK(tbl_task4[[คะแนนเต็ม]:[คะแนนเต็ม]]),"",(tbl_task4[112]/tbl_task4[[คะแนนเต็ม]:[คะแนนเต็ม]])*tbl_task4[[%]:[%]])</f>
        <v/>
      </c>
      <c r="JW11" s="121" t="str">
        <f>IF(ISBLANK(tbl_task4[[คะแนนเต็ม]:[คะแนนเต็ม]]),"",(tbl_task4[113]/tbl_task4[[คะแนนเต็ม]:[คะแนนเต็ม]])*tbl_task4[[%]:[%]])</f>
        <v/>
      </c>
      <c r="JX11" s="121" t="str">
        <f>IF(ISBLANK(tbl_task4[[คะแนนเต็ม]:[คะแนนเต็ม]]),"",(tbl_task4[114]/tbl_task4[[คะแนนเต็ม]:[คะแนนเต็ม]])*tbl_task4[[%]:[%]])</f>
        <v/>
      </c>
      <c r="JY11" s="121" t="str">
        <f>IF(ISBLANK(tbl_task4[[คะแนนเต็ม]:[คะแนนเต็ม]]),"",(tbl_task4[115]/tbl_task4[[คะแนนเต็ม]:[คะแนนเต็ม]])*tbl_task4[[%]:[%]])</f>
        <v/>
      </c>
      <c r="JZ11" s="121" t="str">
        <f>IF(ISBLANK(tbl_task4[[คะแนนเต็ม]:[คะแนนเต็ม]]),"",(tbl_task4[116]/tbl_task4[[คะแนนเต็ม]:[คะแนนเต็ม]])*tbl_task4[[%]:[%]])</f>
        <v/>
      </c>
      <c r="KA11" s="121" t="str">
        <f>IF(ISBLANK(tbl_task4[[คะแนนเต็ม]:[คะแนนเต็ม]]),"",(tbl_task4[117]/tbl_task4[[คะแนนเต็ม]:[คะแนนเต็ม]])*tbl_task4[[%]:[%]])</f>
        <v/>
      </c>
      <c r="KB11" s="121" t="str">
        <f>IF(ISBLANK(tbl_task4[[คะแนนเต็ม]:[คะแนนเต็ม]]),"",(tbl_task4[118]/tbl_task4[[คะแนนเต็ม]:[คะแนนเต็ม]])*tbl_task4[[%]:[%]])</f>
        <v/>
      </c>
      <c r="KC11" s="121" t="str">
        <f>IF(ISBLANK(tbl_task4[[คะแนนเต็ม]:[คะแนนเต็ม]]),"",(tbl_task4[119]/tbl_task4[[คะแนนเต็ม]:[คะแนนเต็ม]])*tbl_task4[[%]:[%]])</f>
        <v/>
      </c>
      <c r="KD11" s="121" t="str">
        <f>IF(ISBLANK(tbl_task4[[คะแนนเต็ม]:[คะแนนเต็ม]]),"",(tbl_task4[120]/tbl_task4[[คะแนนเต็ม]:[คะแนนเต็ม]])*tbl_task4[[%]:[%]])</f>
        <v/>
      </c>
      <c r="KE11" s="121" t="str">
        <f>IF(ISBLANK(tbl_task4[[คะแนนเต็ม]:[คะแนนเต็ม]]),"",(tbl_task4[121]/tbl_task4[[คะแนนเต็ม]:[คะแนนเต็ม]])*tbl_task4[[%]:[%]])</f>
        <v/>
      </c>
      <c r="KF11" s="121" t="str">
        <f>IF(ISBLANK(tbl_task4[[คะแนนเต็ม]:[คะแนนเต็ม]]),"",(tbl_task4[122]/tbl_task4[[คะแนนเต็ม]:[คะแนนเต็ม]])*tbl_task4[[%]:[%]])</f>
        <v/>
      </c>
      <c r="KG11" s="121" t="str">
        <f>IF(ISBLANK(tbl_task4[[คะแนนเต็ม]:[คะแนนเต็ม]]),"",(tbl_task4[123]/tbl_task4[[คะแนนเต็ม]:[คะแนนเต็ม]])*tbl_task4[[%]:[%]])</f>
        <v/>
      </c>
      <c r="KH11" s="121" t="str">
        <f>IF(ISBLANK(tbl_task4[[คะแนนเต็ม]:[คะแนนเต็ม]]),"",(tbl_task4[124]/tbl_task4[[คะแนนเต็ม]:[คะแนนเต็ม]])*tbl_task4[[%]:[%]])</f>
        <v/>
      </c>
      <c r="KI11" s="121" t="str">
        <f>IF(ISBLANK(tbl_task4[[คะแนนเต็ม]:[คะแนนเต็ม]]),"",(tbl_task4[125]/tbl_task4[[คะแนนเต็ม]:[คะแนนเต็ม]])*tbl_task4[[%]:[%]])</f>
        <v/>
      </c>
      <c r="KJ11" s="121" t="str">
        <f>IF(ISBLANK(tbl_task4[[คะแนนเต็ม]:[คะแนนเต็ม]]),"",(tbl_task4[126]/tbl_task4[[คะแนนเต็ม]:[คะแนนเต็ม]])*tbl_task4[[%]:[%]])</f>
        <v/>
      </c>
      <c r="KK11" s="121" t="str">
        <f>IF(ISBLANK(tbl_task4[[คะแนนเต็ม]:[คะแนนเต็ม]]),"",(tbl_task4[127]/tbl_task4[[คะแนนเต็ม]:[คะแนนเต็ม]])*tbl_task4[[%]:[%]])</f>
        <v/>
      </c>
      <c r="KL11" s="121" t="str">
        <f>IF(ISBLANK(tbl_task4[[คะแนนเต็ม]:[คะแนนเต็ม]]),"",(tbl_task4[128]/tbl_task4[[คะแนนเต็ม]:[คะแนนเต็ม]])*tbl_task4[[%]:[%]])</f>
        <v/>
      </c>
      <c r="KM11" s="121" t="str">
        <f>IF(ISBLANK(tbl_task4[[คะแนนเต็ม]:[คะแนนเต็ม]]),"",(tbl_task4[129]/tbl_task4[[คะแนนเต็ม]:[คะแนนเต็ม]])*tbl_task4[[%]:[%]])</f>
        <v/>
      </c>
      <c r="KN11" s="121" t="str">
        <f>IF(ISBLANK(tbl_task4[[คะแนนเต็ม]:[คะแนนเต็ม]]),"",(tbl_task4[130]/tbl_task4[[คะแนนเต็ม]:[คะแนนเต็ม]])*tbl_task4[[%]:[%]])</f>
        <v/>
      </c>
      <c r="KO11" s="121" t="str">
        <f>IF(ISBLANK(tbl_task4[[คะแนนเต็ม]:[คะแนนเต็ม]]),"",(tbl_task4[131]/tbl_task4[[คะแนนเต็ม]:[คะแนนเต็ม]])*tbl_task4[[%]:[%]])</f>
        <v/>
      </c>
      <c r="KP11" s="121" t="str">
        <f>IF(ISBLANK(tbl_task4[[คะแนนเต็ม]:[คะแนนเต็ม]]),"",(tbl_task4[132]/tbl_task4[[คะแนนเต็ม]:[คะแนนเต็ม]])*tbl_task4[[%]:[%]])</f>
        <v/>
      </c>
      <c r="KQ11" s="121" t="str">
        <f>IF(ISBLANK(tbl_task4[[คะแนนเต็ม]:[คะแนนเต็ม]]),"",(tbl_task4[133]/tbl_task4[[คะแนนเต็ม]:[คะแนนเต็ม]])*tbl_task4[[%]:[%]])</f>
        <v/>
      </c>
      <c r="KR11" s="121" t="str">
        <f>IF(ISBLANK(tbl_task4[[คะแนนเต็ม]:[คะแนนเต็ม]]),"",(tbl_task4[134]/tbl_task4[[คะแนนเต็ม]:[คะแนนเต็ม]])*tbl_task4[[%]:[%]])</f>
        <v/>
      </c>
      <c r="KS11" s="121" t="str">
        <f>IF(ISBLANK(tbl_task4[[คะแนนเต็ม]:[คะแนนเต็ม]]),"",(tbl_task4[135]/tbl_task4[[คะแนนเต็ม]:[คะแนนเต็ม]])*tbl_task4[[%]:[%]])</f>
        <v/>
      </c>
      <c r="KT11" s="121" t="str">
        <f>IF(ISBLANK(tbl_task4[[คะแนนเต็ม]:[คะแนนเต็ม]]),"",(tbl_task4[136]/tbl_task4[[คะแนนเต็ม]:[คะแนนเต็ม]])*tbl_task4[[%]:[%]])</f>
        <v/>
      </c>
      <c r="KU11" s="121" t="str">
        <f>IF(ISBLANK(tbl_task4[[คะแนนเต็ม]:[คะแนนเต็ม]]),"",(tbl_task4[137]/tbl_task4[[คะแนนเต็ม]:[คะแนนเต็ม]])*tbl_task4[[%]:[%]])</f>
        <v/>
      </c>
      <c r="KV11" s="121" t="str">
        <f>IF(ISBLANK(tbl_task4[[คะแนนเต็ม]:[คะแนนเต็ม]]),"",(tbl_task4[138]/tbl_task4[[คะแนนเต็ม]:[คะแนนเต็ม]])*tbl_task4[[%]:[%]])</f>
        <v/>
      </c>
      <c r="KW11" s="121" t="str">
        <f>IF(ISBLANK(tbl_task4[[คะแนนเต็ม]:[คะแนนเต็ม]]),"",(tbl_task4[139]/tbl_task4[[คะแนนเต็ม]:[คะแนนเต็ม]])*tbl_task4[[%]:[%]])</f>
        <v/>
      </c>
      <c r="KX11" s="121" t="str">
        <f>IF(ISBLANK(tbl_task4[[คะแนนเต็ม]:[คะแนนเต็ม]]),"",(tbl_task4[140]/tbl_task4[[คะแนนเต็ม]:[คะแนนเต็ม]])*tbl_task4[[%]:[%]])</f>
        <v/>
      </c>
      <c r="KY11" s="121" t="str">
        <f>IF(ISBLANK(tbl_task4[[คะแนนเต็ม]:[คะแนนเต็ม]]),"",(tbl_task4[141]/tbl_task4[[คะแนนเต็ม]:[คะแนนเต็ม]])*tbl_task4[[%]:[%]])</f>
        <v/>
      </c>
      <c r="KZ11" s="121" t="str">
        <f>IF(ISBLANK(tbl_task4[[คะแนนเต็ม]:[คะแนนเต็ม]]),"",(tbl_task4[142]/tbl_task4[[คะแนนเต็ม]:[คะแนนเต็ม]])*tbl_task4[[%]:[%]])</f>
        <v/>
      </c>
      <c r="LA11" s="121" t="str">
        <f>IF(ISBLANK(tbl_task4[[คะแนนเต็ม]:[คะแนนเต็ม]]),"",(tbl_task4[143]/tbl_task4[[คะแนนเต็ม]:[คะแนนเต็ม]])*tbl_task4[[%]:[%]])</f>
        <v/>
      </c>
      <c r="LB11" s="121" t="str">
        <f>IF(ISBLANK(tbl_task4[[คะแนนเต็ม]:[คะแนนเต็ม]]),"",(tbl_task4[144]/tbl_task4[[คะแนนเต็ม]:[คะแนนเต็ม]])*tbl_task4[[%]:[%]])</f>
        <v/>
      </c>
      <c r="LC11" s="121" t="str">
        <f>IF(ISBLANK(tbl_task4[[คะแนนเต็ม]:[คะแนนเต็ม]]),"",(tbl_task4[145]/tbl_task4[[คะแนนเต็ม]:[คะแนนเต็ม]])*tbl_task4[[%]:[%]])</f>
        <v/>
      </c>
      <c r="LD11" s="121" t="str">
        <f>IF(ISBLANK(tbl_task4[[คะแนนเต็ม]:[คะแนนเต็ม]]),"",(tbl_task4[146]/tbl_task4[[คะแนนเต็ม]:[คะแนนเต็ม]])*tbl_task4[[%]:[%]])</f>
        <v/>
      </c>
      <c r="LE11" s="121" t="str">
        <f>IF(ISBLANK(tbl_task4[[คะแนนเต็ม]:[คะแนนเต็ม]]),"",(tbl_task4[147]/tbl_task4[[คะแนนเต็ม]:[คะแนนเต็ม]])*tbl_task4[[%]:[%]])</f>
        <v/>
      </c>
      <c r="LF11" s="121" t="str">
        <f>IF(ISBLANK(tbl_task4[[คะแนนเต็ม]:[คะแนนเต็ม]]),"",(tbl_task4[148]/tbl_task4[[คะแนนเต็ม]:[คะแนนเต็ม]])*tbl_task4[[%]:[%]])</f>
        <v/>
      </c>
      <c r="LG11" s="121" t="str">
        <f>IF(ISBLANK(tbl_task4[[คะแนนเต็ม]:[คะแนนเต็ม]]),"",(tbl_task4[149]/tbl_task4[[คะแนนเต็ม]:[คะแนนเต็ม]])*tbl_task4[[%]:[%]])</f>
        <v/>
      </c>
      <c r="LH11" s="121" t="str">
        <f>IF(ISBLANK(tbl_task4[[คะแนนเต็ม]:[คะแนนเต็ม]]),"",(tbl_task4[150]/tbl_task4[[คะแนนเต็ม]:[คะแนนเต็ม]])*tbl_task4[[%]:[%]])</f>
        <v/>
      </c>
      <c r="LI11" s="121" t="str">
        <f>IF(ISBLANK(tbl_task4[[คะแนนเต็ม]:[คะแนนเต็ม]]),"",(tbl_task4[151]/tbl_task4[[คะแนนเต็ม]:[คะแนนเต็ม]])*tbl_task4[[%]:[%]])</f>
        <v/>
      </c>
      <c r="LJ11" s="121" t="str">
        <f>IF(ISBLANK(tbl_task4[[คะแนนเต็ม]:[คะแนนเต็ม]]),"",(tbl_task4[152]/tbl_task4[[คะแนนเต็ม]:[คะแนนเต็ม]])*tbl_task4[[%]:[%]])</f>
        <v/>
      </c>
      <c r="LK11" s="121" t="str">
        <f>IF(ISBLANK(tbl_task4[[คะแนนเต็ม]:[คะแนนเต็ม]]),"",(tbl_task4[153]/tbl_task4[[คะแนนเต็ม]:[คะแนนเต็ม]])*tbl_task4[[%]:[%]])</f>
        <v/>
      </c>
      <c r="LL11" s="121" t="str">
        <f>IF(ISBLANK(tbl_task4[[คะแนนเต็ม]:[คะแนนเต็ม]]),"",(tbl_task4[154]/tbl_task4[[คะแนนเต็ม]:[คะแนนเต็ม]])*tbl_task4[[%]:[%]])</f>
        <v/>
      </c>
      <c r="LM11" s="121" t="str">
        <f>IF(ISBLANK(tbl_task4[[คะแนนเต็ม]:[คะแนนเต็ม]]),"",(tbl_task4[155]/tbl_task4[[คะแนนเต็ม]:[คะแนนเต็ม]])*tbl_task4[[%]:[%]])</f>
        <v/>
      </c>
      <c r="LN11" s="121" t="str">
        <f>IF(ISBLANK(tbl_task4[[คะแนนเต็ม]:[คะแนนเต็ม]]),"",(tbl_task4[156]/tbl_task4[[คะแนนเต็ม]:[คะแนนเต็ม]])*tbl_task4[[%]:[%]])</f>
        <v/>
      </c>
      <c r="LO11" s="121" t="str">
        <f>IF(ISBLANK(tbl_task4[[คะแนนเต็ม]:[คะแนนเต็ม]]),"",(tbl_task4[157]/tbl_task4[[คะแนนเต็ม]:[คะแนนเต็ม]])*tbl_task4[[%]:[%]])</f>
        <v/>
      </c>
      <c r="LP11" s="121" t="str">
        <f>IF(ISBLANK(tbl_task4[[คะแนนเต็ม]:[คะแนนเต็ม]]),"",(tbl_task4[158]/tbl_task4[[คะแนนเต็ม]:[คะแนนเต็ม]])*tbl_task4[[%]:[%]])</f>
        <v/>
      </c>
      <c r="LQ11" s="121" t="str">
        <f>IF(ISBLANK(tbl_task4[[คะแนนเต็ม]:[คะแนนเต็ม]]),"",(tbl_task4[159]/tbl_task4[[คะแนนเต็ม]:[คะแนนเต็ม]])*tbl_task4[[%]:[%]])</f>
        <v/>
      </c>
      <c r="LR11" s="121" t="str">
        <f>IF(ISBLANK(tbl_task4[[คะแนนเต็ม]:[คะแนนเต็ม]]),"",(tbl_task4[160]/tbl_task4[[คะแนนเต็ม]:[คะแนนเต็ม]])*tbl_task4[[%]:[%]])</f>
        <v/>
      </c>
      <c r="LS11" s="121" t="str">
        <f>IF(ISBLANK(tbl_task4[[คะแนนเต็ม]:[คะแนนเต็ม]]),"",(tbl_task4[161]/tbl_task4[[คะแนนเต็ม]:[คะแนนเต็ม]])*tbl_task4[[%]:[%]])</f>
        <v/>
      </c>
      <c r="LT11" s="121" t="str">
        <f>IF(ISBLANK(tbl_task4[[คะแนนเต็ม]:[คะแนนเต็ม]]),"",(tbl_task4[162]/tbl_task4[[คะแนนเต็ม]:[คะแนนเต็ม]])*tbl_task4[[%]:[%]])</f>
        <v/>
      </c>
      <c r="LU11" s="121" t="str">
        <f>IF(ISBLANK(tbl_task4[[คะแนนเต็ม]:[คะแนนเต็ม]]),"",(tbl_task4[163]/tbl_task4[[คะแนนเต็ม]:[คะแนนเต็ม]])*tbl_task4[[%]:[%]])</f>
        <v/>
      </c>
      <c r="LV11" s="121" t="str">
        <f>IF(ISBLANK(tbl_task4[[คะแนนเต็ม]:[คะแนนเต็ม]]),"",(tbl_task4[164]/tbl_task4[[คะแนนเต็ม]:[คะแนนเต็ม]])*tbl_task4[[%]:[%]])</f>
        <v/>
      </c>
      <c r="LW11" s="121" t="str">
        <f>IF(ISBLANK(tbl_task4[[คะแนนเต็ม]:[คะแนนเต็ม]]),"",(tbl_task4[165]/tbl_task4[[คะแนนเต็ม]:[คะแนนเต็ม]])*tbl_task4[[%]:[%]])</f>
        <v/>
      </c>
    </row>
    <row r="12" spans="1:335" ht="24" customHeight="1" x14ac:dyDescent="0.25">
      <c r="A12" s="24">
        <v>9</v>
      </c>
      <c r="B12" s="20"/>
      <c r="C12" s="5" t="str">
        <f>IF(ISBLANK(B12),"",VLOOKUP(B12,tbl_PLOs[],2,0))</f>
        <v/>
      </c>
      <c r="D12" s="102"/>
      <c r="E12" s="106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22"/>
      <c r="FO12" s="121" t="str">
        <f>IF(ISBLANK(tbl_task4[[คะแนนเต็ม]:[คะแนนเต็ม]]),"",(tbl_task4[1]/tbl_task4[[คะแนนเต็ม]:[คะแนนเต็ม]])*tbl_task4[[%]:[%]])</f>
        <v/>
      </c>
      <c r="FP12" s="121" t="str">
        <f>IF(ISBLANK(tbl_task4[[คะแนนเต็ม]:[คะแนนเต็ม]]),"",(tbl_task4[2]/tbl_task4[[คะแนนเต็ม]:[คะแนนเต็ม]])*tbl_task4[[%]:[%]])</f>
        <v/>
      </c>
      <c r="FQ12" s="121" t="str">
        <f>IF(ISBLANK(tbl_task4[[คะแนนเต็ม]:[คะแนนเต็ม]]),"",(tbl_task4[3]/tbl_task4[[คะแนนเต็ม]:[คะแนนเต็ม]])*tbl_task4[[%]:[%]])</f>
        <v/>
      </c>
      <c r="FR12" s="121" t="str">
        <f>IF(ISBLANK(tbl_task4[[คะแนนเต็ม]:[คะแนนเต็ม]]),"",(tbl_task4[4]/tbl_task4[[คะแนนเต็ม]:[คะแนนเต็ม]])*tbl_task4[[%]:[%]])</f>
        <v/>
      </c>
      <c r="FS12" s="121" t="str">
        <f>IF(ISBLANK(tbl_task4[[คะแนนเต็ม]:[คะแนนเต็ม]]),"",(tbl_task4[5]/tbl_task4[[คะแนนเต็ม]:[คะแนนเต็ม]])*tbl_task4[[%]:[%]])</f>
        <v/>
      </c>
      <c r="FT12" s="121" t="str">
        <f>IF(ISBLANK(tbl_task4[[คะแนนเต็ม]:[คะแนนเต็ม]]),"",(tbl_task4[6]/tbl_task4[[คะแนนเต็ม]:[คะแนนเต็ม]])*tbl_task4[[%]:[%]])</f>
        <v/>
      </c>
      <c r="FU12" s="121" t="str">
        <f>IF(ISBLANK(tbl_task4[[คะแนนเต็ม]:[คะแนนเต็ม]]),"",(tbl_task4[7]/tbl_task4[[คะแนนเต็ม]:[คะแนนเต็ม]])*tbl_task4[[%]:[%]])</f>
        <v/>
      </c>
      <c r="FV12" s="121" t="str">
        <f>IF(ISBLANK(tbl_task4[[คะแนนเต็ม]:[คะแนนเต็ม]]),"",(tbl_task4[8]/tbl_task4[[คะแนนเต็ม]:[คะแนนเต็ม]])*tbl_task4[[%]:[%]])</f>
        <v/>
      </c>
      <c r="FW12" s="121" t="str">
        <f>IF(ISBLANK(tbl_task4[[คะแนนเต็ม]:[คะแนนเต็ม]]),"",(tbl_task4[9]/tbl_task4[[คะแนนเต็ม]:[คะแนนเต็ม]])*tbl_task4[[%]:[%]])</f>
        <v/>
      </c>
      <c r="FX12" s="121" t="str">
        <f>IF(ISBLANK(tbl_task4[[คะแนนเต็ม]:[คะแนนเต็ม]]),"",(tbl_task4[10]/tbl_task4[[คะแนนเต็ม]:[คะแนนเต็ม]])*tbl_task4[[%]:[%]])</f>
        <v/>
      </c>
      <c r="FY12" s="121" t="str">
        <f>IF(ISBLANK(tbl_task4[[คะแนนเต็ม]:[คะแนนเต็ม]]),"",(tbl_task4[11]/tbl_task4[[คะแนนเต็ม]:[คะแนนเต็ม]])*tbl_task4[[%]:[%]])</f>
        <v/>
      </c>
      <c r="FZ12" s="121" t="str">
        <f>IF(ISBLANK(tbl_task4[[คะแนนเต็ม]:[คะแนนเต็ม]]),"",(tbl_task4[12]/tbl_task4[[คะแนนเต็ม]:[คะแนนเต็ม]])*tbl_task4[[%]:[%]])</f>
        <v/>
      </c>
      <c r="GA12" s="121" t="str">
        <f>IF(ISBLANK(tbl_task4[[คะแนนเต็ม]:[คะแนนเต็ม]]),"",(tbl_task4[13]/tbl_task4[[คะแนนเต็ม]:[คะแนนเต็ม]])*tbl_task4[[%]:[%]])</f>
        <v/>
      </c>
      <c r="GB12" s="121" t="str">
        <f>IF(ISBLANK(tbl_task4[[คะแนนเต็ม]:[คะแนนเต็ม]]),"",(tbl_task4[14]/tbl_task4[[คะแนนเต็ม]:[คะแนนเต็ม]])*tbl_task4[[%]:[%]])</f>
        <v/>
      </c>
      <c r="GC12" s="121" t="str">
        <f>IF(ISBLANK(tbl_task4[[คะแนนเต็ม]:[คะแนนเต็ม]]),"",(tbl_task4[15]/tbl_task4[[คะแนนเต็ม]:[คะแนนเต็ม]])*tbl_task4[[%]:[%]])</f>
        <v/>
      </c>
      <c r="GD12" s="121" t="str">
        <f>IF(ISBLANK(tbl_task4[[คะแนนเต็ม]:[คะแนนเต็ม]]),"",(tbl_task4[16]/tbl_task4[[คะแนนเต็ม]:[คะแนนเต็ม]])*tbl_task4[[%]:[%]])</f>
        <v/>
      </c>
      <c r="GE12" s="121" t="str">
        <f>IF(ISBLANK(tbl_task4[[คะแนนเต็ม]:[คะแนนเต็ม]]),"",(tbl_task4[17]/tbl_task4[[คะแนนเต็ม]:[คะแนนเต็ม]])*tbl_task4[[%]:[%]])</f>
        <v/>
      </c>
      <c r="GF12" s="121" t="str">
        <f>IF(ISBLANK(tbl_task4[[คะแนนเต็ม]:[คะแนนเต็ม]]),"",(tbl_task4[18]/tbl_task4[[คะแนนเต็ม]:[คะแนนเต็ม]])*tbl_task4[[%]:[%]])</f>
        <v/>
      </c>
      <c r="GG12" s="121" t="str">
        <f>IF(ISBLANK(tbl_task4[[คะแนนเต็ม]:[คะแนนเต็ม]]),"",(tbl_task4[19]/tbl_task4[[คะแนนเต็ม]:[คะแนนเต็ม]])*tbl_task4[[%]:[%]])</f>
        <v/>
      </c>
      <c r="GH12" s="121" t="str">
        <f>IF(ISBLANK(tbl_task4[[คะแนนเต็ม]:[คะแนนเต็ม]]),"",(tbl_task4[20]/tbl_task4[[คะแนนเต็ม]:[คะแนนเต็ม]])*tbl_task4[[%]:[%]])</f>
        <v/>
      </c>
      <c r="GI12" s="121" t="str">
        <f>IF(ISBLANK(tbl_task4[[คะแนนเต็ม]:[คะแนนเต็ม]]),"",(tbl_task4[21]/tbl_task4[[คะแนนเต็ม]:[คะแนนเต็ม]])*tbl_task4[[%]:[%]])</f>
        <v/>
      </c>
      <c r="GJ12" s="121" t="str">
        <f>IF(ISBLANK(tbl_task4[[คะแนนเต็ม]:[คะแนนเต็ม]]),"",(tbl_task4[22]/tbl_task4[[คะแนนเต็ม]:[คะแนนเต็ม]])*tbl_task4[[%]:[%]])</f>
        <v/>
      </c>
      <c r="GK12" s="121" t="str">
        <f>IF(ISBLANK(tbl_task4[[คะแนนเต็ม]:[คะแนนเต็ม]]),"",(tbl_task4[23]/tbl_task4[[คะแนนเต็ม]:[คะแนนเต็ม]])*tbl_task4[[%]:[%]])</f>
        <v/>
      </c>
      <c r="GL12" s="121" t="str">
        <f>IF(ISBLANK(tbl_task4[[คะแนนเต็ม]:[คะแนนเต็ม]]),"",(tbl_task4[24]/tbl_task4[[คะแนนเต็ม]:[คะแนนเต็ม]])*tbl_task4[[%]:[%]])</f>
        <v/>
      </c>
      <c r="GM12" s="121" t="str">
        <f>IF(ISBLANK(tbl_task4[[คะแนนเต็ม]:[คะแนนเต็ม]]),"",(tbl_task4[25]/tbl_task4[[คะแนนเต็ม]:[คะแนนเต็ม]])*tbl_task4[[%]:[%]])</f>
        <v/>
      </c>
      <c r="GN12" s="121" t="str">
        <f>IF(ISBLANK(tbl_task4[[คะแนนเต็ม]:[คะแนนเต็ม]]),"",(tbl_task4[26]/tbl_task4[[คะแนนเต็ม]:[คะแนนเต็ม]])*tbl_task4[[%]:[%]])</f>
        <v/>
      </c>
      <c r="GO12" s="121" t="str">
        <f>IF(ISBLANK(tbl_task4[[คะแนนเต็ม]:[คะแนนเต็ม]]),"",(tbl_task4[27]/tbl_task4[[คะแนนเต็ม]:[คะแนนเต็ม]])*tbl_task4[[%]:[%]])</f>
        <v/>
      </c>
      <c r="GP12" s="121" t="str">
        <f>IF(ISBLANK(tbl_task4[[คะแนนเต็ม]:[คะแนนเต็ม]]),"",(tbl_task4[28]/tbl_task4[[คะแนนเต็ม]:[คะแนนเต็ม]])*tbl_task4[[%]:[%]])</f>
        <v/>
      </c>
      <c r="GQ12" s="121" t="str">
        <f>IF(ISBLANK(tbl_task4[[คะแนนเต็ม]:[คะแนนเต็ม]]),"",(tbl_task4[29]/tbl_task4[[คะแนนเต็ม]:[คะแนนเต็ม]])*tbl_task4[[%]:[%]])</f>
        <v/>
      </c>
      <c r="GR12" s="121" t="str">
        <f>IF(ISBLANK(tbl_task4[[คะแนนเต็ม]:[คะแนนเต็ม]]),"",(tbl_task4[30]/tbl_task4[[คะแนนเต็ม]:[คะแนนเต็ม]])*tbl_task4[[%]:[%]])</f>
        <v/>
      </c>
      <c r="GS12" s="121" t="str">
        <f>IF(ISBLANK(tbl_task4[[คะแนนเต็ม]:[คะแนนเต็ม]]),"",(tbl_task4[31]/tbl_task4[[คะแนนเต็ม]:[คะแนนเต็ม]])*tbl_task4[[%]:[%]])</f>
        <v/>
      </c>
      <c r="GT12" s="121" t="str">
        <f>IF(ISBLANK(tbl_task4[[คะแนนเต็ม]:[คะแนนเต็ม]]),"",(tbl_task4[32]/tbl_task4[[คะแนนเต็ม]:[คะแนนเต็ม]])*tbl_task4[[%]:[%]])</f>
        <v/>
      </c>
      <c r="GU12" s="121" t="str">
        <f>IF(ISBLANK(tbl_task4[[คะแนนเต็ม]:[คะแนนเต็ม]]),"",(tbl_task4[33]/tbl_task4[[คะแนนเต็ม]:[คะแนนเต็ม]])*tbl_task4[[%]:[%]])</f>
        <v/>
      </c>
      <c r="GV12" s="121" t="str">
        <f>IF(ISBLANK(tbl_task4[[คะแนนเต็ม]:[คะแนนเต็ม]]),"",(tbl_task4[34]/tbl_task4[[คะแนนเต็ม]:[คะแนนเต็ม]])*tbl_task4[[%]:[%]])</f>
        <v/>
      </c>
      <c r="GW12" s="121" t="str">
        <f>IF(ISBLANK(tbl_task4[[คะแนนเต็ม]:[คะแนนเต็ม]]),"",(tbl_task4[35]/tbl_task4[[คะแนนเต็ม]:[คะแนนเต็ม]])*tbl_task4[[%]:[%]])</f>
        <v/>
      </c>
      <c r="GX12" s="121" t="str">
        <f>IF(ISBLANK(tbl_task4[[คะแนนเต็ม]:[คะแนนเต็ม]]),"",(tbl_task4[36]/tbl_task4[[คะแนนเต็ม]:[คะแนนเต็ม]])*tbl_task4[[%]:[%]])</f>
        <v/>
      </c>
      <c r="GY12" s="121" t="str">
        <f>IF(ISBLANK(tbl_task4[[คะแนนเต็ม]:[คะแนนเต็ม]]),"",(tbl_task4[37]/tbl_task4[[คะแนนเต็ม]:[คะแนนเต็ม]])*tbl_task4[[%]:[%]])</f>
        <v/>
      </c>
      <c r="GZ12" s="121" t="str">
        <f>IF(ISBLANK(tbl_task4[[คะแนนเต็ม]:[คะแนนเต็ม]]),"",(tbl_task4[38]/tbl_task4[[คะแนนเต็ม]:[คะแนนเต็ม]])*tbl_task4[[%]:[%]])</f>
        <v/>
      </c>
      <c r="HA12" s="121" t="str">
        <f>IF(ISBLANK(tbl_task4[[คะแนนเต็ม]:[คะแนนเต็ม]]),"",(tbl_task4[39]/tbl_task4[[คะแนนเต็ม]:[คะแนนเต็ม]])*tbl_task4[[%]:[%]])</f>
        <v/>
      </c>
      <c r="HB12" s="121" t="str">
        <f>IF(ISBLANK(tbl_task4[[คะแนนเต็ม]:[คะแนนเต็ม]]),"",(tbl_task4[40]/tbl_task4[[คะแนนเต็ม]:[คะแนนเต็ม]])*tbl_task4[[%]:[%]])</f>
        <v/>
      </c>
      <c r="HC12" s="121" t="str">
        <f>IF(ISBLANK(tbl_task4[[คะแนนเต็ม]:[คะแนนเต็ม]]),"",(tbl_task4[41]/tbl_task4[[คะแนนเต็ม]:[คะแนนเต็ม]])*tbl_task4[[%]:[%]])</f>
        <v/>
      </c>
      <c r="HD12" s="121" t="str">
        <f>IF(ISBLANK(tbl_task4[[คะแนนเต็ม]:[คะแนนเต็ม]]),"",(tbl_task4[42]/tbl_task4[[คะแนนเต็ม]:[คะแนนเต็ม]])*tbl_task4[[%]:[%]])</f>
        <v/>
      </c>
      <c r="HE12" s="121" t="str">
        <f>IF(ISBLANK(tbl_task4[[คะแนนเต็ม]:[คะแนนเต็ม]]),"",(tbl_task4[43]/tbl_task4[[คะแนนเต็ม]:[คะแนนเต็ม]])*tbl_task4[[%]:[%]])</f>
        <v/>
      </c>
      <c r="HF12" s="121" t="str">
        <f>IF(ISBLANK(tbl_task4[[คะแนนเต็ม]:[คะแนนเต็ม]]),"",(tbl_task4[44]/tbl_task4[[คะแนนเต็ม]:[คะแนนเต็ม]])*tbl_task4[[%]:[%]])</f>
        <v/>
      </c>
      <c r="HG12" s="121" t="str">
        <f>IF(ISBLANK(tbl_task4[[คะแนนเต็ม]:[คะแนนเต็ม]]),"",(tbl_task4[45]/tbl_task4[[คะแนนเต็ม]:[คะแนนเต็ม]])*tbl_task4[[%]:[%]])</f>
        <v/>
      </c>
      <c r="HH12" s="121" t="str">
        <f>IF(ISBLANK(tbl_task4[[คะแนนเต็ม]:[คะแนนเต็ม]]),"",(tbl_task4[46]/tbl_task4[[คะแนนเต็ม]:[คะแนนเต็ม]])*tbl_task4[[%]:[%]])</f>
        <v/>
      </c>
      <c r="HI12" s="121" t="str">
        <f>IF(ISBLANK(tbl_task4[[คะแนนเต็ม]:[คะแนนเต็ม]]),"",(tbl_task4[47]/tbl_task4[[คะแนนเต็ม]:[คะแนนเต็ม]])*tbl_task4[[%]:[%]])</f>
        <v/>
      </c>
      <c r="HJ12" s="121" t="str">
        <f>IF(ISBLANK(tbl_task4[[คะแนนเต็ม]:[คะแนนเต็ม]]),"",(tbl_task4[48]/tbl_task4[[คะแนนเต็ม]:[คะแนนเต็ม]])*tbl_task4[[%]:[%]])</f>
        <v/>
      </c>
      <c r="HK12" s="121" t="str">
        <f>IF(ISBLANK(tbl_task4[[คะแนนเต็ม]:[คะแนนเต็ม]]),"",(tbl_task4[49]/tbl_task4[[คะแนนเต็ม]:[คะแนนเต็ม]])*tbl_task4[[%]:[%]])</f>
        <v/>
      </c>
      <c r="HL12" s="121" t="str">
        <f>IF(ISBLANK(tbl_task4[[คะแนนเต็ม]:[คะแนนเต็ม]]),"",(tbl_task4[50]/tbl_task4[[คะแนนเต็ม]:[คะแนนเต็ม]])*tbl_task4[[%]:[%]])</f>
        <v/>
      </c>
      <c r="HM12" s="121" t="str">
        <f>IF(ISBLANK(tbl_task4[[คะแนนเต็ม]:[คะแนนเต็ม]]),"",(tbl_task4[51]/tbl_task4[[คะแนนเต็ม]:[คะแนนเต็ม]])*tbl_task4[[%]:[%]])</f>
        <v/>
      </c>
      <c r="HN12" s="121" t="str">
        <f>IF(ISBLANK(tbl_task4[[คะแนนเต็ม]:[คะแนนเต็ม]]),"",(tbl_task4[52]/tbl_task4[[คะแนนเต็ม]:[คะแนนเต็ม]])*tbl_task4[[%]:[%]])</f>
        <v/>
      </c>
      <c r="HO12" s="121" t="str">
        <f>IF(ISBLANK(tbl_task4[[คะแนนเต็ม]:[คะแนนเต็ม]]),"",(tbl_task4[53]/tbl_task4[[คะแนนเต็ม]:[คะแนนเต็ม]])*tbl_task4[[%]:[%]])</f>
        <v/>
      </c>
      <c r="HP12" s="121" t="str">
        <f>IF(ISBLANK(tbl_task4[[คะแนนเต็ม]:[คะแนนเต็ม]]),"",(tbl_task4[54]/tbl_task4[[คะแนนเต็ม]:[คะแนนเต็ม]])*tbl_task4[[%]:[%]])</f>
        <v/>
      </c>
      <c r="HQ12" s="121" t="str">
        <f>IF(ISBLANK(tbl_task4[[คะแนนเต็ม]:[คะแนนเต็ม]]),"",(tbl_task4[55]/tbl_task4[[คะแนนเต็ม]:[คะแนนเต็ม]])*tbl_task4[[%]:[%]])</f>
        <v/>
      </c>
      <c r="HR12" s="121" t="str">
        <f>IF(ISBLANK(tbl_task4[[คะแนนเต็ม]:[คะแนนเต็ม]]),"",(tbl_task4[56]/tbl_task4[[คะแนนเต็ม]:[คะแนนเต็ม]])*tbl_task4[[%]:[%]])</f>
        <v/>
      </c>
      <c r="HS12" s="121" t="str">
        <f>IF(ISBLANK(tbl_task4[[คะแนนเต็ม]:[คะแนนเต็ม]]),"",(tbl_task4[57]/tbl_task4[[คะแนนเต็ม]:[คะแนนเต็ม]])*tbl_task4[[%]:[%]])</f>
        <v/>
      </c>
      <c r="HT12" s="121" t="str">
        <f>IF(ISBLANK(tbl_task4[[คะแนนเต็ม]:[คะแนนเต็ม]]),"",(tbl_task4[58]/tbl_task4[[คะแนนเต็ม]:[คะแนนเต็ม]])*tbl_task4[[%]:[%]])</f>
        <v/>
      </c>
      <c r="HU12" s="121" t="str">
        <f>IF(ISBLANK(tbl_task4[[คะแนนเต็ม]:[คะแนนเต็ม]]),"",(tbl_task4[59]/tbl_task4[[คะแนนเต็ม]:[คะแนนเต็ม]])*tbl_task4[[%]:[%]])</f>
        <v/>
      </c>
      <c r="HV12" s="121" t="str">
        <f>IF(ISBLANK(tbl_task4[[คะแนนเต็ม]:[คะแนนเต็ม]]),"",(tbl_task4[60]/tbl_task4[[คะแนนเต็ม]:[คะแนนเต็ม]])*tbl_task4[[%]:[%]])</f>
        <v/>
      </c>
      <c r="HW12" s="121" t="str">
        <f>IF(ISBLANK(tbl_task4[[คะแนนเต็ม]:[คะแนนเต็ม]]),"",(tbl_task4[61]/tbl_task4[[คะแนนเต็ม]:[คะแนนเต็ม]])*tbl_task4[[%]:[%]])</f>
        <v/>
      </c>
      <c r="HX12" s="121" t="str">
        <f>IF(ISBLANK(tbl_task4[[คะแนนเต็ม]:[คะแนนเต็ม]]),"",(tbl_task4[62]/tbl_task4[[คะแนนเต็ม]:[คะแนนเต็ม]])*tbl_task4[[%]:[%]])</f>
        <v/>
      </c>
      <c r="HY12" s="121" t="str">
        <f>IF(ISBLANK(tbl_task4[[คะแนนเต็ม]:[คะแนนเต็ม]]),"",(tbl_task4[63]/tbl_task4[[คะแนนเต็ม]:[คะแนนเต็ม]])*tbl_task4[[%]:[%]])</f>
        <v/>
      </c>
      <c r="HZ12" s="121" t="str">
        <f>IF(ISBLANK(tbl_task4[[คะแนนเต็ม]:[คะแนนเต็ม]]),"",(tbl_task4[64]/tbl_task4[[คะแนนเต็ม]:[คะแนนเต็ม]])*tbl_task4[[%]:[%]])</f>
        <v/>
      </c>
      <c r="IA12" s="121" t="str">
        <f>IF(ISBLANK(tbl_task4[[คะแนนเต็ม]:[คะแนนเต็ม]]),"",(tbl_task4[65]/tbl_task4[[คะแนนเต็ม]:[คะแนนเต็ม]])*tbl_task4[[%]:[%]])</f>
        <v/>
      </c>
      <c r="IB12" s="121" t="str">
        <f>IF(ISBLANK(tbl_task4[[คะแนนเต็ม]:[คะแนนเต็ม]]),"",(tbl_task4[66]/tbl_task4[[คะแนนเต็ม]:[คะแนนเต็ม]])*tbl_task4[[%]:[%]])</f>
        <v/>
      </c>
      <c r="IC12" s="121" t="str">
        <f>IF(ISBLANK(tbl_task4[[คะแนนเต็ม]:[คะแนนเต็ม]]),"",(tbl_task4[67]/tbl_task4[[คะแนนเต็ม]:[คะแนนเต็ม]])*tbl_task4[[%]:[%]])</f>
        <v/>
      </c>
      <c r="ID12" s="121" t="str">
        <f>IF(ISBLANK(tbl_task4[[คะแนนเต็ม]:[คะแนนเต็ม]]),"",(tbl_task4[68]/tbl_task4[[คะแนนเต็ม]:[คะแนนเต็ม]])*tbl_task4[[%]:[%]])</f>
        <v/>
      </c>
      <c r="IE12" s="121" t="str">
        <f>IF(ISBLANK(tbl_task4[[คะแนนเต็ม]:[คะแนนเต็ม]]),"",(tbl_task4[69]/tbl_task4[[คะแนนเต็ม]:[คะแนนเต็ม]])*tbl_task4[[%]:[%]])</f>
        <v/>
      </c>
      <c r="IF12" s="121" t="str">
        <f>IF(ISBLANK(tbl_task4[[คะแนนเต็ม]:[คะแนนเต็ม]]),"",(tbl_task4[70]/tbl_task4[[คะแนนเต็ม]:[คะแนนเต็ม]])*tbl_task4[[%]:[%]])</f>
        <v/>
      </c>
      <c r="IG12" s="121" t="str">
        <f>IF(ISBLANK(tbl_task4[[คะแนนเต็ม]:[คะแนนเต็ม]]),"",(tbl_task4[71]/tbl_task4[[คะแนนเต็ม]:[คะแนนเต็ม]])*tbl_task4[[%]:[%]])</f>
        <v/>
      </c>
      <c r="IH12" s="121" t="str">
        <f>IF(ISBLANK(tbl_task4[[คะแนนเต็ม]:[คะแนนเต็ม]]),"",(tbl_task4[72]/tbl_task4[[คะแนนเต็ม]:[คะแนนเต็ม]])*tbl_task4[[%]:[%]])</f>
        <v/>
      </c>
      <c r="II12" s="121" t="str">
        <f>IF(ISBLANK(tbl_task4[[คะแนนเต็ม]:[คะแนนเต็ม]]),"",(tbl_task4[73]/tbl_task4[[คะแนนเต็ม]:[คะแนนเต็ม]])*tbl_task4[[%]:[%]])</f>
        <v/>
      </c>
      <c r="IJ12" s="121" t="str">
        <f>IF(ISBLANK(tbl_task4[[คะแนนเต็ม]:[คะแนนเต็ม]]),"",(tbl_task4[74]/tbl_task4[[คะแนนเต็ม]:[คะแนนเต็ม]])*tbl_task4[[%]:[%]])</f>
        <v/>
      </c>
      <c r="IK12" s="121" t="str">
        <f>IF(ISBLANK(tbl_task4[[คะแนนเต็ม]:[คะแนนเต็ม]]),"",(tbl_task4[75]/tbl_task4[[คะแนนเต็ม]:[คะแนนเต็ม]])*tbl_task4[[%]:[%]])</f>
        <v/>
      </c>
      <c r="IL12" s="121" t="str">
        <f>IF(ISBLANK(tbl_task4[[คะแนนเต็ม]:[คะแนนเต็ม]]),"",(tbl_task4[76]/tbl_task4[[คะแนนเต็ม]:[คะแนนเต็ม]])*tbl_task4[[%]:[%]])</f>
        <v/>
      </c>
      <c r="IM12" s="121" t="str">
        <f>IF(ISBLANK(tbl_task4[[คะแนนเต็ม]:[คะแนนเต็ม]]),"",(tbl_task4[77]/tbl_task4[[คะแนนเต็ม]:[คะแนนเต็ม]])*tbl_task4[[%]:[%]])</f>
        <v/>
      </c>
      <c r="IN12" s="121" t="str">
        <f>IF(ISBLANK(tbl_task4[[คะแนนเต็ม]:[คะแนนเต็ม]]),"",(tbl_task4[78]/tbl_task4[[คะแนนเต็ม]:[คะแนนเต็ม]])*tbl_task4[[%]:[%]])</f>
        <v/>
      </c>
      <c r="IO12" s="121" t="str">
        <f>IF(ISBLANK(tbl_task4[[คะแนนเต็ม]:[คะแนนเต็ม]]),"",(tbl_task4[79]/tbl_task4[[คะแนนเต็ม]:[คะแนนเต็ม]])*tbl_task4[[%]:[%]])</f>
        <v/>
      </c>
      <c r="IP12" s="121" t="str">
        <f>IF(ISBLANK(tbl_task4[[คะแนนเต็ม]:[คะแนนเต็ม]]),"",(tbl_task4[80]/tbl_task4[[คะแนนเต็ม]:[คะแนนเต็ม]])*tbl_task4[[%]:[%]])</f>
        <v/>
      </c>
      <c r="IQ12" s="121" t="str">
        <f>IF(ISBLANK(tbl_task4[[คะแนนเต็ม]:[คะแนนเต็ม]]),"",(tbl_task4[81]/tbl_task4[[คะแนนเต็ม]:[คะแนนเต็ม]])*tbl_task4[[%]:[%]])</f>
        <v/>
      </c>
      <c r="IR12" s="121" t="str">
        <f>IF(ISBLANK(tbl_task4[[คะแนนเต็ม]:[คะแนนเต็ม]]),"",(tbl_task4[82]/tbl_task4[[คะแนนเต็ม]:[คะแนนเต็ม]])*tbl_task4[[%]:[%]])</f>
        <v/>
      </c>
      <c r="IS12" s="121" t="str">
        <f>IF(ISBLANK(tbl_task4[[คะแนนเต็ม]:[คะแนนเต็ม]]),"",(tbl_task4[83]/tbl_task4[[คะแนนเต็ม]:[คะแนนเต็ม]])*tbl_task4[[%]:[%]])</f>
        <v/>
      </c>
      <c r="IT12" s="121" t="str">
        <f>IF(ISBLANK(tbl_task4[[คะแนนเต็ม]:[คะแนนเต็ม]]),"",(tbl_task4[84]/tbl_task4[[คะแนนเต็ม]:[คะแนนเต็ม]])*tbl_task4[[%]:[%]])</f>
        <v/>
      </c>
      <c r="IU12" s="121" t="str">
        <f>IF(ISBLANK(tbl_task4[[คะแนนเต็ม]:[คะแนนเต็ม]]),"",(tbl_task4[85]/tbl_task4[[คะแนนเต็ม]:[คะแนนเต็ม]])*tbl_task4[[%]:[%]])</f>
        <v/>
      </c>
      <c r="IV12" s="121" t="str">
        <f>IF(ISBLANK(tbl_task4[[คะแนนเต็ม]:[คะแนนเต็ม]]),"",(tbl_task4[86]/tbl_task4[[คะแนนเต็ม]:[คะแนนเต็ม]])*tbl_task4[[%]:[%]])</f>
        <v/>
      </c>
      <c r="IW12" s="121" t="str">
        <f>IF(ISBLANK(tbl_task4[[คะแนนเต็ม]:[คะแนนเต็ม]]),"",(tbl_task4[87]/tbl_task4[[คะแนนเต็ม]:[คะแนนเต็ม]])*tbl_task4[[%]:[%]])</f>
        <v/>
      </c>
      <c r="IX12" s="121" t="str">
        <f>IF(ISBLANK(tbl_task4[[คะแนนเต็ม]:[คะแนนเต็ม]]),"",(tbl_task4[88]/tbl_task4[[คะแนนเต็ม]:[คะแนนเต็ม]])*tbl_task4[[%]:[%]])</f>
        <v/>
      </c>
      <c r="IY12" s="121" t="str">
        <f>IF(ISBLANK(tbl_task4[[คะแนนเต็ม]:[คะแนนเต็ม]]),"",(tbl_task4[89]/tbl_task4[[คะแนนเต็ม]:[คะแนนเต็ม]])*tbl_task4[[%]:[%]])</f>
        <v/>
      </c>
      <c r="IZ12" s="121" t="str">
        <f>IF(ISBLANK(tbl_task4[[คะแนนเต็ม]:[คะแนนเต็ม]]),"",(tbl_task4[90]/tbl_task4[[คะแนนเต็ม]:[คะแนนเต็ม]])*tbl_task4[[%]:[%]])</f>
        <v/>
      </c>
      <c r="JA12" s="121" t="str">
        <f>IF(ISBLANK(tbl_task4[[คะแนนเต็ม]:[คะแนนเต็ม]]),"",(tbl_task4[91]/tbl_task4[[คะแนนเต็ม]:[คะแนนเต็ม]])*tbl_task4[[%]:[%]])</f>
        <v/>
      </c>
      <c r="JB12" s="121" t="str">
        <f>IF(ISBLANK(tbl_task4[[คะแนนเต็ม]:[คะแนนเต็ม]]),"",(tbl_task4[92]/tbl_task4[[คะแนนเต็ม]:[คะแนนเต็ม]])*tbl_task4[[%]:[%]])</f>
        <v/>
      </c>
      <c r="JC12" s="121" t="str">
        <f>IF(ISBLANK(tbl_task4[[คะแนนเต็ม]:[คะแนนเต็ม]]),"",(tbl_task4[93]/tbl_task4[[คะแนนเต็ม]:[คะแนนเต็ม]])*tbl_task4[[%]:[%]])</f>
        <v/>
      </c>
      <c r="JD12" s="121" t="str">
        <f>IF(ISBLANK(tbl_task4[[คะแนนเต็ม]:[คะแนนเต็ม]]),"",(tbl_task4[94]/tbl_task4[[คะแนนเต็ม]:[คะแนนเต็ม]])*tbl_task4[[%]:[%]])</f>
        <v/>
      </c>
      <c r="JE12" s="121" t="str">
        <f>IF(ISBLANK(tbl_task4[[คะแนนเต็ม]:[คะแนนเต็ม]]),"",(tbl_task4[95]/tbl_task4[[คะแนนเต็ม]:[คะแนนเต็ม]])*tbl_task4[[%]:[%]])</f>
        <v/>
      </c>
      <c r="JF12" s="121" t="str">
        <f>IF(ISBLANK(tbl_task4[[คะแนนเต็ม]:[คะแนนเต็ม]]),"",(tbl_task4[96]/tbl_task4[[คะแนนเต็ม]:[คะแนนเต็ม]])*tbl_task4[[%]:[%]])</f>
        <v/>
      </c>
      <c r="JG12" s="121" t="str">
        <f>IF(ISBLANK(tbl_task4[[คะแนนเต็ม]:[คะแนนเต็ม]]),"",(tbl_task4[97]/tbl_task4[[คะแนนเต็ม]:[คะแนนเต็ม]])*tbl_task4[[%]:[%]])</f>
        <v/>
      </c>
      <c r="JH12" s="121" t="str">
        <f>IF(ISBLANK(tbl_task4[[คะแนนเต็ม]:[คะแนนเต็ม]]),"",(tbl_task4[98]/tbl_task4[[คะแนนเต็ม]:[คะแนนเต็ม]])*tbl_task4[[%]:[%]])</f>
        <v/>
      </c>
      <c r="JI12" s="121" t="str">
        <f>IF(ISBLANK(tbl_task4[[คะแนนเต็ม]:[คะแนนเต็ม]]),"",(tbl_task4[99]/tbl_task4[[คะแนนเต็ม]:[คะแนนเต็ม]])*tbl_task4[[%]:[%]])</f>
        <v/>
      </c>
      <c r="JJ12" s="121" t="str">
        <f>IF(ISBLANK(tbl_task4[[คะแนนเต็ม]:[คะแนนเต็ม]]),"",(tbl_task4[100]/tbl_task4[[คะแนนเต็ม]:[คะแนนเต็ม]])*tbl_task4[[%]:[%]])</f>
        <v/>
      </c>
      <c r="JK12" s="121" t="str">
        <f>IF(ISBLANK(tbl_task4[[คะแนนเต็ม]:[คะแนนเต็ม]]),"",(tbl_task4[101]/tbl_task4[[คะแนนเต็ม]:[คะแนนเต็ม]])*tbl_task4[[%]:[%]])</f>
        <v/>
      </c>
      <c r="JL12" s="121" t="str">
        <f>IF(ISBLANK(tbl_task4[[คะแนนเต็ม]:[คะแนนเต็ม]]),"",(tbl_task4[102]/tbl_task4[[คะแนนเต็ม]:[คะแนนเต็ม]])*tbl_task4[[%]:[%]])</f>
        <v/>
      </c>
      <c r="JM12" s="121" t="str">
        <f>IF(ISBLANK(tbl_task4[[คะแนนเต็ม]:[คะแนนเต็ม]]),"",(tbl_task4[103]/tbl_task4[[คะแนนเต็ม]:[คะแนนเต็ม]])*tbl_task4[[%]:[%]])</f>
        <v/>
      </c>
      <c r="JN12" s="121" t="str">
        <f>IF(ISBLANK(tbl_task4[[คะแนนเต็ม]:[คะแนนเต็ม]]),"",(tbl_task4[104]/tbl_task4[[คะแนนเต็ม]:[คะแนนเต็ม]])*tbl_task4[[%]:[%]])</f>
        <v/>
      </c>
      <c r="JO12" s="121" t="str">
        <f>IF(ISBLANK(tbl_task4[[คะแนนเต็ม]:[คะแนนเต็ม]]),"",(tbl_task4[105]/tbl_task4[[คะแนนเต็ม]:[คะแนนเต็ม]])*tbl_task4[[%]:[%]])</f>
        <v/>
      </c>
      <c r="JP12" s="121" t="str">
        <f>IF(ISBLANK(tbl_task4[[คะแนนเต็ม]:[คะแนนเต็ม]]),"",(tbl_task4[106]/tbl_task4[[คะแนนเต็ม]:[คะแนนเต็ม]])*tbl_task4[[%]:[%]])</f>
        <v/>
      </c>
      <c r="JQ12" s="121" t="str">
        <f>IF(ISBLANK(tbl_task4[[คะแนนเต็ม]:[คะแนนเต็ม]]),"",(tbl_task4[107]/tbl_task4[[คะแนนเต็ม]:[คะแนนเต็ม]])*tbl_task4[[%]:[%]])</f>
        <v/>
      </c>
      <c r="JR12" s="121" t="str">
        <f>IF(ISBLANK(tbl_task4[[คะแนนเต็ม]:[คะแนนเต็ม]]),"",(tbl_task4[108]/tbl_task4[[คะแนนเต็ม]:[คะแนนเต็ม]])*tbl_task4[[%]:[%]])</f>
        <v/>
      </c>
      <c r="JS12" s="121" t="str">
        <f>IF(ISBLANK(tbl_task4[[คะแนนเต็ม]:[คะแนนเต็ม]]),"",(tbl_task4[109]/tbl_task4[[คะแนนเต็ม]:[คะแนนเต็ม]])*tbl_task4[[%]:[%]])</f>
        <v/>
      </c>
      <c r="JT12" s="121" t="str">
        <f>IF(ISBLANK(tbl_task4[[คะแนนเต็ม]:[คะแนนเต็ม]]),"",(tbl_task4[110]/tbl_task4[[คะแนนเต็ม]:[คะแนนเต็ม]])*tbl_task4[[%]:[%]])</f>
        <v/>
      </c>
      <c r="JU12" s="121" t="str">
        <f>IF(ISBLANK(tbl_task4[[คะแนนเต็ม]:[คะแนนเต็ม]]),"",(tbl_task4[111]/tbl_task4[[คะแนนเต็ม]:[คะแนนเต็ม]])*tbl_task4[[%]:[%]])</f>
        <v/>
      </c>
      <c r="JV12" s="121" t="str">
        <f>IF(ISBLANK(tbl_task4[[คะแนนเต็ม]:[คะแนนเต็ม]]),"",(tbl_task4[112]/tbl_task4[[คะแนนเต็ม]:[คะแนนเต็ม]])*tbl_task4[[%]:[%]])</f>
        <v/>
      </c>
      <c r="JW12" s="121" t="str">
        <f>IF(ISBLANK(tbl_task4[[คะแนนเต็ม]:[คะแนนเต็ม]]),"",(tbl_task4[113]/tbl_task4[[คะแนนเต็ม]:[คะแนนเต็ม]])*tbl_task4[[%]:[%]])</f>
        <v/>
      </c>
      <c r="JX12" s="121" t="str">
        <f>IF(ISBLANK(tbl_task4[[คะแนนเต็ม]:[คะแนนเต็ม]]),"",(tbl_task4[114]/tbl_task4[[คะแนนเต็ม]:[คะแนนเต็ม]])*tbl_task4[[%]:[%]])</f>
        <v/>
      </c>
      <c r="JY12" s="121" t="str">
        <f>IF(ISBLANK(tbl_task4[[คะแนนเต็ม]:[คะแนนเต็ม]]),"",(tbl_task4[115]/tbl_task4[[คะแนนเต็ม]:[คะแนนเต็ม]])*tbl_task4[[%]:[%]])</f>
        <v/>
      </c>
      <c r="JZ12" s="121" t="str">
        <f>IF(ISBLANK(tbl_task4[[คะแนนเต็ม]:[คะแนนเต็ม]]),"",(tbl_task4[116]/tbl_task4[[คะแนนเต็ม]:[คะแนนเต็ม]])*tbl_task4[[%]:[%]])</f>
        <v/>
      </c>
      <c r="KA12" s="121" t="str">
        <f>IF(ISBLANK(tbl_task4[[คะแนนเต็ม]:[คะแนนเต็ม]]),"",(tbl_task4[117]/tbl_task4[[คะแนนเต็ม]:[คะแนนเต็ม]])*tbl_task4[[%]:[%]])</f>
        <v/>
      </c>
      <c r="KB12" s="121" t="str">
        <f>IF(ISBLANK(tbl_task4[[คะแนนเต็ม]:[คะแนนเต็ม]]),"",(tbl_task4[118]/tbl_task4[[คะแนนเต็ม]:[คะแนนเต็ม]])*tbl_task4[[%]:[%]])</f>
        <v/>
      </c>
      <c r="KC12" s="121" t="str">
        <f>IF(ISBLANK(tbl_task4[[คะแนนเต็ม]:[คะแนนเต็ม]]),"",(tbl_task4[119]/tbl_task4[[คะแนนเต็ม]:[คะแนนเต็ม]])*tbl_task4[[%]:[%]])</f>
        <v/>
      </c>
      <c r="KD12" s="121" t="str">
        <f>IF(ISBLANK(tbl_task4[[คะแนนเต็ม]:[คะแนนเต็ม]]),"",(tbl_task4[120]/tbl_task4[[คะแนนเต็ม]:[คะแนนเต็ม]])*tbl_task4[[%]:[%]])</f>
        <v/>
      </c>
      <c r="KE12" s="121" t="str">
        <f>IF(ISBLANK(tbl_task4[[คะแนนเต็ม]:[คะแนนเต็ม]]),"",(tbl_task4[121]/tbl_task4[[คะแนนเต็ม]:[คะแนนเต็ม]])*tbl_task4[[%]:[%]])</f>
        <v/>
      </c>
      <c r="KF12" s="121" t="str">
        <f>IF(ISBLANK(tbl_task4[[คะแนนเต็ม]:[คะแนนเต็ม]]),"",(tbl_task4[122]/tbl_task4[[คะแนนเต็ม]:[คะแนนเต็ม]])*tbl_task4[[%]:[%]])</f>
        <v/>
      </c>
      <c r="KG12" s="121" t="str">
        <f>IF(ISBLANK(tbl_task4[[คะแนนเต็ม]:[คะแนนเต็ม]]),"",(tbl_task4[123]/tbl_task4[[คะแนนเต็ม]:[คะแนนเต็ม]])*tbl_task4[[%]:[%]])</f>
        <v/>
      </c>
      <c r="KH12" s="121" t="str">
        <f>IF(ISBLANK(tbl_task4[[คะแนนเต็ม]:[คะแนนเต็ม]]),"",(tbl_task4[124]/tbl_task4[[คะแนนเต็ม]:[คะแนนเต็ม]])*tbl_task4[[%]:[%]])</f>
        <v/>
      </c>
      <c r="KI12" s="121" t="str">
        <f>IF(ISBLANK(tbl_task4[[คะแนนเต็ม]:[คะแนนเต็ม]]),"",(tbl_task4[125]/tbl_task4[[คะแนนเต็ม]:[คะแนนเต็ม]])*tbl_task4[[%]:[%]])</f>
        <v/>
      </c>
      <c r="KJ12" s="121" t="str">
        <f>IF(ISBLANK(tbl_task4[[คะแนนเต็ม]:[คะแนนเต็ม]]),"",(tbl_task4[126]/tbl_task4[[คะแนนเต็ม]:[คะแนนเต็ม]])*tbl_task4[[%]:[%]])</f>
        <v/>
      </c>
      <c r="KK12" s="121" t="str">
        <f>IF(ISBLANK(tbl_task4[[คะแนนเต็ม]:[คะแนนเต็ม]]),"",(tbl_task4[127]/tbl_task4[[คะแนนเต็ม]:[คะแนนเต็ม]])*tbl_task4[[%]:[%]])</f>
        <v/>
      </c>
      <c r="KL12" s="121" t="str">
        <f>IF(ISBLANK(tbl_task4[[คะแนนเต็ม]:[คะแนนเต็ม]]),"",(tbl_task4[128]/tbl_task4[[คะแนนเต็ม]:[คะแนนเต็ม]])*tbl_task4[[%]:[%]])</f>
        <v/>
      </c>
      <c r="KM12" s="121" t="str">
        <f>IF(ISBLANK(tbl_task4[[คะแนนเต็ม]:[คะแนนเต็ม]]),"",(tbl_task4[129]/tbl_task4[[คะแนนเต็ม]:[คะแนนเต็ม]])*tbl_task4[[%]:[%]])</f>
        <v/>
      </c>
      <c r="KN12" s="121" t="str">
        <f>IF(ISBLANK(tbl_task4[[คะแนนเต็ม]:[คะแนนเต็ม]]),"",(tbl_task4[130]/tbl_task4[[คะแนนเต็ม]:[คะแนนเต็ม]])*tbl_task4[[%]:[%]])</f>
        <v/>
      </c>
      <c r="KO12" s="121" t="str">
        <f>IF(ISBLANK(tbl_task4[[คะแนนเต็ม]:[คะแนนเต็ม]]),"",(tbl_task4[131]/tbl_task4[[คะแนนเต็ม]:[คะแนนเต็ม]])*tbl_task4[[%]:[%]])</f>
        <v/>
      </c>
      <c r="KP12" s="121" t="str">
        <f>IF(ISBLANK(tbl_task4[[คะแนนเต็ม]:[คะแนนเต็ม]]),"",(tbl_task4[132]/tbl_task4[[คะแนนเต็ม]:[คะแนนเต็ม]])*tbl_task4[[%]:[%]])</f>
        <v/>
      </c>
      <c r="KQ12" s="121" t="str">
        <f>IF(ISBLANK(tbl_task4[[คะแนนเต็ม]:[คะแนนเต็ม]]),"",(tbl_task4[133]/tbl_task4[[คะแนนเต็ม]:[คะแนนเต็ม]])*tbl_task4[[%]:[%]])</f>
        <v/>
      </c>
      <c r="KR12" s="121" t="str">
        <f>IF(ISBLANK(tbl_task4[[คะแนนเต็ม]:[คะแนนเต็ม]]),"",(tbl_task4[134]/tbl_task4[[คะแนนเต็ม]:[คะแนนเต็ม]])*tbl_task4[[%]:[%]])</f>
        <v/>
      </c>
      <c r="KS12" s="121" t="str">
        <f>IF(ISBLANK(tbl_task4[[คะแนนเต็ม]:[คะแนนเต็ม]]),"",(tbl_task4[135]/tbl_task4[[คะแนนเต็ม]:[คะแนนเต็ม]])*tbl_task4[[%]:[%]])</f>
        <v/>
      </c>
      <c r="KT12" s="121" t="str">
        <f>IF(ISBLANK(tbl_task4[[คะแนนเต็ม]:[คะแนนเต็ม]]),"",(tbl_task4[136]/tbl_task4[[คะแนนเต็ม]:[คะแนนเต็ม]])*tbl_task4[[%]:[%]])</f>
        <v/>
      </c>
      <c r="KU12" s="121" t="str">
        <f>IF(ISBLANK(tbl_task4[[คะแนนเต็ม]:[คะแนนเต็ม]]),"",(tbl_task4[137]/tbl_task4[[คะแนนเต็ม]:[คะแนนเต็ม]])*tbl_task4[[%]:[%]])</f>
        <v/>
      </c>
      <c r="KV12" s="121" t="str">
        <f>IF(ISBLANK(tbl_task4[[คะแนนเต็ม]:[คะแนนเต็ม]]),"",(tbl_task4[138]/tbl_task4[[คะแนนเต็ม]:[คะแนนเต็ม]])*tbl_task4[[%]:[%]])</f>
        <v/>
      </c>
      <c r="KW12" s="121" t="str">
        <f>IF(ISBLANK(tbl_task4[[คะแนนเต็ม]:[คะแนนเต็ม]]),"",(tbl_task4[139]/tbl_task4[[คะแนนเต็ม]:[คะแนนเต็ม]])*tbl_task4[[%]:[%]])</f>
        <v/>
      </c>
      <c r="KX12" s="121" t="str">
        <f>IF(ISBLANK(tbl_task4[[คะแนนเต็ม]:[คะแนนเต็ม]]),"",(tbl_task4[140]/tbl_task4[[คะแนนเต็ม]:[คะแนนเต็ม]])*tbl_task4[[%]:[%]])</f>
        <v/>
      </c>
      <c r="KY12" s="121" t="str">
        <f>IF(ISBLANK(tbl_task4[[คะแนนเต็ม]:[คะแนนเต็ม]]),"",(tbl_task4[141]/tbl_task4[[คะแนนเต็ม]:[คะแนนเต็ม]])*tbl_task4[[%]:[%]])</f>
        <v/>
      </c>
      <c r="KZ12" s="121" t="str">
        <f>IF(ISBLANK(tbl_task4[[คะแนนเต็ม]:[คะแนนเต็ม]]),"",(tbl_task4[142]/tbl_task4[[คะแนนเต็ม]:[คะแนนเต็ม]])*tbl_task4[[%]:[%]])</f>
        <v/>
      </c>
      <c r="LA12" s="121" t="str">
        <f>IF(ISBLANK(tbl_task4[[คะแนนเต็ม]:[คะแนนเต็ม]]),"",(tbl_task4[143]/tbl_task4[[คะแนนเต็ม]:[คะแนนเต็ม]])*tbl_task4[[%]:[%]])</f>
        <v/>
      </c>
      <c r="LB12" s="121" t="str">
        <f>IF(ISBLANK(tbl_task4[[คะแนนเต็ม]:[คะแนนเต็ม]]),"",(tbl_task4[144]/tbl_task4[[คะแนนเต็ม]:[คะแนนเต็ม]])*tbl_task4[[%]:[%]])</f>
        <v/>
      </c>
      <c r="LC12" s="121" t="str">
        <f>IF(ISBLANK(tbl_task4[[คะแนนเต็ม]:[คะแนนเต็ม]]),"",(tbl_task4[145]/tbl_task4[[คะแนนเต็ม]:[คะแนนเต็ม]])*tbl_task4[[%]:[%]])</f>
        <v/>
      </c>
      <c r="LD12" s="121" t="str">
        <f>IF(ISBLANK(tbl_task4[[คะแนนเต็ม]:[คะแนนเต็ม]]),"",(tbl_task4[146]/tbl_task4[[คะแนนเต็ม]:[คะแนนเต็ม]])*tbl_task4[[%]:[%]])</f>
        <v/>
      </c>
      <c r="LE12" s="121" t="str">
        <f>IF(ISBLANK(tbl_task4[[คะแนนเต็ม]:[คะแนนเต็ม]]),"",(tbl_task4[147]/tbl_task4[[คะแนนเต็ม]:[คะแนนเต็ม]])*tbl_task4[[%]:[%]])</f>
        <v/>
      </c>
      <c r="LF12" s="121" t="str">
        <f>IF(ISBLANK(tbl_task4[[คะแนนเต็ม]:[คะแนนเต็ม]]),"",(tbl_task4[148]/tbl_task4[[คะแนนเต็ม]:[คะแนนเต็ม]])*tbl_task4[[%]:[%]])</f>
        <v/>
      </c>
      <c r="LG12" s="121" t="str">
        <f>IF(ISBLANK(tbl_task4[[คะแนนเต็ม]:[คะแนนเต็ม]]),"",(tbl_task4[149]/tbl_task4[[คะแนนเต็ม]:[คะแนนเต็ม]])*tbl_task4[[%]:[%]])</f>
        <v/>
      </c>
      <c r="LH12" s="121" t="str">
        <f>IF(ISBLANK(tbl_task4[[คะแนนเต็ม]:[คะแนนเต็ม]]),"",(tbl_task4[150]/tbl_task4[[คะแนนเต็ม]:[คะแนนเต็ม]])*tbl_task4[[%]:[%]])</f>
        <v/>
      </c>
      <c r="LI12" s="121" t="str">
        <f>IF(ISBLANK(tbl_task4[[คะแนนเต็ม]:[คะแนนเต็ม]]),"",(tbl_task4[151]/tbl_task4[[คะแนนเต็ม]:[คะแนนเต็ม]])*tbl_task4[[%]:[%]])</f>
        <v/>
      </c>
      <c r="LJ12" s="121" t="str">
        <f>IF(ISBLANK(tbl_task4[[คะแนนเต็ม]:[คะแนนเต็ม]]),"",(tbl_task4[152]/tbl_task4[[คะแนนเต็ม]:[คะแนนเต็ม]])*tbl_task4[[%]:[%]])</f>
        <v/>
      </c>
      <c r="LK12" s="121" t="str">
        <f>IF(ISBLANK(tbl_task4[[คะแนนเต็ม]:[คะแนนเต็ม]]),"",(tbl_task4[153]/tbl_task4[[คะแนนเต็ม]:[คะแนนเต็ม]])*tbl_task4[[%]:[%]])</f>
        <v/>
      </c>
      <c r="LL12" s="121" t="str">
        <f>IF(ISBLANK(tbl_task4[[คะแนนเต็ม]:[คะแนนเต็ม]]),"",(tbl_task4[154]/tbl_task4[[คะแนนเต็ม]:[คะแนนเต็ม]])*tbl_task4[[%]:[%]])</f>
        <v/>
      </c>
      <c r="LM12" s="121" t="str">
        <f>IF(ISBLANK(tbl_task4[[คะแนนเต็ม]:[คะแนนเต็ม]]),"",(tbl_task4[155]/tbl_task4[[คะแนนเต็ม]:[คะแนนเต็ม]])*tbl_task4[[%]:[%]])</f>
        <v/>
      </c>
      <c r="LN12" s="121" t="str">
        <f>IF(ISBLANK(tbl_task4[[คะแนนเต็ม]:[คะแนนเต็ม]]),"",(tbl_task4[156]/tbl_task4[[คะแนนเต็ม]:[คะแนนเต็ม]])*tbl_task4[[%]:[%]])</f>
        <v/>
      </c>
      <c r="LO12" s="121" t="str">
        <f>IF(ISBLANK(tbl_task4[[คะแนนเต็ม]:[คะแนนเต็ม]]),"",(tbl_task4[157]/tbl_task4[[คะแนนเต็ม]:[คะแนนเต็ม]])*tbl_task4[[%]:[%]])</f>
        <v/>
      </c>
      <c r="LP12" s="121" t="str">
        <f>IF(ISBLANK(tbl_task4[[คะแนนเต็ม]:[คะแนนเต็ม]]),"",(tbl_task4[158]/tbl_task4[[คะแนนเต็ม]:[คะแนนเต็ม]])*tbl_task4[[%]:[%]])</f>
        <v/>
      </c>
      <c r="LQ12" s="121" t="str">
        <f>IF(ISBLANK(tbl_task4[[คะแนนเต็ม]:[คะแนนเต็ม]]),"",(tbl_task4[159]/tbl_task4[[คะแนนเต็ม]:[คะแนนเต็ม]])*tbl_task4[[%]:[%]])</f>
        <v/>
      </c>
      <c r="LR12" s="121" t="str">
        <f>IF(ISBLANK(tbl_task4[[คะแนนเต็ม]:[คะแนนเต็ม]]),"",(tbl_task4[160]/tbl_task4[[คะแนนเต็ม]:[คะแนนเต็ม]])*tbl_task4[[%]:[%]])</f>
        <v/>
      </c>
      <c r="LS12" s="121" t="str">
        <f>IF(ISBLANK(tbl_task4[[คะแนนเต็ม]:[คะแนนเต็ม]]),"",(tbl_task4[161]/tbl_task4[[คะแนนเต็ม]:[คะแนนเต็ม]])*tbl_task4[[%]:[%]])</f>
        <v/>
      </c>
      <c r="LT12" s="121" t="str">
        <f>IF(ISBLANK(tbl_task4[[คะแนนเต็ม]:[คะแนนเต็ม]]),"",(tbl_task4[162]/tbl_task4[[คะแนนเต็ม]:[คะแนนเต็ม]])*tbl_task4[[%]:[%]])</f>
        <v/>
      </c>
      <c r="LU12" s="121" t="str">
        <f>IF(ISBLANK(tbl_task4[[คะแนนเต็ม]:[คะแนนเต็ม]]),"",(tbl_task4[163]/tbl_task4[[คะแนนเต็ม]:[คะแนนเต็ม]])*tbl_task4[[%]:[%]])</f>
        <v/>
      </c>
      <c r="LV12" s="121" t="str">
        <f>IF(ISBLANK(tbl_task4[[คะแนนเต็ม]:[คะแนนเต็ม]]),"",(tbl_task4[164]/tbl_task4[[คะแนนเต็ม]:[คะแนนเต็ม]])*tbl_task4[[%]:[%]])</f>
        <v/>
      </c>
      <c r="LW12" s="121" t="str">
        <f>IF(ISBLANK(tbl_task4[[คะแนนเต็ม]:[คะแนนเต็ม]]),"",(tbl_task4[165]/tbl_task4[[คะแนนเต็ม]:[คะแนนเต็ม]])*tbl_task4[[%]:[%]])</f>
        <v/>
      </c>
    </row>
    <row r="13" spans="1:335" ht="24" customHeight="1" x14ac:dyDescent="0.25">
      <c r="A13" s="24">
        <v>10</v>
      </c>
      <c r="B13" s="20"/>
      <c r="C13" s="5" t="str">
        <f>IF(ISBLANK(B13),"",VLOOKUP(B13,tbl_PLOs[],2,0))</f>
        <v/>
      </c>
      <c r="D13" s="102"/>
      <c r="E13" s="106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22"/>
      <c r="FO13" s="121" t="str">
        <f>IF(ISBLANK(tbl_task4[[คะแนนเต็ม]:[คะแนนเต็ม]]),"",(tbl_task4[1]/tbl_task4[[คะแนนเต็ม]:[คะแนนเต็ม]])*tbl_task4[[%]:[%]])</f>
        <v/>
      </c>
      <c r="FP13" s="121" t="str">
        <f>IF(ISBLANK(tbl_task4[[คะแนนเต็ม]:[คะแนนเต็ม]]),"",(tbl_task4[2]/tbl_task4[[คะแนนเต็ม]:[คะแนนเต็ม]])*tbl_task4[[%]:[%]])</f>
        <v/>
      </c>
      <c r="FQ13" s="121" t="str">
        <f>IF(ISBLANK(tbl_task4[[คะแนนเต็ม]:[คะแนนเต็ม]]),"",(tbl_task4[3]/tbl_task4[[คะแนนเต็ม]:[คะแนนเต็ม]])*tbl_task4[[%]:[%]])</f>
        <v/>
      </c>
      <c r="FR13" s="121" t="str">
        <f>IF(ISBLANK(tbl_task4[[คะแนนเต็ม]:[คะแนนเต็ม]]),"",(tbl_task4[4]/tbl_task4[[คะแนนเต็ม]:[คะแนนเต็ม]])*tbl_task4[[%]:[%]])</f>
        <v/>
      </c>
      <c r="FS13" s="121" t="str">
        <f>IF(ISBLANK(tbl_task4[[คะแนนเต็ม]:[คะแนนเต็ม]]),"",(tbl_task4[5]/tbl_task4[[คะแนนเต็ม]:[คะแนนเต็ม]])*tbl_task4[[%]:[%]])</f>
        <v/>
      </c>
      <c r="FT13" s="121" t="str">
        <f>IF(ISBLANK(tbl_task4[[คะแนนเต็ม]:[คะแนนเต็ม]]),"",(tbl_task4[6]/tbl_task4[[คะแนนเต็ม]:[คะแนนเต็ม]])*tbl_task4[[%]:[%]])</f>
        <v/>
      </c>
      <c r="FU13" s="121" t="str">
        <f>IF(ISBLANK(tbl_task4[[คะแนนเต็ม]:[คะแนนเต็ม]]),"",(tbl_task4[7]/tbl_task4[[คะแนนเต็ม]:[คะแนนเต็ม]])*tbl_task4[[%]:[%]])</f>
        <v/>
      </c>
      <c r="FV13" s="121" t="str">
        <f>IF(ISBLANK(tbl_task4[[คะแนนเต็ม]:[คะแนนเต็ม]]),"",(tbl_task4[8]/tbl_task4[[คะแนนเต็ม]:[คะแนนเต็ม]])*tbl_task4[[%]:[%]])</f>
        <v/>
      </c>
      <c r="FW13" s="121" t="str">
        <f>IF(ISBLANK(tbl_task4[[คะแนนเต็ม]:[คะแนนเต็ม]]),"",(tbl_task4[9]/tbl_task4[[คะแนนเต็ม]:[คะแนนเต็ม]])*tbl_task4[[%]:[%]])</f>
        <v/>
      </c>
      <c r="FX13" s="121" t="str">
        <f>IF(ISBLANK(tbl_task4[[คะแนนเต็ม]:[คะแนนเต็ม]]),"",(tbl_task4[10]/tbl_task4[[คะแนนเต็ม]:[คะแนนเต็ม]])*tbl_task4[[%]:[%]])</f>
        <v/>
      </c>
      <c r="FY13" s="121" t="str">
        <f>IF(ISBLANK(tbl_task4[[คะแนนเต็ม]:[คะแนนเต็ม]]),"",(tbl_task4[11]/tbl_task4[[คะแนนเต็ม]:[คะแนนเต็ม]])*tbl_task4[[%]:[%]])</f>
        <v/>
      </c>
      <c r="FZ13" s="121" t="str">
        <f>IF(ISBLANK(tbl_task4[[คะแนนเต็ม]:[คะแนนเต็ม]]),"",(tbl_task4[12]/tbl_task4[[คะแนนเต็ม]:[คะแนนเต็ม]])*tbl_task4[[%]:[%]])</f>
        <v/>
      </c>
      <c r="GA13" s="121" t="str">
        <f>IF(ISBLANK(tbl_task4[[คะแนนเต็ม]:[คะแนนเต็ม]]),"",(tbl_task4[13]/tbl_task4[[คะแนนเต็ม]:[คะแนนเต็ม]])*tbl_task4[[%]:[%]])</f>
        <v/>
      </c>
      <c r="GB13" s="121" t="str">
        <f>IF(ISBLANK(tbl_task4[[คะแนนเต็ม]:[คะแนนเต็ม]]),"",(tbl_task4[14]/tbl_task4[[คะแนนเต็ม]:[คะแนนเต็ม]])*tbl_task4[[%]:[%]])</f>
        <v/>
      </c>
      <c r="GC13" s="121" t="str">
        <f>IF(ISBLANK(tbl_task4[[คะแนนเต็ม]:[คะแนนเต็ม]]),"",(tbl_task4[15]/tbl_task4[[คะแนนเต็ม]:[คะแนนเต็ม]])*tbl_task4[[%]:[%]])</f>
        <v/>
      </c>
      <c r="GD13" s="121" t="str">
        <f>IF(ISBLANK(tbl_task4[[คะแนนเต็ม]:[คะแนนเต็ม]]),"",(tbl_task4[16]/tbl_task4[[คะแนนเต็ม]:[คะแนนเต็ม]])*tbl_task4[[%]:[%]])</f>
        <v/>
      </c>
      <c r="GE13" s="121" t="str">
        <f>IF(ISBLANK(tbl_task4[[คะแนนเต็ม]:[คะแนนเต็ม]]),"",(tbl_task4[17]/tbl_task4[[คะแนนเต็ม]:[คะแนนเต็ม]])*tbl_task4[[%]:[%]])</f>
        <v/>
      </c>
      <c r="GF13" s="121" t="str">
        <f>IF(ISBLANK(tbl_task4[[คะแนนเต็ม]:[คะแนนเต็ม]]),"",(tbl_task4[18]/tbl_task4[[คะแนนเต็ม]:[คะแนนเต็ม]])*tbl_task4[[%]:[%]])</f>
        <v/>
      </c>
      <c r="GG13" s="121" t="str">
        <f>IF(ISBLANK(tbl_task4[[คะแนนเต็ม]:[คะแนนเต็ม]]),"",(tbl_task4[19]/tbl_task4[[คะแนนเต็ม]:[คะแนนเต็ม]])*tbl_task4[[%]:[%]])</f>
        <v/>
      </c>
      <c r="GH13" s="121" t="str">
        <f>IF(ISBLANK(tbl_task4[[คะแนนเต็ม]:[คะแนนเต็ม]]),"",(tbl_task4[20]/tbl_task4[[คะแนนเต็ม]:[คะแนนเต็ม]])*tbl_task4[[%]:[%]])</f>
        <v/>
      </c>
      <c r="GI13" s="121" t="str">
        <f>IF(ISBLANK(tbl_task4[[คะแนนเต็ม]:[คะแนนเต็ม]]),"",(tbl_task4[21]/tbl_task4[[คะแนนเต็ม]:[คะแนนเต็ม]])*tbl_task4[[%]:[%]])</f>
        <v/>
      </c>
      <c r="GJ13" s="121" t="str">
        <f>IF(ISBLANK(tbl_task4[[คะแนนเต็ม]:[คะแนนเต็ม]]),"",(tbl_task4[22]/tbl_task4[[คะแนนเต็ม]:[คะแนนเต็ม]])*tbl_task4[[%]:[%]])</f>
        <v/>
      </c>
      <c r="GK13" s="121" t="str">
        <f>IF(ISBLANK(tbl_task4[[คะแนนเต็ม]:[คะแนนเต็ม]]),"",(tbl_task4[23]/tbl_task4[[คะแนนเต็ม]:[คะแนนเต็ม]])*tbl_task4[[%]:[%]])</f>
        <v/>
      </c>
      <c r="GL13" s="121" t="str">
        <f>IF(ISBLANK(tbl_task4[[คะแนนเต็ม]:[คะแนนเต็ม]]),"",(tbl_task4[24]/tbl_task4[[คะแนนเต็ม]:[คะแนนเต็ม]])*tbl_task4[[%]:[%]])</f>
        <v/>
      </c>
      <c r="GM13" s="121" t="str">
        <f>IF(ISBLANK(tbl_task4[[คะแนนเต็ม]:[คะแนนเต็ม]]),"",(tbl_task4[25]/tbl_task4[[คะแนนเต็ม]:[คะแนนเต็ม]])*tbl_task4[[%]:[%]])</f>
        <v/>
      </c>
      <c r="GN13" s="121" t="str">
        <f>IF(ISBLANK(tbl_task4[[คะแนนเต็ม]:[คะแนนเต็ม]]),"",(tbl_task4[26]/tbl_task4[[คะแนนเต็ม]:[คะแนนเต็ม]])*tbl_task4[[%]:[%]])</f>
        <v/>
      </c>
      <c r="GO13" s="121" t="str">
        <f>IF(ISBLANK(tbl_task4[[คะแนนเต็ม]:[คะแนนเต็ม]]),"",(tbl_task4[27]/tbl_task4[[คะแนนเต็ม]:[คะแนนเต็ม]])*tbl_task4[[%]:[%]])</f>
        <v/>
      </c>
      <c r="GP13" s="121" t="str">
        <f>IF(ISBLANK(tbl_task4[[คะแนนเต็ม]:[คะแนนเต็ม]]),"",(tbl_task4[28]/tbl_task4[[คะแนนเต็ม]:[คะแนนเต็ม]])*tbl_task4[[%]:[%]])</f>
        <v/>
      </c>
      <c r="GQ13" s="121" t="str">
        <f>IF(ISBLANK(tbl_task4[[คะแนนเต็ม]:[คะแนนเต็ม]]),"",(tbl_task4[29]/tbl_task4[[คะแนนเต็ม]:[คะแนนเต็ม]])*tbl_task4[[%]:[%]])</f>
        <v/>
      </c>
      <c r="GR13" s="121" t="str">
        <f>IF(ISBLANK(tbl_task4[[คะแนนเต็ม]:[คะแนนเต็ม]]),"",(tbl_task4[30]/tbl_task4[[คะแนนเต็ม]:[คะแนนเต็ม]])*tbl_task4[[%]:[%]])</f>
        <v/>
      </c>
      <c r="GS13" s="121" t="str">
        <f>IF(ISBLANK(tbl_task4[[คะแนนเต็ม]:[คะแนนเต็ม]]),"",(tbl_task4[31]/tbl_task4[[คะแนนเต็ม]:[คะแนนเต็ม]])*tbl_task4[[%]:[%]])</f>
        <v/>
      </c>
      <c r="GT13" s="121" t="str">
        <f>IF(ISBLANK(tbl_task4[[คะแนนเต็ม]:[คะแนนเต็ม]]),"",(tbl_task4[32]/tbl_task4[[คะแนนเต็ม]:[คะแนนเต็ม]])*tbl_task4[[%]:[%]])</f>
        <v/>
      </c>
      <c r="GU13" s="121" t="str">
        <f>IF(ISBLANK(tbl_task4[[คะแนนเต็ม]:[คะแนนเต็ม]]),"",(tbl_task4[33]/tbl_task4[[คะแนนเต็ม]:[คะแนนเต็ม]])*tbl_task4[[%]:[%]])</f>
        <v/>
      </c>
      <c r="GV13" s="121" t="str">
        <f>IF(ISBLANK(tbl_task4[[คะแนนเต็ม]:[คะแนนเต็ม]]),"",(tbl_task4[34]/tbl_task4[[คะแนนเต็ม]:[คะแนนเต็ม]])*tbl_task4[[%]:[%]])</f>
        <v/>
      </c>
      <c r="GW13" s="121" t="str">
        <f>IF(ISBLANK(tbl_task4[[คะแนนเต็ม]:[คะแนนเต็ม]]),"",(tbl_task4[35]/tbl_task4[[คะแนนเต็ม]:[คะแนนเต็ม]])*tbl_task4[[%]:[%]])</f>
        <v/>
      </c>
      <c r="GX13" s="121" t="str">
        <f>IF(ISBLANK(tbl_task4[[คะแนนเต็ม]:[คะแนนเต็ม]]),"",(tbl_task4[36]/tbl_task4[[คะแนนเต็ม]:[คะแนนเต็ม]])*tbl_task4[[%]:[%]])</f>
        <v/>
      </c>
      <c r="GY13" s="121" t="str">
        <f>IF(ISBLANK(tbl_task4[[คะแนนเต็ม]:[คะแนนเต็ม]]),"",(tbl_task4[37]/tbl_task4[[คะแนนเต็ม]:[คะแนนเต็ม]])*tbl_task4[[%]:[%]])</f>
        <v/>
      </c>
      <c r="GZ13" s="121" t="str">
        <f>IF(ISBLANK(tbl_task4[[คะแนนเต็ม]:[คะแนนเต็ม]]),"",(tbl_task4[38]/tbl_task4[[คะแนนเต็ม]:[คะแนนเต็ม]])*tbl_task4[[%]:[%]])</f>
        <v/>
      </c>
      <c r="HA13" s="121" t="str">
        <f>IF(ISBLANK(tbl_task4[[คะแนนเต็ม]:[คะแนนเต็ม]]),"",(tbl_task4[39]/tbl_task4[[คะแนนเต็ม]:[คะแนนเต็ม]])*tbl_task4[[%]:[%]])</f>
        <v/>
      </c>
      <c r="HB13" s="121" t="str">
        <f>IF(ISBLANK(tbl_task4[[คะแนนเต็ม]:[คะแนนเต็ม]]),"",(tbl_task4[40]/tbl_task4[[คะแนนเต็ม]:[คะแนนเต็ม]])*tbl_task4[[%]:[%]])</f>
        <v/>
      </c>
      <c r="HC13" s="121" t="str">
        <f>IF(ISBLANK(tbl_task4[[คะแนนเต็ม]:[คะแนนเต็ม]]),"",(tbl_task4[41]/tbl_task4[[คะแนนเต็ม]:[คะแนนเต็ม]])*tbl_task4[[%]:[%]])</f>
        <v/>
      </c>
      <c r="HD13" s="121" t="str">
        <f>IF(ISBLANK(tbl_task4[[คะแนนเต็ม]:[คะแนนเต็ม]]),"",(tbl_task4[42]/tbl_task4[[คะแนนเต็ม]:[คะแนนเต็ม]])*tbl_task4[[%]:[%]])</f>
        <v/>
      </c>
      <c r="HE13" s="121" t="str">
        <f>IF(ISBLANK(tbl_task4[[คะแนนเต็ม]:[คะแนนเต็ม]]),"",(tbl_task4[43]/tbl_task4[[คะแนนเต็ม]:[คะแนนเต็ม]])*tbl_task4[[%]:[%]])</f>
        <v/>
      </c>
      <c r="HF13" s="121" t="str">
        <f>IF(ISBLANK(tbl_task4[[คะแนนเต็ม]:[คะแนนเต็ม]]),"",(tbl_task4[44]/tbl_task4[[คะแนนเต็ม]:[คะแนนเต็ม]])*tbl_task4[[%]:[%]])</f>
        <v/>
      </c>
      <c r="HG13" s="121" t="str">
        <f>IF(ISBLANK(tbl_task4[[คะแนนเต็ม]:[คะแนนเต็ม]]),"",(tbl_task4[45]/tbl_task4[[คะแนนเต็ม]:[คะแนนเต็ม]])*tbl_task4[[%]:[%]])</f>
        <v/>
      </c>
      <c r="HH13" s="121" t="str">
        <f>IF(ISBLANK(tbl_task4[[คะแนนเต็ม]:[คะแนนเต็ม]]),"",(tbl_task4[46]/tbl_task4[[คะแนนเต็ม]:[คะแนนเต็ม]])*tbl_task4[[%]:[%]])</f>
        <v/>
      </c>
      <c r="HI13" s="121" t="str">
        <f>IF(ISBLANK(tbl_task4[[คะแนนเต็ม]:[คะแนนเต็ม]]),"",(tbl_task4[47]/tbl_task4[[คะแนนเต็ม]:[คะแนนเต็ม]])*tbl_task4[[%]:[%]])</f>
        <v/>
      </c>
      <c r="HJ13" s="121" t="str">
        <f>IF(ISBLANK(tbl_task4[[คะแนนเต็ม]:[คะแนนเต็ม]]),"",(tbl_task4[48]/tbl_task4[[คะแนนเต็ม]:[คะแนนเต็ม]])*tbl_task4[[%]:[%]])</f>
        <v/>
      </c>
      <c r="HK13" s="121" t="str">
        <f>IF(ISBLANK(tbl_task4[[คะแนนเต็ม]:[คะแนนเต็ม]]),"",(tbl_task4[49]/tbl_task4[[คะแนนเต็ม]:[คะแนนเต็ม]])*tbl_task4[[%]:[%]])</f>
        <v/>
      </c>
      <c r="HL13" s="121" t="str">
        <f>IF(ISBLANK(tbl_task4[[คะแนนเต็ม]:[คะแนนเต็ม]]),"",(tbl_task4[50]/tbl_task4[[คะแนนเต็ม]:[คะแนนเต็ม]])*tbl_task4[[%]:[%]])</f>
        <v/>
      </c>
      <c r="HM13" s="121" t="str">
        <f>IF(ISBLANK(tbl_task4[[คะแนนเต็ม]:[คะแนนเต็ม]]),"",(tbl_task4[51]/tbl_task4[[คะแนนเต็ม]:[คะแนนเต็ม]])*tbl_task4[[%]:[%]])</f>
        <v/>
      </c>
      <c r="HN13" s="121" t="str">
        <f>IF(ISBLANK(tbl_task4[[คะแนนเต็ม]:[คะแนนเต็ม]]),"",(tbl_task4[52]/tbl_task4[[คะแนนเต็ม]:[คะแนนเต็ม]])*tbl_task4[[%]:[%]])</f>
        <v/>
      </c>
      <c r="HO13" s="121" t="str">
        <f>IF(ISBLANK(tbl_task4[[คะแนนเต็ม]:[คะแนนเต็ม]]),"",(tbl_task4[53]/tbl_task4[[คะแนนเต็ม]:[คะแนนเต็ม]])*tbl_task4[[%]:[%]])</f>
        <v/>
      </c>
      <c r="HP13" s="121" t="str">
        <f>IF(ISBLANK(tbl_task4[[คะแนนเต็ม]:[คะแนนเต็ม]]),"",(tbl_task4[54]/tbl_task4[[คะแนนเต็ม]:[คะแนนเต็ม]])*tbl_task4[[%]:[%]])</f>
        <v/>
      </c>
      <c r="HQ13" s="121" t="str">
        <f>IF(ISBLANK(tbl_task4[[คะแนนเต็ม]:[คะแนนเต็ม]]),"",(tbl_task4[55]/tbl_task4[[คะแนนเต็ม]:[คะแนนเต็ม]])*tbl_task4[[%]:[%]])</f>
        <v/>
      </c>
      <c r="HR13" s="121" t="str">
        <f>IF(ISBLANK(tbl_task4[[คะแนนเต็ม]:[คะแนนเต็ม]]),"",(tbl_task4[56]/tbl_task4[[คะแนนเต็ม]:[คะแนนเต็ม]])*tbl_task4[[%]:[%]])</f>
        <v/>
      </c>
      <c r="HS13" s="121" t="str">
        <f>IF(ISBLANK(tbl_task4[[คะแนนเต็ม]:[คะแนนเต็ม]]),"",(tbl_task4[57]/tbl_task4[[คะแนนเต็ม]:[คะแนนเต็ม]])*tbl_task4[[%]:[%]])</f>
        <v/>
      </c>
      <c r="HT13" s="121" t="str">
        <f>IF(ISBLANK(tbl_task4[[คะแนนเต็ม]:[คะแนนเต็ม]]),"",(tbl_task4[58]/tbl_task4[[คะแนนเต็ม]:[คะแนนเต็ม]])*tbl_task4[[%]:[%]])</f>
        <v/>
      </c>
      <c r="HU13" s="121" t="str">
        <f>IF(ISBLANK(tbl_task4[[คะแนนเต็ม]:[คะแนนเต็ม]]),"",(tbl_task4[59]/tbl_task4[[คะแนนเต็ม]:[คะแนนเต็ม]])*tbl_task4[[%]:[%]])</f>
        <v/>
      </c>
      <c r="HV13" s="121" t="str">
        <f>IF(ISBLANK(tbl_task4[[คะแนนเต็ม]:[คะแนนเต็ม]]),"",(tbl_task4[60]/tbl_task4[[คะแนนเต็ม]:[คะแนนเต็ม]])*tbl_task4[[%]:[%]])</f>
        <v/>
      </c>
      <c r="HW13" s="121" t="str">
        <f>IF(ISBLANK(tbl_task4[[คะแนนเต็ม]:[คะแนนเต็ม]]),"",(tbl_task4[61]/tbl_task4[[คะแนนเต็ม]:[คะแนนเต็ม]])*tbl_task4[[%]:[%]])</f>
        <v/>
      </c>
      <c r="HX13" s="121" t="str">
        <f>IF(ISBLANK(tbl_task4[[คะแนนเต็ม]:[คะแนนเต็ม]]),"",(tbl_task4[62]/tbl_task4[[คะแนนเต็ม]:[คะแนนเต็ม]])*tbl_task4[[%]:[%]])</f>
        <v/>
      </c>
      <c r="HY13" s="121" t="str">
        <f>IF(ISBLANK(tbl_task4[[คะแนนเต็ม]:[คะแนนเต็ม]]),"",(tbl_task4[63]/tbl_task4[[คะแนนเต็ม]:[คะแนนเต็ม]])*tbl_task4[[%]:[%]])</f>
        <v/>
      </c>
      <c r="HZ13" s="121" t="str">
        <f>IF(ISBLANK(tbl_task4[[คะแนนเต็ม]:[คะแนนเต็ม]]),"",(tbl_task4[64]/tbl_task4[[คะแนนเต็ม]:[คะแนนเต็ม]])*tbl_task4[[%]:[%]])</f>
        <v/>
      </c>
      <c r="IA13" s="121" t="str">
        <f>IF(ISBLANK(tbl_task4[[คะแนนเต็ม]:[คะแนนเต็ม]]),"",(tbl_task4[65]/tbl_task4[[คะแนนเต็ม]:[คะแนนเต็ม]])*tbl_task4[[%]:[%]])</f>
        <v/>
      </c>
      <c r="IB13" s="121" t="str">
        <f>IF(ISBLANK(tbl_task4[[คะแนนเต็ม]:[คะแนนเต็ม]]),"",(tbl_task4[66]/tbl_task4[[คะแนนเต็ม]:[คะแนนเต็ม]])*tbl_task4[[%]:[%]])</f>
        <v/>
      </c>
      <c r="IC13" s="121" t="str">
        <f>IF(ISBLANK(tbl_task4[[คะแนนเต็ม]:[คะแนนเต็ม]]),"",(tbl_task4[67]/tbl_task4[[คะแนนเต็ม]:[คะแนนเต็ม]])*tbl_task4[[%]:[%]])</f>
        <v/>
      </c>
      <c r="ID13" s="121" t="str">
        <f>IF(ISBLANK(tbl_task4[[คะแนนเต็ม]:[คะแนนเต็ม]]),"",(tbl_task4[68]/tbl_task4[[คะแนนเต็ม]:[คะแนนเต็ม]])*tbl_task4[[%]:[%]])</f>
        <v/>
      </c>
      <c r="IE13" s="121" t="str">
        <f>IF(ISBLANK(tbl_task4[[คะแนนเต็ม]:[คะแนนเต็ม]]),"",(tbl_task4[69]/tbl_task4[[คะแนนเต็ม]:[คะแนนเต็ม]])*tbl_task4[[%]:[%]])</f>
        <v/>
      </c>
      <c r="IF13" s="121" t="str">
        <f>IF(ISBLANK(tbl_task4[[คะแนนเต็ม]:[คะแนนเต็ม]]),"",(tbl_task4[70]/tbl_task4[[คะแนนเต็ม]:[คะแนนเต็ม]])*tbl_task4[[%]:[%]])</f>
        <v/>
      </c>
      <c r="IG13" s="121" t="str">
        <f>IF(ISBLANK(tbl_task4[[คะแนนเต็ม]:[คะแนนเต็ม]]),"",(tbl_task4[71]/tbl_task4[[คะแนนเต็ม]:[คะแนนเต็ม]])*tbl_task4[[%]:[%]])</f>
        <v/>
      </c>
      <c r="IH13" s="121" t="str">
        <f>IF(ISBLANK(tbl_task4[[คะแนนเต็ม]:[คะแนนเต็ม]]),"",(tbl_task4[72]/tbl_task4[[คะแนนเต็ม]:[คะแนนเต็ม]])*tbl_task4[[%]:[%]])</f>
        <v/>
      </c>
      <c r="II13" s="121" t="str">
        <f>IF(ISBLANK(tbl_task4[[คะแนนเต็ม]:[คะแนนเต็ม]]),"",(tbl_task4[73]/tbl_task4[[คะแนนเต็ม]:[คะแนนเต็ม]])*tbl_task4[[%]:[%]])</f>
        <v/>
      </c>
      <c r="IJ13" s="121" t="str">
        <f>IF(ISBLANK(tbl_task4[[คะแนนเต็ม]:[คะแนนเต็ม]]),"",(tbl_task4[74]/tbl_task4[[คะแนนเต็ม]:[คะแนนเต็ม]])*tbl_task4[[%]:[%]])</f>
        <v/>
      </c>
      <c r="IK13" s="121" t="str">
        <f>IF(ISBLANK(tbl_task4[[คะแนนเต็ม]:[คะแนนเต็ม]]),"",(tbl_task4[75]/tbl_task4[[คะแนนเต็ม]:[คะแนนเต็ม]])*tbl_task4[[%]:[%]])</f>
        <v/>
      </c>
      <c r="IL13" s="121" t="str">
        <f>IF(ISBLANK(tbl_task4[[คะแนนเต็ม]:[คะแนนเต็ม]]),"",(tbl_task4[76]/tbl_task4[[คะแนนเต็ม]:[คะแนนเต็ม]])*tbl_task4[[%]:[%]])</f>
        <v/>
      </c>
      <c r="IM13" s="121" t="str">
        <f>IF(ISBLANK(tbl_task4[[คะแนนเต็ม]:[คะแนนเต็ม]]),"",(tbl_task4[77]/tbl_task4[[คะแนนเต็ม]:[คะแนนเต็ม]])*tbl_task4[[%]:[%]])</f>
        <v/>
      </c>
      <c r="IN13" s="121" t="str">
        <f>IF(ISBLANK(tbl_task4[[คะแนนเต็ม]:[คะแนนเต็ม]]),"",(tbl_task4[78]/tbl_task4[[คะแนนเต็ม]:[คะแนนเต็ม]])*tbl_task4[[%]:[%]])</f>
        <v/>
      </c>
      <c r="IO13" s="121" t="str">
        <f>IF(ISBLANK(tbl_task4[[คะแนนเต็ม]:[คะแนนเต็ม]]),"",(tbl_task4[79]/tbl_task4[[คะแนนเต็ม]:[คะแนนเต็ม]])*tbl_task4[[%]:[%]])</f>
        <v/>
      </c>
      <c r="IP13" s="121" t="str">
        <f>IF(ISBLANK(tbl_task4[[คะแนนเต็ม]:[คะแนนเต็ม]]),"",(tbl_task4[80]/tbl_task4[[คะแนนเต็ม]:[คะแนนเต็ม]])*tbl_task4[[%]:[%]])</f>
        <v/>
      </c>
      <c r="IQ13" s="121" t="str">
        <f>IF(ISBLANK(tbl_task4[[คะแนนเต็ม]:[คะแนนเต็ม]]),"",(tbl_task4[81]/tbl_task4[[คะแนนเต็ม]:[คะแนนเต็ม]])*tbl_task4[[%]:[%]])</f>
        <v/>
      </c>
      <c r="IR13" s="121" t="str">
        <f>IF(ISBLANK(tbl_task4[[คะแนนเต็ม]:[คะแนนเต็ม]]),"",(tbl_task4[82]/tbl_task4[[คะแนนเต็ม]:[คะแนนเต็ม]])*tbl_task4[[%]:[%]])</f>
        <v/>
      </c>
      <c r="IS13" s="121" t="str">
        <f>IF(ISBLANK(tbl_task4[[คะแนนเต็ม]:[คะแนนเต็ม]]),"",(tbl_task4[83]/tbl_task4[[คะแนนเต็ม]:[คะแนนเต็ม]])*tbl_task4[[%]:[%]])</f>
        <v/>
      </c>
      <c r="IT13" s="121" t="str">
        <f>IF(ISBLANK(tbl_task4[[คะแนนเต็ม]:[คะแนนเต็ม]]),"",(tbl_task4[84]/tbl_task4[[คะแนนเต็ม]:[คะแนนเต็ม]])*tbl_task4[[%]:[%]])</f>
        <v/>
      </c>
      <c r="IU13" s="121" t="str">
        <f>IF(ISBLANK(tbl_task4[[คะแนนเต็ม]:[คะแนนเต็ม]]),"",(tbl_task4[85]/tbl_task4[[คะแนนเต็ม]:[คะแนนเต็ม]])*tbl_task4[[%]:[%]])</f>
        <v/>
      </c>
      <c r="IV13" s="121" t="str">
        <f>IF(ISBLANK(tbl_task4[[คะแนนเต็ม]:[คะแนนเต็ม]]),"",(tbl_task4[86]/tbl_task4[[คะแนนเต็ม]:[คะแนนเต็ม]])*tbl_task4[[%]:[%]])</f>
        <v/>
      </c>
      <c r="IW13" s="121" t="str">
        <f>IF(ISBLANK(tbl_task4[[คะแนนเต็ม]:[คะแนนเต็ม]]),"",(tbl_task4[87]/tbl_task4[[คะแนนเต็ม]:[คะแนนเต็ม]])*tbl_task4[[%]:[%]])</f>
        <v/>
      </c>
      <c r="IX13" s="121" t="str">
        <f>IF(ISBLANK(tbl_task4[[คะแนนเต็ม]:[คะแนนเต็ม]]),"",(tbl_task4[88]/tbl_task4[[คะแนนเต็ม]:[คะแนนเต็ม]])*tbl_task4[[%]:[%]])</f>
        <v/>
      </c>
      <c r="IY13" s="121" t="str">
        <f>IF(ISBLANK(tbl_task4[[คะแนนเต็ม]:[คะแนนเต็ม]]),"",(tbl_task4[89]/tbl_task4[[คะแนนเต็ม]:[คะแนนเต็ม]])*tbl_task4[[%]:[%]])</f>
        <v/>
      </c>
      <c r="IZ13" s="121" t="str">
        <f>IF(ISBLANK(tbl_task4[[คะแนนเต็ม]:[คะแนนเต็ม]]),"",(tbl_task4[90]/tbl_task4[[คะแนนเต็ม]:[คะแนนเต็ม]])*tbl_task4[[%]:[%]])</f>
        <v/>
      </c>
      <c r="JA13" s="121" t="str">
        <f>IF(ISBLANK(tbl_task4[[คะแนนเต็ม]:[คะแนนเต็ม]]),"",(tbl_task4[91]/tbl_task4[[คะแนนเต็ม]:[คะแนนเต็ม]])*tbl_task4[[%]:[%]])</f>
        <v/>
      </c>
      <c r="JB13" s="121" t="str">
        <f>IF(ISBLANK(tbl_task4[[คะแนนเต็ม]:[คะแนนเต็ม]]),"",(tbl_task4[92]/tbl_task4[[คะแนนเต็ม]:[คะแนนเต็ม]])*tbl_task4[[%]:[%]])</f>
        <v/>
      </c>
      <c r="JC13" s="121" t="str">
        <f>IF(ISBLANK(tbl_task4[[คะแนนเต็ม]:[คะแนนเต็ม]]),"",(tbl_task4[93]/tbl_task4[[คะแนนเต็ม]:[คะแนนเต็ม]])*tbl_task4[[%]:[%]])</f>
        <v/>
      </c>
      <c r="JD13" s="121" t="str">
        <f>IF(ISBLANK(tbl_task4[[คะแนนเต็ม]:[คะแนนเต็ม]]),"",(tbl_task4[94]/tbl_task4[[คะแนนเต็ม]:[คะแนนเต็ม]])*tbl_task4[[%]:[%]])</f>
        <v/>
      </c>
      <c r="JE13" s="121" t="str">
        <f>IF(ISBLANK(tbl_task4[[คะแนนเต็ม]:[คะแนนเต็ม]]),"",(tbl_task4[95]/tbl_task4[[คะแนนเต็ม]:[คะแนนเต็ม]])*tbl_task4[[%]:[%]])</f>
        <v/>
      </c>
      <c r="JF13" s="121" t="str">
        <f>IF(ISBLANK(tbl_task4[[คะแนนเต็ม]:[คะแนนเต็ม]]),"",(tbl_task4[96]/tbl_task4[[คะแนนเต็ม]:[คะแนนเต็ม]])*tbl_task4[[%]:[%]])</f>
        <v/>
      </c>
      <c r="JG13" s="121" t="str">
        <f>IF(ISBLANK(tbl_task4[[คะแนนเต็ม]:[คะแนนเต็ม]]),"",(tbl_task4[97]/tbl_task4[[คะแนนเต็ม]:[คะแนนเต็ม]])*tbl_task4[[%]:[%]])</f>
        <v/>
      </c>
      <c r="JH13" s="121" t="str">
        <f>IF(ISBLANK(tbl_task4[[คะแนนเต็ม]:[คะแนนเต็ม]]),"",(tbl_task4[98]/tbl_task4[[คะแนนเต็ม]:[คะแนนเต็ม]])*tbl_task4[[%]:[%]])</f>
        <v/>
      </c>
      <c r="JI13" s="121" t="str">
        <f>IF(ISBLANK(tbl_task4[[คะแนนเต็ม]:[คะแนนเต็ม]]),"",(tbl_task4[99]/tbl_task4[[คะแนนเต็ม]:[คะแนนเต็ม]])*tbl_task4[[%]:[%]])</f>
        <v/>
      </c>
      <c r="JJ13" s="121" t="str">
        <f>IF(ISBLANK(tbl_task4[[คะแนนเต็ม]:[คะแนนเต็ม]]),"",(tbl_task4[100]/tbl_task4[[คะแนนเต็ม]:[คะแนนเต็ม]])*tbl_task4[[%]:[%]])</f>
        <v/>
      </c>
      <c r="JK13" s="121" t="str">
        <f>IF(ISBLANK(tbl_task4[[คะแนนเต็ม]:[คะแนนเต็ม]]),"",(tbl_task4[101]/tbl_task4[[คะแนนเต็ม]:[คะแนนเต็ม]])*tbl_task4[[%]:[%]])</f>
        <v/>
      </c>
      <c r="JL13" s="121" t="str">
        <f>IF(ISBLANK(tbl_task4[[คะแนนเต็ม]:[คะแนนเต็ม]]),"",(tbl_task4[102]/tbl_task4[[คะแนนเต็ม]:[คะแนนเต็ม]])*tbl_task4[[%]:[%]])</f>
        <v/>
      </c>
      <c r="JM13" s="121" t="str">
        <f>IF(ISBLANK(tbl_task4[[คะแนนเต็ม]:[คะแนนเต็ม]]),"",(tbl_task4[103]/tbl_task4[[คะแนนเต็ม]:[คะแนนเต็ม]])*tbl_task4[[%]:[%]])</f>
        <v/>
      </c>
      <c r="JN13" s="121" t="str">
        <f>IF(ISBLANK(tbl_task4[[คะแนนเต็ม]:[คะแนนเต็ม]]),"",(tbl_task4[104]/tbl_task4[[คะแนนเต็ม]:[คะแนนเต็ม]])*tbl_task4[[%]:[%]])</f>
        <v/>
      </c>
      <c r="JO13" s="121" t="str">
        <f>IF(ISBLANK(tbl_task4[[คะแนนเต็ม]:[คะแนนเต็ม]]),"",(tbl_task4[105]/tbl_task4[[คะแนนเต็ม]:[คะแนนเต็ม]])*tbl_task4[[%]:[%]])</f>
        <v/>
      </c>
      <c r="JP13" s="121" t="str">
        <f>IF(ISBLANK(tbl_task4[[คะแนนเต็ม]:[คะแนนเต็ม]]),"",(tbl_task4[106]/tbl_task4[[คะแนนเต็ม]:[คะแนนเต็ม]])*tbl_task4[[%]:[%]])</f>
        <v/>
      </c>
      <c r="JQ13" s="121" t="str">
        <f>IF(ISBLANK(tbl_task4[[คะแนนเต็ม]:[คะแนนเต็ม]]),"",(tbl_task4[107]/tbl_task4[[คะแนนเต็ม]:[คะแนนเต็ม]])*tbl_task4[[%]:[%]])</f>
        <v/>
      </c>
      <c r="JR13" s="121" t="str">
        <f>IF(ISBLANK(tbl_task4[[คะแนนเต็ม]:[คะแนนเต็ม]]),"",(tbl_task4[108]/tbl_task4[[คะแนนเต็ม]:[คะแนนเต็ม]])*tbl_task4[[%]:[%]])</f>
        <v/>
      </c>
      <c r="JS13" s="121" t="str">
        <f>IF(ISBLANK(tbl_task4[[คะแนนเต็ม]:[คะแนนเต็ม]]),"",(tbl_task4[109]/tbl_task4[[คะแนนเต็ม]:[คะแนนเต็ม]])*tbl_task4[[%]:[%]])</f>
        <v/>
      </c>
      <c r="JT13" s="121" t="str">
        <f>IF(ISBLANK(tbl_task4[[คะแนนเต็ม]:[คะแนนเต็ม]]),"",(tbl_task4[110]/tbl_task4[[คะแนนเต็ม]:[คะแนนเต็ม]])*tbl_task4[[%]:[%]])</f>
        <v/>
      </c>
      <c r="JU13" s="121" t="str">
        <f>IF(ISBLANK(tbl_task4[[คะแนนเต็ม]:[คะแนนเต็ม]]),"",(tbl_task4[111]/tbl_task4[[คะแนนเต็ม]:[คะแนนเต็ม]])*tbl_task4[[%]:[%]])</f>
        <v/>
      </c>
      <c r="JV13" s="121" t="str">
        <f>IF(ISBLANK(tbl_task4[[คะแนนเต็ม]:[คะแนนเต็ม]]),"",(tbl_task4[112]/tbl_task4[[คะแนนเต็ม]:[คะแนนเต็ม]])*tbl_task4[[%]:[%]])</f>
        <v/>
      </c>
      <c r="JW13" s="121" t="str">
        <f>IF(ISBLANK(tbl_task4[[คะแนนเต็ม]:[คะแนนเต็ม]]),"",(tbl_task4[113]/tbl_task4[[คะแนนเต็ม]:[คะแนนเต็ม]])*tbl_task4[[%]:[%]])</f>
        <v/>
      </c>
      <c r="JX13" s="121" t="str">
        <f>IF(ISBLANK(tbl_task4[[คะแนนเต็ม]:[คะแนนเต็ม]]),"",(tbl_task4[114]/tbl_task4[[คะแนนเต็ม]:[คะแนนเต็ม]])*tbl_task4[[%]:[%]])</f>
        <v/>
      </c>
      <c r="JY13" s="121" t="str">
        <f>IF(ISBLANK(tbl_task4[[คะแนนเต็ม]:[คะแนนเต็ม]]),"",(tbl_task4[115]/tbl_task4[[คะแนนเต็ม]:[คะแนนเต็ม]])*tbl_task4[[%]:[%]])</f>
        <v/>
      </c>
      <c r="JZ13" s="121" t="str">
        <f>IF(ISBLANK(tbl_task4[[คะแนนเต็ม]:[คะแนนเต็ม]]),"",(tbl_task4[116]/tbl_task4[[คะแนนเต็ม]:[คะแนนเต็ม]])*tbl_task4[[%]:[%]])</f>
        <v/>
      </c>
      <c r="KA13" s="121" t="str">
        <f>IF(ISBLANK(tbl_task4[[คะแนนเต็ม]:[คะแนนเต็ม]]),"",(tbl_task4[117]/tbl_task4[[คะแนนเต็ม]:[คะแนนเต็ม]])*tbl_task4[[%]:[%]])</f>
        <v/>
      </c>
      <c r="KB13" s="121" t="str">
        <f>IF(ISBLANK(tbl_task4[[คะแนนเต็ม]:[คะแนนเต็ม]]),"",(tbl_task4[118]/tbl_task4[[คะแนนเต็ม]:[คะแนนเต็ม]])*tbl_task4[[%]:[%]])</f>
        <v/>
      </c>
      <c r="KC13" s="121" t="str">
        <f>IF(ISBLANK(tbl_task4[[คะแนนเต็ม]:[คะแนนเต็ม]]),"",(tbl_task4[119]/tbl_task4[[คะแนนเต็ม]:[คะแนนเต็ม]])*tbl_task4[[%]:[%]])</f>
        <v/>
      </c>
      <c r="KD13" s="121" t="str">
        <f>IF(ISBLANK(tbl_task4[[คะแนนเต็ม]:[คะแนนเต็ม]]),"",(tbl_task4[120]/tbl_task4[[คะแนนเต็ม]:[คะแนนเต็ม]])*tbl_task4[[%]:[%]])</f>
        <v/>
      </c>
      <c r="KE13" s="121" t="str">
        <f>IF(ISBLANK(tbl_task4[[คะแนนเต็ม]:[คะแนนเต็ม]]),"",(tbl_task4[121]/tbl_task4[[คะแนนเต็ม]:[คะแนนเต็ม]])*tbl_task4[[%]:[%]])</f>
        <v/>
      </c>
      <c r="KF13" s="121" t="str">
        <f>IF(ISBLANK(tbl_task4[[คะแนนเต็ม]:[คะแนนเต็ม]]),"",(tbl_task4[122]/tbl_task4[[คะแนนเต็ม]:[คะแนนเต็ม]])*tbl_task4[[%]:[%]])</f>
        <v/>
      </c>
      <c r="KG13" s="121" t="str">
        <f>IF(ISBLANK(tbl_task4[[คะแนนเต็ม]:[คะแนนเต็ม]]),"",(tbl_task4[123]/tbl_task4[[คะแนนเต็ม]:[คะแนนเต็ม]])*tbl_task4[[%]:[%]])</f>
        <v/>
      </c>
      <c r="KH13" s="121" t="str">
        <f>IF(ISBLANK(tbl_task4[[คะแนนเต็ม]:[คะแนนเต็ม]]),"",(tbl_task4[124]/tbl_task4[[คะแนนเต็ม]:[คะแนนเต็ม]])*tbl_task4[[%]:[%]])</f>
        <v/>
      </c>
      <c r="KI13" s="121" t="str">
        <f>IF(ISBLANK(tbl_task4[[คะแนนเต็ม]:[คะแนนเต็ม]]),"",(tbl_task4[125]/tbl_task4[[คะแนนเต็ม]:[คะแนนเต็ม]])*tbl_task4[[%]:[%]])</f>
        <v/>
      </c>
      <c r="KJ13" s="121" t="str">
        <f>IF(ISBLANK(tbl_task4[[คะแนนเต็ม]:[คะแนนเต็ม]]),"",(tbl_task4[126]/tbl_task4[[คะแนนเต็ม]:[คะแนนเต็ม]])*tbl_task4[[%]:[%]])</f>
        <v/>
      </c>
      <c r="KK13" s="121" t="str">
        <f>IF(ISBLANK(tbl_task4[[คะแนนเต็ม]:[คะแนนเต็ม]]),"",(tbl_task4[127]/tbl_task4[[คะแนนเต็ม]:[คะแนนเต็ม]])*tbl_task4[[%]:[%]])</f>
        <v/>
      </c>
      <c r="KL13" s="121" t="str">
        <f>IF(ISBLANK(tbl_task4[[คะแนนเต็ม]:[คะแนนเต็ม]]),"",(tbl_task4[128]/tbl_task4[[คะแนนเต็ม]:[คะแนนเต็ม]])*tbl_task4[[%]:[%]])</f>
        <v/>
      </c>
      <c r="KM13" s="121" t="str">
        <f>IF(ISBLANK(tbl_task4[[คะแนนเต็ม]:[คะแนนเต็ม]]),"",(tbl_task4[129]/tbl_task4[[คะแนนเต็ม]:[คะแนนเต็ม]])*tbl_task4[[%]:[%]])</f>
        <v/>
      </c>
      <c r="KN13" s="121" t="str">
        <f>IF(ISBLANK(tbl_task4[[คะแนนเต็ม]:[คะแนนเต็ม]]),"",(tbl_task4[130]/tbl_task4[[คะแนนเต็ม]:[คะแนนเต็ม]])*tbl_task4[[%]:[%]])</f>
        <v/>
      </c>
      <c r="KO13" s="121" t="str">
        <f>IF(ISBLANK(tbl_task4[[คะแนนเต็ม]:[คะแนนเต็ม]]),"",(tbl_task4[131]/tbl_task4[[คะแนนเต็ม]:[คะแนนเต็ม]])*tbl_task4[[%]:[%]])</f>
        <v/>
      </c>
      <c r="KP13" s="121" t="str">
        <f>IF(ISBLANK(tbl_task4[[คะแนนเต็ม]:[คะแนนเต็ม]]),"",(tbl_task4[132]/tbl_task4[[คะแนนเต็ม]:[คะแนนเต็ม]])*tbl_task4[[%]:[%]])</f>
        <v/>
      </c>
      <c r="KQ13" s="121" t="str">
        <f>IF(ISBLANK(tbl_task4[[คะแนนเต็ม]:[คะแนนเต็ม]]),"",(tbl_task4[133]/tbl_task4[[คะแนนเต็ม]:[คะแนนเต็ม]])*tbl_task4[[%]:[%]])</f>
        <v/>
      </c>
      <c r="KR13" s="121" t="str">
        <f>IF(ISBLANK(tbl_task4[[คะแนนเต็ม]:[คะแนนเต็ม]]),"",(tbl_task4[134]/tbl_task4[[คะแนนเต็ม]:[คะแนนเต็ม]])*tbl_task4[[%]:[%]])</f>
        <v/>
      </c>
      <c r="KS13" s="121" t="str">
        <f>IF(ISBLANK(tbl_task4[[คะแนนเต็ม]:[คะแนนเต็ม]]),"",(tbl_task4[135]/tbl_task4[[คะแนนเต็ม]:[คะแนนเต็ม]])*tbl_task4[[%]:[%]])</f>
        <v/>
      </c>
      <c r="KT13" s="121" t="str">
        <f>IF(ISBLANK(tbl_task4[[คะแนนเต็ม]:[คะแนนเต็ม]]),"",(tbl_task4[136]/tbl_task4[[คะแนนเต็ม]:[คะแนนเต็ม]])*tbl_task4[[%]:[%]])</f>
        <v/>
      </c>
      <c r="KU13" s="121" t="str">
        <f>IF(ISBLANK(tbl_task4[[คะแนนเต็ม]:[คะแนนเต็ม]]),"",(tbl_task4[137]/tbl_task4[[คะแนนเต็ม]:[คะแนนเต็ม]])*tbl_task4[[%]:[%]])</f>
        <v/>
      </c>
      <c r="KV13" s="121" t="str">
        <f>IF(ISBLANK(tbl_task4[[คะแนนเต็ม]:[คะแนนเต็ม]]),"",(tbl_task4[138]/tbl_task4[[คะแนนเต็ม]:[คะแนนเต็ม]])*tbl_task4[[%]:[%]])</f>
        <v/>
      </c>
      <c r="KW13" s="121" t="str">
        <f>IF(ISBLANK(tbl_task4[[คะแนนเต็ม]:[คะแนนเต็ม]]),"",(tbl_task4[139]/tbl_task4[[คะแนนเต็ม]:[คะแนนเต็ม]])*tbl_task4[[%]:[%]])</f>
        <v/>
      </c>
      <c r="KX13" s="121" t="str">
        <f>IF(ISBLANK(tbl_task4[[คะแนนเต็ม]:[คะแนนเต็ม]]),"",(tbl_task4[140]/tbl_task4[[คะแนนเต็ม]:[คะแนนเต็ม]])*tbl_task4[[%]:[%]])</f>
        <v/>
      </c>
      <c r="KY13" s="121" t="str">
        <f>IF(ISBLANK(tbl_task4[[คะแนนเต็ม]:[คะแนนเต็ม]]),"",(tbl_task4[141]/tbl_task4[[คะแนนเต็ม]:[คะแนนเต็ม]])*tbl_task4[[%]:[%]])</f>
        <v/>
      </c>
      <c r="KZ13" s="121" t="str">
        <f>IF(ISBLANK(tbl_task4[[คะแนนเต็ม]:[คะแนนเต็ม]]),"",(tbl_task4[142]/tbl_task4[[คะแนนเต็ม]:[คะแนนเต็ม]])*tbl_task4[[%]:[%]])</f>
        <v/>
      </c>
      <c r="LA13" s="121" t="str">
        <f>IF(ISBLANK(tbl_task4[[คะแนนเต็ม]:[คะแนนเต็ม]]),"",(tbl_task4[143]/tbl_task4[[คะแนนเต็ม]:[คะแนนเต็ม]])*tbl_task4[[%]:[%]])</f>
        <v/>
      </c>
      <c r="LB13" s="121" t="str">
        <f>IF(ISBLANK(tbl_task4[[คะแนนเต็ม]:[คะแนนเต็ม]]),"",(tbl_task4[144]/tbl_task4[[คะแนนเต็ม]:[คะแนนเต็ม]])*tbl_task4[[%]:[%]])</f>
        <v/>
      </c>
      <c r="LC13" s="121" t="str">
        <f>IF(ISBLANK(tbl_task4[[คะแนนเต็ม]:[คะแนนเต็ม]]),"",(tbl_task4[145]/tbl_task4[[คะแนนเต็ม]:[คะแนนเต็ม]])*tbl_task4[[%]:[%]])</f>
        <v/>
      </c>
      <c r="LD13" s="121" t="str">
        <f>IF(ISBLANK(tbl_task4[[คะแนนเต็ม]:[คะแนนเต็ม]]),"",(tbl_task4[146]/tbl_task4[[คะแนนเต็ม]:[คะแนนเต็ม]])*tbl_task4[[%]:[%]])</f>
        <v/>
      </c>
      <c r="LE13" s="121" t="str">
        <f>IF(ISBLANK(tbl_task4[[คะแนนเต็ม]:[คะแนนเต็ม]]),"",(tbl_task4[147]/tbl_task4[[คะแนนเต็ม]:[คะแนนเต็ม]])*tbl_task4[[%]:[%]])</f>
        <v/>
      </c>
      <c r="LF13" s="121" t="str">
        <f>IF(ISBLANK(tbl_task4[[คะแนนเต็ม]:[คะแนนเต็ม]]),"",(tbl_task4[148]/tbl_task4[[คะแนนเต็ม]:[คะแนนเต็ม]])*tbl_task4[[%]:[%]])</f>
        <v/>
      </c>
      <c r="LG13" s="121" t="str">
        <f>IF(ISBLANK(tbl_task4[[คะแนนเต็ม]:[คะแนนเต็ม]]),"",(tbl_task4[149]/tbl_task4[[คะแนนเต็ม]:[คะแนนเต็ม]])*tbl_task4[[%]:[%]])</f>
        <v/>
      </c>
      <c r="LH13" s="121" t="str">
        <f>IF(ISBLANK(tbl_task4[[คะแนนเต็ม]:[คะแนนเต็ม]]),"",(tbl_task4[150]/tbl_task4[[คะแนนเต็ม]:[คะแนนเต็ม]])*tbl_task4[[%]:[%]])</f>
        <v/>
      </c>
      <c r="LI13" s="121" t="str">
        <f>IF(ISBLANK(tbl_task4[[คะแนนเต็ม]:[คะแนนเต็ม]]),"",(tbl_task4[151]/tbl_task4[[คะแนนเต็ม]:[คะแนนเต็ม]])*tbl_task4[[%]:[%]])</f>
        <v/>
      </c>
      <c r="LJ13" s="121" t="str">
        <f>IF(ISBLANK(tbl_task4[[คะแนนเต็ม]:[คะแนนเต็ม]]),"",(tbl_task4[152]/tbl_task4[[คะแนนเต็ม]:[คะแนนเต็ม]])*tbl_task4[[%]:[%]])</f>
        <v/>
      </c>
      <c r="LK13" s="121" t="str">
        <f>IF(ISBLANK(tbl_task4[[คะแนนเต็ม]:[คะแนนเต็ม]]),"",(tbl_task4[153]/tbl_task4[[คะแนนเต็ม]:[คะแนนเต็ม]])*tbl_task4[[%]:[%]])</f>
        <v/>
      </c>
      <c r="LL13" s="121" t="str">
        <f>IF(ISBLANK(tbl_task4[[คะแนนเต็ม]:[คะแนนเต็ม]]),"",(tbl_task4[154]/tbl_task4[[คะแนนเต็ม]:[คะแนนเต็ม]])*tbl_task4[[%]:[%]])</f>
        <v/>
      </c>
      <c r="LM13" s="121" t="str">
        <f>IF(ISBLANK(tbl_task4[[คะแนนเต็ม]:[คะแนนเต็ม]]),"",(tbl_task4[155]/tbl_task4[[คะแนนเต็ม]:[คะแนนเต็ม]])*tbl_task4[[%]:[%]])</f>
        <v/>
      </c>
      <c r="LN13" s="121" t="str">
        <f>IF(ISBLANK(tbl_task4[[คะแนนเต็ม]:[คะแนนเต็ม]]),"",(tbl_task4[156]/tbl_task4[[คะแนนเต็ม]:[คะแนนเต็ม]])*tbl_task4[[%]:[%]])</f>
        <v/>
      </c>
      <c r="LO13" s="121" t="str">
        <f>IF(ISBLANK(tbl_task4[[คะแนนเต็ม]:[คะแนนเต็ม]]),"",(tbl_task4[157]/tbl_task4[[คะแนนเต็ม]:[คะแนนเต็ม]])*tbl_task4[[%]:[%]])</f>
        <v/>
      </c>
      <c r="LP13" s="121" t="str">
        <f>IF(ISBLANK(tbl_task4[[คะแนนเต็ม]:[คะแนนเต็ม]]),"",(tbl_task4[158]/tbl_task4[[คะแนนเต็ม]:[คะแนนเต็ม]])*tbl_task4[[%]:[%]])</f>
        <v/>
      </c>
      <c r="LQ13" s="121" t="str">
        <f>IF(ISBLANK(tbl_task4[[คะแนนเต็ม]:[คะแนนเต็ม]]),"",(tbl_task4[159]/tbl_task4[[คะแนนเต็ม]:[คะแนนเต็ม]])*tbl_task4[[%]:[%]])</f>
        <v/>
      </c>
      <c r="LR13" s="121" t="str">
        <f>IF(ISBLANK(tbl_task4[[คะแนนเต็ม]:[คะแนนเต็ม]]),"",(tbl_task4[160]/tbl_task4[[คะแนนเต็ม]:[คะแนนเต็ม]])*tbl_task4[[%]:[%]])</f>
        <v/>
      </c>
      <c r="LS13" s="121" t="str">
        <f>IF(ISBLANK(tbl_task4[[คะแนนเต็ม]:[คะแนนเต็ม]]),"",(tbl_task4[161]/tbl_task4[[คะแนนเต็ม]:[คะแนนเต็ม]])*tbl_task4[[%]:[%]])</f>
        <v/>
      </c>
      <c r="LT13" s="121" t="str">
        <f>IF(ISBLANK(tbl_task4[[คะแนนเต็ม]:[คะแนนเต็ม]]),"",(tbl_task4[162]/tbl_task4[[คะแนนเต็ม]:[คะแนนเต็ม]])*tbl_task4[[%]:[%]])</f>
        <v/>
      </c>
      <c r="LU13" s="121" t="str">
        <f>IF(ISBLANK(tbl_task4[[คะแนนเต็ม]:[คะแนนเต็ม]]),"",(tbl_task4[163]/tbl_task4[[คะแนนเต็ม]:[คะแนนเต็ม]])*tbl_task4[[%]:[%]])</f>
        <v/>
      </c>
      <c r="LV13" s="121" t="str">
        <f>IF(ISBLANK(tbl_task4[[คะแนนเต็ม]:[คะแนนเต็ม]]),"",(tbl_task4[164]/tbl_task4[[คะแนนเต็ม]:[คะแนนเต็ม]])*tbl_task4[[%]:[%]])</f>
        <v/>
      </c>
      <c r="LW13" s="121" t="str">
        <f>IF(ISBLANK(tbl_task4[[คะแนนเต็ม]:[คะแนนเต็ม]]),"",(tbl_task4[165]/tbl_task4[[คะแนนเต็ม]:[คะแนนเต็ม]])*tbl_task4[[%]:[%]])</f>
        <v/>
      </c>
    </row>
    <row r="14" spans="1:335" ht="24" customHeight="1" x14ac:dyDescent="0.25">
      <c r="A14" s="24">
        <v>11</v>
      </c>
      <c r="B14" s="20"/>
      <c r="C14" s="5" t="str">
        <f>IF(ISBLANK(B14),"",VLOOKUP(B14,tbl_PLOs[],2,0))</f>
        <v/>
      </c>
      <c r="D14" s="102"/>
      <c r="E14" s="106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21" t="str">
        <f>IF(ISBLANK(tbl_task4[[คะแนนเต็ม]:[คะแนนเต็ม]]),"",(tbl_task4[1]/tbl_task4[[คะแนนเต็ม]:[คะแนนเต็ม]])*tbl_task4[[%]:[%]])</f>
        <v/>
      </c>
      <c r="FP14" s="121" t="str">
        <f>IF(ISBLANK(tbl_task4[[คะแนนเต็ม]:[คะแนนเต็ม]]),"",(tbl_task4[2]/tbl_task4[[คะแนนเต็ม]:[คะแนนเต็ม]])*tbl_task4[[%]:[%]])</f>
        <v/>
      </c>
      <c r="FQ14" s="121" t="str">
        <f>IF(ISBLANK(tbl_task4[[คะแนนเต็ม]:[คะแนนเต็ม]]),"",(tbl_task4[3]/tbl_task4[[คะแนนเต็ม]:[คะแนนเต็ม]])*tbl_task4[[%]:[%]])</f>
        <v/>
      </c>
      <c r="FR14" s="121" t="str">
        <f>IF(ISBLANK(tbl_task4[[คะแนนเต็ม]:[คะแนนเต็ม]]),"",(tbl_task4[4]/tbl_task4[[คะแนนเต็ม]:[คะแนนเต็ม]])*tbl_task4[[%]:[%]])</f>
        <v/>
      </c>
      <c r="FS14" s="121" t="str">
        <f>IF(ISBLANK(tbl_task4[[คะแนนเต็ม]:[คะแนนเต็ม]]),"",(tbl_task4[5]/tbl_task4[[คะแนนเต็ม]:[คะแนนเต็ม]])*tbl_task4[[%]:[%]])</f>
        <v/>
      </c>
      <c r="FT14" s="121" t="str">
        <f>IF(ISBLANK(tbl_task4[[คะแนนเต็ม]:[คะแนนเต็ม]]),"",(tbl_task4[6]/tbl_task4[[คะแนนเต็ม]:[คะแนนเต็ม]])*tbl_task4[[%]:[%]])</f>
        <v/>
      </c>
      <c r="FU14" s="121" t="str">
        <f>IF(ISBLANK(tbl_task4[[คะแนนเต็ม]:[คะแนนเต็ม]]),"",(tbl_task4[7]/tbl_task4[[คะแนนเต็ม]:[คะแนนเต็ม]])*tbl_task4[[%]:[%]])</f>
        <v/>
      </c>
      <c r="FV14" s="121" t="str">
        <f>IF(ISBLANK(tbl_task4[[คะแนนเต็ม]:[คะแนนเต็ม]]),"",(tbl_task4[8]/tbl_task4[[คะแนนเต็ม]:[คะแนนเต็ม]])*tbl_task4[[%]:[%]])</f>
        <v/>
      </c>
      <c r="FW14" s="121" t="str">
        <f>IF(ISBLANK(tbl_task4[[คะแนนเต็ม]:[คะแนนเต็ม]]),"",(tbl_task4[9]/tbl_task4[[คะแนนเต็ม]:[คะแนนเต็ม]])*tbl_task4[[%]:[%]])</f>
        <v/>
      </c>
      <c r="FX14" s="121" t="str">
        <f>IF(ISBLANK(tbl_task4[[คะแนนเต็ม]:[คะแนนเต็ม]]),"",(tbl_task4[10]/tbl_task4[[คะแนนเต็ม]:[คะแนนเต็ม]])*tbl_task4[[%]:[%]])</f>
        <v/>
      </c>
      <c r="FY14" s="121" t="str">
        <f>IF(ISBLANK(tbl_task4[[คะแนนเต็ม]:[คะแนนเต็ม]]),"",(tbl_task4[11]/tbl_task4[[คะแนนเต็ม]:[คะแนนเต็ม]])*tbl_task4[[%]:[%]])</f>
        <v/>
      </c>
      <c r="FZ14" s="121" t="str">
        <f>IF(ISBLANK(tbl_task4[[คะแนนเต็ม]:[คะแนนเต็ม]]),"",(tbl_task4[12]/tbl_task4[[คะแนนเต็ม]:[คะแนนเต็ม]])*tbl_task4[[%]:[%]])</f>
        <v/>
      </c>
      <c r="GA14" s="121" t="str">
        <f>IF(ISBLANK(tbl_task4[[คะแนนเต็ม]:[คะแนนเต็ม]]),"",(tbl_task4[13]/tbl_task4[[คะแนนเต็ม]:[คะแนนเต็ม]])*tbl_task4[[%]:[%]])</f>
        <v/>
      </c>
      <c r="GB14" s="121" t="str">
        <f>IF(ISBLANK(tbl_task4[[คะแนนเต็ม]:[คะแนนเต็ม]]),"",(tbl_task4[14]/tbl_task4[[คะแนนเต็ม]:[คะแนนเต็ม]])*tbl_task4[[%]:[%]])</f>
        <v/>
      </c>
      <c r="GC14" s="121" t="str">
        <f>IF(ISBLANK(tbl_task4[[คะแนนเต็ม]:[คะแนนเต็ม]]),"",(tbl_task4[15]/tbl_task4[[คะแนนเต็ม]:[คะแนนเต็ม]])*tbl_task4[[%]:[%]])</f>
        <v/>
      </c>
      <c r="GD14" s="121" t="str">
        <f>IF(ISBLANK(tbl_task4[[คะแนนเต็ม]:[คะแนนเต็ม]]),"",(tbl_task4[16]/tbl_task4[[คะแนนเต็ม]:[คะแนนเต็ม]])*tbl_task4[[%]:[%]])</f>
        <v/>
      </c>
      <c r="GE14" s="121" t="str">
        <f>IF(ISBLANK(tbl_task4[[คะแนนเต็ม]:[คะแนนเต็ม]]),"",(tbl_task4[17]/tbl_task4[[คะแนนเต็ม]:[คะแนนเต็ม]])*tbl_task4[[%]:[%]])</f>
        <v/>
      </c>
      <c r="GF14" s="121" t="str">
        <f>IF(ISBLANK(tbl_task4[[คะแนนเต็ม]:[คะแนนเต็ม]]),"",(tbl_task4[18]/tbl_task4[[คะแนนเต็ม]:[คะแนนเต็ม]])*tbl_task4[[%]:[%]])</f>
        <v/>
      </c>
      <c r="GG14" s="121" t="str">
        <f>IF(ISBLANK(tbl_task4[[คะแนนเต็ม]:[คะแนนเต็ม]]),"",(tbl_task4[19]/tbl_task4[[คะแนนเต็ม]:[คะแนนเต็ม]])*tbl_task4[[%]:[%]])</f>
        <v/>
      </c>
      <c r="GH14" s="121" t="str">
        <f>IF(ISBLANK(tbl_task4[[คะแนนเต็ม]:[คะแนนเต็ม]]),"",(tbl_task4[20]/tbl_task4[[คะแนนเต็ม]:[คะแนนเต็ม]])*tbl_task4[[%]:[%]])</f>
        <v/>
      </c>
      <c r="GI14" s="121" t="str">
        <f>IF(ISBLANK(tbl_task4[[คะแนนเต็ม]:[คะแนนเต็ม]]),"",(tbl_task4[21]/tbl_task4[[คะแนนเต็ม]:[คะแนนเต็ม]])*tbl_task4[[%]:[%]])</f>
        <v/>
      </c>
      <c r="GJ14" s="121" t="str">
        <f>IF(ISBLANK(tbl_task4[[คะแนนเต็ม]:[คะแนนเต็ม]]),"",(tbl_task4[22]/tbl_task4[[คะแนนเต็ม]:[คะแนนเต็ม]])*tbl_task4[[%]:[%]])</f>
        <v/>
      </c>
      <c r="GK14" s="121" t="str">
        <f>IF(ISBLANK(tbl_task4[[คะแนนเต็ม]:[คะแนนเต็ม]]),"",(tbl_task4[23]/tbl_task4[[คะแนนเต็ม]:[คะแนนเต็ม]])*tbl_task4[[%]:[%]])</f>
        <v/>
      </c>
      <c r="GL14" s="121" t="str">
        <f>IF(ISBLANK(tbl_task4[[คะแนนเต็ม]:[คะแนนเต็ม]]),"",(tbl_task4[24]/tbl_task4[[คะแนนเต็ม]:[คะแนนเต็ม]])*tbl_task4[[%]:[%]])</f>
        <v/>
      </c>
      <c r="GM14" s="121" t="str">
        <f>IF(ISBLANK(tbl_task4[[คะแนนเต็ม]:[คะแนนเต็ม]]),"",(tbl_task4[25]/tbl_task4[[คะแนนเต็ม]:[คะแนนเต็ม]])*tbl_task4[[%]:[%]])</f>
        <v/>
      </c>
      <c r="GN14" s="121" t="str">
        <f>IF(ISBLANK(tbl_task4[[คะแนนเต็ม]:[คะแนนเต็ม]]),"",(tbl_task4[26]/tbl_task4[[คะแนนเต็ม]:[คะแนนเต็ม]])*tbl_task4[[%]:[%]])</f>
        <v/>
      </c>
      <c r="GO14" s="121" t="str">
        <f>IF(ISBLANK(tbl_task4[[คะแนนเต็ม]:[คะแนนเต็ม]]),"",(tbl_task4[27]/tbl_task4[[คะแนนเต็ม]:[คะแนนเต็ม]])*tbl_task4[[%]:[%]])</f>
        <v/>
      </c>
      <c r="GP14" s="121" t="str">
        <f>IF(ISBLANK(tbl_task4[[คะแนนเต็ม]:[คะแนนเต็ม]]),"",(tbl_task4[28]/tbl_task4[[คะแนนเต็ม]:[คะแนนเต็ม]])*tbl_task4[[%]:[%]])</f>
        <v/>
      </c>
      <c r="GQ14" s="121" t="str">
        <f>IF(ISBLANK(tbl_task4[[คะแนนเต็ม]:[คะแนนเต็ม]]),"",(tbl_task4[29]/tbl_task4[[คะแนนเต็ม]:[คะแนนเต็ม]])*tbl_task4[[%]:[%]])</f>
        <v/>
      </c>
      <c r="GR14" s="121" t="str">
        <f>IF(ISBLANK(tbl_task4[[คะแนนเต็ม]:[คะแนนเต็ม]]),"",(tbl_task4[30]/tbl_task4[[คะแนนเต็ม]:[คะแนนเต็ม]])*tbl_task4[[%]:[%]])</f>
        <v/>
      </c>
      <c r="GS14" s="121" t="str">
        <f>IF(ISBLANK(tbl_task4[[คะแนนเต็ม]:[คะแนนเต็ม]]),"",(tbl_task4[31]/tbl_task4[[คะแนนเต็ม]:[คะแนนเต็ม]])*tbl_task4[[%]:[%]])</f>
        <v/>
      </c>
      <c r="GT14" s="121" t="str">
        <f>IF(ISBLANK(tbl_task4[[คะแนนเต็ม]:[คะแนนเต็ม]]),"",(tbl_task4[32]/tbl_task4[[คะแนนเต็ม]:[คะแนนเต็ม]])*tbl_task4[[%]:[%]])</f>
        <v/>
      </c>
      <c r="GU14" s="121" t="str">
        <f>IF(ISBLANK(tbl_task4[[คะแนนเต็ม]:[คะแนนเต็ม]]),"",(tbl_task4[33]/tbl_task4[[คะแนนเต็ม]:[คะแนนเต็ม]])*tbl_task4[[%]:[%]])</f>
        <v/>
      </c>
      <c r="GV14" s="121" t="str">
        <f>IF(ISBLANK(tbl_task4[[คะแนนเต็ม]:[คะแนนเต็ม]]),"",(tbl_task4[34]/tbl_task4[[คะแนนเต็ม]:[คะแนนเต็ม]])*tbl_task4[[%]:[%]])</f>
        <v/>
      </c>
      <c r="GW14" s="121" t="str">
        <f>IF(ISBLANK(tbl_task4[[คะแนนเต็ม]:[คะแนนเต็ม]]),"",(tbl_task4[35]/tbl_task4[[คะแนนเต็ม]:[คะแนนเต็ม]])*tbl_task4[[%]:[%]])</f>
        <v/>
      </c>
      <c r="GX14" s="121" t="str">
        <f>IF(ISBLANK(tbl_task4[[คะแนนเต็ม]:[คะแนนเต็ม]]),"",(tbl_task4[36]/tbl_task4[[คะแนนเต็ม]:[คะแนนเต็ม]])*tbl_task4[[%]:[%]])</f>
        <v/>
      </c>
      <c r="GY14" s="121" t="str">
        <f>IF(ISBLANK(tbl_task4[[คะแนนเต็ม]:[คะแนนเต็ม]]),"",(tbl_task4[37]/tbl_task4[[คะแนนเต็ม]:[คะแนนเต็ม]])*tbl_task4[[%]:[%]])</f>
        <v/>
      </c>
      <c r="GZ14" s="121" t="str">
        <f>IF(ISBLANK(tbl_task4[[คะแนนเต็ม]:[คะแนนเต็ม]]),"",(tbl_task4[38]/tbl_task4[[คะแนนเต็ม]:[คะแนนเต็ม]])*tbl_task4[[%]:[%]])</f>
        <v/>
      </c>
      <c r="HA14" s="121" t="str">
        <f>IF(ISBLANK(tbl_task4[[คะแนนเต็ม]:[คะแนนเต็ม]]),"",(tbl_task4[39]/tbl_task4[[คะแนนเต็ม]:[คะแนนเต็ม]])*tbl_task4[[%]:[%]])</f>
        <v/>
      </c>
      <c r="HB14" s="121" t="str">
        <f>IF(ISBLANK(tbl_task4[[คะแนนเต็ม]:[คะแนนเต็ม]]),"",(tbl_task4[40]/tbl_task4[[คะแนนเต็ม]:[คะแนนเต็ม]])*tbl_task4[[%]:[%]])</f>
        <v/>
      </c>
      <c r="HC14" s="121" t="str">
        <f>IF(ISBLANK(tbl_task4[[คะแนนเต็ม]:[คะแนนเต็ม]]),"",(tbl_task4[41]/tbl_task4[[คะแนนเต็ม]:[คะแนนเต็ม]])*tbl_task4[[%]:[%]])</f>
        <v/>
      </c>
      <c r="HD14" s="121" t="str">
        <f>IF(ISBLANK(tbl_task4[[คะแนนเต็ม]:[คะแนนเต็ม]]),"",(tbl_task4[42]/tbl_task4[[คะแนนเต็ม]:[คะแนนเต็ม]])*tbl_task4[[%]:[%]])</f>
        <v/>
      </c>
      <c r="HE14" s="121" t="str">
        <f>IF(ISBLANK(tbl_task4[[คะแนนเต็ม]:[คะแนนเต็ม]]),"",(tbl_task4[43]/tbl_task4[[คะแนนเต็ม]:[คะแนนเต็ม]])*tbl_task4[[%]:[%]])</f>
        <v/>
      </c>
      <c r="HF14" s="121" t="str">
        <f>IF(ISBLANK(tbl_task4[[คะแนนเต็ม]:[คะแนนเต็ม]]),"",(tbl_task4[44]/tbl_task4[[คะแนนเต็ม]:[คะแนนเต็ม]])*tbl_task4[[%]:[%]])</f>
        <v/>
      </c>
      <c r="HG14" s="121" t="str">
        <f>IF(ISBLANK(tbl_task4[[คะแนนเต็ม]:[คะแนนเต็ม]]),"",(tbl_task4[45]/tbl_task4[[คะแนนเต็ม]:[คะแนนเต็ม]])*tbl_task4[[%]:[%]])</f>
        <v/>
      </c>
      <c r="HH14" s="121" t="str">
        <f>IF(ISBLANK(tbl_task4[[คะแนนเต็ม]:[คะแนนเต็ม]]),"",(tbl_task4[46]/tbl_task4[[คะแนนเต็ม]:[คะแนนเต็ม]])*tbl_task4[[%]:[%]])</f>
        <v/>
      </c>
      <c r="HI14" s="121" t="str">
        <f>IF(ISBLANK(tbl_task4[[คะแนนเต็ม]:[คะแนนเต็ม]]),"",(tbl_task4[47]/tbl_task4[[คะแนนเต็ม]:[คะแนนเต็ม]])*tbl_task4[[%]:[%]])</f>
        <v/>
      </c>
      <c r="HJ14" s="121" t="str">
        <f>IF(ISBLANK(tbl_task4[[คะแนนเต็ม]:[คะแนนเต็ม]]),"",(tbl_task4[48]/tbl_task4[[คะแนนเต็ม]:[คะแนนเต็ม]])*tbl_task4[[%]:[%]])</f>
        <v/>
      </c>
      <c r="HK14" s="121" t="str">
        <f>IF(ISBLANK(tbl_task4[[คะแนนเต็ม]:[คะแนนเต็ม]]),"",(tbl_task4[49]/tbl_task4[[คะแนนเต็ม]:[คะแนนเต็ม]])*tbl_task4[[%]:[%]])</f>
        <v/>
      </c>
      <c r="HL14" s="121" t="str">
        <f>IF(ISBLANK(tbl_task4[[คะแนนเต็ม]:[คะแนนเต็ม]]),"",(tbl_task4[50]/tbl_task4[[คะแนนเต็ม]:[คะแนนเต็ม]])*tbl_task4[[%]:[%]])</f>
        <v/>
      </c>
      <c r="HM14" s="121" t="str">
        <f>IF(ISBLANK(tbl_task4[[คะแนนเต็ม]:[คะแนนเต็ม]]),"",(tbl_task4[51]/tbl_task4[[คะแนนเต็ม]:[คะแนนเต็ม]])*tbl_task4[[%]:[%]])</f>
        <v/>
      </c>
      <c r="HN14" s="121" t="str">
        <f>IF(ISBLANK(tbl_task4[[คะแนนเต็ม]:[คะแนนเต็ม]]),"",(tbl_task4[52]/tbl_task4[[คะแนนเต็ม]:[คะแนนเต็ม]])*tbl_task4[[%]:[%]])</f>
        <v/>
      </c>
      <c r="HO14" s="121" t="str">
        <f>IF(ISBLANK(tbl_task4[[คะแนนเต็ม]:[คะแนนเต็ม]]),"",(tbl_task4[53]/tbl_task4[[คะแนนเต็ม]:[คะแนนเต็ม]])*tbl_task4[[%]:[%]])</f>
        <v/>
      </c>
      <c r="HP14" s="121" t="str">
        <f>IF(ISBLANK(tbl_task4[[คะแนนเต็ม]:[คะแนนเต็ม]]),"",(tbl_task4[54]/tbl_task4[[คะแนนเต็ม]:[คะแนนเต็ม]])*tbl_task4[[%]:[%]])</f>
        <v/>
      </c>
      <c r="HQ14" s="121" t="str">
        <f>IF(ISBLANK(tbl_task4[[คะแนนเต็ม]:[คะแนนเต็ม]]),"",(tbl_task4[55]/tbl_task4[[คะแนนเต็ม]:[คะแนนเต็ม]])*tbl_task4[[%]:[%]])</f>
        <v/>
      </c>
      <c r="HR14" s="121" t="str">
        <f>IF(ISBLANK(tbl_task4[[คะแนนเต็ม]:[คะแนนเต็ม]]),"",(tbl_task4[56]/tbl_task4[[คะแนนเต็ม]:[คะแนนเต็ม]])*tbl_task4[[%]:[%]])</f>
        <v/>
      </c>
      <c r="HS14" s="121" t="str">
        <f>IF(ISBLANK(tbl_task4[[คะแนนเต็ม]:[คะแนนเต็ม]]),"",(tbl_task4[57]/tbl_task4[[คะแนนเต็ม]:[คะแนนเต็ม]])*tbl_task4[[%]:[%]])</f>
        <v/>
      </c>
      <c r="HT14" s="121" t="str">
        <f>IF(ISBLANK(tbl_task4[[คะแนนเต็ม]:[คะแนนเต็ม]]),"",(tbl_task4[58]/tbl_task4[[คะแนนเต็ม]:[คะแนนเต็ม]])*tbl_task4[[%]:[%]])</f>
        <v/>
      </c>
      <c r="HU14" s="121" t="str">
        <f>IF(ISBLANK(tbl_task4[[คะแนนเต็ม]:[คะแนนเต็ม]]),"",(tbl_task4[59]/tbl_task4[[คะแนนเต็ม]:[คะแนนเต็ม]])*tbl_task4[[%]:[%]])</f>
        <v/>
      </c>
      <c r="HV14" s="121" t="str">
        <f>IF(ISBLANK(tbl_task4[[คะแนนเต็ม]:[คะแนนเต็ม]]),"",(tbl_task4[60]/tbl_task4[[คะแนนเต็ม]:[คะแนนเต็ม]])*tbl_task4[[%]:[%]])</f>
        <v/>
      </c>
      <c r="HW14" s="121" t="str">
        <f>IF(ISBLANK(tbl_task4[[คะแนนเต็ม]:[คะแนนเต็ม]]),"",(tbl_task4[61]/tbl_task4[[คะแนนเต็ม]:[คะแนนเต็ม]])*tbl_task4[[%]:[%]])</f>
        <v/>
      </c>
      <c r="HX14" s="121" t="str">
        <f>IF(ISBLANK(tbl_task4[[คะแนนเต็ม]:[คะแนนเต็ม]]),"",(tbl_task4[62]/tbl_task4[[คะแนนเต็ม]:[คะแนนเต็ม]])*tbl_task4[[%]:[%]])</f>
        <v/>
      </c>
      <c r="HY14" s="121" t="str">
        <f>IF(ISBLANK(tbl_task4[[คะแนนเต็ม]:[คะแนนเต็ม]]),"",(tbl_task4[63]/tbl_task4[[คะแนนเต็ม]:[คะแนนเต็ม]])*tbl_task4[[%]:[%]])</f>
        <v/>
      </c>
      <c r="HZ14" s="121" t="str">
        <f>IF(ISBLANK(tbl_task4[[คะแนนเต็ม]:[คะแนนเต็ม]]),"",(tbl_task4[64]/tbl_task4[[คะแนนเต็ม]:[คะแนนเต็ม]])*tbl_task4[[%]:[%]])</f>
        <v/>
      </c>
      <c r="IA14" s="121" t="str">
        <f>IF(ISBLANK(tbl_task4[[คะแนนเต็ม]:[คะแนนเต็ม]]),"",(tbl_task4[65]/tbl_task4[[คะแนนเต็ม]:[คะแนนเต็ม]])*tbl_task4[[%]:[%]])</f>
        <v/>
      </c>
      <c r="IB14" s="121" t="str">
        <f>IF(ISBLANK(tbl_task4[[คะแนนเต็ม]:[คะแนนเต็ม]]),"",(tbl_task4[66]/tbl_task4[[คะแนนเต็ม]:[คะแนนเต็ม]])*tbl_task4[[%]:[%]])</f>
        <v/>
      </c>
      <c r="IC14" s="121" t="str">
        <f>IF(ISBLANK(tbl_task4[[คะแนนเต็ม]:[คะแนนเต็ม]]),"",(tbl_task4[67]/tbl_task4[[คะแนนเต็ม]:[คะแนนเต็ม]])*tbl_task4[[%]:[%]])</f>
        <v/>
      </c>
      <c r="ID14" s="121" t="str">
        <f>IF(ISBLANK(tbl_task4[[คะแนนเต็ม]:[คะแนนเต็ม]]),"",(tbl_task4[68]/tbl_task4[[คะแนนเต็ม]:[คะแนนเต็ม]])*tbl_task4[[%]:[%]])</f>
        <v/>
      </c>
      <c r="IE14" s="121" t="str">
        <f>IF(ISBLANK(tbl_task4[[คะแนนเต็ม]:[คะแนนเต็ม]]),"",(tbl_task4[69]/tbl_task4[[คะแนนเต็ม]:[คะแนนเต็ม]])*tbl_task4[[%]:[%]])</f>
        <v/>
      </c>
      <c r="IF14" s="121" t="str">
        <f>IF(ISBLANK(tbl_task4[[คะแนนเต็ม]:[คะแนนเต็ม]]),"",(tbl_task4[70]/tbl_task4[[คะแนนเต็ม]:[คะแนนเต็ม]])*tbl_task4[[%]:[%]])</f>
        <v/>
      </c>
      <c r="IG14" s="121" t="str">
        <f>IF(ISBLANK(tbl_task4[[คะแนนเต็ม]:[คะแนนเต็ม]]),"",(tbl_task4[71]/tbl_task4[[คะแนนเต็ม]:[คะแนนเต็ม]])*tbl_task4[[%]:[%]])</f>
        <v/>
      </c>
      <c r="IH14" s="121" t="str">
        <f>IF(ISBLANK(tbl_task4[[คะแนนเต็ม]:[คะแนนเต็ม]]),"",(tbl_task4[72]/tbl_task4[[คะแนนเต็ม]:[คะแนนเต็ม]])*tbl_task4[[%]:[%]])</f>
        <v/>
      </c>
      <c r="II14" s="121" t="str">
        <f>IF(ISBLANK(tbl_task4[[คะแนนเต็ม]:[คะแนนเต็ม]]),"",(tbl_task4[73]/tbl_task4[[คะแนนเต็ม]:[คะแนนเต็ม]])*tbl_task4[[%]:[%]])</f>
        <v/>
      </c>
      <c r="IJ14" s="121" t="str">
        <f>IF(ISBLANK(tbl_task4[[คะแนนเต็ม]:[คะแนนเต็ม]]),"",(tbl_task4[74]/tbl_task4[[คะแนนเต็ม]:[คะแนนเต็ม]])*tbl_task4[[%]:[%]])</f>
        <v/>
      </c>
      <c r="IK14" s="121" t="str">
        <f>IF(ISBLANK(tbl_task4[[คะแนนเต็ม]:[คะแนนเต็ม]]),"",(tbl_task4[75]/tbl_task4[[คะแนนเต็ม]:[คะแนนเต็ม]])*tbl_task4[[%]:[%]])</f>
        <v/>
      </c>
      <c r="IL14" s="121" t="str">
        <f>IF(ISBLANK(tbl_task4[[คะแนนเต็ม]:[คะแนนเต็ม]]),"",(tbl_task4[76]/tbl_task4[[คะแนนเต็ม]:[คะแนนเต็ม]])*tbl_task4[[%]:[%]])</f>
        <v/>
      </c>
      <c r="IM14" s="121" t="str">
        <f>IF(ISBLANK(tbl_task4[[คะแนนเต็ม]:[คะแนนเต็ม]]),"",(tbl_task4[77]/tbl_task4[[คะแนนเต็ม]:[คะแนนเต็ม]])*tbl_task4[[%]:[%]])</f>
        <v/>
      </c>
      <c r="IN14" s="121" t="str">
        <f>IF(ISBLANK(tbl_task4[[คะแนนเต็ม]:[คะแนนเต็ม]]),"",(tbl_task4[78]/tbl_task4[[คะแนนเต็ม]:[คะแนนเต็ม]])*tbl_task4[[%]:[%]])</f>
        <v/>
      </c>
      <c r="IO14" s="121" t="str">
        <f>IF(ISBLANK(tbl_task4[[คะแนนเต็ม]:[คะแนนเต็ม]]),"",(tbl_task4[79]/tbl_task4[[คะแนนเต็ม]:[คะแนนเต็ม]])*tbl_task4[[%]:[%]])</f>
        <v/>
      </c>
      <c r="IP14" s="121" t="str">
        <f>IF(ISBLANK(tbl_task4[[คะแนนเต็ม]:[คะแนนเต็ม]]),"",(tbl_task4[80]/tbl_task4[[คะแนนเต็ม]:[คะแนนเต็ม]])*tbl_task4[[%]:[%]])</f>
        <v/>
      </c>
      <c r="IQ14" s="121" t="str">
        <f>IF(ISBLANK(tbl_task4[[คะแนนเต็ม]:[คะแนนเต็ม]]),"",(tbl_task4[81]/tbl_task4[[คะแนนเต็ม]:[คะแนนเต็ม]])*tbl_task4[[%]:[%]])</f>
        <v/>
      </c>
      <c r="IR14" s="121" t="str">
        <f>IF(ISBLANK(tbl_task4[[คะแนนเต็ม]:[คะแนนเต็ม]]),"",(tbl_task4[82]/tbl_task4[[คะแนนเต็ม]:[คะแนนเต็ม]])*tbl_task4[[%]:[%]])</f>
        <v/>
      </c>
      <c r="IS14" s="121" t="str">
        <f>IF(ISBLANK(tbl_task4[[คะแนนเต็ม]:[คะแนนเต็ม]]),"",(tbl_task4[83]/tbl_task4[[คะแนนเต็ม]:[คะแนนเต็ม]])*tbl_task4[[%]:[%]])</f>
        <v/>
      </c>
      <c r="IT14" s="121" t="str">
        <f>IF(ISBLANK(tbl_task4[[คะแนนเต็ม]:[คะแนนเต็ม]]),"",(tbl_task4[84]/tbl_task4[[คะแนนเต็ม]:[คะแนนเต็ม]])*tbl_task4[[%]:[%]])</f>
        <v/>
      </c>
      <c r="IU14" s="121" t="str">
        <f>IF(ISBLANK(tbl_task4[[คะแนนเต็ม]:[คะแนนเต็ม]]),"",(tbl_task4[85]/tbl_task4[[คะแนนเต็ม]:[คะแนนเต็ม]])*tbl_task4[[%]:[%]])</f>
        <v/>
      </c>
      <c r="IV14" s="121" t="str">
        <f>IF(ISBLANK(tbl_task4[[คะแนนเต็ม]:[คะแนนเต็ม]]),"",(tbl_task4[86]/tbl_task4[[คะแนนเต็ม]:[คะแนนเต็ม]])*tbl_task4[[%]:[%]])</f>
        <v/>
      </c>
      <c r="IW14" s="121" t="str">
        <f>IF(ISBLANK(tbl_task4[[คะแนนเต็ม]:[คะแนนเต็ม]]),"",(tbl_task4[87]/tbl_task4[[คะแนนเต็ม]:[คะแนนเต็ม]])*tbl_task4[[%]:[%]])</f>
        <v/>
      </c>
      <c r="IX14" s="121" t="str">
        <f>IF(ISBLANK(tbl_task4[[คะแนนเต็ม]:[คะแนนเต็ม]]),"",(tbl_task4[88]/tbl_task4[[คะแนนเต็ม]:[คะแนนเต็ม]])*tbl_task4[[%]:[%]])</f>
        <v/>
      </c>
      <c r="IY14" s="121" t="str">
        <f>IF(ISBLANK(tbl_task4[[คะแนนเต็ม]:[คะแนนเต็ม]]),"",(tbl_task4[89]/tbl_task4[[คะแนนเต็ม]:[คะแนนเต็ม]])*tbl_task4[[%]:[%]])</f>
        <v/>
      </c>
      <c r="IZ14" s="121" t="str">
        <f>IF(ISBLANK(tbl_task4[[คะแนนเต็ม]:[คะแนนเต็ม]]),"",(tbl_task4[90]/tbl_task4[[คะแนนเต็ม]:[คะแนนเต็ม]])*tbl_task4[[%]:[%]])</f>
        <v/>
      </c>
      <c r="JA14" s="121" t="str">
        <f>IF(ISBLANK(tbl_task4[[คะแนนเต็ม]:[คะแนนเต็ม]]),"",(tbl_task4[91]/tbl_task4[[คะแนนเต็ม]:[คะแนนเต็ม]])*tbl_task4[[%]:[%]])</f>
        <v/>
      </c>
      <c r="JB14" s="121" t="str">
        <f>IF(ISBLANK(tbl_task4[[คะแนนเต็ม]:[คะแนนเต็ม]]),"",(tbl_task4[92]/tbl_task4[[คะแนนเต็ม]:[คะแนนเต็ม]])*tbl_task4[[%]:[%]])</f>
        <v/>
      </c>
      <c r="JC14" s="121" t="str">
        <f>IF(ISBLANK(tbl_task4[[คะแนนเต็ม]:[คะแนนเต็ม]]),"",(tbl_task4[93]/tbl_task4[[คะแนนเต็ม]:[คะแนนเต็ม]])*tbl_task4[[%]:[%]])</f>
        <v/>
      </c>
      <c r="JD14" s="121" t="str">
        <f>IF(ISBLANK(tbl_task4[[คะแนนเต็ม]:[คะแนนเต็ม]]),"",(tbl_task4[94]/tbl_task4[[คะแนนเต็ม]:[คะแนนเต็ม]])*tbl_task4[[%]:[%]])</f>
        <v/>
      </c>
      <c r="JE14" s="121" t="str">
        <f>IF(ISBLANK(tbl_task4[[คะแนนเต็ม]:[คะแนนเต็ม]]),"",(tbl_task4[95]/tbl_task4[[คะแนนเต็ม]:[คะแนนเต็ม]])*tbl_task4[[%]:[%]])</f>
        <v/>
      </c>
      <c r="JF14" s="121" t="str">
        <f>IF(ISBLANK(tbl_task4[[คะแนนเต็ม]:[คะแนนเต็ม]]),"",(tbl_task4[96]/tbl_task4[[คะแนนเต็ม]:[คะแนนเต็ม]])*tbl_task4[[%]:[%]])</f>
        <v/>
      </c>
      <c r="JG14" s="121" t="str">
        <f>IF(ISBLANK(tbl_task4[[คะแนนเต็ม]:[คะแนนเต็ม]]),"",(tbl_task4[97]/tbl_task4[[คะแนนเต็ม]:[คะแนนเต็ม]])*tbl_task4[[%]:[%]])</f>
        <v/>
      </c>
      <c r="JH14" s="121" t="str">
        <f>IF(ISBLANK(tbl_task4[[คะแนนเต็ม]:[คะแนนเต็ม]]),"",(tbl_task4[98]/tbl_task4[[คะแนนเต็ม]:[คะแนนเต็ม]])*tbl_task4[[%]:[%]])</f>
        <v/>
      </c>
      <c r="JI14" s="121" t="str">
        <f>IF(ISBLANK(tbl_task4[[คะแนนเต็ม]:[คะแนนเต็ม]]),"",(tbl_task4[99]/tbl_task4[[คะแนนเต็ม]:[คะแนนเต็ม]])*tbl_task4[[%]:[%]])</f>
        <v/>
      </c>
      <c r="JJ14" s="121" t="str">
        <f>IF(ISBLANK(tbl_task4[[คะแนนเต็ม]:[คะแนนเต็ม]]),"",(tbl_task4[100]/tbl_task4[[คะแนนเต็ม]:[คะแนนเต็ม]])*tbl_task4[[%]:[%]])</f>
        <v/>
      </c>
      <c r="JK14" s="121" t="str">
        <f>IF(ISBLANK(tbl_task4[[คะแนนเต็ม]:[คะแนนเต็ม]]),"",(tbl_task4[101]/tbl_task4[[คะแนนเต็ม]:[คะแนนเต็ม]])*tbl_task4[[%]:[%]])</f>
        <v/>
      </c>
      <c r="JL14" s="121" t="str">
        <f>IF(ISBLANK(tbl_task4[[คะแนนเต็ม]:[คะแนนเต็ม]]),"",(tbl_task4[102]/tbl_task4[[คะแนนเต็ม]:[คะแนนเต็ม]])*tbl_task4[[%]:[%]])</f>
        <v/>
      </c>
      <c r="JM14" s="121" t="str">
        <f>IF(ISBLANK(tbl_task4[[คะแนนเต็ม]:[คะแนนเต็ม]]),"",(tbl_task4[103]/tbl_task4[[คะแนนเต็ม]:[คะแนนเต็ม]])*tbl_task4[[%]:[%]])</f>
        <v/>
      </c>
      <c r="JN14" s="121" t="str">
        <f>IF(ISBLANK(tbl_task4[[คะแนนเต็ม]:[คะแนนเต็ม]]),"",(tbl_task4[104]/tbl_task4[[คะแนนเต็ม]:[คะแนนเต็ม]])*tbl_task4[[%]:[%]])</f>
        <v/>
      </c>
      <c r="JO14" s="121" t="str">
        <f>IF(ISBLANK(tbl_task4[[คะแนนเต็ม]:[คะแนนเต็ม]]),"",(tbl_task4[105]/tbl_task4[[คะแนนเต็ม]:[คะแนนเต็ม]])*tbl_task4[[%]:[%]])</f>
        <v/>
      </c>
      <c r="JP14" s="121" t="str">
        <f>IF(ISBLANK(tbl_task4[[คะแนนเต็ม]:[คะแนนเต็ม]]),"",(tbl_task4[106]/tbl_task4[[คะแนนเต็ม]:[คะแนนเต็ม]])*tbl_task4[[%]:[%]])</f>
        <v/>
      </c>
      <c r="JQ14" s="121" t="str">
        <f>IF(ISBLANK(tbl_task4[[คะแนนเต็ม]:[คะแนนเต็ม]]),"",(tbl_task4[107]/tbl_task4[[คะแนนเต็ม]:[คะแนนเต็ม]])*tbl_task4[[%]:[%]])</f>
        <v/>
      </c>
      <c r="JR14" s="121" t="str">
        <f>IF(ISBLANK(tbl_task4[[คะแนนเต็ม]:[คะแนนเต็ม]]),"",(tbl_task4[108]/tbl_task4[[คะแนนเต็ม]:[คะแนนเต็ม]])*tbl_task4[[%]:[%]])</f>
        <v/>
      </c>
      <c r="JS14" s="121" t="str">
        <f>IF(ISBLANK(tbl_task4[[คะแนนเต็ม]:[คะแนนเต็ม]]),"",(tbl_task4[109]/tbl_task4[[คะแนนเต็ม]:[คะแนนเต็ม]])*tbl_task4[[%]:[%]])</f>
        <v/>
      </c>
      <c r="JT14" s="121" t="str">
        <f>IF(ISBLANK(tbl_task4[[คะแนนเต็ม]:[คะแนนเต็ม]]),"",(tbl_task4[110]/tbl_task4[[คะแนนเต็ม]:[คะแนนเต็ม]])*tbl_task4[[%]:[%]])</f>
        <v/>
      </c>
      <c r="JU14" s="121" t="str">
        <f>IF(ISBLANK(tbl_task4[[คะแนนเต็ม]:[คะแนนเต็ม]]),"",(tbl_task4[111]/tbl_task4[[คะแนนเต็ม]:[คะแนนเต็ม]])*tbl_task4[[%]:[%]])</f>
        <v/>
      </c>
      <c r="JV14" s="121" t="str">
        <f>IF(ISBLANK(tbl_task4[[คะแนนเต็ม]:[คะแนนเต็ม]]),"",(tbl_task4[112]/tbl_task4[[คะแนนเต็ม]:[คะแนนเต็ม]])*tbl_task4[[%]:[%]])</f>
        <v/>
      </c>
      <c r="JW14" s="121" t="str">
        <f>IF(ISBLANK(tbl_task4[[คะแนนเต็ม]:[คะแนนเต็ม]]),"",(tbl_task4[113]/tbl_task4[[คะแนนเต็ม]:[คะแนนเต็ม]])*tbl_task4[[%]:[%]])</f>
        <v/>
      </c>
      <c r="JX14" s="121" t="str">
        <f>IF(ISBLANK(tbl_task4[[คะแนนเต็ม]:[คะแนนเต็ม]]),"",(tbl_task4[114]/tbl_task4[[คะแนนเต็ม]:[คะแนนเต็ม]])*tbl_task4[[%]:[%]])</f>
        <v/>
      </c>
      <c r="JY14" s="121" t="str">
        <f>IF(ISBLANK(tbl_task4[[คะแนนเต็ม]:[คะแนนเต็ม]]),"",(tbl_task4[115]/tbl_task4[[คะแนนเต็ม]:[คะแนนเต็ม]])*tbl_task4[[%]:[%]])</f>
        <v/>
      </c>
      <c r="JZ14" s="121" t="str">
        <f>IF(ISBLANK(tbl_task4[[คะแนนเต็ม]:[คะแนนเต็ม]]),"",(tbl_task4[116]/tbl_task4[[คะแนนเต็ม]:[คะแนนเต็ม]])*tbl_task4[[%]:[%]])</f>
        <v/>
      </c>
      <c r="KA14" s="121" t="str">
        <f>IF(ISBLANK(tbl_task4[[คะแนนเต็ม]:[คะแนนเต็ม]]),"",(tbl_task4[117]/tbl_task4[[คะแนนเต็ม]:[คะแนนเต็ม]])*tbl_task4[[%]:[%]])</f>
        <v/>
      </c>
      <c r="KB14" s="121" t="str">
        <f>IF(ISBLANK(tbl_task4[[คะแนนเต็ม]:[คะแนนเต็ม]]),"",(tbl_task4[118]/tbl_task4[[คะแนนเต็ม]:[คะแนนเต็ม]])*tbl_task4[[%]:[%]])</f>
        <v/>
      </c>
      <c r="KC14" s="121" t="str">
        <f>IF(ISBLANK(tbl_task4[[คะแนนเต็ม]:[คะแนนเต็ม]]),"",(tbl_task4[119]/tbl_task4[[คะแนนเต็ม]:[คะแนนเต็ม]])*tbl_task4[[%]:[%]])</f>
        <v/>
      </c>
      <c r="KD14" s="121" t="str">
        <f>IF(ISBLANK(tbl_task4[[คะแนนเต็ม]:[คะแนนเต็ม]]),"",(tbl_task4[120]/tbl_task4[[คะแนนเต็ม]:[คะแนนเต็ม]])*tbl_task4[[%]:[%]])</f>
        <v/>
      </c>
      <c r="KE14" s="121" t="str">
        <f>IF(ISBLANK(tbl_task4[[คะแนนเต็ม]:[คะแนนเต็ม]]),"",(tbl_task4[121]/tbl_task4[[คะแนนเต็ม]:[คะแนนเต็ม]])*tbl_task4[[%]:[%]])</f>
        <v/>
      </c>
      <c r="KF14" s="121" t="str">
        <f>IF(ISBLANK(tbl_task4[[คะแนนเต็ม]:[คะแนนเต็ม]]),"",(tbl_task4[122]/tbl_task4[[คะแนนเต็ม]:[คะแนนเต็ม]])*tbl_task4[[%]:[%]])</f>
        <v/>
      </c>
      <c r="KG14" s="121" t="str">
        <f>IF(ISBLANK(tbl_task4[[คะแนนเต็ม]:[คะแนนเต็ม]]),"",(tbl_task4[123]/tbl_task4[[คะแนนเต็ม]:[คะแนนเต็ม]])*tbl_task4[[%]:[%]])</f>
        <v/>
      </c>
      <c r="KH14" s="121" t="str">
        <f>IF(ISBLANK(tbl_task4[[คะแนนเต็ม]:[คะแนนเต็ม]]),"",(tbl_task4[124]/tbl_task4[[คะแนนเต็ม]:[คะแนนเต็ม]])*tbl_task4[[%]:[%]])</f>
        <v/>
      </c>
      <c r="KI14" s="121" t="str">
        <f>IF(ISBLANK(tbl_task4[[คะแนนเต็ม]:[คะแนนเต็ม]]),"",(tbl_task4[125]/tbl_task4[[คะแนนเต็ม]:[คะแนนเต็ม]])*tbl_task4[[%]:[%]])</f>
        <v/>
      </c>
      <c r="KJ14" s="121" t="str">
        <f>IF(ISBLANK(tbl_task4[[คะแนนเต็ม]:[คะแนนเต็ม]]),"",(tbl_task4[126]/tbl_task4[[คะแนนเต็ม]:[คะแนนเต็ม]])*tbl_task4[[%]:[%]])</f>
        <v/>
      </c>
      <c r="KK14" s="121" t="str">
        <f>IF(ISBLANK(tbl_task4[[คะแนนเต็ม]:[คะแนนเต็ม]]),"",(tbl_task4[127]/tbl_task4[[คะแนนเต็ม]:[คะแนนเต็ม]])*tbl_task4[[%]:[%]])</f>
        <v/>
      </c>
      <c r="KL14" s="121" t="str">
        <f>IF(ISBLANK(tbl_task4[[คะแนนเต็ม]:[คะแนนเต็ม]]),"",(tbl_task4[128]/tbl_task4[[คะแนนเต็ม]:[คะแนนเต็ม]])*tbl_task4[[%]:[%]])</f>
        <v/>
      </c>
      <c r="KM14" s="121" t="str">
        <f>IF(ISBLANK(tbl_task4[[คะแนนเต็ม]:[คะแนนเต็ม]]),"",(tbl_task4[129]/tbl_task4[[คะแนนเต็ม]:[คะแนนเต็ม]])*tbl_task4[[%]:[%]])</f>
        <v/>
      </c>
      <c r="KN14" s="121" t="str">
        <f>IF(ISBLANK(tbl_task4[[คะแนนเต็ม]:[คะแนนเต็ม]]),"",(tbl_task4[130]/tbl_task4[[คะแนนเต็ม]:[คะแนนเต็ม]])*tbl_task4[[%]:[%]])</f>
        <v/>
      </c>
      <c r="KO14" s="121" t="str">
        <f>IF(ISBLANK(tbl_task4[[คะแนนเต็ม]:[คะแนนเต็ม]]),"",(tbl_task4[131]/tbl_task4[[คะแนนเต็ม]:[คะแนนเต็ม]])*tbl_task4[[%]:[%]])</f>
        <v/>
      </c>
      <c r="KP14" s="121" t="str">
        <f>IF(ISBLANK(tbl_task4[[คะแนนเต็ม]:[คะแนนเต็ม]]),"",(tbl_task4[132]/tbl_task4[[คะแนนเต็ม]:[คะแนนเต็ม]])*tbl_task4[[%]:[%]])</f>
        <v/>
      </c>
      <c r="KQ14" s="121" t="str">
        <f>IF(ISBLANK(tbl_task4[[คะแนนเต็ม]:[คะแนนเต็ม]]),"",(tbl_task4[133]/tbl_task4[[คะแนนเต็ม]:[คะแนนเต็ม]])*tbl_task4[[%]:[%]])</f>
        <v/>
      </c>
      <c r="KR14" s="121" t="str">
        <f>IF(ISBLANK(tbl_task4[[คะแนนเต็ม]:[คะแนนเต็ม]]),"",(tbl_task4[134]/tbl_task4[[คะแนนเต็ม]:[คะแนนเต็ม]])*tbl_task4[[%]:[%]])</f>
        <v/>
      </c>
      <c r="KS14" s="121" t="str">
        <f>IF(ISBLANK(tbl_task4[[คะแนนเต็ม]:[คะแนนเต็ม]]),"",(tbl_task4[135]/tbl_task4[[คะแนนเต็ม]:[คะแนนเต็ม]])*tbl_task4[[%]:[%]])</f>
        <v/>
      </c>
      <c r="KT14" s="121" t="str">
        <f>IF(ISBLANK(tbl_task4[[คะแนนเต็ม]:[คะแนนเต็ม]]),"",(tbl_task4[136]/tbl_task4[[คะแนนเต็ม]:[คะแนนเต็ม]])*tbl_task4[[%]:[%]])</f>
        <v/>
      </c>
      <c r="KU14" s="121" t="str">
        <f>IF(ISBLANK(tbl_task4[[คะแนนเต็ม]:[คะแนนเต็ม]]),"",(tbl_task4[137]/tbl_task4[[คะแนนเต็ม]:[คะแนนเต็ม]])*tbl_task4[[%]:[%]])</f>
        <v/>
      </c>
      <c r="KV14" s="121" t="str">
        <f>IF(ISBLANK(tbl_task4[[คะแนนเต็ม]:[คะแนนเต็ม]]),"",(tbl_task4[138]/tbl_task4[[คะแนนเต็ม]:[คะแนนเต็ม]])*tbl_task4[[%]:[%]])</f>
        <v/>
      </c>
      <c r="KW14" s="121" t="str">
        <f>IF(ISBLANK(tbl_task4[[คะแนนเต็ม]:[คะแนนเต็ม]]),"",(tbl_task4[139]/tbl_task4[[คะแนนเต็ม]:[คะแนนเต็ม]])*tbl_task4[[%]:[%]])</f>
        <v/>
      </c>
      <c r="KX14" s="121" t="str">
        <f>IF(ISBLANK(tbl_task4[[คะแนนเต็ม]:[คะแนนเต็ม]]),"",(tbl_task4[140]/tbl_task4[[คะแนนเต็ม]:[คะแนนเต็ม]])*tbl_task4[[%]:[%]])</f>
        <v/>
      </c>
      <c r="KY14" s="121" t="str">
        <f>IF(ISBLANK(tbl_task4[[คะแนนเต็ม]:[คะแนนเต็ม]]),"",(tbl_task4[141]/tbl_task4[[คะแนนเต็ม]:[คะแนนเต็ม]])*tbl_task4[[%]:[%]])</f>
        <v/>
      </c>
      <c r="KZ14" s="121" t="str">
        <f>IF(ISBLANK(tbl_task4[[คะแนนเต็ม]:[คะแนนเต็ม]]),"",(tbl_task4[142]/tbl_task4[[คะแนนเต็ม]:[คะแนนเต็ม]])*tbl_task4[[%]:[%]])</f>
        <v/>
      </c>
      <c r="LA14" s="121" t="str">
        <f>IF(ISBLANK(tbl_task4[[คะแนนเต็ม]:[คะแนนเต็ม]]),"",(tbl_task4[143]/tbl_task4[[คะแนนเต็ม]:[คะแนนเต็ม]])*tbl_task4[[%]:[%]])</f>
        <v/>
      </c>
      <c r="LB14" s="121" t="str">
        <f>IF(ISBLANK(tbl_task4[[คะแนนเต็ม]:[คะแนนเต็ม]]),"",(tbl_task4[144]/tbl_task4[[คะแนนเต็ม]:[คะแนนเต็ม]])*tbl_task4[[%]:[%]])</f>
        <v/>
      </c>
      <c r="LC14" s="121" t="str">
        <f>IF(ISBLANK(tbl_task4[[คะแนนเต็ม]:[คะแนนเต็ม]]),"",(tbl_task4[145]/tbl_task4[[คะแนนเต็ม]:[คะแนนเต็ม]])*tbl_task4[[%]:[%]])</f>
        <v/>
      </c>
      <c r="LD14" s="121" t="str">
        <f>IF(ISBLANK(tbl_task4[[คะแนนเต็ม]:[คะแนนเต็ม]]),"",(tbl_task4[146]/tbl_task4[[คะแนนเต็ม]:[คะแนนเต็ม]])*tbl_task4[[%]:[%]])</f>
        <v/>
      </c>
      <c r="LE14" s="121" t="str">
        <f>IF(ISBLANK(tbl_task4[[คะแนนเต็ม]:[คะแนนเต็ม]]),"",(tbl_task4[147]/tbl_task4[[คะแนนเต็ม]:[คะแนนเต็ม]])*tbl_task4[[%]:[%]])</f>
        <v/>
      </c>
      <c r="LF14" s="121" t="str">
        <f>IF(ISBLANK(tbl_task4[[คะแนนเต็ม]:[คะแนนเต็ม]]),"",(tbl_task4[148]/tbl_task4[[คะแนนเต็ม]:[คะแนนเต็ม]])*tbl_task4[[%]:[%]])</f>
        <v/>
      </c>
      <c r="LG14" s="121" t="str">
        <f>IF(ISBLANK(tbl_task4[[คะแนนเต็ม]:[คะแนนเต็ม]]),"",(tbl_task4[149]/tbl_task4[[คะแนนเต็ม]:[คะแนนเต็ม]])*tbl_task4[[%]:[%]])</f>
        <v/>
      </c>
      <c r="LH14" s="121" t="str">
        <f>IF(ISBLANK(tbl_task4[[คะแนนเต็ม]:[คะแนนเต็ม]]),"",(tbl_task4[150]/tbl_task4[[คะแนนเต็ม]:[คะแนนเต็ม]])*tbl_task4[[%]:[%]])</f>
        <v/>
      </c>
      <c r="LI14" s="121" t="str">
        <f>IF(ISBLANK(tbl_task4[[คะแนนเต็ม]:[คะแนนเต็ม]]),"",(tbl_task4[151]/tbl_task4[[คะแนนเต็ม]:[คะแนนเต็ม]])*tbl_task4[[%]:[%]])</f>
        <v/>
      </c>
      <c r="LJ14" s="121" t="str">
        <f>IF(ISBLANK(tbl_task4[[คะแนนเต็ม]:[คะแนนเต็ม]]),"",(tbl_task4[152]/tbl_task4[[คะแนนเต็ม]:[คะแนนเต็ม]])*tbl_task4[[%]:[%]])</f>
        <v/>
      </c>
      <c r="LK14" s="121" t="str">
        <f>IF(ISBLANK(tbl_task4[[คะแนนเต็ม]:[คะแนนเต็ม]]),"",(tbl_task4[153]/tbl_task4[[คะแนนเต็ม]:[คะแนนเต็ม]])*tbl_task4[[%]:[%]])</f>
        <v/>
      </c>
      <c r="LL14" s="121" t="str">
        <f>IF(ISBLANK(tbl_task4[[คะแนนเต็ม]:[คะแนนเต็ม]]),"",(tbl_task4[154]/tbl_task4[[คะแนนเต็ม]:[คะแนนเต็ม]])*tbl_task4[[%]:[%]])</f>
        <v/>
      </c>
      <c r="LM14" s="121" t="str">
        <f>IF(ISBLANK(tbl_task4[[คะแนนเต็ม]:[คะแนนเต็ม]]),"",(tbl_task4[155]/tbl_task4[[คะแนนเต็ม]:[คะแนนเต็ม]])*tbl_task4[[%]:[%]])</f>
        <v/>
      </c>
      <c r="LN14" s="121" t="str">
        <f>IF(ISBLANK(tbl_task4[[คะแนนเต็ม]:[คะแนนเต็ม]]),"",(tbl_task4[156]/tbl_task4[[คะแนนเต็ม]:[คะแนนเต็ม]])*tbl_task4[[%]:[%]])</f>
        <v/>
      </c>
      <c r="LO14" s="121" t="str">
        <f>IF(ISBLANK(tbl_task4[[คะแนนเต็ม]:[คะแนนเต็ม]]),"",(tbl_task4[157]/tbl_task4[[คะแนนเต็ม]:[คะแนนเต็ม]])*tbl_task4[[%]:[%]])</f>
        <v/>
      </c>
      <c r="LP14" s="121" t="str">
        <f>IF(ISBLANK(tbl_task4[[คะแนนเต็ม]:[คะแนนเต็ม]]),"",(tbl_task4[158]/tbl_task4[[คะแนนเต็ม]:[คะแนนเต็ม]])*tbl_task4[[%]:[%]])</f>
        <v/>
      </c>
      <c r="LQ14" s="121" t="str">
        <f>IF(ISBLANK(tbl_task4[[คะแนนเต็ม]:[คะแนนเต็ม]]),"",(tbl_task4[159]/tbl_task4[[คะแนนเต็ม]:[คะแนนเต็ม]])*tbl_task4[[%]:[%]])</f>
        <v/>
      </c>
      <c r="LR14" s="121" t="str">
        <f>IF(ISBLANK(tbl_task4[[คะแนนเต็ม]:[คะแนนเต็ม]]),"",(tbl_task4[160]/tbl_task4[[คะแนนเต็ม]:[คะแนนเต็ม]])*tbl_task4[[%]:[%]])</f>
        <v/>
      </c>
      <c r="LS14" s="121" t="str">
        <f>IF(ISBLANK(tbl_task4[[คะแนนเต็ม]:[คะแนนเต็ม]]),"",(tbl_task4[161]/tbl_task4[[คะแนนเต็ม]:[คะแนนเต็ม]])*tbl_task4[[%]:[%]])</f>
        <v/>
      </c>
      <c r="LT14" s="121" t="str">
        <f>IF(ISBLANK(tbl_task4[[คะแนนเต็ม]:[คะแนนเต็ม]]),"",(tbl_task4[162]/tbl_task4[[คะแนนเต็ม]:[คะแนนเต็ม]])*tbl_task4[[%]:[%]])</f>
        <v/>
      </c>
      <c r="LU14" s="121" t="str">
        <f>IF(ISBLANK(tbl_task4[[คะแนนเต็ม]:[คะแนนเต็ม]]),"",(tbl_task4[163]/tbl_task4[[คะแนนเต็ม]:[คะแนนเต็ม]])*tbl_task4[[%]:[%]])</f>
        <v/>
      </c>
      <c r="LV14" s="121" t="str">
        <f>IF(ISBLANK(tbl_task4[[คะแนนเต็ม]:[คะแนนเต็ม]]),"",(tbl_task4[164]/tbl_task4[[คะแนนเต็ม]:[คะแนนเต็ม]])*tbl_task4[[%]:[%]])</f>
        <v/>
      </c>
      <c r="LW14" s="121" t="str">
        <f>IF(ISBLANK(tbl_task4[[คะแนนเต็ม]:[คะแนนเต็ม]]),"",(tbl_task4[165]/tbl_task4[[คะแนนเต็ม]:[คะแนนเต็ม]])*tbl_task4[[%]:[%]])</f>
        <v/>
      </c>
    </row>
    <row r="15" spans="1:335" ht="24" customHeight="1" x14ac:dyDescent="0.25">
      <c r="A15" s="24">
        <v>12</v>
      </c>
      <c r="B15" s="20"/>
      <c r="C15" s="5" t="str">
        <f>IF(ISBLANK(B15),"",VLOOKUP(B15,tbl_PLOs[],2,0))</f>
        <v/>
      </c>
      <c r="D15" s="102"/>
      <c r="E15" s="106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121" t="str">
        <f>IF(ISBLANK(tbl_task4[[คะแนนเต็ม]:[คะแนนเต็ม]]),"",(tbl_task4[1]/tbl_task4[[คะแนนเต็ม]:[คะแนนเต็ม]])*tbl_task4[[%]:[%]])</f>
        <v/>
      </c>
      <c r="FP15" s="121" t="str">
        <f>IF(ISBLANK(tbl_task4[[คะแนนเต็ม]:[คะแนนเต็ม]]),"",(tbl_task4[2]/tbl_task4[[คะแนนเต็ม]:[คะแนนเต็ม]])*tbl_task4[[%]:[%]])</f>
        <v/>
      </c>
      <c r="FQ15" s="121" t="str">
        <f>IF(ISBLANK(tbl_task4[[คะแนนเต็ม]:[คะแนนเต็ม]]),"",(tbl_task4[3]/tbl_task4[[คะแนนเต็ม]:[คะแนนเต็ม]])*tbl_task4[[%]:[%]])</f>
        <v/>
      </c>
      <c r="FR15" s="121" t="str">
        <f>IF(ISBLANK(tbl_task4[[คะแนนเต็ม]:[คะแนนเต็ม]]),"",(tbl_task4[4]/tbl_task4[[คะแนนเต็ม]:[คะแนนเต็ม]])*tbl_task4[[%]:[%]])</f>
        <v/>
      </c>
      <c r="FS15" s="121" t="str">
        <f>IF(ISBLANK(tbl_task4[[คะแนนเต็ม]:[คะแนนเต็ม]]),"",(tbl_task4[5]/tbl_task4[[คะแนนเต็ม]:[คะแนนเต็ม]])*tbl_task4[[%]:[%]])</f>
        <v/>
      </c>
      <c r="FT15" s="121" t="str">
        <f>IF(ISBLANK(tbl_task4[[คะแนนเต็ม]:[คะแนนเต็ม]]),"",(tbl_task4[6]/tbl_task4[[คะแนนเต็ม]:[คะแนนเต็ม]])*tbl_task4[[%]:[%]])</f>
        <v/>
      </c>
      <c r="FU15" s="121" t="str">
        <f>IF(ISBLANK(tbl_task4[[คะแนนเต็ม]:[คะแนนเต็ม]]),"",(tbl_task4[7]/tbl_task4[[คะแนนเต็ม]:[คะแนนเต็ม]])*tbl_task4[[%]:[%]])</f>
        <v/>
      </c>
      <c r="FV15" s="121" t="str">
        <f>IF(ISBLANK(tbl_task4[[คะแนนเต็ม]:[คะแนนเต็ม]]),"",(tbl_task4[8]/tbl_task4[[คะแนนเต็ม]:[คะแนนเต็ม]])*tbl_task4[[%]:[%]])</f>
        <v/>
      </c>
      <c r="FW15" s="121" t="str">
        <f>IF(ISBLANK(tbl_task4[[คะแนนเต็ม]:[คะแนนเต็ม]]),"",(tbl_task4[9]/tbl_task4[[คะแนนเต็ม]:[คะแนนเต็ม]])*tbl_task4[[%]:[%]])</f>
        <v/>
      </c>
      <c r="FX15" s="121" t="str">
        <f>IF(ISBLANK(tbl_task4[[คะแนนเต็ม]:[คะแนนเต็ม]]),"",(tbl_task4[10]/tbl_task4[[คะแนนเต็ม]:[คะแนนเต็ม]])*tbl_task4[[%]:[%]])</f>
        <v/>
      </c>
      <c r="FY15" s="121" t="str">
        <f>IF(ISBLANK(tbl_task4[[คะแนนเต็ม]:[คะแนนเต็ม]]),"",(tbl_task4[11]/tbl_task4[[คะแนนเต็ม]:[คะแนนเต็ม]])*tbl_task4[[%]:[%]])</f>
        <v/>
      </c>
      <c r="FZ15" s="121" t="str">
        <f>IF(ISBLANK(tbl_task4[[คะแนนเต็ม]:[คะแนนเต็ม]]),"",(tbl_task4[12]/tbl_task4[[คะแนนเต็ม]:[คะแนนเต็ม]])*tbl_task4[[%]:[%]])</f>
        <v/>
      </c>
      <c r="GA15" s="121" t="str">
        <f>IF(ISBLANK(tbl_task4[[คะแนนเต็ม]:[คะแนนเต็ม]]),"",(tbl_task4[13]/tbl_task4[[คะแนนเต็ม]:[คะแนนเต็ม]])*tbl_task4[[%]:[%]])</f>
        <v/>
      </c>
      <c r="GB15" s="121" t="str">
        <f>IF(ISBLANK(tbl_task4[[คะแนนเต็ม]:[คะแนนเต็ม]]),"",(tbl_task4[14]/tbl_task4[[คะแนนเต็ม]:[คะแนนเต็ม]])*tbl_task4[[%]:[%]])</f>
        <v/>
      </c>
      <c r="GC15" s="121" t="str">
        <f>IF(ISBLANK(tbl_task4[[คะแนนเต็ม]:[คะแนนเต็ม]]),"",(tbl_task4[15]/tbl_task4[[คะแนนเต็ม]:[คะแนนเต็ม]])*tbl_task4[[%]:[%]])</f>
        <v/>
      </c>
      <c r="GD15" s="121" t="str">
        <f>IF(ISBLANK(tbl_task4[[คะแนนเต็ม]:[คะแนนเต็ม]]),"",(tbl_task4[16]/tbl_task4[[คะแนนเต็ม]:[คะแนนเต็ม]])*tbl_task4[[%]:[%]])</f>
        <v/>
      </c>
      <c r="GE15" s="121" t="str">
        <f>IF(ISBLANK(tbl_task4[[คะแนนเต็ม]:[คะแนนเต็ม]]),"",(tbl_task4[17]/tbl_task4[[คะแนนเต็ม]:[คะแนนเต็ม]])*tbl_task4[[%]:[%]])</f>
        <v/>
      </c>
      <c r="GF15" s="121" t="str">
        <f>IF(ISBLANK(tbl_task4[[คะแนนเต็ม]:[คะแนนเต็ม]]),"",(tbl_task4[18]/tbl_task4[[คะแนนเต็ม]:[คะแนนเต็ม]])*tbl_task4[[%]:[%]])</f>
        <v/>
      </c>
      <c r="GG15" s="121" t="str">
        <f>IF(ISBLANK(tbl_task4[[คะแนนเต็ม]:[คะแนนเต็ม]]),"",(tbl_task4[19]/tbl_task4[[คะแนนเต็ม]:[คะแนนเต็ม]])*tbl_task4[[%]:[%]])</f>
        <v/>
      </c>
      <c r="GH15" s="121" t="str">
        <f>IF(ISBLANK(tbl_task4[[คะแนนเต็ม]:[คะแนนเต็ม]]),"",(tbl_task4[20]/tbl_task4[[คะแนนเต็ม]:[คะแนนเต็ม]])*tbl_task4[[%]:[%]])</f>
        <v/>
      </c>
      <c r="GI15" s="121" t="str">
        <f>IF(ISBLANK(tbl_task4[[คะแนนเต็ม]:[คะแนนเต็ม]]),"",(tbl_task4[21]/tbl_task4[[คะแนนเต็ม]:[คะแนนเต็ม]])*tbl_task4[[%]:[%]])</f>
        <v/>
      </c>
      <c r="GJ15" s="121" t="str">
        <f>IF(ISBLANK(tbl_task4[[คะแนนเต็ม]:[คะแนนเต็ม]]),"",(tbl_task4[22]/tbl_task4[[คะแนนเต็ม]:[คะแนนเต็ม]])*tbl_task4[[%]:[%]])</f>
        <v/>
      </c>
      <c r="GK15" s="121" t="str">
        <f>IF(ISBLANK(tbl_task4[[คะแนนเต็ม]:[คะแนนเต็ม]]),"",(tbl_task4[23]/tbl_task4[[คะแนนเต็ม]:[คะแนนเต็ม]])*tbl_task4[[%]:[%]])</f>
        <v/>
      </c>
      <c r="GL15" s="121" t="str">
        <f>IF(ISBLANK(tbl_task4[[คะแนนเต็ม]:[คะแนนเต็ม]]),"",(tbl_task4[24]/tbl_task4[[คะแนนเต็ม]:[คะแนนเต็ม]])*tbl_task4[[%]:[%]])</f>
        <v/>
      </c>
      <c r="GM15" s="121" t="str">
        <f>IF(ISBLANK(tbl_task4[[คะแนนเต็ม]:[คะแนนเต็ม]]),"",(tbl_task4[25]/tbl_task4[[คะแนนเต็ม]:[คะแนนเต็ม]])*tbl_task4[[%]:[%]])</f>
        <v/>
      </c>
      <c r="GN15" s="121" t="str">
        <f>IF(ISBLANK(tbl_task4[[คะแนนเต็ม]:[คะแนนเต็ม]]),"",(tbl_task4[26]/tbl_task4[[คะแนนเต็ม]:[คะแนนเต็ม]])*tbl_task4[[%]:[%]])</f>
        <v/>
      </c>
      <c r="GO15" s="121" t="str">
        <f>IF(ISBLANK(tbl_task4[[คะแนนเต็ม]:[คะแนนเต็ม]]),"",(tbl_task4[27]/tbl_task4[[คะแนนเต็ม]:[คะแนนเต็ม]])*tbl_task4[[%]:[%]])</f>
        <v/>
      </c>
      <c r="GP15" s="121" t="str">
        <f>IF(ISBLANK(tbl_task4[[คะแนนเต็ม]:[คะแนนเต็ม]]),"",(tbl_task4[28]/tbl_task4[[คะแนนเต็ม]:[คะแนนเต็ม]])*tbl_task4[[%]:[%]])</f>
        <v/>
      </c>
      <c r="GQ15" s="121" t="str">
        <f>IF(ISBLANK(tbl_task4[[คะแนนเต็ม]:[คะแนนเต็ม]]),"",(tbl_task4[29]/tbl_task4[[คะแนนเต็ม]:[คะแนนเต็ม]])*tbl_task4[[%]:[%]])</f>
        <v/>
      </c>
      <c r="GR15" s="121" t="str">
        <f>IF(ISBLANK(tbl_task4[[คะแนนเต็ม]:[คะแนนเต็ม]]),"",(tbl_task4[30]/tbl_task4[[คะแนนเต็ม]:[คะแนนเต็ม]])*tbl_task4[[%]:[%]])</f>
        <v/>
      </c>
      <c r="GS15" s="121" t="str">
        <f>IF(ISBLANK(tbl_task4[[คะแนนเต็ม]:[คะแนนเต็ม]]),"",(tbl_task4[31]/tbl_task4[[คะแนนเต็ม]:[คะแนนเต็ม]])*tbl_task4[[%]:[%]])</f>
        <v/>
      </c>
      <c r="GT15" s="121" t="str">
        <f>IF(ISBLANK(tbl_task4[[คะแนนเต็ม]:[คะแนนเต็ม]]),"",(tbl_task4[32]/tbl_task4[[คะแนนเต็ม]:[คะแนนเต็ม]])*tbl_task4[[%]:[%]])</f>
        <v/>
      </c>
      <c r="GU15" s="121" t="str">
        <f>IF(ISBLANK(tbl_task4[[คะแนนเต็ม]:[คะแนนเต็ม]]),"",(tbl_task4[33]/tbl_task4[[คะแนนเต็ม]:[คะแนนเต็ม]])*tbl_task4[[%]:[%]])</f>
        <v/>
      </c>
      <c r="GV15" s="121" t="str">
        <f>IF(ISBLANK(tbl_task4[[คะแนนเต็ม]:[คะแนนเต็ม]]),"",(tbl_task4[34]/tbl_task4[[คะแนนเต็ม]:[คะแนนเต็ม]])*tbl_task4[[%]:[%]])</f>
        <v/>
      </c>
      <c r="GW15" s="121" t="str">
        <f>IF(ISBLANK(tbl_task4[[คะแนนเต็ม]:[คะแนนเต็ม]]),"",(tbl_task4[35]/tbl_task4[[คะแนนเต็ม]:[คะแนนเต็ม]])*tbl_task4[[%]:[%]])</f>
        <v/>
      </c>
      <c r="GX15" s="121" t="str">
        <f>IF(ISBLANK(tbl_task4[[คะแนนเต็ม]:[คะแนนเต็ม]]),"",(tbl_task4[36]/tbl_task4[[คะแนนเต็ม]:[คะแนนเต็ม]])*tbl_task4[[%]:[%]])</f>
        <v/>
      </c>
      <c r="GY15" s="121" t="str">
        <f>IF(ISBLANK(tbl_task4[[คะแนนเต็ม]:[คะแนนเต็ม]]),"",(tbl_task4[37]/tbl_task4[[คะแนนเต็ม]:[คะแนนเต็ม]])*tbl_task4[[%]:[%]])</f>
        <v/>
      </c>
      <c r="GZ15" s="121" t="str">
        <f>IF(ISBLANK(tbl_task4[[คะแนนเต็ม]:[คะแนนเต็ม]]),"",(tbl_task4[38]/tbl_task4[[คะแนนเต็ม]:[คะแนนเต็ม]])*tbl_task4[[%]:[%]])</f>
        <v/>
      </c>
      <c r="HA15" s="121" t="str">
        <f>IF(ISBLANK(tbl_task4[[คะแนนเต็ม]:[คะแนนเต็ม]]),"",(tbl_task4[39]/tbl_task4[[คะแนนเต็ม]:[คะแนนเต็ม]])*tbl_task4[[%]:[%]])</f>
        <v/>
      </c>
      <c r="HB15" s="121" t="str">
        <f>IF(ISBLANK(tbl_task4[[คะแนนเต็ม]:[คะแนนเต็ม]]),"",(tbl_task4[40]/tbl_task4[[คะแนนเต็ม]:[คะแนนเต็ม]])*tbl_task4[[%]:[%]])</f>
        <v/>
      </c>
      <c r="HC15" s="121" t="str">
        <f>IF(ISBLANK(tbl_task4[[คะแนนเต็ม]:[คะแนนเต็ม]]),"",(tbl_task4[41]/tbl_task4[[คะแนนเต็ม]:[คะแนนเต็ม]])*tbl_task4[[%]:[%]])</f>
        <v/>
      </c>
      <c r="HD15" s="121" t="str">
        <f>IF(ISBLANK(tbl_task4[[คะแนนเต็ม]:[คะแนนเต็ม]]),"",(tbl_task4[42]/tbl_task4[[คะแนนเต็ม]:[คะแนนเต็ม]])*tbl_task4[[%]:[%]])</f>
        <v/>
      </c>
      <c r="HE15" s="121" t="str">
        <f>IF(ISBLANK(tbl_task4[[คะแนนเต็ม]:[คะแนนเต็ม]]),"",(tbl_task4[43]/tbl_task4[[คะแนนเต็ม]:[คะแนนเต็ม]])*tbl_task4[[%]:[%]])</f>
        <v/>
      </c>
      <c r="HF15" s="121" t="str">
        <f>IF(ISBLANK(tbl_task4[[คะแนนเต็ม]:[คะแนนเต็ม]]),"",(tbl_task4[44]/tbl_task4[[คะแนนเต็ม]:[คะแนนเต็ม]])*tbl_task4[[%]:[%]])</f>
        <v/>
      </c>
      <c r="HG15" s="121" t="str">
        <f>IF(ISBLANK(tbl_task4[[คะแนนเต็ม]:[คะแนนเต็ม]]),"",(tbl_task4[45]/tbl_task4[[คะแนนเต็ม]:[คะแนนเต็ม]])*tbl_task4[[%]:[%]])</f>
        <v/>
      </c>
      <c r="HH15" s="121" t="str">
        <f>IF(ISBLANK(tbl_task4[[คะแนนเต็ม]:[คะแนนเต็ม]]),"",(tbl_task4[46]/tbl_task4[[คะแนนเต็ม]:[คะแนนเต็ม]])*tbl_task4[[%]:[%]])</f>
        <v/>
      </c>
      <c r="HI15" s="121" t="str">
        <f>IF(ISBLANK(tbl_task4[[คะแนนเต็ม]:[คะแนนเต็ม]]),"",(tbl_task4[47]/tbl_task4[[คะแนนเต็ม]:[คะแนนเต็ม]])*tbl_task4[[%]:[%]])</f>
        <v/>
      </c>
      <c r="HJ15" s="121" t="str">
        <f>IF(ISBLANK(tbl_task4[[คะแนนเต็ม]:[คะแนนเต็ม]]),"",(tbl_task4[48]/tbl_task4[[คะแนนเต็ม]:[คะแนนเต็ม]])*tbl_task4[[%]:[%]])</f>
        <v/>
      </c>
      <c r="HK15" s="121" t="str">
        <f>IF(ISBLANK(tbl_task4[[คะแนนเต็ม]:[คะแนนเต็ม]]),"",(tbl_task4[49]/tbl_task4[[คะแนนเต็ม]:[คะแนนเต็ม]])*tbl_task4[[%]:[%]])</f>
        <v/>
      </c>
      <c r="HL15" s="121" t="str">
        <f>IF(ISBLANK(tbl_task4[[คะแนนเต็ม]:[คะแนนเต็ม]]),"",(tbl_task4[50]/tbl_task4[[คะแนนเต็ม]:[คะแนนเต็ม]])*tbl_task4[[%]:[%]])</f>
        <v/>
      </c>
      <c r="HM15" s="121" t="str">
        <f>IF(ISBLANK(tbl_task4[[คะแนนเต็ม]:[คะแนนเต็ม]]),"",(tbl_task4[51]/tbl_task4[[คะแนนเต็ม]:[คะแนนเต็ม]])*tbl_task4[[%]:[%]])</f>
        <v/>
      </c>
      <c r="HN15" s="121" t="str">
        <f>IF(ISBLANK(tbl_task4[[คะแนนเต็ม]:[คะแนนเต็ม]]),"",(tbl_task4[52]/tbl_task4[[คะแนนเต็ม]:[คะแนนเต็ม]])*tbl_task4[[%]:[%]])</f>
        <v/>
      </c>
      <c r="HO15" s="121" t="str">
        <f>IF(ISBLANK(tbl_task4[[คะแนนเต็ม]:[คะแนนเต็ม]]),"",(tbl_task4[53]/tbl_task4[[คะแนนเต็ม]:[คะแนนเต็ม]])*tbl_task4[[%]:[%]])</f>
        <v/>
      </c>
      <c r="HP15" s="121" t="str">
        <f>IF(ISBLANK(tbl_task4[[คะแนนเต็ม]:[คะแนนเต็ม]]),"",(tbl_task4[54]/tbl_task4[[คะแนนเต็ม]:[คะแนนเต็ม]])*tbl_task4[[%]:[%]])</f>
        <v/>
      </c>
      <c r="HQ15" s="121" t="str">
        <f>IF(ISBLANK(tbl_task4[[คะแนนเต็ม]:[คะแนนเต็ม]]),"",(tbl_task4[55]/tbl_task4[[คะแนนเต็ม]:[คะแนนเต็ม]])*tbl_task4[[%]:[%]])</f>
        <v/>
      </c>
      <c r="HR15" s="121" t="str">
        <f>IF(ISBLANK(tbl_task4[[คะแนนเต็ม]:[คะแนนเต็ม]]),"",(tbl_task4[56]/tbl_task4[[คะแนนเต็ม]:[คะแนนเต็ม]])*tbl_task4[[%]:[%]])</f>
        <v/>
      </c>
      <c r="HS15" s="121" t="str">
        <f>IF(ISBLANK(tbl_task4[[คะแนนเต็ม]:[คะแนนเต็ม]]),"",(tbl_task4[57]/tbl_task4[[คะแนนเต็ม]:[คะแนนเต็ม]])*tbl_task4[[%]:[%]])</f>
        <v/>
      </c>
      <c r="HT15" s="121" t="str">
        <f>IF(ISBLANK(tbl_task4[[คะแนนเต็ม]:[คะแนนเต็ม]]),"",(tbl_task4[58]/tbl_task4[[คะแนนเต็ม]:[คะแนนเต็ม]])*tbl_task4[[%]:[%]])</f>
        <v/>
      </c>
      <c r="HU15" s="121" t="str">
        <f>IF(ISBLANK(tbl_task4[[คะแนนเต็ม]:[คะแนนเต็ม]]),"",(tbl_task4[59]/tbl_task4[[คะแนนเต็ม]:[คะแนนเต็ม]])*tbl_task4[[%]:[%]])</f>
        <v/>
      </c>
      <c r="HV15" s="121" t="str">
        <f>IF(ISBLANK(tbl_task4[[คะแนนเต็ม]:[คะแนนเต็ม]]),"",(tbl_task4[60]/tbl_task4[[คะแนนเต็ม]:[คะแนนเต็ม]])*tbl_task4[[%]:[%]])</f>
        <v/>
      </c>
      <c r="HW15" s="121" t="str">
        <f>IF(ISBLANK(tbl_task4[[คะแนนเต็ม]:[คะแนนเต็ม]]),"",(tbl_task4[61]/tbl_task4[[คะแนนเต็ม]:[คะแนนเต็ม]])*tbl_task4[[%]:[%]])</f>
        <v/>
      </c>
      <c r="HX15" s="121" t="str">
        <f>IF(ISBLANK(tbl_task4[[คะแนนเต็ม]:[คะแนนเต็ม]]),"",(tbl_task4[62]/tbl_task4[[คะแนนเต็ม]:[คะแนนเต็ม]])*tbl_task4[[%]:[%]])</f>
        <v/>
      </c>
      <c r="HY15" s="121" t="str">
        <f>IF(ISBLANK(tbl_task4[[คะแนนเต็ม]:[คะแนนเต็ม]]),"",(tbl_task4[63]/tbl_task4[[คะแนนเต็ม]:[คะแนนเต็ม]])*tbl_task4[[%]:[%]])</f>
        <v/>
      </c>
      <c r="HZ15" s="121" t="str">
        <f>IF(ISBLANK(tbl_task4[[คะแนนเต็ม]:[คะแนนเต็ม]]),"",(tbl_task4[64]/tbl_task4[[คะแนนเต็ม]:[คะแนนเต็ม]])*tbl_task4[[%]:[%]])</f>
        <v/>
      </c>
      <c r="IA15" s="121" t="str">
        <f>IF(ISBLANK(tbl_task4[[คะแนนเต็ม]:[คะแนนเต็ม]]),"",(tbl_task4[65]/tbl_task4[[คะแนนเต็ม]:[คะแนนเต็ม]])*tbl_task4[[%]:[%]])</f>
        <v/>
      </c>
      <c r="IB15" s="121" t="str">
        <f>IF(ISBLANK(tbl_task4[[คะแนนเต็ม]:[คะแนนเต็ม]]),"",(tbl_task4[66]/tbl_task4[[คะแนนเต็ม]:[คะแนนเต็ม]])*tbl_task4[[%]:[%]])</f>
        <v/>
      </c>
      <c r="IC15" s="121" t="str">
        <f>IF(ISBLANK(tbl_task4[[คะแนนเต็ม]:[คะแนนเต็ม]]),"",(tbl_task4[67]/tbl_task4[[คะแนนเต็ม]:[คะแนนเต็ม]])*tbl_task4[[%]:[%]])</f>
        <v/>
      </c>
      <c r="ID15" s="121" t="str">
        <f>IF(ISBLANK(tbl_task4[[คะแนนเต็ม]:[คะแนนเต็ม]]),"",(tbl_task4[68]/tbl_task4[[คะแนนเต็ม]:[คะแนนเต็ม]])*tbl_task4[[%]:[%]])</f>
        <v/>
      </c>
      <c r="IE15" s="121" t="str">
        <f>IF(ISBLANK(tbl_task4[[คะแนนเต็ม]:[คะแนนเต็ม]]),"",(tbl_task4[69]/tbl_task4[[คะแนนเต็ม]:[คะแนนเต็ม]])*tbl_task4[[%]:[%]])</f>
        <v/>
      </c>
      <c r="IF15" s="121" t="str">
        <f>IF(ISBLANK(tbl_task4[[คะแนนเต็ม]:[คะแนนเต็ม]]),"",(tbl_task4[70]/tbl_task4[[คะแนนเต็ม]:[คะแนนเต็ม]])*tbl_task4[[%]:[%]])</f>
        <v/>
      </c>
      <c r="IG15" s="121" t="str">
        <f>IF(ISBLANK(tbl_task4[[คะแนนเต็ม]:[คะแนนเต็ม]]),"",(tbl_task4[71]/tbl_task4[[คะแนนเต็ม]:[คะแนนเต็ม]])*tbl_task4[[%]:[%]])</f>
        <v/>
      </c>
      <c r="IH15" s="121" t="str">
        <f>IF(ISBLANK(tbl_task4[[คะแนนเต็ม]:[คะแนนเต็ม]]),"",(tbl_task4[72]/tbl_task4[[คะแนนเต็ม]:[คะแนนเต็ม]])*tbl_task4[[%]:[%]])</f>
        <v/>
      </c>
      <c r="II15" s="121" t="str">
        <f>IF(ISBLANK(tbl_task4[[คะแนนเต็ม]:[คะแนนเต็ม]]),"",(tbl_task4[73]/tbl_task4[[คะแนนเต็ม]:[คะแนนเต็ม]])*tbl_task4[[%]:[%]])</f>
        <v/>
      </c>
      <c r="IJ15" s="121" t="str">
        <f>IF(ISBLANK(tbl_task4[[คะแนนเต็ม]:[คะแนนเต็ม]]),"",(tbl_task4[74]/tbl_task4[[คะแนนเต็ม]:[คะแนนเต็ม]])*tbl_task4[[%]:[%]])</f>
        <v/>
      </c>
      <c r="IK15" s="121" t="str">
        <f>IF(ISBLANK(tbl_task4[[คะแนนเต็ม]:[คะแนนเต็ม]]),"",(tbl_task4[75]/tbl_task4[[คะแนนเต็ม]:[คะแนนเต็ม]])*tbl_task4[[%]:[%]])</f>
        <v/>
      </c>
      <c r="IL15" s="121" t="str">
        <f>IF(ISBLANK(tbl_task4[[คะแนนเต็ม]:[คะแนนเต็ม]]),"",(tbl_task4[76]/tbl_task4[[คะแนนเต็ม]:[คะแนนเต็ม]])*tbl_task4[[%]:[%]])</f>
        <v/>
      </c>
      <c r="IM15" s="121" t="str">
        <f>IF(ISBLANK(tbl_task4[[คะแนนเต็ม]:[คะแนนเต็ม]]),"",(tbl_task4[77]/tbl_task4[[คะแนนเต็ม]:[คะแนนเต็ม]])*tbl_task4[[%]:[%]])</f>
        <v/>
      </c>
      <c r="IN15" s="121" t="str">
        <f>IF(ISBLANK(tbl_task4[[คะแนนเต็ม]:[คะแนนเต็ม]]),"",(tbl_task4[78]/tbl_task4[[คะแนนเต็ม]:[คะแนนเต็ม]])*tbl_task4[[%]:[%]])</f>
        <v/>
      </c>
      <c r="IO15" s="121" t="str">
        <f>IF(ISBLANK(tbl_task4[[คะแนนเต็ม]:[คะแนนเต็ม]]),"",(tbl_task4[79]/tbl_task4[[คะแนนเต็ม]:[คะแนนเต็ม]])*tbl_task4[[%]:[%]])</f>
        <v/>
      </c>
      <c r="IP15" s="121" t="str">
        <f>IF(ISBLANK(tbl_task4[[คะแนนเต็ม]:[คะแนนเต็ม]]),"",(tbl_task4[80]/tbl_task4[[คะแนนเต็ม]:[คะแนนเต็ม]])*tbl_task4[[%]:[%]])</f>
        <v/>
      </c>
      <c r="IQ15" s="121" t="str">
        <f>IF(ISBLANK(tbl_task4[[คะแนนเต็ม]:[คะแนนเต็ม]]),"",(tbl_task4[81]/tbl_task4[[คะแนนเต็ม]:[คะแนนเต็ม]])*tbl_task4[[%]:[%]])</f>
        <v/>
      </c>
      <c r="IR15" s="121" t="str">
        <f>IF(ISBLANK(tbl_task4[[คะแนนเต็ม]:[คะแนนเต็ม]]),"",(tbl_task4[82]/tbl_task4[[คะแนนเต็ม]:[คะแนนเต็ม]])*tbl_task4[[%]:[%]])</f>
        <v/>
      </c>
      <c r="IS15" s="121" t="str">
        <f>IF(ISBLANK(tbl_task4[[คะแนนเต็ม]:[คะแนนเต็ม]]),"",(tbl_task4[83]/tbl_task4[[คะแนนเต็ม]:[คะแนนเต็ม]])*tbl_task4[[%]:[%]])</f>
        <v/>
      </c>
      <c r="IT15" s="121" t="str">
        <f>IF(ISBLANK(tbl_task4[[คะแนนเต็ม]:[คะแนนเต็ม]]),"",(tbl_task4[84]/tbl_task4[[คะแนนเต็ม]:[คะแนนเต็ม]])*tbl_task4[[%]:[%]])</f>
        <v/>
      </c>
      <c r="IU15" s="121" t="str">
        <f>IF(ISBLANK(tbl_task4[[คะแนนเต็ม]:[คะแนนเต็ม]]),"",(tbl_task4[85]/tbl_task4[[คะแนนเต็ม]:[คะแนนเต็ม]])*tbl_task4[[%]:[%]])</f>
        <v/>
      </c>
      <c r="IV15" s="121" t="str">
        <f>IF(ISBLANK(tbl_task4[[คะแนนเต็ม]:[คะแนนเต็ม]]),"",(tbl_task4[86]/tbl_task4[[คะแนนเต็ม]:[คะแนนเต็ม]])*tbl_task4[[%]:[%]])</f>
        <v/>
      </c>
      <c r="IW15" s="121" t="str">
        <f>IF(ISBLANK(tbl_task4[[คะแนนเต็ม]:[คะแนนเต็ม]]),"",(tbl_task4[87]/tbl_task4[[คะแนนเต็ม]:[คะแนนเต็ม]])*tbl_task4[[%]:[%]])</f>
        <v/>
      </c>
      <c r="IX15" s="121" t="str">
        <f>IF(ISBLANK(tbl_task4[[คะแนนเต็ม]:[คะแนนเต็ม]]),"",(tbl_task4[88]/tbl_task4[[คะแนนเต็ม]:[คะแนนเต็ม]])*tbl_task4[[%]:[%]])</f>
        <v/>
      </c>
      <c r="IY15" s="121" t="str">
        <f>IF(ISBLANK(tbl_task4[[คะแนนเต็ม]:[คะแนนเต็ม]]),"",(tbl_task4[89]/tbl_task4[[คะแนนเต็ม]:[คะแนนเต็ม]])*tbl_task4[[%]:[%]])</f>
        <v/>
      </c>
      <c r="IZ15" s="121" t="str">
        <f>IF(ISBLANK(tbl_task4[[คะแนนเต็ม]:[คะแนนเต็ม]]),"",(tbl_task4[90]/tbl_task4[[คะแนนเต็ม]:[คะแนนเต็ม]])*tbl_task4[[%]:[%]])</f>
        <v/>
      </c>
      <c r="JA15" s="121" t="str">
        <f>IF(ISBLANK(tbl_task4[[คะแนนเต็ม]:[คะแนนเต็ม]]),"",(tbl_task4[91]/tbl_task4[[คะแนนเต็ม]:[คะแนนเต็ม]])*tbl_task4[[%]:[%]])</f>
        <v/>
      </c>
      <c r="JB15" s="121" t="str">
        <f>IF(ISBLANK(tbl_task4[[คะแนนเต็ม]:[คะแนนเต็ม]]),"",(tbl_task4[92]/tbl_task4[[คะแนนเต็ม]:[คะแนนเต็ม]])*tbl_task4[[%]:[%]])</f>
        <v/>
      </c>
      <c r="JC15" s="121" t="str">
        <f>IF(ISBLANK(tbl_task4[[คะแนนเต็ม]:[คะแนนเต็ม]]),"",(tbl_task4[93]/tbl_task4[[คะแนนเต็ม]:[คะแนนเต็ม]])*tbl_task4[[%]:[%]])</f>
        <v/>
      </c>
      <c r="JD15" s="121" t="str">
        <f>IF(ISBLANK(tbl_task4[[คะแนนเต็ม]:[คะแนนเต็ม]]),"",(tbl_task4[94]/tbl_task4[[คะแนนเต็ม]:[คะแนนเต็ม]])*tbl_task4[[%]:[%]])</f>
        <v/>
      </c>
      <c r="JE15" s="121" t="str">
        <f>IF(ISBLANK(tbl_task4[[คะแนนเต็ม]:[คะแนนเต็ม]]),"",(tbl_task4[95]/tbl_task4[[คะแนนเต็ม]:[คะแนนเต็ม]])*tbl_task4[[%]:[%]])</f>
        <v/>
      </c>
      <c r="JF15" s="121" t="str">
        <f>IF(ISBLANK(tbl_task4[[คะแนนเต็ม]:[คะแนนเต็ม]]),"",(tbl_task4[96]/tbl_task4[[คะแนนเต็ม]:[คะแนนเต็ม]])*tbl_task4[[%]:[%]])</f>
        <v/>
      </c>
      <c r="JG15" s="121" t="str">
        <f>IF(ISBLANK(tbl_task4[[คะแนนเต็ม]:[คะแนนเต็ม]]),"",(tbl_task4[97]/tbl_task4[[คะแนนเต็ม]:[คะแนนเต็ม]])*tbl_task4[[%]:[%]])</f>
        <v/>
      </c>
      <c r="JH15" s="121" t="str">
        <f>IF(ISBLANK(tbl_task4[[คะแนนเต็ม]:[คะแนนเต็ม]]),"",(tbl_task4[98]/tbl_task4[[คะแนนเต็ม]:[คะแนนเต็ม]])*tbl_task4[[%]:[%]])</f>
        <v/>
      </c>
      <c r="JI15" s="121" t="str">
        <f>IF(ISBLANK(tbl_task4[[คะแนนเต็ม]:[คะแนนเต็ม]]),"",(tbl_task4[99]/tbl_task4[[คะแนนเต็ม]:[คะแนนเต็ม]])*tbl_task4[[%]:[%]])</f>
        <v/>
      </c>
      <c r="JJ15" s="121" t="str">
        <f>IF(ISBLANK(tbl_task4[[คะแนนเต็ม]:[คะแนนเต็ม]]),"",(tbl_task4[100]/tbl_task4[[คะแนนเต็ม]:[คะแนนเต็ม]])*tbl_task4[[%]:[%]])</f>
        <v/>
      </c>
      <c r="JK15" s="121" t="str">
        <f>IF(ISBLANK(tbl_task4[[คะแนนเต็ม]:[คะแนนเต็ม]]),"",(tbl_task4[101]/tbl_task4[[คะแนนเต็ม]:[คะแนนเต็ม]])*tbl_task4[[%]:[%]])</f>
        <v/>
      </c>
      <c r="JL15" s="121" t="str">
        <f>IF(ISBLANK(tbl_task4[[คะแนนเต็ม]:[คะแนนเต็ม]]),"",(tbl_task4[102]/tbl_task4[[คะแนนเต็ม]:[คะแนนเต็ม]])*tbl_task4[[%]:[%]])</f>
        <v/>
      </c>
      <c r="JM15" s="121" t="str">
        <f>IF(ISBLANK(tbl_task4[[คะแนนเต็ม]:[คะแนนเต็ม]]),"",(tbl_task4[103]/tbl_task4[[คะแนนเต็ม]:[คะแนนเต็ม]])*tbl_task4[[%]:[%]])</f>
        <v/>
      </c>
      <c r="JN15" s="121" t="str">
        <f>IF(ISBLANK(tbl_task4[[คะแนนเต็ม]:[คะแนนเต็ม]]),"",(tbl_task4[104]/tbl_task4[[คะแนนเต็ม]:[คะแนนเต็ม]])*tbl_task4[[%]:[%]])</f>
        <v/>
      </c>
      <c r="JO15" s="121" t="str">
        <f>IF(ISBLANK(tbl_task4[[คะแนนเต็ม]:[คะแนนเต็ม]]),"",(tbl_task4[105]/tbl_task4[[คะแนนเต็ม]:[คะแนนเต็ม]])*tbl_task4[[%]:[%]])</f>
        <v/>
      </c>
      <c r="JP15" s="121" t="str">
        <f>IF(ISBLANK(tbl_task4[[คะแนนเต็ม]:[คะแนนเต็ม]]),"",(tbl_task4[106]/tbl_task4[[คะแนนเต็ม]:[คะแนนเต็ม]])*tbl_task4[[%]:[%]])</f>
        <v/>
      </c>
      <c r="JQ15" s="121" t="str">
        <f>IF(ISBLANK(tbl_task4[[คะแนนเต็ม]:[คะแนนเต็ม]]),"",(tbl_task4[107]/tbl_task4[[คะแนนเต็ม]:[คะแนนเต็ม]])*tbl_task4[[%]:[%]])</f>
        <v/>
      </c>
      <c r="JR15" s="121" t="str">
        <f>IF(ISBLANK(tbl_task4[[คะแนนเต็ม]:[คะแนนเต็ม]]),"",(tbl_task4[108]/tbl_task4[[คะแนนเต็ม]:[คะแนนเต็ม]])*tbl_task4[[%]:[%]])</f>
        <v/>
      </c>
      <c r="JS15" s="121" t="str">
        <f>IF(ISBLANK(tbl_task4[[คะแนนเต็ม]:[คะแนนเต็ม]]),"",(tbl_task4[109]/tbl_task4[[คะแนนเต็ม]:[คะแนนเต็ม]])*tbl_task4[[%]:[%]])</f>
        <v/>
      </c>
      <c r="JT15" s="121" t="str">
        <f>IF(ISBLANK(tbl_task4[[คะแนนเต็ม]:[คะแนนเต็ม]]),"",(tbl_task4[110]/tbl_task4[[คะแนนเต็ม]:[คะแนนเต็ม]])*tbl_task4[[%]:[%]])</f>
        <v/>
      </c>
      <c r="JU15" s="121" t="str">
        <f>IF(ISBLANK(tbl_task4[[คะแนนเต็ม]:[คะแนนเต็ม]]),"",(tbl_task4[111]/tbl_task4[[คะแนนเต็ม]:[คะแนนเต็ม]])*tbl_task4[[%]:[%]])</f>
        <v/>
      </c>
      <c r="JV15" s="121" t="str">
        <f>IF(ISBLANK(tbl_task4[[คะแนนเต็ม]:[คะแนนเต็ม]]),"",(tbl_task4[112]/tbl_task4[[คะแนนเต็ม]:[คะแนนเต็ม]])*tbl_task4[[%]:[%]])</f>
        <v/>
      </c>
      <c r="JW15" s="121" t="str">
        <f>IF(ISBLANK(tbl_task4[[คะแนนเต็ม]:[คะแนนเต็ม]]),"",(tbl_task4[113]/tbl_task4[[คะแนนเต็ม]:[คะแนนเต็ม]])*tbl_task4[[%]:[%]])</f>
        <v/>
      </c>
      <c r="JX15" s="121" t="str">
        <f>IF(ISBLANK(tbl_task4[[คะแนนเต็ม]:[คะแนนเต็ม]]),"",(tbl_task4[114]/tbl_task4[[คะแนนเต็ม]:[คะแนนเต็ม]])*tbl_task4[[%]:[%]])</f>
        <v/>
      </c>
      <c r="JY15" s="121" t="str">
        <f>IF(ISBLANK(tbl_task4[[คะแนนเต็ม]:[คะแนนเต็ม]]),"",(tbl_task4[115]/tbl_task4[[คะแนนเต็ม]:[คะแนนเต็ม]])*tbl_task4[[%]:[%]])</f>
        <v/>
      </c>
      <c r="JZ15" s="121" t="str">
        <f>IF(ISBLANK(tbl_task4[[คะแนนเต็ม]:[คะแนนเต็ม]]),"",(tbl_task4[116]/tbl_task4[[คะแนนเต็ม]:[คะแนนเต็ม]])*tbl_task4[[%]:[%]])</f>
        <v/>
      </c>
      <c r="KA15" s="121" t="str">
        <f>IF(ISBLANK(tbl_task4[[คะแนนเต็ม]:[คะแนนเต็ม]]),"",(tbl_task4[117]/tbl_task4[[คะแนนเต็ม]:[คะแนนเต็ม]])*tbl_task4[[%]:[%]])</f>
        <v/>
      </c>
      <c r="KB15" s="121" t="str">
        <f>IF(ISBLANK(tbl_task4[[คะแนนเต็ม]:[คะแนนเต็ม]]),"",(tbl_task4[118]/tbl_task4[[คะแนนเต็ม]:[คะแนนเต็ม]])*tbl_task4[[%]:[%]])</f>
        <v/>
      </c>
      <c r="KC15" s="121" t="str">
        <f>IF(ISBLANK(tbl_task4[[คะแนนเต็ม]:[คะแนนเต็ม]]),"",(tbl_task4[119]/tbl_task4[[คะแนนเต็ม]:[คะแนนเต็ม]])*tbl_task4[[%]:[%]])</f>
        <v/>
      </c>
      <c r="KD15" s="121" t="str">
        <f>IF(ISBLANK(tbl_task4[[คะแนนเต็ม]:[คะแนนเต็ม]]),"",(tbl_task4[120]/tbl_task4[[คะแนนเต็ม]:[คะแนนเต็ม]])*tbl_task4[[%]:[%]])</f>
        <v/>
      </c>
      <c r="KE15" s="121" t="str">
        <f>IF(ISBLANK(tbl_task4[[คะแนนเต็ม]:[คะแนนเต็ม]]),"",(tbl_task4[121]/tbl_task4[[คะแนนเต็ม]:[คะแนนเต็ม]])*tbl_task4[[%]:[%]])</f>
        <v/>
      </c>
      <c r="KF15" s="121" t="str">
        <f>IF(ISBLANK(tbl_task4[[คะแนนเต็ม]:[คะแนนเต็ม]]),"",(tbl_task4[122]/tbl_task4[[คะแนนเต็ม]:[คะแนนเต็ม]])*tbl_task4[[%]:[%]])</f>
        <v/>
      </c>
      <c r="KG15" s="121" t="str">
        <f>IF(ISBLANK(tbl_task4[[คะแนนเต็ม]:[คะแนนเต็ม]]),"",(tbl_task4[123]/tbl_task4[[คะแนนเต็ม]:[คะแนนเต็ม]])*tbl_task4[[%]:[%]])</f>
        <v/>
      </c>
      <c r="KH15" s="121" t="str">
        <f>IF(ISBLANK(tbl_task4[[คะแนนเต็ม]:[คะแนนเต็ม]]),"",(tbl_task4[124]/tbl_task4[[คะแนนเต็ม]:[คะแนนเต็ม]])*tbl_task4[[%]:[%]])</f>
        <v/>
      </c>
      <c r="KI15" s="121" t="str">
        <f>IF(ISBLANK(tbl_task4[[คะแนนเต็ม]:[คะแนนเต็ม]]),"",(tbl_task4[125]/tbl_task4[[คะแนนเต็ม]:[คะแนนเต็ม]])*tbl_task4[[%]:[%]])</f>
        <v/>
      </c>
      <c r="KJ15" s="121" t="str">
        <f>IF(ISBLANK(tbl_task4[[คะแนนเต็ม]:[คะแนนเต็ม]]),"",(tbl_task4[126]/tbl_task4[[คะแนนเต็ม]:[คะแนนเต็ม]])*tbl_task4[[%]:[%]])</f>
        <v/>
      </c>
      <c r="KK15" s="121" t="str">
        <f>IF(ISBLANK(tbl_task4[[คะแนนเต็ม]:[คะแนนเต็ม]]),"",(tbl_task4[127]/tbl_task4[[คะแนนเต็ม]:[คะแนนเต็ม]])*tbl_task4[[%]:[%]])</f>
        <v/>
      </c>
      <c r="KL15" s="121" t="str">
        <f>IF(ISBLANK(tbl_task4[[คะแนนเต็ม]:[คะแนนเต็ม]]),"",(tbl_task4[128]/tbl_task4[[คะแนนเต็ม]:[คะแนนเต็ม]])*tbl_task4[[%]:[%]])</f>
        <v/>
      </c>
      <c r="KM15" s="121" t="str">
        <f>IF(ISBLANK(tbl_task4[[คะแนนเต็ม]:[คะแนนเต็ม]]),"",(tbl_task4[129]/tbl_task4[[คะแนนเต็ม]:[คะแนนเต็ม]])*tbl_task4[[%]:[%]])</f>
        <v/>
      </c>
      <c r="KN15" s="121" t="str">
        <f>IF(ISBLANK(tbl_task4[[คะแนนเต็ม]:[คะแนนเต็ม]]),"",(tbl_task4[130]/tbl_task4[[คะแนนเต็ม]:[คะแนนเต็ม]])*tbl_task4[[%]:[%]])</f>
        <v/>
      </c>
      <c r="KO15" s="121" t="str">
        <f>IF(ISBLANK(tbl_task4[[คะแนนเต็ม]:[คะแนนเต็ม]]),"",(tbl_task4[131]/tbl_task4[[คะแนนเต็ม]:[คะแนนเต็ม]])*tbl_task4[[%]:[%]])</f>
        <v/>
      </c>
      <c r="KP15" s="121" t="str">
        <f>IF(ISBLANK(tbl_task4[[คะแนนเต็ม]:[คะแนนเต็ม]]),"",(tbl_task4[132]/tbl_task4[[คะแนนเต็ม]:[คะแนนเต็ม]])*tbl_task4[[%]:[%]])</f>
        <v/>
      </c>
      <c r="KQ15" s="121" t="str">
        <f>IF(ISBLANK(tbl_task4[[คะแนนเต็ม]:[คะแนนเต็ม]]),"",(tbl_task4[133]/tbl_task4[[คะแนนเต็ม]:[คะแนนเต็ม]])*tbl_task4[[%]:[%]])</f>
        <v/>
      </c>
      <c r="KR15" s="121" t="str">
        <f>IF(ISBLANK(tbl_task4[[คะแนนเต็ม]:[คะแนนเต็ม]]),"",(tbl_task4[134]/tbl_task4[[คะแนนเต็ม]:[คะแนนเต็ม]])*tbl_task4[[%]:[%]])</f>
        <v/>
      </c>
      <c r="KS15" s="121" t="str">
        <f>IF(ISBLANK(tbl_task4[[คะแนนเต็ม]:[คะแนนเต็ม]]),"",(tbl_task4[135]/tbl_task4[[คะแนนเต็ม]:[คะแนนเต็ม]])*tbl_task4[[%]:[%]])</f>
        <v/>
      </c>
      <c r="KT15" s="121" t="str">
        <f>IF(ISBLANK(tbl_task4[[คะแนนเต็ม]:[คะแนนเต็ม]]),"",(tbl_task4[136]/tbl_task4[[คะแนนเต็ม]:[คะแนนเต็ม]])*tbl_task4[[%]:[%]])</f>
        <v/>
      </c>
      <c r="KU15" s="121" t="str">
        <f>IF(ISBLANK(tbl_task4[[คะแนนเต็ม]:[คะแนนเต็ม]]),"",(tbl_task4[137]/tbl_task4[[คะแนนเต็ม]:[คะแนนเต็ม]])*tbl_task4[[%]:[%]])</f>
        <v/>
      </c>
      <c r="KV15" s="121" t="str">
        <f>IF(ISBLANK(tbl_task4[[คะแนนเต็ม]:[คะแนนเต็ม]]),"",(tbl_task4[138]/tbl_task4[[คะแนนเต็ม]:[คะแนนเต็ม]])*tbl_task4[[%]:[%]])</f>
        <v/>
      </c>
      <c r="KW15" s="121" t="str">
        <f>IF(ISBLANK(tbl_task4[[คะแนนเต็ม]:[คะแนนเต็ม]]),"",(tbl_task4[139]/tbl_task4[[คะแนนเต็ม]:[คะแนนเต็ม]])*tbl_task4[[%]:[%]])</f>
        <v/>
      </c>
      <c r="KX15" s="121" t="str">
        <f>IF(ISBLANK(tbl_task4[[คะแนนเต็ม]:[คะแนนเต็ม]]),"",(tbl_task4[140]/tbl_task4[[คะแนนเต็ม]:[คะแนนเต็ม]])*tbl_task4[[%]:[%]])</f>
        <v/>
      </c>
      <c r="KY15" s="121" t="str">
        <f>IF(ISBLANK(tbl_task4[[คะแนนเต็ม]:[คะแนนเต็ม]]),"",(tbl_task4[141]/tbl_task4[[คะแนนเต็ม]:[คะแนนเต็ม]])*tbl_task4[[%]:[%]])</f>
        <v/>
      </c>
      <c r="KZ15" s="121" t="str">
        <f>IF(ISBLANK(tbl_task4[[คะแนนเต็ม]:[คะแนนเต็ม]]),"",(tbl_task4[142]/tbl_task4[[คะแนนเต็ม]:[คะแนนเต็ม]])*tbl_task4[[%]:[%]])</f>
        <v/>
      </c>
      <c r="LA15" s="121" t="str">
        <f>IF(ISBLANK(tbl_task4[[คะแนนเต็ม]:[คะแนนเต็ม]]),"",(tbl_task4[143]/tbl_task4[[คะแนนเต็ม]:[คะแนนเต็ม]])*tbl_task4[[%]:[%]])</f>
        <v/>
      </c>
      <c r="LB15" s="121" t="str">
        <f>IF(ISBLANK(tbl_task4[[คะแนนเต็ม]:[คะแนนเต็ม]]),"",(tbl_task4[144]/tbl_task4[[คะแนนเต็ม]:[คะแนนเต็ม]])*tbl_task4[[%]:[%]])</f>
        <v/>
      </c>
      <c r="LC15" s="121" t="str">
        <f>IF(ISBLANK(tbl_task4[[คะแนนเต็ม]:[คะแนนเต็ม]]),"",(tbl_task4[145]/tbl_task4[[คะแนนเต็ม]:[คะแนนเต็ม]])*tbl_task4[[%]:[%]])</f>
        <v/>
      </c>
      <c r="LD15" s="121" t="str">
        <f>IF(ISBLANK(tbl_task4[[คะแนนเต็ม]:[คะแนนเต็ม]]),"",(tbl_task4[146]/tbl_task4[[คะแนนเต็ม]:[คะแนนเต็ม]])*tbl_task4[[%]:[%]])</f>
        <v/>
      </c>
      <c r="LE15" s="121" t="str">
        <f>IF(ISBLANK(tbl_task4[[คะแนนเต็ม]:[คะแนนเต็ม]]),"",(tbl_task4[147]/tbl_task4[[คะแนนเต็ม]:[คะแนนเต็ม]])*tbl_task4[[%]:[%]])</f>
        <v/>
      </c>
      <c r="LF15" s="121" t="str">
        <f>IF(ISBLANK(tbl_task4[[คะแนนเต็ม]:[คะแนนเต็ม]]),"",(tbl_task4[148]/tbl_task4[[คะแนนเต็ม]:[คะแนนเต็ม]])*tbl_task4[[%]:[%]])</f>
        <v/>
      </c>
      <c r="LG15" s="121" t="str">
        <f>IF(ISBLANK(tbl_task4[[คะแนนเต็ม]:[คะแนนเต็ม]]),"",(tbl_task4[149]/tbl_task4[[คะแนนเต็ม]:[คะแนนเต็ม]])*tbl_task4[[%]:[%]])</f>
        <v/>
      </c>
      <c r="LH15" s="121" t="str">
        <f>IF(ISBLANK(tbl_task4[[คะแนนเต็ม]:[คะแนนเต็ม]]),"",(tbl_task4[150]/tbl_task4[[คะแนนเต็ม]:[คะแนนเต็ม]])*tbl_task4[[%]:[%]])</f>
        <v/>
      </c>
      <c r="LI15" s="121" t="str">
        <f>IF(ISBLANK(tbl_task4[[คะแนนเต็ม]:[คะแนนเต็ม]]),"",(tbl_task4[151]/tbl_task4[[คะแนนเต็ม]:[คะแนนเต็ม]])*tbl_task4[[%]:[%]])</f>
        <v/>
      </c>
      <c r="LJ15" s="121" t="str">
        <f>IF(ISBLANK(tbl_task4[[คะแนนเต็ม]:[คะแนนเต็ม]]),"",(tbl_task4[152]/tbl_task4[[คะแนนเต็ม]:[คะแนนเต็ม]])*tbl_task4[[%]:[%]])</f>
        <v/>
      </c>
      <c r="LK15" s="121" t="str">
        <f>IF(ISBLANK(tbl_task4[[คะแนนเต็ม]:[คะแนนเต็ม]]),"",(tbl_task4[153]/tbl_task4[[คะแนนเต็ม]:[คะแนนเต็ม]])*tbl_task4[[%]:[%]])</f>
        <v/>
      </c>
      <c r="LL15" s="121" t="str">
        <f>IF(ISBLANK(tbl_task4[[คะแนนเต็ม]:[คะแนนเต็ม]]),"",(tbl_task4[154]/tbl_task4[[คะแนนเต็ม]:[คะแนนเต็ม]])*tbl_task4[[%]:[%]])</f>
        <v/>
      </c>
      <c r="LM15" s="121" t="str">
        <f>IF(ISBLANK(tbl_task4[[คะแนนเต็ม]:[คะแนนเต็ม]]),"",(tbl_task4[155]/tbl_task4[[คะแนนเต็ม]:[คะแนนเต็ม]])*tbl_task4[[%]:[%]])</f>
        <v/>
      </c>
      <c r="LN15" s="121" t="str">
        <f>IF(ISBLANK(tbl_task4[[คะแนนเต็ม]:[คะแนนเต็ม]]),"",(tbl_task4[156]/tbl_task4[[คะแนนเต็ม]:[คะแนนเต็ม]])*tbl_task4[[%]:[%]])</f>
        <v/>
      </c>
      <c r="LO15" s="121" t="str">
        <f>IF(ISBLANK(tbl_task4[[คะแนนเต็ม]:[คะแนนเต็ม]]),"",(tbl_task4[157]/tbl_task4[[คะแนนเต็ม]:[คะแนนเต็ม]])*tbl_task4[[%]:[%]])</f>
        <v/>
      </c>
      <c r="LP15" s="121" t="str">
        <f>IF(ISBLANK(tbl_task4[[คะแนนเต็ม]:[คะแนนเต็ม]]),"",(tbl_task4[158]/tbl_task4[[คะแนนเต็ม]:[คะแนนเต็ม]])*tbl_task4[[%]:[%]])</f>
        <v/>
      </c>
      <c r="LQ15" s="121" t="str">
        <f>IF(ISBLANK(tbl_task4[[คะแนนเต็ม]:[คะแนนเต็ม]]),"",(tbl_task4[159]/tbl_task4[[คะแนนเต็ม]:[คะแนนเต็ม]])*tbl_task4[[%]:[%]])</f>
        <v/>
      </c>
      <c r="LR15" s="121" t="str">
        <f>IF(ISBLANK(tbl_task4[[คะแนนเต็ม]:[คะแนนเต็ม]]),"",(tbl_task4[160]/tbl_task4[[คะแนนเต็ม]:[คะแนนเต็ม]])*tbl_task4[[%]:[%]])</f>
        <v/>
      </c>
      <c r="LS15" s="121" t="str">
        <f>IF(ISBLANK(tbl_task4[[คะแนนเต็ม]:[คะแนนเต็ม]]),"",(tbl_task4[161]/tbl_task4[[คะแนนเต็ม]:[คะแนนเต็ม]])*tbl_task4[[%]:[%]])</f>
        <v/>
      </c>
      <c r="LT15" s="121" t="str">
        <f>IF(ISBLANK(tbl_task4[[คะแนนเต็ม]:[คะแนนเต็ม]]),"",(tbl_task4[162]/tbl_task4[[คะแนนเต็ม]:[คะแนนเต็ม]])*tbl_task4[[%]:[%]])</f>
        <v/>
      </c>
      <c r="LU15" s="121" t="str">
        <f>IF(ISBLANK(tbl_task4[[คะแนนเต็ม]:[คะแนนเต็ม]]),"",(tbl_task4[163]/tbl_task4[[คะแนนเต็ม]:[คะแนนเต็ม]])*tbl_task4[[%]:[%]])</f>
        <v/>
      </c>
      <c r="LV15" s="121" t="str">
        <f>IF(ISBLANK(tbl_task4[[คะแนนเต็ม]:[คะแนนเต็ม]]),"",(tbl_task4[164]/tbl_task4[[คะแนนเต็ม]:[คะแนนเต็ม]])*tbl_task4[[%]:[%]])</f>
        <v/>
      </c>
      <c r="LW15" s="121" t="str">
        <f>IF(ISBLANK(tbl_task4[[คะแนนเต็ม]:[คะแนนเต็ม]]),"",(tbl_task4[165]/tbl_task4[[คะแนนเต็ม]:[คะแนนเต็ม]])*tbl_task4[[%]:[%]])</f>
        <v/>
      </c>
    </row>
    <row r="16" spans="1:335" ht="24" customHeight="1" x14ac:dyDescent="0.25">
      <c r="A16" s="24">
        <v>13</v>
      </c>
      <c r="B16" s="20"/>
      <c r="C16" s="5" t="str">
        <f>IF(ISBLANK(B16),"",VLOOKUP(B16,tbl_PLOs[],2,0))</f>
        <v/>
      </c>
      <c r="D16" s="102"/>
      <c r="E16" s="106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121" t="str">
        <f>IF(ISBLANK(tbl_task4[[คะแนนเต็ม]:[คะแนนเต็ม]]),"",(tbl_task4[1]/tbl_task4[[คะแนนเต็ม]:[คะแนนเต็ม]])*tbl_task4[[%]:[%]])</f>
        <v/>
      </c>
      <c r="FP16" s="121" t="str">
        <f>IF(ISBLANK(tbl_task4[[คะแนนเต็ม]:[คะแนนเต็ม]]),"",(tbl_task4[2]/tbl_task4[[คะแนนเต็ม]:[คะแนนเต็ม]])*tbl_task4[[%]:[%]])</f>
        <v/>
      </c>
      <c r="FQ16" s="121" t="str">
        <f>IF(ISBLANK(tbl_task4[[คะแนนเต็ม]:[คะแนนเต็ม]]),"",(tbl_task4[3]/tbl_task4[[คะแนนเต็ม]:[คะแนนเต็ม]])*tbl_task4[[%]:[%]])</f>
        <v/>
      </c>
      <c r="FR16" s="121" t="str">
        <f>IF(ISBLANK(tbl_task4[[คะแนนเต็ม]:[คะแนนเต็ม]]),"",(tbl_task4[4]/tbl_task4[[คะแนนเต็ม]:[คะแนนเต็ม]])*tbl_task4[[%]:[%]])</f>
        <v/>
      </c>
      <c r="FS16" s="121" t="str">
        <f>IF(ISBLANK(tbl_task4[[คะแนนเต็ม]:[คะแนนเต็ม]]),"",(tbl_task4[5]/tbl_task4[[คะแนนเต็ม]:[คะแนนเต็ม]])*tbl_task4[[%]:[%]])</f>
        <v/>
      </c>
      <c r="FT16" s="121" t="str">
        <f>IF(ISBLANK(tbl_task4[[คะแนนเต็ม]:[คะแนนเต็ม]]),"",(tbl_task4[6]/tbl_task4[[คะแนนเต็ม]:[คะแนนเต็ม]])*tbl_task4[[%]:[%]])</f>
        <v/>
      </c>
      <c r="FU16" s="121" t="str">
        <f>IF(ISBLANK(tbl_task4[[คะแนนเต็ม]:[คะแนนเต็ม]]),"",(tbl_task4[7]/tbl_task4[[คะแนนเต็ม]:[คะแนนเต็ม]])*tbl_task4[[%]:[%]])</f>
        <v/>
      </c>
      <c r="FV16" s="121" t="str">
        <f>IF(ISBLANK(tbl_task4[[คะแนนเต็ม]:[คะแนนเต็ม]]),"",(tbl_task4[8]/tbl_task4[[คะแนนเต็ม]:[คะแนนเต็ม]])*tbl_task4[[%]:[%]])</f>
        <v/>
      </c>
      <c r="FW16" s="121" t="str">
        <f>IF(ISBLANK(tbl_task4[[คะแนนเต็ม]:[คะแนนเต็ม]]),"",(tbl_task4[9]/tbl_task4[[คะแนนเต็ม]:[คะแนนเต็ม]])*tbl_task4[[%]:[%]])</f>
        <v/>
      </c>
      <c r="FX16" s="121" t="str">
        <f>IF(ISBLANK(tbl_task4[[คะแนนเต็ม]:[คะแนนเต็ม]]),"",(tbl_task4[10]/tbl_task4[[คะแนนเต็ม]:[คะแนนเต็ม]])*tbl_task4[[%]:[%]])</f>
        <v/>
      </c>
      <c r="FY16" s="121" t="str">
        <f>IF(ISBLANK(tbl_task4[[คะแนนเต็ม]:[คะแนนเต็ม]]),"",(tbl_task4[11]/tbl_task4[[คะแนนเต็ม]:[คะแนนเต็ม]])*tbl_task4[[%]:[%]])</f>
        <v/>
      </c>
      <c r="FZ16" s="121" t="str">
        <f>IF(ISBLANK(tbl_task4[[คะแนนเต็ม]:[คะแนนเต็ม]]),"",(tbl_task4[12]/tbl_task4[[คะแนนเต็ม]:[คะแนนเต็ม]])*tbl_task4[[%]:[%]])</f>
        <v/>
      </c>
      <c r="GA16" s="121" t="str">
        <f>IF(ISBLANK(tbl_task4[[คะแนนเต็ม]:[คะแนนเต็ม]]),"",(tbl_task4[13]/tbl_task4[[คะแนนเต็ม]:[คะแนนเต็ม]])*tbl_task4[[%]:[%]])</f>
        <v/>
      </c>
      <c r="GB16" s="121" t="str">
        <f>IF(ISBLANK(tbl_task4[[คะแนนเต็ม]:[คะแนนเต็ม]]),"",(tbl_task4[14]/tbl_task4[[คะแนนเต็ม]:[คะแนนเต็ม]])*tbl_task4[[%]:[%]])</f>
        <v/>
      </c>
      <c r="GC16" s="121" t="str">
        <f>IF(ISBLANK(tbl_task4[[คะแนนเต็ม]:[คะแนนเต็ม]]),"",(tbl_task4[15]/tbl_task4[[คะแนนเต็ม]:[คะแนนเต็ม]])*tbl_task4[[%]:[%]])</f>
        <v/>
      </c>
      <c r="GD16" s="121" t="str">
        <f>IF(ISBLANK(tbl_task4[[คะแนนเต็ม]:[คะแนนเต็ม]]),"",(tbl_task4[16]/tbl_task4[[คะแนนเต็ม]:[คะแนนเต็ม]])*tbl_task4[[%]:[%]])</f>
        <v/>
      </c>
      <c r="GE16" s="121" t="str">
        <f>IF(ISBLANK(tbl_task4[[คะแนนเต็ม]:[คะแนนเต็ม]]),"",(tbl_task4[17]/tbl_task4[[คะแนนเต็ม]:[คะแนนเต็ม]])*tbl_task4[[%]:[%]])</f>
        <v/>
      </c>
      <c r="GF16" s="121" t="str">
        <f>IF(ISBLANK(tbl_task4[[คะแนนเต็ม]:[คะแนนเต็ม]]),"",(tbl_task4[18]/tbl_task4[[คะแนนเต็ม]:[คะแนนเต็ม]])*tbl_task4[[%]:[%]])</f>
        <v/>
      </c>
      <c r="GG16" s="121" t="str">
        <f>IF(ISBLANK(tbl_task4[[คะแนนเต็ม]:[คะแนนเต็ม]]),"",(tbl_task4[19]/tbl_task4[[คะแนนเต็ม]:[คะแนนเต็ม]])*tbl_task4[[%]:[%]])</f>
        <v/>
      </c>
      <c r="GH16" s="121" t="str">
        <f>IF(ISBLANK(tbl_task4[[คะแนนเต็ม]:[คะแนนเต็ม]]),"",(tbl_task4[20]/tbl_task4[[คะแนนเต็ม]:[คะแนนเต็ม]])*tbl_task4[[%]:[%]])</f>
        <v/>
      </c>
      <c r="GI16" s="121" t="str">
        <f>IF(ISBLANK(tbl_task4[[คะแนนเต็ม]:[คะแนนเต็ม]]),"",(tbl_task4[21]/tbl_task4[[คะแนนเต็ม]:[คะแนนเต็ม]])*tbl_task4[[%]:[%]])</f>
        <v/>
      </c>
      <c r="GJ16" s="121" t="str">
        <f>IF(ISBLANK(tbl_task4[[คะแนนเต็ม]:[คะแนนเต็ม]]),"",(tbl_task4[22]/tbl_task4[[คะแนนเต็ม]:[คะแนนเต็ม]])*tbl_task4[[%]:[%]])</f>
        <v/>
      </c>
      <c r="GK16" s="121" t="str">
        <f>IF(ISBLANK(tbl_task4[[คะแนนเต็ม]:[คะแนนเต็ม]]),"",(tbl_task4[23]/tbl_task4[[คะแนนเต็ม]:[คะแนนเต็ม]])*tbl_task4[[%]:[%]])</f>
        <v/>
      </c>
      <c r="GL16" s="121" t="str">
        <f>IF(ISBLANK(tbl_task4[[คะแนนเต็ม]:[คะแนนเต็ม]]),"",(tbl_task4[24]/tbl_task4[[คะแนนเต็ม]:[คะแนนเต็ม]])*tbl_task4[[%]:[%]])</f>
        <v/>
      </c>
      <c r="GM16" s="121" t="str">
        <f>IF(ISBLANK(tbl_task4[[คะแนนเต็ม]:[คะแนนเต็ม]]),"",(tbl_task4[25]/tbl_task4[[คะแนนเต็ม]:[คะแนนเต็ม]])*tbl_task4[[%]:[%]])</f>
        <v/>
      </c>
      <c r="GN16" s="121" t="str">
        <f>IF(ISBLANK(tbl_task4[[คะแนนเต็ม]:[คะแนนเต็ม]]),"",(tbl_task4[26]/tbl_task4[[คะแนนเต็ม]:[คะแนนเต็ม]])*tbl_task4[[%]:[%]])</f>
        <v/>
      </c>
      <c r="GO16" s="121" t="str">
        <f>IF(ISBLANK(tbl_task4[[คะแนนเต็ม]:[คะแนนเต็ม]]),"",(tbl_task4[27]/tbl_task4[[คะแนนเต็ม]:[คะแนนเต็ม]])*tbl_task4[[%]:[%]])</f>
        <v/>
      </c>
      <c r="GP16" s="121" t="str">
        <f>IF(ISBLANK(tbl_task4[[คะแนนเต็ม]:[คะแนนเต็ม]]),"",(tbl_task4[28]/tbl_task4[[คะแนนเต็ม]:[คะแนนเต็ม]])*tbl_task4[[%]:[%]])</f>
        <v/>
      </c>
      <c r="GQ16" s="121" t="str">
        <f>IF(ISBLANK(tbl_task4[[คะแนนเต็ม]:[คะแนนเต็ม]]),"",(tbl_task4[29]/tbl_task4[[คะแนนเต็ม]:[คะแนนเต็ม]])*tbl_task4[[%]:[%]])</f>
        <v/>
      </c>
      <c r="GR16" s="121" t="str">
        <f>IF(ISBLANK(tbl_task4[[คะแนนเต็ม]:[คะแนนเต็ม]]),"",(tbl_task4[30]/tbl_task4[[คะแนนเต็ม]:[คะแนนเต็ม]])*tbl_task4[[%]:[%]])</f>
        <v/>
      </c>
      <c r="GS16" s="121" t="str">
        <f>IF(ISBLANK(tbl_task4[[คะแนนเต็ม]:[คะแนนเต็ม]]),"",(tbl_task4[31]/tbl_task4[[คะแนนเต็ม]:[คะแนนเต็ม]])*tbl_task4[[%]:[%]])</f>
        <v/>
      </c>
      <c r="GT16" s="121" t="str">
        <f>IF(ISBLANK(tbl_task4[[คะแนนเต็ม]:[คะแนนเต็ม]]),"",(tbl_task4[32]/tbl_task4[[คะแนนเต็ม]:[คะแนนเต็ม]])*tbl_task4[[%]:[%]])</f>
        <v/>
      </c>
      <c r="GU16" s="121" t="str">
        <f>IF(ISBLANK(tbl_task4[[คะแนนเต็ม]:[คะแนนเต็ม]]),"",(tbl_task4[33]/tbl_task4[[คะแนนเต็ม]:[คะแนนเต็ม]])*tbl_task4[[%]:[%]])</f>
        <v/>
      </c>
      <c r="GV16" s="121" t="str">
        <f>IF(ISBLANK(tbl_task4[[คะแนนเต็ม]:[คะแนนเต็ม]]),"",(tbl_task4[34]/tbl_task4[[คะแนนเต็ม]:[คะแนนเต็ม]])*tbl_task4[[%]:[%]])</f>
        <v/>
      </c>
      <c r="GW16" s="121" t="str">
        <f>IF(ISBLANK(tbl_task4[[คะแนนเต็ม]:[คะแนนเต็ม]]),"",(tbl_task4[35]/tbl_task4[[คะแนนเต็ม]:[คะแนนเต็ม]])*tbl_task4[[%]:[%]])</f>
        <v/>
      </c>
      <c r="GX16" s="121" t="str">
        <f>IF(ISBLANK(tbl_task4[[คะแนนเต็ม]:[คะแนนเต็ม]]),"",(tbl_task4[36]/tbl_task4[[คะแนนเต็ม]:[คะแนนเต็ม]])*tbl_task4[[%]:[%]])</f>
        <v/>
      </c>
      <c r="GY16" s="121" t="str">
        <f>IF(ISBLANK(tbl_task4[[คะแนนเต็ม]:[คะแนนเต็ม]]),"",(tbl_task4[37]/tbl_task4[[คะแนนเต็ม]:[คะแนนเต็ม]])*tbl_task4[[%]:[%]])</f>
        <v/>
      </c>
      <c r="GZ16" s="121" t="str">
        <f>IF(ISBLANK(tbl_task4[[คะแนนเต็ม]:[คะแนนเต็ม]]),"",(tbl_task4[38]/tbl_task4[[คะแนนเต็ม]:[คะแนนเต็ม]])*tbl_task4[[%]:[%]])</f>
        <v/>
      </c>
      <c r="HA16" s="121" t="str">
        <f>IF(ISBLANK(tbl_task4[[คะแนนเต็ม]:[คะแนนเต็ม]]),"",(tbl_task4[39]/tbl_task4[[คะแนนเต็ม]:[คะแนนเต็ม]])*tbl_task4[[%]:[%]])</f>
        <v/>
      </c>
      <c r="HB16" s="121" t="str">
        <f>IF(ISBLANK(tbl_task4[[คะแนนเต็ม]:[คะแนนเต็ม]]),"",(tbl_task4[40]/tbl_task4[[คะแนนเต็ม]:[คะแนนเต็ม]])*tbl_task4[[%]:[%]])</f>
        <v/>
      </c>
      <c r="HC16" s="121" t="str">
        <f>IF(ISBLANK(tbl_task4[[คะแนนเต็ม]:[คะแนนเต็ม]]),"",(tbl_task4[41]/tbl_task4[[คะแนนเต็ม]:[คะแนนเต็ม]])*tbl_task4[[%]:[%]])</f>
        <v/>
      </c>
      <c r="HD16" s="121" t="str">
        <f>IF(ISBLANK(tbl_task4[[คะแนนเต็ม]:[คะแนนเต็ม]]),"",(tbl_task4[42]/tbl_task4[[คะแนนเต็ม]:[คะแนนเต็ม]])*tbl_task4[[%]:[%]])</f>
        <v/>
      </c>
      <c r="HE16" s="121" t="str">
        <f>IF(ISBLANK(tbl_task4[[คะแนนเต็ม]:[คะแนนเต็ม]]),"",(tbl_task4[43]/tbl_task4[[คะแนนเต็ม]:[คะแนนเต็ม]])*tbl_task4[[%]:[%]])</f>
        <v/>
      </c>
      <c r="HF16" s="121" t="str">
        <f>IF(ISBLANK(tbl_task4[[คะแนนเต็ม]:[คะแนนเต็ม]]),"",(tbl_task4[44]/tbl_task4[[คะแนนเต็ม]:[คะแนนเต็ม]])*tbl_task4[[%]:[%]])</f>
        <v/>
      </c>
      <c r="HG16" s="121" t="str">
        <f>IF(ISBLANK(tbl_task4[[คะแนนเต็ม]:[คะแนนเต็ม]]),"",(tbl_task4[45]/tbl_task4[[คะแนนเต็ม]:[คะแนนเต็ม]])*tbl_task4[[%]:[%]])</f>
        <v/>
      </c>
      <c r="HH16" s="121" t="str">
        <f>IF(ISBLANK(tbl_task4[[คะแนนเต็ม]:[คะแนนเต็ม]]),"",(tbl_task4[46]/tbl_task4[[คะแนนเต็ม]:[คะแนนเต็ม]])*tbl_task4[[%]:[%]])</f>
        <v/>
      </c>
      <c r="HI16" s="121" t="str">
        <f>IF(ISBLANK(tbl_task4[[คะแนนเต็ม]:[คะแนนเต็ม]]),"",(tbl_task4[47]/tbl_task4[[คะแนนเต็ม]:[คะแนนเต็ม]])*tbl_task4[[%]:[%]])</f>
        <v/>
      </c>
      <c r="HJ16" s="121" t="str">
        <f>IF(ISBLANK(tbl_task4[[คะแนนเต็ม]:[คะแนนเต็ม]]),"",(tbl_task4[48]/tbl_task4[[คะแนนเต็ม]:[คะแนนเต็ม]])*tbl_task4[[%]:[%]])</f>
        <v/>
      </c>
      <c r="HK16" s="121" t="str">
        <f>IF(ISBLANK(tbl_task4[[คะแนนเต็ม]:[คะแนนเต็ม]]),"",(tbl_task4[49]/tbl_task4[[คะแนนเต็ม]:[คะแนนเต็ม]])*tbl_task4[[%]:[%]])</f>
        <v/>
      </c>
      <c r="HL16" s="121" t="str">
        <f>IF(ISBLANK(tbl_task4[[คะแนนเต็ม]:[คะแนนเต็ม]]),"",(tbl_task4[50]/tbl_task4[[คะแนนเต็ม]:[คะแนนเต็ม]])*tbl_task4[[%]:[%]])</f>
        <v/>
      </c>
      <c r="HM16" s="121" t="str">
        <f>IF(ISBLANK(tbl_task4[[คะแนนเต็ม]:[คะแนนเต็ม]]),"",(tbl_task4[51]/tbl_task4[[คะแนนเต็ม]:[คะแนนเต็ม]])*tbl_task4[[%]:[%]])</f>
        <v/>
      </c>
      <c r="HN16" s="121" t="str">
        <f>IF(ISBLANK(tbl_task4[[คะแนนเต็ม]:[คะแนนเต็ม]]),"",(tbl_task4[52]/tbl_task4[[คะแนนเต็ม]:[คะแนนเต็ม]])*tbl_task4[[%]:[%]])</f>
        <v/>
      </c>
      <c r="HO16" s="121" t="str">
        <f>IF(ISBLANK(tbl_task4[[คะแนนเต็ม]:[คะแนนเต็ม]]),"",(tbl_task4[53]/tbl_task4[[คะแนนเต็ม]:[คะแนนเต็ม]])*tbl_task4[[%]:[%]])</f>
        <v/>
      </c>
      <c r="HP16" s="121" t="str">
        <f>IF(ISBLANK(tbl_task4[[คะแนนเต็ม]:[คะแนนเต็ม]]),"",(tbl_task4[54]/tbl_task4[[คะแนนเต็ม]:[คะแนนเต็ม]])*tbl_task4[[%]:[%]])</f>
        <v/>
      </c>
      <c r="HQ16" s="121" t="str">
        <f>IF(ISBLANK(tbl_task4[[คะแนนเต็ม]:[คะแนนเต็ม]]),"",(tbl_task4[55]/tbl_task4[[คะแนนเต็ม]:[คะแนนเต็ม]])*tbl_task4[[%]:[%]])</f>
        <v/>
      </c>
      <c r="HR16" s="121" t="str">
        <f>IF(ISBLANK(tbl_task4[[คะแนนเต็ม]:[คะแนนเต็ม]]),"",(tbl_task4[56]/tbl_task4[[คะแนนเต็ม]:[คะแนนเต็ม]])*tbl_task4[[%]:[%]])</f>
        <v/>
      </c>
      <c r="HS16" s="121" t="str">
        <f>IF(ISBLANK(tbl_task4[[คะแนนเต็ม]:[คะแนนเต็ม]]),"",(tbl_task4[57]/tbl_task4[[คะแนนเต็ม]:[คะแนนเต็ม]])*tbl_task4[[%]:[%]])</f>
        <v/>
      </c>
      <c r="HT16" s="121" t="str">
        <f>IF(ISBLANK(tbl_task4[[คะแนนเต็ม]:[คะแนนเต็ม]]),"",(tbl_task4[58]/tbl_task4[[คะแนนเต็ม]:[คะแนนเต็ม]])*tbl_task4[[%]:[%]])</f>
        <v/>
      </c>
      <c r="HU16" s="121" t="str">
        <f>IF(ISBLANK(tbl_task4[[คะแนนเต็ม]:[คะแนนเต็ม]]),"",(tbl_task4[59]/tbl_task4[[คะแนนเต็ม]:[คะแนนเต็ม]])*tbl_task4[[%]:[%]])</f>
        <v/>
      </c>
      <c r="HV16" s="121" t="str">
        <f>IF(ISBLANK(tbl_task4[[คะแนนเต็ม]:[คะแนนเต็ม]]),"",(tbl_task4[60]/tbl_task4[[คะแนนเต็ม]:[คะแนนเต็ม]])*tbl_task4[[%]:[%]])</f>
        <v/>
      </c>
      <c r="HW16" s="121" t="str">
        <f>IF(ISBLANK(tbl_task4[[คะแนนเต็ม]:[คะแนนเต็ม]]),"",(tbl_task4[61]/tbl_task4[[คะแนนเต็ม]:[คะแนนเต็ม]])*tbl_task4[[%]:[%]])</f>
        <v/>
      </c>
      <c r="HX16" s="121" t="str">
        <f>IF(ISBLANK(tbl_task4[[คะแนนเต็ม]:[คะแนนเต็ม]]),"",(tbl_task4[62]/tbl_task4[[คะแนนเต็ม]:[คะแนนเต็ม]])*tbl_task4[[%]:[%]])</f>
        <v/>
      </c>
      <c r="HY16" s="121" t="str">
        <f>IF(ISBLANK(tbl_task4[[คะแนนเต็ม]:[คะแนนเต็ม]]),"",(tbl_task4[63]/tbl_task4[[คะแนนเต็ม]:[คะแนนเต็ม]])*tbl_task4[[%]:[%]])</f>
        <v/>
      </c>
      <c r="HZ16" s="121" t="str">
        <f>IF(ISBLANK(tbl_task4[[คะแนนเต็ม]:[คะแนนเต็ม]]),"",(tbl_task4[64]/tbl_task4[[คะแนนเต็ม]:[คะแนนเต็ม]])*tbl_task4[[%]:[%]])</f>
        <v/>
      </c>
      <c r="IA16" s="121" t="str">
        <f>IF(ISBLANK(tbl_task4[[คะแนนเต็ม]:[คะแนนเต็ม]]),"",(tbl_task4[65]/tbl_task4[[คะแนนเต็ม]:[คะแนนเต็ม]])*tbl_task4[[%]:[%]])</f>
        <v/>
      </c>
      <c r="IB16" s="121" t="str">
        <f>IF(ISBLANK(tbl_task4[[คะแนนเต็ม]:[คะแนนเต็ม]]),"",(tbl_task4[66]/tbl_task4[[คะแนนเต็ม]:[คะแนนเต็ม]])*tbl_task4[[%]:[%]])</f>
        <v/>
      </c>
      <c r="IC16" s="121" t="str">
        <f>IF(ISBLANK(tbl_task4[[คะแนนเต็ม]:[คะแนนเต็ม]]),"",(tbl_task4[67]/tbl_task4[[คะแนนเต็ม]:[คะแนนเต็ม]])*tbl_task4[[%]:[%]])</f>
        <v/>
      </c>
      <c r="ID16" s="121" t="str">
        <f>IF(ISBLANK(tbl_task4[[คะแนนเต็ม]:[คะแนนเต็ม]]),"",(tbl_task4[68]/tbl_task4[[คะแนนเต็ม]:[คะแนนเต็ม]])*tbl_task4[[%]:[%]])</f>
        <v/>
      </c>
      <c r="IE16" s="121" t="str">
        <f>IF(ISBLANK(tbl_task4[[คะแนนเต็ม]:[คะแนนเต็ม]]),"",(tbl_task4[69]/tbl_task4[[คะแนนเต็ม]:[คะแนนเต็ม]])*tbl_task4[[%]:[%]])</f>
        <v/>
      </c>
      <c r="IF16" s="121" t="str">
        <f>IF(ISBLANK(tbl_task4[[คะแนนเต็ม]:[คะแนนเต็ม]]),"",(tbl_task4[70]/tbl_task4[[คะแนนเต็ม]:[คะแนนเต็ม]])*tbl_task4[[%]:[%]])</f>
        <v/>
      </c>
      <c r="IG16" s="121" t="str">
        <f>IF(ISBLANK(tbl_task4[[คะแนนเต็ม]:[คะแนนเต็ม]]),"",(tbl_task4[71]/tbl_task4[[คะแนนเต็ม]:[คะแนนเต็ม]])*tbl_task4[[%]:[%]])</f>
        <v/>
      </c>
      <c r="IH16" s="121" t="str">
        <f>IF(ISBLANK(tbl_task4[[คะแนนเต็ม]:[คะแนนเต็ม]]),"",(tbl_task4[72]/tbl_task4[[คะแนนเต็ม]:[คะแนนเต็ม]])*tbl_task4[[%]:[%]])</f>
        <v/>
      </c>
      <c r="II16" s="121" t="str">
        <f>IF(ISBLANK(tbl_task4[[คะแนนเต็ม]:[คะแนนเต็ม]]),"",(tbl_task4[73]/tbl_task4[[คะแนนเต็ม]:[คะแนนเต็ม]])*tbl_task4[[%]:[%]])</f>
        <v/>
      </c>
      <c r="IJ16" s="121" t="str">
        <f>IF(ISBLANK(tbl_task4[[คะแนนเต็ม]:[คะแนนเต็ม]]),"",(tbl_task4[74]/tbl_task4[[คะแนนเต็ม]:[คะแนนเต็ม]])*tbl_task4[[%]:[%]])</f>
        <v/>
      </c>
      <c r="IK16" s="121" t="str">
        <f>IF(ISBLANK(tbl_task4[[คะแนนเต็ม]:[คะแนนเต็ม]]),"",(tbl_task4[75]/tbl_task4[[คะแนนเต็ม]:[คะแนนเต็ม]])*tbl_task4[[%]:[%]])</f>
        <v/>
      </c>
      <c r="IL16" s="121" t="str">
        <f>IF(ISBLANK(tbl_task4[[คะแนนเต็ม]:[คะแนนเต็ม]]),"",(tbl_task4[76]/tbl_task4[[คะแนนเต็ม]:[คะแนนเต็ม]])*tbl_task4[[%]:[%]])</f>
        <v/>
      </c>
      <c r="IM16" s="121" t="str">
        <f>IF(ISBLANK(tbl_task4[[คะแนนเต็ม]:[คะแนนเต็ม]]),"",(tbl_task4[77]/tbl_task4[[คะแนนเต็ม]:[คะแนนเต็ม]])*tbl_task4[[%]:[%]])</f>
        <v/>
      </c>
      <c r="IN16" s="121" t="str">
        <f>IF(ISBLANK(tbl_task4[[คะแนนเต็ม]:[คะแนนเต็ม]]),"",(tbl_task4[78]/tbl_task4[[คะแนนเต็ม]:[คะแนนเต็ม]])*tbl_task4[[%]:[%]])</f>
        <v/>
      </c>
      <c r="IO16" s="121" t="str">
        <f>IF(ISBLANK(tbl_task4[[คะแนนเต็ม]:[คะแนนเต็ม]]),"",(tbl_task4[79]/tbl_task4[[คะแนนเต็ม]:[คะแนนเต็ม]])*tbl_task4[[%]:[%]])</f>
        <v/>
      </c>
      <c r="IP16" s="121" t="str">
        <f>IF(ISBLANK(tbl_task4[[คะแนนเต็ม]:[คะแนนเต็ม]]),"",(tbl_task4[80]/tbl_task4[[คะแนนเต็ม]:[คะแนนเต็ม]])*tbl_task4[[%]:[%]])</f>
        <v/>
      </c>
      <c r="IQ16" s="121" t="str">
        <f>IF(ISBLANK(tbl_task4[[คะแนนเต็ม]:[คะแนนเต็ม]]),"",(tbl_task4[81]/tbl_task4[[คะแนนเต็ม]:[คะแนนเต็ม]])*tbl_task4[[%]:[%]])</f>
        <v/>
      </c>
      <c r="IR16" s="121" t="str">
        <f>IF(ISBLANK(tbl_task4[[คะแนนเต็ม]:[คะแนนเต็ม]]),"",(tbl_task4[82]/tbl_task4[[คะแนนเต็ม]:[คะแนนเต็ม]])*tbl_task4[[%]:[%]])</f>
        <v/>
      </c>
      <c r="IS16" s="121" t="str">
        <f>IF(ISBLANK(tbl_task4[[คะแนนเต็ม]:[คะแนนเต็ม]]),"",(tbl_task4[83]/tbl_task4[[คะแนนเต็ม]:[คะแนนเต็ม]])*tbl_task4[[%]:[%]])</f>
        <v/>
      </c>
      <c r="IT16" s="121" t="str">
        <f>IF(ISBLANK(tbl_task4[[คะแนนเต็ม]:[คะแนนเต็ม]]),"",(tbl_task4[84]/tbl_task4[[คะแนนเต็ม]:[คะแนนเต็ม]])*tbl_task4[[%]:[%]])</f>
        <v/>
      </c>
      <c r="IU16" s="121" t="str">
        <f>IF(ISBLANK(tbl_task4[[คะแนนเต็ม]:[คะแนนเต็ม]]),"",(tbl_task4[85]/tbl_task4[[คะแนนเต็ม]:[คะแนนเต็ม]])*tbl_task4[[%]:[%]])</f>
        <v/>
      </c>
      <c r="IV16" s="121" t="str">
        <f>IF(ISBLANK(tbl_task4[[คะแนนเต็ม]:[คะแนนเต็ม]]),"",(tbl_task4[86]/tbl_task4[[คะแนนเต็ม]:[คะแนนเต็ม]])*tbl_task4[[%]:[%]])</f>
        <v/>
      </c>
      <c r="IW16" s="121" t="str">
        <f>IF(ISBLANK(tbl_task4[[คะแนนเต็ม]:[คะแนนเต็ม]]),"",(tbl_task4[87]/tbl_task4[[คะแนนเต็ม]:[คะแนนเต็ม]])*tbl_task4[[%]:[%]])</f>
        <v/>
      </c>
      <c r="IX16" s="121" t="str">
        <f>IF(ISBLANK(tbl_task4[[คะแนนเต็ม]:[คะแนนเต็ม]]),"",(tbl_task4[88]/tbl_task4[[คะแนนเต็ม]:[คะแนนเต็ม]])*tbl_task4[[%]:[%]])</f>
        <v/>
      </c>
      <c r="IY16" s="121" t="str">
        <f>IF(ISBLANK(tbl_task4[[คะแนนเต็ม]:[คะแนนเต็ม]]),"",(tbl_task4[89]/tbl_task4[[คะแนนเต็ม]:[คะแนนเต็ม]])*tbl_task4[[%]:[%]])</f>
        <v/>
      </c>
      <c r="IZ16" s="121" t="str">
        <f>IF(ISBLANK(tbl_task4[[คะแนนเต็ม]:[คะแนนเต็ม]]),"",(tbl_task4[90]/tbl_task4[[คะแนนเต็ม]:[คะแนนเต็ม]])*tbl_task4[[%]:[%]])</f>
        <v/>
      </c>
      <c r="JA16" s="121" t="str">
        <f>IF(ISBLANK(tbl_task4[[คะแนนเต็ม]:[คะแนนเต็ม]]),"",(tbl_task4[91]/tbl_task4[[คะแนนเต็ม]:[คะแนนเต็ม]])*tbl_task4[[%]:[%]])</f>
        <v/>
      </c>
      <c r="JB16" s="121" t="str">
        <f>IF(ISBLANK(tbl_task4[[คะแนนเต็ม]:[คะแนนเต็ม]]),"",(tbl_task4[92]/tbl_task4[[คะแนนเต็ม]:[คะแนนเต็ม]])*tbl_task4[[%]:[%]])</f>
        <v/>
      </c>
      <c r="JC16" s="121" t="str">
        <f>IF(ISBLANK(tbl_task4[[คะแนนเต็ม]:[คะแนนเต็ม]]),"",(tbl_task4[93]/tbl_task4[[คะแนนเต็ม]:[คะแนนเต็ม]])*tbl_task4[[%]:[%]])</f>
        <v/>
      </c>
      <c r="JD16" s="121" t="str">
        <f>IF(ISBLANK(tbl_task4[[คะแนนเต็ม]:[คะแนนเต็ม]]),"",(tbl_task4[94]/tbl_task4[[คะแนนเต็ม]:[คะแนนเต็ม]])*tbl_task4[[%]:[%]])</f>
        <v/>
      </c>
      <c r="JE16" s="121" t="str">
        <f>IF(ISBLANK(tbl_task4[[คะแนนเต็ม]:[คะแนนเต็ม]]),"",(tbl_task4[95]/tbl_task4[[คะแนนเต็ม]:[คะแนนเต็ม]])*tbl_task4[[%]:[%]])</f>
        <v/>
      </c>
      <c r="JF16" s="121" t="str">
        <f>IF(ISBLANK(tbl_task4[[คะแนนเต็ม]:[คะแนนเต็ม]]),"",(tbl_task4[96]/tbl_task4[[คะแนนเต็ม]:[คะแนนเต็ม]])*tbl_task4[[%]:[%]])</f>
        <v/>
      </c>
      <c r="JG16" s="121" t="str">
        <f>IF(ISBLANK(tbl_task4[[คะแนนเต็ม]:[คะแนนเต็ม]]),"",(tbl_task4[97]/tbl_task4[[คะแนนเต็ม]:[คะแนนเต็ม]])*tbl_task4[[%]:[%]])</f>
        <v/>
      </c>
      <c r="JH16" s="121" t="str">
        <f>IF(ISBLANK(tbl_task4[[คะแนนเต็ม]:[คะแนนเต็ม]]),"",(tbl_task4[98]/tbl_task4[[คะแนนเต็ม]:[คะแนนเต็ม]])*tbl_task4[[%]:[%]])</f>
        <v/>
      </c>
      <c r="JI16" s="121" t="str">
        <f>IF(ISBLANK(tbl_task4[[คะแนนเต็ม]:[คะแนนเต็ม]]),"",(tbl_task4[99]/tbl_task4[[คะแนนเต็ม]:[คะแนนเต็ม]])*tbl_task4[[%]:[%]])</f>
        <v/>
      </c>
      <c r="JJ16" s="121" t="str">
        <f>IF(ISBLANK(tbl_task4[[คะแนนเต็ม]:[คะแนนเต็ม]]),"",(tbl_task4[100]/tbl_task4[[คะแนนเต็ม]:[คะแนนเต็ม]])*tbl_task4[[%]:[%]])</f>
        <v/>
      </c>
      <c r="JK16" s="121" t="str">
        <f>IF(ISBLANK(tbl_task4[[คะแนนเต็ม]:[คะแนนเต็ม]]),"",(tbl_task4[101]/tbl_task4[[คะแนนเต็ม]:[คะแนนเต็ม]])*tbl_task4[[%]:[%]])</f>
        <v/>
      </c>
      <c r="JL16" s="121" t="str">
        <f>IF(ISBLANK(tbl_task4[[คะแนนเต็ม]:[คะแนนเต็ม]]),"",(tbl_task4[102]/tbl_task4[[คะแนนเต็ม]:[คะแนนเต็ม]])*tbl_task4[[%]:[%]])</f>
        <v/>
      </c>
      <c r="JM16" s="121" t="str">
        <f>IF(ISBLANK(tbl_task4[[คะแนนเต็ม]:[คะแนนเต็ม]]),"",(tbl_task4[103]/tbl_task4[[คะแนนเต็ม]:[คะแนนเต็ม]])*tbl_task4[[%]:[%]])</f>
        <v/>
      </c>
      <c r="JN16" s="121" t="str">
        <f>IF(ISBLANK(tbl_task4[[คะแนนเต็ม]:[คะแนนเต็ม]]),"",(tbl_task4[104]/tbl_task4[[คะแนนเต็ม]:[คะแนนเต็ม]])*tbl_task4[[%]:[%]])</f>
        <v/>
      </c>
      <c r="JO16" s="121" t="str">
        <f>IF(ISBLANK(tbl_task4[[คะแนนเต็ม]:[คะแนนเต็ม]]),"",(tbl_task4[105]/tbl_task4[[คะแนนเต็ม]:[คะแนนเต็ม]])*tbl_task4[[%]:[%]])</f>
        <v/>
      </c>
      <c r="JP16" s="121" t="str">
        <f>IF(ISBLANK(tbl_task4[[คะแนนเต็ม]:[คะแนนเต็ม]]),"",(tbl_task4[106]/tbl_task4[[คะแนนเต็ม]:[คะแนนเต็ม]])*tbl_task4[[%]:[%]])</f>
        <v/>
      </c>
      <c r="JQ16" s="121" t="str">
        <f>IF(ISBLANK(tbl_task4[[คะแนนเต็ม]:[คะแนนเต็ม]]),"",(tbl_task4[107]/tbl_task4[[คะแนนเต็ม]:[คะแนนเต็ม]])*tbl_task4[[%]:[%]])</f>
        <v/>
      </c>
      <c r="JR16" s="121" t="str">
        <f>IF(ISBLANK(tbl_task4[[คะแนนเต็ม]:[คะแนนเต็ม]]),"",(tbl_task4[108]/tbl_task4[[คะแนนเต็ม]:[คะแนนเต็ม]])*tbl_task4[[%]:[%]])</f>
        <v/>
      </c>
      <c r="JS16" s="121" t="str">
        <f>IF(ISBLANK(tbl_task4[[คะแนนเต็ม]:[คะแนนเต็ม]]),"",(tbl_task4[109]/tbl_task4[[คะแนนเต็ม]:[คะแนนเต็ม]])*tbl_task4[[%]:[%]])</f>
        <v/>
      </c>
      <c r="JT16" s="121" t="str">
        <f>IF(ISBLANK(tbl_task4[[คะแนนเต็ม]:[คะแนนเต็ม]]),"",(tbl_task4[110]/tbl_task4[[คะแนนเต็ม]:[คะแนนเต็ม]])*tbl_task4[[%]:[%]])</f>
        <v/>
      </c>
      <c r="JU16" s="121" t="str">
        <f>IF(ISBLANK(tbl_task4[[คะแนนเต็ม]:[คะแนนเต็ม]]),"",(tbl_task4[111]/tbl_task4[[คะแนนเต็ม]:[คะแนนเต็ม]])*tbl_task4[[%]:[%]])</f>
        <v/>
      </c>
      <c r="JV16" s="121" t="str">
        <f>IF(ISBLANK(tbl_task4[[คะแนนเต็ม]:[คะแนนเต็ม]]),"",(tbl_task4[112]/tbl_task4[[คะแนนเต็ม]:[คะแนนเต็ม]])*tbl_task4[[%]:[%]])</f>
        <v/>
      </c>
      <c r="JW16" s="121" t="str">
        <f>IF(ISBLANK(tbl_task4[[คะแนนเต็ม]:[คะแนนเต็ม]]),"",(tbl_task4[113]/tbl_task4[[คะแนนเต็ม]:[คะแนนเต็ม]])*tbl_task4[[%]:[%]])</f>
        <v/>
      </c>
      <c r="JX16" s="121" t="str">
        <f>IF(ISBLANK(tbl_task4[[คะแนนเต็ม]:[คะแนนเต็ม]]),"",(tbl_task4[114]/tbl_task4[[คะแนนเต็ม]:[คะแนนเต็ม]])*tbl_task4[[%]:[%]])</f>
        <v/>
      </c>
      <c r="JY16" s="121" t="str">
        <f>IF(ISBLANK(tbl_task4[[คะแนนเต็ม]:[คะแนนเต็ม]]),"",(tbl_task4[115]/tbl_task4[[คะแนนเต็ม]:[คะแนนเต็ม]])*tbl_task4[[%]:[%]])</f>
        <v/>
      </c>
      <c r="JZ16" s="121" t="str">
        <f>IF(ISBLANK(tbl_task4[[คะแนนเต็ม]:[คะแนนเต็ม]]),"",(tbl_task4[116]/tbl_task4[[คะแนนเต็ม]:[คะแนนเต็ม]])*tbl_task4[[%]:[%]])</f>
        <v/>
      </c>
      <c r="KA16" s="121" t="str">
        <f>IF(ISBLANK(tbl_task4[[คะแนนเต็ม]:[คะแนนเต็ม]]),"",(tbl_task4[117]/tbl_task4[[คะแนนเต็ม]:[คะแนนเต็ม]])*tbl_task4[[%]:[%]])</f>
        <v/>
      </c>
      <c r="KB16" s="121" t="str">
        <f>IF(ISBLANK(tbl_task4[[คะแนนเต็ม]:[คะแนนเต็ม]]),"",(tbl_task4[118]/tbl_task4[[คะแนนเต็ม]:[คะแนนเต็ม]])*tbl_task4[[%]:[%]])</f>
        <v/>
      </c>
      <c r="KC16" s="121" t="str">
        <f>IF(ISBLANK(tbl_task4[[คะแนนเต็ม]:[คะแนนเต็ม]]),"",(tbl_task4[119]/tbl_task4[[คะแนนเต็ม]:[คะแนนเต็ม]])*tbl_task4[[%]:[%]])</f>
        <v/>
      </c>
      <c r="KD16" s="121" t="str">
        <f>IF(ISBLANK(tbl_task4[[คะแนนเต็ม]:[คะแนนเต็ม]]),"",(tbl_task4[120]/tbl_task4[[คะแนนเต็ม]:[คะแนนเต็ม]])*tbl_task4[[%]:[%]])</f>
        <v/>
      </c>
      <c r="KE16" s="121" t="str">
        <f>IF(ISBLANK(tbl_task4[[คะแนนเต็ม]:[คะแนนเต็ม]]),"",(tbl_task4[121]/tbl_task4[[คะแนนเต็ม]:[คะแนนเต็ม]])*tbl_task4[[%]:[%]])</f>
        <v/>
      </c>
      <c r="KF16" s="121" t="str">
        <f>IF(ISBLANK(tbl_task4[[คะแนนเต็ม]:[คะแนนเต็ม]]),"",(tbl_task4[122]/tbl_task4[[คะแนนเต็ม]:[คะแนนเต็ม]])*tbl_task4[[%]:[%]])</f>
        <v/>
      </c>
      <c r="KG16" s="121" t="str">
        <f>IF(ISBLANK(tbl_task4[[คะแนนเต็ม]:[คะแนนเต็ม]]),"",(tbl_task4[123]/tbl_task4[[คะแนนเต็ม]:[คะแนนเต็ม]])*tbl_task4[[%]:[%]])</f>
        <v/>
      </c>
      <c r="KH16" s="121" t="str">
        <f>IF(ISBLANK(tbl_task4[[คะแนนเต็ม]:[คะแนนเต็ม]]),"",(tbl_task4[124]/tbl_task4[[คะแนนเต็ม]:[คะแนนเต็ม]])*tbl_task4[[%]:[%]])</f>
        <v/>
      </c>
      <c r="KI16" s="121" t="str">
        <f>IF(ISBLANK(tbl_task4[[คะแนนเต็ม]:[คะแนนเต็ม]]),"",(tbl_task4[125]/tbl_task4[[คะแนนเต็ม]:[คะแนนเต็ม]])*tbl_task4[[%]:[%]])</f>
        <v/>
      </c>
      <c r="KJ16" s="121" t="str">
        <f>IF(ISBLANK(tbl_task4[[คะแนนเต็ม]:[คะแนนเต็ม]]),"",(tbl_task4[126]/tbl_task4[[คะแนนเต็ม]:[คะแนนเต็ม]])*tbl_task4[[%]:[%]])</f>
        <v/>
      </c>
      <c r="KK16" s="121" t="str">
        <f>IF(ISBLANK(tbl_task4[[คะแนนเต็ม]:[คะแนนเต็ม]]),"",(tbl_task4[127]/tbl_task4[[คะแนนเต็ม]:[คะแนนเต็ม]])*tbl_task4[[%]:[%]])</f>
        <v/>
      </c>
      <c r="KL16" s="121" t="str">
        <f>IF(ISBLANK(tbl_task4[[คะแนนเต็ม]:[คะแนนเต็ม]]),"",(tbl_task4[128]/tbl_task4[[คะแนนเต็ม]:[คะแนนเต็ม]])*tbl_task4[[%]:[%]])</f>
        <v/>
      </c>
      <c r="KM16" s="121" t="str">
        <f>IF(ISBLANK(tbl_task4[[คะแนนเต็ม]:[คะแนนเต็ม]]),"",(tbl_task4[129]/tbl_task4[[คะแนนเต็ม]:[คะแนนเต็ม]])*tbl_task4[[%]:[%]])</f>
        <v/>
      </c>
      <c r="KN16" s="121" t="str">
        <f>IF(ISBLANK(tbl_task4[[คะแนนเต็ม]:[คะแนนเต็ม]]),"",(tbl_task4[130]/tbl_task4[[คะแนนเต็ม]:[คะแนนเต็ม]])*tbl_task4[[%]:[%]])</f>
        <v/>
      </c>
      <c r="KO16" s="121" t="str">
        <f>IF(ISBLANK(tbl_task4[[คะแนนเต็ม]:[คะแนนเต็ม]]),"",(tbl_task4[131]/tbl_task4[[คะแนนเต็ม]:[คะแนนเต็ม]])*tbl_task4[[%]:[%]])</f>
        <v/>
      </c>
      <c r="KP16" s="121" t="str">
        <f>IF(ISBLANK(tbl_task4[[คะแนนเต็ม]:[คะแนนเต็ม]]),"",(tbl_task4[132]/tbl_task4[[คะแนนเต็ม]:[คะแนนเต็ม]])*tbl_task4[[%]:[%]])</f>
        <v/>
      </c>
      <c r="KQ16" s="121" t="str">
        <f>IF(ISBLANK(tbl_task4[[คะแนนเต็ม]:[คะแนนเต็ม]]),"",(tbl_task4[133]/tbl_task4[[คะแนนเต็ม]:[คะแนนเต็ม]])*tbl_task4[[%]:[%]])</f>
        <v/>
      </c>
      <c r="KR16" s="121" t="str">
        <f>IF(ISBLANK(tbl_task4[[คะแนนเต็ม]:[คะแนนเต็ม]]),"",(tbl_task4[134]/tbl_task4[[คะแนนเต็ม]:[คะแนนเต็ม]])*tbl_task4[[%]:[%]])</f>
        <v/>
      </c>
      <c r="KS16" s="121" t="str">
        <f>IF(ISBLANK(tbl_task4[[คะแนนเต็ม]:[คะแนนเต็ม]]),"",(tbl_task4[135]/tbl_task4[[คะแนนเต็ม]:[คะแนนเต็ม]])*tbl_task4[[%]:[%]])</f>
        <v/>
      </c>
      <c r="KT16" s="121" t="str">
        <f>IF(ISBLANK(tbl_task4[[คะแนนเต็ม]:[คะแนนเต็ม]]),"",(tbl_task4[136]/tbl_task4[[คะแนนเต็ม]:[คะแนนเต็ม]])*tbl_task4[[%]:[%]])</f>
        <v/>
      </c>
      <c r="KU16" s="121" t="str">
        <f>IF(ISBLANK(tbl_task4[[คะแนนเต็ม]:[คะแนนเต็ม]]),"",(tbl_task4[137]/tbl_task4[[คะแนนเต็ม]:[คะแนนเต็ม]])*tbl_task4[[%]:[%]])</f>
        <v/>
      </c>
      <c r="KV16" s="121" t="str">
        <f>IF(ISBLANK(tbl_task4[[คะแนนเต็ม]:[คะแนนเต็ม]]),"",(tbl_task4[138]/tbl_task4[[คะแนนเต็ม]:[คะแนนเต็ม]])*tbl_task4[[%]:[%]])</f>
        <v/>
      </c>
      <c r="KW16" s="121" t="str">
        <f>IF(ISBLANK(tbl_task4[[คะแนนเต็ม]:[คะแนนเต็ม]]),"",(tbl_task4[139]/tbl_task4[[คะแนนเต็ม]:[คะแนนเต็ม]])*tbl_task4[[%]:[%]])</f>
        <v/>
      </c>
      <c r="KX16" s="121" t="str">
        <f>IF(ISBLANK(tbl_task4[[คะแนนเต็ม]:[คะแนนเต็ม]]),"",(tbl_task4[140]/tbl_task4[[คะแนนเต็ม]:[คะแนนเต็ม]])*tbl_task4[[%]:[%]])</f>
        <v/>
      </c>
      <c r="KY16" s="121" t="str">
        <f>IF(ISBLANK(tbl_task4[[คะแนนเต็ม]:[คะแนนเต็ม]]),"",(tbl_task4[141]/tbl_task4[[คะแนนเต็ม]:[คะแนนเต็ม]])*tbl_task4[[%]:[%]])</f>
        <v/>
      </c>
      <c r="KZ16" s="121" t="str">
        <f>IF(ISBLANK(tbl_task4[[คะแนนเต็ม]:[คะแนนเต็ม]]),"",(tbl_task4[142]/tbl_task4[[คะแนนเต็ม]:[คะแนนเต็ม]])*tbl_task4[[%]:[%]])</f>
        <v/>
      </c>
      <c r="LA16" s="121" t="str">
        <f>IF(ISBLANK(tbl_task4[[คะแนนเต็ม]:[คะแนนเต็ม]]),"",(tbl_task4[143]/tbl_task4[[คะแนนเต็ม]:[คะแนนเต็ม]])*tbl_task4[[%]:[%]])</f>
        <v/>
      </c>
      <c r="LB16" s="121" t="str">
        <f>IF(ISBLANK(tbl_task4[[คะแนนเต็ม]:[คะแนนเต็ม]]),"",(tbl_task4[144]/tbl_task4[[คะแนนเต็ม]:[คะแนนเต็ม]])*tbl_task4[[%]:[%]])</f>
        <v/>
      </c>
      <c r="LC16" s="121" t="str">
        <f>IF(ISBLANK(tbl_task4[[คะแนนเต็ม]:[คะแนนเต็ม]]),"",(tbl_task4[145]/tbl_task4[[คะแนนเต็ม]:[คะแนนเต็ม]])*tbl_task4[[%]:[%]])</f>
        <v/>
      </c>
      <c r="LD16" s="121" t="str">
        <f>IF(ISBLANK(tbl_task4[[คะแนนเต็ม]:[คะแนนเต็ม]]),"",(tbl_task4[146]/tbl_task4[[คะแนนเต็ม]:[คะแนนเต็ม]])*tbl_task4[[%]:[%]])</f>
        <v/>
      </c>
      <c r="LE16" s="121" t="str">
        <f>IF(ISBLANK(tbl_task4[[คะแนนเต็ม]:[คะแนนเต็ม]]),"",(tbl_task4[147]/tbl_task4[[คะแนนเต็ม]:[คะแนนเต็ม]])*tbl_task4[[%]:[%]])</f>
        <v/>
      </c>
      <c r="LF16" s="121" t="str">
        <f>IF(ISBLANK(tbl_task4[[คะแนนเต็ม]:[คะแนนเต็ม]]),"",(tbl_task4[148]/tbl_task4[[คะแนนเต็ม]:[คะแนนเต็ม]])*tbl_task4[[%]:[%]])</f>
        <v/>
      </c>
      <c r="LG16" s="121" t="str">
        <f>IF(ISBLANK(tbl_task4[[คะแนนเต็ม]:[คะแนนเต็ม]]),"",(tbl_task4[149]/tbl_task4[[คะแนนเต็ม]:[คะแนนเต็ม]])*tbl_task4[[%]:[%]])</f>
        <v/>
      </c>
      <c r="LH16" s="121" t="str">
        <f>IF(ISBLANK(tbl_task4[[คะแนนเต็ม]:[คะแนนเต็ม]]),"",(tbl_task4[150]/tbl_task4[[คะแนนเต็ม]:[คะแนนเต็ม]])*tbl_task4[[%]:[%]])</f>
        <v/>
      </c>
      <c r="LI16" s="121" t="str">
        <f>IF(ISBLANK(tbl_task4[[คะแนนเต็ม]:[คะแนนเต็ม]]),"",(tbl_task4[151]/tbl_task4[[คะแนนเต็ม]:[คะแนนเต็ม]])*tbl_task4[[%]:[%]])</f>
        <v/>
      </c>
      <c r="LJ16" s="121" t="str">
        <f>IF(ISBLANK(tbl_task4[[คะแนนเต็ม]:[คะแนนเต็ม]]),"",(tbl_task4[152]/tbl_task4[[คะแนนเต็ม]:[คะแนนเต็ม]])*tbl_task4[[%]:[%]])</f>
        <v/>
      </c>
      <c r="LK16" s="121" t="str">
        <f>IF(ISBLANK(tbl_task4[[คะแนนเต็ม]:[คะแนนเต็ม]]),"",(tbl_task4[153]/tbl_task4[[คะแนนเต็ม]:[คะแนนเต็ม]])*tbl_task4[[%]:[%]])</f>
        <v/>
      </c>
      <c r="LL16" s="121" t="str">
        <f>IF(ISBLANK(tbl_task4[[คะแนนเต็ม]:[คะแนนเต็ม]]),"",(tbl_task4[154]/tbl_task4[[คะแนนเต็ม]:[คะแนนเต็ม]])*tbl_task4[[%]:[%]])</f>
        <v/>
      </c>
      <c r="LM16" s="121" t="str">
        <f>IF(ISBLANK(tbl_task4[[คะแนนเต็ม]:[คะแนนเต็ม]]),"",(tbl_task4[155]/tbl_task4[[คะแนนเต็ม]:[คะแนนเต็ม]])*tbl_task4[[%]:[%]])</f>
        <v/>
      </c>
      <c r="LN16" s="121" t="str">
        <f>IF(ISBLANK(tbl_task4[[คะแนนเต็ม]:[คะแนนเต็ม]]),"",(tbl_task4[156]/tbl_task4[[คะแนนเต็ม]:[คะแนนเต็ม]])*tbl_task4[[%]:[%]])</f>
        <v/>
      </c>
      <c r="LO16" s="121" t="str">
        <f>IF(ISBLANK(tbl_task4[[คะแนนเต็ม]:[คะแนนเต็ม]]),"",(tbl_task4[157]/tbl_task4[[คะแนนเต็ม]:[คะแนนเต็ม]])*tbl_task4[[%]:[%]])</f>
        <v/>
      </c>
      <c r="LP16" s="121" t="str">
        <f>IF(ISBLANK(tbl_task4[[คะแนนเต็ม]:[คะแนนเต็ม]]),"",(tbl_task4[158]/tbl_task4[[คะแนนเต็ม]:[คะแนนเต็ม]])*tbl_task4[[%]:[%]])</f>
        <v/>
      </c>
      <c r="LQ16" s="121" t="str">
        <f>IF(ISBLANK(tbl_task4[[คะแนนเต็ม]:[คะแนนเต็ม]]),"",(tbl_task4[159]/tbl_task4[[คะแนนเต็ม]:[คะแนนเต็ม]])*tbl_task4[[%]:[%]])</f>
        <v/>
      </c>
      <c r="LR16" s="121" t="str">
        <f>IF(ISBLANK(tbl_task4[[คะแนนเต็ม]:[คะแนนเต็ม]]),"",(tbl_task4[160]/tbl_task4[[คะแนนเต็ม]:[คะแนนเต็ม]])*tbl_task4[[%]:[%]])</f>
        <v/>
      </c>
      <c r="LS16" s="121" t="str">
        <f>IF(ISBLANK(tbl_task4[[คะแนนเต็ม]:[คะแนนเต็ม]]),"",(tbl_task4[161]/tbl_task4[[คะแนนเต็ม]:[คะแนนเต็ม]])*tbl_task4[[%]:[%]])</f>
        <v/>
      </c>
      <c r="LT16" s="121" t="str">
        <f>IF(ISBLANK(tbl_task4[[คะแนนเต็ม]:[คะแนนเต็ม]]),"",(tbl_task4[162]/tbl_task4[[คะแนนเต็ม]:[คะแนนเต็ม]])*tbl_task4[[%]:[%]])</f>
        <v/>
      </c>
      <c r="LU16" s="121" t="str">
        <f>IF(ISBLANK(tbl_task4[[คะแนนเต็ม]:[คะแนนเต็ม]]),"",(tbl_task4[163]/tbl_task4[[คะแนนเต็ม]:[คะแนนเต็ม]])*tbl_task4[[%]:[%]])</f>
        <v/>
      </c>
      <c r="LV16" s="121" t="str">
        <f>IF(ISBLANK(tbl_task4[[คะแนนเต็ม]:[คะแนนเต็ม]]),"",(tbl_task4[164]/tbl_task4[[คะแนนเต็ม]:[คะแนนเต็ม]])*tbl_task4[[%]:[%]])</f>
        <v/>
      </c>
      <c r="LW16" s="121" t="str">
        <f>IF(ISBLANK(tbl_task4[[คะแนนเต็ม]:[คะแนนเต็ม]]),"",(tbl_task4[165]/tbl_task4[[คะแนนเต็ม]:[คะแนนเต็ม]])*tbl_task4[[%]:[%]])</f>
        <v/>
      </c>
    </row>
    <row r="17" spans="1:335" ht="24" customHeight="1" x14ac:dyDescent="0.25">
      <c r="A17" s="24">
        <v>14</v>
      </c>
      <c r="B17" s="20"/>
      <c r="C17" s="5" t="str">
        <f>IF(ISBLANK(B17),"",VLOOKUP(B17,tbl_PLOs[],2,0))</f>
        <v/>
      </c>
      <c r="D17" s="102"/>
      <c r="E17" s="10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121" t="str">
        <f>IF(ISBLANK(tbl_task4[[คะแนนเต็ม]:[คะแนนเต็ม]]),"",(tbl_task4[1]/tbl_task4[[คะแนนเต็ม]:[คะแนนเต็ม]])*tbl_task4[[%]:[%]])</f>
        <v/>
      </c>
      <c r="FP17" s="121" t="str">
        <f>IF(ISBLANK(tbl_task4[[คะแนนเต็ม]:[คะแนนเต็ม]]),"",(tbl_task4[2]/tbl_task4[[คะแนนเต็ม]:[คะแนนเต็ม]])*tbl_task4[[%]:[%]])</f>
        <v/>
      </c>
      <c r="FQ17" s="121" t="str">
        <f>IF(ISBLANK(tbl_task4[[คะแนนเต็ม]:[คะแนนเต็ม]]),"",(tbl_task4[3]/tbl_task4[[คะแนนเต็ม]:[คะแนนเต็ม]])*tbl_task4[[%]:[%]])</f>
        <v/>
      </c>
      <c r="FR17" s="121" t="str">
        <f>IF(ISBLANK(tbl_task4[[คะแนนเต็ม]:[คะแนนเต็ม]]),"",(tbl_task4[4]/tbl_task4[[คะแนนเต็ม]:[คะแนนเต็ม]])*tbl_task4[[%]:[%]])</f>
        <v/>
      </c>
      <c r="FS17" s="121" t="str">
        <f>IF(ISBLANK(tbl_task4[[คะแนนเต็ม]:[คะแนนเต็ม]]),"",(tbl_task4[5]/tbl_task4[[คะแนนเต็ม]:[คะแนนเต็ม]])*tbl_task4[[%]:[%]])</f>
        <v/>
      </c>
      <c r="FT17" s="121" t="str">
        <f>IF(ISBLANK(tbl_task4[[คะแนนเต็ม]:[คะแนนเต็ม]]),"",(tbl_task4[6]/tbl_task4[[คะแนนเต็ม]:[คะแนนเต็ม]])*tbl_task4[[%]:[%]])</f>
        <v/>
      </c>
      <c r="FU17" s="121" t="str">
        <f>IF(ISBLANK(tbl_task4[[คะแนนเต็ม]:[คะแนนเต็ม]]),"",(tbl_task4[7]/tbl_task4[[คะแนนเต็ม]:[คะแนนเต็ม]])*tbl_task4[[%]:[%]])</f>
        <v/>
      </c>
      <c r="FV17" s="121" t="str">
        <f>IF(ISBLANK(tbl_task4[[คะแนนเต็ม]:[คะแนนเต็ม]]),"",(tbl_task4[8]/tbl_task4[[คะแนนเต็ม]:[คะแนนเต็ม]])*tbl_task4[[%]:[%]])</f>
        <v/>
      </c>
      <c r="FW17" s="121" t="str">
        <f>IF(ISBLANK(tbl_task4[[คะแนนเต็ม]:[คะแนนเต็ม]]),"",(tbl_task4[9]/tbl_task4[[คะแนนเต็ม]:[คะแนนเต็ม]])*tbl_task4[[%]:[%]])</f>
        <v/>
      </c>
      <c r="FX17" s="121" t="str">
        <f>IF(ISBLANK(tbl_task4[[คะแนนเต็ม]:[คะแนนเต็ม]]),"",(tbl_task4[10]/tbl_task4[[คะแนนเต็ม]:[คะแนนเต็ม]])*tbl_task4[[%]:[%]])</f>
        <v/>
      </c>
      <c r="FY17" s="121" t="str">
        <f>IF(ISBLANK(tbl_task4[[คะแนนเต็ม]:[คะแนนเต็ม]]),"",(tbl_task4[11]/tbl_task4[[คะแนนเต็ม]:[คะแนนเต็ม]])*tbl_task4[[%]:[%]])</f>
        <v/>
      </c>
      <c r="FZ17" s="121" t="str">
        <f>IF(ISBLANK(tbl_task4[[คะแนนเต็ม]:[คะแนนเต็ม]]),"",(tbl_task4[12]/tbl_task4[[คะแนนเต็ม]:[คะแนนเต็ม]])*tbl_task4[[%]:[%]])</f>
        <v/>
      </c>
      <c r="GA17" s="121" t="str">
        <f>IF(ISBLANK(tbl_task4[[คะแนนเต็ม]:[คะแนนเต็ม]]),"",(tbl_task4[13]/tbl_task4[[คะแนนเต็ม]:[คะแนนเต็ม]])*tbl_task4[[%]:[%]])</f>
        <v/>
      </c>
      <c r="GB17" s="121" t="str">
        <f>IF(ISBLANK(tbl_task4[[คะแนนเต็ม]:[คะแนนเต็ม]]),"",(tbl_task4[14]/tbl_task4[[คะแนนเต็ม]:[คะแนนเต็ม]])*tbl_task4[[%]:[%]])</f>
        <v/>
      </c>
      <c r="GC17" s="121" t="str">
        <f>IF(ISBLANK(tbl_task4[[คะแนนเต็ม]:[คะแนนเต็ม]]),"",(tbl_task4[15]/tbl_task4[[คะแนนเต็ม]:[คะแนนเต็ม]])*tbl_task4[[%]:[%]])</f>
        <v/>
      </c>
      <c r="GD17" s="121" t="str">
        <f>IF(ISBLANK(tbl_task4[[คะแนนเต็ม]:[คะแนนเต็ม]]),"",(tbl_task4[16]/tbl_task4[[คะแนนเต็ม]:[คะแนนเต็ม]])*tbl_task4[[%]:[%]])</f>
        <v/>
      </c>
      <c r="GE17" s="121" t="str">
        <f>IF(ISBLANK(tbl_task4[[คะแนนเต็ม]:[คะแนนเต็ม]]),"",(tbl_task4[17]/tbl_task4[[คะแนนเต็ม]:[คะแนนเต็ม]])*tbl_task4[[%]:[%]])</f>
        <v/>
      </c>
      <c r="GF17" s="121" t="str">
        <f>IF(ISBLANK(tbl_task4[[คะแนนเต็ม]:[คะแนนเต็ม]]),"",(tbl_task4[18]/tbl_task4[[คะแนนเต็ม]:[คะแนนเต็ม]])*tbl_task4[[%]:[%]])</f>
        <v/>
      </c>
      <c r="GG17" s="121" t="str">
        <f>IF(ISBLANK(tbl_task4[[คะแนนเต็ม]:[คะแนนเต็ม]]),"",(tbl_task4[19]/tbl_task4[[คะแนนเต็ม]:[คะแนนเต็ม]])*tbl_task4[[%]:[%]])</f>
        <v/>
      </c>
      <c r="GH17" s="121" t="str">
        <f>IF(ISBLANK(tbl_task4[[คะแนนเต็ม]:[คะแนนเต็ม]]),"",(tbl_task4[20]/tbl_task4[[คะแนนเต็ม]:[คะแนนเต็ม]])*tbl_task4[[%]:[%]])</f>
        <v/>
      </c>
      <c r="GI17" s="121" t="str">
        <f>IF(ISBLANK(tbl_task4[[คะแนนเต็ม]:[คะแนนเต็ม]]),"",(tbl_task4[21]/tbl_task4[[คะแนนเต็ม]:[คะแนนเต็ม]])*tbl_task4[[%]:[%]])</f>
        <v/>
      </c>
      <c r="GJ17" s="121" t="str">
        <f>IF(ISBLANK(tbl_task4[[คะแนนเต็ม]:[คะแนนเต็ม]]),"",(tbl_task4[22]/tbl_task4[[คะแนนเต็ม]:[คะแนนเต็ม]])*tbl_task4[[%]:[%]])</f>
        <v/>
      </c>
      <c r="GK17" s="121" t="str">
        <f>IF(ISBLANK(tbl_task4[[คะแนนเต็ม]:[คะแนนเต็ม]]),"",(tbl_task4[23]/tbl_task4[[คะแนนเต็ม]:[คะแนนเต็ม]])*tbl_task4[[%]:[%]])</f>
        <v/>
      </c>
      <c r="GL17" s="121" t="str">
        <f>IF(ISBLANK(tbl_task4[[คะแนนเต็ม]:[คะแนนเต็ม]]),"",(tbl_task4[24]/tbl_task4[[คะแนนเต็ม]:[คะแนนเต็ม]])*tbl_task4[[%]:[%]])</f>
        <v/>
      </c>
      <c r="GM17" s="121" t="str">
        <f>IF(ISBLANK(tbl_task4[[คะแนนเต็ม]:[คะแนนเต็ม]]),"",(tbl_task4[25]/tbl_task4[[คะแนนเต็ม]:[คะแนนเต็ม]])*tbl_task4[[%]:[%]])</f>
        <v/>
      </c>
      <c r="GN17" s="121" t="str">
        <f>IF(ISBLANK(tbl_task4[[คะแนนเต็ม]:[คะแนนเต็ม]]),"",(tbl_task4[26]/tbl_task4[[คะแนนเต็ม]:[คะแนนเต็ม]])*tbl_task4[[%]:[%]])</f>
        <v/>
      </c>
      <c r="GO17" s="121" t="str">
        <f>IF(ISBLANK(tbl_task4[[คะแนนเต็ม]:[คะแนนเต็ม]]),"",(tbl_task4[27]/tbl_task4[[คะแนนเต็ม]:[คะแนนเต็ม]])*tbl_task4[[%]:[%]])</f>
        <v/>
      </c>
      <c r="GP17" s="121" t="str">
        <f>IF(ISBLANK(tbl_task4[[คะแนนเต็ม]:[คะแนนเต็ม]]),"",(tbl_task4[28]/tbl_task4[[คะแนนเต็ม]:[คะแนนเต็ม]])*tbl_task4[[%]:[%]])</f>
        <v/>
      </c>
      <c r="GQ17" s="121" t="str">
        <f>IF(ISBLANK(tbl_task4[[คะแนนเต็ม]:[คะแนนเต็ม]]),"",(tbl_task4[29]/tbl_task4[[คะแนนเต็ม]:[คะแนนเต็ม]])*tbl_task4[[%]:[%]])</f>
        <v/>
      </c>
      <c r="GR17" s="121" t="str">
        <f>IF(ISBLANK(tbl_task4[[คะแนนเต็ม]:[คะแนนเต็ม]]),"",(tbl_task4[30]/tbl_task4[[คะแนนเต็ม]:[คะแนนเต็ม]])*tbl_task4[[%]:[%]])</f>
        <v/>
      </c>
      <c r="GS17" s="121" t="str">
        <f>IF(ISBLANK(tbl_task4[[คะแนนเต็ม]:[คะแนนเต็ม]]),"",(tbl_task4[31]/tbl_task4[[คะแนนเต็ม]:[คะแนนเต็ม]])*tbl_task4[[%]:[%]])</f>
        <v/>
      </c>
      <c r="GT17" s="121" t="str">
        <f>IF(ISBLANK(tbl_task4[[คะแนนเต็ม]:[คะแนนเต็ม]]),"",(tbl_task4[32]/tbl_task4[[คะแนนเต็ม]:[คะแนนเต็ม]])*tbl_task4[[%]:[%]])</f>
        <v/>
      </c>
      <c r="GU17" s="121" t="str">
        <f>IF(ISBLANK(tbl_task4[[คะแนนเต็ม]:[คะแนนเต็ม]]),"",(tbl_task4[33]/tbl_task4[[คะแนนเต็ม]:[คะแนนเต็ม]])*tbl_task4[[%]:[%]])</f>
        <v/>
      </c>
      <c r="GV17" s="121" t="str">
        <f>IF(ISBLANK(tbl_task4[[คะแนนเต็ม]:[คะแนนเต็ม]]),"",(tbl_task4[34]/tbl_task4[[คะแนนเต็ม]:[คะแนนเต็ม]])*tbl_task4[[%]:[%]])</f>
        <v/>
      </c>
      <c r="GW17" s="121" t="str">
        <f>IF(ISBLANK(tbl_task4[[คะแนนเต็ม]:[คะแนนเต็ม]]),"",(tbl_task4[35]/tbl_task4[[คะแนนเต็ม]:[คะแนนเต็ม]])*tbl_task4[[%]:[%]])</f>
        <v/>
      </c>
      <c r="GX17" s="121" t="str">
        <f>IF(ISBLANK(tbl_task4[[คะแนนเต็ม]:[คะแนนเต็ม]]),"",(tbl_task4[36]/tbl_task4[[คะแนนเต็ม]:[คะแนนเต็ม]])*tbl_task4[[%]:[%]])</f>
        <v/>
      </c>
      <c r="GY17" s="121" t="str">
        <f>IF(ISBLANK(tbl_task4[[คะแนนเต็ม]:[คะแนนเต็ม]]),"",(tbl_task4[37]/tbl_task4[[คะแนนเต็ม]:[คะแนนเต็ม]])*tbl_task4[[%]:[%]])</f>
        <v/>
      </c>
      <c r="GZ17" s="121" t="str">
        <f>IF(ISBLANK(tbl_task4[[คะแนนเต็ม]:[คะแนนเต็ม]]),"",(tbl_task4[38]/tbl_task4[[คะแนนเต็ม]:[คะแนนเต็ม]])*tbl_task4[[%]:[%]])</f>
        <v/>
      </c>
      <c r="HA17" s="121" t="str">
        <f>IF(ISBLANK(tbl_task4[[คะแนนเต็ม]:[คะแนนเต็ม]]),"",(tbl_task4[39]/tbl_task4[[คะแนนเต็ม]:[คะแนนเต็ม]])*tbl_task4[[%]:[%]])</f>
        <v/>
      </c>
      <c r="HB17" s="121" t="str">
        <f>IF(ISBLANK(tbl_task4[[คะแนนเต็ม]:[คะแนนเต็ม]]),"",(tbl_task4[40]/tbl_task4[[คะแนนเต็ม]:[คะแนนเต็ม]])*tbl_task4[[%]:[%]])</f>
        <v/>
      </c>
      <c r="HC17" s="121" t="str">
        <f>IF(ISBLANK(tbl_task4[[คะแนนเต็ม]:[คะแนนเต็ม]]),"",(tbl_task4[41]/tbl_task4[[คะแนนเต็ม]:[คะแนนเต็ม]])*tbl_task4[[%]:[%]])</f>
        <v/>
      </c>
      <c r="HD17" s="121" t="str">
        <f>IF(ISBLANK(tbl_task4[[คะแนนเต็ม]:[คะแนนเต็ม]]),"",(tbl_task4[42]/tbl_task4[[คะแนนเต็ม]:[คะแนนเต็ม]])*tbl_task4[[%]:[%]])</f>
        <v/>
      </c>
      <c r="HE17" s="121" t="str">
        <f>IF(ISBLANK(tbl_task4[[คะแนนเต็ม]:[คะแนนเต็ม]]),"",(tbl_task4[43]/tbl_task4[[คะแนนเต็ม]:[คะแนนเต็ม]])*tbl_task4[[%]:[%]])</f>
        <v/>
      </c>
      <c r="HF17" s="121" t="str">
        <f>IF(ISBLANK(tbl_task4[[คะแนนเต็ม]:[คะแนนเต็ม]]),"",(tbl_task4[44]/tbl_task4[[คะแนนเต็ม]:[คะแนนเต็ม]])*tbl_task4[[%]:[%]])</f>
        <v/>
      </c>
      <c r="HG17" s="121" t="str">
        <f>IF(ISBLANK(tbl_task4[[คะแนนเต็ม]:[คะแนนเต็ม]]),"",(tbl_task4[45]/tbl_task4[[คะแนนเต็ม]:[คะแนนเต็ม]])*tbl_task4[[%]:[%]])</f>
        <v/>
      </c>
      <c r="HH17" s="121" t="str">
        <f>IF(ISBLANK(tbl_task4[[คะแนนเต็ม]:[คะแนนเต็ม]]),"",(tbl_task4[46]/tbl_task4[[คะแนนเต็ม]:[คะแนนเต็ม]])*tbl_task4[[%]:[%]])</f>
        <v/>
      </c>
      <c r="HI17" s="121" t="str">
        <f>IF(ISBLANK(tbl_task4[[คะแนนเต็ม]:[คะแนนเต็ม]]),"",(tbl_task4[47]/tbl_task4[[คะแนนเต็ม]:[คะแนนเต็ม]])*tbl_task4[[%]:[%]])</f>
        <v/>
      </c>
      <c r="HJ17" s="121" t="str">
        <f>IF(ISBLANK(tbl_task4[[คะแนนเต็ม]:[คะแนนเต็ม]]),"",(tbl_task4[48]/tbl_task4[[คะแนนเต็ม]:[คะแนนเต็ม]])*tbl_task4[[%]:[%]])</f>
        <v/>
      </c>
      <c r="HK17" s="121" t="str">
        <f>IF(ISBLANK(tbl_task4[[คะแนนเต็ม]:[คะแนนเต็ม]]),"",(tbl_task4[49]/tbl_task4[[คะแนนเต็ม]:[คะแนนเต็ม]])*tbl_task4[[%]:[%]])</f>
        <v/>
      </c>
      <c r="HL17" s="121" t="str">
        <f>IF(ISBLANK(tbl_task4[[คะแนนเต็ม]:[คะแนนเต็ม]]),"",(tbl_task4[50]/tbl_task4[[คะแนนเต็ม]:[คะแนนเต็ม]])*tbl_task4[[%]:[%]])</f>
        <v/>
      </c>
      <c r="HM17" s="121" t="str">
        <f>IF(ISBLANK(tbl_task4[[คะแนนเต็ม]:[คะแนนเต็ม]]),"",(tbl_task4[51]/tbl_task4[[คะแนนเต็ม]:[คะแนนเต็ม]])*tbl_task4[[%]:[%]])</f>
        <v/>
      </c>
      <c r="HN17" s="121" t="str">
        <f>IF(ISBLANK(tbl_task4[[คะแนนเต็ม]:[คะแนนเต็ม]]),"",(tbl_task4[52]/tbl_task4[[คะแนนเต็ม]:[คะแนนเต็ม]])*tbl_task4[[%]:[%]])</f>
        <v/>
      </c>
      <c r="HO17" s="121" t="str">
        <f>IF(ISBLANK(tbl_task4[[คะแนนเต็ม]:[คะแนนเต็ม]]),"",(tbl_task4[53]/tbl_task4[[คะแนนเต็ม]:[คะแนนเต็ม]])*tbl_task4[[%]:[%]])</f>
        <v/>
      </c>
      <c r="HP17" s="121" t="str">
        <f>IF(ISBLANK(tbl_task4[[คะแนนเต็ม]:[คะแนนเต็ม]]),"",(tbl_task4[54]/tbl_task4[[คะแนนเต็ม]:[คะแนนเต็ม]])*tbl_task4[[%]:[%]])</f>
        <v/>
      </c>
      <c r="HQ17" s="121" t="str">
        <f>IF(ISBLANK(tbl_task4[[คะแนนเต็ม]:[คะแนนเต็ม]]),"",(tbl_task4[55]/tbl_task4[[คะแนนเต็ม]:[คะแนนเต็ม]])*tbl_task4[[%]:[%]])</f>
        <v/>
      </c>
      <c r="HR17" s="121" t="str">
        <f>IF(ISBLANK(tbl_task4[[คะแนนเต็ม]:[คะแนนเต็ม]]),"",(tbl_task4[56]/tbl_task4[[คะแนนเต็ม]:[คะแนนเต็ม]])*tbl_task4[[%]:[%]])</f>
        <v/>
      </c>
      <c r="HS17" s="121" t="str">
        <f>IF(ISBLANK(tbl_task4[[คะแนนเต็ม]:[คะแนนเต็ม]]),"",(tbl_task4[57]/tbl_task4[[คะแนนเต็ม]:[คะแนนเต็ม]])*tbl_task4[[%]:[%]])</f>
        <v/>
      </c>
      <c r="HT17" s="121" t="str">
        <f>IF(ISBLANK(tbl_task4[[คะแนนเต็ม]:[คะแนนเต็ม]]),"",(tbl_task4[58]/tbl_task4[[คะแนนเต็ม]:[คะแนนเต็ม]])*tbl_task4[[%]:[%]])</f>
        <v/>
      </c>
      <c r="HU17" s="121" t="str">
        <f>IF(ISBLANK(tbl_task4[[คะแนนเต็ม]:[คะแนนเต็ม]]),"",(tbl_task4[59]/tbl_task4[[คะแนนเต็ม]:[คะแนนเต็ม]])*tbl_task4[[%]:[%]])</f>
        <v/>
      </c>
      <c r="HV17" s="121" t="str">
        <f>IF(ISBLANK(tbl_task4[[คะแนนเต็ม]:[คะแนนเต็ม]]),"",(tbl_task4[60]/tbl_task4[[คะแนนเต็ม]:[คะแนนเต็ม]])*tbl_task4[[%]:[%]])</f>
        <v/>
      </c>
      <c r="HW17" s="121" t="str">
        <f>IF(ISBLANK(tbl_task4[[คะแนนเต็ม]:[คะแนนเต็ม]]),"",(tbl_task4[61]/tbl_task4[[คะแนนเต็ม]:[คะแนนเต็ม]])*tbl_task4[[%]:[%]])</f>
        <v/>
      </c>
      <c r="HX17" s="121" t="str">
        <f>IF(ISBLANK(tbl_task4[[คะแนนเต็ม]:[คะแนนเต็ม]]),"",(tbl_task4[62]/tbl_task4[[คะแนนเต็ม]:[คะแนนเต็ม]])*tbl_task4[[%]:[%]])</f>
        <v/>
      </c>
      <c r="HY17" s="121" t="str">
        <f>IF(ISBLANK(tbl_task4[[คะแนนเต็ม]:[คะแนนเต็ม]]),"",(tbl_task4[63]/tbl_task4[[คะแนนเต็ม]:[คะแนนเต็ม]])*tbl_task4[[%]:[%]])</f>
        <v/>
      </c>
      <c r="HZ17" s="121" t="str">
        <f>IF(ISBLANK(tbl_task4[[คะแนนเต็ม]:[คะแนนเต็ม]]),"",(tbl_task4[64]/tbl_task4[[คะแนนเต็ม]:[คะแนนเต็ม]])*tbl_task4[[%]:[%]])</f>
        <v/>
      </c>
      <c r="IA17" s="121" t="str">
        <f>IF(ISBLANK(tbl_task4[[คะแนนเต็ม]:[คะแนนเต็ม]]),"",(tbl_task4[65]/tbl_task4[[คะแนนเต็ม]:[คะแนนเต็ม]])*tbl_task4[[%]:[%]])</f>
        <v/>
      </c>
      <c r="IB17" s="121" t="str">
        <f>IF(ISBLANK(tbl_task4[[คะแนนเต็ม]:[คะแนนเต็ม]]),"",(tbl_task4[66]/tbl_task4[[คะแนนเต็ม]:[คะแนนเต็ม]])*tbl_task4[[%]:[%]])</f>
        <v/>
      </c>
      <c r="IC17" s="121" t="str">
        <f>IF(ISBLANK(tbl_task4[[คะแนนเต็ม]:[คะแนนเต็ม]]),"",(tbl_task4[67]/tbl_task4[[คะแนนเต็ม]:[คะแนนเต็ม]])*tbl_task4[[%]:[%]])</f>
        <v/>
      </c>
      <c r="ID17" s="121" t="str">
        <f>IF(ISBLANK(tbl_task4[[คะแนนเต็ม]:[คะแนนเต็ม]]),"",(tbl_task4[68]/tbl_task4[[คะแนนเต็ม]:[คะแนนเต็ม]])*tbl_task4[[%]:[%]])</f>
        <v/>
      </c>
      <c r="IE17" s="121" t="str">
        <f>IF(ISBLANK(tbl_task4[[คะแนนเต็ม]:[คะแนนเต็ม]]),"",(tbl_task4[69]/tbl_task4[[คะแนนเต็ม]:[คะแนนเต็ม]])*tbl_task4[[%]:[%]])</f>
        <v/>
      </c>
      <c r="IF17" s="121" t="str">
        <f>IF(ISBLANK(tbl_task4[[คะแนนเต็ม]:[คะแนนเต็ม]]),"",(tbl_task4[70]/tbl_task4[[คะแนนเต็ม]:[คะแนนเต็ม]])*tbl_task4[[%]:[%]])</f>
        <v/>
      </c>
      <c r="IG17" s="121" t="str">
        <f>IF(ISBLANK(tbl_task4[[คะแนนเต็ม]:[คะแนนเต็ม]]),"",(tbl_task4[71]/tbl_task4[[คะแนนเต็ม]:[คะแนนเต็ม]])*tbl_task4[[%]:[%]])</f>
        <v/>
      </c>
      <c r="IH17" s="121" t="str">
        <f>IF(ISBLANK(tbl_task4[[คะแนนเต็ม]:[คะแนนเต็ม]]),"",(tbl_task4[72]/tbl_task4[[คะแนนเต็ม]:[คะแนนเต็ม]])*tbl_task4[[%]:[%]])</f>
        <v/>
      </c>
      <c r="II17" s="121" t="str">
        <f>IF(ISBLANK(tbl_task4[[คะแนนเต็ม]:[คะแนนเต็ม]]),"",(tbl_task4[73]/tbl_task4[[คะแนนเต็ม]:[คะแนนเต็ม]])*tbl_task4[[%]:[%]])</f>
        <v/>
      </c>
      <c r="IJ17" s="121" t="str">
        <f>IF(ISBLANK(tbl_task4[[คะแนนเต็ม]:[คะแนนเต็ม]]),"",(tbl_task4[74]/tbl_task4[[คะแนนเต็ม]:[คะแนนเต็ม]])*tbl_task4[[%]:[%]])</f>
        <v/>
      </c>
      <c r="IK17" s="121" t="str">
        <f>IF(ISBLANK(tbl_task4[[คะแนนเต็ม]:[คะแนนเต็ม]]),"",(tbl_task4[75]/tbl_task4[[คะแนนเต็ม]:[คะแนนเต็ม]])*tbl_task4[[%]:[%]])</f>
        <v/>
      </c>
      <c r="IL17" s="121" t="str">
        <f>IF(ISBLANK(tbl_task4[[คะแนนเต็ม]:[คะแนนเต็ม]]),"",(tbl_task4[76]/tbl_task4[[คะแนนเต็ม]:[คะแนนเต็ม]])*tbl_task4[[%]:[%]])</f>
        <v/>
      </c>
      <c r="IM17" s="121" t="str">
        <f>IF(ISBLANK(tbl_task4[[คะแนนเต็ม]:[คะแนนเต็ม]]),"",(tbl_task4[77]/tbl_task4[[คะแนนเต็ม]:[คะแนนเต็ม]])*tbl_task4[[%]:[%]])</f>
        <v/>
      </c>
      <c r="IN17" s="121" t="str">
        <f>IF(ISBLANK(tbl_task4[[คะแนนเต็ม]:[คะแนนเต็ม]]),"",(tbl_task4[78]/tbl_task4[[คะแนนเต็ม]:[คะแนนเต็ม]])*tbl_task4[[%]:[%]])</f>
        <v/>
      </c>
      <c r="IO17" s="121" t="str">
        <f>IF(ISBLANK(tbl_task4[[คะแนนเต็ม]:[คะแนนเต็ม]]),"",(tbl_task4[79]/tbl_task4[[คะแนนเต็ม]:[คะแนนเต็ม]])*tbl_task4[[%]:[%]])</f>
        <v/>
      </c>
      <c r="IP17" s="121" t="str">
        <f>IF(ISBLANK(tbl_task4[[คะแนนเต็ม]:[คะแนนเต็ม]]),"",(tbl_task4[80]/tbl_task4[[คะแนนเต็ม]:[คะแนนเต็ม]])*tbl_task4[[%]:[%]])</f>
        <v/>
      </c>
      <c r="IQ17" s="121" t="str">
        <f>IF(ISBLANK(tbl_task4[[คะแนนเต็ม]:[คะแนนเต็ม]]),"",(tbl_task4[81]/tbl_task4[[คะแนนเต็ม]:[คะแนนเต็ม]])*tbl_task4[[%]:[%]])</f>
        <v/>
      </c>
      <c r="IR17" s="121" t="str">
        <f>IF(ISBLANK(tbl_task4[[คะแนนเต็ม]:[คะแนนเต็ม]]),"",(tbl_task4[82]/tbl_task4[[คะแนนเต็ม]:[คะแนนเต็ม]])*tbl_task4[[%]:[%]])</f>
        <v/>
      </c>
      <c r="IS17" s="121" t="str">
        <f>IF(ISBLANK(tbl_task4[[คะแนนเต็ม]:[คะแนนเต็ม]]),"",(tbl_task4[83]/tbl_task4[[คะแนนเต็ม]:[คะแนนเต็ม]])*tbl_task4[[%]:[%]])</f>
        <v/>
      </c>
      <c r="IT17" s="121" t="str">
        <f>IF(ISBLANK(tbl_task4[[คะแนนเต็ม]:[คะแนนเต็ม]]),"",(tbl_task4[84]/tbl_task4[[คะแนนเต็ม]:[คะแนนเต็ม]])*tbl_task4[[%]:[%]])</f>
        <v/>
      </c>
      <c r="IU17" s="121" t="str">
        <f>IF(ISBLANK(tbl_task4[[คะแนนเต็ม]:[คะแนนเต็ม]]),"",(tbl_task4[85]/tbl_task4[[คะแนนเต็ม]:[คะแนนเต็ม]])*tbl_task4[[%]:[%]])</f>
        <v/>
      </c>
      <c r="IV17" s="121" t="str">
        <f>IF(ISBLANK(tbl_task4[[คะแนนเต็ม]:[คะแนนเต็ม]]),"",(tbl_task4[86]/tbl_task4[[คะแนนเต็ม]:[คะแนนเต็ม]])*tbl_task4[[%]:[%]])</f>
        <v/>
      </c>
      <c r="IW17" s="121" t="str">
        <f>IF(ISBLANK(tbl_task4[[คะแนนเต็ม]:[คะแนนเต็ม]]),"",(tbl_task4[87]/tbl_task4[[คะแนนเต็ม]:[คะแนนเต็ม]])*tbl_task4[[%]:[%]])</f>
        <v/>
      </c>
      <c r="IX17" s="121" t="str">
        <f>IF(ISBLANK(tbl_task4[[คะแนนเต็ม]:[คะแนนเต็ม]]),"",(tbl_task4[88]/tbl_task4[[คะแนนเต็ม]:[คะแนนเต็ม]])*tbl_task4[[%]:[%]])</f>
        <v/>
      </c>
      <c r="IY17" s="121" t="str">
        <f>IF(ISBLANK(tbl_task4[[คะแนนเต็ม]:[คะแนนเต็ม]]),"",(tbl_task4[89]/tbl_task4[[คะแนนเต็ม]:[คะแนนเต็ม]])*tbl_task4[[%]:[%]])</f>
        <v/>
      </c>
      <c r="IZ17" s="121" t="str">
        <f>IF(ISBLANK(tbl_task4[[คะแนนเต็ม]:[คะแนนเต็ม]]),"",(tbl_task4[90]/tbl_task4[[คะแนนเต็ม]:[คะแนนเต็ม]])*tbl_task4[[%]:[%]])</f>
        <v/>
      </c>
      <c r="JA17" s="121" t="str">
        <f>IF(ISBLANK(tbl_task4[[คะแนนเต็ม]:[คะแนนเต็ม]]),"",(tbl_task4[91]/tbl_task4[[คะแนนเต็ม]:[คะแนนเต็ม]])*tbl_task4[[%]:[%]])</f>
        <v/>
      </c>
      <c r="JB17" s="121" t="str">
        <f>IF(ISBLANK(tbl_task4[[คะแนนเต็ม]:[คะแนนเต็ม]]),"",(tbl_task4[92]/tbl_task4[[คะแนนเต็ม]:[คะแนนเต็ม]])*tbl_task4[[%]:[%]])</f>
        <v/>
      </c>
      <c r="JC17" s="121" t="str">
        <f>IF(ISBLANK(tbl_task4[[คะแนนเต็ม]:[คะแนนเต็ม]]),"",(tbl_task4[93]/tbl_task4[[คะแนนเต็ม]:[คะแนนเต็ม]])*tbl_task4[[%]:[%]])</f>
        <v/>
      </c>
      <c r="JD17" s="121" t="str">
        <f>IF(ISBLANK(tbl_task4[[คะแนนเต็ม]:[คะแนนเต็ม]]),"",(tbl_task4[94]/tbl_task4[[คะแนนเต็ม]:[คะแนนเต็ม]])*tbl_task4[[%]:[%]])</f>
        <v/>
      </c>
      <c r="JE17" s="121" t="str">
        <f>IF(ISBLANK(tbl_task4[[คะแนนเต็ม]:[คะแนนเต็ม]]),"",(tbl_task4[95]/tbl_task4[[คะแนนเต็ม]:[คะแนนเต็ม]])*tbl_task4[[%]:[%]])</f>
        <v/>
      </c>
      <c r="JF17" s="121" t="str">
        <f>IF(ISBLANK(tbl_task4[[คะแนนเต็ม]:[คะแนนเต็ม]]),"",(tbl_task4[96]/tbl_task4[[คะแนนเต็ม]:[คะแนนเต็ม]])*tbl_task4[[%]:[%]])</f>
        <v/>
      </c>
      <c r="JG17" s="121" t="str">
        <f>IF(ISBLANK(tbl_task4[[คะแนนเต็ม]:[คะแนนเต็ม]]),"",(tbl_task4[97]/tbl_task4[[คะแนนเต็ม]:[คะแนนเต็ม]])*tbl_task4[[%]:[%]])</f>
        <v/>
      </c>
      <c r="JH17" s="121" t="str">
        <f>IF(ISBLANK(tbl_task4[[คะแนนเต็ม]:[คะแนนเต็ม]]),"",(tbl_task4[98]/tbl_task4[[คะแนนเต็ม]:[คะแนนเต็ม]])*tbl_task4[[%]:[%]])</f>
        <v/>
      </c>
      <c r="JI17" s="121" t="str">
        <f>IF(ISBLANK(tbl_task4[[คะแนนเต็ม]:[คะแนนเต็ม]]),"",(tbl_task4[99]/tbl_task4[[คะแนนเต็ม]:[คะแนนเต็ม]])*tbl_task4[[%]:[%]])</f>
        <v/>
      </c>
      <c r="JJ17" s="121" t="str">
        <f>IF(ISBLANK(tbl_task4[[คะแนนเต็ม]:[คะแนนเต็ม]]),"",(tbl_task4[100]/tbl_task4[[คะแนนเต็ม]:[คะแนนเต็ม]])*tbl_task4[[%]:[%]])</f>
        <v/>
      </c>
      <c r="JK17" s="121" t="str">
        <f>IF(ISBLANK(tbl_task4[[คะแนนเต็ม]:[คะแนนเต็ม]]),"",(tbl_task4[101]/tbl_task4[[คะแนนเต็ม]:[คะแนนเต็ม]])*tbl_task4[[%]:[%]])</f>
        <v/>
      </c>
      <c r="JL17" s="121" t="str">
        <f>IF(ISBLANK(tbl_task4[[คะแนนเต็ม]:[คะแนนเต็ม]]),"",(tbl_task4[102]/tbl_task4[[คะแนนเต็ม]:[คะแนนเต็ม]])*tbl_task4[[%]:[%]])</f>
        <v/>
      </c>
      <c r="JM17" s="121" t="str">
        <f>IF(ISBLANK(tbl_task4[[คะแนนเต็ม]:[คะแนนเต็ม]]),"",(tbl_task4[103]/tbl_task4[[คะแนนเต็ม]:[คะแนนเต็ม]])*tbl_task4[[%]:[%]])</f>
        <v/>
      </c>
      <c r="JN17" s="121" t="str">
        <f>IF(ISBLANK(tbl_task4[[คะแนนเต็ม]:[คะแนนเต็ม]]),"",(tbl_task4[104]/tbl_task4[[คะแนนเต็ม]:[คะแนนเต็ม]])*tbl_task4[[%]:[%]])</f>
        <v/>
      </c>
      <c r="JO17" s="121" t="str">
        <f>IF(ISBLANK(tbl_task4[[คะแนนเต็ม]:[คะแนนเต็ม]]),"",(tbl_task4[105]/tbl_task4[[คะแนนเต็ม]:[คะแนนเต็ม]])*tbl_task4[[%]:[%]])</f>
        <v/>
      </c>
      <c r="JP17" s="121" t="str">
        <f>IF(ISBLANK(tbl_task4[[คะแนนเต็ม]:[คะแนนเต็ม]]),"",(tbl_task4[106]/tbl_task4[[คะแนนเต็ม]:[คะแนนเต็ม]])*tbl_task4[[%]:[%]])</f>
        <v/>
      </c>
      <c r="JQ17" s="121" t="str">
        <f>IF(ISBLANK(tbl_task4[[คะแนนเต็ม]:[คะแนนเต็ม]]),"",(tbl_task4[107]/tbl_task4[[คะแนนเต็ม]:[คะแนนเต็ม]])*tbl_task4[[%]:[%]])</f>
        <v/>
      </c>
      <c r="JR17" s="121" t="str">
        <f>IF(ISBLANK(tbl_task4[[คะแนนเต็ม]:[คะแนนเต็ม]]),"",(tbl_task4[108]/tbl_task4[[คะแนนเต็ม]:[คะแนนเต็ม]])*tbl_task4[[%]:[%]])</f>
        <v/>
      </c>
      <c r="JS17" s="121" t="str">
        <f>IF(ISBLANK(tbl_task4[[คะแนนเต็ม]:[คะแนนเต็ม]]),"",(tbl_task4[109]/tbl_task4[[คะแนนเต็ม]:[คะแนนเต็ม]])*tbl_task4[[%]:[%]])</f>
        <v/>
      </c>
      <c r="JT17" s="121" t="str">
        <f>IF(ISBLANK(tbl_task4[[คะแนนเต็ม]:[คะแนนเต็ม]]),"",(tbl_task4[110]/tbl_task4[[คะแนนเต็ม]:[คะแนนเต็ม]])*tbl_task4[[%]:[%]])</f>
        <v/>
      </c>
      <c r="JU17" s="121" t="str">
        <f>IF(ISBLANK(tbl_task4[[คะแนนเต็ม]:[คะแนนเต็ม]]),"",(tbl_task4[111]/tbl_task4[[คะแนนเต็ม]:[คะแนนเต็ม]])*tbl_task4[[%]:[%]])</f>
        <v/>
      </c>
      <c r="JV17" s="121" t="str">
        <f>IF(ISBLANK(tbl_task4[[คะแนนเต็ม]:[คะแนนเต็ม]]),"",(tbl_task4[112]/tbl_task4[[คะแนนเต็ม]:[คะแนนเต็ม]])*tbl_task4[[%]:[%]])</f>
        <v/>
      </c>
      <c r="JW17" s="121" t="str">
        <f>IF(ISBLANK(tbl_task4[[คะแนนเต็ม]:[คะแนนเต็ม]]),"",(tbl_task4[113]/tbl_task4[[คะแนนเต็ม]:[คะแนนเต็ม]])*tbl_task4[[%]:[%]])</f>
        <v/>
      </c>
      <c r="JX17" s="121" t="str">
        <f>IF(ISBLANK(tbl_task4[[คะแนนเต็ม]:[คะแนนเต็ม]]),"",(tbl_task4[114]/tbl_task4[[คะแนนเต็ม]:[คะแนนเต็ม]])*tbl_task4[[%]:[%]])</f>
        <v/>
      </c>
      <c r="JY17" s="121" t="str">
        <f>IF(ISBLANK(tbl_task4[[คะแนนเต็ม]:[คะแนนเต็ม]]),"",(tbl_task4[115]/tbl_task4[[คะแนนเต็ม]:[คะแนนเต็ม]])*tbl_task4[[%]:[%]])</f>
        <v/>
      </c>
      <c r="JZ17" s="121" t="str">
        <f>IF(ISBLANK(tbl_task4[[คะแนนเต็ม]:[คะแนนเต็ม]]),"",(tbl_task4[116]/tbl_task4[[คะแนนเต็ม]:[คะแนนเต็ม]])*tbl_task4[[%]:[%]])</f>
        <v/>
      </c>
      <c r="KA17" s="121" t="str">
        <f>IF(ISBLANK(tbl_task4[[คะแนนเต็ม]:[คะแนนเต็ม]]),"",(tbl_task4[117]/tbl_task4[[คะแนนเต็ม]:[คะแนนเต็ม]])*tbl_task4[[%]:[%]])</f>
        <v/>
      </c>
      <c r="KB17" s="121" t="str">
        <f>IF(ISBLANK(tbl_task4[[คะแนนเต็ม]:[คะแนนเต็ม]]),"",(tbl_task4[118]/tbl_task4[[คะแนนเต็ม]:[คะแนนเต็ม]])*tbl_task4[[%]:[%]])</f>
        <v/>
      </c>
      <c r="KC17" s="121" t="str">
        <f>IF(ISBLANK(tbl_task4[[คะแนนเต็ม]:[คะแนนเต็ม]]),"",(tbl_task4[119]/tbl_task4[[คะแนนเต็ม]:[คะแนนเต็ม]])*tbl_task4[[%]:[%]])</f>
        <v/>
      </c>
      <c r="KD17" s="121" t="str">
        <f>IF(ISBLANK(tbl_task4[[คะแนนเต็ม]:[คะแนนเต็ม]]),"",(tbl_task4[120]/tbl_task4[[คะแนนเต็ม]:[คะแนนเต็ม]])*tbl_task4[[%]:[%]])</f>
        <v/>
      </c>
      <c r="KE17" s="121" t="str">
        <f>IF(ISBLANK(tbl_task4[[คะแนนเต็ม]:[คะแนนเต็ม]]),"",(tbl_task4[121]/tbl_task4[[คะแนนเต็ม]:[คะแนนเต็ม]])*tbl_task4[[%]:[%]])</f>
        <v/>
      </c>
      <c r="KF17" s="121" t="str">
        <f>IF(ISBLANK(tbl_task4[[คะแนนเต็ม]:[คะแนนเต็ม]]),"",(tbl_task4[122]/tbl_task4[[คะแนนเต็ม]:[คะแนนเต็ม]])*tbl_task4[[%]:[%]])</f>
        <v/>
      </c>
      <c r="KG17" s="121" t="str">
        <f>IF(ISBLANK(tbl_task4[[คะแนนเต็ม]:[คะแนนเต็ม]]),"",(tbl_task4[123]/tbl_task4[[คะแนนเต็ม]:[คะแนนเต็ม]])*tbl_task4[[%]:[%]])</f>
        <v/>
      </c>
      <c r="KH17" s="121" t="str">
        <f>IF(ISBLANK(tbl_task4[[คะแนนเต็ม]:[คะแนนเต็ม]]),"",(tbl_task4[124]/tbl_task4[[คะแนนเต็ม]:[คะแนนเต็ม]])*tbl_task4[[%]:[%]])</f>
        <v/>
      </c>
      <c r="KI17" s="121" t="str">
        <f>IF(ISBLANK(tbl_task4[[คะแนนเต็ม]:[คะแนนเต็ม]]),"",(tbl_task4[125]/tbl_task4[[คะแนนเต็ม]:[คะแนนเต็ม]])*tbl_task4[[%]:[%]])</f>
        <v/>
      </c>
      <c r="KJ17" s="121" t="str">
        <f>IF(ISBLANK(tbl_task4[[คะแนนเต็ม]:[คะแนนเต็ม]]),"",(tbl_task4[126]/tbl_task4[[คะแนนเต็ม]:[คะแนนเต็ม]])*tbl_task4[[%]:[%]])</f>
        <v/>
      </c>
      <c r="KK17" s="121" t="str">
        <f>IF(ISBLANK(tbl_task4[[คะแนนเต็ม]:[คะแนนเต็ม]]),"",(tbl_task4[127]/tbl_task4[[คะแนนเต็ม]:[คะแนนเต็ม]])*tbl_task4[[%]:[%]])</f>
        <v/>
      </c>
      <c r="KL17" s="121" t="str">
        <f>IF(ISBLANK(tbl_task4[[คะแนนเต็ม]:[คะแนนเต็ม]]),"",(tbl_task4[128]/tbl_task4[[คะแนนเต็ม]:[คะแนนเต็ม]])*tbl_task4[[%]:[%]])</f>
        <v/>
      </c>
      <c r="KM17" s="121" t="str">
        <f>IF(ISBLANK(tbl_task4[[คะแนนเต็ม]:[คะแนนเต็ม]]),"",(tbl_task4[129]/tbl_task4[[คะแนนเต็ม]:[คะแนนเต็ม]])*tbl_task4[[%]:[%]])</f>
        <v/>
      </c>
      <c r="KN17" s="121" t="str">
        <f>IF(ISBLANK(tbl_task4[[คะแนนเต็ม]:[คะแนนเต็ม]]),"",(tbl_task4[130]/tbl_task4[[คะแนนเต็ม]:[คะแนนเต็ม]])*tbl_task4[[%]:[%]])</f>
        <v/>
      </c>
      <c r="KO17" s="121" t="str">
        <f>IF(ISBLANK(tbl_task4[[คะแนนเต็ม]:[คะแนนเต็ม]]),"",(tbl_task4[131]/tbl_task4[[คะแนนเต็ม]:[คะแนนเต็ม]])*tbl_task4[[%]:[%]])</f>
        <v/>
      </c>
      <c r="KP17" s="121" t="str">
        <f>IF(ISBLANK(tbl_task4[[คะแนนเต็ม]:[คะแนนเต็ม]]),"",(tbl_task4[132]/tbl_task4[[คะแนนเต็ม]:[คะแนนเต็ม]])*tbl_task4[[%]:[%]])</f>
        <v/>
      </c>
      <c r="KQ17" s="121" t="str">
        <f>IF(ISBLANK(tbl_task4[[คะแนนเต็ม]:[คะแนนเต็ม]]),"",(tbl_task4[133]/tbl_task4[[คะแนนเต็ม]:[คะแนนเต็ม]])*tbl_task4[[%]:[%]])</f>
        <v/>
      </c>
      <c r="KR17" s="121" t="str">
        <f>IF(ISBLANK(tbl_task4[[คะแนนเต็ม]:[คะแนนเต็ม]]),"",(tbl_task4[134]/tbl_task4[[คะแนนเต็ม]:[คะแนนเต็ม]])*tbl_task4[[%]:[%]])</f>
        <v/>
      </c>
      <c r="KS17" s="121" t="str">
        <f>IF(ISBLANK(tbl_task4[[คะแนนเต็ม]:[คะแนนเต็ม]]),"",(tbl_task4[135]/tbl_task4[[คะแนนเต็ม]:[คะแนนเต็ม]])*tbl_task4[[%]:[%]])</f>
        <v/>
      </c>
      <c r="KT17" s="121" t="str">
        <f>IF(ISBLANK(tbl_task4[[คะแนนเต็ม]:[คะแนนเต็ม]]),"",(tbl_task4[136]/tbl_task4[[คะแนนเต็ม]:[คะแนนเต็ม]])*tbl_task4[[%]:[%]])</f>
        <v/>
      </c>
      <c r="KU17" s="121" t="str">
        <f>IF(ISBLANK(tbl_task4[[คะแนนเต็ม]:[คะแนนเต็ม]]),"",(tbl_task4[137]/tbl_task4[[คะแนนเต็ม]:[คะแนนเต็ม]])*tbl_task4[[%]:[%]])</f>
        <v/>
      </c>
      <c r="KV17" s="121" t="str">
        <f>IF(ISBLANK(tbl_task4[[คะแนนเต็ม]:[คะแนนเต็ม]]),"",(tbl_task4[138]/tbl_task4[[คะแนนเต็ม]:[คะแนนเต็ม]])*tbl_task4[[%]:[%]])</f>
        <v/>
      </c>
      <c r="KW17" s="121" t="str">
        <f>IF(ISBLANK(tbl_task4[[คะแนนเต็ม]:[คะแนนเต็ม]]),"",(tbl_task4[139]/tbl_task4[[คะแนนเต็ม]:[คะแนนเต็ม]])*tbl_task4[[%]:[%]])</f>
        <v/>
      </c>
      <c r="KX17" s="121" t="str">
        <f>IF(ISBLANK(tbl_task4[[คะแนนเต็ม]:[คะแนนเต็ม]]),"",(tbl_task4[140]/tbl_task4[[คะแนนเต็ม]:[คะแนนเต็ม]])*tbl_task4[[%]:[%]])</f>
        <v/>
      </c>
      <c r="KY17" s="121" t="str">
        <f>IF(ISBLANK(tbl_task4[[คะแนนเต็ม]:[คะแนนเต็ม]]),"",(tbl_task4[141]/tbl_task4[[คะแนนเต็ม]:[คะแนนเต็ม]])*tbl_task4[[%]:[%]])</f>
        <v/>
      </c>
      <c r="KZ17" s="121" t="str">
        <f>IF(ISBLANK(tbl_task4[[คะแนนเต็ม]:[คะแนนเต็ม]]),"",(tbl_task4[142]/tbl_task4[[คะแนนเต็ม]:[คะแนนเต็ม]])*tbl_task4[[%]:[%]])</f>
        <v/>
      </c>
      <c r="LA17" s="121" t="str">
        <f>IF(ISBLANK(tbl_task4[[คะแนนเต็ม]:[คะแนนเต็ม]]),"",(tbl_task4[143]/tbl_task4[[คะแนนเต็ม]:[คะแนนเต็ม]])*tbl_task4[[%]:[%]])</f>
        <v/>
      </c>
      <c r="LB17" s="121" t="str">
        <f>IF(ISBLANK(tbl_task4[[คะแนนเต็ม]:[คะแนนเต็ม]]),"",(tbl_task4[144]/tbl_task4[[คะแนนเต็ม]:[คะแนนเต็ม]])*tbl_task4[[%]:[%]])</f>
        <v/>
      </c>
      <c r="LC17" s="121" t="str">
        <f>IF(ISBLANK(tbl_task4[[คะแนนเต็ม]:[คะแนนเต็ม]]),"",(tbl_task4[145]/tbl_task4[[คะแนนเต็ม]:[คะแนนเต็ม]])*tbl_task4[[%]:[%]])</f>
        <v/>
      </c>
      <c r="LD17" s="121" t="str">
        <f>IF(ISBLANK(tbl_task4[[คะแนนเต็ม]:[คะแนนเต็ม]]),"",(tbl_task4[146]/tbl_task4[[คะแนนเต็ม]:[คะแนนเต็ม]])*tbl_task4[[%]:[%]])</f>
        <v/>
      </c>
      <c r="LE17" s="121" t="str">
        <f>IF(ISBLANK(tbl_task4[[คะแนนเต็ม]:[คะแนนเต็ม]]),"",(tbl_task4[147]/tbl_task4[[คะแนนเต็ม]:[คะแนนเต็ม]])*tbl_task4[[%]:[%]])</f>
        <v/>
      </c>
      <c r="LF17" s="121" t="str">
        <f>IF(ISBLANK(tbl_task4[[คะแนนเต็ม]:[คะแนนเต็ม]]),"",(tbl_task4[148]/tbl_task4[[คะแนนเต็ม]:[คะแนนเต็ม]])*tbl_task4[[%]:[%]])</f>
        <v/>
      </c>
      <c r="LG17" s="121" t="str">
        <f>IF(ISBLANK(tbl_task4[[คะแนนเต็ม]:[คะแนนเต็ม]]),"",(tbl_task4[149]/tbl_task4[[คะแนนเต็ม]:[คะแนนเต็ม]])*tbl_task4[[%]:[%]])</f>
        <v/>
      </c>
      <c r="LH17" s="121" t="str">
        <f>IF(ISBLANK(tbl_task4[[คะแนนเต็ม]:[คะแนนเต็ม]]),"",(tbl_task4[150]/tbl_task4[[คะแนนเต็ม]:[คะแนนเต็ม]])*tbl_task4[[%]:[%]])</f>
        <v/>
      </c>
      <c r="LI17" s="121" t="str">
        <f>IF(ISBLANK(tbl_task4[[คะแนนเต็ม]:[คะแนนเต็ม]]),"",(tbl_task4[151]/tbl_task4[[คะแนนเต็ม]:[คะแนนเต็ม]])*tbl_task4[[%]:[%]])</f>
        <v/>
      </c>
      <c r="LJ17" s="121" t="str">
        <f>IF(ISBLANK(tbl_task4[[คะแนนเต็ม]:[คะแนนเต็ม]]),"",(tbl_task4[152]/tbl_task4[[คะแนนเต็ม]:[คะแนนเต็ม]])*tbl_task4[[%]:[%]])</f>
        <v/>
      </c>
      <c r="LK17" s="121" t="str">
        <f>IF(ISBLANK(tbl_task4[[คะแนนเต็ม]:[คะแนนเต็ม]]),"",(tbl_task4[153]/tbl_task4[[คะแนนเต็ม]:[คะแนนเต็ม]])*tbl_task4[[%]:[%]])</f>
        <v/>
      </c>
      <c r="LL17" s="121" t="str">
        <f>IF(ISBLANK(tbl_task4[[คะแนนเต็ม]:[คะแนนเต็ม]]),"",(tbl_task4[154]/tbl_task4[[คะแนนเต็ม]:[คะแนนเต็ม]])*tbl_task4[[%]:[%]])</f>
        <v/>
      </c>
      <c r="LM17" s="121" t="str">
        <f>IF(ISBLANK(tbl_task4[[คะแนนเต็ม]:[คะแนนเต็ม]]),"",(tbl_task4[155]/tbl_task4[[คะแนนเต็ม]:[คะแนนเต็ม]])*tbl_task4[[%]:[%]])</f>
        <v/>
      </c>
      <c r="LN17" s="121" t="str">
        <f>IF(ISBLANK(tbl_task4[[คะแนนเต็ม]:[คะแนนเต็ม]]),"",(tbl_task4[156]/tbl_task4[[คะแนนเต็ม]:[คะแนนเต็ม]])*tbl_task4[[%]:[%]])</f>
        <v/>
      </c>
      <c r="LO17" s="121" t="str">
        <f>IF(ISBLANK(tbl_task4[[คะแนนเต็ม]:[คะแนนเต็ม]]),"",(tbl_task4[157]/tbl_task4[[คะแนนเต็ม]:[คะแนนเต็ม]])*tbl_task4[[%]:[%]])</f>
        <v/>
      </c>
      <c r="LP17" s="121" t="str">
        <f>IF(ISBLANK(tbl_task4[[คะแนนเต็ม]:[คะแนนเต็ม]]),"",(tbl_task4[158]/tbl_task4[[คะแนนเต็ม]:[คะแนนเต็ม]])*tbl_task4[[%]:[%]])</f>
        <v/>
      </c>
      <c r="LQ17" s="121" t="str">
        <f>IF(ISBLANK(tbl_task4[[คะแนนเต็ม]:[คะแนนเต็ม]]),"",(tbl_task4[159]/tbl_task4[[คะแนนเต็ม]:[คะแนนเต็ม]])*tbl_task4[[%]:[%]])</f>
        <v/>
      </c>
      <c r="LR17" s="121" t="str">
        <f>IF(ISBLANK(tbl_task4[[คะแนนเต็ม]:[คะแนนเต็ม]]),"",(tbl_task4[160]/tbl_task4[[คะแนนเต็ม]:[คะแนนเต็ม]])*tbl_task4[[%]:[%]])</f>
        <v/>
      </c>
      <c r="LS17" s="121" t="str">
        <f>IF(ISBLANK(tbl_task4[[คะแนนเต็ม]:[คะแนนเต็ม]]),"",(tbl_task4[161]/tbl_task4[[คะแนนเต็ม]:[คะแนนเต็ม]])*tbl_task4[[%]:[%]])</f>
        <v/>
      </c>
      <c r="LT17" s="121" t="str">
        <f>IF(ISBLANK(tbl_task4[[คะแนนเต็ม]:[คะแนนเต็ม]]),"",(tbl_task4[162]/tbl_task4[[คะแนนเต็ม]:[คะแนนเต็ม]])*tbl_task4[[%]:[%]])</f>
        <v/>
      </c>
      <c r="LU17" s="121" t="str">
        <f>IF(ISBLANK(tbl_task4[[คะแนนเต็ม]:[คะแนนเต็ม]]),"",(tbl_task4[163]/tbl_task4[[คะแนนเต็ม]:[คะแนนเต็ม]])*tbl_task4[[%]:[%]])</f>
        <v/>
      </c>
      <c r="LV17" s="121" t="str">
        <f>IF(ISBLANK(tbl_task4[[คะแนนเต็ม]:[คะแนนเต็ม]]),"",(tbl_task4[164]/tbl_task4[[คะแนนเต็ม]:[คะแนนเต็ม]])*tbl_task4[[%]:[%]])</f>
        <v/>
      </c>
      <c r="LW17" s="121" t="str">
        <f>IF(ISBLANK(tbl_task4[[คะแนนเต็ม]:[คะแนนเต็ม]]),"",(tbl_task4[165]/tbl_task4[[คะแนนเต็ม]:[คะแนนเต็ม]])*tbl_task4[[%]:[%]])</f>
        <v/>
      </c>
    </row>
    <row r="18" spans="1:335" ht="24" customHeight="1" x14ac:dyDescent="0.25">
      <c r="A18" s="24">
        <v>15</v>
      </c>
      <c r="B18" s="20"/>
      <c r="C18" s="5" t="str">
        <f>IF(ISBLANK(B18),"",VLOOKUP(B18,tbl_PLOs[],2,0))</f>
        <v/>
      </c>
      <c r="D18" s="102"/>
      <c r="E18" s="106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121" t="str">
        <f>IF(ISBLANK(tbl_task4[[คะแนนเต็ม]:[คะแนนเต็ม]]),"",(tbl_task4[1]/tbl_task4[[คะแนนเต็ม]:[คะแนนเต็ม]])*tbl_task4[[%]:[%]])</f>
        <v/>
      </c>
      <c r="FP18" s="121" t="str">
        <f>IF(ISBLANK(tbl_task4[[คะแนนเต็ม]:[คะแนนเต็ม]]),"",(tbl_task4[2]/tbl_task4[[คะแนนเต็ม]:[คะแนนเต็ม]])*tbl_task4[[%]:[%]])</f>
        <v/>
      </c>
      <c r="FQ18" s="121" t="str">
        <f>IF(ISBLANK(tbl_task4[[คะแนนเต็ม]:[คะแนนเต็ม]]),"",(tbl_task4[3]/tbl_task4[[คะแนนเต็ม]:[คะแนนเต็ม]])*tbl_task4[[%]:[%]])</f>
        <v/>
      </c>
      <c r="FR18" s="121" t="str">
        <f>IF(ISBLANK(tbl_task4[[คะแนนเต็ม]:[คะแนนเต็ม]]),"",(tbl_task4[4]/tbl_task4[[คะแนนเต็ม]:[คะแนนเต็ม]])*tbl_task4[[%]:[%]])</f>
        <v/>
      </c>
      <c r="FS18" s="121" t="str">
        <f>IF(ISBLANK(tbl_task4[[คะแนนเต็ม]:[คะแนนเต็ม]]),"",(tbl_task4[5]/tbl_task4[[คะแนนเต็ม]:[คะแนนเต็ม]])*tbl_task4[[%]:[%]])</f>
        <v/>
      </c>
      <c r="FT18" s="121" t="str">
        <f>IF(ISBLANK(tbl_task4[[คะแนนเต็ม]:[คะแนนเต็ม]]),"",(tbl_task4[6]/tbl_task4[[คะแนนเต็ม]:[คะแนนเต็ม]])*tbl_task4[[%]:[%]])</f>
        <v/>
      </c>
      <c r="FU18" s="121" t="str">
        <f>IF(ISBLANK(tbl_task4[[คะแนนเต็ม]:[คะแนนเต็ม]]),"",(tbl_task4[7]/tbl_task4[[คะแนนเต็ม]:[คะแนนเต็ม]])*tbl_task4[[%]:[%]])</f>
        <v/>
      </c>
      <c r="FV18" s="121" t="str">
        <f>IF(ISBLANK(tbl_task4[[คะแนนเต็ม]:[คะแนนเต็ม]]),"",(tbl_task4[8]/tbl_task4[[คะแนนเต็ม]:[คะแนนเต็ม]])*tbl_task4[[%]:[%]])</f>
        <v/>
      </c>
      <c r="FW18" s="121" t="str">
        <f>IF(ISBLANK(tbl_task4[[คะแนนเต็ม]:[คะแนนเต็ม]]),"",(tbl_task4[9]/tbl_task4[[คะแนนเต็ม]:[คะแนนเต็ม]])*tbl_task4[[%]:[%]])</f>
        <v/>
      </c>
      <c r="FX18" s="121" t="str">
        <f>IF(ISBLANK(tbl_task4[[คะแนนเต็ม]:[คะแนนเต็ม]]),"",(tbl_task4[10]/tbl_task4[[คะแนนเต็ม]:[คะแนนเต็ม]])*tbl_task4[[%]:[%]])</f>
        <v/>
      </c>
      <c r="FY18" s="121" t="str">
        <f>IF(ISBLANK(tbl_task4[[คะแนนเต็ม]:[คะแนนเต็ม]]),"",(tbl_task4[11]/tbl_task4[[คะแนนเต็ม]:[คะแนนเต็ม]])*tbl_task4[[%]:[%]])</f>
        <v/>
      </c>
      <c r="FZ18" s="121" t="str">
        <f>IF(ISBLANK(tbl_task4[[คะแนนเต็ม]:[คะแนนเต็ม]]),"",(tbl_task4[12]/tbl_task4[[คะแนนเต็ม]:[คะแนนเต็ม]])*tbl_task4[[%]:[%]])</f>
        <v/>
      </c>
      <c r="GA18" s="121" t="str">
        <f>IF(ISBLANK(tbl_task4[[คะแนนเต็ม]:[คะแนนเต็ม]]),"",(tbl_task4[13]/tbl_task4[[คะแนนเต็ม]:[คะแนนเต็ม]])*tbl_task4[[%]:[%]])</f>
        <v/>
      </c>
      <c r="GB18" s="121" t="str">
        <f>IF(ISBLANK(tbl_task4[[คะแนนเต็ม]:[คะแนนเต็ม]]),"",(tbl_task4[14]/tbl_task4[[คะแนนเต็ม]:[คะแนนเต็ม]])*tbl_task4[[%]:[%]])</f>
        <v/>
      </c>
      <c r="GC18" s="121" t="str">
        <f>IF(ISBLANK(tbl_task4[[คะแนนเต็ม]:[คะแนนเต็ม]]),"",(tbl_task4[15]/tbl_task4[[คะแนนเต็ม]:[คะแนนเต็ม]])*tbl_task4[[%]:[%]])</f>
        <v/>
      </c>
      <c r="GD18" s="121" t="str">
        <f>IF(ISBLANK(tbl_task4[[คะแนนเต็ม]:[คะแนนเต็ม]]),"",(tbl_task4[16]/tbl_task4[[คะแนนเต็ม]:[คะแนนเต็ม]])*tbl_task4[[%]:[%]])</f>
        <v/>
      </c>
      <c r="GE18" s="121" t="str">
        <f>IF(ISBLANK(tbl_task4[[คะแนนเต็ม]:[คะแนนเต็ม]]),"",(tbl_task4[17]/tbl_task4[[คะแนนเต็ม]:[คะแนนเต็ม]])*tbl_task4[[%]:[%]])</f>
        <v/>
      </c>
      <c r="GF18" s="121" t="str">
        <f>IF(ISBLANK(tbl_task4[[คะแนนเต็ม]:[คะแนนเต็ม]]),"",(tbl_task4[18]/tbl_task4[[คะแนนเต็ม]:[คะแนนเต็ม]])*tbl_task4[[%]:[%]])</f>
        <v/>
      </c>
      <c r="GG18" s="121" t="str">
        <f>IF(ISBLANK(tbl_task4[[คะแนนเต็ม]:[คะแนนเต็ม]]),"",(tbl_task4[19]/tbl_task4[[คะแนนเต็ม]:[คะแนนเต็ม]])*tbl_task4[[%]:[%]])</f>
        <v/>
      </c>
      <c r="GH18" s="121" t="str">
        <f>IF(ISBLANK(tbl_task4[[คะแนนเต็ม]:[คะแนนเต็ม]]),"",(tbl_task4[20]/tbl_task4[[คะแนนเต็ม]:[คะแนนเต็ม]])*tbl_task4[[%]:[%]])</f>
        <v/>
      </c>
      <c r="GI18" s="121" t="str">
        <f>IF(ISBLANK(tbl_task4[[คะแนนเต็ม]:[คะแนนเต็ม]]),"",(tbl_task4[21]/tbl_task4[[คะแนนเต็ม]:[คะแนนเต็ม]])*tbl_task4[[%]:[%]])</f>
        <v/>
      </c>
      <c r="GJ18" s="121" t="str">
        <f>IF(ISBLANK(tbl_task4[[คะแนนเต็ม]:[คะแนนเต็ม]]),"",(tbl_task4[22]/tbl_task4[[คะแนนเต็ม]:[คะแนนเต็ม]])*tbl_task4[[%]:[%]])</f>
        <v/>
      </c>
      <c r="GK18" s="121" t="str">
        <f>IF(ISBLANK(tbl_task4[[คะแนนเต็ม]:[คะแนนเต็ม]]),"",(tbl_task4[23]/tbl_task4[[คะแนนเต็ม]:[คะแนนเต็ม]])*tbl_task4[[%]:[%]])</f>
        <v/>
      </c>
      <c r="GL18" s="121" t="str">
        <f>IF(ISBLANK(tbl_task4[[คะแนนเต็ม]:[คะแนนเต็ม]]),"",(tbl_task4[24]/tbl_task4[[คะแนนเต็ม]:[คะแนนเต็ม]])*tbl_task4[[%]:[%]])</f>
        <v/>
      </c>
      <c r="GM18" s="121" t="str">
        <f>IF(ISBLANK(tbl_task4[[คะแนนเต็ม]:[คะแนนเต็ม]]),"",(tbl_task4[25]/tbl_task4[[คะแนนเต็ม]:[คะแนนเต็ม]])*tbl_task4[[%]:[%]])</f>
        <v/>
      </c>
      <c r="GN18" s="121" t="str">
        <f>IF(ISBLANK(tbl_task4[[คะแนนเต็ม]:[คะแนนเต็ม]]),"",(tbl_task4[26]/tbl_task4[[คะแนนเต็ม]:[คะแนนเต็ม]])*tbl_task4[[%]:[%]])</f>
        <v/>
      </c>
      <c r="GO18" s="121" t="str">
        <f>IF(ISBLANK(tbl_task4[[คะแนนเต็ม]:[คะแนนเต็ม]]),"",(tbl_task4[27]/tbl_task4[[คะแนนเต็ม]:[คะแนนเต็ม]])*tbl_task4[[%]:[%]])</f>
        <v/>
      </c>
      <c r="GP18" s="121" t="str">
        <f>IF(ISBLANK(tbl_task4[[คะแนนเต็ม]:[คะแนนเต็ม]]),"",(tbl_task4[28]/tbl_task4[[คะแนนเต็ม]:[คะแนนเต็ม]])*tbl_task4[[%]:[%]])</f>
        <v/>
      </c>
      <c r="GQ18" s="121" t="str">
        <f>IF(ISBLANK(tbl_task4[[คะแนนเต็ม]:[คะแนนเต็ม]]),"",(tbl_task4[29]/tbl_task4[[คะแนนเต็ม]:[คะแนนเต็ม]])*tbl_task4[[%]:[%]])</f>
        <v/>
      </c>
      <c r="GR18" s="121" t="str">
        <f>IF(ISBLANK(tbl_task4[[คะแนนเต็ม]:[คะแนนเต็ม]]),"",(tbl_task4[30]/tbl_task4[[คะแนนเต็ม]:[คะแนนเต็ม]])*tbl_task4[[%]:[%]])</f>
        <v/>
      </c>
      <c r="GS18" s="121" t="str">
        <f>IF(ISBLANK(tbl_task4[[คะแนนเต็ม]:[คะแนนเต็ม]]),"",(tbl_task4[31]/tbl_task4[[คะแนนเต็ม]:[คะแนนเต็ม]])*tbl_task4[[%]:[%]])</f>
        <v/>
      </c>
      <c r="GT18" s="121" t="str">
        <f>IF(ISBLANK(tbl_task4[[คะแนนเต็ม]:[คะแนนเต็ม]]),"",(tbl_task4[32]/tbl_task4[[คะแนนเต็ม]:[คะแนนเต็ม]])*tbl_task4[[%]:[%]])</f>
        <v/>
      </c>
      <c r="GU18" s="121" t="str">
        <f>IF(ISBLANK(tbl_task4[[คะแนนเต็ม]:[คะแนนเต็ม]]),"",(tbl_task4[33]/tbl_task4[[คะแนนเต็ม]:[คะแนนเต็ม]])*tbl_task4[[%]:[%]])</f>
        <v/>
      </c>
      <c r="GV18" s="121" t="str">
        <f>IF(ISBLANK(tbl_task4[[คะแนนเต็ม]:[คะแนนเต็ม]]),"",(tbl_task4[34]/tbl_task4[[คะแนนเต็ม]:[คะแนนเต็ม]])*tbl_task4[[%]:[%]])</f>
        <v/>
      </c>
      <c r="GW18" s="121" t="str">
        <f>IF(ISBLANK(tbl_task4[[คะแนนเต็ม]:[คะแนนเต็ม]]),"",(tbl_task4[35]/tbl_task4[[คะแนนเต็ม]:[คะแนนเต็ม]])*tbl_task4[[%]:[%]])</f>
        <v/>
      </c>
      <c r="GX18" s="121" t="str">
        <f>IF(ISBLANK(tbl_task4[[คะแนนเต็ม]:[คะแนนเต็ม]]),"",(tbl_task4[36]/tbl_task4[[คะแนนเต็ม]:[คะแนนเต็ม]])*tbl_task4[[%]:[%]])</f>
        <v/>
      </c>
      <c r="GY18" s="121" t="str">
        <f>IF(ISBLANK(tbl_task4[[คะแนนเต็ม]:[คะแนนเต็ม]]),"",(tbl_task4[37]/tbl_task4[[คะแนนเต็ม]:[คะแนนเต็ม]])*tbl_task4[[%]:[%]])</f>
        <v/>
      </c>
      <c r="GZ18" s="121" t="str">
        <f>IF(ISBLANK(tbl_task4[[คะแนนเต็ม]:[คะแนนเต็ม]]),"",(tbl_task4[38]/tbl_task4[[คะแนนเต็ม]:[คะแนนเต็ม]])*tbl_task4[[%]:[%]])</f>
        <v/>
      </c>
      <c r="HA18" s="121" t="str">
        <f>IF(ISBLANK(tbl_task4[[คะแนนเต็ม]:[คะแนนเต็ม]]),"",(tbl_task4[39]/tbl_task4[[คะแนนเต็ม]:[คะแนนเต็ม]])*tbl_task4[[%]:[%]])</f>
        <v/>
      </c>
      <c r="HB18" s="121" t="str">
        <f>IF(ISBLANK(tbl_task4[[คะแนนเต็ม]:[คะแนนเต็ม]]),"",(tbl_task4[40]/tbl_task4[[คะแนนเต็ม]:[คะแนนเต็ม]])*tbl_task4[[%]:[%]])</f>
        <v/>
      </c>
      <c r="HC18" s="121" t="str">
        <f>IF(ISBLANK(tbl_task4[[คะแนนเต็ม]:[คะแนนเต็ม]]),"",(tbl_task4[41]/tbl_task4[[คะแนนเต็ม]:[คะแนนเต็ม]])*tbl_task4[[%]:[%]])</f>
        <v/>
      </c>
      <c r="HD18" s="121" t="str">
        <f>IF(ISBLANK(tbl_task4[[คะแนนเต็ม]:[คะแนนเต็ม]]),"",(tbl_task4[42]/tbl_task4[[คะแนนเต็ม]:[คะแนนเต็ม]])*tbl_task4[[%]:[%]])</f>
        <v/>
      </c>
      <c r="HE18" s="121" t="str">
        <f>IF(ISBLANK(tbl_task4[[คะแนนเต็ม]:[คะแนนเต็ม]]),"",(tbl_task4[43]/tbl_task4[[คะแนนเต็ม]:[คะแนนเต็ม]])*tbl_task4[[%]:[%]])</f>
        <v/>
      </c>
      <c r="HF18" s="121" t="str">
        <f>IF(ISBLANK(tbl_task4[[คะแนนเต็ม]:[คะแนนเต็ม]]),"",(tbl_task4[44]/tbl_task4[[คะแนนเต็ม]:[คะแนนเต็ม]])*tbl_task4[[%]:[%]])</f>
        <v/>
      </c>
      <c r="HG18" s="121" t="str">
        <f>IF(ISBLANK(tbl_task4[[คะแนนเต็ม]:[คะแนนเต็ม]]),"",(tbl_task4[45]/tbl_task4[[คะแนนเต็ม]:[คะแนนเต็ม]])*tbl_task4[[%]:[%]])</f>
        <v/>
      </c>
      <c r="HH18" s="121" t="str">
        <f>IF(ISBLANK(tbl_task4[[คะแนนเต็ม]:[คะแนนเต็ม]]),"",(tbl_task4[46]/tbl_task4[[คะแนนเต็ม]:[คะแนนเต็ม]])*tbl_task4[[%]:[%]])</f>
        <v/>
      </c>
      <c r="HI18" s="121" t="str">
        <f>IF(ISBLANK(tbl_task4[[คะแนนเต็ม]:[คะแนนเต็ม]]),"",(tbl_task4[47]/tbl_task4[[คะแนนเต็ม]:[คะแนนเต็ม]])*tbl_task4[[%]:[%]])</f>
        <v/>
      </c>
      <c r="HJ18" s="121" t="str">
        <f>IF(ISBLANK(tbl_task4[[คะแนนเต็ม]:[คะแนนเต็ม]]),"",(tbl_task4[48]/tbl_task4[[คะแนนเต็ม]:[คะแนนเต็ม]])*tbl_task4[[%]:[%]])</f>
        <v/>
      </c>
      <c r="HK18" s="121" t="str">
        <f>IF(ISBLANK(tbl_task4[[คะแนนเต็ม]:[คะแนนเต็ม]]),"",(tbl_task4[49]/tbl_task4[[คะแนนเต็ม]:[คะแนนเต็ม]])*tbl_task4[[%]:[%]])</f>
        <v/>
      </c>
      <c r="HL18" s="121" t="str">
        <f>IF(ISBLANK(tbl_task4[[คะแนนเต็ม]:[คะแนนเต็ม]]),"",(tbl_task4[50]/tbl_task4[[คะแนนเต็ม]:[คะแนนเต็ม]])*tbl_task4[[%]:[%]])</f>
        <v/>
      </c>
      <c r="HM18" s="121" t="str">
        <f>IF(ISBLANK(tbl_task4[[คะแนนเต็ม]:[คะแนนเต็ม]]),"",(tbl_task4[51]/tbl_task4[[คะแนนเต็ม]:[คะแนนเต็ม]])*tbl_task4[[%]:[%]])</f>
        <v/>
      </c>
      <c r="HN18" s="121" t="str">
        <f>IF(ISBLANK(tbl_task4[[คะแนนเต็ม]:[คะแนนเต็ม]]),"",(tbl_task4[52]/tbl_task4[[คะแนนเต็ม]:[คะแนนเต็ม]])*tbl_task4[[%]:[%]])</f>
        <v/>
      </c>
      <c r="HO18" s="121" t="str">
        <f>IF(ISBLANK(tbl_task4[[คะแนนเต็ม]:[คะแนนเต็ม]]),"",(tbl_task4[53]/tbl_task4[[คะแนนเต็ม]:[คะแนนเต็ม]])*tbl_task4[[%]:[%]])</f>
        <v/>
      </c>
      <c r="HP18" s="121" t="str">
        <f>IF(ISBLANK(tbl_task4[[คะแนนเต็ม]:[คะแนนเต็ม]]),"",(tbl_task4[54]/tbl_task4[[คะแนนเต็ม]:[คะแนนเต็ม]])*tbl_task4[[%]:[%]])</f>
        <v/>
      </c>
      <c r="HQ18" s="121" t="str">
        <f>IF(ISBLANK(tbl_task4[[คะแนนเต็ม]:[คะแนนเต็ม]]),"",(tbl_task4[55]/tbl_task4[[คะแนนเต็ม]:[คะแนนเต็ม]])*tbl_task4[[%]:[%]])</f>
        <v/>
      </c>
      <c r="HR18" s="121" t="str">
        <f>IF(ISBLANK(tbl_task4[[คะแนนเต็ม]:[คะแนนเต็ม]]),"",(tbl_task4[56]/tbl_task4[[คะแนนเต็ม]:[คะแนนเต็ม]])*tbl_task4[[%]:[%]])</f>
        <v/>
      </c>
      <c r="HS18" s="121" t="str">
        <f>IF(ISBLANK(tbl_task4[[คะแนนเต็ม]:[คะแนนเต็ม]]),"",(tbl_task4[57]/tbl_task4[[คะแนนเต็ม]:[คะแนนเต็ม]])*tbl_task4[[%]:[%]])</f>
        <v/>
      </c>
      <c r="HT18" s="121" t="str">
        <f>IF(ISBLANK(tbl_task4[[คะแนนเต็ม]:[คะแนนเต็ม]]),"",(tbl_task4[58]/tbl_task4[[คะแนนเต็ม]:[คะแนนเต็ม]])*tbl_task4[[%]:[%]])</f>
        <v/>
      </c>
      <c r="HU18" s="121" t="str">
        <f>IF(ISBLANK(tbl_task4[[คะแนนเต็ม]:[คะแนนเต็ม]]),"",(tbl_task4[59]/tbl_task4[[คะแนนเต็ม]:[คะแนนเต็ม]])*tbl_task4[[%]:[%]])</f>
        <v/>
      </c>
      <c r="HV18" s="121" t="str">
        <f>IF(ISBLANK(tbl_task4[[คะแนนเต็ม]:[คะแนนเต็ม]]),"",(tbl_task4[60]/tbl_task4[[คะแนนเต็ม]:[คะแนนเต็ม]])*tbl_task4[[%]:[%]])</f>
        <v/>
      </c>
      <c r="HW18" s="121" t="str">
        <f>IF(ISBLANK(tbl_task4[[คะแนนเต็ม]:[คะแนนเต็ม]]),"",(tbl_task4[61]/tbl_task4[[คะแนนเต็ม]:[คะแนนเต็ม]])*tbl_task4[[%]:[%]])</f>
        <v/>
      </c>
      <c r="HX18" s="121" t="str">
        <f>IF(ISBLANK(tbl_task4[[คะแนนเต็ม]:[คะแนนเต็ม]]),"",(tbl_task4[62]/tbl_task4[[คะแนนเต็ม]:[คะแนนเต็ม]])*tbl_task4[[%]:[%]])</f>
        <v/>
      </c>
      <c r="HY18" s="121" t="str">
        <f>IF(ISBLANK(tbl_task4[[คะแนนเต็ม]:[คะแนนเต็ม]]),"",(tbl_task4[63]/tbl_task4[[คะแนนเต็ม]:[คะแนนเต็ม]])*tbl_task4[[%]:[%]])</f>
        <v/>
      </c>
      <c r="HZ18" s="121" t="str">
        <f>IF(ISBLANK(tbl_task4[[คะแนนเต็ม]:[คะแนนเต็ม]]),"",(tbl_task4[64]/tbl_task4[[คะแนนเต็ม]:[คะแนนเต็ม]])*tbl_task4[[%]:[%]])</f>
        <v/>
      </c>
      <c r="IA18" s="121" t="str">
        <f>IF(ISBLANK(tbl_task4[[คะแนนเต็ม]:[คะแนนเต็ม]]),"",(tbl_task4[65]/tbl_task4[[คะแนนเต็ม]:[คะแนนเต็ม]])*tbl_task4[[%]:[%]])</f>
        <v/>
      </c>
      <c r="IB18" s="121" t="str">
        <f>IF(ISBLANK(tbl_task4[[คะแนนเต็ม]:[คะแนนเต็ม]]),"",(tbl_task4[66]/tbl_task4[[คะแนนเต็ม]:[คะแนนเต็ม]])*tbl_task4[[%]:[%]])</f>
        <v/>
      </c>
      <c r="IC18" s="121" t="str">
        <f>IF(ISBLANK(tbl_task4[[คะแนนเต็ม]:[คะแนนเต็ม]]),"",(tbl_task4[67]/tbl_task4[[คะแนนเต็ม]:[คะแนนเต็ม]])*tbl_task4[[%]:[%]])</f>
        <v/>
      </c>
      <c r="ID18" s="121" t="str">
        <f>IF(ISBLANK(tbl_task4[[คะแนนเต็ม]:[คะแนนเต็ม]]),"",(tbl_task4[68]/tbl_task4[[คะแนนเต็ม]:[คะแนนเต็ม]])*tbl_task4[[%]:[%]])</f>
        <v/>
      </c>
      <c r="IE18" s="121" t="str">
        <f>IF(ISBLANK(tbl_task4[[คะแนนเต็ม]:[คะแนนเต็ม]]),"",(tbl_task4[69]/tbl_task4[[คะแนนเต็ม]:[คะแนนเต็ม]])*tbl_task4[[%]:[%]])</f>
        <v/>
      </c>
      <c r="IF18" s="121" t="str">
        <f>IF(ISBLANK(tbl_task4[[คะแนนเต็ม]:[คะแนนเต็ม]]),"",(tbl_task4[70]/tbl_task4[[คะแนนเต็ม]:[คะแนนเต็ม]])*tbl_task4[[%]:[%]])</f>
        <v/>
      </c>
      <c r="IG18" s="121" t="str">
        <f>IF(ISBLANK(tbl_task4[[คะแนนเต็ม]:[คะแนนเต็ม]]),"",(tbl_task4[71]/tbl_task4[[คะแนนเต็ม]:[คะแนนเต็ม]])*tbl_task4[[%]:[%]])</f>
        <v/>
      </c>
      <c r="IH18" s="121" t="str">
        <f>IF(ISBLANK(tbl_task4[[คะแนนเต็ม]:[คะแนนเต็ม]]),"",(tbl_task4[72]/tbl_task4[[คะแนนเต็ม]:[คะแนนเต็ม]])*tbl_task4[[%]:[%]])</f>
        <v/>
      </c>
      <c r="II18" s="121" t="str">
        <f>IF(ISBLANK(tbl_task4[[คะแนนเต็ม]:[คะแนนเต็ม]]),"",(tbl_task4[73]/tbl_task4[[คะแนนเต็ม]:[คะแนนเต็ม]])*tbl_task4[[%]:[%]])</f>
        <v/>
      </c>
      <c r="IJ18" s="121" t="str">
        <f>IF(ISBLANK(tbl_task4[[คะแนนเต็ม]:[คะแนนเต็ม]]),"",(tbl_task4[74]/tbl_task4[[คะแนนเต็ม]:[คะแนนเต็ม]])*tbl_task4[[%]:[%]])</f>
        <v/>
      </c>
      <c r="IK18" s="121" t="str">
        <f>IF(ISBLANK(tbl_task4[[คะแนนเต็ม]:[คะแนนเต็ม]]),"",(tbl_task4[75]/tbl_task4[[คะแนนเต็ม]:[คะแนนเต็ม]])*tbl_task4[[%]:[%]])</f>
        <v/>
      </c>
      <c r="IL18" s="121" t="str">
        <f>IF(ISBLANK(tbl_task4[[คะแนนเต็ม]:[คะแนนเต็ม]]),"",(tbl_task4[76]/tbl_task4[[คะแนนเต็ม]:[คะแนนเต็ม]])*tbl_task4[[%]:[%]])</f>
        <v/>
      </c>
      <c r="IM18" s="121" t="str">
        <f>IF(ISBLANK(tbl_task4[[คะแนนเต็ม]:[คะแนนเต็ม]]),"",(tbl_task4[77]/tbl_task4[[คะแนนเต็ม]:[คะแนนเต็ม]])*tbl_task4[[%]:[%]])</f>
        <v/>
      </c>
      <c r="IN18" s="121" t="str">
        <f>IF(ISBLANK(tbl_task4[[คะแนนเต็ม]:[คะแนนเต็ม]]),"",(tbl_task4[78]/tbl_task4[[คะแนนเต็ม]:[คะแนนเต็ม]])*tbl_task4[[%]:[%]])</f>
        <v/>
      </c>
      <c r="IO18" s="121" t="str">
        <f>IF(ISBLANK(tbl_task4[[คะแนนเต็ม]:[คะแนนเต็ม]]),"",(tbl_task4[79]/tbl_task4[[คะแนนเต็ม]:[คะแนนเต็ม]])*tbl_task4[[%]:[%]])</f>
        <v/>
      </c>
      <c r="IP18" s="121" t="str">
        <f>IF(ISBLANK(tbl_task4[[คะแนนเต็ม]:[คะแนนเต็ม]]),"",(tbl_task4[80]/tbl_task4[[คะแนนเต็ม]:[คะแนนเต็ม]])*tbl_task4[[%]:[%]])</f>
        <v/>
      </c>
      <c r="IQ18" s="121" t="str">
        <f>IF(ISBLANK(tbl_task4[[คะแนนเต็ม]:[คะแนนเต็ม]]),"",(tbl_task4[81]/tbl_task4[[คะแนนเต็ม]:[คะแนนเต็ม]])*tbl_task4[[%]:[%]])</f>
        <v/>
      </c>
      <c r="IR18" s="121" t="str">
        <f>IF(ISBLANK(tbl_task4[[คะแนนเต็ม]:[คะแนนเต็ม]]),"",(tbl_task4[82]/tbl_task4[[คะแนนเต็ม]:[คะแนนเต็ม]])*tbl_task4[[%]:[%]])</f>
        <v/>
      </c>
      <c r="IS18" s="121" t="str">
        <f>IF(ISBLANK(tbl_task4[[คะแนนเต็ม]:[คะแนนเต็ม]]),"",(tbl_task4[83]/tbl_task4[[คะแนนเต็ม]:[คะแนนเต็ม]])*tbl_task4[[%]:[%]])</f>
        <v/>
      </c>
      <c r="IT18" s="121" t="str">
        <f>IF(ISBLANK(tbl_task4[[คะแนนเต็ม]:[คะแนนเต็ม]]),"",(tbl_task4[84]/tbl_task4[[คะแนนเต็ม]:[คะแนนเต็ม]])*tbl_task4[[%]:[%]])</f>
        <v/>
      </c>
      <c r="IU18" s="121" t="str">
        <f>IF(ISBLANK(tbl_task4[[คะแนนเต็ม]:[คะแนนเต็ม]]),"",(tbl_task4[85]/tbl_task4[[คะแนนเต็ม]:[คะแนนเต็ม]])*tbl_task4[[%]:[%]])</f>
        <v/>
      </c>
      <c r="IV18" s="121" t="str">
        <f>IF(ISBLANK(tbl_task4[[คะแนนเต็ม]:[คะแนนเต็ม]]),"",(tbl_task4[86]/tbl_task4[[คะแนนเต็ม]:[คะแนนเต็ม]])*tbl_task4[[%]:[%]])</f>
        <v/>
      </c>
      <c r="IW18" s="121" t="str">
        <f>IF(ISBLANK(tbl_task4[[คะแนนเต็ม]:[คะแนนเต็ม]]),"",(tbl_task4[87]/tbl_task4[[คะแนนเต็ม]:[คะแนนเต็ม]])*tbl_task4[[%]:[%]])</f>
        <v/>
      </c>
      <c r="IX18" s="121" t="str">
        <f>IF(ISBLANK(tbl_task4[[คะแนนเต็ม]:[คะแนนเต็ม]]),"",(tbl_task4[88]/tbl_task4[[คะแนนเต็ม]:[คะแนนเต็ม]])*tbl_task4[[%]:[%]])</f>
        <v/>
      </c>
      <c r="IY18" s="121" t="str">
        <f>IF(ISBLANK(tbl_task4[[คะแนนเต็ม]:[คะแนนเต็ม]]),"",(tbl_task4[89]/tbl_task4[[คะแนนเต็ม]:[คะแนนเต็ม]])*tbl_task4[[%]:[%]])</f>
        <v/>
      </c>
      <c r="IZ18" s="121" t="str">
        <f>IF(ISBLANK(tbl_task4[[คะแนนเต็ม]:[คะแนนเต็ม]]),"",(tbl_task4[90]/tbl_task4[[คะแนนเต็ม]:[คะแนนเต็ม]])*tbl_task4[[%]:[%]])</f>
        <v/>
      </c>
      <c r="JA18" s="121" t="str">
        <f>IF(ISBLANK(tbl_task4[[คะแนนเต็ม]:[คะแนนเต็ม]]),"",(tbl_task4[91]/tbl_task4[[คะแนนเต็ม]:[คะแนนเต็ม]])*tbl_task4[[%]:[%]])</f>
        <v/>
      </c>
      <c r="JB18" s="121" t="str">
        <f>IF(ISBLANK(tbl_task4[[คะแนนเต็ม]:[คะแนนเต็ม]]),"",(tbl_task4[92]/tbl_task4[[คะแนนเต็ม]:[คะแนนเต็ม]])*tbl_task4[[%]:[%]])</f>
        <v/>
      </c>
      <c r="JC18" s="121" t="str">
        <f>IF(ISBLANK(tbl_task4[[คะแนนเต็ม]:[คะแนนเต็ม]]),"",(tbl_task4[93]/tbl_task4[[คะแนนเต็ม]:[คะแนนเต็ม]])*tbl_task4[[%]:[%]])</f>
        <v/>
      </c>
      <c r="JD18" s="121" t="str">
        <f>IF(ISBLANK(tbl_task4[[คะแนนเต็ม]:[คะแนนเต็ม]]),"",(tbl_task4[94]/tbl_task4[[คะแนนเต็ม]:[คะแนนเต็ม]])*tbl_task4[[%]:[%]])</f>
        <v/>
      </c>
      <c r="JE18" s="121" t="str">
        <f>IF(ISBLANK(tbl_task4[[คะแนนเต็ม]:[คะแนนเต็ม]]),"",(tbl_task4[95]/tbl_task4[[คะแนนเต็ม]:[คะแนนเต็ม]])*tbl_task4[[%]:[%]])</f>
        <v/>
      </c>
      <c r="JF18" s="121" t="str">
        <f>IF(ISBLANK(tbl_task4[[คะแนนเต็ม]:[คะแนนเต็ม]]),"",(tbl_task4[96]/tbl_task4[[คะแนนเต็ม]:[คะแนนเต็ม]])*tbl_task4[[%]:[%]])</f>
        <v/>
      </c>
      <c r="JG18" s="121" t="str">
        <f>IF(ISBLANK(tbl_task4[[คะแนนเต็ม]:[คะแนนเต็ม]]),"",(tbl_task4[97]/tbl_task4[[คะแนนเต็ม]:[คะแนนเต็ม]])*tbl_task4[[%]:[%]])</f>
        <v/>
      </c>
      <c r="JH18" s="121" t="str">
        <f>IF(ISBLANK(tbl_task4[[คะแนนเต็ม]:[คะแนนเต็ม]]),"",(tbl_task4[98]/tbl_task4[[คะแนนเต็ม]:[คะแนนเต็ม]])*tbl_task4[[%]:[%]])</f>
        <v/>
      </c>
      <c r="JI18" s="121" t="str">
        <f>IF(ISBLANK(tbl_task4[[คะแนนเต็ม]:[คะแนนเต็ม]]),"",(tbl_task4[99]/tbl_task4[[คะแนนเต็ม]:[คะแนนเต็ม]])*tbl_task4[[%]:[%]])</f>
        <v/>
      </c>
      <c r="JJ18" s="121" t="str">
        <f>IF(ISBLANK(tbl_task4[[คะแนนเต็ม]:[คะแนนเต็ม]]),"",(tbl_task4[100]/tbl_task4[[คะแนนเต็ม]:[คะแนนเต็ม]])*tbl_task4[[%]:[%]])</f>
        <v/>
      </c>
      <c r="JK18" s="121" t="str">
        <f>IF(ISBLANK(tbl_task4[[คะแนนเต็ม]:[คะแนนเต็ม]]),"",(tbl_task4[101]/tbl_task4[[คะแนนเต็ม]:[คะแนนเต็ม]])*tbl_task4[[%]:[%]])</f>
        <v/>
      </c>
      <c r="JL18" s="121" t="str">
        <f>IF(ISBLANK(tbl_task4[[คะแนนเต็ม]:[คะแนนเต็ม]]),"",(tbl_task4[102]/tbl_task4[[คะแนนเต็ม]:[คะแนนเต็ม]])*tbl_task4[[%]:[%]])</f>
        <v/>
      </c>
      <c r="JM18" s="121" t="str">
        <f>IF(ISBLANK(tbl_task4[[คะแนนเต็ม]:[คะแนนเต็ม]]),"",(tbl_task4[103]/tbl_task4[[คะแนนเต็ม]:[คะแนนเต็ม]])*tbl_task4[[%]:[%]])</f>
        <v/>
      </c>
      <c r="JN18" s="121" t="str">
        <f>IF(ISBLANK(tbl_task4[[คะแนนเต็ม]:[คะแนนเต็ม]]),"",(tbl_task4[104]/tbl_task4[[คะแนนเต็ม]:[คะแนนเต็ม]])*tbl_task4[[%]:[%]])</f>
        <v/>
      </c>
      <c r="JO18" s="121" t="str">
        <f>IF(ISBLANK(tbl_task4[[คะแนนเต็ม]:[คะแนนเต็ม]]),"",(tbl_task4[105]/tbl_task4[[คะแนนเต็ม]:[คะแนนเต็ม]])*tbl_task4[[%]:[%]])</f>
        <v/>
      </c>
      <c r="JP18" s="121" t="str">
        <f>IF(ISBLANK(tbl_task4[[คะแนนเต็ม]:[คะแนนเต็ม]]),"",(tbl_task4[106]/tbl_task4[[คะแนนเต็ม]:[คะแนนเต็ม]])*tbl_task4[[%]:[%]])</f>
        <v/>
      </c>
      <c r="JQ18" s="121" t="str">
        <f>IF(ISBLANK(tbl_task4[[คะแนนเต็ม]:[คะแนนเต็ม]]),"",(tbl_task4[107]/tbl_task4[[คะแนนเต็ม]:[คะแนนเต็ม]])*tbl_task4[[%]:[%]])</f>
        <v/>
      </c>
      <c r="JR18" s="121" t="str">
        <f>IF(ISBLANK(tbl_task4[[คะแนนเต็ม]:[คะแนนเต็ม]]),"",(tbl_task4[108]/tbl_task4[[คะแนนเต็ม]:[คะแนนเต็ม]])*tbl_task4[[%]:[%]])</f>
        <v/>
      </c>
      <c r="JS18" s="121" t="str">
        <f>IF(ISBLANK(tbl_task4[[คะแนนเต็ม]:[คะแนนเต็ม]]),"",(tbl_task4[109]/tbl_task4[[คะแนนเต็ม]:[คะแนนเต็ม]])*tbl_task4[[%]:[%]])</f>
        <v/>
      </c>
      <c r="JT18" s="121" t="str">
        <f>IF(ISBLANK(tbl_task4[[คะแนนเต็ม]:[คะแนนเต็ม]]),"",(tbl_task4[110]/tbl_task4[[คะแนนเต็ม]:[คะแนนเต็ม]])*tbl_task4[[%]:[%]])</f>
        <v/>
      </c>
      <c r="JU18" s="121" t="str">
        <f>IF(ISBLANK(tbl_task4[[คะแนนเต็ม]:[คะแนนเต็ม]]),"",(tbl_task4[111]/tbl_task4[[คะแนนเต็ม]:[คะแนนเต็ม]])*tbl_task4[[%]:[%]])</f>
        <v/>
      </c>
      <c r="JV18" s="121" t="str">
        <f>IF(ISBLANK(tbl_task4[[คะแนนเต็ม]:[คะแนนเต็ม]]),"",(tbl_task4[112]/tbl_task4[[คะแนนเต็ม]:[คะแนนเต็ม]])*tbl_task4[[%]:[%]])</f>
        <v/>
      </c>
      <c r="JW18" s="121" t="str">
        <f>IF(ISBLANK(tbl_task4[[คะแนนเต็ม]:[คะแนนเต็ม]]),"",(tbl_task4[113]/tbl_task4[[คะแนนเต็ม]:[คะแนนเต็ม]])*tbl_task4[[%]:[%]])</f>
        <v/>
      </c>
      <c r="JX18" s="121" t="str">
        <f>IF(ISBLANK(tbl_task4[[คะแนนเต็ม]:[คะแนนเต็ม]]),"",(tbl_task4[114]/tbl_task4[[คะแนนเต็ม]:[คะแนนเต็ม]])*tbl_task4[[%]:[%]])</f>
        <v/>
      </c>
      <c r="JY18" s="121" t="str">
        <f>IF(ISBLANK(tbl_task4[[คะแนนเต็ม]:[คะแนนเต็ม]]),"",(tbl_task4[115]/tbl_task4[[คะแนนเต็ม]:[คะแนนเต็ม]])*tbl_task4[[%]:[%]])</f>
        <v/>
      </c>
      <c r="JZ18" s="121" t="str">
        <f>IF(ISBLANK(tbl_task4[[คะแนนเต็ม]:[คะแนนเต็ม]]),"",(tbl_task4[116]/tbl_task4[[คะแนนเต็ม]:[คะแนนเต็ม]])*tbl_task4[[%]:[%]])</f>
        <v/>
      </c>
      <c r="KA18" s="121" t="str">
        <f>IF(ISBLANK(tbl_task4[[คะแนนเต็ม]:[คะแนนเต็ม]]),"",(tbl_task4[117]/tbl_task4[[คะแนนเต็ม]:[คะแนนเต็ม]])*tbl_task4[[%]:[%]])</f>
        <v/>
      </c>
      <c r="KB18" s="121" t="str">
        <f>IF(ISBLANK(tbl_task4[[คะแนนเต็ม]:[คะแนนเต็ม]]),"",(tbl_task4[118]/tbl_task4[[คะแนนเต็ม]:[คะแนนเต็ม]])*tbl_task4[[%]:[%]])</f>
        <v/>
      </c>
      <c r="KC18" s="121" t="str">
        <f>IF(ISBLANK(tbl_task4[[คะแนนเต็ม]:[คะแนนเต็ม]]),"",(tbl_task4[119]/tbl_task4[[คะแนนเต็ม]:[คะแนนเต็ม]])*tbl_task4[[%]:[%]])</f>
        <v/>
      </c>
      <c r="KD18" s="121" t="str">
        <f>IF(ISBLANK(tbl_task4[[คะแนนเต็ม]:[คะแนนเต็ม]]),"",(tbl_task4[120]/tbl_task4[[คะแนนเต็ม]:[คะแนนเต็ม]])*tbl_task4[[%]:[%]])</f>
        <v/>
      </c>
      <c r="KE18" s="121" t="str">
        <f>IF(ISBLANK(tbl_task4[[คะแนนเต็ม]:[คะแนนเต็ม]]),"",(tbl_task4[121]/tbl_task4[[คะแนนเต็ม]:[คะแนนเต็ม]])*tbl_task4[[%]:[%]])</f>
        <v/>
      </c>
      <c r="KF18" s="121" t="str">
        <f>IF(ISBLANK(tbl_task4[[คะแนนเต็ม]:[คะแนนเต็ม]]),"",(tbl_task4[122]/tbl_task4[[คะแนนเต็ม]:[คะแนนเต็ม]])*tbl_task4[[%]:[%]])</f>
        <v/>
      </c>
      <c r="KG18" s="121" t="str">
        <f>IF(ISBLANK(tbl_task4[[คะแนนเต็ม]:[คะแนนเต็ม]]),"",(tbl_task4[123]/tbl_task4[[คะแนนเต็ม]:[คะแนนเต็ม]])*tbl_task4[[%]:[%]])</f>
        <v/>
      </c>
      <c r="KH18" s="121" t="str">
        <f>IF(ISBLANK(tbl_task4[[คะแนนเต็ม]:[คะแนนเต็ม]]),"",(tbl_task4[124]/tbl_task4[[คะแนนเต็ม]:[คะแนนเต็ม]])*tbl_task4[[%]:[%]])</f>
        <v/>
      </c>
      <c r="KI18" s="121" t="str">
        <f>IF(ISBLANK(tbl_task4[[คะแนนเต็ม]:[คะแนนเต็ม]]),"",(tbl_task4[125]/tbl_task4[[คะแนนเต็ม]:[คะแนนเต็ม]])*tbl_task4[[%]:[%]])</f>
        <v/>
      </c>
      <c r="KJ18" s="121" t="str">
        <f>IF(ISBLANK(tbl_task4[[คะแนนเต็ม]:[คะแนนเต็ม]]),"",(tbl_task4[126]/tbl_task4[[คะแนนเต็ม]:[คะแนนเต็ม]])*tbl_task4[[%]:[%]])</f>
        <v/>
      </c>
      <c r="KK18" s="121" t="str">
        <f>IF(ISBLANK(tbl_task4[[คะแนนเต็ม]:[คะแนนเต็ม]]),"",(tbl_task4[127]/tbl_task4[[คะแนนเต็ม]:[คะแนนเต็ม]])*tbl_task4[[%]:[%]])</f>
        <v/>
      </c>
      <c r="KL18" s="121" t="str">
        <f>IF(ISBLANK(tbl_task4[[คะแนนเต็ม]:[คะแนนเต็ม]]),"",(tbl_task4[128]/tbl_task4[[คะแนนเต็ม]:[คะแนนเต็ม]])*tbl_task4[[%]:[%]])</f>
        <v/>
      </c>
      <c r="KM18" s="121" t="str">
        <f>IF(ISBLANK(tbl_task4[[คะแนนเต็ม]:[คะแนนเต็ม]]),"",(tbl_task4[129]/tbl_task4[[คะแนนเต็ม]:[คะแนนเต็ม]])*tbl_task4[[%]:[%]])</f>
        <v/>
      </c>
      <c r="KN18" s="121" t="str">
        <f>IF(ISBLANK(tbl_task4[[คะแนนเต็ม]:[คะแนนเต็ม]]),"",(tbl_task4[130]/tbl_task4[[คะแนนเต็ม]:[คะแนนเต็ม]])*tbl_task4[[%]:[%]])</f>
        <v/>
      </c>
      <c r="KO18" s="121" t="str">
        <f>IF(ISBLANK(tbl_task4[[คะแนนเต็ม]:[คะแนนเต็ม]]),"",(tbl_task4[131]/tbl_task4[[คะแนนเต็ม]:[คะแนนเต็ม]])*tbl_task4[[%]:[%]])</f>
        <v/>
      </c>
      <c r="KP18" s="121" t="str">
        <f>IF(ISBLANK(tbl_task4[[คะแนนเต็ม]:[คะแนนเต็ม]]),"",(tbl_task4[132]/tbl_task4[[คะแนนเต็ม]:[คะแนนเต็ม]])*tbl_task4[[%]:[%]])</f>
        <v/>
      </c>
      <c r="KQ18" s="121" t="str">
        <f>IF(ISBLANK(tbl_task4[[คะแนนเต็ม]:[คะแนนเต็ม]]),"",(tbl_task4[133]/tbl_task4[[คะแนนเต็ม]:[คะแนนเต็ม]])*tbl_task4[[%]:[%]])</f>
        <v/>
      </c>
      <c r="KR18" s="121" t="str">
        <f>IF(ISBLANK(tbl_task4[[คะแนนเต็ม]:[คะแนนเต็ม]]),"",(tbl_task4[134]/tbl_task4[[คะแนนเต็ม]:[คะแนนเต็ม]])*tbl_task4[[%]:[%]])</f>
        <v/>
      </c>
      <c r="KS18" s="121" t="str">
        <f>IF(ISBLANK(tbl_task4[[คะแนนเต็ม]:[คะแนนเต็ม]]),"",(tbl_task4[135]/tbl_task4[[คะแนนเต็ม]:[คะแนนเต็ม]])*tbl_task4[[%]:[%]])</f>
        <v/>
      </c>
      <c r="KT18" s="121" t="str">
        <f>IF(ISBLANK(tbl_task4[[คะแนนเต็ม]:[คะแนนเต็ม]]),"",(tbl_task4[136]/tbl_task4[[คะแนนเต็ม]:[คะแนนเต็ม]])*tbl_task4[[%]:[%]])</f>
        <v/>
      </c>
      <c r="KU18" s="121" t="str">
        <f>IF(ISBLANK(tbl_task4[[คะแนนเต็ม]:[คะแนนเต็ม]]),"",(tbl_task4[137]/tbl_task4[[คะแนนเต็ม]:[คะแนนเต็ม]])*tbl_task4[[%]:[%]])</f>
        <v/>
      </c>
      <c r="KV18" s="121" t="str">
        <f>IF(ISBLANK(tbl_task4[[คะแนนเต็ม]:[คะแนนเต็ม]]),"",(tbl_task4[138]/tbl_task4[[คะแนนเต็ม]:[คะแนนเต็ม]])*tbl_task4[[%]:[%]])</f>
        <v/>
      </c>
      <c r="KW18" s="121" t="str">
        <f>IF(ISBLANK(tbl_task4[[คะแนนเต็ม]:[คะแนนเต็ม]]),"",(tbl_task4[139]/tbl_task4[[คะแนนเต็ม]:[คะแนนเต็ม]])*tbl_task4[[%]:[%]])</f>
        <v/>
      </c>
      <c r="KX18" s="121" t="str">
        <f>IF(ISBLANK(tbl_task4[[คะแนนเต็ม]:[คะแนนเต็ม]]),"",(tbl_task4[140]/tbl_task4[[คะแนนเต็ม]:[คะแนนเต็ม]])*tbl_task4[[%]:[%]])</f>
        <v/>
      </c>
      <c r="KY18" s="121" t="str">
        <f>IF(ISBLANK(tbl_task4[[คะแนนเต็ม]:[คะแนนเต็ม]]),"",(tbl_task4[141]/tbl_task4[[คะแนนเต็ม]:[คะแนนเต็ม]])*tbl_task4[[%]:[%]])</f>
        <v/>
      </c>
      <c r="KZ18" s="121" t="str">
        <f>IF(ISBLANK(tbl_task4[[คะแนนเต็ม]:[คะแนนเต็ม]]),"",(tbl_task4[142]/tbl_task4[[คะแนนเต็ม]:[คะแนนเต็ม]])*tbl_task4[[%]:[%]])</f>
        <v/>
      </c>
      <c r="LA18" s="121" t="str">
        <f>IF(ISBLANK(tbl_task4[[คะแนนเต็ม]:[คะแนนเต็ม]]),"",(tbl_task4[143]/tbl_task4[[คะแนนเต็ม]:[คะแนนเต็ม]])*tbl_task4[[%]:[%]])</f>
        <v/>
      </c>
      <c r="LB18" s="121" t="str">
        <f>IF(ISBLANK(tbl_task4[[คะแนนเต็ม]:[คะแนนเต็ม]]),"",(tbl_task4[144]/tbl_task4[[คะแนนเต็ม]:[คะแนนเต็ม]])*tbl_task4[[%]:[%]])</f>
        <v/>
      </c>
      <c r="LC18" s="121" t="str">
        <f>IF(ISBLANK(tbl_task4[[คะแนนเต็ม]:[คะแนนเต็ม]]),"",(tbl_task4[145]/tbl_task4[[คะแนนเต็ม]:[คะแนนเต็ม]])*tbl_task4[[%]:[%]])</f>
        <v/>
      </c>
      <c r="LD18" s="121" t="str">
        <f>IF(ISBLANK(tbl_task4[[คะแนนเต็ม]:[คะแนนเต็ม]]),"",(tbl_task4[146]/tbl_task4[[คะแนนเต็ม]:[คะแนนเต็ม]])*tbl_task4[[%]:[%]])</f>
        <v/>
      </c>
      <c r="LE18" s="121" t="str">
        <f>IF(ISBLANK(tbl_task4[[คะแนนเต็ม]:[คะแนนเต็ม]]),"",(tbl_task4[147]/tbl_task4[[คะแนนเต็ม]:[คะแนนเต็ม]])*tbl_task4[[%]:[%]])</f>
        <v/>
      </c>
      <c r="LF18" s="121" t="str">
        <f>IF(ISBLANK(tbl_task4[[คะแนนเต็ม]:[คะแนนเต็ม]]),"",(tbl_task4[148]/tbl_task4[[คะแนนเต็ม]:[คะแนนเต็ม]])*tbl_task4[[%]:[%]])</f>
        <v/>
      </c>
      <c r="LG18" s="121" t="str">
        <f>IF(ISBLANK(tbl_task4[[คะแนนเต็ม]:[คะแนนเต็ม]]),"",(tbl_task4[149]/tbl_task4[[คะแนนเต็ม]:[คะแนนเต็ม]])*tbl_task4[[%]:[%]])</f>
        <v/>
      </c>
      <c r="LH18" s="121" t="str">
        <f>IF(ISBLANK(tbl_task4[[คะแนนเต็ม]:[คะแนนเต็ม]]),"",(tbl_task4[150]/tbl_task4[[คะแนนเต็ม]:[คะแนนเต็ม]])*tbl_task4[[%]:[%]])</f>
        <v/>
      </c>
      <c r="LI18" s="121" t="str">
        <f>IF(ISBLANK(tbl_task4[[คะแนนเต็ม]:[คะแนนเต็ม]]),"",(tbl_task4[151]/tbl_task4[[คะแนนเต็ม]:[คะแนนเต็ม]])*tbl_task4[[%]:[%]])</f>
        <v/>
      </c>
      <c r="LJ18" s="121" t="str">
        <f>IF(ISBLANK(tbl_task4[[คะแนนเต็ม]:[คะแนนเต็ม]]),"",(tbl_task4[152]/tbl_task4[[คะแนนเต็ม]:[คะแนนเต็ม]])*tbl_task4[[%]:[%]])</f>
        <v/>
      </c>
      <c r="LK18" s="121" t="str">
        <f>IF(ISBLANK(tbl_task4[[คะแนนเต็ม]:[คะแนนเต็ม]]),"",(tbl_task4[153]/tbl_task4[[คะแนนเต็ม]:[คะแนนเต็ม]])*tbl_task4[[%]:[%]])</f>
        <v/>
      </c>
      <c r="LL18" s="121" t="str">
        <f>IF(ISBLANK(tbl_task4[[คะแนนเต็ม]:[คะแนนเต็ม]]),"",(tbl_task4[154]/tbl_task4[[คะแนนเต็ม]:[คะแนนเต็ม]])*tbl_task4[[%]:[%]])</f>
        <v/>
      </c>
      <c r="LM18" s="121" t="str">
        <f>IF(ISBLANK(tbl_task4[[คะแนนเต็ม]:[คะแนนเต็ม]]),"",(tbl_task4[155]/tbl_task4[[คะแนนเต็ม]:[คะแนนเต็ม]])*tbl_task4[[%]:[%]])</f>
        <v/>
      </c>
      <c r="LN18" s="121" t="str">
        <f>IF(ISBLANK(tbl_task4[[คะแนนเต็ม]:[คะแนนเต็ม]]),"",(tbl_task4[156]/tbl_task4[[คะแนนเต็ม]:[คะแนนเต็ม]])*tbl_task4[[%]:[%]])</f>
        <v/>
      </c>
      <c r="LO18" s="121" t="str">
        <f>IF(ISBLANK(tbl_task4[[คะแนนเต็ม]:[คะแนนเต็ม]]),"",(tbl_task4[157]/tbl_task4[[คะแนนเต็ม]:[คะแนนเต็ม]])*tbl_task4[[%]:[%]])</f>
        <v/>
      </c>
      <c r="LP18" s="121" t="str">
        <f>IF(ISBLANK(tbl_task4[[คะแนนเต็ม]:[คะแนนเต็ม]]),"",(tbl_task4[158]/tbl_task4[[คะแนนเต็ม]:[คะแนนเต็ม]])*tbl_task4[[%]:[%]])</f>
        <v/>
      </c>
      <c r="LQ18" s="121" t="str">
        <f>IF(ISBLANK(tbl_task4[[คะแนนเต็ม]:[คะแนนเต็ม]]),"",(tbl_task4[159]/tbl_task4[[คะแนนเต็ม]:[คะแนนเต็ม]])*tbl_task4[[%]:[%]])</f>
        <v/>
      </c>
      <c r="LR18" s="121" t="str">
        <f>IF(ISBLANK(tbl_task4[[คะแนนเต็ม]:[คะแนนเต็ม]]),"",(tbl_task4[160]/tbl_task4[[คะแนนเต็ม]:[คะแนนเต็ม]])*tbl_task4[[%]:[%]])</f>
        <v/>
      </c>
      <c r="LS18" s="121" t="str">
        <f>IF(ISBLANK(tbl_task4[[คะแนนเต็ม]:[คะแนนเต็ม]]),"",(tbl_task4[161]/tbl_task4[[คะแนนเต็ม]:[คะแนนเต็ม]])*tbl_task4[[%]:[%]])</f>
        <v/>
      </c>
      <c r="LT18" s="121" t="str">
        <f>IF(ISBLANK(tbl_task4[[คะแนนเต็ม]:[คะแนนเต็ม]]),"",(tbl_task4[162]/tbl_task4[[คะแนนเต็ม]:[คะแนนเต็ม]])*tbl_task4[[%]:[%]])</f>
        <v/>
      </c>
      <c r="LU18" s="121" t="str">
        <f>IF(ISBLANK(tbl_task4[[คะแนนเต็ม]:[คะแนนเต็ม]]),"",(tbl_task4[163]/tbl_task4[[คะแนนเต็ม]:[คะแนนเต็ม]])*tbl_task4[[%]:[%]])</f>
        <v/>
      </c>
      <c r="LV18" s="121" t="str">
        <f>IF(ISBLANK(tbl_task4[[คะแนนเต็ม]:[คะแนนเต็ม]]),"",(tbl_task4[164]/tbl_task4[[คะแนนเต็ม]:[คะแนนเต็ม]])*tbl_task4[[%]:[%]])</f>
        <v/>
      </c>
      <c r="LW18" s="121" t="str">
        <f>IF(ISBLANK(tbl_task4[[คะแนนเต็ม]:[คะแนนเต็ม]]),"",(tbl_task4[165]/tbl_task4[[คะแนนเต็ม]:[คะแนนเต็ม]])*tbl_task4[[%]:[%]])</f>
        <v/>
      </c>
    </row>
    <row r="19" spans="1:335" ht="24" customHeight="1" x14ac:dyDescent="0.25">
      <c r="A19" s="24">
        <v>16</v>
      </c>
      <c r="B19" s="20"/>
      <c r="C19" s="5" t="str">
        <f>IF(ISBLANK(B19),"",VLOOKUP(B19,tbl_PLOs[],2,0))</f>
        <v/>
      </c>
      <c r="D19" s="102"/>
      <c r="E19" s="106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121" t="str">
        <f>IF(ISBLANK(tbl_task4[[คะแนนเต็ม]:[คะแนนเต็ม]]),"",(tbl_task4[1]/tbl_task4[[คะแนนเต็ม]:[คะแนนเต็ม]])*tbl_task4[[%]:[%]])</f>
        <v/>
      </c>
      <c r="FP19" s="121" t="str">
        <f>IF(ISBLANK(tbl_task4[[คะแนนเต็ม]:[คะแนนเต็ม]]),"",(tbl_task4[2]/tbl_task4[[คะแนนเต็ม]:[คะแนนเต็ม]])*tbl_task4[[%]:[%]])</f>
        <v/>
      </c>
      <c r="FQ19" s="121" t="str">
        <f>IF(ISBLANK(tbl_task4[[คะแนนเต็ม]:[คะแนนเต็ม]]),"",(tbl_task4[3]/tbl_task4[[คะแนนเต็ม]:[คะแนนเต็ม]])*tbl_task4[[%]:[%]])</f>
        <v/>
      </c>
      <c r="FR19" s="121" t="str">
        <f>IF(ISBLANK(tbl_task4[[คะแนนเต็ม]:[คะแนนเต็ม]]),"",(tbl_task4[4]/tbl_task4[[คะแนนเต็ม]:[คะแนนเต็ม]])*tbl_task4[[%]:[%]])</f>
        <v/>
      </c>
      <c r="FS19" s="121" t="str">
        <f>IF(ISBLANK(tbl_task4[[คะแนนเต็ม]:[คะแนนเต็ม]]),"",(tbl_task4[5]/tbl_task4[[คะแนนเต็ม]:[คะแนนเต็ม]])*tbl_task4[[%]:[%]])</f>
        <v/>
      </c>
      <c r="FT19" s="121" t="str">
        <f>IF(ISBLANK(tbl_task4[[คะแนนเต็ม]:[คะแนนเต็ม]]),"",(tbl_task4[6]/tbl_task4[[คะแนนเต็ม]:[คะแนนเต็ม]])*tbl_task4[[%]:[%]])</f>
        <v/>
      </c>
      <c r="FU19" s="121" t="str">
        <f>IF(ISBLANK(tbl_task4[[คะแนนเต็ม]:[คะแนนเต็ม]]),"",(tbl_task4[7]/tbl_task4[[คะแนนเต็ม]:[คะแนนเต็ม]])*tbl_task4[[%]:[%]])</f>
        <v/>
      </c>
      <c r="FV19" s="121" t="str">
        <f>IF(ISBLANK(tbl_task4[[คะแนนเต็ม]:[คะแนนเต็ม]]),"",(tbl_task4[8]/tbl_task4[[คะแนนเต็ม]:[คะแนนเต็ม]])*tbl_task4[[%]:[%]])</f>
        <v/>
      </c>
      <c r="FW19" s="121" t="str">
        <f>IF(ISBLANK(tbl_task4[[คะแนนเต็ม]:[คะแนนเต็ม]]),"",(tbl_task4[9]/tbl_task4[[คะแนนเต็ม]:[คะแนนเต็ม]])*tbl_task4[[%]:[%]])</f>
        <v/>
      </c>
      <c r="FX19" s="121" t="str">
        <f>IF(ISBLANK(tbl_task4[[คะแนนเต็ม]:[คะแนนเต็ม]]),"",(tbl_task4[10]/tbl_task4[[คะแนนเต็ม]:[คะแนนเต็ม]])*tbl_task4[[%]:[%]])</f>
        <v/>
      </c>
      <c r="FY19" s="121" t="str">
        <f>IF(ISBLANK(tbl_task4[[คะแนนเต็ม]:[คะแนนเต็ม]]),"",(tbl_task4[11]/tbl_task4[[คะแนนเต็ม]:[คะแนนเต็ม]])*tbl_task4[[%]:[%]])</f>
        <v/>
      </c>
      <c r="FZ19" s="121" t="str">
        <f>IF(ISBLANK(tbl_task4[[คะแนนเต็ม]:[คะแนนเต็ม]]),"",(tbl_task4[12]/tbl_task4[[คะแนนเต็ม]:[คะแนนเต็ม]])*tbl_task4[[%]:[%]])</f>
        <v/>
      </c>
      <c r="GA19" s="121" t="str">
        <f>IF(ISBLANK(tbl_task4[[คะแนนเต็ม]:[คะแนนเต็ม]]),"",(tbl_task4[13]/tbl_task4[[คะแนนเต็ม]:[คะแนนเต็ม]])*tbl_task4[[%]:[%]])</f>
        <v/>
      </c>
      <c r="GB19" s="121" t="str">
        <f>IF(ISBLANK(tbl_task4[[คะแนนเต็ม]:[คะแนนเต็ม]]),"",(tbl_task4[14]/tbl_task4[[คะแนนเต็ม]:[คะแนนเต็ม]])*tbl_task4[[%]:[%]])</f>
        <v/>
      </c>
      <c r="GC19" s="121" t="str">
        <f>IF(ISBLANK(tbl_task4[[คะแนนเต็ม]:[คะแนนเต็ม]]),"",(tbl_task4[15]/tbl_task4[[คะแนนเต็ม]:[คะแนนเต็ม]])*tbl_task4[[%]:[%]])</f>
        <v/>
      </c>
      <c r="GD19" s="121" t="str">
        <f>IF(ISBLANK(tbl_task4[[คะแนนเต็ม]:[คะแนนเต็ม]]),"",(tbl_task4[16]/tbl_task4[[คะแนนเต็ม]:[คะแนนเต็ม]])*tbl_task4[[%]:[%]])</f>
        <v/>
      </c>
      <c r="GE19" s="121" t="str">
        <f>IF(ISBLANK(tbl_task4[[คะแนนเต็ม]:[คะแนนเต็ม]]),"",(tbl_task4[17]/tbl_task4[[คะแนนเต็ม]:[คะแนนเต็ม]])*tbl_task4[[%]:[%]])</f>
        <v/>
      </c>
      <c r="GF19" s="121" t="str">
        <f>IF(ISBLANK(tbl_task4[[คะแนนเต็ม]:[คะแนนเต็ม]]),"",(tbl_task4[18]/tbl_task4[[คะแนนเต็ม]:[คะแนนเต็ม]])*tbl_task4[[%]:[%]])</f>
        <v/>
      </c>
      <c r="GG19" s="121" t="str">
        <f>IF(ISBLANK(tbl_task4[[คะแนนเต็ม]:[คะแนนเต็ม]]),"",(tbl_task4[19]/tbl_task4[[คะแนนเต็ม]:[คะแนนเต็ม]])*tbl_task4[[%]:[%]])</f>
        <v/>
      </c>
      <c r="GH19" s="121" t="str">
        <f>IF(ISBLANK(tbl_task4[[คะแนนเต็ม]:[คะแนนเต็ม]]),"",(tbl_task4[20]/tbl_task4[[คะแนนเต็ม]:[คะแนนเต็ม]])*tbl_task4[[%]:[%]])</f>
        <v/>
      </c>
      <c r="GI19" s="121" t="str">
        <f>IF(ISBLANK(tbl_task4[[คะแนนเต็ม]:[คะแนนเต็ม]]),"",(tbl_task4[21]/tbl_task4[[คะแนนเต็ม]:[คะแนนเต็ม]])*tbl_task4[[%]:[%]])</f>
        <v/>
      </c>
      <c r="GJ19" s="121" t="str">
        <f>IF(ISBLANK(tbl_task4[[คะแนนเต็ม]:[คะแนนเต็ม]]),"",(tbl_task4[22]/tbl_task4[[คะแนนเต็ม]:[คะแนนเต็ม]])*tbl_task4[[%]:[%]])</f>
        <v/>
      </c>
      <c r="GK19" s="121" t="str">
        <f>IF(ISBLANK(tbl_task4[[คะแนนเต็ม]:[คะแนนเต็ม]]),"",(tbl_task4[23]/tbl_task4[[คะแนนเต็ม]:[คะแนนเต็ม]])*tbl_task4[[%]:[%]])</f>
        <v/>
      </c>
      <c r="GL19" s="121" t="str">
        <f>IF(ISBLANK(tbl_task4[[คะแนนเต็ม]:[คะแนนเต็ม]]),"",(tbl_task4[24]/tbl_task4[[คะแนนเต็ม]:[คะแนนเต็ม]])*tbl_task4[[%]:[%]])</f>
        <v/>
      </c>
      <c r="GM19" s="121" t="str">
        <f>IF(ISBLANK(tbl_task4[[คะแนนเต็ม]:[คะแนนเต็ม]]),"",(tbl_task4[25]/tbl_task4[[คะแนนเต็ม]:[คะแนนเต็ม]])*tbl_task4[[%]:[%]])</f>
        <v/>
      </c>
      <c r="GN19" s="121" t="str">
        <f>IF(ISBLANK(tbl_task4[[คะแนนเต็ม]:[คะแนนเต็ม]]),"",(tbl_task4[26]/tbl_task4[[คะแนนเต็ม]:[คะแนนเต็ม]])*tbl_task4[[%]:[%]])</f>
        <v/>
      </c>
      <c r="GO19" s="121" t="str">
        <f>IF(ISBLANK(tbl_task4[[คะแนนเต็ม]:[คะแนนเต็ม]]),"",(tbl_task4[27]/tbl_task4[[คะแนนเต็ม]:[คะแนนเต็ม]])*tbl_task4[[%]:[%]])</f>
        <v/>
      </c>
      <c r="GP19" s="121" t="str">
        <f>IF(ISBLANK(tbl_task4[[คะแนนเต็ม]:[คะแนนเต็ม]]),"",(tbl_task4[28]/tbl_task4[[คะแนนเต็ม]:[คะแนนเต็ม]])*tbl_task4[[%]:[%]])</f>
        <v/>
      </c>
      <c r="GQ19" s="121" t="str">
        <f>IF(ISBLANK(tbl_task4[[คะแนนเต็ม]:[คะแนนเต็ม]]),"",(tbl_task4[29]/tbl_task4[[คะแนนเต็ม]:[คะแนนเต็ม]])*tbl_task4[[%]:[%]])</f>
        <v/>
      </c>
      <c r="GR19" s="121" t="str">
        <f>IF(ISBLANK(tbl_task4[[คะแนนเต็ม]:[คะแนนเต็ม]]),"",(tbl_task4[30]/tbl_task4[[คะแนนเต็ม]:[คะแนนเต็ม]])*tbl_task4[[%]:[%]])</f>
        <v/>
      </c>
      <c r="GS19" s="121" t="str">
        <f>IF(ISBLANK(tbl_task4[[คะแนนเต็ม]:[คะแนนเต็ม]]),"",(tbl_task4[31]/tbl_task4[[คะแนนเต็ม]:[คะแนนเต็ม]])*tbl_task4[[%]:[%]])</f>
        <v/>
      </c>
      <c r="GT19" s="121" t="str">
        <f>IF(ISBLANK(tbl_task4[[คะแนนเต็ม]:[คะแนนเต็ม]]),"",(tbl_task4[32]/tbl_task4[[คะแนนเต็ม]:[คะแนนเต็ม]])*tbl_task4[[%]:[%]])</f>
        <v/>
      </c>
      <c r="GU19" s="121" t="str">
        <f>IF(ISBLANK(tbl_task4[[คะแนนเต็ม]:[คะแนนเต็ม]]),"",(tbl_task4[33]/tbl_task4[[คะแนนเต็ม]:[คะแนนเต็ม]])*tbl_task4[[%]:[%]])</f>
        <v/>
      </c>
      <c r="GV19" s="121" t="str">
        <f>IF(ISBLANK(tbl_task4[[คะแนนเต็ม]:[คะแนนเต็ม]]),"",(tbl_task4[34]/tbl_task4[[คะแนนเต็ม]:[คะแนนเต็ม]])*tbl_task4[[%]:[%]])</f>
        <v/>
      </c>
      <c r="GW19" s="121" t="str">
        <f>IF(ISBLANK(tbl_task4[[คะแนนเต็ม]:[คะแนนเต็ม]]),"",(tbl_task4[35]/tbl_task4[[คะแนนเต็ม]:[คะแนนเต็ม]])*tbl_task4[[%]:[%]])</f>
        <v/>
      </c>
      <c r="GX19" s="121" t="str">
        <f>IF(ISBLANK(tbl_task4[[คะแนนเต็ม]:[คะแนนเต็ม]]),"",(tbl_task4[36]/tbl_task4[[คะแนนเต็ม]:[คะแนนเต็ม]])*tbl_task4[[%]:[%]])</f>
        <v/>
      </c>
      <c r="GY19" s="121" t="str">
        <f>IF(ISBLANK(tbl_task4[[คะแนนเต็ม]:[คะแนนเต็ม]]),"",(tbl_task4[37]/tbl_task4[[คะแนนเต็ม]:[คะแนนเต็ม]])*tbl_task4[[%]:[%]])</f>
        <v/>
      </c>
      <c r="GZ19" s="121" t="str">
        <f>IF(ISBLANK(tbl_task4[[คะแนนเต็ม]:[คะแนนเต็ม]]),"",(tbl_task4[38]/tbl_task4[[คะแนนเต็ม]:[คะแนนเต็ม]])*tbl_task4[[%]:[%]])</f>
        <v/>
      </c>
      <c r="HA19" s="121" t="str">
        <f>IF(ISBLANK(tbl_task4[[คะแนนเต็ม]:[คะแนนเต็ม]]),"",(tbl_task4[39]/tbl_task4[[คะแนนเต็ม]:[คะแนนเต็ม]])*tbl_task4[[%]:[%]])</f>
        <v/>
      </c>
      <c r="HB19" s="121" t="str">
        <f>IF(ISBLANK(tbl_task4[[คะแนนเต็ม]:[คะแนนเต็ม]]),"",(tbl_task4[40]/tbl_task4[[คะแนนเต็ม]:[คะแนนเต็ม]])*tbl_task4[[%]:[%]])</f>
        <v/>
      </c>
      <c r="HC19" s="121" t="str">
        <f>IF(ISBLANK(tbl_task4[[คะแนนเต็ม]:[คะแนนเต็ม]]),"",(tbl_task4[41]/tbl_task4[[คะแนนเต็ม]:[คะแนนเต็ม]])*tbl_task4[[%]:[%]])</f>
        <v/>
      </c>
      <c r="HD19" s="121" t="str">
        <f>IF(ISBLANK(tbl_task4[[คะแนนเต็ม]:[คะแนนเต็ม]]),"",(tbl_task4[42]/tbl_task4[[คะแนนเต็ม]:[คะแนนเต็ม]])*tbl_task4[[%]:[%]])</f>
        <v/>
      </c>
      <c r="HE19" s="121" t="str">
        <f>IF(ISBLANK(tbl_task4[[คะแนนเต็ม]:[คะแนนเต็ม]]),"",(tbl_task4[43]/tbl_task4[[คะแนนเต็ม]:[คะแนนเต็ม]])*tbl_task4[[%]:[%]])</f>
        <v/>
      </c>
      <c r="HF19" s="121" t="str">
        <f>IF(ISBLANK(tbl_task4[[คะแนนเต็ม]:[คะแนนเต็ม]]),"",(tbl_task4[44]/tbl_task4[[คะแนนเต็ม]:[คะแนนเต็ม]])*tbl_task4[[%]:[%]])</f>
        <v/>
      </c>
      <c r="HG19" s="121" t="str">
        <f>IF(ISBLANK(tbl_task4[[คะแนนเต็ม]:[คะแนนเต็ม]]),"",(tbl_task4[45]/tbl_task4[[คะแนนเต็ม]:[คะแนนเต็ม]])*tbl_task4[[%]:[%]])</f>
        <v/>
      </c>
      <c r="HH19" s="121" t="str">
        <f>IF(ISBLANK(tbl_task4[[คะแนนเต็ม]:[คะแนนเต็ม]]),"",(tbl_task4[46]/tbl_task4[[คะแนนเต็ม]:[คะแนนเต็ม]])*tbl_task4[[%]:[%]])</f>
        <v/>
      </c>
      <c r="HI19" s="121" t="str">
        <f>IF(ISBLANK(tbl_task4[[คะแนนเต็ม]:[คะแนนเต็ม]]),"",(tbl_task4[47]/tbl_task4[[คะแนนเต็ม]:[คะแนนเต็ม]])*tbl_task4[[%]:[%]])</f>
        <v/>
      </c>
      <c r="HJ19" s="121" t="str">
        <f>IF(ISBLANK(tbl_task4[[คะแนนเต็ม]:[คะแนนเต็ม]]),"",(tbl_task4[48]/tbl_task4[[คะแนนเต็ม]:[คะแนนเต็ม]])*tbl_task4[[%]:[%]])</f>
        <v/>
      </c>
      <c r="HK19" s="121" t="str">
        <f>IF(ISBLANK(tbl_task4[[คะแนนเต็ม]:[คะแนนเต็ม]]),"",(tbl_task4[49]/tbl_task4[[คะแนนเต็ม]:[คะแนนเต็ม]])*tbl_task4[[%]:[%]])</f>
        <v/>
      </c>
      <c r="HL19" s="121" t="str">
        <f>IF(ISBLANK(tbl_task4[[คะแนนเต็ม]:[คะแนนเต็ม]]),"",(tbl_task4[50]/tbl_task4[[คะแนนเต็ม]:[คะแนนเต็ม]])*tbl_task4[[%]:[%]])</f>
        <v/>
      </c>
      <c r="HM19" s="121" t="str">
        <f>IF(ISBLANK(tbl_task4[[คะแนนเต็ม]:[คะแนนเต็ม]]),"",(tbl_task4[51]/tbl_task4[[คะแนนเต็ม]:[คะแนนเต็ม]])*tbl_task4[[%]:[%]])</f>
        <v/>
      </c>
      <c r="HN19" s="121" t="str">
        <f>IF(ISBLANK(tbl_task4[[คะแนนเต็ม]:[คะแนนเต็ม]]),"",(tbl_task4[52]/tbl_task4[[คะแนนเต็ม]:[คะแนนเต็ม]])*tbl_task4[[%]:[%]])</f>
        <v/>
      </c>
      <c r="HO19" s="121" t="str">
        <f>IF(ISBLANK(tbl_task4[[คะแนนเต็ม]:[คะแนนเต็ม]]),"",(tbl_task4[53]/tbl_task4[[คะแนนเต็ม]:[คะแนนเต็ม]])*tbl_task4[[%]:[%]])</f>
        <v/>
      </c>
      <c r="HP19" s="121" t="str">
        <f>IF(ISBLANK(tbl_task4[[คะแนนเต็ม]:[คะแนนเต็ม]]),"",(tbl_task4[54]/tbl_task4[[คะแนนเต็ม]:[คะแนนเต็ม]])*tbl_task4[[%]:[%]])</f>
        <v/>
      </c>
      <c r="HQ19" s="121" t="str">
        <f>IF(ISBLANK(tbl_task4[[คะแนนเต็ม]:[คะแนนเต็ม]]),"",(tbl_task4[55]/tbl_task4[[คะแนนเต็ม]:[คะแนนเต็ม]])*tbl_task4[[%]:[%]])</f>
        <v/>
      </c>
      <c r="HR19" s="121" t="str">
        <f>IF(ISBLANK(tbl_task4[[คะแนนเต็ม]:[คะแนนเต็ม]]),"",(tbl_task4[56]/tbl_task4[[คะแนนเต็ม]:[คะแนนเต็ม]])*tbl_task4[[%]:[%]])</f>
        <v/>
      </c>
      <c r="HS19" s="121" t="str">
        <f>IF(ISBLANK(tbl_task4[[คะแนนเต็ม]:[คะแนนเต็ม]]),"",(tbl_task4[57]/tbl_task4[[คะแนนเต็ม]:[คะแนนเต็ม]])*tbl_task4[[%]:[%]])</f>
        <v/>
      </c>
      <c r="HT19" s="121" t="str">
        <f>IF(ISBLANK(tbl_task4[[คะแนนเต็ม]:[คะแนนเต็ม]]),"",(tbl_task4[58]/tbl_task4[[คะแนนเต็ม]:[คะแนนเต็ม]])*tbl_task4[[%]:[%]])</f>
        <v/>
      </c>
      <c r="HU19" s="121" t="str">
        <f>IF(ISBLANK(tbl_task4[[คะแนนเต็ม]:[คะแนนเต็ม]]),"",(tbl_task4[59]/tbl_task4[[คะแนนเต็ม]:[คะแนนเต็ม]])*tbl_task4[[%]:[%]])</f>
        <v/>
      </c>
      <c r="HV19" s="121" t="str">
        <f>IF(ISBLANK(tbl_task4[[คะแนนเต็ม]:[คะแนนเต็ม]]),"",(tbl_task4[60]/tbl_task4[[คะแนนเต็ม]:[คะแนนเต็ม]])*tbl_task4[[%]:[%]])</f>
        <v/>
      </c>
      <c r="HW19" s="121" t="str">
        <f>IF(ISBLANK(tbl_task4[[คะแนนเต็ม]:[คะแนนเต็ม]]),"",(tbl_task4[61]/tbl_task4[[คะแนนเต็ม]:[คะแนนเต็ม]])*tbl_task4[[%]:[%]])</f>
        <v/>
      </c>
      <c r="HX19" s="121" t="str">
        <f>IF(ISBLANK(tbl_task4[[คะแนนเต็ม]:[คะแนนเต็ม]]),"",(tbl_task4[62]/tbl_task4[[คะแนนเต็ม]:[คะแนนเต็ม]])*tbl_task4[[%]:[%]])</f>
        <v/>
      </c>
      <c r="HY19" s="121" t="str">
        <f>IF(ISBLANK(tbl_task4[[คะแนนเต็ม]:[คะแนนเต็ม]]),"",(tbl_task4[63]/tbl_task4[[คะแนนเต็ม]:[คะแนนเต็ม]])*tbl_task4[[%]:[%]])</f>
        <v/>
      </c>
      <c r="HZ19" s="121" t="str">
        <f>IF(ISBLANK(tbl_task4[[คะแนนเต็ม]:[คะแนนเต็ม]]),"",(tbl_task4[64]/tbl_task4[[คะแนนเต็ม]:[คะแนนเต็ม]])*tbl_task4[[%]:[%]])</f>
        <v/>
      </c>
      <c r="IA19" s="121" t="str">
        <f>IF(ISBLANK(tbl_task4[[คะแนนเต็ม]:[คะแนนเต็ม]]),"",(tbl_task4[65]/tbl_task4[[คะแนนเต็ม]:[คะแนนเต็ม]])*tbl_task4[[%]:[%]])</f>
        <v/>
      </c>
      <c r="IB19" s="121" t="str">
        <f>IF(ISBLANK(tbl_task4[[คะแนนเต็ม]:[คะแนนเต็ม]]),"",(tbl_task4[66]/tbl_task4[[คะแนนเต็ม]:[คะแนนเต็ม]])*tbl_task4[[%]:[%]])</f>
        <v/>
      </c>
      <c r="IC19" s="121" t="str">
        <f>IF(ISBLANK(tbl_task4[[คะแนนเต็ม]:[คะแนนเต็ม]]),"",(tbl_task4[67]/tbl_task4[[คะแนนเต็ม]:[คะแนนเต็ม]])*tbl_task4[[%]:[%]])</f>
        <v/>
      </c>
      <c r="ID19" s="121" t="str">
        <f>IF(ISBLANK(tbl_task4[[คะแนนเต็ม]:[คะแนนเต็ม]]),"",(tbl_task4[68]/tbl_task4[[คะแนนเต็ม]:[คะแนนเต็ม]])*tbl_task4[[%]:[%]])</f>
        <v/>
      </c>
      <c r="IE19" s="121" t="str">
        <f>IF(ISBLANK(tbl_task4[[คะแนนเต็ม]:[คะแนนเต็ม]]),"",(tbl_task4[69]/tbl_task4[[คะแนนเต็ม]:[คะแนนเต็ม]])*tbl_task4[[%]:[%]])</f>
        <v/>
      </c>
      <c r="IF19" s="121" t="str">
        <f>IF(ISBLANK(tbl_task4[[คะแนนเต็ม]:[คะแนนเต็ม]]),"",(tbl_task4[70]/tbl_task4[[คะแนนเต็ม]:[คะแนนเต็ม]])*tbl_task4[[%]:[%]])</f>
        <v/>
      </c>
      <c r="IG19" s="121" t="str">
        <f>IF(ISBLANK(tbl_task4[[คะแนนเต็ม]:[คะแนนเต็ม]]),"",(tbl_task4[71]/tbl_task4[[คะแนนเต็ม]:[คะแนนเต็ม]])*tbl_task4[[%]:[%]])</f>
        <v/>
      </c>
      <c r="IH19" s="121" t="str">
        <f>IF(ISBLANK(tbl_task4[[คะแนนเต็ม]:[คะแนนเต็ม]]),"",(tbl_task4[72]/tbl_task4[[คะแนนเต็ม]:[คะแนนเต็ม]])*tbl_task4[[%]:[%]])</f>
        <v/>
      </c>
      <c r="II19" s="121" t="str">
        <f>IF(ISBLANK(tbl_task4[[คะแนนเต็ม]:[คะแนนเต็ม]]),"",(tbl_task4[73]/tbl_task4[[คะแนนเต็ม]:[คะแนนเต็ม]])*tbl_task4[[%]:[%]])</f>
        <v/>
      </c>
      <c r="IJ19" s="121" t="str">
        <f>IF(ISBLANK(tbl_task4[[คะแนนเต็ม]:[คะแนนเต็ม]]),"",(tbl_task4[74]/tbl_task4[[คะแนนเต็ม]:[คะแนนเต็ม]])*tbl_task4[[%]:[%]])</f>
        <v/>
      </c>
      <c r="IK19" s="121" t="str">
        <f>IF(ISBLANK(tbl_task4[[คะแนนเต็ม]:[คะแนนเต็ม]]),"",(tbl_task4[75]/tbl_task4[[คะแนนเต็ม]:[คะแนนเต็ม]])*tbl_task4[[%]:[%]])</f>
        <v/>
      </c>
      <c r="IL19" s="121" t="str">
        <f>IF(ISBLANK(tbl_task4[[คะแนนเต็ม]:[คะแนนเต็ม]]),"",(tbl_task4[76]/tbl_task4[[คะแนนเต็ม]:[คะแนนเต็ม]])*tbl_task4[[%]:[%]])</f>
        <v/>
      </c>
      <c r="IM19" s="121" t="str">
        <f>IF(ISBLANK(tbl_task4[[คะแนนเต็ม]:[คะแนนเต็ม]]),"",(tbl_task4[77]/tbl_task4[[คะแนนเต็ม]:[คะแนนเต็ม]])*tbl_task4[[%]:[%]])</f>
        <v/>
      </c>
      <c r="IN19" s="121" t="str">
        <f>IF(ISBLANK(tbl_task4[[คะแนนเต็ม]:[คะแนนเต็ม]]),"",(tbl_task4[78]/tbl_task4[[คะแนนเต็ม]:[คะแนนเต็ม]])*tbl_task4[[%]:[%]])</f>
        <v/>
      </c>
      <c r="IO19" s="121" t="str">
        <f>IF(ISBLANK(tbl_task4[[คะแนนเต็ม]:[คะแนนเต็ม]]),"",(tbl_task4[79]/tbl_task4[[คะแนนเต็ม]:[คะแนนเต็ม]])*tbl_task4[[%]:[%]])</f>
        <v/>
      </c>
      <c r="IP19" s="121" t="str">
        <f>IF(ISBLANK(tbl_task4[[คะแนนเต็ม]:[คะแนนเต็ม]]),"",(tbl_task4[80]/tbl_task4[[คะแนนเต็ม]:[คะแนนเต็ม]])*tbl_task4[[%]:[%]])</f>
        <v/>
      </c>
      <c r="IQ19" s="121" t="str">
        <f>IF(ISBLANK(tbl_task4[[คะแนนเต็ม]:[คะแนนเต็ม]]),"",(tbl_task4[81]/tbl_task4[[คะแนนเต็ม]:[คะแนนเต็ม]])*tbl_task4[[%]:[%]])</f>
        <v/>
      </c>
      <c r="IR19" s="121" t="str">
        <f>IF(ISBLANK(tbl_task4[[คะแนนเต็ม]:[คะแนนเต็ม]]),"",(tbl_task4[82]/tbl_task4[[คะแนนเต็ม]:[คะแนนเต็ม]])*tbl_task4[[%]:[%]])</f>
        <v/>
      </c>
      <c r="IS19" s="121" t="str">
        <f>IF(ISBLANK(tbl_task4[[คะแนนเต็ม]:[คะแนนเต็ม]]),"",(tbl_task4[83]/tbl_task4[[คะแนนเต็ม]:[คะแนนเต็ม]])*tbl_task4[[%]:[%]])</f>
        <v/>
      </c>
      <c r="IT19" s="121" t="str">
        <f>IF(ISBLANK(tbl_task4[[คะแนนเต็ม]:[คะแนนเต็ม]]),"",(tbl_task4[84]/tbl_task4[[คะแนนเต็ม]:[คะแนนเต็ม]])*tbl_task4[[%]:[%]])</f>
        <v/>
      </c>
      <c r="IU19" s="121" t="str">
        <f>IF(ISBLANK(tbl_task4[[คะแนนเต็ม]:[คะแนนเต็ม]]),"",(tbl_task4[85]/tbl_task4[[คะแนนเต็ม]:[คะแนนเต็ม]])*tbl_task4[[%]:[%]])</f>
        <v/>
      </c>
      <c r="IV19" s="121" t="str">
        <f>IF(ISBLANK(tbl_task4[[คะแนนเต็ม]:[คะแนนเต็ม]]),"",(tbl_task4[86]/tbl_task4[[คะแนนเต็ม]:[คะแนนเต็ม]])*tbl_task4[[%]:[%]])</f>
        <v/>
      </c>
      <c r="IW19" s="121" t="str">
        <f>IF(ISBLANK(tbl_task4[[คะแนนเต็ม]:[คะแนนเต็ม]]),"",(tbl_task4[87]/tbl_task4[[คะแนนเต็ม]:[คะแนนเต็ม]])*tbl_task4[[%]:[%]])</f>
        <v/>
      </c>
      <c r="IX19" s="121" t="str">
        <f>IF(ISBLANK(tbl_task4[[คะแนนเต็ม]:[คะแนนเต็ม]]),"",(tbl_task4[88]/tbl_task4[[คะแนนเต็ม]:[คะแนนเต็ม]])*tbl_task4[[%]:[%]])</f>
        <v/>
      </c>
      <c r="IY19" s="121" t="str">
        <f>IF(ISBLANK(tbl_task4[[คะแนนเต็ม]:[คะแนนเต็ม]]),"",(tbl_task4[89]/tbl_task4[[คะแนนเต็ม]:[คะแนนเต็ม]])*tbl_task4[[%]:[%]])</f>
        <v/>
      </c>
      <c r="IZ19" s="121" t="str">
        <f>IF(ISBLANK(tbl_task4[[คะแนนเต็ม]:[คะแนนเต็ม]]),"",(tbl_task4[90]/tbl_task4[[คะแนนเต็ม]:[คะแนนเต็ม]])*tbl_task4[[%]:[%]])</f>
        <v/>
      </c>
      <c r="JA19" s="121" t="str">
        <f>IF(ISBLANK(tbl_task4[[คะแนนเต็ม]:[คะแนนเต็ม]]),"",(tbl_task4[91]/tbl_task4[[คะแนนเต็ม]:[คะแนนเต็ม]])*tbl_task4[[%]:[%]])</f>
        <v/>
      </c>
      <c r="JB19" s="121" t="str">
        <f>IF(ISBLANK(tbl_task4[[คะแนนเต็ม]:[คะแนนเต็ม]]),"",(tbl_task4[92]/tbl_task4[[คะแนนเต็ม]:[คะแนนเต็ม]])*tbl_task4[[%]:[%]])</f>
        <v/>
      </c>
      <c r="JC19" s="121" t="str">
        <f>IF(ISBLANK(tbl_task4[[คะแนนเต็ม]:[คะแนนเต็ม]]),"",(tbl_task4[93]/tbl_task4[[คะแนนเต็ม]:[คะแนนเต็ม]])*tbl_task4[[%]:[%]])</f>
        <v/>
      </c>
      <c r="JD19" s="121" t="str">
        <f>IF(ISBLANK(tbl_task4[[คะแนนเต็ม]:[คะแนนเต็ม]]),"",(tbl_task4[94]/tbl_task4[[คะแนนเต็ม]:[คะแนนเต็ม]])*tbl_task4[[%]:[%]])</f>
        <v/>
      </c>
      <c r="JE19" s="121" t="str">
        <f>IF(ISBLANK(tbl_task4[[คะแนนเต็ม]:[คะแนนเต็ม]]),"",(tbl_task4[95]/tbl_task4[[คะแนนเต็ม]:[คะแนนเต็ม]])*tbl_task4[[%]:[%]])</f>
        <v/>
      </c>
      <c r="JF19" s="121" t="str">
        <f>IF(ISBLANK(tbl_task4[[คะแนนเต็ม]:[คะแนนเต็ม]]),"",(tbl_task4[96]/tbl_task4[[คะแนนเต็ม]:[คะแนนเต็ม]])*tbl_task4[[%]:[%]])</f>
        <v/>
      </c>
      <c r="JG19" s="121" t="str">
        <f>IF(ISBLANK(tbl_task4[[คะแนนเต็ม]:[คะแนนเต็ม]]),"",(tbl_task4[97]/tbl_task4[[คะแนนเต็ม]:[คะแนนเต็ม]])*tbl_task4[[%]:[%]])</f>
        <v/>
      </c>
      <c r="JH19" s="121" t="str">
        <f>IF(ISBLANK(tbl_task4[[คะแนนเต็ม]:[คะแนนเต็ม]]),"",(tbl_task4[98]/tbl_task4[[คะแนนเต็ม]:[คะแนนเต็ม]])*tbl_task4[[%]:[%]])</f>
        <v/>
      </c>
      <c r="JI19" s="121" t="str">
        <f>IF(ISBLANK(tbl_task4[[คะแนนเต็ม]:[คะแนนเต็ม]]),"",(tbl_task4[99]/tbl_task4[[คะแนนเต็ม]:[คะแนนเต็ม]])*tbl_task4[[%]:[%]])</f>
        <v/>
      </c>
      <c r="JJ19" s="121" t="str">
        <f>IF(ISBLANK(tbl_task4[[คะแนนเต็ม]:[คะแนนเต็ม]]),"",(tbl_task4[100]/tbl_task4[[คะแนนเต็ม]:[คะแนนเต็ม]])*tbl_task4[[%]:[%]])</f>
        <v/>
      </c>
      <c r="JK19" s="121" t="str">
        <f>IF(ISBLANK(tbl_task4[[คะแนนเต็ม]:[คะแนนเต็ม]]),"",(tbl_task4[101]/tbl_task4[[คะแนนเต็ม]:[คะแนนเต็ม]])*tbl_task4[[%]:[%]])</f>
        <v/>
      </c>
      <c r="JL19" s="121" t="str">
        <f>IF(ISBLANK(tbl_task4[[คะแนนเต็ม]:[คะแนนเต็ม]]),"",(tbl_task4[102]/tbl_task4[[คะแนนเต็ม]:[คะแนนเต็ม]])*tbl_task4[[%]:[%]])</f>
        <v/>
      </c>
      <c r="JM19" s="121" t="str">
        <f>IF(ISBLANK(tbl_task4[[คะแนนเต็ม]:[คะแนนเต็ม]]),"",(tbl_task4[103]/tbl_task4[[คะแนนเต็ม]:[คะแนนเต็ม]])*tbl_task4[[%]:[%]])</f>
        <v/>
      </c>
      <c r="JN19" s="121" t="str">
        <f>IF(ISBLANK(tbl_task4[[คะแนนเต็ม]:[คะแนนเต็ม]]),"",(tbl_task4[104]/tbl_task4[[คะแนนเต็ม]:[คะแนนเต็ม]])*tbl_task4[[%]:[%]])</f>
        <v/>
      </c>
      <c r="JO19" s="121" t="str">
        <f>IF(ISBLANK(tbl_task4[[คะแนนเต็ม]:[คะแนนเต็ม]]),"",(tbl_task4[105]/tbl_task4[[คะแนนเต็ม]:[คะแนนเต็ม]])*tbl_task4[[%]:[%]])</f>
        <v/>
      </c>
      <c r="JP19" s="121" t="str">
        <f>IF(ISBLANK(tbl_task4[[คะแนนเต็ม]:[คะแนนเต็ม]]),"",(tbl_task4[106]/tbl_task4[[คะแนนเต็ม]:[คะแนนเต็ม]])*tbl_task4[[%]:[%]])</f>
        <v/>
      </c>
      <c r="JQ19" s="121" t="str">
        <f>IF(ISBLANK(tbl_task4[[คะแนนเต็ม]:[คะแนนเต็ม]]),"",(tbl_task4[107]/tbl_task4[[คะแนนเต็ม]:[คะแนนเต็ม]])*tbl_task4[[%]:[%]])</f>
        <v/>
      </c>
      <c r="JR19" s="121" t="str">
        <f>IF(ISBLANK(tbl_task4[[คะแนนเต็ม]:[คะแนนเต็ม]]),"",(tbl_task4[108]/tbl_task4[[คะแนนเต็ม]:[คะแนนเต็ม]])*tbl_task4[[%]:[%]])</f>
        <v/>
      </c>
      <c r="JS19" s="121" t="str">
        <f>IF(ISBLANK(tbl_task4[[คะแนนเต็ม]:[คะแนนเต็ม]]),"",(tbl_task4[109]/tbl_task4[[คะแนนเต็ม]:[คะแนนเต็ม]])*tbl_task4[[%]:[%]])</f>
        <v/>
      </c>
      <c r="JT19" s="121" t="str">
        <f>IF(ISBLANK(tbl_task4[[คะแนนเต็ม]:[คะแนนเต็ม]]),"",(tbl_task4[110]/tbl_task4[[คะแนนเต็ม]:[คะแนนเต็ม]])*tbl_task4[[%]:[%]])</f>
        <v/>
      </c>
      <c r="JU19" s="121" t="str">
        <f>IF(ISBLANK(tbl_task4[[คะแนนเต็ม]:[คะแนนเต็ม]]),"",(tbl_task4[111]/tbl_task4[[คะแนนเต็ม]:[คะแนนเต็ม]])*tbl_task4[[%]:[%]])</f>
        <v/>
      </c>
      <c r="JV19" s="121" t="str">
        <f>IF(ISBLANK(tbl_task4[[คะแนนเต็ม]:[คะแนนเต็ม]]),"",(tbl_task4[112]/tbl_task4[[คะแนนเต็ม]:[คะแนนเต็ม]])*tbl_task4[[%]:[%]])</f>
        <v/>
      </c>
      <c r="JW19" s="121" t="str">
        <f>IF(ISBLANK(tbl_task4[[คะแนนเต็ม]:[คะแนนเต็ม]]),"",(tbl_task4[113]/tbl_task4[[คะแนนเต็ม]:[คะแนนเต็ม]])*tbl_task4[[%]:[%]])</f>
        <v/>
      </c>
      <c r="JX19" s="121" t="str">
        <f>IF(ISBLANK(tbl_task4[[คะแนนเต็ม]:[คะแนนเต็ม]]),"",(tbl_task4[114]/tbl_task4[[คะแนนเต็ม]:[คะแนนเต็ม]])*tbl_task4[[%]:[%]])</f>
        <v/>
      </c>
      <c r="JY19" s="121" t="str">
        <f>IF(ISBLANK(tbl_task4[[คะแนนเต็ม]:[คะแนนเต็ม]]),"",(tbl_task4[115]/tbl_task4[[คะแนนเต็ม]:[คะแนนเต็ม]])*tbl_task4[[%]:[%]])</f>
        <v/>
      </c>
      <c r="JZ19" s="121" t="str">
        <f>IF(ISBLANK(tbl_task4[[คะแนนเต็ม]:[คะแนนเต็ม]]),"",(tbl_task4[116]/tbl_task4[[คะแนนเต็ม]:[คะแนนเต็ม]])*tbl_task4[[%]:[%]])</f>
        <v/>
      </c>
      <c r="KA19" s="121" t="str">
        <f>IF(ISBLANK(tbl_task4[[คะแนนเต็ม]:[คะแนนเต็ม]]),"",(tbl_task4[117]/tbl_task4[[คะแนนเต็ม]:[คะแนนเต็ม]])*tbl_task4[[%]:[%]])</f>
        <v/>
      </c>
      <c r="KB19" s="121" t="str">
        <f>IF(ISBLANK(tbl_task4[[คะแนนเต็ม]:[คะแนนเต็ม]]),"",(tbl_task4[118]/tbl_task4[[คะแนนเต็ม]:[คะแนนเต็ม]])*tbl_task4[[%]:[%]])</f>
        <v/>
      </c>
      <c r="KC19" s="121" t="str">
        <f>IF(ISBLANK(tbl_task4[[คะแนนเต็ม]:[คะแนนเต็ม]]),"",(tbl_task4[119]/tbl_task4[[คะแนนเต็ม]:[คะแนนเต็ม]])*tbl_task4[[%]:[%]])</f>
        <v/>
      </c>
      <c r="KD19" s="121" t="str">
        <f>IF(ISBLANK(tbl_task4[[คะแนนเต็ม]:[คะแนนเต็ม]]),"",(tbl_task4[120]/tbl_task4[[คะแนนเต็ม]:[คะแนนเต็ม]])*tbl_task4[[%]:[%]])</f>
        <v/>
      </c>
      <c r="KE19" s="121" t="str">
        <f>IF(ISBLANK(tbl_task4[[คะแนนเต็ม]:[คะแนนเต็ม]]),"",(tbl_task4[121]/tbl_task4[[คะแนนเต็ม]:[คะแนนเต็ม]])*tbl_task4[[%]:[%]])</f>
        <v/>
      </c>
      <c r="KF19" s="121" t="str">
        <f>IF(ISBLANK(tbl_task4[[คะแนนเต็ม]:[คะแนนเต็ม]]),"",(tbl_task4[122]/tbl_task4[[คะแนนเต็ม]:[คะแนนเต็ม]])*tbl_task4[[%]:[%]])</f>
        <v/>
      </c>
      <c r="KG19" s="121" t="str">
        <f>IF(ISBLANK(tbl_task4[[คะแนนเต็ม]:[คะแนนเต็ม]]),"",(tbl_task4[123]/tbl_task4[[คะแนนเต็ม]:[คะแนนเต็ม]])*tbl_task4[[%]:[%]])</f>
        <v/>
      </c>
      <c r="KH19" s="121" t="str">
        <f>IF(ISBLANK(tbl_task4[[คะแนนเต็ม]:[คะแนนเต็ม]]),"",(tbl_task4[124]/tbl_task4[[คะแนนเต็ม]:[คะแนนเต็ม]])*tbl_task4[[%]:[%]])</f>
        <v/>
      </c>
      <c r="KI19" s="121" t="str">
        <f>IF(ISBLANK(tbl_task4[[คะแนนเต็ม]:[คะแนนเต็ม]]),"",(tbl_task4[125]/tbl_task4[[คะแนนเต็ม]:[คะแนนเต็ม]])*tbl_task4[[%]:[%]])</f>
        <v/>
      </c>
      <c r="KJ19" s="121" t="str">
        <f>IF(ISBLANK(tbl_task4[[คะแนนเต็ม]:[คะแนนเต็ม]]),"",(tbl_task4[126]/tbl_task4[[คะแนนเต็ม]:[คะแนนเต็ม]])*tbl_task4[[%]:[%]])</f>
        <v/>
      </c>
      <c r="KK19" s="121" t="str">
        <f>IF(ISBLANK(tbl_task4[[คะแนนเต็ม]:[คะแนนเต็ม]]),"",(tbl_task4[127]/tbl_task4[[คะแนนเต็ม]:[คะแนนเต็ม]])*tbl_task4[[%]:[%]])</f>
        <v/>
      </c>
      <c r="KL19" s="121" t="str">
        <f>IF(ISBLANK(tbl_task4[[คะแนนเต็ม]:[คะแนนเต็ม]]),"",(tbl_task4[128]/tbl_task4[[คะแนนเต็ม]:[คะแนนเต็ม]])*tbl_task4[[%]:[%]])</f>
        <v/>
      </c>
      <c r="KM19" s="121" t="str">
        <f>IF(ISBLANK(tbl_task4[[คะแนนเต็ม]:[คะแนนเต็ม]]),"",(tbl_task4[129]/tbl_task4[[คะแนนเต็ม]:[คะแนนเต็ม]])*tbl_task4[[%]:[%]])</f>
        <v/>
      </c>
      <c r="KN19" s="121" t="str">
        <f>IF(ISBLANK(tbl_task4[[คะแนนเต็ม]:[คะแนนเต็ม]]),"",(tbl_task4[130]/tbl_task4[[คะแนนเต็ม]:[คะแนนเต็ม]])*tbl_task4[[%]:[%]])</f>
        <v/>
      </c>
      <c r="KO19" s="121" t="str">
        <f>IF(ISBLANK(tbl_task4[[คะแนนเต็ม]:[คะแนนเต็ม]]),"",(tbl_task4[131]/tbl_task4[[คะแนนเต็ม]:[คะแนนเต็ม]])*tbl_task4[[%]:[%]])</f>
        <v/>
      </c>
      <c r="KP19" s="121" t="str">
        <f>IF(ISBLANK(tbl_task4[[คะแนนเต็ม]:[คะแนนเต็ม]]),"",(tbl_task4[132]/tbl_task4[[คะแนนเต็ม]:[คะแนนเต็ม]])*tbl_task4[[%]:[%]])</f>
        <v/>
      </c>
      <c r="KQ19" s="121" t="str">
        <f>IF(ISBLANK(tbl_task4[[คะแนนเต็ม]:[คะแนนเต็ม]]),"",(tbl_task4[133]/tbl_task4[[คะแนนเต็ม]:[คะแนนเต็ม]])*tbl_task4[[%]:[%]])</f>
        <v/>
      </c>
      <c r="KR19" s="121" t="str">
        <f>IF(ISBLANK(tbl_task4[[คะแนนเต็ม]:[คะแนนเต็ม]]),"",(tbl_task4[134]/tbl_task4[[คะแนนเต็ม]:[คะแนนเต็ม]])*tbl_task4[[%]:[%]])</f>
        <v/>
      </c>
      <c r="KS19" s="121" t="str">
        <f>IF(ISBLANK(tbl_task4[[คะแนนเต็ม]:[คะแนนเต็ม]]),"",(tbl_task4[135]/tbl_task4[[คะแนนเต็ม]:[คะแนนเต็ม]])*tbl_task4[[%]:[%]])</f>
        <v/>
      </c>
      <c r="KT19" s="121" t="str">
        <f>IF(ISBLANK(tbl_task4[[คะแนนเต็ม]:[คะแนนเต็ม]]),"",(tbl_task4[136]/tbl_task4[[คะแนนเต็ม]:[คะแนนเต็ม]])*tbl_task4[[%]:[%]])</f>
        <v/>
      </c>
      <c r="KU19" s="121" t="str">
        <f>IF(ISBLANK(tbl_task4[[คะแนนเต็ม]:[คะแนนเต็ม]]),"",(tbl_task4[137]/tbl_task4[[คะแนนเต็ม]:[คะแนนเต็ม]])*tbl_task4[[%]:[%]])</f>
        <v/>
      </c>
      <c r="KV19" s="121" t="str">
        <f>IF(ISBLANK(tbl_task4[[คะแนนเต็ม]:[คะแนนเต็ม]]),"",(tbl_task4[138]/tbl_task4[[คะแนนเต็ม]:[คะแนนเต็ม]])*tbl_task4[[%]:[%]])</f>
        <v/>
      </c>
      <c r="KW19" s="121" t="str">
        <f>IF(ISBLANK(tbl_task4[[คะแนนเต็ม]:[คะแนนเต็ม]]),"",(tbl_task4[139]/tbl_task4[[คะแนนเต็ม]:[คะแนนเต็ม]])*tbl_task4[[%]:[%]])</f>
        <v/>
      </c>
      <c r="KX19" s="121" t="str">
        <f>IF(ISBLANK(tbl_task4[[คะแนนเต็ม]:[คะแนนเต็ม]]),"",(tbl_task4[140]/tbl_task4[[คะแนนเต็ม]:[คะแนนเต็ม]])*tbl_task4[[%]:[%]])</f>
        <v/>
      </c>
      <c r="KY19" s="121" t="str">
        <f>IF(ISBLANK(tbl_task4[[คะแนนเต็ม]:[คะแนนเต็ม]]),"",(tbl_task4[141]/tbl_task4[[คะแนนเต็ม]:[คะแนนเต็ม]])*tbl_task4[[%]:[%]])</f>
        <v/>
      </c>
      <c r="KZ19" s="121" t="str">
        <f>IF(ISBLANK(tbl_task4[[คะแนนเต็ม]:[คะแนนเต็ม]]),"",(tbl_task4[142]/tbl_task4[[คะแนนเต็ม]:[คะแนนเต็ม]])*tbl_task4[[%]:[%]])</f>
        <v/>
      </c>
      <c r="LA19" s="121" t="str">
        <f>IF(ISBLANK(tbl_task4[[คะแนนเต็ม]:[คะแนนเต็ม]]),"",(tbl_task4[143]/tbl_task4[[คะแนนเต็ม]:[คะแนนเต็ม]])*tbl_task4[[%]:[%]])</f>
        <v/>
      </c>
      <c r="LB19" s="121" t="str">
        <f>IF(ISBLANK(tbl_task4[[คะแนนเต็ม]:[คะแนนเต็ม]]),"",(tbl_task4[144]/tbl_task4[[คะแนนเต็ม]:[คะแนนเต็ม]])*tbl_task4[[%]:[%]])</f>
        <v/>
      </c>
      <c r="LC19" s="121" t="str">
        <f>IF(ISBLANK(tbl_task4[[คะแนนเต็ม]:[คะแนนเต็ม]]),"",(tbl_task4[145]/tbl_task4[[คะแนนเต็ม]:[คะแนนเต็ม]])*tbl_task4[[%]:[%]])</f>
        <v/>
      </c>
      <c r="LD19" s="121" t="str">
        <f>IF(ISBLANK(tbl_task4[[คะแนนเต็ม]:[คะแนนเต็ม]]),"",(tbl_task4[146]/tbl_task4[[คะแนนเต็ม]:[คะแนนเต็ม]])*tbl_task4[[%]:[%]])</f>
        <v/>
      </c>
      <c r="LE19" s="121" t="str">
        <f>IF(ISBLANK(tbl_task4[[คะแนนเต็ม]:[คะแนนเต็ม]]),"",(tbl_task4[147]/tbl_task4[[คะแนนเต็ม]:[คะแนนเต็ม]])*tbl_task4[[%]:[%]])</f>
        <v/>
      </c>
      <c r="LF19" s="121" t="str">
        <f>IF(ISBLANK(tbl_task4[[คะแนนเต็ม]:[คะแนนเต็ม]]),"",(tbl_task4[148]/tbl_task4[[คะแนนเต็ม]:[คะแนนเต็ม]])*tbl_task4[[%]:[%]])</f>
        <v/>
      </c>
      <c r="LG19" s="121" t="str">
        <f>IF(ISBLANK(tbl_task4[[คะแนนเต็ม]:[คะแนนเต็ม]]),"",(tbl_task4[149]/tbl_task4[[คะแนนเต็ม]:[คะแนนเต็ม]])*tbl_task4[[%]:[%]])</f>
        <v/>
      </c>
      <c r="LH19" s="121" t="str">
        <f>IF(ISBLANK(tbl_task4[[คะแนนเต็ม]:[คะแนนเต็ม]]),"",(tbl_task4[150]/tbl_task4[[คะแนนเต็ม]:[คะแนนเต็ม]])*tbl_task4[[%]:[%]])</f>
        <v/>
      </c>
      <c r="LI19" s="121" t="str">
        <f>IF(ISBLANK(tbl_task4[[คะแนนเต็ม]:[คะแนนเต็ม]]),"",(tbl_task4[151]/tbl_task4[[คะแนนเต็ม]:[คะแนนเต็ม]])*tbl_task4[[%]:[%]])</f>
        <v/>
      </c>
      <c r="LJ19" s="121" t="str">
        <f>IF(ISBLANK(tbl_task4[[คะแนนเต็ม]:[คะแนนเต็ม]]),"",(tbl_task4[152]/tbl_task4[[คะแนนเต็ม]:[คะแนนเต็ม]])*tbl_task4[[%]:[%]])</f>
        <v/>
      </c>
      <c r="LK19" s="121" t="str">
        <f>IF(ISBLANK(tbl_task4[[คะแนนเต็ม]:[คะแนนเต็ม]]),"",(tbl_task4[153]/tbl_task4[[คะแนนเต็ม]:[คะแนนเต็ม]])*tbl_task4[[%]:[%]])</f>
        <v/>
      </c>
      <c r="LL19" s="121" t="str">
        <f>IF(ISBLANK(tbl_task4[[คะแนนเต็ม]:[คะแนนเต็ม]]),"",(tbl_task4[154]/tbl_task4[[คะแนนเต็ม]:[คะแนนเต็ม]])*tbl_task4[[%]:[%]])</f>
        <v/>
      </c>
      <c r="LM19" s="121" t="str">
        <f>IF(ISBLANK(tbl_task4[[คะแนนเต็ม]:[คะแนนเต็ม]]),"",(tbl_task4[155]/tbl_task4[[คะแนนเต็ม]:[คะแนนเต็ม]])*tbl_task4[[%]:[%]])</f>
        <v/>
      </c>
      <c r="LN19" s="121" t="str">
        <f>IF(ISBLANK(tbl_task4[[คะแนนเต็ม]:[คะแนนเต็ม]]),"",(tbl_task4[156]/tbl_task4[[คะแนนเต็ม]:[คะแนนเต็ม]])*tbl_task4[[%]:[%]])</f>
        <v/>
      </c>
      <c r="LO19" s="121" t="str">
        <f>IF(ISBLANK(tbl_task4[[คะแนนเต็ม]:[คะแนนเต็ม]]),"",(tbl_task4[157]/tbl_task4[[คะแนนเต็ม]:[คะแนนเต็ม]])*tbl_task4[[%]:[%]])</f>
        <v/>
      </c>
      <c r="LP19" s="121" t="str">
        <f>IF(ISBLANK(tbl_task4[[คะแนนเต็ม]:[คะแนนเต็ม]]),"",(tbl_task4[158]/tbl_task4[[คะแนนเต็ม]:[คะแนนเต็ม]])*tbl_task4[[%]:[%]])</f>
        <v/>
      </c>
      <c r="LQ19" s="121" t="str">
        <f>IF(ISBLANK(tbl_task4[[คะแนนเต็ม]:[คะแนนเต็ม]]),"",(tbl_task4[159]/tbl_task4[[คะแนนเต็ม]:[คะแนนเต็ม]])*tbl_task4[[%]:[%]])</f>
        <v/>
      </c>
      <c r="LR19" s="121" t="str">
        <f>IF(ISBLANK(tbl_task4[[คะแนนเต็ม]:[คะแนนเต็ม]]),"",(tbl_task4[160]/tbl_task4[[คะแนนเต็ม]:[คะแนนเต็ม]])*tbl_task4[[%]:[%]])</f>
        <v/>
      </c>
      <c r="LS19" s="121" t="str">
        <f>IF(ISBLANK(tbl_task4[[คะแนนเต็ม]:[คะแนนเต็ม]]),"",(tbl_task4[161]/tbl_task4[[คะแนนเต็ม]:[คะแนนเต็ม]])*tbl_task4[[%]:[%]])</f>
        <v/>
      </c>
      <c r="LT19" s="121" t="str">
        <f>IF(ISBLANK(tbl_task4[[คะแนนเต็ม]:[คะแนนเต็ม]]),"",(tbl_task4[162]/tbl_task4[[คะแนนเต็ม]:[คะแนนเต็ม]])*tbl_task4[[%]:[%]])</f>
        <v/>
      </c>
      <c r="LU19" s="121" t="str">
        <f>IF(ISBLANK(tbl_task4[[คะแนนเต็ม]:[คะแนนเต็ม]]),"",(tbl_task4[163]/tbl_task4[[คะแนนเต็ม]:[คะแนนเต็ม]])*tbl_task4[[%]:[%]])</f>
        <v/>
      </c>
      <c r="LV19" s="121" t="str">
        <f>IF(ISBLANK(tbl_task4[[คะแนนเต็ม]:[คะแนนเต็ม]]),"",(tbl_task4[164]/tbl_task4[[คะแนนเต็ม]:[คะแนนเต็ม]])*tbl_task4[[%]:[%]])</f>
        <v/>
      </c>
      <c r="LW19" s="121" t="str">
        <f>IF(ISBLANK(tbl_task4[[คะแนนเต็ม]:[คะแนนเต็ม]]),"",(tbl_task4[165]/tbl_task4[[คะแนนเต็ม]:[คะแนนเต็ม]])*tbl_task4[[%]:[%]])</f>
        <v/>
      </c>
    </row>
    <row r="20" spans="1:335" ht="24" customHeight="1" x14ac:dyDescent="0.25">
      <c r="A20" s="24">
        <v>17</v>
      </c>
      <c r="B20" s="20"/>
      <c r="C20" s="5" t="str">
        <f>IF(ISBLANK(B20),"",VLOOKUP(B20,tbl_PLOs[],2,0))</f>
        <v/>
      </c>
      <c r="D20" s="102"/>
      <c r="E20" s="106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121" t="str">
        <f>IF(ISBLANK(tbl_task4[[คะแนนเต็ม]:[คะแนนเต็ม]]),"",(tbl_task4[1]/tbl_task4[[คะแนนเต็ม]:[คะแนนเต็ม]])*tbl_task4[[%]:[%]])</f>
        <v/>
      </c>
      <c r="FP20" s="121" t="str">
        <f>IF(ISBLANK(tbl_task4[[คะแนนเต็ม]:[คะแนนเต็ม]]),"",(tbl_task4[2]/tbl_task4[[คะแนนเต็ม]:[คะแนนเต็ม]])*tbl_task4[[%]:[%]])</f>
        <v/>
      </c>
      <c r="FQ20" s="121" t="str">
        <f>IF(ISBLANK(tbl_task4[[คะแนนเต็ม]:[คะแนนเต็ม]]),"",(tbl_task4[3]/tbl_task4[[คะแนนเต็ม]:[คะแนนเต็ม]])*tbl_task4[[%]:[%]])</f>
        <v/>
      </c>
      <c r="FR20" s="121" t="str">
        <f>IF(ISBLANK(tbl_task4[[คะแนนเต็ม]:[คะแนนเต็ม]]),"",(tbl_task4[4]/tbl_task4[[คะแนนเต็ม]:[คะแนนเต็ม]])*tbl_task4[[%]:[%]])</f>
        <v/>
      </c>
      <c r="FS20" s="121" t="str">
        <f>IF(ISBLANK(tbl_task4[[คะแนนเต็ม]:[คะแนนเต็ม]]),"",(tbl_task4[5]/tbl_task4[[คะแนนเต็ม]:[คะแนนเต็ม]])*tbl_task4[[%]:[%]])</f>
        <v/>
      </c>
      <c r="FT20" s="121" t="str">
        <f>IF(ISBLANK(tbl_task4[[คะแนนเต็ม]:[คะแนนเต็ม]]),"",(tbl_task4[6]/tbl_task4[[คะแนนเต็ม]:[คะแนนเต็ม]])*tbl_task4[[%]:[%]])</f>
        <v/>
      </c>
      <c r="FU20" s="121" t="str">
        <f>IF(ISBLANK(tbl_task4[[คะแนนเต็ม]:[คะแนนเต็ม]]),"",(tbl_task4[7]/tbl_task4[[คะแนนเต็ม]:[คะแนนเต็ม]])*tbl_task4[[%]:[%]])</f>
        <v/>
      </c>
      <c r="FV20" s="121" t="str">
        <f>IF(ISBLANK(tbl_task4[[คะแนนเต็ม]:[คะแนนเต็ม]]),"",(tbl_task4[8]/tbl_task4[[คะแนนเต็ม]:[คะแนนเต็ม]])*tbl_task4[[%]:[%]])</f>
        <v/>
      </c>
      <c r="FW20" s="121" t="str">
        <f>IF(ISBLANK(tbl_task4[[คะแนนเต็ม]:[คะแนนเต็ม]]),"",(tbl_task4[9]/tbl_task4[[คะแนนเต็ม]:[คะแนนเต็ม]])*tbl_task4[[%]:[%]])</f>
        <v/>
      </c>
      <c r="FX20" s="121" t="str">
        <f>IF(ISBLANK(tbl_task4[[คะแนนเต็ม]:[คะแนนเต็ม]]),"",(tbl_task4[10]/tbl_task4[[คะแนนเต็ม]:[คะแนนเต็ม]])*tbl_task4[[%]:[%]])</f>
        <v/>
      </c>
      <c r="FY20" s="121" t="str">
        <f>IF(ISBLANK(tbl_task4[[คะแนนเต็ม]:[คะแนนเต็ม]]),"",(tbl_task4[11]/tbl_task4[[คะแนนเต็ม]:[คะแนนเต็ม]])*tbl_task4[[%]:[%]])</f>
        <v/>
      </c>
      <c r="FZ20" s="121" t="str">
        <f>IF(ISBLANK(tbl_task4[[คะแนนเต็ม]:[คะแนนเต็ม]]),"",(tbl_task4[12]/tbl_task4[[คะแนนเต็ม]:[คะแนนเต็ม]])*tbl_task4[[%]:[%]])</f>
        <v/>
      </c>
      <c r="GA20" s="121" t="str">
        <f>IF(ISBLANK(tbl_task4[[คะแนนเต็ม]:[คะแนนเต็ม]]),"",(tbl_task4[13]/tbl_task4[[คะแนนเต็ม]:[คะแนนเต็ม]])*tbl_task4[[%]:[%]])</f>
        <v/>
      </c>
      <c r="GB20" s="121" t="str">
        <f>IF(ISBLANK(tbl_task4[[คะแนนเต็ม]:[คะแนนเต็ม]]),"",(tbl_task4[14]/tbl_task4[[คะแนนเต็ม]:[คะแนนเต็ม]])*tbl_task4[[%]:[%]])</f>
        <v/>
      </c>
      <c r="GC20" s="121" t="str">
        <f>IF(ISBLANK(tbl_task4[[คะแนนเต็ม]:[คะแนนเต็ม]]),"",(tbl_task4[15]/tbl_task4[[คะแนนเต็ม]:[คะแนนเต็ม]])*tbl_task4[[%]:[%]])</f>
        <v/>
      </c>
      <c r="GD20" s="121" t="str">
        <f>IF(ISBLANK(tbl_task4[[คะแนนเต็ม]:[คะแนนเต็ม]]),"",(tbl_task4[16]/tbl_task4[[คะแนนเต็ม]:[คะแนนเต็ม]])*tbl_task4[[%]:[%]])</f>
        <v/>
      </c>
      <c r="GE20" s="121" t="str">
        <f>IF(ISBLANK(tbl_task4[[คะแนนเต็ม]:[คะแนนเต็ม]]),"",(tbl_task4[17]/tbl_task4[[คะแนนเต็ม]:[คะแนนเต็ม]])*tbl_task4[[%]:[%]])</f>
        <v/>
      </c>
      <c r="GF20" s="121" t="str">
        <f>IF(ISBLANK(tbl_task4[[คะแนนเต็ม]:[คะแนนเต็ม]]),"",(tbl_task4[18]/tbl_task4[[คะแนนเต็ม]:[คะแนนเต็ม]])*tbl_task4[[%]:[%]])</f>
        <v/>
      </c>
      <c r="GG20" s="121" t="str">
        <f>IF(ISBLANK(tbl_task4[[คะแนนเต็ม]:[คะแนนเต็ม]]),"",(tbl_task4[19]/tbl_task4[[คะแนนเต็ม]:[คะแนนเต็ม]])*tbl_task4[[%]:[%]])</f>
        <v/>
      </c>
      <c r="GH20" s="121" t="str">
        <f>IF(ISBLANK(tbl_task4[[คะแนนเต็ม]:[คะแนนเต็ม]]),"",(tbl_task4[20]/tbl_task4[[คะแนนเต็ม]:[คะแนนเต็ม]])*tbl_task4[[%]:[%]])</f>
        <v/>
      </c>
      <c r="GI20" s="121" t="str">
        <f>IF(ISBLANK(tbl_task4[[คะแนนเต็ม]:[คะแนนเต็ม]]),"",(tbl_task4[21]/tbl_task4[[คะแนนเต็ม]:[คะแนนเต็ม]])*tbl_task4[[%]:[%]])</f>
        <v/>
      </c>
      <c r="GJ20" s="121" t="str">
        <f>IF(ISBLANK(tbl_task4[[คะแนนเต็ม]:[คะแนนเต็ม]]),"",(tbl_task4[22]/tbl_task4[[คะแนนเต็ม]:[คะแนนเต็ม]])*tbl_task4[[%]:[%]])</f>
        <v/>
      </c>
      <c r="GK20" s="121" t="str">
        <f>IF(ISBLANK(tbl_task4[[คะแนนเต็ม]:[คะแนนเต็ม]]),"",(tbl_task4[23]/tbl_task4[[คะแนนเต็ม]:[คะแนนเต็ม]])*tbl_task4[[%]:[%]])</f>
        <v/>
      </c>
      <c r="GL20" s="121" t="str">
        <f>IF(ISBLANK(tbl_task4[[คะแนนเต็ม]:[คะแนนเต็ม]]),"",(tbl_task4[24]/tbl_task4[[คะแนนเต็ม]:[คะแนนเต็ม]])*tbl_task4[[%]:[%]])</f>
        <v/>
      </c>
      <c r="GM20" s="121" t="str">
        <f>IF(ISBLANK(tbl_task4[[คะแนนเต็ม]:[คะแนนเต็ม]]),"",(tbl_task4[25]/tbl_task4[[คะแนนเต็ม]:[คะแนนเต็ม]])*tbl_task4[[%]:[%]])</f>
        <v/>
      </c>
      <c r="GN20" s="121" t="str">
        <f>IF(ISBLANK(tbl_task4[[คะแนนเต็ม]:[คะแนนเต็ม]]),"",(tbl_task4[26]/tbl_task4[[คะแนนเต็ม]:[คะแนนเต็ม]])*tbl_task4[[%]:[%]])</f>
        <v/>
      </c>
      <c r="GO20" s="121" t="str">
        <f>IF(ISBLANK(tbl_task4[[คะแนนเต็ม]:[คะแนนเต็ม]]),"",(tbl_task4[27]/tbl_task4[[คะแนนเต็ม]:[คะแนนเต็ม]])*tbl_task4[[%]:[%]])</f>
        <v/>
      </c>
      <c r="GP20" s="121" t="str">
        <f>IF(ISBLANK(tbl_task4[[คะแนนเต็ม]:[คะแนนเต็ม]]),"",(tbl_task4[28]/tbl_task4[[คะแนนเต็ม]:[คะแนนเต็ม]])*tbl_task4[[%]:[%]])</f>
        <v/>
      </c>
      <c r="GQ20" s="121" t="str">
        <f>IF(ISBLANK(tbl_task4[[คะแนนเต็ม]:[คะแนนเต็ม]]),"",(tbl_task4[29]/tbl_task4[[คะแนนเต็ม]:[คะแนนเต็ม]])*tbl_task4[[%]:[%]])</f>
        <v/>
      </c>
      <c r="GR20" s="121" t="str">
        <f>IF(ISBLANK(tbl_task4[[คะแนนเต็ม]:[คะแนนเต็ม]]),"",(tbl_task4[30]/tbl_task4[[คะแนนเต็ม]:[คะแนนเต็ม]])*tbl_task4[[%]:[%]])</f>
        <v/>
      </c>
      <c r="GS20" s="121" t="str">
        <f>IF(ISBLANK(tbl_task4[[คะแนนเต็ม]:[คะแนนเต็ม]]),"",(tbl_task4[31]/tbl_task4[[คะแนนเต็ม]:[คะแนนเต็ม]])*tbl_task4[[%]:[%]])</f>
        <v/>
      </c>
      <c r="GT20" s="121" t="str">
        <f>IF(ISBLANK(tbl_task4[[คะแนนเต็ม]:[คะแนนเต็ม]]),"",(tbl_task4[32]/tbl_task4[[คะแนนเต็ม]:[คะแนนเต็ม]])*tbl_task4[[%]:[%]])</f>
        <v/>
      </c>
      <c r="GU20" s="121" t="str">
        <f>IF(ISBLANK(tbl_task4[[คะแนนเต็ม]:[คะแนนเต็ม]]),"",(tbl_task4[33]/tbl_task4[[คะแนนเต็ม]:[คะแนนเต็ม]])*tbl_task4[[%]:[%]])</f>
        <v/>
      </c>
      <c r="GV20" s="121" t="str">
        <f>IF(ISBLANK(tbl_task4[[คะแนนเต็ม]:[คะแนนเต็ม]]),"",(tbl_task4[34]/tbl_task4[[คะแนนเต็ม]:[คะแนนเต็ม]])*tbl_task4[[%]:[%]])</f>
        <v/>
      </c>
      <c r="GW20" s="121" t="str">
        <f>IF(ISBLANK(tbl_task4[[คะแนนเต็ม]:[คะแนนเต็ม]]),"",(tbl_task4[35]/tbl_task4[[คะแนนเต็ม]:[คะแนนเต็ม]])*tbl_task4[[%]:[%]])</f>
        <v/>
      </c>
      <c r="GX20" s="121" t="str">
        <f>IF(ISBLANK(tbl_task4[[คะแนนเต็ม]:[คะแนนเต็ม]]),"",(tbl_task4[36]/tbl_task4[[คะแนนเต็ม]:[คะแนนเต็ม]])*tbl_task4[[%]:[%]])</f>
        <v/>
      </c>
      <c r="GY20" s="121" t="str">
        <f>IF(ISBLANK(tbl_task4[[คะแนนเต็ม]:[คะแนนเต็ม]]),"",(tbl_task4[37]/tbl_task4[[คะแนนเต็ม]:[คะแนนเต็ม]])*tbl_task4[[%]:[%]])</f>
        <v/>
      </c>
      <c r="GZ20" s="121" t="str">
        <f>IF(ISBLANK(tbl_task4[[คะแนนเต็ม]:[คะแนนเต็ม]]),"",(tbl_task4[38]/tbl_task4[[คะแนนเต็ม]:[คะแนนเต็ม]])*tbl_task4[[%]:[%]])</f>
        <v/>
      </c>
      <c r="HA20" s="121" t="str">
        <f>IF(ISBLANK(tbl_task4[[คะแนนเต็ม]:[คะแนนเต็ม]]),"",(tbl_task4[39]/tbl_task4[[คะแนนเต็ม]:[คะแนนเต็ม]])*tbl_task4[[%]:[%]])</f>
        <v/>
      </c>
      <c r="HB20" s="121" t="str">
        <f>IF(ISBLANK(tbl_task4[[คะแนนเต็ม]:[คะแนนเต็ม]]),"",(tbl_task4[40]/tbl_task4[[คะแนนเต็ม]:[คะแนนเต็ม]])*tbl_task4[[%]:[%]])</f>
        <v/>
      </c>
      <c r="HC20" s="121" t="str">
        <f>IF(ISBLANK(tbl_task4[[คะแนนเต็ม]:[คะแนนเต็ม]]),"",(tbl_task4[41]/tbl_task4[[คะแนนเต็ม]:[คะแนนเต็ม]])*tbl_task4[[%]:[%]])</f>
        <v/>
      </c>
      <c r="HD20" s="121" t="str">
        <f>IF(ISBLANK(tbl_task4[[คะแนนเต็ม]:[คะแนนเต็ม]]),"",(tbl_task4[42]/tbl_task4[[คะแนนเต็ม]:[คะแนนเต็ม]])*tbl_task4[[%]:[%]])</f>
        <v/>
      </c>
      <c r="HE20" s="121" t="str">
        <f>IF(ISBLANK(tbl_task4[[คะแนนเต็ม]:[คะแนนเต็ม]]),"",(tbl_task4[43]/tbl_task4[[คะแนนเต็ม]:[คะแนนเต็ม]])*tbl_task4[[%]:[%]])</f>
        <v/>
      </c>
      <c r="HF20" s="121" t="str">
        <f>IF(ISBLANK(tbl_task4[[คะแนนเต็ม]:[คะแนนเต็ม]]),"",(tbl_task4[44]/tbl_task4[[คะแนนเต็ม]:[คะแนนเต็ม]])*tbl_task4[[%]:[%]])</f>
        <v/>
      </c>
      <c r="HG20" s="121" t="str">
        <f>IF(ISBLANK(tbl_task4[[คะแนนเต็ม]:[คะแนนเต็ม]]),"",(tbl_task4[45]/tbl_task4[[คะแนนเต็ม]:[คะแนนเต็ม]])*tbl_task4[[%]:[%]])</f>
        <v/>
      </c>
      <c r="HH20" s="121" t="str">
        <f>IF(ISBLANK(tbl_task4[[คะแนนเต็ม]:[คะแนนเต็ม]]),"",(tbl_task4[46]/tbl_task4[[คะแนนเต็ม]:[คะแนนเต็ม]])*tbl_task4[[%]:[%]])</f>
        <v/>
      </c>
      <c r="HI20" s="121" t="str">
        <f>IF(ISBLANK(tbl_task4[[คะแนนเต็ม]:[คะแนนเต็ม]]),"",(tbl_task4[47]/tbl_task4[[คะแนนเต็ม]:[คะแนนเต็ม]])*tbl_task4[[%]:[%]])</f>
        <v/>
      </c>
      <c r="HJ20" s="121" t="str">
        <f>IF(ISBLANK(tbl_task4[[คะแนนเต็ม]:[คะแนนเต็ม]]),"",(tbl_task4[48]/tbl_task4[[คะแนนเต็ม]:[คะแนนเต็ม]])*tbl_task4[[%]:[%]])</f>
        <v/>
      </c>
      <c r="HK20" s="121" t="str">
        <f>IF(ISBLANK(tbl_task4[[คะแนนเต็ม]:[คะแนนเต็ม]]),"",(tbl_task4[49]/tbl_task4[[คะแนนเต็ม]:[คะแนนเต็ม]])*tbl_task4[[%]:[%]])</f>
        <v/>
      </c>
      <c r="HL20" s="121" t="str">
        <f>IF(ISBLANK(tbl_task4[[คะแนนเต็ม]:[คะแนนเต็ม]]),"",(tbl_task4[50]/tbl_task4[[คะแนนเต็ม]:[คะแนนเต็ม]])*tbl_task4[[%]:[%]])</f>
        <v/>
      </c>
      <c r="HM20" s="121" t="str">
        <f>IF(ISBLANK(tbl_task4[[คะแนนเต็ม]:[คะแนนเต็ม]]),"",(tbl_task4[51]/tbl_task4[[คะแนนเต็ม]:[คะแนนเต็ม]])*tbl_task4[[%]:[%]])</f>
        <v/>
      </c>
      <c r="HN20" s="121" t="str">
        <f>IF(ISBLANK(tbl_task4[[คะแนนเต็ม]:[คะแนนเต็ม]]),"",(tbl_task4[52]/tbl_task4[[คะแนนเต็ม]:[คะแนนเต็ม]])*tbl_task4[[%]:[%]])</f>
        <v/>
      </c>
      <c r="HO20" s="121" t="str">
        <f>IF(ISBLANK(tbl_task4[[คะแนนเต็ม]:[คะแนนเต็ม]]),"",(tbl_task4[53]/tbl_task4[[คะแนนเต็ม]:[คะแนนเต็ม]])*tbl_task4[[%]:[%]])</f>
        <v/>
      </c>
      <c r="HP20" s="121" t="str">
        <f>IF(ISBLANK(tbl_task4[[คะแนนเต็ม]:[คะแนนเต็ม]]),"",(tbl_task4[54]/tbl_task4[[คะแนนเต็ม]:[คะแนนเต็ม]])*tbl_task4[[%]:[%]])</f>
        <v/>
      </c>
      <c r="HQ20" s="121" t="str">
        <f>IF(ISBLANK(tbl_task4[[คะแนนเต็ม]:[คะแนนเต็ม]]),"",(tbl_task4[55]/tbl_task4[[คะแนนเต็ม]:[คะแนนเต็ม]])*tbl_task4[[%]:[%]])</f>
        <v/>
      </c>
      <c r="HR20" s="121" t="str">
        <f>IF(ISBLANK(tbl_task4[[คะแนนเต็ม]:[คะแนนเต็ม]]),"",(tbl_task4[56]/tbl_task4[[คะแนนเต็ม]:[คะแนนเต็ม]])*tbl_task4[[%]:[%]])</f>
        <v/>
      </c>
      <c r="HS20" s="121" t="str">
        <f>IF(ISBLANK(tbl_task4[[คะแนนเต็ม]:[คะแนนเต็ม]]),"",(tbl_task4[57]/tbl_task4[[คะแนนเต็ม]:[คะแนนเต็ม]])*tbl_task4[[%]:[%]])</f>
        <v/>
      </c>
      <c r="HT20" s="121" t="str">
        <f>IF(ISBLANK(tbl_task4[[คะแนนเต็ม]:[คะแนนเต็ม]]),"",(tbl_task4[58]/tbl_task4[[คะแนนเต็ม]:[คะแนนเต็ม]])*tbl_task4[[%]:[%]])</f>
        <v/>
      </c>
      <c r="HU20" s="121" t="str">
        <f>IF(ISBLANK(tbl_task4[[คะแนนเต็ม]:[คะแนนเต็ม]]),"",(tbl_task4[59]/tbl_task4[[คะแนนเต็ม]:[คะแนนเต็ม]])*tbl_task4[[%]:[%]])</f>
        <v/>
      </c>
      <c r="HV20" s="121" t="str">
        <f>IF(ISBLANK(tbl_task4[[คะแนนเต็ม]:[คะแนนเต็ม]]),"",(tbl_task4[60]/tbl_task4[[คะแนนเต็ม]:[คะแนนเต็ม]])*tbl_task4[[%]:[%]])</f>
        <v/>
      </c>
      <c r="HW20" s="121" t="str">
        <f>IF(ISBLANK(tbl_task4[[คะแนนเต็ม]:[คะแนนเต็ม]]),"",(tbl_task4[61]/tbl_task4[[คะแนนเต็ม]:[คะแนนเต็ม]])*tbl_task4[[%]:[%]])</f>
        <v/>
      </c>
      <c r="HX20" s="121" t="str">
        <f>IF(ISBLANK(tbl_task4[[คะแนนเต็ม]:[คะแนนเต็ม]]),"",(tbl_task4[62]/tbl_task4[[คะแนนเต็ม]:[คะแนนเต็ม]])*tbl_task4[[%]:[%]])</f>
        <v/>
      </c>
      <c r="HY20" s="121" t="str">
        <f>IF(ISBLANK(tbl_task4[[คะแนนเต็ม]:[คะแนนเต็ม]]),"",(tbl_task4[63]/tbl_task4[[คะแนนเต็ม]:[คะแนนเต็ม]])*tbl_task4[[%]:[%]])</f>
        <v/>
      </c>
      <c r="HZ20" s="121" t="str">
        <f>IF(ISBLANK(tbl_task4[[คะแนนเต็ม]:[คะแนนเต็ม]]),"",(tbl_task4[64]/tbl_task4[[คะแนนเต็ม]:[คะแนนเต็ม]])*tbl_task4[[%]:[%]])</f>
        <v/>
      </c>
      <c r="IA20" s="121" t="str">
        <f>IF(ISBLANK(tbl_task4[[คะแนนเต็ม]:[คะแนนเต็ม]]),"",(tbl_task4[65]/tbl_task4[[คะแนนเต็ม]:[คะแนนเต็ม]])*tbl_task4[[%]:[%]])</f>
        <v/>
      </c>
      <c r="IB20" s="121" t="str">
        <f>IF(ISBLANK(tbl_task4[[คะแนนเต็ม]:[คะแนนเต็ม]]),"",(tbl_task4[66]/tbl_task4[[คะแนนเต็ม]:[คะแนนเต็ม]])*tbl_task4[[%]:[%]])</f>
        <v/>
      </c>
      <c r="IC20" s="121" t="str">
        <f>IF(ISBLANK(tbl_task4[[คะแนนเต็ม]:[คะแนนเต็ม]]),"",(tbl_task4[67]/tbl_task4[[คะแนนเต็ม]:[คะแนนเต็ม]])*tbl_task4[[%]:[%]])</f>
        <v/>
      </c>
      <c r="ID20" s="121" t="str">
        <f>IF(ISBLANK(tbl_task4[[คะแนนเต็ม]:[คะแนนเต็ม]]),"",(tbl_task4[68]/tbl_task4[[คะแนนเต็ม]:[คะแนนเต็ม]])*tbl_task4[[%]:[%]])</f>
        <v/>
      </c>
      <c r="IE20" s="121" t="str">
        <f>IF(ISBLANK(tbl_task4[[คะแนนเต็ม]:[คะแนนเต็ม]]),"",(tbl_task4[69]/tbl_task4[[คะแนนเต็ม]:[คะแนนเต็ม]])*tbl_task4[[%]:[%]])</f>
        <v/>
      </c>
      <c r="IF20" s="121" t="str">
        <f>IF(ISBLANK(tbl_task4[[คะแนนเต็ม]:[คะแนนเต็ม]]),"",(tbl_task4[70]/tbl_task4[[คะแนนเต็ม]:[คะแนนเต็ม]])*tbl_task4[[%]:[%]])</f>
        <v/>
      </c>
      <c r="IG20" s="121" t="str">
        <f>IF(ISBLANK(tbl_task4[[คะแนนเต็ม]:[คะแนนเต็ม]]),"",(tbl_task4[71]/tbl_task4[[คะแนนเต็ม]:[คะแนนเต็ม]])*tbl_task4[[%]:[%]])</f>
        <v/>
      </c>
      <c r="IH20" s="121" t="str">
        <f>IF(ISBLANK(tbl_task4[[คะแนนเต็ม]:[คะแนนเต็ม]]),"",(tbl_task4[72]/tbl_task4[[คะแนนเต็ม]:[คะแนนเต็ม]])*tbl_task4[[%]:[%]])</f>
        <v/>
      </c>
      <c r="II20" s="121" t="str">
        <f>IF(ISBLANK(tbl_task4[[คะแนนเต็ม]:[คะแนนเต็ม]]),"",(tbl_task4[73]/tbl_task4[[คะแนนเต็ม]:[คะแนนเต็ม]])*tbl_task4[[%]:[%]])</f>
        <v/>
      </c>
      <c r="IJ20" s="121" t="str">
        <f>IF(ISBLANK(tbl_task4[[คะแนนเต็ม]:[คะแนนเต็ม]]),"",(tbl_task4[74]/tbl_task4[[คะแนนเต็ม]:[คะแนนเต็ม]])*tbl_task4[[%]:[%]])</f>
        <v/>
      </c>
      <c r="IK20" s="121" t="str">
        <f>IF(ISBLANK(tbl_task4[[คะแนนเต็ม]:[คะแนนเต็ม]]),"",(tbl_task4[75]/tbl_task4[[คะแนนเต็ม]:[คะแนนเต็ม]])*tbl_task4[[%]:[%]])</f>
        <v/>
      </c>
      <c r="IL20" s="121" t="str">
        <f>IF(ISBLANK(tbl_task4[[คะแนนเต็ม]:[คะแนนเต็ม]]),"",(tbl_task4[76]/tbl_task4[[คะแนนเต็ม]:[คะแนนเต็ม]])*tbl_task4[[%]:[%]])</f>
        <v/>
      </c>
      <c r="IM20" s="121" t="str">
        <f>IF(ISBLANK(tbl_task4[[คะแนนเต็ม]:[คะแนนเต็ม]]),"",(tbl_task4[77]/tbl_task4[[คะแนนเต็ม]:[คะแนนเต็ม]])*tbl_task4[[%]:[%]])</f>
        <v/>
      </c>
      <c r="IN20" s="121" t="str">
        <f>IF(ISBLANK(tbl_task4[[คะแนนเต็ม]:[คะแนนเต็ม]]),"",(tbl_task4[78]/tbl_task4[[คะแนนเต็ม]:[คะแนนเต็ม]])*tbl_task4[[%]:[%]])</f>
        <v/>
      </c>
      <c r="IO20" s="121" t="str">
        <f>IF(ISBLANK(tbl_task4[[คะแนนเต็ม]:[คะแนนเต็ม]]),"",(tbl_task4[79]/tbl_task4[[คะแนนเต็ม]:[คะแนนเต็ม]])*tbl_task4[[%]:[%]])</f>
        <v/>
      </c>
      <c r="IP20" s="121" t="str">
        <f>IF(ISBLANK(tbl_task4[[คะแนนเต็ม]:[คะแนนเต็ม]]),"",(tbl_task4[80]/tbl_task4[[คะแนนเต็ม]:[คะแนนเต็ม]])*tbl_task4[[%]:[%]])</f>
        <v/>
      </c>
      <c r="IQ20" s="121" t="str">
        <f>IF(ISBLANK(tbl_task4[[คะแนนเต็ม]:[คะแนนเต็ม]]),"",(tbl_task4[81]/tbl_task4[[คะแนนเต็ม]:[คะแนนเต็ม]])*tbl_task4[[%]:[%]])</f>
        <v/>
      </c>
      <c r="IR20" s="121" t="str">
        <f>IF(ISBLANK(tbl_task4[[คะแนนเต็ม]:[คะแนนเต็ม]]),"",(tbl_task4[82]/tbl_task4[[คะแนนเต็ม]:[คะแนนเต็ม]])*tbl_task4[[%]:[%]])</f>
        <v/>
      </c>
      <c r="IS20" s="121" t="str">
        <f>IF(ISBLANK(tbl_task4[[คะแนนเต็ม]:[คะแนนเต็ม]]),"",(tbl_task4[83]/tbl_task4[[คะแนนเต็ม]:[คะแนนเต็ม]])*tbl_task4[[%]:[%]])</f>
        <v/>
      </c>
      <c r="IT20" s="121" t="str">
        <f>IF(ISBLANK(tbl_task4[[คะแนนเต็ม]:[คะแนนเต็ม]]),"",(tbl_task4[84]/tbl_task4[[คะแนนเต็ม]:[คะแนนเต็ม]])*tbl_task4[[%]:[%]])</f>
        <v/>
      </c>
      <c r="IU20" s="121" t="str">
        <f>IF(ISBLANK(tbl_task4[[คะแนนเต็ม]:[คะแนนเต็ม]]),"",(tbl_task4[85]/tbl_task4[[คะแนนเต็ม]:[คะแนนเต็ม]])*tbl_task4[[%]:[%]])</f>
        <v/>
      </c>
      <c r="IV20" s="121" t="str">
        <f>IF(ISBLANK(tbl_task4[[คะแนนเต็ม]:[คะแนนเต็ม]]),"",(tbl_task4[86]/tbl_task4[[คะแนนเต็ม]:[คะแนนเต็ม]])*tbl_task4[[%]:[%]])</f>
        <v/>
      </c>
      <c r="IW20" s="121" t="str">
        <f>IF(ISBLANK(tbl_task4[[คะแนนเต็ม]:[คะแนนเต็ม]]),"",(tbl_task4[87]/tbl_task4[[คะแนนเต็ม]:[คะแนนเต็ม]])*tbl_task4[[%]:[%]])</f>
        <v/>
      </c>
      <c r="IX20" s="121" t="str">
        <f>IF(ISBLANK(tbl_task4[[คะแนนเต็ม]:[คะแนนเต็ม]]),"",(tbl_task4[88]/tbl_task4[[คะแนนเต็ม]:[คะแนนเต็ม]])*tbl_task4[[%]:[%]])</f>
        <v/>
      </c>
      <c r="IY20" s="121" t="str">
        <f>IF(ISBLANK(tbl_task4[[คะแนนเต็ม]:[คะแนนเต็ม]]),"",(tbl_task4[89]/tbl_task4[[คะแนนเต็ม]:[คะแนนเต็ม]])*tbl_task4[[%]:[%]])</f>
        <v/>
      </c>
      <c r="IZ20" s="121" t="str">
        <f>IF(ISBLANK(tbl_task4[[คะแนนเต็ม]:[คะแนนเต็ม]]),"",(tbl_task4[90]/tbl_task4[[คะแนนเต็ม]:[คะแนนเต็ม]])*tbl_task4[[%]:[%]])</f>
        <v/>
      </c>
      <c r="JA20" s="121" t="str">
        <f>IF(ISBLANK(tbl_task4[[คะแนนเต็ม]:[คะแนนเต็ม]]),"",(tbl_task4[91]/tbl_task4[[คะแนนเต็ม]:[คะแนนเต็ม]])*tbl_task4[[%]:[%]])</f>
        <v/>
      </c>
      <c r="JB20" s="121" t="str">
        <f>IF(ISBLANK(tbl_task4[[คะแนนเต็ม]:[คะแนนเต็ม]]),"",(tbl_task4[92]/tbl_task4[[คะแนนเต็ม]:[คะแนนเต็ม]])*tbl_task4[[%]:[%]])</f>
        <v/>
      </c>
      <c r="JC20" s="121" t="str">
        <f>IF(ISBLANK(tbl_task4[[คะแนนเต็ม]:[คะแนนเต็ม]]),"",(tbl_task4[93]/tbl_task4[[คะแนนเต็ม]:[คะแนนเต็ม]])*tbl_task4[[%]:[%]])</f>
        <v/>
      </c>
      <c r="JD20" s="121" t="str">
        <f>IF(ISBLANK(tbl_task4[[คะแนนเต็ม]:[คะแนนเต็ม]]),"",(tbl_task4[94]/tbl_task4[[คะแนนเต็ม]:[คะแนนเต็ม]])*tbl_task4[[%]:[%]])</f>
        <v/>
      </c>
      <c r="JE20" s="121" t="str">
        <f>IF(ISBLANK(tbl_task4[[คะแนนเต็ม]:[คะแนนเต็ม]]),"",(tbl_task4[95]/tbl_task4[[คะแนนเต็ม]:[คะแนนเต็ม]])*tbl_task4[[%]:[%]])</f>
        <v/>
      </c>
      <c r="JF20" s="121" t="str">
        <f>IF(ISBLANK(tbl_task4[[คะแนนเต็ม]:[คะแนนเต็ม]]),"",(tbl_task4[96]/tbl_task4[[คะแนนเต็ม]:[คะแนนเต็ม]])*tbl_task4[[%]:[%]])</f>
        <v/>
      </c>
      <c r="JG20" s="121" t="str">
        <f>IF(ISBLANK(tbl_task4[[คะแนนเต็ม]:[คะแนนเต็ม]]),"",(tbl_task4[97]/tbl_task4[[คะแนนเต็ม]:[คะแนนเต็ม]])*tbl_task4[[%]:[%]])</f>
        <v/>
      </c>
      <c r="JH20" s="121" t="str">
        <f>IF(ISBLANK(tbl_task4[[คะแนนเต็ม]:[คะแนนเต็ม]]),"",(tbl_task4[98]/tbl_task4[[คะแนนเต็ม]:[คะแนนเต็ม]])*tbl_task4[[%]:[%]])</f>
        <v/>
      </c>
      <c r="JI20" s="121" t="str">
        <f>IF(ISBLANK(tbl_task4[[คะแนนเต็ม]:[คะแนนเต็ม]]),"",(tbl_task4[99]/tbl_task4[[คะแนนเต็ม]:[คะแนนเต็ม]])*tbl_task4[[%]:[%]])</f>
        <v/>
      </c>
      <c r="JJ20" s="121" t="str">
        <f>IF(ISBLANK(tbl_task4[[คะแนนเต็ม]:[คะแนนเต็ม]]),"",(tbl_task4[100]/tbl_task4[[คะแนนเต็ม]:[คะแนนเต็ม]])*tbl_task4[[%]:[%]])</f>
        <v/>
      </c>
      <c r="JK20" s="121" t="str">
        <f>IF(ISBLANK(tbl_task4[[คะแนนเต็ม]:[คะแนนเต็ม]]),"",(tbl_task4[101]/tbl_task4[[คะแนนเต็ม]:[คะแนนเต็ม]])*tbl_task4[[%]:[%]])</f>
        <v/>
      </c>
      <c r="JL20" s="121" t="str">
        <f>IF(ISBLANK(tbl_task4[[คะแนนเต็ม]:[คะแนนเต็ม]]),"",(tbl_task4[102]/tbl_task4[[คะแนนเต็ม]:[คะแนนเต็ม]])*tbl_task4[[%]:[%]])</f>
        <v/>
      </c>
      <c r="JM20" s="121" t="str">
        <f>IF(ISBLANK(tbl_task4[[คะแนนเต็ม]:[คะแนนเต็ม]]),"",(tbl_task4[103]/tbl_task4[[คะแนนเต็ม]:[คะแนนเต็ม]])*tbl_task4[[%]:[%]])</f>
        <v/>
      </c>
      <c r="JN20" s="121" t="str">
        <f>IF(ISBLANK(tbl_task4[[คะแนนเต็ม]:[คะแนนเต็ม]]),"",(tbl_task4[104]/tbl_task4[[คะแนนเต็ม]:[คะแนนเต็ม]])*tbl_task4[[%]:[%]])</f>
        <v/>
      </c>
      <c r="JO20" s="121" t="str">
        <f>IF(ISBLANK(tbl_task4[[คะแนนเต็ม]:[คะแนนเต็ม]]),"",(tbl_task4[105]/tbl_task4[[คะแนนเต็ม]:[คะแนนเต็ม]])*tbl_task4[[%]:[%]])</f>
        <v/>
      </c>
      <c r="JP20" s="121" t="str">
        <f>IF(ISBLANK(tbl_task4[[คะแนนเต็ม]:[คะแนนเต็ม]]),"",(tbl_task4[106]/tbl_task4[[คะแนนเต็ม]:[คะแนนเต็ม]])*tbl_task4[[%]:[%]])</f>
        <v/>
      </c>
      <c r="JQ20" s="121" t="str">
        <f>IF(ISBLANK(tbl_task4[[คะแนนเต็ม]:[คะแนนเต็ม]]),"",(tbl_task4[107]/tbl_task4[[คะแนนเต็ม]:[คะแนนเต็ม]])*tbl_task4[[%]:[%]])</f>
        <v/>
      </c>
      <c r="JR20" s="121" t="str">
        <f>IF(ISBLANK(tbl_task4[[คะแนนเต็ม]:[คะแนนเต็ม]]),"",(tbl_task4[108]/tbl_task4[[คะแนนเต็ม]:[คะแนนเต็ม]])*tbl_task4[[%]:[%]])</f>
        <v/>
      </c>
      <c r="JS20" s="121" t="str">
        <f>IF(ISBLANK(tbl_task4[[คะแนนเต็ม]:[คะแนนเต็ม]]),"",(tbl_task4[109]/tbl_task4[[คะแนนเต็ม]:[คะแนนเต็ม]])*tbl_task4[[%]:[%]])</f>
        <v/>
      </c>
      <c r="JT20" s="121" t="str">
        <f>IF(ISBLANK(tbl_task4[[คะแนนเต็ม]:[คะแนนเต็ม]]),"",(tbl_task4[110]/tbl_task4[[คะแนนเต็ม]:[คะแนนเต็ม]])*tbl_task4[[%]:[%]])</f>
        <v/>
      </c>
      <c r="JU20" s="121" t="str">
        <f>IF(ISBLANK(tbl_task4[[คะแนนเต็ม]:[คะแนนเต็ม]]),"",(tbl_task4[111]/tbl_task4[[คะแนนเต็ม]:[คะแนนเต็ม]])*tbl_task4[[%]:[%]])</f>
        <v/>
      </c>
      <c r="JV20" s="121" t="str">
        <f>IF(ISBLANK(tbl_task4[[คะแนนเต็ม]:[คะแนนเต็ม]]),"",(tbl_task4[112]/tbl_task4[[คะแนนเต็ม]:[คะแนนเต็ม]])*tbl_task4[[%]:[%]])</f>
        <v/>
      </c>
      <c r="JW20" s="121" t="str">
        <f>IF(ISBLANK(tbl_task4[[คะแนนเต็ม]:[คะแนนเต็ม]]),"",(tbl_task4[113]/tbl_task4[[คะแนนเต็ม]:[คะแนนเต็ม]])*tbl_task4[[%]:[%]])</f>
        <v/>
      </c>
      <c r="JX20" s="121" t="str">
        <f>IF(ISBLANK(tbl_task4[[คะแนนเต็ม]:[คะแนนเต็ม]]),"",(tbl_task4[114]/tbl_task4[[คะแนนเต็ม]:[คะแนนเต็ม]])*tbl_task4[[%]:[%]])</f>
        <v/>
      </c>
      <c r="JY20" s="121" t="str">
        <f>IF(ISBLANK(tbl_task4[[คะแนนเต็ม]:[คะแนนเต็ม]]),"",(tbl_task4[115]/tbl_task4[[คะแนนเต็ม]:[คะแนนเต็ม]])*tbl_task4[[%]:[%]])</f>
        <v/>
      </c>
      <c r="JZ20" s="121" t="str">
        <f>IF(ISBLANK(tbl_task4[[คะแนนเต็ม]:[คะแนนเต็ม]]),"",(tbl_task4[116]/tbl_task4[[คะแนนเต็ม]:[คะแนนเต็ม]])*tbl_task4[[%]:[%]])</f>
        <v/>
      </c>
      <c r="KA20" s="121" t="str">
        <f>IF(ISBLANK(tbl_task4[[คะแนนเต็ม]:[คะแนนเต็ม]]),"",(tbl_task4[117]/tbl_task4[[คะแนนเต็ม]:[คะแนนเต็ม]])*tbl_task4[[%]:[%]])</f>
        <v/>
      </c>
      <c r="KB20" s="121" t="str">
        <f>IF(ISBLANK(tbl_task4[[คะแนนเต็ม]:[คะแนนเต็ม]]),"",(tbl_task4[118]/tbl_task4[[คะแนนเต็ม]:[คะแนนเต็ม]])*tbl_task4[[%]:[%]])</f>
        <v/>
      </c>
      <c r="KC20" s="121" t="str">
        <f>IF(ISBLANK(tbl_task4[[คะแนนเต็ม]:[คะแนนเต็ม]]),"",(tbl_task4[119]/tbl_task4[[คะแนนเต็ม]:[คะแนนเต็ม]])*tbl_task4[[%]:[%]])</f>
        <v/>
      </c>
      <c r="KD20" s="121" t="str">
        <f>IF(ISBLANK(tbl_task4[[คะแนนเต็ม]:[คะแนนเต็ม]]),"",(tbl_task4[120]/tbl_task4[[คะแนนเต็ม]:[คะแนนเต็ม]])*tbl_task4[[%]:[%]])</f>
        <v/>
      </c>
      <c r="KE20" s="121" t="str">
        <f>IF(ISBLANK(tbl_task4[[คะแนนเต็ม]:[คะแนนเต็ม]]),"",(tbl_task4[121]/tbl_task4[[คะแนนเต็ม]:[คะแนนเต็ม]])*tbl_task4[[%]:[%]])</f>
        <v/>
      </c>
      <c r="KF20" s="121" t="str">
        <f>IF(ISBLANK(tbl_task4[[คะแนนเต็ม]:[คะแนนเต็ม]]),"",(tbl_task4[122]/tbl_task4[[คะแนนเต็ม]:[คะแนนเต็ม]])*tbl_task4[[%]:[%]])</f>
        <v/>
      </c>
      <c r="KG20" s="121" t="str">
        <f>IF(ISBLANK(tbl_task4[[คะแนนเต็ม]:[คะแนนเต็ม]]),"",(tbl_task4[123]/tbl_task4[[คะแนนเต็ม]:[คะแนนเต็ม]])*tbl_task4[[%]:[%]])</f>
        <v/>
      </c>
      <c r="KH20" s="121" t="str">
        <f>IF(ISBLANK(tbl_task4[[คะแนนเต็ม]:[คะแนนเต็ม]]),"",(tbl_task4[124]/tbl_task4[[คะแนนเต็ม]:[คะแนนเต็ม]])*tbl_task4[[%]:[%]])</f>
        <v/>
      </c>
      <c r="KI20" s="121" t="str">
        <f>IF(ISBLANK(tbl_task4[[คะแนนเต็ม]:[คะแนนเต็ม]]),"",(tbl_task4[125]/tbl_task4[[คะแนนเต็ม]:[คะแนนเต็ม]])*tbl_task4[[%]:[%]])</f>
        <v/>
      </c>
      <c r="KJ20" s="121" t="str">
        <f>IF(ISBLANK(tbl_task4[[คะแนนเต็ม]:[คะแนนเต็ม]]),"",(tbl_task4[126]/tbl_task4[[คะแนนเต็ม]:[คะแนนเต็ม]])*tbl_task4[[%]:[%]])</f>
        <v/>
      </c>
      <c r="KK20" s="121" t="str">
        <f>IF(ISBLANK(tbl_task4[[คะแนนเต็ม]:[คะแนนเต็ม]]),"",(tbl_task4[127]/tbl_task4[[คะแนนเต็ม]:[คะแนนเต็ม]])*tbl_task4[[%]:[%]])</f>
        <v/>
      </c>
      <c r="KL20" s="121" t="str">
        <f>IF(ISBLANK(tbl_task4[[คะแนนเต็ม]:[คะแนนเต็ม]]),"",(tbl_task4[128]/tbl_task4[[คะแนนเต็ม]:[คะแนนเต็ม]])*tbl_task4[[%]:[%]])</f>
        <v/>
      </c>
      <c r="KM20" s="121" t="str">
        <f>IF(ISBLANK(tbl_task4[[คะแนนเต็ม]:[คะแนนเต็ม]]),"",(tbl_task4[129]/tbl_task4[[คะแนนเต็ม]:[คะแนนเต็ม]])*tbl_task4[[%]:[%]])</f>
        <v/>
      </c>
      <c r="KN20" s="121" t="str">
        <f>IF(ISBLANK(tbl_task4[[คะแนนเต็ม]:[คะแนนเต็ม]]),"",(tbl_task4[130]/tbl_task4[[คะแนนเต็ม]:[คะแนนเต็ม]])*tbl_task4[[%]:[%]])</f>
        <v/>
      </c>
      <c r="KO20" s="121" t="str">
        <f>IF(ISBLANK(tbl_task4[[คะแนนเต็ม]:[คะแนนเต็ม]]),"",(tbl_task4[131]/tbl_task4[[คะแนนเต็ม]:[คะแนนเต็ม]])*tbl_task4[[%]:[%]])</f>
        <v/>
      </c>
      <c r="KP20" s="121" t="str">
        <f>IF(ISBLANK(tbl_task4[[คะแนนเต็ม]:[คะแนนเต็ม]]),"",(tbl_task4[132]/tbl_task4[[คะแนนเต็ม]:[คะแนนเต็ม]])*tbl_task4[[%]:[%]])</f>
        <v/>
      </c>
      <c r="KQ20" s="121" t="str">
        <f>IF(ISBLANK(tbl_task4[[คะแนนเต็ม]:[คะแนนเต็ม]]),"",(tbl_task4[133]/tbl_task4[[คะแนนเต็ม]:[คะแนนเต็ม]])*tbl_task4[[%]:[%]])</f>
        <v/>
      </c>
      <c r="KR20" s="121" t="str">
        <f>IF(ISBLANK(tbl_task4[[คะแนนเต็ม]:[คะแนนเต็ม]]),"",(tbl_task4[134]/tbl_task4[[คะแนนเต็ม]:[คะแนนเต็ม]])*tbl_task4[[%]:[%]])</f>
        <v/>
      </c>
      <c r="KS20" s="121" t="str">
        <f>IF(ISBLANK(tbl_task4[[คะแนนเต็ม]:[คะแนนเต็ม]]),"",(tbl_task4[135]/tbl_task4[[คะแนนเต็ม]:[คะแนนเต็ม]])*tbl_task4[[%]:[%]])</f>
        <v/>
      </c>
      <c r="KT20" s="121" t="str">
        <f>IF(ISBLANK(tbl_task4[[คะแนนเต็ม]:[คะแนนเต็ม]]),"",(tbl_task4[136]/tbl_task4[[คะแนนเต็ม]:[คะแนนเต็ม]])*tbl_task4[[%]:[%]])</f>
        <v/>
      </c>
      <c r="KU20" s="121" t="str">
        <f>IF(ISBLANK(tbl_task4[[คะแนนเต็ม]:[คะแนนเต็ม]]),"",(tbl_task4[137]/tbl_task4[[คะแนนเต็ม]:[คะแนนเต็ม]])*tbl_task4[[%]:[%]])</f>
        <v/>
      </c>
      <c r="KV20" s="121" t="str">
        <f>IF(ISBLANK(tbl_task4[[คะแนนเต็ม]:[คะแนนเต็ม]]),"",(tbl_task4[138]/tbl_task4[[คะแนนเต็ม]:[คะแนนเต็ม]])*tbl_task4[[%]:[%]])</f>
        <v/>
      </c>
      <c r="KW20" s="121" t="str">
        <f>IF(ISBLANK(tbl_task4[[คะแนนเต็ม]:[คะแนนเต็ม]]),"",(tbl_task4[139]/tbl_task4[[คะแนนเต็ม]:[คะแนนเต็ม]])*tbl_task4[[%]:[%]])</f>
        <v/>
      </c>
      <c r="KX20" s="121" t="str">
        <f>IF(ISBLANK(tbl_task4[[คะแนนเต็ม]:[คะแนนเต็ม]]),"",(tbl_task4[140]/tbl_task4[[คะแนนเต็ม]:[คะแนนเต็ม]])*tbl_task4[[%]:[%]])</f>
        <v/>
      </c>
      <c r="KY20" s="121" t="str">
        <f>IF(ISBLANK(tbl_task4[[คะแนนเต็ม]:[คะแนนเต็ม]]),"",(tbl_task4[141]/tbl_task4[[คะแนนเต็ม]:[คะแนนเต็ม]])*tbl_task4[[%]:[%]])</f>
        <v/>
      </c>
      <c r="KZ20" s="121" t="str">
        <f>IF(ISBLANK(tbl_task4[[คะแนนเต็ม]:[คะแนนเต็ม]]),"",(tbl_task4[142]/tbl_task4[[คะแนนเต็ม]:[คะแนนเต็ม]])*tbl_task4[[%]:[%]])</f>
        <v/>
      </c>
      <c r="LA20" s="121" t="str">
        <f>IF(ISBLANK(tbl_task4[[คะแนนเต็ม]:[คะแนนเต็ม]]),"",(tbl_task4[143]/tbl_task4[[คะแนนเต็ม]:[คะแนนเต็ม]])*tbl_task4[[%]:[%]])</f>
        <v/>
      </c>
      <c r="LB20" s="121" t="str">
        <f>IF(ISBLANK(tbl_task4[[คะแนนเต็ม]:[คะแนนเต็ม]]),"",(tbl_task4[144]/tbl_task4[[คะแนนเต็ม]:[คะแนนเต็ม]])*tbl_task4[[%]:[%]])</f>
        <v/>
      </c>
      <c r="LC20" s="121" t="str">
        <f>IF(ISBLANK(tbl_task4[[คะแนนเต็ม]:[คะแนนเต็ม]]),"",(tbl_task4[145]/tbl_task4[[คะแนนเต็ม]:[คะแนนเต็ม]])*tbl_task4[[%]:[%]])</f>
        <v/>
      </c>
      <c r="LD20" s="121" t="str">
        <f>IF(ISBLANK(tbl_task4[[คะแนนเต็ม]:[คะแนนเต็ม]]),"",(tbl_task4[146]/tbl_task4[[คะแนนเต็ม]:[คะแนนเต็ม]])*tbl_task4[[%]:[%]])</f>
        <v/>
      </c>
      <c r="LE20" s="121" t="str">
        <f>IF(ISBLANK(tbl_task4[[คะแนนเต็ม]:[คะแนนเต็ม]]),"",(tbl_task4[147]/tbl_task4[[คะแนนเต็ม]:[คะแนนเต็ม]])*tbl_task4[[%]:[%]])</f>
        <v/>
      </c>
      <c r="LF20" s="121" t="str">
        <f>IF(ISBLANK(tbl_task4[[คะแนนเต็ม]:[คะแนนเต็ม]]),"",(tbl_task4[148]/tbl_task4[[คะแนนเต็ม]:[คะแนนเต็ม]])*tbl_task4[[%]:[%]])</f>
        <v/>
      </c>
      <c r="LG20" s="121" t="str">
        <f>IF(ISBLANK(tbl_task4[[คะแนนเต็ม]:[คะแนนเต็ม]]),"",(tbl_task4[149]/tbl_task4[[คะแนนเต็ม]:[คะแนนเต็ม]])*tbl_task4[[%]:[%]])</f>
        <v/>
      </c>
      <c r="LH20" s="121" t="str">
        <f>IF(ISBLANK(tbl_task4[[คะแนนเต็ม]:[คะแนนเต็ม]]),"",(tbl_task4[150]/tbl_task4[[คะแนนเต็ม]:[คะแนนเต็ม]])*tbl_task4[[%]:[%]])</f>
        <v/>
      </c>
      <c r="LI20" s="121" t="str">
        <f>IF(ISBLANK(tbl_task4[[คะแนนเต็ม]:[คะแนนเต็ม]]),"",(tbl_task4[151]/tbl_task4[[คะแนนเต็ม]:[คะแนนเต็ม]])*tbl_task4[[%]:[%]])</f>
        <v/>
      </c>
      <c r="LJ20" s="121" t="str">
        <f>IF(ISBLANK(tbl_task4[[คะแนนเต็ม]:[คะแนนเต็ม]]),"",(tbl_task4[152]/tbl_task4[[คะแนนเต็ม]:[คะแนนเต็ม]])*tbl_task4[[%]:[%]])</f>
        <v/>
      </c>
      <c r="LK20" s="121" t="str">
        <f>IF(ISBLANK(tbl_task4[[คะแนนเต็ม]:[คะแนนเต็ม]]),"",(tbl_task4[153]/tbl_task4[[คะแนนเต็ม]:[คะแนนเต็ม]])*tbl_task4[[%]:[%]])</f>
        <v/>
      </c>
      <c r="LL20" s="121" t="str">
        <f>IF(ISBLANK(tbl_task4[[คะแนนเต็ม]:[คะแนนเต็ม]]),"",(tbl_task4[154]/tbl_task4[[คะแนนเต็ม]:[คะแนนเต็ม]])*tbl_task4[[%]:[%]])</f>
        <v/>
      </c>
      <c r="LM20" s="121" t="str">
        <f>IF(ISBLANK(tbl_task4[[คะแนนเต็ม]:[คะแนนเต็ม]]),"",(tbl_task4[155]/tbl_task4[[คะแนนเต็ม]:[คะแนนเต็ม]])*tbl_task4[[%]:[%]])</f>
        <v/>
      </c>
      <c r="LN20" s="121" t="str">
        <f>IF(ISBLANK(tbl_task4[[คะแนนเต็ม]:[คะแนนเต็ม]]),"",(tbl_task4[156]/tbl_task4[[คะแนนเต็ม]:[คะแนนเต็ม]])*tbl_task4[[%]:[%]])</f>
        <v/>
      </c>
      <c r="LO20" s="121" t="str">
        <f>IF(ISBLANK(tbl_task4[[คะแนนเต็ม]:[คะแนนเต็ม]]),"",(tbl_task4[157]/tbl_task4[[คะแนนเต็ม]:[คะแนนเต็ม]])*tbl_task4[[%]:[%]])</f>
        <v/>
      </c>
      <c r="LP20" s="121" t="str">
        <f>IF(ISBLANK(tbl_task4[[คะแนนเต็ม]:[คะแนนเต็ม]]),"",(tbl_task4[158]/tbl_task4[[คะแนนเต็ม]:[คะแนนเต็ม]])*tbl_task4[[%]:[%]])</f>
        <v/>
      </c>
      <c r="LQ20" s="121" t="str">
        <f>IF(ISBLANK(tbl_task4[[คะแนนเต็ม]:[คะแนนเต็ม]]),"",(tbl_task4[159]/tbl_task4[[คะแนนเต็ม]:[คะแนนเต็ม]])*tbl_task4[[%]:[%]])</f>
        <v/>
      </c>
      <c r="LR20" s="121" t="str">
        <f>IF(ISBLANK(tbl_task4[[คะแนนเต็ม]:[คะแนนเต็ม]]),"",(tbl_task4[160]/tbl_task4[[คะแนนเต็ม]:[คะแนนเต็ม]])*tbl_task4[[%]:[%]])</f>
        <v/>
      </c>
      <c r="LS20" s="121" t="str">
        <f>IF(ISBLANK(tbl_task4[[คะแนนเต็ม]:[คะแนนเต็ม]]),"",(tbl_task4[161]/tbl_task4[[คะแนนเต็ม]:[คะแนนเต็ม]])*tbl_task4[[%]:[%]])</f>
        <v/>
      </c>
      <c r="LT20" s="121" t="str">
        <f>IF(ISBLANK(tbl_task4[[คะแนนเต็ม]:[คะแนนเต็ม]]),"",(tbl_task4[162]/tbl_task4[[คะแนนเต็ม]:[คะแนนเต็ม]])*tbl_task4[[%]:[%]])</f>
        <v/>
      </c>
      <c r="LU20" s="121" t="str">
        <f>IF(ISBLANK(tbl_task4[[คะแนนเต็ม]:[คะแนนเต็ม]]),"",(tbl_task4[163]/tbl_task4[[คะแนนเต็ม]:[คะแนนเต็ม]])*tbl_task4[[%]:[%]])</f>
        <v/>
      </c>
      <c r="LV20" s="121" t="str">
        <f>IF(ISBLANK(tbl_task4[[คะแนนเต็ม]:[คะแนนเต็ม]]),"",(tbl_task4[164]/tbl_task4[[คะแนนเต็ม]:[คะแนนเต็ม]])*tbl_task4[[%]:[%]])</f>
        <v/>
      </c>
      <c r="LW20" s="121" t="str">
        <f>IF(ISBLANK(tbl_task4[[คะแนนเต็ม]:[คะแนนเต็ม]]),"",(tbl_task4[165]/tbl_task4[[คะแนนเต็ม]:[คะแนนเต็ม]])*tbl_task4[[%]:[%]])</f>
        <v/>
      </c>
    </row>
    <row r="21" spans="1:335" ht="24" customHeight="1" x14ac:dyDescent="0.25">
      <c r="A21" s="24">
        <v>18</v>
      </c>
      <c r="B21" s="20"/>
      <c r="C21" s="5" t="str">
        <f>IF(ISBLANK(B21),"",VLOOKUP(B21,tbl_PLOs[],2,0))</f>
        <v/>
      </c>
      <c r="D21" s="102"/>
      <c r="E21" s="106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21" t="str">
        <f>IF(ISBLANK(tbl_task4[[คะแนนเต็ม]:[คะแนนเต็ม]]),"",(tbl_task4[1]/tbl_task4[[คะแนนเต็ม]:[คะแนนเต็ม]])*tbl_task4[[%]:[%]])</f>
        <v/>
      </c>
      <c r="FP21" s="121" t="str">
        <f>IF(ISBLANK(tbl_task4[[คะแนนเต็ม]:[คะแนนเต็ม]]),"",(tbl_task4[2]/tbl_task4[[คะแนนเต็ม]:[คะแนนเต็ม]])*tbl_task4[[%]:[%]])</f>
        <v/>
      </c>
      <c r="FQ21" s="121" t="str">
        <f>IF(ISBLANK(tbl_task4[[คะแนนเต็ม]:[คะแนนเต็ม]]),"",(tbl_task4[3]/tbl_task4[[คะแนนเต็ม]:[คะแนนเต็ม]])*tbl_task4[[%]:[%]])</f>
        <v/>
      </c>
      <c r="FR21" s="121" t="str">
        <f>IF(ISBLANK(tbl_task4[[คะแนนเต็ม]:[คะแนนเต็ม]]),"",(tbl_task4[4]/tbl_task4[[คะแนนเต็ม]:[คะแนนเต็ม]])*tbl_task4[[%]:[%]])</f>
        <v/>
      </c>
      <c r="FS21" s="121" t="str">
        <f>IF(ISBLANK(tbl_task4[[คะแนนเต็ม]:[คะแนนเต็ม]]),"",(tbl_task4[5]/tbl_task4[[คะแนนเต็ม]:[คะแนนเต็ม]])*tbl_task4[[%]:[%]])</f>
        <v/>
      </c>
      <c r="FT21" s="121" t="str">
        <f>IF(ISBLANK(tbl_task4[[คะแนนเต็ม]:[คะแนนเต็ม]]),"",(tbl_task4[6]/tbl_task4[[คะแนนเต็ม]:[คะแนนเต็ม]])*tbl_task4[[%]:[%]])</f>
        <v/>
      </c>
      <c r="FU21" s="121" t="str">
        <f>IF(ISBLANK(tbl_task4[[คะแนนเต็ม]:[คะแนนเต็ม]]),"",(tbl_task4[7]/tbl_task4[[คะแนนเต็ม]:[คะแนนเต็ม]])*tbl_task4[[%]:[%]])</f>
        <v/>
      </c>
      <c r="FV21" s="121" t="str">
        <f>IF(ISBLANK(tbl_task4[[คะแนนเต็ม]:[คะแนนเต็ม]]),"",(tbl_task4[8]/tbl_task4[[คะแนนเต็ม]:[คะแนนเต็ม]])*tbl_task4[[%]:[%]])</f>
        <v/>
      </c>
      <c r="FW21" s="121" t="str">
        <f>IF(ISBLANK(tbl_task4[[คะแนนเต็ม]:[คะแนนเต็ม]]),"",(tbl_task4[9]/tbl_task4[[คะแนนเต็ม]:[คะแนนเต็ม]])*tbl_task4[[%]:[%]])</f>
        <v/>
      </c>
      <c r="FX21" s="121" t="str">
        <f>IF(ISBLANK(tbl_task4[[คะแนนเต็ม]:[คะแนนเต็ม]]),"",(tbl_task4[10]/tbl_task4[[คะแนนเต็ม]:[คะแนนเต็ม]])*tbl_task4[[%]:[%]])</f>
        <v/>
      </c>
      <c r="FY21" s="121" t="str">
        <f>IF(ISBLANK(tbl_task4[[คะแนนเต็ม]:[คะแนนเต็ม]]),"",(tbl_task4[11]/tbl_task4[[คะแนนเต็ม]:[คะแนนเต็ม]])*tbl_task4[[%]:[%]])</f>
        <v/>
      </c>
      <c r="FZ21" s="121" t="str">
        <f>IF(ISBLANK(tbl_task4[[คะแนนเต็ม]:[คะแนนเต็ม]]),"",(tbl_task4[12]/tbl_task4[[คะแนนเต็ม]:[คะแนนเต็ม]])*tbl_task4[[%]:[%]])</f>
        <v/>
      </c>
      <c r="GA21" s="121" t="str">
        <f>IF(ISBLANK(tbl_task4[[คะแนนเต็ม]:[คะแนนเต็ม]]),"",(tbl_task4[13]/tbl_task4[[คะแนนเต็ม]:[คะแนนเต็ม]])*tbl_task4[[%]:[%]])</f>
        <v/>
      </c>
      <c r="GB21" s="121" t="str">
        <f>IF(ISBLANK(tbl_task4[[คะแนนเต็ม]:[คะแนนเต็ม]]),"",(tbl_task4[14]/tbl_task4[[คะแนนเต็ม]:[คะแนนเต็ม]])*tbl_task4[[%]:[%]])</f>
        <v/>
      </c>
      <c r="GC21" s="121" t="str">
        <f>IF(ISBLANK(tbl_task4[[คะแนนเต็ม]:[คะแนนเต็ม]]),"",(tbl_task4[15]/tbl_task4[[คะแนนเต็ม]:[คะแนนเต็ม]])*tbl_task4[[%]:[%]])</f>
        <v/>
      </c>
      <c r="GD21" s="121" t="str">
        <f>IF(ISBLANK(tbl_task4[[คะแนนเต็ม]:[คะแนนเต็ม]]),"",(tbl_task4[16]/tbl_task4[[คะแนนเต็ม]:[คะแนนเต็ม]])*tbl_task4[[%]:[%]])</f>
        <v/>
      </c>
      <c r="GE21" s="121" t="str">
        <f>IF(ISBLANK(tbl_task4[[คะแนนเต็ม]:[คะแนนเต็ม]]),"",(tbl_task4[17]/tbl_task4[[คะแนนเต็ม]:[คะแนนเต็ม]])*tbl_task4[[%]:[%]])</f>
        <v/>
      </c>
      <c r="GF21" s="121" t="str">
        <f>IF(ISBLANK(tbl_task4[[คะแนนเต็ม]:[คะแนนเต็ม]]),"",(tbl_task4[18]/tbl_task4[[คะแนนเต็ม]:[คะแนนเต็ม]])*tbl_task4[[%]:[%]])</f>
        <v/>
      </c>
      <c r="GG21" s="121" t="str">
        <f>IF(ISBLANK(tbl_task4[[คะแนนเต็ม]:[คะแนนเต็ม]]),"",(tbl_task4[19]/tbl_task4[[คะแนนเต็ม]:[คะแนนเต็ม]])*tbl_task4[[%]:[%]])</f>
        <v/>
      </c>
      <c r="GH21" s="121" t="str">
        <f>IF(ISBLANK(tbl_task4[[คะแนนเต็ม]:[คะแนนเต็ม]]),"",(tbl_task4[20]/tbl_task4[[คะแนนเต็ม]:[คะแนนเต็ม]])*tbl_task4[[%]:[%]])</f>
        <v/>
      </c>
      <c r="GI21" s="121" t="str">
        <f>IF(ISBLANK(tbl_task4[[คะแนนเต็ม]:[คะแนนเต็ม]]),"",(tbl_task4[21]/tbl_task4[[คะแนนเต็ม]:[คะแนนเต็ม]])*tbl_task4[[%]:[%]])</f>
        <v/>
      </c>
      <c r="GJ21" s="121" t="str">
        <f>IF(ISBLANK(tbl_task4[[คะแนนเต็ม]:[คะแนนเต็ม]]),"",(tbl_task4[22]/tbl_task4[[คะแนนเต็ม]:[คะแนนเต็ม]])*tbl_task4[[%]:[%]])</f>
        <v/>
      </c>
      <c r="GK21" s="121" t="str">
        <f>IF(ISBLANK(tbl_task4[[คะแนนเต็ม]:[คะแนนเต็ม]]),"",(tbl_task4[23]/tbl_task4[[คะแนนเต็ม]:[คะแนนเต็ม]])*tbl_task4[[%]:[%]])</f>
        <v/>
      </c>
      <c r="GL21" s="121" t="str">
        <f>IF(ISBLANK(tbl_task4[[คะแนนเต็ม]:[คะแนนเต็ม]]),"",(tbl_task4[24]/tbl_task4[[คะแนนเต็ม]:[คะแนนเต็ม]])*tbl_task4[[%]:[%]])</f>
        <v/>
      </c>
      <c r="GM21" s="121" t="str">
        <f>IF(ISBLANK(tbl_task4[[คะแนนเต็ม]:[คะแนนเต็ม]]),"",(tbl_task4[25]/tbl_task4[[คะแนนเต็ม]:[คะแนนเต็ม]])*tbl_task4[[%]:[%]])</f>
        <v/>
      </c>
      <c r="GN21" s="121" t="str">
        <f>IF(ISBLANK(tbl_task4[[คะแนนเต็ม]:[คะแนนเต็ม]]),"",(tbl_task4[26]/tbl_task4[[คะแนนเต็ม]:[คะแนนเต็ม]])*tbl_task4[[%]:[%]])</f>
        <v/>
      </c>
      <c r="GO21" s="121" t="str">
        <f>IF(ISBLANK(tbl_task4[[คะแนนเต็ม]:[คะแนนเต็ม]]),"",(tbl_task4[27]/tbl_task4[[คะแนนเต็ม]:[คะแนนเต็ม]])*tbl_task4[[%]:[%]])</f>
        <v/>
      </c>
      <c r="GP21" s="121" t="str">
        <f>IF(ISBLANK(tbl_task4[[คะแนนเต็ม]:[คะแนนเต็ม]]),"",(tbl_task4[28]/tbl_task4[[คะแนนเต็ม]:[คะแนนเต็ม]])*tbl_task4[[%]:[%]])</f>
        <v/>
      </c>
      <c r="GQ21" s="121" t="str">
        <f>IF(ISBLANK(tbl_task4[[คะแนนเต็ม]:[คะแนนเต็ม]]),"",(tbl_task4[29]/tbl_task4[[คะแนนเต็ม]:[คะแนนเต็ม]])*tbl_task4[[%]:[%]])</f>
        <v/>
      </c>
      <c r="GR21" s="121" t="str">
        <f>IF(ISBLANK(tbl_task4[[คะแนนเต็ม]:[คะแนนเต็ม]]),"",(tbl_task4[30]/tbl_task4[[คะแนนเต็ม]:[คะแนนเต็ม]])*tbl_task4[[%]:[%]])</f>
        <v/>
      </c>
      <c r="GS21" s="121" t="str">
        <f>IF(ISBLANK(tbl_task4[[คะแนนเต็ม]:[คะแนนเต็ม]]),"",(tbl_task4[31]/tbl_task4[[คะแนนเต็ม]:[คะแนนเต็ม]])*tbl_task4[[%]:[%]])</f>
        <v/>
      </c>
      <c r="GT21" s="121" t="str">
        <f>IF(ISBLANK(tbl_task4[[คะแนนเต็ม]:[คะแนนเต็ม]]),"",(tbl_task4[32]/tbl_task4[[คะแนนเต็ม]:[คะแนนเต็ม]])*tbl_task4[[%]:[%]])</f>
        <v/>
      </c>
      <c r="GU21" s="121" t="str">
        <f>IF(ISBLANK(tbl_task4[[คะแนนเต็ม]:[คะแนนเต็ม]]),"",(tbl_task4[33]/tbl_task4[[คะแนนเต็ม]:[คะแนนเต็ม]])*tbl_task4[[%]:[%]])</f>
        <v/>
      </c>
      <c r="GV21" s="121" t="str">
        <f>IF(ISBLANK(tbl_task4[[คะแนนเต็ม]:[คะแนนเต็ม]]),"",(tbl_task4[34]/tbl_task4[[คะแนนเต็ม]:[คะแนนเต็ม]])*tbl_task4[[%]:[%]])</f>
        <v/>
      </c>
      <c r="GW21" s="121" t="str">
        <f>IF(ISBLANK(tbl_task4[[คะแนนเต็ม]:[คะแนนเต็ม]]),"",(tbl_task4[35]/tbl_task4[[คะแนนเต็ม]:[คะแนนเต็ม]])*tbl_task4[[%]:[%]])</f>
        <v/>
      </c>
      <c r="GX21" s="121" t="str">
        <f>IF(ISBLANK(tbl_task4[[คะแนนเต็ม]:[คะแนนเต็ม]]),"",(tbl_task4[36]/tbl_task4[[คะแนนเต็ม]:[คะแนนเต็ม]])*tbl_task4[[%]:[%]])</f>
        <v/>
      </c>
      <c r="GY21" s="121" t="str">
        <f>IF(ISBLANK(tbl_task4[[คะแนนเต็ม]:[คะแนนเต็ม]]),"",(tbl_task4[37]/tbl_task4[[คะแนนเต็ม]:[คะแนนเต็ม]])*tbl_task4[[%]:[%]])</f>
        <v/>
      </c>
      <c r="GZ21" s="121" t="str">
        <f>IF(ISBLANK(tbl_task4[[คะแนนเต็ม]:[คะแนนเต็ม]]),"",(tbl_task4[38]/tbl_task4[[คะแนนเต็ม]:[คะแนนเต็ม]])*tbl_task4[[%]:[%]])</f>
        <v/>
      </c>
      <c r="HA21" s="121" t="str">
        <f>IF(ISBLANK(tbl_task4[[คะแนนเต็ม]:[คะแนนเต็ม]]),"",(tbl_task4[39]/tbl_task4[[คะแนนเต็ม]:[คะแนนเต็ม]])*tbl_task4[[%]:[%]])</f>
        <v/>
      </c>
      <c r="HB21" s="121" t="str">
        <f>IF(ISBLANK(tbl_task4[[คะแนนเต็ม]:[คะแนนเต็ม]]),"",(tbl_task4[40]/tbl_task4[[คะแนนเต็ม]:[คะแนนเต็ม]])*tbl_task4[[%]:[%]])</f>
        <v/>
      </c>
      <c r="HC21" s="121" t="str">
        <f>IF(ISBLANK(tbl_task4[[คะแนนเต็ม]:[คะแนนเต็ม]]),"",(tbl_task4[41]/tbl_task4[[คะแนนเต็ม]:[คะแนนเต็ม]])*tbl_task4[[%]:[%]])</f>
        <v/>
      </c>
      <c r="HD21" s="121" t="str">
        <f>IF(ISBLANK(tbl_task4[[คะแนนเต็ม]:[คะแนนเต็ม]]),"",(tbl_task4[42]/tbl_task4[[คะแนนเต็ม]:[คะแนนเต็ม]])*tbl_task4[[%]:[%]])</f>
        <v/>
      </c>
      <c r="HE21" s="121" t="str">
        <f>IF(ISBLANK(tbl_task4[[คะแนนเต็ม]:[คะแนนเต็ม]]),"",(tbl_task4[43]/tbl_task4[[คะแนนเต็ม]:[คะแนนเต็ม]])*tbl_task4[[%]:[%]])</f>
        <v/>
      </c>
      <c r="HF21" s="121" t="str">
        <f>IF(ISBLANK(tbl_task4[[คะแนนเต็ม]:[คะแนนเต็ม]]),"",(tbl_task4[44]/tbl_task4[[คะแนนเต็ม]:[คะแนนเต็ม]])*tbl_task4[[%]:[%]])</f>
        <v/>
      </c>
      <c r="HG21" s="121" t="str">
        <f>IF(ISBLANK(tbl_task4[[คะแนนเต็ม]:[คะแนนเต็ม]]),"",(tbl_task4[45]/tbl_task4[[คะแนนเต็ม]:[คะแนนเต็ม]])*tbl_task4[[%]:[%]])</f>
        <v/>
      </c>
      <c r="HH21" s="121" t="str">
        <f>IF(ISBLANK(tbl_task4[[คะแนนเต็ม]:[คะแนนเต็ม]]),"",(tbl_task4[46]/tbl_task4[[คะแนนเต็ม]:[คะแนนเต็ม]])*tbl_task4[[%]:[%]])</f>
        <v/>
      </c>
      <c r="HI21" s="121" t="str">
        <f>IF(ISBLANK(tbl_task4[[คะแนนเต็ม]:[คะแนนเต็ม]]),"",(tbl_task4[47]/tbl_task4[[คะแนนเต็ม]:[คะแนนเต็ม]])*tbl_task4[[%]:[%]])</f>
        <v/>
      </c>
      <c r="HJ21" s="121" t="str">
        <f>IF(ISBLANK(tbl_task4[[คะแนนเต็ม]:[คะแนนเต็ม]]),"",(tbl_task4[48]/tbl_task4[[คะแนนเต็ม]:[คะแนนเต็ม]])*tbl_task4[[%]:[%]])</f>
        <v/>
      </c>
      <c r="HK21" s="121" t="str">
        <f>IF(ISBLANK(tbl_task4[[คะแนนเต็ม]:[คะแนนเต็ม]]),"",(tbl_task4[49]/tbl_task4[[คะแนนเต็ม]:[คะแนนเต็ม]])*tbl_task4[[%]:[%]])</f>
        <v/>
      </c>
      <c r="HL21" s="121" t="str">
        <f>IF(ISBLANK(tbl_task4[[คะแนนเต็ม]:[คะแนนเต็ม]]),"",(tbl_task4[50]/tbl_task4[[คะแนนเต็ม]:[คะแนนเต็ม]])*tbl_task4[[%]:[%]])</f>
        <v/>
      </c>
      <c r="HM21" s="121" t="str">
        <f>IF(ISBLANK(tbl_task4[[คะแนนเต็ม]:[คะแนนเต็ม]]),"",(tbl_task4[51]/tbl_task4[[คะแนนเต็ม]:[คะแนนเต็ม]])*tbl_task4[[%]:[%]])</f>
        <v/>
      </c>
      <c r="HN21" s="121" t="str">
        <f>IF(ISBLANK(tbl_task4[[คะแนนเต็ม]:[คะแนนเต็ม]]),"",(tbl_task4[52]/tbl_task4[[คะแนนเต็ม]:[คะแนนเต็ม]])*tbl_task4[[%]:[%]])</f>
        <v/>
      </c>
      <c r="HO21" s="121" t="str">
        <f>IF(ISBLANK(tbl_task4[[คะแนนเต็ม]:[คะแนนเต็ม]]),"",(tbl_task4[53]/tbl_task4[[คะแนนเต็ม]:[คะแนนเต็ม]])*tbl_task4[[%]:[%]])</f>
        <v/>
      </c>
      <c r="HP21" s="121" t="str">
        <f>IF(ISBLANK(tbl_task4[[คะแนนเต็ม]:[คะแนนเต็ม]]),"",(tbl_task4[54]/tbl_task4[[คะแนนเต็ม]:[คะแนนเต็ม]])*tbl_task4[[%]:[%]])</f>
        <v/>
      </c>
      <c r="HQ21" s="121" t="str">
        <f>IF(ISBLANK(tbl_task4[[คะแนนเต็ม]:[คะแนนเต็ม]]),"",(tbl_task4[55]/tbl_task4[[คะแนนเต็ม]:[คะแนนเต็ม]])*tbl_task4[[%]:[%]])</f>
        <v/>
      </c>
      <c r="HR21" s="121" t="str">
        <f>IF(ISBLANK(tbl_task4[[คะแนนเต็ม]:[คะแนนเต็ม]]),"",(tbl_task4[56]/tbl_task4[[คะแนนเต็ม]:[คะแนนเต็ม]])*tbl_task4[[%]:[%]])</f>
        <v/>
      </c>
      <c r="HS21" s="121" t="str">
        <f>IF(ISBLANK(tbl_task4[[คะแนนเต็ม]:[คะแนนเต็ม]]),"",(tbl_task4[57]/tbl_task4[[คะแนนเต็ม]:[คะแนนเต็ม]])*tbl_task4[[%]:[%]])</f>
        <v/>
      </c>
      <c r="HT21" s="121" t="str">
        <f>IF(ISBLANK(tbl_task4[[คะแนนเต็ม]:[คะแนนเต็ม]]),"",(tbl_task4[58]/tbl_task4[[คะแนนเต็ม]:[คะแนนเต็ม]])*tbl_task4[[%]:[%]])</f>
        <v/>
      </c>
      <c r="HU21" s="121" t="str">
        <f>IF(ISBLANK(tbl_task4[[คะแนนเต็ม]:[คะแนนเต็ม]]),"",(tbl_task4[59]/tbl_task4[[คะแนนเต็ม]:[คะแนนเต็ม]])*tbl_task4[[%]:[%]])</f>
        <v/>
      </c>
      <c r="HV21" s="121" t="str">
        <f>IF(ISBLANK(tbl_task4[[คะแนนเต็ม]:[คะแนนเต็ม]]),"",(tbl_task4[60]/tbl_task4[[คะแนนเต็ม]:[คะแนนเต็ม]])*tbl_task4[[%]:[%]])</f>
        <v/>
      </c>
      <c r="HW21" s="121" t="str">
        <f>IF(ISBLANK(tbl_task4[[คะแนนเต็ม]:[คะแนนเต็ม]]),"",(tbl_task4[61]/tbl_task4[[คะแนนเต็ม]:[คะแนนเต็ม]])*tbl_task4[[%]:[%]])</f>
        <v/>
      </c>
      <c r="HX21" s="121" t="str">
        <f>IF(ISBLANK(tbl_task4[[คะแนนเต็ม]:[คะแนนเต็ม]]),"",(tbl_task4[62]/tbl_task4[[คะแนนเต็ม]:[คะแนนเต็ม]])*tbl_task4[[%]:[%]])</f>
        <v/>
      </c>
      <c r="HY21" s="121" t="str">
        <f>IF(ISBLANK(tbl_task4[[คะแนนเต็ม]:[คะแนนเต็ม]]),"",(tbl_task4[63]/tbl_task4[[คะแนนเต็ม]:[คะแนนเต็ม]])*tbl_task4[[%]:[%]])</f>
        <v/>
      </c>
      <c r="HZ21" s="121" t="str">
        <f>IF(ISBLANK(tbl_task4[[คะแนนเต็ม]:[คะแนนเต็ม]]),"",(tbl_task4[64]/tbl_task4[[คะแนนเต็ม]:[คะแนนเต็ม]])*tbl_task4[[%]:[%]])</f>
        <v/>
      </c>
      <c r="IA21" s="121" t="str">
        <f>IF(ISBLANK(tbl_task4[[คะแนนเต็ม]:[คะแนนเต็ม]]),"",(tbl_task4[65]/tbl_task4[[คะแนนเต็ม]:[คะแนนเต็ม]])*tbl_task4[[%]:[%]])</f>
        <v/>
      </c>
      <c r="IB21" s="121" t="str">
        <f>IF(ISBLANK(tbl_task4[[คะแนนเต็ม]:[คะแนนเต็ม]]),"",(tbl_task4[66]/tbl_task4[[คะแนนเต็ม]:[คะแนนเต็ม]])*tbl_task4[[%]:[%]])</f>
        <v/>
      </c>
      <c r="IC21" s="121" t="str">
        <f>IF(ISBLANK(tbl_task4[[คะแนนเต็ม]:[คะแนนเต็ม]]),"",(tbl_task4[67]/tbl_task4[[คะแนนเต็ม]:[คะแนนเต็ม]])*tbl_task4[[%]:[%]])</f>
        <v/>
      </c>
      <c r="ID21" s="121" t="str">
        <f>IF(ISBLANK(tbl_task4[[คะแนนเต็ม]:[คะแนนเต็ม]]),"",(tbl_task4[68]/tbl_task4[[คะแนนเต็ม]:[คะแนนเต็ม]])*tbl_task4[[%]:[%]])</f>
        <v/>
      </c>
      <c r="IE21" s="121" t="str">
        <f>IF(ISBLANK(tbl_task4[[คะแนนเต็ม]:[คะแนนเต็ม]]),"",(tbl_task4[69]/tbl_task4[[คะแนนเต็ม]:[คะแนนเต็ม]])*tbl_task4[[%]:[%]])</f>
        <v/>
      </c>
      <c r="IF21" s="121" t="str">
        <f>IF(ISBLANK(tbl_task4[[คะแนนเต็ม]:[คะแนนเต็ม]]),"",(tbl_task4[70]/tbl_task4[[คะแนนเต็ม]:[คะแนนเต็ม]])*tbl_task4[[%]:[%]])</f>
        <v/>
      </c>
      <c r="IG21" s="121" t="str">
        <f>IF(ISBLANK(tbl_task4[[คะแนนเต็ม]:[คะแนนเต็ม]]),"",(tbl_task4[71]/tbl_task4[[คะแนนเต็ม]:[คะแนนเต็ม]])*tbl_task4[[%]:[%]])</f>
        <v/>
      </c>
      <c r="IH21" s="121" t="str">
        <f>IF(ISBLANK(tbl_task4[[คะแนนเต็ม]:[คะแนนเต็ม]]),"",(tbl_task4[72]/tbl_task4[[คะแนนเต็ม]:[คะแนนเต็ม]])*tbl_task4[[%]:[%]])</f>
        <v/>
      </c>
      <c r="II21" s="121" t="str">
        <f>IF(ISBLANK(tbl_task4[[คะแนนเต็ม]:[คะแนนเต็ม]]),"",(tbl_task4[73]/tbl_task4[[คะแนนเต็ม]:[คะแนนเต็ม]])*tbl_task4[[%]:[%]])</f>
        <v/>
      </c>
      <c r="IJ21" s="121" t="str">
        <f>IF(ISBLANK(tbl_task4[[คะแนนเต็ม]:[คะแนนเต็ม]]),"",(tbl_task4[74]/tbl_task4[[คะแนนเต็ม]:[คะแนนเต็ม]])*tbl_task4[[%]:[%]])</f>
        <v/>
      </c>
      <c r="IK21" s="121" t="str">
        <f>IF(ISBLANK(tbl_task4[[คะแนนเต็ม]:[คะแนนเต็ม]]),"",(tbl_task4[75]/tbl_task4[[คะแนนเต็ม]:[คะแนนเต็ม]])*tbl_task4[[%]:[%]])</f>
        <v/>
      </c>
      <c r="IL21" s="121" t="str">
        <f>IF(ISBLANK(tbl_task4[[คะแนนเต็ม]:[คะแนนเต็ม]]),"",(tbl_task4[76]/tbl_task4[[คะแนนเต็ม]:[คะแนนเต็ม]])*tbl_task4[[%]:[%]])</f>
        <v/>
      </c>
      <c r="IM21" s="121" t="str">
        <f>IF(ISBLANK(tbl_task4[[คะแนนเต็ม]:[คะแนนเต็ม]]),"",(tbl_task4[77]/tbl_task4[[คะแนนเต็ม]:[คะแนนเต็ม]])*tbl_task4[[%]:[%]])</f>
        <v/>
      </c>
      <c r="IN21" s="121" t="str">
        <f>IF(ISBLANK(tbl_task4[[คะแนนเต็ม]:[คะแนนเต็ม]]),"",(tbl_task4[78]/tbl_task4[[คะแนนเต็ม]:[คะแนนเต็ม]])*tbl_task4[[%]:[%]])</f>
        <v/>
      </c>
      <c r="IO21" s="121" t="str">
        <f>IF(ISBLANK(tbl_task4[[คะแนนเต็ม]:[คะแนนเต็ม]]),"",(tbl_task4[79]/tbl_task4[[คะแนนเต็ม]:[คะแนนเต็ม]])*tbl_task4[[%]:[%]])</f>
        <v/>
      </c>
      <c r="IP21" s="121" t="str">
        <f>IF(ISBLANK(tbl_task4[[คะแนนเต็ม]:[คะแนนเต็ม]]),"",(tbl_task4[80]/tbl_task4[[คะแนนเต็ม]:[คะแนนเต็ม]])*tbl_task4[[%]:[%]])</f>
        <v/>
      </c>
      <c r="IQ21" s="121" t="str">
        <f>IF(ISBLANK(tbl_task4[[คะแนนเต็ม]:[คะแนนเต็ม]]),"",(tbl_task4[81]/tbl_task4[[คะแนนเต็ม]:[คะแนนเต็ม]])*tbl_task4[[%]:[%]])</f>
        <v/>
      </c>
      <c r="IR21" s="121" t="str">
        <f>IF(ISBLANK(tbl_task4[[คะแนนเต็ม]:[คะแนนเต็ม]]),"",(tbl_task4[82]/tbl_task4[[คะแนนเต็ม]:[คะแนนเต็ม]])*tbl_task4[[%]:[%]])</f>
        <v/>
      </c>
      <c r="IS21" s="121" t="str">
        <f>IF(ISBLANK(tbl_task4[[คะแนนเต็ม]:[คะแนนเต็ม]]),"",(tbl_task4[83]/tbl_task4[[คะแนนเต็ม]:[คะแนนเต็ม]])*tbl_task4[[%]:[%]])</f>
        <v/>
      </c>
      <c r="IT21" s="121" t="str">
        <f>IF(ISBLANK(tbl_task4[[คะแนนเต็ม]:[คะแนนเต็ม]]),"",(tbl_task4[84]/tbl_task4[[คะแนนเต็ม]:[คะแนนเต็ม]])*tbl_task4[[%]:[%]])</f>
        <v/>
      </c>
      <c r="IU21" s="121" t="str">
        <f>IF(ISBLANK(tbl_task4[[คะแนนเต็ม]:[คะแนนเต็ม]]),"",(tbl_task4[85]/tbl_task4[[คะแนนเต็ม]:[คะแนนเต็ม]])*tbl_task4[[%]:[%]])</f>
        <v/>
      </c>
      <c r="IV21" s="121" t="str">
        <f>IF(ISBLANK(tbl_task4[[คะแนนเต็ม]:[คะแนนเต็ม]]),"",(tbl_task4[86]/tbl_task4[[คะแนนเต็ม]:[คะแนนเต็ม]])*tbl_task4[[%]:[%]])</f>
        <v/>
      </c>
      <c r="IW21" s="121" t="str">
        <f>IF(ISBLANK(tbl_task4[[คะแนนเต็ม]:[คะแนนเต็ม]]),"",(tbl_task4[87]/tbl_task4[[คะแนนเต็ม]:[คะแนนเต็ม]])*tbl_task4[[%]:[%]])</f>
        <v/>
      </c>
      <c r="IX21" s="121" t="str">
        <f>IF(ISBLANK(tbl_task4[[คะแนนเต็ม]:[คะแนนเต็ม]]),"",(tbl_task4[88]/tbl_task4[[คะแนนเต็ม]:[คะแนนเต็ม]])*tbl_task4[[%]:[%]])</f>
        <v/>
      </c>
      <c r="IY21" s="121" t="str">
        <f>IF(ISBLANK(tbl_task4[[คะแนนเต็ม]:[คะแนนเต็ม]]),"",(tbl_task4[89]/tbl_task4[[คะแนนเต็ม]:[คะแนนเต็ม]])*tbl_task4[[%]:[%]])</f>
        <v/>
      </c>
      <c r="IZ21" s="121" t="str">
        <f>IF(ISBLANK(tbl_task4[[คะแนนเต็ม]:[คะแนนเต็ม]]),"",(tbl_task4[90]/tbl_task4[[คะแนนเต็ม]:[คะแนนเต็ม]])*tbl_task4[[%]:[%]])</f>
        <v/>
      </c>
      <c r="JA21" s="121" t="str">
        <f>IF(ISBLANK(tbl_task4[[คะแนนเต็ม]:[คะแนนเต็ม]]),"",(tbl_task4[91]/tbl_task4[[คะแนนเต็ม]:[คะแนนเต็ม]])*tbl_task4[[%]:[%]])</f>
        <v/>
      </c>
      <c r="JB21" s="121" t="str">
        <f>IF(ISBLANK(tbl_task4[[คะแนนเต็ม]:[คะแนนเต็ม]]),"",(tbl_task4[92]/tbl_task4[[คะแนนเต็ม]:[คะแนนเต็ม]])*tbl_task4[[%]:[%]])</f>
        <v/>
      </c>
      <c r="JC21" s="121" t="str">
        <f>IF(ISBLANK(tbl_task4[[คะแนนเต็ม]:[คะแนนเต็ม]]),"",(tbl_task4[93]/tbl_task4[[คะแนนเต็ม]:[คะแนนเต็ม]])*tbl_task4[[%]:[%]])</f>
        <v/>
      </c>
      <c r="JD21" s="121" t="str">
        <f>IF(ISBLANK(tbl_task4[[คะแนนเต็ม]:[คะแนนเต็ม]]),"",(tbl_task4[94]/tbl_task4[[คะแนนเต็ม]:[คะแนนเต็ม]])*tbl_task4[[%]:[%]])</f>
        <v/>
      </c>
      <c r="JE21" s="121" t="str">
        <f>IF(ISBLANK(tbl_task4[[คะแนนเต็ม]:[คะแนนเต็ม]]),"",(tbl_task4[95]/tbl_task4[[คะแนนเต็ม]:[คะแนนเต็ม]])*tbl_task4[[%]:[%]])</f>
        <v/>
      </c>
      <c r="JF21" s="121" t="str">
        <f>IF(ISBLANK(tbl_task4[[คะแนนเต็ม]:[คะแนนเต็ม]]),"",(tbl_task4[96]/tbl_task4[[คะแนนเต็ม]:[คะแนนเต็ม]])*tbl_task4[[%]:[%]])</f>
        <v/>
      </c>
      <c r="JG21" s="121" t="str">
        <f>IF(ISBLANK(tbl_task4[[คะแนนเต็ม]:[คะแนนเต็ม]]),"",(tbl_task4[97]/tbl_task4[[คะแนนเต็ม]:[คะแนนเต็ม]])*tbl_task4[[%]:[%]])</f>
        <v/>
      </c>
      <c r="JH21" s="121" t="str">
        <f>IF(ISBLANK(tbl_task4[[คะแนนเต็ม]:[คะแนนเต็ม]]),"",(tbl_task4[98]/tbl_task4[[คะแนนเต็ม]:[คะแนนเต็ม]])*tbl_task4[[%]:[%]])</f>
        <v/>
      </c>
      <c r="JI21" s="121" t="str">
        <f>IF(ISBLANK(tbl_task4[[คะแนนเต็ม]:[คะแนนเต็ม]]),"",(tbl_task4[99]/tbl_task4[[คะแนนเต็ม]:[คะแนนเต็ม]])*tbl_task4[[%]:[%]])</f>
        <v/>
      </c>
      <c r="JJ21" s="121" t="str">
        <f>IF(ISBLANK(tbl_task4[[คะแนนเต็ม]:[คะแนนเต็ม]]),"",(tbl_task4[100]/tbl_task4[[คะแนนเต็ม]:[คะแนนเต็ม]])*tbl_task4[[%]:[%]])</f>
        <v/>
      </c>
      <c r="JK21" s="121" t="str">
        <f>IF(ISBLANK(tbl_task4[[คะแนนเต็ม]:[คะแนนเต็ม]]),"",(tbl_task4[101]/tbl_task4[[คะแนนเต็ม]:[คะแนนเต็ม]])*tbl_task4[[%]:[%]])</f>
        <v/>
      </c>
      <c r="JL21" s="121" t="str">
        <f>IF(ISBLANK(tbl_task4[[คะแนนเต็ม]:[คะแนนเต็ม]]),"",(tbl_task4[102]/tbl_task4[[คะแนนเต็ม]:[คะแนนเต็ม]])*tbl_task4[[%]:[%]])</f>
        <v/>
      </c>
      <c r="JM21" s="121" t="str">
        <f>IF(ISBLANK(tbl_task4[[คะแนนเต็ม]:[คะแนนเต็ม]]),"",(tbl_task4[103]/tbl_task4[[คะแนนเต็ม]:[คะแนนเต็ม]])*tbl_task4[[%]:[%]])</f>
        <v/>
      </c>
      <c r="JN21" s="121" t="str">
        <f>IF(ISBLANK(tbl_task4[[คะแนนเต็ม]:[คะแนนเต็ม]]),"",(tbl_task4[104]/tbl_task4[[คะแนนเต็ม]:[คะแนนเต็ม]])*tbl_task4[[%]:[%]])</f>
        <v/>
      </c>
      <c r="JO21" s="121" t="str">
        <f>IF(ISBLANK(tbl_task4[[คะแนนเต็ม]:[คะแนนเต็ม]]),"",(tbl_task4[105]/tbl_task4[[คะแนนเต็ม]:[คะแนนเต็ม]])*tbl_task4[[%]:[%]])</f>
        <v/>
      </c>
      <c r="JP21" s="121" t="str">
        <f>IF(ISBLANK(tbl_task4[[คะแนนเต็ม]:[คะแนนเต็ม]]),"",(tbl_task4[106]/tbl_task4[[คะแนนเต็ม]:[คะแนนเต็ม]])*tbl_task4[[%]:[%]])</f>
        <v/>
      </c>
      <c r="JQ21" s="121" t="str">
        <f>IF(ISBLANK(tbl_task4[[คะแนนเต็ม]:[คะแนนเต็ม]]),"",(tbl_task4[107]/tbl_task4[[คะแนนเต็ม]:[คะแนนเต็ม]])*tbl_task4[[%]:[%]])</f>
        <v/>
      </c>
      <c r="JR21" s="121" t="str">
        <f>IF(ISBLANK(tbl_task4[[คะแนนเต็ม]:[คะแนนเต็ม]]),"",(tbl_task4[108]/tbl_task4[[คะแนนเต็ม]:[คะแนนเต็ม]])*tbl_task4[[%]:[%]])</f>
        <v/>
      </c>
      <c r="JS21" s="121" t="str">
        <f>IF(ISBLANK(tbl_task4[[คะแนนเต็ม]:[คะแนนเต็ม]]),"",(tbl_task4[109]/tbl_task4[[คะแนนเต็ม]:[คะแนนเต็ม]])*tbl_task4[[%]:[%]])</f>
        <v/>
      </c>
      <c r="JT21" s="121" t="str">
        <f>IF(ISBLANK(tbl_task4[[คะแนนเต็ม]:[คะแนนเต็ม]]),"",(tbl_task4[110]/tbl_task4[[คะแนนเต็ม]:[คะแนนเต็ม]])*tbl_task4[[%]:[%]])</f>
        <v/>
      </c>
      <c r="JU21" s="121" t="str">
        <f>IF(ISBLANK(tbl_task4[[คะแนนเต็ม]:[คะแนนเต็ม]]),"",(tbl_task4[111]/tbl_task4[[คะแนนเต็ม]:[คะแนนเต็ม]])*tbl_task4[[%]:[%]])</f>
        <v/>
      </c>
      <c r="JV21" s="121" t="str">
        <f>IF(ISBLANK(tbl_task4[[คะแนนเต็ม]:[คะแนนเต็ม]]),"",(tbl_task4[112]/tbl_task4[[คะแนนเต็ม]:[คะแนนเต็ม]])*tbl_task4[[%]:[%]])</f>
        <v/>
      </c>
      <c r="JW21" s="121" t="str">
        <f>IF(ISBLANK(tbl_task4[[คะแนนเต็ม]:[คะแนนเต็ม]]),"",(tbl_task4[113]/tbl_task4[[คะแนนเต็ม]:[คะแนนเต็ม]])*tbl_task4[[%]:[%]])</f>
        <v/>
      </c>
      <c r="JX21" s="121" t="str">
        <f>IF(ISBLANK(tbl_task4[[คะแนนเต็ม]:[คะแนนเต็ม]]),"",(tbl_task4[114]/tbl_task4[[คะแนนเต็ม]:[คะแนนเต็ม]])*tbl_task4[[%]:[%]])</f>
        <v/>
      </c>
      <c r="JY21" s="121" t="str">
        <f>IF(ISBLANK(tbl_task4[[คะแนนเต็ม]:[คะแนนเต็ม]]),"",(tbl_task4[115]/tbl_task4[[คะแนนเต็ม]:[คะแนนเต็ม]])*tbl_task4[[%]:[%]])</f>
        <v/>
      </c>
      <c r="JZ21" s="121" t="str">
        <f>IF(ISBLANK(tbl_task4[[คะแนนเต็ม]:[คะแนนเต็ม]]),"",(tbl_task4[116]/tbl_task4[[คะแนนเต็ม]:[คะแนนเต็ม]])*tbl_task4[[%]:[%]])</f>
        <v/>
      </c>
      <c r="KA21" s="121" t="str">
        <f>IF(ISBLANK(tbl_task4[[คะแนนเต็ม]:[คะแนนเต็ม]]),"",(tbl_task4[117]/tbl_task4[[คะแนนเต็ม]:[คะแนนเต็ม]])*tbl_task4[[%]:[%]])</f>
        <v/>
      </c>
      <c r="KB21" s="121" t="str">
        <f>IF(ISBLANK(tbl_task4[[คะแนนเต็ม]:[คะแนนเต็ม]]),"",(tbl_task4[118]/tbl_task4[[คะแนนเต็ม]:[คะแนนเต็ม]])*tbl_task4[[%]:[%]])</f>
        <v/>
      </c>
      <c r="KC21" s="121" t="str">
        <f>IF(ISBLANK(tbl_task4[[คะแนนเต็ม]:[คะแนนเต็ม]]),"",(tbl_task4[119]/tbl_task4[[คะแนนเต็ม]:[คะแนนเต็ม]])*tbl_task4[[%]:[%]])</f>
        <v/>
      </c>
      <c r="KD21" s="121" t="str">
        <f>IF(ISBLANK(tbl_task4[[คะแนนเต็ม]:[คะแนนเต็ม]]),"",(tbl_task4[120]/tbl_task4[[คะแนนเต็ม]:[คะแนนเต็ม]])*tbl_task4[[%]:[%]])</f>
        <v/>
      </c>
      <c r="KE21" s="121" t="str">
        <f>IF(ISBLANK(tbl_task4[[คะแนนเต็ม]:[คะแนนเต็ม]]),"",(tbl_task4[121]/tbl_task4[[คะแนนเต็ม]:[คะแนนเต็ม]])*tbl_task4[[%]:[%]])</f>
        <v/>
      </c>
      <c r="KF21" s="121" t="str">
        <f>IF(ISBLANK(tbl_task4[[คะแนนเต็ม]:[คะแนนเต็ม]]),"",(tbl_task4[122]/tbl_task4[[คะแนนเต็ม]:[คะแนนเต็ม]])*tbl_task4[[%]:[%]])</f>
        <v/>
      </c>
      <c r="KG21" s="121" t="str">
        <f>IF(ISBLANK(tbl_task4[[คะแนนเต็ม]:[คะแนนเต็ม]]),"",(tbl_task4[123]/tbl_task4[[คะแนนเต็ม]:[คะแนนเต็ม]])*tbl_task4[[%]:[%]])</f>
        <v/>
      </c>
      <c r="KH21" s="121" t="str">
        <f>IF(ISBLANK(tbl_task4[[คะแนนเต็ม]:[คะแนนเต็ม]]),"",(tbl_task4[124]/tbl_task4[[คะแนนเต็ม]:[คะแนนเต็ม]])*tbl_task4[[%]:[%]])</f>
        <v/>
      </c>
      <c r="KI21" s="121" t="str">
        <f>IF(ISBLANK(tbl_task4[[คะแนนเต็ม]:[คะแนนเต็ม]]),"",(tbl_task4[125]/tbl_task4[[คะแนนเต็ม]:[คะแนนเต็ม]])*tbl_task4[[%]:[%]])</f>
        <v/>
      </c>
      <c r="KJ21" s="121" t="str">
        <f>IF(ISBLANK(tbl_task4[[คะแนนเต็ม]:[คะแนนเต็ม]]),"",(tbl_task4[126]/tbl_task4[[คะแนนเต็ม]:[คะแนนเต็ม]])*tbl_task4[[%]:[%]])</f>
        <v/>
      </c>
      <c r="KK21" s="121" t="str">
        <f>IF(ISBLANK(tbl_task4[[คะแนนเต็ม]:[คะแนนเต็ม]]),"",(tbl_task4[127]/tbl_task4[[คะแนนเต็ม]:[คะแนนเต็ม]])*tbl_task4[[%]:[%]])</f>
        <v/>
      </c>
      <c r="KL21" s="121" t="str">
        <f>IF(ISBLANK(tbl_task4[[คะแนนเต็ม]:[คะแนนเต็ม]]),"",(tbl_task4[128]/tbl_task4[[คะแนนเต็ม]:[คะแนนเต็ม]])*tbl_task4[[%]:[%]])</f>
        <v/>
      </c>
      <c r="KM21" s="121" t="str">
        <f>IF(ISBLANK(tbl_task4[[คะแนนเต็ม]:[คะแนนเต็ม]]),"",(tbl_task4[129]/tbl_task4[[คะแนนเต็ม]:[คะแนนเต็ม]])*tbl_task4[[%]:[%]])</f>
        <v/>
      </c>
      <c r="KN21" s="121" t="str">
        <f>IF(ISBLANK(tbl_task4[[คะแนนเต็ม]:[คะแนนเต็ม]]),"",(tbl_task4[130]/tbl_task4[[คะแนนเต็ม]:[คะแนนเต็ม]])*tbl_task4[[%]:[%]])</f>
        <v/>
      </c>
      <c r="KO21" s="121" t="str">
        <f>IF(ISBLANK(tbl_task4[[คะแนนเต็ม]:[คะแนนเต็ม]]),"",(tbl_task4[131]/tbl_task4[[คะแนนเต็ม]:[คะแนนเต็ม]])*tbl_task4[[%]:[%]])</f>
        <v/>
      </c>
      <c r="KP21" s="121" t="str">
        <f>IF(ISBLANK(tbl_task4[[คะแนนเต็ม]:[คะแนนเต็ม]]),"",(tbl_task4[132]/tbl_task4[[คะแนนเต็ม]:[คะแนนเต็ม]])*tbl_task4[[%]:[%]])</f>
        <v/>
      </c>
      <c r="KQ21" s="121" t="str">
        <f>IF(ISBLANK(tbl_task4[[คะแนนเต็ม]:[คะแนนเต็ม]]),"",(tbl_task4[133]/tbl_task4[[คะแนนเต็ม]:[คะแนนเต็ม]])*tbl_task4[[%]:[%]])</f>
        <v/>
      </c>
      <c r="KR21" s="121" t="str">
        <f>IF(ISBLANK(tbl_task4[[คะแนนเต็ม]:[คะแนนเต็ม]]),"",(tbl_task4[134]/tbl_task4[[คะแนนเต็ม]:[คะแนนเต็ม]])*tbl_task4[[%]:[%]])</f>
        <v/>
      </c>
      <c r="KS21" s="121" t="str">
        <f>IF(ISBLANK(tbl_task4[[คะแนนเต็ม]:[คะแนนเต็ม]]),"",(tbl_task4[135]/tbl_task4[[คะแนนเต็ม]:[คะแนนเต็ม]])*tbl_task4[[%]:[%]])</f>
        <v/>
      </c>
      <c r="KT21" s="121" t="str">
        <f>IF(ISBLANK(tbl_task4[[คะแนนเต็ม]:[คะแนนเต็ม]]),"",(tbl_task4[136]/tbl_task4[[คะแนนเต็ม]:[คะแนนเต็ม]])*tbl_task4[[%]:[%]])</f>
        <v/>
      </c>
      <c r="KU21" s="121" t="str">
        <f>IF(ISBLANK(tbl_task4[[คะแนนเต็ม]:[คะแนนเต็ม]]),"",(tbl_task4[137]/tbl_task4[[คะแนนเต็ม]:[คะแนนเต็ม]])*tbl_task4[[%]:[%]])</f>
        <v/>
      </c>
      <c r="KV21" s="121" t="str">
        <f>IF(ISBLANK(tbl_task4[[คะแนนเต็ม]:[คะแนนเต็ม]]),"",(tbl_task4[138]/tbl_task4[[คะแนนเต็ม]:[คะแนนเต็ม]])*tbl_task4[[%]:[%]])</f>
        <v/>
      </c>
      <c r="KW21" s="121" t="str">
        <f>IF(ISBLANK(tbl_task4[[คะแนนเต็ม]:[คะแนนเต็ม]]),"",(tbl_task4[139]/tbl_task4[[คะแนนเต็ม]:[คะแนนเต็ม]])*tbl_task4[[%]:[%]])</f>
        <v/>
      </c>
      <c r="KX21" s="121" t="str">
        <f>IF(ISBLANK(tbl_task4[[คะแนนเต็ม]:[คะแนนเต็ม]]),"",(tbl_task4[140]/tbl_task4[[คะแนนเต็ม]:[คะแนนเต็ม]])*tbl_task4[[%]:[%]])</f>
        <v/>
      </c>
      <c r="KY21" s="121" t="str">
        <f>IF(ISBLANK(tbl_task4[[คะแนนเต็ม]:[คะแนนเต็ม]]),"",(tbl_task4[141]/tbl_task4[[คะแนนเต็ม]:[คะแนนเต็ม]])*tbl_task4[[%]:[%]])</f>
        <v/>
      </c>
      <c r="KZ21" s="121" t="str">
        <f>IF(ISBLANK(tbl_task4[[คะแนนเต็ม]:[คะแนนเต็ม]]),"",(tbl_task4[142]/tbl_task4[[คะแนนเต็ม]:[คะแนนเต็ม]])*tbl_task4[[%]:[%]])</f>
        <v/>
      </c>
      <c r="LA21" s="121" t="str">
        <f>IF(ISBLANK(tbl_task4[[คะแนนเต็ม]:[คะแนนเต็ม]]),"",(tbl_task4[143]/tbl_task4[[คะแนนเต็ม]:[คะแนนเต็ม]])*tbl_task4[[%]:[%]])</f>
        <v/>
      </c>
      <c r="LB21" s="121" t="str">
        <f>IF(ISBLANK(tbl_task4[[คะแนนเต็ม]:[คะแนนเต็ม]]),"",(tbl_task4[144]/tbl_task4[[คะแนนเต็ม]:[คะแนนเต็ม]])*tbl_task4[[%]:[%]])</f>
        <v/>
      </c>
      <c r="LC21" s="121" t="str">
        <f>IF(ISBLANK(tbl_task4[[คะแนนเต็ม]:[คะแนนเต็ม]]),"",(tbl_task4[145]/tbl_task4[[คะแนนเต็ม]:[คะแนนเต็ม]])*tbl_task4[[%]:[%]])</f>
        <v/>
      </c>
      <c r="LD21" s="121" t="str">
        <f>IF(ISBLANK(tbl_task4[[คะแนนเต็ม]:[คะแนนเต็ม]]),"",(tbl_task4[146]/tbl_task4[[คะแนนเต็ม]:[คะแนนเต็ม]])*tbl_task4[[%]:[%]])</f>
        <v/>
      </c>
      <c r="LE21" s="121" t="str">
        <f>IF(ISBLANK(tbl_task4[[คะแนนเต็ม]:[คะแนนเต็ม]]),"",(tbl_task4[147]/tbl_task4[[คะแนนเต็ม]:[คะแนนเต็ม]])*tbl_task4[[%]:[%]])</f>
        <v/>
      </c>
      <c r="LF21" s="121" t="str">
        <f>IF(ISBLANK(tbl_task4[[คะแนนเต็ม]:[คะแนนเต็ม]]),"",(tbl_task4[148]/tbl_task4[[คะแนนเต็ม]:[คะแนนเต็ม]])*tbl_task4[[%]:[%]])</f>
        <v/>
      </c>
      <c r="LG21" s="121" t="str">
        <f>IF(ISBLANK(tbl_task4[[คะแนนเต็ม]:[คะแนนเต็ม]]),"",(tbl_task4[149]/tbl_task4[[คะแนนเต็ม]:[คะแนนเต็ม]])*tbl_task4[[%]:[%]])</f>
        <v/>
      </c>
      <c r="LH21" s="121" t="str">
        <f>IF(ISBLANK(tbl_task4[[คะแนนเต็ม]:[คะแนนเต็ม]]),"",(tbl_task4[150]/tbl_task4[[คะแนนเต็ม]:[คะแนนเต็ม]])*tbl_task4[[%]:[%]])</f>
        <v/>
      </c>
      <c r="LI21" s="121" t="str">
        <f>IF(ISBLANK(tbl_task4[[คะแนนเต็ม]:[คะแนนเต็ม]]),"",(tbl_task4[151]/tbl_task4[[คะแนนเต็ม]:[คะแนนเต็ม]])*tbl_task4[[%]:[%]])</f>
        <v/>
      </c>
      <c r="LJ21" s="121" t="str">
        <f>IF(ISBLANK(tbl_task4[[คะแนนเต็ม]:[คะแนนเต็ม]]),"",(tbl_task4[152]/tbl_task4[[คะแนนเต็ม]:[คะแนนเต็ม]])*tbl_task4[[%]:[%]])</f>
        <v/>
      </c>
      <c r="LK21" s="121" t="str">
        <f>IF(ISBLANK(tbl_task4[[คะแนนเต็ม]:[คะแนนเต็ม]]),"",(tbl_task4[153]/tbl_task4[[คะแนนเต็ม]:[คะแนนเต็ม]])*tbl_task4[[%]:[%]])</f>
        <v/>
      </c>
      <c r="LL21" s="121" t="str">
        <f>IF(ISBLANK(tbl_task4[[คะแนนเต็ม]:[คะแนนเต็ม]]),"",(tbl_task4[154]/tbl_task4[[คะแนนเต็ม]:[คะแนนเต็ม]])*tbl_task4[[%]:[%]])</f>
        <v/>
      </c>
      <c r="LM21" s="121" t="str">
        <f>IF(ISBLANK(tbl_task4[[คะแนนเต็ม]:[คะแนนเต็ม]]),"",(tbl_task4[155]/tbl_task4[[คะแนนเต็ม]:[คะแนนเต็ม]])*tbl_task4[[%]:[%]])</f>
        <v/>
      </c>
      <c r="LN21" s="121" t="str">
        <f>IF(ISBLANK(tbl_task4[[คะแนนเต็ม]:[คะแนนเต็ม]]),"",(tbl_task4[156]/tbl_task4[[คะแนนเต็ม]:[คะแนนเต็ม]])*tbl_task4[[%]:[%]])</f>
        <v/>
      </c>
      <c r="LO21" s="121" t="str">
        <f>IF(ISBLANK(tbl_task4[[คะแนนเต็ม]:[คะแนนเต็ม]]),"",(tbl_task4[157]/tbl_task4[[คะแนนเต็ม]:[คะแนนเต็ม]])*tbl_task4[[%]:[%]])</f>
        <v/>
      </c>
      <c r="LP21" s="121" t="str">
        <f>IF(ISBLANK(tbl_task4[[คะแนนเต็ม]:[คะแนนเต็ม]]),"",(tbl_task4[158]/tbl_task4[[คะแนนเต็ม]:[คะแนนเต็ม]])*tbl_task4[[%]:[%]])</f>
        <v/>
      </c>
      <c r="LQ21" s="121" t="str">
        <f>IF(ISBLANK(tbl_task4[[คะแนนเต็ม]:[คะแนนเต็ม]]),"",(tbl_task4[159]/tbl_task4[[คะแนนเต็ม]:[คะแนนเต็ม]])*tbl_task4[[%]:[%]])</f>
        <v/>
      </c>
      <c r="LR21" s="121" t="str">
        <f>IF(ISBLANK(tbl_task4[[คะแนนเต็ม]:[คะแนนเต็ม]]),"",(tbl_task4[160]/tbl_task4[[คะแนนเต็ม]:[คะแนนเต็ม]])*tbl_task4[[%]:[%]])</f>
        <v/>
      </c>
      <c r="LS21" s="121" t="str">
        <f>IF(ISBLANK(tbl_task4[[คะแนนเต็ม]:[คะแนนเต็ม]]),"",(tbl_task4[161]/tbl_task4[[คะแนนเต็ม]:[คะแนนเต็ม]])*tbl_task4[[%]:[%]])</f>
        <v/>
      </c>
      <c r="LT21" s="121" t="str">
        <f>IF(ISBLANK(tbl_task4[[คะแนนเต็ม]:[คะแนนเต็ม]]),"",(tbl_task4[162]/tbl_task4[[คะแนนเต็ม]:[คะแนนเต็ม]])*tbl_task4[[%]:[%]])</f>
        <v/>
      </c>
      <c r="LU21" s="121" t="str">
        <f>IF(ISBLANK(tbl_task4[[คะแนนเต็ม]:[คะแนนเต็ม]]),"",(tbl_task4[163]/tbl_task4[[คะแนนเต็ม]:[คะแนนเต็ม]])*tbl_task4[[%]:[%]])</f>
        <v/>
      </c>
      <c r="LV21" s="121" t="str">
        <f>IF(ISBLANK(tbl_task4[[คะแนนเต็ม]:[คะแนนเต็ม]]),"",(tbl_task4[164]/tbl_task4[[คะแนนเต็ม]:[คะแนนเต็ม]])*tbl_task4[[%]:[%]])</f>
        <v/>
      </c>
      <c r="LW21" s="121" t="str">
        <f>IF(ISBLANK(tbl_task4[[คะแนนเต็ม]:[คะแนนเต็ม]]),"",(tbl_task4[165]/tbl_task4[[คะแนนเต็ม]:[คะแนนเต็ม]])*tbl_task4[[%]:[%]])</f>
        <v/>
      </c>
    </row>
    <row r="22" spans="1:335" ht="24" customHeight="1" x14ac:dyDescent="0.25">
      <c r="A22" s="24">
        <v>19</v>
      </c>
      <c r="B22" s="20"/>
      <c r="C22" s="5" t="str">
        <f>IF(ISBLANK(B22),"",VLOOKUP(B22,tbl_PLOs[],2,0))</f>
        <v/>
      </c>
      <c r="D22" s="102"/>
      <c r="E22" s="106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121" t="str">
        <f>IF(ISBLANK(tbl_task4[[คะแนนเต็ม]:[คะแนนเต็ม]]),"",(tbl_task4[1]/tbl_task4[[คะแนนเต็ม]:[คะแนนเต็ม]])*tbl_task4[[%]:[%]])</f>
        <v/>
      </c>
      <c r="FP22" s="121" t="str">
        <f>IF(ISBLANK(tbl_task4[[คะแนนเต็ม]:[คะแนนเต็ม]]),"",(tbl_task4[2]/tbl_task4[[คะแนนเต็ม]:[คะแนนเต็ม]])*tbl_task4[[%]:[%]])</f>
        <v/>
      </c>
      <c r="FQ22" s="121" t="str">
        <f>IF(ISBLANK(tbl_task4[[คะแนนเต็ม]:[คะแนนเต็ม]]),"",(tbl_task4[3]/tbl_task4[[คะแนนเต็ม]:[คะแนนเต็ม]])*tbl_task4[[%]:[%]])</f>
        <v/>
      </c>
      <c r="FR22" s="121" t="str">
        <f>IF(ISBLANK(tbl_task4[[คะแนนเต็ม]:[คะแนนเต็ม]]),"",(tbl_task4[4]/tbl_task4[[คะแนนเต็ม]:[คะแนนเต็ม]])*tbl_task4[[%]:[%]])</f>
        <v/>
      </c>
      <c r="FS22" s="121" t="str">
        <f>IF(ISBLANK(tbl_task4[[คะแนนเต็ม]:[คะแนนเต็ม]]),"",(tbl_task4[5]/tbl_task4[[คะแนนเต็ม]:[คะแนนเต็ม]])*tbl_task4[[%]:[%]])</f>
        <v/>
      </c>
      <c r="FT22" s="121" t="str">
        <f>IF(ISBLANK(tbl_task4[[คะแนนเต็ม]:[คะแนนเต็ม]]),"",(tbl_task4[6]/tbl_task4[[คะแนนเต็ม]:[คะแนนเต็ม]])*tbl_task4[[%]:[%]])</f>
        <v/>
      </c>
      <c r="FU22" s="121" t="str">
        <f>IF(ISBLANK(tbl_task4[[คะแนนเต็ม]:[คะแนนเต็ม]]),"",(tbl_task4[7]/tbl_task4[[คะแนนเต็ม]:[คะแนนเต็ม]])*tbl_task4[[%]:[%]])</f>
        <v/>
      </c>
      <c r="FV22" s="121" t="str">
        <f>IF(ISBLANK(tbl_task4[[คะแนนเต็ม]:[คะแนนเต็ม]]),"",(tbl_task4[8]/tbl_task4[[คะแนนเต็ม]:[คะแนนเต็ม]])*tbl_task4[[%]:[%]])</f>
        <v/>
      </c>
      <c r="FW22" s="121" t="str">
        <f>IF(ISBLANK(tbl_task4[[คะแนนเต็ม]:[คะแนนเต็ม]]),"",(tbl_task4[9]/tbl_task4[[คะแนนเต็ม]:[คะแนนเต็ม]])*tbl_task4[[%]:[%]])</f>
        <v/>
      </c>
      <c r="FX22" s="121" t="str">
        <f>IF(ISBLANK(tbl_task4[[คะแนนเต็ม]:[คะแนนเต็ม]]),"",(tbl_task4[10]/tbl_task4[[คะแนนเต็ม]:[คะแนนเต็ม]])*tbl_task4[[%]:[%]])</f>
        <v/>
      </c>
      <c r="FY22" s="121" t="str">
        <f>IF(ISBLANK(tbl_task4[[คะแนนเต็ม]:[คะแนนเต็ม]]),"",(tbl_task4[11]/tbl_task4[[คะแนนเต็ม]:[คะแนนเต็ม]])*tbl_task4[[%]:[%]])</f>
        <v/>
      </c>
      <c r="FZ22" s="121" t="str">
        <f>IF(ISBLANK(tbl_task4[[คะแนนเต็ม]:[คะแนนเต็ม]]),"",(tbl_task4[12]/tbl_task4[[คะแนนเต็ม]:[คะแนนเต็ม]])*tbl_task4[[%]:[%]])</f>
        <v/>
      </c>
      <c r="GA22" s="121" t="str">
        <f>IF(ISBLANK(tbl_task4[[คะแนนเต็ม]:[คะแนนเต็ม]]),"",(tbl_task4[13]/tbl_task4[[คะแนนเต็ม]:[คะแนนเต็ม]])*tbl_task4[[%]:[%]])</f>
        <v/>
      </c>
      <c r="GB22" s="121" t="str">
        <f>IF(ISBLANK(tbl_task4[[คะแนนเต็ม]:[คะแนนเต็ม]]),"",(tbl_task4[14]/tbl_task4[[คะแนนเต็ม]:[คะแนนเต็ม]])*tbl_task4[[%]:[%]])</f>
        <v/>
      </c>
      <c r="GC22" s="121" t="str">
        <f>IF(ISBLANK(tbl_task4[[คะแนนเต็ม]:[คะแนนเต็ม]]),"",(tbl_task4[15]/tbl_task4[[คะแนนเต็ม]:[คะแนนเต็ม]])*tbl_task4[[%]:[%]])</f>
        <v/>
      </c>
      <c r="GD22" s="121" t="str">
        <f>IF(ISBLANK(tbl_task4[[คะแนนเต็ม]:[คะแนนเต็ม]]),"",(tbl_task4[16]/tbl_task4[[คะแนนเต็ม]:[คะแนนเต็ม]])*tbl_task4[[%]:[%]])</f>
        <v/>
      </c>
      <c r="GE22" s="121" t="str">
        <f>IF(ISBLANK(tbl_task4[[คะแนนเต็ม]:[คะแนนเต็ม]]),"",(tbl_task4[17]/tbl_task4[[คะแนนเต็ม]:[คะแนนเต็ม]])*tbl_task4[[%]:[%]])</f>
        <v/>
      </c>
      <c r="GF22" s="121" t="str">
        <f>IF(ISBLANK(tbl_task4[[คะแนนเต็ม]:[คะแนนเต็ม]]),"",(tbl_task4[18]/tbl_task4[[คะแนนเต็ม]:[คะแนนเต็ม]])*tbl_task4[[%]:[%]])</f>
        <v/>
      </c>
      <c r="GG22" s="121" t="str">
        <f>IF(ISBLANK(tbl_task4[[คะแนนเต็ม]:[คะแนนเต็ม]]),"",(tbl_task4[19]/tbl_task4[[คะแนนเต็ม]:[คะแนนเต็ม]])*tbl_task4[[%]:[%]])</f>
        <v/>
      </c>
      <c r="GH22" s="121" t="str">
        <f>IF(ISBLANK(tbl_task4[[คะแนนเต็ม]:[คะแนนเต็ม]]),"",(tbl_task4[20]/tbl_task4[[คะแนนเต็ม]:[คะแนนเต็ม]])*tbl_task4[[%]:[%]])</f>
        <v/>
      </c>
      <c r="GI22" s="121" t="str">
        <f>IF(ISBLANK(tbl_task4[[คะแนนเต็ม]:[คะแนนเต็ม]]),"",(tbl_task4[21]/tbl_task4[[คะแนนเต็ม]:[คะแนนเต็ม]])*tbl_task4[[%]:[%]])</f>
        <v/>
      </c>
      <c r="GJ22" s="121" t="str">
        <f>IF(ISBLANK(tbl_task4[[คะแนนเต็ม]:[คะแนนเต็ม]]),"",(tbl_task4[22]/tbl_task4[[คะแนนเต็ม]:[คะแนนเต็ม]])*tbl_task4[[%]:[%]])</f>
        <v/>
      </c>
      <c r="GK22" s="121" t="str">
        <f>IF(ISBLANK(tbl_task4[[คะแนนเต็ม]:[คะแนนเต็ม]]),"",(tbl_task4[23]/tbl_task4[[คะแนนเต็ม]:[คะแนนเต็ม]])*tbl_task4[[%]:[%]])</f>
        <v/>
      </c>
      <c r="GL22" s="121" t="str">
        <f>IF(ISBLANK(tbl_task4[[คะแนนเต็ม]:[คะแนนเต็ม]]),"",(tbl_task4[24]/tbl_task4[[คะแนนเต็ม]:[คะแนนเต็ม]])*tbl_task4[[%]:[%]])</f>
        <v/>
      </c>
      <c r="GM22" s="121" t="str">
        <f>IF(ISBLANK(tbl_task4[[คะแนนเต็ม]:[คะแนนเต็ม]]),"",(tbl_task4[25]/tbl_task4[[คะแนนเต็ม]:[คะแนนเต็ม]])*tbl_task4[[%]:[%]])</f>
        <v/>
      </c>
      <c r="GN22" s="121" t="str">
        <f>IF(ISBLANK(tbl_task4[[คะแนนเต็ม]:[คะแนนเต็ม]]),"",(tbl_task4[26]/tbl_task4[[คะแนนเต็ม]:[คะแนนเต็ม]])*tbl_task4[[%]:[%]])</f>
        <v/>
      </c>
      <c r="GO22" s="121" t="str">
        <f>IF(ISBLANK(tbl_task4[[คะแนนเต็ม]:[คะแนนเต็ม]]),"",(tbl_task4[27]/tbl_task4[[คะแนนเต็ม]:[คะแนนเต็ม]])*tbl_task4[[%]:[%]])</f>
        <v/>
      </c>
      <c r="GP22" s="121" t="str">
        <f>IF(ISBLANK(tbl_task4[[คะแนนเต็ม]:[คะแนนเต็ม]]),"",(tbl_task4[28]/tbl_task4[[คะแนนเต็ม]:[คะแนนเต็ม]])*tbl_task4[[%]:[%]])</f>
        <v/>
      </c>
      <c r="GQ22" s="121" t="str">
        <f>IF(ISBLANK(tbl_task4[[คะแนนเต็ม]:[คะแนนเต็ม]]),"",(tbl_task4[29]/tbl_task4[[คะแนนเต็ม]:[คะแนนเต็ม]])*tbl_task4[[%]:[%]])</f>
        <v/>
      </c>
      <c r="GR22" s="121" t="str">
        <f>IF(ISBLANK(tbl_task4[[คะแนนเต็ม]:[คะแนนเต็ม]]),"",(tbl_task4[30]/tbl_task4[[คะแนนเต็ม]:[คะแนนเต็ม]])*tbl_task4[[%]:[%]])</f>
        <v/>
      </c>
      <c r="GS22" s="121" t="str">
        <f>IF(ISBLANK(tbl_task4[[คะแนนเต็ม]:[คะแนนเต็ม]]),"",(tbl_task4[31]/tbl_task4[[คะแนนเต็ม]:[คะแนนเต็ม]])*tbl_task4[[%]:[%]])</f>
        <v/>
      </c>
      <c r="GT22" s="121" t="str">
        <f>IF(ISBLANK(tbl_task4[[คะแนนเต็ม]:[คะแนนเต็ม]]),"",(tbl_task4[32]/tbl_task4[[คะแนนเต็ม]:[คะแนนเต็ม]])*tbl_task4[[%]:[%]])</f>
        <v/>
      </c>
      <c r="GU22" s="121" t="str">
        <f>IF(ISBLANK(tbl_task4[[คะแนนเต็ม]:[คะแนนเต็ม]]),"",(tbl_task4[33]/tbl_task4[[คะแนนเต็ม]:[คะแนนเต็ม]])*tbl_task4[[%]:[%]])</f>
        <v/>
      </c>
      <c r="GV22" s="121" t="str">
        <f>IF(ISBLANK(tbl_task4[[คะแนนเต็ม]:[คะแนนเต็ม]]),"",(tbl_task4[34]/tbl_task4[[คะแนนเต็ม]:[คะแนนเต็ม]])*tbl_task4[[%]:[%]])</f>
        <v/>
      </c>
      <c r="GW22" s="121" t="str">
        <f>IF(ISBLANK(tbl_task4[[คะแนนเต็ม]:[คะแนนเต็ม]]),"",(tbl_task4[35]/tbl_task4[[คะแนนเต็ม]:[คะแนนเต็ม]])*tbl_task4[[%]:[%]])</f>
        <v/>
      </c>
      <c r="GX22" s="121" t="str">
        <f>IF(ISBLANK(tbl_task4[[คะแนนเต็ม]:[คะแนนเต็ม]]),"",(tbl_task4[36]/tbl_task4[[คะแนนเต็ม]:[คะแนนเต็ม]])*tbl_task4[[%]:[%]])</f>
        <v/>
      </c>
      <c r="GY22" s="121" t="str">
        <f>IF(ISBLANK(tbl_task4[[คะแนนเต็ม]:[คะแนนเต็ม]]),"",(tbl_task4[37]/tbl_task4[[คะแนนเต็ม]:[คะแนนเต็ม]])*tbl_task4[[%]:[%]])</f>
        <v/>
      </c>
      <c r="GZ22" s="121" t="str">
        <f>IF(ISBLANK(tbl_task4[[คะแนนเต็ม]:[คะแนนเต็ม]]),"",(tbl_task4[38]/tbl_task4[[คะแนนเต็ม]:[คะแนนเต็ม]])*tbl_task4[[%]:[%]])</f>
        <v/>
      </c>
      <c r="HA22" s="121" t="str">
        <f>IF(ISBLANK(tbl_task4[[คะแนนเต็ม]:[คะแนนเต็ม]]),"",(tbl_task4[39]/tbl_task4[[คะแนนเต็ม]:[คะแนนเต็ม]])*tbl_task4[[%]:[%]])</f>
        <v/>
      </c>
      <c r="HB22" s="121" t="str">
        <f>IF(ISBLANK(tbl_task4[[คะแนนเต็ม]:[คะแนนเต็ม]]),"",(tbl_task4[40]/tbl_task4[[คะแนนเต็ม]:[คะแนนเต็ม]])*tbl_task4[[%]:[%]])</f>
        <v/>
      </c>
      <c r="HC22" s="121" t="str">
        <f>IF(ISBLANK(tbl_task4[[คะแนนเต็ม]:[คะแนนเต็ม]]),"",(tbl_task4[41]/tbl_task4[[คะแนนเต็ม]:[คะแนนเต็ม]])*tbl_task4[[%]:[%]])</f>
        <v/>
      </c>
      <c r="HD22" s="121" t="str">
        <f>IF(ISBLANK(tbl_task4[[คะแนนเต็ม]:[คะแนนเต็ม]]),"",(tbl_task4[42]/tbl_task4[[คะแนนเต็ม]:[คะแนนเต็ม]])*tbl_task4[[%]:[%]])</f>
        <v/>
      </c>
      <c r="HE22" s="121" t="str">
        <f>IF(ISBLANK(tbl_task4[[คะแนนเต็ม]:[คะแนนเต็ม]]),"",(tbl_task4[43]/tbl_task4[[คะแนนเต็ม]:[คะแนนเต็ม]])*tbl_task4[[%]:[%]])</f>
        <v/>
      </c>
      <c r="HF22" s="121" t="str">
        <f>IF(ISBLANK(tbl_task4[[คะแนนเต็ม]:[คะแนนเต็ม]]),"",(tbl_task4[44]/tbl_task4[[คะแนนเต็ม]:[คะแนนเต็ม]])*tbl_task4[[%]:[%]])</f>
        <v/>
      </c>
      <c r="HG22" s="121" t="str">
        <f>IF(ISBLANK(tbl_task4[[คะแนนเต็ม]:[คะแนนเต็ม]]),"",(tbl_task4[45]/tbl_task4[[คะแนนเต็ม]:[คะแนนเต็ม]])*tbl_task4[[%]:[%]])</f>
        <v/>
      </c>
      <c r="HH22" s="121" t="str">
        <f>IF(ISBLANK(tbl_task4[[คะแนนเต็ม]:[คะแนนเต็ม]]),"",(tbl_task4[46]/tbl_task4[[คะแนนเต็ม]:[คะแนนเต็ม]])*tbl_task4[[%]:[%]])</f>
        <v/>
      </c>
      <c r="HI22" s="121" t="str">
        <f>IF(ISBLANK(tbl_task4[[คะแนนเต็ม]:[คะแนนเต็ม]]),"",(tbl_task4[47]/tbl_task4[[คะแนนเต็ม]:[คะแนนเต็ม]])*tbl_task4[[%]:[%]])</f>
        <v/>
      </c>
      <c r="HJ22" s="121" t="str">
        <f>IF(ISBLANK(tbl_task4[[คะแนนเต็ม]:[คะแนนเต็ม]]),"",(tbl_task4[48]/tbl_task4[[คะแนนเต็ม]:[คะแนนเต็ม]])*tbl_task4[[%]:[%]])</f>
        <v/>
      </c>
      <c r="HK22" s="121" t="str">
        <f>IF(ISBLANK(tbl_task4[[คะแนนเต็ม]:[คะแนนเต็ม]]),"",(tbl_task4[49]/tbl_task4[[คะแนนเต็ม]:[คะแนนเต็ม]])*tbl_task4[[%]:[%]])</f>
        <v/>
      </c>
      <c r="HL22" s="121" t="str">
        <f>IF(ISBLANK(tbl_task4[[คะแนนเต็ม]:[คะแนนเต็ม]]),"",(tbl_task4[50]/tbl_task4[[คะแนนเต็ม]:[คะแนนเต็ม]])*tbl_task4[[%]:[%]])</f>
        <v/>
      </c>
      <c r="HM22" s="121" t="str">
        <f>IF(ISBLANK(tbl_task4[[คะแนนเต็ม]:[คะแนนเต็ม]]),"",(tbl_task4[51]/tbl_task4[[คะแนนเต็ม]:[คะแนนเต็ม]])*tbl_task4[[%]:[%]])</f>
        <v/>
      </c>
      <c r="HN22" s="121" t="str">
        <f>IF(ISBLANK(tbl_task4[[คะแนนเต็ม]:[คะแนนเต็ม]]),"",(tbl_task4[52]/tbl_task4[[คะแนนเต็ม]:[คะแนนเต็ม]])*tbl_task4[[%]:[%]])</f>
        <v/>
      </c>
      <c r="HO22" s="121" t="str">
        <f>IF(ISBLANK(tbl_task4[[คะแนนเต็ม]:[คะแนนเต็ม]]),"",(tbl_task4[53]/tbl_task4[[คะแนนเต็ม]:[คะแนนเต็ม]])*tbl_task4[[%]:[%]])</f>
        <v/>
      </c>
      <c r="HP22" s="121" t="str">
        <f>IF(ISBLANK(tbl_task4[[คะแนนเต็ม]:[คะแนนเต็ม]]),"",(tbl_task4[54]/tbl_task4[[คะแนนเต็ม]:[คะแนนเต็ม]])*tbl_task4[[%]:[%]])</f>
        <v/>
      </c>
      <c r="HQ22" s="121" t="str">
        <f>IF(ISBLANK(tbl_task4[[คะแนนเต็ม]:[คะแนนเต็ม]]),"",(tbl_task4[55]/tbl_task4[[คะแนนเต็ม]:[คะแนนเต็ม]])*tbl_task4[[%]:[%]])</f>
        <v/>
      </c>
      <c r="HR22" s="121" t="str">
        <f>IF(ISBLANK(tbl_task4[[คะแนนเต็ม]:[คะแนนเต็ม]]),"",(tbl_task4[56]/tbl_task4[[คะแนนเต็ม]:[คะแนนเต็ม]])*tbl_task4[[%]:[%]])</f>
        <v/>
      </c>
      <c r="HS22" s="121" t="str">
        <f>IF(ISBLANK(tbl_task4[[คะแนนเต็ม]:[คะแนนเต็ม]]),"",(tbl_task4[57]/tbl_task4[[คะแนนเต็ม]:[คะแนนเต็ม]])*tbl_task4[[%]:[%]])</f>
        <v/>
      </c>
      <c r="HT22" s="121" t="str">
        <f>IF(ISBLANK(tbl_task4[[คะแนนเต็ม]:[คะแนนเต็ม]]),"",(tbl_task4[58]/tbl_task4[[คะแนนเต็ม]:[คะแนนเต็ม]])*tbl_task4[[%]:[%]])</f>
        <v/>
      </c>
      <c r="HU22" s="121" t="str">
        <f>IF(ISBLANK(tbl_task4[[คะแนนเต็ม]:[คะแนนเต็ม]]),"",(tbl_task4[59]/tbl_task4[[คะแนนเต็ม]:[คะแนนเต็ม]])*tbl_task4[[%]:[%]])</f>
        <v/>
      </c>
      <c r="HV22" s="121" t="str">
        <f>IF(ISBLANK(tbl_task4[[คะแนนเต็ม]:[คะแนนเต็ม]]),"",(tbl_task4[60]/tbl_task4[[คะแนนเต็ม]:[คะแนนเต็ม]])*tbl_task4[[%]:[%]])</f>
        <v/>
      </c>
      <c r="HW22" s="121" t="str">
        <f>IF(ISBLANK(tbl_task4[[คะแนนเต็ม]:[คะแนนเต็ม]]),"",(tbl_task4[61]/tbl_task4[[คะแนนเต็ม]:[คะแนนเต็ม]])*tbl_task4[[%]:[%]])</f>
        <v/>
      </c>
      <c r="HX22" s="121" t="str">
        <f>IF(ISBLANK(tbl_task4[[คะแนนเต็ม]:[คะแนนเต็ม]]),"",(tbl_task4[62]/tbl_task4[[คะแนนเต็ม]:[คะแนนเต็ม]])*tbl_task4[[%]:[%]])</f>
        <v/>
      </c>
      <c r="HY22" s="121" t="str">
        <f>IF(ISBLANK(tbl_task4[[คะแนนเต็ม]:[คะแนนเต็ม]]),"",(tbl_task4[63]/tbl_task4[[คะแนนเต็ม]:[คะแนนเต็ม]])*tbl_task4[[%]:[%]])</f>
        <v/>
      </c>
      <c r="HZ22" s="121" t="str">
        <f>IF(ISBLANK(tbl_task4[[คะแนนเต็ม]:[คะแนนเต็ม]]),"",(tbl_task4[64]/tbl_task4[[คะแนนเต็ม]:[คะแนนเต็ม]])*tbl_task4[[%]:[%]])</f>
        <v/>
      </c>
      <c r="IA22" s="121" t="str">
        <f>IF(ISBLANK(tbl_task4[[คะแนนเต็ม]:[คะแนนเต็ม]]),"",(tbl_task4[65]/tbl_task4[[คะแนนเต็ม]:[คะแนนเต็ม]])*tbl_task4[[%]:[%]])</f>
        <v/>
      </c>
      <c r="IB22" s="121" t="str">
        <f>IF(ISBLANK(tbl_task4[[คะแนนเต็ม]:[คะแนนเต็ม]]),"",(tbl_task4[66]/tbl_task4[[คะแนนเต็ม]:[คะแนนเต็ม]])*tbl_task4[[%]:[%]])</f>
        <v/>
      </c>
      <c r="IC22" s="121" t="str">
        <f>IF(ISBLANK(tbl_task4[[คะแนนเต็ม]:[คะแนนเต็ม]]),"",(tbl_task4[67]/tbl_task4[[คะแนนเต็ม]:[คะแนนเต็ม]])*tbl_task4[[%]:[%]])</f>
        <v/>
      </c>
      <c r="ID22" s="121" t="str">
        <f>IF(ISBLANK(tbl_task4[[คะแนนเต็ม]:[คะแนนเต็ม]]),"",(tbl_task4[68]/tbl_task4[[คะแนนเต็ม]:[คะแนนเต็ม]])*tbl_task4[[%]:[%]])</f>
        <v/>
      </c>
      <c r="IE22" s="121" t="str">
        <f>IF(ISBLANK(tbl_task4[[คะแนนเต็ม]:[คะแนนเต็ม]]),"",(tbl_task4[69]/tbl_task4[[คะแนนเต็ม]:[คะแนนเต็ม]])*tbl_task4[[%]:[%]])</f>
        <v/>
      </c>
      <c r="IF22" s="121" t="str">
        <f>IF(ISBLANK(tbl_task4[[คะแนนเต็ม]:[คะแนนเต็ม]]),"",(tbl_task4[70]/tbl_task4[[คะแนนเต็ม]:[คะแนนเต็ม]])*tbl_task4[[%]:[%]])</f>
        <v/>
      </c>
      <c r="IG22" s="121" t="str">
        <f>IF(ISBLANK(tbl_task4[[คะแนนเต็ม]:[คะแนนเต็ม]]),"",(tbl_task4[71]/tbl_task4[[คะแนนเต็ม]:[คะแนนเต็ม]])*tbl_task4[[%]:[%]])</f>
        <v/>
      </c>
      <c r="IH22" s="121" t="str">
        <f>IF(ISBLANK(tbl_task4[[คะแนนเต็ม]:[คะแนนเต็ม]]),"",(tbl_task4[72]/tbl_task4[[คะแนนเต็ม]:[คะแนนเต็ม]])*tbl_task4[[%]:[%]])</f>
        <v/>
      </c>
      <c r="II22" s="121" t="str">
        <f>IF(ISBLANK(tbl_task4[[คะแนนเต็ม]:[คะแนนเต็ม]]),"",(tbl_task4[73]/tbl_task4[[คะแนนเต็ม]:[คะแนนเต็ม]])*tbl_task4[[%]:[%]])</f>
        <v/>
      </c>
      <c r="IJ22" s="121" t="str">
        <f>IF(ISBLANK(tbl_task4[[คะแนนเต็ม]:[คะแนนเต็ม]]),"",(tbl_task4[74]/tbl_task4[[คะแนนเต็ม]:[คะแนนเต็ม]])*tbl_task4[[%]:[%]])</f>
        <v/>
      </c>
      <c r="IK22" s="121" t="str">
        <f>IF(ISBLANK(tbl_task4[[คะแนนเต็ม]:[คะแนนเต็ม]]),"",(tbl_task4[75]/tbl_task4[[คะแนนเต็ม]:[คะแนนเต็ม]])*tbl_task4[[%]:[%]])</f>
        <v/>
      </c>
      <c r="IL22" s="121" t="str">
        <f>IF(ISBLANK(tbl_task4[[คะแนนเต็ม]:[คะแนนเต็ม]]),"",(tbl_task4[76]/tbl_task4[[คะแนนเต็ม]:[คะแนนเต็ม]])*tbl_task4[[%]:[%]])</f>
        <v/>
      </c>
      <c r="IM22" s="121" t="str">
        <f>IF(ISBLANK(tbl_task4[[คะแนนเต็ม]:[คะแนนเต็ม]]),"",(tbl_task4[77]/tbl_task4[[คะแนนเต็ม]:[คะแนนเต็ม]])*tbl_task4[[%]:[%]])</f>
        <v/>
      </c>
      <c r="IN22" s="121" t="str">
        <f>IF(ISBLANK(tbl_task4[[คะแนนเต็ม]:[คะแนนเต็ม]]),"",(tbl_task4[78]/tbl_task4[[คะแนนเต็ม]:[คะแนนเต็ม]])*tbl_task4[[%]:[%]])</f>
        <v/>
      </c>
      <c r="IO22" s="121" t="str">
        <f>IF(ISBLANK(tbl_task4[[คะแนนเต็ม]:[คะแนนเต็ม]]),"",(tbl_task4[79]/tbl_task4[[คะแนนเต็ม]:[คะแนนเต็ม]])*tbl_task4[[%]:[%]])</f>
        <v/>
      </c>
      <c r="IP22" s="121" t="str">
        <f>IF(ISBLANK(tbl_task4[[คะแนนเต็ม]:[คะแนนเต็ม]]),"",(tbl_task4[80]/tbl_task4[[คะแนนเต็ม]:[คะแนนเต็ม]])*tbl_task4[[%]:[%]])</f>
        <v/>
      </c>
      <c r="IQ22" s="121" t="str">
        <f>IF(ISBLANK(tbl_task4[[คะแนนเต็ม]:[คะแนนเต็ม]]),"",(tbl_task4[81]/tbl_task4[[คะแนนเต็ม]:[คะแนนเต็ม]])*tbl_task4[[%]:[%]])</f>
        <v/>
      </c>
      <c r="IR22" s="121" t="str">
        <f>IF(ISBLANK(tbl_task4[[คะแนนเต็ม]:[คะแนนเต็ม]]),"",(tbl_task4[82]/tbl_task4[[คะแนนเต็ม]:[คะแนนเต็ม]])*tbl_task4[[%]:[%]])</f>
        <v/>
      </c>
      <c r="IS22" s="121" t="str">
        <f>IF(ISBLANK(tbl_task4[[คะแนนเต็ม]:[คะแนนเต็ม]]),"",(tbl_task4[83]/tbl_task4[[คะแนนเต็ม]:[คะแนนเต็ม]])*tbl_task4[[%]:[%]])</f>
        <v/>
      </c>
      <c r="IT22" s="121" t="str">
        <f>IF(ISBLANK(tbl_task4[[คะแนนเต็ม]:[คะแนนเต็ม]]),"",(tbl_task4[84]/tbl_task4[[คะแนนเต็ม]:[คะแนนเต็ม]])*tbl_task4[[%]:[%]])</f>
        <v/>
      </c>
      <c r="IU22" s="121" t="str">
        <f>IF(ISBLANK(tbl_task4[[คะแนนเต็ม]:[คะแนนเต็ม]]),"",(tbl_task4[85]/tbl_task4[[คะแนนเต็ม]:[คะแนนเต็ม]])*tbl_task4[[%]:[%]])</f>
        <v/>
      </c>
      <c r="IV22" s="121" t="str">
        <f>IF(ISBLANK(tbl_task4[[คะแนนเต็ม]:[คะแนนเต็ม]]),"",(tbl_task4[86]/tbl_task4[[คะแนนเต็ม]:[คะแนนเต็ม]])*tbl_task4[[%]:[%]])</f>
        <v/>
      </c>
      <c r="IW22" s="121" t="str">
        <f>IF(ISBLANK(tbl_task4[[คะแนนเต็ม]:[คะแนนเต็ม]]),"",(tbl_task4[87]/tbl_task4[[คะแนนเต็ม]:[คะแนนเต็ม]])*tbl_task4[[%]:[%]])</f>
        <v/>
      </c>
      <c r="IX22" s="121" t="str">
        <f>IF(ISBLANK(tbl_task4[[คะแนนเต็ม]:[คะแนนเต็ม]]),"",(tbl_task4[88]/tbl_task4[[คะแนนเต็ม]:[คะแนนเต็ม]])*tbl_task4[[%]:[%]])</f>
        <v/>
      </c>
      <c r="IY22" s="121" t="str">
        <f>IF(ISBLANK(tbl_task4[[คะแนนเต็ม]:[คะแนนเต็ม]]),"",(tbl_task4[89]/tbl_task4[[คะแนนเต็ม]:[คะแนนเต็ม]])*tbl_task4[[%]:[%]])</f>
        <v/>
      </c>
      <c r="IZ22" s="121" t="str">
        <f>IF(ISBLANK(tbl_task4[[คะแนนเต็ม]:[คะแนนเต็ม]]),"",(tbl_task4[90]/tbl_task4[[คะแนนเต็ม]:[คะแนนเต็ม]])*tbl_task4[[%]:[%]])</f>
        <v/>
      </c>
      <c r="JA22" s="121" t="str">
        <f>IF(ISBLANK(tbl_task4[[คะแนนเต็ม]:[คะแนนเต็ม]]),"",(tbl_task4[91]/tbl_task4[[คะแนนเต็ม]:[คะแนนเต็ม]])*tbl_task4[[%]:[%]])</f>
        <v/>
      </c>
      <c r="JB22" s="121" t="str">
        <f>IF(ISBLANK(tbl_task4[[คะแนนเต็ม]:[คะแนนเต็ม]]),"",(tbl_task4[92]/tbl_task4[[คะแนนเต็ม]:[คะแนนเต็ม]])*tbl_task4[[%]:[%]])</f>
        <v/>
      </c>
      <c r="JC22" s="121" t="str">
        <f>IF(ISBLANK(tbl_task4[[คะแนนเต็ม]:[คะแนนเต็ม]]),"",(tbl_task4[93]/tbl_task4[[คะแนนเต็ม]:[คะแนนเต็ม]])*tbl_task4[[%]:[%]])</f>
        <v/>
      </c>
      <c r="JD22" s="121" t="str">
        <f>IF(ISBLANK(tbl_task4[[คะแนนเต็ม]:[คะแนนเต็ม]]),"",(tbl_task4[94]/tbl_task4[[คะแนนเต็ม]:[คะแนนเต็ม]])*tbl_task4[[%]:[%]])</f>
        <v/>
      </c>
      <c r="JE22" s="121" t="str">
        <f>IF(ISBLANK(tbl_task4[[คะแนนเต็ม]:[คะแนนเต็ม]]),"",(tbl_task4[95]/tbl_task4[[คะแนนเต็ม]:[คะแนนเต็ม]])*tbl_task4[[%]:[%]])</f>
        <v/>
      </c>
      <c r="JF22" s="121" t="str">
        <f>IF(ISBLANK(tbl_task4[[คะแนนเต็ม]:[คะแนนเต็ม]]),"",(tbl_task4[96]/tbl_task4[[คะแนนเต็ม]:[คะแนนเต็ม]])*tbl_task4[[%]:[%]])</f>
        <v/>
      </c>
      <c r="JG22" s="121" t="str">
        <f>IF(ISBLANK(tbl_task4[[คะแนนเต็ม]:[คะแนนเต็ม]]),"",(tbl_task4[97]/tbl_task4[[คะแนนเต็ม]:[คะแนนเต็ม]])*tbl_task4[[%]:[%]])</f>
        <v/>
      </c>
      <c r="JH22" s="121" t="str">
        <f>IF(ISBLANK(tbl_task4[[คะแนนเต็ม]:[คะแนนเต็ม]]),"",(tbl_task4[98]/tbl_task4[[คะแนนเต็ม]:[คะแนนเต็ม]])*tbl_task4[[%]:[%]])</f>
        <v/>
      </c>
      <c r="JI22" s="121" t="str">
        <f>IF(ISBLANK(tbl_task4[[คะแนนเต็ม]:[คะแนนเต็ม]]),"",(tbl_task4[99]/tbl_task4[[คะแนนเต็ม]:[คะแนนเต็ม]])*tbl_task4[[%]:[%]])</f>
        <v/>
      </c>
      <c r="JJ22" s="121" t="str">
        <f>IF(ISBLANK(tbl_task4[[คะแนนเต็ม]:[คะแนนเต็ม]]),"",(tbl_task4[100]/tbl_task4[[คะแนนเต็ม]:[คะแนนเต็ม]])*tbl_task4[[%]:[%]])</f>
        <v/>
      </c>
      <c r="JK22" s="121" t="str">
        <f>IF(ISBLANK(tbl_task4[[คะแนนเต็ม]:[คะแนนเต็ม]]),"",(tbl_task4[101]/tbl_task4[[คะแนนเต็ม]:[คะแนนเต็ม]])*tbl_task4[[%]:[%]])</f>
        <v/>
      </c>
      <c r="JL22" s="121" t="str">
        <f>IF(ISBLANK(tbl_task4[[คะแนนเต็ม]:[คะแนนเต็ม]]),"",(tbl_task4[102]/tbl_task4[[คะแนนเต็ม]:[คะแนนเต็ม]])*tbl_task4[[%]:[%]])</f>
        <v/>
      </c>
      <c r="JM22" s="121" t="str">
        <f>IF(ISBLANK(tbl_task4[[คะแนนเต็ม]:[คะแนนเต็ม]]),"",(tbl_task4[103]/tbl_task4[[คะแนนเต็ม]:[คะแนนเต็ม]])*tbl_task4[[%]:[%]])</f>
        <v/>
      </c>
      <c r="JN22" s="121" t="str">
        <f>IF(ISBLANK(tbl_task4[[คะแนนเต็ม]:[คะแนนเต็ม]]),"",(tbl_task4[104]/tbl_task4[[คะแนนเต็ม]:[คะแนนเต็ม]])*tbl_task4[[%]:[%]])</f>
        <v/>
      </c>
      <c r="JO22" s="121" t="str">
        <f>IF(ISBLANK(tbl_task4[[คะแนนเต็ม]:[คะแนนเต็ม]]),"",(tbl_task4[105]/tbl_task4[[คะแนนเต็ม]:[คะแนนเต็ม]])*tbl_task4[[%]:[%]])</f>
        <v/>
      </c>
      <c r="JP22" s="121" t="str">
        <f>IF(ISBLANK(tbl_task4[[คะแนนเต็ม]:[คะแนนเต็ม]]),"",(tbl_task4[106]/tbl_task4[[คะแนนเต็ม]:[คะแนนเต็ม]])*tbl_task4[[%]:[%]])</f>
        <v/>
      </c>
      <c r="JQ22" s="121" t="str">
        <f>IF(ISBLANK(tbl_task4[[คะแนนเต็ม]:[คะแนนเต็ม]]),"",(tbl_task4[107]/tbl_task4[[คะแนนเต็ม]:[คะแนนเต็ม]])*tbl_task4[[%]:[%]])</f>
        <v/>
      </c>
      <c r="JR22" s="121" t="str">
        <f>IF(ISBLANK(tbl_task4[[คะแนนเต็ม]:[คะแนนเต็ม]]),"",(tbl_task4[108]/tbl_task4[[คะแนนเต็ม]:[คะแนนเต็ม]])*tbl_task4[[%]:[%]])</f>
        <v/>
      </c>
      <c r="JS22" s="121" t="str">
        <f>IF(ISBLANK(tbl_task4[[คะแนนเต็ม]:[คะแนนเต็ม]]),"",(tbl_task4[109]/tbl_task4[[คะแนนเต็ม]:[คะแนนเต็ม]])*tbl_task4[[%]:[%]])</f>
        <v/>
      </c>
      <c r="JT22" s="121" t="str">
        <f>IF(ISBLANK(tbl_task4[[คะแนนเต็ม]:[คะแนนเต็ม]]),"",(tbl_task4[110]/tbl_task4[[คะแนนเต็ม]:[คะแนนเต็ม]])*tbl_task4[[%]:[%]])</f>
        <v/>
      </c>
      <c r="JU22" s="121" t="str">
        <f>IF(ISBLANK(tbl_task4[[คะแนนเต็ม]:[คะแนนเต็ม]]),"",(tbl_task4[111]/tbl_task4[[คะแนนเต็ม]:[คะแนนเต็ม]])*tbl_task4[[%]:[%]])</f>
        <v/>
      </c>
      <c r="JV22" s="121" t="str">
        <f>IF(ISBLANK(tbl_task4[[คะแนนเต็ม]:[คะแนนเต็ม]]),"",(tbl_task4[112]/tbl_task4[[คะแนนเต็ม]:[คะแนนเต็ม]])*tbl_task4[[%]:[%]])</f>
        <v/>
      </c>
      <c r="JW22" s="121" t="str">
        <f>IF(ISBLANK(tbl_task4[[คะแนนเต็ม]:[คะแนนเต็ม]]),"",(tbl_task4[113]/tbl_task4[[คะแนนเต็ม]:[คะแนนเต็ม]])*tbl_task4[[%]:[%]])</f>
        <v/>
      </c>
      <c r="JX22" s="121" t="str">
        <f>IF(ISBLANK(tbl_task4[[คะแนนเต็ม]:[คะแนนเต็ม]]),"",(tbl_task4[114]/tbl_task4[[คะแนนเต็ม]:[คะแนนเต็ม]])*tbl_task4[[%]:[%]])</f>
        <v/>
      </c>
      <c r="JY22" s="121" t="str">
        <f>IF(ISBLANK(tbl_task4[[คะแนนเต็ม]:[คะแนนเต็ม]]),"",(tbl_task4[115]/tbl_task4[[คะแนนเต็ม]:[คะแนนเต็ม]])*tbl_task4[[%]:[%]])</f>
        <v/>
      </c>
      <c r="JZ22" s="121" t="str">
        <f>IF(ISBLANK(tbl_task4[[คะแนนเต็ม]:[คะแนนเต็ม]]),"",(tbl_task4[116]/tbl_task4[[คะแนนเต็ม]:[คะแนนเต็ม]])*tbl_task4[[%]:[%]])</f>
        <v/>
      </c>
      <c r="KA22" s="121" t="str">
        <f>IF(ISBLANK(tbl_task4[[คะแนนเต็ม]:[คะแนนเต็ม]]),"",(tbl_task4[117]/tbl_task4[[คะแนนเต็ม]:[คะแนนเต็ม]])*tbl_task4[[%]:[%]])</f>
        <v/>
      </c>
      <c r="KB22" s="121" t="str">
        <f>IF(ISBLANK(tbl_task4[[คะแนนเต็ม]:[คะแนนเต็ม]]),"",(tbl_task4[118]/tbl_task4[[คะแนนเต็ม]:[คะแนนเต็ม]])*tbl_task4[[%]:[%]])</f>
        <v/>
      </c>
      <c r="KC22" s="121" t="str">
        <f>IF(ISBLANK(tbl_task4[[คะแนนเต็ม]:[คะแนนเต็ม]]),"",(tbl_task4[119]/tbl_task4[[คะแนนเต็ม]:[คะแนนเต็ม]])*tbl_task4[[%]:[%]])</f>
        <v/>
      </c>
      <c r="KD22" s="121" t="str">
        <f>IF(ISBLANK(tbl_task4[[คะแนนเต็ม]:[คะแนนเต็ม]]),"",(tbl_task4[120]/tbl_task4[[คะแนนเต็ม]:[คะแนนเต็ม]])*tbl_task4[[%]:[%]])</f>
        <v/>
      </c>
      <c r="KE22" s="121" t="str">
        <f>IF(ISBLANK(tbl_task4[[คะแนนเต็ม]:[คะแนนเต็ม]]),"",(tbl_task4[121]/tbl_task4[[คะแนนเต็ม]:[คะแนนเต็ม]])*tbl_task4[[%]:[%]])</f>
        <v/>
      </c>
      <c r="KF22" s="121" t="str">
        <f>IF(ISBLANK(tbl_task4[[คะแนนเต็ม]:[คะแนนเต็ม]]),"",(tbl_task4[122]/tbl_task4[[คะแนนเต็ม]:[คะแนนเต็ม]])*tbl_task4[[%]:[%]])</f>
        <v/>
      </c>
      <c r="KG22" s="121" t="str">
        <f>IF(ISBLANK(tbl_task4[[คะแนนเต็ม]:[คะแนนเต็ม]]),"",(tbl_task4[123]/tbl_task4[[คะแนนเต็ม]:[คะแนนเต็ม]])*tbl_task4[[%]:[%]])</f>
        <v/>
      </c>
      <c r="KH22" s="121" t="str">
        <f>IF(ISBLANK(tbl_task4[[คะแนนเต็ม]:[คะแนนเต็ม]]),"",(tbl_task4[124]/tbl_task4[[คะแนนเต็ม]:[คะแนนเต็ม]])*tbl_task4[[%]:[%]])</f>
        <v/>
      </c>
      <c r="KI22" s="121" t="str">
        <f>IF(ISBLANK(tbl_task4[[คะแนนเต็ม]:[คะแนนเต็ม]]),"",(tbl_task4[125]/tbl_task4[[คะแนนเต็ม]:[คะแนนเต็ม]])*tbl_task4[[%]:[%]])</f>
        <v/>
      </c>
      <c r="KJ22" s="121" t="str">
        <f>IF(ISBLANK(tbl_task4[[คะแนนเต็ม]:[คะแนนเต็ม]]),"",(tbl_task4[126]/tbl_task4[[คะแนนเต็ม]:[คะแนนเต็ม]])*tbl_task4[[%]:[%]])</f>
        <v/>
      </c>
      <c r="KK22" s="121" t="str">
        <f>IF(ISBLANK(tbl_task4[[คะแนนเต็ม]:[คะแนนเต็ม]]),"",(tbl_task4[127]/tbl_task4[[คะแนนเต็ม]:[คะแนนเต็ม]])*tbl_task4[[%]:[%]])</f>
        <v/>
      </c>
      <c r="KL22" s="121" t="str">
        <f>IF(ISBLANK(tbl_task4[[คะแนนเต็ม]:[คะแนนเต็ม]]),"",(tbl_task4[128]/tbl_task4[[คะแนนเต็ม]:[คะแนนเต็ม]])*tbl_task4[[%]:[%]])</f>
        <v/>
      </c>
      <c r="KM22" s="121" t="str">
        <f>IF(ISBLANK(tbl_task4[[คะแนนเต็ม]:[คะแนนเต็ม]]),"",(tbl_task4[129]/tbl_task4[[คะแนนเต็ม]:[คะแนนเต็ม]])*tbl_task4[[%]:[%]])</f>
        <v/>
      </c>
      <c r="KN22" s="121" t="str">
        <f>IF(ISBLANK(tbl_task4[[คะแนนเต็ม]:[คะแนนเต็ม]]),"",(tbl_task4[130]/tbl_task4[[คะแนนเต็ม]:[คะแนนเต็ม]])*tbl_task4[[%]:[%]])</f>
        <v/>
      </c>
      <c r="KO22" s="121" t="str">
        <f>IF(ISBLANK(tbl_task4[[คะแนนเต็ม]:[คะแนนเต็ม]]),"",(tbl_task4[131]/tbl_task4[[คะแนนเต็ม]:[คะแนนเต็ม]])*tbl_task4[[%]:[%]])</f>
        <v/>
      </c>
      <c r="KP22" s="121" t="str">
        <f>IF(ISBLANK(tbl_task4[[คะแนนเต็ม]:[คะแนนเต็ม]]),"",(tbl_task4[132]/tbl_task4[[คะแนนเต็ม]:[คะแนนเต็ม]])*tbl_task4[[%]:[%]])</f>
        <v/>
      </c>
      <c r="KQ22" s="121" t="str">
        <f>IF(ISBLANK(tbl_task4[[คะแนนเต็ม]:[คะแนนเต็ม]]),"",(tbl_task4[133]/tbl_task4[[คะแนนเต็ม]:[คะแนนเต็ม]])*tbl_task4[[%]:[%]])</f>
        <v/>
      </c>
      <c r="KR22" s="121" t="str">
        <f>IF(ISBLANK(tbl_task4[[คะแนนเต็ม]:[คะแนนเต็ม]]),"",(tbl_task4[134]/tbl_task4[[คะแนนเต็ม]:[คะแนนเต็ม]])*tbl_task4[[%]:[%]])</f>
        <v/>
      </c>
      <c r="KS22" s="121" t="str">
        <f>IF(ISBLANK(tbl_task4[[คะแนนเต็ม]:[คะแนนเต็ม]]),"",(tbl_task4[135]/tbl_task4[[คะแนนเต็ม]:[คะแนนเต็ม]])*tbl_task4[[%]:[%]])</f>
        <v/>
      </c>
      <c r="KT22" s="121" t="str">
        <f>IF(ISBLANK(tbl_task4[[คะแนนเต็ม]:[คะแนนเต็ม]]),"",(tbl_task4[136]/tbl_task4[[คะแนนเต็ม]:[คะแนนเต็ม]])*tbl_task4[[%]:[%]])</f>
        <v/>
      </c>
      <c r="KU22" s="121" t="str">
        <f>IF(ISBLANK(tbl_task4[[คะแนนเต็ม]:[คะแนนเต็ม]]),"",(tbl_task4[137]/tbl_task4[[คะแนนเต็ม]:[คะแนนเต็ม]])*tbl_task4[[%]:[%]])</f>
        <v/>
      </c>
      <c r="KV22" s="121" t="str">
        <f>IF(ISBLANK(tbl_task4[[คะแนนเต็ม]:[คะแนนเต็ม]]),"",(tbl_task4[138]/tbl_task4[[คะแนนเต็ม]:[คะแนนเต็ม]])*tbl_task4[[%]:[%]])</f>
        <v/>
      </c>
      <c r="KW22" s="121" t="str">
        <f>IF(ISBLANK(tbl_task4[[คะแนนเต็ม]:[คะแนนเต็ม]]),"",(tbl_task4[139]/tbl_task4[[คะแนนเต็ม]:[คะแนนเต็ม]])*tbl_task4[[%]:[%]])</f>
        <v/>
      </c>
      <c r="KX22" s="121" t="str">
        <f>IF(ISBLANK(tbl_task4[[คะแนนเต็ม]:[คะแนนเต็ม]]),"",(tbl_task4[140]/tbl_task4[[คะแนนเต็ม]:[คะแนนเต็ม]])*tbl_task4[[%]:[%]])</f>
        <v/>
      </c>
      <c r="KY22" s="121" t="str">
        <f>IF(ISBLANK(tbl_task4[[คะแนนเต็ม]:[คะแนนเต็ม]]),"",(tbl_task4[141]/tbl_task4[[คะแนนเต็ม]:[คะแนนเต็ม]])*tbl_task4[[%]:[%]])</f>
        <v/>
      </c>
      <c r="KZ22" s="121" t="str">
        <f>IF(ISBLANK(tbl_task4[[คะแนนเต็ม]:[คะแนนเต็ม]]),"",(tbl_task4[142]/tbl_task4[[คะแนนเต็ม]:[คะแนนเต็ม]])*tbl_task4[[%]:[%]])</f>
        <v/>
      </c>
      <c r="LA22" s="121" t="str">
        <f>IF(ISBLANK(tbl_task4[[คะแนนเต็ม]:[คะแนนเต็ม]]),"",(tbl_task4[143]/tbl_task4[[คะแนนเต็ม]:[คะแนนเต็ม]])*tbl_task4[[%]:[%]])</f>
        <v/>
      </c>
      <c r="LB22" s="121" t="str">
        <f>IF(ISBLANK(tbl_task4[[คะแนนเต็ม]:[คะแนนเต็ม]]),"",(tbl_task4[144]/tbl_task4[[คะแนนเต็ม]:[คะแนนเต็ม]])*tbl_task4[[%]:[%]])</f>
        <v/>
      </c>
      <c r="LC22" s="121" t="str">
        <f>IF(ISBLANK(tbl_task4[[คะแนนเต็ม]:[คะแนนเต็ม]]),"",(tbl_task4[145]/tbl_task4[[คะแนนเต็ม]:[คะแนนเต็ม]])*tbl_task4[[%]:[%]])</f>
        <v/>
      </c>
      <c r="LD22" s="121" t="str">
        <f>IF(ISBLANK(tbl_task4[[คะแนนเต็ม]:[คะแนนเต็ม]]),"",(tbl_task4[146]/tbl_task4[[คะแนนเต็ม]:[คะแนนเต็ม]])*tbl_task4[[%]:[%]])</f>
        <v/>
      </c>
      <c r="LE22" s="121" t="str">
        <f>IF(ISBLANK(tbl_task4[[คะแนนเต็ม]:[คะแนนเต็ม]]),"",(tbl_task4[147]/tbl_task4[[คะแนนเต็ม]:[คะแนนเต็ม]])*tbl_task4[[%]:[%]])</f>
        <v/>
      </c>
      <c r="LF22" s="121" t="str">
        <f>IF(ISBLANK(tbl_task4[[คะแนนเต็ม]:[คะแนนเต็ม]]),"",(tbl_task4[148]/tbl_task4[[คะแนนเต็ม]:[คะแนนเต็ม]])*tbl_task4[[%]:[%]])</f>
        <v/>
      </c>
      <c r="LG22" s="121" t="str">
        <f>IF(ISBLANK(tbl_task4[[คะแนนเต็ม]:[คะแนนเต็ม]]),"",(tbl_task4[149]/tbl_task4[[คะแนนเต็ม]:[คะแนนเต็ม]])*tbl_task4[[%]:[%]])</f>
        <v/>
      </c>
      <c r="LH22" s="121" t="str">
        <f>IF(ISBLANK(tbl_task4[[คะแนนเต็ม]:[คะแนนเต็ม]]),"",(tbl_task4[150]/tbl_task4[[คะแนนเต็ม]:[คะแนนเต็ม]])*tbl_task4[[%]:[%]])</f>
        <v/>
      </c>
      <c r="LI22" s="121" t="str">
        <f>IF(ISBLANK(tbl_task4[[คะแนนเต็ม]:[คะแนนเต็ม]]),"",(tbl_task4[151]/tbl_task4[[คะแนนเต็ม]:[คะแนนเต็ม]])*tbl_task4[[%]:[%]])</f>
        <v/>
      </c>
      <c r="LJ22" s="121" t="str">
        <f>IF(ISBLANK(tbl_task4[[คะแนนเต็ม]:[คะแนนเต็ม]]),"",(tbl_task4[152]/tbl_task4[[คะแนนเต็ม]:[คะแนนเต็ม]])*tbl_task4[[%]:[%]])</f>
        <v/>
      </c>
      <c r="LK22" s="121" t="str">
        <f>IF(ISBLANK(tbl_task4[[คะแนนเต็ม]:[คะแนนเต็ม]]),"",(tbl_task4[153]/tbl_task4[[คะแนนเต็ม]:[คะแนนเต็ม]])*tbl_task4[[%]:[%]])</f>
        <v/>
      </c>
      <c r="LL22" s="121" t="str">
        <f>IF(ISBLANK(tbl_task4[[คะแนนเต็ม]:[คะแนนเต็ม]]),"",(tbl_task4[154]/tbl_task4[[คะแนนเต็ม]:[คะแนนเต็ม]])*tbl_task4[[%]:[%]])</f>
        <v/>
      </c>
      <c r="LM22" s="121" t="str">
        <f>IF(ISBLANK(tbl_task4[[คะแนนเต็ม]:[คะแนนเต็ม]]),"",(tbl_task4[155]/tbl_task4[[คะแนนเต็ม]:[คะแนนเต็ม]])*tbl_task4[[%]:[%]])</f>
        <v/>
      </c>
      <c r="LN22" s="121" t="str">
        <f>IF(ISBLANK(tbl_task4[[คะแนนเต็ม]:[คะแนนเต็ม]]),"",(tbl_task4[156]/tbl_task4[[คะแนนเต็ม]:[คะแนนเต็ม]])*tbl_task4[[%]:[%]])</f>
        <v/>
      </c>
      <c r="LO22" s="121" t="str">
        <f>IF(ISBLANK(tbl_task4[[คะแนนเต็ม]:[คะแนนเต็ม]]),"",(tbl_task4[157]/tbl_task4[[คะแนนเต็ม]:[คะแนนเต็ม]])*tbl_task4[[%]:[%]])</f>
        <v/>
      </c>
      <c r="LP22" s="121" t="str">
        <f>IF(ISBLANK(tbl_task4[[คะแนนเต็ม]:[คะแนนเต็ม]]),"",(tbl_task4[158]/tbl_task4[[คะแนนเต็ม]:[คะแนนเต็ม]])*tbl_task4[[%]:[%]])</f>
        <v/>
      </c>
      <c r="LQ22" s="121" t="str">
        <f>IF(ISBLANK(tbl_task4[[คะแนนเต็ม]:[คะแนนเต็ม]]),"",(tbl_task4[159]/tbl_task4[[คะแนนเต็ม]:[คะแนนเต็ม]])*tbl_task4[[%]:[%]])</f>
        <v/>
      </c>
      <c r="LR22" s="121" t="str">
        <f>IF(ISBLANK(tbl_task4[[คะแนนเต็ม]:[คะแนนเต็ม]]),"",(tbl_task4[160]/tbl_task4[[คะแนนเต็ม]:[คะแนนเต็ม]])*tbl_task4[[%]:[%]])</f>
        <v/>
      </c>
      <c r="LS22" s="121" t="str">
        <f>IF(ISBLANK(tbl_task4[[คะแนนเต็ม]:[คะแนนเต็ม]]),"",(tbl_task4[161]/tbl_task4[[คะแนนเต็ม]:[คะแนนเต็ม]])*tbl_task4[[%]:[%]])</f>
        <v/>
      </c>
      <c r="LT22" s="121" t="str">
        <f>IF(ISBLANK(tbl_task4[[คะแนนเต็ม]:[คะแนนเต็ม]]),"",(tbl_task4[162]/tbl_task4[[คะแนนเต็ม]:[คะแนนเต็ม]])*tbl_task4[[%]:[%]])</f>
        <v/>
      </c>
      <c r="LU22" s="121" t="str">
        <f>IF(ISBLANK(tbl_task4[[คะแนนเต็ม]:[คะแนนเต็ม]]),"",(tbl_task4[163]/tbl_task4[[คะแนนเต็ม]:[คะแนนเต็ม]])*tbl_task4[[%]:[%]])</f>
        <v/>
      </c>
      <c r="LV22" s="121" t="str">
        <f>IF(ISBLANK(tbl_task4[[คะแนนเต็ม]:[คะแนนเต็ม]]),"",(tbl_task4[164]/tbl_task4[[คะแนนเต็ม]:[คะแนนเต็ม]])*tbl_task4[[%]:[%]])</f>
        <v/>
      </c>
      <c r="LW22" s="121" t="str">
        <f>IF(ISBLANK(tbl_task4[[คะแนนเต็ม]:[คะแนนเต็ม]]),"",(tbl_task4[165]/tbl_task4[[คะแนนเต็ม]:[คะแนนเต็ม]])*tbl_task4[[%]:[%]])</f>
        <v/>
      </c>
    </row>
    <row r="23" spans="1:335" ht="24" customHeight="1" x14ac:dyDescent="0.25">
      <c r="A23" s="24">
        <v>20</v>
      </c>
      <c r="B23" s="25"/>
      <c r="C23" s="26" t="str">
        <f>IF(ISBLANK(B23),"",VLOOKUP(B23,tbl_PLOs[],2,0))</f>
        <v/>
      </c>
      <c r="D23" s="103"/>
      <c r="E23" s="10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21" t="str">
        <f>IF(ISBLANK(tbl_task4[[คะแนนเต็ม]:[คะแนนเต็ม]]),"",(tbl_task4[1]/tbl_task4[[คะแนนเต็ม]:[คะแนนเต็ม]])*tbl_task4[[%]:[%]])</f>
        <v/>
      </c>
      <c r="FP23" s="121" t="str">
        <f>IF(ISBLANK(tbl_task4[[คะแนนเต็ม]:[คะแนนเต็ม]]),"",(tbl_task4[2]/tbl_task4[[คะแนนเต็ม]:[คะแนนเต็ม]])*tbl_task4[[%]:[%]])</f>
        <v/>
      </c>
      <c r="FQ23" s="121" t="str">
        <f>IF(ISBLANK(tbl_task4[[คะแนนเต็ม]:[คะแนนเต็ม]]),"",(tbl_task4[3]/tbl_task4[[คะแนนเต็ม]:[คะแนนเต็ม]])*tbl_task4[[%]:[%]])</f>
        <v/>
      </c>
      <c r="FR23" s="121" t="str">
        <f>IF(ISBLANK(tbl_task4[[คะแนนเต็ม]:[คะแนนเต็ม]]),"",(tbl_task4[4]/tbl_task4[[คะแนนเต็ม]:[คะแนนเต็ม]])*tbl_task4[[%]:[%]])</f>
        <v/>
      </c>
      <c r="FS23" s="121" t="str">
        <f>IF(ISBLANK(tbl_task4[[คะแนนเต็ม]:[คะแนนเต็ม]]),"",(tbl_task4[5]/tbl_task4[[คะแนนเต็ม]:[คะแนนเต็ม]])*tbl_task4[[%]:[%]])</f>
        <v/>
      </c>
      <c r="FT23" s="121" t="str">
        <f>IF(ISBLANK(tbl_task4[[คะแนนเต็ม]:[คะแนนเต็ม]]),"",(tbl_task4[6]/tbl_task4[[คะแนนเต็ม]:[คะแนนเต็ม]])*tbl_task4[[%]:[%]])</f>
        <v/>
      </c>
      <c r="FU23" s="121" t="str">
        <f>IF(ISBLANK(tbl_task4[[คะแนนเต็ม]:[คะแนนเต็ม]]),"",(tbl_task4[7]/tbl_task4[[คะแนนเต็ม]:[คะแนนเต็ม]])*tbl_task4[[%]:[%]])</f>
        <v/>
      </c>
      <c r="FV23" s="121" t="str">
        <f>IF(ISBLANK(tbl_task4[[คะแนนเต็ม]:[คะแนนเต็ม]]),"",(tbl_task4[8]/tbl_task4[[คะแนนเต็ม]:[คะแนนเต็ม]])*tbl_task4[[%]:[%]])</f>
        <v/>
      </c>
      <c r="FW23" s="121" t="str">
        <f>IF(ISBLANK(tbl_task4[[คะแนนเต็ม]:[คะแนนเต็ม]]),"",(tbl_task4[9]/tbl_task4[[คะแนนเต็ม]:[คะแนนเต็ม]])*tbl_task4[[%]:[%]])</f>
        <v/>
      </c>
      <c r="FX23" s="121" t="str">
        <f>IF(ISBLANK(tbl_task4[[คะแนนเต็ม]:[คะแนนเต็ม]]),"",(tbl_task4[10]/tbl_task4[[คะแนนเต็ม]:[คะแนนเต็ม]])*tbl_task4[[%]:[%]])</f>
        <v/>
      </c>
      <c r="FY23" s="121" t="str">
        <f>IF(ISBLANK(tbl_task4[[คะแนนเต็ม]:[คะแนนเต็ม]]),"",(tbl_task4[11]/tbl_task4[[คะแนนเต็ม]:[คะแนนเต็ม]])*tbl_task4[[%]:[%]])</f>
        <v/>
      </c>
      <c r="FZ23" s="121" t="str">
        <f>IF(ISBLANK(tbl_task4[[คะแนนเต็ม]:[คะแนนเต็ม]]),"",(tbl_task4[12]/tbl_task4[[คะแนนเต็ม]:[คะแนนเต็ม]])*tbl_task4[[%]:[%]])</f>
        <v/>
      </c>
      <c r="GA23" s="121" t="str">
        <f>IF(ISBLANK(tbl_task4[[คะแนนเต็ม]:[คะแนนเต็ม]]),"",(tbl_task4[13]/tbl_task4[[คะแนนเต็ม]:[คะแนนเต็ม]])*tbl_task4[[%]:[%]])</f>
        <v/>
      </c>
      <c r="GB23" s="121" t="str">
        <f>IF(ISBLANK(tbl_task4[[คะแนนเต็ม]:[คะแนนเต็ม]]),"",(tbl_task4[14]/tbl_task4[[คะแนนเต็ม]:[คะแนนเต็ม]])*tbl_task4[[%]:[%]])</f>
        <v/>
      </c>
      <c r="GC23" s="121" t="str">
        <f>IF(ISBLANK(tbl_task4[[คะแนนเต็ม]:[คะแนนเต็ม]]),"",(tbl_task4[15]/tbl_task4[[คะแนนเต็ม]:[คะแนนเต็ม]])*tbl_task4[[%]:[%]])</f>
        <v/>
      </c>
      <c r="GD23" s="121" t="str">
        <f>IF(ISBLANK(tbl_task4[[คะแนนเต็ม]:[คะแนนเต็ม]]),"",(tbl_task4[16]/tbl_task4[[คะแนนเต็ม]:[คะแนนเต็ม]])*tbl_task4[[%]:[%]])</f>
        <v/>
      </c>
      <c r="GE23" s="121" t="str">
        <f>IF(ISBLANK(tbl_task4[[คะแนนเต็ม]:[คะแนนเต็ม]]),"",(tbl_task4[17]/tbl_task4[[คะแนนเต็ม]:[คะแนนเต็ม]])*tbl_task4[[%]:[%]])</f>
        <v/>
      </c>
      <c r="GF23" s="121" t="str">
        <f>IF(ISBLANK(tbl_task4[[คะแนนเต็ม]:[คะแนนเต็ม]]),"",(tbl_task4[18]/tbl_task4[[คะแนนเต็ม]:[คะแนนเต็ม]])*tbl_task4[[%]:[%]])</f>
        <v/>
      </c>
      <c r="GG23" s="121" t="str">
        <f>IF(ISBLANK(tbl_task4[[คะแนนเต็ม]:[คะแนนเต็ม]]),"",(tbl_task4[19]/tbl_task4[[คะแนนเต็ม]:[คะแนนเต็ม]])*tbl_task4[[%]:[%]])</f>
        <v/>
      </c>
      <c r="GH23" s="121" t="str">
        <f>IF(ISBLANK(tbl_task4[[คะแนนเต็ม]:[คะแนนเต็ม]]),"",(tbl_task4[20]/tbl_task4[[คะแนนเต็ม]:[คะแนนเต็ม]])*tbl_task4[[%]:[%]])</f>
        <v/>
      </c>
      <c r="GI23" s="121" t="str">
        <f>IF(ISBLANK(tbl_task4[[คะแนนเต็ม]:[คะแนนเต็ม]]),"",(tbl_task4[21]/tbl_task4[[คะแนนเต็ม]:[คะแนนเต็ม]])*tbl_task4[[%]:[%]])</f>
        <v/>
      </c>
      <c r="GJ23" s="121" t="str">
        <f>IF(ISBLANK(tbl_task4[[คะแนนเต็ม]:[คะแนนเต็ม]]),"",(tbl_task4[22]/tbl_task4[[คะแนนเต็ม]:[คะแนนเต็ม]])*tbl_task4[[%]:[%]])</f>
        <v/>
      </c>
      <c r="GK23" s="121" t="str">
        <f>IF(ISBLANK(tbl_task4[[คะแนนเต็ม]:[คะแนนเต็ม]]),"",(tbl_task4[23]/tbl_task4[[คะแนนเต็ม]:[คะแนนเต็ม]])*tbl_task4[[%]:[%]])</f>
        <v/>
      </c>
      <c r="GL23" s="121" t="str">
        <f>IF(ISBLANK(tbl_task4[[คะแนนเต็ม]:[คะแนนเต็ม]]),"",(tbl_task4[24]/tbl_task4[[คะแนนเต็ม]:[คะแนนเต็ม]])*tbl_task4[[%]:[%]])</f>
        <v/>
      </c>
      <c r="GM23" s="121" t="str">
        <f>IF(ISBLANK(tbl_task4[[คะแนนเต็ม]:[คะแนนเต็ม]]),"",(tbl_task4[25]/tbl_task4[[คะแนนเต็ม]:[คะแนนเต็ม]])*tbl_task4[[%]:[%]])</f>
        <v/>
      </c>
      <c r="GN23" s="121" t="str">
        <f>IF(ISBLANK(tbl_task4[[คะแนนเต็ม]:[คะแนนเต็ม]]),"",(tbl_task4[26]/tbl_task4[[คะแนนเต็ม]:[คะแนนเต็ม]])*tbl_task4[[%]:[%]])</f>
        <v/>
      </c>
      <c r="GO23" s="121" t="str">
        <f>IF(ISBLANK(tbl_task4[[คะแนนเต็ม]:[คะแนนเต็ม]]),"",(tbl_task4[27]/tbl_task4[[คะแนนเต็ม]:[คะแนนเต็ม]])*tbl_task4[[%]:[%]])</f>
        <v/>
      </c>
      <c r="GP23" s="121" t="str">
        <f>IF(ISBLANK(tbl_task4[[คะแนนเต็ม]:[คะแนนเต็ม]]),"",(tbl_task4[28]/tbl_task4[[คะแนนเต็ม]:[คะแนนเต็ม]])*tbl_task4[[%]:[%]])</f>
        <v/>
      </c>
      <c r="GQ23" s="121" t="str">
        <f>IF(ISBLANK(tbl_task4[[คะแนนเต็ม]:[คะแนนเต็ม]]),"",(tbl_task4[29]/tbl_task4[[คะแนนเต็ม]:[คะแนนเต็ม]])*tbl_task4[[%]:[%]])</f>
        <v/>
      </c>
      <c r="GR23" s="121" t="str">
        <f>IF(ISBLANK(tbl_task4[[คะแนนเต็ม]:[คะแนนเต็ม]]),"",(tbl_task4[30]/tbl_task4[[คะแนนเต็ม]:[คะแนนเต็ม]])*tbl_task4[[%]:[%]])</f>
        <v/>
      </c>
      <c r="GS23" s="121" t="str">
        <f>IF(ISBLANK(tbl_task4[[คะแนนเต็ม]:[คะแนนเต็ม]]),"",(tbl_task4[31]/tbl_task4[[คะแนนเต็ม]:[คะแนนเต็ม]])*tbl_task4[[%]:[%]])</f>
        <v/>
      </c>
      <c r="GT23" s="121" t="str">
        <f>IF(ISBLANK(tbl_task4[[คะแนนเต็ม]:[คะแนนเต็ม]]),"",(tbl_task4[32]/tbl_task4[[คะแนนเต็ม]:[คะแนนเต็ม]])*tbl_task4[[%]:[%]])</f>
        <v/>
      </c>
      <c r="GU23" s="121" t="str">
        <f>IF(ISBLANK(tbl_task4[[คะแนนเต็ม]:[คะแนนเต็ม]]),"",(tbl_task4[33]/tbl_task4[[คะแนนเต็ม]:[คะแนนเต็ม]])*tbl_task4[[%]:[%]])</f>
        <v/>
      </c>
      <c r="GV23" s="121" t="str">
        <f>IF(ISBLANK(tbl_task4[[คะแนนเต็ม]:[คะแนนเต็ม]]),"",(tbl_task4[34]/tbl_task4[[คะแนนเต็ม]:[คะแนนเต็ม]])*tbl_task4[[%]:[%]])</f>
        <v/>
      </c>
      <c r="GW23" s="121" t="str">
        <f>IF(ISBLANK(tbl_task4[[คะแนนเต็ม]:[คะแนนเต็ม]]),"",(tbl_task4[35]/tbl_task4[[คะแนนเต็ม]:[คะแนนเต็ม]])*tbl_task4[[%]:[%]])</f>
        <v/>
      </c>
      <c r="GX23" s="121" t="str">
        <f>IF(ISBLANK(tbl_task4[[คะแนนเต็ม]:[คะแนนเต็ม]]),"",(tbl_task4[36]/tbl_task4[[คะแนนเต็ม]:[คะแนนเต็ม]])*tbl_task4[[%]:[%]])</f>
        <v/>
      </c>
      <c r="GY23" s="121" t="str">
        <f>IF(ISBLANK(tbl_task4[[คะแนนเต็ม]:[คะแนนเต็ม]]),"",(tbl_task4[37]/tbl_task4[[คะแนนเต็ม]:[คะแนนเต็ม]])*tbl_task4[[%]:[%]])</f>
        <v/>
      </c>
      <c r="GZ23" s="121" t="str">
        <f>IF(ISBLANK(tbl_task4[[คะแนนเต็ม]:[คะแนนเต็ม]]),"",(tbl_task4[38]/tbl_task4[[คะแนนเต็ม]:[คะแนนเต็ม]])*tbl_task4[[%]:[%]])</f>
        <v/>
      </c>
      <c r="HA23" s="121" t="str">
        <f>IF(ISBLANK(tbl_task4[[คะแนนเต็ม]:[คะแนนเต็ม]]),"",(tbl_task4[39]/tbl_task4[[คะแนนเต็ม]:[คะแนนเต็ม]])*tbl_task4[[%]:[%]])</f>
        <v/>
      </c>
      <c r="HB23" s="121" t="str">
        <f>IF(ISBLANK(tbl_task4[[คะแนนเต็ม]:[คะแนนเต็ม]]),"",(tbl_task4[40]/tbl_task4[[คะแนนเต็ม]:[คะแนนเต็ม]])*tbl_task4[[%]:[%]])</f>
        <v/>
      </c>
      <c r="HC23" s="121" t="str">
        <f>IF(ISBLANK(tbl_task4[[คะแนนเต็ม]:[คะแนนเต็ม]]),"",(tbl_task4[41]/tbl_task4[[คะแนนเต็ม]:[คะแนนเต็ม]])*tbl_task4[[%]:[%]])</f>
        <v/>
      </c>
      <c r="HD23" s="121" t="str">
        <f>IF(ISBLANK(tbl_task4[[คะแนนเต็ม]:[คะแนนเต็ม]]),"",(tbl_task4[42]/tbl_task4[[คะแนนเต็ม]:[คะแนนเต็ม]])*tbl_task4[[%]:[%]])</f>
        <v/>
      </c>
      <c r="HE23" s="121" t="str">
        <f>IF(ISBLANK(tbl_task4[[คะแนนเต็ม]:[คะแนนเต็ม]]),"",(tbl_task4[43]/tbl_task4[[คะแนนเต็ม]:[คะแนนเต็ม]])*tbl_task4[[%]:[%]])</f>
        <v/>
      </c>
      <c r="HF23" s="121" t="str">
        <f>IF(ISBLANK(tbl_task4[[คะแนนเต็ม]:[คะแนนเต็ม]]),"",(tbl_task4[44]/tbl_task4[[คะแนนเต็ม]:[คะแนนเต็ม]])*tbl_task4[[%]:[%]])</f>
        <v/>
      </c>
      <c r="HG23" s="121" t="str">
        <f>IF(ISBLANK(tbl_task4[[คะแนนเต็ม]:[คะแนนเต็ม]]),"",(tbl_task4[45]/tbl_task4[[คะแนนเต็ม]:[คะแนนเต็ม]])*tbl_task4[[%]:[%]])</f>
        <v/>
      </c>
      <c r="HH23" s="121" t="str">
        <f>IF(ISBLANK(tbl_task4[[คะแนนเต็ม]:[คะแนนเต็ม]]),"",(tbl_task4[46]/tbl_task4[[คะแนนเต็ม]:[คะแนนเต็ม]])*tbl_task4[[%]:[%]])</f>
        <v/>
      </c>
      <c r="HI23" s="121" t="str">
        <f>IF(ISBLANK(tbl_task4[[คะแนนเต็ม]:[คะแนนเต็ม]]),"",(tbl_task4[47]/tbl_task4[[คะแนนเต็ม]:[คะแนนเต็ม]])*tbl_task4[[%]:[%]])</f>
        <v/>
      </c>
      <c r="HJ23" s="121" t="str">
        <f>IF(ISBLANK(tbl_task4[[คะแนนเต็ม]:[คะแนนเต็ม]]),"",(tbl_task4[48]/tbl_task4[[คะแนนเต็ม]:[คะแนนเต็ม]])*tbl_task4[[%]:[%]])</f>
        <v/>
      </c>
      <c r="HK23" s="121" t="str">
        <f>IF(ISBLANK(tbl_task4[[คะแนนเต็ม]:[คะแนนเต็ม]]),"",(tbl_task4[49]/tbl_task4[[คะแนนเต็ม]:[คะแนนเต็ม]])*tbl_task4[[%]:[%]])</f>
        <v/>
      </c>
      <c r="HL23" s="121" t="str">
        <f>IF(ISBLANK(tbl_task4[[คะแนนเต็ม]:[คะแนนเต็ม]]),"",(tbl_task4[50]/tbl_task4[[คะแนนเต็ม]:[คะแนนเต็ม]])*tbl_task4[[%]:[%]])</f>
        <v/>
      </c>
      <c r="HM23" s="121" t="str">
        <f>IF(ISBLANK(tbl_task4[[คะแนนเต็ม]:[คะแนนเต็ม]]),"",(tbl_task4[51]/tbl_task4[[คะแนนเต็ม]:[คะแนนเต็ม]])*tbl_task4[[%]:[%]])</f>
        <v/>
      </c>
      <c r="HN23" s="121" t="str">
        <f>IF(ISBLANK(tbl_task4[[คะแนนเต็ม]:[คะแนนเต็ม]]),"",(tbl_task4[52]/tbl_task4[[คะแนนเต็ม]:[คะแนนเต็ม]])*tbl_task4[[%]:[%]])</f>
        <v/>
      </c>
      <c r="HO23" s="121" t="str">
        <f>IF(ISBLANK(tbl_task4[[คะแนนเต็ม]:[คะแนนเต็ม]]),"",(tbl_task4[53]/tbl_task4[[คะแนนเต็ม]:[คะแนนเต็ม]])*tbl_task4[[%]:[%]])</f>
        <v/>
      </c>
      <c r="HP23" s="121" t="str">
        <f>IF(ISBLANK(tbl_task4[[คะแนนเต็ม]:[คะแนนเต็ม]]),"",(tbl_task4[54]/tbl_task4[[คะแนนเต็ม]:[คะแนนเต็ม]])*tbl_task4[[%]:[%]])</f>
        <v/>
      </c>
      <c r="HQ23" s="121" t="str">
        <f>IF(ISBLANK(tbl_task4[[คะแนนเต็ม]:[คะแนนเต็ม]]),"",(tbl_task4[55]/tbl_task4[[คะแนนเต็ม]:[คะแนนเต็ม]])*tbl_task4[[%]:[%]])</f>
        <v/>
      </c>
      <c r="HR23" s="121" t="str">
        <f>IF(ISBLANK(tbl_task4[[คะแนนเต็ม]:[คะแนนเต็ม]]),"",(tbl_task4[56]/tbl_task4[[คะแนนเต็ม]:[คะแนนเต็ม]])*tbl_task4[[%]:[%]])</f>
        <v/>
      </c>
      <c r="HS23" s="121" t="str">
        <f>IF(ISBLANK(tbl_task4[[คะแนนเต็ม]:[คะแนนเต็ม]]),"",(tbl_task4[57]/tbl_task4[[คะแนนเต็ม]:[คะแนนเต็ม]])*tbl_task4[[%]:[%]])</f>
        <v/>
      </c>
      <c r="HT23" s="121" t="str">
        <f>IF(ISBLANK(tbl_task4[[คะแนนเต็ม]:[คะแนนเต็ม]]),"",(tbl_task4[58]/tbl_task4[[คะแนนเต็ม]:[คะแนนเต็ม]])*tbl_task4[[%]:[%]])</f>
        <v/>
      </c>
      <c r="HU23" s="121" t="str">
        <f>IF(ISBLANK(tbl_task4[[คะแนนเต็ม]:[คะแนนเต็ม]]),"",(tbl_task4[59]/tbl_task4[[คะแนนเต็ม]:[คะแนนเต็ม]])*tbl_task4[[%]:[%]])</f>
        <v/>
      </c>
      <c r="HV23" s="121" t="str">
        <f>IF(ISBLANK(tbl_task4[[คะแนนเต็ม]:[คะแนนเต็ม]]),"",(tbl_task4[60]/tbl_task4[[คะแนนเต็ม]:[คะแนนเต็ม]])*tbl_task4[[%]:[%]])</f>
        <v/>
      </c>
      <c r="HW23" s="121" t="str">
        <f>IF(ISBLANK(tbl_task4[[คะแนนเต็ม]:[คะแนนเต็ม]]),"",(tbl_task4[61]/tbl_task4[[คะแนนเต็ม]:[คะแนนเต็ม]])*tbl_task4[[%]:[%]])</f>
        <v/>
      </c>
      <c r="HX23" s="121" t="str">
        <f>IF(ISBLANK(tbl_task4[[คะแนนเต็ม]:[คะแนนเต็ม]]),"",(tbl_task4[62]/tbl_task4[[คะแนนเต็ม]:[คะแนนเต็ม]])*tbl_task4[[%]:[%]])</f>
        <v/>
      </c>
      <c r="HY23" s="121" t="str">
        <f>IF(ISBLANK(tbl_task4[[คะแนนเต็ม]:[คะแนนเต็ม]]),"",(tbl_task4[63]/tbl_task4[[คะแนนเต็ม]:[คะแนนเต็ม]])*tbl_task4[[%]:[%]])</f>
        <v/>
      </c>
      <c r="HZ23" s="121" t="str">
        <f>IF(ISBLANK(tbl_task4[[คะแนนเต็ม]:[คะแนนเต็ม]]),"",(tbl_task4[64]/tbl_task4[[คะแนนเต็ม]:[คะแนนเต็ม]])*tbl_task4[[%]:[%]])</f>
        <v/>
      </c>
      <c r="IA23" s="121" t="str">
        <f>IF(ISBLANK(tbl_task4[[คะแนนเต็ม]:[คะแนนเต็ม]]),"",(tbl_task4[65]/tbl_task4[[คะแนนเต็ม]:[คะแนนเต็ม]])*tbl_task4[[%]:[%]])</f>
        <v/>
      </c>
      <c r="IB23" s="121" t="str">
        <f>IF(ISBLANK(tbl_task4[[คะแนนเต็ม]:[คะแนนเต็ม]]),"",(tbl_task4[66]/tbl_task4[[คะแนนเต็ม]:[คะแนนเต็ม]])*tbl_task4[[%]:[%]])</f>
        <v/>
      </c>
      <c r="IC23" s="121" t="str">
        <f>IF(ISBLANK(tbl_task4[[คะแนนเต็ม]:[คะแนนเต็ม]]),"",(tbl_task4[67]/tbl_task4[[คะแนนเต็ม]:[คะแนนเต็ม]])*tbl_task4[[%]:[%]])</f>
        <v/>
      </c>
      <c r="ID23" s="121" t="str">
        <f>IF(ISBLANK(tbl_task4[[คะแนนเต็ม]:[คะแนนเต็ม]]),"",(tbl_task4[68]/tbl_task4[[คะแนนเต็ม]:[คะแนนเต็ม]])*tbl_task4[[%]:[%]])</f>
        <v/>
      </c>
      <c r="IE23" s="121" t="str">
        <f>IF(ISBLANK(tbl_task4[[คะแนนเต็ม]:[คะแนนเต็ม]]),"",(tbl_task4[69]/tbl_task4[[คะแนนเต็ม]:[คะแนนเต็ม]])*tbl_task4[[%]:[%]])</f>
        <v/>
      </c>
      <c r="IF23" s="121" t="str">
        <f>IF(ISBLANK(tbl_task4[[คะแนนเต็ม]:[คะแนนเต็ม]]),"",(tbl_task4[70]/tbl_task4[[คะแนนเต็ม]:[คะแนนเต็ม]])*tbl_task4[[%]:[%]])</f>
        <v/>
      </c>
      <c r="IG23" s="121" t="str">
        <f>IF(ISBLANK(tbl_task4[[คะแนนเต็ม]:[คะแนนเต็ม]]),"",(tbl_task4[71]/tbl_task4[[คะแนนเต็ม]:[คะแนนเต็ม]])*tbl_task4[[%]:[%]])</f>
        <v/>
      </c>
      <c r="IH23" s="121" t="str">
        <f>IF(ISBLANK(tbl_task4[[คะแนนเต็ม]:[คะแนนเต็ม]]),"",(tbl_task4[72]/tbl_task4[[คะแนนเต็ม]:[คะแนนเต็ม]])*tbl_task4[[%]:[%]])</f>
        <v/>
      </c>
      <c r="II23" s="121" t="str">
        <f>IF(ISBLANK(tbl_task4[[คะแนนเต็ม]:[คะแนนเต็ม]]),"",(tbl_task4[73]/tbl_task4[[คะแนนเต็ม]:[คะแนนเต็ม]])*tbl_task4[[%]:[%]])</f>
        <v/>
      </c>
      <c r="IJ23" s="121" t="str">
        <f>IF(ISBLANK(tbl_task4[[คะแนนเต็ม]:[คะแนนเต็ม]]),"",(tbl_task4[74]/tbl_task4[[คะแนนเต็ม]:[คะแนนเต็ม]])*tbl_task4[[%]:[%]])</f>
        <v/>
      </c>
      <c r="IK23" s="121" t="str">
        <f>IF(ISBLANK(tbl_task4[[คะแนนเต็ม]:[คะแนนเต็ม]]),"",(tbl_task4[75]/tbl_task4[[คะแนนเต็ม]:[คะแนนเต็ม]])*tbl_task4[[%]:[%]])</f>
        <v/>
      </c>
      <c r="IL23" s="121" t="str">
        <f>IF(ISBLANK(tbl_task4[[คะแนนเต็ม]:[คะแนนเต็ม]]),"",(tbl_task4[76]/tbl_task4[[คะแนนเต็ม]:[คะแนนเต็ม]])*tbl_task4[[%]:[%]])</f>
        <v/>
      </c>
      <c r="IM23" s="121" t="str">
        <f>IF(ISBLANK(tbl_task4[[คะแนนเต็ม]:[คะแนนเต็ม]]),"",(tbl_task4[77]/tbl_task4[[คะแนนเต็ม]:[คะแนนเต็ม]])*tbl_task4[[%]:[%]])</f>
        <v/>
      </c>
      <c r="IN23" s="121" t="str">
        <f>IF(ISBLANK(tbl_task4[[คะแนนเต็ม]:[คะแนนเต็ม]]),"",(tbl_task4[78]/tbl_task4[[คะแนนเต็ม]:[คะแนนเต็ม]])*tbl_task4[[%]:[%]])</f>
        <v/>
      </c>
      <c r="IO23" s="121" t="str">
        <f>IF(ISBLANK(tbl_task4[[คะแนนเต็ม]:[คะแนนเต็ม]]),"",(tbl_task4[79]/tbl_task4[[คะแนนเต็ม]:[คะแนนเต็ม]])*tbl_task4[[%]:[%]])</f>
        <v/>
      </c>
      <c r="IP23" s="121" t="str">
        <f>IF(ISBLANK(tbl_task4[[คะแนนเต็ม]:[คะแนนเต็ม]]),"",(tbl_task4[80]/tbl_task4[[คะแนนเต็ม]:[คะแนนเต็ม]])*tbl_task4[[%]:[%]])</f>
        <v/>
      </c>
      <c r="IQ23" s="121" t="str">
        <f>IF(ISBLANK(tbl_task4[[คะแนนเต็ม]:[คะแนนเต็ม]]),"",(tbl_task4[81]/tbl_task4[[คะแนนเต็ม]:[คะแนนเต็ม]])*tbl_task4[[%]:[%]])</f>
        <v/>
      </c>
      <c r="IR23" s="121" t="str">
        <f>IF(ISBLANK(tbl_task4[[คะแนนเต็ม]:[คะแนนเต็ม]]),"",(tbl_task4[82]/tbl_task4[[คะแนนเต็ม]:[คะแนนเต็ม]])*tbl_task4[[%]:[%]])</f>
        <v/>
      </c>
      <c r="IS23" s="121" t="str">
        <f>IF(ISBLANK(tbl_task4[[คะแนนเต็ม]:[คะแนนเต็ม]]),"",(tbl_task4[83]/tbl_task4[[คะแนนเต็ม]:[คะแนนเต็ม]])*tbl_task4[[%]:[%]])</f>
        <v/>
      </c>
      <c r="IT23" s="121" t="str">
        <f>IF(ISBLANK(tbl_task4[[คะแนนเต็ม]:[คะแนนเต็ม]]),"",(tbl_task4[84]/tbl_task4[[คะแนนเต็ม]:[คะแนนเต็ม]])*tbl_task4[[%]:[%]])</f>
        <v/>
      </c>
      <c r="IU23" s="121" t="str">
        <f>IF(ISBLANK(tbl_task4[[คะแนนเต็ม]:[คะแนนเต็ม]]),"",(tbl_task4[85]/tbl_task4[[คะแนนเต็ม]:[คะแนนเต็ม]])*tbl_task4[[%]:[%]])</f>
        <v/>
      </c>
      <c r="IV23" s="121" t="str">
        <f>IF(ISBLANK(tbl_task4[[คะแนนเต็ม]:[คะแนนเต็ม]]),"",(tbl_task4[86]/tbl_task4[[คะแนนเต็ม]:[คะแนนเต็ม]])*tbl_task4[[%]:[%]])</f>
        <v/>
      </c>
      <c r="IW23" s="121" t="str">
        <f>IF(ISBLANK(tbl_task4[[คะแนนเต็ม]:[คะแนนเต็ม]]),"",(tbl_task4[87]/tbl_task4[[คะแนนเต็ม]:[คะแนนเต็ม]])*tbl_task4[[%]:[%]])</f>
        <v/>
      </c>
      <c r="IX23" s="121" t="str">
        <f>IF(ISBLANK(tbl_task4[[คะแนนเต็ม]:[คะแนนเต็ม]]),"",(tbl_task4[88]/tbl_task4[[คะแนนเต็ม]:[คะแนนเต็ม]])*tbl_task4[[%]:[%]])</f>
        <v/>
      </c>
      <c r="IY23" s="121" t="str">
        <f>IF(ISBLANK(tbl_task4[[คะแนนเต็ม]:[คะแนนเต็ม]]),"",(tbl_task4[89]/tbl_task4[[คะแนนเต็ม]:[คะแนนเต็ม]])*tbl_task4[[%]:[%]])</f>
        <v/>
      </c>
      <c r="IZ23" s="121" t="str">
        <f>IF(ISBLANK(tbl_task4[[คะแนนเต็ม]:[คะแนนเต็ม]]),"",(tbl_task4[90]/tbl_task4[[คะแนนเต็ม]:[คะแนนเต็ม]])*tbl_task4[[%]:[%]])</f>
        <v/>
      </c>
      <c r="JA23" s="121" t="str">
        <f>IF(ISBLANK(tbl_task4[[คะแนนเต็ม]:[คะแนนเต็ม]]),"",(tbl_task4[91]/tbl_task4[[คะแนนเต็ม]:[คะแนนเต็ม]])*tbl_task4[[%]:[%]])</f>
        <v/>
      </c>
      <c r="JB23" s="121" t="str">
        <f>IF(ISBLANK(tbl_task4[[คะแนนเต็ม]:[คะแนนเต็ม]]),"",(tbl_task4[92]/tbl_task4[[คะแนนเต็ม]:[คะแนนเต็ม]])*tbl_task4[[%]:[%]])</f>
        <v/>
      </c>
      <c r="JC23" s="121" t="str">
        <f>IF(ISBLANK(tbl_task4[[คะแนนเต็ม]:[คะแนนเต็ม]]),"",(tbl_task4[93]/tbl_task4[[คะแนนเต็ม]:[คะแนนเต็ม]])*tbl_task4[[%]:[%]])</f>
        <v/>
      </c>
      <c r="JD23" s="121" t="str">
        <f>IF(ISBLANK(tbl_task4[[คะแนนเต็ม]:[คะแนนเต็ม]]),"",(tbl_task4[94]/tbl_task4[[คะแนนเต็ม]:[คะแนนเต็ม]])*tbl_task4[[%]:[%]])</f>
        <v/>
      </c>
      <c r="JE23" s="121" t="str">
        <f>IF(ISBLANK(tbl_task4[[คะแนนเต็ม]:[คะแนนเต็ม]]),"",(tbl_task4[95]/tbl_task4[[คะแนนเต็ม]:[คะแนนเต็ม]])*tbl_task4[[%]:[%]])</f>
        <v/>
      </c>
      <c r="JF23" s="121" t="str">
        <f>IF(ISBLANK(tbl_task4[[คะแนนเต็ม]:[คะแนนเต็ม]]),"",(tbl_task4[96]/tbl_task4[[คะแนนเต็ม]:[คะแนนเต็ม]])*tbl_task4[[%]:[%]])</f>
        <v/>
      </c>
      <c r="JG23" s="121" t="str">
        <f>IF(ISBLANK(tbl_task4[[คะแนนเต็ม]:[คะแนนเต็ม]]),"",(tbl_task4[97]/tbl_task4[[คะแนนเต็ม]:[คะแนนเต็ม]])*tbl_task4[[%]:[%]])</f>
        <v/>
      </c>
      <c r="JH23" s="121" t="str">
        <f>IF(ISBLANK(tbl_task4[[คะแนนเต็ม]:[คะแนนเต็ม]]),"",(tbl_task4[98]/tbl_task4[[คะแนนเต็ม]:[คะแนนเต็ม]])*tbl_task4[[%]:[%]])</f>
        <v/>
      </c>
      <c r="JI23" s="121" t="str">
        <f>IF(ISBLANK(tbl_task4[[คะแนนเต็ม]:[คะแนนเต็ม]]),"",(tbl_task4[99]/tbl_task4[[คะแนนเต็ม]:[คะแนนเต็ม]])*tbl_task4[[%]:[%]])</f>
        <v/>
      </c>
      <c r="JJ23" s="121" t="str">
        <f>IF(ISBLANK(tbl_task4[[คะแนนเต็ม]:[คะแนนเต็ม]]),"",(tbl_task4[100]/tbl_task4[[คะแนนเต็ม]:[คะแนนเต็ม]])*tbl_task4[[%]:[%]])</f>
        <v/>
      </c>
      <c r="JK23" s="121" t="str">
        <f>IF(ISBLANK(tbl_task4[[คะแนนเต็ม]:[คะแนนเต็ม]]),"",(tbl_task4[101]/tbl_task4[[คะแนนเต็ม]:[คะแนนเต็ม]])*tbl_task4[[%]:[%]])</f>
        <v/>
      </c>
      <c r="JL23" s="121" t="str">
        <f>IF(ISBLANK(tbl_task4[[คะแนนเต็ม]:[คะแนนเต็ม]]),"",(tbl_task4[102]/tbl_task4[[คะแนนเต็ม]:[คะแนนเต็ม]])*tbl_task4[[%]:[%]])</f>
        <v/>
      </c>
      <c r="JM23" s="121" t="str">
        <f>IF(ISBLANK(tbl_task4[[คะแนนเต็ม]:[คะแนนเต็ม]]),"",(tbl_task4[103]/tbl_task4[[คะแนนเต็ม]:[คะแนนเต็ม]])*tbl_task4[[%]:[%]])</f>
        <v/>
      </c>
      <c r="JN23" s="121" t="str">
        <f>IF(ISBLANK(tbl_task4[[คะแนนเต็ม]:[คะแนนเต็ม]]),"",(tbl_task4[104]/tbl_task4[[คะแนนเต็ม]:[คะแนนเต็ม]])*tbl_task4[[%]:[%]])</f>
        <v/>
      </c>
      <c r="JO23" s="121" t="str">
        <f>IF(ISBLANK(tbl_task4[[คะแนนเต็ม]:[คะแนนเต็ม]]),"",(tbl_task4[105]/tbl_task4[[คะแนนเต็ม]:[คะแนนเต็ม]])*tbl_task4[[%]:[%]])</f>
        <v/>
      </c>
      <c r="JP23" s="121" t="str">
        <f>IF(ISBLANK(tbl_task4[[คะแนนเต็ม]:[คะแนนเต็ม]]),"",(tbl_task4[106]/tbl_task4[[คะแนนเต็ม]:[คะแนนเต็ม]])*tbl_task4[[%]:[%]])</f>
        <v/>
      </c>
      <c r="JQ23" s="121" t="str">
        <f>IF(ISBLANK(tbl_task4[[คะแนนเต็ม]:[คะแนนเต็ม]]),"",(tbl_task4[107]/tbl_task4[[คะแนนเต็ม]:[คะแนนเต็ม]])*tbl_task4[[%]:[%]])</f>
        <v/>
      </c>
      <c r="JR23" s="121" t="str">
        <f>IF(ISBLANK(tbl_task4[[คะแนนเต็ม]:[คะแนนเต็ม]]),"",(tbl_task4[108]/tbl_task4[[คะแนนเต็ม]:[คะแนนเต็ม]])*tbl_task4[[%]:[%]])</f>
        <v/>
      </c>
      <c r="JS23" s="121" t="str">
        <f>IF(ISBLANK(tbl_task4[[คะแนนเต็ม]:[คะแนนเต็ม]]),"",(tbl_task4[109]/tbl_task4[[คะแนนเต็ม]:[คะแนนเต็ม]])*tbl_task4[[%]:[%]])</f>
        <v/>
      </c>
      <c r="JT23" s="121" t="str">
        <f>IF(ISBLANK(tbl_task4[[คะแนนเต็ม]:[คะแนนเต็ม]]),"",(tbl_task4[110]/tbl_task4[[คะแนนเต็ม]:[คะแนนเต็ม]])*tbl_task4[[%]:[%]])</f>
        <v/>
      </c>
      <c r="JU23" s="121" t="str">
        <f>IF(ISBLANK(tbl_task4[[คะแนนเต็ม]:[คะแนนเต็ม]]),"",(tbl_task4[111]/tbl_task4[[คะแนนเต็ม]:[คะแนนเต็ม]])*tbl_task4[[%]:[%]])</f>
        <v/>
      </c>
      <c r="JV23" s="121" t="str">
        <f>IF(ISBLANK(tbl_task4[[คะแนนเต็ม]:[คะแนนเต็ม]]),"",(tbl_task4[112]/tbl_task4[[คะแนนเต็ม]:[คะแนนเต็ม]])*tbl_task4[[%]:[%]])</f>
        <v/>
      </c>
      <c r="JW23" s="121" t="str">
        <f>IF(ISBLANK(tbl_task4[[คะแนนเต็ม]:[คะแนนเต็ม]]),"",(tbl_task4[113]/tbl_task4[[คะแนนเต็ม]:[คะแนนเต็ม]])*tbl_task4[[%]:[%]])</f>
        <v/>
      </c>
      <c r="JX23" s="121" t="str">
        <f>IF(ISBLANK(tbl_task4[[คะแนนเต็ม]:[คะแนนเต็ม]]),"",(tbl_task4[114]/tbl_task4[[คะแนนเต็ม]:[คะแนนเต็ม]])*tbl_task4[[%]:[%]])</f>
        <v/>
      </c>
      <c r="JY23" s="121" t="str">
        <f>IF(ISBLANK(tbl_task4[[คะแนนเต็ม]:[คะแนนเต็ม]]),"",(tbl_task4[115]/tbl_task4[[คะแนนเต็ม]:[คะแนนเต็ม]])*tbl_task4[[%]:[%]])</f>
        <v/>
      </c>
      <c r="JZ23" s="121" t="str">
        <f>IF(ISBLANK(tbl_task4[[คะแนนเต็ม]:[คะแนนเต็ม]]),"",(tbl_task4[116]/tbl_task4[[คะแนนเต็ม]:[คะแนนเต็ม]])*tbl_task4[[%]:[%]])</f>
        <v/>
      </c>
      <c r="KA23" s="121" t="str">
        <f>IF(ISBLANK(tbl_task4[[คะแนนเต็ม]:[คะแนนเต็ม]]),"",(tbl_task4[117]/tbl_task4[[คะแนนเต็ม]:[คะแนนเต็ม]])*tbl_task4[[%]:[%]])</f>
        <v/>
      </c>
      <c r="KB23" s="121" t="str">
        <f>IF(ISBLANK(tbl_task4[[คะแนนเต็ม]:[คะแนนเต็ม]]),"",(tbl_task4[118]/tbl_task4[[คะแนนเต็ม]:[คะแนนเต็ม]])*tbl_task4[[%]:[%]])</f>
        <v/>
      </c>
      <c r="KC23" s="121" t="str">
        <f>IF(ISBLANK(tbl_task4[[คะแนนเต็ม]:[คะแนนเต็ม]]),"",(tbl_task4[119]/tbl_task4[[คะแนนเต็ม]:[คะแนนเต็ม]])*tbl_task4[[%]:[%]])</f>
        <v/>
      </c>
      <c r="KD23" s="121" t="str">
        <f>IF(ISBLANK(tbl_task4[[คะแนนเต็ม]:[คะแนนเต็ม]]),"",(tbl_task4[120]/tbl_task4[[คะแนนเต็ม]:[คะแนนเต็ม]])*tbl_task4[[%]:[%]])</f>
        <v/>
      </c>
      <c r="KE23" s="121" t="str">
        <f>IF(ISBLANK(tbl_task4[[คะแนนเต็ม]:[คะแนนเต็ม]]),"",(tbl_task4[121]/tbl_task4[[คะแนนเต็ม]:[คะแนนเต็ม]])*tbl_task4[[%]:[%]])</f>
        <v/>
      </c>
      <c r="KF23" s="121" t="str">
        <f>IF(ISBLANK(tbl_task4[[คะแนนเต็ม]:[คะแนนเต็ม]]),"",(tbl_task4[122]/tbl_task4[[คะแนนเต็ม]:[คะแนนเต็ม]])*tbl_task4[[%]:[%]])</f>
        <v/>
      </c>
      <c r="KG23" s="121" t="str">
        <f>IF(ISBLANK(tbl_task4[[คะแนนเต็ม]:[คะแนนเต็ม]]),"",(tbl_task4[123]/tbl_task4[[คะแนนเต็ม]:[คะแนนเต็ม]])*tbl_task4[[%]:[%]])</f>
        <v/>
      </c>
      <c r="KH23" s="121" t="str">
        <f>IF(ISBLANK(tbl_task4[[คะแนนเต็ม]:[คะแนนเต็ม]]),"",(tbl_task4[124]/tbl_task4[[คะแนนเต็ม]:[คะแนนเต็ม]])*tbl_task4[[%]:[%]])</f>
        <v/>
      </c>
      <c r="KI23" s="121" t="str">
        <f>IF(ISBLANK(tbl_task4[[คะแนนเต็ม]:[คะแนนเต็ม]]),"",(tbl_task4[125]/tbl_task4[[คะแนนเต็ม]:[คะแนนเต็ม]])*tbl_task4[[%]:[%]])</f>
        <v/>
      </c>
      <c r="KJ23" s="121" t="str">
        <f>IF(ISBLANK(tbl_task4[[คะแนนเต็ม]:[คะแนนเต็ม]]),"",(tbl_task4[126]/tbl_task4[[คะแนนเต็ม]:[คะแนนเต็ม]])*tbl_task4[[%]:[%]])</f>
        <v/>
      </c>
      <c r="KK23" s="121" t="str">
        <f>IF(ISBLANK(tbl_task4[[คะแนนเต็ม]:[คะแนนเต็ม]]),"",(tbl_task4[127]/tbl_task4[[คะแนนเต็ม]:[คะแนนเต็ม]])*tbl_task4[[%]:[%]])</f>
        <v/>
      </c>
      <c r="KL23" s="121" t="str">
        <f>IF(ISBLANK(tbl_task4[[คะแนนเต็ม]:[คะแนนเต็ม]]),"",(tbl_task4[128]/tbl_task4[[คะแนนเต็ม]:[คะแนนเต็ม]])*tbl_task4[[%]:[%]])</f>
        <v/>
      </c>
      <c r="KM23" s="121" t="str">
        <f>IF(ISBLANK(tbl_task4[[คะแนนเต็ม]:[คะแนนเต็ม]]),"",(tbl_task4[129]/tbl_task4[[คะแนนเต็ม]:[คะแนนเต็ม]])*tbl_task4[[%]:[%]])</f>
        <v/>
      </c>
      <c r="KN23" s="121" t="str">
        <f>IF(ISBLANK(tbl_task4[[คะแนนเต็ม]:[คะแนนเต็ม]]),"",(tbl_task4[130]/tbl_task4[[คะแนนเต็ม]:[คะแนนเต็ม]])*tbl_task4[[%]:[%]])</f>
        <v/>
      </c>
      <c r="KO23" s="121" t="str">
        <f>IF(ISBLANK(tbl_task4[[คะแนนเต็ม]:[คะแนนเต็ม]]),"",(tbl_task4[131]/tbl_task4[[คะแนนเต็ม]:[คะแนนเต็ม]])*tbl_task4[[%]:[%]])</f>
        <v/>
      </c>
      <c r="KP23" s="121" t="str">
        <f>IF(ISBLANK(tbl_task4[[คะแนนเต็ม]:[คะแนนเต็ม]]),"",(tbl_task4[132]/tbl_task4[[คะแนนเต็ม]:[คะแนนเต็ม]])*tbl_task4[[%]:[%]])</f>
        <v/>
      </c>
      <c r="KQ23" s="121" t="str">
        <f>IF(ISBLANK(tbl_task4[[คะแนนเต็ม]:[คะแนนเต็ม]]),"",(tbl_task4[133]/tbl_task4[[คะแนนเต็ม]:[คะแนนเต็ม]])*tbl_task4[[%]:[%]])</f>
        <v/>
      </c>
      <c r="KR23" s="121" t="str">
        <f>IF(ISBLANK(tbl_task4[[คะแนนเต็ม]:[คะแนนเต็ม]]),"",(tbl_task4[134]/tbl_task4[[คะแนนเต็ม]:[คะแนนเต็ม]])*tbl_task4[[%]:[%]])</f>
        <v/>
      </c>
      <c r="KS23" s="121" t="str">
        <f>IF(ISBLANK(tbl_task4[[คะแนนเต็ม]:[คะแนนเต็ม]]),"",(tbl_task4[135]/tbl_task4[[คะแนนเต็ม]:[คะแนนเต็ม]])*tbl_task4[[%]:[%]])</f>
        <v/>
      </c>
      <c r="KT23" s="121" t="str">
        <f>IF(ISBLANK(tbl_task4[[คะแนนเต็ม]:[คะแนนเต็ม]]),"",(tbl_task4[136]/tbl_task4[[คะแนนเต็ม]:[คะแนนเต็ม]])*tbl_task4[[%]:[%]])</f>
        <v/>
      </c>
      <c r="KU23" s="121" t="str">
        <f>IF(ISBLANK(tbl_task4[[คะแนนเต็ม]:[คะแนนเต็ม]]),"",(tbl_task4[137]/tbl_task4[[คะแนนเต็ม]:[คะแนนเต็ม]])*tbl_task4[[%]:[%]])</f>
        <v/>
      </c>
      <c r="KV23" s="121" t="str">
        <f>IF(ISBLANK(tbl_task4[[คะแนนเต็ม]:[คะแนนเต็ม]]),"",(tbl_task4[138]/tbl_task4[[คะแนนเต็ม]:[คะแนนเต็ม]])*tbl_task4[[%]:[%]])</f>
        <v/>
      </c>
      <c r="KW23" s="121" t="str">
        <f>IF(ISBLANK(tbl_task4[[คะแนนเต็ม]:[คะแนนเต็ม]]),"",(tbl_task4[139]/tbl_task4[[คะแนนเต็ม]:[คะแนนเต็ม]])*tbl_task4[[%]:[%]])</f>
        <v/>
      </c>
      <c r="KX23" s="121" t="str">
        <f>IF(ISBLANK(tbl_task4[[คะแนนเต็ม]:[คะแนนเต็ม]]),"",(tbl_task4[140]/tbl_task4[[คะแนนเต็ม]:[คะแนนเต็ม]])*tbl_task4[[%]:[%]])</f>
        <v/>
      </c>
      <c r="KY23" s="121" t="str">
        <f>IF(ISBLANK(tbl_task4[[คะแนนเต็ม]:[คะแนนเต็ม]]),"",(tbl_task4[141]/tbl_task4[[คะแนนเต็ม]:[คะแนนเต็ม]])*tbl_task4[[%]:[%]])</f>
        <v/>
      </c>
      <c r="KZ23" s="121" t="str">
        <f>IF(ISBLANK(tbl_task4[[คะแนนเต็ม]:[คะแนนเต็ม]]),"",(tbl_task4[142]/tbl_task4[[คะแนนเต็ม]:[คะแนนเต็ม]])*tbl_task4[[%]:[%]])</f>
        <v/>
      </c>
      <c r="LA23" s="121" t="str">
        <f>IF(ISBLANK(tbl_task4[[คะแนนเต็ม]:[คะแนนเต็ม]]),"",(tbl_task4[143]/tbl_task4[[คะแนนเต็ม]:[คะแนนเต็ม]])*tbl_task4[[%]:[%]])</f>
        <v/>
      </c>
      <c r="LB23" s="121" t="str">
        <f>IF(ISBLANK(tbl_task4[[คะแนนเต็ม]:[คะแนนเต็ม]]),"",(tbl_task4[144]/tbl_task4[[คะแนนเต็ม]:[คะแนนเต็ม]])*tbl_task4[[%]:[%]])</f>
        <v/>
      </c>
      <c r="LC23" s="121" t="str">
        <f>IF(ISBLANK(tbl_task4[[คะแนนเต็ม]:[คะแนนเต็ม]]),"",(tbl_task4[145]/tbl_task4[[คะแนนเต็ม]:[คะแนนเต็ม]])*tbl_task4[[%]:[%]])</f>
        <v/>
      </c>
      <c r="LD23" s="121" t="str">
        <f>IF(ISBLANK(tbl_task4[[คะแนนเต็ม]:[คะแนนเต็ม]]),"",(tbl_task4[146]/tbl_task4[[คะแนนเต็ม]:[คะแนนเต็ม]])*tbl_task4[[%]:[%]])</f>
        <v/>
      </c>
      <c r="LE23" s="121" t="str">
        <f>IF(ISBLANK(tbl_task4[[คะแนนเต็ม]:[คะแนนเต็ม]]),"",(tbl_task4[147]/tbl_task4[[คะแนนเต็ม]:[คะแนนเต็ม]])*tbl_task4[[%]:[%]])</f>
        <v/>
      </c>
      <c r="LF23" s="121" t="str">
        <f>IF(ISBLANK(tbl_task4[[คะแนนเต็ม]:[คะแนนเต็ม]]),"",(tbl_task4[148]/tbl_task4[[คะแนนเต็ม]:[คะแนนเต็ม]])*tbl_task4[[%]:[%]])</f>
        <v/>
      </c>
      <c r="LG23" s="121" t="str">
        <f>IF(ISBLANK(tbl_task4[[คะแนนเต็ม]:[คะแนนเต็ม]]),"",(tbl_task4[149]/tbl_task4[[คะแนนเต็ม]:[คะแนนเต็ม]])*tbl_task4[[%]:[%]])</f>
        <v/>
      </c>
      <c r="LH23" s="121" t="str">
        <f>IF(ISBLANK(tbl_task4[[คะแนนเต็ม]:[คะแนนเต็ม]]),"",(tbl_task4[150]/tbl_task4[[คะแนนเต็ม]:[คะแนนเต็ม]])*tbl_task4[[%]:[%]])</f>
        <v/>
      </c>
      <c r="LI23" s="121" t="str">
        <f>IF(ISBLANK(tbl_task4[[คะแนนเต็ม]:[คะแนนเต็ม]]),"",(tbl_task4[151]/tbl_task4[[คะแนนเต็ม]:[คะแนนเต็ม]])*tbl_task4[[%]:[%]])</f>
        <v/>
      </c>
      <c r="LJ23" s="121" t="str">
        <f>IF(ISBLANK(tbl_task4[[คะแนนเต็ม]:[คะแนนเต็ม]]),"",(tbl_task4[152]/tbl_task4[[คะแนนเต็ม]:[คะแนนเต็ม]])*tbl_task4[[%]:[%]])</f>
        <v/>
      </c>
      <c r="LK23" s="121" t="str">
        <f>IF(ISBLANK(tbl_task4[[คะแนนเต็ม]:[คะแนนเต็ม]]),"",(tbl_task4[153]/tbl_task4[[คะแนนเต็ม]:[คะแนนเต็ม]])*tbl_task4[[%]:[%]])</f>
        <v/>
      </c>
      <c r="LL23" s="121" t="str">
        <f>IF(ISBLANK(tbl_task4[[คะแนนเต็ม]:[คะแนนเต็ม]]),"",(tbl_task4[154]/tbl_task4[[คะแนนเต็ม]:[คะแนนเต็ม]])*tbl_task4[[%]:[%]])</f>
        <v/>
      </c>
      <c r="LM23" s="121" t="str">
        <f>IF(ISBLANK(tbl_task4[[คะแนนเต็ม]:[คะแนนเต็ม]]),"",(tbl_task4[155]/tbl_task4[[คะแนนเต็ม]:[คะแนนเต็ม]])*tbl_task4[[%]:[%]])</f>
        <v/>
      </c>
      <c r="LN23" s="121" t="str">
        <f>IF(ISBLANK(tbl_task4[[คะแนนเต็ม]:[คะแนนเต็ม]]),"",(tbl_task4[156]/tbl_task4[[คะแนนเต็ม]:[คะแนนเต็ม]])*tbl_task4[[%]:[%]])</f>
        <v/>
      </c>
      <c r="LO23" s="121" t="str">
        <f>IF(ISBLANK(tbl_task4[[คะแนนเต็ม]:[คะแนนเต็ม]]),"",(tbl_task4[157]/tbl_task4[[คะแนนเต็ม]:[คะแนนเต็ม]])*tbl_task4[[%]:[%]])</f>
        <v/>
      </c>
      <c r="LP23" s="121" t="str">
        <f>IF(ISBLANK(tbl_task4[[คะแนนเต็ม]:[คะแนนเต็ม]]),"",(tbl_task4[158]/tbl_task4[[คะแนนเต็ม]:[คะแนนเต็ม]])*tbl_task4[[%]:[%]])</f>
        <v/>
      </c>
      <c r="LQ23" s="121" t="str">
        <f>IF(ISBLANK(tbl_task4[[คะแนนเต็ม]:[คะแนนเต็ม]]),"",(tbl_task4[159]/tbl_task4[[คะแนนเต็ม]:[คะแนนเต็ม]])*tbl_task4[[%]:[%]])</f>
        <v/>
      </c>
      <c r="LR23" s="121" t="str">
        <f>IF(ISBLANK(tbl_task4[[คะแนนเต็ม]:[คะแนนเต็ม]]),"",(tbl_task4[160]/tbl_task4[[คะแนนเต็ม]:[คะแนนเต็ม]])*tbl_task4[[%]:[%]])</f>
        <v/>
      </c>
      <c r="LS23" s="121" t="str">
        <f>IF(ISBLANK(tbl_task4[[คะแนนเต็ม]:[คะแนนเต็ม]]),"",(tbl_task4[161]/tbl_task4[[คะแนนเต็ม]:[คะแนนเต็ม]])*tbl_task4[[%]:[%]])</f>
        <v/>
      </c>
      <c r="LT23" s="121" t="str">
        <f>IF(ISBLANK(tbl_task4[[คะแนนเต็ม]:[คะแนนเต็ม]]),"",(tbl_task4[162]/tbl_task4[[คะแนนเต็ม]:[คะแนนเต็ม]])*tbl_task4[[%]:[%]])</f>
        <v/>
      </c>
      <c r="LU23" s="121" t="str">
        <f>IF(ISBLANK(tbl_task4[[คะแนนเต็ม]:[คะแนนเต็ม]]),"",(tbl_task4[163]/tbl_task4[[คะแนนเต็ม]:[คะแนนเต็ม]])*tbl_task4[[%]:[%]])</f>
        <v/>
      </c>
      <c r="LV23" s="121" t="str">
        <f>IF(ISBLANK(tbl_task4[[คะแนนเต็ม]:[คะแนนเต็ม]]),"",(tbl_task4[164]/tbl_task4[[คะแนนเต็ม]:[คะแนนเต็ม]])*tbl_task4[[%]:[%]])</f>
        <v/>
      </c>
      <c r="LW23" s="121" t="str">
        <f>IF(ISBLANK(tbl_task4[[คะแนนเต็ม]:[คะแนนเต็ม]]),"",(tbl_task4[165]/tbl_task4[[คะแนนเต็ม]:[คะแนนเต็ม]])*tbl_task4[[%]:[%]])</f>
        <v/>
      </c>
    </row>
    <row r="24" spans="1:335" ht="24" customHeight="1" x14ac:dyDescent="0.25">
      <c r="A24" s="24">
        <v>21</v>
      </c>
      <c r="B24" s="20"/>
      <c r="C24" s="5" t="str">
        <f>IF(ISBLANK(B24),"",VLOOKUP(B24,tbl_PLOs[],2,0))</f>
        <v/>
      </c>
      <c r="D24" s="102"/>
      <c r="E24" s="106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21" t="str">
        <f>IF(ISBLANK(tbl_task4[[คะแนนเต็ม]:[คะแนนเต็ม]]),"",(tbl_task4[1]/tbl_task4[[คะแนนเต็ม]:[คะแนนเต็ม]])*tbl_task4[[%]:[%]])</f>
        <v/>
      </c>
      <c r="FP24" s="121" t="str">
        <f>IF(ISBLANK(tbl_task4[[คะแนนเต็ม]:[คะแนนเต็ม]]),"",(tbl_task4[2]/tbl_task4[[คะแนนเต็ม]:[คะแนนเต็ม]])*tbl_task4[[%]:[%]])</f>
        <v/>
      </c>
      <c r="FQ24" s="121" t="str">
        <f>IF(ISBLANK(tbl_task4[[คะแนนเต็ม]:[คะแนนเต็ม]]),"",(tbl_task4[3]/tbl_task4[[คะแนนเต็ม]:[คะแนนเต็ม]])*tbl_task4[[%]:[%]])</f>
        <v/>
      </c>
      <c r="FR24" s="121" t="str">
        <f>IF(ISBLANK(tbl_task4[[คะแนนเต็ม]:[คะแนนเต็ม]]),"",(tbl_task4[4]/tbl_task4[[คะแนนเต็ม]:[คะแนนเต็ม]])*tbl_task4[[%]:[%]])</f>
        <v/>
      </c>
      <c r="FS24" s="121" t="str">
        <f>IF(ISBLANK(tbl_task4[[คะแนนเต็ม]:[คะแนนเต็ม]]),"",(tbl_task4[5]/tbl_task4[[คะแนนเต็ม]:[คะแนนเต็ม]])*tbl_task4[[%]:[%]])</f>
        <v/>
      </c>
      <c r="FT24" s="121" t="str">
        <f>IF(ISBLANK(tbl_task4[[คะแนนเต็ม]:[คะแนนเต็ม]]),"",(tbl_task4[6]/tbl_task4[[คะแนนเต็ม]:[คะแนนเต็ม]])*tbl_task4[[%]:[%]])</f>
        <v/>
      </c>
      <c r="FU24" s="121" t="str">
        <f>IF(ISBLANK(tbl_task4[[คะแนนเต็ม]:[คะแนนเต็ม]]),"",(tbl_task4[7]/tbl_task4[[คะแนนเต็ม]:[คะแนนเต็ม]])*tbl_task4[[%]:[%]])</f>
        <v/>
      </c>
      <c r="FV24" s="121" t="str">
        <f>IF(ISBLANK(tbl_task4[[คะแนนเต็ม]:[คะแนนเต็ม]]),"",(tbl_task4[8]/tbl_task4[[คะแนนเต็ม]:[คะแนนเต็ม]])*tbl_task4[[%]:[%]])</f>
        <v/>
      </c>
      <c r="FW24" s="121" t="str">
        <f>IF(ISBLANK(tbl_task4[[คะแนนเต็ม]:[คะแนนเต็ม]]),"",(tbl_task4[9]/tbl_task4[[คะแนนเต็ม]:[คะแนนเต็ม]])*tbl_task4[[%]:[%]])</f>
        <v/>
      </c>
      <c r="FX24" s="121" t="str">
        <f>IF(ISBLANK(tbl_task4[[คะแนนเต็ม]:[คะแนนเต็ม]]),"",(tbl_task4[10]/tbl_task4[[คะแนนเต็ม]:[คะแนนเต็ม]])*tbl_task4[[%]:[%]])</f>
        <v/>
      </c>
      <c r="FY24" s="121" t="str">
        <f>IF(ISBLANK(tbl_task4[[คะแนนเต็ม]:[คะแนนเต็ม]]),"",(tbl_task4[11]/tbl_task4[[คะแนนเต็ม]:[คะแนนเต็ม]])*tbl_task4[[%]:[%]])</f>
        <v/>
      </c>
      <c r="FZ24" s="121" t="str">
        <f>IF(ISBLANK(tbl_task4[[คะแนนเต็ม]:[คะแนนเต็ม]]),"",(tbl_task4[12]/tbl_task4[[คะแนนเต็ม]:[คะแนนเต็ม]])*tbl_task4[[%]:[%]])</f>
        <v/>
      </c>
      <c r="GA24" s="121" t="str">
        <f>IF(ISBLANK(tbl_task4[[คะแนนเต็ม]:[คะแนนเต็ม]]),"",(tbl_task4[13]/tbl_task4[[คะแนนเต็ม]:[คะแนนเต็ม]])*tbl_task4[[%]:[%]])</f>
        <v/>
      </c>
      <c r="GB24" s="121" t="str">
        <f>IF(ISBLANK(tbl_task4[[คะแนนเต็ม]:[คะแนนเต็ม]]),"",(tbl_task4[14]/tbl_task4[[คะแนนเต็ม]:[คะแนนเต็ม]])*tbl_task4[[%]:[%]])</f>
        <v/>
      </c>
      <c r="GC24" s="121" t="str">
        <f>IF(ISBLANK(tbl_task4[[คะแนนเต็ม]:[คะแนนเต็ม]]),"",(tbl_task4[15]/tbl_task4[[คะแนนเต็ม]:[คะแนนเต็ม]])*tbl_task4[[%]:[%]])</f>
        <v/>
      </c>
      <c r="GD24" s="121" t="str">
        <f>IF(ISBLANK(tbl_task4[[คะแนนเต็ม]:[คะแนนเต็ม]]),"",(tbl_task4[16]/tbl_task4[[คะแนนเต็ม]:[คะแนนเต็ม]])*tbl_task4[[%]:[%]])</f>
        <v/>
      </c>
      <c r="GE24" s="121" t="str">
        <f>IF(ISBLANK(tbl_task4[[คะแนนเต็ม]:[คะแนนเต็ม]]),"",(tbl_task4[17]/tbl_task4[[คะแนนเต็ม]:[คะแนนเต็ม]])*tbl_task4[[%]:[%]])</f>
        <v/>
      </c>
      <c r="GF24" s="121" t="str">
        <f>IF(ISBLANK(tbl_task4[[คะแนนเต็ม]:[คะแนนเต็ม]]),"",(tbl_task4[18]/tbl_task4[[คะแนนเต็ม]:[คะแนนเต็ม]])*tbl_task4[[%]:[%]])</f>
        <v/>
      </c>
      <c r="GG24" s="121" t="str">
        <f>IF(ISBLANK(tbl_task4[[คะแนนเต็ม]:[คะแนนเต็ม]]),"",(tbl_task4[19]/tbl_task4[[คะแนนเต็ม]:[คะแนนเต็ม]])*tbl_task4[[%]:[%]])</f>
        <v/>
      </c>
      <c r="GH24" s="121" t="str">
        <f>IF(ISBLANK(tbl_task4[[คะแนนเต็ม]:[คะแนนเต็ม]]),"",(tbl_task4[20]/tbl_task4[[คะแนนเต็ม]:[คะแนนเต็ม]])*tbl_task4[[%]:[%]])</f>
        <v/>
      </c>
      <c r="GI24" s="121" t="str">
        <f>IF(ISBLANK(tbl_task4[[คะแนนเต็ม]:[คะแนนเต็ม]]),"",(tbl_task4[21]/tbl_task4[[คะแนนเต็ม]:[คะแนนเต็ม]])*tbl_task4[[%]:[%]])</f>
        <v/>
      </c>
      <c r="GJ24" s="121" t="str">
        <f>IF(ISBLANK(tbl_task4[[คะแนนเต็ม]:[คะแนนเต็ม]]),"",(tbl_task4[22]/tbl_task4[[คะแนนเต็ม]:[คะแนนเต็ม]])*tbl_task4[[%]:[%]])</f>
        <v/>
      </c>
      <c r="GK24" s="121" t="str">
        <f>IF(ISBLANK(tbl_task4[[คะแนนเต็ม]:[คะแนนเต็ม]]),"",(tbl_task4[23]/tbl_task4[[คะแนนเต็ม]:[คะแนนเต็ม]])*tbl_task4[[%]:[%]])</f>
        <v/>
      </c>
      <c r="GL24" s="121" t="str">
        <f>IF(ISBLANK(tbl_task4[[คะแนนเต็ม]:[คะแนนเต็ม]]),"",(tbl_task4[24]/tbl_task4[[คะแนนเต็ม]:[คะแนนเต็ม]])*tbl_task4[[%]:[%]])</f>
        <v/>
      </c>
      <c r="GM24" s="121" t="str">
        <f>IF(ISBLANK(tbl_task4[[คะแนนเต็ม]:[คะแนนเต็ม]]),"",(tbl_task4[25]/tbl_task4[[คะแนนเต็ม]:[คะแนนเต็ม]])*tbl_task4[[%]:[%]])</f>
        <v/>
      </c>
      <c r="GN24" s="121" t="str">
        <f>IF(ISBLANK(tbl_task4[[คะแนนเต็ม]:[คะแนนเต็ม]]),"",(tbl_task4[26]/tbl_task4[[คะแนนเต็ม]:[คะแนนเต็ม]])*tbl_task4[[%]:[%]])</f>
        <v/>
      </c>
      <c r="GO24" s="121" t="str">
        <f>IF(ISBLANK(tbl_task4[[คะแนนเต็ม]:[คะแนนเต็ม]]),"",(tbl_task4[27]/tbl_task4[[คะแนนเต็ม]:[คะแนนเต็ม]])*tbl_task4[[%]:[%]])</f>
        <v/>
      </c>
      <c r="GP24" s="121" t="str">
        <f>IF(ISBLANK(tbl_task4[[คะแนนเต็ม]:[คะแนนเต็ม]]),"",(tbl_task4[28]/tbl_task4[[คะแนนเต็ม]:[คะแนนเต็ม]])*tbl_task4[[%]:[%]])</f>
        <v/>
      </c>
      <c r="GQ24" s="121" t="str">
        <f>IF(ISBLANK(tbl_task4[[คะแนนเต็ม]:[คะแนนเต็ม]]),"",(tbl_task4[29]/tbl_task4[[คะแนนเต็ม]:[คะแนนเต็ม]])*tbl_task4[[%]:[%]])</f>
        <v/>
      </c>
      <c r="GR24" s="121" t="str">
        <f>IF(ISBLANK(tbl_task4[[คะแนนเต็ม]:[คะแนนเต็ม]]),"",(tbl_task4[30]/tbl_task4[[คะแนนเต็ม]:[คะแนนเต็ม]])*tbl_task4[[%]:[%]])</f>
        <v/>
      </c>
      <c r="GS24" s="121" t="str">
        <f>IF(ISBLANK(tbl_task4[[คะแนนเต็ม]:[คะแนนเต็ม]]),"",(tbl_task4[31]/tbl_task4[[คะแนนเต็ม]:[คะแนนเต็ม]])*tbl_task4[[%]:[%]])</f>
        <v/>
      </c>
      <c r="GT24" s="121" t="str">
        <f>IF(ISBLANK(tbl_task4[[คะแนนเต็ม]:[คะแนนเต็ม]]),"",(tbl_task4[32]/tbl_task4[[คะแนนเต็ม]:[คะแนนเต็ม]])*tbl_task4[[%]:[%]])</f>
        <v/>
      </c>
      <c r="GU24" s="121" t="str">
        <f>IF(ISBLANK(tbl_task4[[คะแนนเต็ม]:[คะแนนเต็ม]]),"",(tbl_task4[33]/tbl_task4[[คะแนนเต็ม]:[คะแนนเต็ม]])*tbl_task4[[%]:[%]])</f>
        <v/>
      </c>
      <c r="GV24" s="121" t="str">
        <f>IF(ISBLANK(tbl_task4[[คะแนนเต็ม]:[คะแนนเต็ม]]),"",(tbl_task4[34]/tbl_task4[[คะแนนเต็ม]:[คะแนนเต็ม]])*tbl_task4[[%]:[%]])</f>
        <v/>
      </c>
      <c r="GW24" s="121" t="str">
        <f>IF(ISBLANK(tbl_task4[[คะแนนเต็ม]:[คะแนนเต็ม]]),"",(tbl_task4[35]/tbl_task4[[คะแนนเต็ม]:[คะแนนเต็ม]])*tbl_task4[[%]:[%]])</f>
        <v/>
      </c>
      <c r="GX24" s="121" t="str">
        <f>IF(ISBLANK(tbl_task4[[คะแนนเต็ม]:[คะแนนเต็ม]]),"",(tbl_task4[36]/tbl_task4[[คะแนนเต็ม]:[คะแนนเต็ม]])*tbl_task4[[%]:[%]])</f>
        <v/>
      </c>
      <c r="GY24" s="121" t="str">
        <f>IF(ISBLANK(tbl_task4[[คะแนนเต็ม]:[คะแนนเต็ม]]),"",(tbl_task4[37]/tbl_task4[[คะแนนเต็ม]:[คะแนนเต็ม]])*tbl_task4[[%]:[%]])</f>
        <v/>
      </c>
      <c r="GZ24" s="121" t="str">
        <f>IF(ISBLANK(tbl_task4[[คะแนนเต็ม]:[คะแนนเต็ม]]),"",(tbl_task4[38]/tbl_task4[[คะแนนเต็ม]:[คะแนนเต็ม]])*tbl_task4[[%]:[%]])</f>
        <v/>
      </c>
      <c r="HA24" s="121" t="str">
        <f>IF(ISBLANK(tbl_task4[[คะแนนเต็ม]:[คะแนนเต็ม]]),"",(tbl_task4[39]/tbl_task4[[คะแนนเต็ม]:[คะแนนเต็ม]])*tbl_task4[[%]:[%]])</f>
        <v/>
      </c>
      <c r="HB24" s="121" t="str">
        <f>IF(ISBLANK(tbl_task4[[คะแนนเต็ม]:[คะแนนเต็ม]]),"",(tbl_task4[40]/tbl_task4[[คะแนนเต็ม]:[คะแนนเต็ม]])*tbl_task4[[%]:[%]])</f>
        <v/>
      </c>
      <c r="HC24" s="121" t="str">
        <f>IF(ISBLANK(tbl_task4[[คะแนนเต็ม]:[คะแนนเต็ม]]),"",(tbl_task4[41]/tbl_task4[[คะแนนเต็ม]:[คะแนนเต็ม]])*tbl_task4[[%]:[%]])</f>
        <v/>
      </c>
      <c r="HD24" s="121" t="str">
        <f>IF(ISBLANK(tbl_task4[[คะแนนเต็ม]:[คะแนนเต็ม]]),"",(tbl_task4[42]/tbl_task4[[คะแนนเต็ม]:[คะแนนเต็ม]])*tbl_task4[[%]:[%]])</f>
        <v/>
      </c>
      <c r="HE24" s="121" t="str">
        <f>IF(ISBLANK(tbl_task4[[คะแนนเต็ม]:[คะแนนเต็ม]]),"",(tbl_task4[43]/tbl_task4[[คะแนนเต็ม]:[คะแนนเต็ม]])*tbl_task4[[%]:[%]])</f>
        <v/>
      </c>
      <c r="HF24" s="121" t="str">
        <f>IF(ISBLANK(tbl_task4[[คะแนนเต็ม]:[คะแนนเต็ม]]),"",(tbl_task4[44]/tbl_task4[[คะแนนเต็ม]:[คะแนนเต็ม]])*tbl_task4[[%]:[%]])</f>
        <v/>
      </c>
      <c r="HG24" s="121" t="str">
        <f>IF(ISBLANK(tbl_task4[[คะแนนเต็ม]:[คะแนนเต็ม]]),"",(tbl_task4[45]/tbl_task4[[คะแนนเต็ม]:[คะแนนเต็ม]])*tbl_task4[[%]:[%]])</f>
        <v/>
      </c>
      <c r="HH24" s="121" t="str">
        <f>IF(ISBLANK(tbl_task4[[คะแนนเต็ม]:[คะแนนเต็ม]]),"",(tbl_task4[46]/tbl_task4[[คะแนนเต็ม]:[คะแนนเต็ม]])*tbl_task4[[%]:[%]])</f>
        <v/>
      </c>
      <c r="HI24" s="121" t="str">
        <f>IF(ISBLANK(tbl_task4[[คะแนนเต็ม]:[คะแนนเต็ม]]),"",(tbl_task4[47]/tbl_task4[[คะแนนเต็ม]:[คะแนนเต็ม]])*tbl_task4[[%]:[%]])</f>
        <v/>
      </c>
      <c r="HJ24" s="121" t="str">
        <f>IF(ISBLANK(tbl_task4[[คะแนนเต็ม]:[คะแนนเต็ม]]),"",(tbl_task4[48]/tbl_task4[[คะแนนเต็ม]:[คะแนนเต็ม]])*tbl_task4[[%]:[%]])</f>
        <v/>
      </c>
      <c r="HK24" s="121" t="str">
        <f>IF(ISBLANK(tbl_task4[[คะแนนเต็ม]:[คะแนนเต็ม]]),"",(tbl_task4[49]/tbl_task4[[คะแนนเต็ม]:[คะแนนเต็ม]])*tbl_task4[[%]:[%]])</f>
        <v/>
      </c>
      <c r="HL24" s="121" t="str">
        <f>IF(ISBLANK(tbl_task4[[คะแนนเต็ม]:[คะแนนเต็ม]]),"",(tbl_task4[50]/tbl_task4[[คะแนนเต็ม]:[คะแนนเต็ม]])*tbl_task4[[%]:[%]])</f>
        <v/>
      </c>
      <c r="HM24" s="121" t="str">
        <f>IF(ISBLANK(tbl_task4[[คะแนนเต็ม]:[คะแนนเต็ม]]),"",(tbl_task4[51]/tbl_task4[[คะแนนเต็ม]:[คะแนนเต็ม]])*tbl_task4[[%]:[%]])</f>
        <v/>
      </c>
      <c r="HN24" s="121" t="str">
        <f>IF(ISBLANK(tbl_task4[[คะแนนเต็ม]:[คะแนนเต็ม]]),"",(tbl_task4[52]/tbl_task4[[คะแนนเต็ม]:[คะแนนเต็ม]])*tbl_task4[[%]:[%]])</f>
        <v/>
      </c>
      <c r="HO24" s="121" t="str">
        <f>IF(ISBLANK(tbl_task4[[คะแนนเต็ม]:[คะแนนเต็ม]]),"",(tbl_task4[53]/tbl_task4[[คะแนนเต็ม]:[คะแนนเต็ม]])*tbl_task4[[%]:[%]])</f>
        <v/>
      </c>
      <c r="HP24" s="121" t="str">
        <f>IF(ISBLANK(tbl_task4[[คะแนนเต็ม]:[คะแนนเต็ม]]),"",(tbl_task4[54]/tbl_task4[[คะแนนเต็ม]:[คะแนนเต็ม]])*tbl_task4[[%]:[%]])</f>
        <v/>
      </c>
      <c r="HQ24" s="121" t="str">
        <f>IF(ISBLANK(tbl_task4[[คะแนนเต็ม]:[คะแนนเต็ม]]),"",(tbl_task4[55]/tbl_task4[[คะแนนเต็ม]:[คะแนนเต็ม]])*tbl_task4[[%]:[%]])</f>
        <v/>
      </c>
      <c r="HR24" s="121" t="str">
        <f>IF(ISBLANK(tbl_task4[[คะแนนเต็ม]:[คะแนนเต็ม]]),"",(tbl_task4[56]/tbl_task4[[คะแนนเต็ม]:[คะแนนเต็ม]])*tbl_task4[[%]:[%]])</f>
        <v/>
      </c>
      <c r="HS24" s="121" t="str">
        <f>IF(ISBLANK(tbl_task4[[คะแนนเต็ม]:[คะแนนเต็ม]]),"",(tbl_task4[57]/tbl_task4[[คะแนนเต็ม]:[คะแนนเต็ม]])*tbl_task4[[%]:[%]])</f>
        <v/>
      </c>
      <c r="HT24" s="121" t="str">
        <f>IF(ISBLANK(tbl_task4[[คะแนนเต็ม]:[คะแนนเต็ม]]),"",(tbl_task4[58]/tbl_task4[[คะแนนเต็ม]:[คะแนนเต็ม]])*tbl_task4[[%]:[%]])</f>
        <v/>
      </c>
      <c r="HU24" s="121" t="str">
        <f>IF(ISBLANK(tbl_task4[[คะแนนเต็ม]:[คะแนนเต็ม]]),"",(tbl_task4[59]/tbl_task4[[คะแนนเต็ม]:[คะแนนเต็ม]])*tbl_task4[[%]:[%]])</f>
        <v/>
      </c>
      <c r="HV24" s="121" t="str">
        <f>IF(ISBLANK(tbl_task4[[คะแนนเต็ม]:[คะแนนเต็ม]]),"",(tbl_task4[60]/tbl_task4[[คะแนนเต็ม]:[คะแนนเต็ม]])*tbl_task4[[%]:[%]])</f>
        <v/>
      </c>
      <c r="HW24" s="121" t="str">
        <f>IF(ISBLANK(tbl_task4[[คะแนนเต็ม]:[คะแนนเต็ม]]),"",(tbl_task4[61]/tbl_task4[[คะแนนเต็ม]:[คะแนนเต็ม]])*tbl_task4[[%]:[%]])</f>
        <v/>
      </c>
      <c r="HX24" s="121" t="str">
        <f>IF(ISBLANK(tbl_task4[[คะแนนเต็ม]:[คะแนนเต็ม]]),"",(tbl_task4[62]/tbl_task4[[คะแนนเต็ม]:[คะแนนเต็ม]])*tbl_task4[[%]:[%]])</f>
        <v/>
      </c>
      <c r="HY24" s="121" t="str">
        <f>IF(ISBLANK(tbl_task4[[คะแนนเต็ม]:[คะแนนเต็ม]]),"",(tbl_task4[63]/tbl_task4[[คะแนนเต็ม]:[คะแนนเต็ม]])*tbl_task4[[%]:[%]])</f>
        <v/>
      </c>
      <c r="HZ24" s="121" t="str">
        <f>IF(ISBLANK(tbl_task4[[คะแนนเต็ม]:[คะแนนเต็ม]]),"",(tbl_task4[64]/tbl_task4[[คะแนนเต็ม]:[คะแนนเต็ม]])*tbl_task4[[%]:[%]])</f>
        <v/>
      </c>
      <c r="IA24" s="121" t="str">
        <f>IF(ISBLANK(tbl_task4[[คะแนนเต็ม]:[คะแนนเต็ม]]),"",(tbl_task4[65]/tbl_task4[[คะแนนเต็ม]:[คะแนนเต็ม]])*tbl_task4[[%]:[%]])</f>
        <v/>
      </c>
      <c r="IB24" s="121" t="str">
        <f>IF(ISBLANK(tbl_task4[[คะแนนเต็ม]:[คะแนนเต็ม]]),"",(tbl_task4[66]/tbl_task4[[คะแนนเต็ม]:[คะแนนเต็ม]])*tbl_task4[[%]:[%]])</f>
        <v/>
      </c>
      <c r="IC24" s="121" t="str">
        <f>IF(ISBLANK(tbl_task4[[คะแนนเต็ม]:[คะแนนเต็ม]]),"",(tbl_task4[67]/tbl_task4[[คะแนนเต็ม]:[คะแนนเต็ม]])*tbl_task4[[%]:[%]])</f>
        <v/>
      </c>
      <c r="ID24" s="121" t="str">
        <f>IF(ISBLANK(tbl_task4[[คะแนนเต็ม]:[คะแนนเต็ม]]),"",(tbl_task4[68]/tbl_task4[[คะแนนเต็ม]:[คะแนนเต็ม]])*tbl_task4[[%]:[%]])</f>
        <v/>
      </c>
      <c r="IE24" s="121" t="str">
        <f>IF(ISBLANK(tbl_task4[[คะแนนเต็ม]:[คะแนนเต็ม]]),"",(tbl_task4[69]/tbl_task4[[คะแนนเต็ม]:[คะแนนเต็ม]])*tbl_task4[[%]:[%]])</f>
        <v/>
      </c>
      <c r="IF24" s="121" t="str">
        <f>IF(ISBLANK(tbl_task4[[คะแนนเต็ม]:[คะแนนเต็ม]]),"",(tbl_task4[70]/tbl_task4[[คะแนนเต็ม]:[คะแนนเต็ม]])*tbl_task4[[%]:[%]])</f>
        <v/>
      </c>
      <c r="IG24" s="121" t="str">
        <f>IF(ISBLANK(tbl_task4[[คะแนนเต็ม]:[คะแนนเต็ม]]),"",(tbl_task4[71]/tbl_task4[[คะแนนเต็ม]:[คะแนนเต็ม]])*tbl_task4[[%]:[%]])</f>
        <v/>
      </c>
      <c r="IH24" s="121" t="str">
        <f>IF(ISBLANK(tbl_task4[[คะแนนเต็ม]:[คะแนนเต็ม]]),"",(tbl_task4[72]/tbl_task4[[คะแนนเต็ม]:[คะแนนเต็ม]])*tbl_task4[[%]:[%]])</f>
        <v/>
      </c>
      <c r="II24" s="121" t="str">
        <f>IF(ISBLANK(tbl_task4[[คะแนนเต็ม]:[คะแนนเต็ม]]),"",(tbl_task4[73]/tbl_task4[[คะแนนเต็ม]:[คะแนนเต็ม]])*tbl_task4[[%]:[%]])</f>
        <v/>
      </c>
      <c r="IJ24" s="121" t="str">
        <f>IF(ISBLANK(tbl_task4[[คะแนนเต็ม]:[คะแนนเต็ม]]),"",(tbl_task4[74]/tbl_task4[[คะแนนเต็ม]:[คะแนนเต็ม]])*tbl_task4[[%]:[%]])</f>
        <v/>
      </c>
      <c r="IK24" s="121" t="str">
        <f>IF(ISBLANK(tbl_task4[[คะแนนเต็ม]:[คะแนนเต็ม]]),"",(tbl_task4[75]/tbl_task4[[คะแนนเต็ม]:[คะแนนเต็ม]])*tbl_task4[[%]:[%]])</f>
        <v/>
      </c>
      <c r="IL24" s="121" t="str">
        <f>IF(ISBLANK(tbl_task4[[คะแนนเต็ม]:[คะแนนเต็ม]]),"",(tbl_task4[76]/tbl_task4[[คะแนนเต็ม]:[คะแนนเต็ม]])*tbl_task4[[%]:[%]])</f>
        <v/>
      </c>
      <c r="IM24" s="121" t="str">
        <f>IF(ISBLANK(tbl_task4[[คะแนนเต็ม]:[คะแนนเต็ม]]),"",(tbl_task4[77]/tbl_task4[[คะแนนเต็ม]:[คะแนนเต็ม]])*tbl_task4[[%]:[%]])</f>
        <v/>
      </c>
      <c r="IN24" s="121" t="str">
        <f>IF(ISBLANK(tbl_task4[[คะแนนเต็ม]:[คะแนนเต็ม]]),"",(tbl_task4[78]/tbl_task4[[คะแนนเต็ม]:[คะแนนเต็ม]])*tbl_task4[[%]:[%]])</f>
        <v/>
      </c>
      <c r="IO24" s="121" t="str">
        <f>IF(ISBLANK(tbl_task4[[คะแนนเต็ม]:[คะแนนเต็ม]]),"",(tbl_task4[79]/tbl_task4[[คะแนนเต็ม]:[คะแนนเต็ม]])*tbl_task4[[%]:[%]])</f>
        <v/>
      </c>
      <c r="IP24" s="121" t="str">
        <f>IF(ISBLANK(tbl_task4[[คะแนนเต็ม]:[คะแนนเต็ม]]),"",(tbl_task4[80]/tbl_task4[[คะแนนเต็ม]:[คะแนนเต็ม]])*tbl_task4[[%]:[%]])</f>
        <v/>
      </c>
      <c r="IQ24" s="121" t="str">
        <f>IF(ISBLANK(tbl_task4[[คะแนนเต็ม]:[คะแนนเต็ม]]),"",(tbl_task4[81]/tbl_task4[[คะแนนเต็ม]:[คะแนนเต็ม]])*tbl_task4[[%]:[%]])</f>
        <v/>
      </c>
      <c r="IR24" s="121" t="str">
        <f>IF(ISBLANK(tbl_task4[[คะแนนเต็ม]:[คะแนนเต็ม]]),"",(tbl_task4[82]/tbl_task4[[คะแนนเต็ม]:[คะแนนเต็ม]])*tbl_task4[[%]:[%]])</f>
        <v/>
      </c>
      <c r="IS24" s="121" t="str">
        <f>IF(ISBLANK(tbl_task4[[คะแนนเต็ม]:[คะแนนเต็ม]]),"",(tbl_task4[83]/tbl_task4[[คะแนนเต็ม]:[คะแนนเต็ม]])*tbl_task4[[%]:[%]])</f>
        <v/>
      </c>
      <c r="IT24" s="121" t="str">
        <f>IF(ISBLANK(tbl_task4[[คะแนนเต็ม]:[คะแนนเต็ม]]),"",(tbl_task4[84]/tbl_task4[[คะแนนเต็ม]:[คะแนนเต็ม]])*tbl_task4[[%]:[%]])</f>
        <v/>
      </c>
      <c r="IU24" s="121" t="str">
        <f>IF(ISBLANK(tbl_task4[[คะแนนเต็ม]:[คะแนนเต็ม]]),"",(tbl_task4[85]/tbl_task4[[คะแนนเต็ม]:[คะแนนเต็ม]])*tbl_task4[[%]:[%]])</f>
        <v/>
      </c>
      <c r="IV24" s="121" t="str">
        <f>IF(ISBLANK(tbl_task4[[คะแนนเต็ม]:[คะแนนเต็ม]]),"",(tbl_task4[86]/tbl_task4[[คะแนนเต็ม]:[คะแนนเต็ม]])*tbl_task4[[%]:[%]])</f>
        <v/>
      </c>
      <c r="IW24" s="121" t="str">
        <f>IF(ISBLANK(tbl_task4[[คะแนนเต็ม]:[คะแนนเต็ม]]),"",(tbl_task4[87]/tbl_task4[[คะแนนเต็ม]:[คะแนนเต็ม]])*tbl_task4[[%]:[%]])</f>
        <v/>
      </c>
      <c r="IX24" s="121" t="str">
        <f>IF(ISBLANK(tbl_task4[[คะแนนเต็ม]:[คะแนนเต็ม]]),"",(tbl_task4[88]/tbl_task4[[คะแนนเต็ม]:[คะแนนเต็ม]])*tbl_task4[[%]:[%]])</f>
        <v/>
      </c>
      <c r="IY24" s="121" t="str">
        <f>IF(ISBLANK(tbl_task4[[คะแนนเต็ม]:[คะแนนเต็ม]]),"",(tbl_task4[89]/tbl_task4[[คะแนนเต็ม]:[คะแนนเต็ม]])*tbl_task4[[%]:[%]])</f>
        <v/>
      </c>
      <c r="IZ24" s="121" t="str">
        <f>IF(ISBLANK(tbl_task4[[คะแนนเต็ม]:[คะแนนเต็ม]]),"",(tbl_task4[90]/tbl_task4[[คะแนนเต็ม]:[คะแนนเต็ม]])*tbl_task4[[%]:[%]])</f>
        <v/>
      </c>
      <c r="JA24" s="121" t="str">
        <f>IF(ISBLANK(tbl_task4[[คะแนนเต็ม]:[คะแนนเต็ม]]),"",(tbl_task4[91]/tbl_task4[[คะแนนเต็ม]:[คะแนนเต็ม]])*tbl_task4[[%]:[%]])</f>
        <v/>
      </c>
      <c r="JB24" s="121" t="str">
        <f>IF(ISBLANK(tbl_task4[[คะแนนเต็ม]:[คะแนนเต็ม]]),"",(tbl_task4[92]/tbl_task4[[คะแนนเต็ม]:[คะแนนเต็ม]])*tbl_task4[[%]:[%]])</f>
        <v/>
      </c>
      <c r="JC24" s="121" t="str">
        <f>IF(ISBLANK(tbl_task4[[คะแนนเต็ม]:[คะแนนเต็ม]]),"",(tbl_task4[93]/tbl_task4[[คะแนนเต็ม]:[คะแนนเต็ม]])*tbl_task4[[%]:[%]])</f>
        <v/>
      </c>
      <c r="JD24" s="121" t="str">
        <f>IF(ISBLANK(tbl_task4[[คะแนนเต็ม]:[คะแนนเต็ม]]),"",(tbl_task4[94]/tbl_task4[[คะแนนเต็ม]:[คะแนนเต็ม]])*tbl_task4[[%]:[%]])</f>
        <v/>
      </c>
      <c r="JE24" s="121" t="str">
        <f>IF(ISBLANK(tbl_task4[[คะแนนเต็ม]:[คะแนนเต็ม]]),"",(tbl_task4[95]/tbl_task4[[คะแนนเต็ม]:[คะแนนเต็ม]])*tbl_task4[[%]:[%]])</f>
        <v/>
      </c>
      <c r="JF24" s="121" t="str">
        <f>IF(ISBLANK(tbl_task4[[คะแนนเต็ม]:[คะแนนเต็ม]]),"",(tbl_task4[96]/tbl_task4[[คะแนนเต็ม]:[คะแนนเต็ม]])*tbl_task4[[%]:[%]])</f>
        <v/>
      </c>
      <c r="JG24" s="121" t="str">
        <f>IF(ISBLANK(tbl_task4[[คะแนนเต็ม]:[คะแนนเต็ม]]),"",(tbl_task4[97]/tbl_task4[[คะแนนเต็ม]:[คะแนนเต็ม]])*tbl_task4[[%]:[%]])</f>
        <v/>
      </c>
      <c r="JH24" s="121" t="str">
        <f>IF(ISBLANK(tbl_task4[[คะแนนเต็ม]:[คะแนนเต็ม]]),"",(tbl_task4[98]/tbl_task4[[คะแนนเต็ม]:[คะแนนเต็ม]])*tbl_task4[[%]:[%]])</f>
        <v/>
      </c>
      <c r="JI24" s="121" t="str">
        <f>IF(ISBLANK(tbl_task4[[คะแนนเต็ม]:[คะแนนเต็ม]]),"",(tbl_task4[99]/tbl_task4[[คะแนนเต็ม]:[คะแนนเต็ม]])*tbl_task4[[%]:[%]])</f>
        <v/>
      </c>
      <c r="JJ24" s="121" t="str">
        <f>IF(ISBLANK(tbl_task4[[คะแนนเต็ม]:[คะแนนเต็ม]]),"",(tbl_task4[100]/tbl_task4[[คะแนนเต็ม]:[คะแนนเต็ม]])*tbl_task4[[%]:[%]])</f>
        <v/>
      </c>
      <c r="JK24" s="121" t="str">
        <f>IF(ISBLANK(tbl_task4[[คะแนนเต็ม]:[คะแนนเต็ม]]),"",(tbl_task4[101]/tbl_task4[[คะแนนเต็ม]:[คะแนนเต็ม]])*tbl_task4[[%]:[%]])</f>
        <v/>
      </c>
      <c r="JL24" s="121" t="str">
        <f>IF(ISBLANK(tbl_task4[[คะแนนเต็ม]:[คะแนนเต็ม]]),"",(tbl_task4[102]/tbl_task4[[คะแนนเต็ม]:[คะแนนเต็ม]])*tbl_task4[[%]:[%]])</f>
        <v/>
      </c>
      <c r="JM24" s="121" t="str">
        <f>IF(ISBLANK(tbl_task4[[คะแนนเต็ม]:[คะแนนเต็ม]]),"",(tbl_task4[103]/tbl_task4[[คะแนนเต็ม]:[คะแนนเต็ม]])*tbl_task4[[%]:[%]])</f>
        <v/>
      </c>
      <c r="JN24" s="121" t="str">
        <f>IF(ISBLANK(tbl_task4[[คะแนนเต็ม]:[คะแนนเต็ม]]),"",(tbl_task4[104]/tbl_task4[[คะแนนเต็ม]:[คะแนนเต็ม]])*tbl_task4[[%]:[%]])</f>
        <v/>
      </c>
      <c r="JO24" s="121" t="str">
        <f>IF(ISBLANK(tbl_task4[[คะแนนเต็ม]:[คะแนนเต็ม]]),"",(tbl_task4[105]/tbl_task4[[คะแนนเต็ม]:[คะแนนเต็ม]])*tbl_task4[[%]:[%]])</f>
        <v/>
      </c>
      <c r="JP24" s="121" t="str">
        <f>IF(ISBLANK(tbl_task4[[คะแนนเต็ม]:[คะแนนเต็ม]]),"",(tbl_task4[106]/tbl_task4[[คะแนนเต็ม]:[คะแนนเต็ม]])*tbl_task4[[%]:[%]])</f>
        <v/>
      </c>
      <c r="JQ24" s="121" t="str">
        <f>IF(ISBLANK(tbl_task4[[คะแนนเต็ม]:[คะแนนเต็ม]]),"",(tbl_task4[107]/tbl_task4[[คะแนนเต็ม]:[คะแนนเต็ม]])*tbl_task4[[%]:[%]])</f>
        <v/>
      </c>
      <c r="JR24" s="121" t="str">
        <f>IF(ISBLANK(tbl_task4[[คะแนนเต็ม]:[คะแนนเต็ม]]),"",(tbl_task4[108]/tbl_task4[[คะแนนเต็ม]:[คะแนนเต็ม]])*tbl_task4[[%]:[%]])</f>
        <v/>
      </c>
      <c r="JS24" s="121" t="str">
        <f>IF(ISBLANK(tbl_task4[[คะแนนเต็ม]:[คะแนนเต็ม]]),"",(tbl_task4[109]/tbl_task4[[คะแนนเต็ม]:[คะแนนเต็ม]])*tbl_task4[[%]:[%]])</f>
        <v/>
      </c>
      <c r="JT24" s="121" t="str">
        <f>IF(ISBLANK(tbl_task4[[คะแนนเต็ม]:[คะแนนเต็ม]]),"",(tbl_task4[110]/tbl_task4[[คะแนนเต็ม]:[คะแนนเต็ม]])*tbl_task4[[%]:[%]])</f>
        <v/>
      </c>
      <c r="JU24" s="121" t="str">
        <f>IF(ISBLANK(tbl_task4[[คะแนนเต็ม]:[คะแนนเต็ม]]),"",(tbl_task4[111]/tbl_task4[[คะแนนเต็ม]:[คะแนนเต็ม]])*tbl_task4[[%]:[%]])</f>
        <v/>
      </c>
      <c r="JV24" s="121" t="str">
        <f>IF(ISBLANK(tbl_task4[[คะแนนเต็ม]:[คะแนนเต็ม]]),"",(tbl_task4[112]/tbl_task4[[คะแนนเต็ม]:[คะแนนเต็ม]])*tbl_task4[[%]:[%]])</f>
        <v/>
      </c>
      <c r="JW24" s="121" t="str">
        <f>IF(ISBLANK(tbl_task4[[คะแนนเต็ม]:[คะแนนเต็ม]]),"",(tbl_task4[113]/tbl_task4[[คะแนนเต็ม]:[คะแนนเต็ม]])*tbl_task4[[%]:[%]])</f>
        <v/>
      </c>
      <c r="JX24" s="121" t="str">
        <f>IF(ISBLANK(tbl_task4[[คะแนนเต็ม]:[คะแนนเต็ม]]),"",(tbl_task4[114]/tbl_task4[[คะแนนเต็ม]:[คะแนนเต็ม]])*tbl_task4[[%]:[%]])</f>
        <v/>
      </c>
      <c r="JY24" s="121" t="str">
        <f>IF(ISBLANK(tbl_task4[[คะแนนเต็ม]:[คะแนนเต็ม]]),"",(tbl_task4[115]/tbl_task4[[คะแนนเต็ม]:[คะแนนเต็ม]])*tbl_task4[[%]:[%]])</f>
        <v/>
      </c>
      <c r="JZ24" s="121" t="str">
        <f>IF(ISBLANK(tbl_task4[[คะแนนเต็ม]:[คะแนนเต็ม]]),"",(tbl_task4[116]/tbl_task4[[คะแนนเต็ม]:[คะแนนเต็ม]])*tbl_task4[[%]:[%]])</f>
        <v/>
      </c>
      <c r="KA24" s="121" t="str">
        <f>IF(ISBLANK(tbl_task4[[คะแนนเต็ม]:[คะแนนเต็ม]]),"",(tbl_task4[117]/tbl_task4[[คะแนนเต็ม]:[คะแนนเต็ม]])*tbl_task4[[%]:[%]])</f>
        <v/>
      </c>
      <c r="KB24" s="121" t="str">
        <f>IF(ISBLANK(tbl_task4[[คะแนนเต็ม]:[คะแนนเต็ม]]),"",(tbl_task4[118]/tbl_task4[[คะแนนเต็ม]:[คะแนนเต็ม]])*tbl_task4[[%]:[%]])</f>
        <v/>
      </c>
      <c r="KC24" s="121" t="str">
        <f>IF(ISBLANK(tbl_task4[[คะแนนเต็ม]:[คะแนนเต็ม]]),"",(tbl_task4[119]/tbl_task4[[คะแนนเต็ม]:[คะแนนเต็ม]])*tbl_task4[[%]:[%]])</f>
        <v/>
      </c>
      <c r="KD24" s="121" t="str">
        <f>IF(ISBLANK(tbl_task4[[คะแนนเต็ม]:[คะแนนเต็ม]]),"",(tbl_task4[120]/tbl_task4[[คะแนนเต็ม]:[คะแนนเต็ม]])*tbl_task4[[%]:[%]])</f>
        <v/>
      </c>
      <c r="KE24" s="121" t="str">
        <f>IF(ISBLANK(tbl_task4[[คะแนนเต็ม]:[คะแนนเต็ม]]),"",(tbl_task4[121]/tbl_task4[[คะแนนเต็ม]:[คะแนนเต็ม]])*tbl_task4[[%]:[%]])</f>
        <v/>
      </c>
      <c r="KF24" s="121" t="str">
        <f>IF(ISBLANK(tbl_task4[[คะแนนเต็ม]:[คะแนนเต็ม]]),"",(tbl_task4[122]/tbl_task4[[คะแนนเต็ม]:[คะแนนเต็ม]])*tbl_task4[[%]:[%]])</f>
        <v/>
      </c>
      <c r="KG24" s="121" t="str">
        <f>IF(ISBLANK(tbl_task4[[คะแนนเต็ม]:[คะแนนเต็ม]]),"",(tbl_task4[123]/tbl_task4[[คะแนนเต็ม]:[คะแนนเต็ม]])*tbl_task4[[%]:[%]])</f>
        <v/>
      </c>
      <c r="KH24" s="121" t="str">
        <f>IF(ISBLANK(tbl_task4[[คะแนนเต็ม]:[คะแนนเต็ม]]),"",(tbl_task4[124]/tbl_task4[[คะแนนเต็ม]:[คะแนนเต็ม]])*tbl_task4[[%]:[%]])</f>
        <v/>
      </c>
      <c r="KI24" s="121" t="str">
        <f>IF(ISBLANK(tbl_task4[[คะแนนเต็ม]:[คะแนนเต็ม]]),"",(tbl_task4[125]/tbl_task4[[คะแนนเต็ม]:[คะแนนเต็ม]])*tbl_task4[[%]:[%]])</f>
        <v/>
      </c>
      <c r="KJ24" s="121" t="str">
        <f>IF(ISBLANK(tbl_task4[[คะแนนเต็ม]:[คะแนนเต็ม]]),"",(tbl_task4[126]/tbl_task4[[คะแนนเต็ม]:[คะแนนเต็ม]])*tbl_task4[[%]:[%]])</f>
        <v/>
      </c>
      <c r="KK24" s="121" t="str">
        <f>IF(ISBLANK(tbl_task4[[คะแนนเต็ม]:[คะแนนเต็ม]]),"",(tbl_task4[127]/tbl_task4[[คะแนนเต็ม]:[คะแนนเต็ม]])*tbl_task4[[%]:[%]])</f>
        <v/>
      </c>
      <c r="KL24" s="121" t="str">
        <f>IF(ISBLANK(tbl_task4[[คะแนนเต็ม]:[คะแนนเต็ม]]),"",(tbl_task4[128]/tbl_task4[[คะแนนเต็ม]:[คะแนนเต็ม]])*tbl_task4[[%]:[%]])</f>
        <v/>
      </c>
      <c r="KM24" s="121" t="str">
        <f>IF(ISBLANK(tbl_task4[[คะแนนเต็ม]:[คะแนนเต็ม]]),"",(tbl_task4[129]/tbl_task4[[คะแนนเต็ม]:[คะแนนเต็ม]])*tbl_task4[[%]:[%]])</f>
        <v/>
      </c>
      <c r="KN24" s="121" t="str">
        <f>IF(ISBLANK(tbl_task4[[คะแนนเต็ม]:[คะแนนเต็ม]]),"",(tbl_task4[130]/tbl_task4[[คะแนนเต็ม]:[คะแนนเต็ม]])*tbl_task4[[%]:[%]])</f>
        <v/>
      </c>
      <c r="KO24" s="121" t="str">
        <f>IF(ISBLANK(tbl_task4[[คะแนนเต็ม]:[คะแนนเต็ม]]),"",(tbl_task4[131]/tbl_task4[[คะแนนเต็ม]:[คะแนนเต็ม]])*tbl_task4[[%]:[%]])</f>
        <v/>
      </c>
      <c r="KP24" s="121" t="str">
        <f>IF(ISBLANK(tbl_task4[[คะแนนเต็ม]:[คะแนนเต็ม]]),"",(tbl_task4[132]/tbl_task4[[คะแนนเต็ม]:[คะแนนเต็ม]])*tbl_task4[[%]:[%]])</f>
        <v/>
      </c>
      <c r="KQ24" s="121" t="str">
        <f>IF(ISBLANK(tbl_task4[[คะแนนเต็ม]:[คะแนนเต็ม]]),"",(tbl_task4[133]/tbl_task4[[คะแนนเต็ม]:[คะแนนเต็ม]])*tbl_task4[[%]:[%]])</f>
        <v/>
      </c>
      <c r="KR24" s="121" t="str">
        <f>IF(ISBLANK(tbl_task4[[คะแนนเต็ม]:[คะแนนเต็ม]]),"",(tbl_task4[134]/tbl_task4[[คะแนนเต็ม]:[คะแนนเต็ม]])*tbl_task4[[%]:[%]])</f>
        <v/>
      </c>
      <c r="KS24" s="121" t="str">
        <f>IF(ISBLANK(tbl_task4[[คะแนนเต็ม]:[คะแนนเต็ม]]),"",(tbl_task4[135]/tbl_task4[[คะแนนเต็ม]:[คะแนนเต็ม]])*tbl_task4[[%]:[%]])</f>
        <v/>
      </c>
      <c r="KT24" s="121" t="str">
        <f>IF(ISBLANK(tbl_task4[[คะแนนเต็ม]:[คะแนนเต็ม]]),"",(tbl_task4[136]/tbl_task4[[คะแนนเต็ม]:[คะแนนเต็ม]])*tbl_task4[[%]:[%]])</f>
        <v/>
      </c>
      <c r="KU24" s="121" t="str">
        <f>IF(ISBLANK(tbl_task4[[คะแนนเต็ม]:[คะแนนเต็ม]]),"",(tbl_task4[137]/tbl_task4[[คะแนนเต็ม]:[คะแนนเต็ม]])*tbl_task4[[%]:[%]])</f>
        <v/>
      </c>
      <c r="KV24" s="121" t="str">
        <f>IF(ISBLANK(tbl_task4[[คะแนนเต็ม]:[คะแนนเต็ม]]),"",(tbl_task4[138]/tbl_task4[[คะแนนเต็ม]:[คะแนนเต็ม]])*tbl_task4[[%]:[%]])</f>
        <v/>
      </c>
      <c r="KW24" s="121" t="str">
        <f>IF(ISBLANK(tbl_task4[[คะแนนเต็ม]:[คะแนนเต็ม]]),"",(tbl_task4[139]/tbl_task4[[คะแนนเต็ม]:[คะแนนเต็ม]])*tbl_task4[[%]:[%]])</f>
        <v/>
      </c>
      <c r="KX24" s="121" t="str">
        <f>IF(ISBLANK(tbl_task4[[คะแนนเต็ม]:[คะแนนเต็ม]]),"",(tbl_task4[140]/tbl_task4[[คะแนนเต็ม]:[คะแนนเต็ม]])*tbl_task4[[%]:[%]])</f>
        <v/>
      </c>
      <c r="KY24" s="121" t="str">
        <f>IF(ISBLANK(tbl_task4[[คะแนนเต็ม]:[คะแนนเต็ม]]),"",(tbl_task4[141]/tbl_task4[[คะแนนเต็ม]:[คะแนนเต็ม]])*tbl_task4[[%]:[%]])</f>
        <v/>
      </c>
      <c r="KZ24" s="121" t="str">
        <f>IF(ISBLANK(tbl_task4[[คะแนนเต็ม]:[คะแนนเต็ม]]),"",(tbl_task4[142]/tbl_task4[[คะแนนเต็ม]:[คะแนนเต็ม]])*tbl_task4[[%]:[%]])</f>
        <v/>
      </c>
      <c r="LA24" s="121" t="str">
        <f>IF(ISBLANK(tbl_task4[[คะแนนเต็ม]:[คะแนนเต็ม]]),"",(tbl_task4[143]/tbl_task4[[คะแนนเต็ม]:[คะแนนเต็ม]])*tbl_task4[[%]:[%]])</f>
        <v/>
      </c>
      <c r="LB24" s="121" t="str">
        <f>IF(ISBLANK(tbl_task4[[คะแนนเต็ม]:[คะแนนเต็ม]]),"",(tbl_task4[144]/tbl_task4[[คะแนนเต็ม]:[คะแนนเต็ม]])*tbl_task4[[%]:[%]])</f>
        <v/>
      </c>
      <c r="LC24" s="121" t="str">
        <f>IF(ISBLANK(tbl_task4[[คะแนนเต็ม]:[คะแนนเต็ม]]),"",(tbl_task4[145]/tbl_task4[[คะแนนเต็ม]:[คะแนนเต็ม]])*tbl_task4[[%]:[%]])</f>
        <v/>
      </c>
      <c r="LD24" s="121" t="str">
        <f>IF(ISBLANK(tbl_task4[[คะแนนเต็ม]:[คะแนนเต็ม]]),"",(tbl_task4[146]/tbl_task4[[คะแนนเต็ม]:[คะแนนเต็ม]])*tbl_task4[[%]:[%]])</f>
        <v/>
      </c>
      <c r="LE24" s="121" t="str">
        <f>IF(ISBLANK(tbl_task4[[คะแนนเต็ม]:[คะแนนเต็ม]]),"",(tbl_task4[147]/tbl_task4[[คะแนนเต็ม]:[คะแนนเต็ม]])*tbl_task4[[%]:[%]])</f>
        <v/>
      </c>
      <c r="LF24" s="121" t="str">
        <f>IF(ISBLANK(tbl_task4[[คะแนนเต็ม]:[คะแนนเต็ม]]),"",(tbl_task4[148]/tbl_task4[[คะแนนเต็ม]:[คะแนนเต็ม]])*tbl_task4[[%]:[%]])</f>
        <v/>
      </c>
      <c r="LG24" s="121" t="str">
        <f>IF(ISBLANK(tbl_task4[[คะแนนเต็ม]:[คะแนนเต็ม]]),"",(tbl_task4[149]/tbl_task4[[คะแนนเต็ม]:[คะแนนเต็ม]])*tbl_task4[[%]:[%]])</f>
        <v/>
      </c>
      <c r="LH24" s="121" t="str">
        <f>IF(ISBLANK(tbl_task4[[คะแนนเต็ม]:[คะแนนเต็ม]]),"",(tbl_task4[150]/tbl_task4[[คะแนนเต็ม]:[คะแนนเต็ม]])*tbl_task4[[%]:[%]])</f>
        <v/>
      </c>
      <c r="LI24" s="121" t="str">
        <f>IF(ISBLANK(tbl_task4[[คะแนนเต็ม]:[คะแนนเต็ม]]),"",(tbl_task4[151]/tbl_task4[[คะแนนเต็ม]:[คะแนนเต็ม]])*tbl_task4[[%]:[%]])</f>
        <v/>
      </c>
      <c r="LJ24" s="121" t="str">
        <f>IF(ISBLANK(tbl_task4[[คะแนนเต็ม]:[คะแนนเต็ม]]),"",(tbl_task4[152]/tbl_task4[[คะแนนเต็ม]:[คะแนนเต็ม]])*tbl_task4[[%]:[%]])</f>
        <v/>
      </c>
      <c r="LK24" s="121" t="str">
        <f>IF(ISBLANK(tbl_task4[[คะแนนเต็ม]:[คะแนนเต็ม]]),"",(tbl_task4[153]/tbl_task4[[คะแนนเต็ม]:[คะแนนเต็ม]])*tbl_task4[[%]:[%]])</f>
        <v/>
      </c>
      <c r="LL24" s="121" t="str">
        <f>IF(ISBLANK(tbl_task4[[คะแนนเต็ม]:[คะแนนเต็ม]]),"",(tbl_task4[154]/tbl_task4[[คะแนนเต็ม]:[คะแนนเต็ม]])*tbl_task4[[%]:[%]])</f>
        <v/>
      </c>
      <c r="LM24" s="121" t="str">
        <f>IF(ISBLANK(tbl_task4[[คะแนนเต็ม]:[คะแนนเต็ม]]),"",(tbl_task4[155]/tbl_task4[[คะแนนเต็ม]:[คะแนนเต็ม]])*tbl_task4[[%]:[%]])</f>
        <v/>
      </c>
      <c r="LN24" s="121" t="str">
        <f>IF(ISBLANK(tbl_task4[[คะแนนเต็ม]:[คะแนนเต็ม]]),"",(tbl_task4[156]/tbl_task4[[คะแนนเต็ม]:[คะแนนเต็ม]])*tbl_task4[[%]:[%]])</f>
        <v/>
      </c>
      <c r="LO24" s="121" t="str">
        <f>IF(ISBLANK(tbl_task4[[คะแนนเต็ม]:[คะแนนเต็ม]]),"",(tbl_task4[157]/tbl_task4[[คะแนนเต็ม]:[คะแนนเต็ม]])*tbl_task4[[%]:[%]])</f>
        <v/>
      </c>
      <c r="LP24" s="121" t="str">
        <f>IF(ISBLANK(tbl_task4[[คะแนนเต็ม]:[คะแนนเต็ม]]),"",(tbl_task4[158]/tbl_task4[[คะแนนเต็ม]:[คะแนนเต็ม]])*tbl_task4[[%]:[%]])</f>
        <v/>
      </c>
      <c r="LQ24" s="121" t="str">
        <f>IF(ISBLANK(tbl_task4[[คะแนนเต็ม]:[คะแนนเต็ม]]),"",(tbl_task4[159]/tbl_task4[[คะแนนเต็ม]:[คะแนนเต็ม]])*tbl_task4[[%]:[%]])</f>
        <v/>
      </c>
      <c r="LR24" s="121" t="str">
        <f>IF(ISBLANK(tbl_task4[[คะแนนเต็ม]:[คะแนนเต็ม]]),"",(tbl_task4[160]/tbl_task4[[คะแนนเต็ม]:[คะแนนเต็ม]])*tbl_task4[[%]:[%]])</f>
        <v/>
      </c>
      <c r="LS24" s="121" t="str">
        <f>IF(ISBLANK(tbl_task4[[คะแนนเต็ม]:[คะแนนเต็ม]]),"",(tbl_task4[161]/tbl_task4[[คะแนนเต็ม]:[คะแนนเต็ม]])*tbl_task4[[%]:[%]])</f>
        <v/>
      </c>
      <c r="LT24" s="121" t="str">
        <f>IF(ISBLANK(tbl_task4[[คะแนนเต็ม]:[คะแนนเต็ม]]),"",(tbl_task4[162]/tbl_task4[[คะแนนเต็ม]:[คะแนนเต็ม]])*tbl_task4[[%]:[%]])</f>
        <v/>
      </c>
      <c r="LU24" s="121" t="str">
        <f>IF(ISBLANK(tbl_task4[[คะแนนเต็ม]:[คะแนนเต็ม]]),"",(tbl_task4[163]/tbl_task4[[คะแนนเต็ม]:[คะแนนเต็ม]])*tbl_task4[[%]:[%]])</f>
        <v/>
      </c>
      <c r="LV24" s="121" t="str">
        <f>IF(ISBLANK(tbl_task4[[คะแนนเต็ม]:[คะแนนเต็ม]]),"",(tbl_task4[164]/tbl_task4[[คะแนนเต็ม]:[คะแนนเต็ม]])*tbl_task4[[%]:[%]])</f>
        <v/>
      </c>
      <c r="LW24" s="121" t="str">
        <f>IF(ISBLANK(tbl_task4[[คะแนนเต็ม]:[คะแนนเต็ม]]),"",(tbl_task4[165]/tbl_task4[[คะแนนเต็ม]:[คะแนนเต็ม]])*tbl_task4[[%]:[%]])</f>
        <v/>
      </c>
    </row>
    <row r="25" spans="1:335" ht="24" customHeight="1" x14ac:dyDescent="0.25">
      <c r="A25" s="24">
        <v>22</v>
      </c>
      <c r="B25" s="20"/>
      <c r="C25" s="5" t="str">
        <f>IF(ISBLANK(B25),"",VLOOKUP(B25,tbl_PLOs[],2,0))</f>
        <v/>
      </c>
      <c r="D25" s="102"/>
      <c r="E25" s="106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21" t="str">
        <f>IF(ISBLANK(tbl_task4[[คะแนนเต็ม]:[คะแนนเต็ม]]),"",(tbl_task4[1]/tbl_task4[[คะแนนเต็ม]:[คะแนนเต็ม]])*tbl_task4[[%]:[%]])</f>
        <v/>
      </c>
      <c r="FP25" s="121" t="str">
        <f>IF(ISBLANK(tbl_task4[[คะแนนเต็ม]:[คะแนนเต็ม]]),"",(tbl_task4[2]/tbl_task4[[คะแนนเต็ม]:[คะแนนเต็ม]])*tbl_task4[[%]:[%]])</f>
        <v/>
      </c>
      <c r="FQ25" s="121" t="str">
        <f>IF(ISBLANK(tbl_task4[[คะแนนเต็ม]:[คะแนนเต็ม]]),"",(tbl_task4[3]/tbl_task4[[คะแนนเต็ม]:[คะแนนเต็ม]])*tbl_task4[[%]:[%]])</f>
        <v/>
      </c>
      <c r="FR25" s="121" t="str">
        <f>IF(ISBLANK(tbl_task4[[คะแนนเต็ม]:[คะแนนเต็ม]]),"",(tbl_task4[4]/tbl_task4[[คะแนนเต็ม]:[คะแนนเต็ม]])*tbl_task4[[%]:[%]])</f>
        <v/>
      </c>
      <c r="FS25" s="121" t="str">
        <f>IF(ISBLANK(tbl_task4[[คะแนนเต็ม]:[คะแนนเต็ม]]),"",(tbl_task4[5]/tbl_task4[[คะแนนเต็ม]:[คะแนนเต็ม]])*tbl_task4[[%]:[%]])</f>
        <v/>
      </c>
      <c r="FT25" s="121" t="str">
        <f>IF(ISBLANK(tbl_task4[[คะแนนเต็ม]:[คะแนนเต็ม]]),"",(tbl_task4[6]/tbl_task4[[คะแนนเต็ม]:[คะแนนเต็ม]])*tbl_task4[[%]:[%]])</f>
        <v/>
      </c>
      <c r="FU25" s="121" t="str">
        <f>IF(ISBLANK(tbl_task4[[คะแนนเต็ม]:[คะแนนเต็ม]]),"",(tbl_task4[7]/tbl_task4[[คะแนนเต็ม]:[คะแนนเต็ม]])*tbl_task4[[%]:[%]])</f>
        <v/>
      </c>
      <c r="FV25" s="121" t="str">
        <f>IF(ISBLANK(tbl_task4[[คะแนนเต็ม]:[คะแนนเต็ม]]),"",(tbl_task4[8]/tbl_task4[[คะแนนเต็ม]:[คะแนนเต็ม]])*tbl_task4[[%]:[%]])</f>
        <v/>
      </c>
      <c r="FW25" s="121" t="str">
        <f>IF(ISBLANK(tbl_task4[[คะแนนเต็ม]:[คะแนนเต็ม]]),"",(tbl_task4[9]/tbl_task4[[คะแนนเต็ม]:[คะแนนเต็ม]])*tbl_task4[[%]:[%]])</f>
        <v/>
      </c>
      <c r="FX25" s="121" t="str">
        <f>IF(ISBLANK(tbl_task4[[คะแนนเต็ม]:[คะแนนเต็ม]]),"",(tbl_task4[10]/tbl_task4[[คะแนนเต็ม]:[คะแนนเต็ม]])*tbl_task4[[%]:[%]])</f>
        <v/>
      </c>
      <c r="FY25" s="121" t="str">
        <f>IF(ISBLANK(tbl_task4[[คะแนนเต็ม]:[คะแนนเต็ม]]),"",(tbl_task4[11]/tbl_task4[[คะแนนเต็ม]:[คะแนนเต็ม]])*tbl_task4[[%]:[%]])</f>
        <v/>
      </c>
      <c r="FZ25" s="121" t="str">
        <f>IF(ISBLANK(tbl_task4[[คะแนนเต็ม]:[คะแนนเต็ม]]),"",(tbl_task4[12]/tbl_task4[[คะแนนเต็ม]:[คะแนนเต็ม]])*tbl_task4[[%]:[%]])</f>
        <v/>
      </c>
      <c r="GA25" s="121" t="str">
        <f>IF(ISBLANK(tbl_task4[[คะแนนเต็ม]:[คะแนนเต็ม]]),"",(tbl_task4[13]/tbl_task4[[คะแนนเต็ม]:[คะแนนเต็ม]])*tbl_task4[[%]:[%]])</f>
        <v/>
      </c>
      <c r="GB25" s="121" t="str">
        <f>IF(ISBLANK(tbl_task4[[คะแนนเต็ม]:[คะแนนเต็ม]]),"",(tbl_task4[14]/tbl_task4[[คะแนนเต็ม]:[คะแนนเต็ม]])*tbl_task4[[%]:[%]])</f>
        <v/>
      </c>
      <c r="GC25" s="121" t="str">
        <f>IF(ISBLANK(tbl_task4[[คะแนนเต็ม]:[คะแนนเต็ม]]),"",(tbl_task4[15]/tbl_task4[[คะแนนเต็ม]:[คะแนนเต็ม]])*tbl_task4[[%]:[%]])</f>
        <v/>
      </c>
      <c r="GD25" s="121" t="str">
        <f>IF(ISBLANK(tbl_task4[[คะแนนเต็ม]:[คะแนนเต็ม]]),"",(tbl_task4[16]/tbl_task4[[คะแนนเต็ม]:[คะแนนเต็ม]])*tbl_task4[[%]:[%]])</f>
        <v/>
      </c>
      <c r="GE25" s="121" t="str">
        <f>IF(ISBLANK(tbl_task4[[คะแนนเต็ม]:[คะแนนเต็ม]]),"",(tbl_task4[17]/tbl_task4[[คะแนนเต็ม]:[คะแนนเต็ม]])*tbl_task4[[%]:[%]])</f>
        <v/>
      </c>
      <c r="GF25" s="121" t="str">
        <f>IF(ISBLANK(tbl_task4[[คะแนนเต็ม]:[คะแนนเต็ม]]),"",(tbl_task4[18]/tbl_task4[[คะแนนเต็ม]:[คะแนนเต็ม]])*tbl_task4[[%]:[%]])</f>
        <v/>
      </c>
      <c r="GG25" s="121" t="str">
        <f>IF(ISBLANK(tbl_task4[[คะแนนเต็ม]:[คะแนนเต็ม]]),"",(tbl_task4[19]/tbl_task4[[คะแนนเต็ม]:[คะแนนเต็ม]])*tbl_task4[[%]:[%]])</f>
        <v/>
      </c>
      <c r="GH25" s="121" t="str">
        <f>IF(ISBLANK(tbl_task4[[คะแนนเต็ม]:[คะแนนเต็ม]]),"",(tbl_task4[20]/tbl_task4[[คะแนนเต็ม]:[คะแนนเต็ม]])*tbl_task4[[%]:[%]])</f>
        <v/>
      </c>
      <c r="GI25" s="121" t="str">
        <f>IF(ISBLANK(tbl_task4[[คะแนนเต็ม]:[คะแนนเต็ม]]),"",(tbl_task4[21]/tbl_task4[[คะแนนเต็ม]:[คะแนนเต็ม]])*tbl_task4[[%]:[%]])</f>
        <v/>
      </c>
      <c r="GJ25" s="121" t="str">
        <f>IF(ISBLANK(tbl_task4[[คะแนนเต็ม]:[คะแนนเต็ม]]),"",(tbl_task4[22]/tbl_task4[[คะแนนเต็ม]:[คะแนนเต็ม]])*tbl_task4[[%]:[%]])</f>
        <v/>
      </c>
      <c r="GK25" s="121" t="str">
        <f>IF(ISBLANK(tbl_task4[[คะแนนเต็ม]:[คะแนนเต็ม]]),"",(tbl_task4[23]/tbl_task4[[คะแนนเต็ม]:[คะแนนเต็ม]])*tbl_task4[[%]:[%]])</f>
        <v/>
      </c>
      <c r="GL25" s="121" t="str">
        <f>IF(ISBLANK(tbl_task4[[คะแนนเต็ม]:[คะแนนเต็ม]]),"",(tbl_task4[24]/tbl_task4[[คะแนนเต็ม]:[คะแนนเต็ม]])*tbl_task4[[%]:[%]])</f>
        <v/>
      </c>
      <c r="GM25" s="121" t="str">
        <f>IF(ISBLANK(tbl_task4[[คะแนนเต็ม]:[คะแนนเต็ม]]),"",(tbl_task4[25]/tbl_task4[[คะแนนเต็ม]:[คะแนนเต็ม]])*tbl_task4[[%]:[%]])</f>
        <v/>
      </c>
      <c r="GN25" s="121" t="str">
        <f>IF(ISBLANK(tbl_task4[[คะแนนเต็ม]:[คะแนนเต็ม]]),"",(tbl_task4[26]/tbl_task4[[คะแนนเต็ม]:[คะแนนเต็ม]])*tbl_task4[[%]:[%]])</f>
        <v/>
      </c>
      <c r="GO25" s="121" t="str">
        <f>IF(ISBLANK(tbl_task4[[คะแนนเต็ม]:[คะแนนเต็ม]]),"",(tbl_task4[27]/tbl_task4[[คะแนนเต็ม]:[คะแนนเต็ม]])*tbl_task4[[%]:[%]])</f>
        <v/>
      </c>
      <c r="GP25" s="121" t="str">
        <f>IF(ISBLANK(tbl_task4[[คะแนนเต็ม]:[คะแนนเต็ม]]),"",(tbl_task4[28]/tbl_task4[[คะแนนเต็ม]:[คะแนนเต็ม]])*tbl_task4[[%]:[%]])</f>
        <v/>
      </c>
      <c r="GQ25" s="121" t="str">
        <f>IF(ISBLANK(tbl_task4[[คะแนนเต็ม]:[คะแนนเต็ม]]),"",(tbl_task4[29]/tbl_task4[[คะแนนเต็ม]:[คะแนนเต็ม]])*tbl_task4[[%]:[%]])</f>
        <v/>
      </c>
      <c r="GR25" s="121" t="str">
        <f>IF(ISBLANK(tbl_task4[[คะแนนเต็ม]:[คะแนนเต็ม]]),"",(tbl_task4[30]/tbl_task4[[คะแนนเต็ม]:[คะแนนเต็ม]])*tbl_task4[[%]:[%]])</f>
        <v/>
      </c>
      <c r="GS25" s="121" t="str">
        <f>IF(ISBLANK(tbl_task4[[คะแนนเต็ม]:[คะแนนเต็ม]]),"",(tbl_task4[31]/tbl_task4[[คะแนนเต็ม]:[คะแนนเต็ม]])*tbl_task4[[%]:[%]])</f>
        <v/>
      </c>
      <c r="GT25" s="121" t="str">
        <f>IF(ISBLANK(tbl_task4[[คะแนนเต็ม]:[คะแนนเต็ม]]),"",(tbl_task4[32]/tbl_task4[[คะแนนเต็ม]:[คะแนนเต็ม]])*tbl_task4[[%]:[%]])</f>
        <v/>
      </c>
      <c r="GU25" s="121" t="str">
        <f>IF(ISBLANK(tbl_task4[[คะแนนเต็ม]:[คะแนนเต็ม]]),"",(tbl_task4[33]/tbl_task4[[คะแนนเต็ม]:[คะแนนเต็ม]])*tbl_task4[[%]:[%]])</f>
        <v/>
      </c>
      <c r="GV25" s="121" t="str">
        <f>IF(ISBLANK(tbl_task4[[คะแนนเต็ม]:[คะแนนเต็ม]]),"",(tbl_task4[34]/tbl_task4[[คะแนนเต็ม]:[คะแนนเต็ม]])*tbl_task4[[%]:[%]])</f>
        <v/>
      </c>
      <c r="GW25" s="121" t="str">
        <f>IF(ISBLANK(tbl_task4[[คะแนนเต็ม]:[คะแนนเต็ม]]),"",(tbl_task4[35]/tbl_task4[[คะแนนเต็ม]:[คะแนนเต็ม]])*tbl_task4[[%]:[%]])</f>
        <v/>
      </c>
      <c r="GX25" s="121" t="str">
        <f>IF(ISBLANK(tbl_task4[[คะแนนเต็ม]:[คะแนนเต็ม]]),"",(tbl_task4[36]/tbl_task4[[คะแนนเต็ม]:[คะแนนเต็ม]])*tbl_task4[[%]:[%]])</f>
        <v/>
      </c>
      <c r="GY25" s="121" t="str">
        <f>IF(ISBLANK(tbl_task4[[คะแนนเต็ม]:[คะแนนเต็ม]]),"",(tbl_task4[37]/tbl_task4[[คะแนนเต็ม]:[คะแนนเต็ม]])*tbl_task4[[%]:[%]])</f>
        <v/>
      </c>
      <c r="GZ25" s="121" t="str">
        <f>IF(ISBLANK(tbl_task4[[คะแนนเต็ม]:[คะแนนเต็ม]]),"",(tbl_task4[38]/tbl_task4[[คะแนนเต็ม]:[คะแนนเต็ม]])*tbl_task4[[%]:[%]])</f>
        <v/>
      </c>
      <c r="HA25" s="121" t="str">
        <f>IF(ISBLANK(tbl_task4[[คะแนนเต็ม]:[คะแนนเต็ม]]),"",(tbl_task4[39]/tbl_task4[[คะแนนเต็ม]:[คะแนนเต็ม]])*tbl_task4[[%]:[%]])</f>
        <v/>
      </c>
      <c r="HB25" s="121" t="str">
        <f>IF(ISBLANK(tbl_task4[[คะแนนเต็ม]:[คะแนนเต็ม]]),"",(tbl_task4[40]/tbl_task4[[คะแนนเต็ม]:[คะแนนเต็ม]])*tbl_task4[[%]:[%]])</f>
        <v/>
      </c>
      <c r="HC25" s="121" t="str">
        <f>IF(ISBLANK(tbl_task4[[คะแนนเต็ม]:[คะแนนเต็ม]]),"",(tbl_task4[41]/tbl_task4[[คะแนนเต็ม]:[คะแนนเต็ม]])*tbl_task4[[%]:[%]])</f>
        <v/>
      </c>
      <c r="HD25" s="121" t="str">
        <f>IF(ISBLANK(tbl_task4[[คะแนนเต็ม]:[คะแนนเต็ม]]),"",(tbl_task4[42]/tbl_task4[[คะแนนเต็ม]:[คะแนนเต็ม]])*tbl_task4[[%]:[%]])</f>
        <v/>
      </c>
      <c r="HE25" s="121" t="str">
        <f>IF(ISBLANK(tbl_task4[[คะแนนเต็ม]:[คะแนนเต็ม]]),"",(tbl_task4[43]/tbl_task4[[คะแนนเต็ม]:[คะแนนเต็ม]])*tbl_task4[[%]:[%]])</f>
        <v/>
      </c>
      <c r="HF25" s="121" t="str">
        <f>IF(ISBLANK(tbl_task4[[คะแนนเต็ม]:[คะแนนเต็ม]]),"",(tbl_task4[44]/tbl_task4[[คะแนนเต็ม]:[คะแนนเต็ม]])*tbl_task4[[%]:[%]])</f>
        <v/>
      </c>
      <c r="HG25" s="121" t="str">
        <f>IF(ISBLANK(tbl_task4[[คะแนนเต็ม]:[คะแนนเต็ม]]),"",(tbl_task4[45]/tbl_task4[[คะแนนเต็ม]:[คะแนนเต็ม]])*tbl_task4[[%]:[%]])</f>
        <v/>
      </c>
      <c r="HH25" s="121" t="str">
        <f>IF(ISBLANK(tbl_task4[[คะแนนเต็ม]:[คะแนนเต็ม]]),"",(tbl_task4[46]/tbl_task4[[คะแนนเต็ม]:[คะแนนเต็ม]])*tbl_task4[[%]:[%]])</f>
        <v/>
      </c>
      <c r="HI25" s="121" t="str">
        <f>IF(ISBLANK(tbl_task4[[คะแนนเต็ม]:[คะแนนเต็ม]]),"",(tbl_task4[47]/tbl_task4[[คะแนนเต็ม]:[คะแนนเต็ม]])*tbl_task4[[%]:[%]])</f>
        <v/>
      </c>
      <c r="HJ25" s="121" t="str">
        <f>IF(ISBLANK(tbl_task4[[คะแนนเต็ม]:[คะแนนเต็ม]]),"",(tbl_task4[48]/tbl_task4[[คะแนนเต็ม]:[คะแนนเต็ม]])*tbl_task4[[%]:[%]])</f>
        <v/>
      </c>
      <c r="HK25" s="121" t="str">
        <f>IF(ISBLANK(tbl_task4[[คะแนนเต็ม]:[คะแนนเต็ม]]),"",(tbl_task4[49]/tbl_task4[[คะแนนเต็ม]:[คะแนนเต็ม]])*tbl_task4[[%]:[%]])</f>
        <v/>
      </c>
      <c r="HL25" s="121" t="str">
        <f>IF(ISBLANK(tbl_task4[[คะแนนเต็ม]:[คะแนนเต็ม]]),"",(tbl_task4[50]/tbl_task4[[คะแนนเต็ม]:[คะแนนเต็ม]])*tbl_task4[[%]:[%]])</f>
        <v/>
      </c>
      <c r="HM25" s="121" t="str">
        <f>IF(ISBLANK(tbl_task4[[คะแนนเต็ม]:[คะแนนเต็ม]]),"",(tbl_task4[51]/tbl_task4[[คะแนนเต็ม]:[คะแนนเต็ม]])*tbl_task4[[%]:[%]])</f>
        <v/>
      </c>
      <c r="HN25" s="121" t="str">
        <f>IF(ISBLANK(tbl_task4[[คะแนนเต็ม]:[คะแนนเต็ม]]),"",(tbl_task4[52]/tbl_task4[[คะแนนเต็ม]:[คะแนนเต็ม]])*tbl_task4[[%]:[%]])</f>
        <v/>
      </c>
      <c r="HO25" s="121" t="str">
        <f>IF(ISBLANK(tbl_task4[[คะแนนเต็ม]:[คะแนนเต็ม]]),"",(tbl_task4[53]/tbl_task4[[คะแนนเต็ม]:[คะแนนเต็ม]])*tbl_task4[[%]:[%]])</f>
        <v/>
      </c>
      <c r="HP25" s="121" t="str">
        <f>IF(ISBLANK(tbl_task4[[คะแนนเต็ม]:[คะแนนเต็ม]]),"",(tbl_task4[54]/tbl_task4[[คะแนนเต็ม]:[คะแนนเต็ม]])*tbl_task4[[%]:[%]])</f>
        <v/>
      </c>
      <c r="HQ25" s="121" t="str">
        <f>IF(ISBLANK(tbl_task4[[คะแนนเต็ม]:[คะแนนเต็ม]]),"",(tbl_task4[55]/tbl_task4[[คะแนนเต็ม]:[คะแนนเต็ม]])*tbl_task4[[%]:[%]])</f>
        <v/>
      </c>
      <c r="HR25" s="121" t="str">
        <f>IF(ISBLANK(tbl_task4[[คะแนนเต็ม]:[คะแนนเต็ม]]),"",(tbl_task4[56]/tbl_task4[[คะแนนเต็ม]:[คะแนนเต็ม]])*tbl_task4[[%]:[%]])</f>
        <v/>
      </c>
      <c r="HS25" s="121" t="str">
        <f>IF(ISBLANK(tbl_task4[[คะแนนเต็ม]:[คะแนนเต็ม]]),"",(tbl_task4[57]/tbl_task4[[คะแนนเต็ม]:[คะแนนเต็ม]])*tbl_task4[[%]:[%]])</f>
        <v/>
      </c>
      <c r="HT25" s="121" t="str">
        <f>IF(ISBLANK(tbl_task4[[คะแนนเต็ม]:[คะแนนเต็ม]]),"",(tbl_task4[58]/tbl_task4[[คะแนนเต็ม]:[คะแนนเต็ม]])*tbl_task4[[%]:[%]])</f>
        <v/>
      </c>
      <c r="HU25" s="121" t="str">
        <f>IF(ISBLANK(tbl_task4[[คะแนนเต็ม]:[คะแนนเต็ม]]),"",(tbl_task4[59]/tbl_task4[[คะแนนเต็ม]:[คะแนนเต็ม]])*tbl_task4[[%]:[%]])</f>
        <v/>
      </c>
      <c r="HV25" s="121" t="str">
        <f>IF(ISBLANK(tbl_task4[[คะแนนเต็ม]:[คะแนนเต็ม]]),"",(tbl_task4[60]/tbl_task4[[คะแนนเต็ม]:[คะแนนเต็ม]])*tbl_task4[[%]:[%]])</f>
        <v/>
      </c>
      <c r="HW25" s="121" t="str">
        <f>IF(ISBLANK(tbl_task4[[คะแนนเต็ม]:[คะแนนเต็ม]]),"",(tbl_task4[61]/tbl_task4[[คะแนนเต็ม]:[คะแนนเต็ม]])*tbl_task4[[%]:[%]])</f>
        <v/>
      </c>
      <c r="HX25" s="121" t="str">
        <f>IF(ISBLANK(tbl_task4[[คะแนนเต็ม]:[คะแนนเต็ม]]),"",(tbl_task4[62]/tbl_task4[[คะแนนเต็ม]:[คะแนนเต็ม]])*tbl_task4[[%]:[%]])</f>
        <v/>
      </c>
      <c r="HY25" s="121" t="str">
        <f>IF(ISBLANK(tbl_task4[[คะแนนเต็ม]:[คะแนนเต็ม]]),"",(tbl_task4[63]/tbl_task4[[คะแนนเต็ม]:[คะแนนเต็ม]])*tbl_task4[[%]:[%]])</f>
        <v/>
      </c>
      <c r="HZ25" s="121" t="str">
        <f>IF(ISBLANK(tbl_task4[[คะแนนเต็ม]:[คะแนนเต็ม]]),"",(tbl_task4[64]/tbl_task4[[คะแนนเต็ม]:[คะแนนเต็ม]])*tbl_task4[[%]:[%]])</f>
        <v/>
      </c>
      <c r="IA25" s="121" t="str">
        <f>IF(ISBLANK(tbl_task4[[คะแนนเต็ม]:[คะแนนเต็ม]]),"",(tbl_task4[65]/tbl_task4[[คะแนนเต็ม]:[คะแนนเต็ม]])*tbl_task4[[%]:[%]])</f>
        <v/>
      </c>
      <c r="IB25" s="121" t="str">
        <f>IF(ISBLANK(tbl_task4[[คะแนนเต็ม]:[คะแนนเต็ม]]),"",(tbl_task4[66]/tbl_task4[[คะแนนเต็ม]:[คะแนนเต็ม]])*tbl_task4[[%]:[%]])</f>
        <v/>
      </c>
      <c r="IC25" s="121" t="str">
        <f>IF(ISBLANK(tbl_task4[[คะแนนเต็ม]:[คะแนนเต็ม]]),"",(tbl_task4[67]/tbl_task4[[คะแนนเต็ม]:[คะแนนเต็ม]])*tbl_task4[[%]:[%]])</f>
        <v/>
      </c>
      <c r="ID25" s="121" t="str">
        <f>IF(ISBLANK(tbl_task4[[คะแนนเต็ม]:[คะแนนเต็ม]]),"",(tbl_task4[68]/tbl_task4[[คะแนนเต็ม]:[คะแนนเต็ม]])*tbl_task4[[%]:[%]])</f>
        <v/>
      </c>
      <c r="IE25" s="121" t="str">
        <f>IF(ISBLANK(tbl_task4[[คะแนนเต็ม]:[คะแนนเต็ม]]),"",(tbl_task4[69]/tbl_task4[[คะแนนเต็ม]:[คะแนนเต็ม]])*tbl_task4[[%]:[%]])</f>
        <v/>
      </c>
      <c r="IF25" s="121" t="str">
        <f>IF(ISBLANK(tbl_task4[[คะแนนเต็ม]:[คะแนนเต็ม]]),"",(tbl_task4[70]/tbl_task4[[คะแนนเต็ม]:[คะแนนเต็ม]])*tbl_task4[[%]:[%]])</f>
        <v/>
      </c>
      <c r="IG25" s="121" t="str">
        <f>IF(ISBLANK(tbl_task4[[คะแนนเต็ม]:[คะแนนเต็ม]]),"",(tbl_task4[71]/tbl_task4[[คะแนนเต็ม]:[คะแนนเต็ม]])*tbl_task4[[%]:[%]])</f>
        <v/>
      </c>
      <c r="IH25" s="121" t="str">
        <f>IF(ISBLANK(tbl_task4[[คะแนนเต็ม]:[คะแนนเต็ม]]),"",(tbl_task4[72]/tbl_task4[[คะแนนเต็ม]:[คะแนนเต็ม]])*tbl_task4[[%]:[%]])</f>
        <v/>
      </c>
      <c r="II25" s="121" t="str">
        <f>IF(ISBLANK(tbl_task4[[คะแนนเต็ม]:[คะแนนเต็ม]]),"",(tbl_task4[73]/tbl_task4[[คะแนนเต็ม]:[คะแนนเต็ม]])*tbl_task4[[%]:[%]])</f>
        <v/>
      </c>
      <c r="IJ25" s="121" t="str">
        <f>IF(ISBLANK(tbl_task4[[คะแนนเต็ม]:[คะแนนเต็ม]]),"",(tbl_task4[74]/tbl_task4[[คะแนนเต็ม]:[คะแนนเต็ม]])*tbl_task4[[%]:[%]])</f>
        <v/>
      </c>
      <c r="IK25" s="121" t="str">
        <f>IF(ISBLANK(tbl_task4[[คะแนนเต็ม]:[คะแนนเต็ม]]),"",(tbl_task4[75]/tbl_task4[[คะแนนเต็ม]:[คะแนนเต็ม]])*tbl_task4[[%]:[%]])</f>
        <v/>
      </c>
      <c r="IL25" s="121" t="str">
        <f>IF(ISBLANK(tbl_task4[[คะแนนเต็ม]:[คะแนนเต็ม]]),"",(tbl_task4[76]/tbl_task4[[คะแนนเต็ม]:[คะแนนเต็ม]])*tbl_task4[[%]:[%]])</f>
        <v/>
      </c>
      <c r="IM25" s="121" t="str">
        <f>IF(ISBLANK(tbl_task4[[คะแนนเต็ม]:[คะแนนเต็ม]]),"",(tbl_task4[77]/tbl_task4[[คะแนนเต็ม]:[คะแนนเต็ม]])*tbl_task4[[%]:[%]])</f>
        <v/>
      </c>
      <c r="IN25" s="121" t="str">
        <f>IF(ISBLANK(tbl_task4[[คะแนนเต็ม]:[คะแนนเต็ม]]),"",(tbl_task4[78]/tbl_task4[[คะแนนเต็ม]:[คะแนนเต็ม]])*tbl_task4[[%]:[%]])</f>
        <v/>
      </c>
      <c r="IO25" s="121" t="str">
        <f>IF(ISBLANK(tbl_task4[[คะแนนเต็ม]:[คะแนนเต็ม]]),"",(tbl_task4[79]/tbl_task4[[คะแนนเต็ม]:[คะแนนเต็ม]])*tbl_task4[[%]:[%]])</f>
        <v/>
      </c>
      <c r="IP25" s="121" t="str">
        <f>IF(ISBLANK(tbl_task4[[คะแนนเต็ม]:[คะแนนเต็ม]]),"",(tbl_task4[80]/tbl_task4[[คะแนนเต็ม]:[คะแนนเต็ม]])*tbl_task4[[%]:[%]])</f>
        <v/>
      </c>
      <c r="IQ25" s="121" t="str">
        <f>IF(ISBLANK(tbl_task4[[คะแนนเต็ม]:[คะแนนเต็ม]]),"",(tbl_task4[81]/tbl_task4[[คะแนนเต็ม]:[คะแนนเต็ม]])*tbl_task4[[%]:[%]])</f>
        <v/>
      </c>
      <c r="IR25" s="121" t="str">
        <f>IF(ISBLANK(tbl_task4[[คะแนนเต็ม]:[คะแนนเต็ม]]),"",(tbl_task4[82]/tbl_task4[[คะแนนเต็ม]:[คะแนนเต็ม]])*tbl_task4[[%]:[%]])</f>
        <v/>
      </c>
      <c r="IS25" s="121" t="str">
        <f>IF(ISBLANK(tbl_task4[[คะแนนเต็ม]:[คะแนนเต็ม]]),"",(tbl_task4[83]/tbl_task4[[คะแนนเต็ม]:[คะแนนเต็ม]])*tbl_task4[[%]:[%]])</f>
        <v/>
      </c>
      <c r="IT25" s="121" t="str">
        <f>IF(ISBLANK(tbl_task4[[คะแนนเต็ม]:[คะแนนเต็ม]]),"",(tbl_task4[84]/tbl_task4[[คะแนนเต็ม]:[คะแนนเต็ม]])*tbl_task4[[%]:[%]])</f>
        <v/>
      </c>
      <c r="IU25" s="121" t="str">
        <f>IF(ISBLANK(tbl_task4[[คะแนนเต็ม]:[คะแนนเต็ม]]),"",(tbl_task4[85]/tbl_task4[[คะแนนเต็ม]:[คะแนนเต็ม]])*tbl_task4[[%]:[%]])</f>
        <v/>
      </c>
      <c r="IV25" s="121" t="str">
        <f>IF(ISBLANK(tbl_task4[[คะแนนเต็ม]:[คะแนนเต็ม]]),"",(tbl_task4[86]/tbl_task4[[คะแนนเต็ม]:[คะแนนเต็ม]])*tbl_task4[[%]:[%]])</f>
        <v/>
      </c>
      <c r="IW25" s="121" t="str">
        <f>IF(ISBLANK(tbl_task4[[คะแนนเต็ม]:[คะแนนเต็ม]]),"",(tbl_task4[87]/tbl_task4[[คะแนนเต็ม]:[คะแนนเต็ม]])*tbl_task4[[%]:[%]])</f>
        <v/>
      </c>
      <c r="IX25" s="121" t="str">
        <f>IF(ISBLANK(tbl_task4[[คะแนนเต็ม]:[คะแนนเต็ม]]),"",(tbl_task4[88]/tbl_task4[[คะแนนเต็ม]:[คะแนนเต็ม]])*tbl_task4[[%]:[%]])</f>
        <v/>
      </c>
      <c r="IY25" s="121" t="str">
        <f>IF(ISBLANK(tbl_task4[[คะแนนเต็ม]:[คะแนนเต็ม]]),"",(tbl_task4[89]/tbl_task4[[คะแนนเต็ม]:[คะแนนเต็ม]])*tbl_task4[[%]:[%]])</f>
        <v/>
      </c>
      <c r="IZ25" s="121" t="str">
        <f>IF(ISBLANK(tbl_task4[[คะแนนเต็ม]:[คะแนนเต็ม]]),"",(tbl_task4[90]/tbl_task4[[คะแนนเต็ม]:[คะแนนเต็ม]])*tbl_task4[[%]:[%]])</f>
        <v/>
      </c>
      <c r="JA25" s="121" t="str">
        <f>IF(ISBLANK(tbl_task4[[คะแนนเต็ม]:[คะแนนเต็ม]]),"",(tbl_task4[91]/tbl_task4[[คะแนนเต็ม]:[คะแนนเต็ม]])*tbl_task4[[%]:[%]])</f>
        <v/>
      </c>
      <c r="JB25" s="121" t="str">
        <f>IF(ISBLANK(tbl_task4[[คะแนนเต็ม]:[คะแนนเต็ม]]),"",(tbl_task4[92]/tbl_task4[[คะแนนเต็ม]:[คะแนนเต็ม]])*tbl_task4[[%]:[%]])</f>
        <v/>
      </c>
      <c r="JC25" s="121" t="str">
        <f>IF(ISBLANK(tbl_task4[[คะแนนเต็ม]:[คะแนนเต็ม]]),"",(tbl_task4[93]/tbl_task4[[คะแนนเต็ม]:[คะแนนเต็ม]])*tbl_task4[[%]:[%]])</f>
        <v/>
      </c>
      <c r="JD25" s="121" t="str">
        <f>IF(ISBLANK(tbl_task4[[คะแนนเต็ม]:[คะแนนเต็ม]]),"",(tbl_task4[94]/tbl_task4[[คะแนนเต็ม]:[คะแนนเต็ม]])*tbl_task4[[%]:[%]])</f>
        <v/>
      </c>
      <c r="JE25" s="121" t="str">
        <f>IF(ISBLANK(tbl_task4[[คะแนนเต็ม]:[คะแนนเต็ม]]),"",(tbl_task4[95]/tbl_task4[[คะแนนเต็ม]:[คะแนนเต็ม]])*tbl_task4[[%]:[%]])</f>
        <v/>
      </c>
      <c r="JF25" s="121" t="str">
        <f>IF(ISBLANK(tbl_task4[[คะแนนเต็ม]:[คะแนนเต็ม]]),"",(tbl_task4[96]/tbl_task4[[คะแนนเต็ม]:[คะแนนเต็ม]])*tbl_task4[[%]:[%]])</f>
        <v/>
      </c>
      <c r="JG25" s="121" t="str">
        <f>IF(ISBLANK(tbl_task4[[คะแนนเต็ม]:[คะแนนเต็ม]]),"",(tbl_task4[97]/tbl_task4[[คะแนนเต็ม]:[คะแนนเต็ม]])*tbl_task4[[%]:[%]])</f>
        <v/>
      </c>
      <c r="JH25" s="121" t="str">
        <f>IF(ISBLANK(tbl_task4[[คะแนนเต็ม]:[คะแนนเต็ม]]),"",(tbl_task4[98]/tbl_task4[[คะแนนเต็ม]:[คะแนนเต็ม]])*tbl_task4[[%]:[%]])</f>
        <v/>
      </c>
      <c r="JI25" s="121" t="str">
        <f>IF(ISBLANK(tbl_task4[[คะแนนเต็ม]:[คะแนนเต็ม]]),"",(tbl_task4[99]/tbl_task4[[คะแนนเต็ม]:[คะแนนเต็ม]])*tbl_task4[[%]:[%]])</f>
        <v/>
      </c>
      <c r="JJ25" s="121" t="str">
        <f>IF(ISBLANK(tbl_task4[[คะแนนเต็ม]:[คะแนนเต็ม]]),"",(tbl_task4[100]/tbl_task4[[คะแนนเต็ม]:[คะแนนเต็ม]])*tbl_task4[[%]:[%]])</f>
        <v/>
      </c>
      <c r="JK25" s="121" t="str">
        <f>IF(ISBLANK(tbl_task4[[คะแนนเต็ม]:[คะแนนเต็ม]]),"",(tbl_task4[101]/tbl_task4[[คะแนนเต็ม]:[คะแนนเต็ม]])*tbl_task4[[%]:[%]])</f>
        <v/>
      </c>
      <c r="JL25" s="121" t="str">
        <f>IF(ISBLANK(tbl_task4[[คะแนนเต็ม]:[คะแนนเต็ม]]),"",(tbl_task4[102]/tbl_task4[[คะแนนเต็ม]:[คะแนนเต็ม]])*tbl_task4[[%]:[%]])</f>
        <v/>
      </c>
      <c r="JM25" s="121" t="str">
        <f>IF(ISBLANK(tbl_task4[[คะแนนเต็ม]:[คะแนนเต็ม]]),"",(tbl_task4[103]/tbl_task4[[คะแนนเต็ม]:[คะแนนเต็ม]])*tbl_task4[[%]:[%]])</f>
        <v/>
      </c>
      <c r="JN25" s="121" t="str">
        <f>IF(ISBLANK(tbl_task4[[คะแนนเต็ม]:[คะแนนเต็ม]]),"",(tbl_task4[104]/tbl_task4[[คะแนนเต็ม]:[คะแนนเต็ม]])*tbl_task4[[%]:[%]])</f>
        <v/>
      </c>
      <c r="JO25" s="121" t="str">
        <f>IF(ISBLANK(tbl_task4[[คะแนนเต็ม]:[คะแนนเต็ม]]),"",(tbl_task4[105]/tbl_task4[[คะแนนเต็ม]:[คะแนนเต็ม]])*tbl_task4[[%]:[%]])</f>
        <v/>
      </c>
      <c r="JP25" s="121" t="str">
        <f>IF(ISBLANK(tbl_task4[[คะแนนเต็ม]:[คะแนนเต็ม]]),"",(tbl_task4[106]/tbl_task4[[คะแนนเต็ม]:[คะแนนเต็ม]])*tbl_task4[[%]:[%]])</f>
        <v/>
      </c>
      <c r="JQ25" s="121" t="str">
        <f>IF(ISBLANK(tbl_task4[[คะแนนเต็ม]:[คะแนนเต็ม]]),"",(tbl_task4[107]/tbl_task4[[คะแนนเต็ม]:[คะแนนเต็ม]])*tbl_task4[[%]:[%]])</f>
        <v/>
      </c>
      <c r="JR25" s="121" t="str">
        <f>IF(ISBLANK(tbl_task4[[คะแนนเต็ม]:[คะแนนเต็ม]]),"",(tbl_task4[108]/tbl_task4[[คะแนนเต็ม]:[คะแนนเต็ม]])*tbl_task4[[%]:[%]])</f>
        <v/>
      </c>
      <c r="JS25" s="121" t="str">
        <f>IF(ISBLANK(tbl_task4[[คะแนนเต็ม]:[คะแนนเต็ม]]),"",(tbl_task4[109]/tbl_task4[[คะแนนเต็ม]:[คะแนนเต็ม]])*tbl_task4[[%]:[%]])</f>
        <v/>
      </c>
      <c r="JT25" s="121" t="str">
        <f>IF(ISBLANK(tbl_task4[[คะแนนเต็ม]:[คะแนนเต็ม]]),"",(tbl_task4[110]/tbl_task4[[คะแนนเต็ม]:[คะแนนเต็ม]])*tbl_task4[[%]:[%]])</f>
        <v/>
      </c>
      <c r="JU25" s="121" t="str">
        <f>IF(ISBLANK(tbl_task4[[คะแนนเต็ม]:[คะแนนเต็ม]]),"",(tbl_task4[111]/tbl_task4[[คะแนนเต็ม]:[คะแนนเต็ม]])*tbl_task4[[%]:[%]])</f>
        <v/>
      </c>
      <c r="JV25" s="121" t="str">
        <f>IF(ISBLANK(tbl_task4[[คะแนนเต็ม]:[คะแนนเต็ม]]),"",(tbl_task4[112]/tbl_task4[[คะแนนเต็ม]:[คะแนนเต็ม]])*tbl_task4[[%]:[%]])</f>
        <v/>
      </c>
      <c r="JW25" s="121" t="str">
        <f>IF(ISBLANK(tbl_task4[[คะแนนเต็ม]:[คะแนนเต็ม]]),"",(tbl_task4[113]/tbl_task4[[คะแนนเต็ม]:[คะแนนเต็ม]])*tbl_task4[[%]:[%]])</f>
        <v/>
      </c>
      <c r="JX25" s="121" t="str">
        <f>IF(ISBLANK(tbl_task4[[คะแนนเต็ม]:[คะแนนเต็ม]]),"",(tbl_task4[114]/tbl_task4[[คะแนนเต็ม]:[คะแนนเต็ม]])*tbl_task4[[%]:[%]])</f>
        <v/>
      </c>
      <c r="JY25" s="121" t="str">
        <f>IF(ISBLANK(tbl_task4[[คะแนนเต็ม]:[คะแนนเต็ม]]),"",(tbl_task4[115]/tbl_task4[[คะแนนเต็ม]:[คะแนนเต็ม]])*tbl_task4[[%]:[%]])</f>
        <v/>
      </c>
      <c r="JZ25" s="121" t="str">
        <f>IF(ISBLANK(tbl_task4[[คะแนนเต็ม]:[คะแนนเต็ม]]),"",(tbl_task4[116]/tbl_task4[[คะแนนเต็ม]:[คะแนนเต็ม]])*tbl_task4[[%]:[%]])</f>
        <v/>
      </c>
      <c r="KA25" s="121" t="str">
        <f>IF(ISBLANK(tbl_task4[[คะแนนเต็ม]:[คะแนนเต็ม]]),"",(tbl_task4[117]/tbl_task4[[คะแนนเต็ม]:[คะแนนเต็ม]])*tbl_task4[[%]:[%]])</f>
        <v/>
      </c>
      <c r="KB25" s="121" t="str">
        <f>IF(ISBLANK(tbl_task4[[คะแนนเต็ม]:[คะแนนเต็ม]]),"",(tbl_task4[118]/tbl_task4[[คะแนนเต็ม]:[คะแนนเต็ม]])*tbl_task4[[%]:[%]])</f>
        <v/>
      </c>
      <c r="KC25" s="121" t="str">
        <f>IF(ISBLANK(tbl_task4[[คะแนนเต็ม]:[คะแนนเต็ม]]),"",(tbl_task4[119]/tbl_task4[[คะแนนเต็ม]:[คะแนนเต็ม]])*tbl_task4[[%]:[%]])</f>
        <v/>
      </c>
      <c r="KD25" s="121" t="str">
        <f>IF(ISBLANK(tbl_task4[[คะแนนเต็ม]:[คะแนนเต็ม]]),"",(tbl_task4[120]/tbl_task4[[คะแนนเต็ม]:[คะแนนเต็ม]])*tbl_task4[[%]:[%]])</f>
        <v/>
      </c>
      <c r="KE25" s="121" t="str">
        <f>IF(ISBLANK(tbl_task4[[คะแนนเต็ม]:[คะแนนเต็ม]]),"",(tbl_task4[121]/tbl_task4[[คะแนนเต็ม]:[คะแนนเต็ม]])*tbl_task4[[%]:[%]])</f>
        <v/>
      </c>
      <c r="KF25" s="121" t="str">
        <f>IF(ISBLANK(tbl_task4[[คะแนนเต็ม]:[คะแนนเต็ม]]),"",(tbl_task4[122]/tbl_task4[[คะแนนเต็ม]:[คะแนนเต็ม]])*tbl_task4[[%]:[%]])</f>
        <v/>
      </c>
      <c r="KG25" s="121" t="str">
        <f>IF(ISBLANK(tbl_task4[[คะแนนเต็ม]:[คะแนนเต็ม]]),"",(tbl_task4[123]/tbl_task4[[คะแนนเต็ม]:[คะแนนเต็ม]])*tbl_task4[[%]:[%]])</f>
        <v/>
      </c>
      <c r="KH25" s="121" t="str">
        <f>IF(ISBLANK(tbl_task4[[คะแนนเต็ม]:[คะแนนเต็ม]]),"",(tbl_task4[124]/tbl_task4[[คะแนนเต็ม]:[คะแนนเต็ม]])*tbl_task4[[%]:[%]])</f>
        <v/>
      </c>
      <c r="KI25" s="121" t="str">
        <f>IF(ISBLANK(tbl_task4[[คะแนนเต็ม]:[คะแนนเต็ม]]),"",(tbl_task4[125]/tbl_task4[[คะแนนเต็ม]:[คะแนนเต็ม]])*tbl_task4[[%]:[%]])</f>
        <v/>
      </c>
      <c r="KJ25" s="121" t="str">
        <f>IF(ISBLANK(tbl_task4[[คะแนนเต็ม]:[คะแนนเต็ม]]),"",(tbl_task4[126]/tbl_task4[[คะแนนเต็ม]:[คะแนนเต็ม]])*tbl_task4[[%]:[%]])</f>
        <v/>
      </c>
      <c r="KK25" s="121" t="str">
        <f>IF(ISBLANK(tbl_task4[[คะแนนเต็ม]:[คะแนนเต็ม]]),"",(tbl_task4[127]/tbl_task4[[คะแนนเต็ม]:[คะแนนเต็ม]])*tbl_task4[[%]:[%]])</f>
        <v/>
      </c>
      <c r="KL25" s="121" t="str">
        <f>IF(ISBLANK(tbl_task4[[คะแนนเต็ม]:[คะแนนเต็ม]]),"",(tbl_task4[128]/tbl_task4[[คะแนนเต็ม]:[คะแนนเต็ม]])*tbl_task4[[%]:[%]])</f>
        <v/>
      </c>
      <c r="KM25" s="121" t="str">
        <f>IF(ISBLANK(tbl_task4[[คะแนนเต็ม]:[คะแนนเต็ม]]),"",(tbl_task4[129]/tbl_task4[[คะแนนเต็ม]:[คะแนนเต็ม]])*tbl_task4[[%]:[%]])</f>
        <v/>
      </c>
      <c r="KN25" s="121" t="str">
        <f>IF(ISBLANK(tbl_task4[[คะแนนเต็ม]:[คะแนนเต็ม]]),"",(tbl_task4[130]/tbl_task4[[คะแนนเต็ม]:[คะแนนเต็ม]])*tbl_task4[[%]:[%]])</f>
        <v/>
      </c>
      <c r="KO25" s="121" t="str">
        <f>IF(ISBLANK(tbl_task4[[คะแนนเต็ม]:[คะแนนเต็ม]]),"",(tbl_task4[131]/tbl_task4[[คะแนนเต็ม]:[คะแนนเต็ม]])*tbl_task4[[%]:[%]])</f>
        <v/>
      </c>
      <c r="KP25" s="121" t="str">
        <f>IF(ISBLANK(tbl_task4[[คะแนนเต็ม]:[คะแนนเต็ม]]),"",(tbl_task4[132]/tbl_task4[[คะแนนเต็ม]:[คะแนนเต็ม]])*tbl_task4[[%]:[%]])</f>
        <v/>
      </c>
      <c r="KQ25" s="121" t="str">
        <f>IF(ISBLANK(tbl_task4[[คะแนนเต็ม]:[คะแนนเต็ม]]),"",(tbl_task4[133]/tbl_task4[[คะแนนเต็ม]:[คะแนนเต็ม]])*tbl_task4[[%]:[%]])</f>
        <v/>
      </c>
      <c r="KR25" s="121" t="str">
        <f>IF(ISBLANK(tbl_task4[[คะแนนเต็ม]:[คะแนนเต็ม]]),"",(tbl_task4[134]/tbl_task4[[คะแนนเต็ม]:[คะแนนเต็ม]])*tbl_task4[[%]:[%]])</f>
        <v/>
      </c>
      <c r="KS25" s="121" t="str">
        <f>IF(ISBLANK(tbl_task4[[คะแนนเต็ม]:[คะแนนเต็ม]]),"",(tbl_task4[135]/tbl_task4[[คะแนนเต็ม]:[คะแนนเต็ม]])*tbl_task4[[%]:[%]])</f>
        <v/>
      </c>
      <c r="KT25" s="121" t="str">
        <f>IF(ISBLANK(tbl_task4[[คะแนนเต็ม]:[คะแนนเต็ม]]),"",(tbl_task4[136]/tbl_task4[[คะแนนเต็ม]:[คะแนนเต็ม]])*tbl_task4[[%]:[%]])</f>
        <v/>
      </c>
      <c r="KU25" s="121" t="str">
        <f>IF(ISBLANK(tbl_task4[[คะแนนเต็ม]:[คะแนนเต็ม]]),"",(tbl_task4[137]/tbl_task4[[คะแนนเต็ม]:[คะแนนเต็ม]])*tbl_task4[[%]:[%]])</f>
        <v/>
      </c>
      <c r="KV25" s="121" t="str">
        <f>IF(ISBLANK(tbl_task4[[คะแนนเต็ม]:[คะแนนเต็ม]]),"",(tbl_task4[138]/tbl_task4[[คะแนนเต็ม]:[คะแนนเต็ม]])*tbl_task4[[%]:[%]])</f>
        <v/>
      </c>
      <c r="KW25" s="121" t="str">
        <f>IF(ISBLANK(tbl_task4[[คะแนนเต็ม]:[คะแนนเต็ม]]),"",(tbl_task4[139]/tbl_task4[[คะแนนเต็ม]:[คะแนนเต็ม]])*tbl_task4[[%]:[%]])</f>
        <v/>
      </c>
      <c r="KX25" s="121" t="str">
        <f>IF(ISBLANK(tbl_task4[[คะแนนเต็ม]:[คะแนนเต็ม]]),"",(tbl_task4[140]/tbl_task4[[คะแนนเต็ม]:[คะแนนเต็ม]])*tbl_task4[[%]:[%]])</f>
        <v/>
      </c>
      <c r="KY25" s="121" t="str">
        <f>IF(ISBLANK(tbl_task4[[คะแนนเต็ม]:[คะแนนเต็ม]]),"",(tbl_task4[141]/tbl_task4[[คะแนนเต็ม]:[คะแนนเต็ม]])*tbl_task4[[%]:[%]])</f>
        <v/>
      </c>
      <c r="KZ25" s="121" t="str">
        <f>IF(ISBLANK(tbl_task4[[คะแนนเต็ม]:[คะแนนเต็ม]]),"",(tbl_task4[142]/tbl_task4[[คะแนนเต็ม]:[คะแนนเต็ม]])*tbl_task4[[%]:[%]])</f>
        <v/>
      </c>
      <c r="LA25" s="121" t="str">
        <f>IF(ISBLANK(tbl_task4[[คะแนนเต็ม]:[คะแนนเต็ม]]),"",(tbl_task4[143]/tbl_task4[[คะแนนเต็ม]:[คะแนนเต็ม]])*tbl_task4[[%]:[%]])</f>
        <v/>
      </c>
      <c r="LB25" s="121" t="str">
        <f>IF(ISBLANK(tbl_task4[[คะแนนเต็ม]:[คะแนนเต็ม]]),"",(tbl_task4[144]/tbl_task4[[คะแนนเต็ม]:[คะแนนเต็ม]])*tbl_task4[[%]:[%]])</f>
        <v/>
      </c>
      <c r="LC25" s="121" t="str">
        <f>IF(ISBLANK(tbl_task4[[คะแนนเต็ม]:[คะแนนเต็ม]]),"",(tbl_task4[145]/tbl_task4[[คะแนนเต็ม]:[คะแนนเต็ม]])*tbl_task4[[%]:[%]])</f>
        <v/>
      </c>
      <c r="LD25" s="121" t="str">
        <f>IF(ISBLANK(tbl_task4[[คะแนนเต็ม]:[คะแนนเต็ม]]),"",(tbl_task4[146]/tbl_task4[[คะแนนเต็ม]:[คะแนนเต็ม]])*tbl_task4[[%]:[%]])</f>
        <v/>
      </c>
      <c r="LE25" s="121" t="str">
        <f>IF(ISBLANK(tbl_task4[[คะแนนเต็ม]:[คะแนนเต็ม]]),"",(tbl_task4[147]/tbl_task4[[คะแนนเต็ม]:[คะแนนเต็ม]])*tbl_task4[[%]:[%]])</f>
        <v/>
      </c>
      <c r="LF25" s="121" t="str">
        <f>IF(ISBLANK(tbl_task4[[คะแนนเต็ม]:[คะแนนเต็ม]]),"",(tbl_task4[148]/tbl_task4[[คะแนนเต็ม]:[คะแนนเต็ม]])*tbl_task4[[%]:[%]])</f>
        <v/>
      </c>
      <c r="LG25" s="121" t="str">
        <f>IF(ISBLANK(tbl_task4[[คะแนนเต็ม]:[คะแนนเต็ม]]),"",(tbl_task4[149]/tbl_task4[[คะแนนเต็ม]:[คะแนนเต็ม]])*tbl_task4[[%]:[%]])</f>
        <v/>
      </c>
      <c r="LH25" s="121" t="str">
        <f>IF(ISBLANK(tbl_task4[[คะแนนเต็ม]:[คะแนนเต็ม]]),"",(tbl_task4[150]/tbl_task4[[คะแนนเต็ม]:[คะแนนเต็ม]])*tbl_task4[[%]:[%]])</f>
        <v/>
      </c>
      <c r="LI25" s="121" t="str">
        <f>IF(ISBLANK(tbl_task4[[คะแนนเต็ม]:[คะแนนเต็ม]]),"",(tbl_task4[151]/tbl_task4[[คะแนนเต็ม]:[คะแนนเต็ม]])*tbl_task4[[%]:[%]])</f>
        <v/>
      </c>
      <c r="LJ25" s="121" t="str">
        <f>IF(ISBLANK(tbl_task4[[คะแนนเต็ม]:[คะแนนเต็ม]]),"",(tbl_task4[152]/tbl_task4[[คะแนนเต็ม]:[คะแนนเต็ม]])*tbl_task4[[%]:[%]])</f>
        <v/>
      </c>
      <c r="LK25" s="121" t="str">
        <f>IF(ISBLANK(tbl_task4[[คะแนนเต็ม]:[คะแนนเต็ม]]),"",(tbl_task4[153]/tbl_task4[[คะแนนเต็ม]:[คะแนนเต็ม]])*tbl_task4[[%]:[%]])</f>
        <v/>
      </c>
      <c r="LL25" s="121" t="str">
        <f>IF(ISBLANK(tbl_task4[[คะแนนเต็ม]:[คะแนนเต็ม]]),"",(tbl_task4[154]/tbl_task4[[คะแนนเต็ม]:[คะแนนเต็ม]])*tbl_task4[[%]:[%]])</f>
        <v/>
      </c>
      <c r="LM25" s="121" t="str">
        <f>IF(ISBLANK(tbl_task4[[คะแนนเต็ม]:[คะแนนเต็ม]]),"",(tbl_task4[155]/tbl_task4[[คะแนนเต็ม]:[คะแนนเต็ม]])*tbl_task4[[%]:[%]])</f>
        <v/>
      </c>
      <c r="LN25" s="121" t="str">
        <f>IF(ISBLANK(tbl_task4[[คะแนนเต็ม]:[คะแนนเต็ม]]),"",(tbl_task4[156]/tbl_task4[[คะแนนเต็ม]:[คะแนนเต็ม]])*tbl_task4[[%]:[%]])</f>
        <v/>
      </c>
      <c r="LO25" s="121" t="str">
        <f>IF(ISBLANK(tbl_task4[[คะแนนเต็ม]:[คะแนนเต็ม]]),"",(tbl_task4[157]/tbl_task4[[คะแนนเต็ม]:[คะแนนเต็ม]])*tbl_task4[[%]:[%]])</f>
        <v/>
      </c>
      <c r="LP25" s="121" t="str">
        <f>IF(ISBLANK(tbl_task4[[คะแนนเต็ม]:[คะแนนเต็ม]]),"",(tbl_task4[158]/tbl_task4[[คะแนนเต็ม]:[คะแนนเต็ม]])*tbl_task4[[%]:[%]])</f>
        <v/>
      </c>
      <c r="LQ25" s="121" t="str">
        <f>IF(ISBLANK(tbl_task4[[คะแนนเต็ม]:[คะแนนเต็ม]]),"",(tbl_task4[159]/tbl_task4[[คะแนนเต็ม]:[คะแนนเต็ม]])*tbl_task4[[%]:[%]])</f>
        <v/>
      </c>
      <c r="LR25" s="121" t="str">
        <f>IF(ISBLANK(tbl_task4[[คะแนนเต็ม]:[คะแนนเต็ม]]),"",(tbl_task4[160]/tbl_task4[[คะแนนเต็ม]:[คะแนนเต็ม]])*tbl_task4[[%]:[%]])</f>
        <v/>
      </c>
      <c r="LS25" s="121" t="str">
        <f>IF(ISBLANK(tbl_task4[[คะแนนเต็ม]:[คะแนนเต็ม]]),"",(tbl_task4[161]/tbl_task4[[คะแนนเต็ม]:[คะแนนเต็ม]])*tbl_task4[[%]:[%]])</f>
        <v/>
      </c>
      <c r="LT25" s="121" t="str">
        <f>IF(ISBLANK(tbl_task4[[คะแนนเต็ม]:[คะแนนเต็ม]]),"",(tbl_task4[162]/tbl_task4[[คะแนนเต็ม]:[คะแนนเต็ม]])*tbl_task4[[%]:[%]])</f>
        <v/>
      </c>
      <c r="LU25" s="121" t="str">
        <f>IF(ISBLANK(tbl_task4[[คะแนนเต็ม]:[คะแนนเต็ม]]),"",(tbl_task4[163]/tbl_task4[[คะแนนเต็ม]:[คะแนนเต็ม]])*tbl_task4[[%]:[%]])</f>
        <v/>
      </c>
      <c r="LV25" s="121" t="str">
        <f>IF(ISBLANK(tbl_task4[[คะแนนเต็ม]:[คะแนนเต็ม]]),"",(tbl_task4[164]/tbl_task4[[คะแนนเต็ม]:[คะแนนเต็ม]])*tbl_task4[[%]:[%]])</f>
        <v/>
      </c>
      <c r="LW25" s="121" t="str">
        <f>IF(ISBLANK(tbl_task4[[คะแนนเต็ม]:[คะแนนเต็ม]]),"",(tbl_task4[165]/tbl_task4[[คะแนนเต็ม]:[คะแนนเต็ม]])*tbl_task4[[%]:[%]])</f>
        <v/>
      </c>
    </row>
    <row r="26" spans="1:335" ht="24" customHeight="1" x14ac:dyDescent="0.25">
      <c r="A26" s="24">
        <v>23</v>
      </c>
      <c r="B26" s="20"/>
      <c r="C26" s="5" t="str">
        <f>IF(ISBLANK(B26),"",VLOOKUP(B26,tbl_PLOs[],2,0))</f>
        <v/>
      </c>
      <c r="D26" s="102"/>
      <c r="E26" s="106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21" t="str">
        <f>IF(ISBLANK(tbl_task4[[คะแนนเต็ม]:[คะแนนเต็ม]]),"",(tbl_task4[1]/tbl_task4[[คะแนนเต็ม]:[คะแนนเต็ม]])*tbl_task4[[%]:[%]])</f>
        <v/>
      </c>
      <c r="FP26" s="121" t="str">
        <f>IF(ISBLANK(tbl_task4[[คะแนนเต็ม]:[คะแนนเต็ม]]),"",(tbl_task4[2]/tbl_task4[[คะแนนเต็ม]:[คะแนนเต็ม]])*tbl_task4[[%]:[%]])</f>
        <v/>
      </c>
      <c r="FQ26" s="121" t="str">
        <f>IF(ISBLANK(tbl_task4[[คะแนนเต็ม]:[คะแนนเต็ม]]),"",(tbl_task4[3]/tbl_task4[[คะแนนเต็ม]:[คะแนนเต็ม]])*tbl_task4[[%]:[%]])</f>
        <v/>
      </c>
      <c r="FR26" s="121" t="str">
        <f>IF(ISBLANK(tbl_task4[[คะแนนเต็ม]:[คะแนนเต็ม]]),"",(tbl_task4[4]/tbl_task4[[คะแนนเต็ม]:[คะแนนเต็ม]])*tbl_task4[[%]:[%]])</f>
        <v/>
      </c>
      <c r="FS26" s="121" t="str">
        <f>IF(ISBLANK(tbl_task4[[คะแนนเต็ม]:[คะแนนเต็ม]]),"",(tbl_task4[5]/tbl_task4[[คะแนนเต็ม]:[คะแนนเต็ม]])*tbl_task4[[%]:[%]])</f>
        <v/>
      </c>
      <c r="FT26" s="121" t="str">
        <f>IF(ISBLANK(tbl_task4[[คะแนนเต็ม]:[คะแนนเต็ม]]),"",(tbl_task4[6]/tbl_task4[[คะแนนเต็ม]:[คะแนนเต็ม]])*tbl_task4[[%]:[%]])</f>
        <v/>
      </c>
      <c r="FU26" s="121" t="str">
        <f>IF(ISBLANK(tbl_task4[[คะแนนเต็ม]:[คะแนนเต็ม]]),"",(tbl_task4[7]/tbl_task4[[คะแนนเต็ม]:[คะแนนเต็ม]])*tbl_task4[[%]:[%]])</f>
        <v/>
      </c>
      <c r="FV26" s="121" t="str">
        <f>IF(ISBLANK(tbl_task4[[คะแนนเต็ม]:[คะแนนเต็ม]]),"",(tbl_task4[8]/tbl_task4[[คะแนนเต็ม]:[คะแนนเต็ม]])*tbl_task4[[%]:[%]])</f>
        <v/>
      </c>
      <c r="FW26" s="121" t="str">
        <f>IF(ISBLANK(tbl_task4[[คะแนนเต็ม]:[คะแนนเต็ม]]),"",(tbl_task4[9]/tbl_task4[[คะแนนเต็ม]:[คะแนนเต็ม]])*tbl_task4[[%]:[%]])</f>
        <v/>
      </c>
      <c r="FX26" s="121" t="str">
        <f>IF(ISBLANK(tbl_task4[[คะแนนเต็ม]:[คะแนนเต็ม]]),"",(tbl_task4[10]/tbl_task4[[คะแนนเต็ม]:[คะแนนเต็ม]])*tbl_task4[[%]:[%]])</f>
        <v/>
      </c>
      <c r="FY26" s="121" t="str">
        <f>IF(ISBLANK(tbl_task4[[คะแนนเต็ม]:[คะแนนเต็ม]]),"",(tbl_task4[11]/tbl_task4[[คะแนนเต็ม]:[คะแนนเต็ม]])*tbl_task4[[%]:[%]])</f>
        <v/>
      </c>
      <c r="FZ26" s="121" t="str">
        <f>IF(ISBLANK(tbl_task4[[คะแนนเต็ม]:[คะแนนเต็ม]]),"",(tbl_task4[12]/tbl_task4[[คะแนนเต็ม]:[คะแนนเต็ม]])*tbl_task4[[%]:[%]])</f>
        <v/>
      </c>
      <c r="GA26" s="121" t="str">
        <f>IF(ISBLANK(tbl_task4[[คะแนนเต็ม]:[คะแนนเต็ม]]),"",(tbl_task4[13]/tbl_task4[[คะแนนเต็ม]:[คะแนนเต็ม]])*tbl_task4[[%]:[%]])</f>
        <v/>
      </c>
      <c r="GB26" s="121" t="str">
        <f>IF(ISBLANK(tbl_task4[[คะแนนเต็ม]:[คะแนนเต็ม]]),"",(tbl_task4[14]/tbl_task4[[คะแนนเต็ม]:[คะแนนเต็ม]])*tbl_task4[[%]:[%]])</f>
        <v/>
      </c>
      <c r="GC26" s="121" t="str">
        <f>IF(ISBLANK(tbl_task4[[คะแนนเต็ม]:[คะแนนเต็ม]]),"",(tbl_task4[15]/tbl_task4[[คะแนนเต็ม]:[คะแนนเต็ม]])*tbl_task4[[%]:[%]])</f>
        <v/>
      </c>
      <c r="GD26" s="121" t="str">
        <f>IF(ISBLANK(tbl_task4[[คะแนนเต็ม]:[คะแนนเต็ม]]),"",(tbl_task4[16]/tbl_task4[[คะแนนเต็ม]:[คะแนนเต็ม]])*tbl_task4[[%]:[%]])</f>
        <v/>
      </c>
      <c r="GE26" s="121" t="str">
        <f>IF(ISBLANK(tbl_task4[[คะแนนเต็ม]:[คะแนนเต็ม]]),"",(tbl_task4[17]/tbl_task4[[คะแนนเต็ม]:[คะแนนเต็ม]])*tbl_task4[[%]:[%]])</f>
        <v/>
      </c>
      <c r="GF26" s="121" t="str">
        <f>IF(ISBLANK(tbl_task4[[คะแนนเต็ม]:[คะแนนเต็ม]]),"",(tbl_task4[18]/tbl_task4[[คะแนนเต็ม]:[คะแนนเต็ม]])*tbl_task4[[%]:[%]])</f>
        <v/>
      </c>
      <c r="GG26" s="121" t="str">
        <f>IF(ISBLANK(tbl_task4[[คะแนนเต็ม]:[คะแนนเต็ม]]),"",(tbl_task4[19]/tbl_task4[[คะแนนเต็ม]:[คะแนนเต็ม]])*tbl_task4[[%]:[%]])</f>
        <v/>
      </c>
      <c r="GH26" s="121" t="str">
        <f>IF(ISBLANK(tbl_task4[[คะแนนเต็ม]:[คะแนนเต็ม]]),"",(tbl_task4[20]/tbl_task4[[คะแนนเต็ม]:[คะแนนเต็ม]])*tbl_task4[[%]:[%]])</f>
        <v/>
      </c>
      <c r="GI26" s="121" t="str">
        <f>IF(ISBLANK(tbl_task4[[คะแนนเต็ม]:[คะแนนเต็ม]]),"",(tbl_task4[21]/tbl_task4[[คะแนนเต็ม]:[คะแนนเต็ม]])*tbl_task4[[%]:[%]])</f>
        <v/>
      </c>
      <c r="GJ26" s="121" t="str">
        <f>IF(ISBLANK(tbl_task4[[คะแนนเต็ม]:[คะแนนเต็ม]]),"",(tbl_task4[22]/tbl_task4[[คะแนนเต็ม]:[คะแนนเต็ม]])*tbl_task4[[%]:[%]])</f>
        <v/>
      </c>
      <c r="GK26" s="121" t="str">
        <f>IF(ISBLANK(tbl_task4[[คะแนนเต็ม]:[คะแนนเต็ม]]),"",(tbl_task4[23]/tbl_task4[[คะแนนเต็ม]:[คะแนนเต็ม]])*tbl_task4[[%]:[%]])</f>
        <v/>
      </c>
      <c r="GL26" s="121" t="str">
        <f>IF(ISBLANK(tbl_task4[[คะแนนเต็ม]:[คะแนนเต็ม]]),"",(tbl_task4[24]/tbl_task4[[คะแนนเต็ม]:[คะแนนเต็ม]])*tbl_task4[[%]:[%]])</f>
        <v/>
      </c>
      <c r="GM26" s="121" t="str">
        <f>IF(ISBLANK(tbl_task4[[คะแนนเต็ม]:[คะแนนเต็ม]]),"",(tbl_task4[25]/tbl_task4[[คะแนนเต็ม]:[คะแนนเต็ม]])*tbl_task4[[%]:[%]])</f>
        <v/>
      </c>
      <c r="GN26" s="121" t="str">
        <f>IF(ISBLANK(tbl_task4[[คะแนนเต็ม]:[คะแนนเต็ม]]),"",(tbl_task4[26]/tbl_task4[[คะแนนเต็ม]:[คะแนนเต็ม]])*tbl_task4[[%]:[%]])</f>
        <v/>
      </c>
      <c r="GO26" s="121" t="str">
        <f>IF(ISBLANK(tbl_task4[[คะแนนเต็ม]:[คะแนนเต็ม]]),"",(tbl_task4[27]/tbl_task4[[คะแนนเต็ม]:[คะแนนเต็ม]])*tbl_task4[[%]:[%]])</f>
        <v/>
      </c>
      <c r="GP26" s="121" t="str">
        <f>IF(ISBLANK(tbl_task4[[คะแนนเต็ม]:[คะแนนเต็ม]]),"",(tbl_task4[28]/tbl_task4[[คะแนนเต็ม]:[คะแนนเต็ม]])*tbl_task4[[%]:[%]])</f>
        <v/>
      </c>
      <c r="GQ26" s="121" t="str">
        <f>IF(ISBLANK(tbl_task4[[คะแนนเต็ม]:[คะแนนเต็ม]]),"",(tbl_task4[29]/tbl_task4[[คะแนนเต็ม]:[คะแนนเต็ม]])*tbl_task4[[%]:[%]])</f>
        <v/>
      </c>
      <c r="GR26" s="121" t="str">
        <f>IF(ISBLANK(tbl_task4[[คะแนนเต็ม]:[คะแนนเต็ม]]),"",(tbl_task4[30]/tbl_task4[[คะแนนเต็ม]:[คะแนนเต็ม]])*tbl_task4[[%]:[%]])</f>
        <v/>
      </c>
      <c r="GS26" s="121" t="str">
        <f>IF(ISBLANK(tbl_task4[[คะแนนเต็ม]:[คะแนนเต็ม]]),"",(tbl_task4[31]/tbl_task4[[คะแนนเต็ม]:[คะแนนเต็ม]])*tbl_task4[[%]:[%]])</f>
        <v/>
      </c>
      <c r="GT26" s="121" t="str">
        <f>IF(ISBLANK(tbl_task4[[คะแนนเต็ม]:[คะแนนเต็ม]]),"",(tbl_task4[32]/tbl_task4[[คะแนนเต็ม]:[คะแนนเต็ม]])*tbl_task4[[%]:[%]])</f>
        <v/>
      </c>
      <c r="GU26" s="121" t="str">
        <f>IF(ISBLANK(tbl_task4[[คะแนนเต็ม]:[คะแนนเต็ม]]),"",(tbl_task4[33]/tbl_task4[[คะแนนเต็ม]:[คะแนนเต็ม]])*tbl_task4[[%]:[%]])</f>
        <v/>
      </c>
      <c r="GV26" s="121" t="str">
        <f>IF(ISBLANK(tbl_task4[[คะแนนเต็ม]:[คะแนนเต็ม]]),"",(tbl_task4[34]/tbl_task4[[คะแนนเต็ม]:[คะแนนเต็ม]])*tbl_task4[[%]:[%]])</f>
        <v/>
      </c>
      <c r="GW26" s="121" t="str">
        <f>IF(ISBLANK(tbl_task4[[คะแนนเต็ม]:[คะแนนเต็ม]]),"",(tbl_task4[35]/tbl_task4[[คะแนนเต็ม]:[คะแนนเต็ม]])*tbl_task4[[%]:[%]])</f>
        <v/>
      </c>
      <c r="GX26" s="121" t="str">
        <f>IF(ISBLANK(tbl_task4[[คะแนนเต็ม]:[คะแนนเต็ม]]),"",(tbl_task4[36]/tbl_task4[[คะแนนเต็ม]:[คะแนนเต็ม]])*tbl_task4[[%]:[%]])</f>
        <v/>
      </c>
      <c r="GY26" s="121" t="str">
        <f>IF(ISBLANK(tbl_task4[[คะแนนเต็ม]:[คะแนนเต็ม]]),"",(tbl_task4[37]/tbl_task4[[คะแนนเต็ม]:[คะแนนเต็ม]])*tbl_task4[[%]:[%]])</f>
        <v/>
      </c>
      <c r="GZ26" s="121" t="str">
        <f>IF(ISBLANK(tbl_task4[[คะแนนเต็ม]:[คะแนนเต็ม]]),"",(tbl_task4[38]/tbl_task4[[คะแนนเต็ม]:[คะแนนเต็ม]])*tbl_task4[[%]:[%]])</f>
        <v/>
      </c>
      <c r="HA26" s="121" t="str">
        <f>IF(ISBLANK(tbl_task4[[คะแนนเต็ม]:[คะแนนเต็ม]]),"",(tbl_task4[39]/tbl_task4[[คะแนนเต็ม]:[คะแนนเต็ม]])*tbl_task4[[%]:[%]])</f>
        <v/>
      </c>
      <c r="HB26" s="121" t="str">
        <f>IF(ISBLANK(tbl_task4[[คะแนนเต็ม]:[คะแนนเต็ม]]),"",(tbl_task4[40]/tbl_task4[[คะแนนเต็ม]:[คะแนนเต็ม]])*tbl_task4[[%]:[%]])</f>
        <v/>
      </c>
      <c r="HC26" s="121" t="str">
        <f>IF(ISBLANK(tbl_task4[[คะแนนเต็ม]:[คะแนนเต็ม]]),"",(tbl_task4[41]/tbl_task4[[คะแนนเต็ม]:[คะแนนเต็ม]])*tbl_task4[[%]:[%]])</f>
        <v/>
      </c>
      <c r="HD26" s="121" t="str">
        <f>IF(ISBLANK(tbl_task4[[คะแนนเต็ม]:[คะแนนเต็ม]]),"",(tbl_task4[42]/tbl_task4[[คะแนนเต็ม]:[คะแนนเต็ม]])*tbl_task4[[%]:[%]])</f>
        <v/>
      </c>
      <c r="HE26" s="121" t="str">
        <f>IF(ISBLANK(tbl_task4[[คะแนนเต็ม]:[คะแนนเต็ม]]),"",(tbl_task4[43]/tbl_task4[[คะแนนเต็ม]:[คะแนนเต็ม]])*tbl_task4[[%]:[%]])</f>
        <v/>
      </c>
      <c r="HF26" s="121" t="str">
        <f>IF(ISBLANK(tbl_task4[[คะแนนเต็ม]:[คะแนนเต็ม]]),"",(tbl_task4[44]/tbl_task4[[คะแนนเต็ม]:[คะแนนเต็ม]])*tbl_task4[[%]:[%]])</f>
        <v/>
      </c>
      <c r="HG26" s="121" t="str">
        <f>IF(ISBLANK(tbl_task4[[คะแนนเต็ม]:[คะแนนเต็ม]]),"",(tbl_task4[45]/tbl_task4[[คะแนนเต็ม]:[คะแนนเต็ม]])*tbl_task4[[%]:[%]])</f>
        <v/>
      </c>
      <c r="HH26" s="121" t="str">
        <f>IF(ISBLANK(tbl_task4[[คะแนนเต็ม]:[คะแนนเต็ม]]),"",(tbl_task4[46]/tbl_task4[[คะแนนเต็ม]:[คะแนนเต็ม]])*tbl_task4[[%]:[%]])</f>
        <v/>
      </c>
      <c r="HI26" s="121" t="str">
        <f>IF(ISBLANK(tbl_task4[[คะแนนเต็ม]:[คะแนนเต็ม]]),"",(tbl_task4[47]/tbl_task4[[คะแนนเต็ม]:[คะแนนเต็ม]])*tbl_task4[[%]:[%]])</f>
        <v/>
      </c>
      <c r="HJ26" s="121" t="str">
        <f>IF(ISBLANK(tbl_task4[[คะแนนเต็ม]:[คะแนนเต็ม]]),"",(tbl_task4[48]/tbl_task4[[คะแนนเต็ม]:[คะแนนเต็ม]])*tbl_task4[[%]:[%]])</f>
        <v/>
      </c>
      <c r="HK26" s="121" t="str">
        <f>IF(ISBLANK(tbl_task4[[คะแนนเต็ม]:[คะแนนเต็ม]]),"",(tbl_task4[49]/tbl_task4[[คะแนนเต็ม]:[คะแนนเต็ม]])*tbl_task4[[%]:[%]])</f>
        <v/>
      </c>
      <c r="HL26" s="121" t="str">
        <f>IF(ISBLANK(tbl_task4[[คะแนนเต็ม]:[คะแนนเต็ม]]),"",(tbl_task4[50]/tbl_task4[[คะแนนเต็ม]:[คะแนนเต็ม]])*tbl_task4[[%]:[%]])</f>
        <v/>
      </c>
      <c r="HM26" s="121" t="str">
        <f>IF(ISBLANK(tbl_task4[[คะแนนเต็ม]:[คะแนนเต็ม]]),"",(tbl_task4[51]/tbl_task4[[คะแนนเต็ม]:[คะแนนเต็ม]])*tbl_task4[[%]:[%]])</f>
        <v/>
      </c>
      <c r="HN26" s="121" t="str">
        <f>IF(ISBLANK(tbl_task4[[คะแนนเต็ม]:[คะแนนเต็ม]]),"",(tbl_task4[52]/tbl_task4[[คะแนนเต็ม]:[คะแนนเต็ม]])*tbl_task4[[%]:[%]])</f>
        <v/>
      </c>
      <c r="HO26" s="121" t="str">
        <f>IF(ISBLANK(tbl_task4[[คะแนนเต็ม]:[คะแนนเต็ม]]),"",(tbl_task4[53]/tbl_task4[[คะแนนเต็ม]:[คะแนนเต็ม]])*tbl_task4[[%]:[%]])</f>
        <v/>
      </c>
      <c r="HP26" s="121" t="str">
        <f>IF(ISBLANK(tbl_task4[[คะแนนเต็ม]:[คะแนนเต็ม]]),"",(tbl_task4[54]/tbl_task4[[คะแนนเต็ม]:[คะแนนเต็ม]])*tbl_task4[[%]:[%]])</f>
        <v/>
      </c>
      <c r="HQ26" s="121" t="str">
        <f>IF(ISBLANK(tbl_task4[[คะแนนเต็ม]:[คะแนนเต็ม]]),"",(tbl_task4[55]/tbl_task4[[คะแนนเต็ม]:[คะแนนเต็ม]])*tbl_task4[[%]:[%]])</f>
        <v/>
      </c>
      <c r="HR26" s="121" t="str">
        <f>IF(ISBLANK(tbl_task4[[คะแนนเต็ม]:[คะแนนเต็ม]]),"",(tbl_task4[56]/tbl_task4[[คะแนนเต็ม]:[คะแนนเต็ม]])*tbl_task4[[%]:[%]])</f>
        <v/>
      </c>
      <c r="HS26" s="121" t="str">
        <f>IF(ISBLANK(tbl_task4[[คะแนนเต็ม]:[คะแนนเต็ม]]),"",(tbl_task4[57]/tbl_task4[[คะแนนเต็ม]:[คะแนนเต็ม]])*tbl_task4[[%]:[%]])</f>
        <v/>
      </c>
      <c r="HT26" s="121" t="str">
        <f>IF(ISBLANK(tbl_task4[[คะแนนเต็ม]:[คะแนนเต็ม]]),"",(tbl_task4[58]/tbl_task4[[คะแนนเต็ม]:[คะแนนเต็ม]])*tbl_task4[[%]:[%]])</f>
        <v/>
      </c>
      <c r="HU26" s="121" t="str">
        <f>IF(ISBLANK(tbl_task4[[คะแนนเต็ม]:[คะแนนเต็ม]]),"",(tbl_task4[59]/tbl_task4[[คะแนนเต็ม]:[คะแนนเต็ม]])*tbl_task4[[%]:[%]])</f>
        <v/>
      </c>
      <c r="HV26" s="121" t="str">
        <f>IF(ISBLANK(tbl_task4[[คะแนนเต็ม]:[คะแนนเต็ม]]),"",(tbl_task4[60]/tbl_task4[[คะแนนเต็ม]:[คะแนนเต็ม]])*tbl_task4[[%]:[%]])</f>
        <v/>
      </c>
      <c r="HW26" s="121" t="str">
        <f>IF(ISBLANK(tbl_task4[[คะแนนเต็ม]:[คะแนนเต็ม]]),"",(tbl_task4[61]/tbl_task4[[คะแนนเต็ม]:[คะแนนเต็ม]])*tbl_task4[[%]:[%]])</f>
        <v/>
      </c>
      <c r="HX26" s="121" t="str">
        <f>IF(ISBLANK(tbl_task4[[คะแนนเต็ม]:[คะแนนเต็ม]]),"",(tbl_task4[62]/tbl_task4[[คะแนนเต็ม]:[คะแนนเต็ม]])*tbl_task4[[%]:[%]])</f>
        <v/>
      </c>
      <c r="HY26" s="121" t="str">
        <f>IF(ISBLANK(tbl_task4[[คะแนนเต็ม]:[คะแนนเต็ม]]),"",(tbl_task4[63]/tbl_task4[[คะแนนเต็ม]:[คะแนนเต็ม]])*tbl_task4[[%]:[%]])</f>
        <v/>
      </c>
      <c r="HZ26" s="121" t="str">
        <f>IF(ISBLANK(tbl_task4[[คะแนนเต็ม]:[คะแนนเต็ม]]),"",(tbl_task4[64]/tbl_task4[[คะแนนเต็ม]:[คะแนนเต็ม]])*tbl_task4[[%]:[%]])</f>
        <v/>
      </c>
      <c r="IA26" s="121" t="str">
        <f>IF(ISBLANK(tbl_task4[[คะแนนเต็ม]:[คะแนนเต็ม]]),"",(tbl_task4[65]/tbl_task4[[คะแนนเต็ม]:[คะแนนเต็ม]])*tbl_task4[[%]:[%]])</f>
        <v/>
      </c>
      <c r="IB26" s="121" t="str">
        <f>IF(ISBLANK(tbl_task4[[คะแนนเต็ม]:[คะแนนเต็ม]]),"",(tbl_task4[66]/tbl_task4[[คะแนนเต็ม]:[คะแนนเต็ม]])*tbl_task4[[%]:[%]])</f>
        <v/>
      </c>
      <c r="IC26" s="121" t="str">
        <f>IF(ISBLANK(tbl_task4[[คะแนนเต็ม]:[คะแนนเต็ม]]),"",(tbl_task4[67]/tbl_task4[[คะแนนเต็ม]:[คะแนนเต็ม]])*tbl_task4[[%]:[%]])</f>
        <v/>
      </c>
      <c r="ID26" s="121" t="str">
        <f>IF(ISBLANK(tbl_task4[[คะแนนเต็ม]:[คะแนนเต็ม]]),"",(tbl_task4[68]/tbl_task4[[คะแนนเต็ม]:[คะแนนเต็ม]])*tbl_task4[[%]:[%]])</f>
        <v/>
      </c>
      <c r="IE26" s="121" t="str">
        <f>IF(ISBLANK(tbl_task4[[คะแนนเต็ม]:[คะแนนเต็ม]]),"",(tbl_task4[69]/tbl_task4[[คะแนนเต็ม]:[คะแนนเต็ม]])*tbl_task4[[%]:[%]])</f>
        <v/>
      </c>
      <c r="IF26" s="121" t="str">
        <f>IF(ISBLANK(tbl_task4[[คะแนนเต็ม]:[คะแนนเต็ม]]),"",(tbl_task4[70]/tbl_task4[[คะแนนเต็ม]:[คะแนนเต็ม]])*tbl_task4[[%]:[%]])</f>
        <v/>
      </c>
      <c r="IG26" s="121" t="str">
        <f>IF(ISBLANK(tbl_task4[[คะแนนเต็ม]:[คะแนนเต็ม]]),"",(tbl_task4[71]/tbl_task4[[คะแนนเต็ม]:[คะแนนเต็ม]])*tbl_task4[[%]:[%]])</f>
        <v/>
      </c>
      <c r="IH26" s="121" t="str">
        <f>IF(ISBLANK(tbl_task4[[คะแนนเต็ม]:[คะแนนเต็ม]]),"",(tbl_task4[72]/tbl_task4[[คะแนนเต็ม]:[คะแนนเต็ม]])*tbl_task4[[%]:[%]])</f>
        <v/>
      </c>
      <c r="II26" s="121" t="str">
        <f>IF(ISBLANK(tbl_task4[[คะแนนเต็ม]:[คะแนนเต็ม]]),"",(tbl_task4[73]/tbl_task4[[คะแนนเต็ม]:[คะแนนเต็ม]])*tbl_task4[[%]:[%]])</f>
        <v/>
      </c>
      <c r="IJ26" s="121" t="str">
        <f>IF(ISBLANK(tbl_task4[[คะแนนเต็ม]:[คะแนนเต็ม]]),"",(tbl_task4[74]/tbl_task4[[คะแนนเต็ม]:[คะแนนเต็ม]])*tbl_task4[[%]:[%]])</f>
        <v/>
      </c>
      <c r="IK26" s="121" t="str">
        <f>IF(ISBLANK(tbl_task4[[คะแนนเต็ม]:[คะแนนเต็ม]]),"",(tbl_task4[75]/tbl_task4[[คะแนนเต็ม]:[คะแนนเต็ม]])*tbl_task4[[%]:[%]])</f>
        <v/>
      </c>
      <c r="IL26" s="121" t="str">
        <f>IF(ISBLANK(tbl_task4[[คะแนนเต็ม]:[คะแนนเต็ม]]),"",(tbl_task4[76]/tbl_task4[[คะแนนเต็ม]:[คะแนนเต็ม]])*tbl_task4[[%]:[%]])</f>
        <v/>
      </c>
      <c r="IM26" s="121" t="str">
        <f>IF(ISBLANK(tbl_task4[[คะแนนเต็ม]:[คะแนนเต็ม]]),"",(tbl_task4[77]/tbl_task4[[คะแนนเต็ม]:[คะแนนเต็ม]])*tbl_task4[[%]:[%]])</f>
        <v/>
      </c>
      <c r="IN26" s="121" t="str">
        <f>IF(ISBLANK(tbl_task4[[คะแนนเต็ม]:[คะแนนเต็ม]]),"",(tbl_task4[78]/tbl_task4[[คะแนนเต็ม]:[คะแนนเต็ม]])*tbl_task4[[%]:[%]])</f>
        <v/>
      </c>
      <c r="IO26" s="121" t="str">
        <f>IF(ISBLANK(tbl_task4[[คะแนนเต็ม]:[คะแนนเต็ม]]),"",(tbl_task4[79]/tbl_task4[[คะแนนเต็ม]:[คะแนนเต็ม]])*tbl_task4[[%]:[%]])</f>
        <v/>
      </c>
      <c r="IP26" s="121" t="str">
        <f>IF(ISBLANK(tbl_task4[[คะแนนเต็ม]:[คะแนนเต็ม]]),"",(tbl_task4[80]/tbl_task4[[คะแนนเต็ม]:[คะแนนเต็ม]])*tbl_task4[[%]:[%]])</f>
        <v/>
      </c>
      <c r="IQ26" s="121" t="str">
        <f>IF(ISBLANK(tbl_task4[[คะแนนเต็ม]:[คะแนนเต็ม]]),"",(tbl_task4[81]/tbl_task4[[คะแนนเต็ม]:[คะแนนเต็ม]])*tbl_task4[[%]:[%]])</f>
        <v/>
      </c>
      <c r="IR26" s="121" t="str">
        <f>IF(ISBLANK(tbl_task4[[คะแนนเต็ม]:[คะแนนเต็ม]]),"",(tbl_task4[82]/tbl_task4[[คะแนนเต็ม]:[คะแนนเต็ม]])*tbl_task4[[%]:[%]])</f>
        <v/>
      </c>
      <c r="IS26" s="121" t="str">
        <f>IF(ISBLANK(tbl_task4[[คะแนนเต็ม]:[คะแนนเต็ม]]),"",(tbl_task4[83]/tbl_task4[[คะแนนเต็ม]:[คะแนนเต็ม]])*tbl_task4[[%]:[%]])</f>
        <v/>
      </c>
      <c r="IT26" s="121" t="str">
        <f>IF(ISBLANK(tbl_task4[[คะแนนเต็ม]:[คะแนนเต็ม]]),"",(tbl_task4[84]/tbl_task4[[คะแนนเต็ม]:[คะแนนเต็ม]])*tbl_task4[[%]:[%]])</f>
        <v/>
      </c>
      <c r="IU26" s="121" t="str">
        <f>IF(ISBLANK(tbl_task4[[คะแนนเต็ม]:[คะแนนเต็ม]]),"",(tbl_task4[85]/tbl_task4[[คะแนนเต็ม]:[คะแนนเต็ม]])*tbl_task4[[%]:[%]])</f>
        <v/>
      </c>
      <c r="IV26" s="121" t="str">
        <f>IF(ISBLANK(tbl_task4[[คะแนนเต็ม]:[คะแนนเต็ม]]),"",(tbl_task4[86]/tbl_task4[[คะแนนเต็ม]:[คะแนนเต็ม]])*tbl_task4[[%]:[%]])</f>
        <v/>
      </c>
      <c r="IW26" s="121" t="str">
        <f>IF(ISBLANK(tbl_task4[[คะแนนเต็ม]:[คะแนนเต็ม]]),"",(tbl_task4[87]/tbl_task4[[คะแนนเต็ม]:[คะแนนเต็ม]])*tbl_task4[[%]:[%]])</f>
        <v/>
      </c>
      <c r="IX26" s="121" t="str">
        <f>IF(ISBLANK(tbl_task4[[คะแนนเต็ม]:[คะแนนเต็ม]]),"",(tbl_task4[88]/tbl_task4[[คะแนนเต็ม]:[คะแนนเต็ม]])*tbl_task4[[%]:[%]])</f>
        <v/>
      </c>
      <c r="IY26" s="121" t="str">
        <f>IF(ISBLANK(tbl_task4[[คะแนนเต็ม]:[คะแนนเต็ม]]),"",(tbl_task4[89]/tbl_task4[[คะแนนเต็ม]:[คะแนนเต็ม]])*tbl_task4[[%]:[%]])</f>
        <v/>
      </c>
      <c r="IZ26" s="121" t="str">
        <f>IF(ISBLANK(tbl_task4[[คะแนนเต็ม]:[คะแนนเต็ม]]),"",(tbl_task4[90]/tbl_task4[[คะแนนเต็ม]:[คะแนนเต็ม]])*tbl_task4[[%]:[%]])</f>
        <v/>
      </c>
      <c r="JA26" s="121" t="str">
        <f>IF(ISBLANK(tbl_task4[[คะแนนเต็ม]:[คะแนนเต็ม]]),"",(tbl_task4[91]/tbl_task4[[คะแนนเต็ม]:[คะแนนเต็ม]])*tbl_task4[[%]:[%]])</f>
        <v/>
      </c>
      <c r="JB26" s="121" t="str">
        <f>IF(ISBLANK(tbl_task4[[คะแนนเต็ม]:[คะแนนเต็ม]]),"",(tbl_task4[92]/tbl_task4[[คะแนนเต็ม]:[คะแนนเต็ม]])*tbl_task4[[%]:[%]])</f>
        <v/>
      </c>
      <c r="JC26" s="121" t="str">
        <f>IF(ISBLANK(tbl_task4[[คะแนนเต็ม]:[คะแนนเต็ม]]),"",(tbl_task4[93]/tbl_task4[[คะแนนเต็ม]:[คะแนนเต็ม]])*tbl_task4[[%]:[%]])</f>
        <v/>
      </c>
      <c r="JD26" s="121" t="str">
        <f>IF(ISBLANK(tbl_task4[[คะแนนเต็ม]:[คะแนนเต็ม]]),"",(tbl_task4[94]/tbl_task4[[คะแนนเต็ม]:[คะแนนเต็ม]])*tbl_task4[[%]:[%]])</f>
        <v/>
      </c>
      <c r="JE26" s="121" t="str">
        <f>IF(ISBLANK(tbl_task4[[คะแนนเต็ม]:[คะแนนเต็ม]]),"",(tbl_task4[95]/tbl_task4[[คะแนนเต็ม]:[คะแนนเต็ม]])*tbl_task4[[%]:[%]])</f>
        <v/>
      </c>
      <c r="JF26" s="121" t="str">
        <f>IF(ISBLANK(tbl_task4[[คะแนนเต็ม]:[คะแนนเต็ม]]),"",(tbl_task4[96]/tbl_task4[[คะแนนเต็ม]:[คะแนนเต็ม]])*tbl_task4[[%]:[%]])</f>
        <v/>
      </c>
      <c r="JG26" s="121" t="str">
        <f>IF(ISBLANK(tbl_task4[[คะแนนเต็ม]:[คะแนนเต็ม]]),"",(tbl_task4[97]/tbl_task4[[คะแนนเต็ม]:[คะแนนเต็ม]])*tbl_task4[[%]:[%]])</f>
        <v/>
      </c>
      <c r="JH26" s="121" t="str">
        <f>IF(ISBLANK(tbl_task4[[คะแนนเต็ม]:[คะแนนเต็ม]]),"",(tbl_task4[98]/tbl_task4[[คะแนนเต็ม]:[คะแนนเต็ม]])*tbl_task4[[%]:[%]])</f>
        <v/>
      </c>
      <c r="JI26" s="121" t="str">
        <f>IF(ISBLANK(tbl_task4[[คะแนนเต็ม]:[คะแนนเต็ม]]),"",(tbl_task4[99]/tbl_task4[[คะแนนเต็ม]:[คะแนนเต็ม]])*tbl_task4[[%]:[%]])</f>
        <v/>
      </c>
      <c r="JJ26" s="121" t="str">
        <f>IF(ISBLANK(tbl_task4[[คะแนนเต็ม]:[คะแนนเต็ม]]),"",(tbl_task4[100]/tbl_task4[[คะแนนเต็ม]:[คะแนนเต็ม]])*tbl_task4[[%]:[%]])</f>
        <v/>
      </c>
      <c r="JK26" s="121" t="str">
        <f>IF(ISBLANK(tbl_task4[[คะแนนเต็ม]:[คะแนนเต็ม]]),"",(tbl_task4[101]/tbl_task4[[คะแนนเต็ม]:[คะแนนเต็ม]])*tbl_task4[[%]:[%]])</f>
        <v/>
      </c>
      <c r="JL26" s="121" t="str">
        <f>IF(ISBLANK(tbl_task4[[คะแนนเต็ม]:[คะแนนเต็ม]]),"",(tbl_task4[102]/tbl_task4[[คะแนนเต็ม]:[คะแนนเต็ม]])*tbl_task4[[%]:[%]])</f>
        <v/>
      </c>
      <c r="JM26" s="121" t="str">
        <f>IF(ISBLANK(tbl_task4[[คะแนนเต็ม]:[คะแนนเต็ม]]),"",(tbl_task4[103]/tbl_task4[[คะแนนเต็ม]:[คะแนนเต็ม]])*tbl_task4[[%]:[%]])</f>
        <v/>
      </c>
      <c r="JN26" s="121" t="str">
        <f>IF(ISBLANK(tbl_task4[[คะแนนเต็ม]:[คะแนนเต็ม]]),"",(tbl_task4[104]/tbl_task4[[คะแนนเต็ม]:[คะแนนเต็ม]])*tbl_task4[[%]:[%]])</f>
        <v/>
      </c>
      <c r="JO26" s="121" t="str">
        <f>IF(ISBLANK(tbl_task4[[คะแนนเต็ม]:[คะแนนเต็ม]]),"",(tbl_task4[105]/tbl_task4[[คะแนนเต็ม]:[คะแนนเต็ม]])*tbl_task4[[%]:[%]])</f>
        <v/>
      </c>
      <c r="JP26" s="121" t="str">
        <f>IF(ISBLANK(tbl_task4[[คะแนนเต็ม]:[คะแนนเต็ม]]),"",(tbl_task4[106]/tbl_task4[[คะแนนเต็ม]:[คะแนนเต็ม]])*tbl_task4[[%]:[%]])</f>
        <v/>
      </c>
      <c r="JQ26" s="121" t="str">
        <f>IF(ISBLANK(tbl_task4[[คะแนนเต็ม]:[คะแนนเต็ม]]),"",(tbl_task4[107]/tbl_task4[[คะแนนเต็ม]:[คะแนนเต็ม]])*tbl_task4[[%]:[%]])</f>
        <v/>
      </c>
      <c r="JR26" s="121" t="str">
        <f>IF(ISBLANK(tbl_task4[[คะแนนเต็ม]:[คะแนนเต็ม]]),"",(tbl_task4[108]/tbl_task4[[คะแนนเต็ม]:[คะแนนเต็ม]])*tbl_task4[[%]:[%]])</f>
        <v/>
      </c>
      <c r="JS26" s="121" t="str">
        <f>IF(ISBLANK(tbl_task4[[คะแนนเต็ม]:[คะแนนเต็ม]]),"",(tbl_task4[109]/tbl_task4[[คะแนนเต็ม]:[คะแนนเต็ม]])*tbl_task4[[%]:[%]])</f>
        <v/>
      </c>
      <c r="JT26" s="121" t="str">
        <f>IF(ISBLANK(tbl_task4[[คะแนนเต็ม]:[คะแนนเต็ม]]),"",(tbl_task4[110]/tbl_task4[[คะแนนเต็ม]:[คะแนนเต็ม]])*tbl_task4[[%]:[%]])</f>
        <v/>
      </c>
      <c r="JU26" s="121" t="str">
        <f>IF(ISBLANK(tbl_task4[[คะแนนเต็ม]:[คะแนนเต็ม]]),"",(tbl_task4[111]/tbl_task4[[คะแนนเต็ม]:[คะแนนเต็ม]])*tbl_task4[[%]:[%]])</f>
        <v/>
      </c>
      <c r="JV26" s="121" t="str">
        <f>IF(ISBLANK(tbl_task4[[คะแนนเต็ม]:[คะแนนเต็ม]]),"",(tbl_task4[112]/tbl_task4[[คะแนนเต็ม]:[คะแนนเต็ม]])*tbl_task4[[%]:[%]])</f>
        <v/>
      </c>
      <c r="JW26" s="121" t="str">
        <f>IF(ISBLANK(tbl_task4[[คะแนนเต็ม]:[คะแนนเต็ม]]),"",(tbl_task4[113]/tbl_task4[[คะแนนเต็ม]:[คะแนนเต็ม]])*tbl_task4[[%]:[%]])</f>
        <v/>
      </c>
      <c r="JX26" s="121" t="str">
        <f>IF(ISBLANK(tbl_task4[[คะแนนเต็ม]:[คะแนนเต็ม]]),"",(tbl_task4[114]/tbl_task4[[คะแนนเต็ม]:[คะแนนเต็ม]])*tbl_task4[[%]:[%]])</f>
        <v/>
      </c>
      <c r="JY26" s="121" t="str">
        <f>IF(ISBLANK(tbl_task4[[คะแนนเต็ม]:[คะแนนเต็ม]]),"",(tbl_task4[115]/tbl_task4[[คะแนนเต็ม]:[คะแนนเต็ม]])*tbl_task4[[%]:[%]])</f>
        <v/>
      </c>
      <c r="JZ26" s="121" t="str">
        <f>IF(ISBLANK(tbl_task4[[คะแนนเต็ม]:[คะแนนเต็ม]]),"",(tbl_task4[116]/tbl_task4[[คะแนนเต็ม]:[คะแนนเต็ม]])*tbl_task4[[%]:[%]])</f>
        <v/>
      </c>
      <c r="KA26" s="121" t="str">
        <f>IF(ISBLANK(tbl_task4[[คะแนนเต็ม]:[คะแนนเต็ม]]),"",(tbl_task4[117]/tbl_task4[[คะแนนเต็ม]:[คะแนนเต็ม]])*tbl_task4[[%]:[%]])</f>
        <v/>
      </c>
      <c r="KB26" s="121" t="str">
        <f>IF(ISBLANK(tbl_task4[[คะแนนเต็ม]:[คะแนนเต็ม]]),"",(tbl_task4[118]/tbl_task4[[คะแนนเต็ม]:[คะแนนเต็ม]])*tbl_task4[[%]:[%]])</f>
        <v/>
      </c>
      <c r="KC26" s="121" t="str">
        <f>IF(ISBLANK(tbl_task4[[คะแนนเต็ม]:[คะแนนเต็ม]]),"",(tbl_task4[119]/tbl_task4[[คะแนนเต็ม]:[คะแนนเต็ม]])*tbl_task4[[%]:[%]])</f>
        <v/>
      </c>
      <c r="KD26" s="121" t="str">
        <f>IF(ISBLANK(tbl_task4[[คะแนนเต็ม]:[คะแนนเต็ม]]),"",(tbl_task4[120]/tbl_task4[[คะแนนเต็ม]:[คะแนนเต็ม]])*tbl_task4[[%]:[%]])</f>
        <v/>
      </c>
      <c r="KE26" s="121" t="str">
        <f>IF(ISBLANK(tbl_task4[[คะแนนเต็ม]:[คะแนนเต็ม]]),"",(tbl_task4[121]/tbl_task4[[คะแนนเต็ม]:[คะแนนเต็ม]])*tbl_task4[[%]:[%]])</f>
        <v/>
      </c>
      <c r="KF26" s="121" t="str">
        <f>IF(ISBLANK(tbl_task4[[คะแนนเต็ม]:[คะแนนเต็ม]]),"",(tbl_task4[122]/tbl_task4[[คะแนนเต็ม]:[คะแนนเต็ม]])*tbl_task4[[%]:[%]])</f>
        <v/>
      </c>
      <c r="KG26" s="121" t="str">
        <f>IF(ISBLANK(tbl_task4[[คะแนนเต็ม]:[คะแนนเต็ม]]),"",(tbl_task4[123]/tbl_task4[[คะแนนเต็ม]:[คะแนนเต็ม]])*tbl_task4[[%]:[%]])</f>
        <v/>
      </c>
      <c r="KH26" s="121" t="str">
        <f>IF(ISBLANK(tbl_task4[[คะแนนเต็ม]:[คะแนนเต็ม]]),"",(tbl_task4[124]/tbl_task4[[คะแนนเต็ม]:[คะแนนเต็ม]])*tbl_task4[[%]:[%]])</f>
        <v/>
      </c>
      <c r="KI26" s="121" t="str">
        <f>IF(ISBLANK(tbl_task4[[คะแนนเต็ม]:[คะแนนเต็ม]]),"",(tbl_task4[125]/tbl_task4[[คะแนนเต็ม]:[คะแนนเต็ม]])*tbl_task4[[%]:[%]])</f>
        <v/>
      </c>
      <c r="KJ26" s="121" t="str">
        <f>IF(ISBLANK(tbl_task4[[คะแนนเต็ม]:[คะแนนเต็ม]]),"",(tbl_task4[126]/tbl_task4[[คะแนนเต็ม]:[คะแนนเต็ม]])*tbl_task4[[%]:[%]])</f>
        <v/>
      </c>
      <c r="KK26" s="121" t="str">
        <f>IF(ISBLANK(tbl_task4[[คะแนนเต็ม]:[คะแนนเต็ม]]),"",(tbl_task4[127]/tbl_task4[[คะแนนเต็ม]:[คะแนนเต็ม]])*tbl_task4[[%]:[%]])</f>
        <v/>
      </c>
      <c r="KL26" s="121" t="str">
        <f>IF(ISBLANK(tbl_task4[[คะแนนเต็ม]:[คะแนนเต็ม]]),"",(tbl_task4[128]/tbl_task4[[คะแนนเต็ม]:[คะแนนเต็ม]])*tbl_task4[[%]:[%]])</f>
        <v/>
      </c>
      <c r="KM26" s="121" t="str">
        <f>IF(ISBLANK(tbl_task4[[คะแนนเต็ม]:[คะแนนเต็ม]]),"",(tbl_task4[129]/tbl_task4[[คะแนนเต็ม]:[คะแนนเต็ม]])*tbl_task4[[%]:[%]])</f>
        <v/>
      </c>
      <c r="KN26" s="121" t="str">
        <f>IF(ISBLANK(tbl_task4[[คะแนนเต็ม]:[คะแนนเต็ม]]),"",(tbl_task4[130]/tbl_task4[[คะแนนเต็ม]:[คะแนนเต็ม]])*tbl_task4[[%]:[%]])</f>
        <v/>
      </c>
      <c r="KO26" s="121" t="str">
        <f>IF(ISBLANK(tbl_task4[[คะแนนเต็ม]:[คะแนนเต็ม]]),"",(tbl_task4[131]/tbl_task4[[คะแนนเต็ม]:[คะแนนเต็ม]])*tbl_task4[[%]:[%]])</f>
        <v/>
      </c>
      <c r="KP26" s="121" t="str">
        <f>IF(ISBLANK(tbl_task4[[คะแนนเต็ม]:[คะแนนเต็ม]]),"",(tbl_task4[132]/tbl_task4[[คะแนนเต็ม]:[คะแนนเต็ม]])*tbl_task4[[%]:[%]])</f>
        <v/>
      </c>
      <c r="KQ26" s="121" t="str">
        <f>IF(ISBLANK(tbl_task4[[คะแนนเต็ม]:[คะแนนเต็ม]]),"",(tbl_task4[133]/tbl_task4[[คะแนนเต็ม]:[คะแนนเต็ม]])*tbl_task4[[%]:[%]])</f>
        <v/>
      </c>
      <c r="KR26" s="121" t="str">
        <f>IF(ISBLANK(tbl_task4[[คะแนนเต็ม]:[คะแนนเต็ม]]),"",(tbl_task4[134]/tbl_task4[[คะแนนเต็ม]:[คะแนนเต็ม]])*tbl_task4[[%]:[%]])</f>
        <v/>
      </c>
      <c r="KS26" s="121" t="str">
        <f>IF(ISBLANK(tbl_task4[[คะแนนเต็ม]:[คะแนนเต็ม]]),"",(tbl_task4[135]/tbl_task4[[คะแนนเต็ม]:[คะแนนเต็ม]])*tbl_task4[[%]:[%]])</f>
        <v/>
      </c>
      <c r="KT26" s="121" t="str">
        <f>IF(ISBLANK(tbl_task4[[คะแนนเต็ม]:[คะแนนเต็ม]]),"",(tbl_task4[136]/tbl_task4[[คะแนนเต็ม]:[คะแนนเต็ม]])*tbl_task4[[%]:[%]])</f>
        <v/>
      </c>
      <c r="KU26" s="121" t="str">
        <f>IF(ISBLANK(tbl_task4[[คะแนนเต็ม]:[คะแนนเต็ม]]),"",(tbl_task4[137]/tbl_task4[[คะแนนเต็ม]:[คะแนนเต็ม]])*tbl_task4[[%]:[%]])</f>
        <v/>
      </c>
      <c r="KV26" s="121" t="str">
        <f>IF(ISBLANK(tbl_task4[[คะแนนเต็ม]:[คะแนนเต็ม]]),"",(tbl_task4[138]/tbl_task4[[คะแนนเต็ม]:[คะแนนเต็ม]])*tbl_task4[[%]:[%]])</f>
        <v/>
      </c>
      <c r="KW26" s="121" t="str">
        <f>IF(ISBLANK(tbl_task4[[คะแนนเต็ม]:[คะแนนเต็ม]]),"",(tbl_task4[139]/tbl_task4[[คะแนนเต็ม]:[คะแนนเต็ม]])*tbl_task4[[%]:[%]])</f>
        <v/>
      </c>
      <c r="KX26" s="121" t="str">
        <f>IF(ISBLANK(tbl_task4[[คะแนนเต็ม]:[คะแนนเต็ม]]),"",(tbl_task4[140]/tbl_task4[[คะแนนเต็ม]:[คะแนนเต็ม]])*tbl_task4[[%]:[%]])</f>
        <v/>
      </c>
      <c r="KY26" s="121" t="str">
        <f>IF(ISBLANK(tbl_task4[[คะแนนเต็ม]:[คะแนนเต็ม]]),"",(tbl_task4[141]/tbl_task4[[คะแนนเต็ม]:[คะแนนเต็ม]])*tbl_task4[[%]:[%]])</f>
        <v/>
      </c>
      <c r="KZ26" s="121" t="str">
        <f>IF(ISBLANK(tbl_task4[[คะแนนเต็ม]:[คะแนนเต็ม]]),"",(tbl_task4[142]/tbl_task4[[คะแนนเต็ม]:[คะแนนเต็ม]])*tbl_task4[[%]:[%]])</f>
        <v/>
      </c>
      <c r="LA26" s="121" t="str">
        <f>IF(ISBLANK(tbl_task4[[คะแนนเต็ม]:[คะแนนเต็ม]]),"",(tbl_task4[143]/tbl_task4[[คะแนนเต็ม]:[คะแนนเต็ม]])*tbl_task4[[%]:[%]])</f>
        <v/>
      </c>
      <c r="LB26" s="121" t="str">
        <f>IF(ISBLANK(tbl_task4[[คะแนนเต็ม]:[คะแนนเต็ม]]),"",(tbl_task4[144]/tbl_task4[[คะแนนเต็ม]:[คะแนนเต็ม]])*tbl_task4[[%]:[%]])</f>
        <v/>
      </c>
      <c r="LC26" s="121" t="str">
        <f>IF(ISBLANK(tbl_task4[[คะแนนเต็ม]:[คะแนนเต็ม]]),"",(tbl_task4[145]/tbl_task4[[คะแนนเต็ม]:[คะแนนเต็ม]])*tbl_task4[[%]:[%]])</f>
        <v/>
      </c>
      <c r="LD26" s="121" t="str">
        <f>IF(ISBLANK(tbl_task4[[คะแนนเต็ม]:[คะแนนเต็ม]]),"",(tbl_task4[146]/tbl_task4[[คะแนนเต็ม]:[คะแนนเต็ม]])*tbl_task4[[%]:[%]])</f>
        <v/>
      </c>
      <c r="LE26" s="121" t="str">
        <f>IF(ISBLANK(tbl_task4[[คะแนนเต็ม]:[คะแนนเต็ม]]),"",(tbl_task4[147]/tbl_task4[[คะแนนเต็ม]:[คะแนนเต็ม]])*tbl_task4[[%]:[%]])</f>
        <v/>
      </c>
      <c r="LF26" s="121" t="str">
        <f>IF(ISBLANK(tbl_task4[[คะแนนเต็ม]:[คะแนนเต็ม]]),"",(tbl_task4[148]/tbl_task4[[คะแนนเต็ม]:[คะแนนเต็ม]])*tbl_task4[[%]:[%]])</f>
        <v/>
      </c>
      <c r="LG26" s="121" t="str">
        <f>IF(ISBLANK(tbl_task4[[คะแนนเต็ม]:[คะแนนเต็ม]]),"",(tbl_task4[149]/tbl_task4[[คะแนนเต็ม]:[คะแนนเต็ม]])*tbl_task4[[%]:[%]])</f>
        <v/>
      </c>
      <c r="LH26" s="121" t="str">
        <f>IF(ISBLANK(tbl_task4[[คะแนนเต็ม]:[คะแนนเต็ม]]),"",(tbl_task4[150]/tbl_task4[[คะแนนเต็ม]:[คะแนนเต็ม]])*tbl_task4[[%]:[%]])</f>
        <v/>
      </c>
      <c r="LI26" s="121" t="str">
        <f>IF(ISBLANK(tbl_task4[[คะแนนเต็ม]:[คะแนนเต็ม]]),"",(tbl_task4[151]/tbl_task4[[คะแนนเต็ม]:[คะแนนเต็ม]])*tbl_task4[[%]:[%]])</f>
        <v/>
      </c>
      <c r="LJ26" s="121" t="str">
        <f>IF(ISBLANK(tbl_task4[[คะแนนเต็ม]:[คะแนนเต็ม]]),"",(tbl_task4[152]/tbl_task4[[คะแนนเต็ม]:[คะแนนเต็ม]])*tbl_task4[[%]:[%]])</f>
        <v/>
      </c>
      <c r="LK26" s="121" t="str">
        <f>IF(ISBLANK(tbl_task4[[คะแนนเต็ม]:[คะแนนเต็ม]]),"",(tbl_task4[153]/tbl_task4[[คะแนนเต็ม]:[คะแนนเต็ม]])*tbl_task4[[%]:[%]])</f>
        <v/>
      </c>
      <c r="LL26" s="121" t="str">
        <f>IF(ISBLANK(tbl_task4[[คะแนนเต็ม]:[คะแนนเต็ม]]),"",(tbl_task4[154]/tbl_task4[[คะแนนเต็ม]:[คะแนนเต็ม]])*tbl_task4[[%]:[%]])</f>
        <v/>
      </c>
      <c r="LM26" s="121" t="str">
        <f>IF(ISBLANK(tbl_task4[[คะแนนเต็ม]:[คะแนนเต็ม]]),"",(tbl_task4[155]/tbl_task4[[คะแนนเต็ม]:[คะแนนเต็ม]])*tbl_task4[[%]:[%]])</f>
        <v/>
      </c>
      <c r="LN26" s="121" t="str">
        <f>IF(ISBLANK(tbl_task4[[คะแนนเต็ม]:[คะแนนเต็ม]]),"",(tbl_task4[156]/tbl_task4[[คะแนนเต็ม]:[คะแนนเต็ม]])*tbl_task4[[%]:[%]])</f>
        <v/>
      </c>
      <c r="LO26" s="121" t="str">
        <f>IF(ISBLANK(tbl_task4[[คะแนนเต็ม]:[คะแนนเต็ม]]),"",(tbl_task4[157]/tbl_task4[[คะแนนเต็ม]:[คะแนนเต็ม]])*tbl_task4[[%]:[%]])</f>
        <v/>
      </c>
      <c r="LP26" s="121" t="str">
        <f>IF(ISBLANK(tbl_task4[[คะแนนเต็ม]:[คะแนนเต็ม]]),"",(tbl_task4[158]/tbl_task4[[คะแนนเต็ม]:[คะแนนเต็ม]])*tbl_task4[[%]:[%]])</f>
        <v/>
      </c>
      <c r="LQ26" s="121" t="str">
        <f>IF(ISBLANK(tbl_task4[[คะแนนเต็ม]:[คะแนนเต็ม]]),"",(tbl_task4[159]/tbl_task4[[คะแนนเต็ม]:[คะแนนเต็ม]])*tbl_task4[[%]:[%]])</f>
        <v/>
      </c>
      <c r="LR26" s="121" t="str">
        <f>IF(ISBLANK(tbl_task4[[คะแนนเต็ม]:[คะแนนเต็ม]]),"",(tbl_task4[160]/tbl_task4[[คะแนนเต็ม]:[คะแนนเต็ม]])*tbl_task4[[%]:[%]])</f>
        <v/>
      </c>
      <c r="LS26" s="121" t="str">
        <f>IF(ISBLANK(tbl_task4[[คะแนนเต็ม]:[คะแนนเต็ม]]),"",(tbl_task4[161]/tbl_task4[[คะแนนเต็ม]:[คะแนนเต็ม]])*tbl_task4[[%]:[%]])</f>
        <v/>
      </c>
      <c r="LT26" s="121" t="str">
        <f>IF(ISBLANK(tbl_task4[[คะแนนเต็ม]:[คะแนนเต็ม]]),"",(tbl_task4[162]/tbl_task4[[คะแนนเต็ม]:[คะแนนเต็ม]])*tbl_task4[[%]:[%]])</f>
        <v/>
      </c>
      <c r="LU26" s="121" t="str">
        <f>IF(ISBLANK(tbl_task4[[คะแนนเต็ม]:[คะแนนเต็ม]]),"",(tbl_task4[163]/tbl_task4[[คะแนนเต็ม]:[คะแนนเต็ม]])*tbl_task4[[%]:[%]])</f>
        <v/>
      </c>
      <c r="LV26" s="121" t="str">
        <f>IF(ISBLANK(tbl_task4[[คะแนนเต็ม]:[คะแนนเต็ม]]),"",(tbl_task4[164]/tbl_task4[[คะแนนเต็ม]:[คะแนนเต็ม]])*tbl_task4[[%]:[%]])</f>
        <v/>
      </c>
      <c r="LW26" s="121" t="str">
        <f>IF(ISBLANK(tbl_task4[[คะแนนเต็ม]:[คะแนนเต็ม]]),"",(tbl_task4[165]/tbl_task4[[คะแนนเต็ม]:[คะแนนเต็ม]])*tbl_task4[[%]:[%]])</f>
        <v/>
      </c>
    </row>
    <row r="27" spans="1:335" ht="24" customHeight="1" x14ac:dyDescent="0.25">
      <c r="A27" s="24">
        <v>24</v>
      </c>
      <c r="B27" s="20"/>
      <c r="C27" s="5" t="str">
        <f>IF(ISBLANK(B27),"",VLOOKUP(B27,tbl_PLOs[],2,0))</f>
        <v/>
      </c>
      <c r="D27" s="102"/>
      <c r="E27" s="106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21" t="str">
        <f>IF(ISBLANK(tbl_task4[[คะแนนเต็ม]:[คะแนนเต็ม]]),"",(tbl_task4[1]/tbl_task4[[คะแนนเต็ม]:[คะแนนเต็ม]])*tbl_task4[[%]:[%]])</f>
        <v/>
      </c>
      <c r="FP27" s="121" t="str">
        <f>IF(ISBLANK(tbl_task4[[คะแนนเต็ม]:[คะแนนเต็ม]]),"",(tbl_task4[2]/tbl_task4[[คะแนนเต็ม]:[คะแนนเต็ม]])*tbl_task4[[%]:[%]])</f>
        <v/>
      </c>
      <c r="FQ27" s="121" t="str">
        <f>IF(ISBLANK(tbl_task4[[คะแนนเต็ม]:[คะแนนเต็ม]]),"",(tbl_task4[3]/tbl_task4[[คะแนนเต็ม]:[คะแนนเต็ม]])*tbl_task4[[%]:[%]])</f>
        <v/>
      </c>
      <c r="FR27" s="121" t="str">
        <f>IF(ISBLANK(tbl_task4[[คะแนนเต็ม]:[คะแนนเต็ม]]),"",(tbl_task4[4]/tbl_task4[[คะแนนเต็ม]:[คะแนนเต็ม]])*tbl_task4[[%]:[%]])</f>
        <v/>
      </c>
      <c r="FS27" s="121" t="str">
        <f>IF(ISBLANK(tbl_task4[[คะแนนเต็ม]:[คะแนนเต็ม]]),"",(tbl_task4[5]/tbl_task4[[คะแนนเต็ม]:[คะแนนเต็ม]])*tbl_task4[[%]:[%]])</f>
        <v/>
      </c>
      <c r="FT27" s="121" t="str">
        <f>IF(ISBLANK(tbl_task4[[คะแนนเต็ม]:[คะแนนเต็ม]]),"",(tbl_task4[6]/tbl_task4[[คะแนนเต็ม]:[คะแนนเต็ม]])*tbl_task4[[%]:[%]])</f>
        <v/>
      </c>
      <c r="FU27" s="121" t="str">
        <f>IF(ISBLANK(tbl_task4[[คะแนนเต็ม]:[คะแนนเต็ม]]),"",(tbl_task4[7]/tbl_task4[[คะแนนเต็ม]:[คะแนนเต็ม]])*tbl_task4[[%]:[%]])</f>
        <v/>
      </c>
      <c r="FV27" s="121" t="str">
        <f>IF(ISBLANK(tbl_task4[[คะแนนเต็ม]:[คะแนนเต็ม]]),"",(tbl_task4[8]/tbl_task4[[คะแนนเต็ม]:[คะแนนเต็ม]])*tbl_task4[[%]:[%]])</f>
        <v/>
      </c>
      <c r="FW27" s="121" t="str">
        <f>IF(ISBLANK(tbl_task4[[คะแนนเต็ม]:[คะแนนเต็ม]]),"",(tbl_task4[9]/tbl_task4[[คะแนนเต็ม]:[คะแนนเต็ม]])*tbl_task4[[%]:[%]])</f>
        <v/>
      </c>
      <c r="FX27" s="121" t="str">
        <f>IF(ISBLANK(tbl_task4[[คะแนนเต็ม]:[คะแนนเต็ม]]),"",(tbl_task4[10]/tbl_task4[[คะแนนเต็ม]:[คะแนนเต็ม]])*tbl_task4[[%]:[%]])</f>
        <v/>
      </c>
      <c r="FY27" s="121" t="str">
        <f>IF(ISBLANK(tbl_task4[[คะแนนเต็ม]:[คะแนนเต็ม]]),"",(tbl_task4[11]/tbl_task4[[คะแนนเต็ม]:[คะแนนเต็ม]])*tbl_task4[[%]:[%]])</f>
        <v/>
      </c>
      <c r="FZ27" s="121" t="str">
        <f>IF(ISBLANK(tbl_task4[[คะแนนเต็ม]:[คะแนนเต็ม]]),"",(tbl_task4[12]/tbl_task4[[คะแนนเต็ม]:[คะแนนเต็ม]])*tbl_task4[[%]:[%]])</f>
        <v/>
      </c>
      <c r="GA27" s="121" t="str">
        <f>IF(ISBLANK(tbl_task4[[คะแนนเต็ม]:[คะแนนเต็ม]]),"",(tbl_task4[13]/tbl_task4[[คะแนนเต็ม]:[คะแนนเต็ม]])*tbl_task4[[%]:[%]])</f>
        <v/>
      </c>
      <c r="GB27" s="121" t="str">
        <f>IF(ISBLANK(tbl_task4[[คะแนนเต็ม]:[คะแนนเต็ม]]),"",(tbl_task4[14]/tbl_task4[[คะแนนเต็ม]:[คะแนนเต็ม]])*tbl_task4[[%]:[%]])</f>
        <v/>
      </c>
      <c r="GC27" s="121" t="str">
        <f>IF(ISBLANK(tbl_task4[[คะแนนเต็ม]:[คะแนนเต็ม]]),"",(tbl_task4[15]/tbl_task4[[คะแนนเต็ม]:[คะแนนเต็ม]])*tbl_task4[[%]:[%]])</f>
        <v/>
      </c>
      <c r="GD27" s="121" t="str">
        <f>IF(ISBLANK(tbl_task4[[คะแนนเต็ม]:[คะแนนเต็ม]]),"",(tbl_task4[16]/tbl_task4[[คะแนนเต็ม]:[คะแนนเต็ม]])*tbl_task4[[%]:[%]])</f>
        <v/>
      </c>
      <c r="GE27" s="121" t="str">
        <f>IF(ISBLANK(tbl_task4[[คะแนนเต็ม]:[คะแนนเต็ม]]),"",(tbl_task4[17]/tbl_task4[[คะแนนเต็ม]:[คะแนนเต็ม]])*tbl_task4[[%]:[%]])</f>
        <v/>
      </c>
      <c r="GF27" s="121" t="str">
        <f>IF(ISBLANK(tbl_task4[[คะแนนเต็ม]:[คะแนนเต็ม]]),"",(tbl_task4[18]/tbl_task4[[คะแนนเต็ม]:[คะแนนเต็ม]])*tbl_task4[[%]:[%]])</f>
        <v/>
      </c>
      <c r="GG27" s="121" t="str">
        <f>IF(ISBLANK(tbl_task4[[คะแนนเต็ม]:[คะแนนเต็ม]]),"",(tbl_task4[19]/tbl_task4[[คะแนนเต็ม]:[คะแนนเต็ม]])*tbl_task4[[%]:[%]])</f>
        <v/>
      </c>
      <c r="GH27" s="121" t="str">
        <f>IF(ISBLANK(tbl_task4[[คะแนนเต็ม]:[คะแนนเต็ม]]),"",(tbl_task4[20]/tbl_task4[[คะแนนเต็ม]:[คะแนนเต็ม]])*tbl_task4[[%]:[%]])</f>
        <v/>
      </c>
      <c r="GI27" s="121" t="str">
        <f>IF(ISBLANK(tbl_task4[[คะแนนเต็ม]:[คะแนนเต็ม]]),"",(tbl_task4[21]/tbl_task4[[คะแนนเต็ม]:[คะแนนเต็ม]])*tbl_task4[[%]:[%]])</f>
        <v/>
      </c>
      <c r="GJ27" s="121" t="str">
        <f>IF(ISBLANK(tbl_task4[[คะแนนเต็ม]:[คะแนนเต็ม]]),"",(tbl_task4[22]/tbl_task4[[คะแนนเต็ม]:[คะแนนเต็ม]])*tbl_task4[[%]:[%]])</f>
        <v/>
      </c>
      <c r="GK27" s="121" t="str">
        <f>IF(ISBLANK(tbl_task4[[คะแนนเต็ม]:[คะแนนเต็ม]]),"",(tbl_task4[23]/tbl_task4[[คะแนนเต็ม]:[คะแนนเต็ม]])*tbl_task4[[%]:[%]])</f>
        <v/>
      </c>
      <c r="GL27" s="121" t="str">
        <f>IF(ISBLANK(tbl_task4[[คะแนนเต็ม]:[คะแนนเต็ม]]),"",(tbl_task4[24]/tbl_task4[[คะแนนเต็ม]:[คะแนนเต็ม]])*tbl_task4[[%]:[%]])</f>
        <v/>
      </c>
      <c r="GM27" s="121" t="str">
        <f>IF(ISBLANK(tbl_task4[[คะแนนเต็ม]:[คะแนนเต็ม]]),"",(tbl_task4[25]/tbl_task4[[คะแนนเต็ม]:[คะแนนเต็ม]])*tbl_task4[[%]:[%]])</f>
        <v/>
      </c>
      <c r="GN27" s="121" t="str">
        <f>IF(ISBLANK(tbl_task4[[คะแนนเต็ม]:[คะแนนเต็ม]]),"",(tbl_task4[26]/tbl_task4[[คะแนนเต็ม]:[คะแนนเต็ม]])*tbl_task4[[%]:[%]])</f>
        <v/>
      </c>
      <c r="GO27" s="121" t="str">
        <f>IF(ISBLANK(tbl_task4[[คะแนนเต็ม]:[คะแนนเต็ม]]),"",(tbl_task4[27]/tbl_task4[[คะแนนเต็ม]:[คะแนนเต็ม]])*tbl_task4[[%]:[%]])</f>
        <v/>
      </c>
      <c r="GP27" s="121" t="str">
        <f>IF(ISBLANK(tbl_task4[[คะแนนเต็ม]:[คะแนนเต็ม]]),"",(tbl_task4[28]/tbl_task4[[คะแนนเต็ม]:[คะแนนเต็ม]])*tbl_task4[[%]:[%]])</f>
        <v/>
      </c>
      <c r="GQ27" s="121" t="str">
        <f>IF(ISBLANK(tbl_task4[[คะแนนเต็ม]:[คะแนนเต็ม]]),"",(tbl_task4[29]/tbl_task4[[คะแนนเต็ม]:[คะแนนเต็ม]])*tbl_task4[[%]:[%]])</f>
        <v/>
      </c>
      <c r="GR27" s="121" t="str">
        <f>IF(ISBLANK(tbl_task4[[คะแนนเต็ม]:[คะแนนเต็ม]]),"",(tbl_task4[30]/tbl_task4[[คะแนนเต็ม]:[คะแนนเต็ม]])*tbl_task4[[%]:[%]])</f>
        <v/>
      </c>
      <c r="GS27" s="121" t="str">
        <f>IF(ISBLANK(tbl_task4[[คะแนนเต็ม]:[คะแนนเต็ม]]),"",(tbl_task4[31]/tbl_task4[[คะแนนเต็ม]:[คะแนนเต็ม]])*tbl_task4[[%]:[%]])</f>
        <v/>
      </c>
      <c r="GT27" s="121" t="str">
        <f>IF(ISBLANK(tbl_task4[[คะแนนเต็ม]:[คะแนนเต็ม]]),"",(tbl_task4[32]/tbl_task4[[คะแนนเต็ม]:[คะแนนเต็ม]])*tbl_task4[[%]:[%]])</f>
        <v/>
      </c>
      <c r="GU27" s="121" t="str">
        <f>IF(ISBLANK(tbl_task4[[คะแนนเต็ม]:[คะแนนเต็ม]]),"",(tbl_task4[33]/tbl_task4[[คะแนนเต็ม]:[คะแนนเต็ม]])*tbl_task4[[%]:[%]])</f>
        <v/>
      </c>
      <c r="GV27" s="121" t="str">
        <f>IF(ISBLANK(tbl_task4[[คะแนนเต็ม]:[คะแนนเต็ม]]),"",(tbl_task4[34]/tbl_task4[[คะแนนเต็ม]:[คะแนนเต็ม]])*tbl_task4[[%]:[%]])</f>
        <v/>
      </c>
      <c r="GW27" s="121" t="str">
        <f>IF(ISBLANK(tbl_task4[[คะแนนเต็ม]:[คะแนนเต็ม]]),"",(tbl_task4[35]/tbl_task4[[คะแนนเต็ม]:[คะแนนเต็ม]])*tbl_task4[[%]:[%]])</f>
        <v/>
      </c>
      <c r="GX27" s="121" t="str">
        <f>IF(ISBLANK(tbl_task4[[คะแนนเต็ม]:[คะแนนเต็ม]]),"",(tbl_task4[36]/tbl_task4[[คะแนนเต็ม]:[คะแนนเต็ม]])*tbl_task4[[%]:[%]])</f>
        <v/>
      </c>
      <c r="GY27" s="121" t="str">
        <f>IF(ISBLANK(tbl_task4[[คะแนนเต็ม]:[คะแนนเต็ม]]),"",(tbl_task4[37]/tbl_task4[[คะแนนเต็ม]:[คะแนนเต็ม]])*tbl_task4[[%]:[%]])</f>
        <v/>
      </c>
      <c r="GZ27" s="121" t="str">
        <f>IF(ISBLANK(tbl_task4[[คะแนนเต็ม]:[คะแนนเต็ม]]),"",(tbl_task4[38]/tbl_task4[[คะแนนเต็ม]:[คะแนนเต็ม]])*tbl_task4[[%]:[%]])</f>
        <v/>
      </c>
      <c r="HA27" s="121" t="str">
        <f>IF(ISBLANK(tbl_task4[[คะแนนเต็ม]:[คะแนนเต็ม]]),"",(tbl_task4[39]/tbl_task4[[คะแนนเต็ม]:[คะแนนเต็ม]])*tbl_task4[[%]:[%]])</f>
        <v/>
      </c>
      <c r="HB27" s="121" t="str">
        <f>IF(ISBLANK(tbl_task4[[คะแนนเต็ม]:[คะแนนเต็ม]]),"",(tbl_task4[40]/tbl_task4[[คะแนนเต็ม]:[คะแนนเต็ม]])*tbl_task4[[%]:[%]])</f>
        <v/>
      </c>
      <c r="HC27" s="121" t="str">
        <f>IF(ISBLANK(tbl_task4[[คะแนนเต็ม]:[คะแนนเต็ม]]),"",(tbl_task4[41]/tbl_task4[[คะแนนเต็ม]:[คะแนนเต็ม]])*tbl_task4[[%]:[%]])</f>
        <v/>
      </c>
      <c r="HD27" s="121" t="str">
        <f>IF(ISBLANK(tbl_task4[[คะแนนเต็ม]:[คะแนนเต็ม]]),"",(tbl_task4[42]/tbl_task4[[คะแนนเต็ม]:[คะแนนเต็ม]])*tbl_task4[[%]:[%]])</f>
        <v/>
      </c>
      <c r="HE27" s="121" t="str">
        <f>IF(ISBLANK(tbl_task4[[คะแนนเต็ม]:[คะแนนเต็ม]]),"",(tbl_task4[43]/tbl_task4[[คะแนนเต็ม]:[คะแนนเต็ม]])*tbl_task4[[%]:[%]])</f>
        <v/>
      </c>
      <c r="HF27" s="121" t="str">
        <f>IF(ISBLANK(tbl_task4[[คะแนนเต็ม]:[คะแนนเต็ม]]),"",(tbl_task4[44]/tbl_task4[[คะแนนเต็ม]:[คะแนนเต็ม]])*tbl_task4[[%]:[%]])</f>
        <v/>
      </c>
      <c r="HG27" s="121" t="str">
        <f>IF(ISBLANK(tbl_task4[[คะแนนเต็ม]:[คะแนนเต็ม]]),"",(tbl_task4[45]/tbl_task4[[คะแนนเต็ม]:[คะแนนเต็ม]])*tbl_task4[[%]:[%]])</f>
        <v/>
      </c>
      <c r="HH27" s="121" t="str">
        <f>IF(ISBLANK(tbl_task4[[คะแนนเต็ม]:[คะแนนเต็ม]]),"",(tbl_task4[46]/tbl_task4[[คะแนนเต็ม]:[คะแนนเต็ม]])*tbl_task4[[%]:[%]])</f>
        <v/>
      </c>
      <c r="HI27" s="121" t="str">
        <f>IF(ISBLANK(tbl_task4[[คะแนนเต็ม]:[คะแนนเต็ม]]),"",(tbl_task4[47]/tbl_task4[[คะแนนเต็ม]:[คะแนนเต็ม]])*tbl_task4[[%]:[%]])</f>
        <v/>
      </c>
      <c r="HJ27" s="121" t="str">
        <f>IF(ISBLANK(tbl_task4[[คะแนนเต็ม]:[คะแนนเต็ม]]),"",(tbl_task4[48]/tbl_task4[[คะแนนเต็ม]:[คะแนนเต็ม]])*tbl_task4[[%]:[%]])</f>
        <v/>
      </c>
      <c r="HK27" s="121" t="str">
        <f>IF(ISBLANK(tbl_task4[[คะแนนเต็ม]:[คะแนนเต็ม]]),"",(tbl_task4[49]/tbl_task4[[คะแนนเต็ม]:[คะแนนเต็ม]])*tbl_task4[[%]:[%]])</f>
        <v/>
      </c>
      <c r="HL27" s="121" t="str">
        <f>IF(ISBLANK(tbl_task4[[คะแนนเต็ม]:[คะแนนเต็ม]]),"",(tbl_task4[50]/tbl_task4[[คะแนนเต็ม]:[คะแนนเต็ม]])*tbl_task4[[%]:[%]])</f>
        <v/>
      </c>
      <c r="HM27" s="121" t="str">
        <f>IF(ISBLANK(tbl_task4[[คะแนนเต็ม]:[คะแนนเต็ม]]),"",(tbl_task4[51]/tbl_task4[[คะแนนเต็ม]:[คะแนนเต็ม]])*tbl_task4[[%]:[%]])</f>
        <v/>
      </c>
      <c r="HN27" s="121" t="str">
        <f>IF(ISBLANK(tbl_task4[[คะแนนเต็ม]:[คะแนนเต็ม]]),"",(tbl_task4[52]/tbl_task4[[คะแนนเต็ม]:[คะแนนเต็ม]])*tbl_task4[[%]:[%]])</f>
        <v/>
      </c>
      <c r="HO27" s="121" t="str">
        <f>IF(ISBLANK(tbl_task4[[คะแนนเต็ม]:[คะแนนเต็ม]]),"",(tbl_task4[53]/tbl_task4[[คะแนนเต็ม]:[คะแนนเต็ม]])*tbl_task4[[%]:[%]])</f>
        <v/>
      </c>
      <c r="HP27" s="121" t="str">
        <f>IF(ISBLANK(tbl_task4[[คะแนนเต็ม]:[คะแนนเต็ม]]),"",(tbl_task4[54]/tbl_task4[[คะแนนเต็ม]:[คะแนนเต็ม]])*tbl_task4[[%]:[%]])</f>
        <v/>
      </c>
      <c r="HQ27" s="121" t="str">
        <f>IF(ISBLANK(tbl_task4[[คะแนนเต็ม]:[คะแนนเต็ม]]),"",(tbl_task4[55]/tbl_task4[[คะแนนเต็ม]:[คะแนนเต็ม]])*tbl_task4[[%]:[%]])</f>
        <v/>
      </c>
      <c r="HR27" s="121" t="str">
        <f>IF(ISBLANK(tbl_task4[[คะแนนเต็ม]:[คะแนนเต็ม]]),"",(tbl_task4[56]/tbl_task4[[คะแนนเต็ม]:[คะแนนเต็ม]])*tbl_task4[[%]:[%]])</f>
        <v/>
      </c>
      <c r="HS27" s="121" t="str">
        <f>IF(ISBLANK(tbl_task4[[คะแนนเต็ม]:[คะแนนเต็ม]]),"",(tbl_task4[57]/tbl_task4[[คะแนนเต็ม]:[คะแนนเต็ม]])*tbl_task4[[%]:[%]])</f>
        <v/>
      </c>
      <c r="HT27" s="121" t="str">
        <f>IF(ISBLANK(tbl_task4[[คะแนนเต็ม]:[คะแนนเต็ม]]),"",(tbl_task4[58]/tbl_task4[[คะแนนเต็ม]:[คะแนนเต็ม]])*tbl_task4[[%]:[%]])</f>
        <v/>
      </c>
      <c r="HU27" s="121" t="str">
        <f>IF(ISBLANK(tbl_task4[[คะแนนเต็ม]:[คะแนนเต็ม]]),"",(tbl_task4[59]/tbl_task4[[คะแนนเต็ม]:[คะแนนเต็ม]])*tbl_task4[[%]:[%]])</f>
        <v/>
      </c>
      <c r="HV27" s="121" t="str">
        <f>IF(ISBLANK(tbl_task4[[คะแนนเต็ม]:[คะแนนเต็ม]]),"",(tbl_task4[60]/tbl_task4[[คะแนนเต็ม]:[คะแนนเต็ม]])*tbl_task4[[%]:[%]])</f>
        <v/>
      </c>
      <c r="HW27" s="121" t="str">
        <f>IF(ISBLANK(tbl_task4[[คะแนนเต็ม]:[คะแนนเต็ม]]),"",(tbl_task4[61]/tbl_task4[[คะแนนเต็ม]:[คะแนนเต็ม]])*tbl_task4[[%]:[%]])</f>
        <v/>
      </c>
      <c r="HX27" s="121" t="str">
        <f>IF(ISBLANK(tbl_task4[[คะแนนเต็ม]:[คะแนนเต็ม]]),"",(tbl_task4[62]/tbl_task4[[คะแนนเต็ม]:[คะแนนเต็ม]])*tbl_task4[[%]:[%]])</f>
        <v/>
      </c>
      <c r="HY27" s="121" t="str">
        <f>IF(ISBLANK(tbl_task4[[คะแนนเต็ม]:[คะแนนเต็ม]]),"",(tbl_task4[63]/tbl_task4[[คะแนนเต็ม]:[คะแนนเต็ม]])*tbl_task4[[%]:[%]])</f>
        <v/>
      </c>
      <c r="HZ27" s="121" t="str">
        <f>IF(ISBLANK(tbl_task4[[คะแนนเต็ม]:[คะแนนเต็ม]]),"",(tbl_task4[64]/tbl_task4[[คะแนนเต็ม]:[คะแนนเต็ม]])*tbl_task4[[%]:[%]])</f>
        <v/>
      </c>
      <c r="IA27" s="121" t="str">
        <f>IF(ISBLANK(tbl_task4[[คะแนนเต็ม]:[คะแนนเต็ม]]),"",(tbl_task4[65]/tbl_task4[[คะแนนเต็ม]:[คะแนนเต็ม]])*tbl_task4[[%]:[%]])</f>
        <v/>
      </c>
      <c r="IB27" s="121" t="str">
        <f>IF(ISBLANK(tbl_task4[[คะแนนเต็ม]:[คะแนนเต็ม]]),"",(tbl_task4[66]/tbl_task4[[คะแนนเต็ม]:[คะแนนเต็ม]])*tbl_task4[[%]:[%]])</f>
        <v/>
      </c>
      <c r="IC27" s="121" t="str">
        <f>IF(ISBLANK(tbl_task4[[คะแนนเต็ม]:[คะแนนเต็ม]]),"",(tbl_task4[67]/tbl_task4[[คะแนนเต็ม]:[คะแนนเต็ม]])*tbl_task4[[%]:[%]])</f>
        <v/>
      </c>
      <c r="ID27" s="121" t="str">
        <f>IF(ISBLANK(tbl_task4[[คะแนนเต็ม]:[คะแนนเต็ม]]),"",(tbl_task4[68]/tbl_task4[[คะแนนเต็ม]:[คะแนนเต็ม]])*tbl_task4[[%]:[%]])</f>
        <v/>
      </c>
      <c r="IE27" s="121" t="str">
        <f>IF(ISBLANK(tbl_task4[[คะแนนเต็ม]:[คะแนนเต็ม]]),"",(tbl_task4[69]/tbl_task4[[คะแนนเต็ม]:[คะแนนเต็ม]])*tbl_task4[[%]:[%]])</f>
        <v/>
      </c>
      <c r="IF27" s="121" t="str">
        <f>IF(ISBLANK(tbl_task4[[คะแนนเต็ม]:[คะแนนเต็ม]]),"",(tbl_task4[70]/tbl_task4[[คะแนนเต็ม]:[คะแนนเต็ม]])*tbl_task4[[%]:[%]])</f>
        <v/>
      </c>
      <c r="IG27" s="121" t="str">
        <f>IF(ISBLANK(tbl_task4[[คะแนนเต็ม]:[คะแนนเต็ม]]),"",(tbl_task4[71]/tbl_task4[[คะแนนเต็ม]:[คะแนนเต็ม]])*tbl_task4[[%]:[%]])</f>
        <v/>
      </c>
      <c r="IH27" s="121" t="str">
        <f>IF(ISBLANK(tbl_task4[[คะแนนเต็ม]:[คะแนนเต็ม]]),"",(tbl_task4[72]/tbl_task4[[คะแนนเต็ม]:[คะแนนเต็ม]])*tbl_task4[[%]:[%]])</f>
        <v/>
      </c>
      <c r="II27" s="121" t="str">
        <f>IF(ISBLANK(tbl_task4[[คะแนนเต็ม]:[คะแนนเต็ม]]),"",(tbl_task4[73]/tbl_task4[[คะแนนเต็ม]:[คะแนนเต็ม]])*tbl_task4[[%]:[%]])</f>
        <v/>
      </c>
      <c r="IJ27" s="121" t="str">
        <f>IF(ISBLANK(tbl_task4[[คะแนนเต็ม]:[คะแนนเต็ม]]),"",(tbl_task4[74]/tbl_task4[[คะแนนเต็ม]:[คะแนนเต็ม]])*tbl_task4[[%]:[%]])</f>
        <v/>
      </c>
      <c r="IK27" s="121" t="str">
        <f>IF(ISBLANK(tbl_task4[[คะแนนเต็ม]:[คะแนนเต็ม]]),"",(tbl_task4[75]/tbl_task4[[คะแนนเต็ม]:[คะแนนเต็ม]])*tbl_task4[[%]:[%]])</f>
        <v/>
      </c>
      <c r="IL27" s="121" t="str">
        <f>IF(ISBLANK(tbl_task4[[คะแนนเต็ม]:[คะแนนเต็ม]]),"",(tbl_task4[76]/tbl_task4[[คะแนนเต็ม]:[คะแนนเต็ม]])*tbl_task4[[%]:[%]])</f>
        <v/>
      </c>
      <c r="IM27" s="121" t="str">
        <f>IF(ISBLANK(tbl_task4[[คะแนนเต็ม]:[คะแนนเต็ม]]),"",(tbl_task4[77]/tbl_task4[[คะแนนเต็ม]:[คะแนนเต็ม]])*tbl_task4[[%]:[%]])</f>
        <v/>
      </c>
      <c r="IN27" s="121" t="str">
        <f>IF(ISBLANK(tbl_task4[[คะแนนเต็ม]:[คะแนนเต็ม]]),"",(tbl_task4[78]/tbl_task4[[คะแนนเต็ม]:[คะแนนเต็ม]])*tbl_task4[[%]:[%]])</f>
        <v/>
      </c>
      <c r="IO27" s="121" t="str">
        <f>IF(ISBLANK(tbl_task4[[คะแนนเต็ม]:[คะแนนเต็ม]]),"",(tbl_task4[79]/tbl_task4[[คะแนนเต็ม]:[คะแนนเต็ม]])*tbl_task4[[%]:[%]])</f>
        <v/>
      </c>
      <c r="IP27" s="121" t="str">
        <f>IF(ISBLANK(tbl_task4[[คะแนนเต็ม]:[คะแนนเต็ม]]),"",(tbl_task4[80]/tbl_task4[[คะแนนเต็ม]:[คะแนนเต็ม]])*tbl_task4[[%]:[%]])</f>
        <v/>
      </c>
      <c r="IQ27" s="121" t="str">
        <f>IF(ISBLANK(tbl_task4[[คะแนนเต็ม]:[คะแนนเต็ม]]),"",(tbl_task4[81]/tbl_task4[[คะแนนเต็ม]:[คะแนนเต็ม]])*tbl_task4[[%]:[%]])</f>
        <v/>
      </c>
      <c r="IR27" s="121" t="str">
        <f>IF(ISBLANK(tbl_task4[[คะแนนเต็ม]:[คะแนนเต็ม]]),"",(tbl_task4[82]/tbl_task4[[คะแนนเต็ม]:[คะแนนเต็ม]])*tbl_task4[[%]:[%]])</f>
        <v/>
      </c>
      <c r="IS27" s="121" t="str">
        <f>IF(ISBLANK(tbl_task4[[คะแนนเต็ม]:[คะแนนเต็ม]]),"",(tbl_task4[83]/tbl_task4[[คะแนนเต็ม]:[คะแนนเต็ม]])*tbl_task4[[%]:[%]])</f>
        <v/>
      </c>
      <c r="IT27" s="121" t="str">
        <f>IF(ISBLANK(tbl_task4[[คะแนนเต็ม]:[คะแนนเต็ม]]),"",(tbl_task4[84]/tbl_task4[[คะแนนเต็ม]:[คะแนนเต็ม]])*tbl_task4[[%]:[%]])</f>
        <v/>
      </c>
      <c r="IU27" s="121" t="str">
        <f>IF(ISBLANK(tbl_task4[[คะแนนเต็ม]:[คะแนนเต็ม]]),"",(tbl_task4[85]/tbl_task4[[คะแนนเต็ม]:[คะแนนเต็ม]])*tbl_task4[[%]:[%]])</f>
        <v/>
      </c>
      <c r="IV27" s="121" t="str">
        <f>IF(ISBLANK(tbl_task4[[คะแนนเต็ม]:[คะแนนเต็ม]]),"",(tbl_task4[86]/tbl_task4[[คะแนนเต็ม]:[คะแนนเต็ม]])*tbl_task4[[%]:[%]])</f>
        <v/>
      </c>
      <c r="IW27" s="121" t="str">
        <f>IF(ISBLANK(tbl_task4[[คะแนนเต็ม]:[คะแนนเต็ม]]),"",(tbl_task4[87]/tbl_task4[[คะแนนเต็ม]:[คะแนนเต็ม]])*tbl_task4[[%]:[%]])</f>
        <v/>
      </c>
      <c r="IX27" s="121" t="str">
        <f>IF(ISBLANK(tbl_task4[[คะแนนเต็ม]:[คะแนนเต็ม]]),"",(tbl_task4[88]/tbl_task4[[คะแนนเต็ม]:[คะแนนเต็ม]])*tbl_task4[[%]:[%]])</f>
        <v/>
      </c>
      <c r="IY27" s="121" t="str">
        <f>IF(ISBLANK(tbl_task4[[คะแนนเต็ม]:[คะแนนเต็ม]]),"",(tbl_task4[89]/tbl_task4[[คะแนนเต็ม]:[คะแนนเต็ม]])*tbl_task4[[%]:[%]])</f>
        <v/>
      </c>
      <c r="IZ27" s="121" t="str">
        <f>IF(ISBLANK(tbl_task4[[คะแนนเต็ม]:[คะแนนเต็ม]]),"",(tbl_task4[90]/tbl_task4[[คะแนนเต็ม]:[คะแนนเต็ม]])*tbl_task4[[%]:[%]])</f>
        <v/>
      </c>
      <c r="JA27" s="121" t="str">
        <f>IF(ISBLANK(tbl_task4[[คะแนนเต็ม]:[คะแนนเต็ม]]),"",(tbl_task4[91]/tbl_task4[[คะแนนเต็ม]:[คะแนนเต็ม]])*tbl_task4[[%]:[%]])</f>
        <v/>
      </c>
      <c r="JB27" s="121" t="str">
        <f>IF(ISBLANK(tbl_task4[[คะแนนเต็ม]:[คะแนนเต็ม]]),"",(tbl_task4[92]/tbl_task4[[คะแนนเต็ม]:[คะแนนเต็ม]])*tbl_task4[[%]:[%]])</f>
        <v/>
      </c>
      <c r="JC27" s="121" t="str">
        <f>IF(ISBLANK(tbl_task4[[คะแนนเต็ม]:[คะแนนเต็ม]]),"",(tbl_task4[93]/tbl_task4[[คะแนนเต็ม]:[คะแนนเต็ม]])*tbl_task4[[%]:[%]])</f>
        <v/>
      </c>
      <c r="JD27" s="121" t="str">
        <f>IF(ISBLANK(tbl_task4[[คะแนนเต็ม]:[คะแนนเต็ม]]),"",(tbl_task4[94]/tbl_task4[[คะแนนเต็ม]:[คะแนนเต็ม]])*tbl_task4[[%]:[%]])</f>
        <v/>
      </c>
      <c r="JE27" s="121" t="str">
        <f>IF(ISBLANK(tbl_task4[[คะแนนเต็ม]:[คะแนนเต็ม]]),"",(tbl_task4[95]/tbl_task4[[คะแนนเต็ม]:[คะแนนเต็ม]])*tbl_task4[[%]:[%]])</f>
        <v/>
      </c>
      <c r="JF27" s="121" t="str">
        <f>IF(ISBLANK(tbl_task4[[คะแนนเต็ม]:[คะแนนเต็ม]]),"",(tbl_task4[96]/tbl_task4[[คะแนนเต็ม]:[คะแนนเต็ม]])*tbl_task4[[%]:[%]])</f>
        <v/>
      </c>
      <c r="JG27" s="121" t="str">
        <f>IF(ISBLANK(tbl_task4[[คะแนนเต็ม]:[คะแนนเต็ม]]),"",(tbl_task4[97]/tbl_task4[[คะแนนเต็ม]:[คะแนนเต็ม]])*tbl_task4[[%]:[%]])</f>
        <v/>
      </c>
      <c r="JH27" s="121" t="str">
        <f>IF(ISBLANK(tbl_task4[[คะแนนเต็ม]:[คะแนนเต็ม]]),"",(tbl_task4[98]/tbl_task4[[คะแนนเต็ม]:[คะแนนเต็ม]])*tbl_task4[[%]:[%]])</f>
        <v/>
      </c>
      <c r="JI27" s="121" t="str">
        <f>IF(ISBLANK(tbl_task4[[คะแนนเต็ม]:[คะแนนเต็ม]]),"",(tbl_task4[99]/tbl_task4[[คะแนนเต็ม]:[คะแนนเต็ม]])*tbl_task4[[%]:[%]])</f>
        <v/>
      </c>
      <c r="JJ27" s="121" t="str">
        <f>IF(ISBLANK(tbl_task4[[คะแนนเต็ม]:[คะแนนเต็ม]]),"",(tbl_task4[100]/tbl_task4[[คะแนนเต็ม]:[คะแนนเต็ม]])*tbl_task4[[%]:[%]])</f>
        <v/>
      </c>
      <c r="JK27" s="121" t="str">
        <f>IF(ISBLANK(tbl_task4[[คะแนนเต็ม]:[คะแนนเต็ม]]),"",(tbl_task4[101]/tbl_task4[[คะแนนเต็ม]:[คะแนนเต็ม]])*tbl_task4[[%]:[%]])</f>
        <v/>
      </c>
      <c r="JL27" s="121" t="str">
        <f>IF(ISBLANK(tbl_task4[[คะแนนเต็ม]:[คะแนนเต็ม]]),"",(tbl_task4[102]/tbl_task4[[คะแนนเต็ม]:[คะแนนเต็ม]])*tbl_task4[[%]:[%]])</f>
        <v/>
      </c>
      <c r="JM27" s="121" t="str">
        <f>IF(ISBLANK(tbl_task4[[คะแนนเต็ม]:[คะแนนเต็ม]]),"",(tbl_task4[103]/tbl_task4[[คะแนนเต็ม]:[คะแนนเต็ม]])*tbl_task4[[%]:[%]])</f>
        <v/>
      </c>
      <c r="JN27" s="121" t="str">
        <f>IF(ISBLANK(tbl_task4[[คะแนนเต็ม]:[คะแนนเต็ม]]),"",(tbl_task4[104]/tbl_task4[[คะแนนเต็ม]:[คะแนนเต็ม]])*tbl_task4[[%]:[%]])</f>
        <v/>
      </c>
      <c r="JO27" s="121" t="str">
        <f>IF(ISBLANK(tbl_task4[[คะแนนเต็ม]:[คะแนนเต็ม]]),"",(tbl_task4[105]/tbl_task4[[คะแนนเต็ม]:[คะแนนเต็ม]])*tbl_task4[[%]:[%]])</f>
        <v/>
      </c>
      <c r="JP27" s="121" t="str">
        <f>IF(ISBLANK(tbl_task4[[คะแนนเต็ม]:[คะแนนเต็ม]]),"",(tbl_task4[106]/tbl_task4[[คะแนนเต็ม]:[คะแนนเต็ม]])*tbl_task4[[%]:[%]])</f>
        <v/>
      </c>
      <c r="JQ27" s="121" t="str">
        <f>IF(ISBLANK(tbl_task4[[คะแนนเต็ม]:[คะแนนเต็ม]]),"",(tbl_task4[107]/tbl_task4[[คะแนนเต็ม]:[คะแนนเต็ม]])*tbl_task4[[%]:[%]])</f>
        <v/>
      </c>
      <c r="JR27" s="121" t="str">
        <f>IF(ISBLANK(tbl_task4[[คะแนนเต็ม]:[คะแนนเต็ม]]),"",(tbl_task4[108]/tbl_task4[[คะแนนเต็ม]:[คะแนนเต็ม]])*tbl_task4[[%]:[%]])</f>
        <v/>
      </c>
      <c r="JS27" s="121" t="str">
        <f>IF(ISBLANK(tbl_task4[[คะแนนเต็ม]:[คะแนนเต็ม]]),"",(tbl_task4[109]/tbl_task4[[คะแนนเต็ม]:[คะแนนเต็ม]])*tbl_task4[[%]:[%]])</f>
        <v/>
      </c>
      <c r="JT27" s="121" t="str">
        <f>IF(ISBLANK(tbl_task4[[คะแนนเต็ม]:[คะแนนเต็ม]]),"",(tbl_task4[110]/tbl_task4[[คะแนนเต็ม]:[คะแนนเต็ม]])*tbl_task4[[%]:[%]])</f>
        <v/>
      </c>
      <c r="JU27" s="121" t="str">
        <f>IF(ISBLANK(tbl_task4[[คะแนนเต็ม]:[คะแนนเต็ม]]),"",(tbl_task4[111]/tbl_task4[[คะแนนเต็ม]:[คะแนนเต็ม]])*tbl_task4[[%]:[%]])</f>
        <v/>
      </c>
      <c r="JV27" s="121" t="str">
        <f>IF(ISBLANK(tbl_task4[[คะแนนเต็ม]:[คะแนนเต็ม]]),"",(tbl_task4[112]/tbl_task4[[คะแนนเต็ม]:[คะแนนเต็ม]])*tbl_task4[[%]:[%]])</f>
        <v/>
      </c>
      <c r="JW27" s="121" t="str">
        <f>IF(ISBLANK(tbl_task4[[คะแนนเต็ม]:[คะแนนเต็ม]]),"",(tbl_task4[113]/tbl_task4[[คะแนนเต็ม]:[คะแนนเต็ม]])*tbl_task4[[%]:[%]])</f>
        <v/>
      </c>
      <c r="JX27" s="121" t="str">
        <f>IF(ISBLANK(tbl_task4[[คะแนนเต็ม]:[คะแนนเต็ม]]),"",(tbl_task4[114]/tbl_task4[[คะแนนเต็ม]:[คะแนนเต็ม]])*tbl_task4[[%]:[%]])</f>
        <v/>
      </c>
      <c r="JY27" s="121" t="str">
        <f>IF(ISBLANK(tbl_task4[[คะแนนเต็ม]:[คะแนนเต็ม]]),"",(tbl_task4[115]/tbl_task4[[คะแนนเต็ม]:[คะแนนเต็ม]])*tbl_task4[[%]:[%]])</f>
        <v/>
      </c>
      <c r="JZ27" s="121" t="str">
        <f>IF(ISBLANK(tbl_task4[[คะแนนเต็ม]:[คะแนนเต็ม]]),"",(tbl_task4[116]/tbl_task4[[คะแนนเต็ม]:[คะแนนเต็ม]])*tbl_task4[[%]:[%]])</f>
        <v/>
      </c>
      <c r="KA27" s="121" t="str">
        <f>IF(ISBLANK(tbl_task4[[คะแนนเต็ม]:[คะแนนเต็ม]]),"",(tbl_task4[117]/tbl_task4[[คะแนนเต็ม]:[คะแนนเต็ม]])*tbl_task4[[%]:[%]])</f>
        <v/>
      </c>
      <c r="KB27" s="121" t="str">
        <f>IF(ISBLANK(tbl_task4[[คะแนนเต็ม]:[คะแนนเต็ม]]),"",(tbl_task4[118]/tbl_task4[[คะแนนเต็ม]:[คะแนนเต็ม]])*tbl_task4[[%]:[%]])</f>
        <v/>
      </c>
      <c r="KC27" s="121" t="str">
        <f>IF(ISBLANK(tbl_task4[[คะแนนเต็ม]:[คะแนนเต็ม]]),"",(tbl_task4[119]/tbl_task4[[คะแนนเต็ม]:[คะแนนเต็ม]])*tbl_task4[[%]:[%]])</f>
        <v/>
      </c>
      <c r="KD27" s="121" t="str">
        <f>IF(ISBLANK(tbl_task4[[คะแนนเต็ม]:[คะแนนเต็ม]]),"",(tbl_task4[120]/tbl_task4[[คะแนนเต็ม]:[คะแนนเต็ม]])*tbl_task4[[%]:[%]])</f>
        <v/>
      </c>
      <c r="KE27" s="121" t="str">
        <f>IF(ISBLANK(tbl_task4[[คะแนนเต็ม]:[คะแนนเต็ม]]),"",(tbl_task4[121]/tbl_task4[[คะแนนเต็ม]:[คะแนนเต็ม]])*tbl_task4[[%]:[%]])</f>
        <v/>
      </c>
      <c r="KF27" s="121" t="str">
        <f>IF(ISBLANK(tbl_task4[[คะแนนเต็ม]:[คะแนนเต็ม]]),"",(tbl_task4[122]/tbl_task4[[คะแนนเต็ม]:[คะแนนเต็ม]])*tbl_task4[[%]:[%]])</f>
        <v/>
      </c>
      <c r="KG27" s="121" t="str">
        <f>IF(ISBLANK(tbl_task4[[คะแนนเต็ม]:[คะแนนเต็ม]]),"",(tbl_task4[123]/tbl_task4[[คะแนนเต็ม]:[คะแนนเต็ม]])*tbl_task4[[%]:[%]])</f>
        <v/>
      </c>
      <c r="KH27" s="121" t="str">
        <f>IF(ISBLANK(tbl_task4[[คะแนนเต็ม]:[คะแนนเต็ม]]),"",(tbl_task4[124]/tbl_task4[[คะแนนเต็ม]:[คะแนนเต็ม]])*tbl_task4[[%]:[%]])</f>
        <v/>
      </c>
      <c r="KI27" s="121" t="str">
        <f>IF(ISBLANK(tbl_task4[[คะแนนเต็ม]:[คะแนนเต็ม]]),"",(tbl_task4[125]/tbl_task4[[คะแนนเต็ม]:[คะแนนเต็ม]])*tbl_task4[[%]:[%]])</f>
        <v/>
      </c>
      <c r="KJ27" s="121" t="str">
        <f>IF(ISBLANK(tbl_task4[[คะแนนเต็ม]:[คะแนนเต็ม]]),"",(tbl_task4[126]/tbl_task4[[คะแนนเต็ม]:[คะแนนเต็ม]])*tbl_task4[[%]:[%]])</f>
        <v/>
      </c>
      <c r="KK27" s="121" t="str">
        <f>IF(ISBLANK(tbl_task4[[คะแนนเต็ม]:[คะแนนเต็ม]]),"",(tbl_task4[127]/tbl_task4[[คะแนนเต็ม]:[คะแนนเต็ม]])*tbl_task4[[%]:[%]])</f>
        <v/>
      </c>
      <c r="KL27" s="121" t="str">
        <f>IF(ISBLANK(tbl_task4[[คะแนนเต็ม]:[คะแนนเต็ม]]),"",(tbl_task4[128]/tbl_task4[[คะแนนเต็ม]:[คะแนนเต็ม]])*tbl_task4[[%]:[%]])</f>
        <v/>
      </c>
      <c r="KM27" s="121" t="str">
        <f>IF(ISBLANK(tbl_task4[[คะแนนเต็ม]:[คะแนนเต็ม]]),"",(tbl_task4[129]/tbl_task4[[คะแนนเต็ม]:[คะแนนเต็ม]])*tbl_task4[[%]:[%]])</f>
        <v/>
      </c>
      <c r="KN27" s="121" t="str">
        <f>IF(ISBLANK(tbl_task4[[คะแนนเต็ม]:[คะแนนเต็ม]]),"",(tbl_task4[130]/tbl_task4[[คะแนนเต็ม]:[คะแนนเต็ม]])*tbl_task4[[%]:[%]])</f>
        <v/>
      </c>
      <c r="KO27" s="121" t="str">
        <f>IF(ISBLANK(tbl_task4[[คะแนนเต็ม]:[คะแนนเต็ม]]),"",(tbl_task4[131]/tbl_task4[[คะแนนเต็ม]:[คะแนนเต็ม]])*tbl_task4[[%]:[%]])</f>
        <v/>
      </c>
      <c r="KP27" s="121" t="str">
        <f>IF(ISBLANK(tbl_task4[[คะแนนเต็ม]:[คะแนนเต็ม]]),"",(tbl_task4[132]/tbl_task4[[คะแนนเต็ม]:[คะแนนเต็ม]])*tbl_task4[[%]:[%]])</f>
        <v/>
      </c>
      <c r="KQ27" s="121" t="str">
        <f>IF(ISBLANK(tbl_task4[[คะแนนเต็ม]:[คะแนนเต็ม]]),"",(tbl_task4[133]/tbl_task4[[คะแนนเต็ม]:[คะแนนเต็ม]])*tbl_task4[[%]:[%]])</f>
        <v/>
      </c>
      <c r="KR27" s="121" t="str">
        <f>IF(ISBLANK(tbl_task4[[คะแนนเต็ม]:[คะแนนเต็ม]]),"",(tbl_task4[134]/tbl_task4[[คะแนนเต็ม]:[คะแนนเต็ม]])*tbl_task4[[%]:[%]])</f>
        <v/>
      </c>
      <c r="KS27" s="121" t="str">
        <f>IF(ISBLANK(tbl_task4[[คะแนนเต็ม]:[คะแนนเต็ม]]),"",(tbl_task4[135]/tbl_task4[[คะแนนเต็ม]:[คะแนนเต็ม]])*tbl_task4[[%]:[%]])</f>
        <v/>
      </c>
      <c r="KT27" s="121" t="str">
        <f>IF(ISBLANK(tbl_task4[[คะแนนเต็ม]:[คะแนนเต็ม]]),"",(tbl_task4[136]/tbl_task4[[คะแนนเต็ม]:[คะแนนเต็ม]])*tbl_task4[[%]:[%]])</f>
        <v/>
      </c>
      <c r="KU27" s="121" t="str">
        <f>IF(ISBLANK(tbl_task4[[คะแนนเต็ม]:[คะแนนเต็ม]]),"",(tbl_task4[137]/tbl_task4[[คะแนนเต็ม]:[คะแนนเต็ม]])*tbl_task4[[%]:[%]])</f>
        <v/>
      </c>
      <c r="KV27" s="121" t="str">
        <f>IF(ISBLANK(tbl_task4[[คะแนนเต็ม]:[คะแนนเต็ม]]),"",(tbl_task4[138]/tbl_task4[[คะแนนเต็ม]:[คะแนนเต็ม]])*tbl_task4[[%]:[%]])</f>
        <v/>
      </c>
      <c r="KW27" s="121" t="str">
        <f>IF(ISBLANK(tbl_task4[[คะแนนเต็ม]:[คะแนนเต็ม]]),"",(tbl_task4[139]/tbl_task4[[คะแนนเต็ม]:[คะแนนเต็ม]])*tbl_task4[[%]:[%]])</f>
        <v/>
      </c>
      <c r="KX27" s="121" t="str">
        <f>IF(ISBLANK(tbl_task4[[คะแนนเต็ม]:[คะแนนเต็ม]]),"",(tbl_task4[140]/tbl_task4[[คะแนนเต็ม]:[คะแนนเต็ม]])*tbl_task4[[%]:[%]])</f>
        <v/>
      </c>
      <c r="KY27" s="121" t="str">
        <f>IF(ISBLANK(tbl_task4[[คะแนนเต็ม]:[คะแนนเต็ม]]),"",(tbl_task4[141]/tbl_task4[[คะแนนเต็ม]:[คะแนนเต็ม]])*tbl_task4[[%]:[%]])</f>
        <v/>
      </c>
      <c r="KZ27" s="121" t="str">
        <f>IF(ISBLANK(tbl_task4[[คะแนนเต็ม]:[คะแนนเต็ม]]),"",(tbl_task4[142]/tbl_task4[[คะแนนเต็ม]:[คะแนนเต็ม]])*tbl_task4[[%]:[%]])</f>
        <v/>
      </c>
      <c r="LA27" s="121" t="str">
        <f>IF(ISBLANK(tbl_task4[[คะแนนเต็ม]:[คะแนนเต็ม]]),"",(tbl_task4[143]/tbl_task4[[คะแนนเต็ม]:[คะแนนเต็ม]])*tbl_task4[[%]:[%]])</f>
        <v/>
      </c>
      <c r="LB27" s="121" t="str">
        <f>IF(ISBLANK(tbl_task4[[คะแนนเต็ม]:[คะแนนเต็ม]]),"",(tbl_task4[144]/tbl_task4[[คะแนนเต็ม]:[คะแนนเต็ม]])*tbl_task4[[%]:[%]])</f>
        <v/>
      </c>
      <c r="LC27" s="121" t="str">
        <f>IF(ISBLANK(tbl_task4[[คะแนนเต็ม]:[คะแนนเต็ม]]),"",(tbl_task4[145]/tbl_task4[[คะแนนเต็ม]:[คะแนนเต็ม]])*tbl_task4[[%]:[%]])</f>
        <v/>
      </c>
      <c r="LD27" s="121" t="str">
        <f>IF(ISBLANK(tbl_task4[[คะแนนเต็ม]:[คะแนนเต็ม]]),"",(tbl_task4[146]/tbl_task4[[คะแนนเต็ม]:[คะแนนเต็ม]])*tbl_task4[[%]:[%]])</f>
        <v/>
      </c>
      <c r="LE27" s="121" t="str">
        <f>IF(ISBLANK(tbl_task4[[คะแนนเต็ม]:[คะแนนเต็ม]]),"",(tbl_task4[147]/tbl_task4[[คะแนนเต็ม]:[คะแนนเต็ม]])*tbl_task4[[%]:[%]])</f>
        <v/>
      </c>
      <c r="LF27" s="121" t="str">
        <f>IF(ISBLANK(tbl_task4[[คะแนนเต็ม]:[คะแนนเต็ม]]),"",(tbl_task4[148]/tbl_task4[[คะแนนเต็ม]:[คะแนนเต็ม]])*tbl_task4[[%]:[%]])</f>
        <v/>
      </c>
      <c r="LG27" s="121" t="str">
        <f>IF(ISBLANK(tbl_task4[[คะแนนเต็ม]:[คะแนนเต็ม]]),"",(tbl_task4[149]/tbl_task4[[คะแนนเต็ม]:[คะแนนเต็ม]])*tbl_task4[[%]:[%]])</f>
        <v/>
      </c>
      <c r="LH27" s="121" t="str">
        <f>IF(ISBLANK(tbl_task4[[คะแนนเต็ม]:[คะแนนเต็ม]]),"",(tbl_task4[150]/tbl_task4[[คะแนนเต็ม]:[คะแนนเต็ม]])*tbl_task4[[%]:[%]])</f>
        <v/>
      </c>
      <c r="LI27" s="121" t="str">
        <f>IF(ISBLANK(tbl_task4[[คะแนนเต็ม]:[คะแนนเต็ม]]),"",(tbl_task4[151]/tbl_task4[[คะแนนเต็ม]:[คะแนนเต็ม]])*tbl_task4[[%]:[%]])</f>
        <v/>
      </c>
      <c r="LJ27" s="121" t="str">
        <f>IF(ISBLANK(tbl_task4[[คะแนนเต็ม]:[คะแนนเต็ม]]),"",(tbl_task4[152]/tbl_task4[[คะแนนเต็ม]:[คะแนนเต็ม]])*tbl_task4[[%]:[%]])</f>
        <v/>
      </c>
      <c r="LK27" s="121" t="str">
        <f>IF(ISBLANK(tbl_task4[[คะแนนเต็ม]:[คะแนนเต็ม]]),"",(tbl_task4[153]/tbl_task4[[คะแนนเต็ม]:[คะแนนเต็ม]])*tbl_task4[[%]:[%]])</f>
        <v/>
      </c>
      <c r="LL27" s="121" t="str">
        <f>IF(ISBLANK(tbl_task4[[คะแนนเต็ม]:[คะแนนเต็ม]]),"",(tbl_task4[154]/tbl_task4[[คะแนนเต็ม]:[คะแนนเต็ม]])*tbl_task4[[%]:[%]])</f>
        <v/>
      </c>
      <c r="LM27" s="121" t="str">
        <f>IF(ISBLANK(tbl_task4[[คะแนนเต็ม]:[คะแนนเต็ม]]),"",(tbl_task4[155]/tbl_task4[[คะแนนเต็ม]:[คะแนนเต็ม]])*tbl_task4[[%]:[%]])</f>
        <v/>
      </c>
      <c r="LN27" s="121" t="str">
        <f>IF(ISBLANK(tbl_task4[[คะแนนเต็ม]:[คะแนนเต็ม]]),"",(tbl_task4[156]/tbl_task4[[คะแนนเต็ม]:[คะแนนเต็ม]])*tbl_task4[[%]:[%]])</f>
        <v/>
      </c>
      <c r="LO27" s="121" t="str">
        <f>IF(ISBLANK(tbl_task4[[คะแนนเต็ม]:[คะแนนเต็ม]]),"",(tbl_task4[157]/tbl_task4[[คะแนนเต็ม]:[คะแนนเต็ม]])*tbl_task4[[%]:[%]])</f>
        <v/>
      </c>
      <c r="LP27" s="121" t="str">
        <f>IF(ISBLANK(tbl_task4[[คะแนนเต็ม]:[คะแนนเต็ม]]),"",(tbl_task4[158]/tbl_task4[[คะแนนเต็ม]:[คะแนนเต็ม]])*tbl_task4[[%]:[%]])</f>
        <v/>
      </c>
      <c r="LQ27" s="121" t="str">
        <f>IF(ISBLANK(tbl_task4[[คะแนนเต็ม]:[คะแนนเต็ม]]),"",(tbl_task4[159]/tbl_task4[[คะแนนเต็ม]:[คะแนนเต็ม]])*tbl_task4[[%]:[%]])</f>
        <v/>
      </c>
      <c r="LR27" s="121" t="str">
        <f>IF(ISBLANK(tbl_task4[[คะแนนเต็ม]:[คะแนนเต็ม]]),"",(tbl_task4[160]/tbl_task4[[คะแนนเต็ม]:[คะแนนเต็ม]])*tbl_task4[[%]:[%]])</f>
        <v/>
      </c>
      <c r="LS27" s="121" t="str">
        <f>IF(ISBLANK(tbl_task4[[คะแนนเต็ม]:[คะแนนเต็ม]]),"",(tbl_task4[161]/tbl_task4[[คะแนนเต็ม]:[คะแนนเต็ม]])*tbl_task4[[%]:[%]])</f>
        <v/>
      </c>
      <c r="LT27" s="121" t="str">
        <f>IF(ISBLANK(tbl_task4[[คะแนนเต็ม]:[คะแนนเต็ม]]),"",(tbl_task4[162]/tbl_task4[[คะแนนเต็ม]:[คะแนนเต็ม]])*tbl_task4[[%]:[%]])</f>
        <v/>
      </c>
      <c r="LU27" s="121" t="str">
        <f>IF(ISBLANK(tbl_task4[[คะแนนเต็ม]:[คะแนนเต็ม]]),"",(tbl_task4[163]/tbl_task4[[คะแนนเต็ม]:[คะแนนเต็ม]])*tbl_task4[[%]:[%]])</f>
        <v/>
      </c>
      <c r="LV27" s="121" t="str">
        <f>IF(ISBLANK(tbl_task4[[คะแนนเต็ม]:[คะแนนเต็ม]]),"",(tbl_task4[164]/tbl_task4[[คะแนนเต็ม]:[คะแนนเต็ม]])*tbl_task4[[%]:[%]])</f>
        <v/>
      </c>
      <c r="LW27" s="121" t="str">
        <f>IF(ISBLANK(tbl_task4[[คะแนนเต็ม]:[คะแนนเต็ม]]),"",(tbl_task4[165]/tbl_task4[[คะแนนเต็ม]:[คะแนนเต็ม]])*tbl_task4[[%]:[%]])</f>
        <v/>
      </c>
    </row>
    <row r="28" spans="1:335" ht="24" customHeight="1" x14ac:dyDescent="0.25">
      <c r="A28" s="24">
        <v>24</v>
      </c>
      <c r="B28" s="20"/>
      <c r="C28" s="5" t="str">
        <f>IF(ISBLANK(B28),"",VLOOKUP(B28,tbl_PLOs[],2,0))</f>
        <v/>
      </c>
      <c r="D28" s="102"/>
      <c r="E28" s="106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21" t="str">
        <f>IF(ISBLANK(tbl_task4[[คะแนนเต็ม]:[คะแนนเต็ม]]),"",(tbl_task4[1]/tbl_task4[[คะแนนเต็ม]:[คะแนนเต็ม]])*tbl_task4[[%]:[%]])</f>
        <v/>
      </c>
      <c r="FP28" s="121" t="str">
        <f>IF(ISBLANK(tbl_task4[[คะแนนเต็ม]:[คะแนนเต็ม]]),"",(tbl_task4[2]/tbl_task4[[คะแนนเต็ม]:[คะแนนเต็ม]])*tbl_task4[[%]:[%]])</f>
        <v/>
      </c>
      <c r="FQ28" s="121" t="str">
        <f>IF(ISBLANK(tbl_task4[[คะแนนเต็ม]:[คะแนนเต็ม]]),"",(tbl_task4[3]/tbl_task4[[คะแนนเต็ม]:[คะแนนเต็ม]])*tbl_task4[[%]:[%]])</f>
        <v/>
      </c>
      <c r="FR28" s="121" t="str">
        <f>IF(ISBLANK(tbl_task4[[คะแนนเต็ม]:[คะแนนเต็ม]]),"",(tbl_task4[4]/tbl_task4[[คะแนนเต็ม]:[คะแนนเต็ม]])*tbl_task4[[%]:[%]])</f>
        <v/>
      </c>
      <c r="FS28" s="121" t="str">
        <f>IF(ISBLANK(tbl_task4[[คะแนนเต็ม]:[คะแนนเต็ม]]),"",(tbl_task4[5]/tbl_task4[[คะแนนเต็ม]:[คะแนนเต็ม]])*tbl_task4[[%]:[%]])</f>
        <v/>
      </c>
      <c r="FT28" s="121" t="str">
        <f>IF(ISBLANK(tbl_task4[[คะแนนเต็ม]:[คะแนนเต็ม]]),"",(tbl_task4[6]/tbl_task4[[คะแนนเต็ม]:[คะแนนเต็ม]])*tbl_task4[[%]:[%]])</f>
        <v/>
      </c>
      <c r="FU28" s="121" t="str">
        <f>IF(ISBLANK(tbl_task4[[คะแนนเต็ม]:[คะแนนเต็ม]]),"",(tbl_task4[7]/tbl_task4[[คะแนนเต็ม]:[คะแนนเต็ม]])*tbl_task4[[%]:[%]])</f>
        <v/>
      </c>
      <c r="FV28" s="121" t="str">
        <f>IF(ISBLANK(tbl_task4[[คะแนนเต็ม]:[คะแนนเต็ม]]),"",(tbl_task4[8]/tbl_task4[[คะแนนเต็ม]:[คะแนนเต็ม]])*tbl_task4[[%]:[%]])</f>
        <v/>
      </c>
      <c r="FW28" s="121" t="str">
        <f>IF(ISBLANK(tbl_task4[[คะแนนเต็ม]:[คะแนนเต็ม]]),"",(tbl_task4[9]/tbl_task4[[คะแนนเต็ม]:[คะแนนเต็ม]])*tbl_task4[[%]:[%]])</f>
        <v/>
      </c>
      <c r="FX28" s="121" t="str">
        <f>IF(ISBLANK(tbl_task4[[คะแนนเต็ม]:[คะแนนเต็ม]]),"",(tbl_task4[10]/tbl_task4[[คะแนนเต็ม]:[คะแนนเต็ม]])*tbl_task4[[%]:[%]])</f>
        <v/>
      </c>
      <c r="FY28" s="121" t="str">
        <f>IF(ISBLANK(tbl_task4[[คะแนนเต็ม]:[คะแนนเต็ม]]),"",(tbl_task4[11]/tbl_task4[[คะแนนเต็ม]:[คะแนนเต็ม]])*tbl_task4[[%]:[%]])</f>
        <v/>
      </c>
      <c r="FZ28" s="121" t="str">
        <f>IF(ISBLANK(tbl_task4[[คะแนนเต็ม]:[คะแนนเต็ม]]),"",(tbl_task4[12]/tbl_task4[[คะแนนเต็ม]:[คะแนนเต็ม]])*tbl_task4[[%]:[%]])</f>
        <v/>
      </c>
      <c r="GA28" s="121" t="str">
        <f>IF(ISBLANK(tbl_task4[[คะแนนเต็ม]:[คะแนนเต็ม]]),"",(tbl_task4[13]/tbl_task4[[คะแนนเต็ม]:[คะแนนเต็ม]])*tbl_task4[[%]:[%]])</f>
        <v/>
      </c>
      <c r="GB28" s="121" t="str">
        <f>IF(ISBLANK(tbl_task4[[คะแนนเต็ม]:[คะแนนเต็ม]]),"",(tbl_task4[14]/tbl_task4[[คะแนนเต็ม]:[คะแนนเต็ม]])*tbl_task4[[%]:[%]])</f>
        <v/>
      </c>
      <c r="GC28" s="121" t="str">
        <f>IF(ISBLANK(tbl_task4[[คะแนนเต็ม]:[คะแนนเต็ม]]),"",(tbl_task4[15]/tbl_task4[[คะแนนเต็ม]:[คะแนนเต็ม]])*tbl_task4[[%]:[%]])</f>
        <v/>
      </c>
      <c r="GD28" s="121" t="str">
        <f>IF(ISBLANK(tbl_task4[[คะแนนเต็ม]:[คะแนนเต็ม]]),"",(tbl_task4[16]/tbl_task4[[คะแนนเต็ม]:[คะแนนเต็ม]])*tbl_task4[[%]:[%]])</f>
        <v/>
      </c>
      <c r="GE28" s="121" t="str">
        <f>IF(ISBLANK(tbl_task4[[คะแนนเต็ม]:[คะแนนเต็ม]]),"",(tbl_task4[17]/tbl_task4[[คะแนนเต็ม]:[คะแนนเต็ม]])*tbl_task4[[%]:[%]])</f>
        <v/>
      </c>
      <c r="GF28" s="121" t="str">
        <f>IF(ISBLANK(tbl_task4[[คะแนนเต็ม]:[คะแนนเต็ม]]),"",(tbl_task4[18]/tbl_task4[[คะแนนเต็ม]:[คะแนนเต็ม]])*tbl_task4[[%]:[%]])</f>
        <v/>
      </c>
      <c r="GG28" s="121" t="str">
        <f>IF(ISBLANK(tbl_task4[[คะแนนเต็ม]:[คะแนนเต็ม]]),"",(tbl_task4[19]/tbl_task4[[คะแนนเต็ม]:[คะแนนเต็ม]])*tbl_task4[[%]:[%]])</f>
        <v/>
      </c>
      <c r="GH28" s="121" t="str">
        <f>IF(ISBLANK(tbl_task4[[คะแนนเต็ม]:[คะแนนเต็ม]]),"",(tbl_task4[20]/tbl_task4[[คะแนนเต็ม]:[คะแนนเต็ม]])*tbl_task4[[%]:[%]])</f>
        <v/>
      </c>
      <c r="GI28" s="121" t="str">
        <f>IF(ISBLANK(tbl_task4[[คะแนนเต็ม]:[คะแนนเต็ม]]),"",(tbl_task4[21]/tbl_task4[[คะแนนเต็ม]:[คะแนนเต็ม]])*tbl_task4[[%]:[%]])</f>
        <v/>
      </c>
      <c r="GJ28" s="121" t="str">
        <f>IF(ISBLANK(tbl_task4[[คะแนนเต็ม]:[คะแนนเต็ม]]),"",(tbl_task4[22]/tbl_task4[[คะแนนเต็ม]:[คะแนนเต็ม]])*tbl_task4[[%]:[%]])</f>
        <v/>
      </c>
      <c r="GK28" s="121" t="str">
        <f>IF(ISBLANK(tbl_task4[[คะแนนเต็ม]:[คะแนนเต็ม]]),"",(tbl_task4[23]/tbl_task4[[คะแนนเต็ม]:[คะแนนเต็ม]])*tbl_task4[[%]:[%]])</f>
        <v/>
      </c>
      <c r="GL28" s="121" t="str">
        <f>IF(ISBLANK(tbl_task4[[คะแนนเต็ม]:[คะแนนเต็ม]]),"",(tbl_task4[24]/tbl_task4[[คะแนนเต็ม]:[คะแนนเต็ม]])*tbl_task4[[%]:[%]])</f>
        <v/>
      </c>
      <c r="GM28" s="121" t="str">
        <f>IF(ISBLANK(tbl_task4[[คะแนนเต็ม]:[คะแนนเต็ม]]),"",(tbl_task4[25]/tbl_task4[[คะแนนเต็ม]:[คะแนนเต็ม]])*tbl_task4[[%]:[%]])</f>
        <v/>
      </c>
      <c r="GN28" s="121" t="str">
        <f>IF(ISBLANK(tbl_task4[[คะแนนเต็ม]:[คะแนนเต็ม]]),"",(tbl_task4[26]/tbl_task4[[คะแนนเต็ม]:[คะแนนเต็ม]])*tbl_task4[[%]:[%]])</f>
        <v/>
      </c>
      <c r="GO28" s="121" t="str">
        <f>IF(ISBLANK(tbl_task4[[คะแนนเต็ม]:[คะแนนเต็ม]]),"",(tbl_task4[27]/tbl_task4[[คะแนนเต็ม]:[คะแนนเต็ม]])*tbl_task4[[%]:[%]])</f>
        <v/>
      </c>
      <c r="GP28" s="121" t="str">
        <f>IF(ISBLANK(tbl_task4[[คะแนนเต็ม]:[คะแนนเต็ม]]),"",(tbl_task4[28]/tbl_task4[[คะแนนเต็ม]:[คะแนนเต็ม]])*tbl_task4[[%]:[%]])</f>
        <v/>
      </c>
      <c r="GQ28" s="121" t="str">
        <f>IF(ISBLANK(tbl_task4[[คะแนนเต็ม]:[คะแนนเต็ม]]),"",(tbl_task4[29]/tbl_task4[[คะแนนเต็ม]:[คะแนนเต็ม]])*tbl_task4[[%]:[%]])</f>
        <v/>
      </c>
      <c r="GR28" s="121" t="str">
        <f>IF(ISBLANK(tbl_task4[[คะแนนเต็ม]:[คะแนนเต็ม]]),"",(tbl_task4[30]/tbl_task4[[คะแนนเต็ม]:[คะแนนเต็ม]])*tbl_task4[[%]:[%]])</f>
        <v/>
      </c>
      <c r="GS28" s="121" t="str">
        <f>IF(ISBLANK(tbl_task4[[คะแนนเต็ม]:[คะแนนเต็ม]]),"",(tbl_task4[31]/tbl_task4[[คะแนนเต็ม]:[คะแนนเต็ม]])*tbl_task4[[%]:[%]])</f>
        <v/>
      </c>
      <c r="GT28" s="121" t="str">
        <f>IF(ISBLANK(tbl_task4[[คะแนนเต็ม]:[คะแนนเต็ม]]),"",(tbl_task4[32]/tbl_task4[[คะแนนเต็ม]:[คะแนนเต็ม]])*tbl_task4[[%]:[%]])</f>
        <v/>
      </c>
      <c r="GU28" s="121" t="str">
        <f>IF(ISBLANK(tbl_task4[[คะแนนเต็ม]:[คะแนนเต็ม]]),"",(tbl_task4[33]/tbl_task4[[คะแนนเต็ม]:[คะแนนเต็ม]])*tbl_task4[[%]:[%]])</f>
        <v/>
      </c>
      <c r="GV28" s="121" t="str">
        <f>IF(ISBLANK(tbl_task4[[คะแนนเต็ม]:[คะแนนเต็ม]]),"",(tbl_task4[34]/tbl_task4[[คะแนนเต็ม]:[คะแนนเต็ม]])*tbl_task4[[%]:[%]])</f>
        <v/>
      </c>
      <c r="GW28" s="121" t="str">
        <f>IF(ISBLANK(tbl_task4[[คะแนนเต็ม]:[คะแนนเต็ม]]),"",(tbl_task4[35]/tbl_task4[[คะแนนเต็ม]:[คะแนนเต็ม]])*tbl_task4[[%]:[%]])</f>
        <v/>
      </c>
      <c r="GX28" s="121" t="str">
        <f>IF(ISBLANK(tbl_task4[[คะแนนเต็ม]:[คะแนนเต็ม]]),"",(tbl_task4[36]/tbl_task4[[คะแนนเต็ม]:[คะแนนเต็ม]])*tbl_task4[[%]:[%]])</f>
        <v/>
      </c>
      <c r="GY28" s="121" t="str">
        <f>IF(ISBLANK(tbl_task4[[คะแนนเต็ม]:[คะแนนเต็ม]]),"",(tbl_task4[37]/tbl_task4[[คะแนนเต็ม]:[คะแนนเต็ม]])*tbl_task4[[%]:[%]])</f>
        <v/>
      </c>
      <c r="GZ28" s="121" t="str">
        <f>IF(ISBLANK(tbl_task4[[คะแนนเต็ม]:[คะแนนเต็ม]]),"",(tbl_task4[38]/tbl_task4[[คะแนนเต็ม]:[คะแนนเต็ม]])*tbl_task4[[%]:[%]])</f>
        <v/>
      </c>
      <c r="HA28" s="121" t="str">
        <f>IF(ISBLANK(tbl_task4[[คะแนนเต็ม]:[คะแนนเต็ม]]),"",(tbl_task4[39]/tbl_task4[[คะแนนเต็ม]:[คะแนนเต็ม]])*tbl_task4[[%]:[%]])</f>
        <v/>
      </c>
      <c r="HB28" s="121" t="str">
        <f>IF(ISBLANK(tbl_task4[[คะแนนเต็ม]:[คะแนนเต็ม]]),"",(tbl_task4[40]/tbl_task4[[คะแนนเต็ม]:[คะแนนเต็ม]])*tbl_task4[[%]:[%]])</f>
        <v/>
      </c>
      <c r="HC28" s="121" t="str">
        <f>IF(ISBLANK(tbl_task4[[คะแนนเต็ม]:[คะแนนเต็ม]]),"",(tbl_task4[41]/tbl_task4[[คะแนนเต็ม]:[คะแนนเต็ม]])*tbl_task4[[%]:[%]])</f>
        <v/>
      </c>
      <c r="HD28" s="121" t="str">
        <f>IF(ISBLANK(tbl_task4[[คะแนนเต็ม]:[คะแนนเต็ม]]),"",(tbl_task4[42]/tbl_task4[[คะแนนเต็ม]:[คะแนนเต็ม]])*tbl_task4[[%]:[%]])</f>
        <v/>
      </c>
      <c r="HE28" s="121" t="str">
        <f>IF(ISBLANK(tbl_task4[[คะแนนเต็ม]:[คะแนนเต็ม]]),"",(tbl_task4[43]/tbl_task4[[คะแนนเต็ม]:[คะแนนเต็ม]])*tbl_task4[[%]:[%]])</f>
        <v/>
      </c>
      <c r="HF28" s="121" t="str">
        <f>IF(ISBLANK(tbl_task4[[คะแนนเต็ม]:[คะแนนเต็ม]]),"",(tbl_task4[44]/tbl_task4[[คะแนนเต็ม]:[คะแนนเต็ม]])*tbl_task4[[%]:[%]])</f>
        <v/>
      </c>
      <c r="HG28" s="121" t="str">
        <f>IF(ISBLANK(tbl_task4[[คะแนนเต็ม]:[คะแนนเต็ม]]),"",(tbl_task4[45]/tbl_task4[[คะแนนเต็ม]:[คะแนนเต็ม]])*tbl_task4[[%]:[%]])</f>
        <v/>
      </c>
      <c r="HH28" s="121" t="str">
        <f>IF(ISBLANK(tbl_task4[[คะแนนเต็ม]:[คะแนนเต็ม]]),"",(tbl_task4[46]/tbl_task4[[คะแนนเต็ม]:[คะแนนเต็ม]])*tbl_task4[[%]:[%]])</f>
        <v/>
      </c>
      <c r="HI28" s="121" t="str">
        <f>IF(ISBLANK(tbl_task4[[คะแนนเต็ม]:[คะแนนเต็ม]]),"",(tbl_task4[47]/tbl_task4[[คะแนนเต็ม]:[คะแนนเต็ม]])*tbl_task4[[%]:[%]])</f>
        <v/>
      </c>
      <c r="HJ28" s="121" t="str">
        <f>IF(ISBLANK(tbl_task4[[คะแนนเต็ม]:[คะแนนเต็ม]]),"",(tbl_task4[48]/tbl_task4[[คะแนนเต็ม]:[คะแนนเต็ม]])*tbl_task4[[%]:[%]])</f>
        <v/>
      </c>
      <c r="HK28" s="121" t="str">
        <f>IF(ISBLANK(tbl_task4[[คะแนนเต็ม]:[คะแนนเต็ม]]),"",(tbl_task4[49]/tbl_task4[[คะแนนเต็ม]:[คะแนนเต็ม]])*tbl_task4[[%]:[%]])</f>
        <v/>
      </c>
      <c r="HL28" s="121" t="str">
        <f>IF(ISBLANK(tbl_task4[[คะแนนเต็ม]:[คะแนนเต็ม]]),"",(tbl_task4[50]/tbl_task4[[คะแนนเต็ม]:[คะแนนเต็ม]])*tbl_task4[[%]:[%]])</f>
        <v/>
      </c>
      <c r="HM28" s="121" t="str">
        <f>IF(ISBLANK(tbl_task4[[คะแนนเต็ม]:[คะแนนเต็ม]]),"",(tbl_task4[51]/tbl_task4[[คะแนนเต็ม]:[คะแนนเต็ม]])*tbl_task4[[%]:[%]])</f>
        <v/>
      </c>
      <c r="HN28" s="121" t="str">
        <f>IF(ISBLANK(tbl_task4[[คะแนนเต็ม]:[คะแนนเต็ม]]),"",(tbl_task4[52]/tbl_task4[[คะแนนเต็ม]:[คะแนนเต็ม]])*tbl_task4[[%]:[%]])</f>
        <v/>
      </c>
      <c r="HO28" s="121" t="str">
        <f>IF(ISBLANK(tbl_task4[[คะแนนเต็ม]:[คะแนนเต็ม]]),"",(tbl_task4[53]/tbl_task4[[คะแนนเต็ม]:[คะแนนเต็ม]])*tbl_task4[[%]:[%]])</f>
        <v/>
      </c>
      <c r="HP28" s="121" t="str">
        <f>IF(ISBLANK(tbl_task4[[คะแนนเต็ม]:[คะแนนเต็ม]]),"",(tbl_task4[54]/tbl_task4[[คะแนนเต็ม]:[คะแนนเต็ม]])*tbl_task4[[%]:[%]])</f>
        <v/>
      </c>
      <c r="HQ28" s="121" t="str">
        <f>IF(ISBLANK(tbl_task4[[คะแนนเต็ม]:[คะแนนเต็ม]]),"",(tbl_task4[55]/tbl_task4[[คะแนนเต็ม]:[คะแนนเต็ม]])*tbl_task4[[%]:[%]])</f>
        <v/>
      </c>
      <c r="HR28" s="121" t="str">
        <f>IF(ISBLANK(tbl_task4[[คะแนนเต็ม]:[คะแนนเต็ม]]),"",(tbl_task4[56]/tbl_task4[[คะแนนเต็ม]:[คะแนนเต็ม]])*tbl_task4[[%]:[%]])</f>
        <v/>
      </c>
      <c r="HS28" s="121" t="str">
        <f>IF(ISBLANK(tbl_task4[[คะแนนเต็ม]:[คะแนนเต็ม]]),"",(tbl_task4[57]/tbl_task4[[คะแนนเต็ม]:[คะแนนเต็ม]])*tbl_task4[[%]:[%]])</f>
        <v/>
      </c>
      <c r="HT28" s="121" t="str">
        <f>IF(ISBLANK(tbl_task4[[คะแนนเต็ม]:[คะแนนเต็ม]]),"",(tbl_task4[58]/tbl_task4[[คะแนนเต็ม]:[คะแนนเต็ม]])*tbl_task4[[%]:[%]])</f>
        <v/>
      </c>
      <c r="HU28" s="121" t="str">
        <f>IF(ISBLANK(tbl_task4[[คะแนนเต็ม]:[คะแนนเต็ม]]),"",(tbl_task4[59]/tbl_task4[[คะแนนเต็ม]:[คะแนนเต็ม]])*tbl_task4[[%]:[%]])</f>
        <v/>
      </c>
      <c r="HV28" s="121" t="str">
        <f>IF(ISBLANK(tbl_task4[[คะแนนเต็ม]:[คะแนนเต็ม]]),"",(tbl_task4[60]/tbl_task4[[คะแนนเต็ม]:[คะแนนเต็ม]])*tbl_task4[[%]:[%]])</f>
        <v/>
      </c>
      <c r="HW28" s="121" t="str">
        <f>IF(ISBLANK(tbl_task4[[คะแนนเต็ม]:[คะแนนเต็ม]]),"",(tbl_task4[61]/tbl_task4[[คะแนนเต็ม]:[คะแนนเต็ม]])*tbl_task4[[%]:[%]])</f>
        <v/>
      </c>
      <c r="HX28" s="121" t="str">
        <f>IF(ISBLANK(tbl_task4[[คะแนนเต็ม]:[คะแนนเต็ม]]),"",(tbl_task4[62]/tbl_task4[[คะแนนเต็ม]:[คะแนนเต็ม]])*tbl_task4[[%]:[%]])</f>
        <v/>
      </c>
      <c r="HY28" s="121" t="str">
        <f>IF(ISBLANK(tbl_task4[[คะแนนเต็ม]:[คะแนนเต็ม]]),"",(tbl_task4[63]/tbl_task4[[คะแนนเต็ม]:[คะแนนเต็ม]])*tbl_task4[[%]:[%]])</f>
        <v/>
      </c>
      <c r="HZ28" s="121" t="str">
        <f>IF(ISBLANK(tbl_task4[[คะแนนเต็ม]:[คะแนนเต็ม]]),"",(tbl_task4[64]/tbl_task4[[คะแนนเต็ม]:[คะแนนเต็ม]])*tbl_task4[[%]:[%]])</f>
        <v/>
      </c>
      <c r="IA28" s="121" t="str">
        <f>IF(ISBLANK(tbl_task4[[คะแนนเต็ม]:[คะแนนเต็ม]]),"",(tbl_task4[65]/tbl_task4[[คะแนนเต็ม]:[คะแนนเต็ม]])*tbl_task4[[%]:[%]])</f>
        <v/>
      </c>
      <c r="IB28" s="121" t="str">
        <f>IF(ISBLANK(tbl_task4[[คะแนนเต็ม]:[คะแนนเต็ม]]),"",(tbl_task4[66]/tbl_task4[[คะแนนเต็ม]:[คะแนนเต็ม]])*tbl_task4[[%]:[%]])</f>
        <v/>
      </c>
      <c r="IC28" s="121" t="str">
        <f>IF(ISBLANK(tbl_task4[[คะแนนเต็ม]:[คะแนนเต็ม]]),"",(tbl_task4[67]/tbl_task4[[คะแนนเต็ม]:[คะแนนเต็ม]])*tbl_task4[[%]:[%]])</f>
        <v/>
      </c>
      <c r="ID28" s="121" t="str">
        <f>IF(ISBLANK(tbl_task4[[คะแนนเต็ม]:[คะแนนเต็ม]]),"",(tbl_task4[68]/tbl_task4[[คะแนนเต็ม]:[คะแนนเต็ม]])*tbl_task4[[%]:[%]])</f>
        <v/>
      </c>
      <c r="IE28" s="121" t="str">
        <f>IF(ISBLANK(tbl_task4[[คะแนนเต็ม]:[คะแนนเต็ม]]),"",(tbl_task4[69]/tbl_task4[[คะแนนเต็ม]:[คะแนนเต็ม]])*tbl_task4[[%]:[%]])</f>
        <v/>
      </c>
      <c r="IF28" s="121" t="str">
        <f>IF(ISBLANK(tbl_task4[[คะแนนเต็ม]:[คะแนนเต็ม]]),"",(tbl_task4[70]/tbl_task4[[คะแนนเต็ม]:[คะแนนเต็ม]])*tbl_task4[[%]:[%]])</f>
        <v/>
      </c>
      <c r="IG28" s="121" t="str">
        <f>IF(ISBLANK(tbl_task4[[คะแนนเต็ม]:[คะแนนเต็ม]]),"",(tbl_task4[71]/tbl_task4[[คะแนนเต็ม]:[คะแนนเต็ม]])*tbl_task4[[%]:[%]])</f>
        <v/>
      </c>
      <c r="IH28" s="121" t="str">
        <f>IF(ISBLANK(tbl_task4[[คะแนนเต็ม]:[คะแนนเต็ม]]),"",(tbl_task4[72]/tbl_task4[[คะแนนเต็ม]:[คะแนนเต็ม]])*tbl_task4[[%]:[%]])</f>
        <v/>
      </c>
      <c r="II28" s="121" t="str">
        <f>IF(ISBLANK(tbl_task4[[คะแนนเต็ม]:[คะแนนเต็ม]]),"",(tbl_task4[73]/tbl_task4[[คะแนนเต็ม]:[คะแนนเต็ม]])*tbl_task4[[%]:[%]])</f>
        <v/>
      </c>
      <c r="IJ28" s="121" t="str">
        <f>IF(ISBLANK(tbl_task4[[คะแนนเต็ม]:[คะแนนเต็ม]]),"",(tbl_task4[74]/tbl_task4[[คะแนนเต็ม]:[คะแนนเต็ม]])*tbl_task4[[%]:[%]])</f>
        <v/>
      </c>
      <c r="IK28" s="121" t="str">
        <f>IF(ISBLANK(tbl_task4[[คะแนนเต็ม]:[คะแนนเต็ม]]),"",(tbl_task4[75]/tbl_task4[[คะแนนเต็ม]:[คะแนนเต็ม]])*tbl_task4[[%]:[%]])</f>
        <v/>
      </c>
      <c r="IL28" s="121" t="str">
        <f>IF(ISBLANK(tbl_task4[[คะแนนเต็ม]:[คะแนนเต็ม]]),"",(tbl_task4[76]/tbl_task4[[คะแนนเต็ม]:[คะแนนเต็ม]])*tbl_task4[[%]:[%]])</f>
        <v/>
      </c>
      <c r="IM28" s="121" t="str">
        <f>IF(ISBLANK(tbl_task4[[คะแนนเต็ม]:[คะแนนเต็ม]]),"",(tbl_task4[77]/tbl_task4[[คะแนนเต็ม]:[คะแนนเต็ม]])*tbl_task4[[%]:[%]])</f>
        <v/>
      </c>
      <c r="IN28" s="121" t="str">
        <f>IF(ISBLANK(tbl_task4[[คะแนนเต็ม]:[คะแนนเต็ม]]),"",(tbl_task4[78]/tbl_task4[[คะแนนเต็ม]:[คะแนนเต็ม]])*tbl_task4[[%]:[%]])</f>
        <v/>
      </c>
      <c r="IO28" s="121" t="str">
        <f>IF(ISBLANK(tbl_task4[[คะแนนเต็ม]:[คะแนนเต็ม]]),"",(tbl_task4[79]/tbl_task4[[คะแนนเต็ม]:[คะแนนเต็ม]])*tbl_task4[[%]:[%]])</f>
        <v/>
      </c>
      <c r="IP28" s="121" t="str">
        <f>IF(ISBLANK(tbl_task4[[คะแนนเต็ม]:[คะแนนเต็ม]]),"",(tbl_task4[80]/tbl_task4[[คะแนนเต็ม]:[คะแนนเต็ม]])*tbl_task4[[%]:[%]])</f>
        <v/>
      </c>
      <c r="IQ28" s="121" t="str">
        <f>IF(ISBLANK(tbl_task4[[คะแนนเต็ม]:[คะแนนเต็ม]]),"",(tbl_task4[81]/tbl_task4[[คะแนนเต็ม]:[คะแนนเต็ม]])*tbl_task4[[%]:[%]])</f>
        <v/>
      </c>
      <c r="IR28" s="121" t="str">
        <f>IF(ISBLANK(tbl_task4[[คะแนนเต็ม]:[คะแนนเต็ม]]),"",(tbl_task4[82]/tbl_task4[[คะแนนเต็ม]:[คะแนนเต็ม]])*tbl_task4[[%]:[%]])</f>
        <v/>
      </c>
      <c r="IS28" s="121" t="str">
        <f>IF(ISBLANK(tbl_task4[[คะแนนเต็ม]:[คะแนนเต็ม]]),"",(tbl_task4[83]/tbl_task4[[คะแนนเต็ม]:[คะแนนเต็ม]])*tbl_task4[[%]:[%]])</f>
        <v/>
      </c>
      <c r="IT28" s="121" t="str">
        <f>IF(ISBLANK(tbl_task4[[คะแนนเต็ม]:[คะแนนเต็ม]]),"",(tbl_task4[84]/tbl_task4[[คะแนนเต็ม]:[คะแนนเต็ม]])*tbl_task4[[%]:[%]])</f>
        <v/>
      </c>
      <c r="IU28" s="121" t="str">
        <f>IF(ISBLANK(tbl_task4[[คะแนนเต็ม]:[คะแนนเต็ม]]),"",(tbl_task4[85]/tbl_task4[[คะแนนเต็ม]:[คะแนนเต็ม]])*tbl_task4[[%]:[%]])</f>
        <v/>
      </c>
      <c r="IV28" s="121" t="str">
        <f>IF(ISBLANK(tbl_task4[[คะแนนเต็ม]:[คะแนนเต็ม]]),"",(tbl_task4[86]/tbl_task4[[คะแนนเต็ม]:[คะแนนเต็ม]])*tbl_task4[[%]:[%]])</f>
        <v/>
      </c>
      <c r="IW28" s="121" t="str">
        <f>IF(ISBLANK(tbl_task4[[คะแนนเต็ม]:[คะแนนเต็ม]]),"",(tbl_task4[87]/tbl_task4[[คะแนนเต็ม]:[คะแนนเต็ม]])*tbl_task4[[%]:[%]])</f>
        <v/>
      </c>
      <c r="IX28" s="121" t="str">
        <f>IF(ISBLANK(tbl_task4[[คะแนนเต็ม]:[คะแนนเต็ม]]),"",(tbl_task4[88]/tbl_task4[[คะแนนเต็ม]:[คะแนนเต็ม]])*tbl_task4[[%]:[%]])</f>
        <v/>
      </c>
      <c r="IY28" s="121" t="str">
        <f>IF(ISBLANK(tbl_task4[[คะแนนเต็ม]:[คะแนนเต็ม]]),"",(tbl_task4[89]/tbl_task4[[คะแนนเต็ม]:[คะแนนเต็ม]])*tbl_task4[[%]:[%]])</f>
        <v/>
      </c>
      <c r="IZ28" s="121" t="str">
        <f>IF(ISBLANK(tbl_task4[[คะแนนเต็ม]:[คะแนนเต็ม]]),"",(tbl_task4[90]/tbl_task4[[คะแนนเต็ม]:[คะแนนเต็ม]])*tbl_task4[[%]:[%]])</f>
        <v/>
      </c>
      <c r="JA28" s="121" t="str">
        <f>IF(ISBLANK(tbl_task4[[คะแนนเต็ม]:[คะแนนเต็ม]]),"",(tbl_task4[91]/tbl_task4[[คะแนนเต็ม]:[คะแนนเต็ม]])*tbl_task4[[%]:[%]])</f>
        <v/>
      </c>
      <c r="JB28" s="121" t="str">
        <f>IF(ISBLANK(tbl_task4[[คะแนนเต็ม]:[คะแนนเต็ม]]),"",(tbl_task4[92]/tbl_task4[[คะแนนเต็ม]:[คะแนนเต็ม]])*tbl_task4[[%]:[%]])</f>
        <v/>
      </c>
      <c r="JC28" s="121" t="str">
        <f>IF(ISBLANK(tbl_task4[[คะแนนเต็ม]:[คะแนนเต็ม]]),"",(tbl_task4[93]/tbl_task4[[คะแนนเต็ม]:[คะแนนเต็ม]])*tbl_task4[[%]:[%]])</f>
        <v/>
      </c>
      <c r="JD28" s="121" t="str">
        <f>IF(ISBLANK(tbl_task4[[คะแนนเต็ม]:[คะแนนเต็ม]]),"",(tbl_task4[94]/tbl_task4[[คะแนนเต็ม]:[คะแนนเต็ม]])*tbl_task4[[%]:[%]])</f>
        <v/>
      </c>
      <c r="JE28" s="121" t="str">
        <f>IF(ISBLANK(tbl_task4[[คะแนนเต็ม]:[คะแนนเต็ม]]),"",(tbl_task4[95]/tbl_task4[[คะแนนเต็ม]:[คะแนนเต็ม]])*tbl_task4[[%]:[%]])</f>
        <v/>
      </c>
      <c r="JF28" s="121" t="str">
        <f>IF(ISBLANK(tbl_task4[[คะแนนเต็ม]:[คะแนนเต็ม]]),"",(tbl_task4[96]/tbl_task4[[คะแนนเต็ม]:[คะแนนเต็ม]])*tbl_task4[[%]:[%]])</f>
        <v/>
      </c>
      <c r="JG28" s="121" t="str">
        <f>IF(ISBLANK(tbl_task4[[คะแนนเต็ม]:[คะแนนเต็ม]]),"",(tbl_task4[97]/tbl_task4[[คะแนนเต็ม]:[คะแนนเต็ม]])*tbl_task4[[%]:[%]])</f>
        <v/>
      </c>
      <c r="JH28" s="121" t="str">
        <f>IF(ISBLANK(tbl_task4[[คะแนนเต็ม]:[คะแนนเต็ม]]),"",(tbl_task4[98]/tbl_task4[[คะแนนเต็ม]:[คะแนนเต็ม]])*tbl_task4[[%]:[%]])</f>
        <v/>
      </c>
      <c r="JI28" s="121" t="str">
        <f>IF(ISBLANK(tbl_task4[[คะแนนเต็ม]:[คะแนนเต็ม]]),"",(tbl_task4[99]/tbl_task4[[คะแนนเต็ม]:[คะแนนเต็ม]])*tbl_task4[[%]:[%]])</f>
        <v/>
      </c>
      <c r="JJ28" s="121" t="str">
        <f>IF(ISBLANK(tbl_task4[[คะแนนเต็ม]:[คะแนนเต็ม]]),"",(tbl_task4[100]/tbl_task4[[คะแนนเต็ม]:[คะแนนเต็ม]])*tbl_task4[[%]:[%]])</f>
        <v/>
      </c>
      <c r="JK28" s="121" t="str">
        <f>IF(ISBLANK(tbl_task4[[คะแนนเต็ม]:[คะแนนเต็ม]]),"",(tbl_task4[101]/tbl_task4[[คะแนนเต็ม]:[คะแนนเต็ม]])*tbl_task4[[%]:[%]])</f>
        <v/>
      </c>
      <c r="JL28" s="121" t="str">
        <f>IF(ISBLANK(tbl_task4[[คะแนนเต็ม]:[คะแนนเต็ม]]),"",(tbl_task4[102]/tbl_task4[[คะแนนเต็ม]:[คะแนนเต็ม]])*tbl_task4[[%]:[%]])</f>
        <v/>
      </c>
      <c r="JM28" s="121" t="str">
        <f>IF(ISBLANK(tbl_task4[[คะแนนเต็ม]:[คะแนนเต็ม]]),"",(tbl_task4[103]/tbl_task4[[คะแนนเต็ม]:[คะแนนเต็ม]])*tbl_task4[[%]:[%]])</f>
        <v/>
      </c>
      <c r="JN28" s="121" t="str">
        <f>IF(ISBLANK(tbl_task4[[คะแนนเต็ม]:[คะแนนเต็ม]]),"",(tbl_task4[104]/tbl_task4[[คะแนนเต็ม]:[คะแนนเต็ม]])*tbl_task4[[%]:[%]])</f>
        <v/>
      </c>
      <c r="JO28" s="121" t="str">
        <f>IF(ISBLANK(tbl_task4[[คะแนนเต็ม]:[คะแนนเต็ม]]),"",(tbl_task4[105]/tbl_task4[[คะแนนเต็ม]:[คะแนนเต็ม]])*tbl_task4[[%]:[%]])</f>
        <v/>
      </c>
      <c r="JP28" s="121" t="str">
        <f>IF(ISBLANK(tbl_task4[[คะแนนเต็ม]:[คะแนนเต็ม]]),"",(tbl_task4[106]/tbl_task4[[คะแนนเต็ม]:[คะแนนเต็ม]])*tbl_task4[[%]:[%]])</f>
        <v/>
      </c>
      <c r="JQ28" s="121" t="str">
        <f>IF(ISBLANK(tbl_task4[[คะแนนเต็ม]:[คะแนนเต็ม]]),"",(tbl_task4[107]/tbl_task4[[คะแนนเต็ม]:[คะแนนเต็ม]])*tbl_task4[[%]:[%]])</f>
        <v/>
      </c>
      <c r="JR28" s="121" t="str">
        <f>IF(ISBLANK(tbl_task4[[คะแนนเต็ม]:[คะแนนเต็ม]]),"",(tbl_task4[108]/tbl_task4[[คะแนนเต็ม]:[คะแนนเต็ม]])*tbl_task4[[%]:[%]])</f>
        <v/>
      </c>
      <c r="JS28" s="121" t="str">
        <f>IF(ISBLANK(tbl_task4[[คะแนนเต็ม]:[คะแนนเต็ม]]),"",(tbl_task4[109]/tbl_task4[[คะแนนเต็ม]:[คะแนนเต็ม]])*tbl_task4[[%]:[%]])</f>
        <v/>
      </c>
      <c r="JT28" s="121" t="str">
        <f>IF(ISBLANK(tbl_task4[[คะแนนเต็ม]:[คะแนนเต็ม]]),"",(tbl_task4[110]/tbl_task4[[คะแนนเต็ม]:[คะแนนเต็ม]])*tbl_task4[[%]:[%]])</f>
        <v/>
      </c>
      <c r="JU28" s="121" t="str">
        <f>IF(ISBLANK(tbl_task4[[คะแนนเต็ม]:[คะแนนเต็ม]]),"",(tbl_task4[111]/tbl_task4[[คะแนนเต็ม]:[คะแนนเต็ม]])*tbl_task4[[%]:[%]])</f>
        <v/>
      </c>
      <c r="JV28" s="121" t="str">
        <f>IF(ISBLANK(tbl_task4[[คะแนนเต็ม]:[คะแนนเต็ม]]),"",(tbl_task4[112]/tbl_task4[[คะแนนเต็ม]:[คะแนนเต็ม]])*tbl_task4[[%]:[%]])</f>
        <v/>
      </c>
      <c r="JW28" s="121" t="str">
        <f>IF(ISBLANK(tbl_task4[[คะแนนเต็ม]:[คะแนนเต็ม]]),"",(tbl_task4[113]/tbl_task4[[คะแนนเต็ม]:[คะแนนเต็ม]])*tbl_task4[[%]:[%]])</f>
        <v/>
      </c>
      <c r="JX28" s="121" t="str">
        <f>IF(ISBLANK(tbl_task4[[คะแนนเต็ม]:[คะแนนเต็ม]]),"",(tbl_task4[114]/tbl_task4[[คะแนนเต็ม]:[คะแนนเต็ม]])*tbl_task4[[%]:[%]])</f>
        <v/>
      </c>
      <c r="JY28" s="121" t="str">
        <f>IF(ISBLANK(tbl_task4[[คะแนนเต็ม]:[คะแนนเต็ม]]),"",(tbl_task4[115]/tbl_task4[[คะแนนเต็ม]:[คะแนนเต็ม]])*tbl_task4[[%]:[%]])</f>
        <v/>
      </c>
      <c r="JZ28" s="121" t="str">
        <f>IF(ISBLANK(tbl_task4[[คะแนนเต็ม]:[คะแนนเต็ม]]),"",(tbl_task4[116]/tbl_task4[[คะแนนเต็ม]:[คะแนนเต็ม]])*tbl_task4[[%]:[%]])</f>
        <v/>
      </c>
      <c r="KA28" s="121" t="str">
        <f>IF(ISBLANK(tbl_task4[[คะแนนเต็ม]:[คะแนนเต็ม]]),"",(tbl_task4[117]/tbl_task4[[คะแนนเต็ม]:[คะแนนเต็ม]])*tbl_task4[[%]:[%]])</f>
        <v/>
      </c>
      <c r="KB28" s="121" t="str">
        <f>IF(ISBLANK(tbl_task4[[คะแนนเต็ม]:[คะแนนเต็ม]]),"",(tbl_task4[118]/tbl_task4[[คะแนนเต็ม]:[คะแนนเต็ม]])*tbl_task4[[%]:[%]])</f>
        <v/>
      </c>
      <c r="KC28" s="121" t="str">
        <f>IF(ISBLANK(tbl_task4[[คะแนนเต็ม]:[คะแนนเต็ม]]),"",(tbl_task4[119]/tbl_task4[[คะแนนเต็ม]:[คะแนนเต็ม]])*tbl_task4[[%]:[%]])</f>
        <v/>
      </c>
      <c r="KD28" s="121" t="str">
        <f>IF(ISBLANK(tbl_task4[[คะแนนเต็ม]:[คะแนนเต็ม]]),"",(tbl_task4[120]/tbl_task4[[คะแนนเต็ม]:[คะแนนเต็ม]])*tbl_task4[[%]:[%]])</f>
        <v/>
      </c>
      <c r="KE28" s="121" t="str">
        <f>IF(ISBLANK(tbl_task4[[คะแนนเต็ม]:[คะแนนเต็ม]]),"",(tbl_task4[121]/tbl_task4[[คะแนนเต็ม]:[คะแนนเต็ม]])*tbl_task4[[%]:[%]])</f>
        <v/>
      </c>
      <c r="KF28" s="121" t="str">
        <f>IF(ISBLANK(tbl_task4[[คะแนนเต็ม]:[คะแนนเต็ม]]),"",(tbl_task4[122]/tbl_task4[[คะแนนเต็ม]:[คะแนนเต็ม]])*tbl_task4[[%]:[%]])</f>
        <v/>
      </c>
      <c r="KG28" s="121" t="str">
        <f>IF(ISBLANK(tbl_task4[[คะแนนเต็ม]:[คะแนนเต็ม]]),"",(tbl_task4[123]/tbl_task4[[คะแนนเต็ม]:[คะแนนเต็ม]])*tbl_task4[[%]:[%]])</f>
        <v/>
      </c>
      <c r="KH28" s="121" t="str">
        <f>IF(ISBLANK(tbl_task4[[คะแนนเต็ม]:[คะแนนเต็ม]]),"",(tbl_task4[124]/tbl_task4[[คะแนนเต็ม]:[คะแนนเต็ม]])*tbl_task4[[%]:[%]])</f>
        <v/>
      </c>
      <c r="KI28" s="121" t="str">
        <f>IF(ISBLANK(tbl_task4[[คะแนนเต็ม]:[คะแนนเต็ม]]),"",(tbl_task4[125]/tbl_task4[[คะแนนเต็ม]:[คะแนนเต็ม]])*tbl_task4[[%]:[%]])</f>
        <v/>
      </c>
      <c r="KJ28" s="121" t="str">
        <f>IF(ISBLANK(tbl_task4[[คะแนนเต็ม]:[คะแนนเต็ม]]),"",(tbl_task4[126]/tbl_task4[[คะแนนเต็ม]:[คะแนนเต็ม]])*tbl_task4[[%]:[%]])</f>
        <v/>
      </c>
      <c r="KK28" s="121" t="str">
        <f>IF(ISBLANK(tbl_task4[[คะแนนเต็ม]:[คะแนนเต็ม]]),"",(tbl_task4[127]/tbl_task4[[คะแนนเต็ม]:[คะแนนเต็ม]])*tbl_task4[[%]:[%]])</f>
        <v/>
      </c>
      <c r="KL28" s="121" t="str">
        <f>IF(ISBLANK(tbl_task4[[คะแนนเต็ม]:[คะแนนเต็ม]]),"",(tbl_task4[128]/tbl_task4[[คะแนนเต็ม]:[คะแนนเต็ม]])*tbl_task4[[%]:[%]])</f>
        <v/>
      </c>
      <c r="KM28" s="121" t="str">
        <f>IF(ISBLANK(tbl_task4[[คะแนนเต็ม]:[คะแนนเต็ม]]),"",(tbl_task4[129]/tbl_task4[[คะแนนเต็ม]:[คะแนนเต็ม]])*tbl_task4[[%]:[%]])</f>
        <v/>
      </c>
      <c r="KN28" s="121" t="str">
        <f>IF(ISBLANK(tbl_task4[[คะแนนเต็ม]:[คะแนนเต็ม]]),"",(tbl_task4[130]/tbl_task4[[คะแนนเต็ม]:[คะแนนเต็ม]])*tbl_task4[[%]:[%]])</f>
        <v/>
      </c>
      <c r="KO28" s="121" t="str">
        <f>IF(ISBLANK(tbl_task4[[คะแนนเต็ม]:[คะแนนเต็ม]]),"",(tbl_task4[131]/tbl_task4[[คะแนนเต็ม]:[คะแนนเต็ม]])*tbl_task4[[%]:[%]])</f>
        <v/>
      </c>
      <c r="KP28" s="121" t="str">
        <f>IF(ISBLANK(tbl_task4[[คะแนนเต็ม]:[คะแนนเต็ม]]),"",(tbl_task4[132]/tbl_task4[[คะแนนเต็ม]:[คะแนนเต็ม]])*tbl_task4[[%]:[%]])</f>
        <v/>
      </c>
      <c r="KQ28" s="121" t="str">
        <f>IF(ISBLANK(tbl_task4[[คะแนนเต็ม]:[คะแนนเต็ม]]),"",(tbl_task4[133]/tbl_task4[[คะแนนเต็ม]:[คะแนนเต็ม]])*tbl_task4[[%]:[%]])</f>
        <v/>
      </c>
      <c r="KR28" s="121" t="str">
        <f>IF(ISBLANK(tbl_task4[[คะแนนเต็ม]:[คะแนนเต็ม]]),"",(tbl_task4[134]/tbl_task4[[คะแนนเต็ม]:[คะแนนเต็ม]])*tbl_task4[[%]:[%]])</f>
        <v/>
      </c>
      <c r="KS28" s="121" t="str">
        <f>IF(ISBLANK(tbl_task4[[คะแนนเต็ม]:[คะแนนเต็ม]]),"",(tbl_task4[135]/tbl_task4[[คะแนนเต็ม]:[คะแนนเต็ม]])*tbl_task4[[%]:[%]])</f>
        <v/>
      </c>
      <c r="KT28" s="121" t="str">
        <f>IF(ISBLANK(tbl_task4[[คะแนนเต็ม]:[คะแนนเต็ม]]),"",(tbl_task4[136]/tbl_task4[[คะแนนเต็ม]:[คะแนนเต็ม]])*tbl_task4[[%]:[%]])</f>
        <v/>
      </c>
      <c r="KU28" s="121" t="str">
        <f>IF(ISBLANK(tbl_task4[[คะแนนเต็ม]:[คะแนนเต็ม]]),"",(tbl_task4[137]/tbl_task4[[คะแนนเต็ม]:[คะแนนเต็ม]])*tbl_task4[[%]:[%]])</f>
        <v/>
      </c>
      <c r="KV28" s="121" t="str">
        <f>IF(ISBLANK(tbl_task4[[คะแนนเต็ม]:[คะแนนเต็ม]]),"",(tbl_task4[138]/tbl_task4[[คะแนนเต็ม]:[คะแนนเต็ม]])*tbl_task4[[%]:[%]])</f>
        <v/>
      </c>
      <c r="KW28" s="121" t="str">
        <f>IF(ISBLANK(tbl_task4[[คะแนนเต็ม]:[คะแนนเต็ม]]),"",(tbl_task4[139]/tbl_task4[[คะแนนเต็ม]:[คะแนนเต็ม]])*tbl_task4[[%]:[%]])</f>
        <v/>
      </c>
      <c r="KX28" s="121" t="str">
        <f>IF(ISBLANK(tbl_task4[[คะแนนเต็ม]:[คะแนนเต็ม]]),"",(tbl_task4[140]/tbl_task4[[คะแนนเต็ม]:[คะแนนเต็ม]])*tbl_task4[[%]:[%]])</f>
        <v/>
      </c>
      <c r="KY28" s="121" t="str">
        <f>IF(ISBLANK(tbl_task4[[คะแนนเต็ม]:[คะแนนเต็ม]]),"",(tbl_task4[141]/tbl_task4[[คะแนนเต็ม]:[คะแนนเต็ม]])*tbl_task4[[%]:[%]])</f>
        <v/>
      </c>
      <c r="KZ28" s="121" t="str">
        <f>IF(ISBLANK(tbl_task4[[คะแนนเต็ม]:[คะแนนเต็ม]]),"",(tbl_task4[142]/tbl_task4[[คะแนนเต็ม]:[คะแนนเต็ม]])*tbl_task4[[%]:[%]])</f>
        <v/>
      </c>
      <c r="LA28" s="121" t="str">
        <f>IF(ISBLANK(tbl_task4[[คะแนนเต็ม]:[คะแนนเต็ม]]),"",(tbl_task4[143]/tbl_task4[[คะแนนเต็ม]:[คะแนนเต็ม]])*tbl_task4[[%]:[%]])</f>
        <v/>
      </c>
      <c r="LB28" s="121" t="str">
        <f>IF(ISBLANK(tbl_task4[[คะแนนเต็ม]:[คะแนนเต็ม]]),"",(tbl_task4[144]/tbl_task4[[คะแนนเต็ม]:[คะแนนเต็ม]])*tbl_task4[[%]:[%]])</f>
        <v/>
      </c>
      <c r="LC28" s="121" t="str">
        <f>IF(ISBLANK(tbl_task4[[คะแนนเต็ม]:[คะแนนเต็ม]]),"",(tbl_task4[145]/tbl_task4[[คะแนนเต็ม]:[คะแนนเต็ม]])*tbl_task4[[%]:[%]])</f>
        <v/>
      </c>
      <c r="LD28" s="121" t="str">
        <f>IF(ISBLANK(tbl_task4[[คะแนนเต็ม]:[คะแนนเต็ม]]),"",(tbl_task4[146]/tbl_task4[[คะแนนเต็ม]:[คะแนนเต็ม]])*tbl_task4[[%]:[%]])</f>
        <v/>
      </c>
      <c r="LE28" s="121" t="str">
        <f>IF(ISBLANK(tbl_task4[[คะแนนเต็ม]:[คะแนนเต็ม]]),"",(tbl_task4[147]/tbl_task4[[คะแนนเต็ม]:[คะแนนเต็ม]])*tbl_task4[[%]:[%]])</f>
        <v/>
      </c>
      <c r="LF28" s="121" t="str">
        <f>IF(ISBLANK(tbl_task4[[คะแนนเต็ม]:[คะแนนเต็ม]]),"",(tbl_task4[148]/tbl_task4[[คะแนนเต็ม]:[คะแนนเต็ม]])*tbl_task4[[%]:[%]])</f>
        <v/>
      </c>
      <c r="LG28" s="121" t="str">
        <f>IF(ISBLANK(tbl_task4[[คะแนนเต็ม]:[คะแนนเต็ม]]),"",(tbl_task4[149]/tbl_task4[[คะแนนเต็ม]:[คะแนนเต็ม]])*tbl_task4[[%]:[%]])</f>
        <v/>
      </c>
      <c r="LH28" s="121" t="str">
        <f>IF(ISBLANK(tbl_task4[[คะแนนเต็ม]:[คะแนนเต็ม]]),"",(tbl_task4[150]/tbl_task4[[คะแนนเต็ม]:[คะแนนเต็ม]])*tbl_task4[[%]:[%]])</f>
        <v/>
      </c>
      <c r="LI28" s="121" t="str">
        <f>IF(ISBLANK(tbl_task4[[คะแนนเต็ม]:[คะแนนเต็ม]]),"",(tbl_task4[151]/tbl_task4[[คะแนนเต็ม]:[คะแนนเต็ม]])*tbl_task4[[%]:[%]])</f>
        <v/>
      </c>
      <c r="LJ28" s="121" t="str">
        <f>IF(ISBLANK(tbl_task4[[คะแนนเต็ม]:[คะแนนเต็ม]]),"",(tbl_task4[152]/tbl_task4[[คะแนนเต็ม]:[คะแนนเต็ม]])*tbl_task4[[%]:[%]])</f>
        <v/>
      </c>
      <c r="LK28" s="121" t="str">
        <f>IF(ISBLANK(tbl_task4[[คะแนนเต็ม]:[คะแนนเต็ม]]),"",(tbl_task4[153]/tbl_task4[[คะแนนเต็ม]:[คะแนนเต็ม]])*tbl_task4[[%]:[%]])</f>
        <v/>
      </c>
      <c r="LL28" s="121" t="str">
        <f>IF(ISBLANK(tbl_task4[[คะแนนเต็ม]:[คะแนนเต็ม]]),"",(tbl_task4[154]/tbl_task4[[คะแนนเต็ม]:[คะแนนเต็ม]])*tbl_task4[[%]:[%]])</f>
        <v/>
      </c>
      <c r="LM28" s="121" t="str">
        <f>IF(ISBLANK(tbl_task4[[คะแนนเต็ม]:[คะแนนเต็ม]]),"",(tbl_task4[155]/tbl_task4[[คะแนนเต็ม]:[คะแนนเต็ม]])*tbl_task4[[%]:[%]])</f>
        <v/>
      </c>
      <c r="LN28" s="121" t="str">
        <f>IF(ISBLANK(tbl_task4[[คะแนนเต็ม]:[คะแนนเต็ม]]),"",(tbl_task4[156]/tbl_task4[[คะแนนเต็ม]:[คะแนนเต็ม]])*tbl_task4[[%]:[%]])</f>
        <v/>
      </c>
      <c r="LO28" s="121" t="str">
        <f>IF(ISBLANK(tbl_task4[[คะแนนเต็ม]:[คะแนนเต็ม]]),"",(tbl_task4[157]/tbl_task4[[คะแนนเต็ม]:[คะแนนเต็ม]])*tbl_task4[[%]:[%]])</f>
        <v/>
      </c>
      <c r="LP28" s="121" t="str">
        <f>IF(ISBLANK(tbl_task4[[คะแนนเต็ม]:[คะแนนเต็ม]]),"",(tbl_task4[158]/tbl_task4[[คะแนนเต็ม]:[คะแนนเต็ม]])*tbl_task4[[%]:[%]])</f>
        <v/>
      </c>
      <c r="LQ28" s="121" t="str">
        <f>IF(ISBLANK(tbl_task4[[คะแนนเต็ม]:[คะแนนเต็ม]]),"",(tbl_task4[159]/tbl_task4[[คะแนนเต็ม]:[คะแนนเต็ม]])*tbl_task4[[%]:[%]])</f>
        <v/>
      </c>
      <c r="LR28" s="121" t="str">
        <f>IF(ISBLANK(tbl_task4[[คะแนนเต็ม]:[คะแนนเต็ม]]),"",(tbl_task4[160]/tbl_task4[[คะแนนเต็ม]:[คะแนนเต็ม]])*tbl_task4[[%]:[%]])</f>
        <v/>
      </c>
      <c r="LS28" s="121" t="str">
        <f>IF(ISBLANK(tbl_task4[[คะแนนเต็ม]:[คะแนนเต็ม]]),"",(tbl_task4[161]/tbl_task4[[คะแนนเต็ม]:[คะแนนเต็ม]])*tbl_task4[[%]:[%]])</f>
        <v/>
      </c>
      <c r="LT28" s="121" t="str">
        <f>IF(ISBLANK(tbl_task4[[คะแนนเต็ม]:[คะแนนเต็ม]]),"",(tbl_task4[162]/tbl_task4[[คะแนนเต็ม]:[คะแนนเต็ม]])*tbl_task4[[%]:[%]])</f>
        <v/>
      </c>
      <c r="LU28" s="121" t="str">
        <f>IF(ISBLANK(tbl_task4[[คะแนนเต็ม]:[คะแนนเต็ม]]),"",(tbl_task4[163]/tbl_task4[[คะแนนเต็ม]:[คะแนนเต็ม]])*tbl_task4[[%]:[%]])</f>
        <v/>
      </c>
      <c r="LV28" s="121" t="str">
        <f>IF(ISBLANK(tbl_task4[[คะแนนเต็ม]:[คะแนนเต็ม]]),"",(tbl_task4[164]/tbl_task4[[คะแนนเต็ม]:[คะแนนเต็ม]])*tbl_task4[[%]:[%]])</f>
        <v/>
      </c>
      <c r="LW28" s="121" t="str">
        <f>IF(ISBLANK(tbl_task4[[คะแนนเต็ม]:[คะแนนเต็ม]]),"",(tbl_task4[165]/tbl_task4[[คะแนนเต็ม]:[คะแนนเต็ม]])*tbl_task4[[%]:[%]])</f>
        <v/>
      </c>
    </row>
    <row r="29" spans="1:335" s="34" customFormat="1" ht="24" customHeight="1" x14ac:dyDescent="0.25">
      <c r="A29" s="42" t="s">
        <v>11</v>
      </c>
      <c r="B29" s="109">
        <f>COUNTA(tbl_task4[SubPLOs])</f>
        <v>0</v>
      </c>
      <c r="C29" s="129"/>
      <c r="D29" s="108">
        <f>SUM(tbl_task4[คะแนนเต็ม])</f>
        <v>0</v>
      </c>
      <c r="E29" s="108">
        <f>SUM(tbl_task4[%])</f>
        <v>0</v>
      </c>
      <c r="F29" s="124">
        <f>SUM(tbl_task4[1])</f>
        <v>0</v>
      </c>
      <c r="G29" s="124">
        <f>SUM(tbl_task4[2])</f>
        <v>0</v>
      </c>
      <c r="H29" s="124">
        <f>SUM(tbl_task4[3])</f>
        <v>0</v>
      </c>
      <c r="I29" s="124">
        <f>SUM(tbl_task4[4])</f>
        <v>0</v>
      </c>
      <c r="J29" s="124">
        <f>SUM(tbl_task4[5])</f>
        <v>0</v>
      </c>
      <c r="K29" s="124">
        <f>SUM(tbl_task4[6])</f>
        <v>0</v>
      </c>
      <c r="L29" s="124">
        <f>SUM(tbl_task4[7])</f>
        <v>0</v>
      </c>
      <c r="M29" s="124">
        <f>SUM(tbl_task4[8])</f>
        <v>0</v>
      </c>
      <c r="N29" s="124">
        <f>SUM(tbl_task4[9])</f>
        <v>0</v>
      </c>
      <c r="O29" s="124">
        <f>SUM(tbl_task4[10])</f>
        <v>0</v>
      </c>
      <c r="P29" s="124">
        <f>SUM(tbl_task4[11])</f>
        <v>0</v>
      </c>
      <c r="Q29" s="124">
        <f>SUM(tbl_task4[12])</f>
        <v>0</v>
      </c>
      <c r="R29" s="124">
        <f>SUM(tbl_task4[13])</f>
        <v>0</v>
      </c>
      <c r="S29" s="124">
        <f>SUM(tbl_task4[14])</f>
        <v>0</v>
      </c>
      <c r="T29" s="124">
        <f>SUM(tbl_task4[15])</f>
        <v>0</v>
      </c>
      <c r="U29" s="124">
        <f>SUM(tbl_task4[16])</f>
        <v>0</v>
      </c>
      <c r="V29" s="124">
        <f>SUM(tbl_task4[17])</f>
        <v>0</v>
      </c>
      <c r="W29" s="124">
        <f>SUM(tbl_task4[18])</f>
        <v>0</v>
      </c>
      <c r="X29" s="124">
        <f>SUM(tbl_task4[19])</f>
        <v>0</v>
      </c>
      <c r="Y29" s="124">
        <f>SUM(tbl_task4[20])</f>
        <v>0</v>
      </c>
      <c r="Z29" s="124">
        <f>SUM(tbl_task4[21])</f>
        <v>0</v>
      </c>
      <c r="AA29" s="124">
        <f>SUM(tbl_task4[22])</f>
        <v>0</v>
      </c>
      <c r="AB29" s="124">
        <f>SUM(tbl_task4[23])</f>
        <v>0</v>
      </c>
      <c r="AC29" s="124">
        <f>SUM(tbl_task4[24])</f>
        <v>0</v>
      </c>
      <c r="AD29" s="124">
        <f>SUM(tbl_task4[25])</f>
        <v>0</v>
      </c>
      <c r="AE29" s="124">
        <f>SUM(tbl_task4[26])</f>
        <v>0</v>
      </c>
      <c r="AF29" s="124">
        <f>SUM(tbl_task4[27])</f>
        <v>0</v>
      </c>
      <c r="AG29" s="124">
        <f>SUM(tbl_task4[28])</f>
        <v>0</v>
      </c>
      <c r="AH29" s="124">
        <f>SUM(tbl_task4[29])</f>
        <v>0</v>
      </c>
      <c r="AI29" s="124">
        <f>SUM(tbl_task4[30])</f>
        <v>0</v>
      </c>
      <c r="AJ29" s="124">
        <f>SUM(tbl_task4[31])</f>
        <v>0</v>
      </c>
      <c r="AK29" s="124">
        <f>SUM(tbl_task4[32])</f>
        <v>0</v>
      </c>
      <c r="AL29" s="124">
        <f>SUM(tbl_task4[33])</f>
        <v>0</v>
      </c>
      <c r="AM29" s="124">
        <f>SUM(tbl_task4[34])</f>
        <v>0</v>
      </c>
      <c r="AN29" s="124">
        <f>SUM(tbl_task4[35])</f>
        <v>0</v>
      </c>
      <c r="AO29" s="124">
        <f>SUM(tbl_task4[36])</f>
        <v>0</v>
      </c>
      <c r="AP29" s="124">
        <f>SUM(tbl_task4[37])</f>
        <v>0</v>
      </c>
      <c r="AQ29" s="124">
        <f>SUM(tbl_task4[38])</f>
        <v>0</v>
      </c>
      <c r="AR29" s="124">
        <f>SUM(tbl_task4[39])</f>
        <v>0</v>
      </c>
      <c r="AS29" s="124">
        <f>SUM(tbl_task4[40])</f>
        <v>0</v>
      </c>
      <c r="AT29" s="124">
        <f>SUM(tbl_task4[41])</f>
        <v>0</v>
      </c>
      <c r="AU29" s="124">
        <f>SUM(tbl_task4[42])</f>
        <v>0</v>
      </c>
      <c r="AV29" s="124">
        <f>SUM(tbl_task4[43])</f>
        <v>0</v>
      </c>
      <c r="AW29" s="124">
        <f>SUM(tbl_task4[44])</f>
        <v>0</v>
      </c>
      <c r="AX29" s="124">
        <f>SUM(tbl_task4[45])</f>
        <v>0</v>
      </c>
      <c r="AY29" s="124">
        <f>SUM(tbl_task4[46])</f>
        <v>0</v>
      </c>
      <c r="AZ29" s="124">
        <f>SUM(tbl_task4[47])</f>
        <v>0</v>
      </c>
      <c r="BA29" s="124">
        <f>SUM(tbl_task4[48])</f>
        <v>0</v>
      </c>
      <c r="BB29" s="124">
        <f>SUM(tbl_task4[49])</f>
        <v>0</v>
      </c>
      <c r="BC29" s="124">
        <f>SUM(tbl_task4[50])</f>
        <v>0</v>
      </c>
      <c r="BD29" s="124">
        <f>SUM(tbl_task4[51])</f>
        <v>0</v>
      </c>
      <c r="BE29" s="124">
        <f>SUM(tbl_task4[52])</f>
        <v>0</v>
      </c>
      <c r="BF29" s="124">
        <f>SUM(tbl_task4[53])</f>
        <v>0</v>
      </c>
      <c r="BG29" s="124">
        <f>SUM(tbl_task4[54])</f>
        <v>0</v>
      </c>
      <c r="BH29" s="124">
        <f>SUM(tbl_task4[55])</f>
        <v>0</v>
      </c>
      <c r="BI29" s="124">
        <f>SUM(tbl_task4[56])</f>
        <v>0</v>
      </c>
      <c r="BJ29" s="124">
        <f>SUM(tbl_task4[57])</f>
        <v>0</v>
      </c>
      <c r="BK29" s="124">
        <f>SUM(tbl_task4[58])</f>
        <v>0</v>
      </c>
      <c r="BL29" s="124">
        <f>SUM(tbl_task4[59])</f>
        <v>0</v>
      </c>
      <c r="BM29" s="124">
        <f>SUM(tbl_task4[60])</f>
        <v>0</v>
      </c>
      <c r="BN29" s="124">
        <f>SUM(tbl_task4[61])</f>
        <v>0</v>
      </c>
      <c r="BO29" s="124">
        <f>SUM(tbl_task4[62])</f>
        <v>0</v>
      </c>
      <c r="BP29" s="124">
        <f>SUM(tbl_task4[63])</f>
        <v>0</v>
      </c>
      <c r="BQ29" s="124">
        <f>SUM(tbl_task4[64])</f>
        <v>0</v>
      </c>
      <c r="BR29" s="124">
        <f>SUM(tbl_task4[65])</f>
        <v>0</v>
      </c>
      <c r="BS29" s="124">
        <f>SUM(tbl_task4[66])</f>
        <v>0</v>
      </c>
      <c r="BT29" s="124">
        <f>SUM(tbl_task4[67])</f>
        <v>0</v>
      </c>
      <c r="BU29" s="124">
        <f>SUM(tbl_task4[68])</f>
        <v>0</v>
      </c>
      <c r="BV29" s="124">
        <f>SUM(tbl_task4[69])</f>
        <v>0</v>
      </c>
      <c r="BW29" s="124">
        <f>SUM(tbl_task4[70])</f>
        <v>0</v>
      </c>
      <c r="BX29" s="124">
        <f>SUM(tbl_task4[71])</f>
        <v>0</v>
      </c>
      <c r="BY29" s="124">
        <f>SUM(tbl_task4[72])</f>
        <v>0</v>
      </c>
      <c r="BZ29" s="124">
        <f>SUM(tbl_task4[73])</f>
        <v>0</v>
      </c>
      <c r="CA29" s="124">
        <f>SUM(tbl_task4[74])</f>
        <v>0</v>
      </c>
      <c r="CB29" s="124">
        <f>SUM(tbl_task4[75])</f>
        <v>0</v>
      </c>
      <c r="CC29" s="124">
        <f>SUM(tbl_task4[76])</f>
        <v>0</v>
      </c>
      <c r="CD29" s="124">
        <f>SUM(tbl_task4[77])</f>
        <v>0</v>
      </c>
      <c r="CE29" s="124">
        <f>SUM(tbl_task4[78])</f>
        <v>0</v>
      </c>
      <c r="CF29" s="124">
        <f>SUM(tbl_task4[79])</f>
        <v>0</v>
      </c>
      <c r="CG29" s="124">
        <f>SUM(tbl_task4[80])</f>
        <v>0</v>
      </c>
      <c r="CH29" s="124">
        <f>SUM(tbl_task4[81])</f>
        <v>0</v>
      </c>
      <c r="CI29" s="124">
        <f>SUM(tbl_task4[82])</f>
        <v>0</v>
      </c>
      <c r="CJ29" s="124">
        <f>SUM(tbl_task4[83])</f>
        <v>0</v>
      </c>
      <c r="CK29" s="124">
        <f>SUM(tbl_task4[84])</f>
        <v>0</v>
      </c>
      <c r="CL29" s="124">
        <f>SUM(tbl_task4[85])</f>
        <v>0</v>
      </c>
      <c r="CM29" s="124">
        <f>SUM(tbl_task4[86])</f>
        <v>0</v>
      </c>
      <c r="CN29" s="124">
        <f>SUM(tbl_task4[87])</f>
        <v>0</v>
      </c>
      <c r="CO29" s="124">
        <f>SUM(tbl_task4[88])</f>
        <v>0</v>
      </c>
      <c r="CP29" s="124">
        <f>SUM(tbl_task4[89])</f>
        <v>0</v>
      </c>
      <c r="CQ29" s="124">
        <f>SUM(tbl_task4[90])</f>
        <v>0</v>
      </c>
      <c r="CR29" s="124">
        <f>SUM(tbl_task4[91])</f>
        <v>0</v>
      </c>
      <c r="CS29" s="124">
        <f>SUM(tbl_task4[92])</f>
        <v>0</v>
      </c>
      <c r="CT29" s="124">
        <f>SUM(tbl_task4[93])</f>
        <v>0</v>
      </c>
      <c r="CU29" s="124">
        <f>SUM(tbl_task4[94])</f>
        <v>0</v>
      </c>
      <c r="CV29" s="124">
        <f>SUM(tbl_task4[95])</f>
        <v>0</v>
      </c>
      <c r="CW29" s="124">
        <f>SUM(tbl_task4[96])</f>
        <v>0</v>
      </c>
      <c r="CX29" s="124">
        <f>SUM(tbl_task4[97])</f>
        <v>0</v>
      </c>
      <c r="CY29" s="124">
        <f>SUM(tbl_task4[98])</f>
        <v>0</v>
      </c>
      <c r="CZ29" s="124">
        <f>SUM(tbl_task4[99])</f>
        <v>0</v>
      </c>
      <c r="DA29" s="124">
        <f>SUM(tbl_task4[100])</f>
        <v>0</v>
      </c>
      <c r="DB29" s="124">
        <f>SUM(tbl_task4[101])</f>
        <v>0</v>
      </c>
      <c r="DC29" s="124">
        <f>SUM(tbl_task4[102])</f>
        <v>0</v>
      </c>
      <c r="DD29" s="124">
        <f>SUM(tbl_task4[103])</f>
        <v>0</v>
      </c>
      <c r="DE29" s="124">
        <f>SUM(tbl_task4[104])</f>
        <v>0</v>
      </c>
      <c r="DF29" s="124">
        <f>SUM(tbl_task4[105])</f>
        <v>0</v>
      </c>
      <c r="DG29" s="124">
        <f>SUM(tbl_task4[106])</f>
        <v>0</v>
      </c>
      <c r="DH29" s="124">
        <f>SUM(tbl_task4[107])</f>
        <v>0</v>
      </c>
      <c r="DI29" s="124">
        <f>SUM(tbl_task4[108])</f>
        <v>0</v>
      </c>
      <c r="DJ29" s="124">
        <f>SUM(tbl_task4[109])</f>
        <v>0</v>
      </c>
      <c r="DK29" s="124">
        <f>SUM(tbl_task4[110])</f>
        <v>0</v>
      </c>
      <c r="DL29" s="124">
        <f>SUM(tbl_task4[111])</f>
        <v>0</v>
      </c>
      <c r="DM29" s="124">
        <f>SUM(tbl_task4[112])</f>
        <v>0</v>
      </c>
      <c r="DN29" s="124">
        <f>SUM(tbl_task4[113])</f>
        <v>0</v>
      </c>
      <c r="DO29" s="124">
        <f>SUM(tbl_task4[114])</f>
        <v>0</v>
      </c>
      <c r="DP29" s="124">
        <f>SUM(tbl_task4[115])</f>
        <v>0</v>
      </c>
      <c r="DQ29" s="124">
        <f>SUM(tbl_task4[116])</f>
        <v>0</v>
      </c>
      <c r="DR29" s="124">
        <f>SUM(tbl_task4[117])</f>
        <v>0</v>
      </c>
      <c r="DS29" s="124">
        <f>SUM(tbl_task4[118])</f>
        <v>0</v>
      </c>
      <c r="DT29" s="124">
        <f>SUM(tbl_task4[119])</f>
        <v>0</v>
      </c>
      <c r="DU29" s="124">
        <f>SUM(tbl_task4[120])</f>
        <v>0</v>
      </c>
      <c r="DV29" s="124">
        <f>SUM(tbl_task4[121])</f>
        <v>0</v>
      </c>
      <c r="DW29" s="124">
        <f>SUM(tbl_task4[122])</f>
        <v>0</v>
      </c>
      <c r="DX29" s="124">
        <f>SUM(tbl_task4[123])</f>
        <v>0</v>
      </c>
      <c r="DY29" s="124">
        <f>SUM(tbl_task4[124])</f>
        <v>0</v>
      </c>
      <c r="DZ29" s="124">
        <f>SUM(tbl_task4[125])</f>
        <v>0</v>
      </c>
      <c r="EA29" s="124">
        <f>SUM(tbl_task4[126])</f>
        <v>0</v>
      </c>
      <c r="EB29" s="124">
        <f>SUM(tbl_task4[127])</f>
        <v>0</v>
      </c>
      <c r="EC29" s="124">
        <f>SUM(tbl_task4[128])</f>
        <v>0</v>
      </c>
      <c r="ED29" s="124">
        <f>SUM(tbl_task4[129])</f>
        <v>0</v>
      </c>
      <c r="EE29" s="124">
        <f>SUM(tbl_task4[130])</f>
        <v>0</v>
      </c>
      <c r="EF29" s="124">
        <f>SUM(tbl_task4[131])</f>
        <v>0</v>
      </c>
      <c r="EG29" s="124">
        <f>SUM(tbl_task4[132])</f>
        <v>0</v>
      </c>
      <c r="EH29" s="124">
        <f>SUM(tbl_task4[133])</f>
        <v>0</v>
      </c>
      <c r="EI29" s="124">
        <f>SUM(tbl_task4[134])</f>
        <v>0</v>
      </c>
      <c r="EJ29" s="124">
        <f>SUM(tbl_task4[135])</f>
        <v>0</v>
      </c>
      <c r="EK29" s="124">
        <f>SUM(tbl_task4[136])</f>
        <v>0</v>
      </c>
      <c r="EL29" s="124">
        <f>SUM(tbl_task4[137])</f>
        <v>0</v>
      </c>
      <c r="EM29" s="124">
        <f>SUM(tbl_task4[138])</f>
        <v>0</v>
      </c>
      <c r="EN29" s="124">
        <f>SUM(tbl_task4[139])</f>
        <v>0</v>
      </c>
      <c r="EO29" s="124">
        <f>SUM(tbl_task4[140])</f>
        <v>0</v>
      </c>
      <c r="EP29" s="124">
        <f>SUM(tbl_task4[141])</f>
        <v>0</v>
      </c>
      <c r="EQ29" s="124">
        <f>SUM(tbl_task4[142])</f>
        <v>0</v>
      </c>
      <c r="ER29" s="124">
        <f>SUM(tbl_task4[143])</f>
        <v>0</v>
      </c>
      <c r="ES29" s="124">
        <f>SUM(tbl_task4[144])</f>
        <v>0</v>
      </c>
      <c r="ET29" s="124">
        <f>SUM(tbl_task4[145])</f>
        <v>0</v>
      </c>
      <c r="EU29" s="124">
        <f>SUM(tbl_task4[146])</f>
        <v>0</v>
      </c>
      <c r="EV29" s="124">
        <f>SUM(tbl_task4[147])</f>
        <v>0</v>
      </c>
      <c r="EW29" s="124">
        <f>SUM(tbl_task4[148])</f>
        <v>0</v>
      </c>
      <c r="EX29" s="124">
        <f>SUM(tbl_task4[149])</f>
        <v>0</v>
      </c>
      <c r="EY29" s="124">
        <f>SUM(tbl_task4[150])</f>
        <v>0</v>
      </c>
      <c r="EZ29" s="124">
        <f>SUM(tbl_task4[151])</f>
        <v>0</v>
      </c>
      <c r="FA29" s="124">
        <f>SUM(tbl_task4[152])</f>
        <v>0</v>
      </c>
      <c r="FB29" s="124">
        <f>SUM(tbl_task4[153])</f>
        <v>0</v>
      </c>
      <c r="FC29" s="124">
        <f>SUM(tbl_task4[154])</f>
        <v>0</v>
      </c>
      <c r="FD29" s="124">
        <f>SUM(tbl_task4[155])</f>
        <v>0</v>
      </c>
      <c r="FE29" s="124">
        <f>SUM(tbl_task4[156])</f>
        <v>0</v>
      </c>
      <c r="FF29" s="124">
        <f>SUM(tbl_task4[157])</f>
        <v>0</v>
      </c>
      <c r="FG29" s="124">
        <f>SUM(tbl_task4[158])</f>
        <v>0</v>
      </c>
      <c r="FH29" s="124">
        <f>SUM(tbl_task4[159])</f>
        <v>0</v>
      </c>
      <c r="FI29" s="124">
        <f>SUM(tbl_task4[160])</f>
        <v>0</v>
      </c>
      <c r="FJ29" s="124">
        <f>SUM(tbl_task4[161])</f>
        <v>0</v>
      </c>
      <c r="FK29" s="124">
        <f>SUM(tbl_task4[162])</f>
        <v>0</v>
      </c>
      <c r="FL29" s="124">
        <f>SUM(tbl_task4[163])</f>
        <v>0</v>
      </c>
      <c r="FM29" s="124">
        <f>SUM(tbl_task4[164])</f>
        <v>0</v>
      </c>
      <c r="FN29" s="124">
        <f>SUM(tbl_task4[165])</f>
        <v>0</v>
      </c>
      <c r="FO29" s="124">
        <f>SUM(tbl_task4[S1])</f>
        <v>0</v>
      </c>
      <c r="FP29" s="124">
        <f>SUM(tbl_task4[S2])</f>
        <v>0</v>
      </c>
      <c r="FQ29" s="124">
        <f>SUM(tbl_task4[S3])</f>
        <v>0</v>
      </c>
      <c r="FR29" s="124">
        <f>SUM(tbl_task4[S4])</f>
        <v>0</v>
      </c>
      <c r="FS29" s="124">
        <f>SUM(tbl_task4[S5])</f>
        <v>0</v>
      </c>
      <c r="FT29" s="124">
        <f>SUM(tbl_task4[S6])</f>
        <v>0</v>
      </c>
      <c r="FU29" s="124">
        <f>SUM(tbl_task4[S7])</f>
        <v>0</v>
      </c>
      <c r="FV29" s="124">
        <f>SUM(tbl_task4[S8])</f>
        <v>0</v>
      </c>
      <c r="FW29" s="124">
        <f>SUM(tbl_task4[S9])</f>
        <v>0</v>
      </c>
      <c r="FX29" s="124">
        <f>SUM(tbl_task4[S10])</f>
        <v>0</v>
      </c>
      <c r="FY29" s="124">
        <f>SUM(tbl_task4[S11])</f>
        <v>0</v>
      </c>
      <c r="FZ29" s="124">
        <f>SUM(tbl_task4[S12])</f>
        <v>0</v>
      </c>
      <c r="GA29" s="124">
        <f>SUM(tbl_task4[S13])</f>
        <v>0</v>
      </c>
      <c r="GB29" s="124">
        <f>SUM(tbl_task4[S14])</f>
        <v>0</v>
      </c>
      <c r="GC29" s="124">
        <f>SUM(tbl_task4[S15])</f>
        <v>0</v>
      </c>
      <c r="GD29" s="124">
        <f>SUM(tbl_task4[S16])</f>
        <v>0</v>
      </c>
      <c r="GE29" s="124">
        <f>SUM(tbl_task4[S17])</f>
        <v>0</v>
      </c>
      <c r="GF29" s="124">
        <f>SUM(tbl_task4[S18])</f>
        <v>0</v>
      </c>
      <c r="GG29" s="124">
        <f>SUM(tbl_task4[S19])</f>
        <v>0</v>
      </c>
      <c r="GH29" s="124">
        <f>SUM(tbl_task4[S20])</f>
        <v>0</v>
      </c>
      <c r="GI29" s="124">
        <f>SUM(tbl_task4[S21])</f>
        <v>0</v>
      </c>
      <c r="GJ29" s="124">
        <f>SUM(tbl_task4[S22])</f>
        <v>0</v>
      </c>
      <c r="GK29" s="124">
        <f>SUM(tbl_task4[S23])</f>
        <v>0</v>
      </c>
      <c r="GL29" s="124">
        <f>SUM(tbl_task4[S24])</f>
        <v>0</v>
      </c>
      <c r="GM29" s="124">
        <f>SUM(tbl_task4[S25])</f>
        <v>0</v>
      </c>
      <c r="GN29" s="124">
        <f>SUM(tbl_task4[S26])</f>
        <v>0</v>
      </c>
      <c r="GO29" s="124">
        <f>SUM(tbl_task4[S27])</f>
        <v>0</v>
      </c>
      <c r="GP29" s="124">
        <f>SUM(tbl_task4[S28])</f>
        <v>0</v>
      </c>
      <c r="GQ29" s="124">
        <f>SUM(tbl_task4[S29])</f>
        <v>0</v>
      </c>
      <c r="GR29" s="124">
        <f>SUM(tbl_task4[S30])</f>
        <v>0</v>
      </c>
      <c r="GS29" s="124">
        <f>SUM(tbl_task4[S31])</f>
        <v>0</v>
      </c>
      <c r="GT29" s="124">
        <f>SUM(tbl_task4[S32])</f>
        <v>0</v>
      </c>
      <c r="GU29" s="124">
        <f>SUM(tbl_task4[S33])</f>
        <v>0</v>
      </c>
      <c r="GV29" s="124">
        <f>SUM(tbl_task4[S34])</f>
        <v>0</v>
      </c>
      <c r="GW29" s="124">
        <f>SUM(tbl_task4[S35])</f>
        <v>0</v>
      </c>
      <c r="GX29" s="124">
        <f>SUM(tbl_task4[S36])</f>
        <v>0</v>
      </c>
      <c r="GY29" s="124">
        <f>SUM(tbl_task4[S37])</f>
        <v>0</v>
      </c>
      <c r="GZ29" s="124">
        <f>SUM(tbl_task4[S38])</f>
        <v>0</v>
      </c>
      <c r="HA29" s="124">
        <f>SUM(tbl_task4[S39])</f>
        <v>0</v>
      </c>
      <c r="HB29" s="124">
        <f>SUM(tbl_task4[S40])</f>
        <v>0</v>
      </c>
      <c r="HC29" s="124">
        <f>SUM(tbl_task4[S41])</f>
        <v>0</v>
      </c>
      <c r="HD29" s="124">
        <f>SUM(tbl_task4[S42])</f>
        <v>0</v>
      </c>
      <c r="HE29" s="124">
        <f>SUM(tbl_task4[S43])</f>
        <v>0</v>
      </c>
      <c r="HF29" s="124">
        <f>SUM(tbl_task4[S44])</f>
        <v>0</v>
      </c>
      <c r="HG29" s="124">
        <f>SUM(tbl_task4[S45])</f>
        <v>0</v>
      </c>
      <c r="HH29" s="124">
        <f>SUM(tbl_task4[S46])</f>
        <v>0</v>
      </c>
      <c r="HI29" s="124">
        <f>SUM(tbl_task4[S47])</f>
        <v>0</v>
      </c>
      <c r="HJ29" s="124">
        <f>SUM(tbl_task4[S48])</f>
        <v>0</v>
      </c>
      <c r="HK29" s="124">
        <f>SUM(tbl_task4[S49])</f>
        <v>0</v>
      </c>
      <c r="HL29" s="124">
        <f>SUM(tbl_task4[S50])</f>
        <v>0</v>
      </c>
      <c r="HM29" s="124">
        <f>SUM(tbl_task4[S51])</f>
        <v>0</v>
      </c>
      <c r="HN29" s="124">
        <f>SUM(tbl_task4[S52])</f>
        <v>0</v>
      </c>
      <c r="HO29" s="124">
        <f>SUM(tbl_task4[S53])</f>
        <v>0</v>
      </c>
      <c r="HP29" s="124">
        <f>SUM(tbl_task4[S54])</f>
        <v>0</v>
      </c>
      <c r="HQ29" s="124">
        <f>SUM(tbl_task4[S55])</f>
        <v>0</v>
      </c>
      <c r="HR29" s="124">
        <f>SUM(tbl_task4[S56])</f>
        <v>0</v>
      </c>
      <c r="HS29" s="124">
        <f>SUM(tbl_task4[S57])</f>
        <v>0</v>
      </c>
      <c r="HT29" s="124">
        <f>SUM(tbl_task4[S58])</f>
        <v>0</v>
      </c>
      <c r="HU29" s="124">
        <f>SUM(tbl_task4[S59])</f>
        <v>0</v>
      </c>
      <c r="HV29" s="124">
        <f>SUM(tbl_task4[S60])</f>
        <v>0</v>
      </c>
      <c r="HW29" s="124">
        <f>SUM(tbl_task4[S61])</f>
        <v>0</v>
      </c>
      <c r="HX29" s="124">
        <f>SUM(tbl_task4[S62])</f>
        <v>0</v>
      </c>
      <c r="HY29" s="124">
        <f>SUM(tbl_task4[S63])</f>
        <v>0</v>
      </c>
      <c r="HZ29" s="124">
        <f>SUM(tbl_task4[S64])</f>
        <v>0</v>
      </c>
      <c r="IA29" s="124">
        <f>SUM(tbl_task4[S65])</f>
        <v>0</v>
      </c>
      <c r="IB29" s="124">
        <f>SUM(tbl_task4[S66])</f>
        <v>0</v>
      </c>
      <c r="IC29" s="124">
        <f>SUM(tbl_task4[S67])</f>
        <v>0</v>
      </c>
      <c r="ID29" s="124">
        <f>SUM(tbl_task4[S68])</f>
        <v>0</v>
      </c>
      <c r="IE29" s="124">
        <f>SUM(tbl_task4[S69])</f>
        <v>0</v>
      </c>
      <c r="IF29" s="124">
        <f>SUM(tbl_task4[S70])</f>
        <v>0</v>
      </c>
      <c r="IG29" s="124">
        <f>SUM(tbl_task4[S71])</f>
        <v>0</v>
      </c>
      <c r="IH29" s="124">
        <f>SUM(tbl_task4[S72])</f>
        <v>0</v>
      </c>
      <c r="II29" s="124">
        <f>SUM(tbl_task4[S73])</f>
        <v>0</v>
      </c>
      <c r="IJ29" s="124">
        <f>SUM(tbl_task4[S74])</f>
        <v>0</v>
      </c>
      <c r="IK29" s="124">
        <f>SUM(tbl_task4[S75])</f>
        <v>0</v>
      </c>
      <c r="IL29" s="124">
        <f>SUM(tbl_task4[S76])</f>
        <v>0</v>
      </c>
      <c r="IM29" s="124">
        <f>SUM(tbl_task4[S77])</f>
        <v>0</v>
      </c>
      <c r="IN29" s="124">
        <f>SUM(tbl_task4[S78])</f>
        <v>0</v>
      </c>
      <c r="IO29" s="124">
        <f>SUM(tbl_task4[S79])</f>
        <v>0</v>
      </c>
      <c r="IP29" s="124">
        <f>SUM(tbl_task4[S80])</f>
        <v>0</v>
      </c>
      <c r="IQ29" s="124">
        <f>SUM(tbl_task4[S81])</f>
        <v>0</v>
      </c>
      <c r="IR29" s="124">
        <f>SUM(tbl_task4[S82])</f>
        <v>0</v>
      </c>
      <c r="IS29" s="124">
        <f>SUM(tbl_task4[S83])</f>
        <v>0</v>
      </c>
      <c r="IT29" s="124">
        <f>SUM(tbl_task4[S84])</f>
        <v>0</v>
      </c>
      <c r="IU29" s="124">
        <f>SUM(tbl_task4[S85])</f>
        <v>0</v>
      </c>
      <c r="IV29" s="124">
        <f>SUM(tbl_task4[S86])</f>
        <v>0</v>
      </c>
      <c r="IW29" s="124">
        <f>SUM(tbl_task4[S87])</f>
        <v>0</v>
      </c>
      <c r="IX29" s="124">
        <f>SUM(tbl_task4[S88])</f>
        <v>0</v>
      </c>
      <c r="IY29" s="124">
        <f>SUM(tbl_task4[S89])</f>
        <v>0</v>
      </c>
      <c r="IZ29" s="124">
        <f>SUM(tbl_task4[S90])</f>
        <v>0</v>
      </c>
      <c r="JA29" s="124">
        <f>SUM(tbl_task4[S91])</f>
        <v>0</v>
      </c>
      <c r="JB29" s="124">
        <f>SUM(tbl_task4[S92])</f>
        <v>0</v>
      </c>
      <c r="JC29" s="124">
        <f>SUM(tbl_task4[S93])</f>
        <v>0</v>
      </c>
      <c r="JD29" s="124">
        <f>SUM(tbl_task4[S94])</f>
        <v>0</v>
      </c>
      <c r="JE29" s="124">
        <f>SUM(tbl_task4[S95])</f>
        <v>0</v>
      </c>
      <c r="JF29" s="124">
        <f>SUM(tbl_task4[S96])</f>
        <v>0</v>
      </c>
      <c r="JG29" s="124">
        <f>SUM(tbl_task4[S97])</f>
        <v>0</v>
      </c>
      <c r="JH29" s="124">
        <f>SUM(tbl_task4[S98])</f>
        <v>0</v>
      </c>
      <c r="JI29" s="124">
        <f>SUM(tbl_task4[S99])</f>
        <v>0</v>
      </c>
      <c r="JJ29" s="124">
        <f>SUM(tbl_task4[S100])</f>
        <v>0</v>
      </c>
      <c r="JK29" s="124">
        <f>SUM(tbl_task4[S101])</f>
        <v>0</v>
      </c>
      <c r="JL29" s="124">
        <f>SUM(tbl_task4[S102])</f>
        <v>0</v>
      </c>
      <c r="JM29" s="124">
        <f>SUM(tbl_task4[S103])</f>
        <v>0</v>
      </c>
      <c r="JN29" s="124">
        <f>SUM(tbl_task4[S104])</f>
        <v>0</v>
      </c>
      <c r="JO29" s="124">
        <f>SUM(tbl_task4[S105])</f>
        <v>0</v>
      </c>
      <c r="JP29" s="124">
        <f>SUM(tbl_task4[S106])</f>
        <v>0</v>
      </c>
      <c r="JQ29" s="124">
        <f>SUM(tbl_task4[S107])</f>
        <v>0</v>
      </c>
      <c r="JR29" s="124">
        <f>SUM(tbl_task4[S108])</f>
        <v>0</v>
      </c>
      <c r="JS29" s="124">
        <f>SUM(tbl_task4[S109])</f>
        <v>0</v>
      </c>
      <c r="JT29" s="124">
        <f>SUM(tbl_task4[S110])</f>
        <v>0</v>
      </c>
      <c r="JU29" s="124">
        <f>SUM(tbl_task4[S111])</f>
        <v>0</v>
      </c>
      <c r="JV29" s="124">
        <f>SUM(tbl_task4[S112])</f>
        <v>0</v>
      </c>
      <c r="JW29" s="124">
        <f>SUM(tbl_task4[S113])</f>
        <v>0</v>
      </c>
      <c r="JX29" s="124">
        <f>SUM(tbl_task4[S114])</f>
        <v>0</v>
      </c>
      <c r="JY29" s="124">
        <f>SUM(tbl_task4[S115])</f>
        <v>0</v>
      </c>
      <c r="JZ29" s="124">
        <f>SUM(tbl_task4[S116])</f>
        <v>0</v>
      </c>
      <c r="KA29" s="124">
        <f>SUM(tbl_task4[S117])</f>
        <v>0</v>
      </c>
      <c r="KB29" s="124">
        <f>SUM(tbl_task4[S118])</f>
        <v>0</v>
      </c>
      <c r="KC29" s="124">
        <f>SUM(tbl_task4[S119])</f>
        <v>0</v>
      </c>
      <c r="KD29" s="124">
        <f>SUM(tbl_task4[S120])</f>
        <v>0</v>
      </c>
      <c r="KE29" s="124">
        <f>SUM(tbl_task4[S121])</f>
        <v>0</v>
      </c>
      <c r="KF29" s="124">
        <f>SUM(tbl_task4[S122])</f>
        <v>0</v>
      </c>
      <c r="KG29" s="124">
        <f>SUM(tbl_task4[S123])</f>
        <v>0</v>
      </c>
      <c r="KH29" s="124">
        <f>SUM(tbl_task4[S124])</f>
        <v>0</v>
      </c>
      <c r="KI29" s="124">
        <f>SUM(tbl_task4[S125])</f>
        <v>0</v>
      </c>
      <c r="KJ29" s="124">
        <f>SUM(tbl_task4[S126])</f>
        <v>0</v>
      </c>
      <c r="KK29" s="124">
        <f>SUM(tbl_task4[S127])</f>
        <v>0</v>
      </c>
      <c r="KL29" s="124">
        <f>SUM(tbl_task4[S128])</f>
        <v>0</v>
      </c>
      <c r="KM29" s="124">
        <f>SUM(tbl_task4[S129])</f>
        <v>0</v>
      </c>
      <c r="KN29" s="124">
        <f>SUM(tbl_task4[S130])</f>
        <v>0</v>
      </c>
      <c r="KO29" s="124">
        <f>SUM(tbl_task4[S131])</f>
        <v>0</v>
      </c>
      <c r="KP29" s="124">
        <f>SUM(tbl_task4[S132])</f>
        <v>0</v>
      </c>
      <c r="KQ29" s="124">
        <f>SUM(tbl_task4[S133])</f>
        <v>0</v>
      </c>
      <c r="KR29" s="124">
        <f>SUM(tbl_task4[S134])</f>
        <v>0</v>
      </c>
      <c r="KS29" s="124">
        <f>SUM(tbl_task4[S135])</f>
        <v>0</v>
      </c>
      <c r="KT29" s="124">
        <f>SUM(tbl_task4[S136])</f>
        <v>0</v>
      </c>
      <c r="KU29" s="124">
        <f>SUM(tbl_task4[S137])</f>
        <v>0</v>
      </c>
      <c r="KV29" s="124">
        <f>SUM(tbl_task4[S138])</f>
        <v>0</v>
      </c>
      <c r="KW29" s="124">
        <f>SUM(tbl_task4[S139])</f>
        <v>0</v>
      </c>
      <c r="KX29" s="124">
        <f>SUM(tbl_task4[S140])</f>
        <v>0</v>
      </c>
      <c r="KY29" s="124">
        <f>SUM(tbl_task4[S141])</f>
        <v>0</v>
      </c>
      <c r="KZ29" s="124">
        <f>SUM(tbl_task4[S142])</f>
        <v>0</v>
      </c>
      <c r="LA29" s="124">
        <f>SUM(tbl_task4[S143])</f>
        <v>0</v>
      </c>
      <c r="LB29" s="124">
        <f>SUM(tbl_task4[S144])</f>
        <v>0</v>
      </c>
      <c r="LC29" s="124">
        <f>SUM(tbl_task4[S145])</f>
        <v>0</v>
      </c>
      <c r="LD29" s="124">
        <f>SUM(tbl_task4[S146])</f>
        <v>0</v>
      </c>
      <c r="LE29" s="124">
        <f>SUM(tbl_task4[S147])</f>
        <v>0</v>
      </c>
      <c r="LF29" s="124">
        <f>SUM(tbl_task4[S148])</f>
        <v>0</v>
      </c>
      <c r="LG29" s="124">
        <f>SUM(tbl_task4[S149])</f>
        <v>0</v>
      </c>
      <c r="LH29" s="124">
        <f>SUM(tbl_task4[S150])</f>
        <v>0</v>
      </c>
      <c r="LI29" s="124">
        <f>SUM(tbl_task4[S151])</f>
        <v>0</v>
      </c>
      <c r="LJ29" s="124">
        <f>SUM(tbl_task4[S152])</f>
        <v>0</v>
      </c>
      <c r="LK29" s="124">
        <f>SUM(tbl_task4[S153])</f>
        <v>0</v>
      </c>
      <c r="LL29" s="124">
        <f>SUM(tbl_task4[S154])</f>
        <v>0</v>
      </c>
      <c r="LM29" s="124">
        <f>SUM(tbl_task4[S155])</f>
        <v>0</v>
      </c>
      <c r="LN29" s="124">
        <f>SUM(tbl_task4[S156])</f>
        <v>0</v>
      </c>
      <c r="LO29" s="124">
        <f>SUM(tbl_task4[S157])</f>
        <v>0</v>
      </c>
      <c r="LP29" s="124">
        <f>SUM(tbl_task4[S158])</f>
        <v>0</v>
      </c>
      <c r="LQ29" s="124">
        <f>SUM(tbl_task4[S159])</f>
        <v>0</v>
      </c>
      <c r="LR29" s="124">
        <f>SUM(tbl_task4[S160])</f>
        <v>0</v>
      </c>
      <c r="LS29" s="124">
        <f>SUM(tbl_task4[S161])</f>
        <v>0</v>
      </c>
      <c r="LT29" s="124">
        <f>SUM(tbl_task4[S162])</f>
        <v>0</v>
      </c>
      <c r="LU29" s="124">
        <f>SUM(tbl_task4[S163])</f>
        <v>0</v>
      </c>
      <c r="LV29" s="124">
        <f>SUM(tbl_task4[S164])</f>
        <v>0</v>
      </c>
      <c r="LW29" s="124">
        <f>SUM(tbl_task4[S165])</f>
        <v>0</v>
      </c>
    </row>
    <row r="30" spans="1:335" s="39" customFormat="1" ht="9" customHeight="1" x14ac:dyDescent="0.25">
      <c r="A30" s="23"/>
      <c r="B30" s="35"/>
      <c r="C30" s="36"/>
      <c r="D30" s="100"/>
      <c r="E30" s="37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</row>
    <row r="31" spans="1:335" ht="10.5" customHeight="1" x14ac:dyDescent="0.25">
      <c r="A31" s="23"/>
      <c r="B31" s="35"/>
      <c r="C31" s="36"/>
      <c r="D31" s="100"/>
      <c r="E31" s="37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</row>
    <row r="32" spans="1:335" x14ac:dyDescent="0.25">
      <c r="A32" s="6" t="s">
        <v>410</v>
      </c>
    </row>
    <row r="33" spans="1:170" ht="42" x14ac:dyDescent="0.25">
      <c r="A33" s="7" t="s">
        <v>10</v>
      </c>
      <c r="B33" s="21" t="s">
        <v>286</v>
      </c>
      <c r="C33" s="21" t="s">
        <v>451</v>
      </c>
      <c r="D33" s="21" t="s">
        <v>409</v>
      </c>
      <c r="E33" s="43" t="s">
        <v>249</v>
      </c>
      <c r="F33" s="122" t="s">
        <v>22</v>
      </c>
      <c r="G33" s="122" t="s">
        <v>23</v>
      </c>
      <c r="H33" s="122" t="s">
        <v>24</v>
      </c>
      <c r="I33" s="122" t="s">
        <v>25</v>
      </c>
      <c r="J33" s="122" t="s">
        <v>26</v>
      </c>
      <c r="K33" s="122" t="s">
        <v>27</v>
      </c>
      <c r="L33" s="122" t="s">
        <v>28</v>
      </c>
      <c r="M33" s="122" t="s">
        <v>29</v>
      </c>
      <c r="N33" s="122" t="s">
        <v>30</v>
      </c>
      <c r="O33" s="122" t="s">
        <v>31</v>
      </c>
      <c r="P33" s="122" t="s">
        <v>32</v>
      </c>
      <c r="Q33" s="122" t="s">
        <v>33</v>
      </c>
      <c r="R33" s="122" t="s">
        <v>34</v>
      </c>
      <c r="S33" s="122" t="s">
        <v>35</v>
      </c>
      <c r="T33" s="122" t="s">
        <v>36</v>
      </c>
      <c r="U33" s="122" t="s">
        <v>37</v>
      </c>
      <c r="V33" s="122" t="s">
        <v>38</v>
      </c>
      <c r="W33" s="122" t="s">
        <v>39</v>
      </c>
      <c r="X33" s="122" t="s">
        <v>40</v>
      </c>
      <c r="Y33" s="122" t="s">
        <v>41</v>
      </c>
      <c r="Z33" s="122" t="s">
        <v>42</v>
      </c>
      <c r="AA33" s="122" t="s">
        <v>43</v>
      </c>
      <c r="AB33" s="122" t="s">
        <v>44</v>
      </c>
      <c r="AC33" s="122" t="s">
        <v>45</v>
      </c>
      <c r="AD33" s="122" t="s">
        <v>46</v>
      </c>
      <c r="AE33" s="122" t="s">
        <v>47</v>
      </c>
      <c r="AF33" s="122" t="s">
        <v>48</v>
      </c>
      <c r="AG33" s="122" t="s">
        <v>49</v>
      </c>
      <c r="AH33" s="122" t="s">
        <v>50</v>
      </c>
      <c r="AI33" s="122" t="s">
        <v>51</v>
      </c>
      <c r="AJ33" s="122" t="s">
        <v>52</v>
      </c>
      <c r="AK33" s="122" t="s">
        <v>53</v>
      </c>
      <c r="AL33" s="122" t="s">
        <v>54</v>
      </c>
      <c r="AM33" s="122" t="s">
        <v>55</v>
      </c>
      <c r="AN33" s="122" t="s">
        <v>56</v>
      </c>
      <c r="AO33" s="122" t="s">
        <v>57</v>
      </c>
      <c r="AP33" s="122" t="s">
        <v>58</v>
      </c>
      <c r="AQ33" s="122" t="s">
        <v>59</v>
      </c>
      <c r="AR33" s="122" t="s">
        <v>60</v>
      </c>
      <c r="AS33" s="122" t="s">
        <v>61</v>
      </c>
      <c r="AT33" s="122" t="s">
        <v>62</v>
      </c>
      <c r="AU33" s="122" t="s">
        <v>63</v>
      </c>
      <c r="AV33" s="122" t="s">
        <v>64</v>
      </c>
      <c r="AW33" s="122" t="s">
        <v>65</v>
      </c>
      <c r="AX33" s="122" t="s">
        <v>66</v>
      </c>
      <c r="AY33" s="122" t="s">
        <v>67</v>
      </c>
      <c r="AZ33" s="122" t="s">
        <v>68</v>
      </c>
      <c r="BA33" s="122" t="s">
        <v>69</v>
      </c>
      <c r="BB33" s="122" t="s">
        <v>70</v>
      </c>
      <c r="BC33" s="122" t="s">
        <v>71</v>
      </c>
      <c r="BD33" s="122" t="s">
        <v>72</v>
      </c>
      <c r="BE33" s="122" t="s">
        <v>73</v>
      </c>
      <c r="BF33" s="122" t="s">
        <v>74</v>
      </c>
      <c r="BG33" s="122" t="s">
        <v>75</v>
      </c>
      <c r="BH33" s="122" t="s">
        <v>76</v>
      </c>
      <c r="BI33" s="122" t="s">
        <v>77</v>
      </c>
      <c r="BJ33" s="122" t="s">
        <v>78</v>
      </c>
      <c r="BK33" s="122" t="s">
        <v>79</v>
      </c>
      <c r="BL33" s="122" t="s">
        <v>80</v>
      </c>
      <c r="BM33" s="122" t="s">
        <v>81</v>
      </c>
      <c r="BN33" s="122" t="s">
        <v>82</v>
      </c>
      <c r="BO33" s="122" t="s">
        <v>83</v>
      </c>
      <c r="BP33" s="122" t="s">
        <v>84</v>
      </c>
      <c r="BQ33" s="122" t="s">
        <v>85</v>
      </c>
      <c r="BR33" s="122" t="s">
        <v>86</v>
      </c>
      <c r="BS33" s="122" t="s">
        <v>87</v>
      </c>
      <c r="BT33" s="122" t="s">
        <v>88</v>
      </c>
      <c r="BU33" s="122" t="s">
        <v>89</v>
      </c>
      <c r="BV33" s="122" t="s">
        <v>90</v>
      </c>
      <c r="BW33" s="122" t="s">
        <v>91</v>
      </c>
      <c r="BX33" s="122" t="s">
        <v>92</v>
      </c>
      <c r="BY33" s="122" t="s">
        <v>93</v>
      </c>
      <c r="BZ33" s="122" t="s">
        <v>94</v>
      </c>
      <c r="CA33" s="122" t="s">
        <v>95</v>
      </c>
      <c r="CB33" s="122" t="s">
        <v>96</v>
      </c>
      <c r="CC33" s="122" t="s">
        <v>97</v>
      </c>
      <c r="CD33" s="122" t="s">
        <v>98</v>
      </c>
      <c r="CE33" s="122" t="s">
        <v>99</v>
      </c>
      <c r="CF33" s="122" t="s">
        <v>100</v>
      </c>
      <c r="CG33" s="122" t="s">
        <v>101</v>
      </c>
      <c r="CH33" s="122" t="s">
        <v>102</v>
      </c>
      <c r="CI33" s="122" t="s">
        <v>103</v>
      </c>
      <c r="CJ33" s="122" t="s">
        <v>104</v>
      </c>
      <c r="CK33" s="122" t="s">
        <v>105</v>
      </c>
      <c r="CL33" s="122" t="s">
        <v>106</v>
      </c>
      <c r="CM33" s="122" t="s">
        <v>107</v>
      </c>
      <c r="CN33" s="122" t="s">
        <v>108</v>
      </c>
      <c r="CO33" s="122" t="s">
        <v>109</v>
      </c>
      <c r="CP33" s="122" t="s">
        <v>110</v>
      </c>
      <c r="CQ33" s="122" t="s">
        <v>111</v>
      </c>
      <c r="CR33" s="122" t="s">
        <v>112</v>
      </c>
      <c r="CS33" s="122" t="s">
        <v>113</v>
      </c>
      <c r="CT33" s="122" t="s">
        <v>114</v>
      </c>
      <c r="CU33" s="122" t="s">
        <v>115</v>
      </c>
      <c r="CV33" s="122" t="s">
        <v>116</v>
      </c>
      <c r="CW33" s="122" t="s">
        <v>117</v>
      </c>
      <c r="CX33" s="122" t="s">
        <v>118</v>
      </c>
      <c r="CY33" s="122" t="s">
        <v>119</v>
      </c>
      <c r="CZ33" s="122" t="s">
        <v>120</v>
      </c>
      <c r="DA33" s="122" t="s">
        <v>121</v>
      </c>
      <c r="DB33" s="122" t="s">
        <v>122</v>
      </c>
      <c r="DC33" s="122" t="s">
        <v>123</v>
      </c>
      <c r="DD33" s="122" t="s">
        <v>124</v>
      </c>
      <c r="DE33" s="122" t="s">
        <v>125</v>
      </c>
      <c r="DF33" s="122" t="s">
        <v>126</v>
      </c>
      <c r="DG33" s="122" t="s">
        <v>127</v>
      </c>
      <c r="DH33" s="122" t="s">
        <v>128</v>
      </c>
      <c r="DI33" s="122" t="s">
        <v>129</v>
      </c>
      <c r="DJ33" s="122" t="s">
        <v>130</v>
      </c>
      <c r="DK33" s="122" t="s">
        <v>131</v>
      </c>
      <c r="DL33" s="122" t="s">
        <v>132</v>
      </c>
      <c r="DM33" s="122" t="s">
        <v>133</v>
      </c>
      <c r="DN33" s="122" t="s">
        <v>134</v>
      </c>
      <c r="DO33" s="122" t="s">
        <v>135</v>
      </c>
      <c r="DP33" s="122" t="s">
        <v>136</v>
      </c>
      <c r="DQ33" s="122" t="s">
        <v>359</v>
      </c>
      <c r="DR33" s="122" t="s">
        <v>360</v>
      </c>
      <c r="DS33" s="122" t="s">
        <v>361</v>
      </c>
      <c r="DT33" s="122" t="s">
        <v>362</v>
      </c>
      <c r="DU33" s="122" t="s">
        <v>363</v>
      </c>
      <c r="DV33" s="122" t="s">
        <v>364</v>
      </c>
      <c r="DW33" s="122" t="s">
        <v>365</v>
      </c>
      <c r="DX33" s="122" t="s">
        <v>366</v>
      </c>
      <c r="DY33" s="122" t="s">
        <v>367</v>
      </c>
      <c r="DZ33" s="122" t="s">
        <v>368</v>
      </c>
      <c r="EA33" s="122" t="s">
        <v>369</v>
      </c>
      <c r="EB33" s="122" t="s">
        <v>370</v>
      </c>
      <c r="EC33" s="122" t="s">
        <v>371</v>
      </c>
      <c r="ED33" s="122" t="s">
        <v>372</v>
      </c>
      <c r="EE33" s="122" t="s">
        <v>373</v>
      </c>
      <c r="EF33" s="122" t="s">
        <v>374</v>
      </c>
      <c r="EG33" s="122" t="s">
        <v>375</v>
      </c>
      <c r="EH33" s="122" t="s">
        <v>376</v>
      </c>
      <c r="EI33" s="122" t="s">
        <v>377</v>
      </c>
      <c r="EJ33" s="122" t="s">
        <v>378</v>
      </c>
      <c r="EK33" s="122" t="s">
        <v>379</v>
      </c>
      <c r="EL33" s="122" t="s">
        <v>380</v>
      </c>
      <c r="EM33" s="122" t="s">
        <v>381</v>
      </c>
      <c r="EN33" s="122" t="s">
        <v>382</v>
      </c>
      <c r="EO33" s="122" t="s">
        <v>383</v>
      </c>
      <c r="EP33" s="122" t="s">
        <v>384</v>
      </c>
      <c r="EQ33" s="122" t="s">
        <v>385</v>
      </c>
      <c r="ER33" s="122" t="s">
        <v>386</v>
      </c>
      <c r="ES33" s="122" t="s">
        <v>387</v>
      </c>
      <c r="ET33" s="122" t="s">
        <v>388</v>
      </c>
      <c r="EU33" s="122" t="s">
        <v>389</v>
      </c>
      <c r="EV33" s="122" t="s">
        <v>390</v>
      </c>
      <c r="EW33" s="122" t="s">
        <v>391</v>
      </c>
      <c r="EX33" s="122" t="s">
        <v>392</v>
      </c>
      <c r="EY33" s="122" t="s">
        <v>393</v>
      </c>
      <c r="EZ33" s="122" t="s">
        <v>394</v>
      </c>
      <c r="FA33" s="122" t="s">
        <v>395</v>
      </c>
      <c r="FB33" s="122" t="s">
        <v>396</v>
      </c>
      <c r="FC33" s="122" t="s">
        <v>397</v>
      </c>
      <c r="FD33" s="122" t="s">
        <v>398</v>
      </c>
      <c r="FE33" s="122" t="s">
        <v>399</v>
      </c>
      <c r="FF33" s="122" t="s">
        <v>400</v>
      </c>
      <c r="FG33" s="122" t="s">
        <v>401</v>
      </c>
      <c r="FH33" s="122" t="s">
        <v>402</v>
      </c>
      <c r="FI33" s="122" t="s">
        <v>403</v>
      </c>
      <c r="FJ33" s="122" t="s">
        <v>404</v>
      </c>
      <c r="FK33" s="122" t="s">
        <v>405</v>
      </c>
      <c r="FL33" s="122" t="s">
        <v>406</v>
      </c>
      <c r="FM33" s="122" t="s">
        <v>407</v>
      </c>
      <c r="FN33" s="122" t="s">
        <v>408</v>
      </c>
    </row>
    <row r="34" spans="1:170" ht="84" x14ac:dyDescent="0.25">
      <c r="A34" s="135">
        <v>1</v>
      </c>
      <c r="B34" s="5" t="s">
        <v>617</v>
      </c>
      <c r="C34" s="136">
        <f>COUNTIFS(tbl_task4[SubPLOs],"&gt;=1",tbl_task4[SubPLOs],"&lt;2")</f>
        <v>0</v>
      </c>
      <c r="D34" s="136">
        <f>SUMIFS(tbl_task4[คะแนนเต็ม],tbl_task4[SubPLOs],"&gt;=1",tbl_task4[SubPLOs],"&lt;2")</f>
        <v>0</v>
      </c>
      <c r="E34" s="137">
        <f>SUMIFS(tbl_task4[%],tbl_task4[SubPLOs],"&gt;=1",tbl_task4[SubPLOs],"&lt;2")</f>
        <v>0</v>
      </c>
      <c r="F34" s="138">
        <f>SUMIFS(tbl_task4[S1],tbl_task4[[SubPLOs]:[SubPLOs]],"&gt;=1",tbl_task4[[SubPLOs]:[SubPLOs]],"&lt;2")</f>
        <v>0</v>
      </c>
      <c r="G34" s="138">
        <f>SUMIFS(tbl_task4[S2],tbl_task4[[SubPLOs]:[SubPLOs]],"&gt;=1",tbl_task4[[SubPLOs]:[SubPLOs]],"&lt;2")</f>
        <v>0</v>
      </c>
      <c r="H34" s="138">
        <f>SUMIFS(tbl_task4[S3],tbl_task4[[SubPLOs]:[SubPLOs]],"&gt;=1",tbl_task4[[SubPLOs]:[SubPLOs]],"&lt;2")</f>
        <v>0</v>
      </c>
      <c r="I34" s="138">
        <f>SUMIFS(tbl_task4[S4],tbl_task4[[SubPLOs]:[SubPLOs]],"&gt;=1",tbl_task4[[SubPLOs]:[SubPLOs]],"&lt;2")</f>
        <v>0</v>
      </c>
      <c r="J34" s="138">
        <f>SUMIFS(tbl_task4[S5],tbl_task4[[SubPLOs]:[SubPLOs]],"&gt;=1",tbl_task4[[SubPLOs]:[SubPLOs]],"&lt;2")</f>
        <v>0</v>
      </c>
      <c r="K34" s="138">
        <f>SUMIFS(tbl_task4[S6],tbl_task4[[SubPLOs]:[SubPLOs]],"&gt;=1",tbl_task4[[SubPLOs]:[SubPLOs]],"&lt;2")</f>
        <v>0</v>
      </c>
      <c r="L34" s="138">
        <f>SUMIFS(tbl_task4[S7],tbl_task4[[SubPLOs]:[SubPLOs]],"&gt;=1",tbl_task4[[SubPLOs]:[SubPLOs]],"&lt;2")</f>
        <v>0</v>
      </c>
      <c r="M34" s="138">
        <f>SUMIFS(tbl_task4[S8],tbl_task4[[SubPLOs]:[SubPLOs]],"&gt;=1",tbl_task4[[SubPLOs]:[SubPLOs]],"&lt;2")</f>
        <v>0</v>
      </c>
      <c r="N34" s="138">
        <f>SUMIFS(tbl_task4[S9],tbl_task4[[SubPLOs]:[SubPLOs]],"&gt;=1",tbl_task4[[SubPLOs]:[SubPLOs]],"&lt;2")</f>
        <v>0</v>
      </c>
      <c r="O34" s="138">
        <f>SUMIFS(tbl_task4[S10],tbl_task4[[SubPLOs]:[SubPLOs]],"&gt;=1",tbl_task4[[SubPLOs]:[SubPLOs]],"&lt;2")</f>
        <v>0</v>
      </c>
      <c r="P34" s="138">
        <f>SUMIFS(tbl_task4[S11],tbl_task4[[SubPLOs]:[SubPLOs]],"&gt;=1",tbl_task4[[SubPLOs]:[SubPLOs]],"&lt;2")</f>
        <v>0</v>
      </c>
      <c r="Q34" s="138">
        <f>SUMIFS(tbl_task4[S12],tbl_task4[[SubPLOs]:[SubPLOs]],"&gt;=1",tbl_task4[[SubPLOs]:[SubPLOs]],"&lt;2")</f>
        <v>0</v>
      </c>
      <c r="R34" s="138">
        <f>SUMIFS(tbl_task4[S13],tbl_task4[[SubPLOs]:[SubPLOs]],"&gt;=1",tbl_task4[[SubPLOs]:[SubPLOs]],"&lt;2")</f>
        <v>0</v>
      </c>
      <c r="S34" s="138">
        <f>SUMIFS(tbl_task4[S14],tbl_task4[[SubPLOs]:[SubPLOs]],"&gt;=1",tbl_task4[[SubPLOs]:[SubPLOs]],"&lt;2")</f>
        <v>0</v>
      </c>
      <c r="T34" s="138">
        <f>SUMIFS(tbl_task4[S15],tbl_task4[[SubPLOs]:[SubPLOs]],"&gt;=1",tbl_task4[[SubPLOs]:[SubPLOs]],"&lt;2")</f>
        <v>0</v>
      </c>
      <c r="U34" s="138">
        <f>SUMIFS(tbl_task4[S16],tbl_task4[[SubPLOs]:[SubPLOs]],"&gt;=1",tbl_task4[[SubPLOs]:[SubPLOs]],"&lt;2")</f>
        <v>0</v>
      </c>
      <c r="V34" s="138">
        <f>SUMIFS(tbl_task4[S17],tbl_task4[[SubPLOs]:[SubPLOs]],"&gt;=1",tbl_task4[[SubPLOs]:[SubPLOs]],"&lt;2")</f>
        <v>0</v>
      </c>
      <c r="W34" s="138">
        <f>SUMIFS(tbl_task4[S18],tbl_task4[[SubPLOs]:[SubPLOs]],"&gt;=1",tbl_task4[[SubPLOs]:[SubPLOs]],"&lt;2")</f>
        <v>0</v>
      </c>
      <c r="X34" s="138">
        <f>SUMIFS(tbl_task4[S19],tbl_task4[[SubPLOs]:[SubPLOs]],"&gt;=1",tbl_task4[[SubPLOs]:[SubPLOs]],"&lt;2")</f>
        <v>0</v>
      </c>
      <c r="Y34" s="138">
        <f>SUMIFS(tbl_task4[S20],tbl_task4[[SubPLOs]:[SubPLOs]],"&gt;=1",tbl_task4[[SubPLOs]:[SubPLOs]],"&lt;2")</f>
        <v>0</v>
      </c>
      <c r="Z34" s="138">
        <f>SUMIFS(tbl_task4[S21],tbl_task4[[SubPLOs]:[SubPLOs]],"&gt;=1",tbl_task4[[SubPLOs]:[SubPLOs]],"&lt;2")</f>
        <v>0</v>
      </c>
      <c r="AA34" s="138">
        <f>SUMIFS(tbl_task4[S22],tbl_task4[[SubPLOs]:[SubPLOs]],"&gt;=1",tbl_task4[[SubPLOs]:[SubPLOs]],"&lt;2")</f>
        <v>0</v>
      </c>
      <c r="AB34" s="138">
        <f>SUMIFS(tbl_task4[S23],tbl_task4[[SubPLOs]:[SubPLOs]],"&gt;=1",tbl_task4[[SubPLOs]:[SubPLOs]],"&lt;2")</f>
        <v>0</v>
      </c>
      <c r="AC34" s="138">
        <f>SUMIFS(tbl_task4[S24],tbl_task4[[SubPLOs]:[SubPLOs]],"&gt;=1",tbl_task4[[SubPLOs]:[SubPLOs]],"&lt;2")</f>
        <v>0</v>
      </c>
      <c r="AD34" s="138">
        <f>SUMIFS(tbl_task4[S25],tbl_task4[[SubPLOs]:[SubPLOs]],"&gt;=1",tbl_task4[[SubPLOs]:[SubPLOs]],"&lt;2")</f>
        <v>0</v>
      </c>
      <c r="AE34" s="138">
        <f>SUMIFS(tbl_task4[S26],tbl_task4[[SubPLOs]:[SubPLOs]],"&gt;=1",tbl_task4[[SubPLOs]:[SubPLOs]],"&lt;2")</f>
        <v>0</v>
      </c>
      <c r="AF34" s="138">
        <f>SUMIFS(tbl_task4[S27],tbl_task4[[SubPLOs]:[SubPLOs]],"&gt;=1",tbl_task4[[SubPLOs]:[SubPLOs]],"&lt;2")</f>
        <v>0</v>
      </c>
      <c r="AG34" s="138">
        <f>SUMIFS(tbl_task4[S28],tbl_task4[[SubPLOs]:[SubPLOs]],"&gt;=1",tbl_task4[[SubPLOs]:[SubPLOs]],"&lt;2")</f>
        <v>0</v>
      </c>
      <c r="AH34" s="138">
        <f>SUMIFS(tbl_task4[S29],tbl_task4[[SubPLOs]:[SubPLOs]],"&gt;=1",tbl_task4[[SubPLOs]:[SubPLOs]],"&lt;2")</f>
        <v>0</v>
      </c>
      <c r="AI34" s="138">
        <f>SUMIFS(tbl_task4[S30],tbl_task4[[SubPLOs]:[SubPLOs]],"&gt;=1",tbl_task4[[SubPLOs]:[SubPLOs]],"&lt;2")</f>
        <v>0</v>
      </c>
      <c r="AJ34" s="138">
        <f>SUMIFS(tbl_task4[S31],tbl_task4[[SubPLOs]:[SubPLOs]],"&gt;=1",tbl_task4[[SubPLOs]:[SubPLOs]],"&lt;2")</f>
        <v>0</v>
      </c>
      <c r="AK34" s="138">
        <f>SUMIFS(tbl_task4[S32],tbl_task4[[SubPLOs]:[SubPLOs]],"&gt;=1",tbl_task4[[SubPLOs]:[SubPLOs]],"&lt;2")</f>
        <v>0</v>
      </c>
      <c r="AL34" s="138">
        <f>SUMIFS(tbl_task4[S33],tbl_task4[[SubPLOs]:[SubPLOs]],"&gt;=1",tbl_task4[[SubPLOs]:[SubPLOs]],"&lt;2")</f>
        <v>0</v>
      </c>
      <c r="AM34" s="138">
        <f>SUMIFS(tbl_task4[S34],tbl_task4[[SubPLOs]:[SubPLOs]],"&gt;=1",tbl_task4[[SubPLOs]:[SubPLOs]],"&lt;2")</f>
        <v>0</v>
      </c>
      <c r="AN34" s="138">
        <f>SUMIFS(tbl_task4[S35],tbl_task4[[SubPLOs]:[SubPLOs]],"&gt;=1",tbl_task4[[SubPLOs]:[SubPLOs]],"&lt;2")</f>
        <v>0</v>
      </c>
      <c r="AO34" s="138">
        <f>SUMIFS(tbl_task4[S36],tbl_task4[[SubPLOs]:[SubPLOs]],"&gt;=1",tbl_task4[[SubPLOs]:[SubPLOs]],"&lt;2")</f>
        <v>0</v>
      </c>
      <c r="AP34" s="138">
        <f>SUMIFS(tbl_task4[S37],tbl_task4[[SubPLOs]:[SubPLOs]],"&gt;=1",tbl_task4[[SubPLOs]:[SubPLOs]],"&lt;2")</f>
        <v>0</v>
      </c>
      <c r="AQ34" s="138">
        <f>SUMIFS(tbl_task4[S38],tbl_task4[[SubPLOs]:[SubPLOs]],"&gt;=1",tbl_task4[[SubPLOs]:[SubPLOs]],"&lt;2")</f>
        <v>0</v>
      </c>
      <c r="AR34" s="138">
        <f>SUMIFS(tbl_task4[S39],tbl_task4[[SubPLOs]:[SubPLOs]],"&gt;=1",tbl_task4[[SubPLOs]:[SubPLOs]],"&lt;2")</f>
        <v>0</v>
      </c>
      <c r="AS34" s="138">
        <f>SUMIFS(tbl_task4[S40],tbl_task4[[SubPLOs]:[SubPLOs]],"&gt;=1",tbl_task4[[SubPLOs]:[SubPLOs]],"&lt;2")</f>
        <v>0</v>
      </c>
      <c r="AT34" s="138">
        <f>SUMIFS(tbl_task4[S41],tbl_task4[[SubPLOs]:[SubPLOs]],"&gt;=1",tbl_task4[[SubPLOs]:[SubPLOs]],"&lt;2")</f>
        <v>0</v>
      </c>
      <c r="AU34" s="138">
        <f>SUMIFS(tbl_task4[S42],tbl_task4[[SubPLOs]:[SubPLOs]],"&gt;=1",tbl_task4[[SubPLOs]:[SubPLOs]],"&lt;2")</f>
        <v>0</v>
      </c>
      <c r="AV34" s="138">
        <f>SUMIFS(tbl_task4[S43],tbl_task4[[SubPLOs]:[SubPLOs]],"&gt;=1",tbl_task4[[SubPLOs]:[SubPLOs]],"&lt;2")</f>
        <v>0</v>
      </c>
      <c r="AW34" s="138">
        <f>SUMIFS(tbl_task4[S44],tbl_task4[[SubPLOs]:[SubPLOs]],"&gt;=1",tbl_task4[[SubPLOs]:[SubPLOs]],"&lt;2")</f>
        <v>0</v>
      </c>
      <c r="AX34" s="138">
        <f>SUMIFS(tbl_task4[S45],tbl_task4[[SubPLOs]:[SubPLOs]],"&gt;=1",tbl_task4[[SubPLOs]:[SubPLOs]],"&lt;2")</f>
        <v>0</v>
      </c>
      <c r="AY34" s="138">
        <f>SUMIFS(tbl_task4[S46],tbl_task4[[SubPLOs]:[SubPLOs]],"&gt;=1",tbl_task4[[SubPLOs]:[SubPLOs]],"&lt;2")</f>
        <v>0</v>
      </c>
      <c r="AZ34" s="138">
        <f>SUMIFS(tbl_task4[S47],tbl_task4[[SubPLOs]:[SubPLOs]],"&gt;=1",tbl_task4[[SubPLOs]:[SubPLOs]],"&lt;2")</f>
        <v>0</v>
      </c>
      <c r="BA34" s="138">
        <f>SUMIFS(tbl_task4[S48],tbl_task4[[SubPLOs]:[SubPLOs]],"&gt;=1",tbl_task4[[SubPLOs]:[SubPLOs]],"&lt;2")</f>
        <v>0</v>
      </c>
      <c r="BB34" s="138">
        <f>SUMIFS(tbl_task4[S49],tbl_task4[[SubPLOs]:[SubPLOs]],"&gt;=1",tbl_task4[[SubPLOs]:[SubPLOs]],"&lt;2")</f>
        <v>0</v>
      </c>
      <c r="BC34" s="138">
        <f>SUMIFS(tbl_task4[S50],tbl_task4[[SubPLOs]:[SubPLOs]],"&gt;=1",tbl_task4[[SubPLOs]:[SubPLOs]],"&lt;2")</f>
        <v>0</v>
      </c>
      <c r="BD34" s="138">
        <f>SUMIFS(tbl_task4[S51],tbl_task4[[SubPLOs]:[SubPLOs]],"&gt;=1",tbl_task4[[SubPLOs]:[SubPLOs]],"&lt;2")</f>
        <v>0</v>
      </c>
      <c r="BE34" s="138">
        <f>SUMIFS(tbl_task4[S52],tbl_task4[[SubPLOs]:[SubPLOs]],"&gt;=1",tbl_task4[[SubPLOs]:[SubPLOs]],"&lt;2")</f>
        <v>0</v>
      </c>
      <c r="BF34" s="138">
        <f>SUMIFS(tbl_task4[S53],tbl_task4[[SubPLOs]:[SubPLOs]],"&gt;=1",tbl_task4[[SubPLOs]:[SubPLOs]],"&lt;2")</f>
        <v>0</v>
      </c>
      <c r="BG34" s="138">
        <f>SUMIFS(tbl_task4[S54],tbl_task4[[SubPLOs]:[SubPLOs]],"&gt;=1",tbl_task4[[SubPLOs]:[SubPLOs]],"&lt;2")</f>
        <v>0</v>
      </c>
      <c r="BH34" s="138">
        <f>SUMIFS(tbl_task4[S55],tbl_task4[[SubPLOs]:[SubPLOs]],"&gt;=1",tbl_task4[[SubPLOs]:[SubPLOs]],"&lt;2")</f>
        <v>0</v>
      </c>
      <c r="BI34" s="138">
        <f>SUMIFS(tbl_task4[S56],tbl_task4[[SubPLOs]:[SubPLOs]],"&gt;=1",tbl_task4[[SubPLOs]:[SubPLOs]],"&lt;2")</f>
        <v>0</v>
      </c>
      <c r="BJ34" s="138">
        <f>SUMIFS(tbl_task4[S57],tbl_task4[[SubPLOs]:[SubPLOs]],"&gt;=1",tbl_task4[[SubPLOs]:[SubPLOs]],"&lt;2")</f>
        <v>0</v>
      </c>
      <c r="BK34" s="138">
        <f>SUMIFS(tbl_task4[S58],tbl_task4[[SubPLOs]:[SubPLOs]],"&gt;=1",tbl_task4[[SubPLOs]:[SubPLOs]],"&lt;2")</f>
        <v>0</v>
      </c>
      <c r="BL34" s="138">
        <f>SUMIFS(tbl_task4[S59],tbl_task4[[SubPLOs]:[SubPLOs]],"&gt;=1",tbl_task4[[SubPLOs]:[SubPLOs]],"&lt;2")</f>
        <v>0</v>
      </c>
      <c r="BM34" s="138">
        <f>SUMIFS(tbl_task4[S60],tbl_task4[[SubPLOs]:[SubPLOs]],"&gt;=1",tbl_task4[[SubPLOs]:[SubPLOs]],"&lt;2")</f>
        <v>0</v>
      </c>
      <c r="BN34" s="138">
        <f>SUMIFS(tbl_task4[S61],tbl_task4[[SubPLOs]:[SubPLOs]],"&gt;=1",tbl_task4[[SubPLOs]:[SubPLOs]],"&lt;2")</f>
        <v>0</v>
      </c>
      <c r="BO34" s="138">
        <f>SUMIFS(tbl_task4[S62],tbl_task4[[SubPLOs]:[SubPLOs]],"&gt;=1",tbl_task4[[SubPLOs]:[SubPLOs]],"&lt;2")</f>
        <v>0</v>
      </c>
      <c r="BP34" s="138">
        <f>SUMIFS(tbl_task4[S63],tbl_task4[[SubPLOs]:[SubPLOs]],"&gt;=1",tbl_task4[[SubPLOs]:[SubPLOs]],"&lt;2")</f>
        <v>0</v>
      </c>
      <c r="BQ34" s="138">
        <f>SUMIFS(tbl_task4[S64],tbl_task4[[SubPLOs]:[SubPLOs]],"&gt;=1",tbl_task4[[SubPLOs]:[SubPLOs]],"&lt;2")</f>
        <v>0</v>
      </c>
      <c r="BR34" s="138">
        <f>SUMIFS(tbl_task4[S65],tbl_task4[[SubPLOs]:[SubPLOs]],"&gt;=1",tbl_task4[[SubPLOs]:[SubPLOs]],"&lt;2")</f>
        <v>0</v>
      </c>
      <c r="BS34" s="138">
        <f>SUMIFS(tbl_task4[S66],tbl_task4[[SubPLOs]:[SubPLOs]],"&gt;=1",tbl_task4[[SubPLOs]:[SubPLOs]],"&lt;2")</f>
        <v>0</v>
      </c>
      <c r="BT34" s="138">
        <f>SUMIFS(tbl_task4[S67],tbl_task4[[SubPLOs]:[SubPLOs]],"&gt;=1",tbl_task4[[SubPLOs]:[SubPLOs]],"&lt;2")</f>
        <v>0</v>
      </c>
      <c r="BU34" s="138">
        <f>SUMIFS(tbl_task4[S68],tbl_task4[[SubPLOs]:[SubPLOs]],"&gt;=1",tbl_task4[[SubPLOs]:[SubPLOs]],"&lt;2")</f>
        <v>0</v>
      </c>
      <c r="BV34" s="138">
        <f>SUMIFS(tbl_task4[S69],tbl_task4[[SubPLOs]:[SubPLOs]],"&gt;=1",tbl_task4[[SubPLOs]:[SubPLOs]],"&lt;2")</f>
        <v>0</v>
      </c>
      <c r="BW34" s="138">
        <f>SUMIFS(tbl_task4[S70],tbl_task4[[SubPLOs]:[SubPLOs]],"&gt;=1",tbl_task4[[SubPLOs]:[SubPLOs]],"&lt;2")</f>
        <v>0</v>
      </c>
      <c r="BX34" s="138">
        <f>SUMIFS(tbl_task4[S71],tbl_task4[[SubPLOs]:[SubPLOs]],"&gt;=1",tbl_task4[[SubPLOs]:[SubPLOs]],"&lt;2")</f>
        <v>0</v>
      </c>
      <c r="BY34" s="138">
        <f>SUMIFS(tbl_task4[S72],tbl_task4[[SubPLOs]:[SubPLOs]],"&gt;=1",tbl_task4[[SubPLOs]:[SubPLOs]],"&lt;2")</f>
        <v>0</v>
      </c>
      <c r="BZ34" s="138">
        <f>SUMIFS(tbl_task4[S73],tbl_task4[[SubPLOs]:[SubPLOs]],"&gt;=1",tbl_task4[[SubPLOs]:[SubPLOs]],"&lt;2")</f>
        <v>0</v>
      </c>
      <c r="CA34" s="138">
        <f>SUMIFS(tbl_task4[S74],tbl_task4[[SubPLOs]:[SubPLOs]],"&gt;=1",tbl_task4[[SubPLOs]:[SubPLOs]],"&lt;2")</f>
        <v>0</v>
      </c>
      <c r="CB34" s="138">
        <f>SUMIFS(tbl_task4[S75],tbl_task4[[SubPLOs]:[SubPLOs]],"&gt;=1",tbl_task4[[SubPLOs]:[SubPLOs]],"&lt;2")</f>
        <v>0</v>
      </c>
      <c r="CC34" s="138">
        <f>SUMIFS(tbl_task4[S76],tbl_task4[[SubPLOs]:[SubPLOs]],"&gt;=1",tbl_task4[[SubPLOs]:[SubPLOs]],"&lt;2")</f>
        <v>0</v>
      </c>
      <c r="CD34" s="138">
        <f>SUMIFS(tbl_task4[S77],tbl_task4[[SubPLOs]:[SubPLOs]],"&gt;=1",tbl_task4[[SubPLOs]:[SubPLOs]],"&lt;2")</f>
        <v>0</v>
      </c>
      <c r="CE34" s="138">
        <f>SUMIFS(tbl_task4[S78],tbl_task4[[SubPLOs]:[SubPLOs]],"&gt;=1",tbl_task4[[SubPLOs]:[SubPLOs]],"&lt;2")</f>
        <v>0</v>
      </c>
      <c r="CF34" s="138">
        <f>SUMIFS(tbl_task4[S79],tbl_task4[[SubPLOs]:[SubPLOs]],"&gt;=1",tbl_task4[[SubPLOs]:[SubPLOs]],"&lt;2")</f>
        <v>0</v>
      </c>
      <c r="CG34" s="138">
        <f>SUMIFS(tbl_task4[S80],tbl_task4[[SubPLOs]:[SubPLOs]],"&gt;=1",tbl_task4[[SubPLOs]:[SubPLOs]],"&lt;2")</f>
        <v>0</v>
      </c>
      <c r="CH34" s="138">
        <f>SUMIFS(tbl_task4[S81],tbl_task4[[SubPLOs]:[SubPLOs]],"&gt;=1",tbl_task4[[SubPLOs]:[SubPLOs]],"&lt;2")</f>
        <v>0</v>
      </c>
      <c r="CI34" s="138">
        <f>SUMIFS(tbl_task4[S82],tbl_task4[[SubPLOs]:[SubPLOs]],"&gt;=1",tbl_task4[[SubPLOs]:[SubPLOs]],"&lt;2")</f>
        <v>0</v>
      </c>
      <c r="CJ34" s="138">
        <f>SUMIFS(tbl_task4[S83],tbl_task4[[SubPLOs]:[SubPLOs]],"&gt;=1",tbl_task4[[SubPLOs]:[SubPLOs]],"&lt;2")</f>
        <v>0</v>
      </c>
      <c r="CK34" s="138">
        <f>SUMIFS(tbl_task4[S84],tbl_task4[[SubPLOs]:[SubPLOs]],"&gt;=1",tbl_task4[[SubPLOs]:[SubPLOs]],"&lt;2")</f>
        <v>0</v>
      </c>
      <c r="CL34" s="138">
        <f>SUMIFS(tbl_task4[S85],tbl_task4[[SubPLOs]:[SubPLOs]],"&gt;=1",tbl_task4[[SubPLOs]:[SubPLOs]],"&lt;2")</f>
        <v>0</v>
      </c>
      <c r="CM34" s="138">
        <f>SUMIFS(tbl_task4[S86],tbl_task4[[SubPLOs]:[SubPLOs]],"&gt;=1",tbl_task4[[SubPLOs]:[SubPLOs]],"&lt;2")</f>
        <v>0</v>
      </c>
      <c r="CN34" s="138">
        <f>SUMIFS(tbl_task4[S87],tbl_task4[[SubPLOs]:[SubPLOs]],"&gt;=1",tbl_task4[[SubPLOs]:[SubPLOs]],"&lt;2")</f>
        <v>0</v>
      </c>
      <c r="CO34" s="138">
        <f>SUMIFS(tbl_task4[S88],tbl_task4[[SubPLOs]:[SubPLOs]],"&gt;=1",tbl_task4[[SubPLOs]:[SubPLOs]],"&lt;2")</f>
        <v>0</v>
      </c>
      <c r="CP34" s="138">
        <f>SUMIFS(tbl_task4[S89],tbl_task4[[SubPLOs]:[SubPLOs]],"&gt;=1",tbl_task4[[SubPLOs]:[SubPLOs]],"&lt;2")</f>
        <v>0</v>
      </c>
      <c r="CQ34" s="138">
        <f>SUMIFS(tbl_task4[S90],tbl_task4[[SubPLOs]:[SubPLOs]],"&gt;=1",tbl_task4[[SubPLOs]:[SubPLOs]],"&lt;2")</f>
        <v>0</v>
      </c>
      <c r="CR34" s="138">
        <f>SUMIFS(tbl_task4[S91],tbl_task4[[SubPLOs]:[SubPLOs]],"&gt;=1",tbl_task4[[SubPLOs]:[SubPLOs]],"&lt;2")</f>
        <v>0</v>
      </c>
      <c r="CS34" s="138">
        <f>SUMIFS(tbl_task4[S92],tbl_task4[[SubPLOs]:[SubPLOs]],"&gt;=1",tbl_task4[[SubPLOs]:[SubPLOs]],"&lt;2")</f>
        <v>0</v>
      </c>
      <c r="CT34" s="138">
        <f>SUMIFS(tbl_task4[S93],tbl_task4[[SubPLOs]:[SubPLOs]],"&gt;=1",tbl_task4[[SubPLOs]:[SubPLOs]],"&lt;2")</f>
        <v>0</v>
      </c>
      <c r="CU34" s="138">
        <f>SUMIFS(tbl_task4[S94],tbl_task4[[SubPLOs]:[SubPLOs]],"&gt;=1",tbl_task4[[SubPLOs]:[SubPLOs]],"&lt;2")</f>
        <v>0</v>
      </c>
      <c r="CV34" s="138">
        <f>SUMIFS(tbl_task4[S95],tbl_task4[[SubPLOs]:[SubPLOs]],"&gt;=1",tbl_task4[[SubPLOs]:[SubPLOs]],"&lt;2")</f>
        <v>0</v>
      </c>
      <c r="CW34" s="138">
        <f>SUMIFS(tbl_task4[S96],tbl_task4[[SubPLOs]:[SubPLOs]],"&gt;=1",tbl_task4[[SubPLOs]:[SubPLOs]],"&lt;2")</f>
        <v>0</v>
      </c>
      <c r="CX34" s="138">
        <f>SUMIFS(tbl_task4[S97],tbl_task4[[SubPLOs]:[SubPLOs]],"&gt;=1",tbl_task4[[SubPLOs]:[SubPLOs]],"&lt;2")</f>
        <v>0</v>
      </c>
      <c r="CY34" s="138">
        <f>SUMIFS(tbl_task4[S98],tbl_task4[[SubPLOs]:[SubPLOs]],"&gt;=1",tbl_task4[[SubPLOs]:[SubPLOs]],"&lt;2")</f>
        <v>0</v>
      </c>
      <c r="CZ34" s="138">
        <f>SUMIFS(tbl_task4[S99],tbl_task4[[SubPLOs]:[SubPLOs]],"&gt;=1",tbl_task4[[SubPLOs]:[SubPLOs]],"&lt;2")</f>
        <v>0</v>
      </c>
      <c r="DA34" s="138">
        <f>SUMIFS(tbl_task4[S100],tbl_task4[[SubPLOs]:[SubPLOs]],"&gt;=1",tbl_task4[[SubPLOs]:[SubPLOs]],"&lt;2")</f>
        <v>0</v>
      </c>
      <c r="DB34" s="138">
        <f>SUMIFS(tbl_task4[S101],tbl_task4[[SubPLOs]:[SubPLOs]],"&gt;=1",tbl_task4[[SubPLOs]:[SubPLOs]],"&lt;2")</f>
        <v>0</v>
      </c>
      <c r="DC34" s="138">
        <f>SUMIFS(tbl_task4[S102],tbl_task4[[SubPLOs]:[SubPLOs]],"&gt;=1",tbl_task4[[SubPLOs]:[SubPLOs]],"&lt;2")</f>
        <v>0</v>
      </c>
      <c r="DD34" s="138">
        <f>SUMIFS(tbl_task4[S103],tbl_task4[[SubPLOs]:[SubPLOs]],"&gt;=1",tbl_task4[[SubPLOs]:[SubPLOs]],"&lt;2")</f>
        <v>0</v>
      </c>
      <c r="DE34" s="138">
        <f>SUMIFS(tbl_task4[S104],tbl_task4[[SubPLOs]:[SubPLOs]],"&gt;=1",tbl_task4[[SubPLOs]:[SubPLOs]],"&lt;2")</f>
        <v>0</v>
      </c>
      <c r="DF34" s="138">
        <f>SUMIFS(tbl_task4[S105],tbl_task4[[SubPLOs]:[SubPLOs]],"&gt;=1",tbl_task4[[SubPLOs]:[SubPLOs]],"&lt;2")</f>
        <v>0</v>
      </c>
      <c r="DG34" s="138">
        <f>SUMIFS(tbl_task4[S106],tbl_task4[[SubPLOs]:[SubPLOs]],"&gt;=1",tbl_task4[[SubPLOs]:[SubPLOs]],"&lt;2")</f>
        <v>0</v>
      </c>
      <c r="DH34" s="138">
        <f>SUMIFS(tbl_task4[S106],tbl_task4[[SubPLOs]:[SubPLOs]],"&gt;=1",tbl_task4[[SubPLOs]:[SubPLOs]],"&lt;2")</f>
        <v>0</v>
      </c>
      <c r="DI34" s="138">
        <f>SUMIFS(tbl_task4[S108],tbl_task4[[SubPLOs]:[SubPLOs]],"&gt;=1",tbl_task4[[SubPLOs]:[SubPLOs]],"&lt;2")</f>
        <v>0</v>
      </c>
      <c r="DJ34" s="138">
        <f>SUMIFS(tbl_task4[S109],tbl_task4[[SubPLOs]:[SubPLOs]],"&gt;=1",tbl_task4[[SubPLOs]:[SubPLOs]],"&lt;2")</f>
        <v>0</v>
      </c>
      <c r="DK34" s="138">
        <f>SUMIFS(tbl_task4[S110],tbl_task4[[SubPLOs]:[SubPLOs]],"&gt;=1",tbl_task4[[SubPLOs]:[SubPLOs]],"&lt;2")</f>
        <v>0</v>
      </c>
      <c r="DL34" s="138">
        <f>SUMIFS(tbl_task4[S111],tbl_task4[[SubPLOs]:[SubPLOs]],"&gt;=1",tbl_task4[[SubPLOs]:[SubPLOs]],"&lt;2")</f>
        <v>0</v>
      </c>
      <c r="DM34" s="138">
        <f>SUMIFS(tbl_task4[S112],tbl_task4[[SubPLOs]:[SubPLOs]],"&gt;=1",tbl_task4[[SubPLOs]:[SubPLOs]],"&lt;2")</f>
        <v>0</v>
      </c>
      <c r="DN34" s="138">
        <f>SUMIFS(tbl_task4[S113],tbl_task4[[SubPLOs]:[SubPLOs]],"&gt;=1",tbl_task4[[SubPLOs]:[SubPLOs]],"&lt;2")</f>
        <v>0</v>
      </c>
      <c r="DO34" s="138">
        <f>SUMIFS(tbl_task4[S114],tbl_task4[[SubPLOs]:[SubPLOs]],"&gt;=1",tbl_task4[[SubPLOs]:[SubPLOs]],"&lt;2")</f>
        <v>0</v>
      </c>
      <c r="DP34" s="138">
        <f>SUMIFS(tbl_task4[S115],tbl_task4[[SubPLOs]:[SubPLOs]],"&gt;=1",tbl_task4[[SubPLOs]:[SubPLOs]],"&lt;2")</f>
        <v>0</v>
      </c>
      <c r="DQ34" s="138">
        <f>SUMIFS(tbl_task4[S116],tbl_task4[[SubPLOs]:[SubPLOs]],"&gt;=1",tbl_task4[[SubPLOs]:[SubPLOs]],"&lt;2")</f>
        <v>0</v>
      </c>
      <c r="DR34" s="138">
        <f>SUMIFS(tbl_task4[S117],tbl_task4[[SubPLOs]:[SubPLOs]],"&gt;=1",tbl_task4[[SubPLOs]:[SubPLOs]],"&lt;2")</f>
        <v>0</v>
      </c>
      <c r="DS34" s="138">
        <f>SUMIFS(tbl_task4[S118],tbl_task4[[SubPLOs]:[SubPLOs]],"&gt;=1",tbl_task4[[SubPLOs]:[SubPLOs]],"&lt;2")</f>
        <v>0</v>
      </c>
      <c r="DT34" s="138">
        <f>SUMIFS(tbl_task4[S119],tbl_task4[[SubPLOs]:[SubPLOs]],"&gt;=1",tbl_task4[[SubPLOs]:[SubPLOs]],"&lt;2")</f>
        <v>0</v>
      </c>
      <c r="DU34" s="138">
        <f>SUMIFS(tbl_task4[S120],tbl_task4[[SubPLOs]:[SubPLOs]],"&gt;=1",tbl_task4[[SubPLOs]:[SubPLOs]],"&lt;2")</f>
        <v>0</v>
      </c>
      <c r="DV34" s="138">
        <f>SUMIFS(tbl_task4[S121],tbl_task4[[SubPLOs]:[SubPLOs]],"&gt;=1",tbl_task4[[SubPLOs]:[SubPLOs]],"&lt;2")</f>
        <v>0</v>
      </c>
      <c r="DW34" s="138">
        <f>SUMIFS(tbl_task4[S122],tbl_task4[[SubPLOs]:[SubPLOs]],"&gt;=1",tbl_task4[[SubPLOs]:[SubPLOs]],"&lt;2")</f>
        <v>0</v>
      </c>
      <c r="DX34" s="138">
        <f>SUMIFS(tbl_task4[S123],tbl_task4[[SubPLOs]:[SubPLOs]],"&gt;=1",tbl_task4[[SubPLOs]:[SubPLOs]],"&lt;2")</f>
        <v>0</v>
      </c>
      <c r="DY34" s="138">
        <f>SUMIFS(tbl_task4[S124],tbl_task4[[SubPLOs]:[SubPLOs]],"&gt;=1",tbl_task4[[SubPLOs]:[SubPLOs]],"&lt;2")</f>
        <v>0</v>
      </c>
      <c r="DZ34" s="138">
        <f>SUMIFS(tbl_task4[S125],tbl_task4[[SubPLOs]:[SubPLOs]],"&gt;=1",tbl_task4[[SubPLOs]:[SubPLOs]],"&lt;2")</f>
        <v>0</v>
      </c>
      <c r="EA34" s="138">
        <f>SUMIFS(tbl_task4[S126],tbl_task4[[SubPLOs]:[SubPLOs]],"&gt;=1",tbl_task4[[SubPLOs]:[SubPLOs]],"&lt;2")</f>
        <v>0</v>
      </c>
      <c r="EB34" s="138">
        <f>SUMIFS(tbl_task4[S127],tbl_task4[[SubPLOs]:[SubPLOs]],"&gt;=1",tbl_task4[[SubPLOs]:[SubPLOs]],"&lt;2")</f>
        <v>0</v>
      </c>
      <c r="EC34" s="138">
        <f>SUMIFS(tbl_task4[S128],tbl_task4[[SubPLOs]:[SubPLOs]],"&gt;=1",tbl_task4[[SubPLOs]:[SubPLOs]],"&lt;2")</f>
        <v>0</v>
      </c>
      <c r="ED34" s="138">
        <f>SUMIFS(tbl_task4[S129],tbl_task4[[SubPLOs]:[SubPLOs]],"&gt;=1",tbl_task4[[SubPLOs]:[SubPLOs]],"&lt;2")</f>
        <v>0</v>
      </c>
      <c r="EE34" s="138">
        <f>SUMIFS(tbl_task4[S130],tbl_task4[[SubPLOs]:[SubPLOs]],"&gt;=1",tbl_task4[[SubPLOs]:[SubPLOs]],"&lt;2")</f>
        <v>0</v>
      </c>
      <c r="EF34" s="138">
        <f>SUMIFS(tbl_task4[S131],tbl_task4[[SubPLOs]:[SubPLOs]],"&gt;=1",tbl_task4[[SubPLOs]:[SubPLOs]],"&lt;2")</f>
        <v>0</v>
      </c>
      <c r="EG34" s="138">
        <f>SUMIFS(tbl_task4[S132],tbl_task4[[SubPLOs]:[SubPLOs]],"&gt;=1",tbl_task4[[SubPLOs]:[SubPLOs]],"&lt;2")</f>
        <v>0</v>
      </c>
      <c r="EH34" s="138">
        <f>SUMIFS(tbl_task4[S133],tbl_task4[[SubPLOs]:[SubPLOs]],"&gt;=1",tbl_task4[[SubPLOs]:[SubPLOs]],"&lt;2")</f>
        <v>0</v>
      </c>
      <c r="EI34" s="138">
        <f>SUMIFS(tbl_task4[S134],tbl_task4[[SubPLOs]:[SubPLOs]],"&gt;=1",tbl_task4[[SubPLOs]:[SubPLOs]],"&lt;2")</f>
        <v>0</v>
      </c>
      <c r="EJ34" s="138">
        <f>SUMIFS(tbl_task4[S135],tbl_task4[[SubPLOs]:[SubPLOs]],"&gt;=1",tbl_task4[[SubPLOs]:[SubPLOs]],"&lt;2")</f>
        <v>0</v>
      </c>
      <c r="EK34" s="138">
        <f>SUMIFS(tbl_task4[S136],tbl_task4[[SubPLOs]:[SubPLOs]],"&gt;=1",tbl_task4[[SubPLOs]:[SubPLOs]],"&lt;2")</f>
        <v>0</v>
      </c>
      <c r="EL34" s="138">
        <f>SUMIFS(tbl_task4[S137],tbl_task4[[SubPLOs]:[SubPLOs]],"&gt;=1",tbl_task4[[SubPLOs]:[SubPLOs]],"&lt;2")</f>
        <v>0</v>
      </c>
      <c r="EM34" s="138">
        <f>SUMIFS(tbl_task4[S138],tbl_task4[[SubPLOs]:[SubPLOs]],"&gt;=1",tbl_task4[[SubPLOs]:[SubPLOs]],"&lt;2")</f>
        <v>0</v>
      </c>
      <c r="EN34" s="138">
        <f>SUMIFS(tbl_task4[S139],tbl_task4[[SubPLOs]:[SubPLOs]],"&gt;=1",tbl_task4[[SubPLOs]:[SubPLOs]],"&lt;2")</f>
        <v>0</v>
      </c>
      <c r="EO34" s="138">
        <f>SUMIFS(tbl_task4[S140],tbl_task4[[SubPLOs]:[SubPLOs]],"&gt;=1",tbl_task4[[SubPLOs]:[SubPLOs]],"&lt;2")</f>
        <v>0</v>
      </c>
      <c r="EP34" s="138">
        <f>SUMIFS(tbl_task4[S141],tbl_task4[[SubPLOs]:[SubPLOs]],"&gt;=1",tbl_task4[[SubPLOs]:[SubPLOs]],"&lt;2")</f>
        <v>0</v>
      </c>
      <c r="EQ34" s="138">
        <f>SUMIFS(tbl_task4[S142],tbl_task4[[SubPLOs]:[SubPLOs]],"&gt;=1",tbl_task4[[SubPLOs]:[SubPLOs]],"&lt;2")</f>
        <v>0</v>
      </c>
      <c r="ER34" s="138">
        <f>SUMIFS(tbl_task4[S143],tbl_task4[[SubPLOs]:[SubPLOs]],"&gt;=1",tbl_task4[[SubPLOs]:[SubPLOs]],"&lt;2")</f>
        <v>0</v>
      </c>
      <c r="ES34" s="138">
        <f>SUMIFS(tbl_task4[S144],tbl_task4[[SubPLOs]:[SubPLOs]],"&gt;=1",tbl_task4[[SubPLOs]:[SubPLOs]],"&lt;2")</f>
        <v>0</v>
      </c>
      <c r="ET34" s="138">
        <f>SUMIFS(tbl_task4[S145],tbl_task4[[SubPLOs]:[SubPLOs]],"&gt;=1",tbl_task4[[SubPLOs]:[SubPLOs]],"&lt;2")</f>
        <v>0</v>
      </c>
      <c r="EU34" s="138">
        <f>SUMIFS(tbl_task4[S146],tbl_task4[[SubPLOs]:[SubPLOs]],"&gt;=1",tbl_task4[[SubPLOs]:[SubPLOs]],"&lt;2")</f>
        <v>0</v>
      </c>
      <c r="EV34" s="138">
        <f>SUMIFS(tbl_task4[S147],tbl_task4[[SubPLOs]:[SubPLOs]],"&gt;=1",tbl_task4[[SubPLOs]:[SubPLOs]],"&lt;2")</f>
        <v>0</v>
      </c>
      <c r="EW34" s="138">
        <f>SUMIFS(tbl_task4[S148],tbl_task4[[SubPLOs]:[SubPLOs]],"&gt;=1",tbl_task4[[SubPLOs]:[SubPLOs]],"&lt;2")</f>
        <v>0</v>
      </c>
      <c r="EX34" s="138">
        <f>SUMIFS(tbl_task4[S149],tbl_task4[[SubPLOs]:[SubPLOs]],"&gt;=1",tbl_task4[[SubPLOs]:[SubPLOs]],"&lt;2")</f>
        <v>0</v>
      </c>
      <c r="EY34" s="138">
        <f>SUMIFS(tbl_task4[S150],tbl_task4[[SubPLOs]:[SubPLOs]],"&gt;=1",tbl_task4[[SubPLOs]:[SubPLOs]],"&lt;2")</f>
        <v>0</v>
      </c>
      <c r="EZ34" s="138">
        <f>SUMIFS(tbl_task4[S151],tbl_task4[[SubPLOs]:[SubPLOs]],"&gt;=1",tbl_task4[[SubPLOs]:[SubPLOs]],"&lt;2")</f>
        <v>0</v>
      </c>
      <c r="FA34" s="138">
        <f>SUMIFS(tbl_task4[S152],tbl_task4[[SubPLOs]:[SubPLOs]],"&gt;=1",tbl_task4[[SubPLOs]:[SubPLOs]],"&lt;2")</f>
        <v>0</v>
      </c>
      <c r="FB34" s="138">
        <f>SUMIFS(tbl_task4[S153],tbl_task4[[SubPLOs]:[SubPLOs]],"&gt;=1",tbl_task4[[SubPLOs]:[SubPLOs]],"&lt;2")</f>
        <v>0</v>
      </c>
      <c r="FC34" s="138">
        <f>SUMIFS(tbl_task4[S154],tbl_task4[[SubPLOs]:[SubPLOs]],"&gt;=1",tbl_task4[[SubPLOs]:[SubPLOs]],"&lt;2")</f>
        <v>0</v>
      </c>
      <c r="FD34" s="138">
        <f>SUMIFS(tbl_task4[S155],tbl_task4[[SubPLOs]:[SubPLOs]],"&gt;=1",tbl_task4[[SubPLOs]:[SubPLOs]],"&lt;2")</f>
        <v>0</v>
      </c>
      <c r="FE34" s="138">
        <f>SUMIFS(tbl_task4[S156],tbl_task4[[SubPLOs]:[SubPLOs]],"&gt;=1",tbl_task4[[SubPLOs]:[SubPLOs]],"&lt;2")</f>
        <v>0</v>
      </c>
      <c r="FF34" s="138">
        <f>SUMIFS(tbl_task4[S157],tbl_task4[[SubPLOs]:[SubPLOs]],"&gt;=1",tbl_task4[[SubPLOs]:[SubPLOs]],"&lt;2")</f>
        <v>0</v>
      </c>
      <c r="FG34" s="138">
        <f>SUMIFS(tbl_task4[S158],tbl_task4[[SubPLOs]:[SubPLOs]],"&gt;=1",tbl_task4[[SubPLOs]:[SubPLOs]],"&lt;2")</f>
        <v>0</v>
      </c>
      <c r="FH34" s="138">
        <f>SUMIFS(tbl_task4[S159],tbl_task4[[SubPLOs]:[SubPLOs]],"&gt;=1",tbl_task4[[SubPLOs]:[SubPLOs]],"&lt;2")</f>
        <v>0</v>
      </c>
      <c r="FI34" s="138">
        <f>SUMIFS(tbl_task4[S160],tbl_task4[[SubPLOs]:[SubPLOs]],"&gt;=1",tbl_task4[[SubPLOs]:[SubPLOs]],"&lt;2")</f>
        <v>0</v>
      </c>
      <c r="FJ34" s="138">
        <f>SUMIFS(tbl_task4[S161],tbl_task4[[SubPLOs]:[SubPLOs]],"&gt;=1",tbl_task4[[SubPLOs]:[SubPLOs]],"&lt;2")</f>
        <v>0</v>
      </c>
      <c r="FK34" s="138">
        <f>SUMIFS(tbl_task4[S162],tbl_task4[[SubPLOs]:[SubPLOs]],"&gt;=1",tbl_task4[[SubPLOs]:[SubPLOs]],"&lt;2")</f>
        <v>0</v>
      </c>
      <c r="FL34" s="138">
        <f>SUMIFS(tbl_task4[S163],tbl_task4[[SubPLOs]:[SubPLOs]],"&gt;=1",tbl_task4[[SubPLOs]:[SubPLOs]],"&lt;2")</f>
        <v>0</v>
      </c>
      <c r="FM34" s="138">
        <f>SUMIFS(tbl_task4[S164],tbl_task4[[SubPLOs]:[SubPLOs]],"&gt;=1",tbl_task4[[SubPLOs]:[SubPLOs]],"&lt;2")</f>
        <v>0</v>
      </c>
      <c r="FN34" s="138">
        <f>SUMIFS(tbl_task4[S165],tbl_task4[[SubPLOs]:[SubPLOs]],"&gt;=1",tbl_task4[[SubPLOs]:[SubPLOs]],"&lt;2")</f>
        <v>0</v>
      </c>
    </row>
    <row r="35" spans="1:170" ht="147" x14ac:dyDescent="0.25">
      <c r="A35" s="135">
        <v>2</v>
      </c>
      <c r="B35" s="5" t="s">
        <v>435</v>
      </c>
      <c r="C35" s="136">
        <f>COUNTIFS(tbl_task4[SubPLOs],"&gt;=2",tbl_task4[SubPLOs],"&lt;3")</f>
        <v>0</v>
      </c>
      <c r="D35" s="136">
        <f>SUMIFS(tbl_task4[คะแนนเต็ม],tbl_task4[SubPLOs],"&gt;=2",tbl_task4[SubPLOs],"&lt;3")</f>
        <v>0</v>
      </c>
      <c r="E35" s="137">
        <f>SUMIFS(tbl_task4[%],tbl_task4[SubPLOs],"&gt;=2",tbl_task4[SubPLOs],"&lt;3")</f>
        <v>0</v>
      </c>
      <c r="F35" s="138">
        <f>SUMIFS(tbl_task4[S1],tbl_task4[[SubPLOs]:[SubPLOs]],"&gt;=2",tbl_task4[[SubPLOs]:[SubPLOs]],"&lt;3")</f>
        <v>0</v>
      </c>
      <c r="G35" s="138">
        <f>SUMIFS(tbl_task4[S2],tbl_task4[[SubPLOs]:[SubPLOs]],"&gt;=2",tbl_task4[[SubPLOs]:[SubPLOs]],"&lt;3")</f>
        <v>0</v>
      </c>
      <c r="H35" s="138">
        <f>SUMIFS(tbl_task4[S3],tbl_task4[[SubPLOs]:[SubPLOs]],"&gt;=2",tbl_task4[[SubPLOs]:[SubPLOs]],"&lt;3")</f>
        <v>0</v>
      </c>
      <c r="I35" s="138">
        <f>SUMIFS(tbl_task4[S4],tbl_task4[[SubPLOs]:[SubPLOs]],"&gt;=2",tbl_task4[[SubPLOs]:[SubPLOs]],"&lt;3")</f>
        <v>0</v>
      </c>
      <c r="J35" s="138">
        <f>SUMIFS(tbl_task4[S5],tbl_task4[[SubPLOs]:[SubPLOs]],"&gt;=2",tbl_task4[[SubPLOs]:[SubPLOs]],"&lt;3")</f>
        <v>0</v>
      </c>
      <c r="K35" s="138">
        <f>SUMIFS(tbl_task4[S6],tbl_task4[[SubPLOs]:[SubPLOs]],"&gt;=2",tbl_task4[[SubPLOs]:[SubPLOs]],"&lt;3")</f>
        <v>0</v>
      </c>
      <c r="L35" s="138">
        <f>SUMIFS(tbl_task4[S7],tbl_task4[[SubPLOs]:[SubPLOs]],"&gt;=2",tbl_task4[[SubPLOs]:[SubPLOs]],"&lt;3")</f>
        <v>0</v>
      </c>
      <c r="M35" s="138">
        <f>SUMIFS(tbl_task4[S8],tbl_task4[[SubPLOs]:[SubPLOs]],"&gt;=2",tbl_task4[[SubPLOs]:[SubPLOs]],"&lt;3")</f>
        <v>0</v>
      </c>
      <c r="N35" s="138">
        <f>SUMIFS(tbl_task4[S9],tbl_task4[[SubPLOs]:[SubPLOs]],"&gt;=2",tbl_task4[[SubPLOs]:[SubPLOs]],"&lt;3")</f>
        <v>0</v>
      </c>
      <c r="O35" s="138">
        <f>SUMIFS(tbl_task4[S10],tbl_task4[[SubPLOs]:[SubPLOs]],"&gt;=2",tbl_task4[[SubPLOs]:[SubPLOs]],"&lt;3")</f>
        <v>0</v>
      </c>
      <c r="P35" s="138">
        <f>SUMIFS(tbl_task4[S11],tbl_task4[[SubPLOs]:[SubPLOs]],"&gt;=2",tbl_task4[[SubPLOs]:[SubPLOs]],"&lt;3")</f>
        <v>0</v>
      </c>
      <c r="Q35" s="138">
        <f>SUMIFS(tbl_task4[S12],tbl_task4[[SubPLOs]:[SubPLOs]],"&gt;=2",tbl_task4[[SubPLOs]:[SubPLOs]],"&lt;3")</f>
        <v>0</v>
      </c>
      <c r="R35" s="138">
        <f>SUMIFS(tbl_task4[S13],tbl_task4[[SubPLOs]:[SubPLOs]],"&gt;=2",tbl_task4[[SubPLOs]:[SubPLOs]],"&lt;3")</f>
        <v>0</v>
      </c>
      <c r="S35" s="138">
        <f>SUMIFS(tbl_task4[S14],tbl_task4[[SubPLOs]:[SubPLOs]],"&gt;=2",tbl_task4[[SubPLOs]:[SubPLOs]],"&lt;3")</f>
        <v>0</v>
      </c>
      <c r="T35" s="138">
        <f>SUMIFS(tbl_task4[S15],tbl_task4[[SubPLOs]:[SubPLOs]],"&gt;=2",tbl_task4[[SubPLOs]:[SubPLOs]],"&lt;3")</f>
        <v>0</v>
      </c>
      <c r="U35" s="138">
        <f>SUMIFS(tbl_task4[S16],tbl_task4[[SubPLOs]:[SubPLOs]],"&gt;=2",tbl_task4[[SubPLOs]:[SubPLOs]],"&lt;3")</f>
        <v>0</v>
      </c>
      <c r="V35" s="138">
        <f>SUMIFS(tbl_task4[S17],tbl_task4[[SubPLOs]:[SubPLOs]],"&gt;=2",tbl_task4[[SubPLOs]:[SubPLOs]],"&lt;3")</f>
        <v>0</v>
      </c>
      <c r="W35" s="138">
        <f>SUMIFS(tbl_task4[S18],tbl_task4[[SubPLOs]:[SubPLOs]],"&gt;=2",tbl_task4[[SubPLOs]:[SubPLOs]],"&lt;3")</f>
        <v>0</v>
      </c>
      <c r="X35" s="138">
        <f>SUMIFS(tbl_task4[S19],tbl_task4[[SubPLOs]:[SubPLOs]],"&gt;=2",tbl_task4[[SubPLOs]:[SubPLOs]],"&lt;3")</f>
        <v>0</v>
      </c>
      <c r="Y35" s="138">
        <f>SUMIFS(tbl_task4[S20],tbl_task4[[SubPLOs]:[SubPLOs]],"&gt;=2",tbl_task4[[SubPLOs]:[SubPLOs]],"&lt;3")</f>
        <v>0</v>
      </c>
      <c r="Z35" s="138">
        <f>SUMIFS(tbl_task4[S21],tbl_task4[[SubPLOs]:[SubPLOs]],"&gt;=2",tbl_task4[[SubPLOs]:[SubPLOs]],"&lt;3")</f>
        <v>0</v>
      </c>
      <c r="AA35" s="138">
        <f>SUMIFS(tbl_task4[S22],tbl_task4[[SubPLOs]:[SubPLOs]],"&gt;=2",tbl_task4[[SubPLOs]:[SubPLOs]],"&lt;3")</f>
        <v>0</v>
      </c>
      <c r="AB35" s="138">
        <f>SUMIFS(tbl_task4[S23],tbl_task4[[SubPLOs]:[SubPLOs]],"&gt;=2",tbl_task4[[SubPLOs]:[SubPLOs]],"&lt;3")</f>
        <v>0</v>
      </c>
      <c r="AC35" s="138">
        <f>SUMIFS(tbl_task4[S24],tbl_task4[[SubPLOs]:[SubPLOs]],"&gt;=2",tbl_task4[[SubPLOs]:[SubPLOs]],"&lt;3")</f>
        <v>0</v>
      </c>
      <c r="AD35" s="138">
        <f>SUMIFS(tbl_task4[S25],tbl_task4[[SubPLOs]:[SubPLOs]],"&gt;=2",tbl_task4[[SubPLOs]:[SubPLOs]],"&lt;3")</f>
        <v>0</v>
      </c>
      <c r="AE35" s="138">
        <f>SUMIFS(tbl_task4[S26],tbl_task4[[SubPLOs]:[SubPLOs]],"&gt;=2",tbl_task4[[SubPLOs]:[SubPLOs]],"&lt;3")</f>
        <v>0</v>
      </c>
      <c r="AF35" s="138">
        <f>SUMIFS(tbl_task4[S27],tbl_task4[[SubPLOs]:[SubPLOs]],"&gt;=2",tbl_task4[[SubPLOs]:[SubPLOs]],"&lt;3")</f>
        <v>0</v>
      </c>
      <c r="AG35" s="138">
        <f>SUMIFS(tbl_task4[S28],tbl_task4[[SubPLOs]:[SubPLOs]],"&gt;=2",tbl_task4[[SubPLOs]:[SubPLOs]],"&lt;3")</f>
        <v>0</v>
      </c>
      <c r="AH35" s="138">
        <f>SUMIFS(tbl_task4[S29],tbl_task4[[SubPLOs]:[SubPLOs]],"&gt;=2",tbl_task4[[SubPLOs]:[SubPLOs]],"&lt;3")</f>
        <v>0</v>
      </c>
      <c r="AI35" s="138">
        <f>SUMIFS(tbl_task4[S30],tbl_task4[[SubPLOs]:[SubPLOs]],"&gt;=2",tbl_task4[[SubPLOs]:[SubPLOs]],"&lt;3")</f>
        <v>0</v>
      </c>
      <c r="AJ35" s="138">
        <f>SUMIFS(tbl_task4[S31],tbl_task4[[SubPLOs]:[SubPLOs]],"&gt;=2",tbl_task4[[SubPLOs]:[SubPLOs]],"&lt;3")</f>
        <v>0</v>
      </c>
      <c r="AK35" s="138">
        <f>SUMIFS(tbl_task4[S32],tbl_task4[[SubPLOs]:[SubPLOs]],"&gt;=2",tbl_task4[[SubPLOs]:[SubPLOs]],"&lt;3")</f>
        <v>0</v>
      </c>
      <c r="AL35" s="138">
        <f>SUMIFS(tbl_task4[S33],tbl_task4[[SubPLOs]:[SubPLOs]],"&gt;=2",tbl_task4[[SubPLOs]:[SubPLOs]],"&lt;3")</f>
        <v>0</v>
      </c>
      <c r="AM35" s="138">
        <f>SUMIFS(tbl_task4[S34],tbl_task4[[SubPLOs]:[SubPLOs]],"&gt;=2",tbl_task4[[SubPLOs]:[SubPLOs]],"&lt;3")</f>
        <v>0</v>
      </c>
      <c r="AN35" s="138">
        <f>SUMIFS(tbl_task4[S35],tbl_task4[[SubPLOs]:[SubPLOs]],"&gt;=2",tbl_task4[[SubPLOs]:[SubPLOs]],"&lt;3")</f>
        <v>0</v>
      </c>
      <c r="AO35" s="138">
        <f>SUMIFS(tbl_task4[S36],tbl_task4[[SubPLOs]:[SubPLOs]],"&gt;=2",tbl_task4[[SubPLOs]:[SubPLOs]],"&lt;3")</f>
        <v>0</v>
      </c>
      <c r="AP35" s="138">
        <f>SUMIFS(tbl_task4[S37],tbl_task4[[SubPLOs]:[SubPLOs]],"&gt;=2",tbl_task4[[SubPLOs]:[SubPLOs]],"&lt;3")</f>
        <v>0</v>
      </c>
      <c r="AQ35" s="138">
        <f>SUMIFS(tbl_task4[S38],tbl_task4[[SubPLOs]:[SubPLOs]],"&gt;=2",tbl_task4[[SubPLOs]:[SubPLOs]],"&lt;3")</f>
        <v>0</v>
      </c>
      <c r="AR35" s="138">
        <f>SUMIFS(tbl_task4[S39],tbl_task4[[SubPLOs]:[SubPLOs]],"&gt;=2",tbl_task4[[SubPLOs]:[SubPLOs]],"&lt;3")</f>
        <v>0</v>
      </c>
      <c r="AS35" s="138">
        <f>SUMIFS(tbl_task4[S40],tbl_task4[[SubPLOs]:[SubPLOs]],"&gt;=2",tbl_task4[[SubPLOs]:[SubPLOs]],"&lt;3")</f>
        <v>0</v>
      </c>
      <c r="AT35" s="138">
        <f>SUMIFS(tbl_task4[S41],tbl_task4[[SubPLOs]:[SubPLOs]],"&gt;=2",tbl_task4[[SubPLOs]:[SubPLOs]],"&lt;3")</f>
        <v>0</v>
      </c>
      <c r="AU35" s="138">
        <f>SUMIFS(tbl_task4[S42],tbl_task4[[SubPLOs]:[SubPLOs]],"&gt;=2",tbl_task4[[SubPLOs]:[SubPLOs]],"&lt;3")</f>
        <v>0</v>
      </c>
      <c r="AV35" s="138">
        <f>SUMIFS(tbl_task4[S43],tbl_task4[[SubPLOs]:[SubPLOs]],"&gt;=2",tbl_task4[[SubPLOs]:[SubPLOs]],"&lt;3")</f>
        <v>0</v>
      </c>
      <c r="AW35" s="138">
        <f>SUMIFS(tbl_task4[S44],tbl_task4[[SubPLOs]:[SubPLOs]],"&gt;=2",tbl_task4[[SubPLOs]:[SubPLOs]],"&lt;3")</f>
        <v>0</v>
      </c>
      <c r="AX35" s="138">
        <f>SUMIFS(tbl_task4[S45],tbl_task4[[SubPLOs]:[SubPLOs]],"&gt;=2",tbl_task4[[SubPLOs]:[SubPLOs]],"&lt;3")</f>
        <v>0</v>
      </c>
      <c r="AY35" s="138">
        <f>SUMIFS(tbl_task4[S46],tbl_task4[[SubPLOs]:[SubPLOs]],"&gt;=2",tbl_task4[[SubPLOs]:[SubPLOs]],"&lt;3")</f>
        <v>0</v>
      </c>
      <c r="AZ35" s="138">
        <f>SUMIFS(tbl_task4[S47],tbl_task4[[SubPLOs]:[SubPLOs]],"&gt;=2",tbl_task4[[SubPLOs]:[SubPLOs]],"&lt;3")</f>
        <v>0</v>
      </c>
      <c r="BA35" s="138">
        <f>SUMIFS(tbl_task4[S48],tbl_task4[[SubPLOs]:[SubPLOs]],"&gt;=2",tbl_task4[[SubPLOs]:[SubPLOs]],"&lt;3")</f>
        <v>0</v>
      </c>
      <c r="BB35" s="138">
        <f>SUMIFS(tbl_task4[S49],tbl_task4[[SubPLOs]:[SubPLOs]],"&gt;=2",tbl_task4[[SubPLOs]:[SubPLOs]],"&lt;3")</f>
        <v>0</v>
      </c>
      <c r="BC35" s="138">
        <f>SUMIFS(tbl_task4[S50],tbl_task4[[SubPLOs]:[SubPLOs]],"&gt;=2",tbl_task4[[SubPLOs]:[SubPLOs]],"&lt;3")</f>
        <v>0</v>
      </c>
      <c r="BD35" s="138">
        <f>SUMIFS(tbl_task4[S51],tbl_task4[[SubPLOs]:[SubPLOs]],"&gt;=2",tbl_task4[[SubPLOs]:[SubPLOs]],"&lt;3")</f>
        <v>0</v>
      </c>
      <c r="BE35" s="138">
        <f>SUMIFS(tbl_task4[S52],tbl_task4[[SubPLOs]:[SubPLOs]],"&gt;=2",tbl_task4[[SubPLOs]:[SubPLOs]],"&lt;3")</f>
        <v>0</v>
      </c>
      <c r="BF35" s="138">
        <f>SUMIFS(tbl_task4[S53],tbl_task4[[SubPLOs]:[SubPLOs]],"&gt;=2",tbl_task4[[SubPLOs]:[SubPLOs]],"&lt;3")</f>
        <v>0</v>
      </c>
      <c r="BG35" s="138">
        <f>SUMIFS(tbl_task4[S54],tbl_task4[[SubPLOs]:[SubPLOs]],"&gt;=2",tbl_task4[[SubPLOs]:[SubPLOs]],"&lt;3")</f>
        <v>0</v>
      </c>
      <c r="BH35" s="138">
        <f>SUMIFS(tbl_task4[S55],tbl_task4[[SubPLOs]:[SubPLOs]],"&gt;=2",tbl_task4[[SubPLOs]:[SubPLOs]],"&lt;3")</f>
        <v>0</v>
      </c>
      <c r="BI35" s="138">
        <f>SUMIFS(tbl_task4[S56],tbl_task4[[SubPLOs]:[SubPLOs]],"&gt;=2",tbl_task4[[SubPLOs]:[SubPLOs]],"&lt;3")</f>
        <v>0</v>
      </c>
      <c r="BJ35" s="138">
        <f>SUMIFS(tbl_task4[S57],tbl_task4[[SubPLOs]:[SubPLOs]],"&gt;=2",tbl_task4[[SubPLOs]:[SubPLOs]],"&lt;3")</f>
        <v>0</v>
      </c>
      <c r="BK35" s="138">
        <f>SUMIFS(tbl_task4[S58],tbl_task4[[SubPLOs]:[SubPLOs]],"&gt;=2",tbl_task4[[SubPLOs]:[SubPLOs]],"&lt;3")</f>
        <v>0</v>
      </c>
      <c r="BL35" s="138">
        <f>SUMIFS(tbl_task4[S59],tbl_task4[[SubPLOs]:[SubPLOs]],"&gt;=2",tbl_task4[[SubPLOs]:[SubPLOs]],"&lt;3")</f>
        <v>0</v>
      </c>
      <c r="BM35" s="138">
        <f>SUMIFS(tbl_task4[S60],tbl_task4[[SubPLOs]:[SubPLOs]],"&gt;=2",tbl_task4[[SubPLOs]:[SubPLOs]],"&lt;3")</f>
        <v>0</v>
      </c>
      <c r="BN35" s="138">
        <f>SUMIFS(tbl_task4[S61],tbl_task4[[SubPLOs]:[SubPLOs]],"&gt;=2",tbl_task4[[SubPLOs]:[SubPLOs]],"&lt;3")</f>
        <v>0</v>
      </c>
      <c r="BO35" s="138">
        <f>SUMIFS(tbl_task4[S62],tbl_task4[[SubPLOs]:[SubPLOs]],"&gt;=2",tbl_task4[[SubPLOs]:[SubPLOs]],"&lt;3")</f>
        <v>0</v>
      </c>
      <c r="BP35" s="138">
        <f>SUMIFS(tbl_task4[S63],tbl_task4[[SubPLOs]:[SubPLOs]],"&gt;=2",tbl_task4[[SubPLOs]:[SubPLOs]],"&lt;3")</f>
        <v>0</v>
      </c>
      <c r="BQ35" s="138">
        <f>SUMIFS(tbl_task4[S64],tbl_task4[[SubPLOs]:[SubPLOs]],"&gt;=2",tbl_task4[[SubPLOs]:[SubPLOs]],"&lt;3")</f>
        <v>0</v>
      </c>
      <c r="BR35" s="138">
        <f>SUMIFS(tbl_task4[S65],tbl_task4[[SubPLOs]:[SubPLOs]],"&gt;=2",tbl_task4[[SubPLOs]:[SubPLOs]],"&lt;3")</f>
        <v>0</v>
      </c>
      <c r="BS35" s="138">
        <f>SUMIFS(tbl_task4[S66],tbl_task4[[SubPLOs]:[SubPLOs]],"&gt;=2",tbl_task4[[SubPLOs]:[SubPLOs]],"&lt;3")</f>
        <v>0</v>
      </c>
      <c r="BT35" s="138">
        <f>SUMIFS(tbl_task4[S67],tbl_task4[[SubPLOs]:[SubPLOs]],"&gt;=2",tbl_task4[[SubPLOs]:[SubPLOs]],"&lt;3")</f>
        <v>0</v>
      </c>
      <c r="BU35" s="138">
        <f>SUMIFS(tbl_task4[S68],tbl_task4[[SubPLOs]:[SubPLOs]],"&gt;=2",tbl_task4[[SubPLOs]:[SubPLOs]],"&lt;3")</f>
        <v>0</v>
      </c>
      <c r="BV35" s="138">
        <f>SUMIFS(tbl_task4[S69],tbl_task4[[SubPLOs]:[SubPLOs]],"&gt;=2",tbl_task4[[SubPLOs]:[SubPLOs]],"&lt;3")</f>
        <v>0</v>
      </c>
      <c r="BW35" s="138">
        <f>SUMIFS(tbl_task4[S70],tbl_task4[[SubPLOs]:[SubPLOs]],"&gt;=2",tbl_task4[[SubPLOs]:[SubPLOs]],"&lt;3")</f>
        <v>0</v>
      </c>
      <c r="BX35" s="138">
        <f>SUMIFS(tbl_task4[S71],tbl_task4[[SubPLOs]:[SubPLOs]],"&gt;=2",tbl_task4[[SubPLOs]:[SubPLOs]],"&lt;3")</f>
        <v>0</v>
      </c>
      <c r="BY35" s="138">
        <f>SUMIFS(tbl_task4[S72],tbl_task4[[SubPLOs]:[SubPLOs]],"&gt;=2",tbl_task4[[SubPLOs]:[SubPLOs]],"&lt;3")</f>
        <v>0</v>
      </c>
      <c r="BZ35" s="138">
        <f>SUMIFS(tbl_task4[S73],tbl_task4[[SubPLOs]:[SubPLOs]],"&gt;=2",tbl_task4[[SubPLOs]:[SubPLOs]],"&lt;3")</f>
        <v>0</v>
      </c>
      <c r="CA35" s="138">
        <f>SUMIFS(tbl_task4[S74],tbl_task4[[SubPLOs]:[SubPLOs]],"&gt;=2",tbl_task4[[SubPLOs]:[SubPLOs]],"&lt;3")</f>
        <v>0</v>
      </c>
      <c r="CB35" s="138">
        <f>SUMIFS(tbl_task4[S75],tbl_task4[[SubPLOs]:[SubPLOs]],"&gt;=2",tbl_task4[[SubPLOs]:[SubPLOs]],"&lt;3")</f>
        <v>0</v>
      </c>
      <c r="CC35" s="138">
        <f>SUMIFS(tbl_task4[S76],tbl_task4[[SubPLOs]:[SubPLOs]],"&gt;=2",tbl_task4[[SubPLOs]:[SubPLOs]],"&lt;3")</f>
        <v>0</v>
      </c>
      <c r="CD35" s="138">
        <f>SUMIFS(tbl_task4[S77],tbl_task4[[SubPLOs]:[SubPLOs]],"&gt;=2",tbl_task4[[SubPLOs]:[SubPLOs]],"&lt;3")</f>
        <v>0</v>
      </c>
      <c r="CE35" s="138">
        <f>SUMIFS(tbl_task4[S78],tbl_task4[[SubPLOs]:[SubPLOs]],"&gt;=2",tbl_task4[[SubPLOs]:[SubPLOs]],"&lt;3")</f>
        <v>0</v>
      </c>
      <c r="CF35" s="138">
        <f>SUMIFS(tbl_task4[S79],tbl_task4[[SubPLOs]:[SubPLOs]],"&gt;=2",tbl_task4[[SubPLOs]:[SubPLOs]],"&lt;3")</f>
        <v>0</v>
      </c>
      <c r="CG35" s="138">
        <f>SUMIFS(tbl_task4[S80],tbl_task4[[SubPLOs]:[SubPLOs]],"&gt;=2",tbl_task4[[SubPLOs]:[SubPLOs]],"&lt;3")</f>
        <v>0</v>
      </c>
      <c r="CH35" s="138">
        <f>SUMIFS(tbl_task4[S81],tbl_task4[[SubPLOs]:[SubPLOs]],"&gt;=2",tbl_task4[[SubPLOs]:[SubPLOs]],"&lt;3")</f>
        <v>0</v>
      </c>
      <c r="CI35" s="138">
        <f>SUMIFS(tbl_task4[S82],tbl_task4[[SubPLOs]:[SubPLOs]],"&gt;=2",tbl_task4[[SubPLOs]:[SubPLOs]],"&lt;3")</f>
        <v>0</v>
      </c>
      <c r="CJ35" s="138">
        <f>SUMIFS(tbl_task4[S83],tbl_task4[[SubPLOs]:[SubPLOs]],"&gt;=2",tbl_task4[[SubPLOs]:[SubPLOs]],"&lt;3")</f>
        <v>0</v>
      </c>
      <c r="CK35" s="138">
        <f>SUMIFS(tbl_task4[S84],tbl_task4[[SubPLOs]:[SubPLOs]],"&gt;=2",tbl_task4[[SubPLOs]:[SubPLOs]],"&lt;3")</f>
        <v>0</v>
      </c>
      <c r="CL35" s="138">
        <f>SUMIFS(tbl_task4[S85],tbl_task4[[SubPLOs]:[SubPLOs]],"&gt;=2",tbl_task4[[SubPLOs]:[SubPLOs]],"&lt;3")</f>
        <v>0</v>
      </c>
      <c r="CM35" s="138">
        <f>SUMIFS(tbl_task4[S86],tbl_task4[[SubPLOs]:[SubPLOs]],"&gt;=2",tbl_task4[[SubPLOs]:[SubPLOs]],"&lt;3")</f>
        <v>0</v>
      </c>
      <c r="CN35" s="138">
        <f>SUMIFS(tbl_task4[S87],tbl_task4[[SubPLOs]:[SubPLOs]],"&gt;=2",tbl_task4[[SubPLOs]:[SubPLOs]],"&lt;3")</f>
        <v>0</v>
      </c>
      <c r="CO35" s="138">
        <f>SUMIFS(tbl_task4[S88],tbl_task4[[SubPLOs]:[SubPLOs]],"&gt;=2",tbl_task4[[SubPLOs]:[SubPLOs]],"&lt;3")</f>
        <v>0</v>
      </c>
      <c r="CP35" s="138">
        <f>SUMIFS(tbl_task4[S89],tbl_task4[[SubPLOs]:[SubPLOs]],"&gt;=2",tbl_task4[[SubPLOs]:[SubPLOs]],"&lt;3")</f>
        <v>0</v>
      </c>
      <c r="CQ35" s="138">
        <f>SUMIFS(tbl_task4[S90],tbl_task4[[SubPLOs]:[SubPLOs]],"&gt;=2",tbl_task4[[SubPLOs]:[SubPLOs]],"&lt;3")</f>
        <v>0</v>
      </c>
      <c r="CR35" s="138">
        <f>SUMIFS(tbl_task4[S91],tbl_task4[[SubPLOs]:[SubPLOs]],"&gt;=2",tbl_task4[[SubPLOs]:[SubPLOs]],"&lt;3")</f>
        <v>0</v>
      </c>
      <c r="CS35" s="138">
        <f>SUMIFS(tbl_task4[S92],tbl_task4[[SubPLOs]:[SubPLOs]],"&gt;=2",tbl_task4[[SubPLOs]:[SubPLOs]],"&lt;3")</f>
        <v>0</v>
      </c>
      <c r="CT35" s="138">
        <f>SUMIFS(tbl_task4[S93],tbl_task4[[SubPLOs]:[SubPLOs]],"&gt;=2",tbl_task4[[SubPLOs]:[SubPLOs]],"&lt;3")</f>
        <v>0</v>
      </c>
      <c r="CU35" s="138">
        <f>SUMIFS(tbl_task4[S94],tbl_task4[[SubPLOs]:[SubPLOs]],"&gt;=2",tbl_task4[[SubPLOs]:[SubPLOs]],"&lt;3")</f>
        <v>0</v>
      </c>
      <c r="CV35" s="138">
        <f>SUMIFS(tbl_task4[S95],tbl_task4[[SubPLOs]:[SubPLOs]],"&gt;=2",tbl_task4[[SubPLOs]:[SubPLOs]],"&lt;3")</f>
        <v>0</v>
      </c>
      <c r="CW35" s="138">
        <f>SUMIFS(tbl_task4[S96],tbl_task4[[SubPLOs]:[SubPLOs]],"&gt;=2",tbl_task4[[SubPLOs]:[SubPLOs]],"&lt;3")</f>
        <v>0</v>
      </c>
      <c r="CX35" s="138">
        <f>SUMIFS(tbl_task4[S97],tbl_task4[[SubPLOs]:[SubPLOs]],"&gt;=2",tbl_task4[[SubPLOs]:[SubPLOs]],"&lt;3")</f>
        <v>0</v>
      </c>
      <c r="CY35" s="138">
        <f>SUMIFS(tbl_task4[S98],tbl_task4[[SubPLOs]:[SubPLOs]],"&gt;=2",tbl_task4[[SubPLOs]:[SubPLOs]],"&lt;3")</f>
        <v>0</v>
      </c>
      <c r="CZ35" s="138">
        <f>SUMIFS(tbl_task4[S99],tbl_task4[[SubPLOs]:[SubPLOs]],"&gt;=2",tbl_task4[[SubPLOs]:[SubPLOs]],"&lt;3")</f>
        <v>0</v>
      </c>
      <c r="DA35" s="138">
        <f>SUMIFS(tbl_task4[S100],tbl_task4[[SubPLOs]:[SubPLOs]],"&gt;=2",tbl_task4[[SubPLOs]:[SubPLOs]],"&lt;3")</f>
        <v>0</v>
      </c>
      <c r="DB35" s="138">
        <f>SUMIFS(tbl_task4[S101],tbl_task4[[SubPLOs]:[SubPLOs]],"&gt;=2",tbl_task4[[SubPLOs]:[SubPLOs]],"&lt;3")</f>
        <v>0</v>
      </c>
      <c r="DC35" s="138">
        <f>SUMIFS(tbl_task4[S102],tbl_task4[[SubPLOs]:[SubPLOs]],"&gt;=2",tbl_task4[[SubPLOs]:[SubPLOs]],"&lt;3")</f>
        <v>0</v>
      </c>
      <c r="DD35" s="138">
        <f>SUMIFS(tbl_task4[S103],tbl_task4[[SubPLOs]:[SubPLOs]],"&gt;=2",tbl_task4[[SubPLOs]:[SubPLOs]],"&lt;3")</f>
        <v>0</v>
      </c>
      <c r="DE35" s="138">
        <f>SUMIFS(tbl_task4[S104],tbl_task4[[SubPLOs]:[SubPLOs]],"&gt;=2",tbl_task4[[SubPLOs]:[SubPLOs]],"&lt;3")</f>
        <v>0</v>
      </c>
      <c r="DF35" s="138">
        <f>SUMIFS(tbl_task4[S105],tbl_task4[[SubPLOs]:[SubPLOs]],"&gt;=2",tbl_task4[[SubPLOs]:[SubPLOs]],"&lt;3")</f>
        <v>0</v>
      </c>
      <c r="DG35" s="138">
        <f>SUMIFS(tbl_task4[S106],tbl_task4[[SubPLOs]:[SubPLOs]],"&gt;=2",tbl_task4[[SubPLOs]:[SubPLOs]],"&lt;3")</f>
        <v>0</v>
      </c>
      <c r="DH35" s="138">
        <f>SUMIFS(tbl_task4[S106],tbl_task4[[SubPLOs]:[SubPLOs]],"&gt;=2",tbl_task4[[SubPLOs]:[SubPLOs]],"&lt;3")</f>
        <v>0</v>
      </c>
      <c r="DI35" s="138">
        <f>SUMIFS(tbl_task4[S108],tbl_task4[[SubPLOs]:[SubPLOs]],"&gt;=2",tbl_task4[[SubPLOs]:[SubPLOs]],"&lt;3")</f>
        <v>0</v>
      </c>
      <c r="DJ35" s="138">
        <f>SUMIFS(tbl_task4[S109],tbl_task4[[SubPLOs]:[SubPLOs]],"&gt;=2",tbl_task4[[SubPLOs]:[SubPLOs]],"&lt;3")</f>
        <v>0</v>
      </c>
      <c r="DK35" s="138">
        <f>SUMIFS(tbl_task4[S110],tbl_task4[[SubPLOs]:[SubPLOs]],"&gt;=2",tbl_task4[[SubPLOs]:[SubPLOs]],"&lt;3")</f>
        <v>0</v>
      </c>
      <c r="DL35" s="138">
        <f>SUMIFS(tbl_task4[S111],tbl_task4[[SubPLOs]:[SubPLOs]],"&gt;=2",tbl_task4[[SubPLOs]:[SubPLOs]],"&lt;3")</f>
        <v>0</v>
      </c>
      <c r="DM35" s="138">
        <f>SUMIFS(tbl_task4[S112],tbl_task4[[SubPLOs]:[SubPLOs]],"&gt;=2",tbl_task4[[SubPLOs]:[SubPLOs]],"&lt;3")</f>
        <v>0</v>
      </c>
      <c r="DN35" s="138">
        <f>SUMIFS(tbl_task4[S113],tbl_task4[[SubPLOs]:[SubPLOs]],"&gt;=2",tbl_task4[[SubPLOs]:[SubPLOs]],"&lt;3")</f>
        <v>0</v>
      </c>
      <c r="DO35" s="138">
        <f>SUMIFS(tbl_task4[S114],tbl_task4[[SubPLOs]:[SubPLOs]],"&gt;=2",tbl_task4[[SubPLOs]:[SubPLOs]],"&lt;3")</f>
        <v>0</v>
      </c>
      <c r="DP35" s="138">
        <f>SUMIFS(tbl_task4[S115],tbl_task4[[SubPLOs]:[SubPLOs]],"&gt;=2",tbl_task4[[SubPLOs]:[SubPLOs]],"&lt;3")</f>
        <v>0</v>
      </c>
      <c r="DQ35" s="138">
        <f>SUMIFS(tbl_task4[S116],tbl_task4[[SubPLOs]:[SubPLOs]],"&gt;=2",tbl_task4[[SubPLOs]:[SubPLOs]],"&lt;3")</f>
        <v>0</v>
      </c>
      <c r="DR35" s="138">
        <f>SUMIFS(tbl_task4[S117],tbl_task4[[SubPLOs]:[SubPLOs]],"&gt;=2",tbl_task4[[SubPLOs]:[SubPLOs]],"&lt;3")</f>
        <v>0</v>
      </c>
      <c r="DS35" s="138">
        <f>SUMIFS(tbl_task4[S118],tbl_task4[[SubPLOs]:[SubPLOs]],"&gt;=2",tbl_task4[[SubPLOs]:[SubPLOs]],"&lt;3")</f>
        <v>0</v>
      </c>
      <c r="DT35" s="138">
        <f>SUMIFS(tbl_task4[S119],tbl_task4[[SubPLOs]:[SubPLOs]],"&gt;=2",tbl_task4[[SubPLOs]:[SubPLOs]],"&lt;3")</f>
        <v>0</v>
      </c>
      <c r="DU35" s="138">
        <f>SUMIFS(tbl_task4[S120],tbl_task4[[SubPLOs]:[SubPLOs]],"&gt;=2",tbl_task4[[SubPLOs]:[SubPLOs]],"&lt;3")</f>
        <v>0</v>
      </c>
      <c r="DV35" s="138">
        <f>SUMIFS(tbl_task4[S121],tbl_task4[[SubPLOs]:[SubPLOs]],"&gt;=2",tbl_task4[[SubPLOs]:[SubPLOs]],"&lt;3")</f>
        <v>0</v>
      </c>
      <c r="DW35" s="138">
        <f>SUMIFS(tbl_task4[S122],tbl_task4[[SubPLOs]:[SubPLOs]],"&gt;=2",tbl_task4[[SubPLOs]:[SubPLOs]],"&lt;3")</f>
        <v>0</v>
      </c>
      <c r="DX35" s="138">
        <f>SUMIFS(tbl_task4[S123],tbl_task4[[SubPLOs]:[SubPLOs]],"&gt;=2",tbl_task4[[SubPLOs]:[SubPLOs]],"&lt;3")</f>
        <v>0</v>
      </c>
      <c r="DY35" s="138">
        <f>SUMIFS(tbl_task4[S124],tbl_task4[[SubPLOs]:[SubPLOs]],"&gt;=2",tbl_task4[[SubPLOs]:[SubPLOs]],"&lt;3")</f>
        <v>0</v>
      </c>
      <c r="DZ35" s="138">
        <f>SUMIFS(tbl_task4[S125],tbl_task4[[SubPLOs]:[SubPLOs]],"&gt;=2",tbl_task4[[SubPLOs]:[SubPLOs]],"&lt;3")</f>
        <v>0</v>
      </c>
      <c r="EA35" s="138">
        <f>SUMIFS(tbl_task4[S126],tbl_task4[[SubPLOs]:[SubPLOs]],"&gt;=2",tbl_task4[[SubPLOs]:[SubPLOs]],"&lt;3")</f>
        <v>0</v>
      </c>
      <c r="EB35" s="138">
        <f>SUMIFS(tbl_task4[S127],tbl_task4[[SubPLOs]:[SubPLOs]],"&gt;=2",tbl_task4[[SubPLOs]:[SubPLOs]],"&lt;3")</f>
        <v>0</v>
      </c>
      <c r="EC35" s="138">
        <f>SUMIFS(tbl_task4[S128],tbl_task4[[SubPLOs]:[SubPLOs]],"&gt;=2",tbl_task4[[SubPLOs]:[SubPLOs]],"&lt;3")</f>
        <v>0</v>
      </c>
      <c r="ED35" s="138">
        <f>SUMIFS(tbl_task4[S129],tbl_task4[[SubPLOs]:[SubPLOs]],"&gt;=2",tbl_task4[[SubPLOs]:[SubPLOs]],"&lt;3")</f>
        <v>0</v>
      </c>
      <c r="EE35" s="138">
        <f>SUMIFS(tbl_task4[S130],tbl_task4[[SubPLOs]:[SubPLOs]],"&gt;=2",tbl_task4[[SubPLOs]:[SubPLOs]],"&lt;3")</f>
        <v>0</v>
      </c>
      <c r="EF35" s="138">
        <f>SUMIFS(tbl_task4[S131],tbl_task4[[SubPLOs]:[SubPLOs]],"&gt;=2",tbl_task4[[SubPLOs]:[SubPLOs]],"&lt;3")</f>
        <v>0</v>
      </c>
      <c r="EG35" s="138">
        <f>SUMIFS(tbl_task4[S132],tbl_task4[[SubPLOs]:[SubPLOs]],"&gt;=2",tbl_task4[[SubPLOs]:[SubPLOs]],"&lt;3")</f>
        <v>0</v>
      </c>
      <c r="EH35" s="138">
        <f>SUMIFS(tbl_task4[S133],tbl_task4[[SubPLOs]:[SubPLOs]],"&gt;=2",tbl_task4[[SubPLOs]:[SubPLOs]],"&lt;3")</f>
        <v>0</v>
      </c>
      <c r="EI35" s="138">
        <f>SUMIFS(tbl_task4[S134],tbl_task4[[SubPLOs]:[SubPLOs]],"&gt;=2",tbl_task4[[SubPLOs]:[SubPLOs]],"&lt;3")</f>
        <v>0</v>
      </c>
      <c r="EJ35" s="138">
        <f>SUMIFS(tbl_task4[S135],tbl_task4[[SubPLOs]:[SubPLOs]],"&gt;=2",tbl_task4[[SubPLOs]:[SubPLOs]],"&lt;3")</f>
        <v>0</v>
      </c>
      <c r="EK35" s="138">
        <f>SUMIFS(tbl_task4[S136],tbl_task4[[SubPLOs]:[SubPLOs]],"&gt;=2",tbl_task4[[SubPLOs]:[SubPLOs]],"&lt;3")</f>
        <v>0</v>
      </c>
      <c r="EL35" s="138">
        <f>SUMIFS(tbl_task4[S137],tbl_task4[[SubPLOs]:[SubPLOs]],"&gt;=2",tbl_task4[[SubPLOs]:[SubPLOs]],"&lt;3")</f>
        <v>0</v>
      </c>
      <c r="EM35" s="138">
        <f>SUMIFS(tbl_task4[S138],tbl_task4[[SubPLOs]:[SubPLOs]],"&gt;=2",tbl_task4[[SubPLOs]:[SubPLOs]],"&lt;3")</f>
        <v>0</v>
      </c>
      <c r="EN35" s="138">
        <f>SUMIFS(tbl_task4[S139],tbl_task4[[SubPLOs]:[SubPLOs]],"&gt;=2",tbl_task4[[SubPLOs]:[SubPLOs]],"&lt;3")</f>
        <v>0</v>
      </c>
      <c r="EO35" s="138">
        <f>SUMIFS(tbl_task4[S140],tbl_task4[[SubPLOs]:[SubPLOs]],"&gt;=2",tbl_task4[[SubPLOs]:[SubPLOs]],"&lt;3")</f>
        <v>0</v>
      </c>
      <c r="EP35" s="138">
        <f>SUMIFS(tbl_task4[S141],tbl_task4[[SubPLOs]:[SubPLOs]],"&gt;=2",tbl_task4[[SubPLOs]:[SubPLOs]],"&lt;3")</f>
        <v>0</v>
      </c>
      <c r="EQ35" s="138">
        <f>SUMIFS(tbl_task4[S142],tbl_task4[[SubPLOs]:[SubPLOs]],"&gt;=2",tbl_task4[[SubPLOs]:[SubPLOs]],"&lt;3")</f>
        <v>0</v>
      </c>
      <c r="ER35" s="138">
        <f>SUMIFS(tbl_task4[S143],tbl_task4[[SubPLOs]:[SubPLOs]],"&gt;=2",tbl_task4[[SubPLOs]:[SubPLOs]],"&lt;3")</f>
        <v>0</v>
      </c>
      <c r="ES35" s="138">
        <f>SUMIFS(tbl_task4[S144],tbl_task4[[SubPLOs]:[SubPLOs]],"&gt;=2",tbl_task4[[SubPLOs]:[SubPLOs]],"&lt;3")</f>
        <v>0</v>
      </c>
      <c r="ET35" s="138">
        <f>SUMIFS(tbl_task4[S145],tbl_task4[[SubPLOs]:[SubPLOs]],"&gt;=2",tbl_task4[[SubPLOs]:[SubPLOs]],"&lt;3")</f>
        <v>0</v>
      </c>
      <c r="EU35" s="138">
        <f>SUMIFS(tbl_task4[S146],tbl_task4[[SubPLOs]:[SubPLOs]],"&gt;=2",tbl_task4[[SubPLOs]:[SubPLOs]],"&lt;3")</f>
        <v>0</v>
      </c>
      <c r="EV35" s="138">
        <f>SUMIFS(tbl_task4[S147],tbl_task4[[SubPLOs]:[SubPLOs]],"&gt;=2",tbl_task4[[SubPLOs]:[SubPLOs]],"&lt;3")</f>
        <v>0</v>
      </c>
      <c r="EW35" s="138">
        <f>SUMIFS(tbl_task4[S148],tbl_task4[[SubPLOs]:[SubPLOs]],"&gt;=2",tbl_task4[[SubPLOs]:[SubPLOs]],"&lt;3")</f>
        <v>0</v>
      </c>
      <c r="EX35" s="138">
        <f>SUMIFS(tbl_task4[S149],tbl_task4[[SubPLOs]:[SubPLOs]],"&gt;=2",tbl_task4[[SubPLOs]:[SubPLOs]],"&lt;3")</f>
        <v>0</v>
      </c>
      <c r="EY35" s="138">
        <f>SUMIFS(tbl_task4[S150],tbl_task4[[SubPLOs]:[SubPLOs]],"&gt;=2",tbl_task4[[SubPLOs]:[SubPLOs]],"&lt;3")</f>
        <v>0</v>
      </c>
      <c r="EZ35" s="138">
        <f>SUMIFS(tbl_task4[S151],tbl_task4[[SubPLOs]:[SubPLOs]],"&gt;=2",tbl_task4[[SubPLOs]:[SubPLOs]],"&lt;3")</f>
        <v>0</v>
      </c>
      <c r="FA35" s="138">
        <f>SUMIFS(tbl_task4[S152],tbl_task4[[SubPLOs]:[SubPLOs]],"&gt;=2",tbl_task4[[SubPLOs]:[SubPLOs]],"&lt;3")</f>
        <v>0</v>
      </c>
      <c r="FB35" s="138">
        <f>SUMIFS(tbl_task4[S153],tbl_task4[[SubPLOs]:[SubPLOs]],"&gt;=2",tbl_task4[[SubPLOs]:[SubPLOs]],"&lt;3")</f>
        <v>0</v>
      </c>
      <c r="FC35" s="138">
        <f>SUMIFS(tbl_task4[S154],tbl_task4[[SubPLOs]:[SubPLOs]],"&gt;=2",tbl_task4[[SubPLOs]:[SubPLOs]],"&lt;3")</f>
        <v>0</v>
      </c>
      <c r="FD35" s="138">
        <f>SUMIFS(tbl_task4[S155],tbl_task4[[SubPLOs]:[SubPLOs]],"&gt;=2",tbl_task4[[SubPLOs]:[SubPLOs]],"&lt;3")</f>
        <v>0</v>
      </c>
      <c r="FE35" s="138">
        <f>SUMIFS(tbl_task4[S156],tbl_task4[[SubPLOs]:[SubPLOs]],"&gt;=2",tbl_task4[[SubPLOs]:[SubPLOs]],"&lt;3")</f>
        <v>0</v>
      </c>
      <c r="FF35" s="138">
        <f>SUMIFS(tbl_task4[S157],tbl_task4[[SubPLOs]:[SubPLOs]],"&gt;=2",tbl_task4[[SubPLOs]:[SubPLOs]],"&lt;3")</f>
        <v>0</v>
      </c>
      <c r="FG35" s="138">
        <f>SUMIFS(tbl_task4[S158],tbl_task4[[SubPLOs]:[SubPLOs]],"&gt;=2",tbl_task4[[SubPLOs]:[SubPLOs]],"&lt;3")</f>
        <v>0</v>
      </c>
      <c r="FH35" s="138">
        <f>SUMIFS(tbl_task4[S159],tbl_task4[[SubPLOs]:[SubPLOs]],"&gt;=2",tbl_task4[[SubPLOs]:[SubPLOs]],"&lt;3")</f>
        <v>0</v>
      </c>
      <c r="FI35" s="138">
        <f>SUMIFS(tbl_task4[S160],tbl_task4[[SubPLOs]:[SubPLOs]],"&gt;=2",tbl_task4[[SubPLOs]:[SubPLOs]],"&lt;3")</f>
        <v>0</v>
      </c>
      <c r="FJ35" s="138">
        <f>SUMIFS(tbl_task4[S161],tbl_task4[[SubPLOs]:[SubPLOs]],"&gt;=2",tbl_task4[[SubPLOs]:[SubPLOs]],"&lt;3")</f>
        <v>0</v>
      </c>
      <c r="FK35" s="138">
        <f>SUMIFS(tbl_task4[S162],tbl_task4[[SubPLOs]:[SubPLOs]],"&gt;=2",tbl_task4[[SubPLOs]:[SubPLOs]],"&lt;3")</f>
        <v>0</v>
      </c>
      <c r="FL35" s="138">
        <f>SUMIFS(tbl_task4[S163],tbl_task4[[SubPLOs]:[SubPLOs]],"&gt;=2",tbl_task4[[SubPLOs]:[SubPLOs]],"&lt;3")</f>
        <v>0</v>
      </c>
      <c r="FM35" s="138">
        <f>SUMIFS(tbl_task4[S164],tbl_task4[[SubPLOs]:[SubPLOs]],"&gt;=2",tbl_task4[[SubPLOs]:[SubPLOs]],"&lt;3")</f>
        <v>0</v>
      </c>
      <c r="FN35" s="138">
        <f>SUMIFS(tbl_task4[S165],tbl_task4[[SubPLOs]:[SubPLOs]],"&gt;=2",tbl_task4[[SubPLOs]:[SubPLOs]],"&lt;3")</f>
        <v>0</v>
      </c>
    </row>
    <row r="36" spans="1:170" ht="63" x14ac:dyDescent="0.25">
      <c r="A36" s="135">
        <v>3</v>
      </c>
      <c r="B36" s="5" t="s">
        <v>436</v>
      </c>
      <c r="C36" s="136">
        <f>COUNTIFS(tbl_task4[SubPLOs],"&gt;=3",tbl_task4[SubPLOs],"&lt;4")</f>
        <v>0</v>
      </c>
      <c r="D36" s="136">
        <f>SUMIFS(tbl_task4[คะแนนเต็ม],tbl_task4[SubPLOs],"&gt;=3",tbl_task4[SubPLOs],"&lt;4")</f>
        <v>0</v>
      </c>
      <c r="E36" s="137">
        <f>SUMIFS(tbl_task4[%],tbl_task4[SubPLOs],"&gt;=3",tbl_task4[SubPLOs],"&lt;4")</f>
        <v>0</v>
      </c>
      <c r="F36" s="138">
        <f>SUMIFS(tbl_task4[S1],tbl_task4[[SubPLOs]:[SubPLOs]],"&gt;=3",tbl_task4[[SubPLOs]:[SubPLOs]],"&lt;4")</f>
        <v>0</v>
      </c>
      <c r="G36" s="138">
        <f>SUMIFS(tbl_task4[S2],tbl_task4[[SubPLOs]:[SubPLOs]],"&gt;=3",tbl_task4[[SubPLOs]:[SubPLOs]],"&lt;4")</f>
        <v>0</v>
      </c>
      <c r="H36" s="138">
        <f>SUMIFS(tbl_task4[S3],tbl_task4[[SubPLOs]:[SubPLOs]],"&gt;=3",tbl_task4[[SubPLOs]:[SubPLOs]],"&lt;4")</f>
        <v>0</v>
      </c>
      <c r="I36" s="138">
        <f>SUMIFS(tbl_task4[S4],tbl_task4[[SubPLOs]:[SubPLOs]],"&gt;=3",tbl_task4[[SubPLOs]:[SubPLOs]],"&lt;4")</f>
        <v>0</v>
      </c>
      <c r="J36" s="138">
        <f>SUMIFS(tbl_task4[S5],tbl_task4[[SubPLOs]:[SubPLOs]],"&gt;=3",tbl_task4[[SubPLOs]:[SubPLOs]],"&lt;4")</f>
        <v>0</v>
      </c>
      <c r="K36" s="138">
        <f>SUMIFS(tbl_task4[S6],tbl_task4[[SubPLOs]:[SubPLOs]],"&gt;=3",tbl_task4[[SubPLOs]:[SubPLOs]],"&lt;4")</f>
        <v>0</v>
      </c>
      <c r="L36" s="138">
        <f>SUMIFS(tbl_task4[S7],tbl_task4[[SubPLOs]:[SubPLOs]],"&gt;=3",tbl_task4[[SubPLOs]:[SubPLOs]],"&lt;4")</f>
        <v>0</v>
      </c>
      <c r="M36" s="138">
        <f>SUMIFS(tbl_task4[S8],tbl_task4[[SubPLOs]:[SubPLOs]],"&gt;=3",tbl_task4[[SubPLOs]:[SubPLOs]],"&lt;4")</f>
        <v>0</v>
      </c>
      <c r="N36" s="138">
        <f>SUMIFS(tbl_task4[S9],tbl_task4[[SubPLOs]:[SubPLOs]],"&gt;=3",tbl_task4[[SubPLOs]:[SubPLOs]],"&lt;4")</f>
        <v>0</v>
      </c>
      <c r="O36" s="138">
        <f>SUMIFS(tbl_task4[S10],tbl_task4[[SubPLOs]:[SubPLOs]],"&gt;=3",tbl_task4[[SubPLOs]:[SubPLOs]],"&lt;4")</f>
        <v>0</v>
      </c>
      <c r="P36" s="138">
        <f>SUMIFS(tbl_task4[S11],tbl_task4[[SubPLOs]:[SubPLOs]],"&gt;=3",tbl_task4[[SubPLOs]:[SubPLOs]],"&lt;4")</f>
        <v>0</v>
      </c>
      <c r="Q36" s="138">
        <f>SUMIFS(tbl_task4[S12],tbl_task4[[SubPLOs]:[SubPLOs]],"&gt;=3",tbl_task4[[SubPLOs]:[SubPLOs]],"&lt;4")</f>
        <v>0</v>
      </c>
      <c r="R36" s="138">
        <f>SUMIFS(tbl_task4[S13],tbl_task4[[SubPLOs]:[SubPLOs]],"&gt;=3",tbl_task4[[SubPLOs]:[SubPLOs]],"&lt;4")</f>
        <v>0</v>
      </c>
      <c r="S36" s="138">
        <f>SUMIFS(tbl_task4[S14],tbl_task4[[SubPLOs]:[SubPLOs]],"&gt;=3",tbl_task4[[SubPLOs]:[SubPLOs]],"&lt;4")</f>
        <v>0</v>
      </c>
      <c r="T36" s="138">
        <f>SUMIFS(tbl_task4[S15],tbl_task4[[SubPLOs]:[SubPLOs]],"&gt;=3",tbl_task4[[SubPLOs]:[SubPLOs]],"&lt;4")</f>
        <v>0</v>
      </c>
      <c r="U36" s="138">
        <f>SUMIFS(tbl_task4[S16],tbl_task4[[SubPLOs]:[SubPLOs]],"&gt;=3",tbl_task4[[SubPLOs]:[SubPLOs]],"&lt;4")</f>
        <v>0</v>
      </c>
      <c r="V36" s="138">
        <f>SUMIFS(tbl_task4[S17],tbl_task4[[SubPLOs]:[SubPLOs]],"&gt;=3",tbl_task4[[SubPLOs]:[SubPLOs]],"&lt;4")</f>
        <v>0</v>
      </c>
      <c r="W36" s="138">
        <f>SUMIFS(tbl_task4[S18],tbl_task4[[SubPLOs]:[SubPLOs]],"&gt;=3",tbl_task4[[SubPLOs]:[SubPLOs]],"&lt;4")</f>
        <v>0</v>
      </c>
      <c r="X36" s="138">
        <f>SUMIFS(tbl_task4[S19],tbl_task4[[SubPLOs]:[SubPLOs]],"&gt;=3",tbl_task4[[SubPLOs]:[SubPLOs]],"&lt;4")</f>
        <v>0</v>
      </c>
      <c r="Y36" s="138">
        <f>SUMIFS(tbl_task4[S20],tbl_task4[[SubPLOs]:[SubPLOs]],"&gt;=3",tbl_task4[[SubPLOs]:[SubPLOs]],"&lt;4")</f>
        <v>0</v>
      </c>
      <c r="Z36" s="138">
        <f>SUMIFS(tbl_task4[S21],tbl_task4[[SubPLOs]:[SubPLOs]],"&gt;=3",tbl_task4[[SubPLOs]:[SubPLOs]],"&lt;4")</f>
        <v>0</v>
      </c>
      <c r="AA36" s="138">
        <f>SUMIFS(tbl_task4[S22],tbl_task4[[SubPLOs]:[SubPLOs]],"&gt;=3",tbl_task4[[SubPLOs]:[SubPLOs]],"&lt;4")</f>
        <v>0</v>
      </c>
      <c r="AB36" s="138">
        <f>SUMIFS(tbl_task4[S23],tbl_task4[[SubPLOs]:[SubPLOs]],"&gt;=3",tbl_task4[[SubPLOs]:[SubPLOs]],"&lt;4")</f>
        <v>0</v>
      </c>
      <c r="AC36" s="138">
        <f>SUMIFS(tbl_task4[S24],tbl_task4[[SubPLOs]:[SubPLOs]],"&gt;=3",tbl_task4[[SubPLOs]:[SubPLOs]],"&lt;4")</f>
        <v>0</v>
      </c>
      <c r="AD36" s="138">
        <f>SUMIFS(tbl_task4[S25],tbl_task4[[SubPLOs]:[SubPLOs]],"&gt;=3",tbl_task4[[SubPLOs]:[SubPLOs]],"&lt;4")</f>
        <v>0</v>
      </c>
      <c r="AE36" s="138">
        <f>SUMIFS(tbl_task4[S26],tbl_task4[[SubPLOs]:[SubPLOs]],"&gt;=3",tbl_task4[[SubPLOs]:[SubPLOs]],"&lt;4")</f>
        <v>0</v>
      </c>
      <c r="AF36" s="138">
        <f>SUMIFS(tbl_task4[S27],tbl_task4[[SubPLOs]:[SubPLOs]],"&gt;=3",tbl_task4[[SubPLOs]:[SubPLOs]],"&lt;4")</f>
        <v>0</v>
      </c>
      <c r="AG36" s="138">
        <f>SUMIFS(tbl_task4[S28],tbl_task4[[SubPLOs]:[SubPLOs]],"&gt;=3",tbl_task4[[SubPLOs]:[SubPLOs]],"&lt;4")</f>
        <v>0</v>
      </c>
      <c r="AH36" s="138">
        <f>SUMIFS(tbl_task4[S29],tbl_task4[[SubPLOs]:[SubPLOs]],"&gt;=3",tbl_task4[[SubPLOs]:[SubPLOs]],"&lt;4")</f>
        <v>0</v>
      </c>
      <c r="AI36" s="138">
        <f>SUMIFS(tbl_task4[S30],tbl_task4[[SubPLOs]:[SubPLOs]],"&gt;=3",tbl_task4[[SubPLOs]:[SubPLOs]],"&lt;4")</f>
        <v>0</v>
      </c>
      <c r="AJ36" s="138">
        <f>SUMIFS(tbl_task4[S31],tbl_task4[[SubPLOs]:[SubPLOs]],"&gt;=3",tbl_task4[[SubPLOs]:[SubPLOs]],"&lt;4")</f>
        <v>0</v>
      </c>
      <c r="AK36" s="138">
        <f>SUMIFS(tbl_task4[S32],tbl_task4[[SubPLOs]:[SubPLOs]],"&gt;=3",tbl_task4[[SubPLOs]:[SubPLOs]],"&lt;4")</f>
        <v>0</v>
      </c>
      <c r="AL36" s="138">
        <f>SUMIFS(tbl_task4[S33],tbl_task4[[SubPLOs]:[SubPLOs]],"&gt;=3",tbl_task4[[SubPLOs]:[SubPLOs]],"&lt;4")</f>
        <v>0</v>
      </c>
      <c r="AM36" s="138">
        <f>SUMIFS(tbl_task4[S34],tbl_task4[[SubPLOs]:[SubPLOs]],"&gt;=3",tbl_task4[[SubPLOs]:[SubPLOs]],"&lt;4")</f>
        <v>0</v>
      </c>
      <c r="AN36" s="138">
        <f>SUMIFS(tbl_task4[S35],tbl_task4[[SubPLOs]:[SubPLOs]],"&gt;=3",tbl_task4[[SubPLOs]:[SubPLOs]],"&lt;4")</f>
        <v>0</v>
      </c>
      <c r="AO36" s="138">
        <f>SUMIFS(tbl_task4[S36],tbl_task4[[SubPLOs]:[SubPLOs]],"&gt;=3",tbl_task4[[SubPLOs]:[SubPLOs]],"&lt;4")</f>
        <v>0</v>
      </c>
      <c r="AP36" s="138">
        <f>SUMIFS(tbl_task4[S37],tbl_task4[[SubPLOs]:[SubPLOs]],"&gt;=3",tbl_task4[[SubPLOs]:[SubPLOs]],"&lt;4")</f>
        <v>0</v>
      </c>
      <c r="AQ36" s="138">
        <f>SUMIFS(tbl_task4[S38],tbl_task4[[SubPLOs]:[SubPLOs]],"&gt;=3",tbl_task4[[SubPLOs]:[SubPLOs]],"&lt;4")</f>
        <v>0</v>
      </c>
      <c r="AR36" s="138">
        <f>SUMIFS(tbl_task4[S39],tbl_task4[[SubPLOs]:[SubPLOs]],"&gt;=3",tbl_task4[[SubPLOs]:[SubPLOs]],"&lt;4")</f>
        <v>0</v>
      </c>
      <c r="AS36" s="138">
        <f>SUMIFS(tbl_task4[S40],tbl_task4[[SubPLOs]:[SubPLOs]],"&gt;=3",tbl_task4[[SubPLOs]:[SubPLOs]],"&lt;4")</f>
        <v>0</v>
      </c>
      <c r="AT36" s="138">
        <f>SUMIFS(tbl_task4[S41],tbl_task4[[SubPLOs]:[SubPLOs]],"&gt;=3",tbl_task4[[SubPLOs]:[SubPLOs]],"&lt;4")</f>
        <v>0</v>
      </c>
      <c r="AU36" s="138">
        <f>SUMIFS(tbl_task4[S42],tbl_task4[[SubPLOs]:[SubPLOs]],"&gt;=3",tbl_task4[[SubPLOs]:[SubPLOs]],"&lt;4")</f>
        <v>0</v>
      </c>
      <c r="AV36" s="138">
        <f>SUMIFS(tbl_task4[S43],tbl_task4[[SubPLOs]:[SubPLOs]],"&gt;=3",tbl_task4[[SubPLOs]:[SubPLOs]],"&lt;4")</f>
        <v>0</v>
      </c>
      <c r="AW36" s="138">
        <f>SUMIFS(tbl_task4[S44],tbl_task4[[SubPLOs]:[SubPLOs]],"&gt;=3",tbl_task4[[SubPLOs]:[SubPLOs]],"&lt;4")</f>
        <v>0</v>
      </c>
      <c r="AX36" s="138">
        <f>SUMIFS(tbl_task4[S45],tbl_task4[[SubPLOs]:[SubPLOs]],"&gt;=3",tbl_task4[[SubPLOs]:[SubPLOs]],"&lt;4")</f>
        <v>0</v>
      </c>
      <c r="AY36" s="138">
        <f>SUMIFS(tbl_task4[S46],tbl_task4[[SubPLOs]:[SubPLOs]],"&gt;=3",tbl_task4[[SubPLOs]:[SubPLOs]],"&lt;4")</f>
        <v>0</v>
      </c>
      <c r="AZ36" s="138">
        <f>SUMIFS(tbl_task4[S47],tbl_task4[[SubPLOs]:[SubPLOs]],"&gt;=3",tbl_task4[[SubPLOs]:[SubPLOs]],"&lt;4")</f>
        <v>0</v>
      </c>
      <c r="BA36" s="138">
        <f>SUMIFS(tbl_task4[S48],tbl_task4[[SubPLOs]:[SubPLOs]],"&gt;=3",tbl_task4[[SubPLOs]:[SubPLOs]],"&lt;4")</f>
        <v>0</v>
      </c>
      <c r="BB36" s="138">
        <f>SUMIFS(tbl_task4[S49],tbl_task4[[SubPLOs]:[SubPLOs]],"&gt;=3",tbl_task4[[SubPLOs]:[SubPLOs]],"&lt;4")</f>
        <v>0</v>
      </c>
      <c r="BC36" s="138">
        <f>SUMIFS(tbl_task4[S50],tbl_task4[[SubPLOs]:[SubPLOs]],"&gt;=3",tbl_task4[[SubPLOs]:[SubPLOs]],"&lt;4")</f>
        <v>0</v>
      </c>
      <c r="BD36" s="138">
        <f>SUMIFS(tbl_task4[S51],tbl_task4[[SubPLOs]:[SubPLOs]],"&gt;=3",tbl_task4[[SubPLOs]:[SubPLOs]],"&lt;4")</f>
        <v>0</v>
      </c>
      <c r="BE36" s="138">
        <f>SUMIFS(tbl_task4[S52],tbl_task4[[SubPLOs]:[SubPLOs]],"&gt;=3",tbl_task4[[SubPLOs]:[SubPLOs]],"&lt;4")</f>
        <v>0</v>
      </c>
      <c r="BF36" s="138">
        <f>SUMIFS(tbl_task4[S53],tbl_task4[[SubPLOs]:[SubPLOs]],"&gt;=3",tbl_task4[[SubPLOs]:[SubPLOs]],"&lt;4")</f>
        <v>0</v>
      </c>
      <c r="BG36" s="138">
        <f>SUMIFS(tbl_task4[S54],tbl_task4[[SubPLOs]:[SubPLOs]],"&gt;=3",tbl_task4[[SubPLOs]:[SubPLOs]],"&lt;4")</f>
        <v>0</v>
      </c>
      <c r="BH36" s="138">
        <f>SUMIFS(tbl_task4[S55],tbl_task4[[SubPLOs]:[SubPLOs]],"&gt;=3",tbl_task4[[SubPLOs]:[SubPLOs]],"&lt;4")</f>
        <v>0</v>
      </c>
      <c r="BI36" s="138">
        <f>SUMIFS(tbl_task4[S56],tbl_task4[[SubPLOs]:[SubPLOs]],"&gt;=3",tbl_task4[[SubPLOs]:[SubPLOs]],"&lt;4")</f>
        <v>0</v>
      </c>
      <c r="BJ36" s="138">
        <f>SUMIFS(tbl_task4[S57],tbl_task4[[SubPLOs]:[SubPLOs]],"&gt;=3",tbl_task4[[SubPLOs]:[SubPLOs]],"&lt;4")</f>
        <v>0</v>
      </c>
      <c r="BK36" s="138">
        <f>SUMIFS(tbl_task4[S58],tbl_task4[[SubPLOs]:[SubPLOs]],"&gt;=3",tbl_task4[[SubPLOs]:[SubPLOs]],"&lt;4")</f>
        <v>0</v>
      </c>
      <c r="BL36" s="138">
        <f>SUMIFS(tbl_task4[S59],tbl_task4[[SubPLOs]:[SubPLOs]],"&gt;=3",tbl_task4[[SubPLOs]:[SubPLOs]],"&lt;4")</f>
        <v>0</v>
      </c>
      <c r="BM36" s="138">
        <f>SUMIFS(tbl_task4[S60],tbl_task4[[SubPLOs]:[SubPLOs]],"&gt;=3",tbl_task4[[SubPLOs]:[SubPLOs]],"&lt;4")</f>
        <v>0</v>
      </c>
      <c r="BN36" s="138">
        <f>SUMIFS(tbl_task4[S61],tbl_task4[[SubPLOs]:[SubPLOs]],"&gt;=3",tbl_task4[[SubPLOs]:[SubPLOs]],"&lt;4")</f>
        <v>0</v>
      </c>
      <c r="BO36" s="138">
        <f>SUMIFS(tbl_task4[S62],tbl_task4[[SubPLOs]:[SubPLOs]],"&gt;=3",tbl_task4[[SubPLOs]:[SubPLOs]],"&lt;4")</f>
        <v>0</v>
      </c>
      <c r="BP36" s="138">
        <f>SUMIFS(tbl_task4[S63],tbl_task4[[SubPLOs]:[SubPLOs]],"&gt;=3",tbl_task4[[SubPLOs]:[SubPLOs]],"&lt;4")</f>
        <v>0</v>
      </c>
      <c r="BQ36" s="138">
        <f>SUMIFS(tbl_task4[S64],tbl_task4[[SubPLOs]:[SubPLOs]],"&gt;=3",tbl_task4[[SubPLOs]:[SubPLOs]],"&lt;4")</f>
        <v>0</v>
      </c>
      <c r="BR36" s="138">
        <f>SUMIFS(tbl_task4[S65],tbl_task4[[SubPLOs]:[SubPLOs]],"&gt;=3",tbl_task4[[SubPLOs]:[SubPLOs]],"&lt;4")</f>
        <v>0</v>
      </c>
      <c r="BS36" s="138">
        <f>SUMIFS(tbl_task4[S66],tbl_task4[[SubPLOs]:[SubPLOs]],"&gt;=3",tbl_task4[[SubPLOs]:[SubPLOs]],"&lt;4")</f>
        <v>0</v>
      </c>
      <c r="BT36" s="138">
        <f>SUMIFS(tbl_task4[S67],tbl_task4[[SubPLOs]:[SubPLOs]],"&gt;=3",tbl_task4[[SubPLOs]:[SubPLOs]],"&lt;4")</f>
        <v>0</v>
      </c>
      <c r="BU36" s="138">
        <f>SUMIFS(tbl_task4[S68],tbl_task4[[SubPLOs]:[SubPLOs]],"&gt;=3",tbl_task4[[SubPLOs]:[SubPLOs]],"&lt;4")</f>
        <v>0</v>
      </c>
      <c r="BV36" s="138">
        <f>SUMIFS(tbl_task4[S69],tbl_task4[[SubPLOs]:[SubPLOs]],"&gt;=3",tbl_task4[[SubPLOs]:[SubPLOs]],"&lt;4")</f>
        <v>0</v>
      </c>
      <c r="BW36" s="138">
        <f>SUMIFS(tbl_task4[S70],tbl_task4[[SubPLOs]:[SubPLOs]],"&gt;=3",tbl_task4[[SubPLOs]:[SubPLOs]],"&lt;4")</f>
        <v>0</v>
      </c>
      <c r="BX36" s="138">
        <f>SUMIFS(tbl_task4[S71],tbl_task4[[SubPLOs]:[SubPLOs]],"&gt;=3",tbl_task4[[SubPLOs]:[SubPLOs]],"&lt;4")</f>
        <v>0</v>
      </c>
      <c r="BY36" s="138">
        <f>SUMIFS(tbl_task4[S72],tbl_task4[[SubPLOs]:[SubPLOs]],"&gt;=3",tbl_task4[[SubPLOs]:[SubPLOs]],"&lt;4")</f>
        <v>0</v>
      </c>
      <c r="BZ36" s="138">
        <f>SUMIFS(tbl_task4[S73],tbl_task4[[SubPLOs]:[SubPLOs]],"&gt;=3",tbl_task4[[SubPLOs]:[SubPLOs]],"&lt;4")</f>
        <v>0</v>
      </c>
      <c r="CA36" s="138">
        <f>SUMIFS(tbl_task4[S74],tbl_task4[[SubPLOs]:[SubPLOs]],"&gt;=3",tbl_task4[[SubPLOs]:[SubPLOs]],"&lt;4")</f>
        <v>0</v>
      </c>
      <c r="CB36" s="138">
        <f>SUMIFS(tbl_task4[S75],tbl_task4[[SubPLOs]:[SubPLOs]],"&gt;=3",tbl_task4[[SubPLOs]:[SubPLOs]],"&lt;4")</f>
        <v>0</v>
      </c>
      <c r="CC36" s="138">
        <f>SUMIFS(tbl_task4[S76],tbl_task4[[SubPLOs]:[SubPLOs]],"&gt;=3",tbl_task4[[SubPLOs]:[SubPLOs]],"&lt;4")</f>
        <v>0</v>
      </c>
      <c r="CD36" s="138">
        <f>SUMIFS(tbl_task4[S77],tbl_task4[[SubPLOs]:[SubPLOs]],"&gt;=3",tbl_task4[[SubPLOs]:[SubPLOs]],"&lt;4")</f>
        <v>0</v>
      </c>
      <c r="CE36" s="138">
        <f>SUMIFS(tbl_task4[S78],tbl_task4[[SubPLOs]:[SubPLOs]],"&gt;=3",tbl_task4[[SubPLOs]:[SubPLOs]],"&lt;4")</f>
        <v>0</v>
      </c>
      <c r="CF36" s="138">
        <f>SUMIFS(tbl_task4[S79],tbl_task4[[SubPLOs]:[SubPLOs]],"&gt;=3",tbl_task4[[SubPLOs]:[SubPLOs]],"&lt;4")</f>
        <v>0</v>
      </c>
      <c r="CG36" s="138">
        <f>SUMIFS(tbl_task4[S80],tbl_task4[[SubPLOs]:[SubPLOs]],"&gt;=3",tbl_task4[[SubPLOs]:[SubPLOs]],"&lt;4")</f>
        <v>0</v>
      </c>
      <c r="CH36" s="138">
        <f>SUMIFS(tbl_task4[S81],tbl_task4[[SubPLOs]:[SubPLOs]],"&gt;=3",tbl_task4[[SubPLOs]:[SubPLOs]],"&lt;4")</f>
        <v>0</v>
      </c>
      <c r="CI36" s="138">
        <f>SUMIFS(tbl_task4[S82],tbl_task4[[SubPLOs]:[SubPLOs]],"&gt;=3",tbl_task4[[SubPLOs]:[SubPLOs]],"&lt;4")</f>
        <v>0</v>
      </c>
      <c r="CJ36" s="138">
        <f>SUMIFS(tbl_task4[S83],tbl_task4[[SubPLOs]:[SubPLOs]],"&gt;=3",tbl_task4[[SubPLOs]:[SubPLOs]],"&lt;4")</f>
        <v>0</v>
      </c>
      <c r="CK36" s="138">
        <f>SUMIFS(tbl_task4[S84],tbl_task4[[SubPLOs]:[SubPLOs]],"&gt;=3",tbl_task4[[SubPLOs]:[SubPLOs]],"&lt;4")</f>
        <v>0</v>
      </c>
      <c r="CL36" s="138">
        <f>SUMIFS(tbl_task4[S85],tbl_task4[[SubPLOs]:[SubPLOs]],"&gt;=3",tbl_task4[[SubPLOs]:[SubPLOs]],"&lt;4")</f>
        <v>0</v>
      </c>
      <c r="CM36" s="138">
        <f>SUMIFS(tbl_task4[S86],tbl_task4[[SubPLOs]:[SubPLOs]],"&gt;=3",tbl_task4[[SubPLOs]:[SubPLOs]],"&lt;4")</f>
        <v>0</v>
      </c>
      <c r="CN36" s="138">
        <f>SUMIFS(tbl_task4[S87],tbl_task4[[SubPLOs]:[SubPLOs]],"&gt;=3",tbl_task4[[SubPLOs]:[SubPLOs]],"&lt;4")</f>
        <v>0</v>
      </c>
      <c r="CO36" s="138">
        <f>SUMIFS(tbl_task4[S88],tbl_task4[[SubPLOs]:[SubPLOs]],"&gt;=3",tbl_task4[[SubPLOs]:[SubPLOs]],"&lt;4")</f>
        <v>0</v>
      </c>
      <c r="CP36" s="138">
        <f>SUMIFS(tbl_task4[S89],tbl_task4[[SubPLOs]:[SubPLOs]],"&gt;=3",tbl_task4[[SubPLOs]:[SubPLOs]],"&lt;4")</f>
        <v>0</v>
      </c>
      <c r="CQ36" s="138">
        <f>SUMIFS(tbl_task4[S90],tbl_task4[[SubPLOs]:[SubPLOs]],"&gt;=3",tbl_task4[[SubPLOs]:[SubPLOs]],"&lt;4")</f>
        <v>0</v>
      </c>
      <c r="CR36" s="138">
        <f>SUMIFS(tbl_task4[S91],tbl_task4[[SubPLOs]:[SubPLOs]],"&gt;=3",tbl_task4[[SubPLOs]:[SubPLOs]],"&lt;4")</f>
        <v>0</v>
      </c>
      <c r="CS36" s="138">
        <f>SUMIFS(tbl_task4[S92],tbl_task4[[SubPLOs]:[SubPLOs]],"&gt;=3",tbl_task4[[SubPLOs]:[SubPLOs]],"&lt;4")</f>
        <v>0</v>
      </c>
      <c r="CT36" s="138">
        <f>SUMIFS(tbl_task4[S93],tbl_task4[[SubPLOs]:[SubPLOs]],"&gt;=3",tbl_task4[[SubPLOs]:[SubPLOs]],"&lt;4")</f>
        <v>0</v>
      </c>
      <c r="CU36" s="138">
        <f>SUMIFS(tbl_task4[S94],tbl_task4[[SubPLOs]:[SubPLOs]],"&gt;=3",tbl_task4[[SubPLOs]:[SubPLOs]],"&lt;4")</f>
        <v>0</v>
      </c>
      <c r="CV36" s="138">
        <f>SUMIFS(tbl_task4[S95],tbl_task4[[SubPLOs]:[SubPLOs]],"&gt;=3",tbl_task4[[SubPLOs]:[SubPLOs]],"&lt;4")</f>
        <v>0</v>
      </c>
      <c r="CW36" s="138">
        <f>SUMIFS(tbl_task4[S96],tbl_task4[[SubPLOs]:[SubPLOs]],"&gt;=3",tbl_task4[[SubPLOs]:[SubPLOs]],"&lt;4")</f>
        <v>0</v>
      </c>
      <c r="CX36" s="138">
        <f>SUMIFS(tbl_task4[S97],tbl_task4[[SubPLOs]:[SubPLOs]],"&gt;=3",tbl_task4[[SubPLOs]:[SubPLOs]],"&lt;4")</f>
        <v>0</v>
      </c>
      <c r="CY36" s="138">
        <f>SUMIFS(tbl_task4[S98],tbl_task4[[SubPLOs]:[SubPLOs]],"&gt;=3",tbl_task4[[SubPLOs]:[SubPLOs]],"&lt;4")</f>
        <v>0</v>
      </c>
      <c r="CZ36" s="138">
        <f>SUMIFS(tbl_task4[S99],tbl_task4[[SubPLOs]:[SubPLOs]],"&gt;=3",tbl_task4[[SubPLOs]:[SubPLOs]],"&lt;4")</f>
        <v>0</v>
      </c>
      <c r="DA36" s="138">
        <f>SUMIFS(tbl_task4[S100],tbl_task4[[SubPLOs]:[SubPLOs]],"&gt;=3",tbl_task4[[SubPLOs]:[SubPLOs]],"&lt;4")</f>
        <v>0</v>
      </c>
      <c r="DB36" s="138">
        <f>SUMIFS(tbl_task4[S101],tbl_task4[[SubPLOs]:[SubPLOs]],"&gt;=3",tbl_task4[[SubPLOs]:[SubPLOs]],"&lt;4")</f>
        <v>0</v>
      </c>
      <c r="DC36" s="138">
        <f>SUMIFS(tbl_task4[S102],tbl_task4[[SubPLOs]:[SubPLOs]],"&gt;=3",tbl_task4[[SubPLOs]:[SubPLOs]],"&lt;4")</f>
        <v>0</v>
      </c>
      <c r="DD36" s="138">
        <f>SUMIFS(tbl_task4[S103],tbl_task4[[SubPLOs]:[SubPLOs]],"&gt;=3",tbl_task4[[SubPLOs]:[SubPLOs]],"&lt;4")</f>
        <v>0</v>
      </c>
      <c r="DE36" s="138">
        <f>SUMIFS(tbl_task4[S104],tbl_task4[[SubPLOs]:[SubPLOs]],"&gt;=3",tbl_task4[[SubPLOs]:[SubPLOs]],"&lt;4")</f>
        <v>0</v>
      </c>
      <c r="DF36" s="138">
        <f>SUMIFS(tbl_task4[S105],tbl_task4[[SubPLOs]:[SubPLOs]],"&gt;=3",tbl_task4[[SubPLOs]:[SubPLOs]],"&lt;4")</f>
        <v>0</v>
      </c>
      <c r="DG36" s="138">
        <f>SUMIFS(tbl_task4[S106],tbl_task4[[SubPLOs]:[SubPLOs]],"&gt;=3",tbl_task4[[SubPLOs]:[SubPLOs]],"&lt;4")</f>
        <v>0</v>
      </c>
      <c r="DH36" s="138">
        <f>SUMIFS(tbl_task4[S106],tbl_task4[[SubPLOs]:[SubPLOs]],"&gt;=3",tbl_task4[[SubPLOs]:[SubPLOs]],"&lt;4")</f>
        <v>0</v>
      </c>
      <c r="DI36" s="138">
        <f>SUMIFS(tbl_task4[S108],tbl_task4[[SubPLOs]:[SubPLOs]],"&gt;=3",tbl_task4[[SubPLOs]:[SubPLOs]],"&lt;4")</f>
        <v>0</v>
      </c>
      <c r="DJ36" s="138">
        <f>SUMIFS(tbl_task4[S109],tbl_task4[[SubPLOs]:[SubPLOs]],"&gt;=3",tbl_task4[[SubPLOs]:[SubPLOs]],"&lt;4")</f>
        <v>0</v>
      </c>
      <c r="DK36" s="138">
        <f>SUMIFS(tbl_task4[S110],tbl_task4[[SubPLOs]:[SubPLOs]],"&gt;=3",tbl_task4[[SubPLOs]:[SubPLOs]],"&lt;4")</f>
        <v>0</v>
      </c>
      <c r="DL36" s="138">
        <f>SUMIFS(tbl_task4[S111],tbl_task4[[SubPLOs]:[SubPLOs]],"&gt;=3",tbl_task4[[SubPLOs]:[SubPLOs]],"&lt;4")</f>
        <v>0</v>
      </c>
      <c r="DM36" s="138">
        <f>SUMIFS(tbl_task4[S112],tbl_task4[[SubPLOs]:[SubPLOs]],"&gt;=3",tbl_task4[[SubPLOs]:[SubPLOs]],"&lt;4")</f>
        <v>0</v>
      </c>
      <c r="DN36" s="138">
        <f>SUMIFS(tbl_task4[S113],tbl_task4[[SubPLOs]:[SubPLOs]],"&gt;=3",tbl_task4[[SubPLOs]:[SubPLOs]],"&lt;4")</f>
        <v>0</v>
      </c>
      <c r="DO36" s="138">
        <f>SUMIFS(tbl_task4[S114],tbl_task4[[SubPLOs]:[SubPLOs]],"&gt;=3",tbl_task4[[SubPLOs]:[SubPLOs]],"&lt;4")</f>
        <v>0</v>
      </c>
      <c r="DP36" s="138">
        <f>SUMIFS(tbl_task4[S115],tbl_task4[[SubPLOs]:[SubPLOs]],"&gt;=3",tbl_task4[[SubPLOs]:[SubPLOs]],"&lt;4")</f>
        <v>0</v>
      </c>
      <c r="DQ36" s="138">
        <f>SUMIFS(tbl_task4[S116],tbl_task4[[SubPLOs]:[SubPLOs]],"&gt;=3",tbl_task4[[SubPLOs]:[SubPLOs]],"&lt;4")</f>
        <v>0</v>
      </c>
      <c r="DR36" s="138">
        <f>SUMIFS(tbl_task4[S117],tbl_task4[[SubPLOs]:[SubPLOs]],"&gt;=3",tbl_task4[[SubPLOs]:[SubPLOs]],"&lt;4")</f>
        <v>0</v>
      </c>
      <c r="DS36" s="138">
        <f>SUMIFS(tbl_task4[S118],tbl_task4[[SubPLOs]:[SubPLOs]],"&gt;=3",tbl_task4[[SubPLOs]:[SubPLOs]],"&lt;4")</f>
        <v>0</v>
      </c>
      <c r="DT36" s="138">
        <f>SUMIFS(tbl_task4[S119],tbl_task4[[SubPLOs]:[SubPLOs]],"&gt;=3",tbl_task4[[SubPLOs]:[SubPLOs]],"&lt;4")</f>
        <v>0</v>
      </c>
      <c r="DU36" s="138">
        <f>SUMIFS(tbl_task4[S120],tbl_task4[[SubPLOs]:[SubPLOs]],"&gt;=3",tbl_task4[[SubPLOs]:[SubPLOs]],"&lt;4")</f>
        <v>0</v>
      </c>
      <c r="DV36" s="138">
        <f>SUMIFS(tbl_task4[S121],tbl_task4[[SubPLOs]:[SubPLOs]],"&gt;=3",tbl_task4[[SubPLOs]:[SubPLOs]],"&lt;4")</f>
        <v>0</v>
      </c>
      <c r="DW36" s="138">
        <f>SUMIFS(tbl_task4[S122],tbl_task4[[SubPLOs]:[SubPLOs]],"&gt;=3",tbl_task4[[SubPLOs]:[SubPLOs]],"&lt;4")</f>
        <v>0</v>
      </c>
      <c r="DX36" s="138">
        <f>SUMIFS(tbl_task4[S123],tbl_task4[[SubPLOs]:[SubPLOs]],"&gt;=3",tbl_task4[[SubPLOs]:[SubPLOs]],"&lt;4")</f>
        <v>0</v>
      </c>
      <c r="DY36" s="138">
        <f>SUMIFS(tbl_task4[S124],tbl_task4[[SubPLOs]:[SubPLOs]],"&gt;=3",tbl_task4[[SubPLOs]:[SubPLOs]],"&lt;4")</f>
        <v>0</v>
      </c>
      <c r="DZ36" s="138">
        <f>SUMIFS(tbl_task4[S125],tbl_task4[[SubPLOs]:[SubPLOs]],"&gt;=3",tbl_task4[[SubPLOs]:[SubPLOs]],"&lt;4")</f>
        <v>0</v>
      </c>
      <c r="EA36" s="138">
        <f>SUMIFS(tbl_task4[S126],tbl_task4[[SubPLOs]:[SubPLOs]],"&gt;=3",tbl_task4[[SubPLOs]:[SubPLOs]],"&lt;4")</f>
        <v>0</v>
      </c>
      <c r="EB36" s="138">
        <f>SUMIFS(tbl_task4[S127],tbl_task4[[SubPLOs]:[SubPLOs]],"&gt;=3",tbl_task4[[SubPLOs]:[SubPLOs]],"&lt;4")</f>
        <v>0</v>
      </c>
      <c r="EC36" s="138">
        <f>SUMIFS(tbl_task4[S128],tbl_task4[[SubPLOs]:[SubPLOs]],"&gt;=3",tbl_task4[[SubPLOs]:[SubPLOs]],"&lt;4")</f>
        <v>0</v>
      </c>
      <c r="ED36" s="138">
        <f>SUMIFS(tbl_task4[S129],tbl_task4[[SubPLOs]:[SubPLOs]],"&gt;=3",tbl_task4[[SubPLOs]:[SubPLOs]],"&lt;4")</f>
        <v>0</v>
      </c>
      <c r="EE36" s="138">
        <f>SUMIFS(tbl_task4[S130],tbl_task4[[SubPLOs]:[SubPLOs]],"&gt;=3",tbl_task4[[SubPLOs]:[SubPLOs]],"&lt;4")</f>
        <v>0</v>
      </c>
      <c r="EF36" s="138">
        <f>SUMIFS(tbl_task4[S131],tbl_task4[[SubPLOs]:[SubPLOs]],"&gt;=3",tbl_task4[[SubPLOs]:[SubPLOs]],"&lt;4")</f>
        <v>0</v>
      </c>
      <c r="EG36" s="138">
        <f>SUMIFS(tbl_task4[S132],tbl_task4[[SubPLOs]:[SubPLOs]],"&gt;=3",tbl_task4[[SubPLOs]:[SubPLOs]],"&lt;4")</f>
        <v>0</v>
      </c>
      <c r="EH36" s="138">
        <f>SUMIFS(tbl_task4[S133],tbl_task4[[SubPLOs]:[SubPLOs]],"&gt;=3",tbl_task4[[SubPLOs]:[SubPLOs]],"&lt;4")</f>
        <v>0</v>
      </c>
      <c r="EI36" s="138">
        <f>SUMIFS(tbl_task4[S134],tbl_task4[[SubPLOs]:[SubPLOs]],"&gt;=3",tbl_task4[[SubPLOs]:[SubPLOs]],"&lt;4")</f>
        <v>0</v>
      </c>
      <c r="EJ36" s="138">
        <f>SUMIFS(tbl_task4[S135],tbl_task4[[SubPLOs]:[SubPLOs]],"&gt;=3",tbl_task4[[SubPLOs]:[SubPLOs]],"&lt;4")</f>
        <v>0</v>
      </c>
      <c r="EK36" s="138">
        <f>SUMIFS(tbl_task4[S136],tbl_task4[[SubPLOs]:[SubPLOs]],"&gt;=3",tbl_task4[[SubPLOs]:[SubPLOs]],"&lt;4")</f>
        <v>0</v>
      </c>
      <c r="EL36" s="138">
        <f>SUMIFS(tbl_task4[S137],tbl_task4[[SubPLOs]:[SubPLOs]],"&gt;=3",tbl_task4[[SubPLOs]:[SubPLOs]],"&lt;4")</f>
        <v>0</v>
      </c>
      <c r="EM36" s="138">
        <f>SUMIFS(tbl_task4[S138],tbl_task4[[SubPLOs]:[SubPLOs]],"&gt;=3",tbl_task4[[SubPLOs]:[SubPLOs]],"&lt;4")</f>
        <v>0</v>
      </c>
      <c r="EN36" s="138">
        <f>SUMIFS(tbl_task4[S139],tbl_task4[[SubPLOs]:[SubPLOs]],"&gt;=3",tbl_task4[[SubPLOs]:[SubPLOs]],"&lt;4")</f>
        <v>0</v>
      </c>
      <c r="EO36" s="138">
        <f>SUMIFS(tbl_task4[S140],tbl_task4[[SubPLOs]:[SubPLOs]],"&gt;=3",tbl_task4[[SubPLOs]:[SubPLOs]],"&lt;4")</f>
        <v>0</v>
      </c>
      <c r="EP36" s="138">
        <f>SUMIFS(tbl_task4[S141],tbl_task4[[SubPLOs]:[SubPLOs]],"&gt;=3",tbl_task4[[SubPLOs]:[SubPLOs]],"&lt;4")</f>
        <v>0</v>
      </c>
      <c r="EQ36" s="138">
        <f>SUMIFS(tbl_task4[S142],tbl_task4[[SubPLOs]:[SubPLOs]],"&gt;=3",tbl_task4[[SubPLOs]:[SubPLOs]],"&lt;4")</f>
        <v>0</v>
      </c>
      <c r="ER36" s="138">
        <f>SUMIFS(tbl_task4[S143],tbl_task4[[SubPLOs]:[SubPLOs]],"&gt;=3",tbl_task4[[SubPLOs]:[SubPLOs]],"&lt;4")</f>
        <v>0</v>
      </c>
      <c r="ES36" s="138">
        <f>SUMIFS(tbl_task4[S144],tbl_task4[[SubPLOs]:[SubPLOs]],"&gt;=3",tbl_task4[[SubPLOs]:[SubPLOs]],"&lt;4")</f>
        <v>0</v>
      </c>
      <c r="ET36" s="138">
        <f>SUMIFS(tbl_task4[S145],tbl_task4[[SubPLOs]:[SubPLOs]],"&gt;=3",tbl_task4[[SubPLOs]:[SubPLOs]],"&lt;4")</f>
        <v>0</v>
      </c>
      <c r="EU36" s="138">
        <f>SUMIFS(tbl_task4[S146],tbl_task4[[SubPLOs]:[SubPLOs]],"&gt;=3",tbl_task4[[SubPLOs]:[SubPLOs]],"&lt;4")</f>
        <v>0</v>
      </c>
      <c r="EV36" s="138">
        <f>SUMIFS(tbl_task4[S147],tbl_task4[[SubPLOs]:[SubPLOs]],"&gt;=3",tbl_task4[[SubPLOs]:[SubPLOs]],"&lt;4")</f>
        <v>0</v>
      </c>
      <c r="EW36" s="138">
        <f>SUMIFS(tbl_task4[S148],tbl_task4[[SubPLOs]:[SubPLOs]],"&gt;=3",tbl_task4[[SubPLOs]:[SubPLOs]],"&lt;4")</f>
        <v>0</v>
      </c>
      <c r="EX36" s="138">
        <f>SUMIFS(tbl_task4[S149],tbl_task4[[SubPLOs]:[SubPLOs]],"&gt;=3",tbl_task4[[SubPLOs]:[SubPLOs]],"&lt;4")</f>
        <v>0</v>
      </c>
      <c r="EY36" s="138">
        <f>SUMIFS(tbl_task4[S150],tbl_task4[[SubPLOs]:[SubPLOs]],"&gt;=3",tbl_task4[[SubPLOs]:[SubPLOs]],"&lt;4")</f>
        <v>0</v>
      </c>
      <c r="EZ36" s="138">
        <f>SUMIFS(tbl_task4[S151],tbl_task4[[SubPLOs]:[SubPLOs]],"&gt;=3",tbl_task4[[SubPLOs]:[SubPLOs]],"&lt;4")</f>
        <v>0</v>
      </c>
      <c r="FA36" s="138">
        <f>SUMIFS(tbl_task4[S152],tbl_task4[[SubPLOs]:[SubPLOs]],"&gt;=3",tbl_task4[[SubPLOs]:[SubPLOs]],"&lt;4")</f>
        <v>0</v>
      </c>
      <c r="FB36" s="138">
        <f>SUMIFS(tbl_task4[S153],tbl_task4[[SubPLOs]:[SubPLOs]],"&gt;=3",tbl_task4[[SubPLOs]:[SubPLOs]],"&lt;4")</f>
        <v>0</v>
      </c>
      <c r="FC36" s="138">
        <f>SUMIFS(tbl_task4[S154],tbl_task4[[SubPLOs]:[SubPLOs]],"&gt;=3",tbl_task4[[SubPLOs]:[SubPLOs]],"&lt;4")</f>
        <v>0</v>
      </c>
      <c r="FD36" s="138">
        <f>SUMIFS(tbl_task4[S155],tbl_task4[[SubPLOs]:[SubPLOs]],"&gt;=3",tbl_task4[[SubPLOs]:[SubPLOs]],"&lt;4")</f>
        <v>0</v>
      </c>
      <c r="FE36" s="138">
        <f>SUMIFS(tbl_task4[S156],tbl_task4[[SubPLOs]:[SubPLOs]],"&gt;=3",tbl_task4[[SubPLOs]:[SubPLOs]],"&lt;4")</f>
        <v>0</v>
      </c>
      <c r="FF36" s="138">
        <f>SUMIFS(tbl_task4[S157],tbl_task4[[SubPLOs]:[SubPLOs]],"&gt;=3",tbl_task4[[SubPLOs]:[SubPLOs]],"&lt;4")</f>
        <v>0</v>
      </c>
      <c r="FG36" s="138">
        <f>SUMIFS(tbl_task4[S158],tbl_task4[[SubPLOs]:[SubPLOs]],"&gt;=3",tbl_task4[[SubPLOs]:[SubPLOs]],"&lt;4")</f>
        <v>0</v>
      </c>
      <c r="FH36" s="138">
        <f>SUMIFS(tbl_task4[S159],tbl_task4[[SubPLOs]:[SubPLOs]],"&gt;=3",tbl_task4[[SubPLOs]:[SubPLOs]],"&lt;4")</f>
        <v>0</v>
      </c>
      <c r="FI36" s="138">
        <f>SUMIFS(tbl_task4[S160],tbl_task4[[SubPLOs]:[SubPLOs]],"&gt;=3",tbl_task4[[SubPLOs]:[SubPLOs]],"&lt;4")</f>
        <v>0</v>
      </c>
      <c r="FJ36" s="138">
        <f>SUMIFS(tbl_task4[S161],tbl_task4[[SubPLOs]:[SubPLOs]],"&gt;=3",tbl_task4[[SubPLOs]:[SubPLOs]],"&lt;4")</f>
        <v>0</v>
      </c>
      <c r="FK36" s="138">
        <f>SUMIFS(tbl_task4[S162],tbl_task4[[SubPLOs]:[SubPLOs]],"&gt;=3",tbl_task4[[SubPLOs]:[SubPLOs]],"&lt;4")</f>
        <v>0</v>
      </c>
      <c r="FL36" s="138">
        <f>SUMIFS(tbl_task4[S163],tbl_task4[[SubPLOs]:[SubPLOs]],"&gt;=3",tbl_task4[[SubPLOs]:[SubPLOs]],"&lt;4")</f>
        <v>0</v>
      </c>
      <c r="FM36" s="138">
        <f>SUMIFS(tbl_task4[S164],tbl_task4[[SubPLOs]:[SubPLOs]],"&gt;=3",tbl_task4[[SubPLOs]:[SubPLOs]],"&lt;4")</f>
        <v>0</v>
      </c>
      <c r="FN36" s="138">
        <f>SUMIFS(tbl_task4[S165],tbl_task4[[SubPLOs]:[SubPLOs]],"&gt;=3",tbl_task4[[SubPLOs]:[SubPLOs]],"&lt;4")</f>
        <v>0</v>
      </c>
    </row>
    <row r="37" spans="1:170" ht="63" x14ac:dyDescent="0.25">
      <c r="A37" s="135">
        <v>4</v>
      </c>
      <c r="B37" s="5" t="s">
        <v>437</v>
      </c>
      <c r="C37" s="136">
        <f>COUNTIFS(tbl_task4[SubPLOs],"&gt;=4",tbl_task4[SubPLOs],"&lt;5")</f>
        <v>0</v>
      </c>
      <c r="D37" s="136">
        <f>SUMIFS(tbl_task4[คะแนนเต็ม],tbl_task4[SubPLOs],"&gt;=4",tbl_task4[SubPLOs],"&lt;5")</f>
        <v>0</v>
      </c>
      <c r="E37" s="137">
        <f>SUMIFS(tbl_task4[%],tbl_task4[SubPLOs],"&gt;=4",tbl_task4[SubPLOs],"&lt;5")</f>
        <v>0</v>
      </c>
      <c r="F37" s="138">
        <f>SUMIFS(tbl_task4[S1],tbl_task4[[SubPLOs]:[SubPLOs]],"&gt;=4",tbl_task4[[SubPLOs]:[SubPLOs]],"&lt;5")</f>
        <v>0</v>
      </c>
      <c r="G37" s="138">
        <f>SUMIFS(tbl_task4[S2],tbl_task4[[SubPLOs]:[SubPLOs]],"&gt;=4",tbl_task4[[SubPLOs]:[SubPLOs]],"&lt;5")</f>
        <v>0</v>
      </c>
      <c r="H37" s="138">
        <f>SUMIFS(tbl_task4[S3],tbl_task4[[SubPLOs]:[SubPLOs]],"&gt;=4",tbl_task4[[SubPLOs]:[SubPLOs]],"&lt;5")</f>
        <v>0</v>
      </c>
      <c r="I37" s="138">
        <f>SUMIFS(tbl_task4[S4],tbl_task4[[SubPLOs]:[SubPLOs]],"&gt;=4",tbl_task4[[SubPLOs]:[SubPLOs]],"&lt;5")</f>
        <v>0</v>
      </c>
      <c r="J37" s="138">
        <f>SUMIFS(tbl_task4[S5],tbl_task4[[SubPLOs]:[SubPLOs]],"&gt;=4",tbl_task4[[SubPLOs]:[SubPLOs]],"&lt;5")</f>
        <v>0</v>
      </c>
      <c r="K37" s="138">
        <f>SUMIFS(tbl_task4[S6],tbl_task4[[SubPLOs]:[SubPLOs]],"&gt;=4",tbl_task4[[SubPLOs]:[SubPLOs]],"&lt;5")</f>
        <v>0</v>
      </c>
      <c r="L37" s="138">
        <f>SUMIFS(tbl_task4[S7],tbl_task4[[SubPLOs]:[SubPLOs]],"&gt;=4",tbl_task4[[SubPLOs]:[SubPLOs]],"&lt;5")</f>
        <v>0</v>
      </c>
      <c r="M37" s="138">
        <f>SUMIFS(tbl_task4[S8],tbl_task4[[SubPLOs]:[SubPLOs]],"&gt;=4",tbl_task4[[SubPLOs]:[SubPLOs]],"&lt;5")</f>
        <v>0</v>
      </c>
      <c r="N37" s="138">
        <f>SUMIFS(tbl_task4[S9],tbl_task4[[SubPLOs]:[SubPLOs]],"&gt;=4",tbl_task4[[SubPLOs]:[SubPLOs]],"&lt;5")</f>
        <v>0</v>
      </c>
      <c r="O37" s="138">
        <f>SUMIFS(tbl_task4[S10],tbl_task4[[SubPLOs]:[SubPLOs]],"&gt;=4",tbl_task4[[SubPLOs]:[SubPLOs]],"&lt;5")</f>
        <v>0</v>
      </c>
      <c r="P37" s="138">
        <f>SUMIFS(tbl_task4[S11],tbl_task4[[SubPLOs]:[SubPLOs]],"&gt;=4",tbl_task4[[SubPLOs]:[SubPLOs]],"&lt;5")</f>
        <v>0</v>
      </c>
      <c r="Q37" s="138">
        <f>SUMIFS(tbl_task4[S12],tbl_task4[[SubPLOs]:[SubPLOs]],"&gt;=4",tbl_task4[[SubPLOs]:[SubPLOs]],"&lt;5")</f>
        <v>0</v>
      </c>
      <c r="R37" s="138">
        <f>SUMIFS(tbl_task4[S13],tbl_task4[[SubPLOs]:[SubPLOs]],"&gt;=4",tbl_task4[[SubPLOs]:[SubPLOs]],"&lt;5")</f>
        <v>0</v>
      </c>
      <c r="S37" s="138">
        <f>SUMIFS(tbl_task4[S14],tbl_task4[[SubPLOs]:[SubPLOs]],"&gt;=4",tbl_task4[[SubPLOs]:[SubPLOs]],"&lt;5")</f>
        <v>0</v>
      </c>
      <c r="T37" s="138">
        <f>SUMIFS(tbl_task4[S15],tbl_task4[[SubPLOs]:[SubPLOs]],"&gt;=4",tbl_task4[[SubPLOs]:[SubPLOs]],"&lt;5")</f>
        <v>0</v>
      </c>
      <c r="U37" s="138">
        <f>SUMIFS(tbl_task4[S16],tbl_task4[[SubPLOs]:[SubPLOs]],"&gt;=4",tbl_task4[[SubPLOs]:[SubPLOs]],"&lt;5")</f>
        <v>0</v>
      </c>
      <c r="V37" s="138">
        <f>SUMIFS(tbl_task4[S17],tbl_task4[[SubPLOs]:[SubPLOs]],"&gt;=4",tbl_task4[[SubPLOs]:[SubPLOs]],"&lt;5")</f>
        <v>0</v>
      </c>
      <c r="W37" s="138">
        <f>SUMIFS(tbl_task4[S18],tbl_task4[[SubPLOs]:[SubPLOs]],"&gt;=4",tbl_task4[[SubPLOs]:[SubPLOs]],"&lt;5")</f>
        <v>0</v>
      </c>
      <c r="X37" s="138">
        <f>SUMIFS(tbl_task4[S19],tbl_task4[[SubPLOs]:[SubPLOs]],"&gt;=4",tbl_task4[[SubPLOs]:[SubPLOs]],"&lt;5")</f>
        <v>0</v>
      </c>
      <c r="Y37" s="138">
        <f>SUMIFS(tbl_task4[S20],tbl_task4[[SubPLOs]:[SubPLOs]],"&gt;=4",tbl_task4[[SubPLOs]:[SubPLOs]],"&lt;5")</f>
        <v>0</v>
      </c>
      <c r="Z37" s="138">
        <f>SUMIFS(tbl_task4[S21],tbl_task4[[SubPLOs]:[SubPLOs]],"&gt;=4",tbl_task4[[SubPLOs]:[SubPLOs]],"&lt;5")</f>
        <v>0</v>
      </c>
      <c r="AA37" s="138">
        <f>SUMIFS(tbl_task4[S22],tbl_task4[[SubPLOs]:[SubPLOs]],"&gt;=4",tbl_task4[[SubPLOs]:[SubPLOs]],"&lt;5")</f>
        <v>0</v>
      </c>
      <c r="AB37" s="138">
        <f>SUMIFS(tbl_task4[S23],tbl_task4[[SubPLOs]:[SubPLOs]],"&gt;=4",tbl_task4[[SubPLOs]:[SubPLOs]],"&lt;5")</f>
        <v>0</v>
      </c>
      <c r="AC37" s="138">
        <f>SUMIFS(tbl_task4[S24],tbl_task4[[SubPLOs]:[SubPLOs]],"&gt;=4",tbl_task4[[SubPLOs]:[SubPLOs]],"&lt;5")</f>
        <v>0</v>
      </c>
      <c r="AD37" s="138">
        <f>SUMIFS(tbl_task4[S25],tbl_task4[[SubPLOs]:[SubPLOs]],"&gt;=4",tbl_task4[[SubPLOs]:[SubPLOs]],"&lt;5")</f>
        <v>0</v>
      </c>
      <c r="AE37" s="138">
        <f>SUMIFS(tbl_task4[S26],tbl_task4[[SubPLOs]:[SubPLOs]],"&gt;=4",tbl_task4[[SubPLOs]:[SubPLOs]],"&lt;5")</f>
        <v>0</v>
      </c>
      <c r="AF37" s="138">
        <f>SUMIFS(tbl_task4[S27],tbl_task4[[SubPLOs]:[SubPLOs]],"&gt;=4",tbl_task4[[SubPLOs]:[SubPLOs]],"&lt;5")</f>
        <v>0</v>
      </c>
      <c r="AG37" s="138">
        <f>SUMIFS(tbl_task4[S28],tbl_task4[[SubPLOs]:[SubPLOs]],"&gt;=4",tbl_task4[[SubPLOs]:[SubPLOs]],"&lt;5")</f>
        <v>0</v>
      </c>
      <c r="AH37" s="138">
        <f>SUMIFS(tbl_task4[S29],tbl_task4[[SubPLOs]:[SubPLOs]],"&gt;=4",tbl_task4[[SubPLOs]:[SubPLOs]],"&lt;5")</f>
        <v>0</v>
      </c>
      <c r="AI37" s="138">
        <f>SUMIFS(tbl_task4[S30],tbl_task4[[SubPLOs]:[SubPLOs]],"&gt;=4",tbl_task4[[SubPLOs]:[SubPLOs]],"&lt;5")</f>
        <v>0</v>
      </c>
      <c r="AJ37" s="138">
        <f>SUMIFS(tbl_task4[S31],tbl_task4[[SubPLOs]:[SubPLOs]],"&gt;=4",tbl_task4[[SubPLOs]:[SubPLOs]],"&lt;5")</f>
        <v>0</v>
      </c>
      <c r="AK37" s="138">
        <f>SUMIFS(tbl_task4[S32],tbl_task4[[SubPLOs]:[SubPLOs]],"&gt;=4",tbl_task4[[SubPLOs]:[SubPLOs]],"&lt;5")</f>
        <v>0</v>
      </c>
      <c r="AL37" s="138">
        <f>SUMIFS(tbl_task4[S33],tbl_task4[[SubPLOs]:[SubPLOs]],"&gt;=4",tbl_task4[[SubPLOs]:[SubPLOs]],"&lt;5")</f>
        <v>0</v>
      </c>
      <c r="AM37" s="138">
        <f>SUMIFS(tbl_task4[S34],tbl_task4[[SubPLOs]:[SubPLOs]],"&gt;=4",tbl_task4[[SubPLOs]:[SubPLOs]],"&lt;5")</f>
        <v>0</v>
      </c>
      <c r="AN37" s="138">
        <f>SUMIFS(tbl_task4[S35],tbl_task4[[SubPLOs]:[SubPLOs]],"&gt;=4",tbl_task4[[SubPLOs]:[SubPLOs]],"&lt;5")</f>
        <v>0</v>
      </c>
      <c r="AO37" s="138">
        <f>SUMIFS(tbl_task4[S36],tbl_task4[[SubPLOs]:[SubPLOs]],"&gt;=4",tbl_task4[[SubPLOs]:[SubPLOs]],"&lt;5")</f>
        <v>0</v>
      </c>
      <c r="AP37" s="138">
        <f>SUMIFS(tbl_task4[S37],tbl_task4[[SubPLOs]:[SubPLOs]],"&gt;=4",tbl_task4[[SubPLOs]:[SubPLOs]],"&lt;5")</f>
        <v>0</v>
      </c>
      <c r="AQ37" s="138">
        <f>SUMIFS(tbl_task4[S38],tbl_task4[[SubPLOs]:[SubPLOs]],"&gt;=4",tbl_task4[[SubPLOs]:[SubPLOs]],"&lt;5")</f>
        <v>0</v>
      </c>
      <c r="AR37" s="138">
        <f>SUMIFS(tbl_task4[S39],tbl_task4[[SubPLOs]:[SubPLOs]],"&gt;=4",tbl_task4[[SubPLOs]:[SubPLOs]],"&lt;5")</f>
        <v>0</v>
      </c>
      <c r="AS37" s="138">
        <f>SUMIFS(tbl_task4[S40],tbl_task4[[SubPLOs]:[SubPLOs]],"&gt;=4",tbl_task4[[SubPLOs]:[SubPLOs]],"&lt;5")</f>
        <v>0</v>
      </c>
      <c r="AT37" s="138">
        <f>SUMIFS(tbl_task4[S41],tbl_task4[[SubPLOs]:[SubPLOs]],"&gt;=4",tbl_task4[[SubPLOs]:[SubPLOs]],"&lt;5")</f>
        <v>0</v>
      </c>
      <c r="AU37" s="138">
        <f>SUMIFS(tbl_task4[S42],tbl_task4[[SubPLOs]:[SubPLOs]],"&gt;=4",tbl_task4[[SubPLOs]:[SubPLOs]],"&lt;5")</f>
        <v>0</v>
      </c>
      <c r="AV37" s="138">
        <f>SUMIFS(tbl_task4[S43],tbl_task4[[SubPLOs]:[SubPLOs]],"&gt;=4",tbl_task4[[SubPLOs]:[SubPLOs]],"&lt;5")</f>
        <v>0</v>
      </c>
      <c r="AW37" s="138">
        <f>SUMIFS(tbl_task4[S44],tbl_task4[[SubPLOs]:[SubPLOs]],"&gt;=4",tbl_task4[[SubPLOs]:[SubPLOs]],"&lt;5")</f>
        <v>0</v>
      </c>
      <c r="AX37" s="138">
        <f>SUMIFS(tbl_task4[S45],tbl_task4[[SubPLOs]:[SubPLOs]],"&gt;=4",tbl_task4[[SubPLOs]:[SubPLOs]],"&lt;5")</f>
        <v>0</v>
      </c>
      <c r="AY37" s="138">
        <f>SUMIFS(tbl_task4[S46],tbl_task4[[SubPLOs]:[SubPLOs]],"&gt;=4",tbl_task4[[SubPLOs]:[SubPLOs]],"&lt;5")</f>
        <v>0</v>
      </c>
      <c r="AZ37" s="138">
        <f>SUMIFS(tbl_task4[S47],tbl_task4[[SubPLOs]:[SubPLOs]],"&gt;=4",tbl_task4[[SubPLOs]:[SubPLOs]],"&lt;5")</f>
        <v>0</v>
      </c>
      <c r="BA37" s="138">
        <f>SUMIFS(tbl_task4[S48],tbl_task4[[SubPLOs]:[SubPLOs]],"&gt;=4",tbl_task4[[SubPLOs]:[SubPLOs]],"&lt;5")</f>
        <v>0</v>
      </c>
      <c r="BB37" s="138">
        <f>SUMIFS(tbl_task4[S49],tbl_task4[[SubPLOs]:[SubPLOs]],"&gt;=4",tbl_task4[[SubPLOs]:[SubPLOs]],"&lt;5")</f>
        <v>0</v>
      </c>
      <c r="BC37" s="138">
        <f>SUMIFS(tbl_task4[S50],tbl_task4[[SubPLOs]:[SubPLOs]],"&gt;=4",tbl_task4[[SubPLOs]:[SubPLOs]],"&lt;5")</f>
        <v>0</v>
      </c>
      <c r="BD37" s="138">
        <f>SUMIFS(tbl_task4[S51],tbl_task4[[SubPLOs]:[SubPLOs]],"&gt;=4",tbl_task4[[SubPLOs]:[SubPLOs]],"&lt;5")</f>
        <v>0</v>
      </c>
      <c r="BE37" s="138">
        <f>SUMIFS(tbl_task4[S52],tbl_task4[[SubPLOs]:[SubPLOs]],"&gt;=4",tbl_task4[[SubPLOs]:[SubPLOs]],"&lt;5")</f>
        <v>0</v>
      </c>
      <c r="BF37" s="138">
        <f>SUMIFS(tbl_task4[S53],tbl_task4[[SubPLOs]:[SubPLOs]],"&gt;=4",tbl_task4[[SubPLOs]:[SubPLOs]],"&lt;5")</f>
        <v>0</v>
      </c>
      <c r="BG37" s="138">
        <f>SUMIFS(tbl_task4[S54],tbl_task4[[SubPLOs]:[SubPLOs]],"&gt;=4",tbl_task4[[SubPLOs]:[SubPLOs]],"&lt;5")</f>
        <v>0</v>
      </c>
      <c r="BH37" s="138">
        <f>SUMIFS(tbl_task4[S55],tbl_task4[[SubPLOs]:[SubPLOs]],"&gt;=4",tbl_task4[[SubPLOs]:[SubPLOs]],"&lt;5")</f>
        <v>0</v>
      </c>
      <c r="BI37" s="138">
        <f>SUMIFS(tbl_task4[S56],tbl_task4[[SubPLOs]:[SubPLOs]],"&gt;=4",tbl_task4[[SubPLOs]:[SubPLOs]],"&lt;5")</f>
        <v>0</v>
      </c>
      <c r="BJ37" s="138">
        <f>SUMIFS(tbl_task4[S57],tbl_task4[[SubPLOs]:[SubPLOs]],"&gt;=4",tbl_task4[[SubPLOs]:[SubPLOs]],"&lt;5")</f>
        <v>0</v>
      </c>
      <c r="BK37" s="138">
        <f>SUMIFS(tbl_task4[S58],tbl_task4[[SubPLOs]:[SubPLOs]],"&gt;=4",tbl_task4[[SubPLOs]:[SubPLOs]],"&lt;5")</f>
        <v>0</v>
      </c>
      <c r="BL37" s="138">
        <f>SUMIFS(tbl_task4[S59],tbl_task4[[SubPLOs]:[SubPLOs]],"&gt;=4",tbl_task4[[SubPLOs]:[SubPLOs]],"&lt;5")</f>
        <v>0</v>
      </c>
      <c r="BM37" s="138">
        <f>SUMIFS(tbl_task4[S60],tbl_task4[[SubPLOs]:[SubPLOs]],"&gt;=4",tbl_task4[[SubPLOs]:[SubPLOs]],"&lt;5")</f>
        <v>0</v>
      </c>
      <c r="BN37" s="138">
        <f>SUMIFS(tbl_task4[S61],tbl_task4[[SubPLOs]:[SubPLOs]],"&gt;=4",tbl_task4[[SubPLOs]:[SubPLOs]],"&lt;5")</f>
        <v>0</v>
      </c>
      <c r="BO37" s="138">
        <f>SUMIFS(tbl_task4[S62],tbl_task4[[SubPLOs]:[SubPLOs]],"&gt;=4",tbl_task4[[SubPLOs]:[SubPLOs]],"&lt;5")</f>
        <v>0</v>
      </c>
      <c r="BP37" s="138">
        <f>SUMIFS(tbl_task4[S63],tbl_task4[[SubPLOs]:[SubPLOs]],"&gt;=4",tbl_task4[[SubPLOs]:[SubPLOs]],"&lt;5")</f>
        <v>0</v>
      </c>
      <c r="BQ37" s="138">
        <f>SUMIFS(tbl_task4[S64],tbl_task4[[SubPLOs]:[SubPLOs]],"&gt;=4",tbl_task4[[SubPLOs]:[SubPLOs]],"&lt;5")</f>
        <v>0</v>
      </c>
      <c r="BR37" s="138">
        <f>SUMIFS(tbl_task4[S65],tbl_task4[[SubPLOs]:[SubPLOs]],"&gt;=4",tbl_task4[[SubPLOs]:[SubPLOs]],"&lt;5")</f>
        <v>0</v>
      </c>
      <c r="BS37" s="138">
        <f>SUMIFS(tbl_task4[S66],tbl_task4[[SubPLOs]:[SubPLOs]],"&gt;=4",tbl_task4[[SubPLOs]:[SubPLOs]],"&lt;5")</f>
        <v>0</v>
      </c>
      <c r="BT37" s="138">
        <f>SUMIFS(tbl_task4[S67],tbl_task4[[SubPLOs]:[SubPLOs]],"&gt;=4",tbl_task4[[SubPLOs]:[SubPLOs]],"&lt;5")</f>
        <v>0</v>
      </c>
      <c r="BU37" s="138">
        <f>SUMIFS(tbl_task4[S68],tbl_task4[[SubPLOs]:[SubPLOs]],"&gt;=4",tbl_task4[[SubPLOs]:[SubPLOs]],"&lt;5")</f>
        <v>0</v>
      </c>
      <c r="BV37" s="138">
        <f>SUMIFS(tbl_task4[S69],tbl_task4[[SubPLOs]:[SubPLOs]],"&gt;=4",tbl_task4[[SubPLOs]:[SubPLOs]],"&lt;5")</f>
        <v>0</v>
      </c>
      <c r="BW37" s="138">
        <f>SUMIFS(tbl_task4[S70],tbl_task4[[SubPLOs]:[SubPLOs]],"&gt;=4",tbl_task4[[SubPLOs]:[SubPLOs]],"&lt;5")</f>
        <v>0</v>
      </c>
      <c r="BX37" s="138">
        <f>SUMIFS(tbl_task4[S71],tbl_task4[[SubPLOs]:[SubPLOs]],"&gt;=4",tbl_task4[[SubPLOs]:[SubPLOs]],"&lt;5")</f>
        <v>0</v>
      </c>
      <c r="BY37" s="138">
        <f>SUMIFS(tbl_task4[S72],tbl_task4[[SubPLOs]:[SubPLOs]],"&gt;=4",tbl_task4[[SubPLOs]:[SubPLOs]],"&lt;5")</f>
        <v>0</v>
      </c>
      <c r="BZ37" s="138">
        <f>SUMIFS(tbl_task4[S73],tbl_task4[[SubPLOs]:[SubPLOs]],"&gt;=4",tbl_task4[[SubPLOs]:[SubPLOs]],"&lt;5")</f>
        <v>0</v>
      </c>
      <c r="CA37" s="138">
        <f>SUMIFS(tbl_task4[S74],tbl_task4[[SubPLOs]:[SubPLOs]],"&gt;=4",tbl_task4[[SubPLOs]:[SubPLOs]],"&lt;5")</f>
        <v>0</v>
      </c>
      <c r="CB37" s="138">
        <f>SUMIFS(tbl_task4[S75],tbl_task4[[SubPLOs]:[SubPLOs]],"&gt;=4",tbl_task4[[SubPLOs]:[SubPLOs]],"&lt;5")</f>
        <v>0</v>
      </c>
      <c r="CC37" s="138">
        <f>SUMIFS(tbl_task4[S76],tbl_task4[[SubPLOs]:[SubPLOs]],"&gt;=4",tbl_task4[[SubPLOs]:[SubPLOs]],"&lt;5")</f>
        <v>0</v>
      </c>
      <c r="CD37" s="138">
        <f>SUMIFS(tbl_task4[S77],tbl_task4[[SubPLOs]:[SubPLOs]],"&gt;=4",tbl_task4[[SubPLOs]:[SubPLOs]],"&lt;5")</f>
        <v>0</v>
      </c>
      <c r="CE37" s="138">
        <f>SUMIFS(tbl_task4[S78],tbl_task4[[SubPLOs]:[SubPLOs]],"&gt;=4",tbl_task4[[SubPLOs]:[SubPLOs]],"&lt;5")</f>
        <v>0</v>
      </c>
      <c r="CF37" s="138">
        <f>SUMIFS(tbl_task4[S79],tbl_task4[[SubPLOs]:[SubPLOs]],"&gt;=4",tbl_task4[[SubPLOs]:[SubPLOs]],"&lt;5")</f>
        <v>0</v>
      </c>
      <c r="CG37" s="138">
        <f>SUMIFS(tbl_task4[S80],tbl_task4[[SubPLOs]:[SubPLOs]],"&gt;=4",tbl_task4[[SubPLOs]:[SubPLOs]],"&lt;5")</f>
        <v>0</v>
      </c>
      <c r="CH37" s="138">
        <f>SUMIFS(tbl_task4[S81],tbl_task4[[SubPLOs]:[SubPLOs]],"&gt;=4",tbl_task4[[SubPLOs]:[SubPLOs]],"&lt;5")</f>
        <v>0</v>
      </c>
      <c r="CI37" s="138">
        <f>SUMIFS(tbl_task4[S82],tbl_task4[[SubPLOs]:[SubPLOs]],"&gt;=4",tbl_task4[[SubPLOs]:[SubPLOs]],"&lt;5")</f>
        <v>0</v>
      </c>
      <c r="CJ37" s="138">
        <f>SUMIFS(tbl_task4[S83],tbl_task4[[SubPLOs]:[SubPLOs]],"&gt;=4",tbl_task4[[SubPLOs]:[SubPLOs]],"&lt;5")</f>
        <v>0</v>
      </c>
      <c r="CK37" s="138">
        <f>SUMIFS(tbl_task4[S84],tbl_task4[[SubPLOs]:[SubPLOs]],"&gt;=4",tbl_task4[[SubPLOs]:[SubPLOs]],"&lt;5")</f>
        <v>0</v>
      </c>
      <c r="CL37" s="138">
        <f>SUMIFS(tbl_task4[S85],tbl_task4[[SubPLOs]:[SubPLOs]],"&gt;=4",tbl_task4[[SubPLOs]:[SubPLOs]],"&lt;5")</f>
        <v>0</v>
      </c>
      <c r="CM37" s="138">
        <f>SUMIFS(tbl_task4[S86],tbl_task4[[SubPLOs]:[SubPLOs]],"&gt;=4",tbl_task4[[SubPLOs]:[SubPLOs]],"&lt;5")</f>
        <v>0</v>
      </c>
      <c r="CN37" s="138">
        <f>SUMIFS(tbl_task4[S87],tbl_task4[[SubPLOs]:[SubPLOs]],"&gt;=4",tbl_task4[[SubPLOs]:[SubPLOs]],"&lt;5")</f>
        <v>0</v>
      </c>
      <c r="CO37" s="138">
        <f>SUMIFS(tbl_task4[S88],tbl_task4[[SubPLOs]:[SubPLOs]],"&gt;=4",tbl_task4[[SubPLOs]:[SubPLOs]],"&lt;5")</f>
        <v>0</v>
      </c>
      <c r="CP37" s="138">
        <f>SUMIFS(tbl_task4[S89],tbl_task4[[SubPLOs]:[SubPLOs]],"&gt;=4",tbl_task4[[SubPLOs]:[SubPLOs]],"&lt;5")</f>
        <v>0</v>
      </c>
      <c r="CQ37" s="138">
        <f>SUMIFS(tbl_task4[S90],tbl_task4[[SubPLOs]:[SubPLOs]],"&gt;=4",tbl_task4[[SubPLOs]:[SubPLOs]],"&lt;5")</f>
        <v>0</v>
      </c>
      <c r="CR37" s="138">
        <f>SUMIFS(tbl_task4[S91],tbl_task4[[SubPLOs]:[SubPLOs]],"&gt;=4",tbl_task4[[SubPLOs]:[SubPLOs]],"&lt;5")</f>
        <v>0</v>
      </c>
      <c r="CS37" s="138">
        <f>SUMIFS(tbl_task4[S92],tbl_task4[[SubPLOs]:[SubPLOs]],"&gt;=4",tbl_task4[[SubPLOs]:[SubPLOs]],"&lt;5")</f>
        <v>0</v>
      </c>
      <c r="CT37" s="138">
        <f>SUMIFS(tbl_task4[S93],tbl_task4[[SubPLOs]:[SubPLOs]],"&gt;=4",tbl_task4[[SubPLOs]:[SubPLOs]],"&lt;5")</f>
        <v>0</v>
      </c>
      <c r="CU37" s="138">
        <f>SUMIFS(tbl_task4[S94],tbl_task4[[SubPLOs]:[SubPLOs]],"&gt;=4",tbl_task4[[SubPLOs]:[SubPLOs]],"&lt;5")</f>
        <v>0</v>
      </c>
      <c r="CV37" s="138">
        <f>SUMIFS(tbl_task4[S95],tbl_task4[[SubPLOs]:[SubPLOs]],"&gt;=4",tbl_task4[[SubPLOs]:[SubPLOs]],"&lt;5")</f>
        <v>0</v>
      </c>
      <c r="CW37" s="138">
        <f>SUMIFS(tbl_task4[S96],tbl_task4[[SubPLOs]:[SubPLOs]],"&gt;=4",tbl_task4[[SubPLOs]:[SubPLOs]],"&lt;5")</f>
        <v>0</v>
      </c>
      <c r="CX37" s="138">
        <f>SUMIFS(tbl_task4[S97],tbl_task4[[SubPLOs]:[SubPLOs]],"&gt;=4",tbl_task4[[SubPLOs]:[SubPLOs]],"&lt;5")</f>
        <v>0</v>
      </c>
      <c r="CY37" s="138">
        <f>SUMIFS(tbl_task4[S98],tbl_task4[[SubPLOs]:[SubPLOs]],"&gt;=4",tbl_task4[[SubPLOs]:[SubPLOs]],"&lt;5")</f>
        <v>0</v>
      </c>
      <c r="CZ37" s="138">
        <f>SUMIFS(tbl_task4[S99],tbl_task4[[SubPLOs]:[SubPLOs]],"&gt;=4",tbl_task4[[SubPLOs]:[SubPLOs]],"&lt;5")</f>
        <v>0</v>
      </c>
      <c r="DA37" s="138">
        <f>SUMIFS(tbl_task4[S100],tbl_task4[[SubPLOs]:[SubPLOs]],"&gt;=4",tbl_task4[[SubPLOs]:[SubPLOs]],"&lt;5")</f>
        <v>0</v>
      </c>
      <c r="DB37" s="138">
        <f>SUMIFS(tbl_task4[S101],tbl_task4[[SubPLOs]:[SubPLOs]],"&gt;=4",tbl_task4[[SubPLOs]:[SubPLOs]],"&lt;5")</f>
        <v>0</v>
      </c>
      <c r="DC37" s="138">
        <f>SUMIFS(tbl_task4[S102],tbl_task4[[SubPLOs]:[SubPLOs]],"&gt;=4",tbl_task4[[SubPLOs]:[SubPLOs]],"&lt;5")</f>
        <v>0</v>
      </c>
      <c r="DD37" s="138">
        <f>SUMIFS(tbl_task4[S103],tbl_task4[[SubPLOs]:[SubPLOs]],"&gt;=4",tbl_task4[[SubPLOs]:[SubPLOs]],"&lt;5")</f>
        <v>0</v>
      </c>
      <c r="DE37" s="138">
        <f>SUMIFS(tbl_task4[S104],tbl_task4[[SubPLOs]:[SubPLOs]],"&gt;=4",tbl_task4[[SubPLOs]:[SubPLOs]],"&lt;5")</f>
        <v>0</v>
      </c>
      <c r="DF37" s="138">
        <f>SUMIFS(tbl_task4[S105],tbl_task4[[SubPLOs]:[SubPLOs]],"&gt;=4",tbl_task4[[SubPLOs]:[SubPLOs]],"&lt;5")</f>
        <v>0</v>
      </c>
      <c r="DG37" s="138">
        <f>SUMIFS(tbl_task4[S106],tbl_task4[[SubPLOs]:[SubPLOs]],"&gt;=4",tbl_task4[[SubPLOs]:[SubPLOs]],"&lt;5")</f>
        <v>0</v>
      </c>
      <c r="DH37" s="138">
        <f>SUMIFS(tbl_task4[S106],tbl_task4[[SubPLOs]:[SubPLOs]],"&gt;=4",tbl_task4[[SubPLOs]:[SubPLOs]],"&lt;5")</f>
        <v>0</v>
      </c>
      <c r="DI37" s="138">
        <f>SUMIFS(tbl_task4[S108],tbl_task4[[SubPLOs]:[SubPLOs]],"&gt;=4",tbl_task4[[SubPLOs]:[SubPLOs]],"&lt;5")</f>
        <v>0</v>
      </c>
      <c r="DJ37" s="138">
        <f>SUMIFS(tbl_task4[S109],tbl_task4[[SubPLOs]:[SubPLOs]],"&gt;=4",tbl_task4[[SubPLOs]:[SubPLOs]],"&lt;5")</f>
        <v>0</v>
      </c>
      <c r="DK37" s="138">
        <f>SUMIFS(tbl_task4[S110],tbl_task4[[SubPLOs]:[SubPLOs]],"&gt;=4",tbl_task4[[SubPLOs]:[SubPLOs]],"&lt;5")</f>
        <v>0</v>
      </c>
      <c r="DL37" s="138">
        <f>SUMIFS(tbl_task4[S111],tbl_task4[[SubPLOs]:[SubPLOs]],"&gt;=4",tbl_task4[[SubPLOs]:[SubPLOs]],"&lt;5")</f>
        <v>0</v>
      </c>
      <c r="DM37" s="138">
        <f>SUMIFS(tbl_task4[S112],tbl_task4[[SubPLOs]:[SubPLOs]],"&gt;=4",tbl_task4[[SubPLOs]:[SubPLOs]],"&lt;5")</f>
        <v>0</v>
      </c>
      <c r="DN37" s="138">
        <f>SUMIFS(tbl_task4[S113],tbl_task4[[SubPLOs]:[SubPLOs]],"&gt;=4",tbl_task4[[SubPLOs]:[SubPLOs]],"&lt;5")</f>
        <v>0</v>
      </c>
      <c r="DO37" s="138">
        <f>SUMIFS(tbl_task4[S114],tbl_task4[[SubPLOs]:[SubPLOs]],"&gt;=4",tbl_task4[[SubPLOs]:[SubPLOs]],"&lt;5")</f>
        <v>0</v>
      </c>
      <c r="DP37" s="138">
        <f>SUMIFS(tbl_task4[S115],tbl_task4[[SubPLOs]:[SubPLOs]],"&gt;=4",tbl_task4[[SubPLOs]:[SubPLOs]],"&lt;5")</f>
        <v>0</v>
      </c>
      <c r="DQ37" s="138">
        <f>SUMIFS(tbl_task4[S116],tbl_task4[[SubPLOs]:[SubPLOs]],"&gt;=4",tbl_task4[[SubPLOs]:[SubPLOs]],"&lt;5")</f>
        <v>0</v>
      </c>
      <c r="DR37" s="138">
        <f>SUMIFS(tbl_task4[S117],tbl_task4[[SubPLOs]:[SubPLOs]],"&gt;=4",tbl_task4[[SubPLOs]:[SubPLOs]],"&lt;5")</f>
        <v>0</v>
      </c>
      <c r="DS37" s="138">
        <f>SUMIFS(tbl_task4[S118],tbl_task4[[SubPLOs]:[SubPLOs]],"&gt;=4",tbl_task4[[SubPLOs]:[SubPLOs]],"&lt;5")</f>
        <v>0</v>
      </c>
      <c r="DT37" s="138">
        <f>SUMIFS(tbl_task4[S119],tbl_task4[[SubPLOs]:[SubPLOs]],"&gt;=4",tbl_task4[[SubPLOs]:[SubPLOs]],"&lt;5")</f>
        <v>0</v>
      </c>
      <c r="DU37" s="138">
        <f>SUMIFS(tbl_task4[S120],tbl_task4[[SubPLOs]:[SubPLOs]],"&gt;=4",tbl_task4[[SubPLOs]:[SubPLOs]],"&lt;5")</f>
        <v>0</v>
      </c>
      <c r="DV37" s="138">
        <f>SUMIFS(tbl_task4[S121],tbl_task4[[SubPLOs]:[SubPLOs]],"&gt;=4",tbl_task4[[SubPLOs]:[SubPLOs]],"&lt;5")</f>
        <v>0</v>
      </c>
      <c r="DW37" s="138">
        <f>SUMIFS(tbl_task4[S122],tbl_task4[[SubPLOs]:[SubPLOs]],"&gt;=4",tbl_task4[[SubPLOs]:[SubPLOs]],"&lt;5")</f>
        <v>0</v>
      </c>
      <c r="DX37" s="138">
        <f>SUMIFS(tbl_task4[S123],tbl_task4[[SubPLOs]:[SubPLOs]],"&gt;=4",tbl_task4[[SubPLOs]:[SubPLOs]],"&lt;5")</f>
        <v>0</v>
      </c>
      <c r="DY37" s="138">
        <f>SUMIFS(tbl_task4[S124],tbl_task4[[SubPLOs]:[SubPLOs]],"&gt;=4",tbl_task4[[SubPLOs]:[SubPLOs]],"&lt;5")</f>
        <v>0</v>
      </c>
      <c r="DZ37" s="138">
        <f>SUMIFS(tbl_task4[S125],tbl_task4[[SubPLOs]:[SubPLOs]],"&gt;=4",tbl_task4[[SubPLOs]:[SubPLOs]],"&lt;5")</f>
        <v>0</v>
      </c>
      <c r="EA37" s="138">
        <f>SUMIFS(tbl_task4[S126],tbl_task4[[SubPLOs]:[SubPLOs]],"&gt;=4",tbl_task4[[SubPLOs]:[SubPLOs]],"&lt;5")</f>
        <v>0</v>
      </c>
      <c r="EB37" s="138">
        <f>SUMIFS(tbl_task4[S127],tbl_task4[[SubPLOs]:[SubPLOs]],"&gt;=4",tbl_task4[[SubPLOs]:[SubPLOs]],"&lt;5")</f>
        <v>0</v>
      </c>
      <c r="EC37" s="138">
        <f>SUMIFS(tbl_task4[S128],tbl_task4[[SubPLOs]:[SubPLOs]],"&gt;=4",tbl_task4[[SubPLOs]:[SubPLOs]],"&lt;5")</f>
        <v>0</v>
      </c>
      <c r="ED37" s="138">
        <f>SUMIFS(tbl_task4[S129],tbl_task4[[SubPLOs]:[SubPLOs]],"&gt;=4",tbl_task4[[SubPLOs]:[SubPLOs]],"&lt;5")</f>
        <v>0</v>
      </c>
      <c r="EE37" s="138">
        <f>SUMIFS(tbl_task4[S130],tbl_task4[[SubPLOs]:[SubPLOs]],"&gt;=4",tbl_task4[[SubPLOs]:[SubPLOs]],"&lt;5")</f>
        <v>0</v>
      </c>
      <c r="EF37" s="138">
        <f>SUMIFS(tbl_task4[S131],tbl_task4[[SubPLOs]:[SubPLOs]],"&gt;=4",tbl_task4[[SubPLOs]:[SubPLOs]],"&lt;5")</f>
        <v>0</v>
      </c>
      <c r="EG37" s="138">
        <f>SUMIFS(tbl_task4[S132],tbl_task4[[SubPLOs]:[SubPLOs]],"&gt;=4",tbl_task4[[SubPLOs]:[SubPLOs]],"&lt;5")</f>
        <v>0</v>
      </c>
      <c r="EH37" s="138">
        <f>SUMIFS(tbl_task4[S133],tbl_task4[[SubPLOs]:[SubPLOs]],"&gt;=4",tbl_task4[[SubPLOs]:[SubPLOs]],"&lt;5")</f>
        <v>0</v>
      </c>
      <c r="EI37" s="138">
        <f>SUMIFS(tbl_task4[S134],tbl_task4[[SubPLOs]:[SubPLOs]],"&gt;=4",tbl_task4[[SubPLOs]:[SubPLOs]],"&lt;5")</f>
        <v>0</v>
      </c>
      <c r="EJ37" s="138">
        <f>SUMIFS(tbl_task4[S135],tbl_task4[[SubPLOs]:[SubPLOs]],"&gt;=4",tbl_task4[[SubPLOs]:[SubPLOs]],"&lt;5")</f>
        <v>0</v>
      </c>
      <c r="EK37" s="138">
        <f>SUMIFS(tbl_task4[S136],tbl_task4[[SubPLOs]:[SubPLOs]],"&gt;=4",tbl_task4[[SubPLOs]:[SubPLOs]],"&lt;5")</f>
        <v>0</v>
      </c>
      <c r="EL37" s="138">
        <f>SUMIFS(tbl_task4[S137],tbl_task4[[SubPLOs]:[SubPLOs]],"&gt;=4",tbl_task4[[SubPLOs]:[SubPLOs]],"&lt;5")</f>
        <v>0</v>
      </c>
      <c r="EM37" s="138">
        <f>SUMIFS(tbl_task4[S138],tbl_task4[[SubPLOs]:[SubPLOs]],"&gt;=4",tbl_task4[[SubPLOs]:[SubPLOs]],"&lt;5")</f>
        <v>0</v>
      </c>
      <c r="EN37" s="138">
        <f>SUMIFS(tbl_task4[S139],tbl_task4[[SubPLOs]:[SubPLOs]],"&gt;=4",tbl_task4[[SubPLOs]:[SubPLOs]],"&lt;5")</f>
        <v>0</v>
      </c>
      <c r="EO37" s="138">
        <f>SUMIFS(tbl_task4[S140],tbl_task4[[SubPLOs]:[SubPLOs]],"&gt;=4",tbl_task4[[SubPLOs]:[SubPLOs]],"&lt;5")</f>
        <v>0</v>
      </c>
      <c r="EP37" s="138">
        <f>SUMIFS(tbl_task4[S141],tbl_task4[[SubPLOs]:[SubPLOs]],"&gt;=4",tbl_task4[[SubPLOs]:[SubPLOs]],"&lt;5")</f>
        <v>0</v>
      </c>
      <c r="EQ37" s="138">
        <f>SUMIFS(tbl_task4[S142],tbl_task4[[SubPLOs]:[SubPLOs]],"&gt;=4",tbl_task4[[SubPLOs]:[SubPLOs]],"&lt;5")</f>
        <v>0</v>
      </c>
      <c r="ER37" s="138">
        <f>SUMIFS(tbl_task4[S143],tbl_task4[[SubPLOs]:[SubPLOs]],"&gt;=4",tbl_task4[[SubPLOs]:[SubPLOs]],"&lt;5")</f>
        <v>0</v>
      </c>
      <c r="ES37" s="138">
        <f>SUMIFS(tbl_task4[S144],tbl_task4[[SubPLOs]:[SubPLOs]],"&gt;=4",tbl_task4[[SubPLOs]:[SubPLOs]],"&lt;5")</f>
        <v>0</v>
      </c>
      <c r="ET37" s="138">
        <f>SUMIFS(tbl_task4[S145],tbl_task4[[SubPLOs]:[SubPLOs]],"&gt;=4",tbl_task4[[SubPLOs]:[SubPLOs]],"&lt;5")</f>
        <v>0</v>
      </c>
      <c r="EU37" s="138">
        <f>SUMIFS(tbl_task4[S146],tbl_task4[[SubPLOs]:[SubPLOs]],"&gt;=4",tbl_task4[[SubPLOs]:[SubPLOs]],"&lt;5")</f>
        <v>0</v>
      </c>
      <c r="EV37" s="138">
        <f>SUMIFS(tbl_task4[S147],tbl_task4[[SubPLOs]:[SubPLOs]],"&gt;=4",tbl_task4[[SubPLOs]:[SubPLOs]],"&lt;5")</f>
        <v>0</v>
      </c>
      <c r="EW37" s="138">
        <f>SUMIFS(tbl_task4[S148],tbl_task4[[SubPLOs]:[SubPLOs]],"&gt;=4",tbl_task4[[SubPLOs]:[SubPLOs]],"&lt;5")</f>
        <v>0</v>
      </c>
      <c r="EX37" s="138">
        <f>SUMIFS(tbl_task4[S149],tbl_task4[[SubPLOs]:[SubPLOs]],"&gt;=4",tbl_task4[[SubPLOs]:[SubPLOs]],"&lt;5")</f>
        <v>0</v>
      </c>
      <c r="EY37" s="138">
        <f>SUMIFS(tbl_task4[S150],tbl_task4[[SubPLOs]:[SubPLOs]],"&gt;=4",tbl_task4[[SubPLOs]:[SubPLOs]],"&lt;5")</f>
        <v>0</v>
      </c>
      <c r="EZ37" s="138">
        <f>SUMIFS(tbl_task4[S151],tbl_task4[[SubPLOs]:[SubPLOs]],"&gt;=4",tbl_task4[[SubPLOs]:[SubPLOs]],"&lt;5")</f>
        <v>0</v>
      </c>
      <c r="FA37" s="138">
        <f>SUMIFS(tbl_task4[S152],tbl_task4[[SubPLOs]:[SubPLOs]],"&gt;=4",tbl_task4[[SubPLOs]:[SubPLOs]],"&lt;5")</f>
        <v>0</v>
      </c>
      <c r="FB37" s="138">
        <f>SUMIFS(tbl_task4[S153],tbl_task4[[SubPLOs]:[SubPLOs]],"&gt;=4",tbl_task4[[SubPLOs]:[SubPLOs]],"&lt;5")</f>
        <v>0</v>
      </c>
      <c r="FC37" s="138">
        <f>SUMIFS(tbl_task4[S154],tbl_task4[[SubPLOs]:[SubPLOs]],"&gt;=4",tbl_task4[[SubPLOs]:[SubPLOs]],"&lt;5")</f>
        <v>0</v>
      </c>
      <c r="FD37" s="138">
        <f>SUMIFS(tbl_task4[S155],tbl_task4[[SubPLOs]:[SubPLOs]],"&gt;=4",tbl_task4[[SubPLOs]:[SubPLOs]],"&lt;5")</f>
        <v>0</v>
      </c>
      <c r="FE37" s="138">
        <f>SUMIFS(tbl_task4[S156],tbl_task4[[SubPLOs]:[SubPLOs]],"&gt;=4",tbl_task4[[SubPLOs]:[SubPLOs]],"&lt;5")</f>
        <v>0</v>
      </c>
      <c r="FF37" s="138">
        <f>SUMIFS(tbl_task4[S157],tbl_task4[[SubPLOs]:[SubPLOs]],"&gt;=4",tbl_task4[[SubPLOs]:[SubPLOs]],"&lt;5")</f>
        <v>0</v>
      </c>
      <c r="FG37" s="138">
        <f>SUMIFS(tbl_task4[S158],tbl_task4[[SubPLOs]:[SubPLOs]],"&gt;=4",tbl_task4[[SubPLOs]:[SubPLOs]],"&lt;5")</f>
        <v>0</v>
      </c>
      <c r="FH37" s="138">
        <f>SUMIFS(tbl_task4[S159],tbl_task4[[SubPLOs]:[SubPLOs]],"&gt;=4",tbl_task4[[SubPLOs]:[SubPLOs]],"&lt;5")</f>
        <v>0</v>
      </c>
      <c r="FI37" s="138">
        <f>SUMIFS(tbl_task4[S160],tbl_task4[[SubPLOs]:[SubPLOs]],"&gt;=4",tbl_task4[[SubPLOs]:[SubPLOs]],"&lt;5")</f>
        <v>0</v>
      </c>
      <c r="FJ37" s="138">
        <f>SUMIFS(tbl_task4[S161],tbl_task4[[SubPLOs]:[SubPLOs]],"&gt;=4",tbl_task4[[SubPLOs]:[SubPLOs]],"&lt;5")</f>
        <v>0</v>
      </c>
      <c r="FK37" s="138">
        <f>SUMIFS(tbl_task4[S162],tbl_task4[[SubPLOs]:[SubPLOs]],"&gt;=4",tbl_task4[[SubPLOs]:[SubPLOs]],"&lt;5")</f>
        <v>0</v>
      </c>
      <c r="FL37" s="138">
        <f>SUMIFS(tbl_task4[S163],tbl_task4[[SubPLOs]:[SubPLOs]],"&gt;=4",tbl_task4[[SubPLOs]:[SubPLOs]],"&lt;5")</f>
        <v>0</v>
      </c>
      <c r="FM37" s="138">
        <f>SUMIFS(tbl_task4[S164],tbl_task4[[SubPLOs]:[SubPLOs]],"&gt;=4",tbl_task4[[SubPLOs]:[SubPLOs]],"&lt;5")</f>
        <v>0</v>
      </c>
      <c r="FN37" s="138">
        <f>SUMIFS(tbl_task4[S165],tbl_task4[[SubPLOs]:[SubPLOs]],"&gt;=4",tbl_task4[[SubPLOs]:[SubPLOs]],"&lt;5")</f>
        <v>0</v>
      </c>
    </row>
    <row r="38" spans="1:170" ht="84" x14ac:dyDescent="0.25">
      <c r="A38" s="135">
        <v>5</v>
      </c>
      <c r="B38" s="5" t="s">
        <v>438</v>
      </c>
      <c r="C38" s="136">
        <f>COUNTIFS(tbl_task4[SubPLOs],"&gt;=5",tbl_task4[SubPLOs],"&lt;6")</f>
        <v>0</v>
      </c>
      <c r="D38" s="136">
        <f>SUMIFS(tbl_task4[คะแนนเต็ม],tbl_task4[SubPLOs],"&gt;=5",tbl_task4[SubPLOs],"&lt;6")</f>
        <v>0</v>
      </c>
      <c r="E38" s="137">
        <f>SUMIFS(tbl_task4[%],tbl_task4[SubPLOs],"&gt;=5",tbl_task4[SubPLOs],"&lt;6")</f>
        <v>0</v>
      </c>
      <c r="F38" s="138">
        <f>SUMIFS(tbl_task4[S1],tbl_task4[[SubPLOs]:[SubPLOs]],"&gt;=5",tbl_task4[[SubPLOs]:[SubPLOs]],"&lt;6")</f>
        <v>0</v>
      </c>
      <c r="G38" s="138">
        <f>SUMIFS(tbl_task4[S2],tbl_task4[[SubPLOs]:[SubPLOs]],"&gt;=5",tbl_task4[[SubPLOs]:[SubPLOs]],"&lt;6")</f>
        <v>0</v>
      </c>
      <c r="H38" s="138">
        <f>SUMIFS(tbl_task4[S3],tbl_task4[[SubPLOs]:[SubPLOs]],"&gt;=5",tbl_task4[[SubPLOs]:[SubPLOs]],"&lt;6")</f>
        <v>0</v>
      </c>
      <c r="I38" s="138">
        <f>SUMIFS(tbl_task4[S4],tbl_task4[[SubPLOs]:[SubPLOs]],"&gt;=5",tbl_task4[[SubPLOs]:[SubPLOs]],"&lt;6")</f>
        <v>0</v>
      </c>
      <c r="J38" s="138">
        <f>SUMIFS(tbl_task4[S5],tbl_task4[[SubPLOs]:[SubPLOs]],"&gt;=5",tbl_task4[[SubPLOs]:[SubPLOs]],"&lt;6")</f>
        <v>0</v>
      </c>
      <c r="K38" s="138">
        <f>SUMIFS(tbl_task4[S6],tbl_task4[[SubPLOs]:[SubPLOs]],"&gt;=5",tbl_task4[[SubPLOs]:[SubPLOs]],"&lt;6")</f>
        <v>0</v>
      </c>
      <c r="L38" s="138">
        <f>SUMIFS(tbl_task4[S7],tbl_task4[[SubPLOs]:[SubPLOs]],"&gt;=5",tbl_task4[[SubPLOs]:[SubPLOs]],"&lt;6")</f>
        <v>0</v>
      </c>
      <c r="M38" s="138">
        <f>SUMIFS(tbl_task4[S8],tbl_task4[[SubPLOs]:[SubPLOs]],"&gt;=5",tbl_task4[[SubPLOs]:[SubPLOs]],"&lt;6")</f>
        <v>0</v>
      </c>
      <c r="N38" s="138">
        <f>SUMIFS(tbl_task4[S9],tbl_task4[[SubPLOs]:[SubPLOs]],"&gt;=5",tbl_task4[[SubPLOs]:[SubPLOs]],"&lt;6")</f>
        <v>0</v>
      </c>
      <c r="O38" s="138">
        <f>SUMIFS(tbl_task4[S10],tbl_task4[[SubPLOs]:[SubPLOs]],"&gt;=5",tbl_task4[[SubPLOs]:[SubPLOs]],"&lt;6")</f>
        <v>0</v>
      </c>
      <c r="P38" s="138">
        <f>SUMIFS(tbl_task4[S11],tbl_task4[[SubPLOs]:[SubPLOs]],"&gt;=5",tbl_task4[[SubPLOs]:[SubPLOs]],"&lt;6")</f>
        <v>0</v>
      </c>
      <c r="Q38" s="138">
        <f>SUMIFS(tbl_task4[S12],tbl_task4[[SubPLOs]:[SubPLOs]],"&gt;=5",tbl_task4[[SubPLOs]:[SubPLOs]],"&lt;6")</f>
        <v>0</v>
      </c>
      <c r="R38" s="138">
        <f>SUMIFS(tbl_task4[S13],tbl_task4[[SubPLOs]:[SubPLOs]],"&gt;=5",tbl_task4[[SubPLOs]:[SubPLOs]],"&lt;6")</f>
        <v>0</v>
      </c>
      <c r="S38" s="138">
        <f>SUMIFS(tbl_task4[S14],tbl_task4[[SubPLOs]:[SubPLOs]],"&gt;=5",tbl_task4[[SubPLOs]:[SubPLOs]],"&lt;6")</f>
        <v>0</v>
      </c>
      <c r="T38" s="138">
        <f>SUMIFS(tbl_task4[S15],tbl_task4[[SubPLOs]:[SubPLOs]],"&gt;=5",tbl_task4[[SubPLOs]:[SubPLOs]],"&lt;6")</f>
        <v>0</v>
      </c>
      <c r="U38" s="138">
        <f>SUMIFS(tbl_task4[S16],tbl_task4[[SubPLOs]:[SubPLOs]],"&gt;=5",tbl_task4[[SubPLOs]:[SubPLOs]],"&lt;6")</f>
        <v>0</v>
      </c>
      <c r="V38" s="138">
        <f>SUMIFS(tbl_task4[S17],tbl_task4[[SubPLOs]:[SubPLOs]],"&gt;=5",tbl_task4[[SubPLOs]:[SubPLOs]],"&lt;6")</f>
        <v>0</v>
      </c>
      <c r="W38" s="138">
        <f>SUMIFS(tbl_task4[S18],tbl_task4[[SubPLOs]:[SubPLOs]],"&gt;=5",tbl_task4[[SubPLOs]:[SubPLOs]],"&lt;6")</f>
        <v>0</v>
      </c>
      <c r="X38" s="138">
        <f>SUMIFS(tbl_task4[S19],tbl_task4[[SubPLOs]:[SubPLOs]],"&gt;=5",tbl_task4[[SubPLOs]:[SubPLOs]],"&lt;6")</f>
        <v>0</v>
      </c>
      <c r="Y38" s="138">
        <f>SUMIFS(tbl_task4[S20],tbl_task4[[SubPLOs]:[SubPLOs]],"&gt;=5",tbl_task4[[SubPLOs]:[SubPLOs]],"&lt;6")</f>
        <v>0</v>
      </c>
      <c r="Z38" s="138">
        <f>SUMIFS(tbl_task4[S21],tbl_task4[[SubPLOs]:[SubPLOs]],"&gt;=5",tbl_task4[[SubPLOs]:[SubPLOs]],"&lt;6")</f>
        <v>0</v>
      </c>
      <c r="AA38" s="138">
        <f>SUMIFS(tbl_task4[S22],tbl_task4[[SubPLOs]:[SubPLOs]],"&gt;=5",tbl_task4[[SubPLOs]:[SubPLOs]],"&lt;6")</f>
        <v>0</v>
      </c>
      <c r="AB38" s="138">
        <f>SUMIFS(tbl_task4[S23],tbl_task4[[SubPLOs]:[SubPLOs]],"&gt;=5",tbl_task4[[SubPLOs]:[SubPLOs]],"&lt;6")</f>
        <v>0</v>
      </c>
      <c r="AC38" s="138">
        <f>SUMIFS(tbl_task4[S24],tbl_task4[[SubPLOs]:[SubPLOs]],"&gt;=5",tbl_task4[[SubPLOs]:[SubPLOs]],"&lt;6")</f>
        <v>0</v>
      </c>
      <c r="AD38" s="138">
        <f>SUMIFS(tbl_task4[S25],tbl_task4[[SubPLOs]:[SubPLOs]],"&gt;=5",tbl_task4[[SubPLOs]:[SubPLOs]],"&lt;6")</f>
        <v>0</v>
      </c>
      <c r="AE38" s="138">
        <f>SUMIFS(tbl_task4[S26],tbl_task4[[SubPLOs]:[SubPLOs]],"&gt;=5",tbl_task4[[SubPLOs]:[SubPLOs]],"&lt;6")</f>
        <v>0</v>
      </c>
      <c r="AF38" s="138">
        <f>SUMIFS(tbl_task4[S27],tbl_task4[[SubPLOs]:[SubPLOs]],"&gt;=5",tbl_task4[[SubPLOs]:[SubPLOs]],"&lt;6")</f>
        <v>0</v>
      </c>
      <c r="AG38" s="138">
        <f>SUMIFS(tbl_task4[S28],tbl_task4[[SubPLOs]:[SubPLOs]],"&gt;=5",tbl_task4[[SubPLOs]:[SubPLOs]],"&lt;6")</f>
        <v>0</v>
      </c>
      <c r="AH38" s="138">
        <f>SUMIFS(tbl_task4[S29],tbl_task4[[SubPLOs]:[SubPLOs]],"&gt;=5",tbl_task4[[SubPLOs]:[SubPLOs]],"&lt;6")</f>
        <v>0</v>
      </c>
      <c r="AI38" s="138">
        <f>SUMIFS(tbl_task4[S30],tbl_task4[[SubPLOs]:[SubPLOs]],"&gt;=5",tbl_task4[[SubPLOs]:[SubPLOs]],"&lt;6")</f>
        <v>0</v>
      </c>
      <c r="AJ38" s="138">
        <f>SUMIFS(tbl_task4[S31],tbl_task4[[SubPLOs]:[SubPLOs]],"&gt;=5",tbl_task4[[SubPLOs]:[SubPLOs]],"&lt;6")</f>
        <v>0</v>
      </c>
      <c r="AK38" s="138">
        <f>SUMIFS(tbl_task4[S32],tbl_task4[[SubPLOs]:[SubPLOs]],"&gt;=5",tbl_task4[[SubPLOs]:[SubPLOs]],"&lt;6")</f>
        <v>0</v>
      </c>
      <c r="AL38" s="138">
        <f>SUMIFS(tbl_task4[S33],tbl_task4[[SubPLOs]:[SubPLOs]],"&gt;=5",tbl_task4[[SubPLOs]:[SubPLOs]],"&lt;6")</f>
        <v>0</v>
      </c>
      <c r="AM38" s="138">
        <f>SUMIFS(tbl_task4[S34],tbl_task4[[SubPLOs]:[SubPLOs]],"&gt;=5",tbl_task4[[SubPLOs]:[SubPLOs]],"&lt;6")</f>
        <v>0</v>
      </c>
      <c r="AN38" s="138">
        <f>SUMIFS(tbl_task4[S35],tbl_task4[[SubPLOs]:[SubPLOs]],"&gt;=5",tbl_task4[[SubPLOs]:[SubPLOs]],"&lt;6")</f>
        <v>0</v>
      </c>
      <c r="AO38" s="138">
        <f>SUMIFS(tbl_task4[S36],tbl_task4[[SubPLOs]:[SubPLOs]],"&gt;=5",tbl_task4[[SubPLOs]:[SubPLOs]],"&lt;6")</f>
        <v>0</v>
      </c>
      <c r="AP38" s="138">
        <f>SUMIFS(tbl_task4[S37],tbl_task4[[SubPLOs]:[SubPLOs]],"&gt;=5",tbl_task4[[SubPLOs]:[SubPLOs]],"&lt;6")</f>
        <v>0</v>
      </c>
      <c r="AQ38" s="138">
        <f>SUMIFS(tbl_task4[S38],tbl_task4[[SubPLOs]:[SubPLOs]],"&gt;=5",tbl_task4[[SubPLOs]:[SubPLOs]],"&lt;6")</f>
        <v>0</v>
      </c>
      <c r="AR38" s="138">
        <f>SUMIFS(tbl_task4[S39],tbl_task4[[SubPLOs]:[SubPLOs]],"&gt;=5",tbl_task4[[SubPLOs]:[SubPLOs]],"&lt;6")</f>
        <v>0</v>
      </c>
      <c r="AS38" s="138">
        <f>SUMIFS(tbl_task4[S40],tbl_task4[[SubPLOs]:[SubPLOs]],"&gt;=5",tbl_task4[[SubPLOs]:[SubPLOs]],"&lt;6")</f>
        <v>0</v>
      </c>
      <c r="AT38" s="138">
        <f>SUMIFS(tbl_task4[S41],tbl_task4[[SubPLOs]:[SubPLOs]],"&gt;=5",tbl_task4[[SubPLOs]:[SubPLOs]],"&lt;6")</f>
        <v>0</v>
      </c>
      <c r="AU38" s="138">
        <f>SUMIFS(tbl_task4[S42],tbl_task4[[SubPLOs]:[SubPLOs]],"&gt;=5",tbl_task4[[SubPLOs]:[SubPLOs]],"&lt;6")</f>
        <v>0</v>
      </c>
      <c r="AV38" s="138">
        <f>SUMIFS(tbl_task4[S43],tbl_task4[[SubPLOs]:[SubPLOs]],"&gt;=5",tbl_task4[[SubPLOs]:[SubPLOs]],"&lt;6")</f>
        <v>0</v>
      </c>
      <c r="AW38" s="138">
        <f>SUMIFS(tbl_task4[S44],tbl_task4[[SubPLOs]:[SubPLOs]],"&gt;=5",tbl_task4[[SubPLOs]:[SubPLOs]],"&lt;6")</f>
        <v>0</v>
      </c>
      <c r="AX38" s="138">
        <f>SUMIFS(tbl_task4[S45],tbl_task4[[SubPLOs]:[SubPLOs]],"&gt;=5",tbl_task4[[SubPLOs]:[SubPLOs]],"&lt;6")</f>
        <v>0</v>
      </c>
      <c r="AY38" s="138">
        <f>SUMIFS(tbl_task4[S46],tbl_task4[[SubPLOs]:[SubPLOs]],"&gt;=5",tbl_task4[[SubPLOs]:[SubPLOs]],"&lt;6")</f>
        <v>0</v>
      </c>
      <c r="AZ38" s="138">
        <f>SUMIFS(tbl_task4[S47],tbl_task4[[SubPLOs]:[SubPLOs]],"&gt;=5",tbl_task4[[SubPLOs]:[SubPLOs]],"&lt;6")</f>
        <v>0</v>
      </c>
      <c r="BA38" s="138">
        <f>SUMIFS(tbl_task4[S48],tbl_task4[[SubPLOs]:[SubPLOs]],"&gt;=5",tbl_task4[[SubPLOs]:[SubPLOs]],"&lt;6")</f>
        <v>0</v>
      </c>
      <c r="BB38" s="138">
        <f>SUMIFS(tbl_task4[S49],tbl_task4[[SubPLOs]:[SubPLOs]],"&gt;=5",tbl_task4[[SubPLOs]:[SubPLOs]],"&lt;6")</f>
        <v>0</v>
      </c>
      <c r="BC38" s="138">
        <f>SUMIFS(tbl_task4[S50],tbl_task4[[SubPLOs]:[SubPLOs]],"&gt;=5",tbl_task4[[SubPLOs]:[SubPLOs]],"&lt;6")</f>
        <v>0</v>
      </c>
      <c r="BD38" s="138">
        <f>SUMIFS(tbl_task4[S51],tbl_task4[[SubPLOs]:[SubPLOs]],"&gt;=5",tbl_task4[[SubPLOs]:[SubPLOs]],"&lt;6")</f>
        <v>0</v>
      </c>
      <c r="BE38" s="138">
        <f>SUMIFS(tbl_task4[S52],tbl_task4[[SubPLOs]:[SubPLOs]],"&gt;=5",tbl_task4[[SubPLOs]:[SubPLOs]],"&lt;6")</f>
        <v>0</v>
      </c>
      <c r="BF38" s="138">
        <f>SUMIFS(tbl_task4[S53],tbl_task4[[SubPLOs]:[SubPLOs]],"&gt;=5",tbl_task4[[SubPLOs]:[SubPLOs]],"&lt;6")</f>
        <v>0</v>
      </c>
      <c r="BG38" s="138">
        <f>SUMIFS(tbl_task4[S54],tbl_task4[[SubPLOs]:[SubPLOs]],"&gt;=5",tbl_task4[[SubPLOs]:[SubPLOs]],"&lt;6")</f>
        <v>0</v>
      </c>
      <c r="BH38" s="138">
        <f>SUMIFS(tbl_task4[S55],tbl_task4[[SubPLOs]:[SubPLOs]],"&gt;=5",tbl_task4[[SubPLOs]:[SubPLOs]],"&lt;6")</f>
        <v>0</v>
      </c>
      <c r="BI38" s="138">
        <f>SUMIFS(tbl_task4[S56],tbl_task4[[SubPLOs]:[SubPLOs]],"&gt;=5",tbl_task4[[SubPLOs]:[SubPLOs]],"&lt;6")</f>
        <v>0</v>
      </c>
      <c r="BJ38" s="138">
        <f>SUMIFS(tbl_task4[S57],tbl_task4[[SubPLOs]:[SubPLOs]],"&gt;=5",tbl_task4[[SubPLOs]:[SubPLOs]],"&lt;6")</f>
        <v>0</v>
      </c>
      <c r="BK38" s="138">
        <f>SUMIFS(tbl_task4[S58],tbl_task4[[SubPLOs]:[SubPLOs]],"&gt;=5",tbl_task4[[SubPLOs]:[SubPLOs]],"&lt;6")</f>
        <v>0</v>
      </c>
      <c r="BL38" s="138">
        <f>SUMIFS(tbl_task4[S59],tbl_task4[[SubPLOs]:[SubPLOs]],"&gt;=5",tbl_task4[[SubPLOs]:[SubPLOs]],"&lt;6")</f>
        <v>0</v>
      </c>
      <c r="BM38" s="138">
        <f>SUMIFS(tbl_task4[S60],tbl_task4[[SubPLOs]:[SubPLOs]],"&gt;=5",tbl_task4[[SubPLOs]:[SubPLOs]],"&lt;6")</f>
        <v>0</v>
      </c>
      <c r="BN38" s="138">
        <f>SUMIFS(tbl_task4[S61],tbl_task4[[SubPLOs]:[SubPLOs]],"&gt;=5",tbl_task4[[SubPLOs]:[SubPLOs]],"&lt;6")</f>
        <v>0</v>
      </c>
      <c r="BO38" s="138">
        <f>SUMIFS(tbl_task4[S62],tbl_task4[[SubPLOs]:[SubPLOs]],"&gt;=5",tbl_task4[[SubPLOs]:[SubPLOs]],"&lt;6")</f>
        <v>0</v>
      </c>
      <c r="BP38" s="138">
        <f>SUMIFS(tbl_task4[S63],tbl_task4[[SubPLOs]:[SubPLOs]],"&gt;=5",tbl_task4[[SubPLOs]:[SubPLOs]],"&lt;6")</f>
        <v>0</v>
      </c>
      <c r="BQ38" s="138">
        <f>SUMIFS(tbl_task4[S64],tbl_task4[[SubPLOs]:[SubPLOs]],"&gt;=5",tbl_task4[[SubPLOs]:[SubPLOs]],"&lt;6")</f>
        <v>0</v>
      </c>
      <c r="BR38" s="138">
        <f>SUMIFS(tbl_task4[S65],tbl_task4[[SubPLOs]:[SubPLOs]],"&gt;=5",tbl_task4[[SubPLOs]:[SubPLOs]],"&lt;6")</f>
        <v>0</v>
      </c>
      <c r="BS38" s="138">
        <f>SUMIFS(tbl_task4[S66],tbl_task4[[SubPLOs]:[SubPLOs]],"&gt;=5",tbl_task4[[SubPLOs]:[SubPLOs]],"&lt;6")</f>
        <v>0</v>
      </c>
      <c r="BT38" s="138">
        <f>SUMIFS(tbl_task4[S67],tbl_task4[[SubPLOs]:[SubPLOs]],"&gt;=5",tbl_task4[[SubPLOs]:[SubPLOs]],"&lt;6")</f>
        <v>0</v>
      </c>
      <c r="BU38" s="138">
        <f>SUMIFS(tbl_task4[S68],tbl_task4[[SubPLOs]:[SubPLOs]],"&gt;=5",tbl_task4[[SubPLOs]:[SubPLOs]],"&lt;6")</f>
        <v>0</v>
      </c>
      <c r="BV38" s="138">
        <f>SUMIFS(tbl_task4[S69],tbl_task4[[SubPLOs]:[SubPLOs]],"&gt;=5",tbl_task4[[SubPLOs]:[SubPLOs]],"&lt;6")</f>
        <v>0</v>
      </c>
      <c r="BW38" s="138">
        <f>SUMIFS(tbl_task4[S70],tbl_task4[[SubPLOs]:[SubPLOs]],"&gt;=5",tbl_task4[[SubPLOs]:[SubPLOs]],"&lt;6")</f>
        <v>0</v>
      </c>
      <c r="BX38" s="138">
        <f>SUMIFS(tbl_task4[S71],tbl_task4[[SubPLOs]:[SubPLOs]],"&gt;=5",tbl_task4[[SubPLOs]:[SubPLOs]],"&lt;6")</f>
        <v>0</v>
      </c>
      <c r="BY38" s="138">
        <f>SUMIFS(tbl_task4[S72],tbl_task4[[SubPLOs]:[SubPLOs]],"&gt;=5",tbl_task4[[SubPLOs]:[SubPLOs]],"&lt;6")</f>
        <v>0</v>
      </c>
      <c r="BZ38" s="138">
        <f>SUMIFS(tbl_task4[S73],tbl_task4[[SubPLOs]:[SubPLOs]],"&gt;=5",tbl_task4[[SubPLOs]:[SubPLOs]],"&lt;6")</f>
        <v>0</v>
      </c>
      <c r="CA38" s="138">
        <f>SUMIFS(tbl_task4[S74],tbl_task4[[SubPLOs]:[SubPLOs]],"&gt;=5",tbl_task4[[SubPLOs]:[SubPLOs]],"&lt;6")</f>
        <v>0</v>
      </c>
      <c r="CB38" s="138">
        <f>SUMIFS(tbl_task4[S75],tbl_task4[[SubPLOs]:[SubPLOs]],"&gt;=5",tbl_task4[[SubPLOs]:[SubPLOs]],"&lt;6")</f>
        <v>0</v>
      </c>
      <c r="CC38" s="138">
        <f>SUMIFS(tbl_task4[S76],tbl_task4[[SubPLOs]:[SubPLOs]],"&gt;=5",tbl_task4[[SubPLOs]:[SubPLOs]],"&lt;6")</f>
        <v>0</v>
      </c>
      <c r="CD38" s="138">
        <f>SUMIFS(tbl_task4[S77],tbl_task4[[SubPLOs]:[SubPLOs]],"&gt;=5",tbl_task4[[SubPLOs]:[SubPLOs]],"&lt;6")</f>
        <v>0</v>
      </c>
      <c r="CE38" s="138">
        <f>SUMIFS(tbl_task4[S78],tbl_task4[[SubPLOs]:[SubPLOs]],"&gt;=5",tbl_task4[[SubPLOs]:[SubPLOs]],"&lt;6")</f>
        <v>0</v>
      </c>
      <c r="CF38" s="138">
        <f>SUMIFS(tbl_task4[S79],tbl_task4[[SubPLOs]:[SubPLOs]],"&gt;=5",tbl_task4[[SubPLOs]:[SubPLOs]],"&lt;6")</f>
        <v>0</v>
      </c>
      <c r="CG38" s="138">
        <f>SUMIFS(tbl_task4[S80],tbl_task4[[SubPLOs]:[SubPLOs]],"&gt;=5",tbl_task4[[SubPLOs]:[SubPLOs]],"&lt;6")</f>
        <v>0</v>
      </c>
      <c r="CH38" s="138">
        <f>SUMIFS(tbl_task4[S81],tbl_task4[[SubPLOs]:[SubPLOs]],"&gt;=5",tbl_task4[[SubPLOs]:[SubPLOs]],"&lt;6")</f>
        <v>0</v>
      </c>
      <c r="CI38" s="138">
        <f>SUMIFS(tbl_task4[S82],tbl_task4[[SubPLOs]:[SubPLOs]],"&gt;=5",tbl_task4[[SubPLOs]:[SubPLOs]],"&lt;6")</f>
        <v>0</v>
      </c>
      <c r="CJ38" s="138">
        <f>SUMIFS(tbl_task4[S83],tbl_task4[[SubPLOs]:[SubPLOs]],"&gt;=5",tbl_task4[[SubPLOs]:[SubPLOs]],"&lt;6")</f>
        <v>0</v>
      </c>
      <c r="CK38" s="138">
        <f>SUMIFS(tbl_task4[S84],tbl_task4[[SubPLOs]:[SubPLOs]],"&gt;=5",tbl_task4[[SubPLOs]:[SubPLOs]],"&lt;6")</f>
        <v>0</v>
      </c>
      <c r="CL38" s="138">
        <f>SUMIFS(tbl_task4[S85],tbl_task4[[SubPLOs]:[SubPLOs]],"&gt;=5",tbl_task4[[SubPLOs]:[SubPLOs]],"&lt;6")</f>
        <v>0</v>
      </c>
      <c r="CM38" s="138">
        <f>SUMIFS(tbl_task4[S86],tbl_task4[[SubPLOs]:[SubPLOs]],"&gt;=5",tbl_task4[[SubPLOs]:[SubPLOs]],"&lt;6")</f>
        <v>0</v>
      </c>
      <c r="CN38" s="138">
        <f>SUMIFS(tbl_task4[S87],tbl_task4[[SubPLOs]:[SubPLOs]],"&gt;=5",tbl_task4[[SubPLOs]:[SubPLOs]],"&lt;6")</f>
        <v>0</v>
      </c>
      <c r="CO38" s="138">
        <f>SUMIFS(tbl_task4[S88],tbl_task4[[SubPLOs]:[SubPLOs]],"&gt;=5",tbl_task4[[SubPLOs]:[SubPLOs]],"&lt;6")</f>
        <v>0</v>
      </c>
      <c r="CP38" s="138">
        <f>SUMIFS(tbl_task4[S89],tbl_task4[[SubPLOs]:[SubPLOs]],"&gt;=5",tbl_task4[[SubPLOs]:[SubPLOs]],"&lt;6")</f>
        <v>0</v>
      </c>
      <c r="CQ38" s="138">
        <f>SUMIFS(tbl_task4[S90],tbl_task4[[SubPLOs]:[SubPLOs]],"&gt;=5",tbl_task4[[SubPLOs]:[SubPLOs]],"&lt;6")</f>
        <v>0</v>
      </c>
      <c r="CR38" s="138">
        <f>SUMIFS(tbl_task4[S91],tbl_task4[[SubPLOs]:[SubPLOs]],"&gt;=5",tbl_task4[[SubPLOs]:[SubPLOs]],"&lt;6")</f>
        <v>0</v>
      </c>
      <c r="CS38" s="138">
        <f>SUMIFS(tbl_task4[S92],tbl_task4[[SubPLOs]:[SubPLOs]],"&gt;=5",tbl_task4[[SubPLOs]:[SubPLOs]],"&lt;6")</f>
        <v>0</v>
      </c>
      <c r="CT38" s="138">
        <f>SUMIFS(tbl_task4[S93],tbl_task4[[SubPLOs]:[SubPLOs]],"&gt;=5",tbl_task4[[SubPLOs]:[SubPLOs]],"&lt;6")</f>
        <v>0</v>
      </c>
      <c r="CU38" s="138">
        <f>SUMIFS(tbl_task4[S94],tbl_task4[[SubPLOs]:[SubPLOs]],"&gt;=5",tbl_task4[[SubPLOs]:[SubPLOs]],"&lt;6")</f>
        <v>0</v>
      </c>
      <c r="CV38" s="138">
        <f>SUMIFS(tbl_task4[S95],tbl_task4[[SubPLOs]:[SubPLOs]],"&gt;=5",tbl_task4[[SubPLOs]:[SubPLOs]],"&lt;6")</f>
        <v>0</v>
      </c>
      <c r="CW38" s="138">
        <f>SUMIFS(tbl_task4[S96],tbl_task4[[SubPLOs]:[SubPLOs]],"&gt;=5",tbl_task4[[SubPLOs]:[SubPLOs]],"&lt;6")</f>
        <v>0</v>
      </c>
      <c r="CX38" s="138">
        <f>SUMIFS(tbl_task4[S97],tbl_task4[[SubPLOs]:[SubPLOs]],"&gt;=5",tbl_task4[[SubPLOs]:[SubPLOs]],"&lt;6")</f>
        <v>0</v>
      </c>
      <c r="CY38" s="138">
        <f>SUMIFS(tbl_task4[S98],tbl_task4[[SubPLOs]:[SubPLOs]],"&gt;=5",tbl_task4[[SubPLOs]:[SubPLOs]],"&lt;6")</f>
        <v>0</v>
      </c>
      <c r="CZ38" s="138">
        <f>SUMIFS(tbl_task4[S99],tbl_task4[[SubPLOs]:[SubPLOs]],"&gt;=5",tbl_task4[[SubPLOs]:[SubPLOs]],"&lt;6")</f>
        <v>0</v>
      </c>
      <c r="DA38" s="138">
        <f>SUMIFS(tbl_task4[S100],tbl_task4[[SubPLOs]:[SubPLOs]],"&gt;=5",tbl_task4[[SubPLOs]:[SubPLOs]],"&lt;6")</f>
        <v>0</v>
      </c>
      <c r="DB38" s="138">
        <f>SUMIFS(tbl_task4[S101],tbl_task4[[SubPLOs]:[SubPLOs]],"&gt;=5",tbl_task4[[SubPLOs]:[SubPLOs]],"&lt;6")</f>
        <v>0</v>
      </c>
      <c r="DC38" s="138">
        <f>SUMIFS(tbl_task4[S102],tbl_task4[[SubPLOs]:[SubPLOs]],"&gt;=5",tbl_task4[[SubPLOs]:[SubPLOs]],"&lt;6")</f>
        <v>0</v>
      </c>
      <c r="DD38" s="138">
        <f>SUMIFS(tbl_task4[S103],tbl_task4[[SubPLOs]:[SubPLOs]],"&gt;=5",tbl_task4[[SubPLOs]:[SubPLOs]],"&lt;6")</f>
        <v>0</v>
      </c>
      <c r="DE38" s="138">
        <f>SUMIFS(tbl_task4[S104],tbl_task4[[SubPLOs]:[SubPLOs]],"&gt;=5",tbl_task4[[SubPLOs]:[SubPLOs]],"&lt;6")</f>
        <v>0</v>
      </c>
      <c r="DF38" s="138">
        <f>SUMIFS(tbl_task4[S105],tbl_task4[[SubPLOs]:[SubPLOs]],"&gt;=5",tbl_task4[[SubPLOs]:[SubPLOs]],"&lt;6")</f>
        <v>0</v>
      </c>
      <c r="DG38" s="138">
        <f>SUMIFS(tbl_task4[S106],tbl_task4[[SubPLOs]:[SubPLOs]],"&gt;=5",tbl_task4[[SubPLOs]:[SubPLOs]],"&lt;6")</f>
        <v>0</v>
      </c>
      <c r="DH38" s="138">
        <f>SUMIFS(tbl_task4[S106],tbl_task4[[SubPLOs]:[SubPLOs]],"&gt;=5",tbl_task4[[SubPLOs]:[SubPLOs]],"&lt;6")</f>
        <v>0</v>
      </c>
      <c r="DI38" s="138">
        <f>SUMIFS(tbl_task4[S108],tbl_task4[[SubPLOs]:[SubPLOs]],"&gt;=5",tbl_task4[[SubPLOs]:[SubPLOs]],"&lt;6")</f>
        <v>0</v>
      </c>
      <c r="DJ38" s="138">
        <f>SUMIFS(tbl_task4[S109],tbl_task4[[SubPLOs]:[SubPLOs]],"&gt;=5",tbl_task4[[SubPLOs]:[SubPLOs]],"&lt;6")</f>
        <v>0</v>
      </c>
      <c r="DK38" s="138">
        <f>SUMIFS(tbl_task4[S110],tbl_task4[[SubPLOs]:[SubPLOs]],"&gt;=5",tbl_task4[[SubPLOs]:[SubPLOs]],"&lt;6")</f>
        <v>0</v>
      </c>
      <c r="DL38" s="138">
        <f>SUMIFS(tbl_task4[S111],tbl_task4[[SubPLOs]:[SubPLOs]],"&gt;=5",tbl_task4[[SubPLOs]:[SubPLOs]],"&lt;6")</f>
        <v>0</v>
      </c>
      <c r="DM38" s="138">
        <f>SUMIFS(tbl_task4[S112],tbl_task4[[SubPLOs]:[SubPLOs]],"&gt;=5",tbl_task4[[SubPLOs]:[SubPLOs]],"&lt;6")</f>
        <v>0</v>
      </c>
      <c r="DN38" s="138">
        <f>SUMIFS(tbl_task4[S113],tbl_task4[[SubPLOs]:[SubPLOs]],"&gt;=5",tbl_task4[[SubPLOs]:[SubPLOs]],"&lt;6")</f>
        <v>0</v>
      </c>
      <c r="DO38" s="138">
        <f>SUMIFS(tbl_task4[S114],tbl_task4[[SubPLOs]:[SubPLOs]],"&gt;=5",tbl_task4[[SubPLOs]:[SubPLOs]],"&lt;6")</f>
        <v>0</v>
      </c>
      <c r="DP38" s="138">
        <f>SUMIFS(tbl_task4[S115],tbl_task4[[SubPLOs]:[SubPLOs]],"&gt;=5",tbl_task4[[SubPLOs]:[SubPLOs]],"&lt;6")</f>
        <v>0</v>
      </c>
      <c r="DQ38" s="138">
        <f>SUMIFS(tbl_task4[S116],tbl_task4[[SubPLOs]:[SubPLOs]],"&gt;=5",tbl_task4[[SubPLOs]:[SubPLOs]],"&lt;6")</f>
        <v>0</v>
      </c>
      <c r="DR38" s="138">
        <f>SUMIFS(tbl_task4[S117],tbl_task4[[SubPLOs]:[SubPLOs]],"&gt;=5",tbl_task4[[SubPLOs]:[SubPLOs]],"&lt;6")</f>
        <v>0</v>
      </c>
      <c r="DS38" s="138">
        <f>SUMIFS(tbl_task4[S118],tbl_task4[[SubPLOs]:[SubPLOs]],"&gt;=5",tbl_task4[[SubPLOs]:[SubPLOs]],"&lt;6")</f>
        <v>0</v>
      </c>
      <c r="DT38" s="138">
        <f>SUMIFS(tbl_task4[S119],tbl_task4[[SubPLOs]:[SubPLOs]],"&gt;=5",tbl_task4[[SubPLOs]:[SubPLOs]],"&lt;6")</f>
        <v>0</v>
      </c>
      <c r="DU38" s="138">
        <f>SUMIFS(tbl_task4[S120],tbl_task4[[SubPLOs]:[SubPLOs]],"&gt;=5",tbl_task4[[SubPLOs]:[SubPLOs]],"&lt;6")</f>
        <v>0</v>
      </c>
      <c r="DV38" s="138">
        <f>SUMIFS(tbl_task4[S121],tbl_task4[[SubPLOs]:[SubPLOs]],"&gt;=5",tbl_task4[[SubPLOs]:[SubPLOs]],"&lt;6")</f>
        <v>0</v>
      </c>
      <c r="DW38" s="138">
        <f>SUMIFS(tbl_task4[S122],tbl_task4[[SubPLOs]:[SubPLOs]],"&gt;=5",tbl_task4[[SubPLOs]:[SubPLOs]],"&lt;6")</f>
        <v>0</v>
      </c>
      <c r="DX38" s="138">
        <f>SUMIFS(tbl_task4[S123],tbl_task4[[SubPLOs]:[SubPLOs]],"&gt;=5",tbl_task4[[SubPLOs]:[SubPLOs]],"&lt;6")</f>
        <v>0</v>
      </c>
      <c r="DY38" s="138">
        <f>SUMIFS(tbl_task4[S124],tbl_task4[[SubPLOs]:[SubPLOs]],"&gt;=5",tbl_task4[[SubPLOs]:[SubPLOs]],"&lt;6")</f>
        <v>0</v>
      </c>
      <c r="DZ38" s="138">
        <f>SUMIFS(tbl_task4[S125],tbl_task4[[SubPLOs]:[SubPLOs]],"&gt;=5",tbl_task4[[SubPLOs]:[SubPLOs]],"&lt;6")</f>
        <v>0</v>
      </c>
      <c r="EA38" s="138">
        <f>SUMIFS(tbl_task4[S126],tbl_task4[[SubPLOs]:[SubPLOs]],"&gt;=5",tbl_task4[[SubPLOs]:[SubPLOs]],"&lt;6")</f>
        <v>0</v>
      </c>
      <c r="EB38" s="138">
        <f>SUMIFS(tbl_task4[S127],tbl_task4[[SubPLOs]:[SubPLOs]],"&gt;=5",tbl_task4[[SubPLOs]:[SubPLOs]],"&lt;6")</f>
        <v>0</v>
      </c>
      <c r="EC38" s="138">
        <f>SUMIFS(tbl_task4[S128],tbl_task4[[SubPLOs]:[SubPLOs]],"&gt;=5",tbl_task4[[SubPLOs]:[SubPLOs]],"&lt;6")</f>
        <v>0</v>
      </c>
      <c r="ED38" s="138">
        <f>SUMIFS(tbl_task4[S129],tbl_task4[[SubPLOs]:[SubPLOs]],"&gt;=5",tbl_task4[[SubPLOs]:[SubPLOs]],"&lt;6")</f>
        <v>0</v>
      </c>
      <c r="EE38" s="138">
        <f>SUMIFS(tbl_task4[S130],tbl_task4[[SubPLOs]:[SubPLOs]],"&gt;=5",tbl_task4[[SubPLOs]:[SubPLOs]],"&lt;6")</f>
        <v>0</v>
      </c>
      <c r="EF38" s="138">
        <f>SUMIFS(tbl_task4[S131],tbl_task4[[SubPLOs]:[SubPLOs]],"&gt;=5",tbl_task4[[SubPLOs]:[SubPLOs]],"&lt;6")</f>
        <v>0</v>
      </c>
      <c r="EG38" s="138">
        <f>SUMIFS(tbl_task4[S132],tbl_task4[[SubPLOs]:[SubPLOs]],"&gt;=5",tbl_task4[[SubPLOs]:[SubPLOs]],"&lt;6")</f>
        <v>0</v>
      </c>
      <c r="EH38" s="138">
        <f>SUMIFS(tbl_task4[S133],tbl_task4[[SubPLOs]:[SubPLOs]],"&gt;=5",tbl_task4[[SubPLOs]:[SubPLOs]],"&lt;6")</f>
        <v>0</v>
      </c>
      <c r="EI38" s="138">
        <f>SUMIFS(tbl_task4[S134],tbl_task4[[SubPLOs]:[SubPLOs]],"&gt;=5",tbl_task4[[SubPLOs]:[SubPLOs]],"&lt;6")</f>
        <v>0</v>
      </c>
      <c r="EJ38" s="138">
        <f>SUMIFS(tbl_task4[S135],tbl_task4[[SubPLOs]:[SubPLOs]],"&gt;=5",tbl_task4[[SubPLOs]:[SubPLOs]],"&lt;6")</f>
        <v>0</v>
      </c>
      <c r="EK38" s="138">
        <f>SUMIFS(tbl_task4[S136],tbl_task4[[SubPLOs]:[SubPLOs]],"&gt;=5",tbl_task4[[SubPLOs]:[SubPLOs]],"&lt;6")</f>
        <v>0</v>
      </c>
      <c r="EL38" s="138">
        <f>SUMIFS(tbl_task4[S137],tbl_task4[[SubPLOs]:[SubPLOs]],"&gt;=5",tbl_task4[[SubPLOs]:[SubPLOs]],"&lt;6")</f>
        <v>0</v>
      </c>
      <c r="EM38" s="138">
        <f>SUMIFS(tbl_task4[S138],tbl_task4[[SubPLOs]:[SubPLOs]],"&gt;=5",tbl_task4[[SubPLOs]:[SubPLOs]],"&lt;6")</f>
        <v>0</v>
      </c>
      <c r="EN38" s="138">
        <f>SUMIFS(tbl_task4[S139],tbl_task4[[SubPLOs]:[SubPLOs]],"&gt;=5",tbl_task4[[SubPLOs]:[SubPLOs]],"&lt;6")</f>
        <v>0</v>
      </c>
      <c r="EO38" s="138">
        <f>SUMIFS(tbl_task4[S140],tbl_task4[[SubPLOs]:[SubPLOs]],"&gt;=5",tbl_task4[[SubPLOs]:[SubPLOs]],"&lt;6")</f>
        <v>0</v>
      </c>
      <c r="EP38" s="138">
        <f>SUMIFS(tbl_task4[S141],tbl_task4[[SubPLOs]:[SubPLOs]],"&gt;=5",tbl_task4[[SubPLOs]:[SubPLOs]],"&lt;6")</f>
        <v>0</v>
      </c>
      <c r="EQ38" s="138">
        <f>SUMIFS(tbl_task4[S142],tbl_task4[[SubPLOs]:[SubPLOs]],"&gt;=5",tbl_task4[[SubPLOs]:[SubPLOs]],"&lt;6")</f>
        <v>0</v>
      </c>
      <c r="ER38" s="138">
        <f>SUMIFS(tbl_task4[S143],tbl_task4[[SubPLOs]:[SubPLOs]],"&gt;=5",tbl_task4[[SubPLOs]:[SubPLOs]],"&lt;6")</f>
        <v>0</v>
      </c>
      <c r="ES38" s="138">
        <f>SUMIFS(tbl_task4[S144],tbl_task4[[SubPLOs]:[SubPLOs]],"&gt;=5",tbl_task4[[SubPLOs]:[SubPLOs]],"&lt;6")</f>
        <v>0</v>
      </c>
      <c r="ET38" s="138">
        <f>SUMIFS(tbl_task4[S145],tbl_task4[[SubPLOs]:[SubPLOs]],"&gt;=5",tbl_task4[[SubPLOs]:[SubPLOs]],"&lt;6")</f>
        <v>0</v>
      </c>
      <c r="EU38" s="138">
        <f>SUMIFS(tbl_task4[S146],tbl_task4[[SubPLOs]:[SubPLOs]],"&gt;=5",tbl_task4[[SubPLOs]:[SubPLOs]],"&lt;6")</f>
        <v>0</v>
      </c>
      <c r="EV38" s="138">
        <f>SUMIFS(tbl_task4[S147],tbl_task4[[SubPLOs]:[SubPLOs]],"&gt;=5",tbl_task4[[SubPLOs]:[SubPLOs]],"&lt;6")</f>
        <v>0</v>
      </c>
      <c r="EW38" s="138">
        <f>SUMIFS(tbl_task4[S148],tbl_task4[[SubPLOs]:[SubPLOs]],"&gt;=5",tbl_task4[[SubPLOs]:[SubPLOs]],"&lt;6")</f>
        <v>0</v>
      </c>
      <c r="EX38" s="138">
        <f>SUMIFS(tbl_task4[S149],tbl_task4[[SubPLOs]:[SubPLOs]],"&gt;=5",tbl_task4[[SubPLOs]:[SubPLOs]],"&lt;6")</f>
        <v>0</v>
      </c>
      <c r="EY38" s="138">
        <f>SUMIFS(tbl_task4[S150],tbl_task4[[SubPLOs]:[SubPLOs]],"&gt;=5",tbl_task4[[SubPLOs]:[SubPLOs]],"&lt;6")</f>
        <v>0</v>
      </c>
      <c r="EZ38" s="138">
        <f>SUMIFS(tbl_task4[S151],tbl_task4[[SubPLOs]:[SubPLOs]],"&gt;=5",tbl_task4[[SubPLOs]:[SubPLOs]],"&lt;6")</f>
        <v>0</v>
      </c>
      <c r="FA38" s="138">
        <f>SUMIFS(tbl_task4[S152],tbl_task4[[SubPLOs]:[SubPLOs]],"&gt;=5",tbl_task4[[SubPLOs]:[SubPLOs]],"&lt;6")</f>
        <v>0</v>
      </c>
      <c r="FB38" s="138">
        <f>SUMIFS(tbl_task4[S153],tbl_task4[[SubPLOs]:[SubPLOs]],"&gt;=5",tbl_task4[[SubPLOs]:[SubPLOs]],"&lt;6")</f>
        <v>0</v>
      </c>
      <c r="FC38" s="138">
        <f>SUMIFS(tbl_task4[S154],tbl_task4[[SubPLOs]:[SubPLOs]],"&gt;=5",tbl_task4[[SubPLOs]:[SubPLOs]],"&lt;6")</f>
        <v>0</v>
      </c>
      <c r="FD38" s="138">
        <f>SUMIFS(tbl_task4[S155],tbl_task4[[SubPLOs]:[SubPLOs]],"&gt;=5",tbl_task4[[SubPLOs]:[SubPLOs]],"&lt;6")</f>
        <v>0</v>
      </c>
      <c r="FE38" s="138">
        <f>SUMIFS(tbl_task4[S156],tbl_task4[[SubPLOs]:[SubPLOs]],"&gt;=5",tbl_task4[[SubPLOs]:[SubPLOs]],"&lt;6")</f>
        <v>0</v>
      </c>
      <c r="FF38" s="138">
        <f>SUMIFS(tbl_task4[S157],tbl_task4[[SubPLOs]:[SubPLOs]],"&gt;=5",tbl_task4[[SubPLOs]:[SubPLOs]],"&lt;6")</f>
        <v>0</v>
      </c>
      <c r="FG38" s="138">
        <f>SUMIFS(tbl_task4[S158],tbl_task4[[SubPLOs]:[SubPLOs]],"&gt;=5",tbl_task4[[SubPLOs]:[SubPLOs]],"&lt;6")</f>
        <v>0</v>
      </c>
      <c r="FH38" s="138">
        <f>SUMIFS(tbl_task4[S159],tbl_task4[[SubPLOs]:[SubPLOs]],"&gt;=5",tbl_task4[[SubPLOs]:[SubPLOs]],"&lt;6")</f>
        <v>0</v>
      </c>
      <c r="FI38" s="138">
        <f>SUMIFS(tbl_task4[S160],tbl_task4[[SubPLOs]:[SubPLOs]],"&gt;=5",tbl_task4[[SubPLOs]:[SubPLOs]],"&lt;6")</f>
        <v>0</v>
      </c>
      <c r="FJ38" s="138">
        <f>SUMIFS(tbl_task4[S161],tbl_task4[[SubPLOs]:[SubPLOs]],"&gt;=5",tbl_task4[[SubPLOs]:[SubPLOs]],"&lt;6")</f>
        <v>0</v>
      </c>
      <c r="FK38" s="138">
        <f>SUMIFS(tbl_task4[S162],tbl_task4[[SubPLOs]:[SubPLOs]],"&gt;=5",tbl_task4[[SubPLOs]:[SubPLOs]],"&lt;6")</f>
        <v>0</v>
      </c>
      <c r="FL38" s="138">
        <f>SUMIFS(tbl_task4[S163],tbl_task4[[SubPLOs]:[SubPLOs]],"&gt;=5",tbl_task4[[SubPLOs]:[SubPLOs]],"&lt;6")</f>
        <v>0</v>
      </c>
      <c r="FM38" s="138">
        <f>SUMIFS(tbl_task4[S164],tbl_task4[[SubPLOs]:[SubPLOs]],"&gt;=5",tbl_task4[[SubPLOs]:[SubPLOs]],"&lt;6")</f>
        <v>0</v>
      </c>
      <c r="FN38" s="138">
        <f>SUMIFS(tbl_task4[S165],tbl_task4[[SubPLOs]:[SubPLOs]],"&gt;=5",tbl_task4[[SubPLOs]:[SubPLOs]],"&lt;6")</f>
        <v>0</v>
      </c>
    </row>
    <row r="39" spans="1:170" ht="42" x14ac:dyDescent="0.25">
      <c r="A39" s="135">
        <v>6</v>
      </c>
      <c r="B39" s="5" t="s">
        <v>439</v>
      </c>
      <c r="C39" s="136">
        <f>COUNTIFS(tbl_task4[SubPLOs],"&gt;=6",tbl_task4[SubPLOs],"&lt;7")</f>
        <v>0</v>
      </c>
      <c r="D39" s="136">
        <f>SUMIFS(tbl_task4[คะแนนเต็ม],tbl_task4[SubPLOs],"&gt;=6",tbl_task4[SubPLOs],"&lt;7")</f>
        <v>0</v>
      </c>
      <c r="E39" s="137">
        <f>SUMIFS(tbl_task4[%],tbl_task4[SubPLOs],"&gt;=6",tbl_task4[SubPLOs],"&lt;7")</f>
        <v>0</v>
      </c>
      <c r="F39" s="138">
        <f>SUMIFS(tbl_task4[S1],tbl_task4[[SubPLOs]:[SubPLOs]],"&gt;=6",tbl_task4[[SubPLOs]:[SubPLOs]],"&lt;7")</f>
        <v>0</v>
      </c>
      <c r="G39" s="138">
        <f>SUMIFS(tbl_task4[S2],tbl_task4[[SubPLOs]:[SubPLOs]],"&gt;=6",tbl_task4[[SubPLOs]:[SubPLOs]],"&lt;7")</f>
        <v>0</v>
      </c>
      <c r="H39" s="138">
        <f>SUMIFS(tbl_task4[S3],tbl_task4[[SubPLOs]:[SubPLOs]],"&gt;=6",tbl_task4[[SubPLOs]:[SubPLOs]],"&lt;7")</f>
        <v>0</v>
      </c>
      <c r="I39" s="138">
        <f>SUMIFS(tbl_task4[S4],tbl_task4[[SubPLOs]:[SubPLOs]],"&gt;=6",tbl_task4[[SubPLOs]:[SubPLOs]],"&lt;7")</f>
        <v>0</v>
      </c>
      <c r="J39" s="138">
        <f>SUMIFS(tbl_task4[S5],tbl_task4[[SubPLOs]:[SubPLOs]],"&gt;=6",tbl_task4[[SubPLOs]:[SubPLOs]],"&lt;7")</f>
        <v>0</v>
      </c>
      <c r="K39" s="138">
        <f>SUMIFS(tbl_task4[S6],tbl_task4[[SubPLOs]:[SubPLOs]],"&gt;=6",tbl_task4[[SubPLOs]:[SubPLOs]],"&lt;7")</f>
        <v>0</v>
      </c>
      <c r="L39" s="138">
        <f>SUMIFS(tbl_task4[S7],tbl_task4[[SubPLOs]:[SubPLOs]],"&gt;=6",tbl_task4[[SubPLOs]:[SubPLOs]],"&lt;7")</f>
        <v>0</v>
      </c>
      <c r="M39" s="138">
        <f>SUMIFS(tbl_task4[S8],tbl_task4[[SubPLOs]:[SubPLOs]],"&gt;=6",tbl_task4[[SubPLOs]:[SubPLOs]],"&lt;7")</f>
        <v>0</v>
      </c>
      <c r="N39" s="138">
        <f>SUMIFS(tbl_task4[S9],tbl_task4[[SubPLOs]:[SubPLOs]],"&gt;=6",tbl_task4[[SubPLOs]:[SubPLOs]],"&lt;7")</f>
        <v>0</v>
      </c>
      <c r="O39" s="138">
        <f>SUMIFS(tbl_task4[S10],tbl_task4[[SubPLOs]:[SubPLOs]],"&gt;=6",tbl_task4[[SubPLOs]:[SubPLOs]],"&lt;7")</f>
        <v>0</v>
      </c>
      <c r="P39" s="138">
        <f>SUMIFS(tbl_task4[S11],tbl_task4[[SubPLOs]:[SubPLOs]],"&gt;=6",tbl_task4[[SubPLOs]:[SubPLOs]],"&lt;7")</f>
        <v>0</v>
      </c>
      <c r="Q39" s="138">
        <f>SUMIFS(tbl_task4[S12],tbl_task4[[SubPLOs]:[SubPLOs]],"&gt;=6",tbl_task4[[SubPLOs]:[SubPLOs]],"&lt;7")</f>
        <v>0</v>
      </c>
      <c r="R39" s="138">
        <f>SUMIFS(tbl_task4[S13],tbl_task4[[SubPLOs]:[SubPLOs]],"&gt;=6",tbl_task4[[SubPLOs]:[SubPLOs]],"&lt;7")</f>
        <v>0</v>
      </c>
      <c r="S39" s="138">
        <f>SUMIFS(tbl_task4[S14],tbl_task4[[SubPLOs]:[SubPLOs]],"&gt;=6",tbl_task4[[SubPLOs]:[SubPLOs]],"&lt;7")</f>
        <v>0</v>
      </c>
      <c r="T39" s="138">
        <f>SUMIFS(tbl_task4[S15],tbl_task4[[SubPLOs]:[SubPLOs]],"&gt;=6",tbl_task4[[SubPLOs]:[SubPLOs]],"&lt;7")</f>
        <v>0</v>
      </c>
      <c r="U39" s="138">
        <f>SUMIFS(tbl_task4[S16],tbl_task4[[SubPLOs]:[SubPLOs]],"&gt;=6",tbl_task4[[SubPLOs]:[SubPLOs]],"&lt;7")</f>
        <v>0</v>
      </c>
      <c r="V39" s="138">
        <f>SUMIFS(tbl_task4[S17],tbl_task4[[SubPLOs]:[SubPLOs]],"&gt;=6",tbl_task4[[SubPLOs]:[SubPLOs]],"&lt;7")</f>
        <v>0</v>
      </c>
      <c r="W39" s="138">
        <f>SUMIFS(tbl_task4[S18],tbl_task4[[SubPLOs]:[SubPLOs]],"&gt;=6",tbl_task4[[SubPLOs]:[SubPLOs]],"&lt;7")</f>
        <v>0</v>
      </c>
      <c r="X39" s="138">
        <f>SUMIFS(tbl_task4[S19],tbl_task4[[SubPLOs]:[SubPLOs]],"&gt;=6",tbl_task4[[SubPLOs]:[SubPLOs]],"&lt;7")</f>
        <v>0</v>
      </c>
      <c r="Y39" s="138">
        <f>SUMIFS(tbl_task4[S20],tbl_task4[[SubPLOs]:[SubPLOs]],"&gt;=6",tbl_task4[[SubPLOs]:[SubPLOs]],"&lt;7")</f>
        <v>0</v>
      </c>
      <c r="Z39" s="138">
        <f>SUMIFS(tbl_task4[S21],tbl_task4[[SubPLOs]:[SubPLOs]],"&gt;=6",tbl_task4[[SubPLOs]:[SubPLOs]],"&lt;7")</f>
        <v>0</v>
      </c>
      <c r="AA39" s="138">
        <f>SUMIFS(tbl_task4[S22],tbl_task4[[SubPLOs]:[SubPLOs]],"&gt;=6",tbl_task4[[SubPLOs]:[SubPLOs]],"&lt;7")</f>
        <v>0</v>
      </c>
      <c r="AB39" s="138">
        <f>SUMIFS(tbl_task4[S23],tbl_task4[[SubPLOs]:[SubPLOs]],"&gt;=6",tbl_task4[[SubPLOs]:[SubPLOs]],"&lt;7")</f>
        <v>0</v>
      </c>
      <c r="AC39" s="138">
        <f>SUMIFS(tbl_task4[S24],tbl_task4[[SubPLOs]:[SubPLOs]],"&gt;=6",tbl_task4[[SubPLOs]:[SubPLOs]],"&lt;7")</f>
        <v>0</v>
      </c>
      <c r="AD39" s="138">
        <f>SUMIFS(tbl_task4[S25],tbl_task4[[SubPLOs]:[SubPLOs]],"&gt;=6",tbl_task4[[SubPLOs]:[SubPLOs]],"&lt;7")</f>
        <v>0</v>
      </c>
      <c r="AE39" s="138">
        <f>SUMIFS(tbl_task4[S26],tbl_task4[[SubPLOs]:[SubPLOs]],"&gt;=6",tbl_task4[[SubPLOs]:[SubPLOs]],"&lt;7")</f>
        <v>0</v>
      </c>
      <c r="AF39" s="138">
        <f>SUMIFS(tbl_task4[S27],tbl_task4[[SubPLOs]:[SubPLOs]],"&gt;=6",tbl_task4[[SubPLOs]:[SubPLOs]],"&lt;7")</f>
        <v>0</v>
      </c>
      <c r="AG39" s="138">
        <f>SUMIFS(tbl_task4[S28],tbl_task4[[SubPLOs]:[SubPLOs]],"&gt;=6",tbl_task4[[SubPLOs]:[SubPLOs]],"&lt;7")</f>
        <v>0</v>
      </c>
      <c r="AH39" s="138">
        <f>SUMIFS(tbl_task4[S29],tbl_task4[[SubPLOs]:[SubPLOs]],"&gt;=6",tbl_task4[[SubPLOs]:[SubPLOs]],"&lt;7")</f>
        <v>0</v>
      </c>
      <c r="AI39" s="138">
        <f>SUMIFS(tbl_task4[S30],tbl_task4[[SubPLOs]:[SubPLOs]],"&gt;=6",tbl_task4[[SubPLOs]:[SubPLOs]],"&lt;7")</f>
        <v>0</v>
      </c>
      <c r="AJ39" s="138">
        <f>SUMIFS(tbl_task4[S31],tbl_task4[[SubPLOs]:[SubPLOs]],"&gt;=6",tbl_task4[[SubPLOs]:[SubPLOs]],"&lt;7")</f>
        <v>0</v>
      </c>
      <c r="AK39" s="138">
        <f>SUMIFS(tbl_task4[S32],tbl_task4[[SubPLOs]:[SubPLOs]],"&gt;=6",tbl_task4[[SubPLOs]:[SubPLOs]],"&lt;7")</f>
        <v>0</v>
      </c>
      <c r="AL39" s="138">
        <f>SUMIFS(tbl_task4[S33],tbl_task4[[SubPLOs]:[SubPLOs]],"&gt;=6",tbl_task4[[SubPLOs]:[SubPLOs]],"&lt;7")</f>
        <v>0</v>
      </c>
      <c r="AM39" s="138">
        <f>SUMIFS(tbl_task4[S34],tbl_task4[[SubPLOs]:[SubPLOs]],"&gt;=6",tbl_task4[[SubPLOs]:[SubPLOs]],"&lt;7")</f>
        <v>0</v>
      </c>
      <c r="AN39" s="138">
        <f>SUMIFS(tbl_task4[S35],tbl_task4[[SubPLOs]:[SubPLOs]],"&gt;=6",tbl_task4[[SubPLOs]:[SubPLOs]],"&lt;7")</f>
        <v>0</v>
      </c>
      <c r="AO39" s="138">
        <f>SUMIFS(tbl_task4[S36],tbl_task4[[SubPLOs]:[SubPLOs]],"&gt;=6",tbl_task4[[SubPLOs]:[SubPLOs]],"&lt;7")</f>
        <v>0</v>
      </c>
      <c r="AP39" s="138">
        <f>SUMIFS(tbl_task4[S37],tbl_task4[[SubPLOs]:[SubPLOs]],"&gt;=6",tbl_task4[[SubPLOs]:[SubPLOs]],"&lt;7")</f>
        <v>0</v>
      </c>
      <c r="AQ39" s="138">
        <f>SUMIFS(tbl_task4[S38],tbl_task4[[SubPLOs]:[SubPLOs]],"&gt;=6",tbl_task4[[SubPLOs]:[SubPLOs]],"&lt;7")</f>
        <v>0</v>
      </c>
      <c r="AR39" s="138">
        <f>SUMIFS(tbl_task4[S39],tbl_task4[[SubPLOs]:[SubPLOs]],"&gt;=6",tbl_task4[[SubPLOs]:[SubPLOs]],"&lt;7")</f>
        <v>0</v>
      </c>
      <c r="AS39" s="138">
        <f>SUMIFS(tbl_task4[S40],tbl_task4[[SubPLOs]:[SubPLOs]],"&gt;=6",tbl_task4[[SubPLOs]:[SubPLOs]],"&lt;7")</f>
        <v>0</v>
      </c>
      <c r="AT39" s="138">
        <f>SUMIFS(tbl_task4[S41],tbl_task4[[SubPLOs]:[SubPLOs]],"&gt;=6",tbl_task4[[SubPLOs]:[SubPLOs]],"&lt;7")</f>
        <v>0</v>
      </c>
      <c r="AU39" s="138">
        <f>SUMIFS(tbl_task4[S42],tbl_task4[[SubPLOs]:[SubPLOs]],"&gt;=6",tbl_task4[[SubPLOs]:[SubPLOs]],"&lt;7")</f>
        <v>0</v>
      </c>
      <c r="AV39" s="138">
        <f>SUMIFS(tbl_task4[S43],tbl_task4[[SubPLOs]:[SubPLOs]],"&gt;=6",tbl_task4[[SubPLOs]:[SubPLOs]],"&lt;7")</f>
        <v>0</v>
      </c>
      <c r="AW39" s="138">
        <f>SUMIFS(tbl_task4[S44],tbl_task4[[SubPLOs]:[SubPLOs]],"&gt;=6",tbl_task4[[SubPLOs]:[SubPLOs]],"&lt;7")</f>
        <v>0</v>
      </c>
      <c r="AX39" s="138">
        <f>SUMIFS(tbl_task4[S45],tbl_task4[[SubPLOs]:[SubPLOs]],"&gt;=6",tbl_task4[[SubPLOs]:[SubPLOs]],"&lt;7")</f>
        <v>0</v>
      </c>
      <c r="AY39" s="138">
        <f>SUMIFS(tbl_task4[S46],tbl_task4[[SubPLOs]:[SubPLOs]],"&gt;=6",tbl_task4[[SubPLOs]:[SubPLOs]],"&lt;7")</f>
        <v>0</v>
      </c>
      <c r="AZ39" s="138">
        <f>SUMIFS(tbl_task4[S47],tbl_task4[[SubPLOs]:[SubPLOs]],"&gt;=6",tbl_task4[[SubPLOs]:[SubPLOs]],"&lt;7")</f>
        <v>0</v>
      </c>
      <c r="BA39" s="138">
        <f>SUMIFS(tbl_task4[S48],tbl_task4[[SubPLOs]:[SubPLOs]],"&gt;=6",tbl_task4[[SubPLOs]:[SubPLOs]],"&lt;7")</f>
        <v>0</v>
      </c>
      <c r="BB39" s="138">
        <f>SUMIFS(tbl_task4[S49],tbl_task4[[SubPLOs]:[SubPLOs]],"&gt;=6",tbl_task4[[SubPLOs]:[SubPLOs]],"&lt;7")</f>
        <v>0</v>
      </c>
      <c r="BC39" s="138">
        <f>SUMIFS(tbl_task4[S50],tbl_task4[[SubPLOs]:[SubPLOs]],"&gt;=6",tbl_task4[[SubPLOs]:[SubPLOs]],"&lt;7")</f>
        <v>0</v>
      </c>
      <c r="BD39" s="138">
        <f>SUMIFS(tbl_task4[S51],tbl_task4[[SubPLOs]:[SubPLOs]],"&gt;=6",tbl_task4[[SubPLOs]:[SubPLOs]],"&lt;7")</f>
        <v>0</v>
      </c>
      <c r="BE39" s="138">
        <f>SUMIFS(tbl_task4[S52],tbl_task4[[SubPLOs]:[SubPLOs]],"&gt;=6",tbl_task4[[SubPLOs]:[SubPLOs]],"&lt;7")</f>
        <v>0</v>
      </c>
      <c r="BF39" s="138">
        <f>SUMIFS(tbl_task4[S53],tbl_task4[[SubPLOs]:[SubPLOs]],"&gt;=6",tbl_task4[[SubPLOs]:[SubPLOs]],"&lt;7")</f>
        <v>0</v>
      </c>
      <c r="BG39" s="138">
        <f>SUMIFS(tbl_task4[S54],tbl_task4[[SubPLOs]:[SubPLOs]],"&gt;=6",tbl_task4[[SubPLOs]:[SubPLOs]],"&lt;7")</f>
        <v>0</v>
      </c>
      <c r="BH39" s="138">
        <f>SUMIFS(tbl_task4[S55],tbl_task4[[SubPLOs]:[SubPLOs]],"&gt;=6",tbl_task4[[SubPLOs]:[SubPLOs]],"&lt;7")</f>
        <v>0</v>
      </c>
      <c r="BI39" s="138">
        <f>SUMIFS(tbl_task4[S56],tbl_task4[[SubPLOs]:[SubPLOs]],"&gt;=6",tbl_task4[[SubPLOs]:[SubPLOs]],"&lt;7")</f>
        <v>0</v>
      </c>
      <c r="BJ39" s="138">
        <f>SUMIFS(tbl_task4[S57],tbl_task4[[SubPLOs]:[SubPLOs]],"&gt;=6",tbl_task4[[SubPLOs]:[SubPLOs]],"&lt;7")</f>
        <v>0</v>
      </c>
      <c r="BK39" s="138">
        <f>SUMIFS(tbl_task4[S58],tbl_task4[[SubPLOs]:[SubPLOs]],"&gt;=6",tbl_task4[[SubPLOs]:[SubPLOs]],"&lt;7")</f>
        <v>0</v>
      </c>
      <c r="BL39" s="138">
        <f>SUMIFS(tbl_task4[S59],tbl_task4[[SubPLOs]:[SubPLOs]],"&gt;=6",tbl_task4[[SubPLOs]:[SubPLOs]],"&lt;7")</f>
        <v>0</v>
      </c>
      <c r="BM39" s="138">
        <f>SUMIFS(tbl_task4[S60],tbl_task4[[SubPLOs]:[SubPLOs]],"&gt;=6",tbl_task4[[SubPLOs]:[SubPLOs]],"&lt;7")</f>
        <v>0</v>
      </c>
      <c r="BN39" s="138">
        <f>SUMIFS(tbl_task4[S61],tbl_task4[[SubPLOs]:[SubPLOs]],"&gt;=6",tbl_task4[[SubPLOs]:[SubPLOs]],"&lt;7")</f>
        <v>0</v>
      </c>
      <c r="BO39" s="138">
        <f>SUMIFS(tbl_task4[S62],tbl_task4[[SubPLOs]:[SubPLOs]],"&gt;=6",tbl_task4[[SubPLOs]:[SubPLOs]],"&lt;7")</f>
        <v>0</v>
      </c>
      <c r="BP39" s="138">
        <f>SUMIFS(tbl_task4[S63],tbl_task4[[SubPLOs]:[SubPLOs]],"&gt;=6",tbl_task4[[SubPLOs]:[SubPLOs]],"&lt;7")</f>
        <v>0</v>
      </c>
      <c r="BQ39" s="138">
        <f>SUMIFS(tbl_task4[S64],tbl_task4[[SubPLOs]:[SubPLOs]],"&gt;=6",tbl_task4[[SubPLOs]:[SubPLOs]],"&lt;7")</f>
        <v>0</v>
      </c>
      <c r="BR39" s="138">
        <f>SUMIFS(tbl_task4[S65],tbl_task4[[SubPLOs]:[SubPLOs]],"&gt;=6",tbl_task4[[SubPLOs]:[SubPLOs]],"&lt;7")</f>
        <v>0</v>
      </c>
      <c r="BS39" s="138">
        <f>SUMIFS(tbl_task4[S66],tbl_task4[[SubPLOs]:[SubPLOs]],"&gt;=6",tbl_task4[[SubPLOs]:[SubPLOs]],"&lt;7")</f>
        <v>0</v>
      </c>
      <c r="BT39" s="138">
        <f>SUMIFS(tbl_task4[S67],tbl_task4[[SubPLOs]:[SubPLOs]],"&gt;=6",tbl_task4[[SubPLOs]:[SubPLOs]],"&lt;7")</f>
        <v>0</v>
      </c>
      <c r="BU39" s="138">
        <f>SUMIFS(tbl_task4[S68],tbl_task4[[SubPLOs]:[SubPLOs]],"&gt;=6",tbl_task4[[SubPLOs]:[SubPLOs]],"&lt;7")</f>
        <v>0</v>
      </c>
      <c r="BV39" s="138">
        <f>SUMIFS(tbl_task4[S69],tbl_task4[[SubPLOs]:[SubPLOs]],"&gt;=6",tbl_task4[[SubPLOs]:[SubPLOs]],"&lt;7")</f>
        <v>0</v>
      </c>
      <c r="BW39" s="138">
        <f>SUMIFS(tbl_task4[S70],tbl_task4[[SubPLOs]:[SubPLOs]],"&gt;=6",tbl_task4[[SubPLOs]:[SubPLOs]],"&lt;7")</f>
        <v>0</v>
      </c>
      <c r="BX39" s="138">
        <f>SUMIFS(tbl_task4[S71],tbl_task4[[SubPLOs]:[SubPLOs]],"&gt;=6",tbl_task4[[SubPLOs]:[SubPLOs]],"&lt;7")</f>
        <v>0</v>
      </c>
      <c r="BY39" s="138">
        <f>SUMIFS(tbl_task4[S72],tbl_task4[[SubPLOs]:[SubPLOs]],"&gt;=6",tbl_task4[[SubPLOs]:[SubPLOs]],"&lt;7")</f>
        <v>0</v>
      </c>
      <c r="BZ39" s="138">
        <f>SUMIFS(tbl_task4[S73],tbl_task4[[SubPLOs]:[SubPLOs]],"&gt;=6",tbl_task4[[SubPLOs]:[SubPLOs]],"&lt;7")</f>
        <v>0</v>
      </c>
      <c r="CA39" s="138">
        <f>SUMIFS(tbl_task4[S74],tbl_task4[[SubPLOs]:[SubPLOs]],"&gt;=6",tbl_task4[[SubPLOs]:[SubPLOs]],"&lt;7")</f>
        <v>0</v>
      </c>
      <c r="CB39" s="138">
        <f>SUMIFS(tbl_task4[S75],tbl_task4[[SubPLOs]:[SubPLOs]],"&gt;=6",tbl_task4[[SubPLOs]:[SubPLOs]],"&lt;7")</f>
        <v>0</v>
      </c>
      <c r="CC39" s="138">
        <f>SUMIFS(tbl_task4[S76],tbl_task4[[SubPLOs]:[SubPLOs]],"&gt;=6",tbl_task4[[SubPLOs]:[SubPLOs]],"&lt;7")</f>
        <v>0</v>
      </c>
      <c r="CD39" s="138">
        <f>SUMIFS(tbl_task4[S77],tbl_task4[[SubPLOs]:[SubPLOs]],"&gt;=6",tbl_task4[[SubPLOs]:[SubPLOs]],"&lt;7")</f>
        <v>0</v>
      </c>
      <c r="CE39" s="138">
        <f>SUMIFS(tbl_task4[S78],tbl_task4[[SubPLOs]:[SubPLOs]],"&gt;=6",tbl_task4[[SubPLOs]:[SubPLOs]],"&lt;7")</f>
        <v>0</v>
      </c>
      <c r="CF39" s="138">
        <f>SUMIFS(tbl_task4[S79],tbl_task4[[SubPLOs]:[SubPLOs]],"&gt;=6",tbl_task4[[SubPLOs]:[SubPLOs]],"&lt;7")</f>
        <v>0</v>
      </c>
      <c r="CG39" s="138">
        <f>SUMIFS(tbl_task4[S80],tbl_task4[[SubPLOs]:[SubPLOs]],"&gt;=6",tbl_task4[[SubPLOs]:[SubPLOs]],"&lt;7")</f>
        <v>0</v>
      </c>
      <c r="CH39" s="138">
        <f>SUMIFS(tbl_task4[S81],tbl_task4[[SubPLOs]:[SubPLOs]],"&gt;=6",tbl_task4[[SubPLOs]:[SubPLOs]],"&lt;7")</f>
        <v>0</v>
      </c>
      <c r="CI39" s="138">
        <f>SUMIFS(tbl_task4[S82],tbl_task4[[SubPLOs]:[SubPLOs]],"&gt;=6",tbl_task4[[SubPLOs]:[SubPLOs]],"&lt;7")</f>
        <v>0</v>
      </c>
      <c r="CJ39" s="138">
        <f>SUMIFS(tbl_task4[S83],tbl_task4[[SubPLOs]:[SubPLOs]],"&gt;=6",tbl_task4[[SubPLOs]:[SubPLOs]],"&lt;7")</f>
        <v>0</v>
      </c>
      <c r="CK39" s="138">
        <f>SUMIFS(tbl_task4[S84],tbl_task4[[SubPLOs]:[SubPLOs]],"&gt;=6",tbl_task4[[SubPLOs]:[SubPLOs]],"&lt;7")</f>
        <v>0</v>
      </c>
      <c r="CL39" s="138">
        <f>SUMIFS(tbl_task4[S85],tbl_task4[[SubPLOs]:[SubPLOs]],"&gt;=6",tbl_task4[[SubPLOs]:[SubPLOs]],"&lt;7")</f>
        <v>0</v>
      </c>
      <c r="CM39" s="138">
        <f>SUMIFS(tbl_task4[S86],tbl_task4[[SubPLOs]:[SubPLOs]],"&gt;=6",tbl_task4[[SubPLOs]:[SubPLOs]],"&lt;7")</f>
        <v>0</v>
      </c>
      <c r="CN39" s="138">
        <f>SUMIFS(tbl_task4[S87],tbl_task4[[SubPLOs]:[SubPLOs]],"&gt;=6",tbl_task4[[SubPLOs]:[SubPLOs]],"&lt;7")</f>
        <v>0</v>
      </c>
      <c r="CO39" s="138">
        <f>SUMIFS(tbl_task4[S88],tbl_task4[[SubPLOs]:[SubPLOs]],"&gt;=6",tbl_task4[[SubPLOs]:[SubPLOs]],"&lt;7")</f>
        <v>0</v>
      </c>
      <c r="CP39" s="138">
        <f>SUMIFS(tbl_task4[S89],tbl_task4[[SubPLOs]:[SubPLOs]],"&gt;=6",tbl_task4[[SubPLOs]:[SubPLOs]],"&lt;7")</f>
        <v>0</v>
      </c>
      <c r="CQ39" s="138">
        <f>SUMIFS(tbl_task4[S90],tbl_task4[[SubPLOs]:[SubPLOs]],"&gt;=6",tbl_task4[[SubPLOs]:[SubPLOs]],"&lt;7")</f>
        <v>0</v>
      </c>
      <c r="CR39" s="138">
        <f>SUMIFS(tbl_task4[S91],tbl_task4[[SubPLOs]:[SubPLOs]],"&gt;=6",tbl_task4[[SubPLOs]:[SubPLOs]],"&lt;7")</f>
        <v>0</v>
      </c>
      <c r="CS39" s="138">
        <f>SUMIFS(tbl_task4[S92],tbl_task4[[SubPLOs]:[SubPLOs]],"&gt;=6",tbl_task4[[SubPLOs]:[SubPLOs]],"&lt;7")</f>
        <v>0</v>
      </c>
      <c r="CT39" s="138">
        <f>SUMIFS(tbl_task4[S93],tbl_task4[[SubPLOs]:[SubPLOs]],"&gt;=6",tbl_task4[[SubPLOs]:[SubPLOs]],"&lt;7")</f>
        <v>0</v>
      </c>
      <c r="CU39" s="138">
        <f>SUMIFS(tbl_task4[S94],tbl_task4[[SubPLOs]:[SubPLOs]],"&gt;=6",tbl_task4[[SubPLOs]:[SubPLOs]],"&lt;7")</f>
        <v>0</v>
      </c>
      <c r="CV39" s="138">
        <f>SUMIFS(tbl_task4[S95],tbl_task4[[SubPLOs]:[SubPLOs]],"&gt;=6",tbl_task4[[SubPLOs]:[SubPLOs]],"&lt;7")</f>
        <v>0</v>
      </c>
      <c r="CW39" s="138">
        <f>SUMIFS(tbl_task4[S96],tbl_task4[[SubPLOs]:[SubPLOs]],"&gt;=6",tbl_task4[[SubPLOs]:[SubPLOs]],"&lt;7")</f>
        <v>0</v>
      </c>
      <c r="CX39" s="138">
        <f>SUMIFS(tbl_task4[S97],tbl_task4[[SubPLOs]:[SubPLOs]],"&gt;=6",tbl_task4[[SubPLOs]:[SubPLOs]],"&lt;7")</f>
        <v>0</v>
      </c>
      <c r="CY39" s="138">
        <f>SUMIFS(tbl_task4[S98],tbl_task4[[SubPLOs]:[SubPLOs]],"&gt;=6",tbl_task4[[SubPLOs]:[SubPLOs]],"&lt;7")</f>
        <v>0</v>
      </c>
      <c r="CZ39" s="138">
        <f>SUMIFS(tbl_task4[S99],tbl_task4[[SubPLOs]:[SubPLOs]],"&gt;=6",tbl_task4[[SubPLOs]:[SubPLOs]],"&lt;7")</f>
        <v>0</v>
      </c>
      <c r="DA39" s="138">
        <f>SUMIFS(tbl_task4[S100],tbl_task4[[SubPLOs]:[SubPLOs]],"&gt;=6",tbl_task4[[SubPLOs]:[SubPLOs]],"&lt;7")</f>
        <v>0</v>
      </c>
      <c r="DB39" s="138">
        <f>SUMIFS(tbl_task4[S101],tbl_task4[[SubPLOs]:[SubPLOs]],"&gt;=6",tbl_task4[[SubPLOs]:[SubPLOs]],"&lt;7")</f>
        <v>0</v>
      </c>
      <c r="DC39" s="138">
        <f>SUMIFS(tbl_task4[S102],tbl_task4[[SubPLOs]:[SubPLOs]],"&gt;=6",tbl_task4[[SubPLOs]:[SubPLOs]],"&lt;7")</f>
        <v>0</v>
      </c>
      <c r="DD39" s="138">
        <f>SUMIFS(tbl_task4[S103],tbl_task4[[SubPLOs]:[SubPLOs]],"&gt;=6",tbl_task4[[SubPLOs]:[SubPLOs]],"&lt;7")</f>
        <v>0</v>
      </c>
      <c r="DE39" s="138">
        <f>SUMIFS(tbl_task4[S104],tbl_task4[[SubPLOs]:[SubPLOs]],"&gt;=6",tbl_task4[[SubPLOs]:[SubPLOs]],"&lt;7")</f>
        <v>0</v>
      </c>
      <c r="DF39" s="138">
        <f>SUMIFS(tbl_task4[S105],tbl_task4[[SubPLOs]:[SubPLOs]],"&gt;=6",tbl_task4[[SubPLOs]:[SubPLOs]],"&lt;7")</f>
        <v>0</v>
      </c>
      <c r="DG39" s="138">
        <f>SUMIFS(tbl_task4[S106],tbl_task4[[SubPLOs]:[SubPLOs]],"&gt;=6",tbl_task4[[SubPLOs]:[SubPLOs]],"&lt;7")</f>
        <v>0</v>
      </c>
      <c r="DH39" s="138">
        <f>SUMIFS(tbl_task4[S106],tbl_task4[[SubPLOs]:[SubPLOs]],"&gt;=6",tbl_task4[[SubPLOs]:[SubPLOs]],"&lt;7")</f>
        <v>0</v>
      </c>
      <c r="DI39" s="138">
        <f>SUMIFS(tbl_task4[S108],tbl_task4[[SubPLOs]:[SubPLOs]],"&gt;=6",tbl_task4[[SubPLOs]:[SubPLOs]],"&lt;7")</f>
        <v>0</v>
      </c>
      <c r="DJ39" s="138">
        <f>SUMIFS(tbl_task4[S109],tbl_task4[[SubPLOs]:[SubPLOs]],"&gt;=6",tbl_task4[[SubPLOs]:[SubPLOs]],"&lt;7")</f>
        <v>0</v>
      </c>
      <c r="DK39" s="138">
        <f>SUMIFS(tbl_task4[S110],tbl_task4[[SubPLOs]:[SubPLOs]],"&gt;=6",tbl_task4[[SubPLOs]:[SubPLOs]],"&lt;7")</f>
        <v>0</v>
      </c>
      <c r="DL39" s="138">
        <f>SUMIFS(tbl_task4[S111],tbl_task4[[SubPLOs]:[SubPLOs]],"&gt;=6",tbl_task4[[SubPLOs]:[SubPLOs]],"&lt;7")</f>
        <v>0</v>
      </c>
      <c r="DM39" s="138">
        <f>SUMIFS(tbl_task4[S112],tbl_task4[[SubPLOs]:[SubPLOs]],"&gt;=6",tbl_task4[[SubPLOs]:[SubPLOs]],"&lt;7")</f>
        <v>0</v>
      </c>
      <c r="DN39" s="138">
        <f>SUMIFS(tbl_task4[S113],tbl_task4[[SubPLOs]:[SubPLOs]],"&gt;=6",tbl_task4[[SubPLOs]:[SubPLOs]],"&lt;7")</f>
        <v>0</v>
      </c>
      <c r="DO39" s="138">
        <f>SUMIFS(tbl_task4[S114],tbl_task4[[SubPLOs]:[SubPLOs]],"&gt;=6",tbl_task4[[SubPLOs]:[SubPLOs]],"&lt;7")</f>
        <v>0</v>
      </c>
      <c r="DP39" s="138">
        <f>SUMIFS(tbl_task4[S115],tbl_task4[[SubPLOs]:[SubPLOs]],"&gt;=6",tbl_task4[[SubPLOs]:[SubPLOs]],"&lt;7")</f>
        <v>0</v>
      </c>
      <c r="DQ39" s="138">
        <f>SUMIFS(tbl_task4[S116],tbl_task4[[SubPLOs]:[SubPLOs]],"&gt;=6",tbl_task4[[SubPLOs]:[SubPLOs]],"&lt;7")</f>
        <v>0</v>
      </c>
      <c r="DR39" s="138">
        <f>SUMIFS(tbl_task4[S117],tbl_task4[[SubPLOs]:[SubPLOs]],"&gt;=6",tbl_task4[[SubPLOs]:[SubPLOs]],"&lt;7")</f>
        <v>0</v>
      </c>
      <c r="DS39" s="138">
        <f>SUMIFS(tbl_task4[S118],tbl_task4[[SubPLOs]:[SubPLOs]],"&gt;=6",tbl_task4[[SubPLOs]:[SubPLOs]],"&lt;7")</f>
        <v>0</v>
      </c>
      <c r="DT39" s="138">
        <f>SUMIFS(tbl_task4[S119],tbl_task4[[SubPLOs]:[SubPLOs]],"&gt;=6",tbl_task4[[SubPLOs]:[SubPLOs]],"&lt;7")</f>
        <v>0</v>
      </c>
      <c r="DU39" s="138">
        <f>SUMIFS(tbl_task4[S120],tbl_task4[[SubPLOs]:[SubPLOs]],"&gt;=6",tbl_task4[[SubPLOs]:[SubPLOs]],"&lt;7")</f>
        <v>0</v>
      </c>
      <c r="DV39" s="138">
        <f>SUMIFS(tbl_task4[S121],tbl_task4[[SubPLOs]:[SubPLOs]],"&gt;=6",tbl_task4[[SubPLOs]:[SubPLOs]],"&lt;7")</f>
        <v>0</v>
      </c>
      <c r="DW39" s="138">
        <f>SUMIFS(tbl_task4[S122],tbl_task4[[SubPLOs]:[SubPLOs]],"&gt;=6",tbl_task4[[SubPLOs]:[SubPLOs]],"&lt;7")</f>
        <v>0</v>
      </c>
      <c r="DX39" s="138">
        <f>SUMIFS(tbl_task4[S123],tbl_task4[[SubPLOs]:[SubPLOs]],"&gt;=6",tbl_task4[[SubPLOs]:[SubPLOs]],"&lt;7")</f>
        <v>0</v>
      </c>
      <c r="DY39" s="138">
        <f>SUMIFS(tbl_task4[S124],tbl_task4[[SubPLOs]:[SubPLOs]],"&gt;=6",tbl_task4[[SubPLOs]:[SubPLOs]],"&lt;7")</f>
        <v>0</v>
      </c>
      <c r="DZ39" s="138">
        <f>SUMIFS(tbl_task4[S125],tbl_task4[[SubPLOs]:[SubPLOs]],"&gt;=6",tbl_task4[[SubPLOs]:[SubPLOs]],"&lt;7")</f>
        <v>0</v>
      </c>
      <c r="EA39" s="138">
        <f>SUMIFS(tbl_task4[S126],tbl_task4[[SubPLOs]:[SubPLOs]],"&gt;=6",tbl_task4[[SubPLOs]:[SubPLOs]],"&lt;7")</f>
        <v>0</v>
      </c>
      <c r="EB39" s="138">
        <f>SUMIFS(tbl_task4[S127],tbl_task4[[SubPLOs]:[SubPLOs]],"&gt;=6",tbl_task4[[SubPLOs]:[SubPLOs]],"&lt;7")</f>
        <v>0</v>
      </c>
      <c r="EC39" s="138">
        <f>SUMIFS(tbl_task4[S128],tbl_task4[[SubPLOs]:[SubPLOs]],"&gt;=6",tbl_task4[[SubPLOs]:[SubPLOs]],"&lt;7")</f>
        <v>0</v>
      </c>
      <c r="ED39" s="138">
        <f>SUMIFS(tbl_task4[S129],tbl_task4[[SubPLOs]:[SubPLOs]],"&gt;=6",tbl_task4[[SubPLOs]:[SubPLOs]],"&lt;7")</f>
        <v>0</v>
      </c>
      <c r="EE39" s="138">
        <f>SUMIFS(tbl_task4[S130],tbl_task4[[SubPLOs]:[SubPLOs]],"&gt;=6",tbl_task4[[SubPLOs]:[SubPLOs]],"&lt;7")</f>
        <v>0</v>
      </c>
      <c r="EF39" s="138">
        <f>SUMIFS(tbl_task4[S131],tbl_task4[[SubPLOs]:[SubPLOs]],"&gt;=6",tbl_task4[[SubPLOs]:[SubPLOs]],"&lt;7")</f>
        <v>0</v>
      </c>
      <c r="EG39" s="138">
        <f>SUMIFS(tbl_task4[S132],tbl_task4[[SubPLOs]:[SubPLOs]],"&gt;=6",tbl_task4[[SubPLOs]:[SubPLOs]],"&lt;7")</f>
        <v>0</v>
      </c>
      <c r="EH39" s="138">
        <f>SUMIFS(tbl_task4[S133],tbl_task4[[SubPLOs]:[SubPLOs]],"&gt;=6",tbl_task4[[SubPLOs]:[SubPLOs]],"&lt;7")</f>
        <v>0</v>
      </c>
      <c r="EI39" s="138">
        <f>SUMIFS(tbl_task4[S134],tbl_task4[[SubPLOs]:[SubPLOs]],"&gt;=6",tbl_task4[[SubPLOs]:[SubPLOs]],"&lt;7")</f>
        <v>0</v>
      </c>
      <c r="EJ39" s="138">
        <f>SUMIFS(tbl_task4[S135],tbl_task4[[SubPLOs]:[SubPLOs]],"&gt;=6",tbl_task4[[SubPLOs]:[SubPLOs]],"&lt;7")</f>
        <v>0</v>
      </c>
      <c r="EK39" s="138">
        <f>SUMIFS(tbl_task4[S136],tbl_task4[[SubPLOs]:[SubPLOs]],"&gt;=6",tbl_task4[[SubPLOs]:[SubPLOs]],"&lt;7")</f>
        <v>0</v>
      </c>
      <c r="EL39" s="138">
        <f>SUMIFS(tbl_task4[S137],tbl_task4[[SubPLOs]:[SubPLOs]],"&gt;=6",tbl_task4[[SubPLOs]:[SubPLOs]],"&lt;7")</f>
        <v>0</v>
      </c>
      <c r="EM39" s="138">
        <f>SUMIFS(tbl_task4[S138],tbl_task4[[SubPLOs]:[SubPLOs]],"&gt;=6",tbl_task4[[SubPLOs]:[SubPLOs]],"&lt;7")</f>
        <v>0</v>
      </c>
      <c r="EN39" s="138">
        <f>SUMIFS(tbl_task4[S139],tbl_task4[[SubPLOs]:[SubPLOs]],"&gt;=6",tbl_task4[[SubPLOs]:[SubPLOs]],"&lt;7")</f>
        <v>0</v>
      </c>
      <c r="EO39" s="138">
        <f>SUMIFS(tbl_task4[S140],tbl_task4[[SubPLOs]:[SubPLOs]],"&gt;=6",tbl_task4[[SubPLOs]:[SubPLOs]],"&lt;7")</f>
        <v>0</v>
      </c>
      <c r="EP39" s="138">
        <f>SUMIFS(tbl_task4[S141],tbl_task4[[SubPLOs]:[SubPLOs]],"&gt;=6",tbl_task4[[SubPLOs]:[SubPLOs]],"&lt;7")</f>
        <v>0</v>
      </c>
      <c r="EQ39" s="138">
        <f>SUMIFS(tbl_task4[S142],tbl_task4[[SubPLOs]:[SubPLOs]],"&gt;=6",tbl_task4[[SubPLOs]:[SubPLOs]],"&lt;7")</f>
        <v>0</v>
      </c>
      <c r="ER39" s="138">
        <f>SUMIFS(tbl_task4[S143],tbl_task4[[SubPLOs]:[SubPLOs]],"&gt;=6",tbl_task4[[SubPLOs]:[SubPLOs]],"&lt;7")</f>
        <v>0</v>
      </c>
      <c r="ES39" s="138">
        <f>SUMIFS(tbl_task4[S144],tbl_task4[[SubPLOs]:[SubPLOs]],"&gt;=6",tbl_task4[[SubPLOs]:[SubPLOs]],"&lt;7")</f>
        <v>0</v>
      </c>
      <c r="ET39" s="138">
        <f>SUMIFS(tbl_task4[S145],tbl_task4[[SubPLOs]:[SubPLOs]],"&gt;=6",tbl_task4[[SubPLOs]:[SubPLOs]],"&lt;7")</f>
        <v>0</v>
      </c>
      <c r="EU39" s="138">
        <f>SUMIFS(tbl_task4[S146],tbl_task4[[SubPLOs]:[SubPLOs]],"&gt;=6",tbl_task4[[SubPLOs]:[SubPLOs]],"&lt;7")</f>
        <v>0</v>
      </c>
      <c r="EV39" s="138">
        <f>SUMIFS(tbl_task4[S147],tbl_task4[[SubPLOs]:[SubPLOs]],"&gt;=6",tbl_task4[[SubPLOs]:[SubPLOs]],"&lt;7")</f>
        <v>0</v>
      </c>
      <c r="EW39" s="138">
        <f>SUMIFS(tbl_task4[S148],tbl_task4[[SubPLOs]:[SubPLOs]],"&gt;=6",tbl_task4[[SubPLOs]:[SubPLOs]],"&lt;7")</f>
        <v>0</v>
      </c>
      <c r="EX39" s="138">
        <f>SUMIFS(tbl_task4[S149],tbl_task4[[SubPLOs]:[SubPLOs]],"&gt;=6",tbl_task4[[SubPLOs]:[SubPLOs]],"&lt;7")</f>
        <v>0</v>
      </c>
      <c r="EY39" s="138">
        <f>SUMIFS(tbl_task4[S150],tbl_task4[[SubPLOs]:[SubPLOs]],"&gt;=6",tbl_task4[[SubPLOs]:[SubPLOs]],"&lt;7")</f>
        <v>0</v>
      </c>
      <c r="EZ39" s="138">
        <f>SUMIFS(tbl_task4[S151],tbl_task4[[SubPLOs]:[SubPLOs]],"&gt;=6",tbl_task4[[SubPLOs]:[SubPLOs]],"&lt;7")</f>
        <v>0</v>
      </c>
      <c r="FA39" s="138">
        <f>SUMIFS(tbl_task4[S152],tbl_task4[[SubPLOs]:[SubPLOs]],"&gt;=6",tbl_task4[[SubPLOs]:[SubPLOs]],"&lt;7")</f>
        <v>0</v>
      </c>
      <c r="FB39" s="138">
        <f>SUMIFS(tbl_task4[S153],tbl_task4[[SubPLOs]:[SubPLOs]],"&gt;=6",tbl_task4[[SubPLOs]:[SubPLOs]],"&lt;7")</f>
        <v>0</v>
      </c>
      <c r="FC39" s="138">
        <f>SUMIFS(tbl_task4[S154],tbl_task4[[SubPLOs]:[SubPLOs]],"&gt;=6",tbl_task4[[SubPLOs]:[SubPLOs]],"&lt;7")</f>
        <v>0</v>
      </c>
      <c r="FD39" s="138">
        <f>SUMIFS(tbl_task4[S155],tbl_task4[[SubPLOs]:[SubPLOs]],"&gt;=6",tbl_task4[[SubPLOs]:[SubPLOs]],"&lt;7")</f>
        <v>0</v>
      </c>
      <c r="FE39" s="138">
        <f>SUMIFS(tbl_task4[S156],tbl_task4[[SubPLOs]:[SubPLOs]],"&gt;=6",tbl_task4[[SubPLOs]:[SubPLOs]],"&lt;7")</f>
        <v>0</v>
      </c>
      <c r="FF39" s="138">
        <f>SUMIFS(tbl_task4[S157],tbl_task4[[SubPLOs]:[SubPLOs]],"&gt;=6",tbl_task4[[SubPLOs]:[SubPLOs]],"&lt;7")</f>
        <v>0</v>
      </c>
      <c r="FG39" s="138">
        <f>SUMIFS(tbl_task4[S158],tbl_task4[[SubPLOs]:[SubPLOs]],"&gt;=6",tbl_task4[[SubPLOs]:[SubPLOs]],"&lt;7")</f>
        <v>0</v>
      </c>
      <c r="FH39" s="138">
        <f>SUMIFS(tbl_task4[S159],tbl_task4[[SubPLOs]:[SubPLOs]],"&gt;=6",tbl_task4[[SubPLOs]:[SubPLOs]],"&lt;7")</f>
        <v>0</v>
      </c>
      <c r="FI39" s="138">
        <f>SUMIFS(tbl_task4[S160],tbl_task4[[SubPLOs]:[SubPLOs]],"&gt;=6",tbl_task4[[SubPLOs]:[SubPLOs]],"&lt;7")</f>
        <v>0</v>
      </c>
      <c r="FJ39" s="138">
        <f>SUMIFS(tbl_task4[S161],tbl_task4[[SubPLOs]:[SubPLOs]],"&gt;=6",tbl_task4[[SubPLOs]:[SubPLOs]],"&lt;7")</f>
        <v>0</v>
      </c>
      <c r="FK39" s="138">
        <f>SUMIFS(tbl_task4[S162],tbl_task4[[SubPLOs]:[SubPLOs]],"&gt;=6",tbl_task4[[SubPLOs]:[SubPLOs]],"&lt;7")</f>
        <v>0</v>
      </c>
      <c r="FL39" s="138">
        <f>SUMIFS(tbl_task4[S163],tbl_task4[[SubPLOs]:[SubPLOs]],"&gt;=6",tbl_task4[[SubPLOs]:[SubPLOs]],"&lt;7")</f>
        <v>0</v>
      </c>
      <c r="FM39" s="138">
        <f>SUMIFS(tbl_task4[S164],tbl_task4[[SubPLOs]:[SubPLOs]],"&gt;=6",tbl_task4[[SubPLOs]:[SubPLOs]],"&lt;7")</f>
        <v>0</v>
      </c>
      <c r="FN39" s="138">
        <f>SUMIFS(tbl_task4[S165],tbl_task4[[SubPLOs]:[SubPLOs]],"&gt;=6",tbl_task4[[SubPLOs]:[SubPLOs]],"&lt;7")</f>
        <v>0</v>
      </c>
    </row>
    <row r="40" spans="1:170" ht="42" x14ac:dyDescent="0.25">
      <c r="A40" s="135">
        <v>7</v>
      </c>
      <c r="B40" s="5" t="s">
        <v>440</v>
      </c>
      <c r="C40" s="136">
        <f>COUNTIFS(tbl_task4[SubPLOs],"&gt;=7",tbl_task4[SubPLOs],"&lt;8")</f>
        <v>0</v>
      </c>
      <c r="D40" s="136">
        <f>SUMIFS(tbl_task4[คะแนนเต็ม],tbl_task4[SubPLOs],"&gt;=7",tbl_task4[SubPLOs],"&lt;8")</f>
        <v>0</v>
      </c>
      <c r="E40" s="137">
        <f>SUMIFS(tbl_task4[%],tbl_task4[SubPLOs],"&gt;=7",tbl_task4[SubPLOs],"&lt;8")</f>
        <v>0</v>
      </c>
      <c r="F40" s="138">
        <f>SUMIFS(tbl_task4[S1],tbl_task4[[SubPLOs]:[SubPLOs]],"&gt;=7",tbl_task4[[SubPLOs]:[SubPLOs]],"&lt;8")</f>
        <v>0</v>
      </c>
      <c r="G40" s="138">
        <f>SUMIFS(tbl_task4[S2],tbl_task4[[SubPLOs]:[SubPLOs]],"&gt;=7",tbl_task4[[SubPLOs]:[SubPLOs]],"&lt;8")</f>
        <v>0</v>
      </c>
      <c r="H40" s="138">
        <f>SUMIFS(tbl_task4[S3],tbl_task4[[SubPLOs]:[SubPLOs]],"&gt;=7",tbl_task4[[SubPLOs]:[SubPLOs]],"&lt;8")</f>
        <v>0</v>
      </c>
      <c r="I40" s="138">
        <f>SUMIFS(tbl_task4[S4],tbl_task4[[SubPLOs]:[SubPLOs]],"&gt;=7",tbl_task4[[SubPLOs]:[SubPLOs]],"&lt;8")</f>
        <v>0</v>
      </c>
      <c r="J40" s="138">
        <f>SUMIFS(tbl_task4[S5],tbl_task4[[SubPLOs]:[SubPLOs]],"&gt;=7",tbl_task4[[SubPLOs]:[SubPLOs]],"&lt;8")</f>
        <v>0</v>
      </c>
      <c r="K40" s="138">
        <f>SUMIFS(tbl_task4[S6],tbl_task4[[SubPLOs]:[SubPLOs]],"&gt;=7",tbl_task4[[SubPLOs]:[SubPLOs]],"&lt;8")</f>
        <v>0</v>
      </c>
      <c r="L40" s="138">
        <f>SUMIFS(tbl_task4[S7],tbl_task4[[SubPLOs]:[SubPLOs]],"&gt;=7",tbl_task4[[SubPLOs]:[SubPLOs]],"&lt;8")</f>
        <v>0</v>
      </c>
      <c r="M40" s="138">
        <f>SUMIFS(tbl_task4[S8],tbl_task4[[SubPLOs]:[SubPLOs]],"&gt;=7",tbl_task4[[SubPLOs]:[SubPLOs]],"&lt;8")</f>
        <v>0</v>
      </c>
      <c r="N40" s="138">
        <f>SUMIFS(tbl_task4[S9],tbl_task4[[SubPLOs]:[SubPLOs]],"&gt;=7",tbl_task4[[SubPLOs]:[SubPLOs]],"&lt;8")</f>
        <v>0</v>
      </c>
      <c r="O40" s="138">
        <f>SUMIFS(tbl_task4[S10],tbl_task4[[SubPLOs]:[SubPLOs]],"&gt;=7",tbl_task4[[SubPLOs]:[SubPLOs]],"&lt;8")</f>
        <v>0</v>
      </c>
      <c r="P40" s="138">
        <f>SUMIFS(tbl_task4[S11],tbl_task4[[SubPLOs]:[SubPLOs]],"&gt;=7",tbl_task4[[SubPLOs]:[SubPLOs]],"&lt;8")</f>
        <v>0</v>
      </c>
      <c r="Q40" s="138">
        <f>SUMIFS(tbl_task4[S12],tbl_task4[[SubPLOs]:[SubPLOs]],"&gt;=7",tbl_task4[[SubPLOs]:[SubPLOs]],"&lt;8")</f>
        <v>0</v>
      </c>
      <c r="R40" s="138">
        <f>SUMIFS(tbl_task4[S13],tbl_task4[[SubPLOs]:[SubPLOs]],"&gt;=7",tbl_task4[[SubPLOs]:[SubPLOs]],"&lt;8")</f>
        <v>0</v>
      </c>
      <c r="S40" s="138">
        <f>SUMIFS(tbl_task4[S14],tbl_task4[[SubPLOs]:[SubPLOs]],"&gt;=7",tbl_task4[[SubPLOs]:[SubPLOs]],"&lt;8")</f>
        <v>0</v>
      </c>
      <c r="T40" s="138">
        <f>SUMIFS(tbl_task4[S15],tbl_task4[[SubPLOs]:[SubPLOs]],"&gt;=7",tbl_task4[[SubPLOs]:[SubPLOs]],"&lt;8")</f>
        <v>0</v>
      </c>
      <c r="U40" s="138">
        <f>SUMIFS(tbl_task4[S16],tbl_task4[[SubPLOs]:[SubPLOs]],"&gt;=7",tbl_task4[[SubPLOs]:[SubPLOs]],"&lt;8")</f>
        <v>0</v>
      </c>
      <c r="V40" s="138">
        <f>SUMIFS(tbl_task4[S17],tbl_task4[[SubPLOs]:[SubPLOs]],"&gt;=7",tbl_task4[[SubPLOs]:[SubPLOs]],"&lt;8")</f>
        <v>0</v>
      </c>
      <c r="W40" s="138">
        <f>SUMIFS(tbl_task4[S18],tbl_task4[[SubPLOs]:[SubPLOs]],"&gt;=7",tbl_task4[[SubPLOs]:[SubPLOs]],"&lt;8")</f>
        <v>0</v>
      </c>
      <c r="X40" s="138">
        <f>SUMIFS(tbl_task4[S19],tbl_task4[[SubPLOs]:[SubPLOs]],"&gt;=7",tbl_task4[[SubPLOs]:[SubPLOs]],"&lt;8")</f>
        <v>0</v>
      </c>
      <c r="Y40" s="138">
        <f>SUMIFS(tbl_task4[S20],tbl_task4[[SubPLOs]:[SubPLOs]],"&gt;=7",tbl_task4[[SubPLOs]:[SubPLOs]],"&lt;8")</f>
        <v>0</v>
      </c>
      <c r="Z40" s="138">
        <f>SUMIFS(tbl_task4[S21],tbl_task4[[SubPLOs]:[SubPLOs]],"&gt;=7",tbl_task4[[SubPLOs]:[SubPLOs]],"&lt;8")</f>
        <v>0</v>
      </c>
      <c r="AA40" s="138">
        <f>SUMIFS(tbl_task4[S22],tbl_task4[[SubPLOs]:[SubPLOs]],"&gt;=7",tbl_task4[[SubPLOs]:[SubPLOs]],"&lt;8")</f>
        <v>0</v>
      </c>
      <c r="AB40" s="138">
        <f>SUMIFS(tbl_task4[S23],tbl_task4[[SubPLOs]:[SubPLOs]],"&gt;=7",tbl_task4[[SubPLOs]:[SubPLOs]],"&lt;8")</f>
        <v>0</v>
      </c>
      <c r="AC40" s="138">
        <f>SUMIFS(tbl_task4[S24],tbl_task4[[SubPLOs]:[SubPLOs]],"&gt;=7",tbl_task4[[SubPLOs]:[SubPLOs]],"&lt;8")</f>
        <v>0</v>
      </c>
      <c r="AD40" s="138">
        <f>SUMIFS(tbl_task4[S25],tbl_task4[[SubPLOs]:[SubPLOs]],"&gt;=7",tbl_task4[[SubPLOs]:[SubPLOs]],"&lt;8")</f>
        <v>0</v>
      </c>
      <c r="AE40" s="138">
        <f>SUMIFS(tbl_task4[S26],tbl_task4[[SubPLOs]:[SubPLOs]],"&gt;=7",tbl_task4[[SubPLOs]:[SubPLOs]],"&lt;8")</f>
        <v>0</v>
      </c>
      <c r="AF40" s="138">
        <f>SUMIFS(tbl_task4[S27],tbl_task4[[SubPLOs]:[SubPLOs]],"&gt;=7",tbl_task4[[SubPLOs]:[SubPLOs]],"&lt;8")</f>
        <v>0</v>
      </c>
      <c r="AG40" s="138">
        <f>SUMIFS(tbl_task4[S28],tbl_task4[[SubPLOs]:[SubPLOs]],"&gt;=7",tbl_task4[[SubPLOs]:[SubPLOs]],"&lt;8")</f>
        <v>0</v>
      </c>
      <c r="AH40" s="138">
        <f>SUMIFS(tbl_task4[S29],tbl_task4[[SubPLOs]:[SubPLOs]],"&gt;=7",tbl_task4[[SubPLOs]:[SubPLOs]],"&lt;8")</f>
        <v>0</v>
      </c>
      <c r="AI40" s="138">
        <f>SUMIFS(tbl_task4[S30],tbl_task4[[SubPLOs]:[SubPLOs]],"&gt;=7",tbl_task4[[SubPLOs]:[SubPLOs]],"&lt;8")</f>
        <v>0</v>
      </c>
      <c r="AJ40" s="138">
        <f>SUMIFS(tbl_task4[S31],tbl_task4[[SubPLOs]:[SubPLOs]],"&gt;=7",tbl_task4[[SubPLOs]:[SubPLOs]],"&lt;8")</f>
        <v>0</v>
      </c>
      <c r="AK40" s="138">
        <f>SUMIFS(tbl_task4[S32],tbl_task4[[SubPLOs]:[SubPLOs]],"&gt;=7",tbl_task4[[SubPLOs]:[SubPLOs]],"&lt;8")</f>
        <v>0</v>
      </c>
      <c r="AL40" s="138">
        <f>SUMIFS(tbl_task4[S33],tbl_task4[[SubPLOs]:[SubPLOs]],"&gt;=7",tbl_task4[[SubPLOs]:[SubPLOs]],"&lt;8")</f>
        <v>0</v>
      </c>
      <c r="AM40" s="138">
        <f>SUMIFS(tbl_task4[S34],tbl_task4[[SubPLOs]:[SubPLOs]],"&gt;=7",tbl_task4[[SubPLOs]:[SubPLOs]],"&lt;8")</f>
        <v>0</v>
      </c>
      <c r="AN40" s="138">
        <f>SUMIFS(tbl_task4[S35],tbl_task4[[SubPLOs]:[SubPLOs]],"&gt;=7",tbl_task4[[SubPLOs]:[SubPLOs]],"&lt;8")</f>
        <v>0</v>
      </c>
      <c r="AO40" s="138">
        <f>SUMIFS(tbl_task4[S36],tbl_task4[[SubPLOs]:[SubPLOs]],"&gt;=7",tbl_task4[[SubPLOs]:[SubPLOs]],"&lt;8")</f>
        <v>0</v>
      </c>
      <c r="AP40" s="138">
        <f>SUMIFS(tbl_task4[S37],tbl_task4[[SubPLOs]:[SubPLOs]],"&gt;=7",tbl_task4[[SubPLOs]:[SubPLOs]],"&lt;8")</f>
        <v>0</v>
      </c>
      <c r="AQ40" s="138">
        <f>SUMIFS(tbl_task4[S38],tbl_task4[[SubPLOs]:[SubPLOs]],"&gt;=7",tbl_task4[[SubPLOs]:[SubPLOs]],"&lt;8")</f>
        <v>0</v>
      </c>
      <c r="AR40" s="138">
        <f>SUMIFS(tbl_task4[S39],tbl_task4[[SubPLOs]:[SubPLOs]],"&gt;=7",tbl_task4[[SubPLOs]:[SubPLOs]],"&lt;8")</f>
        <v>0</v>
      </c>
      <c r="AS40" s="138">
        <f>SUMIFS(tbl_task4[S40],tbl_task4[[SubPLOs]:[SubPLOs]],"&gt;=7",tbl_task4[[SubPLOs]:[SubPLOs]],"&lt;8")</f>
        <v>0</v>
      </c>
      <c r="AT40" s="138">
        <f>SUMIFS(tbl_task4[S41],tbl_task4[[SubPLOs]:[SubPLOs]],"&gt;=7",tbl_task4[[SubPLOs]:[SubPLOs]],"&lt;8")</f>
        <v>0</v>
      </c>
      <c r="AU40" s="138">
        <f>SUMIFS(tbl_task4[S42],tbl_task4[[SubPLOs]:[SubPLOs]],"&gt;=7",tbl_task4[[SubPLOs]:[SubPLOs]],"&lt;8")</f>
        <v>0</v>
      </c>
      <c r="AV40" s="138">
        <f>SUMIFS(tbl_task4[S43],tbl_task4[[SubPLOs]:[SubPLOs]],"&gt;=7",tbl_task4[[SubPLOs]:[SubPLOs]],"&lt;8")</f>
        <v>0</v>
      </c>
      <c r="AW40" s="138">
        <f>SUMIFS(tbl_task4[S44],tbl_task4[[SubPLOs]:[SubPLOs]],"&gt;=7",tbl_task4[[SubPLOs]:[SubPLOs]],"&lt;8")</f>
        <v>0</v>
      </c>
      <c r="AX40" s="138">
        <f>SUMIFS(tbl_task4[S45],tbl_task4[[SubPLOs]:[SubPLOs]],"&gt;=7",tbl_task4[[SubPLOs]:[SubPLOs]],"&lt;8")</f>
        <v>0</v>
      </c>
      <c r="AY40" s="138">
        <f>SUMIFS(tbl_task4[S46],tbl_task4[[SubPLOs]:[SubPLOs]],"&gt;=7",tbl_task4[[SubPLOs]:[SubPLOs]],"&lt;8")</f>
        <v>0</v>
      </c>
      <c r="AZ40" s="138">
        <f>SUMIFS(tbl_task4[S47],tbl_task4[[SubPLOs]:[SubPLOs]],"&gt;=7",tbl_task4[[SubPLOs]:[SubPLOs]],"&lt;8")</f>
        <v>0</v>
      </c>
      <c r="BA40" s="138">
        <f>SUMIFS(tbl_task4[S48],tbl_task4[[SubPLOs]:[SubPLOs]],"&gt;=7",tbl_task4[[SubPLOs]:[SubPLOs]],"&lt;8")</f>
        <v>0</v>
      </c>
      <c r="BB40" s="138">
        <f>SUMIFS(tbl_task4[S49],tbl_task4[[SubPLOs]:[SubPLOs]],"&gt;=7",tbl_task4[[SubPLOs]:[SubPLOs]],"&lt;8")</f>
        <v>0</v>
      </c>
      <c r="BC40" s="138">
        <f>SUMIFS(tbl_task4[S50],tbl_task4[[SubPLOs]:[SubPLOs]],"&gt;=7",tbl_task4[[SubPLOs]:[SubPLOs]],"&lt;8")</f>
        <v>0</v>
      </c>
      <c r="BD40" s="138">
        <f>SUMIFS(tbl_task4[S51],tbl_task4[[SubPLOs]:[SubPLOs]],"&gt;=7",tbl_task4[[SubPLOs]:[SubPLOs]],"&lt;8")</f>
        <v>0</v>
      </c>
      <c r="BE40" s="138">
        <f>SUMIFS(tbl_task4[S52],tbl_task4[[SubPLOs]:[SubPLOs]],"&gt;=7",tbl_task4[[SubPLOs]:[SubPLOs]],"&lt;8")</f>
        <v>0</v>
      </c>
      <c r="BF40" s="138">
        <f>SUMIFS(tbl_task4[S53],tbl_task4[[SubPLOs]:[SubPLOs]],"&gt;=7",tbl_task4[[SubPLOs]:[SubPLOs]],"&lt;8")</f>
        <v>0</v>
      </c>
      <c r="BG40" s="138">
        <f>SUMIFS(tbl_task4[S54],tbl_task4[[SubPLOs]:[SubPLOs]],"&gt;=7",tbl_task4[[SubPLOs]:[SubPLOs]],"&lt;8")</f>
        <v>0</v>
      </c>
      <c r="BH40" s="138">
        <f>SUMIFS(tbl_task4[S55],tbl_task4[[SubPLOs]:[SubPLOs]],"&gt;=7",tbl_task4[[SubPLOs]:[SubPLOs]],"&lt;8")</f>
        <v>0</v>
      </c>
      <c r="BI40" s="138">
        <f>SUMIFS(tbl_task4[S56],tbl_task4[[SubPLOs]:[SubPLOs]],"&gt;=7",tbl_task4[[SubPLOs]:[SubPLOs]],"&lt;8")</f>
        <v>0</v>
      </c>
      <c r="BJ40" s="138">
        <f>SUMIFS(tbl_task4[S57],tbl_task4[[SubPLOs]:[SubPLOs]],"&gt;=7",tbl_task4[[SubPLOs]:[SubPLOs]],"&lt;8")</f>
        <v>0</v>
      </c>
      <c r="BK40" s="138">
        <f>SUMIFS(tbl_task4[S58],tbl_task4[[SubPLOs]:[SubPLOs]],"&gt;=7",tbl_task4[[SubPLOs]:[SubPLOs]],"&lt;8")</f>
        <v>0</v>
      </c>
      <c r="BL40" s="138">
        <f>SUMIFS(tbl_task4[S59],tbl_task4[[SubPLOs]:[SubPLOs]],"&gt;=7",tbl_task4[[SubPLOs]:[SubPLOs]],"&lt;8")</f>
        <v>0</v>
      </c>
      <c r="BM40" s="138">
        <f>SUMIFS(tbl_task4[S60],tbl_task4[[SubPLOs]:[SubPLOs]],"&gt;=7",tbl_task4[[SubPLOs]:[SubPLOs]],"&lt;8")</f>
        <v>0</v>
      </c>
      <c r="BN40" s="138">
        <f>SUMIFS(tbl_task4[S61],tbl_task4[[SubPLOs]:[SubPLOs]],"&gt;=7",tbl_task4[[SubPLOs]:[SubPLOs]],"&lt;8")</f>
        <v>0</v>
      </c>
      <c r="BO40" s="138">
        <f>SUMIFS(tbl_task4[S62],tbl_task4[[SubPLOs]:[SubPLOs]],"&gt;=7",tbl_task4[[SubPLOs]:[SubPLOs]],"&lt;8")</f>
        <v>0</v>
      </c>
      <c r="BP40" s="138">
        <f>SUMIFS(tbl_task4[S63],tbl_task4[[SubPLOs]:[SubPLOs]],"&gt;=7",tbl_task4[[SubPLOs]:[SubPLOs]],"&lt;8")</f>
        <v>0</v>
      </c>
      <c r="BQ40" s="138">
        <f>SUMIFS(tbl_task4[S64],tbl_task4[[SubPLOs]:[SubPLOs]],"&gt;=7",tbl_task4[[SubPLOs]:[SubPLOs]],"&lt;8")</f>
        <v>0</v>
      </c>
      <c r="BR40" s="138">
        <f>SUMIFS(tbl_task4[S65],tbl_task4[[SubPLOs]:[SubPLOs]],"&gt;=7",tbl_task4[[SubPLOs]:[SubPLOs]],"&lt;8")</f>
        <v>0</v>
      </c>
      <c r="BS40" s="138">
        <f>SUMIFS(tbl_task4[S66],tbl_task4[[SubPLOs]:[SubPLOs]],"&gt;=7",tbl_task4[[SubPLOs]:[SubPLOs]],"&lt;8")</f>
        <v>0</v>
      </c>
      <c r="BT40" s="138">
        <f>SUMIFS(tbl_task4[S67],tbl_task4[[SubPLOs]:[SubPLOs]],"&gt;=7",tbl_task4[[SubPLOs]:[SubPLOs]],"&lt;8")</f>
        <v>0</v>
      </c>
      <c r="BU40" s="138">
        <f>SUMIFS(tbl_task4[S68],tbl_task4[[SubPLOs]:[SubPLOs]],"&gt;=7",tbl_task4[[SubPLOs]:[SubPLOs]],"&lt;8")</f>
        <v>0</v>
      </c>
      <c r="BV40" s="138">
        <f>SUMIFS(tbl_task4[S69],tbl_task4[[SubPLOs]:[SubPLOs]],"&gt;=7",tbl_task4[[SubPLOs]:[SubPLOs]],"&lt;8")</f>
        <v>0</v>
      </c>
      <c r="BW40" s="138">
        <f>SUMIFS(tbl_task4[S70],tbl_task4[[SubPLOs]:[SubPLOs]],"&gt;=7",tbl_task4[[SubPLOs]:[SubPLOs]],"&lt;8")</f>
        <v>0</v>
      </c>
      <c r="BX40" s="138">
        <f>SUMIFS(tbl_task4[S71],tbl_task4[[SubPLOs]:[SubPLOs]],"&gt;=7",tbl_task4[[SubPLOs]:[SubPLOs]],"&lt;8")</f>
        <v>0</v>
      </c>
      <c r="BY40" s="138">
        <f>SUMIFS(tbl_task4[S72],tbl_task4[[SubPLOs]:[SubPLOs]],"&gt;=7",tbl_task4[[SubPLOs]:[SubPLOs]],"&lt;8")</f>
        <v>0</v>
      </c>
      <c r="BZ40" s="138">
        <f>SUMIFS(tbl_task4[S73],tbl_task4[[SubPLOs]:[SubPLOs]],"&gt;=7",tbl_task4[[SubPLOs]:[SubPLOs]],"&lt;8")</f>
        <v>0</v>
      </c>
      <c r="CA40" s="138">
        <f>SUMIFS(tbl_task4[S74],tbl_task4[[SubPLOs]:[SubPLOs]],"&gt;=7",tbl_task4[[SubPLOs]:[SubPLOs]],"&lt;8")</f>
        <v>0</v>
      </c>
      <c r="CB40" s="138">
        <f>SUMIFS(tbl_task4[S75],tbl_task4[[SubPLOs]:[SubPLOs]],"&gt;=7",tbl_task4[[SubPLOs]:[SubPLOs]],"&lt;8")</f>
        <v>0</v>
      </c>
      <c r="CC40" s="138">
        <f>SUMIFS(tbl_task4[S76],tbl_task4[[SubPLOs]:[SubPLOs]],"&gt;=7",tbl_task4[[SubPLOs]:[SubPLOs]],"&lt;8")</f>
        <v>0</v>
      </c>
      <c r="CD40" s="138">
        <f>SUMIFS(tbl_task4[S77],tbl_task4[[SubPLOs]:[SubPLOs]],"&gt;=7",tbl_task4[[SubPLOs]:[SubPLOs]],"&lt;8")</f>
        <v>0</v>
      </c>
      <c r="CE40" s="138">
        <f>SUMIFS(tbl_task4[S78],tbl_task4[[SubPLOs]:[SubPLOs]],"&gt;=7",tbl_task4[[SubPLOs]:[SubPLOs]],"&lt;8")</f>
        <v>0</v>
      </c>
      <c r="CF40" s="138">
        <f>SUMIFS(tbl_task4[S79],tbl_task4[[SubPLOs]:[SubPLOs]],"&gt;=7",tbl_task4[[SubPLOs]:[SubPLOs]],"&lt;8")</f>
        <v>0</v>
      </c>
      <c r="CG40" s="138">
        <f>SUMIFS(tbl_task4[S80],tbl_task4[[SubPLOs]:[SubPLOs]],"&gt;=7",tbl_task4[[SubPLOs]:[SubPLOs]],"&lt;8")</f>
        <v>0</v>
      </c>
      <c r="CH40" s="138">
        <f>SUMIFS(tbl_task4[S81],tbl_task4[[SubPLOs]:[SubPLOs]],"&gt;=7",tbl_task4[[SubPLOs]:[SubPLOs]],"&lt;8")</f>
        <v>0</v>
      </c>
      <c r="CI40" s="138">
        <f>SUMIFS(tbl_task4[S82],tbl_task4[[SubPLOs]:[SubPLOs]],"&gt;=7",tbl_task4[[SubPLOs]:[SubPLOs]],"&lt;8")</f>
        <v>0</v>
      </c>
      <c r="CJ40" s="138">
        <f>SUMIFS(tbl_task4[S83],tbl_task4[[SubPLOs]:[SubPLOs]],"&gt;=7",tbl_task4[[SubPLOs]:[SubPLOs]],"&lt;8")</f>
        <v>0</v>
      </c>
      <c r="CK40" s="138">
        <f>SUMIFS(tbl_task4[S84],tbl_task4[[SubPLOs]:[SubPLOs]],"&gt;=7",tbl_task4[[SubPLOs]:[SubPLOs]],"&lt;8")</f>
        <v>0</v>
      </c>
      <c r="CL40" s="138">
        <f>SUMIFS(tbl_task4[S85],tbl_task4[[SubPLOs]:[SubPLOs]],"&gt;=7",tbl_task4[[SubPLOs]:[SubPLOs]],"&lt;8")</f>
        <v>0</v>
      </c>
      <c r="CM40" s="138">
        <f>SUMIFS(tbl_task4[S86],tbl_task4[[SubPLOs]:[SubPLOs]],"&gt;=7",tbl_task4[[SubPLOs]:[SubPLOs]],"&lt;8")</f>
        <v>0</v>
      </c>
      <c r="CN40" s="138">
        <f>SUMIFS(tbl_task4[S87],tbl_task4[[SubPLOs]:[SubPLOs]],"&gt;=7",tbl_task4[[SubPLOs]:[SubPLOs]],"&lt;8")</f>
        <v>0</v>
      </c>
      <c r="CO40" s="138">
        <f>SUMIFS(tbl_task4[S88],tbl_task4[[SubPLOs]:[SubPLOs]],"&gt;=7",tbl_task4[[SubPLOs]:[SubPLOs]],"&lt;8")</f>
        <v>0</v>
      </c>
      <c r="CP40" s="138">
        <f>SUMIFS(tbl_task4[S89],tbl_task4[[SubPLOs]:[SubPLOs]],"&gt;=7",tbl_task4[[SubPLOs]:[SubPLOs]],"&lt;8")</f>
        <v>0</v>
      </c>
      <c r="CQ40" s="138">
        <f>SUMIFS(tbl_task4[S90],tbl_task4[[SubPLOs]:[SubPLOs]],"&gt;=7",tbl_task4[[SubPLOs]:[SubPLOs]],"&lt;8")</f>
        <v>0</v>
      </c>
      <c r="CR40" s="138">
        <f>SUMIFS(tbl_task4[S91],tbl_task4[[SubPLOs]:[SubPLOs]],"&gt;=7",tbl_task4[[SubPLOs]:[SubPLOs]],"&lt;8")</f>
        <v>0</v>
      </c>
      <c r="CS40" s="138">
        <f>SUMIFS(tbl_task4[S92],tbl_task4[[SubPLOs]:[SubPLOs]],"&gt;=7",tbl_task4[[SubPLOs]:[SubPLOs]],"&lt;8")</f>
        <v>0</v>
      </c>
      <c r="CT40" s="138">
        <f>SUMIFS(tbl_task4[S93],tbl_task4[[SubPLOs]:[SubPLOs]],"&gt;=7",tbl_task4[[SubPLOs]:[SubPLOs]],"&lt;8")</f>
        <v>0</v>
      </c>
      <c r="CU40" s="138">
        <f>SUMIFS(tbl_task4[S94],tbl_task4[[SubPLOs]:[SubPLOs]],"&gt;=7",tbl_task4[[SubPLOs]:[SubPLOs]],"&lt;8")</f>
        <v>0</v>
      </c>
      <c r="CV40" s="138">
        <f>SUMIFS(tbl_task4[S95],tbl_task4[[SubPLOs]:[SubPLOs]],"&gt;=7",tbl_task4[[SubPLOs]:[SubPLOs]],"&lt;8")</f>
        <v>0</v>
      </c>
      <c r="CW40" s="138">
        <f>SUMIFS(tbl_task4[S96],tbl_task4[[SubPLOs]:[SubPLOs]],"&gt;=7",tbl_task4[[SubPLOs]:[SubPLOs]],"&lt;8")</f>
        <v>0</v>
      </c>
      <c r="CX40" s="138">
        <f>SUMIFS(tbl_task4[S97],tbl_task4[[SubPLOs]:[SubPLOs]],"&gt;=7",tbl_task4[[SubPLOs]:[SubPLOs]],"&lt;8")</f>
        <v>0</v>
      </c>
      <c r="CY40" s="138">
        <f>SUMIFS(tbl_task4[S98],tbl_task4[[SubPLOs]:[SubPLOs]],"&gt;=7",tbl_task4[[SubPLOs]:[SubPLOs]],"&lt;8")</f>
        <v>0</v>
      </c>
      <c r="CZ40" s="138">
        <f>SUMIFS(tbl_task4[S99],tbl_task4[[SubPLOs]:[SubPLOs]],"&gt;=7",tbl_task4[[SubPLOs]:[SubPLOs]],"&lt;8")</f>
        <v>0</v>
      </c>
      <c r="DA40" s="138">
        <f>SUMIFS(tbl_task4[S100],tbl_task4[[SubPLOs]:[SubPLOs]],"&gt;=7",tbl_task4[[SubPLOs]:[SubPLOs]],"&lt;8")</f>
        <v>0</v>
      </c>
      <c r="DB40" s="138">
        <f>SUMIFS(tbl_task4[S101],tbl_task4[[SubPLOs]:[SubPLOs]],"&gt;=7",tbl_task4[[SubPLOs]:[SubPLOs]],"&lt;8")</f>
        <v>0</v>
      </c>
      <c r="DC40" s="138">
        <f>SUMIFS(tbl_task4[S102],tbl_task4[[SubPLOs]:[SubPLOs]],"&gt;=7",tbl_task4[[SubPLOs]:[SubPLOs]],"&lt;8")</f>
        <v>0</v>
      </c>
      <c r="DD40" s="138">
        <f>SUMIFS(tbl_task4[S103],tbl_task4[[SubPLOs]:[SubPLOs]],"&gt;=7",tbl_task4[[SubPLOs]:[SubPLOs]],"&lt;8")</f>
        <v>0</v>
      </c>
      <c r="DE40" s="138">
        <f>SUMIFS(tbl_task4[S104],tbl_task4[[SubPLOs]:[SubPLOs]],"&gt;=7",tbl_task4[[SubPLOs]:[SubPLOs]],"&lt;8")</f>
        <v>0</v>
      </c>
      <c r="DF40" s="138">
        <f>SUMIFS(tbl_task4[S105],tbl_task4[[SubPLOs]:[SubPLOs]],"&gt;=7",tbl_task4[[SubPLOs]:[SubPLOs]],"&lt;8")</f>
        <v>0</v>
      </c>
      <c r="DG40" s="138">
        <f>SUMIFS(tbl_task4[S106],tbl_task4[[SubPLOs]:[SubPLOs]],"&gt;=7",tbl_task4[[SubPLOs]:[SubPLOs]],"&lt;8")</f>
        <v>0</v>
      </c>
      <c r="DH40" s="138">
        <f>SUMIFS(tbl_task4[S106],tbl_task4[[SubPLOs]:[SubPLOs]],"&gt;=7",tbl_task4[[SubPLOs]:[SubPLOs]],"&lt;8")</f>
        <v>0</v>
      </c>
      <c r="DI40" s="138">
        <f>SUMIFS(tbl_task4[S108],tbl_task4[[SubPLOs]:[SubPLOs]],"&gt;=7",tbl_task4[[SubPLOs]:[SubPLOs]],"&lt;8")</f>
        <v>0</v>
      </c>
      <c r="DJ40" s="138">
        <f>SUMIFS(tbl_task4[S109],tbl_task4[[SubPLOs]:[SubPLOs]],"&gt;=7",tbl_task4[[SubPLOs]:[SubPLOs]],"&lt;8")</f>
        <v>0</v>
      </c>
      <c r="DK40" s="138">
        <f>SUMIFS(tbl_task4[S110],tbl_task4[[SubPLOs]:[SubPLOs]],"&gt;=7",tbl_task4[[SubPLOs]:[SubPLOs]],"&lt;8")</f>
        <v>0</v>
      </c>
      <c r="DL40" s="138">
        <f>SUMIFS(tbl_task4[S111],tbl_task4[[SubPLOs]:[SubPLOs]],"&gt;=7",tbl_task4[[SubPLOs]:[SubPLOs]],"&lt;8")</f>
        <v>0</v>
      </c>
      <c r="DM40" s="138">
        <f>SUMIFS(tbl_task4[S112],tbl_task4[[SubPLOs]:[SubPLOs]],"&gt;=7",tbl_task4[[SubPLOs]:[SubPLOs]],"&lt;8")</f>
        <v>0</v>
      </c>
      <c r="DN40" s="138">
        <f>SUMIFS(tbl_task4[S113],tbl_task4[[SubPLOs]:[SubPLOs]],"&gt;=7",tbl_task4[[SubPLOs]:[SubPLOs]],"&lt;8")</f>
        <v>0</v>
      </c>
      <c r="DO40" s="138">
        <f>SUMIFS(tbl_task4[S114],tbl_task4[[SubPLOs]:[SubPLOs]],"&gt;=7",tbl_task4[[SubPLOs]:[SubPLOs]],"&lt;8")</f>
        <v>0</v>
      </c>
      <c r="DP40" s="138">
        <f>SUMIFS(tbl_task4[S115],tbl_task4[[SubPLOs]:[SubPLOs]],"&gt;=7",tbl_task4[[SubPLOs]:[SubPLOs]],"&lt;8")</f>
        <v>0</v>
      </c>
      <c r="DQ40" s="138">
        <f>SUMIFS(tbl_task4[S116],tbl_task4[[SubPLOs]:[SubPLOs]],"&gt;=7",tbl_task4[[SubPLOs]:[SubPLOs]],"&lt;8")</f>
        <v>0</v>
      </c>
      <c r="DR40" s="138">
        <f>SUMIFS(tbl_task4[S117],tbl_task4[[SubPLOs]:[SubPLOs]],"&gt;=7",tbl_task4[[SubPLOs]:[SubPLOs]],"&lt;8")</f>
        <v>0</v>
      </c>
      <c r="DS40" s="138">
        <f>SUMIFS(tbl_task4[S118],tbl_task4[[SubPLOs]:[SubPLOs]],"&gt;=7",tbl_task4[[SubPLOs]:[SubPLOs]],"&lt;8")</f>
        <v>0</v>
      </c>
      <c r="DT40" s="138">
        <f>SUMIFS(tbl_task4[S119],tbl_task4[[SubPLOs]:[SubPLOs]],"&gt;=7",tbl_task4[[SubPLOs]:[SubPLOs]],"&lt;8")</f>
        <v>0</v>
      </c>
      <c r="DU40" s="138">
        <f>SUMIFS(tbl_task4[S120],tbl_task4[[SubPLOs]:[SubPLOs]],"&gt;=7",tbl_task4[[SubPLOs]:[SubPLOs]],"&lt;8")</f>
        <v>0</v>
      </c>
      <c r="DV40" s="138">
        <f>SUMIFS(tbl_task4[S121],tbl_task4[[SubPLOs]:[SubPLOs]],"&gt;=7",tbl_task4[[SubPLOs]:[SubPLOs]],"&lt;8")</f>
        <v>0</v>
      </c>
      <c r="DW40" s="138">
        <f>SUMIFS(tbl_task4[S122],tbl_task4[[SubPLOs]:[SubPLOs]],"&gt;=7",tbl_task4[[SubPLOs]:[SubPLOs]],"&lt;8")</f>
        <v>0</v>
      </c>
      <c r="DX40" s="138">
        <f>SUMIFS(tbl_task4[S123],tbl_task4[[SubPLOs]:[SubPLOs]],"&gt;=7",tbl_task4[[SubPLOs]:[SubPLOs]],"&lt;8")</f>
        <v>0</v>
      </c>
      <c r="DY40" s="138">
        <f>SUMIFS(tbl_task4[S124],tbl_task4[[SubPLOs]:[SubPLOs]],"&gt;=7",tbl_task4[[SubPLOs]:[SubPLOs]],"&lt;8")</f>
        <v>0</v>
      </c>
      <c r="DZ40" s="138">
        <f>SUMIFS(tbl_task4[S125],tbl_task4[[SubPLOs]:[SubPLOs]],"&gt;=7",tbl_task4[[SubPLOs]:[SubPLOs]],"&lt;8")</f>
        <v>0</v>
      </c>
      <c r="EA40" s="138">
        <f>SUMIFS(tbl_task4[S126],tbl_task4[[SubPLOs]:[SubPLOs]],"&gt;=7",tbl_task4[[SubPLOs]:[SubPLOs]],"&lt;8")</f>
        <v>0</v>
      </c>
      <c r="EB40" s="138">
        <f>SUMIFS(tbl_task4[S127],tbl_task4[[SubPLOs]:[SubPLOs]],"&gt;=7",tbl_task4[[SubPLOs]:[SubPLOs]],"&lt;8")</f>
        <v>0</v>
      </c>
      <c r="EC40" s="138">
        <f>SUMIFS(tbl_task4[S128],tbl_task4[[SubPLOs]:[SubPLOs]],"&gt;=7",tbl_task4[[SubPLOs]:[SubPLOs]],"&lt;8")</f>
        <v>0</v>
      </c>
      <c r="ED40" s="138">
        <f>SUMIFS(tbl_task4[S129],tbl_task4[[SubPLOs]:[SubPLOs]],"&gt;=7",tbl_task4[[SubPLOs]:[SubPLOs]],"&lt;8")</f>
        <v>0</v>
      </c>
      <c r="EE40" s="138">
        <f>SUMIFS(tbl_task4[S130],tbl_task4[[SubPLOs]:[SubPLOs]],"&gt;=7",tbl_task4[[SubPLOs]:[SubPLOs]],"&lt;8")</f>
        <v>0</v>
      </c>
      <c r="EF40" s="138">
        <f>SUMIFS(tbl_task4[S131],tbl_task4[[SubPLOs]:[SubPLOs]],"&gt;=7",tbl_task4[[SubPLOs]:[SubPLOs]],"&lt;8")</f>
        <v>0</v>
      </c>
      <c r="EG40" s="138">
        <f>SUMIFS(tbl_task4[S132],tbl_task4[[SubPLOs]:[SubPLOs]],"&gt;=7",tbl_task4[[SubPLOs]:[SubPLOs]],"&lt;8")</f>
        <v>0</v>
      </c>
      <c r="EH40" s="138">
        <f>SUMIFS(tbl_task4[S133],tbl_task4[[SubPLOs]:[SubPLOs]],"&gt;=7",tbl_task4[[SubPLOs]:[SubPLOs]],"&lt;8")</f>
        <v>0</v>
      </c>
      <c r="EI40" s="138">
        <f>SUMIFS(tbl_task4[S134],tbl_task4[[SubPLOs]:[SubPLOs]],"&gt;=7",tbl_task4[[SubPLOs]:[SubPLOs]],"&lt;8")</f>
        <v>0</v>
      </c>
      <c r="EJ40" s="138">
        <f>SUMIFS(tbl_task4[S135],tbl_task4[[SubPLOs]:[SubPLOs]],"&gt;=7",tbl_task4[[SubPLOs]:[SubPLOs]],"&lt;8")</f>
        <v>0</v>
      </c>
      <c r="EK40" s="138">
        <f>SUMIFS(tbl_task4[S136],tbl_task4[[SubPLOs]:[SubPLOs]],"&gt;=7",tbl_task4[[SubPLOs]:[SubPLOs]],"&lt;8")</f>
        <v>0</v>
      </c>
      <c r="EL40" s="138">
        <f>SUMIFS(tbl_task4[S137],tbl_task4[[SubPLOs]:[SubPLOs]],"&gt;=7",tbl_task4[[SubPLOs]:[SubPLOs]],"&lt;8")</f>
        <v>0</v>
      </c>
      <c r="EM40" s="138">
        <f>SUMIFS(tbl_task4[S138],tbl_task4[[SubPLOs]:[SubPLOs]],"&gt;=7",tbl_task4[[SubPLOs]:[SubPLOs]],"&lt;8")</f>
        <v>0</v>
      </c>
      <c r="EN40" s="138">
        <f>SUMIFS(tbl_task4[S139],tbl_task4[[SubPLOs]:[SubPLOs]],"&gt;=7",tbl_task4[[SubPLOs]:[SubPLOs]],"&lt;8")</f>
        <v>0</v>
      </c>
      <c r="EO40" s="138">
        <f>SUMIFS(tbl_task4[S140],tbl_task4[[SubPLOs]:[SubPLOs]],"&gt;=7",tbl_task4[[SubPLOs]:[SubPLOs]],"&lt;8")</f>
        <v>0</v>
      </c>
      <c r="EP40" s="138">
        <f>SUMIFS(tbl_task4[S141],tbl_task4[[SubPLOs]:[SubPLOs]],"&gt;=7",tbl_task4[[SubPLOs]:[SubPLOs]],"&lt;8")</f>
        <v>0</v>
      </c>
      <c r="EQ40" s="138">
        <f>SUMIFS(tbl_task4[S142],tbl_task4[[SubPLOs]:[SubPLOs]],"&gt;=7",tbl_task4[[SubPLOs]:[SubPLOs]],"&lt;8")</f>
        <v>0</v>
      </c>
      <c r="ER40" s="138">
        <f>SUMIFS(tbl_task4[S143],tbl_task4[[SubPLOs]:[SubPLOs]],"&gt;=7",tbl_task4[[SubPLOs]:[SubPLOs]],"&lt;8")</f>
        <v>0</v>
      </c>
      <c r="ES40" s="138">
        <f>SUMIFS(tbl_task4[S144],tbl_task4[[SubPLOs]:[SubPLOs]],"&gt;=7",tbl_task4[[SubPLOs]:[SubPLOs]],"&lt;8")</f>
        <v>0</v>
      </c>
      <c r="ET40" s="138">
        <f>SUMIFS(tbl_task4[S145],tbl_task4[[SubPLOs]:[SubPLOs]],"&gt;=7",tbl_task4[[SubPLOs]:[SubPLOs]],"&lt;8")</f>
        <v>0</v>
      </c>
      <c r="EU40" s="138">
        <f>SUMIFS(tbl_task4[S146],tbl_task4[[SubPLOs]:[SubPLOs]],"&gt;=7",tbl_task4[[SubPLOs]:[SubPLOs]],"&lt;8")</f>
        <v>0</v>
      </c>
      <c r="EV40" s="138">
        <f>SUMIFS(tbl_task4[S147],tbl_task4[[SubPLOs]:[SubPLOs]],"&gt;=7",tbl_task4[[SubPLOs]:[SubPLOs]],"&lt;8")</f>
        <v>0</v>
      </c>
      <c r="EW40" s="138">
        <f>SUMIFS(tbl_task4[S148],tbl_task4[[SubPLOs]:[SubPLOs]],"&gt;=7",tbl_task4[[SubPLOs]:[SubPLOs]],"&lt;8")</f>
        <v>0</v>
      </c>
      <c r="EX40" s="138">
        <f>SUMIFS(tbl_task4[S149],tbl_task4[[SubPLOs]:[SubPLOs]],"&gt;=7",tbl_task4[[SubPLOs]:[SubPLOs]],"&lt;8")</f>
        <v>0</v>
      </c>
      <c r="EY40" s="138">
        <f>SUMIFS(tbl_task4[S150],tbl_task4[[SubPLOs]:[SubPLOs]],"&gt;=7",tbl_task4[[SubPLOs]:[SubPLOs]],"&lt;8")</f>
        <v>0</v>
      </c>
      <c r="EZ40" s="138">
        <f>SUMIFS(tbl_task4[S151],tbl_task4[[SubPLOs]:[SubPLOs]],"&gt;=7",tbl_task4[[SubPLOs]:[SubPLOs]],"&lt;8")</f>
        <v>0</v>
      </c>
      <c r="FA40" s="138">
        <f>SUMIFS(tbl_task4[S152],tbl_task4[[SubPLOs]:[SubPLOs]],"&gt;=7",tbl_task4[[SubPLOs]:[SubPLOs]],"&lt;8")</f>
        <v>0</v>
      </c>
      <c r="FB40" s="138">
        <f>SUMIFS(tbl_task4[S153],tbl_task4[[SubPLOs]:[SubPLOs]],"&gt;=7",tbl_task4[[SubPLOs]:[SubPLOs]],"&lt;8")</f>
        <v>0</v>
      </c>
      <c r="FC40" s="138">
        <f>SUMIFS(tbl_task4[S154],tbl_task4[[SubPLOs]:[SubPLOs]],"&gt;=7",tbl_task4[[SubPLOs]:[SubPLOs]],"&lt;8")</f>
        <v>0</v>
      </c>
      <c r="FD40" s="138">
        <f>SUMIFS(tbl_task4[S155],tbl_task4[[SubPLOs]:[SubPLOs]],"&gt;=7",tbl_task4[[SubPLOs]:[SubPLOs]],"&lt;8")</f>
        <v>0</v>
      </c>
      <c r="FE40" s="138">
        <f>SUMIFS(tbl_task4[S156],tbl_task4[[SubPLOs]:[SubPLOs]],"&gt;=7",tbl_task4[[SubPLOs]:[SubPLOs]],"&lt;8")</f>
        <v>0</v>
      </c>
      <c r="FF40" s="138">
        <f>SUMIFS(tbl_task4[S157],tbl_task4[[SubPLOs]:[SubPLOs]],"&gt;=7",tbl_task4[[SubPLOs]:[SubPLOs]],"&lt;8")</f>
        <v>0</v>
      </c>
      <c r="FG40" s="138">
        <f>SUMIFS(tbl_task4[S158],tbl_task4[[SubPLOs]:[SubPLOs]],"&gt;=7",tbl_task4[[SubPLOs]:[SubPLOs]],"&lt;8")</f>
        <v>0</v>
      </c>
      <c r="FH40" s="138">
        <f>SUMIFS(tbl_task4[S159],tbl_task4[[SubPLOs]:[SubPLOs]],"&gt;=7",tbl_task4[[SubPLOs]:[SubPLOs]],"&lt;8")</f>
        <v>0</v>
      </c>
      <c r="FI40" s="138">
        <f>SUMIFS(tbl_task4[S160],tbl_task4[[SubPLOs]:[SubPLOs]],"&gt;=7",tbl_task4[[SubPLOs]:[SubPLOs]],"&lt;8")</f>
        <v>0</v>
      </c>
      <c r="FJ40" s="138">
        <f>SUMIFS(tbl_task4[S161],tbl_task4[[SubPLOs]:[SubPLOs]],"&gt;=7",tbl_task4[[SubPLOs]:[SubPLOs]],"&lt;8")</f>
        <v>0</v>
      </c>
      <c r="FK40" s="138">
        <f>SUMIFS(tbl_task4[S162],tbl_task4[[SubPLOs]:[SubPLOs]],"&gt;=7",tbl_task4[[SubPLOs]:[SubPLOs]],"&lt;8")</f>
        <v>0</v>
      </c>
      <c r="FL40" s="138">
        <f>SUMIFS(tbl_task4[S163],tbl_task4[[SubPLOs]:[SubPLOs]],"&gt;=7",tbl_task4[[SubPLOs]:[SubPLOs]],"&lt;8")</f>
        <v>0</v>
      </c>
      <c r="FM40" s="138">
        <f>SUMIFS(tbl_task4[S164],tbl_task4[[SubPLOs]:[SubPLOs]],"&gt;=7",tbl_task4[[SubPLOs]:[SubPLOs]],"&lt;8")</f>
        <v>0</v>
      </c>
      <c r="FN40" s="138">
        <f>SUMIFS(tbl_task4[S165],tbl_task4[[SubPLOs]:[SubPLOs]],"&gt;=7",tbl_task4[[SubPLOs]:[SubPLOs]],"&lt;8")</f>
        <v>0</v>
      </c>
    </row>
    <row r="41" spans="1:170" ht="63" x14ac:dyDescent="0.25">
      <c r="A41" s="135">
        <v>8</v>
      </c>
      <c r="B41" s="5" t="s">
        <v>441</v>
      </c>
      <c r="C41" s="136">
        <f>COUNTIFS(tbl_task4[SubPLOs],"&gt;=8",tbl_task4[SubPLOs],"&lt;9")</f>
        <v>0</v>
      </c>
      <c r="D41" s="136">
        <f>SUMIFS(tbl_task4[คะแนนเต็ม],tbl_task4[SubPLOs],"&gt;=8",tbl_task4[SubPLOs],"&lt;9")</f>
        <v>0</v>
      </c>
      <c r="E41" s="137">
        <f>SUMIFS(tbl_task4[%],tbl_task4[SubPLOs],"&gt;=8",tbl_task4[SubPLOs],"&lt;9")</f>
        <v>0</v>
      </c>
      <c r="F41" s="138">
        <f>SUMIFS(tbl_task4[S1],tbl_task4[[SubPLOs]:[SubPLOs]],"&gt;=8",tbl_task4[[SubPLOs]:[SubPLOs]],"&lt;9")</f>
        <v>0</v>
      </c>
      <c r="G41" s="138">
        <f>SUMIFS(tbl_task4[S2],tbl_task4[[SubPLOs]:[SubPLOs]],"&gt;=8",tbl_task4[[SubPLOs]:[SubPLOs]],"&lt;9")</f>
        <v>0</v>
      </c>
      <c r="H41" s="138">
        <f>SUMIFS(tbl_task4[S3],tbl_task4[[SubPLOs]:[SubPLOs]],"&gt;=8",tbl_task4[[SubPLOs]:[SubPLOs]],"&lt;9")</f>
        <v>0</v>
      </c>
      <c r="I41" s="138">
        <f>SUMIFS(tbl_task4[S4],tbl_task4[[SubPLOs]:[SubPLOs]],"&gt;=8",tbl_task4[[SubPLOs]:[SubPLOs]],"&lt;9")</f>
        <v>0</v>
      </c>
      <c r="J41" s="138">
        <f>SUMIFS(tbl_task4[S5],tbl_task4[[SubPLOs]:[SubPLOs]],"&gt;=8",tbl_task4[[SubPLOs]:[SubPLOs]],"&lt;9")</f>
        <v>0</v>
      </c>
      <c r="K41" s="138">
        <f>SUMIFS(tbl_task4[S6],tbl_task4[[SubPLOs]:[SubPLOs]],"&gt;=8",tbl_task4[[SubPLOs]:[SubPLOs]],"&lt;9")</f>
        <v>0</v>
      </c>
      <c r="L41" s="138">
        <f>SUMIFS(tbl_task4[S7],tbl_task4[[SubPLOs]:[SubPLOs]],"&gt;=8",tbl_task4[[SubPLOs]:[SubPLOs]],"&lt;9")</f>
        <v>0</v>
      </c>
      <c r="M41" s="138">
        <f>SUMIFS(tbl_task4[S8],tbl_task4[[SubPLOs]:[SubPLOs]],"&gt;=8",tbl_task4[[SubPLOs]:[SubPLOs]],"&lt;9")</f>
        <v>0</v>
      </c>
      <c r="N41" s="138">
        <f>SUMIFS(tbl_task4[S9],tbl_task4[[SubPLOs]:[SubPLOs]],"&gt;=8",tbl_task4[[SubPLOs]:[SubPLOs]],"&lt;9")</f>
        <v>0</v>
      </c>
      <c r="O41" s="138">
        <f>SUMIFS(tbl_task4[S10],tbl_task4[[SubPLOs]:[SubPLOs]],"&gt;=8",tbl_task4[[SubPLOs]:[SubPLOs]],"&lt;9")</f>
        <v>0</v>
      </c>
      <c r="P41" s="138">
        <f>SUMIFS(tbl_task4[S11],tbl_task4[[SubPLOs]:[SubPLOs]],"&gt;=8",tbl_task4[[SubPLOs]:[SubPLOs]],"&lt;9")</f>
        <v>0</v>
      </c>
      <c r="Q41" s="138">
        <f>SUMIFS(tbl_task4[S12],tbl_task4[[SubPLOs]:[SubPLOs]],"&gt;=8",tbl_task4[[SubPLOs]:[SubPLOs]],"&lt;9")</f>
        <v>0</v>
      </c>
      <c r="R41" s="138">
        <f>SUMIFS(tbl_task4[S13],tbl_task4[[SubPLOs]:[SubPLOs]],"&gt;=8",tbl_task4[[SubPLOs]:[SubPLOs]],"&lt;9")</f>
        <v>0</v>
      </c>
      <c r="S41" s="138">
        <f>SUMIFS(tbl_task4[S14],tbl_task4[[SubPLOs]:[SubPLOs]],"&gt;=8",tbl_task4[[SubPLOs]:[SubPLOs]],"&lt;9")</f>
        <v>0</v>
      </c>
      <c r="T41" s="138">
        <f>SUMIFS(tbl_task4[S15],tbl_task4[[SubPLOs]:[SubPLOs]],"&gt;=8",tbl_task4[[SubPLOs]:[SubPLOs]],"&lt;9")</f>
        <v>0</v>
      </c>
      <c r="U41" s="138">
        <f>SUMIFS(tbl_task4[S16],tbl_task4[[SubPLOs]:[SubPLOs]],"&gt;=8",tbl_task4[[SubPLOs]:[SubPLOs]],"&lt;9")</f>
        <v>0</v>
      </c>
      <c r="V41" s="138">
        <f>SUMIFS(tbl_task4[S17],tbl_task4[[SubPLOs]:[SubPLOs]],"&gt;=8",tbl_task4[[SubPLOs]:[SubPLOs]],"&lt;9")</f>
        <v>0</v>
      </c>
      <c r="W41" s="138">
        <f>SUMIFS(tbl_task4[S18],tbl_task4[[SubPLOs]:[SubPLOs]],"&gt;=8",tbl_task4[[SubPLOs]:[SubPLOs]],"&lt;9")</f>
        <v>0</v>
      </c>
      <c r="X41" s="138">
        <f>SUMIFS(tbl_task4[S19],tbl_task4[[SubPLOs]:[SubPLOs]],"&gt;=8",tbl_task4[[SubPLOs]:[SubPLOs]],"&lt;9")</f>
        <v>0</v>
      </c>
      <c r="Y41" s="138">
        <f>SUMIFS(tbl_task4[S20],tbl_task4[[SubPLOs]:[SubPLOs]],"&gt;=8",tbl_task4[[SubPLOs]:[SubPLOs]],"&lt;9")</f>
        <v>0</v>
      </c>
      <c r="Z41" s="138">
        <f>SUMIFS(tbl_task4[S21],tbl_task4[[SubPLOs]:[SubPLOs]],"&gt;=8",tbl_task4[[SubPLOs]:[SubPLOs]],"&lt;9")</f>
        <v>0</v>
      </c>
      <c r="AA41" s="138">
        <f>SUMIFS(tbl_task4[S22],tbl_task4[[SubPLOs]:[SubPLOs]],"&gt;=8",tbl_task4[[SubPLOs]:[SubPLOs]],"&lt;9")</f>
        <v>0</v>
      </c>
      <c r="AB41" s="138">
        <f>SUMIFS(tbl_task4[S23],tbl_task4[[SubPLOs]:[SubPLOs]],"&gt;=8",tbl_task4[[SubPLOs]:[SubPLOs]],"&lt;9")</f>
        <v>0</v>
      </c>
      <c r="AC41" s="138">
        <f>SUMIFS(tbl_task4[S24],tbl_task4[[SubPLOs]:[SubPLOs]],"&gt;=8",tbl_task4[[SubPLOs]:[SubPLOs]],"&lt;9")</f>
        <v>0</v>
      </c>
      <c r="AD41" s="138">
        <f>SUMIFS(tbl_task4[S25],tbl_task4[[SubPLOs]:[SubPLOs]],"&gt;=8",tbl_task4[[SubPLOs]:[SubPLOs]],"&lt;9")</f>
        <v>0</v>
      </c>
      <c r="AE41" s="138">
        <f>SUMIFS(tbl_task4[S26],tbl_task4[[SubPLOs]:[SubPLOs]],"&gt;=8",tbl_task4[[SubPLOs]:[SubPLOs]],"&lt;9")</f>
        <v>0</v>
      </c>
      <c r="AF41" s="138">
        <f>SUMIFS(tbl_task4[S27],tbl_task4[[SubPLOs]:[SubPLOs]],"&gt;=8",tbl_task4[[SubPLOs]:[SubPLOs]],"&lt;9")</f>
        <v>0</v>
      </c>
      <c r="AG41" s="138">
        <f>SUMIFS(tbl_task4[S28],tbl_task4[[SubPLOs]:[SubPLOs]],"&gt;=8",tbl_task4[[SubPLOs]:[SubPLOs]],"&lt;9")</f>
        <v>0</v>
      </c>
      <c r="AH41" s="138">
        <f>SUMIFS(tbl_task4[S29],tbl_task4[[SubPLOs]:[SubPLOs]],"&gt;=8",tbl_task4[[SubPLOs]:[SubPLOs]],"&lt;9")</f>
        <v>0</v>
      </c>
      <c r="AI41" s="138">
        <f>SUMIFS(tbl_task4[S30],tbl_task4[[SubPLOs]:[SubPLOs]],"&gt;=8",tbl_task4[[SubPLOs]:[SubPLOs]],"&lt;9")</f>
        <v>0</v>
      </c>
      <c r="AJ41" s="138">
        <f>SUMIFS(tbl_task4[S31],tbl_task4[[SubPLOs]:[SubPLOs]],"&gt;=8",tbl_task4[[SubPLOs]:[SubPLOs]],"&lt;9")</f>
        <v>0</v>
      </c>
      <c r="AK41" s="138">
        <f>SUMIFS(tbl_task4[S32],tbl_task4[[SubPLOs]:[SubPLOs]],"&gt;=8",tbl_task4[[SubPLOs]:[SubPLOs]],"&lt;9")</f>
        <v>0</v>
      </c>
      <c r="AL41" s="138">
        <f>SUMIFS(tbl_task4[S33],tbl_task4[[SubPLOs]:[SubPLOs]],"&gt;=8",tbl_task4[[SubPLOs]:[SubPLOs]],"&lt;9")</f>
        <v>0</v>
      </c>
      <c r="AM41" s="138">
        <f>SUMIFS(tbl_task4[S34],tbl_task4[[SubPLOs]:[SubPLOs]],"&gt;=8",tbl_task4[[SubPLOs]:[SubPLOs]],"&lt;9")</f>
        <v>0</v>
      </c>
      <c r="AN41" s="138">
        <f>SUMIFS(tbl_task4[S35],tbl_task4[[SubPLOs]:[SubPLOs]],"&gt;=8",tbl_task4[[SubPLOs]:[SubPLOs]],"&lt;9")</f>
        <v>0</v>
      </c>
      <c r="AO41" s="138">
        <f>SUMIFS(tbl_task4[S36],tbl_task4[[SubPLOs]:[SubPLOs]],"&gt;=8",tbl_task4[[SubPLOs]:[SubPLOs]],"&lt;9")</f>
        <v>0</v>
      </c>
      <c r="AP41" s="138">
        <f>SUMIFS(tbl_task4[S37],tbl_task4[[SubPLOs]:[SubPLOs]],"&gt;=8",tbl_task4[[SubPLOs]:[SubPLOs]],"&lt;9")</f>
        <v>0</v>
      </c>
      <c r="AQ41" s="138">
        <f>SUMIFS(tbl_task4[S38],tbl_task4[[SubPLOs]:[SubPLOs]],"&gt;=8",tbl_task4[[SubPLOs]:[SubPLOs]],"&lt;9")</f>
        <v>0</v>
      </c>
      <c r="AR41" s="138">
        <f>SUMIFS(tbl_task4[S39],tbl_task4[[SubPLOs]:[SubPLOs]],"&gt;=8",tbl_task4[[SubPLOs]:[SubPLOs]],"&lt;9")</f>
        <v>0</v>
      </c>
      <c r="AS41" s="138">
        <f>SUMIFS(tbl_task4[S40],tbl_task4[[SubPLOs]:[SubPLOs]],"&gt;=8",tbl_task4[[SubPLOs]:[SubPLOs]],"&lt;9")</f>
        <v>0</v>
      </c>
      <c r="AT41" s="138">
        <f>SUMIFS(tbl_task4[S41],tbl_task4[[SubPLOs]:[SubPLOs]],"&gt;=8",tbl_task4[[SubPLOs]:[SubPLOs]],"&lt;9")</f>
        <v>0</v>
      </c>
      <c r="AU41" s="138">
        <f>SUMIFS(tbl_task4[S42],tbl_task4[[SubPLOs]:[SubPLOs]],"&gt;=8",tbl_task4[[SubPLOs]:[SubPLOs]],"&lt;9")</f>
        <v>0</v>
      </c>
      <c r="AV41" s="138">
        <f>SUMIFS(tbl_task4[S43],tbl_task4[[SubPLOs]:[SubPLOs]],"&gt;=8",tbl_task4[[SubPLOs]:[SubPLOs]],"&lt;9")</f>
        <v>0</v>
      </c>
      <c r="AW41" s="138">
        <f>SUMIFS(tbl_task4[S44],tbl_task4[[SubPLOs]:[SubPLOs]],"&gt;=8",tbl_task4[[SubPLOs]:[SubPLOs]],"&lt;9")</f>
        <v>0</v>
      </c>
      <c r="AX41" s="138">
        <f>SUMIFS(tbl_task4[S45],tbl_task4[[SubPLOs]:[SubPLOs]],"&gt;=8",tbl_task4[[SubPLOs]:[SubPLOs]],"&lt;9")</f>
        <v>0</v>
      </c>
      <c r="AY41" s="138">
        <f>SUMIFS(tbl_task4[S46],tbl_task4[[SubPLOs]:[SubPLOs]],"&gt;=8",tbl_task4[[SubPLOs]:[SubPLOs]],"&lt;9")</f>
        <v>0</v>
      </c>
      <c r="AZ41" s="138">
        <f>SUMIFS(tbl_task4[S47],tbl_task4[[SubPLOs]:[SubPLOs]],"&gt;=8",tbl_task4[[SubPLOs]:[SubPLOs]],"&lt;9")</f>
        <v>0</v>
      </c>
      <c r="BA41" s="138">
        <f>SUMIFS(tbl_task4[S48],tbl_task4[[SubPLOs]:[SubPLOs]],"&gt;=8",tbl_task4[[SubPLOs]:[SubPLOs]],"&lt;9")</f>
        <v>0</v>
      </c>
      <c r="BB41" s="138">
        <f>SUMIFS(tbl_task4[S49],tbl_task4[[SubPLOs]:[SubPLOs]],"&gt;=8",tbl_task4[[SubPLOs]:[SubPLOs]],"&lt;9")</f>
        <v>0</v>
      </c>
      <c r="BC41" s="138">
        <f>SUMIFS(tbl_task4[S50],tbl_task4[[SubPLOs]:[SubPLOs]],"&gt;=8",tbl_task4[[SubPLOs]:[SubPLOs]],"&lt;9")</f>
        <v>0</v>
      </c>
      <c r="BD41" s="138">
        <f>SUMIFS(tbl_task4[S51],tbl_task4[[SubPLOs]:[SubPLOs]],"&gt;=8",tbl_task4[[SubPLOs]:[SubPLOs]],"&lt;9")</f>
        <v>0</v>
      </c>
      <c r="BE41" s="138">
        <f>SUMIFS(tbl_task4[S52],tbl_task4[[SubPLOs]:[SubPLOs]],"&gt;=8",tbl_task4[[SubPLOs]:[SubPLOs]],"&lt;9")</f>
        <v>0</v>
      </c>
      <c r="BF41" s="138">
        <f>SUMIFS(tbl_task4[S53],tbl_task4[[SubPLOs]:[SubPLOs]],"&gt;=8",tbl_task4[[SubPLOs]:[SubPLOs]],"&lt;9")</f>
        <v>0</v>
      </c>
      <c r="BG41" s="138">
        <f>SUMIFS(tbl_task4[S54],tbl_task4[[SubPLOs]:[SubPLOs]],"&gt;=8",tbl_task4[[SubPLOs]:[SubPLOs]],"&lt;9")</f>
        <v>0</v>
      </c>
      <c r="BH41" s="138">
        <f>SUMIFS(tbl_task4[S55],tbl_task4[[SubPLOs]:[SubPLOs]],"&gt;=8",tbl_task4[[SubPLOs]:[SubPLOs]],"&lt;9")</f>
        <v>0</v>
      </c>
      <c r="BI41" s="138">
        <f>SUMIFS(tbl_task4[S56],tbl_task4[[SubPLOs]:[SubPLOs]],"&gt;=8",tbl_task4[[SubPLOs]:[SubPLOs]],"&lt;9")</f>
        <v>0</v>
      </c>
      <c r="BJ41" s="138">
        <f>SUMIFS(tbl_task4[S57],tbl_task4[[SubPLOs]:[SubPLOs]],"&gt;=8",tbl_task4[[SubPLOs]:[SubPLOs]],"&lt;9")</f>
        <v>0</v>
      </c>
      <c r="BK41" s="138">
        <f>SUMIFS(tbl_task4[S58],tbl_task4[[SubPLOs]:[SubPLOs]],"&gt;=8",tbl_task4[[SubPLOs]:[SubPLOs]],"&lt;9")</f>
        <v>0</v>
      </c>
      <c r="BL41" s="138">
        <f>SUMIFS(tbl_task4[S59],tbl_task4[[SubPLOs]:[SubPLOs]],"&gt;=8",tbl_task4[[SubPLOs]:[SubPLOs]],"&lt;9")</f>
        <v>0</v>
      </c>
      <c r="BM41" s="138">
        <f>SUMIFS(tbl_task4[S60],tbl_task4[[SubPLOs]:[SubPLOs]],"&gt;=8",tbl_task4[[SubPLOs]:[SubPLOs]],"&lt;9")</f>
        <v>0</v>
      </c>
      <c r="BN41" s="138">
        <f>SUMIFS(tbl_task4[S61],tbl_task4[[SubPLOs]:[SubPLOs]],"&gt;=8",tbl_task4[[SubPLOs]:[SubPLOs]],"&lt;9")</f>
        <v>0</v>
      </c>
      <c r="BO41" s="138">
        <f>SUMIFS(tbl_task4[S62],tbl_task4[[SubPLOs]:[SubPLOs]],"&gt;=8",tbl_task4[[SubPLOs]:[SubPLOs]],"&lt;9")</f>
        <v>0</v>
      </c>
      <c r="BP41" s="138">
        <f>SUMIFS(tbl_task4[S63],tbl_task4[[SubPLOs]:[SubPLOs]],"&gt;=8",tbl_task4[[SubPLOs]:[SubPLOs]],"&lt;9")</f>
        <v>0</v>
      </c>
      <c r="BQ41" s="138">
        <f>SUMIFS(tbl_task4[S64],tbl_task4[[SubPLOs]:[SubPLOs]],"&gt;=8",tbl_task4[[SubPLOs]:[SubPLOs]],"&lt;9")</f>
        <v>0</v>
      </c>
      <c r="BR41" s="138">
        <f>SUMIFS(tbl_task4[S65],tbl_task4[[SubPLOs]:[SubPLOs]],"&gt;=8",tbl_task4[[SubPLOs]:[SubPLOs]],"&lt;9")</f>
        <v>0</v>
      </c>
      <c r="BS41" s="138">
        <f>SUMIFS(tbl_task4[S66],tbl_task4[[SubPLOs]:[SubPLOs]],"&gt;=8",tbl_task4[[SubPLOs]:[SubPLOs]],"&lt;9")</f>
        <v>0</v>
      </c>
      <c r="BT41" s="138">
        <f>SUMIFS(tbl_task4[S67],tbl_task4[[SubPLOs]:[SubPLOs]],"&gt;=8",tbl_task4[[SubPLOs]:[SubPLOs]],"&lt;9")</f>
        <v>0</v>
      </c>
      <c r="BU41" s="138">
        <f>SUMIFS(tbl_task4[S68],tbl_task4[[SubPLOs]:[SubPLOs]],"&gt;=8",tbl_task4[[SubPLOs]:[SubPLOs]],"&lt;9")</f>
        <v>0</v>
      </c>
      <c r="BV41" s="138">
        <f>SUMIFS(tbl_task4[S69],tbl_task4[[SubPLOs]:[SubPLOs]],"&gt;=8",tbl_task4[[SubPLOs]:[SubPLOs]],"&lt;9")</f>
        <v>0</v>
      </c>
      <c r="BW41" s="138">
        <f>SUMIFS(tbl_task4[S70],tbl_task4[[SubPLOs]:[SubPLOs]],"&gt;=8",tbl_task4[[SubPLOs]:[SubPLOs]],"&lt;9")</f>
        <v>0</v>
      </c>
      <c r="BX41" s="138">
        <f>SUMIFS(tbl_task4[S71],tbl_task4[[SubPLOs]:[SubPLOs]],"&gt;=8",tbl_task4[[SubPLOs]:[SubPLOs]],"&lt;9")</f>
        <v>0</v>
      </c>
      <c r="BY41" s="138">
        <f>SUMIFS(tbl_task4[S72],tbl_task4[[SubPLOs]:[SubPLOs]],"&gt;=8",tbl_task4[[SubPLOs]:[SubPLOs]],"&lt;9")</f>
        <v>0</v>
      </c>
      <c r="BZ41" s="138">
        <f>SUMIFS(tbl_task4[S73],tbl_task4[[SubPLOs]:[SubPLOs]],"&gt;=8",tbl_task4[[SubPLOs]:[SubPLOs]],"&lt;9")</f>
        <v>0</v>
      </c>
      <c r="CA41" s="138">
        <f>SUMIFS(tbl_task4[S74],tbl_task4[[SubPLOs]:[SubPLOs]],"&gt;=8",tbl_task4[[SubPLOs]:[SubPLOs]],"&lt;9")</f>
        <v>0</v>
      </c>
      <c r="CB41" s="138">
        <f>SUMIFS(tbl_task4[S75],tbl_task4[[SubPLOs]:[SubPLOs]],"&gt;=8",tbl_task4[[SubPLOs]:[SubPLOs]],"&lt;9")</f>
        <v>0</v>
      </c>
      <c r="CC41" s="138">
        <f>SUMIFS(tbl_task4[S76],tbl_task4[[SubPLOs]:[SubPLOs]],"&gt;=8",tbl_task4[[SubPLOs]:[SubPLOs]],"&lt;9")</f>
        <v>0</v>
      </c>
      <c r="CD41" s="138">
        <f>SUMIFS(tbl_task4[S77],tbl_task4[[SubPLOs]:[SubPLOs]],"&gt;=8",tbl_task4[[SubPLOs]:[SubPLOs]],"&lt;9")</f>
        <v>0</v>
      </c>
      <c r="CE41" s="138">
        <f>SUMIFS(tbl_task4[S78],tbl_task4[[SubPLOs]:[SubPLOs]],"&gt;=8",tbl_task4[[SubPLOs]:[SubPLOs]],"&lt;9")</f>
        <v>0</v>
      </c>
      <c r="CF41" s="138">
        <f>SUMIFS(tbl_task4[S79],tbl_task4[[SubPLOs]:[SubPLOs]],"&gt;=8",tbl_task4[[SubPLOs]:[SubPLOs]],"&lt;9")</f>
        <v>0</v>
      </c>
      <c r="CG41" s="138">
        <f>SUMIFS(tbl_task4[S80],tbl_task4[[SubPLOs]:[SubPLOs]],"&gt;=8",tbl_task4[[SubPLOs]:[SubPLOs]],"&lt;9")</f>
        <v>0</v>
      </c>
      <c r="CH41" s="138">
        <f>SUMIFS(tbl_task4[S81],tbl_task4[[SubPLOs]:[SubPLOs]],"&gt;=8",tbl_task4[[SubPLOs]:[SubPLOs]],"&lt;9")</f>
        <v>0</v>
      </c>
      <c r="CI41" s="138">
        <f>SUMIFS(tbl_task4[S82],tbl_task4[[SubPLOs]:[SubPLOs]],"&gt;=8",tbl_task4[[SubPLOs]:[SubPLOs]],"&lt;9")</f>
        <v>0</v>
      </c>
      <c r="CJ41" s="138">
        <f>SUMIFS(tbl_task4[S83],tbl_task4[[SubPLOs]:[SubPLOs]],"&gt;=8",tbl_task4[[SubPLOs]:[SubPLOs]],"&lt;9")</f>
        <v>0</v>
      </c>
      <c r="CK41" s="138">
        <f>SUMIFS(tbl_task4[S84],tbl_task4[[SubPLOs]:[SubPLOs]],"&gt;=8",tbl_task4[[SubPLOs]:[SubPLOs]],"&lt;9")</f>
        <v>0</v>
      </c>
      <c r="CL41" s="138">
        <f>SUMIFS(tbl_task4[S85],tbl_task4[[SubPLOs]:[SubPLOs]],"&gt;=8",tbl_task4[[SubPLOs]:[SubPLOs]],"&lt;9")</f>
        <v>0</v>
      </c>
      <c r="CM41" s="138">
        <f>SUMIFS(tbl_task4[S86],tbl_task4[[SubPLOs]:[SubPLOs]],"&gt;=8",tbl_task4[[SubPLOs]:[SubPLOs]],"&lt;9")</f>
        <v>0</v>
      </c>
      <c r="CN41" s="138">
        <f>SUMIFS(tbl_task4[S87],tbl_task4[[SubPLOs]:[SubPLOs]],"&gt;=8",tbl_task4[[SubPLOs]:[SubPLOs]],"&lt;9")</f>
        <v>0</v>
      </c>
      <c r="CO41" s="138">
        <f>SUMIFS(tbl_task4[S88],tbl_task4[[SubPLOs]:[SubPLOs]],"&gt;=8",tbl_task4[[SubPLOs]:[SubPLOs]],"&lt;9")</f>
        <v>0</v>
      </c>
      <c r="CP41" s="138">
        <f>SUMIFS(tbl_task4[S89],tbl_task4[[SubPLOs]:[SubPLOs]],"&gt;=8",tbl_task4[[SubPLOs]:[SubPLOs]],"&lt;9")</f>
        <v>0</v>
      </c>
      <c r="CQ41" s="138">
        <f>SUMIFS(tbl_task4[S90],tbl_task4[[SubPLOs]:[SubPLOs]],"&gt;=8",tbl_task4[[SubPLOs]:[SubPLOs]],"&lt;9")</f>
        <v>0</v>
      </c>
      <c r="CR41" s="138">
        <f>SUMIFS(tbl_task4[S91],tbl_task4[[SubPLOs]:[SubPLOs]],"&gt;=8",tbl_task4[[SubPLOs]:[SubPLOs]],"&lt;9")</f>
        <v>0</v>
      </c>
      <c r="CS41" s="138">
        <f>SUMIFS(tbl_task4[S92],tbl_task4[[SubPLOs]:[SubPLOs]],"&gt;=8",tbl_task4[[SubPLOs]:[SubPLOs]],"&lt;9")</f>
        <v>0</v>
      </c>
      <c r="CT41" s="138">
        <f>SUMIFS(tbl_task4[S93],tbl_task4[[SubPLOs]:[SubPLOs]],"&gt;=8",tbl_task4[[SubPLOs]:[SubPLOs]],"&lt;9")</f>
        <v>0</v>
      </c>
      <c r="CU41" s="138">
        <f>SUMIFS(tbl_task4[S94],tbl_task4[[SubPLOs]:[SubPLOs]],"&gt;=8",tbl_task4[[SubPLOs]:[SubPLOs]],"&lt;9")</f>
        <v>0</v>
      </c>
      <c r="CV41" s="138">
        <f>SUMIFS(tbl_task4[S95],tbl_task4[[SubPLOs]:[SubPLOs]],"&gt;=8",tbl_task4[[SubPLOs]:[SubPLOs]],"&lt;9")</f>
        <v>0</v>
      </c>
      <c r="CW41" s="138">
        <f>SUMIFS(tbl_task4[S96],tbl_task4[[SubPLOs]:[SubPLOs]],"&gt;=8",tbl_task4[[SubPLOs]:[SubPLOs]],"&lt;9")</f>
        <v>0</v>
      </c>
      <c r="CX41" s="138">
        <f>SUMIFS(tbl_task4[S97],tbl_task4[[SubPLOs]:[SubPLOs]],"&gt;=8",tbl_task4[[SubPLOs]:[SubPLOs]],"&lt;9")</f>
        <v>0</v>
      </c>
      <c r="CY41" s="138">
        <f>SUMIFS(tbl_task4[S98],tbl_task4[[SubPLOs]:[SubPLOs]],"&gt;=8",tbl_task4[[SubPLOs]:[SubPLOs]],"&lt;9")</f>
        <v>0</v>
      </c>
      <c r="CZ41" s="138">
        <f>SUMIFS(tbl_task4[S99],tbl_task4[[SubPLOs]:[SubPLOs]],"&gt;=8",tbl_task4[[SubPLOs]:[SubPLOs]],"&lt;9")</f>
        <v>0</v>
      </c>
      <c r="DA41" s="138">
        <f>SUMIFS(tbl_task4[S100],tbl_task4[[SubPLOs]:[SubPLOs]],"&gt;=8",tbl_task4[[SubPLOs]:[SubPLOs]],"&lt;9")</f>
        <v>0</v>
      </c>
      <c r="DB41" s="138">
        <f>SUMIFS(tbl_task4[S101],tbl_task4[[SubPLOs]:[SubPLOs]],"&gt;=8",tbl_task4[[SubPLOs]:[SubPLOs]],"&lt;9")</f>
        <v>0</v>
      </c>
      <c r="DC41" s="138">
        <f>SUMIFS(tbl_task4[S102],tbl_task4[[SubPLOs]:[SubPLOs]],"&gt;=8",tbl_task4[[SubPLOs]:[SubPLOs]],"&lt;9")</f>
        <v>0</v>
      </c>
      <c r="DD41" s="138">
        <f>SUMIFS(tbl_task4[S103],tbl_task4[[SubPLOs]:[SubPLOs]],"&gt;=8",tbl_task4[[SubPLOs]:[SubPLOs]],"&lt;9")</f>
        <v>0</v>
      </c>
      <c r="DE41" s="138">
        <f>SUMIFS(tbl_task4[S104],tbl_task4[[SubPLOs]:[SubPLOs]],"&gt;=8",tbl_task4[[SubPLOs]:[SubPLOs]],"&lt;9")</f>
        <v>0</v>
      </c>
      <c r="DF41" s="138">
        <f>SUMIFS(tbl_task4[S105],tbl_task4[[SubPLOs]:[SubPLOs]],"&gt;=8",tbl_task4[[SubPLOs]:[SubPLOs]],"&lt;9")</f>
        <v>0</v>
      </c>
      <c r="DG41" s="138">
        <f>SUMIFS(tbl_task4[S106],tbl_task4[[SubPLOs]:[SubPLOs]],"&gt;=8",tbl_task4[[SubPLOs]:[SubPLOs]],"&lt;9")</f>
        <v>0</v>
      </c>
      <c r="DH41" s="138">
        <f>SUMIFS(tbl_task4[S106],tbl_task4[[SubPLOs]:[SubPLOs]],"&gt;=8",tbl_task4[[SubPLOs]:[SubPLOs]],"&lt;9")</f>
        <v>0</v>
      </c>
      <c r="DI41" s="138">
        <f>SUMIFS(tbl_task4[S108],tbl_task4[[SubPLOs]:[SubPLOs]],"&gt;=8",tbl_task4[[SubPLOs]:[SubPLOs]],"&lt;9")</f>
        <v>0</v>
      </c>
      <c r="DJ41" s="138">
        <f>SUMIFS(tbl_task4[S109],tbl_task4[[SubPLOs]:[SubPLOs]],"&gt;=8",tbl_task4[[SubPLOs]:[SubPLOs]],"&lt;9")</f>
        <v>0</v>
      </c>
      <c r="DK41" s="138">
        <f>SUMIFS(tbl_task4[S110],tbl_task4[[SubPLOs]:[SubPLOs]],"&gt;=8",tbl_task4[[SubPLOs]:[SubPLOs]],"&lt;9")</f>
        <v>0</v>
      </c>
      <c r="DL41" s="138">
        <f>SUMIFS(tbl_task4[S111],tbl_task4[[SubPLOs]:[SubPLOs]],"&gt;=8",tbl_task4[[SubPLOs]:[SubPLOs]],"&lt;9")</f>
        <v>0</v>
      </c>
      <c r="DM41" s="138">
        <f>SUMIFS(tbl_task4[S112],tbl_task4[[SubPLOs]:[SubPLOs]],"&gt;=8",tbl_task4[[SubPLOs]:[SubPLOs]],"&lt;9")</f>
        <v>0</v>
      </c>
      <c r="DN41" s="138">
        <f>SUMIFS(tbl_task4[S113],tbl_task4[[SubPLOs]:[SubPLOs]],"&gt;=8",tbl_task4[[SubPLOs]:[SubPLOs]],"&lt;9")</f>
        <v>0</v>
      </c>
      <c r="DO41" s="138">
        <f>SUMIFS(tbl_task4[S114],tbl_task4[[SubPLOs]:[SubPLOs]],"&gt;=8",tbl_task4[[SubPLOs]:[SubPLOs]],"&lt;9")</f>
        <v>0</v>
      </c>
      <c r="DP41" s="138">
        <f>SUMIFS(tbl_task4[S115],tbl_task4[[SubPLOs]:[SubPLOs]],"&gt;=8",tbl_task4[[SubPLOs]:[SubPLOs]],"&lt;9")</f>
        <v>0</v>
      </c>
      <c r="DQ41" s="138">
        <f>SUMIFS(tbl_task4[S116],tbl_task4[[SubPLOs]:[SubPLOs]],"&gt;=8",tbl_task4[[SubPLOs]:[SubPLOs]],"&lt;9")</f>
        <v>0</v>
      </c>
      <c r="DR41" s="138">
        <f>SUMIFS(tbl_task4[S117],tbl_task4[[SubPLOs]:[SubPLOs]],"&gt;=8",tbl_task4[[SubPLOs]:[SubPLOs]],"&lt;9")</f>
        <v>0</v>
      </c>
      <c r="DS41" s="138">
        <f>SUMIFS(tbl_task4[S118],tbl_task4[[SubPLOs]:[SubPLOs]],"&gt;=8",tbl_task4[[SubPLOs]:[SubPLOs]],"&lt;9")</f>
        <v>0</v>
      </c>
      <c r="DT41" s="138">
        <f>SUMIFS(tbl_task4[S119],tbl_task4[[SubPLOs]:[SubPLOs]],"&gt;=8",tbl_task4[[SubPLOs]:[SubPLOs]],"&lt;9")</f>
        <v>0</v>
      </c>
      <c r="DU41" s="138">
        <f>SUMIFS(tbl_task4[S120],tbl_task4[[SubPLOs]:[SubPLOs]],"&gt;=8",tbl_task4[[SubPLOs]:[SubPLOs]],"&lt;9")</f>
        <v>0</v>
      </c>
      <c r="DV41" s="138">
        <f>SUMIFS(tbl_task4[S121],tbl_task4[[SubPLOs]:[SubPLOs]],"&gt;=8",tbl_task4[[SubPLOs]:[SubPLOs]],"&lt;9")</f>
        <v>0</v>
      </c>
      <c r="DW41" s="138">
        <f>SUMIFS(tbl_task4[S122],tbl_task4[[SubPLOs]:[SubPLOs]],"&gt;=8",tbl_task4[[SubPLOs]:[SubPLOs]],"&lt;9")</f>
        <v>0</v>
      </c>
      <c r="DX41" s="138">
        <f>SUMIFS(tbl_task4[S123],tbl_task4[[SubPLOs]:[SubPLOs]],"&gt;=8",tbl_task4[[SubPLOs]:[SubPLOs]],"&lt;9")</f>
        <v>0</v>
      </c>
      <c r="DY41" s="138">
        <f>SUMIFS(tbl_task4[S124],tbl_task4[[SubPLOs]:[SubPLOs]],"&gt;=8",tbl_task4[[SubPLOs]:[SubPLOs]],"&lt;9")</f>
        <v>0</v>
      </c>
      <c r="DZ41" s="138">
        <f>SUMIFS(tbl_task4[S125],tbl_task4[[SubPLOs]:[SubPLOs]],"&gt;=8",tbl_task4[[SubPLOs]:[SubPLOs]],"&lt;9")</f>
        <v>0</v>
      </c>
      <c r="EA41" s="138">
        <f>SUMIFS(tbl_task4[S126],tbl_task4[[SubPLOs]:[SubPLOs]],"&gt;=8",tbl_task4[[SubPLOs]:[SubPLOs]],"&lt;9")</f>
        <v>0</v>
      </c>
      <c r="EB41" s="138">
        <f>SUMIFS(tbl_task4[S127],tbl_task4[[SubPLOs]:[SubPLOs]],"&gt;=8",tbl_task4[[SubPLOs]:[SubPLOs]],"&lt;9")</f>
        <v>0</v>
      </c>
      <c r="EC41" s="138">
        <f>SUMIFS(tbl_task4[S128],tbl_task4[[SubPLOs]:[SubPLOs]],"&gt;=8",tbl_task4[[SubPLOs]:[SubPLOs]],"&lt;9")</f>
        <v>0</v>
      </c>
      <c r="ED41" s="138">
        <f>SUMIFS(tbl_task4[S129],tbl_task4[[SubPLOs]:[SubPLOs]],"&gt;=8",tbl_task4[[SubPLOs]:[SubPLOs]],"&lt;9")</f>
        <v>0</v>
      </c>
      <c r="EE41" s="138">
        <f>SUMIFS(tbl_task4[S130],tbl_task4[[SubPLOs]:[SubPLOs]],"&gt;=8",tbl_task4[[SubPLOs]:[SubPLOs]],"&lt;9")</f>
        <v>0</v>
      </c>
      <c r="EF41" s="138">
        <f>SUMIFS(tbl_task4[S131],tbl_task4[[SubPLOs]:[SubPLOs]],"&gt;=8",tbl_task4[[SubPLOs]:[SubPLOs]],"&lt;9")</f>
        <v>0</v>
      </c>
      <c r="EG41" s="138">
        <f>SUMIFS(tbl_task4[S132],tbl_task4[[SubPLOs]:[SubPLOs]],"&gt;=8",tbl_task4[[SubPLOs]:[SubPLOs]],"&lt;9")</f>
        <v>0</v>
      </c>
      <c r="EH41" s="138">
        <f>SUMIFS(tbl_task4[S133],tbl_task4[[SubPLOs]:[SubPLOs]],"&gt;=8",tbl_task4[[SubPLOs]:[SubPLOs]],"&lt;9")</f>
        <v>0</v>
      </c>
      <c r="EI41" s="138">
        <f>SUMIFS(tbl_task4[S134],tbl_task4[[SubPLOs]:[SubPLOs]],"&gt;=8",tbl_task4[[SubPLOs]:[SubPLOs]],"&lt;9")</f>
        <v>0</v>
      </c>
      <c r="EJ41" s="138">
        <f>SUMIFS(tbl_task4[S135],tbl_task4[[SubPLOs]:[SubPLOs]],"&gt;=8",tbl_task4[[SubPLOs]:[SubPLOs]],"&lt;9")</f>
        <v>0</v>
      </c>
      <c r="EK41" s="138">
        <f>SUMIFS(tbl_task4[S136],tbl_task4[[SubPLOs]:[SubPLOs]],"&gt;=8",tbl_task4[[SubPLOs]:[SubPLOs]],"&lt;9")</f>
        <v>0</v>
      </c>
      <c r="EL41" s="138">
        <f>SUMIFS(tbl_task4[S137],tbl_task4[[SubPLOs]:[SubPLOs]],"&gt;=8",tbl_task4[[SubPLOs]:[SubPLOs]],"&lt;9")</f>
        <v>0</v>
      </c>
      <c r="EM41" s="138">
        <f>SUMIFS(tbl_task4[S138],tbl_task4[[SubPLOs]:[SubPLOs]],"&gt;=8",tbl_task4[[SubPLOs]:[SubPLOs]],"&lt;9")</f>
        <v>0</v>
      </c>
      <c r="EN41" s="138">
        <f>SUMIFS(tbl_task4[S139],tbl_task4[[SubPLOs]:[SubPLOs]],"&gt;=8",tbl_task4[[SubPLOs]:[SubPLOs]],"&lt;9")</f>
        <v>0</v>
      </c>
      <c r="EO41" s="138">
        <f>SUMIFS(tbl_task4[S140],tbl_task4[[SubPLOs]:[SubPLOs]],"&gt;=8",tbl_task4[[SubPLOs]:[SubPLOs]],"&lt;9")</f>
        <v>0</v>
      </c>
      <c r="EP41" s="138">
        <f>SUMIFS(tbl_task4[S141],tbl_task4[[SubPLOs]:[SubPLOs]],"&gt;=8",tbl_task4[[SubPLOs]:[SubPLOs]],"&lt;9")</f>
        <v>0</v>
      </c>
      <c r="EQ41" s="138">
        <f>SUMIFS(tbl_task4[S142],tbl_task4[[SubPLOs]:[SubPLOs]],"&gt;=8",tbl_task4[[SubPLOs]:[SubPLOs]],"&lt;9")</f>
        <v>0</v>
      </c>
      <c r="ER41" s="138">
        <f>SUMIFS(tbl_task4[S143],tbl_task4[[SubPLOs]:[SubPLOs]],"&gt;=8",tbl_task4[[SubPLOs]:[SubPLOs]],"&lt;9")</f>
        <v>0</v>
      </c>
      <c r="ES41" s="138">
        <f>SUMIFS(tbl_task4[S144],tbl_task4[[SubPLOs]:[SubPLOs]],"&gt;=8",tbl_task4[[SubPLOs]:[SubPLOs]],"&lt;9")</f>
        <v>0</v>
      </c>
      <c r="ET41" s="138">
        <f>SUMIFS(tbl_task4[S145],tbl_task4[[SubPLOs]:[SubPLOs]],"&gt;=8",tbl_task4[[SubPLOs]:[SubPLOs]],"&lt;9")</f>
        <v>0</v>
      </c>
      <c r="EU41" s="138">
        <f>SUMIFS(tbl_task4[S146],tbl_task4[[SubPLOs]:[SubPLOs]],"&gt;=8",tbl_task4[[SubPLOs]:[SubPLOs]],"&lt;9")</f>
        <v>0</v>
      </c>
      <c r="EV41" s="138">
        <f>SUMIFS(tbl_task4[S147],tbl_task4[[SubPLOs]:[SubPLOs]],"&gt;=8",tbl_task4[[SubPLOs]:[SubPLOs]],"&lt;9")</f>
        <v>0</v>
      </c>
      <c r="EW41" s="138">
        <f>SUMIFS(tbl_task4[S148],tbl_task4[[SubPLOs]:[SubPLOs]],"&gt;=8",tbl_task4[[SubPLOs]:[SubPLOs]],"&lt;9")</f>
        <v>0</v>
      </c>
      <c r="EX41" s="138">
        <f>SUMIFS(tbl_task4[S149],tbl_task4[[SubPLOs]:[SubPLOs]],"&gt;=8",tbl_task4[[SubPLOs]:[SubPLOs]],"&lt;9")</f>
        <v>0</v>
      </c>
      <c r="EY41" s="138">
        <f>SUMIFS(tbl_task4[S150],tbl_task4[[SubPLOs]:[SubPLOs]],"&gt;=8",tbl_task4[[SubPLOs]:[SubPLOs]],"&lt;9")</f>
        <v>0</v>
      </c>
      <c r="EZ41" s="138">
        <f>SUMIFS(tbl_task4[S151],tbl_task4[[SubPLOs]:[SubPLOs]],"&gt;=8",tbl_task4[[SubPLOs]:[SubPLOs]],"&lt;9")</f>
        <v>0</v>
      </c>
      <c r="FA41" s="138">
        <f>SUMIFS(tbl_task4[S152],tbl_task4[[SubPLOs]:[SubPLOs]],"&gt;=8",tbl_task4[[SubPLOs]:[SubPLOs]],"&lt;9")</f>
        <v>0</v>
      </c>
      <c r="FB41" s="138">
        <f>SUMIFS(tbl_task4[S153],tbl_task4[[SubPLOs]:[SubPLOs]],"&gt;=8",tbl_task4[[SubPLOs]:[SubPLOs]],"&lt;9")</f>
        <v>0</v>
      </c>
      <c r="FC41" s="138">
        <f>SUMIFS(tbl_task4[S154],tbl_task4[[SubPLOs]:[SubPLOs]],"&gt;=8",tbl_task4[[SubPLOs]:[SubPLOs]],"&lt;9")</f>
        <v>0</v>
      </c>
      <c r="FD41" s="138">
        <f>SUMIFS(tbl_task4[S155],tbl_task4[[SubPLOs]:[SubPLOs]],"&gt;=8",tbl_task4[[SubPLOs]:[SubPLOs]],"&lt;9")</f>
        <v>0</v>
      </c>
      <c r="FE41" s="138">
        <f>SUMIFS(tbl_task4[S156],tbl_task4[[SubPLOs]:[SubPLOs]],"&gt;=8",tbl_task4[[SubPLOs]:[SubPLOs]],"&lt;9")</f>
        <v>0</v>
      </c>
      <c r="FF41" s="138">
        <f>SUMIFS(tbl_task4[S157],tbl_task4[[SubPLOs]:[SubPLOs]],"&gt;=8",tbl_task4[[SubPLOs]:[SubPLOs]],"&lt;9")</f>
        <v>0</v>
      </c>
      <c r="FG41" s="138">
        <f>SUMIFS(tbl_task4[S158],tbl_task4[[SubPLOs]:[SubPLOs]],"&gt;=8",tbl_task4[[SubPLOs]:[SubPLOs]],"&lt;9")</f>
        <v>0</v>
      </c>
      <c r="FH41" s="138">
        <f>SUMIFS(tbl_task4[S159],tbl_task4[[SubPLOs]:[SubPLOs]],"&gt;=8",tbl_task4[[SubPLOs]:[SubPLOs]],"&lt;9")</f>
        <v>0</v>
      </c>
      <c r="FI41" s="138">
        <f>SUMIFS(tbl_task4[S160],tbl_task4[[SubPLOs]:[SubPLOs]],"&gt;=8",tbl_task4[[SubPLOs]:[SubPLOs]],"&lt;9")</f>
        <v>0</v>
      </c>
      <c r="FJ41" s="138">
        <f>SUMIFS(tbl_task4[S161],tbl_task4[[SubPLOs]:[SubPLOs]],"&gt;=8",tbl_task4[[SubPLOs]:[SubPLOs]],"&lt;9")</f>
        <v>0</v>
      </c>
      <c r="FK41" s="138">
        <f>SUMIFS(tbl_task4[S162],tbl_task4[[SubPLOs]:[SubPLOs]],"&gt;=8",tbl_task4[[SubPLOs]:[SubPLOs]],"&lt;9")</f>
        <v>0</v>
      </c>
      <c r="FL41" s="138">
        <f>SUMIFS(tbl_task4[S163],tbl_task4[[SubPLOs]:[SubPLOs]],"&gt;=8",tbl_task4[[SubPLOs]:[SubPLOs]],"&lt;9")</f>
        <v>0</v>
      </c>
      <c r="FM41" s="138">
        <f>SUMIFS(tbl_task4[S164],tbl_task4[[SubPLOs]:[SubPLOs]],"&gt;=8",tbl_task4[[SubPLOs]:[SubPLOs]],"&lt;9")</f>
        <v>0</v>
      </c>
      <c r="FN41" s="138">
        <f>SUMIFS(tbl_task4[S165],tbl_task4[[SubPLOs]:[SubPLOs]],"&gt;=8",tbl_task4[[SubPLOs]:[SubPLOs]],"&lt;9")</f>
        <v>0</v>
      </c>
    </row>
    <row r="42" spans="1:170" ht="63" x14ac:dyDescent="0.25">
      <c r="A42" s="135">
        <v>9</v>
      </c>
      <c r="B42" s="5" t="s">
        <v>442</v>
      </c>
      <c r="C42" s="136">
        <f>COUNTIFS(tbl_task4[SubPLOs],"&gt;=9",tbl_task4[SubPLOs],"&lt;10")</f>
        <v>0</v>
      </c>
      <c r="D42" s="136">
        <f>SUMIFS(tbl_task4[คะแนนเต็ม],tbl_task4[SubPLOs],"&gt;=9",tbl_task4[SubPLOs],"&lt;10")</f>
        <v>0</v>
      </c>
      <c r="E42" s="137">
        <f>SUMIFS(tbl_task4[%],tbl_task4[SubPLOs],"&gt;=9",tbl_task4[SubPLOs],"&lt;10")</f>
        <v>0</v>
      </c>
      <c r="F42" s="138">
        <f>SUMIFS(tbl_task4[S1],tbl_task4[[SubPLOs]:[SubPLOs]],"&gt;=9",tbl_task4[[SubPLOs]:[SubPLOs]],"&lt;10")</f>
        <v>0</v>
      </c>
      <c r="G42" s="138">
        <f>SUMIFS(tbl_task4[S2],tbl_task4[[SubPLOs]:[SubPLOs]],"&gt;=9",tbl_task4[[SubPLOs]:[SubPLOs]],"&lt;10")</f>
        <v>0</v>
      </c>
      <c r="H42" s="138">
        <f>SUMIFS(tbl_task4[S3],tbl_task4[[SubPLOs]:[SubPLOs]],"&gt;=9",tbl_task4[[SubPLOs]:[SubPLOs]],"&lt;10")</f>
        <v>0</v>
      </c>
      <c r="I42" s="138">
        <f>SUMIFS(tbl_task4[S4],tbl_task4[[SubPLOs]:[SubPLOs]],"&gt;=9",tbl_task4[[SubPLOs]:[SubPLOs]],"&lt;10")</f>
        <v>0</v>
      </c>
      <c r="J42" s="138">
        <f>SUMIFS(tbl_task4[S5],tbl_task4[[SubPLOs]:[SubPLOs]],"&gt;=9",tbl_task4[[SubPLOs]:[SubPLOs]],"&lt;10")</f>
        <v>0</v>
      </c>
      <c r="K42" s="138">
        <f>SUMIFS(tbl_task4[S6],tbl_task4[[SubPLOs]:[SubPLOs]],"&gt;=9",tbl_task4[[SubPLOs]:[SubPLOs]],"&lt;10")</f>
        <v>0</v>
      </c>
      <c r="L42" s="138">
        <f>SUMIFS(tbl_task4[S7],tbl_task4[[SubPLOs]:[SubPLOs]],"&gt;=9",tbl_task4[[SubPLOs]:[SubPLOs]],"&lt;10")</f>
        <v>0</v>
      </c>
      <c r="M42" s="138">
        <f>SUMIFS(tbl_task4[S8],tbl_task4[[SubPLOs]:[SubPLOs]],"&gt;=9",tbl_task4[[SubPLOs]:[SubPLOs]],"&lt;10")</f>
        <v>0</v>
      </c>
      <c r="N42" s="138">
        <f>SUMIFS(tbl_task4[S9],tbl_task4[[SubPLOs]:[SubPLOs]],"&gt;=9",tbl_task4[[SubPLOs]:[SubPLOs]],"&lt;10")</f>
        <v>0</v>
      </c>
      <c r="O42" s="138">
        <f>SUMIFS(tbl_task4[S10],tbl_task4[[SubPLOs]:[SubPLOs]],"&gt;=9",tbl_task4[[SubPLOs]:[SubPLOs]],"&lt;10")</f>
        <v>0</v>
      </c>
      <c r="P42" s="138">
        <f>SUMIFS(tbl_task4[S11],tbl_task4[[SubPLOs]:[SubPLOs]],"&gt;=9",tbl_task4[[SubPLOs]:[SubPLOs]],"&lt;10")</f>
        <v>0</v>
      </c>
      <c r="Q42" s="138">
        <f>SUMIFS(tbl_task4[S12],tbl_task4[[SubPLOs]:[SubPLOs]],"&gt;=9",tbl_task4[[SubPLOs]:[SubPLOs]],"&lt;10")</f>
        <v>0</v>
      </c>
      <c r="R42" s="138">
        <f>SUMIFS(tbl_task4[S13],tbl_task4[[SubPLOs]:[SubPLOs]],"&gt;=9",tbl_task4[[SubPLOs]:[SubPLOs]],"&lt;10")</f>
        <v>0</v>
      </c>
      <c r="S42" s="138">
        <f>SUMIFS(tbl_task4[S14],tbl_task4[[SubPLOs]:[SubPLOs]],"&gt;=9",tbl_task4[[SubPLOs]:[SubPLOs]],"&lt;10")</f>
        <v>0</v>
      </c>
      <c r="T42" s="138">
        <f>SUMIFS(tbl_task4[S15],tbl_task4[[SubPLOs]:[SubPLOs]],"&gt;=9",tbl_task4[[SubPLOs]:[SubPLOs]],"&lt;10")</f>
        <v>0</v>
      </c>
      <c r="U42" s="138">
        <f>SUMIFS(tbl_task4[S16],tbl_task4[[SubPLOs]:[SubPLOs]],"&gt;=9",tbl_task4[[SubPLOs]:[SubPLOs]],"&lt;10")</f>
        <v>0</v>
      </c>
      <c r="V42" s="138">
        <f>SUMIFS(tbl_task4[S17],tbl_task4[[SubPLOs]:[SubPLOs]],"&gt;=9",tbl_task4[[SubPLOs]:[SubPLOs]],"&lt;10")</f>
        <v>0</v>
      </c>
      <c r="W42" s="138">
        <f>SUMIFS(tbl_task4[S18],tbl_task4[[SubPLOs]:[SubPLOs]],"&gt;=9",tbl_task4[[SubPLOs]:[SubPLOs]],"&lt;10")</f>
        <v>0</v>
      </c>
      <c r="X42" s="138">
        <f>SUMIFS(tbl_task4[S19],tbl_task4[[SubPLOs]:[SubPLOs]],"&gt;=9",tbl_task4[[SubPLOs]:[SubPLOs]],"&lt;10")</f>
        <v>0</v>
      </c>
      <c r="Y42" s="138">
        <f>SUMIFS(tbl_task4[S20],tbl_task4[[SubPLOs]:[SubPLOs]],"&gt;=9",tbl_task4[[SubPLOs]:[SubPLOs]],"&lt;10")</f>
        <v>0</v>
      </c>
      <c r="Z42" s="138">
        <f>SUMIFS(tbl_task4[S21],tbl_task4[[SubPLOs]:[SubPLOs]],"&gt;=9",tbl_task4[[SubPLOs]:[SubPLOs]],"&lt;10")</f>
        <v>0</v>
      </c>
      <c r="AA42" s="138">
        <f>SUMIFS(tbl_task4[S22],tbl_task4[[SubPLOs]:[SubPLOs]],"&gt;=9",tbl_task4[[SubPLOs]:[SubPLOs]],"&lt;10")</f>
        <v>0</v>
      </c>
      <c r="AB42" s="138">
        <f>SUMIFS(tbl_task4[S23],tbl_task4[[SubPLOs]:[SubPLOs]],"&gt;=9",tbl_task4[[SubPLOs]:[SubPLOs]],"&lt;10")</f>
        <v>0</v>
      </c>
      <c r="AC42" s="138">
        <f>SUMIFS(tbl_task4[S24],tbl_task4[[SubPLOs]:[SubPLOs]],"&gt;=9",tbl_task4[[SubPLOs]:[SubPLOs]],"&lt;10")</f>
        <v>0</v>
      </c>
      <c r="AD42" s="138">
        <f>SUMIFS(tbl_task4[S25],tbl_task4[[SubPLOs]:[SubPLOs]],"&gt;=9",tbl_task4[[SubPLOs]:[SubPLOs]],"&lt;10")</f>
        <v>0</v>
      </c>
      <c r="AE42" s="138">
        <f>SUMIFS(tbl_task4[S26],tbl_task4[[SubPLOs]:[SubPLOs]],"&gt;=9",tbl_task4[[SubPLOs]:[SubPLOs]],"&lt;10")</f>
        <v>0</v>
      </c>
      <c r="AF42" s="138">
        <f>SUMIFS(tbl_task4[S27],tbl_task4[[SubPLOs]:[SubPLOs]],"&gt;=9",tbl_task4[[SubPLOs]:[SubPLOs]],"&lt;10")</f>
        <v>0</v>
      </c>
      <c r="AG42" s="138">
        <f>SUMIFS(tbl_task4[S28],tbl_task4[[SubPLOs]:[SubPLOs]],"&gt;=9",tbl_task4[[SubPLOs]:[SubPLOs]],"&lt;10")</f>
        <v>0</v>
      </c>
      <c r="AH42" s="138">
        <f>SUMIFS(tbl_task4[S29],tbl_task4[[SubPLOs]:[SubPLOs]],"&gt;=9",tbl_task4[[SubPLOs]:[SubPLOs]],"&lt;10")</f>
        <v>0</v>
      </c>
      <c r="AI42" s="138">
        <f>SUMIFS(tbl_task4[S30],tbl_task4[[SubPLOs]:[SubPLOs]],"&gt;=9",tbl_task4[[SubPLOs]:[SubPLOs]],"&lt;10")</f>
        <v>0</v>
      </c>
      <c r="AJ42" s="138">
        <f>SUMIFS(tbl_task4[S31],tbl_task4[[SubPLOs]:[SubPLOs]],"&gt;=9",tbl_task4[[SubPLOs]:[SubPLOs]],"&lt;10")</f>
        <v>0</v>
      </c>
      <c r="AK42" s="138">
        <f>SUMIFS(tbl_task4[S32],tbl_task4[[SubPLOs]:[SubPLOs]],"&gt;=9",tbl_task4[[SubPLOs]:[SubPLOs]],"&lt;10")</f>
        <v>0</v>
      </c>
      <c r="AL42" s="138">
        <f>SUMIFS(tbl_task4[S33],tbl_task4[[SubPLOs]:[SubPLOs]],"&gt;=9",tbl_task4[[SubPLOs]:[SubPLOs]],"&lt;10")</f>
        <v>0</v>
      </c>
      <c r="AM42" s="138">
        <f>SUMIFS(tbl_task4[S34],tbl_task4[[SubPLOs]:[SubPLOs]],"&gt;=9",tbl_task4[[SubPLOs]:[SubPLOs]],"&lt;10")</f>
        <v>0</v>
      </c>
      <c r="AN42" s="138">
        <f>SUMIFS(tbl_task4[S35],tbl_task4[[SubPLOs]:[SubPLOs]],"&gt;=9",tbl_task4[[SubPLOs]:[SubPLOs]],"&lt;10")</f>
        <v>0</v>
      </c>
      <c r="AO42" s="138">
        <f>SUMIFS(tbl_task4[S36],tbl_task4[[SubPLOs]:[SubPLOs]],"&gt;=9",tbl_task4[[SubPLOs]:[SubPLOs]],"&lt;10")</f>
        <v>0</v>
      </c>
      <c r="AP42" s="138">
        <f>SUMIFS(tbl_task4[S37],tbl_task4[[SubPLOs]:[SubPLOs]],"&gt;=9",tbl_task4[[SubPLOs]:[SubPLOs]],"&lt;10")</f>
        <v>0</v>
      </c>
      <c r="AQ42" s="138">
        <f>SUMIFS(tbl_task4[S38],tbl_task4[[SubPLOs]:[SubPLOs]],"&gt;=9",tbl_task4[[SubPLOs]:[SubPLOs]],"&lt;10")</f>
        <v>0</v>
      </c>
      <c r="AR42" s="138">
        <f>SUMIFS(tbl_task4[S39],tbl_task4[[SubPLOs]:[SubPLOs]],"&gt;=9",tbl_task4[[SubPLOs]:[SubPLOs]],"&lt;10")</f>
        <v>0</v>
      </c>
      <c r="AS42" s="138">
        <f>SUMIFS(tbl_task4[S40],tbl_task4[[SubPLOs]:[SubPLOs]],"&gt;=9",tbl_task4[[SubPLOs]:[SubPLOs]],"&lt;10")</f>
        <v>0</v>
      </c>
      <c r="AT42" s="138">
        <f>SUMIFS(tbl_task4[S41],tbl_task4[[SubPLOs]:[SubPLOs]],"&gt;=9",tbl_task4[[SubPLOs]:[SubPLOs]],"&lt;10")</f>
        <v>0</v>
      </c>
      <c r="AU42" s="138">
        <f>SUMIFS(tbl_task4[S42],tbl_task4[[SubPLOs]:[SubPLOs]],"&gt;=9",tbl_task4[[SubPLOs]:[SubPLOs]],"&lt;10")</f>
        <v>0</v>
      </c>
      <c r="AV42" s="138">
        <f>SUMIFS(tbl_task4[S43],tbl_task4[[SubPLOs]:[SubPLOs]],"&gt;=9",tbl_task4[[SubPLOs]:[SubPLOs]],"&lt;10")</f>
        <v>0</v>
      </c>
      <c r="AW42" s="138">
        <f>SUMIFS(tbl_task4[S44],tbl_task4[[SubPLOs]:[SubPLOs]],"&gt;=9",tbl_task4[[SubPLOs]:[SubPLOs]],"&lt;10")</f>
        <v>0</v>
      </c>
      <c r="AX42" s="138">
        <f>SUMIFS(tbl_task4[S45],tbl_task4[[SubPLOs]:[SubPLOs]],"&gt;=9",tbl_task4[[SubPLOs]:[SubPLOs]],"&lt;10")</f>
        <v>0</v>
      </c>
      <c r="AY42" s="138">
        <f>SUMIFS(tbl_task4[S46],tbl_task4[[SubPLOs]:[SubPLOs]],"&gt;=9",tbl_task4[[SubPLOs]:[SubPLOs]],"&lt;10")</f>
        <v>0</v>
      </c>
      <c r="AZ42" s="138">
        <f>SUMIFS(tbl_task4[S47],tbl_task4[[SubPLOs]:[SubPLOs]],"&gt;=9",tbl_task4[[SubPLOs]:[SubPLOs]],"&lt;10")</f>
        <v>0</v>
      </c>
      <c r="BA42" s="138">
        <f>SUMIFS(tbl_task4[S48],tbl_task4[[SubPLOs]:[SubPLOs]],"&gt;=9",tbl_task4[[SubPLOs]:[SubPLOs]],"&lt;10")</f>
        <v>0</v>
      </c>
      <c r="BB42" s="138">
        <f>SUMIFS(tbl_task4[S49],tbl_task4[[SubPLOs]:[SubPLOs]],"&gt;=9",tbl_task4[[SubPLOs]:[SubPLOs]],"&lt;10")</f>
        <v>0</v>
      </c>
      <c r="BC42" s="138">
        <f>SUMIFS(tbl_task4[S50],tbl_task4[[SubPLOs]:[SubPLOs]],"&gt;=9",tbl_task4[[SubPLOs]:[SubPLOs]],"&lt;10")</f>
        <v>0</v>
      </c>
      <c r="BD42" s="138">
        <f>SUMIFS(tbl_task4[S51],tbl_task4[[SubPLOs]:[SubPLOs]],"&gt;=9",tbl_task4[[SubPLOs]:[SubPLOs]],"&lt;10")</f>
        <v>0</v>
      </c>
      <c r="BE42" s="138">
        <f>SUMIFS(tbl_task4[S52],tbl_task4[[SubPLOs]:[SubPLOs]],"&gt;=9",tbl_task4[[SubPLOs]:[SubPLOs]],"&lt;10")</f>
        <v>0</v>
      </c>
      <c r="BF42" s="138">
        <f>SUMIFS(tbl_task4[S53],tbl_task4[[SubPLOs]:[SubPLOs]],"&gt;=9",tbl_task4[[SubPLOs]:[SubPLOs]],"&lt;10")</f>
        <v>0</v>
      </c>
      <c r="BG42" s="138">
        <f>SUMIFS(tbl_task4[S54],tbl_task4[[SubPLOs]:[SubPLOs]],"&gt;=9",tbl_task4[[SubPLOs]:[SubPLOs]],"&lt;10")</f>
        <v>0</v>
      </c>
      <c r="BH42" s="138">
        <f>SUMIFS(tbl_task4[S55],tbl_task4[[SubPLOs]:[SubPLOs]],"&gt;=9",tbl_task4[[SubPLOs]:[SubPLOs]],"&lt;10")</f>
        <v>0</v>
      </c>
      <c r="BI42" s="138">
        <f>SUMIFS(tbl_task4[S56],tbl_task4[[SubPLOs]:[SubPLOs]],"&gt;=9",tbl_task4[[SubPLOs]:[SubPLOs]],"&lt;10")</f>
        <v>0</v>
      </c>
      <c r="BJ42" s="138">
        <f>SUMIFS(tbl_task4[S57],tbl_task4[[SubPLOs]:[SubPLOs]],"&gt;=9",tbl_task4[[SubPLOs]:[SubPLOs]],"&lt;10")</f>
        <v>0</v>
      </c>
      <c r="BK42" s="138">
        <f>SUMIFS(tbl_task4[S58],tbl_task4[[SubPLOs]:[SubPLOs]],"&gt;=9",tbl_task4[[SubPLOs]:[SubPLOs]],"&lt;10")</f>
        <v>0</v>
      </c>
      <c r="BL42" s="138">
        <f>SUMIFS(tbl_task4[S59],tbl_task4[[SubPLOs]:[SubPLOs]],"&gt;=9",tbl_task4[[SubPLOs]:[SubPLOs]],"&lt;10")</f>
        <v>0</v>
      </c>
      <c r="BM42" s="138">
        <f>SUMIFS(tbl_task4[S60],tbl_task4[[SubPLOs]:[SubPLOs]],"&gt;=9",tbl_task4[[SubPLOs]:[SubPLOs]],"&lt;10")</f>
        <v>0</v>
      </c>
      <c r="BN42" s="138">
        <f>SUMIFS(tbl_task4[S61],tbl_task4[[SubPLOs]:[SubPLOs]],"&gt;=9",tbl_task4[[SubPLOs]:[SubPLOs]],"&lt;10")</f>
        <v>0</v>
      </c>
      <c r="BO42" s="138">
        <f>SUMIFS(tbl_task4[S62],tbl_task4[[SubPLOs]:[SubPLOs]],"&gt;=9",tbl_task4[[SubPLOs]:[SubPLOs]],"&lt;10")</f>
        <v>0</v>
      </c>
      <c r="BP42" s="138">
        <f>SUMIFS(tbl_task4[S63],tbl_task4[[SubPLOs]:[SubPLOs]],"&gt;=9",tbl_task4[[SubPLOs]:[SubPLOs]],"&lt;10")</f>
        <v>0</v>
      </c>
      <c r="BQ42" s="138">
        <f>SUMIFS(tbl_task4[S64],tbl_task4[[SubPLOs]:[SubPLOs]],"&gt;=9",tbl_task4[[SubPLOs]:[SubPLOs]],"&lt;10")</f>
        <v>0</v>
      </c>
      <c r="BR42" s="138">
        <f>SUMIFS(tbl_task4[S65],tbl_task4[[SubPLOs]:[SubPLOs]],"&gt;=9",tbl_task4[[SubPLOs]:[SubPLOs]],"&lt;10")</f>
        <v>0</v>
      </c>
      <c r="BS42" s="138">
        <f>SUMIFS(tbl_task4[S66],tbl_task4[[SubPLOs]:[SubPLOs]],"&gt;=9",tbl_task4[[SubPLOs]:[SubPLOs]],"&lt;10")</f>
        <v>0</v>
      </c>
      <c r="BT42" s="138">
        <f>SUMIFS(tbl_task4[S67],tbl_task4[[SubPLOs]:[SubPLOs]],"&gt;=9",tbl_task4[[SubPLOs]:[SubPLOs]],"&lt;10")</f>
        <v>0</v>
      </c>
      <c r="BU42" s="138">
        <f>SUMIFS(tbl_task4[S68],tbl_task4[[SubPLOs]:[SubPLOs]],"&gt;=9",tbl_task4[[SubPLOs]:[SubPLOs]],"&lt;10")</f>
        <v>0</v>
      </c>
      <c r="BV42" s="138">
        <f>SUMIFS(tbl_task4[S69],tbl_task4[[SubPLOs]:[SubPLOs]],"&gt;=9",tbl_task4[[SubPLOs]:[SubPLOs]],"&lt;10")</f>
        <v>0</v>
      </c>
      <c r="BW42" s="138">
        <f>SUMIFS(tbl_task4[S70],tbl_task4[[SubPLOs]:[SubPLOs]],"&gt;=9",tbl_task4[[SubPLOs]:[SubPLOs]],"&lt;10")</f>
        <v>0</v>
      </c>
      <c r="BX42" s="138">
        <f>SUMIFS(tbl_task4[S71],tbl_task4[[SubPLOs]:[SubPLOs]],"&gt;=9",tbl_task4[[SubPLOs]:[SubPLOs]],"&lt;10")</f>
        <v>0</v>
      </c>
      <c r="BY42" s="138">
        <f>SUMIFS(tbl_task4[S72],tbl_task4[[SubPLOs]:[SubPLOs]],"&gt;=9",tbl_task4[[SubPLOs]:[SubPLOs]],"&lt;10")</f>
        <v>0</v>
      </c>
      <c r="BZ42" s="138">
        <f>SUMIFS(tbl_task4[S73],tbl_task4[[SubPLOs]:[SubPLOs]],"&gt;=9",tbl_task4[[SubPLOs]:[SubPLOs]],"&lt;10")</f>
        <v>0</v>
      </c>
      <c r="CA42" s="138">
        <f>SUMIFS(tbl_task4[S74],tbl_task4[[SubPLOs]:[SubPLOs]],"&gt;=9",tbl_task4[[SubPLOs]:[SubPLOs]],"&lt;10")</f>
        <v>0</v>
      </c>
      <c r="CB42" s="138">
        <f>SUMIFS(tbl_task4[S75],tbl_task4[[SubPLOs]:[SubPLOs]],"&gt;=9",tbl_task4[[SubPLOs]:[SubPLOs]],"&lt;10")</f>
        <v>0</v>
      </c>
      <c r="CC42" s="138">
        <f>SUMIFS(tbl_task4[S76],tbl_task4[[SubPLOs]:[SubPLOs]],"&gt;=9",tbl_task4[[SubPLOs]:[SubPLOs]],"&lt;10")</f>
        <v>0</v>
      </c>
      <c r="CD42" s="138">
        <f>SUMIFS(tbl_task4[S77],tbl_task4[[SubPLOs]:[SubPLOs]],"&gt;=9",tbl_task4[[SubPLOs]:[SubPLOs]],"&lt;10")</f>
        <v>0</v>
      </c>
      <c r="CE42" s="138">
        <f>SUMIFS(tbl_task4[S78],tbl_task4[[SubPLOs]:[SubPLOs]],"&gt;=9",tbl_task4[[SubPLOs]:[SubPLOs]],"&lt;10")</f>
        <v>0</v>
      </c>
      <c r="CF42" s="138">
        <f>SUMIFS(tbl_task4[S79],tbl_task4[[SubPLOs]:[SubPLOs]],"&gt;=9",tbl_task4[[SubPLOs]:[SubPLOs]],"&lt;10")</f>
        <v>0</v>
      </c>
      <c r="CG42" s="138">
        <f>SUMIFS(tbl_task4[S80],tbl_task4[[SubPLOs]:[SubPLOs]],"&gt;=9",tbl_task4[[SubPLOs]:[SubPLOs]],"&lt;10")</f>
        <v>0</v>
      </c>
      <c r="CH42" s="138">
        <f>SUMIFS(tbl_task4[S81],tbl_task4[[SubPLOs]:[SubPLOs]],"&gt;=9",tbl_task4[[SubPLOs]:[SubPLOs]],"&lt;10")</f>
        <v>0</v>
      </c>
      <c r="CI42" s="138">
        <f>SUMIFS(tbl_task4[S82],tbl_task4[[SubPLOs]:[SubPLOs]],"&gt;=9",tbl_task4[[SubPLOs]:[SubPLOs]],"&lt;10")</f>
        <v>0</v>
      </c>
      <c r="CJ42" s="138">
        <f>SUMIFS(tbl_task4[S83],tbl_task4[[SubPLOs]:[SubPLOs]],"&gt;=9",tbl_task4[[SubPLOs]:[SubPLOs]],"&lt;10")</f>
        <v>0</v>
      </c>
      <c r="CK42" s="138">
        <f>SUMIFS(tbl_task4[S84],tbl_task4[[SubPLOs]:[SubPLOs]],"&gt;=9",tbl_task4[[SubPLOs]:[SubPLOs]],"&lt;10")</f>
        <v>0</v>
      </c>
      <c r="CL42" s="138">
        <f>SUMIFS(tbl_task4[S85],tbl_task4[[SubPLOs]:[SubPLOs]],"&gt;=9",tbl_task4[[SubPLOs]:[SubPLOs]],"&lt;10")</f>
        <v>0</v>
      </c>
      <c r="CM42" s="138">
        <f>SUMIFS(tbl_task4[S86],tbl_task4[[SubPLOs]:[SubPLOs]],"&gt;=9",tbl_task4[[SubPLOs]:[SubPLOs]],"&lt;10")</f>
        <v>0</v>
      </c>
      <c r="CN42" s="138">
        <f>SUMIFS(tbl_task4[S87],tbl_task4[[SubPLOs]:[SubPLOs]],"&gt;=9",tbl_task4[[SubPLOs]:[SubPLOs]],"&lt;10")</f>
        <v>0</v>
      </c>
      <c r="CO42" s="138">
        <f>SUMIFS(tbl_task4[S88],tbl_task4[[SubPLOs]:[SubPLOs]],"&gt;=9",tbl_task4[[SubPLOs]:[SubPLOs]],"&lt;10")</f>
        <v>0</v>
      </c>
      <c r="CP42" s="138">
        <f>SUMIFS(tbl_task4[S89],tbl_task4[[SubPLOs]:[SubPLOs]],"&gt;=9",tbl_task4[[SubPLOs]:[SubPLOs]],"&lt;10")</f>
        <v>0</v>
      </c>
      <c r="CQ42" s="138">
        <f>SUMIFS(tbl_task4[S90],tbl_task4[[SubPLOs]:[SubPLOs]],"&gt;=9",tbl_task4[[SubPLOs]:[SubPLOs]],"&lt;10")</f>
        <v>0</v>
      </c>
      <c r="CR42" s="138">
        <f>SUMIFS(tbl_task4[S91],tbl_task4[[SubPLOs]:[SubPLOs]],"&gt;=9",tbl_task4[[SubPLOs]:[SubPLOs]],"&lt;10")</f>
        <v>0</v>
      </c>
      <c r="CS42" s="138">
        <f>SUMIFS(tbl_task4[S92],tbl_task4[[SubPLOs]:[SubPLOs]],"&gt;=9",tbl_task4[[SubPLOs]:[SubPLOs]],"&lt;10")</f>
        <v>0</v>
      </c>
      <c r="CT42" s="138">
        <f>SUMIFS(tbl_task4[S93],tbl_task4[[SubPLOs]:[SubPLOs]],"&gt;=9",tbl_task4[[SubPLOs]:[SubPLOs]],"&lt;10")</f>
        <v>0</v>
      </c>
      <c r="CU42" s="138">
        <f>SUMIFS(tbl_task4[S94],tbl_task4[[SubPLOs]:[SubPLOs]],"&gt;=9",tbl_task4[[SubPLOs]:[SubPLOs]],"&lt;10")</f>
        <v>0</v>
      </c>
      <c r="CV42" s="138">
        <f>SUMIFS(tbl_task4[S95],tbl_task4[[SubPLOs]:[SubPLOs]],"&gt;=9",tbl_task4[[SubPLOs]:[SubPLOs]],"&lt;10")</f>
        <v>0</v>
      </c>
      <c r="CW42" s="138">
        <f>SUMIFS(tbl_task4[S96],tbl_task4[[SubPLOs]:[SubPLOs]],"&gt;=9",tbl_task4[[SubPLOs]:[SubPLOs]],"&lt;10")</f>
        <v>0</v>
      </c>
      <c r="CX42" s="138">
        <f>SUMIFS(tbl_task4[S97],tbl_task4[[SubPLOs]:[SubPLOs]],"&gt;=9",tbl_task4[[SubPLOs]:[SubPLOs]],"&lt;10")</f>
        <v>0</v>
      </c>
      <c r="CY42" s="138">
        <f>SUMIFS(tbl_task4[S98],tbl_task4[[SubPLOs]:[SubPLOs]],"&gt;=9",tbl_task4[[SubPLOs]:[SubPLOs]],"&lt;10")</f>
        <v>0</v>
      </c>
      <c r="CZ42" s="138">
        <f>SUMIFS(tbl_task4[S99],tbl_task4[[SubPLOs]:[SubPLOs]],"&gt;=9",tbl_task4[[SubPLOs]:[SubPLOs]],"&lt;10")</f>
        <v>0</v>
      </c>
      <c r="DA42" s="138">
        <f>SUMIFS(tbl_task4[S100],tbl_task4[[SubPLOs]:[SubPLOs]],"&gt;=9",tbl_task4[[SubPLOs]:[SubPLOs]],"&lt;10")</f>
        <v>0</v>
      </c>
      <c r="DB42" s="138">
        <f>SUMIFS(tbl_task4[S101],tbl_task4[[SubPLOs]:[SubPLOs]],"&gt;=9",tbl_task4[[SubPLOs]:[SubPLOs]],"&lt;10")</f>
        <v>0</v>
      </c>
      <c r="DC42" s="138">
        <f>SUMIFS(tbl_task4[S102],tbl_task4[[SubPLOs]:[SubPLOs]],"&gt;=9",tbl_task4[[SubPLOs]:[SubPLOs]],"&lt;10")</f>
        <v>0</v>
      </c>
      <c r="DD42" s="138">
        <f>SUMIFS(tbl_task4[S103],tbl_task4[[SubPLOs]:[SubPLOs]],"&gt;=9",tbl_task4[[SubPLOs]:[SubPLOs]],"&lt;10")</f>
        <v>0</v>
      </c>
      <c r="DE42" s="138">
        <f>SUMIFS(tbl_task4[S104],tbl_task4[[SubPLOs]:[SubPLOs]],"&gt;=9",tbl_task4[[SubPLOs]:[SubPLOs]],"&lt;10")</f>
        <v>0</v>
      </c>
      <c r="DF42" s="138">
        <f>SUMIFS(tbl_task4[S105],tbl_task4[[SubPLOs]:[SubPLOs]],"&gt;=9",tbl_task4[[SubPLOs]:[SubPLOs]],"&lt;10")</f>
        <v>0</v>
      </c>
      <c r="DG42" s="138">
        <f>SUMIFS(tbl_task4[S106],tbl_task4[[SubPLOs]:[SubPLOs]],"&gt;=9",tbl_task4[[SubPLOs]:[SubPLOs]],"&lt;10")</f>
        <v>0</v>
      </c>
      <c r="DH42" s="138">
        <f>SUMIFS(tbl_task4[S106],tbl_task4[[SubPLOs]:[SubPLOs]],"&gt;=9",tbl_task4[[SubPLOs]:[SubPLOs]],"&lt;10")</f>
        <v>0</v>
      </c>
      <c r="DI42" s="138">
        <f>SUMIFS(tbl_task4[S108],tbl_task4[[SubPLOs]:[SubPLOs]],"&gt;=9",tbl_task4[[SubPLOs]:[SubPLOs]],"&lt;10")</f>
        <v>0</v>
      </c>
      <c r="DJ42" s="138">
        <f>SUMIFS(tbl_task4[S109],tbl_task4[[SubPLOs]:[SubPLOs]],"&gt;=9",tbl_task4[[SubPLOs]:[SubPLOs]],"&lt;10")</f>
        <v>0</v>
      </c>
      <c r="DK42" s="138">
        <f>SUMIFS(tbl_task4[S110],tbl_task4[[SubPLOs]:[SubPLOs]],"&gt;=9",tbl_task4[[SubPLOs]:[SubPLOs]],"&lt;10")</f>
        <v>0</v>
      </c>
      <c r="DL42" s="138">
        <f>SUMIFS(tbl_task4[S111],tbl_task4[[SubPLOs]:[SubPLOs]],"&gt;=9",tbl_task4[[SubPLOs]:[SubPLOs]],"&lt;10")</f>
        <v>0</v>
      </c>
      <c r="DM42" s="138">
        <f>SUMIFS(tbl_task4[S112],tbl_task4[[SubPLOs]:[SubPLOs]],"&gt;=9",tbl_task4[[SubPLOs]:[SubPLOs]],"&lt;10")</f>
        <v>0</v>
      </c>
      <c r="DN42" s="138">
        <f>SUMIFS(tbl_task4[S113],tbl_task4[[SubPLOs]:[SubPLOs]],"&gt;=9",tbl_task4[[SubPLOs]:[SubPLOs]],"&lt;10")</f>
        <v>0</v>
      </c>
      <c r="DO42" s="138">
        <f>SUMIFS(tbl_task4[S114],tbl_task4[[SubPLOs]:[SubPLOs]],"&gt;=9",tbl_task4[[SubPLOs]:[SubPLOs]],"&lt;10")</f>
        <v>0</v>
      </c>
      <c r="DP42" s="138">
        <f>SUMIFS(tbl_task4[S115],tbl_task4[[SubPLOs]:[SubPLOs]],"&gt;=9",tbl_task4[[SubPLOs]:[SubPLOs]],"&lt;10")</f>
        <v>0</v>
      </c>
      <c r="DQ42" s="138">
        <f>SUMIFS(tbl_task4[S116],tbl_task4[[SubPLOs]:[SubPLOs]],"&gt;=9",tbl_task4[[SubPLOs]:[SubPLOs]],"&lt;10")</f>
        <v>0</v>
      </c>
      <c r="DR42" s="138">
        <f>SUMIFS(tbl_task4[S117],tbl_task4[[SubPLOs]:[SubPLOs]],"&gt;=9",tbl_task4[[SubPLOs]:[SubPLOs]],"&lt;10")</f>
        <v>0</v>
      </c>
      <c r="DS42" s="138">
        <f>SUMIFS(tbl_task4[S118],tbl_task4[[SubPLOs]:[SubPLOs]],"&gt;=9",tbl_task4[[SubPLOs]:[SubPLOs]],"&lt;10")</f>
        <v>0</v>
      </c>
      <c r="DT42" s="138">
        <f>SUMIFS(tbl_task4[S119],tbl_task4[[SubPLOs]:[SubPLOs]],"&gt;=9",tbl_task4[[SubPLOs]:[SubPLOs]],"&lt;10")</f>
        <v>0</v>
      </c>
      <c r="DU42" s="138">
        <f>SUMIFS(tbl_task4[S120],tbl_task4[[SubPLOs]:[SubPLOs]],"&gt;=9",tbl_task4[[SubPLOs]:[SubPLOs]],"&lt;10")</f>
        <v>0</v>
      </c>
      <c r="DV42" s="138">
        <f>SUMIFS(tbl_task4[S121],tbl_task4[[SubPLOs]:[SubPLOs]],"&gt;=9",tbl_task4[[SubPLOs]:[SubPLOs]],"&lt;10")</f>
        <v>0</v>
      </c>
      <c r="DW42" s="138">
        <f>SUMIFS(tbl_task4[S122],tbl_task4[[SubPLOs]:[SubPLOs]],"&gt;=9",tbl_task4[[SubPLOs]:[SubPLOs]],"&lt;10")</f>
        <v>0</v>
      </c>
      <c r="DX42" s="138">
        <f>SUMIFS(tbl_task4[S123],tbl_task4[[SubPLOs]:[SubPLOs]],"&gt;=9",tbl_task4[[SubPLOs]:[SubPLOs]],"&lt;10")</f>
        <v>0</v>
      </c>
      <c r="DY42" s="138">
        <f>SUMIFS(tbl_task4[S124],tbl_task4[[SubPLOs]:[SubPLOs]],"&gt;=9",tbl_task4[[SubPLOs]:[SubPLOs]],"&lt;10")</f>
        <v>0</v>
      </c>
      <c r="DZ42" s="138">
        <f>SUMIFS(tbl_task4[S125],tbl_task4[[SubPLOs]:[SubPLOs]],"&gt;=9",tbl_task4[[SubPLOs]:[SubPLOs]],"&lt;10")</f>
        <v>0</v>
      </c>
      <c r="EA42" s="138">
        <f>SUMIFS(tbl_task4[S126],tbl_task4[[SubPLOs]:[SubPLOs]],"&gt;=9",tbl_task4[[SubPLOs]:[SubPLOs]],"&lt;10")</f>
        <v>0</v>
      </c>
      <c r="EB42" s="138">
        <f>SUMIFS(tbl_task4[S127],tbl_task4[[SubPLOs]:[SubPLOs]],"&gt;=9",tbl_task4[[SubPLOs]:[SubPLOs]],"&lt;10")</f>
        <v>0</v>
      </c>
      <c r="EC42" s="138">
        <f>SUMIFS(tbl_task4[S128],tbl_task4[[SubPLOs]:[SubPLOs]],"&gt;=9",tbl_task4[[SubPLOs]:[SubPLOs]],"&lt;10")</f>
        <v>0</v>
      </c>
      <c r="ED42" s="138">
        <f>SUMIFS(tbl_task4[S129],tbl_task4[[SubPLOs]:[SubPLOs]],"&gt;=9",tbl_task4[[SubPLOs]:[SubPLOs]],"&lt;10")</f>
        <v>0</v>
      </c>
      <c r="EE42" s="138">
        <f>SUMIFS(tbl_task4[S130],tbl_task4[[SubPLOs]:[SubPLOs]],"&gt;=9",tbl_task4[[SubPLOs]:[SubPLOs]],"&lt;10")</f>
        <v>0</v>
      </c>
      <c r="EF42" s="138">
        <f>SUMIFS(tbl_task4[S131],tbl_task4[[SubPLOs]:[SubPLOs]],"&gt;=9",tbl_task4[[SubPLOs]:[SubPLOs]],"&lt;10")</f>
        <v>0</v>
      </c>
      <c r="EG42" s="138">
        <f>SUMIFS(tbl_task4[S132],tbl_task4[[SubPLOs]:[SubPLOs]],"&gt;=9",tbl_task4[[SubPLOs]:[SubPLOs]],"&lt;10")</f>
        <v>0</v>
      </c>
      <c r="EH42" s="138">
        <f>SUMIFS(tbl_task4[S133],tbl_task4[[SubPLOs]:[SubPLOs]],"&gt;=9",tbl_task4[[SubPLOs]:[SubPLOs]],"&lt;10")</f>
        <v>0</v>
      </c>
      <c r="EI42" s="138">
        <f>SUMIFS(tbl_task4[S134],tbl_task4[[SubPLOs]:[SubPLOs]],"&gt;=9",tbl_task4[[SubPLOs]:[SubPLOs]],"&lt;10")</f>
        <v>0</v>
      </c>
      <c r="EJ42" s="138">
        <f>SUMIFS(tbl_task4[S135],tbl_task4[[SubPLOs]:[SubPLOs]],"&gt;=9",tbl_task4[[SubPLOs]:[SubPLOs]],"&lt;10")</f>
        <v>0</v>
      </c>
      <c r="EK42" s="138">
        <f>SUMIFS(tbl_task4[S136],tbl_task4[[SubPLOs]:[SubPLOs]],"&gt;=9",tbl_task4[[SubPLOs]:[SubPLOs]],"&lt;10")</f>
        <v>0</v>
      </c>
      <c r="EL42" s="138">
        <f>SUMIFS(tbl_task4[S137],tbl_task4[[SubPLOs]:[SubPLOs]],"&gt;=9",tbl_task4[[SubPLOs]:[SubPLOs]],"&lt;10")</f>
        <v>0</v>
      </c>
      <c r="EM42" s="138">
        <f>SUMIFS(tbl_task4[S138],tbl_task4[[SubPLOs]:[SubPLOs]],"&gt;=9",tbl_task4[[SubPLOs]:[SubPLOs]],"&lt;10")</f>
        <v>0</v>
      </c>
      <c r="EN42" s="138">
        <f>SUMIFS(tbl_task4[S139],tbl_task4[[SubPLOs]:[SubPLOs]],"&gt;=9",tbl_task4[[SubPLOs]:[SubPLOs]],"&lt;10")</f>
        <v>0</v>
      </c>
      <c r="EO42" s="138">
        <f>SUMIFS(tbl_task4[S140],tbl_task4[[SubPLOs]:[SubPLOs]],"&gt;=9",tbl_task4[[SubPLOs]:[SubPLOs]],"&lt;10")</f>
        <v>0</v>
      </c>
      <c r="EP42" s="138">
        <f>SUMIFS(tbl_task4[S141],tbl_task4[[SubPLOs]:[SubPLOs]],"&gt;=9",tbl_task4[[SubPLOs]:[SubPLOs]],"&lt;10")</f>
        <v>0</v>
      </c>
      <c r="EQ42" s="138">
        <f>SUMIFS(tbl_task4[S142],tbl_task4[[SubPLOs]:[SubPLOs]],"&gt;=9",tbl_task4[[SubPLOs]:[SubPLOs]],"&lt;10")</f>
        <v>0</v>
      </c>
      <c r="ER42" s="138">
        <f>SUMIFS(tbl_task4[S143],tbl_task4[[SubPLOs]:[SubPLOs]],"&gt;=9",tbl_task4[[SubPLOs]:[SubPLOs]],"&lt;10")</f>
        <v>0</v>
      </c>
      <c r="ES42" s="138">
        <f>SUMIFS(tbl_task4[S144],tbl_task4[[SubPLOs]:[SubPLOs]],"&gt;=9",tbl_task4[[SubPLOs]:[SubPLOs]],"&lt;10")</f>
        <v>0</v>
      </c>
      <c r="ET42" s="138">
        <f>SUMIFS(tbl_task4[S145],tbl_task4[[SubPLOs]:[SubPLOs]],"&gt;=9",tbl_task4[[SubPLOs]:[SubPLOs]],"&lt;10")</f>
        <v>0</v>
      </c>
      <c r="EU42" s="138">
        <f>SUMIFS(tbl_task4[S146],tbl_task4[[SubPLOs]:[SubPLOs]],"&gt;=9",tbl_task4[[SubPLOs]:[SubPLOs]],"&lt;10")</f>
        <v>0</v>
      </c>
      <c r="EV42" s="138">
        <f>SUMIFS(tbl_task4[S147],tbl_task4[[SubPLOs]:[SubPLOs]],"&gt;=9",tbl_task4[[SubPLOs]:[SubPLOs]],"&lt;10")</f>
        <v>0</v>
      </c>
      <c r="EW42" s="138">
        <f>SUMIFS(tbl_task4[S148],tbl_task4[[SubPLOs]:[SubPLOs]],"&gt;=9",tbl_task4[[SubPLOs]:[SubPLOs]],"&lt;10")</f>
        <v>0</v>
      </c>
      <c r="EX42" s="138">
        <f>SUMIFS(tbl_task4[S149],tbl_task4[[SubPLOs]:[SubPLOs]],"&gt;=9",tbl_task4[[SubPLOs]:[SubPLOs]],"&lt;10")</f>
        <v>0</v>
      </c>
      <c r="EY42" s="138">
        <f>SUMIFS(tbl_task4[S150],tbl_task4[[SubPLOs]:[SubPLOs]],"&gt;=9",tbl_task4[[SubPLOs]:[SubPLOs]],"&lt;10")</f>
        <v>0</v>
      </c>
      <c r="EZ42" s="138">
        <f>SUMIFS(tbl_task4[S151],tbl_task4[[SubPLOs]:[SubPLOs]],"&gt;=9",tbl_task4[[SubPLOs]:[SubPLOs]],"&lt;10")</f>
        <v>0</v>
      </c>
      <c r="FA42" s="138">
        <f>SUMIFS(tbl_task4[S152],tbl_task4[[SubPLOs]:[SubPLOs]],"&gt;=9",tbl_task4[[SubPLOs]:[SubPLOs]],"&lt;10")</f>
        <v>0</v>
      </c>
      <c r="FB42" s="138">
        <f>SUMIFS(tbl_task4[S153],tbl_task4[[SubPLOs]:[SubPLOs]],"&gt;=9",tbl_task4[[SubPLOs]:[SubPLOs]],"&lt;10")</f>
        <v>0</v>
      </c>
      <c r="FC42" s="138">
        <f>SUMIFS(tbl_task4[S154],tbl_task4[[SubPLOs]:[SubPLOs]],"&gt;=9",tbl_task4[[SubPLOs]:[SubPLOs]],"&lt;10")</f>
        <v>0</v>
      </c>
      <c r="FD42" s="138">
        <f>SUMIFS(tbl_task4[S155],tbl_task4[[SubPLOs]:[SubPLOs]],"&gt;=9",tbl_task4[[SubPLOs]:[SubPLOs]],"&lt;10")</f>
        <v>0</v>
      </c>
      <c r="FE42" s="138">
        <f>SUMIFS(tbl_task4[S156],tbl_task4[[SubPLOs]:[SubPLOs]],"&gt;=9",tbl_task4[[SubPLOs]:[SubPLOs]],"&lt;10")</f>
        <v>0</v>
      </c>
      <c r="FF42" s="138">
        <f>SUMIFS(tbl_task4[S157],tbl_task4[[SubPLOs]:[SubPLOs]],"&gt;=9",tbl_task4[[SubPLOs]:[SubPLOs]],"&lt;10")</f>
        <v>0</v>
      </c>
      <c r="FG42" s="138">
        <f>SUMIFS(tbl_task4[S158],tbl_task4[[SubPLOs]:[SubPLOs]],"&gt;=9",tbl_task4[[SubPLOs]:[SubPLOs]],"&lt;10")</f>
        <v>0</v>
      </c>
      <c r="FH42" s="138">
        <f>SUMIFS(tbl_task4[S159],tbl_task4[[SubPLOs]:[SubPLOs]],"&gt;=9",tbl_task4[[SubPLOs]:[SubPLOs]],"&lt;10")</f>
        <v>0</v>
      </c>
      <c r="FI42" s="138">
        <f>SUMIFS(tbl_task4[S160],tbl_task4[[SubPLOs]:[SubPLOs]],"&gt;=9",tbl_task4[[SubPLOs]:[SubPLOs]],"&lt;10")</f>
        <v>0</v>
      </c>
      <c r="FJ42" s="138">
        <f>SUMIFS(tbl_task4[S161],tbl_task4[[SubPLOs]:[SubPLOs]],"&gt;=9",tbl_task4[[SubPLOs]:[SubPLOs]],"&lt;10")</f>
        <v>0</v>
      </c>
      <c r="FK42" s="138">
        <f>SUMIFS(tbl_task4[S162],tbl_task4[[SubPLOs]:[SubPLOs]],"&gt;=9",tbl_task4[[SubPLOs]:[SubPLOs]],"&lt;10")</f>
        <v>0</v>
      </c>
      <c r="FL42" s="138">
        <f>SUMIFS(tbl_task4[S163],tbl_task4[[SubPLOs]:[SubPLOs]],"&gt;=9",tbl_task4[[SubPLOs]:[SubPLOs]],"&lt;10")</f>
        <v>0</v>
      </c>
      <c r="FM42" s="138">
        <f>SUMIFS(tbl_task4[S164],tbl_task4[[SubPLOs]:[SubPLOs]],"&gt;=9",tbl_task4[[SubPLOs]:[SubPLOs]],"&lt;10")</f>
        <v>0</v>
      </c>
      <c r="FN42" s="138">
        <f>SUMIFS(tbl_task4[S165],tbl_task4[[SubPLOs]:[SubPLOs]],"&gt;=9",tbl_task4[[SubPLOs]:[SubPLOs]],"&lt;10")</f>
        <v>0</v>
      </c>
    </row>
    <row r="43" spans="1:170" ht="63" x14ac:dyDescent="0.25">
      <c r="A43" s="135">
        <v>10</v>
      </c>
      <c r="B43" s="5" t="s">
        <v>443</v>
      </c>
      <c r="C43" s="136">
        <f>COUNTIFS(tbl_task4[SubPLOs],"&gt;=10",tbl_task4[SubPLOs],"&lt;11")</f>
        <v>0</v>
      </c>
      <c r="D43" s="136">
        <f>SUMIFS(tbl_task4[คะแนนเต็ม],tbl_task4[SubPLOs],"&gt;=10",tbl_task4[SubPLOs],"&lt;11")</f>
        <v>0</v>
      </c>
      <c r="E43" s="137">
        <f>SUMIFS(tbl_task4[%],tbl_task4[SubPLOs],"&gt;=10",tbl_task4[SubPLOs],"&lt;11")</f>
        <v>0</v>
      </c>
      <c r="F43" s="138">
        <f>SUMIFS(tbl_task4[S1],tbl_task4[[SubPLOs]:[SubPLOs]],"&gt;=10",tbl_task4[[SubPLOs]:[SubPLOs]],"&lt;11")</f>
        <v>0</v>
      </c>
      <c r="G43" s="138">
        <f>SUMIFS(tbl_task4[S2],tbl_task4[[SubPLOs]:[SubPLOs]],"&gt;=10",tbl_task4[[SubPLOs]:[SubPLOs]],"&lt;11")</f>
        <v>0</v>
      </c>
      <c r="H43" s="138">
        <f>SUMIFS(tbl_task4[S3],tbl_task4[[SubPLOs]:[SubPLOs]],"&gt;=10",tbl_task4[[SubPLOs]:[SubPLOs]],"&lt;11")</f>
        <v>0</v>
      </c>
      <c r="I43" s="138">
        <f>SUMIFS(tbl_task4[S4],tbl_task4[[SubPLOs]:[SubPLOs]],"&gt;=10",tbl_task4[[SubPLOs]:[SubPLOs]],"&lt;11")</f>
        <v>0</v>
      </c>
      <c r="J43" s="138">
        <f>SUMIFS(tbl_task4[S5],tbl_task4[[SubPLOs]:[SubPLOs]],"&gt;=10",tbl_task4[[SubPLOs]:[SubPLOs]],"&lt;11")</f>
        <v>0</v>
      </c>
      <c r="K43" s="138">
        <f>SUMIFS(tbl_task4[S6],tbl_task4[[SubPLOs]:[SubPLOs]],"&gt;=10",tbl_task4[[SubPLOs]:[SubPLOs]],"&lt;11")</f>
        <v>0</v>
      </c>
      <c r="L43" s="138">
        <f>SUMIFS(tbl_task4[S7],tbl_task4[[SubPLOs]:[SubPLOs]],"&gt;=10",tbl_task4[[SubPLOs]:[SubPLOs]],"&lt;11")</f>
        <v>0</v>
      </c>
      <c r="M43" s="138">
        <f>SUMIFS(tbl_task4[S8],tbl_task4[[SubPLOs]:[SubPLOs]],"&gt;=10",tbl_task4[[SubPLOs]:[SubPLOs]],"&lt;11")</f>
        <v>0</v>
      </c>
      <c r="N43" s="138">
        <f>SUMIFS(tbl_task4[S9],tbl_task4[[SubPLOs]:[SubPLOs]],"&gt;=10",tbl_task4[[SubPLOs]:[SubPLOs]],"&lt;11")</f>
        <v>0</v>
      </c>
      <c r="O43" s="138">
        <f>SUMIFS(tbl_task4[S10],tbl_task4[[SubPLOs]:[SubPLOs]],"&gt;=10",tbl_task4[[SubPLOs]:[SubPLOs]],"&lt;11")</f>
        <v>0</v>
      </c>
      <c r="P43" s="138">
        <f>SUMIFS(tbl_task4[S11],tbl_task4[[SubPLOs]:[SubPLOs]],"&gt;=10",tbl_task4[[SubPLOs]:[SubPLOs]],"&lt;11")</f>
        <v>0</v>
      </c>
      <c r="Q43" s="138">
        <f>SUMIFS(tbl_task4[S12],tbl_task4[[SubPLOs]:[SubPLOs]],"&gt;=10",tbl_task4[[SubPLOs]:[SubPLOs]],"&lt;11")</f>
        <v>0</v>
      </c>
      <c r="R43" s="138">
        <f>SUMIFS(tbl_task4[S13],tbl_task4[[SubPLOs]:[SubPLOs]],"&gt;=10",tbl_task4[[SubPLOs]:[SubPLOs]],"&lt;11")</f>
        <v>0</v>
      </c>
      <c r="S43" s="138">
        <f>SUMIFS(tbl_task4[S14],tbl_task4[[SubPLOs]:[SubPLOs]],"&gt;=10",tbl_task4[[SubPLOs]:[SubPLOs]],"&lt;11")</f>
        <v>0</v>
      </c>
      <c r="T43" s="138">
        <f>SUMIFS(tbl_task4[S15],tbl_task4[[SubPLOs]:[SubPLOs]],"&gt;=10",tbl_task4[[SubPLOs]:[SubPLOs]],"&lt;11")</f>
        <v>0</v>
      </c>
      <c r="U43" s="138">
        <f>SUMIFS(tbl_task4[S16],tbl_task4[[SubPLOs]:[SubPLOs]],"&gt;=10",tbl_task4[[SubPLOs]:[SubPLOs]],"&lt;11")</f>
        <v>0</v>
      </c>
      <c r="V43" s="138">
        <f>SUMIFS(tbl_task4[S17],tbl_task4[[SubPLOs]:[SubPLOs]],"&gt;=10",tbl_task4[[SubPLOs]:[SubPLOs]],"&lt;11")</f>
        <v>0</v>
      </c>
      <c r="W43" s="138">
        <f>SUMIFS(tbl_task4[S18],tbl_task4[[SubPLOs]:[SubPLOs]],"&gt;=10",tbl_task4[[SubPLOs]:[SubPLOs]],"&lt;11")</f>
        <v>0</v>
      </c>
      <c r="X43" s="138">
        <f>SUMIFS(tbl_task4[S19],tbl_task4[[SubPLOs]:[SubPLOs]],"&gt;=10",tbl_task4[[SubPLOs]:[SubPLOs]],"&lt;11")</f>
        <v>0</v>
      </c>
      <c r="Y43" s="138">
        <f>SUMIFS(tbl_task4[S20],tbl_task4[[SubPLOs]:[SubPLOs]],"&gt;=10",tbl_task4[[SubPLOs]:[SubPLOs]],"&lt;11")</f>
        <v>0</v>
      </c>
      <c r="Z43" s="138">
        <f>SUMIFS(tbl_task4[S21],tbl_task4[[SubPLOs]:[SubPLOs]],"&gt;=10",tbl_task4[[SubPLOs]:[SubPLOs]],"&lt;11")</f>
        <v>0</v>
      </c>
      <c r="AA43" s="138">
        <f>SUMIFS(tbl_task4[S22],tbl_task4[[SubPLOs]:[SubPLOs]],"&gt;=10",tbl_task4[[SubPLOs]:[SubPLOs]],"&lt;11")</f>
        <v>0</v>
      </c>
      <c r="AB43" s="138">
        <f>SUMIFS(tbl_task4[S23],tbl_task4[[SubPLOs]:[SubPLOs]],"&gt;=10",tbl_task4[[SubPLOs]:[SubPLOs]],"&lt;11")</f>
        <v>0</v>
      </c>
      <c r="AC43" s="138">
        <f>SUMIFS(tbl_task4[S24],tbl_task4[[SubPLOs]:[SubPLOs]],"&gt;=10",tbl_task4[[SubPLOs]:[SubPLOs]],"&lt;11")</f>
        <v>0</v>
      </c>
      <c r="AD43" s="138">
        <f>SUMIFS(tbl_task4[S25],tbl_task4[[SubPLOs]:[SubPLOs]],"&gt;=10",tbl_task4[[SubPLOs]:[SubPLOs]],"&lt;11")</f>
        <v>0</v>
      </c>
      <c r="AE43" s="138">
        <f>SUMIFS(tbl_task4[S26],tbl_task4[[SubPLOs]:[SubPLOs]],"&gt;=10",tbl_task4[[SubPLOs]:[SubPLOs]],"&lt;11")</f>
        <v>0</v>
      </c>
      <c r="AF43" s="138">
        <f>SUMIFS(tbl_task4[S27],tbl_task4[[SubPLOs]:[SubPLOs]],"&gt;=10",tbl_task4[[SubPLOs]:[SubPLOs]],"&lt;11")</f>
        <v>0</v>
      </c>
      <c r="AG43" s="138">
        <f>SUMIFS(tbl_task4[S28],tbl_task4[[SubPLOs]:[SubPLOs]],"&gt;=10",tbl_task4[[SubPLOs]:[SubPLOs]],"&lt;11")</f>
        <v>0</v>
      </c>
      <c r="AH43" s="138">
        <f>SUMIFS(tbl_task4[S29],tbl_task4[[SubPLOs]:[SubPLOs]],"&gt;=10",tbl_task4[[SubPLOs]:[SubPLOs]],"&lt;11")</f>
        <v>0</v>
      </c>
      <c r="AI43" s="138">
        <f>SUMIFS(tbl_task4[S30],tbl_task4[[SubPLOs]:[SubPLOs]],"&gt;=10",tbl_task4[[SubPLOs]:[SubPLOs]],"&lt;11")</f>
        <v>0</v>
      </c>
      <c r="AJ43" s="138">
        <f>SUMIFS(tbl_task4[S31],tbl_task4[[SubPLOs]:[SubPLOs]],"&gt;=10",tbl_task4[[SubPLOs]:[SubPLOs]],"&lt;11")</f>
        <v>0</v>
      </c>
      <c r="AK43" s="138">
        <f>SUMIFS(tbl_task4[S32],tbl_task4[[SubPLOs]:[SubPLOs]],"&gt;=10",tbl_task4[[SubPLOs]:[SubPLOs]],"&lt;11")</f>
        <v>0</v>
      </c>
      <c r="AL43" s="138">
        <f>SUMIFS(tbl_task4[S33],tbl_task4[[SubPLOs]:[SubPLOs]],"&gt;=10",tbl_task4[[SubPLOs]:[SubPLOs]],"&lt;11")</f>
        <v>0</v>
      </c>
      <c r="AM43" s="138">
        <f>SUMIFS(tbl_task4[S34],tbl_task4[[SubPLOs]:[SubPLOs]],"&gt;=10",tbl_task4[[SubPLOs]:[SubPLOs]],"&lt;11")</f>
        <v>0</v>
      </c>
      <c r="AN43" s="138">
        <f>SUMIFS(tbl_task4[S35],tbl_task4[[SubPLOs]:[SubPLOs]],"&gt;=10",tbl_task4[[SubPLOs]:[SubPLOs]],"&lt;11")</f>
        <v>0</v>
      </c>
      <c r="AO43" s="138">
        <f>SUMIFS(tbl_task4[S36],tbl_task4[[SubPLOs]:[SubPLOs]],"&gt;=10",tbl_task4[[SubPLOs]:[SubPLOs]],"&lt;11")</f>
        <v>0</v>
      </c>
      <c r="AP43" s="138">
        <f>SUMIFS(tbl_task4[S37],tbl_task4[[SubPLOs]:[SubPLOs]],"&gt;=10",tbl_task4[[SubPLOs]:[SubPLOs]],"&lt;11")</f>
        <v>0</v>
      </c>
      <c r="AQ43" s="138">
        <f>SUMIFS(tbl_task4[S38],tbl_task4[[SubPLOs]:[SubPLOs]],"&gt;=10",tbl_task4[[SubPLOs]:[SubPLOs]],"&lt;11")</f>
        <v>0</v>
      </c>
      <c r="AR43" s="138">
        <f>SUMIFS(tbl_task4[S39],tbl_task4[[SubPLOs]:[SubPLOs]],"&gt;=10",tbl_task4[[SubPLOs]:[SubPLOs]],"&lt;11")</f>
        <v>0</v>
      </c>
      <c r="AS43" s="138">
        <f>SUMIFS(tbl_task4[S40],tbl_task4[[SubPLOs]:[SubPLOs]],"&gt;=10",tbl_task4[[SubPLOs]:[SubPLOs]],"&lt;11")</f>
        <v>0</v>
      </c>
      <c r="AT43" s="138">
        <f>SUMIFS(tbl_task4[S41],tbl_task4[[SubPLOs]:[SubPLOs]],"&gt;=10",tbl_task4[[SubPLOs]:[SubPLOs]],"&lt;11")</f>
        <v>0</v>
      </c>
      <c r="AU43" s="138">
        <f>SUMIFS(tbl_task4[S42],tbl_task4[[SubPLOs]:[SubPLOs]],"&gt;=10",tbl_task4[[SubPLOs]:[SubPLOs]],"&lt;11")</f>
        <v>0</v>
      </c>
      <c r="AV43" s="138">
        <f>SUMIFS(tbl_task4[S43],tbl_task4[[SubPLOs]:[SubPLOs]],"&gt;=10",tbl_task4[[SubPLOs]:[SubPLOs]],"&lt;11")</f>
        <v>0</v>
      </c>
      <c r="AW43" s="138">
        <f>SUMIFS(tbl_task4[S44],tbl_task4[[SubPLOs]:[SubPLOs]],"&gt;=10",tbl_task4[[SubPLOs]:[SubPLOs]],"&lt;11")</f>
        <v>0</v>
      </c>
      <c r="AX43" s="138">
        <f>SUMIFS(tbl_task4[S45],tbl_task4[[SubPLOs]:[SubPLOs]],"&gt;=10",tbl_task4[[SubPLOs]:[SubPLOs]],"&lt;11")</f>
        <v>0</v>
      </c>
      <c r="AY43" s="138">
        <f>SUMIFS(tbl_task4[S46],tbl_task4[[SubPLOs]:[SubPLOs]],"&gt;=10",tbl_task4[[SubPLOs]:[SubPLOs]],"&lt;11")</f>
        <v>0</v>
      </c>
      <c r="AZ43" s="138">
        <f>SUMIFS(tbl_task4[S47],tbl_task4[[SubPLOs]:[SubPLOs]],"&gt;=10",tbl_task4[[SubPLOs]:[SubPLOs]],"&lt;11")</f>
        <v>0</v>
      </c>
      <c r="BA43" s="138">
        <f>SUMIFS(tbl_task4[S48],tbl_task4[[SubPLOs]:[SubPLOs]],"&gt;=10",tbl_task4[[SubPLOs]:[SubPLOs]],"&lt;11")</f>
        <v>0</v>
      </c>
      <c r="BB43" s="138">
        <f>SUMIFS(tbl_task4[S49],tbl_task4[[SubPLOs]:[SubPLOs]],"&gt;=10",tbl_task4[[SubPLOs]:[SubPLOs]],"&lt;11")</f>
        <v>0</v>
      </c>
      <c r="BC43" s="138">
        <f>SUMIFS(tbl_task4[S50],tbl_task4[[SubPLOs]:[SubPLOs]],"&gt;=10",tbl_task4[[SubPLOs]:[SubPLOs]],"&lt;11")</f>
        <v>0</v>
      </c>
      <c r="BD43" s="138">
        <f>SUMIFS(tbl_task4[S51],tbl_task4[[SubPLOs]:[SubPLOs]],"&gt;=10",tbl_task4[[SubPLOs]:[SubPLOs]],"&lt;11")</f>
        <v>0</v>
      </c>
      <c r="BE43" s="138">
        <f>SUMIFS(tbl_task4[S52],tbl_task4[[SubPLOs]:[SubPLOs]],"&gt;=10",tbl_task4[[SubPLOs]:[SubPLOs]],"&lt;11")</f>
        <v>0</v>
      </c>
      <c r="BF43" s="138">
        <f>SUMIFS(tbl_task4[S53],tbl_task4[[SubPLOs]:[SubPLOs]],"&gt;=10",tbl_task4[[SubPLOs]:[SubPLOs]],"&lt;11")</f>
        <v>0</v>
      </c>
      <c r="BG43" s="138">
        <f>SUMIFS(tbl_task4[S54],tbl_task4[[SubPLOs]:[SubPLOs]],"&gt;=10",tbl_task4[[SubPLOs]:[SubPLOs]],"&lt;11")</f>
        <v>0</v>
      </c>
      <c r="BH43" s="138">
        <f>SUMIFS(tbl_task4[S55],tbl_task4[[SubPLOs]:[SubPLOs]],"&gt;=10",tbl_task4[[SubPLOs]:[SubPLOs]],"&lt;11")</f>
        <v>0</v>
      </c>
      <c r="BI43" s="138">
        <f>SUMIFS(tbl_task4[S56],tbl_task4[[SubPLOs]:[SubPLOs]],"&gt;=10",tbl_task4[[SubPLOs]:[SubPLOs]],"&lt;11")</f>
        <v>0</v>
      </c>
      <c r="BJ43" s="138">
        <f>SUMIFS(tbl_task4[S57],tbl_task4[[SubPLOs]:[SubPLOs]],"&gt;=10",tbl_task4[[SubPLOs]:[SubPLOs]],"&lt;11")</f>
        <v>0</v>
      </c>
      <c r="BK43" s="138">
        <f>SUMIFS(tbl_task4[S58],tbl_task4[[SubPLOs]:[SubPLOs]],"&gt;=10",tbl_task4[[SubPLOs]:[SubPLOs]],"&lt;11")</f>
        <v>0</v>
      </c>
      <c r="BL43" s="138">
        <f>SUMIFS(tbl_task4[S59],tbl_task4[[SubPLOs]:[SubPLOs]],"&gt;=10",tbl_task4[[SubPLOs]:[SubPLOs]],"&lt;11")</f>
        <v>0</v>
      </c>
      <c r="BM43" s="138">
        <f>SUMIFS(tbl_task4[S60],tbl_task4[[SubPLOs]:[SubPLOs]],"&gt;=10",tbl_task4[[SubPLOs]:[SubPLOs]],"&lt;11")</f>
        <v>0</v>
      </c>
      <c r="BN43" s="138">
        <f>SUMIFS(tbl_task4[S61],tbl_task4[[SubPLOs]:[SubPLOs]],"&gt;=10",tbl_task4[[SubPLOs]:[SubPLOs]],"&lt;11")</f>
        <v>0</v>
      </c>
      <c r="BO43" s="138">
        <f>SUMIFS(tbl_task4[S62],tbl_task4[[SubPLOs]:[SubPLOs]],"&gt;=10",tbl_task4[[SubPLOs]:[SubPLOs]],"&lt;11")</f>
        <v>0</v>
      </c>
      <c r="BP43" s="138">
        <f>SUMIFS(tbl_task4[S63],tbl_task4[[SubPLOs]:[SubPLOs]],"&gt;=10",tbl_task4[[SubPLOs]:[SubPLOs]],"&lt;11")</f>
        <v>0</v>
      </c>
      <c r="BQ43" s="138">
        <f>SUMIFS(tbl_task4[S64],tbl_task4[[SubPLOs]:[SubPLOs]],"&gt;=10",tbl_task4[[SubPLOs]:[SubPLOs]],"&lt;11")</f>
        <v>0</v>
      </c>
      <c r="BR43" s="138">
        <f>SUMIFS(tbl_task4[S65],tbl_task4[[SubPLOs]:[SubPLOs]],"&gt;=10",tbl_task4[[SubPLOs]:[SubPLOs]],"&lt;11")</f>
        <v>0</v>
      </c>
      <c r="BS43" s="138">
        <f>SUMIFS(tbl_task4[S66],tbl_task4[[SubPLOs]:[SubPLOs]],"&gt;=10",tbl_task4[[SubPLOs]:[SubPLOs]],"&lt;11")</f>
        <v>0</v>
      </c>
      <c r="BT43" s="138">
        <f>SUMIFS(tbl_task4[S67],tbl_task4[[SubPLOs]:[SubPLOs]],"&gt;=10",tbl_task4[[SubPLOs]:[SubPLOs]],"&lt;11")</f>
        <v>0</v>
      </c>
      <c r="BU43" s="138">
        <f>SUMIFS(tbl_task4[S68],tbl_task4[[SubPLOs]:[SubPLOs]],"&gt;=10",tbl_task4[[SubPLOs]:[SubPLOs]],"&lt;11")</f>
        <v>0</v>
      </c>
      <c r="BV43" s="138">
        <f>SUMIFS(tbl_task4[S69],tbl_task4[[SubPLOs]:[SubPLOs]],"&gt;=10",tbl_task4[[SubPLOs]:[SubPLOs]],"&lt;11")</f>
        <v>0</v>
      </c>
      <c r="BW43" s="138">
        <f>SUMIFS(tbl_task4[S70],tbl_task4[[SubPLOs]:[SubPLOs]],"&gt;=10",tbl_task4[[SubPLOs]:[SubPLOs]],"&lt;11")</f>
        <v>0</v>
      </c>
      <c r="BX43" s="138">
        <f>SUMIFS(tbl_task4[S71],tbl_task4[[SubPLOs]:[SubPLOs]],"&gt;=10",tbl_task4[[SubPLOs]:[SubPLOs]],"&lt;11")</f>
        <v>0</v>
      </c>
      <c r="BY43" s="138">
        <f>SUMIFS(tbl_task4[S72],tbl_task4[[SubPLOs]:[SubPLOs]],"&gt;=10",tbl_task4[[SubPLOs]:[SubPLOs]],"&lt;11")</f>
        <v>0</v>
      </c>
      <c r="BZ43" s="138">
        <f>SUMIFS(tbl_task4[S73],tbl_task4[[SubPLOs]:[SubPLOs]],"&gt;=10",tbl_task4[[SubPLOs]:[SubPLOs]],"&lt;11")</f>
        <v>0</v>
      </c>
      <c r="CA43" s="138">
        <f>SUMIFS(tbl_task4[S74],tbl_task4[[SubPLOs]:[SubPLOs]],"&gt;=10",tbl_task4[[SubPLOs]:[SubPLOs]],"&lt;11")</f>
        <v>0</v>
      </c>
      <c r="CB43" s="138">
        <f>SUMIFS(tbl_task4[S75],tbl_task4[[SubPLOs]:[SubPLOs]],"&gt;=10",tbl_task4[[SubPLOs]:[SubPLOs]],"&lt;11")</f>
        <v>0</v>
      </c>
      <c r="CC43" s="138">
        <f>SUMIFS(tbl_task4[S76],tbl_task4[[SubPLOs]:[SubPLOs]],"&gt;=10",tbl_task4[[SubPLOs]:[SubPLOs]],"&lt;11")</f>
        <v>0</v>
      </c>
      <c r="CD43" s="138">
        <f>SUMIFS(tbl_task4[S77],tbl_task4[[SubPLOs]:[SubPLOs]],"&gt;=10",tbl_task4[[SubPLOs]:[SubPLOs]],"&lt;11")</f>
        <v>0</v>
      </c>
      <c r="CE43" s="138">
        <f>SUMIFS(tbl_task4[S78],tbl_task4[[SubPLOs]:[SubPLOs]],"&gt;=10",tbl_task4[[SubPLOs]:[SubPLOs]],"&lt;11")</f>
        <v>0</v>
      </c>
      <c r="CF43" s="138">
        <f>SUMIFS(tbl_task4[S79],tbl_task4[[SubPLOs]:[SubPLOs]],"&gt;=10",tbl_task4[[SubPLOs]:[SubPLOs]],"&lt;11")</f>
        <v>0</v>
      </c>
      <c r="CG43" s="138">
        <f>SUMIFS(tbl_task4[S80],tbl_task4[[SubPLOs]:[SubPLOs]],"&gt;=10",tbl_task4[[SubPLOs]:[SubPLOs]],"&lt;11")</f>
        <v>0</v>
      </c>
      <c r="CH43" s="138">
        <f>SUMIFS(tbl_task4[S81],tbl_task4[[SubPLOs]:[SubPLOs]],"&gt;=10",tbl_task4[[SubPLOs]:[SubPLOs]],"&lt;11")</f>
        <v>0</v>
      </c>
      <c r="CI43" s="138">
        <f>SUMIFS(tbl_task4[S82],tbl_task4[[SubPLOs]:[SubPLOs]],"&gt;=10",tbl_task4[[SubPLOs]:[SubPLOs]],"&lt;11")</f>
        <v>0</v>
      </c>
      <c r="CJ43" s="138">
        <f>SUMIFS(tbl_task4[S83],tbl_task4[[SubPLOs]:[SubPLOs]],"&gt;=10",tbl_task4[[SubPLOs]:[SubPLOs]],"&lt;11")</f>
        <v>0</v>
      </c>
      <c r="CK43" s="138">
        <f>SUMIFS(tbl_task4[S84],tbl_task4[[SubPLOs]:[SubPLOs]],"&gt;=10",tbl_task4[[SubPLOs]:[SubPLOs]],"&lt;11")</f>
        <v>0</v>
      </c>
      <c r="CL43" s="138">
        <f>SUMIFS(tbl_task4[S85],tbl_task4[[SubPLOs]:[SubPLOs]],"&gt;=10",tbl_task4[[SubPLOs]:[SubPLOs]],"&lt;11")</f>
        <v>0</v>
      </c>
      <c r="CM43" s="138">
        <f>SUMIFS(tbl_task4[S86],tbl_task4[[SubPLOs]:[SubPLOs]],"&gt;=10",tbl_task4[[SubPLOs]:[SubPLOs]],"&lt;11")</f>
        <v>0</v>
      </c>
      <c r="CN43" s="138">
        <f>SUMIFS(tbl_task4[S87],tbl_task4[[SubPLOs]:[SubPLOs]],"&gt;=10",tbl_task4[[SubPLOs]:[SubPLOs]],"&lt;11")</f>
        <v>0</v>
      </c>
      <c r="CO43" s="138">
        <f>SUMIFS(tbl_task4[S88],tbl_task4[[SubPLOs]:[SubPLOs]],"&gt;=10",tbl_task4[[SubPLOs]:[SubPLOs]],"&lt;11")</f>
        <v>0</v>
      </c>
      <c r="CP43" s="138">
        <f>SUMIFS(tbl_task4[S89],tbl_task4[[SubPLOs]:[SubPLOs]],"&gt;=10",tbl_task4[[SubPLOs]:[SubPLOs]],"&lt;11")</f>
        <v>0</v>
      </c>
      <c r="CQ43" s="138">
        <f>SUMIFS(tbl_task4[S90],tbl_task4[[SubPLOs]:[SubPLOs]],"&gt;=10",tbl_task4[[SubPLOs]:[SubPLOs]],"&lt;11")</f>
        <v>0</v>
      </c>
      <c r="CR43" s="138">
        <f>SUMIFS(tbl_task4[S91],tbl_task4[[SubPLOs]:[SubPLOs]],"&gt;=10",tbl_task4[[SubPLOs]:[SubPLOs]],"&lt;11")</f>
        <v>0</v>
      </c>
      <c r="CS43" s="138">
        <f>SUMIFS(tbl_task4[S92],tbl_task4[[SubPLOs]:[SubPLOs]],"&gt;=10",tbl_task4[[SubPLOs]:[SubPLOs]],"&lt;11")</f>
        <v>0</v>
      </c>
      <c r="CT43" s="138">
        <f>SUMIFS(tbl_task4[S93],tbl_task4[[SubPLOs]:[SubPLOs]],"&gt;=10",tbl_task4[[SubPLOs]:[SubPLOs]],"&lt;11")</f>
        <v>0</v>
      </c>
      <c r="CU43" s="138">
        <f>SUMIFS(tbl_task4[S94],tbl_task4[[SubPLOs]:[SubPLOs]],"&gt;=10",tbl_task4[[SubPLOs]:[SubPLOs]],"&lt;11")</f>
        <v>0</v>
      </c>
      <c r="CV43" s="138">
        <f>SUMIFS(tbl_task4[S95],tbl_task4[[SubPLOs]:[SubPLOs]],"&gt;=10",tbl_task4[[SubPLOs]:[SubPLOs]],"&lt;11")</f>
        <v>0</v>
      </c>
      <c r="CW43" s="138">
        <f>SUMIFS(tbl_task4[S96],tbl_task4[[SubPLOs]:[SubPLOs]],"&gt;=10",tbl_task4[[SubPLOs]:[SubPLOs]],"&lt;11")</f>
        <v>0</v>
      </c>
      <c r="CX43" s="138">
        <f>SUMIFS(tbl_task4[S97],tbl_task4[[SubPLOs]:[SubPLOs]],"&gt;=10",tbl_task4[[SubPLOs]:[SubPLOs]],"&lt;11")</f>
        <v>0</v>
      </c>
      <c r="CY43" s="138">
        <f>SUMIFS(tbl_task4[S98],tbl_task4[[SubPLOs]:[SubPLOs]],"&gt;=10",tbl_task4[[SubPLOs]:[SubPLOs]],"&lt;11")</f>
        <v>0</v>
      </c>
      <c r="CZ43" s="138">
        <f>SUMIFS(tbl_task4[S99],tbl_task4[[SubPLOs]:[SubPLOs]],"&gt;=10",tbl_task4[[SubPLOs]:[SubPLOs]],"&lt;11")</f>
        <v>0</v>
      </c>
      <c r="DA43" s="138">
        <f>SUMIFS(tbl_task4[S100],tbl_task4[[SubPLOs]:[SubPLOs]],"&gt;=10",tbl_task4[[SubPLOs]:[SubPLOs]],"&lt;11")</f>
        <v>0</v>
      </c>
      <c r="DB43" s="138">
        <f>SUMIFS(tbl_task4[S101],tbl_task4[[SubPLOs]:[SubPLOs]],"&gt;=10",tbl_task4[[SubPLOs]:[SubPLOs]],"&lt;11")</f>
        <v>0</v>
      </c>
      <c r="DC43" s="138">
        <f>SUMIFS(tbl_task4[S102],tbl_task4[[SubPLOs]:[SubPLOs]],"&gt;=10",tbl_task4[[SubPLOs]:[SubPLOs]],"&lt;11")</f>
        <v>0</v>
      </c>
      <c r="DD43" s="138">
        <f>SUMIFS(tbl_task4[S103],tbl_task4[[SubPLOs]:[SubPLOs]],"&gt;=10",tbl_task4[[SubPLOs]:[SubPLOs]],"&lt;11")</f>
        <v>0</v>
      </c>
      <c r="DE43" s="138">
        <f>SUMIFS(tbl_task4[S104],tbl_task4[[SubPLOs]:[SubPLOs]],"&gt;=10",tbl_task4[[SubPLOs]:[SubPLOs]],"&lt;11")</f>
        <v>0</v>
      </c>
      <c r="DF43" s="138">
        <f>SUMIFS(tbl_task4[S105],tbl_task4[[SubPLOs]:[SubPLOs]],"&gt;=10",tbl_task4[[SubPLOs]:[SubPLOs]],"&lt;11")</f>
        <v>0</v>
      </c>
      <c r="DG43" s="138">
        <f>SUMIFS(tbl_task4[S106],tbl_task4[[SubPLOs]:[SubPLOs]],"&gt;=10",tbl_task4[[SubPLOs]:[SubPLOs]],"&lt;11")</f>
        <v>0</v>
      </c>
      <c r="DH43" s="138">
        <f>SUMIFS(tbl_task4[S106],tbl_task4[[SubPLOs]:[SubPLOs]],"&gt;=10",tbl_task4[[SubPLOs]:[SubPLOs]],"&lt;11")</f>
        <v>0</v>
      </c>
      <c r="DI43" s="138">
        <f>SUMIFS(tbl_task4[S108],tbl_task4[[SubPLOs]:[SubPLOs]],"&gt;=10",tbl_task4[[SubPLOs]:[SubPLOs]],"&lt;11")</f>
        <v>0</v>
      </c>
      <c r="DJ43" s="138">
        <f>SUMIFS(tbl_task4[S109],tbl_task4[[SubPLOs]:[SubPLOs]],"&gt;=10",tbl_task4[[SubPLOs]:[SubPLOs]],"&lt;11")</f>
        <v>0</v>
      </c>
      <c r="DK43" s="138">
        <f>SUMIFS(tbl_task4[S110],tbl_task4[[SubPLOs]:[SubPLOs]],"&gt;=10",tbl_task4[[SubPLOs]:[SubPLOs]],"&lt;11")</f>
        <v>0</v>
      </c>
      <c r="DL43" s="138">
        <f>SUMIFS(tbl_task4[S111],tbl_task4[[SubPLOs]:[SubPLOs]],"&gt;=10",tbl_task4[[SubPLOs]:[SubPLOs]],"&lt;11")</f>
        <v>0</v>
      </c>
      <c r="DM43" s="138">
        <f>SUMIFS(tbl_task4[S112],tbl_task4[[SubPLOs]:[SubPLOs]],"&gt;=10",tbl_task4[[SubPLOs]:[SubPLOs]],"&lt;11")</f>
        <v>0</v>
      </c>
      <c r="DN43" s="138">
        <f>SUMIFS(tbl_task4[S113],tbl_task4[[SubPLOs]:[SubPLOs]],"&gt;=10",tbl_task4[[SubPLOs]:[SubPLOs]],"&lt;11")</f>
        <v>0</v>
      </c>
      <c r="DO43" s="138">
        <f>SUMIFS(tbl_task4[S114],tbl_task4[[SubPLOs]:[SubPLOs]],"&gt;=10",tbl_task4[[SubPLOs]:[SubPLOs]],"&lt;11")</f>
        <v>0</v>
      </c>
      <c r="DP43" s="138">
        <f>SUMIFS(tbl_task4[S115],tbl_task4[[SubPLOs]:[SubPLOs]],"&gt;=10",tbl_task4[[SubPLOs]:[SubPLOs]],"&lt;11")</f>
        <v>0</v>
      </c>
      <c r="DQ43" s="138">
        <f>SUMIFS(tbl_task4[S116],tbl_task4[[SubPLOs]:[SubPLOs]],"&gt;=10",tbl_task4[[SubPLOs]:[SubPLOs]],"&lt;11")</f>
        <v>0</v>
      </c>
      <c r="DR43" s="138">
        <f>SUMIFS(tbl_task4[S117],tbl_task4[[SubPLOs]:[SubPLOs]],"&gt;=10",tbl_task4[[SubPLOs]:[SubPLOs]],"&lt;11")</f>
        <v>0</v>
      </c>
      <c r="DS43" s="138">
        <f>SUMIFS(tbl_task4[S118],tbl_task4[[SubPLOs]:[SubPLOs]],"&gt;=10",tbl_task4[[SubPLOs]:[SubPLOs]],"&lt;11")</f>
        <v>0</v>
      </c>
      <c r="DT43" s="138">
        <f>SUMIFS(tbl_task4[S119],tbl_task4[[SubPLOs]:[SubPLOs]],"&gt;=10",tbl_task4[[SubPLOs]:[SubPLOs]],"&lt;11")</f>
        <v>0</v>
      </c>
      <c r="DU43" s="138">
        <f>SUMIFS(tbl_task4[S120],tbl_task4[[SubPLOs]:[SubPLOs]],"&gt;=10",tbl_task4[[SubPLOs]:[SubPLOs]],"&lt;11")</f>
        <v>0</v>
      </c>
      <c r="DV43" s="138">
        <f>SUMIFS(tbl_task4[S121],tbl_task4[[SubPLOs]:[SubPLOs]],"&gt;=10",tbl_task4[[SubPLOs]:[SubPLOs]],"&lt;11")</f>
        <v>0</v>
      </c>
      <c r="DW43" s="138">
        <f>SUMIFS(tbl_task4[S122],tbl_task4[[SubPLOs]:[SubPLOs]],"&gt;=10",tbl_task4[[SubPLOs]:[SubPLOs]],"&lt;11")</f>
        <v>0</v>
      </c>
      <c r="DX43" s="138">
        <f>SUMIFS(tbl_task4[S123],tbl_task4[[SubPLOs]:[SubPLOs]],"&gt;=10",tbl_task4[[SubPLOs]:[SubPLOs]],"&lt;11")</f>
        <v>0</v>
      </c>
      <c r="DY43" s="138">
        <f>SUMIFS(tbl_task4[S124],tbl_task4[[SubPLOs]:[SubPLOs]],"&gt;=10",tbl_task4[[SubPLOs]:[SubPLOs]],"&lt;11")</f>
        <v>0</v>
      </c>
      <c r="DZ43" s="138">
        <f>SUMIFS(tbl_task4[S125],tbl_task4[[SubPLOs]:[SubPLOs]],"&gt;=10",tbl_task4[[SubPLOs]:[SubPLOs]],"&lt;11")</f>
        <v>0</v>
      </c>
      <c r="EA43" s="138">
        <f>SUMIFS(tbl_task4[S126],tbl_task4[[SubPLOs]:[SubPLOs]],"&gt;=10",tbl_task4[[SubPLOs]:[SubPLOs]],"&lt;11")</f>
        <v>0</v>
      </c>
      <c r="EB43" s="138">
        <f>SUMIFS(tbl_task4[S127],tbl_task4[[SubPLOs]:[SubPLOs]],"&gt;=10",tbl_task4[[SubPLOs]:[SubPLOs]],"&lt;11")</f>
        <v>0</v>
      </c>
      <c r="EC43" s="138">
        <f>SUMIFS(tbl_task4[S128],tbl_task4[[SubPLOs]:[SubPLOs]],"&gt;=10",tbl_task4[[SubPLOs]:[SubPLOs]],"&lt;11")</f>
        <v>0</v>
      </c>
      <c r="ED43" s="138">
        <f>SUMIFS(tbl_task4[S129],tbl_task4[[SubPLOs]:[SubPLOs]],"&gt;=10",tbl_task4[[SubPLOs]:[SubPLOs]],"&lt;11")</f>
        <v>0</v>
      </c>
      <c r="EE43" s="138">
        <f>SUMIFS(tbl_task4[S130],tbl_task4[[SubPLOs]:[SubPLOs]],"&gt;=10",tbl_task4[[SubPLOs]:[SubPLOs]],"&lt;11")</f>
        <v>0</v>
      </c>
      <c r="EF43" s="138">
        <f>SUMIFS(tbl_task4[S131],tbl_task4[[SubPLOs]:[SubPLOs]],"&gt;=10",tbl_task4[[SubPLOs]:[SubPLOs]],"&lt;11")</f>
        <v>0</v>
      </c>
      <c r="EG43" s="138">
        <f>SUMIFS(tbl_task4[S132],tbl_task4[[SubPLOs]:[SubPLOs]],"&gt;=10",tbl_task4[[SubPLOs]:[SubPLOs]],"&lt;11")</f>
        <v>0</v>
      </c>
      <c r="EH43" s="138">
        <f>SUMIFS(tbl_task4[S133],tbl_task4[[SubPLOs]:[SubPLOs]],"&gt;=10",tbl_task4[[SubPLOs]:[SubPLOs]],"&lt;11")</f>
        <v>0</v>
      </c>
      <c r="EI43" s="138">
        <f>SUMIFS(tbl_task4[S134],tbl_task4[[SubPLOs]:[SubPLOs]],"&gt;=10",tbl_task4[[SubPLOs]:[SubPLOs]],"&lt;11")</f>
        <v>0</v>
      </c>
      <c r="EJ43" s="138">
        <f>SUMIFS(tbl_task4[S135],tbl_task4[[SubPLOs]:[SubPLOs]],"&gt;=10",tbl_task4[[SubPLOs]:[SubPLOs]],"&lt;11")</f>
        <v>0</v>
      </c>
      <c r="EK43" s="138">
        <f>SUMIFS(tbl_task4[S136],tbl_task4[[SubPLOs]:[SubPLOs]],"&gt;=10",tbl_task4[[SubPLOs]:[SubPLOs]],"&lt;11")</f>
        <v>0</v>
      </c>
      <c r="EL43" s="138">
        <f>SUMIFS(tbl_task4[S137],tbl_task4[[SubPLOs]:[SubPLOs]],"&gt;=10",tbl_task4[[SubPLOs]:[SubPLOs]],"&lt;11")</f>
        <v>0</v>
      </c>
      <c r="EM43" s="138">
        <f>SUMIFS(tbl_task4[S138],tbl_task4[[SubPLOs]:[SubPLOs]],"&gt;=10",tbl_task4[[SubPLOs]:[SubPLOs]],"&lt;11")</f>
        <v>0</v>
      </c>
      <c r="EN43" s="138">
        <f>SUMIFS(tbl_task4[S139],tbl_task4[[SubPLOs]:[SubPLOs]],"&gt;=10",tbl_task4[[SubPLOs]:[SubPLOs]],"&lt;11")</f>
        <v>0</v>
      </c>
      <c r="EO43" s="138">
        <f>SUMIFS(tbl_task4[S140],tbl_task4[[SubPLOs]:[SubPLOs]],"&gt;=10",tbl_task4[[SubPLOs]:[SubPLOs]],"&lt;11")</f>
        <v>0</v>
      </c>
      <c r="EP43" s="138">
        <f>SUMIFS(tbl_task4[S141],tbl_task4[[SubPLOs]:[SubPLOs]],"&gt;=10",tbl_task4[[SubPLOs]:[SubPLOs]],"&lt;11")</f>
        <v>0</v>
      </c>
      <c r="EQ43" s="138">
        <f>SUMIFS(tbl_task4[S142],tbl_task4[[SubPLOs]:[SubPLOs]],"&gt;=10",tbl_task4[[SubPLOs]:[SubPLOs]],"&lt;11")</f>
        <v>0</v>
      </c>
      <c r="ER43" s="138">
        <f>SUMIFS(tbl_task4[S143],tbl_task4[[SubPLOs]:[SubPLOs]],"&gt;=10",tbl_task4[[SubPLOs]:[SubPLOs]],"&lt;11")</f>
        <v>0</v>
      </c>
      <c r="ES43" s="138">
        <f>SUMIFS(tbl_task4[S144],tbl_task4[[SubPLOs]:[SubPLOs]],"&gt;=10",tbl_task4[[SubPLOs]:[SubPLOs]],"&lt;11")</f>
        <v>0</v>
      </c>
      <c r="ET43" s="138">
        <f>SUMIFS(tbl_task4[S145],tbl_task4[[SubPLOs]:[SubPLOs]],"&gt;=10",tbl_task4[[SubPLOs]:[SubPLOs]],"&lt;11")</f>
        <v>0</v>
      </c>
      <c r="EU43" s="138">
        <f>SUMIFS(tbl_task4[S146],tbl_task4[[SubPLOs]:[SubPLOs]],"&gt;=10",tbl_task4[[SubPLOs]:[SubPLOs]],"&lt;11")</f>
        <v>0</v>
      </c>
      <c r="EV43" s="138">
        <f>SUMIFS(tbl_task4[S147],tbl_task4[[SubPLOs]:[SubPLOs]],"&gt;=10",tbl_task4[[SubPLOs]:[SubPLOs]],"&lt;11")</f>
        <v>0</v>
      </c>
      <c r="EW43" s="138">
        <f>SUMIFS(tbl_task4[S148],tbl_task4[[SubPLOs]:[SubPLOs]],"&gt;=10",tbl_task4[[SubPLOs]:[SubPLOs]],"&lt;11")</f>
        <v>0</v>
      </c>
      <c r="EX43" s="138">
        <f>SUMIFS(tbl_task4[S149],tbl_task4[[SubPLOs]:[SubPLOs]],"&gt;=10",tbl_task4[[SubPLOs]:[SubPLOs]],"&lt;11")</f>
        <v>0</v>
      </c>
      <c r="EY43" s="138">
        <f>SUMIFS(tbl_task4[S150],tbl_task4[[SubPLOs]:[SubPLOs]],"&gt;=10",tbl_task4[[SubPLOs]:[SubPLOs]],"&lt;11")</f>
        <v>0</v>
      </c>
      <c r="EZ43" s="138">
        <f>SUMIFS(tbl_task4[S151],tbl_task4[[SubPLOs]:[SubPLOs]],"&gt;=10",tbl_task4[[SubPLOs]:[SubPLOs]],"&lt;11")</f>
        <v>0</v>
      </c>
      <c r="FA43" s="138">
        <f>SUMIFS(tbl_task4[S152],tbl_task4[[SubPLOs]:[SubPLOs]],"&gt;=10",tbl_task4[[SubPLOs]:[SubPLOs]],"&lt;11")</f>
        <v>0</v>
      </c>
      <c r="FB43" s="138">
        <f>SUMIFS(tbl_task4[S153],tbl_task4[[SubPLOs]:[SubPLOs]],"&gt;=10",tbl_task4[[SubPLOs]:[SubPLOs]],"&lt;11")</f>
        <v>0</v>
      </c>
      <c r="FC43" s="138">
        <f>SUMIFS(tbl_task4[S154],tbl_task4[[SubPLOs]:[SubPLOs]],"&gt;=10",tbl_task4[[SubPLOs]:[SubPLOs]],"&lt;11")</f>
        <v>0</v>
      </c>
      <c r="FD43" s="138">
        <f>SUMIFS(tbl_task4[S155],tbl_task4[[SubPLOs]:[SubPLOs]],"&gt;=10",tbl_task4[[SubPLOs]:[SubPLOs]],"&lt;11")</f>
        <v>0</v>
      </c>
      <c r="FE43" s="138">
        <f>SUMIFS(tbl_task4[S156],tbl_task4[[SubPLOs]:[SubPLOs]],"&gt;=10",tbl_task4[[SubPLOs]:[SubPLOs]],"&lt;11")</f>
        <v>0</v>
      </c>
      <c r="FF43" s="138">
        <f>SUMIFS(tbl_task4[S157],tbl_task4[[SubPLOs]:[SubPLOs]],"&gt;=10",tbl_task4[[SubPLOs]:[SubPLOs]],"&lt;11")</f>
        <v>0</v>
      </c>
      <c r="FG43" s="138">
        <f>SUMIFS(tbl_task4[S158],tbl_task4[[SubPLOs]:[SubPLOs]],"&gt;=10",tbl_task4[[SubPLOs]:[SubPLOs]],"&lt;11")</f>
        <v>0</v>
      </c>
      <c r="FH43" s="138">
        <f>SUMIFS(tbl_task4[S159],tbl_task4[[SubPLOs]:[SubPLOs]],"&gt;=10",tbl_task4[[SubPLOs]:[SubPLOs]],"&lt;11")</f>
        <v>0</v>
      </c>
      <c r="FI43" s="138">
        <f>SUMIFS(tbl_task4[S160],tbl_task4[[SubPLOs]:[SubPLOs]],"&gt;=10",tbl_task4[[SubPLOs]:[SubPLOs]],"&lt;11")</f>
        <v>0</v>
      </c>
      <c r="FJ43" s="138">
        <f>SUMIFS(tbl_task4[S161],tbl_task4[[SubPLOs]:[SubPLOs]],"&gt;=10",tbl_task4[[SubPLOs]:[SubPLOs]],"&lt;11")</f>
        <v>0</v>
      </c>
      <c r="FK43" s="138">
        <f>SUMIFS(tbl_task4[S162],tbl_task4[[SubPLOs]:[SubPLOs]],"&gt;=10",tbl_task4[[SubPLOs]:[SubPLOs]],"&lt;11")</f>
        <v>0</v>
      </c>
      <c r="FL43" s="138">
        <f>SUMIFS(tbl_task4[S163],tbl_task4[[SubPLOs]:[SubPLOs]],"&gt;=10",tbl_task4[[SubPLOs]:[SubPLOs]],"&lt;11")</f>
        <v>0</v>
      </c>
      <c r="FM43" s="138">
        <f>SUMIFS(tbl_task4[S164],tbl_task4[[SubPLOs]:[SubPLOs]],"&gt;=10",tbl_task4[[SubPLOs]:[SubPLOs]],"&lt;11")</f>
        <v>0</v>
      </c>
      <c r="FN43" s="138">
        <f>SUMIFS(tbl_task4[S165],tbl_task4[[SubPLOs]:[SubPLOs]],"&gt;=10",tbl_task4[[SubPLOs]:[SubPLOs]],"&lt;11")</f>
        <v>0</v>
      </c>
    </row>
    <row r="44" spans="1:170" s="34" customFormat="1" x14ac:dyDescent="0.25">
      <c r="A44" s="125"/>
      <c r="B44" s="126" t="s">
        <v>11</v>
      </c>
      <c r="C44" s="127">
        <f>SUM(C34:C43)</f>
        <v>0</v>
      </c>
      <c r="D44" s="128">
        <f>SUM(D34:D43)</f>
        <v>0</v>
      </c>
      <c r="E44" s="128">
        <f>SUM(E34:E43)</f>
        <v>0</v>
      </c>
      <c r="F44" s="128">
        <f t="shared" ref="F44:BQ44" si="0">SUM(F34:F43)</f>
        <v>0</v>
      </c>
      <c r="G44" s="128">
        <f t="shared" si="0"/>
        <v>0</v>
      </c>
      <c r="H44" s="128">
        <f t="shared" si="0"/>
        <v>0</v>
      </c>
      <c r="I44" s="128">
        <f t="shared" si="0"/>
        <v>0</v>
      </c>
      <c r="J44" s="128">
        <f t="shared" si="0"/>
        <v>0</v>
      </c>
      <c r="K44" s="128">
        <f t="shared" si="0"/>
        <v>0</v>
      </c>
      <c r="L44" s="128">
        <f t="shared" si="0"/>
        <v>0</v>
      </c>
      <c r="M44" s="128">
        <f t="shared" si="0"/>
        <v>0</v>
      </c>
      <c r="N44" s="128">
        <f t="shared" si="0"/>
        <v>0</v>
      </c>
      <c r="O44" s="128">
        <f t="shared" si="0"/>
        <v>0</v>
      </c>
      <c r="P44" s="128">
        <f t="shared" si="0"/>
        <v>0</v>
      </c>
      <c r="Q44" s="128">
        <f t="shared" si="0"/>
        <v>0</v>
      </c>
      <c r="R44" s="128">
        <f t="shared" si="0"/>
        <v>0</v>
      </c>
      <c r="S44" s="128">
        <f t="shared" si="0"/>
        <v>0</v>
      </c>
      <c r="T44" s="128">
        <f t="shared" si="0"/>
        <v>0</v>
      </c>
      <c r="U44" s="128">
        <f t="shared" si="0"/>
        <v>0</v>
      </c>
      <c r="V44" s="128">
        <f t="shared" si="0"/>
        <v>0</v>
      </c>
      <c r="W44" s="128">
        <f t="shared" si="0"/>
        <v>0</v>
      </c>
      <c r="X44" s="128">
        <f t="shared" si="0"/>
        <v>0</v>
      </c>
      <c r="Y44" s="128">
        <f t="shared" si="0"/>
        <v>0</v>
      </c>
      <c r="Z44" s="128">
        <f t="shared" si="0"/>
        <v>0</v>
      </c>
      <c r="AA44" s="128">
        <f t="shared" si="0"/>
        <v>0</v>
      </c>
      <c r="AB44" s="128">
        <f t="shared" si="0"/>
        <v>0</v>
      </c>
      <c r="AC44" s="128">
        <f t="shared" si="0"/>
        <v>0</v>
      </c>
      <c r="AD44" s="128">
        <f t="shared" si="0"/>
        <v>0</v>
      </c>
      <c r="AE44" s="128">
        <f t="shared" si="0"/>
        <v>0</v>
      </c>
      <c r="AF44" s="128">
        <f t="shared" si="0"/>
        <v>0</v>
      </c>
      <c r="AG44" s="128">
        <f t="shared" si="0"/>
        <v>0</v>
      </c>
      <c r="AH44" s="128">
        <f t="shared" si="0"/>
        <v>0</v>
      </c>
      <c r="AI44" s="128">
        <f t="shared" si="0"/>
        <v>0</v>
      </c>
      <c r="AJ44" s="128">
        <f t="shared" si="0"/>
        <v>0</v>
      </c>
      <c r="AK44" s="128">
        <f t="shared" si="0"/>
        <v>0</v>
      </c>
      <c r="AL44" s="128">
        <f t="shared" si="0"/>
        <v>0</v>
      </c>
      <c r="AM44" s="128">
        <f t="shared" si="0"/>
        <v>0</v>
      </c>
      <c r="AN44" s="128">
        <f t="shared" si="0"/>
        <v>0</v>
      </c>
      <c r="AO44" s="128">
        <f t="shared" si="0"/>
        <v>0</v>
      </c>
      <c r="AP44" s="128">
        <f t="shared" si="0"/>
        <v>0</v>
      </c>
      <c r="AQ44" s="128">
        <f t="shared" si="0"/>
        <v>0</v>
      </c>
      <c r="AR44" s="128">
        <f t="shared" si="0"/>
        <v>0</v>
      </c>
      <c r="AS44" s="128">
        <f t="shared" si="0"/>
        <v>0</v>
      </c>
      <c r="AT44" s="128">
        <f t="shared" si="0"/>
        <v>0</v>
      </c>
      <c r="AU44" s="128">
        <f t="shared" si="0"/>
        <v>0</v>
      </c>
      <c r="AV44" s="128">
        <f t="shared" si="0"/>
        <v>0</v>
      </c>
      <c r="AW44" s="128">
        <f t="shared" si="0"/>
        <v>0</v>
      </c>
      <c r="AX44" s="128">
        <f t="shared" si="0"/>
        <v>0</v>
      </c>
      <c r="AY44" s="128">
        <f t="shared" si="0"/>
        <v>0</v>
      </c>
      <c r="AZ44" s="128">
        <f t="shared" si="0"/>
        <v>0</v>
      </c>
      <c r="BA44" s="128">
        <f t="shared" si="0"/>
        <v>0</v>
      </c>
      <c r="BB44" s="128">
        <f t="shared" si="0"/>
        <v>0</v>
      </c>
      <c r="BC44" s="128">
        <f t="shared" si="0"/>
        <v>0</v>
      </c>
      <c r="BD44" s="128">
        <f t="shared" si="0"/>
        <v>0</v>
      </c>
      <c r="BE44" s="128">
        <f t="shared" si="0"/>
        <v>0</v>
      </c>
      <c r="BF44" s="128">
        <f t="shared" si="0"/>
        <v>0</v>
      </c>
      <c r="BG44" s="128">
        <f t="shared" si="0"/>
        <v>0</v>
      </c>
      <c r="BH44" s="128">
        <f t="shared" si="0"/>
        <v>0</v>
      </c>
      <c r="BI44" s="128">
        <f t="shared" si="0"/>
        <v>0</v>
      </c>
      <c r="BJ44" s="128">
        <f t="shared" si="0"/>
        <v>0</v>
      </c>
      <c r="BK44" s="128">
        <f t="shared" si="0"/>
        <v>0</v>
      </c>
      <c r="BL44" s="128">
        <f t="shared" si="0"/>
        <v>0</v>
      </c>
      <c r="BM44" s="128">
        <f t="shared" si="0"/>
        <v>0</v>
      </c>
      <c r="BN44" s="128">
        <f t="shared" si="0"/>
        <v>0</v>
      </c>
      <c r="BO44" s="128">
        <f t="shared" si="0"/>
        <v>0</v>
      </c>
      <c r="BP44" s="128">
        <f t="shared" si="0"/>
        <v>0</v>
      </c>
      <c r="BQ44" s="128">
        <f t="shared" si="0"/>
        <v>0</v>
      </c>
      <c r="BR44" s="128">
        <f t="shared" ref="BR44:EC44" si="1">SUM(BR34:BR43)</f>
        <v>0</v>
      </c>
      <c r="BS44" s="128">
        <f t="shared" si="1"/>
        <v>0</v>
      </c>
      <c r="BT44" s="128">
        <f t="shared" si="1"/>
        <v>0</v>
      </c>
      <c r="BU44" s="128">
        <f t="shared" si="1"/>
        <v>0</v>
      </c>
      <c r="BV44" s="128">
        <f t="shared" si="1"/>
        <v>0</v>
      </c>
      <c r="BW44" s="128">
        <f t="shared" si="1"/>
        <v>0</v>
      </c>
      <c r="BX44" s="128">
        <f t="shared" si="1"/>
        <v>0</v>
      </c>
      <c r="BY44" s="128">
        <f t="shared" si="1"/>
        <v>0</v>
      </c>
      <c r="BZ44" s="128">
        <f t="shared" si="1"/>
        <v>0</v>
      </c>
      <c r="CA44" s="128">
        <f t="shared" si="1"/>
        <v>0</v>
      </c>
      <c r="CB44" s="128">
        <f t="shared" si="1"/>
        <v>0</v>
      </c>
      <c r="CC44" s="128">
        <f t="shared" si="1"/>
        <v>0</v>
      </c>
      <c r="CD44" s="128">
        <f t="shared" si="1"/>
        <v>0</v>
      </c>
      <c r="CE44" s="128">
        <f t="shared" si="1"/>
        <v>0</v>
      </c>
      <c r="CF44" s="128">
        <f t="shared" si="1"/>
        <v>0</v>
      </c>
      <c r="CG44" s="128">
        <f t="shared" si="1"/>
        <v>0</v>
      </c>
      <c r="CH44" s="128">
        <f t="shared" si="1"/>
        <v>0</v>
      </c>
      <c r="CI44" s="128">
        <f t="shared" si="1"/>
        <v>0</v>
      </c>
      <c r="CJ44" s="128">
        <f t="shared" si="1"/>
        <v>0</v>
      </c>
      <c r="CK44" s="128">
        <f t="shared" si="1"/>
        <v>0</v>
      </c>
      <c r="CL44" s="128">
        <f t="shared" si="1"/>
        <v>0</v>
      </c>
      <c r="CM44" s="128">
        <f t="shared" si="1"/>
        <v>0</v>
      </c>
      <c r="CN44" s="128">
        <f t="shared" si="1"/>
        <v>0</v>
      </c>
      <c r="CO44" s="128">
        <f t="shared" si="1"/>
        <v>0</v>
      </c>
      <c r="CP44" s="128">
        <f t="shared" si="1"/>
        <v>0</v>
      </c>
      <c r="CQ44" s="128">
        <f t="shared" si="1"/>
        <v>0</v>
      </c>
      <c r="CR44" s="128">
        <f t="shared" si="1"/>
        <v>0</v>
      </c>
      <c r="CS44" s="128">
        <f t="shared" si="1"/>
        <v>0</v>
      </c>
      <c r="CT44" s="128">
        <f t="shared" si="1"/>
        <v>0</v>
      </c>
      <c r="CU44" s="128">
        <f t="shared" si="1"/>
        <v>0</v>
      </c>
      <c r="CV44" s="128">
        <f t="shared" si="1"/>
        <v>0</v>
      </c>
      <c r="CW44" s="128">
        <f t="shared" si="1"/>
        <v>0</v>
      </c>
      <c r="CX44" s="128">
        <f t="shared" si="1"/>
        <v>0</v>
      </c>
      <c r="CY44" s="128">
        <f t="shared" si="1"/>
        <v>0</v>
      </c>
      <c r="CZ44" s="128">
        <f t="shared" si="1"/>
        <v>0</v>
      </c>
      <c r="DA44" s="128">
        <f t="shared" si="1"/>
        <v>0</v>
      </c>
      <c r="DB44" s="128">
        <f t="shared" si="1"/>
        <v>0</v>
      </c>
      <c r="DC44" s="128">
        <f t="shared" si="1"/>
        <v>0</v>
      </c>
      <c r="DD44" s="128">
        <f t="shared" si="1"/>
        <v>0</v>
      </c>
      <c r="DE44" s="128">
        <f t="shared" si="1"/>
        <v>0</v>
      </c>
      <c r="DF44" s="128">
        <f t="shared" si="1"/>
        <v>0</v>
      </c>
      <c r="DG44" s="128">
        <f t="shared" si="1"/>
        <v>0</v>
      </c>
      <c r="DH44" s="128">
        <f t="shared" si="1"/>
        <v>0</v>
      </c>
      <c r="DI44" s="128">
        <f t="shared" si="1"/>
        <v>0</v>
      </c>
      <c r="DJ44" s="128">
        <f t="shared" si="1"/>
        <v>0</v>
      </c>
      <c r="DK44" s="128">
        <f t="shared" si="1"/>
        <v>0</v>
      </c>
      <c r="DL44" s="128">
        <f t="shared" si="1"/>
        <v>0</v>
      </c>
      <c r="DM44" s="128">
        <f t="shared" si="1"/>
        <v>0</v>
      </c>
      <c r="DN44" s="128">
        <f t="shared" si="1"/>
        <v>0</v>
      </c>
      <c r="DO44" s="128">
        <f t="shared" si="1"/>
        <v>0</v>
      </c>
      <c r="DP44" s="128">
        <f t="shared" si="1"/>
        <v>0</v>
      </c>
      <c r="DQ44" s="128">
        <f t="shared" si="1"/>
        <v>0</v>
      </c>
      <c r="DR44" s="128">
        <f t="shared" si="1"/>
        <v>0</v>
      </c>
      <c r="DS44" s="128">
        <f t="shared" si="1"/>
        <v>0</v>
      </c>
      <c r="DT44" s="128">
        <f t="shared" si="1"/>
        <v>0</v>
      </c>
      <c r="DU44" s="128">
        <f t="shared" si="1"/>
        <v>0</v>
      </c>
      <c r="DV44" s="128">
        <f t="shared" si="1"/>
        <v>0</v>
      </c>
      <c r="DW44" s="128">
        <f t="shared" si="1"/>
        <v>0</v>
      </c>
      <c r="DX44" s="128">
        <f t="shared" si="1"/>
        <v>0</v>
      </c>
      <c r="DY44" s="128">
        <f t="shared" si="1"/>
        <v>0</v>
      </c>
      <c r="DZ44" s="128">
        <f t="shared" si="1"/>
        <v>0</v>
      </c>
      <c r="EA44" s="128">
        <f t="shared" si="1"/>
        <v>0</v>
      </c>
      <c r="EB44" s="128">
        <f t="shared" si="1"/>
        <v>0</v>
      </c>
      <c r="EC44" s="128">
        <f t="shared" si="1"/>
        <v>0</v>
      </c>
      <c r="ED44" s="128">
        <f t="shared" ref="ED44:FN44" si="2">SUM(ED34:ED43)</f>
        <v>0</v>
      </c>
      <c r="EE44" s="128">
        <f t="shared" si="2"/>
        <v>0</v>
      </c>
      <c r="EF44" s="128">
        <f t="shared" si="2"/>
        <v>0</v>
      </c>
      <c r="EG44" s="128">
        <f t="shared" si="2"/>
        <v>0</v>
      </c>
      <c r="EH44" s="128">
        <f t="shared" si="2"/>
        <v>0</v>
      </c>
      <c r="EI44" s="128">
        <f t="shared" si="2"/>
        <v>0</v>
      </c>
      <c r="EJ44" s="128">
        <f t="shared" si="2"/>
        <v>0</v>
      </c>
      <c r="EK44" s="128">
        <f t="shared" si="2"/>
        <v>0</v>
      </c>
      <c r="EL44" s="128">
        <f t="shared" si="2"/>
        <v>0</v>
      </c>
      <c r="EM44" s="128">
        <f t="shared" si="2"/>
        <v>0</v>
      </c>
      <c r="EN44" s="128">
        <f t="shared" si="2"/>
        <v>0</v>
      </c>
      <c r="EO44" s="128">
        <f t="shared" si="2"/>
        <v>0</v>
      </c>
      <c r="EP44" s="128">
        <f t="shared" si="2"/>
        <v>0</v>
      </c>
      <c r="EQ44" s="128">
        <f t="shared" si="2"/>
        <v>0</v>
      </c>
      <c r="ER44" s="128">
        <f t="shared" si="2"/>
        <v>0</v>
      </c>
      <c r="ES44" s="128">
        <f t="shared" si="2"/>
        <v>0</v>
      </c>
      <c r="ET44" s="128">
        <f t="shared" si="2"/>
        <v>0</v>
      </c>
      <c r="EU44" s="128">
        <f t="shared" si="2"/>
        <v>0</v>
      </c>
      <c r="EV44" s="128">
        <f t="shared" si="2"/>
        <v>0</v>
      </c>
      <c r="EW44" s="128">
        <f t="shared" si="2"/>
        <v>0</v>
      </c>
      <c r="EX44" s="128">
        <f t="shared" si="2"/>
        <v>0</v>
      </c>
      <c r="EY44" s="128">
        <f t="shared" si="2"/>
        <v>0</v>
      </c>
      <c r="EZ44" s="128">
        <f t="shared" si="2"/>
        <v>0</v>
      </c>
      <c r="FA44" s="128">
        <f t="shared" si="2"/>
        <v>0</v>
      </c>
      <c r="FB44" s="128">
        <f t="shared" si="2"/>
        <v>0</v>
      </c>
      <c r="FC44" s="128">
        <f t="shared" si="2"/>
        <v>0</v>
      </c>
      <c r="FD44" s="128">
        <f t="shared" si="2"/>
        <v>0</v>
      </c>
      <c r="FE44" s="128">
        <f t="shared" si="2"/>
        <v>0</v>
      </c>
      <c r="FF44" s="128">
        <f t="shared" si="2"/>
        <v>0</v>
      </c>
      <c r="FG44" s="128">
        <f t="shared" si="2"/>
        <v>0</v>
      </c>
      <c r="FH44" s="128">
        <f t="shared" si="2"/>
        <v>0</v>
      </c>
      <c r="FI44" s="128">
        <f t="shared" si="2"/>
        <v>0</v>
      </c>
      <c r="FJ44" s="128">
        <f t="shared" si="2"/>
        <v>0</v>
      </c>
      <c r="FK44" s="128">
        <f t="shared" si="2"/>
        <v>0</v>
      </c>
      <c r="FL44" s="128">
        <f t="shared" si="2"/>
        <v>0</v>
      </c>
      <c r="FM44" s="128">
        <f t="shared" si="2"/>
        <v>0</v>
      </c>
      <c r="FN44" s="128">
        <f t="shared" si="2"/>
        <v>0</v>
      </c>
    </row>
  </sheetData>
  <mergeCells count="1">
    <mergeCell ref="C1:P1"/>
  </mergeCells>
  <dataValidations count="2">
    <dataValidation type="decimal" operator="greaterThanOrEqual" allowBlank="1" showInputMessage="1" showErrorMessage="1" sqref="F4:FN28">
      <formula1>0</formula1>
    </dataValidation>
    <dataValidation type="whole" allowBlank="1" showInputMessage="1" showErrorMessage="1" sqref="F30:FN31">
      <formula1>1</formula1>
      <formula2>4</formula2>
    </dataValidation>
  </dataValidations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52" fitToHeight="0" orientation="landscape" r:id="rId1"/>
  <legacy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X44"/>
  <sheetViews>
    <sheetView zoomScale="80" zoomScaleNormal="80" workbookViewId="0">
      <pane xSplit="5" ySplit="3" topLeftCell="DL4" activePane="bottomRight" state="frozen"/>
      <selection pane="topRight" activeCell="F1" sqref="F1"/>
      <selection pane="bottomLeft" activeCell="A4" sqref="A4"/>
      <selection pane="bottomRight" activeCell="B34" sqref="B34"/>
    </sheetView>
  </sheetViews>
  <sheetFormatPr defaultColWidth="0" defaultRowHeight="21" x14ac:dyDescent="0.25"/>
  <cols>
    <col min="1" max="1" width="5.69921875" style="3" customWidth="1"/>
    <col min="2" max="2" width="27.09765625" style="1" customWidth="1"/>
    <col min="3" max="3" width="28.3984375" style="2" customWidth="1"/>
    <col min="4" max="4" width="10.09765625" style="101" customWidth="1"/>
    <col min="5" max="5" width="11" style="3" customWidth="1"/>
    <col min="6" max="290" width="6.69921875" style="3" customWidth="1"/>
    <col min="291" max="335" width="6.69921875" style="3" hidden="1" customWidth="1"/>
    <col min="336" max="336" width="9.09765625" style="3" customWidth="1"/>
    <col min="337" max="16384" width="9.09765625" style="3" hidden="1"/>
  </cols>
  <sheetData>
    <row r="1" spans="1:335" s="110" customFormat="1" ht="27.75" customHeight="1" x14ac:dyDescent="0.25">
      <c r="A1" s="120" t="s">
        <v>268</v>
      </c>
      <c r="B1" s="119" t="s">
        <v>308</v>
      </c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</row>
    <row r="2" spans="1:335" s="111" customFormat="1" ht="13.5" customHeight="1" x14ac:dyDescent="0.25">
      <c r="A2" s="112"/>
      <c r="B2" s="112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4"/>
    </row>
    <row r="3" spans="1:335" s="32" customFormat="1" x14ac:dyDescent="0.6">
      <c r="A3" s="28" t="s">
        <v>137</v>
      </c>
      <c r="B3" s="29" t="s">
        <v>452</v>
      </c>
      <c r="C3" s="30" t="s">
        <v>453</v>
      </c>
      <c r="D3" s="104" t="s">
        <v>306</v>
      </c>
      <c r="E3" s="105" t="s">
        <v>307</v>
      </c>
      <c r="F3" s="31" t="s">
        <v>2</v>
      </c>
      <c r="G3" s="31" t="s">
        <v>0</v>
      </c>
      <c r="H3" s="31" t="s">
        <v>1</v>
      </c>
      <c r="I3" s="31" t="s">
        <v>4</v>
      </c>
      <c r="J3" s="31" t="s">
        <v>138</v>
      </c>
      <c r="K3" s="31" t="s">
        <v>139</v>
      </c>
      <c r="L3" s="31" t="s">
        <v>140</v>
      </c>
      <c r="M3" s="31" t="s">
        <v>141</v>
      </c>
      <c r="N3" s="31" t="s">
        <v>142</v>
      </c>
      <c r="O3" s="31" t="s">
        <v>143</v>
      </c>
      <c r="P3" s="31" t="s">
        <v>144</v>
      </c>
      <c r="Q3" s="31" t="s">
        <v>145</v>
      </c>
      <c r="R3" s="31" t="s">
        <v>146</v>
      </c>
      <c r="S3" s="31" t="s">
        <v>147</v>
      </c>
      <c r="T3" s="31" t="s">
        <v>148</v>
      </c>
      <c r="U3" s="31" t="s">
        <v>149</v>
      </c>
      <c r="V3" s="31" t="s">
        <v>150</v>
      </c>
      <c r="W3" s="31" t="s">
        <v>151</v>
      </c>
      <c r="X3" s="31" t="s">
        <v>152</v>
      </c>
      <c r="Y3" s="31" t="s">
        <v>153</v>
      </c>
      <c r="Z3" s="31" t="s">
        <v>154</v>
      </c>
      <c r="AA3" s="31" t="s">
        <v>155</v>
      </c>
      <c r="AB3" s="31" t="s">
        <v>156</v>
      </c>
      <c r="AC3" s="31" t="s">
        <v>157</v>
      </c>
      <c r="AD3" s="31" t="s">
        <v>158</v>
      </c>
      <c r="AE3" s="31" t="s">
        <v>159</v>
      </c>
      <c r="AF3" s="31" t="s">
        <v>160</v>
      </c>
      <c r="AG3" s="31" t="s">
        <v>161</v>
      </c>
      <c r="AH3" s="31" t="s">
        <v>162</v>
      </c>
      <c r="AI3" s="31" t="s">
        <v>163</v>
      </c>
      <c r="AJ3" s="31" t="s">
        <v>164</v>
      </c>
      <c r="AK3" s="31" t="s">
        <v>165</v>
      </c>
      <c r="AL3" s="31" t="s">
        <v>166</v>
      </c>
      <c r="AM3" s="31" t="s">
        <v>167</v>
      </c>
      <c r="AN3" s="31" t="s">
        <v>168</v>
      </c>
      <c r="AO3" s="31" t="s">
        <v>169</v>
      </c>
      <c r="AP3" s="31" t="s">
        <v>170</v>
      </c>
      <c r="AQ3" s="31" t="s">
        <v>171</v>
      </c>
      <c r="AR3" s="31" t="s">
        <v>172</v>
      </c>
      <c r="AS3" s="31" t="s">
        <v>173</v>
      </c>
      <c r="AT3" s="31" t="s">
        <v>174</v>
      </c>
      <c r="AU3" s="31" t="s">
        <v>175</v>
      </c>
      <c r="AV3" s="31" t="s">
        <v>176</v>
      </c>
      <c r="AW3" s="31" t="s">
        <v>177</v>
      </c>
      <c r="AX3" s="31" t="s">
        <v>178</v>
      </c>
      <c r="AY3" s="31" t="s">
        <v>179</v>
      </c>
      <c r="AZ3" s="31" t="s">
        <v>180</v>
      </c>
      <c r="BA3" s="31" t="s">
        <v>181</v>
      </c>
      <c r="BB3" s="31" t="s">
        <v>182</v>
      </c>
      <c r="BC3" s="31" t="s">
        <v>183</v>
      </c>
      <c r="BD3" s="31" t="s">
        <v>184</v>
      </c>
      <c r="BE3" s="31" t="s">
        <v>185</v>
      </c>
      <c r="BF3" s="31" t="s">
        <v>186</v>
      </c>
      <c r="BG3" s="31" t="s">
        <v>187</v>
      </c>
      <c r="BH3" s="31" t="s">
        <v>188</v>
      </c>
      <c r="BI3" s="31" t="s">
        <v>189</v>
      </c>
      <c r="BJ3" s="31" t="s">
        <v>190</v>
      </c>
      <c r="BK3" s="31" t="s">
        <v>191</v>
      </c>
      <c r="BL3" s="31" t="s">
        <v>192</v>
      </c>
      <c r="BM3" s="31" t="s">
        <v>193</v>
      </c>
      <c r="BN3" s="31" t="s">
        <v>194</v>
      </c>
      <c r="BO3" s="31" t="s">
        <v>195</v>
      </c>
      <c r="BP3" s="31" t="s">
        <v>196</v>
      </c>
      <c r="BQ3" s="31" t="s">
        <v>197</v>
      </c>
      <c r="BR3" s="31" t="s">
        <v>198</v>
      </c>
      <c r="BS3" s="31" t="s">
        <v>199</v>
      </c>
      <c r="BT3" s="31" t="s">
        <v>200</v>
      </c>
      <c r="BU3" s="31" t="s">
        <v>201</v>
      </c>
      <c r="BV3" s="31" t="s">
        <v>202</v>
      </c>
      <c r="BW3" s="31" t="s">
        <v>203</v>
      </c>
      <c r="BX3" s="31" t="s">
        <v>204</v>
      </c>
      <c r="BY3" s="31" t="s">
        <v>205</v>
      </c>
      <c r="BZ3" s="31" t="s">
        <v>206</v>
      </c>
      <c r="CA3" s="31" t="s">
        <v>207</v>
      </c>
      <c r="CB3" s="31" t="s">
        <v>208</v>
      </c>
      <c r="CC3" s="31" t="s">
        <v>209</v>
      </c>
      <c r="CD3" s="31" t="s">
        <v>210</v>
      </c>
      <c r="CE3" s="31" t="s">
        <v>211</v>
      </c>
      <c r="CF3" s="31" t="s">
        <v>212</v>
      </c>
      <c r="CG3" s="31" t="s">
        <v>213</v>
      </c>
      <c r="CH3" s="31" t="s">
        <v>214</v>
      </c>
      <c r="CI3" s="31" t="s">
        <v>215</v>
      </c>
      <c r="CJ3" s="31" t="s">
        <v>216</v>
      </c>
      <c r="CK3" s="31" t="s">
        <v>217</v>
      </c>
      <c r="CL3" s="31" t="s">
        <v>218</v>
      </c>
      <c r="CM3" s="31" t="s">
        <v>219</v>
      </c>
      <c r="CN3" s="31" t="s">
        <v>220</v>
      </c>
      <c r="CO3" s="31" t="s">
        <v>221</v>
      </c>
      <c r="CP3" s="31" t="s">
        <v>222</v>
      </c>
      <c r="CQ3" s="31" t="s">
        <v>223</v>
      </c>
      <c r="CR3" s="31" t="s">
        <v>224</v>
      </c>
      <c r="CS3" s="31" t="s">
        <v>225</v>
      </c>
      <c r="CT3" s="31" t="s">
        <v>226</v>
      </c>
      <c r="CU3" s="31" t="s">
        <v>227</v>
      </c>
      <c r="CV3" s="31" t="s">
        <v>228</v>
      </c>
      <c r="CW3" s="31" t="s">
        <v>229</v>
      </c>
      <c r="CX3" s="31" t="s">
        <v>230</v>
      </c>
      <c r="CY3" s="31" t="s">
        <v>231</v>
      </c>
      <c r="CZ3" s="31" t="s">
        <v>232</v>
      </c>
      <c r="DA3" s="31" t="s">
        <v>233</v>
      </c>
      <c r="DB3" s="31" t="s">
        <v>234</v>
      </c>
      <c r="DC3" s="31" t="s">
        <v>235</v>
      </c>
      <c r="DD3" s="31" t="s">
        <v>236</v>
      </c>
      <c r="DE3" s="31" t="s">
        <v>237</v>
      </c>
      <c r="DF3" s="31" t="s">
        <v>238</v>
      </c>
      <c r="DG3" s="31" t="s">
        <v>239</v>
      </c>
      <c r="DH3" s="31" t="s">
        <v>240</v>
      </c>
      <c r="DI3" s="31" t="s">
        <v>241</v>
      </c>
      <c r="DJ3" s="31" t="s">
        <v>242</v>
      </c>
      <c r="DK3" s="31" t="s">
        <v>243</v>
      </c>
      <c r="DL3" s="31" t="s">
        <v>244</v>
      </c>
      <c r="DM3" s="31" t="s">
        <v>245</v>
      </c>
      <c r="DN3" s="31" t="s">
        <v>246</v>
      </c>
      <c r="DO3" s="31" t="s">
        <v>247</v>
      </c>
      <c r="DP3" s="31" t="s">
        <v>248</v>
      </c>
      <c r="DQ3" s="31" t="s">
        <v>309</v>
      </c>
      <c r="DR3" s="31" t="s">
        <v>310</v>
      </c>
      <c r="DS3" s="31" t="s">
        <v>311</v>
      </c>
      <c r="DT3" s="31" t="s">
        <v>312</v>
      </c>
      <c r="DU3" s="31" t="s">
        <v>313</v>
      </c>
      <c r="DV3" s="31" t="s">
        <v>314</v>
      </c>
      <c r="DW3" s="31" t="s">
        <v>315</v>
      </c>
      <c r="DX3" s="31" t="s">
        <v>316</v>
      </c>
      <c r="DY3" s="31" t="s">
        <v>317</v>
      </c>
      <c r="DZ3" s="31" t="s">
        <v>318</v>
      </c>
      <c r="EA3" s="31" t="s">
        <v>319</v>
      </c>
      <c r="EB3" s="31" t="s">
        <v>320</v>
      </c>
      <c r="EC3" s="31" t="s">
        <v>321</v>
      </c>
      <c r="ED3" s="31" t="s">
        <v>322</v>
      </c>
      <c r="EE3" s="31" t="s">
        <v>323</v>
      </c>
      <c r="EF3" s="31" t="s">
        <v>324</v>
      </c>
      <c r="EG3" s="31" t="s">
        <v>325</v>
      </c>
      <c r="EH3" s="31" t="s">
        <v>326</v>
      </c>
      <c r="EI3" s="31" t="s">
        <v>327</v>
      </c>
      <c r="EJ3" s="31" t="s">
        <v>328</v>
      </c>
      <c r="EK3" s="31" t="s">
        <v>329</v>
      </c>
      <c r="EL3" s="31" t="s">
        <v>330</v>
      </c>
      <c r="EM3" s="31" t="s">
        <v>331</v>
      </c>
      <c r="EN3" s="31" t="s">
        <v>332</v>
      </c>
      <c r="EO3" s="31" t="s">
        <v>333</v>
      </c>
      <c r="EP3" s="31" t="s">
        <v>334</v>
      </c>
      <c r="EQ3" s="31" t="s">
        <v>335</v>
      </c>
      <c r="ER3" s="31" t="s">
        <v>336</v>
      </c>
      <c r="ES3" s="31" t="s">
        <v>337</v>
      </c>
      <c r="ET3" s="31" t="s">
        <v>338</v>
      </c>
      <c r="EU3" s="31" t="s">
        <v>339</v>
      </c>
      <c r="EV3" s="31" t="s">
        <v>340</v>
      </c>
      <c r="EW3" s="31" t="s">
        <v>341</v>
      </c>
      <c r="EX3" s="31" t="s">
        <v>342</v>
      </c>
      <c r="EY3" s="31" t="s">
        <v>343</v>
      </c>
      <c r="EZ3" s="31" t="s">
        <v>344</v>
      </c>
      <c r="FA3" s="31" t="s">
        <v>345</v>
      </c>
      <c r="FB3" s="31" t="s">
        <v>346</v>
      </c>
      <c r="FC3" s="31" t="s">
        <v>347</v>
      </c>
      <c r="FD3" s="31" t="s">
        <v>348</v>
      </c>
      <c r="FE3" s="31" t="s">
        <v>349</v>
      </c>
      <c r="FF3" s="31" t="s">
        <v>350</v>
      </c>
      <c r="FG3" s="31" t="s">
        <v>351</v>
      </c>
      <c r="FH3" s="31" t="s">
        <v>352</v>
      </c>
      <c r="FI3" s="31" t="s">
        <v>353</v>
      </c>
      <c r="FJ3" s="31" t="s">
        <v>354</v>
      </c>
      <c r="FK3" s="31" t="s">
        <v>355</v>
      </c>
      <c r="FL3" s="31" t="s">
        <v>356</v>
      </c>
      <c r="FM3" s="31" t="s">
        <v>357</v>
      </c>
      <c r="FN3" s="31" t="s">
        <v>358</v>
      </c>
      <c r="FO3" s="123" t="s">
        <v>22</v>
      </c>
      <c r="FP3" s="123" t="s">
        <v>23</v>
      </c>
      <c r="FQ3" s="123" t="s">
        <v>24</v>
      </c>
      <c r="FR3" s="123" t="s">
        <v>25</v>
      </c>
      <c r="FS3" s="123" t="s">
        <v>26</v>
      </c>
      <c r="FT3" s="123" t="s">
        <v>27</v>
      </c>
      <c r="FU3" s="123" t="s">
        <v>28</v>
      </c>
      <c r="FV3" s="123" t="s">
        <v>29</v>
      </c>
      <c r="FW3" s="123" t="s">
        <v>30</v>
      </c>
      <c r="FX3" s="123" t="s">
        <v>31</v>
      </c>
      <c r="FY3" s="123" t="s">
        <v>32</v>
      </c>
      <c r="FZ3" s="123" t="s">
        <v>33</v>
      </c>
      <c r="GA3" s="123" t="s">
        <v>34</v>
      </c>
      <c r="GB3" s="123" t="s">
        <v>35</v>
      </c>
      <c r="GC3" s="123" t="s">
        <v>36</v>
      </c>
      <c r="GD3" s="123" t="s">
        <v>37</v>
      </c>
      <c r="GE3" s="123" t="s">
        <v>38</v>
      </c>
      <c r="GF3" s="123" t="s">
        <v>39</v>
      </c>
      <c r="GG3" s="123" t="s">
        <v>40</v>
      </c>
      <c r="GH3" s="123" t="s">
        <v>41</v>
      </c>
      <c r="GI3" s="123" t="s">
        <v>42</v>
      </c>
      <c r="GJ3" s="123" t="s">
        <v>43</v>
      </c>
      <c r="GK3" s="123" t="s">
        <v>44</v>
      </c>
      <c r="GL3" s="123" t="s">
        <v>45</v>
      </c>
      <c r="GM3" s="123" t="s">
        <v>46</v>
      </c>
      <c r="GN3" s="123" t="s">
        <v>47</v>
      </c>
      <c r="GO3" s="123" t="s">
        <v>48</v>
      </c>
      <c r="GP3" s="123" t="s">
        <v>49</v>
      </c>
      <c r="GQ3" s="123" t="s">
        <v>50</v>
      </c>
      <c r="GR3" s="123" t="s">
        <v>51</v>
      </c>
      <c r="GS3" s="123" t="s">
        <v>52</v>
      </c>
      <c r="GT3" s="123" t="s">
        <v>53</v>
      </c>
      <c r="GU3" s="123" t="s">
        <v>54</v>
      </c>
      <c r="GV3" s="123" t="s">
        <v>55</v>
      </c>
      <c r="GW3" s="123" t="s">
        <v>56</v>
      </c>
      <c r="GX3" s="123" t="s">
        <v>57</v>
      </c>
      <c r="GY3" s="123" t="s">
        <v>58</v>
      </c>
      <c r="GZ3" s="123" t="s">
        <v>59</v>
      </c>
      <c r="HA3" s="123" t="s">
        <v>60</v>
      </c>
      <c r="HB3" s="123" t="s">
        <v>61</v>
      </c>
      <c r="HC3" s="123" t="s">
        <v>62</v>
      </c>
      <c r="HD3" s="123" t="s">
        <v>63</v>
      </c>
      <c r="HE3" s="123" t="s">
        <v>64</v>
      </c>
      <c r="HF3" s="123" t="s">
        <v>65</v>
      </c>
      <c r="HG3" s="123" t="s">
        <v>66</v>
      </c>
      <c r="HH3" s="123" t="s">
        <v>67</v>
      </c>
      <c r="HI3" s="123" t="s">
        <v>68</v>
      </c>
      <c r="HJ3" s="123" t="s">
        <v>69</v>
      </c>
      <c r="HK3" s="123" t="s">
        <v>70</v>
      </c>
      <c r="HL3" s="123" t="s">
        <v>71</v>
      </c>
      <c r="HM3" s="123" t="s">
        <v>72</v>
      </c>
      <c r="HN3" s="123" t="s">
        <v>73</v>
      </c>
      <c r="HO3" s="123" t="s">
        <v>74</v>
      </c>
      <c r="HP3" s="123" t="s">
        <v>75</v>
      </c>
      <c r="HQ3" s="123" t="s">
        <v>76</v>
      </c>
      <c r="HR3" s="123" t="s">
        <v>77</v>
      </c>
      <c r="HS3" s="123" t="s">
        <v>78</v>
      </c>
      <c r="HT3" s="123" t="s">
        <v>79</v>
      </c>
      <c r="HU3" s="123" t="s">
        <v>80</v>
      </c>
      <c r="HV3" s="123" t="s">
        <v>81</v>
      </c>
      <c r="HW3" s="123" t="s">
        <v>82</v>
      </c>
      <c r="HX3" s="123" t="s">
        <v>83</v>
      </c>
      <c r="HY3" s="123" t="s">
        <v>84</v>
      </c>
      <c r="HZ3" s="123" t="s">
        <v>85</v>
      </c>
      <c r="IA3" s="123" t="s">
        <v>86</v>
      </c>
      <c r="IB3" s="123" t="s">
        <v>87</v>
      </c>
      <c r="IC3" s="123" t="s">
        <v>88</v>
      </c>
      <c r="ID3" s="123" t="s">
        <v>89</v>
      </c>
      <c r="IE3" s="123" t="s">
        <v>90</v>
      </c>
      <c r="IF3" s="123" t="s">
        <v>91</v>
      </c>
      <c r="IG3" s="123" t="s">
        <v>92</v>
      </c>
      <c r="IH3" s="123" t="s">
        <v>93</v>
      </c>
      <c r="II3" s="123" t="s">
        <v>94</v>
      </c>
      <c r="IJ3" s="123" t="s">
        <v>95</v>
      </c>
      <c r="IK3" s="123" t="s">
        <v>96</v>
      </c>
      <c r="IL3" s="123" t="s">
        <v>97</v>
      </c>
      <c r="IM3" s="123" t="s">
        <v>98</v>
      </c>
      <c r="IN3" s="123" t="s">
        <v>99</v>
      </c>
      <c r="IO3" s="123" t="s">
        <v>100</v>
      </c>
      <c r="IP3" s="123" t="s">
        <v>101</v>
      </c>
      <c r="IQ3" s="123" t="s">
        <v>102</v>
      </c>
      <c r="IR3" s="123" t="s">
        <v>103</v>
      </c>
      <c r="IS3" s="123" t="s">
        <v>104</v>
      </c>
      <c r="IT3" s="123" t="s">
        <v>105</v>
      </c>
      <c r="IU3" s="123" t="s">
        <v>106</v>
      </c>
      <c r="IV3" s="123" t="s">
        <v>107</v>
      </c>
      <c r="IW3" s="123" t="s">
        <v>108</v>
      </c>
      <c r="IX3" s="123" t="s">
        <v>109</v>
      </c>
      <c r="IY3" s="123" t="s">
        <v>110</v>
      </c>
      <c r="IZ3" s="123" t="s">
        <v>111</v>
      </c>
      <c r="JA3" s="123" t="s">
        <v>112</v>
      </c>
      <c r="JB3" s="123" t="s">
        <v>113</v>
      </c>
      <c r="JC3" s="123" t="s">
        <v>114</v>
      </c>
      <c r="JD3" s="123" t="s">
        <v>115</v>
      </c>
      <c r="JE3" s="123" t="s">
        <v>116</v>
      </c>
      <c r="JF3" s="123" t="s">
        <v>117</v>
      </c>
      <c r="JG3" s="123" t="s">
        <v>118</v>
      </c>
      <c r="JH3" s="123" t="s">
        <v>119</v>
      </c>
      <c r="JI3" s="123" t="s">
        <v>120</v>
      </c>
      <c r="JJ3" s="123" t="s">
        <v>121</v>
      </c>
      <c r="JK3" s="123" t="s">
        <v>122</v>
      </c>
      <c r="JL3" s="123" t="s">
        <v>123</v>
      </c>
      <c r="JM3" s="123" t="s">
        <v>124</v>
      </c>
      <c r="JN3" s="123" t="s">
        <v>125</v>
      </c>
      <c r="JO3" s="123" t="s">
        <v>126</v>
      </c>
      <c r="JP3" s="123" t="s">
        <v>127</v>
      </c>
      <c r="JQ3" s="123" t="s">
        <v>128</v>
      </c>
      <c r="JR3" s="123" t="s">
        <v>129</v>
      </c>
      <c r="JS3" s="123" t="s">
        <v>130</v>
      </c>
      <c r="JT3" s="123" t="s">
        <v>131</v>
      </c>
      <c r="JU3" s="123" t="s">
        <v>132</v>
      </c>
      <c r="JV3" s="123" t="s">
        <v>133</v>
      </c>
      <c r="JW3" s="123" t="s">
        <v>134</v>
      </c>
      <c r="JX3" s="123" t="s">
        <v>135</v>
      </c>
      <c r="JY3" s="123" t="s">
        <v>136</v>
      </c>
      <c r="JZ3" s="123" t="s">
        <v>359</v>
      </c>
      <c r="KA3" s="123" t="s">
        <v>360</v>
      </c>
      <c r="KB3" s="123" t="s">
        <v>361</v>
      </c>
      <c r="KC3" s="123" t="s">
        <v>362</v>
      </c>
      <c r="KD3" s="123" t="s">
        <v>363</v>
      </c>
      <c r="KE3" s="123" t="s">
        <v>364</v>
      </c>
      <c r="KF3" s="123" t="s">
        <v>365</v>
      </c>
      <c r="KG3" s="123" t="s">
        <v>366</v>
      </c>
      <c r="KH3" s="123" t="s">
        <v>367</v>
      </c>
      <c r="KI3" s="123" t="s">
        <v>368</v>
      </c>
      <c r="KJ3" s="123" t="s">
        <v>369</v>
      </c>
      <c r="KK3" s="123" t="s">
        <v>370</v>
      </c>
      <c r="KL3" s="123" t="s">
        <v>371</v>
      </c>
      <c r="KM3" s="123" t="s">
        <v>372</v>
      </c>
      <c r="KN3" s="123" t="s">
        <v>373</v>
      </c>
      <c r="KO3" s="123" t="s">
        <v>374</v>
      </c>
      <c r="KP3" s="123" t="s">
        <v>375</v>
      </c>
      <c r="KQ3" s="123" t="s">
        <v>376</v>
      </c>
      <c r="KR3" s="123" t="s">
        <v>377</v>
      </c>
      <c r="KS3" s="123" t="s">
        <v>378</v>
      </c>
      <c r="KT3" s="123" t="s">
        <v>379</v>
      </c>
      <c r="KU3" s="123" t="s">
        <v>380</v>
      </c>
      <c r="KV3" s="123" t="s">
        <v>381</v>
      </c>
      <c r="KW3" s="123" t="s">
        <v>382</v>
      </c>
      <c r="KX3" s="123" t="s">
        <v>383</v>
      </c>
      <c r="KY3" s="123" t="s">
        <v>384</v>
      </c>
      <c r="KZ3" s="123" t="s">
        <v>385</v>
      </c>
      <c r="LA3" s="123" t="s">
        <v>386</v>
      </c>
      <c r="LB3" s="123" t="s">
        <v>387</v>
      </c>
      <c r="LC3" s="123" t="s">
        <v>388</v>
      </c>
      <c r="LD3" s="123" t="s">
        <v>389</v>
      </c>
      <c r="LE3" s="123" t="s">
        <v>390</v>
      </c>
      <c r="LF3" s="123" t="s">
        <v>391</v>
      </c>
      <c r="LG3" s="123" t="s">
        <v>392</v>
      </c>
      <c r="LH3" s="123" t="s">
        <v>393</v>
      </c>
      <c r="LI3" s="123" t="s">
        <v>394</v>
      </c>
      <c r="LJ3" s="123" t="s">
        <v>395</v>
      </c>
      <c r="LK3" s="123" t="s">
        <v>396</v>
      </c>
      <c r="LL3" s="123" t="s">
        <v>397</v>
      </c>
      <c r="LM3" s="123" t="s">
        <v>398</v>
      </c>
      <c r="LN3" s="123" t="s">
        <v>399</v>
      </c>
      <c r="LO3" s="123" t="s">
        <v>400</v>
      </c>
      <c r="LP3" s="123" t="s">
        <v>401</v>
      </c>
      <c r="LQ3" s="123" t="s">
        <v>402</v>
      </c>
      <c r="LR3" s="123" t="s">
        <v>403</v>
      </c>
      <c r="LS3" s="123" t="s">
        <v>404</v>
      </c>
      <c r="LT3" s="123" t="s">
        <v>405</v>
      </c>
      <c r="LU3" s="123" t="s">
        <v>406</v>
      </c>
      <c r="LV3" s="123" t="s">
        <v>407</v>
      </c>
      <c r="LW3" s="123" t="s">
        <v>408</v>
      </c>
    </row>
    <row r="4" spans="1:335" ht="24" customHeight="1" x14ac:dyDescent="0.25">
      <c r="A4" s="24">
        <v>1</v>
      </c>
      <c r="B4" s="20"/>
      <c r="C4" s="5" t="str">
        <f>IF(ISBLANK(B4),"",VLOOKUP(B4,tbl_PLOs[],2,0))</f>
        <v/>
      </c>
      <c r="D4" s="102"/>
      <c r="E4" s="106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5"/>
      <c r="AS4" s="155"/>
      <c r="AT4" s="155"/>
      <c r="AU4" s="155"/>
      <c r="AV4" s="155"/>
      <c r="AW4" s="155"/>
      <c r="AX4" s="155"/>
      <c r="AY4" s="155"/>
      <c r="AZ4" s="155"/>
      <c r="BA4" s="155"/>
      <c r="BB4" s="155"/>
      <c r="BC4" s="155"/>
      <c r="BD4" s="155"/>
      <c r="BE4" s="155"/>
      <c r="BF4" s="155"/>
      <c r="BG4" s="155"/>
      <c r="BH4" s="155"/>
      <c r="BI4" s="155"/>
      <c r="BJ4" s="155"/>
      <c r="BK4" s="155"/>
      <c r="BL4" s="155"/>
      <c r="BM4" s="155"/>
      <c r="BN4" s="155"/>
      <c r="BO4" s="155"/>
      <c r="BP4" s="155"/>
      <c r="BQ4" s="155"/>
      <c r="BR4" s="155"/>
      <c r="BS4" s="155"/>
      <c r="BT4" s="155"/>
      <c r="BU4" s="155"/>
      <c r="BV4" s="155"/>
      <c r="BW4" s="155"/>
      <c r="BX4" s="155"/>
      <c r="BY4" s="155"/>
      <c r="BZ4" s="155"/>
      <c r="CA4" s="155"/>
      <c r="CB4" s="155"/>
      <c r="CC4" s="155"/>
      <c r="CD4" s="155"/>
      <c r="CE4" s="155"/>
      <c r="CF4" s="155"/>
      <c r="CG4" s="155"/>
      <c r="CH4" s="155"/>
      <c r="CI4" s="155"/>
      <c r="CJ4" s="155"/>
      <c r="CK4" s="155"/>
      <c r="CL4" s="155"/>
      <c r="CM4" s="155"/>
      <c r="CN4" s="155"/>
      <c r="CO4" s="155"/>
      <c r="CP4" s="155"/>
      <c r="CQ4" s="155"/>
      <c r="CR4" s="155"/>
      <c r="CS4" s="155"/>
      <c r="CT4" s="155"/>
      <c r="CU4" s="155"/>
      <c r="CV4" s="155"/>
      <c r="CW4" s="155"/>
      <c r="CX4" s="155"/>
      <c r="CY4" s="155"/>
      <c r="CZ4" s="155"/>
      <c r="DA4" s="155"/>
      <c r="DB4" s="155"/>
      <c r="DC4" s="155"/>
      <c r="DD4" s="155"/>
      <c r="DE4" s="155"/>
      <c r="DF4" s="155"/>
      <c r="DG4" s="155"/>
      <c r="DH4" s="155"/>
      <c r="DI4" s="155"/>
      <c r="DJ4" s="155"/>
      <c r="DK4" s="155"/>
      <c r="DL4" s="155"/>
      <c r="DM4" s="155"/>
      <c r="DN4" s="155"/>
      <c r="DO4" s="155"/>
      <c r="DP4" s="155"/>
      <c r="DQ4" s="155"/>
      <c r="DR4" s="155"/>
      <c r="DS4" s="155"/>
      <c r="DT4" s="155"/>
      <c r="DU4" s="155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22"/>
      <c r="FO4" s="121" t="str">
        <f>IF(ISBLANK(tbl_task5[[คะแนนเต็ม]:[คะแนนเต็ม]]),"",(tbl_task5[1]/tbl_task5[[คะแนนเต็ม]:[คะแนนเต็ม]])*tbl_task5[[%]:[%]])</f>
        <v/>
      </c>
      <c r="FP4" s="121" t="str">
        <f>IF(ISBLANK(tbl_task5[[คะแนนเต็ม]:[คะแนนเต็ม]]),"",(tbl_task5[2]/tbl_task5[[คะแนนเต็ม]:[คะแนนเต็ม]])*tbl_task5[[%]:[%]])</f>
        <v/>
      </c>
      <c r="FQ4" s="121" t="str">
        <f>IF(ISBLANK(tbl_task5[[คะแนนเต็ม]:[คะแนนเต็ม]]),"",(tbl_task5[3]/tbl_task5[[คะแนนเต็ม]:[คะแนนเต็ม]])*tbl_task5[[%]:[%]])</f>
        <v/>
      </c>
      <c r="FR4" s="121" t="str">
        <f>IF(ISBLANK(tbl_task5[[คะแนนเต็ม]:[คะแนนเต็ม]]),"",(tbl_task5[4]/tbl_task5[[คะแนนเต็ม]:[คะแนนเต็ม]])*tbl_task5[[%]:[%]])</f>
        <v/>
      </c>
      <c r="FS4" s="121" t="str">
        <f>IF(ISBLANK(tbl_task5[[คะแนนเต็ม]:[คะแนนเต็ม]]),"",(tbl_task5[5]/tbl_task5[[คะแนนเต็ม]:[คะแนนเต็ม]])*tbl_task5[[%]:[%]])</f>
        <v/>
      </c>
      <c r="FT4" s="121" t="str">
        <f>IF(ISBLANK(tbl_task5[[คะแนนเต็ม]:[คะแนนเต็ม]]),"",(tbl_task5[6]/tbl_task5[[คะแนนเต็ม]:[คะแนนเต็ม]])*tbl_task5[[%]:[%]])</f>
        <v/>
      </c>
      <c r="FU4" s="121" t="str">
        <f>IF(ISBLANK(tbl_task5[[คะแนนเต็ม]:[คะแนนเต็ม]]),"",(tbl_task5[7]/tbl_task5[[คะแนนเต็ม]:[คะแนนเต็ม]])*tbl_task5[[%]:[%]])</f>
        <v/>
      </c>
      <c r="FV4" s="121" t="str">
        <f>IF(ISBLANK(tbl_task5[[คะแนนเต็ม]:[คะแนนเต็ม]]),"",(tbl_task5[8]/tbl_task5[[คะแนนเต็ม]:[คะแนนเต็ม]])*tbl_task5[[%]:[%]])</f>
        <v/>
      </c>
      <c r="FW4" s="121" t="str">
        <f>IF(ISBLANK(tbl_task5[[คะแนนเต็ม]:[คะแนนเต็ม]]),"",(tbl_task5[9]/tbl_task5[[คะแนนเต็ม]:[คะแนนเต็ม]])*tbl_task5[[%]:[%]])</f>
        <v/>
      </c>
      <c r="FX4" s="121" t="str">
        <f>IF(ISBLANK(tbl_task5[[คะแนนเต็ม]:[คะแนนเต็ม]]),"",(tbl_task5[10]/tbl_task5[[คะแนนเต็ม]:[คะแนนเต็ม]])*tbl_task5[[%]:[%]])</f>
        <v/>
      </c>
      <c r="FY4" s="121" t="str">
        <f>IF(ISBLANK(tbl_task5[[คะแนนเต็ม]:[คะแนนเต็ม]]),"",(tbl_task5[11]/tbl_task5[[คะแนนเต็ม]:[คะแนนเต็ม]])*tbl_task5[[%]:[%]])</f>
        <v/>
      </c>
      <c r="FZ4" s="121" t="str">
        <f>IF(ISBLANK(tbl_task5[[คะแนนเต็ม]:[คะแนนเต็ม]]),"",(tbl_task5[12]/tbl_task5[[คะแนนเต็ม]:[คะแนนเต็ม]])*tbl_task5[[%]:[%]])</f>
        <v/>
      </c>
      <c r="GA4" s="121" t="str">
        <f>IF(ISBLANK(tbl_task5[[คะแนนเต็ม]:[คะแนนเต็ม]]),"",(tbl_task5[13]/tbl_task5[[คะแนนเต็ม]:[คะแนนเต็ม]])*tbl_task5[[%]:[%]])</f>
        <v/>
      </c>
      <c r="GB4" s="121" t="str">
        <f>IF(ISBLANK(tbl_task5[[คะแนนเต็ม]:[คะแนนเต็ม]]),"",(tbl_task5[14]/tbl_task5[[คะแนนเต็ม]:[คะแนนเต็ม]])*tbl_task5[[%]:[%]])</f>
        <v/>
      </c>
      <c r="GC4" s="121" t="str">
        <f>IF(ISBLANK(tbl_task5[[คะแนนเต็ม]:[คะแนนเต็ม]]),"",(tbl_task5[15]/tbl_task5[[คะแนนเต็ม]:[คะแนนเต็ม]])*tbl_task5[[%]:[%]])</f>
        <v/>
      </c>
      <c r="GD4" s="121" t="str">
        <f>IF(ISBLANK(tbl_task5[[คะแนนเต็ม]:[คะแนนเต็ม]]),"",(tbl_task5[16]/tbl_task5[[คะแนนเต็ม]:[คะแนนเต็ม]])*tbl_task5[[%]:[%]])</f>
        <v/>
      </c>
      <c r="GE4" s="121" t="str">
        <f>IF(ISBLANK(tbl_task5[[คะแนนเต็ม]:[คะแนนเต็ม]]),"",(tbl_task5[17]/tbl_task5[[คะแนนเต็ม]:[คะแนนเต็ม]])*tbl_task5[[%]:[%]])</f>
        <v/>
      </c>
      <c r="GF4" s="121" t="str">
        <f>IF(ISBLANK(tbl_task5[[คะแนนเต็ม]:[คะแนนเต็ม]]),"",(tbl_task5[18]/tbl_task5[[คะแนนเต็ม]:[คะแนนเต็ม]])*tbl_task5[[%]:[%]])</f>
        <v/>
      </c>
      <c r="GG4" s="121" t="str">
        <f>IF(ISBLANK(tbl_task5[[คะแนนเต็ม]:[คะแนนเต็ม]]),"",(tbl_task5[19]/tbl_task5[[คะแนนเต็ม]:[คะแนนเต็ม]])*tbl_task5[[%]:[%]])</f>
        <v/>
      </c>
      <c r="GH4" s="121" t="str">
        <f>IF(ISBLANK(tbl_task5[[คะแนนเต็ม]:[คะแนนเต็ม]]),"",(tbl_task5[20]/tbl_task5[[คะแนนเต็ม]:[คะแนนเต็ม]])*tbl_task5[[%]:[%]])</f>
        <v/>
      </c>
      <c r="GI4" s="121" t="str">
        <f>IF(ISBLANK(tbl_task5[[คะแนนเต็ม]:[คะแนนเต็ม]]),"",(tbl_task5[21]/tbl_task5[[คะแนนเต็ม]:[คะแนนเต็ม]])*tbl_task5[[%]:[%]])</f>
        <v/>
      </c>
      <c r="GJ4" s="121" t="str">
        <f>IF(ISBLANK(tbl_task5[[คะแนนเต็ม]:[คะแนนเต็ม]]),"",(tbl_task5[22]/tbl_task5[[คะแนนเต็ม]:[คะแนนเต็ม]])*tbl_task5[[%]:[%]])</f>
        <v/>
      </c>
      <c r="GK4" s="121" t="str">
        <f>IF(ISBLANK(tbl_task5[[คะแนนเต็ม]:[คะแนนเต็ม]]),"",(tbl_task5[23]/tbl_task5[[คะแนนเต็ม]:[คะแนนเต็ม]])*tbl_task5[[%]:[%]])</f>
        <v/>
      </c>
      <c r="GL4" s="121" t="str">
        <f>IF(ISBLANK(tbl_task5[[คะแนนเต็ม]:[คะแนนเต็ม]]),"",(tbl_task5[24]/tbl_task5[[คะแนนเต็ม]:[คะแนนเต็ม]])*tbl_task5[[%]:[%]])</f>
        <v/>
      </c>
      <c r="GM4" s="121" t="str">
        <f>IF(ISBLANK(tbl_task5[[คะแนนเต็ม]:[คะแนนเต็ม]]),"",(tbl_task5[25]/tbl_task5[[คะแนนเต็ม]:[คะแนนเต็ม]])*tbl_task5[[%]:[%]])</f>
        <v/>
      </c>
      <c r="GN4" s="121" t="str">
        <f>IF(ISBLANK(tbl_task5[[คะแนนเต็ม]:[คะแนนเต็ม]]),"",(tbl_task5[26]/tbl_task5[[คะแนนเต็ม]:[คะแนนเต็ม]])*tbl_task5[[%]:[%]])</f>
        <v/>
      </c>
      <c r="GO4" s="121" t="str">
        <f>IF(ISBLANK(tbl_task5[[คะแนนเต็ม]:[คะแนนเต็ม]]),"",(tbl_task5[27]/tbl_task5[[คะแนนเต็ม]:[คะแนนเต็ม]])*tbl_task5[[%]:[%]])</f>
        <v/>
      </c>
      <c r="GP4" s="121" t="str">
        <f>IF(ISBLANK(tbl_task5[[คะแนนเต็ม]:[คะแนนเต็ม]]),"",(tbl_task5[28]/tbl_task5[[คะแนนเต็ม]:[คะแนนเต็ม]])*tbl_task5[[%]:[%]])</f>
        <v/>
      </c>
      <c r="GQ4" s="121" t="str">
        <f>IF(ISBLANK(tbl_task5[[คะแนนเต็ม]:[คะแนนเต็ม]]),"",(tbl_task5[29]/tbl_task5[[คะแนนเต็ม]:[คะแนนเต็ม]])*tbl_task5[[%]:[%]])</f>
        <v/>
      </c>
      <c r="GR4" s="121" t="str">
        <f>IF(ISBLANK(tbl_task5[[คะแนนเต็ม]:[คะแนนเต็ม]]),"",(tbl_task5[30]/tbl_task5[[คะแนนเต็ม]:[คะแนนเต็ม]])*tbl_task5[[%]:[%]])</f>
        <v/>
      </c>
      <c r="GS4" s="121" t="str">
        <f>IF(ISBLANK(tbl_task5[[คะแนนเต็ม]:[คะแนนเต็ม]]),"",(tbl_task5[31]/tbl_task5[[คะแนนเต็ม]:[คะแนนเต็ม]])*tbl_task5[[%]:[%]])</f>
        <v/>
      </c>
      <c r="GT4" s="121" t="str">
        <f>IF(ISBLANK(tbl_task5[[คะแนนเต็ม]:[คะแนนเต็ม]]),"",(tbl_task5[32]/tbl_task5[[คะแนนเต็ม]:[คะแนนเต็ม]])*tbl_task5[[%]:[%]])</f>
        <v/>
      </c>
      <c r="GU4" s="121" t="str">
        <f>IF(ISBLANK(tbl_task5[[คะแนนเต็ม]:[คะแนนเต็ม]]),"",(tbl_task5[33]/tbl_task5[[คะแนนเต็ม]:[คะแนนเต็ม]])*tbl_task5[[%]:[%]])</f>
        <v/>
      </c>
      <c r="GV4" s="121" t="str">
        <f>IF(ISBLANK(tbl_task5[[คะแนนเต็ม]:[คะแนนเต็ม]]),"",(tbl_task5[34]/tbl_task5[[คะแนนเต็ม]:[คะแนนเต็ม]])*tbl_task5[[%]:[%]])</f>
        <v/>
      </c>
      <c r="GW4" s="121" t="str">
        <f>IF(ISBLANK(tbl_task5[[คะแนนเต็ม]:[คะแนนเต็ม]]),"",(tbl_task5[35]/tbl_task5[[คะแนนเต็ม]:[คะแนนเต็ม]])*tbl_task5[[%]:[%]])</f>
        <v/>
      </c>
      <c r="GX4" s="121" t="str">
        <f>IF(ISBLANK(tbl_task5[[คะแนนเต็ม]:[คะแนนเต็ม]]),"",(tbl_task5[36]/tbl_task5[[คะแนนเต็ม]:[คะแนนเต็ม]])*tbl_task5[[%]:[%]])</f>
        <v/>
      </c>
      <c r="GY4" s="121" t="str">
        <f>IF(ISBLANK(tbl_task5[[คะแนนเต็ม]:[คะแนนเต็ม]]),"",(tbl_task5[37]/tbl_task5[[คะแนนเต็ม]:[คะแนนเต็ม]])*tbl_task5[[%]:[%]])</f>
        <v/>
      </c>
      <c r="GZ4" s="121" t="str">
        <f>IF(ISBLANK(tbl_task5[[คะแนนเต็ม]:[คะแนนเต็ม]]),"",(tbl_task5[38]/tbl_task5[[คะแนนเต็ม]:[คะแนนเต็ม]])*tbl_task5[[%]:[%]])</f>
        <v/>
      </c>
      <c r="HA4" s="121" t="str">
        <f>IF(ISBLANK(tbl_task5[[คะแนนเต็ม]:[คะแนนเต็ม]]),"",(tbl_task5[39]/tbl_task5[[คะแนนเต็ม]:[คะแนนเต็ม]])*tbl_task5[[%]:[%]])</f>
        <v/>
      </c>
      <c r="HB4" s="121" t="str">
        <f>IF(ISBLANK(tbl_task5[[คะแนนเต็ม]:[คะแนนเต็ม]]),"",(tbl_task5[40]/tbl_task5[[คะแนนเต็ม]:[คะแนนเต็ม]])*tbl_task5[[%]:[%]])</f>
        <v/>
      </c>
      <c r="HC4" s="121" t="str">
        <f>IF(ISBLANK(tbl_task5[[คะแนนเต็ม]:[คะแนนเต็ม]]),"",(tbl_task5[41]/tbl_task5[[คะแนนเต็ม]:[คะแนนเต็ม]])*tbl_task5[[%]:[%]])</f>
        <v/>
      </c>
      <c r="HD4" s="121" t="str">
        <f>IF(ISBLANK(tbl_task5[[คะแนนเต็ม]:[คะแนนเต็ม]]),"",(tbl_task5[42]/tbl_task5[[คะแนนเต็ม]:[คะแนนเต็ม]])*tbl_task5[[%]:[%]])</f>
        <v/>
      </c>
      <c r="HE4" s="121" t="str">
        <f>IF(ISBLANK(tbl_task5[[คะแนนเต็ม]:[คะแนนเต็ม]]),"",(tbl_task5[43]/tbl_task5[[คะแนนเต็ม]:[คะแนนเต็ม]])*tbl_task5[[%]:[%]])</f>
        <v/>
      </c>
      <c r="HF4" s="121" t="str">
        <f>IF(ISBLANK(tbl_task5[[คะแนนเต็ม]:[คะแนนเต็ม]]),"",(tbl_task5[44]/tbl_task5[[คะแนนเต็ม]:[คะแนนเต็ม]])*tbl_task5[[%]:[%]])</f>
        <v/>
      </c>
      <c r="HG4" s="121" t="str">
        <f>IF(ISBLANK(tbl_task5[[คะแนนเต็ม]:[คะแนนเต็ม]]),"",(tbl_task5[45]/tbl_task5[[คะแนนเต็ม]:[คะแนนเต็ม]])*tbl_task5[[%]:[%]])</f>
        <v/>
      </c>
      <c r="HH4" s="121" t="str">
        <f>IF(ISBLANK(tbl_task5[[คะแนนเต็ม]:[คะแนนเต็ม]]),"",(tbl_task5[46]/tbl_task5[[คะแนนเต็ม]:[คะแนนเต็ม]])*tbl_task5[[%]:[%]])</f>
        <v/>
      </c>
      <c r="HI4" s="121" t="str">
        <f>IF(ISBLANK(tbl_task5[[คะแนนเต็ม]:[คะแนนเต็ม]]),"",(tbl_task5[47]/tbl_task5[[คะแนนเต็ม]:[คะแนนเต็ม]])*tbl_task5[[%]:[%]])</f>
        <v/>
      </c>
      <c r="HJ4" s="121" t="str">
        <f>IF(ISBLANK(tbl_task5[[คะแนนเต็ม]:[คะแนนเต็ม]]),"",(tbl_task5[48]/tbl_task5[[คะแนนเต็ม]:[คะแนนเต็ม]])*tbl_task5[[%]:[%]])</f>
        <v/>
      </c>
      <c r="HK4" s="121" t="str">
        <f>IF(ISBLANK(tbl_task5[[คะแนนเต็ม]:[คะแนนเต็ม]]),"",(tbl_task5[49]/tbl_task5[[คะแนนเต็ม]:[คะแนนเต็ม]])*tbl_task5[[%]:[%]])</f>
        <v/>
      </c>
      <c r="HL4" s="121" t="str">
        <f>IF(ISBLANK(tbl_task5[[คะแนนเต็ม]:[คะแนนเต็ม]]),"",(tbl_task5[50]/tbl_task5[[คะแนนเต็ม]:[คะแนนเต็ม]])*tbl_task5[[%]:[%]])</f>
        <v/>
      </c>
      <c r="HM4" s="121" t="str">
        <f>IF(ISBLANK(tbl_task5[[คะแนนเต็ม]:[คะแนนเต็ม]]),"",(tbl_task5[51]/tbl_task5[[คะแนนเต็ม]:[คะแนนเต็ม]])*tbl_task5[[%]:[%]])</f>
        <v/>
      </c>
      <c r="HN4" s="121" t="str">
        <f>IF(ISBLANK(tbl_task5[[คะแนนเต็ม]:[คะแนนเต็ม]]),"",(tbl_task5[52]/tbl_task5[[คะแนนเต็ม]:[คะแนนเต็ม]])*tbl_task5[[%]:[%]])</f>
        <v/>
      </c>
      <c r="HO4" s="121" t="str">
        <f>IF(ISBLANK(tbl_task5[[คะแนนเต็ม]:[คะแนนเต็ม]]),"",(tbl_task5[53]/tbl_task5[[คะแนนเต็ม]:[คะแนนเต็ม]])*tbl_task5[[%]:[%]])</f>
        <v/>
      </c>
      <c r="HP4" s="121" t="str">
        <f>IF(ISBLANK(tbl_task5[[คะแนนเต็ม]:[คะแนนเต็ม]]),"",(tbl_task5[54]/tbl_task5[[คะแนนเต็ม]:[คะแนนเต็ม]])*tbl_task5[[%]:[%]])</f>
        <v/>
      </c>
      <c r="HQ4" s="121" t="str">
        <f>IF(ISBLANK(tbl_task5[[คะแนนเต็ม]:[คะแนนเต็ม]]),"",(tbl_task5[55]/tbl_task5[[คะแนนเต็ม]:[คะแนนเต็ม]])*tbl_task5[[%]:[%]])</f>
        <v/>
      </c>
      <c r="HR4" s="121" t="str">
        <f>IF(ISBLANK(tbl_task5[[คะแนนเต็ม]:[คะแนนเต็ม]]),"",(tbl_task5[56]/tbl_task5[[คะแนนเต็ม]:[คะแนนเต็ม]])*tbl_task5[[%]:[%]])</f>
        <v/>
      </c>
      <c r="HS4" s="121" t="str">
        <f>IF(ISBLANK(tbl_task5[[คะแนนเต็ม]:[คะแนนเต็ม]]),"",(tbl_task5[57]/tbl_task5[[คะแนนเต็ม]:[คะแนนเต็ม]])*tbl_task5[[%]:[%]])</f>
        <v/>
      </c>
      <c r="HT4" s="121" t="str">
        <f>IF(ISBLANK(tbl_task5[[คะแนนเต็ม]:[คะแนนเต็ม]]),"",(tbl_task5[58]/tbl_task5[[คะแนนเต็ม]:[คะแนนเต็ม]])*tbl_task5[[%]:[%]])</f>
        <v/>
      </c>
      <c r="HU4" s="121" t="str">
        <f>IF(ISBLANK(tbl_task5[[คะแนนเต็ม]:[คะแนนเต็ม]]),"",(tbl_task5[59]/tbl_task5[[คะแนนเต็ม]:[คะแนนเต็ม]])*tbl_task5[[%]:[%]])</f>
        <v/>
      </c>
      <c r="HV4" s="121" t="str">
        <f>IF(ISBLANK(tbl_task5[[คะแนนเต็ม]:[คะแนนเต็ม]]),"",(tbl_task5[60]/tbl_task5[[คะแนนเต็ม]:[คะแนนเต็ม]])*tbl_task5[[%]:[%]])</f>
        <v/>
      </c>
      <c r="HW4" s="121" t="str">
        <f>IF(ISBLANK(tbl_task5[[คะแนนเต็ม]:[คะแนนเต็ม]]),"",(tbl_task5[61]/tbl_task5[[คะแนนเต็ม]:[คะแนนเต็ม]])*tbl_task5[[%]:[%]])</f>
        <v/>
      </c>
      <c r="HX4" s="121" t="str">
        <f>IF(ISBLANK(tbl_task5[[คะแนนเต็ม]:[คะแนนเต็ม]]),"",(tbl_task5[62]/tbl_task5[[คะแนนเต็ม]:[คะแนนเต็ม]])*tbl_task5[[%]:[%]])</f>
        <v/>
      </c>
      <c r="HY4" s="121" t="str">
        <f>IF(ISBLANK(tbl_task5[[คะแนนเต็ม]:[คะแนนเต็ม]]),"",(tbl_task5[63]/tbl_task5[[คะแนนเต็ม]:[คะแนนเต็ม]])*tbl_task5[[%]:[%]])</f>
        <v/>
      </c>
      <c r="HZ4" s="121" t="str">
        <f>IF(ISBLANK(tbl_task5[[คะแนนเต็ม]:[คะแนนเต็ม]]),"",(tbl_task5[64]/tbl_task5[[คะแนนเต็ม]:[คะแนนเต็ม]])*tbl_task5[[%]:[%]])</f>
        <v/>
      </c>
      <c r="IA4" s="121" t="str">
        <f>IF(ISBLANK(tbl_task5[[คะแนนเต็ม]:[คะแนนเต็ม]]),"",(tbl_task5[65]/tbl_task5[[คะแนนเต็ม]:[คะแนนเต็ม]])*tbl_task5[[%]:[%]])</f>
        <v/>
      </c>
      <c r="IB4" s="121" t="str">
        <f>IF(ISBLANK(tbl_task5[[คะแนนเต็ม]:[คะแนนเต็ม]]),"",(tbl_task5[66]/tbl_task5[[คะแนนเต็ม]:[คะแนนเต็ม]])*tbl_task5[[%]:[%]])</f>
        <v/>
      </c>
      <c r="IC4" s="121" t="str">
        <f>IF(ISBLANK(tbl_task5[[คะแนนเต็ม]:[คะแนนเต็ม]]),"",(tbl_task5[67]/tbl_task5[[คะแนนเต็ม]:[คะแนนเต็ม]])*tbl_task5[[%]:[%]])</f>
        <v/>
      </c>
      <c r="ID4" s="121" t="str">
        <f>IF(ISBLANK(tbl_task5[[คะแนนเต็ม]:[คะแนนเต็ม]]),"",(tbl_task5[68]/tbl_task5[[คะแนนเต็ม]:[คะแนนเต็ม]])*tbl_task5[[%]:[%]])</f>
        <v/>
      </c>
      <c r="IE4" s="121" t="str">
        <f>IF(ISBLANK(tbl_task5[[คะแนนเต็ม]:[คะแนนเต็ม]]),"",(tbl_task5[69]/tbl_task5[[คะแนนเต็ม]:[คะแนนเต็ม]])*tbl_task5[[%]:[%]])</f>
        <v/>
      </c>
      <c r="IF4" s="121" t="str">
        <f>IF(ISBLANK(tbl_task5[[คะแนนเต็ม]:[คะแนนเต็ม]]),"",(tbl_task5[70]/tbl_task5[[คะแนนเต็ม]:[คะแนนเต็ม]])*tbl_task5[[%]:[%]])</f>
        <v/>
      </c>
      <c r="IG4" s="121" t="str">
        <f>IF(ISBLANK(tbl_task5[[คะแนนเต็ม]:[คะแนนเต็ม]]),"",(tbl_task5[71]/tbl_task5[[คะแนนเต็ม]:[คะแนนเต็ม]])*tbl_task5[[%]:[%]])</f>
        <v/>
      </c>
      <c r="IH4" s="121" t="str">
        <f>IF(ISBLANK(tbl_task5[[คะแนนเต็ม]:[คะแนนเต็ม]]),"",(tbl_task5[72]/tbl_task5[[คะแนนเต็ม]:[คะแนนเต็ม]])*tbl_task5[[%]:[%]])</f>
        <v/>
      </c>
      <c r="II4" s="121" t="str">
        <f>IF(ISBLANK(tbl_task5[[คะแนนเต็ม]:[คะแนนเต็ม]]),"",(tbl_task5[73]/tbl_task5[[คะแนนเต็ม]:[คะแนนเต็ม]])*tbl_task5[[%]:[%]])</f>
        <v/>
      </c>
      <c r="IJ4" s="121" t="str">
        <f>IF(ISBLANK(tbl_task5[[คะแนนเต็ม]:[คะแนนเต็ม]]),"",(tbl_task5[74]/tbl_task5[[คะแนนเต็ม]:[คะแนนเต็ม]])*tbl_task5[[%]:[%]])</f>
        <v/>
      </c>
      <c r="IK4" s="121" t="str">
        <f>IF(ISBLANK(tbl_task5[[คะแนนเต็ม]:[คะแนนเต็ม]]),"",(tbl_task5[75]/tbl_task5[[คะแนนเต็ม]:[คะแนนเต็ม]])*tbl_task5[[%]:[%]])</f>
        <v/>
      </c>
      <c r="IL4" s="121" t="str">
        <f>IF(ISBLANK(tbl_task5[[คะแนนเต็ม]:[คะแนนเต็ม]]),"",(tbl_task5[76]/tbl_task5[[คะแนนเต็ม]:[คะแนนเต็ม]])*tbl_task5[[%]:[%]])</f>
        <v/>
      </c>
      <c r="IM4" s="121" t="str">
        <f>IF(ISBLANK(tbl_task5[[คะแนนเต็ม]:[คะแนนเต็ม]]),"",(tbl_task5[77]/tbl_task5[[คะแนนเต็ม]:[คะแนนเต็ม]])*tbl_task5[[%]:[%]])</f>
        <v/>
      </c>
      <c r="IN4" s="121" t="str">
        <f>IF(ISBLANK(tbl_task5[[คะแนนเต็ม]:[คะแนนเต็ม]]),"",(tbl_task5[78]/tbl_task5[[คะแนนเต็ม]:[คะแนนเต็ม]])*tbl_task5[[%]:[%]])</f>
        <v/>
      </c>
      <c r="IO4" s="121" t="str">
        <f>IF(ISBLANK(tbl_task5[[คะแนนเต็ม]:[คะแนนเต็ม]]),"",(tbl_task5[79]/tbl_task5[[คะแนนเต็ม]:[คะแนนเต็ม]])*tbl_task5[[%]:[%]])</f>
        <v/>
      </c>
      <c r="IP4" s="121" t="str">
        <f>IF(ISBLANK(tbl_task5[[คะแนนเต็ม]:[คะแนนเต็ม]]),"",(tbl_task5[80]/tbl_task5[[คะแนนเต็ม]:[คะแนนเต็ม]])*tbl_task5[[%]:[%]])</f>
        <v/>
      </c>
      <c r="IQ4" s="121" t="str">
        <f>IF(ISBLANK(tbl_task5[[คะแนนเต็ม]:[คะแนนเต็ม]]),"",(tbl_task5[81]/tbl_task5[[คะแนนเต็ม]:[คะแนนเต็ม]])*tbl_task5[[%]:[%]])</f>
        <v/>
      </c>
      <c r="IR4" s="121" t="str">
        <f>IF(ISBLANK(tbl_task5[[คะแนนเต็ม]:[คะแนนเต็ม]]),"",(tbl_task5[82]/tbl_task5[[คะแนนเต็ม]:[คะแนนเต็ม]])*tbl_task5[[%]:[%]])</f>
        <v/>
      </c>
      <c r="IS4" s="121" t="str">
        <f>IF(ISBLANK(tbl_task5[[คะแนนเต็ม]:[คะแนนเต็ม]]),"",(tbl_task5[83]/tbl_task5[[คะแนนเต็ม]:[คะแนนเต็ม]])*tbl_task5[[%]:[%]])</f>
        <v/>
      </c>
      <c r="IT4" s="121" t="str">
        <f>IF(ISBLANK(tbl_task5[[คะแนนเต็ม]:[คะแนนเต็ม]]),"",(tbl_task5[84]/tbl_task5[[คะแนนเต็ม]:[คะแนนเต็ม]])*tbl_task5[[%]:[%]])</f>
        <v/>
      </c>
      <c r="IU4" s="121" t="str">
        <f>IF(ISBLANK(tbl_task5[[คะแนนเต็ม]:[คะแนนเต็ม]]),"",(tbl_task5[85]/tbl_task5[[คะแนนเต็ม]:[คะแนนเต็ม]])*tbl_task5[[%]:[%]])</f>
        <v/>
      </c>
      <c r="IV4" s="121" t="str">
        <f>IF(ISBLANK(tbl_task5[[คะแนนเต็ม]:[คะแนนเต็ม]]),"",(tbl_task5[86]/tbl_task5[[คะแนนเต็ม]:[คะแนนเต็ม]])*tbl_task5[[%]:[%]])</f>
        <v/>
      </c>
      <c r="IW4" s="121" t="str">
        <f>IF(ISBLANK(tbl_task5[[คะแนนเต็ม]:[คะแนนเต็ม]]),"",(tbl_task5[87]/tbl_task5[[คะแนนเต็ม]:[คะแนนเต็ม]])*tbl_task5[[%]:[%]])</f>
        <v/>
      </c>
      <c r="IX4" s="121" t="str">
        <f>IF(ISBLANK(tbl_task5[[คะแนนเต็ม]:[คะแนนเต็ม]]),"",(tbl_task5[88]/tbl_task5[[คะแนนเต็ม]:[คะแนนเต็ม]])*tbl_task5[[%]:[%]])</f>
        <v/>
      </c>
      <c r="IY4" s="121" t="str">
        <f>IF(ISBLANK(tbl_task5[[คะแนนเต็ม]:[คะแนนเต็ม]]),"",(tbl_task5[89]/tbl_task5[[คะแนนเต็ม]:[คะแนนเต็ม]])*tbl_task5[[%]:[%]])</f>
        <v/>
      </c>
      <c r="IZ4" s="121" t="str">
        <f>IF(ISBLANK(tbl_task5[[คะแนนเต็ม]:[คะแนนเต็ม]]),"",(tbl_task5[90]/tbl_task5[[คะแนนเต็ม]:[คะแนนเต็ม]])*tbl_task5[[%]:[%]])</f>
        <v/>
      </c>
      <c r="JA4" s="121" t="str">
        <f>IF(ISBLANK(tbl_task5[[คะแนนเต็ม]:[คะแนนเต็ม]]),"",(tbl_task5[91]/tbl_task5[[คะแนนเต็ม]:[คะแนนเต็ม]])*tbl_task5[[%]:[%]])</f>
        <v/>
      </c>
      <c r="JB4" s="121" t="str">
        <f>IF(ISBLANK(tbl_task5[[คะแนนเต็ม]:[คะแนนเต็ม]]),"",(tbl_task5[92]/tbl_task5[[คะแนนเต็ม]:[คะแนนเต็ม]])*tbl_task5[[%]:[%]])</f>
        <v/>
      </c>
      <c r="JC4" s="121" t="str">
        <f>IF(ISBLANK(tbl_task5[[คะแนนเต็ม]:[คะแนนเต็ม]]),"",(tbl_task5[93]/tbl_task5[[คะแนนเต็ม]:[คะแนนเต็ม]])*tbl_task5[[%]:[%]])</f>
        <v/>
      </c>
      <c r="JD4" s="121" t="str">
        <f>IF(ISBLANK(tbl_task5[[คะแนนเต็ม]:[คะแนนเต็ม]]),"",(tbl_task5[94]/tbl_task5[[คะแนนเต็ม]:[คะแนนเต็ม]])*tbl_task5[[%]:[%]])</f>
        <v/>
      </c>
      <c r="JE4" s="121" t="str">
        <f>IF(ISBLANK(tbl_task5[[คะแนนเต็ม]:[คะแนนเต็ม]]),"",(tbl_task5[95]/tbl_task5[[คะแนนเต็ม]:[คะแนนเต็ม]])*tbl_task5[[%]:[%]])</f>
        <v/>
      </c>
      <c r="JF4" s="121" t="str">
        <f>IF(ISBLANK(tbl_task5[[คะแนนเต็ม]:[คะแนนเต็ม]]),"",(tbl_task5[96]/tbl_task5[[คะแนนเต็ม]:[คะแนนเต็ม]])*tbl_task5[[%]:[%]])</f>
        <v/>
      </c>
      <c r="JG4" s="121" t="str">
        <f>IF(ISBLANK(tbl_task5[[คะแนนเต็ม]:[คะแนนเต็ม]]),"",(tbl_task5[97]/tbl_task5[[คะแนนเต็ม]:[คะแนนเต็ม]])*tbl_task5[[%]:[%]])</f>
        <v/>
      </c>
      <c r="JH4" s="121" t="str">
        <f>IF(ISBLANK(tbl_task5[[คะแนนเต็ม]:[คะแนนเต็ม]]),"",(tbl_task5[98]/tbl_task5[[คะแนนเต็ม]:[คะแนนเต็ม]])*tbl_task5[[%]:[%]])</f>
        <v/>
      </c>
      <c r="JI4" s="121" t="str">
        <f>IF(ISBLANK(tbl_task5[[คะแนนเต็ม]:[คะแนนเต็ม]]),"",(tbl_task5[99]/tbl_task5[[คะแนนเต็ม]:[คะแนนเต็ม]])*tbl_task5[[%]:[%]])</f>
        <v/>
      </c>
      <c r="JJ4" s="121" t="str">
        <f>IF(ISBLANK(tbl_task5[[คะแนนเต็ม]:[คะแนนเต็ม]]),"",(tbl_task5[100]/tbl_task5[[คะแนนเต็ม]:[คะแนนเต็ม]])*tbl_task5[[%]:[%]])</f>
        <v/>
      </c>
      <c r="JK4" s="121" t="str">
        <f>IF(ISBLANK(tbl_task5[[คะแนนเต็ม]:[คะแนนเต็ม]]),"",(tbl_task5[101]/tbl_task5[[คะแนนเต็ม]:[คะแนนเต็ม]])*tbl_task5[[%]:[%]])</f>
        <v/>
      </c>
      <c r="JL4" s="121" t="str">
        <f>IF(ISBLANK(tbl_task5[[คะแนนเต็ม]:[คะแนนเต็ม]]),"",(tbl_task5[102]/tbl_task5[[คะแนนเต็ม]:[คะแนนเต็ม]])*tbl_task5[[%]:[%]])</f>
        <v/>
      </c>
      <c r="JM4" s="121" t="str">
        <f>IF(ISBLANK(tbl_task5[[คะแนนเต็ม]:[คะแนนเต็ม]]),"",(tbl_task5[103]/tbl_task5[[คะแนนเต็ม]:[คะแนนเต็ม]])*tbl_task5[[%]:[%]])</f>
        <v/>
      </c>
      <c r="JN4" s="121" t="str">
        <f>IF(ISBLANK(tbl_task5[[คะแนนเต็ม]:[คะแนนเต็ม]]),"",(tbl_task5[104]/tbl_task5[[คะแนนเต็ม]:[คะแนนเต็ม]])*tbl_task5[[%]:[%]])</f>
        <v/>
      </c>
      <c r="JO4" s="121" t="str">
        <f>IF(ISBLANK(tbl_task5[[คะแนนเต็ม]:[คะแนนเต็ม]]),"",(tbl_task5[105]/tbl_task5[[คะแนนเต็ม]:[คะแนนเต็ม]])*tbl_task5[[%]:[%]])</f>
        <v/>
      </c>
      <c r="JP4" s="121" t="str">
        <f>IF(ISBLANK(tbl_task5[[คะแนนเต็ม]:[คะแนนเต็ม]]),"",(tbl_task5[106]/tbl_task5[[คะแนนเต็ม]:[คะแนนเต็ม]])*tbl_task5[[%]:[%]])</f>
        <v/>
      </c>
      <c r="JQ4" s="121" t="str">
        <f>IF(ISBLANK(tbl_task5[[คะแนนเต็ม]:[คะแนนเต็ม]]),"",(tbl_task5[107]/tbl_task5[[คะแนนเต็ม]:[คะแนนเต็ม]])*tbl_task5[[%]:[%]])</f>
        <v/>
      </c>
      <c r="JR4" s="121" t="str">
        <f>IF(ISBLANK(tbl_task5[[คะแนนเต็ม]:[คะแนนเต็ม]]),"",(tbl_task5[108]/tbl_task5[[คะแนนเต็ม]:[คะแนนเต็ม]])*tbl_task5[[%]:[%]])</f>
        <v/>
      </c>
      <c r="JS4" s="121" t="str">
        <f>IF(ISBLANK(tbl_task5[[คะแนนเต็ม]:[คะแนนเต็ม]]),"",(tbl_task5[109]/tbl_task5[[คะแนนเต็ม]:[คะแนนเต็ม]])*tbl_task5[[%]:[%]])</f>
        <v/>
      </c>
      <c r="JT4" s="121" t="str">
        <f>IF(ISBLANK(tbl_task5[[คะแนนเต็ม]:[คะแนนเต็ม]]),"",(tbl_task5[110]/tbl_task5[[คะแนนเต็ม]:[คะแนนเต็ม]])*tbl_task5[[%]:[%]])</f>
        <v/>
      </c>
      <c r="JU4" s="121" t="str">
        <f>IF(ISBLANK(tbl_task5[[คะแนนเต็ม]:[คะแนนเต็ม]]),"",(tbl_task5[111]/tbl_task5[[คะแนนเต็ม]:[คะแนนเต็ม]])*tbl_task5[[%]:[%]])</f>
        <v/>
      </c>
      <c r="JV4" s="121" t="str">
        <f>IF(ISBLANK(tbl_task5[[คะแนนเต็ม]:[คะแนนเต็ม]]),"",(tbl_task5[112]/tbl_task5[[คะแนนเต็ม]:[คะแนนเต็ม]])*tbl_task5[[%]:[%]])</f>
        <v/>
      </c>
      <c r="JW4" s="121" t="str">
        <f>IF(ISBLANK(tbl_task5[[คะแนนเต็ม]:[คะแนนเต็ม]]),"",(tbl_task5[113]/tbl_task5[[คะแนนเต็ม]:[คะแนนเต็ม]])*tbl_task5[[%]:[%]])</f>
        <v/>
      </c>
      <c r="JX4" s="121" t="str">
        <f>IF(ISBLANK(tbl_task5[[คะแนนเต็ม]:[คะแนนเต็ม]]),"",(tbl_task5[114]/tbl_task5[[คะแนนเต็ม]:[คะแนนเต็ม]])*tbl_task5[[%]:[%]])</f>
        <v/>
      </c>
      <c r="JY4" s="121" t="str">
        <f>IF(ISBLANK(tbl_task5[[คะแนนเต็ม]:[คะแนนเต็ม]]),"",(tbl_task5[115]/tbl_task5[[คะแนนเต็ม]:[คะแนนเต็ม]])*tbl_task5[[%]:[%]])</f>
        <v/>
      </c>
      <c r="JZ4" s="121" t="str">
        <f>IF(ISBLANK(tbl_task5[[คะแนนเต็ม]:[คะแนนเต็ม]]),"",(tbl_task5[116]/tbl_task5[[คะแนนเต็ม]:[คะแนนเต็ม]])*tbl_task5[[%]:[%]])</f>
        <v/>
      </c>
      <c r="KA4" s="121" t="str">
        <f>IF(ISBLANK(tbl_task5[[คะแนนเต็ม]:[คะแนนเต็ม]]),"",(tbl_task5[117]/tbl_task5[[คะแนนเต็ม]:[คะแนนเต็ม]])*tbl_task5[[%]:[%]])</f>
        <v/>
      </c>
      <c r="KB4" s="121" t="str">
        <f>IF(ISBLANK(tbl_task5[[คะแนนเต็ม]:[คะแนนเต็ม]]),"",(tbl_task5[118]/tbl_task5[[คะแนนเต็ม]:[คะแนนเต็ม]])*tbl_task5[[%]:[%]])</f>
        <v/>
      </c>
      <c r="KC4" s="121" t="str">
        <f>IF(ISBLANK(tbl_task5[[คะแนนเต็ม]:[คะแนนเต็ม]]),"",(tbl_task5[119]/tbl_task5[[คะแนนเต็ม]:[คะแนนเต็ม]])*tbl_task5[[%]:[%]])</f>
        <v/>
      </c>
      <c r="KD4" s="121" t="str">
        <f>IF(ISBLANK(tbl_task5[[คะแนนเต็ม]:[คะแนนเต็ม]]),"",(tbl_task5[120]/tbl_task5[[คะแนนเต็ม]:[คะแนนเต็ม]])*tbl_task5[[%]:[%]])</f>
        <v/>
      </c>
      <c r="KE4" s="121" t="str">
        <f>IF(ISBLANK(tbl_task5[[คะแนนเต็ม]:[คะแนนเต็ม]]),"",(tbl_task5[121]/tbl_task5[[คะแนนเต็ม]:[คะแนนเต็ม]])*tbl_task5[[%]:[%]])</f>
        <v/>
      </c>
      <c r="KF4" s="121" t="str">
        <f>IF(ISBLANK(tbl_task5[[คะแนนเต็ม]:[คะแนนเต็ม]]),"",(tbl_task5[122]/tbl_task5[[คะแนนเต็ม]:[คะแนนเต็ม]])*tbl_task5[[%]:[%]])</f>
        <v/>
      </c>
      <c r="KG4" s="121" t="str">
        <f>IF(ISBLANK(tbl_task5[[คะแนนเต็ม]:[คะแนนเต็ม]]),"",(tbl_task5[123]/tbl_task5[[คะแนนเต็ม]:[คะแนนเต็ม]])*tbl_task5[[%]:[%]])</f>
        <v/>
      </c>
      <c r="KH4" s="121" t="str">
        <f>IF(ISBLANK(tbl_task5[[คะแนนเต็ม]:[คะแนนเต็ม]]),"",(tbl_task5[124]/tbl_task5[[คะแนนเต็ม]:[คะแนนเต็ม]])*tbl_task5[[%]:[%]])</f>
        <v/>
      </c>
      <c r="KI4" s="121" t="str">
        <f>IF(ISBLANK(tbl_task5[[คะแนนเต็ม]:[คะแนนเต็ม]]),"",(tbl_task5[125]/tbl_task5[[คะแนนเต็ม]:[คะแนนเต็ม]])*tbl_task5[[%]:[%]])</f>
        <v/>
      </c>
      <c r="KJ4" s="121" t="str">
        <f>IF(ISBLANK(tbl_task5[[คะแนนเต็ม]:[คะแนนเต็ม]]),"",(tbl_task5[126]/tbl_task5[[คะแนนเต็ม]:[คะแนนเต็ม]])*tbl_task5[[%]:[%]])</f>
        <v/>
      </c>
      <c r="KK4" s="121" t="str">
        <f>IF(ISBLANK(tbl_task5[[คะแนนเต็ม]:[คะแนนเต็ม]]),"",(tbl_task5[127]/tbl_task5[[คะแนนเต็ม]:[คะแนนเต็ม]])*tbl_task5[[%]:[%]])</f>
        <v/>
      </c>
      <c r="KL4" s="121" t="str">
        <f>IF(ISBLANK(tbl_task5[[คะแนนเต็ม]:[คะแนนเต็ม]]),"",(tbl_task5[128]/tbl_task5[[คะแนนเต็ม]:[คะแนนเต็ม]])*tbl_task5[[%]:[%]])</f>
        <v/>
      </c>
      <c r="KM4" s="121" t="str">
        <f>IF(ISBLANK(tbl_task5[[คะแนนเต็ม]:[คะแนนเต็ม]]),"",(tbl_task5[129]/tbl_task5[[คะแนนเต็ม]:[คะแนนเต็ม]])*tbl_task5[[%]:[%]])</f>
        <v/>
      </c>
      <c r="KN4" s="121" t="str">
        <f>IF(ISBLANK(tbl_task5[[คะแนนเต็ม]:[คะแนนเต็ม]]),"",(tbl_task5[130]/tbl_task5[[คะแนนเต็ม]:[คะแนนเต็ม]])*tbl_task5[[%]:[%]])</f>
        <v/>
      </c>
      <c r="KO4" s="121" t="str">
        <f>IF(ISBLANK(tbl_task5[[คะแนนเต็ม]:[คะแนนเต็ม]]),"",(tbl_task5[131]/tbl_task5[[คะแนนเต็ม]:[คะแนนเต็ม]])*tbl_task5[[%]:[%]])</f>
        <v/>
      </c>
      <c r="KP4" s="121" t="str">
        <f>IF(ISBLANK(tbl_task5[[คะแนนเต็ม]:[คะแนนเต็ม]]),"",(tbl_task5[132]/tbl_task5[[คะแนนเต็ม]:[คะแนนเต็ม]])*tbl_task5[[%]:[%]])</f>
        <v/>
      </c>
      <c r="KQ4" s="121" t="str">
        <f>IF(ISBLANK(tbl_task5[[คะแนนเต็ม]:[คะแนนเต็ม]]),"",(tbl_task5[133]/tbl_task5[[คะแนนเต็ม]:[คะแนนเต็ม]])*tbl_task5[[%]:[%]])</f>
        <v/>
      </c>
      <c r="KR4" s="121" t="str">
        <f>IF(ISBLANK(tbl_task5[[คะแนนเต็ม]:[คะแนนเต็ม]]),"",(tbl_task5[134]/tbl_task5[[คะแนนเต็ม]:[คะแนนเต็ม]])*tbl_task5[[%]:[%]])</f>
        <v/>
      </c>
      <c r="KS4" s="121" t="str">
        <f>IF(ISBLANK(tbl_task5[[คะแนนเต็ม]:[คะแนนเต็ม]]),"",(tbl_task5[135]/tbl_task5[[คะแนนเต็ม]:[คะแนนเต็ม]])*tbl_task5[[%]:[%]])</f>
        <v/>
      </c>
      <c r="KT4" s="121" t="str">
        <f>IF(ISBLANK(tbl_task5[[คะแนนเต็ม]:[คะแนนเต็ม]]),"",(tbl_task5[136]/tbl_task5[[คะแนนเต็ม]:[คะแนนเต็ม]])*tbl_task5[[%]:[%]])</f>
        <v/>
      </c>
      <c r="KU4" s="121" t="str">
        <f>IF(ISBLANK(tbl_task5[[คะแนนเต็ม]:[คะแนนเต็ม]]),"",(tbl_task5[137]/tbl_task5[[คะแนนเต็ม]:[คะแนนเต็ม]])*tbl_task5[[%]:[%]])</f>
        <v/>
      </c>
      <c r="KV4" s="121" t="str">
        <f>IF(ISBLANK(tbl_task5[[คะแนนเต็ม]:[คะแนนเต็ม]]),"",(tbl_task5[138]/tbl_task5[[คะแนนเต็ม]:[คะแนนเต็ม]])*tbl_task5[[%]:[%]])</f>
        <v/>
      </c>
      <c r="KW4" s="121" t="str">
        <f>IF(ISBLANK(tbl_task5[[คะแนนเต็ม]:[คะแนนเต็ม]]),"",(tbl_task5[139]/tbl_task5[[คะแนนเต็ม]:[คะแนนเต็ม]])*tbl_task5[[%]:[%]])</f>
        <v/>
      </c>
      <c r="KX4" s="121" t="str">
        <f>IF(ISBLANK(tbl_task5[[คะแนนเต็ม]:[คะแนนเต็ม]]),"",(tbl_task5[140]/tbl_task5[[คะแนนเต็ม]:[คะแนนเต็ม]])*tbl_task5[[%]:[%]])</f>
        <v/>
      </c>
      <c r="KY4" s="121" t="str">
        <f>IF(ISBLANK(tbl_task5[[คะแนนเต็ม]:[คะแนนเต็ม]]),"",(tbl_task5[141]/tbl_task5[[คะแนนเต็ม]:[คะแนนเต็ม]])*tbl_task5[[%]:[%]])</f>
        <v/>
      </c>
      <c r="KZ4" s="121" t="str">
        <f>IF(ISBLANK(tbl_task5[[คะแนนเต็ม]:[คะแนนเต็ม]]),"",(tbl_task5[142]/tbl_task5[[คะแนนเต็ม]:[คะแนนเต็ม]])*tbl_task5[[%]:[%]])</f>
        <v/>
      </c>
      <c r="LA4" s="121" t="str">
        <f>IF(ISBLANK(tbl_task5[[คะแนนเต็ม]:[คะแนนเต็ม]]),"",(tbl_task5[143]/tbl_task5[[คะแนนเต็ม]:[คะแนนเต็ม]])*tbl_task5[[%]:[%]])</f>
        <v/>
      </c>
      <c r="LB4" s="121" t="str">
        <f>IF(ISBLANK(tbl_task5[[คะแนนเต็ม]:[คะแนนเต็ม]]),"",(tbl_task5[144]/tbl_task5[[คะแนนเต็ม]:[คะแนนเต็ม]])*tbl_task5[[%]:[%]])</f>
        <v/>
      </c>
      <c r="LC4" s="121" t="str">
        <f>IF(ISBLANK(tbl_task5[[คะแนนเต็ม]:[คะแนนเต็ม]]),"",(tbl_task5[145]/tbl_task5[[คะแนนเต็ม]:[คะแนนเต็ม]])*tbl_task5[[%]:[%]])</f>
        <v/>
      </c>
      <c r="LD4" s="121" t="str">
        <f>IF(ISBLANK(tbl_task5[[คะแนนเต็ม]:[คะแนนเต็ม]]),"",(tbl_task5[146]/tbl_task5[[คะแนนเต็ม]:[คะแนนเต็ม]])*tbl_task5[[%]:[%]])</f>
        <v/>
      </c>
      <c r="LE4" s="121" t="str">
        <f>IF(ISBLANK(tbl_task5[[คะแนนเต็ม]:[คะแนนเต็ม]]),"",(tbl_task5[147]/tbl_task5[[คะแนนเต็ม]:[คะแนนเต็ม]])*tbl_task5[[%]:[%]])</f>
        <v/>
      </c>
      <c r="LF4" s="121" t="str">
        <f>IF(ISBLANK(tbl_task5[[คะแนนเต็ม]:[คะแนนเต็ม]]),"",(tbl_task5[148]/tbl_task5[[คะแนนเต็ม]:[คะแนนเต็ม]])*tbl_task5[[%]:[%]])</f>
        <v/>
      </c>
      <c r="LG4" s="121" t="str">
        <f>IF(ISBLANK(tbl_task5[[คะแนนเต็ม]:[คะแนนเต็ม]]),"",(tbl_task5[149]/tbl_task5[[คะแนนเต็ม]:[คะแนนเต็ม]])*tbl_task5[[%]:[%]])</f>
        <v/>
      </c>
      <c r="LH4" s="121" t="str">
        <f>IF(ISBLANK(tbl_task5[[คะแนนเต็ม]:[คะแนนเต็ม]]),"",(tbl_task5[150]/tbl_task5[[คะแนนเต็ม]:[คะแนนเต็ม]])*tbl_task5[[%]:[%]])</f>
        <v/>
      </c>
      <c r="LI4" s="121" t="str">
        <f>IF(ISBLANK(tbl_task5[[คะแนนเต็ม]:[คะแนนเต็ม]]),"",(tbl_task5[151]/tbl_task5[[คะแนนเต็ม]:[คะแนนเต็ม]])*tbl_task5[[%]:[%]])</f>
        <v/>
      </c>
      <c r="LJ4" s="121" t="str">
        <f>IF(ISBLANK(tbl_task5[[คะแนนเต็ม]:[คะแนนเต็ม]]),"",(tbl_task5[152]/tbl_task5[[คะแนนเต็ม]:[คะแนนเต็ม]])*tbl_task5[[%]:[%]])</f>
        <v/>
      </c>
      <c r="LK4" s="121" t="str">
        <f>IF(ISBLANK(tbl_task5[[คะแนนเต็ม]:[คะแนนเต็ม]]),"",(tbl_task5[153]/tbl_task5[[คะแนนเต็ม]:[คะแนนเต็ม]])*tbl_task5[[%]:[%]])</f>
        <v/>
      </c>
      <c r="LL4" s="121" t="str">
        <f>IF(ISBLANK(tbl_task5[[คะแนนเต็ม]:[คะแนนเต็ม]]),"",(tbl_task5[154]/tbl_task5[[คะแนนเต็ม]:[คะแนนเต็ม]])*tbl_task5[[%]:[%]])</f>
        <v/>
      </c>
      <c r="LM4" s="121" t="str">
        <f>IF(ISBLANK(tbl_task5[[คะแนนเต็ม]:[คะแนนเต็ม]]),"",(tbl_task5[155]/tbl_task5[[คะแนนเต็ม]:[คะแนนเต็ม]])*tbl_task5[[%]:[%]])</f>
        <v/>
      </c>
      <c r="LN4" s="121" t="str">
        <f>IF(ISBLANK(tbl_task5[[คะแนนเต็ม]:[คะแนนเต็ม]]),"",(tbl_task5[156]/tbl_task5[[คะแนนเต็ม]:[คะแนนเต็ม]])*tbl_task5[[%]:[%]])</f>
        <v/>
      </c>
      <c r="LO4" s="121" t="str">
        <f>IF(ISBLANK(tbl_task5[[คะแนนเต็ม]:[คะแนนเต็ม]]),"",(tbl_task5[157]/tbl_task5[[คะแนนเต็ม]:[คะแนนเต็ม]])*tbl_task5[[%]:[%]])</f>
        <v/>
      </c>
      <c r="LP4" s="121" t="str">
        <f>IF(ISBLANK(tbl_task5[[คะแนนเต็ม]:[คะแนนเต็ม]]),"",(tbl_task5[158]/tbl_task5[[คะแนนเต็ม]:[คะแนนเต็ม]])*tbl_task5[[%]:[%]])</f>
        <v/>
      </c>
      <c r="LQ4" s="121" t="str">
        <f>IF(ISBLANK(tbl_task5[[คะแนนเต็ม]:[คะแนนเต็ม]]),"",(tbl_task5[159]/tbl_task5[[คะแนนเต็ม]:[คะแนนเต็ม]])*tbl_task5[[%]:[%]])</f>
        <v/>
      </c>
      <c r="LR4" s="121" t="str">
        <f>IF(ISBLANK(tbl_task5[[คะแนนเต็ม]:[คะแนนเต็ม]]),"",(tbl_task5[160]/tbl_task5[[คะแนนเต็ม]:[คะแนนเต็ม]])*tbl_task5[[%]:[%]])</f>
        <v/>
      </c>
      <c r="LS4" s="121" t="str">
        <f>IF(ISBLANK(tbl_task5[[คะแนนเต็ม]:[คะแนนเต็ม]]),"",(tbl_task5[161]/tbl_task5[[คะแนนเต็ม]:[คะแนนเต็ม]])*tbl_task5[[%]:[%]])</f>
        <v/>
      </c>
      <c r="LT4" s="121" t="str">
        <f>IF(ISBLANK(tbl_task5[[คะแนนเต็ม]:[คะแนนเต็ม]]),"",(tbl_task5[162]/tbl_task5[[คะแนนเต็ม]:[คะแนนเต็ม]])*tbl_task5[[%]:[%]])</f>
        <v/>
      </c>
      <c r="LU4" s="121" t="str">
        <f>IF(ISBLANK(tbl_task5[[คะแนนเต็ม]:[คะแนนเต็ม]]),"",(tbl_task5[163]/tbl_task5[[คะแนนเต็ม]:[คะแนนเต็ม]])*tbl_task5[[%]:[%]])</f>
        <v/>
      </c>
      <c r="LV4" s="121" t="str">
        <f>IF(ISBLANK(tbl_task5[[คะแนนเต็ม]:[คะแนนเต็ม]]),"",(tbl_task5[164]/tbl_task5[[คะแนนเต็ม]:[คะแนนเต็ม]])*tbl_task5[[%]:[%]])</f>
        <v/>
      </c>
      <c r="LW4" s="121" t="str">
        <f>IF(ISBLANK(tbl_task5[[คะแนนเต็ม]:[คะแนนเต็ม]]),"",(tbl_task5[165]/tbl_task5[[คะแนนเต็ม]:[คะแนนเต็ม]])*tbl_task5[[%]:[%]])</f>
        <v/>
      </c>
    </row>
    <row r="5" spans="1:335" ht="23.25" customHeight="1" x14ac:dyDescent="0.25">
      <c r="A5" s="24">
        <v>2</v>
      </c>
      <c r="B5" s="20"/>
      <c r="C5" s="5" t="str">
        <f>IF(ISBLANK(B5),"",VLOOKUP(B5,tbl_PLOs[],2,0))</f>
        <v/>
      </c>
      <c r="D5" s="102"/>
      <c r="E5" s="10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22"/>
      <c r="FO5" s="121" t="str">
        <f>IF(ISBLANK(tbl_task5[[คะแนนเต็ม]:[คะแนนเต็ม]]),"",(tbl_task5[1]/tbl_task5[[คะแนนเต็ม]:[คะแนนเต็ม]])*tbl_task5[[%]:[%]])</f>
        <v/>
      </c>
      <c r="FP5" s="121" t="str">
        <f>IF(ISBLANK(tbl_task5[[คะแนนเต็ม]:[คะแนนเต็ม]]),"",(tbl_task5[2]/tbl_task5[[คะแนนเต็ม]:[คะแนนเต็ม]])*tbl_task5[[%]:[%]])</f>
        <v/>
      </c>
      <c r="FQ5" s="121" t="str">
        <f>IF(ISBLANK(tbl_task5[[คะแนนเต็ม]:[คะแนนเต็ม]]),"",(tbl_task5[3]/tbl_task5[[คะแนนเต็ม]:[คะแนนเต็ม]])*tbl_task5[[%]:[%]])</f>
        <v/>
      </c>
      <c r="FR5" s="121" t="str">
        <f>IF(ISBLANK(tbl_task5[[คะแนนเต็ม]:[คะแนนเต็ม]]),"",(tbl_task5[4]/tbl_task5[[คะแนนเต็ม]:[คะแนนเต็ม]])*tbl_task5[[%]:[%]])</f>
        <v/>
      </c>
      <c r="FS5" s="121" t="str">
        <f>IF(ISBLANK(tbl_task5[[คะแนนเต็ม]:[คะแนนเต็ม]]),"",(tbl_task5[5]/tbl_task5[[คะแนนเต็ม]:[คะแนนเต็ม]])*tbl_task5[[%]:[%]])</f>
        <v/>
      </c>
      <c r="FT5" s="121" t="str">
        <f>IF(ISBLANK(tbl_task5[[คะแนนเต็ม]:[คะแนนเต็ม]]),"",(tbl_task5[6]/tbl_task5[[คะแนนเต็ม]:[คะแนนเต็ม]])*tbl_task5[[%]:[%]])</f>
        <v/>
      </c>
      <c r="FU5" s="121" t="str">
        <f>IF(ISBLANK(tbl_task5[[คะแนนเต็ม]:[คะแนนเต็ม]]),"",(tbl_task5[7]/tbl_task5[[คะแนนเต็ม]:[คะแนนเต็ม]])*tbl_task5[[%]:[%]])</f>
        <v/>
      </c>
      <c r="FV5" s="121" t="str">
        <f>IF(ISBLANK(tbl_task5[[คะแนนเต็ม]:[คะแนนเต็ม]]),"",(tbl_task5[8]/tbl_task5[[คะแนนเต็ม]:[คะแนนเต็ม]])*tbl_task5[[%]:[%]])</f>
        <v/>
      </c>
      <c r="FW5" s="121" t="str">
        <f>IF(ISBLANK(tbl_task5[[คะแนนเต็ม]:[คะแนนเต็ม]]),"",(tbl_task5[9]/tbl_task5[[คะแนนเต็ม]:[คะแนนเต็ม]])*tbl_task5[[%]:[%]])</f>
        <v/>
      </c>
      <c r="FX5" s="121" t="str">
        <f>IF(ISBLANK(tbl_task5[[คะแนนเต็ม]:[คะแนนเต็ม]]),"",(tbl_task5[10]/tbl_task5[[คะแนนเต็ม]:[คะแนนเต็ม]])*tbl_task5[[%]:[%]])</f>
        <v/>
      </c>
      <c r="FY5" s="121" t="str">
        <f>IF(ISBLANK(tbl_task5[[คะแนนเต็ม]:[คะแนนเต็ม]]),"",(tbl_task5[11]/tbl_task5[[คะแนนเต็ม]:[คะแนนเต็ม]])*tbl_task5[[%]:[%]])</f>
        <v/>
      </c>
      <c r="FZ5" s="121" t="str">
        <f>IF(ISBLANK(tbl_task5[[คะแนนเต็ม]:[คะแนนเต็ม]]),"",(tbl_task5[12]/tbl_task5[[คะแนนเต็ม]:[คะแนนเต็ม]])*tbl_task5[[%]:[%]])</f>
        <v/>
      </c>
      <c r="GA5" s="121" t="str">
        <f>IF(ISBLANK(tbl_task5[[คะแนนเต็ม]:[คะแนนเต็ม]]),"",(tbl_task5[13]/tbl_task5[[คะแนนเต็ม]:[คะแนนเต็ม]])*tbl_task5[[%]:[%]])</f>
        <v/>
      </c>
      <c r="GB5" s="121" t="str">
        <f>IF(ISBLANK(tbl_task5[[คะแนนเต็ม]:[คะแนนเต็ม]]),"",(tbl_task5[14]/tbl_task5[[คะแนนเต็ม]:[คะแนนเต็ม]])*tbl_task5[[%]:[%]])</f>
        <v/>
      </c>
      <c r="GC5" s="121" t="str">
        <f>IF(ISBLANK(tbl_task5[[คะแนนเต็ม]:[คะแนนเต็ม]]),"",(tbl_task5[15]/tbl_task5[[คะแนนเต็ม]:[คะแนนเต็ม]])*tbl_task5[[%]:[%]])</f>
        <v/>
      </c>
      <c r="GD5" s="121" t="str">
        <f>IF(ISBLANK(tbl_task5[[คะแนนเต็ม]:[คะแนนเต็ม]]),"",(tbl_task5[16]/tbl_task5[[คะแนนเต็ม]:[คะแนนเต็ม]])*tbl_task5[[%]:[%]])</f>
        <v/>
      </c>
      <c r="GE5" s="121" t="str">
        <f>IF(ISBLANK(tbl_task5[[คะแนนเต็ม]:[คะแนนเต็ม]]),"",(tbl_task5[17]/tbl_task5[[คะแนนเต็ม]:[คะแนนเต็ม]])*tbl_task5[[%]:[%]])</f>
        <v/>
      </c>
      <c r="GF5" s="121" t="str">
        <f>IF(ISBLANK(tbl_task5[[คะแนนเต็ม]:[คะแนนเต็ม]]),"",(tbl_task5[18]/tbl_task5[[คะแนนเต็ม]:[คะแนนเต็ม]])*tbl_task5[[%]:[%]])</f>
        <v/>
      </c>
      <c r="GG5" s="121" t="str">
        <f>IF(ISBLANK(tbl_task5[[คะแนนเต็ม]:[คะแนนเต็ม]]),"",(tbl_task5[19]/tbl_task5[[คะแนนเต็ม]:[คะแนนเต็ม]])*tbl_task5[[%]:[%]])</f>
        <v/>
      </c>
      <c r="GH5" s="121" t="str">
        <f>IF(ISBLANK(tbl_task5[[คะแนนเต็ม]:[คะแนนเต็ม]]),"",(tbl_task5[20]/tbl_task5[[คะแนนเต็ม]:[คะแนนเต็ม]])*tbl_task5[[%]:[%]])</f>
        <v/>
      </c>
      <c r="GI5" s="121" t="str">
        <f>IF(ISBLANK(tbl_task5[[คะแนนเต็ม]:[คะแนนเต็ม]]),"",(tbl_task5[21]/tbl_task5[[คะแนนเต็ม]:[คะแนนเต็ม]])*tbl_task5[[%]:[%]])</f>
        <v/>
      </c>
      <c r="GJ5" s="121" t="str">
        <f>IF(ISBLANK(tbl_task5[[คะแนนเต็ม]:[คะแนนเต็ม]]),"",(tbl_task5[22]/tbl_task5[[คะแนนเต็ม]:[คะแนนเต็ม]])*tbl_task5[[%]:[%]])</f>
        <v/>
      </c>
      <c r="GK5" s="121" t="str">
        <f>IF(ISBLANK(tbl_task5[[คะแนนเต็ม]:[คะแนนเต็ม]]),"",(tbl_task5[23]/tbl_task5[[คะแนนเต็ม]:[คะแนนเต็ม]])*tbl_task5[[%]:[%]])</f>
        <v/>
      </c>
      <c r="GL5" s="121" t="str">
        <f>IF(ISBLANK(tbl_task5[[คะแนนเต็ม]:[คะแนนเต็ม]]),"",(tbl_task5[24]/tbl_task5[[คะแนนเต็ม]:[คะแนนเต็ม]])*tbl_task5[[%]:[%]])</f>
        <v/>
      </c>
      <c r="GM5" s="121" t="str">
        <f>IF(ISBLANK(tbl_task5[[คะแนนเต็ม]:[คะแนนเต็ม]]),"",(tbl_task5[25]/tbl_task5[[คะแนนเต็ม]:[คะแนนเต็ม]])*tbl_task5[[%]:[%]])</f>
        <v/>
      </c>
      <c r="GN5" s="121" t="str">
        <f>IF(ISBLANK(tbl_task5[[คะแนนเต็ม]:[คะแนนเต็ม]]),"",(tbl_task5[26]/tbl_task5[[คะแนนเต็ม]:[คะแนนเต็ม]])*tbl_task5[[%]:[%]])</f>
        <v/>
      </c>
      <c r="GO5" s="121" t="str">
        <f>IF(ISBLANK(tbl_task5[[คะแนนเต็ม]:[คะแนนเต็ม]]),"",(tbl_task5[27]/tbl_task5[[คะแนนเต็ม]:[คะแนนเต็ม]])*tbl_task5[[%]:[%]])</f>
        <v/>
      </c>
      <c r="GP5" s="121" t="str">
        <f>IF(ISBLANK(tbl_task5[[คะแนนเต็ม]:[คะแนนเต็ม]]),"",(tbl_task5[28]/tbl_task5[[คะแนนเต็ม]:[คะแนนเต็ม]])*tbl_task5[[%]:[%]])</f>
        <v/>
      </c>
      <c r="GQ5" s="121" t="str">
        <f>IF(ISBLANK(tbl_task5[[คะแนนเต็ม]:[คะแนนเต็ม]]),"",(tbl_task5[29]/tbl_task5[[คะแนนเต็ม]:[คะแนนเต็ม]])*tbl_task5[[%]:[%]])</f>
        <v/>
      </c>
      <c r="GR5" s="121" t="str">
        <f>IF(ISBLANK(tbl_task5[[คะแนนเต็ม]:[คะแนนเต็ม]]),"",(tbl_task5[30]/tbl_task5[[คะแนนเต็ม]:[คะแนนเต็ม]])*tbl_task5[[%]:[%]])</f>
        <v/>
      </c>
      <c r="GS5" s="121" t="str">
        <f>IF(ISBLANK(tbl_task5[[คะแนนเต็ม]:[คะแนนเต็ม]]),"",(tbl_task5[31]/tbl_task5[[คะแนนเต็ม]:[คะแนนเต็ม]])*tbl_task5[[%]:[%]])</f>
        <v/>
      </c>
      <c r="GT5" s="121" t="str">
        <f>IF(ISBLANK(tbl_task5[[คะแนนเต็ม]:[คะแนนเต็ม]]),"",(tbl_task5[32]/tbl_task5[[คะแนนเต็ม]:[คะแนนเต็ม]])*tbl_task5[[%]:[%]])</f>
        <v/>
      </c>
      <c r="GU5" s="121" t="str">
        <f>IF(ISBLANK(tbl_task5[[คะแนนเต็ม]:[คะแนนเต็ม]]),"",(tbl_task5[33]/tbl_task5[[คะแนนเต็ม]:[คะแนนเต็ม]])*tbl_task5[[%]:[%]])</f>
        <v/>
      </c>
      <c r="GV5" s="121" t="str">
        <f>IF(ISBLANK(tbl_task5[[คะแนนเต็ม]:[คะแนนเต็ม]]),"",(tbl_task5[34]/tbl_task5[[คะแนนเต็ม]:[คะแนนเต็ม]])*tbl_task5[[%]:[%]])</f>
        <v/>
      </c>
      <c r="GW5" s="121" t="str">
        <f>IF(ISBLANK(tbl_task5[[คะแนนเต็ม]:[คะแนนเต็ม]]),"",(tbl_task5[35]/tbl_task5[[คะแนนเต็ม]:[คะแนนเต็ม]])*tbl_task5[[%]:[%]])</f>
        <v/>
      </c>
      <c r="GX5" s="121" t="str">
        <f>IF(ISBLANK(tbl_task5[[คะแนนเต็ม]:[คะแนนเต็ม]]),"",(tbl_task5[36]/tbl_task5[[คะแนนเต็ม]:[คะแนนเต็ม]])*tbl_task5[[%]:[%]])</f>
        <v/>
      </c>
      <c r="GY5" s="121" t="str">
        <f>IF(ISBLANK(tbl_task5[[คะแนนเต็ม]:[คะแนนเต็ม]]),"",(tbl_task5[37]/tbl_task5[[คะแนนเต็ม]:[คะแนนเต็ม]])*tbl_task5[[%]:[%]])</f>
        <v/>
      </c>
      <c r="GZ5" s="121" t="str">
        <f>IF(ISBLANK(tbl_task5[[คะแนนเต็ม]:[คะแนนเต็ม]]),"",(tbl_task5[38]/tbl_task5[[คะแนนเต็ม]:[คะแนนเต็ม]])*tbl_task5[[%]:[%]])</f>
        <v/>
      </c>
      <c r="HA5" s="121" t="str">
        <f>IF(ISBLANK(tbl_task5[[คะแนนเต็ม]:[คะแนนเต็ม]]),"",(tbl_task5[39]/tbl_task5[[คะแนนเต็ม]:[คะแนนเต็ม]])*tbl_task5[[%]:[%]])</f>
        <v/>
      </c>
      <c r="HB5" s="121" t="str">
        <f>IF(ISBLANK(tbl_task5[[คะแนนเต็ม]:[คะแนนเต็ม]]),"",(tbl_task5[40]/tbl_task5[[คะแนนเต็ม]:[คะแนนเต็ม]])*tbl_task5[[%]:[%]])</f>
        <v/>
      </c>
      <c r="HC5" s="121" t="str">
        <f>IF(ISBLANK(tbl_task5[[คะแนนเต็ม]:[คะแนนเต็ม]]),"",(tbl_task5[41]/tbl_task5[[คะแนนเต็ม]:[คะแนนเต็ม]])*tbl_task5[[%]:[%]])</f>
        <v/>
      </c>
      <c r="HD5" s="121" t="str">
        <f>IF(ISBLANK(tbl_task5[[คะแนนเต็ม]:[คะแนนเต็ม]]),"",(tbl_task5[42]/tbl_task5[[คะแนนเต็ม]:[คะแนนเต็ม]])*tbl_task5[[%]:[%]])</f>
        <v/>
      </c>
      <c r="HE5" s="121" t="str">
        <f>IF(ISBLANK(tbl_task5[[คะแนนเต็ม]:[คะแนนเต็ม]]),"",(tbl_task5[43]/tbl_task5[[คะแนนเต็ม]:[คะแนนเต็ม]])*tbl_task5[[%]:[%]])</f>
        <v/>
      </c>
      <c r="HF5" s="121" t="str">
        <f>IF(ISBLANK(tbl_task5[[คะแนนเต็ม]:[คะแนนเต็ม]]),"",(tbl_task5[44]/tbl_task5[[คะแนนเต็ม]:[คะแนนเต็ม]])*tbl_task5[[%]:[%]])</f>
        <v/>
      </c>
      <c r="HG5" s="121" t="str">
        <f>IF(ISBLANK(tbl_task5[[คะแนนเต็ม]:[คะแนนเต็ม]]),"",(tbl_task5[45]/tbl_task5[[คะแนนเต็ม]:[คะแนนเต็ม]])*tbl_task5[[%]:[%]])</f>
        <v/>
      </c>
      <c r="HH5" s="121" t="str">
        <f>IF(ISBLANK(tbl_task5[[คะแนนเต็ม]:[คะแนนเต็ม]]),"",(tbl_task5[46]/tbl_task5[[คะแนนเต็ม]:[คะแนนเต็ม]])*tbl_task5[[%]:[%]])</f>
        <v/>
      </c>
      <c r="HI5" s="121" t="str">
        <f>IF(ISBLANK(tbl_task5[[คะแนนเต็ม]:[คะแนนเต็ม]]),"",(tbl_task5[47]/tbl_task5[[คะแนนเต็ม]:[คะแนนเต็ม]])*tbl_task5[[%]:[%]])</f>
        <v/>
      </c>
      <c r="HJ5" s="121" t="str">
        <f>IF(ISBLANK(tbl_task5[[คะแนนเต็ม]:[คะแนนเต็ม]]),"",(tbl_task5[48]/tbl_task5[[คะแนนเต็ม]:[คะแนนเต็ม]])*tbl_task5[[%]:[%]])</f>
        <v/>
      </c>
      <c r="HK5" s="121" t="str">
        <f>IF(ISBLANK(tbl_task5[[คะแนนเต็ม]:[คะแนนเต็ม]]),"",(tbl_task5[49]/tbl_task5[[คะแนนเต็ม]:[คะแนนเต็ม]])*tbl_task5[[%]:[%]])</f>
        <v/>
      </c>
      <c r="HL5" s="121" t="str">
        <f>IF(ISBLANK(tbl_task5[[คะแนนเต็ม]:[คะแนนเต็ม]]),"",(tbl_task5[50]/tbl_task5[[คะแนนเต็ม]:[คะแนนเต็ม]])*tbl_task5[[%]:[%]])</f>
        <v/>
      </c>
      <c r="HM5" s="121" t="str">
        <f>IF(ISBLANK(tbl_task5[[คะแนนเต็ม]:[คะแนนเต็ม]]),"",(tbl_task5[51]/tbl_task5[[คะแนนเต็ม]:[คะแนนเต็ม]])*tbl_task5[[%]:[%]])</f>
        <v/>
      </c>
      <c r="HN5" s="121" t="str">
        <f>IF(ISBLANK(tbl_task5[[คะแนนเต็ม]:[คะแนนเต็ม]]),"",(tbl_task5[52]/tbl_task5[[คะแนนเต็ม]:[คะแนนเต็ม]])*tbl_task5[[%]:[%]])</f>
        <v/>
      </c>
      <c r="HO5" s="121" t="str">
        <f>IF(ISBLANK(tbl_task5[[คะแนนเต็ม]:[คะแนนเต็ม]]),"",(tbl_task5[53]/tbl_task5[[คะแนนเต็ม]:[คะแนนเต็ม]])*tbl_task5[[%]:[%]])</f>
        <v/>
      </c>
      <c r="HP5" s="121" t="str">
        <f>IF(ISBLANK(tbl_task5[[คะแนนเต็ม]:[คะแนนเต็ม]]),"",(tbl_task5[54]/tbl_task5[[คะแนนเต็ม]:[คะแนนเต็ม]])*tbl_task5[[%]:[%]])</f>
        <v/>
      </c>
      <c r="HQ5" s="121" t="str">
        <f>IF(ISBLANK(tbl_task5[[คะแนนเต็ม]:[คะแนนเต็ม]]),"",(tbl_task5[55]/tbl_task5[[คะแนนเต็ม]:[คะแนนเต็ม]])*tbl_task5[[%]:[%]])</f>
        <v/>
      </c>
      <c r="HR5" s="121" t="str">
        <f>IF(ISBLANK(tbl_task5[[คะแนนเต็ม]:[คะแนนเต็ม]]),"",(tbl_task5[56]/tbl_task5[[คะแนนเต็ม]:[คะแนนเต็ม]])*tbl_task5[[%]:[%]])</f>
        <v/>
      </c>
      <c r="HS5" s="121" t="str">
        <f>IF(ISBLANK(tbl_task5[[คะแนนเต็ม]:[คะแนนเต็ม]]),"",(tbl_task5[57]/tbl_task5[[คะแนนเต็ม]:[คะแนนเต็ม]])*tbl_task5[[%]:[%]])</f>
        <v/>
      </c>
      <c r="HT5" s="121" t="str">
        <f>IF(ISBLANK(tbl_task5[[คะแนนเต็ม]:[คะแนนเต็ม]]),"",(tbl_task5[58]/tbl_task5[[คะแนนเต็ม]:[คะแนนเต็ม]])*tbl_task5[[%]:[%]])</f>
        <v/>
      </c>
      <c r="HU5" s="121" t="str">
        <f>IF(ISBLANK(tbl_task5[[คะแนนเต็ม]:[คะแนนเต็ม]]),"",(tbl_task5[59]/tbl_task5[[คะแนนเต็ม]:[คะแนนเต็ม]])*tbl_task5[[%]:[%]])</f>
        <v/>
      </c>
      <c r="HV5" s="121" t="str">
        <f>IF(ISBLANK(tbl_task5[[คะแนนเต็ม]:[คะแนนเต็ม]]),"",(tbl_task5[60]/tbl_task5[[คะแนนเต็ม]:[คะแนนเต็ม]])*tbl_task5[[%]:[%]])</f>
        <v/>
      </c>
      <c r="HW5" s="121" t="str">
        <f>IF(ISBLANK(tbl_task5[[คะแนนเต็ม]:[คะแนนเต็ม]]),"",(tbl_task5[61]/tbl_task5[[คะแนนเต็ม]:[คะแนนเต็ม]])*tbl_task5[[%]:[%]])</f>
        <v/>
      </c>
      <c r="HX5" s="121" t="str">
        <f>IF(ISBLANK(tbl_task5[[คะแนนเต็ม]:[คะแนนเต็ม]]),"",(tbl_task5[62]/tbl_task5[[คะแนนเต็ม]:[คะแนนเต็ม]])*tbl_task5[[%]:[%]])</f>
        <v/>
      </c>
      <c r="HY5" s="121" t="str">
        <f>IF(ISBLANK(tbl_task5[[คะแนนเต็ม]:[คะแนนเต็ม]]),"",(tbl_task5[63]/tbl_task5[[คะแนนเต็ม]:[คะแนนเต็ม]])*tbl_task5[[%]:[%]])</f>
        <v/>
      </c>
      <c r="HZ5" s="121" t="str">
        <f>IF(ISBLANK(tbl_task5[[คะแนนเต็ม]:[คะแนนเต็ม]]),"",(tbl_task5[64]/tbl_task5[[คะแนนเต็ม]:[คะแนนเต็ม]])*tbl_task5[[%]:[%]])</f>
        <v/>
      </c>
      <c r="IA5" s="121" t="str">
        <f>IF(ISBLANK(tbl_task5[[คะแนนเต็ม]:[คะแนนเต็ม]]),"",(tbl_task5[65]/tbl_task5[[คะแนนเต็ม]:[คะแนนเต็ม]])*tbl_task5[[%]:[%]])</f>
        <v/>
      </c>
      <c r="IB5" s="121" t="str">
        <f>IF(ISBLANK(tbl_task5[[คะแนนเต็ม]:[คะแนนเต็ม]]),"",(tbl_task5[66]/tbl_task5[[คะแนนเต็ม]:[คะแนนเต็ม]])*tbl_task5[[%]:[%]])</f>
        <v/>
      </c>
      <c r="IC5" s="121" t="str">
        <f>IF(ISBLANK(tbl_task5[[คะแนนเต็ม]:[คะแนนเต็ม]]),"",(tbl_task5[67]/tbl_task5[[คะแนนเต็ม]:[คะแนนเต็ม]])*tbl_task5[[%]:[%]])</f>
        <v/>
      </c>
      <c r="ID5" s="121" t="str">
        <f>IF(ISBLANK(tbl_task5[[คะแนนเต็ม]:[คะแนนเต็ม]]),"",(tbl_task5[68]/tbl_task5[[คะแนนเต็ม]:[คะแนนเต็ม]])*tbl_task5[[%]:[%]])</f>
        <v/>
      </c>
      <c r="IE5" s="121" t="str">
        <f>IF(ISBLANK(tbl_task5[[คะแนนเต็ม]:[คะแนนเต็ม]]),"",(tbl_task5[69]/tbl_task5[[คะแนนเต็ม]:[คะแนนเต็ม]])*tbl_task5[[%]:[%]])</f>
        <v/>
      </c>
      <c r="IF5" s="121" t="str">
        <f>IF(ISBLANK(tbl_task5[[คะแนนเต็ม]:[คะแนนเต็ม]]),"",(tbl_task5[70]/tbl_task5[[คะแนนเต็ม]:[คะแนนเต็ม]])*tbl_task5[[%]:[%]])</f>
        <v/>
      </c>
      <c r="IG5" s="121" t="str">
        <f>IF(ISBLANK(tbl_task5[[คะแนนเต็ม]:[คะแนนเต็ม]]),"",(tbl_task5[71]/tbl_task5[[คะแนนเต็ม]:[คะแนนเต็ม]])*tbl_task5[[%]:[%]])</f>
        <v/>
      </c>
      <c r="IH5" s="121" t="str">
        <f>IF(ISBLANK(tbl_task5[[คะแนนเต็ม]:[คะแนนเต็ม]]),"",(tbl_task5[72]/tbl_task5[[คะแนนเต็ม]:[คะแนนเต็ม]])*tbl_task5[[%]:[%]])</f>
        <v/>
      </c>
      <c r="II5" s="121" t="str">
        <f>IF(ISBLANK(tbl_task5[[คะแนนเต็ม]:[คะแนนเต็ม]]),"",(tbl_task5[73]/tbl_task5[[คะแนนเต็ม]:[คะแนนเต็ม]])*tbl_task5[[%]:[%]])</f>
        <v/>
      </c>
      <c r="IJ5" s="121" t="str">
        <f>IF(ISBLANK(tbl_task5[[คะแนนเต็ม]:[คะแนนเต็ม]]),"",(tbl_task5[74]/tbl_task5[[คะแนนเต็ม]:[คะแนนเต็ม]])*tbl_task5[[%]:[%]])</f>
        <v/>
      </c>
      <c r="IK5" s="121" t="str">
        <f>IF(ISBLANK(tbl_task5[[คะแนนเต็ม]:[คะแนนเต็ม]]),"",(tbl_task5[75]/tbl_task5[[คะแนนเต็ม]:[คะแนนเต็ม]])*tbl_task5[[%]:[%]])</f>
        <v/>
      </c>
      <c r="IL5" s="121" t="str">
        <f>IF(ISBLANK(tbl_task5[[คะแนนเต็ม]:[คะแนนเต็ม]]),"",(tbl_task5[76]/tbl_task5[[คะแนนเต็ม]:[คะแนนเต็ม]])*tbl_task5[[%]:[%]])</f>
        <v/>
      </c>
      <c r="IM5" s="121" t="str">
        <f>IF(ISBLANK(tbl_task5[[คะแนนเต็ม]:[คะแนนเต็ม]]),"",(tbl_task5[77]/tbl_task5[[คะแนนเต็ม]:[คะแนนเต็ม]])*tbl_task5[[%]:[%]])</f>
        <v/>
      </c>
      <c r="IN5" s="121" t="str">
        <f>IF(ISBLANK(tbl_task5[[คะแนนเต็ม]:[คะแนนเต็ม]]),"",(tbl_task5[78]/tbl_task5[[คะแนนเต็ม]:[คะแนนเต็ม]])*tbl_task5[[%]:[%]])</f>
        <v/>
      </c>
      <c r="IO5" s="121" t="str">
        <f>IF(ISBLANK(tbl_task5[[คะแนนเต็ม]:[คะแนนเต็ม]]),"",(tbl_task5[79]/tbl_task5[[คะแนนเต็ม]:[คะแนนเต็ม]])*tbl_task5[[%]:[%]])</f>
        <v/>
      </c>
      <c r="IP5" s="121" t="str">
        <f>IF(ISBLANK(tbl_task5[[คะแนนเต็ม]:[คะแนนเต็ม]]),"",(tbl_task5[80]/tbl_task5[[คะแนนเต็ม]:[คะแนนเต็ม]])*tbl_task5[[%]:[%]])</f>
        <v/>
      </c>
      <c r="IQ5" s="121" t="str">
        <f>IF(ISBLANK(tbl_task5[[คะแนนเต็ม]:[คะแนนเต็ม]]),"",(tbl_task5[81]/tbl_task5[[คะแนนเต็ม]:[คะแนนเต็ม]])*tbl_task5[[%]:[%]])</f>
        <v/>
      </c>
      <c r="IR5" s="121" t="str">
        <f>IF(ISBLANK(tbl_task5[[คะแนนเต็ม]:[คะแนนเต็ม]]),"",(tbl_task5[82]/tbl_task5[[คะแนนเต็ม]:[คะแนนเต็ม]])*tbl_task5[[%]:[%]])</f>
        <v/>
      </c>
      <c r="IS5" s="121" t="str">
        <f>IF(ISBLANK(tbl_task5[[คะแนนเต็ม]:[คะแนนเต็ม]]),"",(tbl_task5[83]/tbl_task5[[คะแนนเต็ม]:[คะแนนเต็ม]])*tbl_task5[[%]:[%]])</f>
        <v/>
      </c>
      <c r="IT5" s="121" t="str">
        <f>IF(ISBLANK(tbl_task5[[คะแนนเต็ม]:[คะแนนเต็ม]]),"",(tbl_task5[84]/tbl_task5[[คะแนนเต็ม]:[คะแนนเต็ม]])*tbl_task5[[%]:[%]])</f>
        <v/>
      </c>
      <c r="IU5" s="121" t="str">
        <f>IF(ISBLANK(tbl_task5[[คะแนนเต็ม]:[คะแนนเต็ม]]),"",(tbl_task5[85]/tbl_task5[[คะแนนเต็ม]:[คะแนนเต็ม]])*tbl_task5[[%]:[%]])</f>
        <v/>
      </c>
      <c r="IV5" s="121" t="str">
        <f>IF(ISBLANK(tbl_task5[[คะแนนเต็ม]:[คะแนนเต็ม]]),"",(tbl_task5[86]/tbl_task5[[คะแนนเต็ม]:[คะแนนเต็ม]])*tbl_task5[[%]:[%]])</f>
        <v/>
      </c>
      <c r="IW5" s="121" t="str">
        <f>IF(ISBLANK(tbl_task5[[คะแนนเต็ม]:[คะแนนเต็ม]]),"",(tbl_task5[87]/tbl_task5[[คะแนนเต็ม]:[คะแนนเต็ม]])*tbl_task5[[%]:[%]])</f>
        <v/>
      </c>
      <c r="IX5" s="121" t="str">
        <f>IF(ISBLANK(tbl_task5[[คะแนนเต็ม]:[คะแนนเต็ม]]),"",(tbl_task5[88]/tbl_task5[[คะแนนเต็ม]:[คะแนนเต็ม]])*tbl_task5[[%]:[%]])</f>
        <v/>
      </c>
      <c r="IY5" s="121" t="str">
        <f>IF(ISBLANK(tbl_task5[[คะแนนเต็ม]:[คะแนนเต็ม]]),"",(tbl_task5[89]/tbl_task5[[คะแนนเต็ม]:[คะแนนเต็ม]])*tbl_task5[[%]:[%]])</f>
        <v/>
      </c>
      <c r="IZ5" s="121" t="str">
        <f>IF(ISBLANK(tbl_task5[[คะแนนเต็ม]:[คะแนนเต็ม]]),"",(tbl_task5[90]/tbl_task5[[คะแนนเต็ม]:[คะแนนเต็ม]])*tbl_task5[[%]:[%]])</f>
        <v/>
      </c>
      <c r="JA5" s="121" t="str">
        <f>IF(ISBLANK(tbl_task5[[คะแนนเต็ม]:[คะแนนเต็ม]]),"",(tbl_task5[91]/tbl_task5[[คะแนนเต็ม]:[คะแนนเต็ม]])*tbl_task5[[%]:[%]])</f>
        <v/>
      </c>
      <c r="JB5" s="121" t="str">
        <f>IF(ISBLANK(tbl_task5[[คะแนนเต็ม]:[คะแนนเต็ม]]),"",(tbl_task5[92]/tbl_task5[[คะแนนเต็ม]:[คะแนนเต็ม]])*tbl_task5[[%]:[%]])</f>
        <v/>
      </c>
      <c r="JC5" s="121" t="str">
        <f>IF(ISBLANK(tbl_task5[[คะแนนเต็ม]:[คะแนนเต็ม]]),"",(tbl_task5[93]/tbl_task5[[คะแนนเต็ม]:[คะแนนเต็ม]])*tbl_task5[[%]:[%]])</f>
        <v/>
      </c>
      <c r="JD5" s="121" t="str">
        <f>IF(ISBLANK(tbl_task5[[คะแนนเต็ม]:[คะแนนเต็ม]]),"",(tbl_task5[94]/tbl_task5[[คะแนนเต็ม]:[คะแนนเต็ม]])*tbl_task5[[%]:[%]])</f>
        <v/>
      </c>
      <c r="JE5" s="121" t="str">
        <f>IF(ISBLANK(tbl_task5[[คะแนนเต็ม]:[คะแนนเต็ม]]),"",(tbl_task5[95]/tbl_task5[[คะแนนเต็ม]:[คะแนนเต็ม]])*tbl_task5[[%]:[%]])</f>
        <v/>
      </c>
      <c r="JF5" s="121" t="str">
        <f>IF(ISBLANK(tbl_task5[[คะแนนเต็ม]:[คะแนนเต็ม]]),"",(tbl_task5[96]/tbl_task5[[คะแนนเต็ม]:[คะแนนเต็ม]])*tbl_task5[[%]:[%]])</f>
        <v/>
      </c>
      <c r="JG5" s="121" t="str">
        <f>IF(ISBLANK(tbl_task5[[คะแนนเต็ม]:[คะแนนเต็ม]]),"",(tbl_task5[97]/tbl_task5[[คะแนนเต็ม]:[คะแนนเต็ม]])*tbl_task5[[%]:[%]])</f>
        <v/>
      </c>
      <c r="JH5" s="121" t="str">
        <f>IF(ISBLANK(tbl_task5[[คะแนนเต็ม]:[คะแนนเต็ม]]),"",(tbl_task5[98]/tbl_task5[[คะแนนเต็ม]:[คะแนนเต็ม]])*tbl_task5[[%]:[%]])</f>
        <v/>
      </c>
      <c r="JI5" s="121" t="str">
        <f>IF(ISBLANK(tbl_task5[[คะแนนเต็ม]:[คะแนนเต็ม]]),"",(tbl_task5[99]/tbl_task5[[คะแนนเต็ม]:[คะแนนเต็ม]])*tbl_task5[[%]:[%]])</f>
        <v/>
      </c>
      <c r="JJ5" s="121" t="str">
        <f>IF(ISBLANK(tbl_task5[[คะแนนเต็ม]:[คะแนนเต็ม]]),"",(tbl_task5[100]/tbl_task5[[คะแนนเต็ม]:[คะแนนเต็ม]])*tbl_task5[[%]:[%]])</f>
        <v/>
      </c>
      <c r="JK5" s="121" t="str">
        <f>IF(ISBLANK(tbl_task5[[คะแนนเต็ม]:[คะแนนเต็ม]]),"",(tbl_task5[101]/tbl_task5[[คะแนนเต็ม]:[คะแนนเต็ม]])*tbl_task5[[%]:[%]])</f>
        <v/>
      </c>
      <c r="JL5" s="121" t="str">
        <f>IF(ISBLANK(tbl_task5[[คะแนนเต็ม]:[คะแนนเต็ม]]),"",(tbl_task5[102]/tbl_task5[[คะแนนเต็ม]:[คะแนนเต็ม]])*tbl_task5[[%]:[%]])</f>
        <v/>
      </c>
      <c r="JM5" s="121" t="str">
        <f>IF(ISBLANK(tbl_task5[[คะแนนเต็ม]:[คะแนนเต็ม]]),"",(tbl_task5[103]/tbl_task5[[คะแนนเต็ม]:[คะแนนเต็ม]])*tbl_task5[[%]:[%]])</f>
        <v/>
      </c>
      <c r="JN5" s="121" t="str">
        <f>IF(ISBLANK(tbl_task5[[คะแนนเต็ม]:[คะแนนเต็ม]]),"",(tbl_task5[104]/tbl_task5[[คะแนนเต็ม]:[คะแนนเต็ม]])*tbl_task5[[%]:[%]])</f>
        <v/>
      </c>
      <c r="JO5" s="121" t="str">
        <f>IF(ISBLANK(tbl_task5[[คะแนนเต็ม]:[คะแนนเต็ม]]),"",(tbl_task5[105]/tbl_task5[[คะแนนเต็ม]:[คะแนนเต็ม]])*tbl_task5[[%]:[%]])</f>
        <v/>
      </c>
      <c r="JP5" s="121" t="str">
        <f>IF(ISBLANK(tbl_task5[[คะแนนเต็ม]:[คะแนนเต็ม]]),"",(tbl_task5[106]/tbl_task5[[คะแนนเต็ม]:[คะแนนเต็ม]])*tbl_task5[[%]:[%]])</f>
        <v/>
      </c>
      <c r="JQ5" s="121" t="str">
        <f>IF(ISBLANK(tbl_task5[[คะแนนเต็ม]:[คะแนนเต็ม]]),"",(tbl_task5[107]/tbl_task5[[คะแนนเต็ม]:[คะแนนเต็ม]])*tbl_task5[[%]:[%]])</f>
        <v/>
      </c>
      <c r="JR5" s="121" t="str">
        <f>IF(ISBLANK(tbl_task5[[คะแนนเต็ม]:[คะแนนเต็ม]]),"",(tbl_task5[108]/tbl_task5[[คะแนนเต็ม]:[คะแนนเต็ม]])*tbl_task5[[%]:[%]])</f>
        <v/>
      </c>
      <c r="JS5" s="121" t="str">
        <f>IF(ISBLANK(tbl_task5[[คะแนนเต็ม]:[คะแนนเต็ม]]),"",(tbl_task5[109]/tbl_task5[[คะแนนเต็ม]:[คะแนนเต็ม]])*tbl_task5[[%]:[%]])</f>
        <v/>
      </c>
      <c r="JT5" s="121" t="str">
        <f>IF(ISBLANK(tbl_task5[[คะแนนเต็ม]:[คะแนนเต็ม]]),"",(tbl_task5[110]/tbl_task5[[คะแนนเต็ม]:[คะแนนเต็ม]])*tbl_task5[[%]:[%]])</f>
        <v/>
      </c>
      <c r="JU5" s="121" t="str">
        <f>IF(ISBLANK(tbl_task5[[คะแนนเต็ม]:[คะแนนเต็ม]]),"",(tbl_task5[111]/tbl_task5[[คะแนนเต็ม]:[คะแนนเต็ม]])*tbl_task5[[%]:[%]])</f>
        <v/>
      </c>
      <c r="JV5" s="121" t="str">
        <f>IF(ISBLANK(tbl_task5[[คะแนนเต็ม]:[คะแนนเต็ม]]),"",(tbl_task5[112]/tbl_task5[[คะแนนเต็ม]:[คะแนนเต็ม]])*tbl_task5[[%]:[%]])</f>
        <v/>
      </c>
      <c r="JW5" s="121" t="str">
        <f>IF(ISBLANK(tbl_task5[[คะแนนเต็ม]:[คะแนนเต็ม]]),"",(tbl_task5[113]/tbl_task5[[คะแนนเต็ม]:[คะแนนเต็ม]])*tbl_task5[[%]:[%]])</f>
        <v/>
      </c>
      <c r="JX5" s="121" t="str">
        <f>IF(ISBLANK(tbl_task5[[คะแนนเต็ม]:[คะแนนเต็ม]]),"",(tbl_task5[114]/tbl_task5[[คะแนนเต็ม]:[คะแนนเต็ม]])*tbl_task5[[%]:[%]])</f>
        <v/>
      </c>
      <c r="JY5" s="121" t="str">
        <f>IF(ISBLANK(tbl_task5[[คะแนนเต็ม]:[คะแนนเต็ม]]),"",(tbl_task5[115]/tbl_task5[[คะแนนเต็ม]:[คะแนนเต็ม]])*tbl_task5[[%]:[%]])</f>
        <v/>
      </c>
      <c r="JZ5" s="121" t="str">
        <f>IF(ISBLANK(tbl_task5[[คะแนนเต็ม]:[คะแนนเต็ม]]),"",(tbl_task5[116]/tbl_task5[[คะแนนเต็ม]:[คะแนนเต็ม]])*tbl_task5[[%]:[%]])</f>
        <v/>
      </c>
      <c r="KA5" s="121" t="str">
        <f>IF(ISBLANK(tbl_task5[[คะแนนเต็ม]:[คะแนนเต็ม]]),"",(tbl_task5[117]/tbl_task5[[คะแนนเต็ม]:[คะแนนเต็ม]])*tbl_task5[[%]:[%]])</f>
        <v/>
      </c>
      <c r="KB5" s="121" t="str">
        <f>IF(ISBLANK(tbl_task5[[คะแนนเต็ม]:[คะแนนเต็ม]]),"",(tbl_task5[118]/tbl_task5[[คะแนนเต็ม]:[คะแนนเต็ม]])*tbl_task5[[%]:[%]])</f>
        <v/>
      </c>
      <c r="KC5" s="121" t="str">
        <f>IF(ISBLANK(tbl_task5[[คะแนนเต็ม]:[คะแนนเต็ม]]),"",(tbl_task5[119]/tbl_task5[[คะแนนเต็ม]:[คะแนนเต็ม]])*tbl_task5[[%]:[%]])</f>
        <v/>
      </c>
      <c r="KD5" s="121" t="str">
        <f>IF(ISBLANK(tbl_task5[[คะแนนเต็ม]:[คะแนนเต็ม]]),"",(tbl_task5[120]/tbl_task5[[คะแนนเต็ม]:[คะแนนเต็ม]])*tbl_task5[[%]:[%]])</f>
        <v/>
      </c>
      <c r="KE5" s="121" t="str">
        <f>IF(ISBLANK(tbl_task5[[คะแนนเต็ม]:[คะแนนเต็ม]]),"",(tbl_task5[121]/tbl_task5[[คะแนนเต็ม]:[คะแนนเต็ม]])*tbl_task5[[%]:[%]])</f>
        <v/>
      </c>
      <c r="KF5" s="121" t="str">
        <f>IF(ISBLANK(tbl_task5[[คะแนนเต็ม]:[คะแนนเต็ม]]),"",(tbl_task5[122]/tbl_task5[[คะแนนเต็ม]:[คะแนนเต็ม]])*tbl_task5[[%]:[%]])</f>
        <v/>
      </c>
      <c r="KG5" s="121" t="str">
        <f>IF(ISBLANK(tbl_task5[[คะแนนเต็ม]:[คะแนนเต็ม]]),"",(tbl_task5[123]/tbl_task5[[คะแนนเต็ม]:[คะแนนเต็ม]])*tbl_task5[[%]:[%]])</f>
        <v/>
      </c>
      <c r="KH5" s="121" t="str">
        <f>IF(ISBLANK(tbl_task5[[คะแนนเต็ม]:[คะแนนเต็ม]]),"",(tbl_task5[124]/tbl_task5[[คะแนนเต็ม]:[คะแนนเต็ม]])*tbl_task5[[%]:[%]])</f>
        <v/>
      </c>
      <c r="KI5" s="121" t="str">
        <f>IF(ISBLANK(tbl_task5[[คะแนนเต็ม]:[คะแนนเต็ม]]),"",(tbl_task5[125]/tbl_task5[[คะแนนเต็ม]:[คะแนนเต็ม]])*tbl_task5[[%]:[%]])</f>
        <v/>
      </c>
      <c r="KJ5" s="121" t="str">
        <f>IF(ISBLANK(tbl_task5[[คะแนนเต็ม]:[คะแนนเต็ม]]),"",(tbl_task5[126]/tbl_task5[[คะแนนเต็ม]:[คะแนนเต็ม]])*tbl_task5[[%]:[%]])</f>
        <v/>
      </c>
      <c r="KK5" s="121" t="str">
        <f>IF(ISBLANK(tbl_task5[[คะแนนเต็ม]:[คะแนนเต็ม]]),"",(tbl_task5[127]/tbl_task5[[คะแนนเต็ม]:[คะแนนเต็ม]])*tbl_task5[[%]:[%]])</f>
        <v/>
      </c>
      <c r="KL5" s="121" t="str">
        <f>IF(ISBLANK(tbl_task5[[คะแนนเต็ม]:[คะแนนเต็ม]]),"",(tbl_task5[128]/tbl_task5[[คะแนนเต็ม]:[คะแนนเต็ม]])*tbl_task5[[%]:[%]])</f>
        <v/>
      </c>
      <c r="KM5" s="121" t="str">
        <f>IF(ISBLANK(tbl_task5[[คะแนนเต็ม]:[คะแนนเต็ม]]),"",(tbl_task5[129]/tbl_task5[[คะแนนเต็ม]:[คะแนนเต็ม]])*tbl_task5[[%]:[%]])</f>
        <v/>
      </c>
      <c r="KN5" s="121" t="str">
        <f>IF(ISBLANK(tbl_task5[[คะแนนเต็ม]:[คะแนนเต็ม]]),"",(tbl_task5[130]/tbl_task5[[คะแนนเต็ม]:[คะแนนเต็ม]])*tbl_task5[[%]:[%]])</f>
        <v/>
      </c>
      <c r="KO5" s="121" t="str">
        <f>IF(ISBLANK(tbl_task5[[คะแนนเต็ม]:[คะแนนเต็ม]]),"",(tbl_task5[131]/tbl_task5[[คะแนนเต็ม]:[คะแนนเต็ม]])*tbl_task5[[%]:[%]])</f>
        <v/>
      </c>
      <c r="KP5" s="121" t="str">
        <f>IF(ISBLANK(tbl_task5[[คะแนนเต็ม]:[คะแนนเต็ม]]),"",(tbl_task5[132]/tbl_task5[[คะแนนเต็ม]:[คะแนนเต็ม]])*tbl_task5[[%]:[%]])</f>
        <v/>
      </c>
      <c r="KQ5" s="121" t="str">
        <f>IF(ISBLANK(tbl_task5[[คะแนนเต็ม]:[คะแนนเต็ม]]),"",(tbl_task5[133]/tbl_task5[[คะแนนเต็ม]:[คะแนนเต็ม]])*tbl_task5[[%]:[%]])</f>
        <v/>
      </c>
      <c r="KR5" s="121" t="str">
        <f>IF(ISBLANK(tbl_task5[[คะแนนเต็ม]:[คะแนนเต็ม]]),"",(tbl_task5[134]/tbl_task5[[คะแนนเต็ม]:[คะแนนเต็ม]])*tbl_task5[[%]:[%]])</f>
        <v/>
      </c>
      <c r="KS5" s="121" t="str">
        <f>IF(ISBLANK(tbl_task5[[คะแนนเต็ม]:[คะแนนเต็ม]]),"",(tbl_task5[135]/tbl_task5[[คะแนนเต็ม]:[คะแนนเต็ม]])*tbl_task5[[%]:[%]])</f>
        <v/>
      </c>
      <c r="KT5" s="121" t="str">
        <f>IF(ISBLANK(tbl_task5[[คะแนนเต็ม]:[คะแนนเต็ม]]),"",(tbl_task5[136]/tbl_task5[[คะแนนเต็ม]:[คะแนนเต็ม]])*tbl_task5[[%]:[%]])</f>
        <v/>
      </c>
      <c r="KU5" s="121" t="str">
        <f>IF(ISBLANK(tbl_task5[[คะแนนเต็ม]:[คะแนนเต็ม]]),"",(tbl_task5[137]/tbl_task5[[คะแนนเต็ม]:[คะแนนเต็ม]])*tbl_task5[[%]:[%]])</f>
        <v/>
      </c>
      <c r="KV5" s="121" t="str">
        <f>IF(ISBLANK(tbl_task5[[คะแนนเต็ม]:[คะแนนเต็ม]]),"",(tbl_task5[138]/tbl_task5[[คะแนนเต็ม]:[คะแนนเต็ม]])*tbl_task5[[%]:[%]])</f>
        <v/>
      </c>
      <c r="KW5" s="121" t="str">
        <f>IF(ISBLANK(tbl_task5[[คะแนนเต็ม]:[คะแนนเต็ม]]),"",(tbl_task5[139]/tbl_task5[[คะแนนเต็ม]:[คะแนนเต็ม]])*tbl_task5[[%]:[%]])</f>
        <v/>
      </c>
      <c r="KX5" s="121" t="str">
        <f>IF(ISBLANK(tbl_task5[[คะแนนเต็ม]:[คะแนนเต็ม]]),"",(tbl_task5[140]/tbl_task5[[คะแนนเต็ม]:[คะแนนเต็ม]])*tbl_task5[[%]:[%]])</f>
        <v/>
      </c>
      <c r="KY5" s="121" t="str">
        <f>IF(ISBLANK(tbl_task5[[คะแนนเต็ม]:[คะแนนเต็ม]]),"",(tbl_task5[141]/tbl_task5[[คะแนนเต็ม]:[คะแนนเต็ม]])*tbl_task5[[%]:[%]])</f>
        <v/>
      </c>
      <c r="KZ5" s="121" t="str">
        <f>IF(ISBLANK(tbl_task5[[คะแนนเต็ม]:[คะแนนเต็ม]]),"",(tbl_task5[142]/tbl_task5[[คะแนนเต็ม]:[คะแนนเต็ม]])*tbl_task5[[%]:[%]])</f>
        <v/>
      </c>
      <c r="LA5" s="121" t="str">
        <f>IF(ISBLANK(tbl_task5[[คะแนนเต็ม]:[คะแนนเต็ม]]),"",(tbl_task5[143]/tbl_task5[[คะแนนเต็ม]:[คะแนนเต็ม]])*tbl_task5[[%]:[%]])</f>
        <v/>
      </c>
      <c r="LB5" s="121" t="str">
        <f>IF(ISBLANK(tbl_task5[[คะแนนเต็ม]:[คะแนนเต็ม]]),"",(tbl_task5[144]/tbl_task5[[คะแนนเต็ม]:[คะแนนเต็ม]])*tbl_task5[[%]:[%]])</f>
        <v/>
      </c>
      <c r="LC5" s="121" t="str">
        <f>IF(ISBLANK(tbl_task5[[คะแนนเต็ม]:[คะแนนเต็ม]]),"",(tbl_task5[145]/tbl_task5[[คะแนนเต็ม]:[คะแนนเต็ม]])*tbl_task5[[%]:[%]])</f>
        <v/>
      </c>
      <c r="LD5" s="121" t="str">
        <f>IF(ISBLANK(tbl_task5[[คะแนนเต็ม]:[คะแนนเต็ม]]),"",(tbl_task5[146]/tbl_task5[[คะแนนเต็ม]:[คะแนนเต็ม]])*tbl_task5[[%]:[%]])</f>
        <v/>
      </c>
      <c r="LE5" s="121" t="str">
        <f>IF(ISBLANK(tbl_task5[[คะแนนเต็ม]:[คะแนนเต็ม]]),"",(tbl_task5[147]/tbl_task5[[คะแนนเต็ม]:[คะแนนเต็ม]])*tbl_task5[[%]:[%]])</f>
        <v/>
      </c>
      <c r="LF5" s="121" t="str">
        <f>IF(ISBLANK(tbl_task5[[คะแนนเต็ม]:[คะแนนเต็ม]]),"",(tbl_task5[148]/tbl_task5[[คะแนนเต็ม]:[คะแนนเต็ม]])*tbl_task5[[%]:[%]])</f>
        <v/>
      </c>
      <c r="LG5" s="121" t="str">
        <f>IF(ISBLANK(tbl_task5[[คะแนนเต็ม]:[คะแนนเต็ม]]),"",(tbl_task5[149]/tbl_task5[[คะแนนเต็ม]:[คะแนนเต็ม]])*tbl_task5[[%]:[%]])</f>
        <v/>
      </c>
      <c r="LH5" s="121" t="str">
        <f>IF(ISBLANK(tbl_task5[[คะแนนเต็ม]:[คะแนนเต็ม]]),"",(tbl_task5[150]/tbl_task5[[คะแนนเต็ม]:[คะแนนเต็ม]])*tbl_task5[[%]:[%]])</f>
        <v/>
      </c>
      <c r="LI5" s="121" t="str">
        <f>IF(ISBLANK(tbl_task5[[คะแนนเต็ม]:[คะแนนเต็ม]]),"",(tbl_task5[151]/tbl_task5[[คะแนนเต็ม]:[คะแนนเต็ม]])*tbl_task5[[%]:[%]])</f>
        <v/>
      </c>
      <c r="LJ5" s="121" t="str">
        <f>IF(ISBLANK(tbl_task5[[คะแนนเต็ม]:[คะแนนเต็ม]]),"",(tbl_task5[152]/tbl_task5[[คะแนนเต็ม]:[คะแนนเต็ม]])*tbl_task5[[%]:[%]])</f>
        <v/>
      </c>
      <c r="LK5" s="121" t="str">
        <f>IF(ISBLANK(tbl_task5[[คะแนนเต็ม]:[คะแนนเต็ม]]),"",(tbl_task5[153]/tbl_task5[[คะแนนเต็ม]:[คะแนนเต็ม]])*tbl_task5[[%]:[%]])</f>
        <v/>
      </c>
      <c r="LL5" s="121" t="str">
        <f>IF(ISBLANK(tbl_task5[[คะแนนเต็ม]:[คะแนนเต็ม]]),"",(tbl_task5[154]/tbl_task5[[คะแนนเต็ม]:[คะแนนเต็ม]])*tbl_task5[[%]:[%]])</f>
        <v/>
      </c>
      <c r="LM5" s="121" t="str">
        <f>IF(ISBLANK(tbl_task5[[คะแนนเต็ม]:[คะแนนเต็ม]]),"",(tbl_task5[155]/tbl_task5[[คะแนนเต็ม]:[คะแนนเต็ม]])*tbl_task5[[%]:[%]])</f>
        <v/>
      </c>
      <c r="LN5" s="121" t="str">
        <f>IF(ISBLANK(tbl_task5[[คะแนนเต็ม]:[คะแนนเต็ม]]),"",(tbl_task5[156]/tbl_task5[[คะแนนเต็ม]:[คะแนนเต็ม]])*tbl_task5[[%]:[%]])</f>
        <v/>
      </c>
      <c r="LO5" s="121" t="str">
        <f>IF(ISBLANK(tbl_task5[[คะแนนเต็ม]:[คะแนนเต็ม]]),"",(tbl_task5[157]/tbl_task5[[คะแนนเต็ม]:[คะแนนเต็ม]])*tbl_task5[[%]:[%]])</f>
        <v/>
      </c>
      <c r="LP5" s="121" t="str">
        <f>IF(ISBLANK(tbl_task5[[คะแนนเต็ม]:[คะแนนเต็ม]]),"",(tbl_task5[158]/tbl_task5[[คะแนนเต็ม]:[คะแนนเต็ม]])*tbl_task5[[%]:[%]])</f>
        <v/>
      </c>
      <c r="LQ5" s="121" t="str">
        <f>IF(ISBLANK(tbl_task5[[คะแนนเต็ม]:[คะแนนเต็ม]]),"",(tbl_task5[159]/tbl_task5[[คะแนนเต็ม]:[คะแนนเต็ม]])*tbl_task5[[%]:[%]])</f>
        <v/>
      </c>
      <c r="LR5" s="121" t="str">
        <f>IF(ISBLANK(tbl_task5[[คะแนนเต็ม]:[คะแนนเต็ม]]),"",(tbl_task5[160]/tbl_task5[[คะแนนเต็ม]:[คะแนนเต็ม]])*tbl_task5[[%]:[%]])</f>
        <v/>
      </c>
      <c r="LS5" s="121" t="str">
        <f>IF(ISBLANK(tbl_task5[[คะแนนเต็ม]:[คะแนนเต็ม]]),"",(tbl_task5[161]/tbl_task5[[คะแนนเต็ม]:[คะแนนเต็ม]])*tbl_task5[[%]:[%]])</f>
        <v/>
      </c>
      <c r="LT5" s="121" t="str">
        <f>IF(ISBLANK(tbl_task5[[คะแนนเต็ม]:[คะแนนเต็ม]]),"",(tbl_task5[162]/tbl_task5[[คะแนนเต็ม]:[คะแนนเต็ม]])*tbl_task5[[%]:[%]])</f>
        <v/>
      </c>
      <c r="LU5" s="121" t="str">
        <f>IF(ISBLANK(tbl_task5[[คะแนนเต็ม]:[คะแนนเต็ม]]),"",(tbl_task5[163]/tbl_task5[[คะแนนเต็ม]:[คะแนนเต็ม]])*tbl_task5[[%]:[%]])</f>
        <v/>
      </c>
      <c r="LV5" s="121" t="str">
        <f>IF(ISBLANK(tbl_task5[[คะแนนเต็ม]:[คะแนนเต็ม]]),"",(tbl_task5[164]/tbl_task5[[คะแนนเต็ม]:[คะแนนเต็ม]])*tbl_task5[[%]:[%]])</f>
        <v/>
      </c>
      <c r="LW5" s="121" t="str">
        <f>IF(ISBLANK(tbl_task5[[คะแนนเต็ม]:[คะแนนเต็ม]]),"",(tbl_task5[165]/tbl_task5[[คะแนนเต็ม]:[คะแนนเต็ม]])*tbl_task5[[%]:[%]])</f>
        <v/>
      </c>
    </row>
    <row r="6" spans="1:335" ht="24.75" customHeight="1" x14ac:dyDescent="0.25">
      <c r="A6" s="24">
        <v>3</v>
      </c>
      <c r="B6" s="20"/>
      <c r="C6" s="5" t="str">
        <f>IF(ISBLANK(B6),"",VLOOKUP(B6,tbl_PLOs[],2,0))</f>
        <v/>
      </c>
      <c r="D6" s="102"/>
      <c r="E6" s="10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22"/>
      <c r="FO6" s="121" t="str">
        <f>IF(ISBLANK(tbl_task5[[คะแนนเต็ม]:[คะแนนเต็ม]]),"",(tbl_task5[1]/tbl_task5[[คะแนนเต็ม]:[คะแนนเต็ม]])*tbl_task5[[%]:[%]])</f>
        <v/>
      </c>
      <c r="FP6" s="121" t="str">
        <f>IF(ISBLANK(tbl_task5[[คะแนนเต็ม]:[คะแนนเต็ม]]),"",(tbl_task5[2]/tbl_task5[[คะแนนเต็ม]:[คะแนนเต็ม]])*tbl_task5[[%]:[%]])</f>
        <v/>
      </c>
      <c r="FQ6" s="121" t="str">
        <f>IF(ISBLANK(tbl_task5[[คะแนนเต็ม]:[คะแนนเต็ม]]),"",(tbl_task5[3]/tbl_task5[[คะแนนเต็ม]:[คะแนนเต็ม]])*tbl_task5[[%]:[%]])</f>
        <v/>
      </c>
      <c r="FR6" s="121" t="str">
        <f>IF(ISBLANK(tbl_task5[[คะแนนเต็ม]:[คะแนนเต็ม]]),"",(tbl_task5[4]/tbl_task5[[คะแนนเต็ม]:[คะแนนเต็ม]])*tbl_task5[[%]:[%]])</f>
        <v/>
      </c>
      <c r="FS6" s="121" t="str">
        <f>IF(ISBLANK(tbl_task5[[คะแนนเต็ม]:[คะแนนเต็ม]]),"",(tbl_task5[5]/tbl_task5[[คะแนนเต็ม]:[คะแนนเต็ม]])*tbl_task5[[%]:[%]])</f>
        <v/>
      </c>
      <c r="FT6" s="121" t="str">
        <f>IF(ISBLANK(tbl_task5[[คะแนนเต็ม]:[คะแนนเต็ม]]),"",(tbl_task5[6]/tbl_task5[[คะแนนเต็ม]:[คะแนนเต็ม]])*tbl_task5[[%]:[%]])</f>
        <v/>
      </c>
      <c r="FU6" s="121" t="str">
        <f>IF(ISBLANK(tbl_task5[[คะแนนเต็ม]:[คะแนนเต็ม]]),"",(tbl_task5[7]/tbl_task5[[คะแนนเต็ม]:[คะแนนเต็ม]])*tbl_task5[[%]:[%]])</f>
        <v/>
      </c>
      <c r="FV6" s="121" t="str">
        <f>IF(ISBLANK(tbl_task5[[คะแนนเต็ม]:[คะแนนเต็ม]]),"",(tbl_task5[8]/tbl_task5[[คะแนนเต็ม]:[คะแนนเต็ม]])*tbl_task5[[%]:[%]])</f>
        <v/>
      </c>
      <c r="FW6" s="121" t="str">
        <f>IF(ISBLANK(tbl_task5[[คะแนนเต็ม]:[คะแนนเต็ม]]),"",(tbl_task5[9]/tbl_task5[[คะแนนเต็ม]:[คะแนนเต็ม]])*tbl_task5[[%]:[%]])</f>
        <v/>
      </c>
      <c r="FX6" s="121" t="str">
        <f>IF(ISBLANK(tbl_task5[[คะแนนเต็ม]:[คะแนนเต็ม]]),"",(tbl_task5[10]/tbl_task5[[คะแนนเต็ม]:[คะแนนเต็ม]])*tbl_task5[[%]:[%]])</f>
        <v/>
      </c>
      <c r="FY6" s="121" t="str">
        <f>IF(ISBLANK(tbl_task5[[คะแนนเต็ม]:[คะแนนเต็ม]]),"",(tbl_task5[11]/tbl_task5[[คะแนนเต็ม]:[คะแนนเต็ม]])*tbl_task5[[%]:[%]])</f>
        <v/>
      </c>
      <c r="FZ6" s="121" t="str">
        <f>IF(ISBLANK(tbl_task5[[คะแนนเต็ม]:[คะแนนเต็ม]]),"",(tbl_task5[12]/tbl_task5[[คะแนนเต็ม]:[คะแนนเต็ม]])*tbl_task5[[%]:[%]])</f>
        <v/>
      </c>
      <c r="GA6" s="121" t="str">
        <f>IF(ISBLANK(tbl_task5[[คะแนนเต็ม]:[คะแนนเต็ม]]),"",(tbl_task5[13]/tbl_task5[[คะแนนเต็ม]:[คะแนนเต็ม]])*tbl_task5[[%]:[%]])</f>
        <v/>
      </c>
      <c r="GB6" s="121" t="str">
        <f>IF(ISBLANK(tbl_task5[[คะแนนเต็ม]:[คะแนนเต็ม]]),"",(tbl_task5[14]/tbl_task5[[คะแนนเต็ม]:[คะแนนเต็ม]])*tbl_task5[[%]:[%]])</f>
        <v/>
      </c>
      <c r="GC6" s="121" t="str">
        <f>IF(ISBLANK(tbl_task5[[คะแนนเต็ม]:[คะแนนเต็ม]]),"",(tbl_task5[15]/tbl_task5[[คะแนนเต็ม]:[คะแนนเต็ม]])*tbl_task5[[%]:[%]])</f>
        <v/>
      </c>
      <c r="GD6" s="121" t="str">
        <f>IF(ISBLANK(tbl_task5[[คะแนนเต็ม]:[คะแนนเต็ม]]),"",(tbl_task5[16]/tbl_task5[[คะแนนเต็ม]:[คะแนนเต็ม]])*tbl_task5[[%]:[%]])</f>
        <v/>
      </c>
      <c r="GE6" s="121" t="str">
        <f>IF(ISBLANK(tbl_task5[[คะแนนเต็ม]:[คะแนนเต็ม]]),"",(tbl_task5[17]/tbl_task5[[คะแนนเต็ม]:[คะแนนเต็ม]])*tbl_task5[[%]:[%]])</f>
        <v/>
      </c>
      <c r="GF6" s="121" t="str">
        <f>IF(ISBLANK(tbl_task5[[คะแนนเต็ม]:[คะแนนเต็ม]]),"",(tbl_task5[18]/tbl_task5[[คะแนนเต็ม]:[คะแนนเต็ม]])*tbl_task5[[%]:[%]])</f>
        <v/>
      </c>
      <c r="GG6" s="121" t="str">
        <f>IF(ISBLANK(tbl_task5[[คะแนนเต็ม]:[คะแนนเต็ม]]),"",(tbl_task5[19]/tbl_task5[[คะแนนเต็ม]:[คะแนนเต็ม]])*tbl_task5[[%]:[%]])</f>
        <v/>
      </c>
      <c r="GH6" s="121" t="str">
        <f>IF(ISBLANK(tbl_task5[[คะแนนเต็ม]:[คะแนนเต็ม]]),"",(tbl_task5[20]/tbl_task5[[คะแนนเต็ม]:[คะแนนเต็ม]])*tbl_task5[[%]:[%]])</f>
        <v/>
      </c>
      <c r="GI6" s="121" t="str">
        <f>IF(ISBLANK(tbl_task5[[คะแนนเต็ม]:[คะแนนเต็ม]]),"",(tbl_task5[21]/tbl_task5[[คะแนนเต็ม]:[คะแนนเต็ม]])*tbl_task5[[%]:[%]])</f>
        <v/>
      </c>
      <c r="GJ6" s="121" t="str">
        <f>IF(ISBLANK(tbl_task5[[คะแนนเต็ม]:[คะแนนเต็ม]]),"",(tbl_task5[22]/tbl_task5[[คะแนนเต็ม]:[คะแนนเต็ม]])*tbl_task5[[%]:[%]])</f>
        <v/>
      </c>
      <c r="GK6" s="121" t="str">
        <f>IF(ISBLANK(tbl_task5[[คะแนนเต็ม]:[คะแนนเต็ม]]),"",(tbl_task5[23]/tbl_task5[[คะแนนเต็ม]:[คะแนนเต็ม]])*tbl_task5[[%]:[%]])</f>
        <v/>
      </c>
      <c r="GL6" s="121" t="str">
        <f>IF(ISBLANK(tbl_task5[[คะแนนเต็ม]:[คะแนนเต็ม]]),"",(tbl_task5[24]/tbl_task5[[คะแนนเต็ม]:[คะแนนเต็ม]])*tbl_task5[[%]:[%]])</f>
        <v/>
      </c>
      <c r="GM6" s="121" t="str">
        <f>IF(ISBLANK(tbl_task5[[คะแนนเต็ม]:[คะแนนเต็ม]]),"",(tbl_task5[25]/tbl_task5[[คะแนนเต็ม]:[คะแนนเต็ม]])*tbl_task5[[%]:[%]])</f>
        <v/>
      </c>
      <c r="GN6" s="121" t="str">
        <f>IF(ISBLANK(tbl_task5[[คะแนนเต็ม]:[คะแนนเต็ม]]),"",(tbl_task5[26]/tbl_task5[[คะแนนเต็ม]:[คะแนนเต็ม]])*tbl_task5[[%]:[%]])</f>
        <v/>
      </c>
      <c r="GO6" s="121" t="str">
        <f>IF(ISBLANK(tbl_task5[[คะแนนเต็ม]:[คะแนนเต็ม]]),"",(tbl_task5[27]/tbl_task5[[คะแนนเต็ม]:[คะแนนเต็ม]])*tbl_task5[[%]:[%]])</f>
        <v/>
      </c>
      <c r="GP6" s="121" t="str">
        <f>IF(ISBLANK(tbl_task5[[คะแนนเต็ม]:[คะแนนเต็ม]]),"",(tbl_task5[28]/tbl_task5[[คะแนนเต็ม]:[คะแนนเต็ม]])*tbl_task5[[%]:[%]])</f>
        <v/>
      </c>
      <c r="GQ6" s="121" t="str">
        <f>IF(ISBLANK(tbl_task5[[คะแนนเต็ม]:[คะแนนเต็ม]]),"",(tbl_task5[29]/tbl_task5[[คะแนนเต็ม]:[คะแนนเต็ม]])*tbl_task5[[%]:[%]])</f>
        <v/>
      </c>
      <c r="GR6" s="121" t="str">
        <f>IF(ISBLANK(tbl_task5[[คะแนนเต็ม]:[คะแนนเต็ม]]),"",(tbl_task5[30]/tbl_task5[[คะแนนเต็ม]:[คะแนนเต็ม]])*tbl_task5[[%]:[%]])</f>
        <v/>
      </c>
      <c r="GS6" s="121" t="str">
        <f>IF(ISBLANK(tbl_task5[[คะแนนเต็ม]:[คะแนนเต็ม]]),"",(tbl_task5[31]/tbl_task5[[คะแนนเต็ม]:[คะแนนเต็ม]])*tbl_task5[[%]:[%]])</f>
        <v/>
      </c>
      <c r="GT6" s="121" t="str">
        <f>IF(ISBLANK(tbl_task5[[คะแนนเต็ม]:[คะแนนเต็ม]]),"",(tbl_task5[32]/tbl_task5[[คะแนนเต็ม]:[คะแนนเต็ม]])*tbl_task5[[%]:[%]])</f>
        <v/>
      </c>
      <c r="GU6" s="121" t="str">
        <f>IF(ISBLANK(tbl_task5[[คะแนนเต็ม]:[คะแนนเต็ม]]),"",(tbl_task5[33]/tbl_task5[[คะแนนเต็ม]:[คะแนนเต็ม]])*tbl_task5[[%]:[%]])</f>
        <v/>
      </c>
      <c r="GV6" s="121" t="str">
        <f>IF(ISBLANK(tbl_task5[[คะแนนเต็ม]:[คะแนนเต็ม]]),"",(tbl_task5[34]/tbl_task5[[คะแนนเต็ม]:[คะแนนเต็ม]])*tbl_task5[[%]:[%]])</f>
        <v/>
      </c>
      <c r="GW6" s="121" t="str">
        <f>IF(ISBLANK(tbl_task5[[คะแนนเต็ม]:[คะแนนเต็ม]]),"",(tbl_task5[35]/tbl_task5[[คะแนนเต็ม]:[คะแนนเต็ม]])*tbl_task5[[%]:[%]])</f>
        <v/>
      </c>
      <c r="GX6" s="121" t="str">
        <f>IF(ISBLANK(tbl_task5[[คะแนนเต็ม]:[คะแนนเต็ม]]),"",(tbl_task5[36]/tbl_task5[[คะแนนเต็ม]:[คะแนนเต็ม]])*tbl_task5[[%]:[%]])</f>
        <v/>
      </c>
      <c r="GY6" s="121" t="str">
        <f>IF(ISBLANK(tbl_task5[[คะแนนเต็ม]:[คะแนนเต็ม]]),"",(tbl_task5[37]/tbl_task5[[คะแนนเต็ม]:[คะแนนเต็ม]])*tbl_task5[[%]:[%]])</f>
        <v/>
      </c>
      <c r="GZ6" s="121" t="str">
        <f>IF(ISBLANK(tbl_task5[[คะแนนเต็ม]:[คะแนนเต็ม]]),"",(tbl_task5[38]/tbl_task5[[คะแนนเต็ม]:[คะแนนเต็ม]])*tbl_task5[[%]:[%]])</f>
        <v/>
      </c>
      <c r="HA6" s="121" t="str">
        <f>IF(ISBLANK(tbl_task5[[คะแนนเต็ม]:[คะแนนเต็ม]]),"",(tbl_task5[39]/tbl_task5[[คะแนนเต็ม]:[คะแนนเต็ม]])*tbl_task5[[%]:[%]])</f>
        <v/>
      </c>
      <c r="HB6" s="121" t="str">
        <f>IF(ISBLANK(tbl_task5[[คะแนนเต็ม]:[คะแนนเต็ม]]),"",(tbl_task5[40]/tbl_task5[[คะแนนเต็ม]:[คะแนนเต็ม]])*tbl_task5[[%]:[%]])</f>
        <v/>
      </c>
      <c r="HC6" s="121" t="str">
        <f>IF(ISBLANK(tbl_task5[[คะแนนเต็ม]:[คะแนนเต็ม]]),"",(tbl_task5[41]/tbl_task5[[คะแนนเต็ม]:[คะแนนเต็ม]])*tbl_task5[[%]:[%]])</f>
        <v/>
      </c>
      <c r="HD6" s="121" t="str">
        <f>IF(ISBLANK(tbl_task5[[คะแนนเต็ม]:[คะแนนเต็ม]]),"",(tbl_task5[42]/tbl_task5[[คะแนนเต็ม]:[คะแนนเต็ม]])*tbl_task5[[%]:[%]])</f>
        <v/>
      </c>
      <c r="HE6" s="121" t="str">
        <f>IF(ISBLANK(tbl_task5[[คะแนนเต็ม]:[คะแนนเต็ม]]),"",(tbl_task5[43]/tbl_task5[[คะแนนเต็ม]:[คะแนนเต็ม]])*tbl_task5[[%]:[%]])</f>
        <v/>
      </c>
      <c r="HF6" s="121" t="str">
        <f>IF(ISBLANK(tbl_task5[[คะแนนเต็ม]:[คะแนนเต็ม]]),"",(tbl_task5[44]/tbl_task5[[คะแนนเต็ม]:[คะแนนเต็ม]])*tbl_task5[[%]:[%]])</f>
        <v/>
      </c>
      <c r="HG6" s="121" t="str">
        <f>IF(ISBLANK(tbl_task5[[คะแนนเต็ม]:[คะแนนเต็ม]]),"",(tbl_task5[45]/tbl_task5[[คะแนนเต็ม]:[คะแนนเต็ม]])*tbl_task5[[%]:[%]])</f>
        <v/>
      </c>
      <c r="HH6" s="121" t="str">
        <f>IF(ISBLANK(tbl_task5[[คะแนนเต็ม]:[คะแนนเต็ม]]),"",(tbl_task5[46]/tbl_task5[[คะแนนเต็ม]:[คะแนนเต็ม]])*tbl_task5[[%]:[%]])</f>
        <v/>
      </c>
      <c r="HI6" s="121" t="str">
        <f>IF(ISBLANK(tbl_task5[[คะแนนเต็ม]:[คะแนนเต็ม]]),"",(tbl_task5[47]/tbl_task5[[คะแนนเต็ม]:[คะแนนเต็ม]])*tbl_task5[[%]:[%]])</f>
        <v/>
      </c>
      <c r="HJ6" s="121" t="str">
        <f>IF(ISBLANK(tbl_task5[[คะแนนเต็ม]:[คะแนนเต็ม]]),"",(tbl_task5[48]/tbl_task5[[คะแนนเต็ม]:[คะแนนเต็ม]])*tbl_task5[[%]:[%]])</f>
        <v/>
      </c>
      <c r="HK6" s="121" t="str">
        <f>IF(ISBLANK(tbl_task5[[คะแนนเต็ม]:[คะแนนเต็ม]]),"",(tbl_task5[49]/tbl_task5[[คะแนนเต็ม]:[คะแนนเต็ม]])*tbl_task5[[%]:[%]])</f>
        <v/>
      </c>
      <c r="HL6" s="121" t="str">
        <f>IF(ISBLANK(tbl_task5[[คะแนนเต็ม]:[คะแนนเต็ม]]),"",(tbl_task5[50]/tbl_task5[[คะแนนเต็ม]:[คะแนนเต็ม]])*tbl_task5[[%]:[%]])</f>
        <v/>
      </c>
      <c r="HM6" s="121" t="str">
        <f>IF(ISBLANK(tbl_task5[[คะแนนเต็ม]:[คะแนนเต็ม]]),"",(tbl_task5[51]/tbl_task5[[คะแนนเต็ม]:[คะแนนเต็ม]])*tbl_task5[[%]:[%]])</f>
        <v/>
      </c>
      <c r="HN6" s="121" t="str">
        <f>IF(ISBLANK(tbl_task5[[คะแนนเต็ม]:[คะแนนเต็ม]]),"",(tbl_task5[52]/tbl_task5[[คะแนนเต็ม]:[คะแนนเต็ม]])*tbl_task5[[%]:[%]])</f>
        <v/>
      </c>
      <c r="HO6" s="121" t="str">
        <f>IF(ISBLANK(tbl_task5[[คะแนนเต็ม]:[คะแนนเต็ม]]),"",(tbl_task5[53]/tbl_task5[[คะแนนเต็ม]:[คะแนนเต็ม]])*tbl_task5[[%]:[%]])</f>
        <v/>
      </c>
      <c r="HP6" s="121" t="str">
        <f>IF(ISBLANK(tbl_task5[[คะแนนเต็ม]:[คะแนนเต็ม]]),"",(tbl_task5[54]/tbl_task5[[คะแนนเต็ม]:[คะแนนเต็ม]])*tbl_task5[[%]:[%]])</f>
        <v/>
      </c>
      <c r="HQ6" s="121" t="str">
        <f>IF(ISBLANK(tbl_task5[[คะแนนเต็ม]:[คะแนนเต็ม]]),"",(tbl_task5[55]/tbl_task5[[คะแนนเต็ม]:[คะแนนเต็ม]])*tbl_task5[[%]:[%]])</f>
        <v/>
      </c>
      <c r="HR6" s="121" t="str">
        <f>IF(ISBLANK(tbl_task5[[คะแนนเต็ม]:[คะแนนเต็ม]]),"",(tbl_task5[56]/tbl_task5[[คะแนนเต็ม]:[คะแนนเต็ม]])*tbl_task5[[%]:[%]])</f>
        <v/>
      </c>
      <c r="HS6" s="121" t="str">
        <f>IF(ISBLANK(tbl_task5[[คะแนนเต็ม]:[คะแนนเต็ม]]),"",(tbl_task5[57]/tbl_task5[[คะแนนเต็ม]:[คะแนนเต็ม]])*tbl_task5[[%]:[%]])</f>
        <v/>
      </c>
      <c r="HT6" s="121" t="str">
        <f>IF(ISBLANK(tbl_task5[[คะแนนเต็ม]:[คะแนนเต็ม]]),"",(tbl_task5[58]/tbl_task5[[คะแนนเต็ม]:[คะแนนเต็ม]])*tbl_task5[[%]:[%]])</f>
        <v/>
      </c>
      <c r="HU6" s="121" t="str">
        <f>IF(ISBLANK(tbl_task5[[คะแนนเต็ม]:[คะแนนเต็ม]]),"",(tbl_task5[59]/tbl_task5[[คะแนนเต็ม]:[คะแนนเต็ม]])*tbl_task5[[%]:[%]])</f>
        <v/>
      </c>
      <c r="HV6" s="121" t="str">
        <f>IF(ISBLANK(tbl_task5[[คะแนนเต็ม]:[คะแนนเต็ม]]),"",(tbl_task5[60]/tbl_task5[[คะแนนเต็ม]:[คะแนนเต็ม]])*tbl_task5[[%]:[%]])</f>
        <v/>
      </c>
      <c r="HW6" s="121" t="str">
        <f>IF(ISBLANK(tbl_task5[[คะแนนเต็ม]:[คะแนนเต็ม]]),"",(tbl_task5[61]/tbl_task5[[คะแนนเต็ม]:[คะแนนเต็ม]])*tbl_task5[[%]:[%]])</f>
        <v/>
      </c>
      <c r="HX6" s="121" t="str">
        <f>IF(ISBLANK(tbl_task5[[คะแนนเต็ม]:[คะแนนเต็ม]]),"",(tbl_task5[62]/tbl_task5[[คะแนนเต็ม]:[คะแนนเต็ม]])*tbl_task5[[%]:[%]])</f>
        <v/>
      </c>
      <c r="HY6" s="121" t="str">
        <f>IF(ISBLANK(tbl_task5[[คะแนนเต็ม]:[คะแนนเต็ม]]),"",(tbl_task5[63]/tbl_task5[[คะแนนเต็ม]:[คะแนนเต็ม]])*tbl_task5[[%]:[%]])</f>
        <v/>
      </c>
      <c r="HZ6" s="121" t="str">
        <f>IF(ISBLANK(tbl_task5[[คะแนนเต็ม]:[คะแนนเต็ม]]),"",(tbl_task5[64]/tbl_task5[[คะแนนเต็ม]:[คะแนนเต็ม]])*tbl_task5[[%]:[%]])</f>
        <v/>
      </c>
      <c r="IA6" s="121" t="str">
        <f>IF(ISBLANK(tbl_task5[[คะแนนเต็ม]:[คะแนนเต็ม]]),"",(tbl_task5[65]/tbl_task5[[คะแนนเต็ม]:[คะแนนเต็ม]])*tbl_task5[[%]:[%]])</f>
        <v/>
      </c>
      <c r="IB6" s="121" t="str">
        <f>IF(ISBLANK(tbl_task5[[คะแนนเต็ม]:[คะแนนเต็ม]]),"",(tbl_task5[66]/tbl_task5[[คะแนนเต็ม]:[คะแนนเต็ม]])*tbl_task5[[%]:[%]])</f>
        <v/>
      </c>
      <c r="IC6" s="121" t="str">
        <f>IF(ISBLANK(tbl_task5[[คะแนนเต็ม]:[คะแนนเต็ม]]),"",(tbl_task5[67]/tbl_task5[[คะแนนเต็ม]:[คะแนนเต็ม]])*tbl_task5[[%]:[%]])</f>
        <v/>
      </c>
      <c r="ID6" s="121" t="str">
        <f>IF(ISBLANK(tbl_task5[[คะแนนเต็ม]:[คะแนนเต็ม]]),"",(tbl_task5[68]/tbl_task5[[คะแนนเต็ม]:[คะแนนเต็ม]])*tbl_task5[[%]:[%]])</f>
        <v/>
      </c>
      <c r="IE6" s="121" t="str">
        <f>IF(ISBLANK(tbl_task5[[คะแนนเต็ม]:[คะแนนเต็ม]]),"",(tbl_task5[69]/tbl_task5[[คะแนนเต็ม]:[คะแนนเต็ม]])*tbl_task5[[%]:[%]])</f>
        <v/>
      </c>
      <c r="IF6" s="121" t="str">
        <f>IF(ISBLANK(tbl_task5[[คะแนนเต็ม]:[คะแนนเต็ม]]),"",(tbl_task5[70]/tbl_task5[[คะแนนเต็ม]:[คะแนนเต็ม]])*tbl_task5[[%]:[%]])</f>
        <v/>
      </c>
      <c r="IG6" s="121" t="str">
        <f>IF(ISBLANK(tbl_task5[[คะแนนเต็ม]:[คะแนนเต็ม]]),"",(tbl_task5[71]/tbl_task5[[คะแนนเต็ม]:[คะแนนเต็ม]])*tbl_task5[[%]:[%]])</f>
        <v/>
      </c>
      <c r="IH6" s="121" t="str">
        <f>IF(ISBLANK(tbl_task5[[คะแนนเต็ม]:[คะแนนเต็ม]]),"",(tbl_task5[72]/tbl_task5[[คะแนนเต็ม]:[คะแนนเต็ม]])*tbl_task5[[%]:[%]])</f>
        <v/>
      </c>
      <c r="II6" s="121" t="str">
        <f>IF(ISBLANK(tbl_task5[[คะแนนเต็ม]:[คะแนนเต็ม]]),"",(tbl_task5[73]/tbl_task5[[คะแนนเต็ม]:[คะแนนเต็ม]])*tbl_task5[[%]:[%]])</f>
        <v/>
      </c>
      <c r="IJ6" s="121" t="str">
        <f>IF(ISBLANK(tbl_task5[[คะแนนเต็ม]:[คะแนนเต็ม]]),"",(tbl_task5[74]/tbl_task5[[คะแนนเต็ม]:[คะแนนเต็ม]])*tbl_task5[[%]:[%]])</f>
        <v/>
      </c>
      <c r="IK6" s="121" t="str">
        <f>IF(ISBLANK(tbl_task5[[คะแนนเต็ม]:[คะแนนเต็ม]]),"",(tbl_task5[75]/tbl_task5[[คะแนนเต็ม]:[คะแนนเต็ม]])*tbl_task5[[%]:[%]])</f>
        <v/>
      </c>
      <c r="IL6" s="121" t="str">
        <f>IF(ISBLANK(tbl_task5[[คะแนนเต็ม]:[คะแนนเต็ม]]),"",(tbl_task5[76]/tbl_task5[[คะแนนเต็ม]:[คะแนนเต็ม]])*tbl_task5[[%]:[%]])</f>
        <v/>
      </c>
      <c r="IM6" s="121" t="str">
        <f>IF(ISBLANK(tbl_task5[[คะแนนเต็ม]:[คะแนนเต็ม]]),"",(tbl_task5[77]/tbl_task5[[คะแนนเต็ม]:[คะแนนเต็ม]])*tbl_task5[[%]:[%]])</f>
        <v/>
      </c>
      <c r="IN6" s="121" t="str">
        <f>IF(ISBLANK(tbl_task5[[คะแนนเต็ม]:[คะแนนเต็ม]]),"",(tbl_task5[78]/tbl_task5[[คะแนนเต็ม]:[คะแนนเต็ม]])*tbl_task5[[%]:[%]])</f>
        <v/>
      </c>
      <c r="IO6" s="121" t="str">
        <f>IF(ISBLANK(tbl_task5[[คะแนนเต็ม]:[คะแนนเต็ม]]),"",(tbl_task5[79]/tbl_task5[[คะแนนเต็ม]:[คะแนนเต็ม]])*tbl_task5[[%]:[%]])</f>
        <v/>
      </c>
      <c r="IP6" s="121" t="str">
        <f>IF(ISBLANK(tbl_task5[[คะแนนเต็ม]:[คะแนนเต็ม]]),"",(tbl_task5[80]/tbl_task5[[คะแนนเต็ม]:[คะแนนเต็ม]])*tbl_task5[[%]:[%]])</f>
        <v/>
      </c>
      <c r="IQ6" s="121" t="str">
        <f>IF(ISBLANK(tbl_task5[[คะแนนเต็ม]:[คะแนนเต็ม]]),"",(tbl_task5[81]/tbl_task5[[คะแนนเต็ม]:[คะแนนเต็ม]])*tbl_task5[[%]:[%]])</f>
        <v/>
      </c>
      <c r="IR6" s="121" t="str">
        <f>IF(ISBLANK(tbl_task5[[คะแนนเต็ม]:[คะแนนเต็ม]]),"",(tbl_task5[82]/tbl_task5[[คะแนนเต็ม]:[คะแนนเต็ม]])*tbl_task5[[%]:[%]])</f>
        <v/>
      </c>
      <c r="IS6" s="121" t="str">
        <f>IF(ISBLANK(tbl_task5[[คะแนนเต็ม]:[คะแนนเต็ม]]),"",(tbl_task5[83]/tbl_task5[[คะแนนเต็ม]:[คะแนนเต็ม]])*tbl_task5[[%]:[%]])</f>
        <v/>
      </c>
      <c r="IT6" s="121" t="str">
        <f>IF(ISBLANK(tbl_task5[[คะแนนเต็ม]:[คะแนนเต็ม]]),"",(tbl_task5[84]/tbl_task5[[คะแนนเต็ม]:[คะแนนเต็ม]])*tbl_task5[[%]:[%]])</f>
        <v/>
      </c>
      <c r="IU6" s="121" t="str">
        <f>IF(ISBLANK(tbl_task5[[คะแนนเต็ม]:[คะแนนเต็ม]]),"",(tbl_task5[85]/tbl_task5[[คะแนนเต็ม]:[คะแนนเต็ม]])*tbl_task5[[%]:[%]])</f>
        <v/>
      </c>
      <c r="IV6" s="121" t="str">
        <f>IF(ISBLANK(tbl_task5[[คะแนนเต็ม]:[คะแนนเต็ม]]),"",(tbl_task5[86]/tbl_task5[[คะแนนเต็ม]:[คะแนนเต็ม]])*tbl_task5[[%]:[%]])</f>
        <v/>
      </c>
      <c r="IW6" s="121" t="str">
        <f>IF(ISBLANK(tbl_task5[[คะแนนเต็ม]:[คะแนนเต็ม]]),"",(tbl_task5[87]/tbl_task5[[คะแนนเต็ม]:[คะแนนเต็ม]])*tbl_task5[[%]:[%]])</f>
        <v/>
      </c>
      <c r="IX6" s="121" t="str">
        <f>IF(ISBLANK(tbl_task5[[คะแนนเต็ม]:[คะแนนเต็ม]]),"",(tbl_task5[88]/tbl_task5[[คะแนนเต็ม]:[คะแนนเต็ม]])*tbl_task5[[%]:[%]])</f>
        <v/>
      </c>
      <c r="IY6" s="121" t="str">
        <f>IF(ISBLANK(tbl_task5[[คะแนนเต็ม]:[คะแนนเต็ม]]),"",(tbl_task5[89]/tbl_task5[[คะแนนเต็ม]:[คะแนนเต็ม]])*tbl_task5[[%]:[%]])</f>
        <v/>
      </c>
      <c r="IZ6" s="121" t="str">
        <f>IF(ISBLANK(tbl_task5[[คะแนนเต็ม]:[คะแนนเต็ม]]),"",(tbl_task5[90]/tbl_task5[[คะแนนเต็ม]:[คะแนนเต็ม]])*tbl_task5[[%]:[%]])</f>
        <v/>
      </c>
      <c r="JA6" s="121" t="str">
        <f>IF(ISBLANK(tbl_task5[[คะแนนเต็ม]:[คะแนนเต็ม]]),"",(tbl_task5[91]/tbl_task5[[คะแนนเต็ม]:[คะแนนเต็ม]])*tbl_task5[[%]:[%]])</f>
        <v/>
      </c>
      <c r="JB6" s="121" t="str">
        <f>IF(ISBLANK(tbl_task5[[คะแนนเต็ม]:[คะแนนเต็ม]]),"",(tbl_task5[92]/tbl_task5[[คะแนนเต็ม]:[คะแนนเต็ม]])*tbl_task5[[%]:[%]])</f>
        <v/>
      </c>
      <c r="JC6" s="121" t="str">
        <f>IF(ISBLANK(tbl_task5[[คะแนนเต็ม]:[คะแนนเต็ม]]),"",(tbl_task5[93]/tbl_task5[[คะแนนเต็ม]:[คะแนนเต็ม]])*tbl_task5[[%]:[%]])</f>
        <v/>
      </c>
      <c r="JD6" s="121" t="str">
        <f>IF(ISBLANK(tbl_task5[[คะแนนเต็ม]:[คะแนนเต็ม]]),"",(tbl_task5[94]/tbl_task5[[คะแนนเต็ม]:[คะแนนเต็ม]])*tbl_task5[[%]:[%]])</f>
        <v/>
      </c>
      <c r="JE6" s="121" t="str">
        <f>IF(ISBLANK(tbl_task5[[คะแนนเต็ม]:[คะแนนเต็ม]]),"",(tbl_task5[95]/tbl_task5[[คะแนนเต็ม]:[คะแนนเต็ม]])*tbl_task5[[%]:[%]])</f>
        <v/>
      </c>
      <c r="JF6" s="121" t="str">
        <f>IF(ISBLANK(tbl_task5[[คะแนนเต็ม]:[คะแนนเต็ม]]),"",(tbl_task5[96]/tbl_task5[[คะแนนเต็ม]:[คะแนนเต็ม]])*tbl_task5[[%]:[%]])</f>
        <v/>
      </c>
      <c r="JG6" s="121" t="str">
        <f>IF(ISBLANK(tbl_task5[[คะแนนเต็ม]:[คะแนนเต็ม]]),"",(tbl_task5[97]/tbl_task5[[คะแนนเต็ม]:[คะแนนเต็ม]])*tbl_task5[[%]:[%]])</f>
        <v/>
      </c>
      <c r="JH6" s="121" t="str">
        <f>IF(ISBLANK(tbl_task5[[คะแนนเต็ม]:[คะแนนเต็ม]]),"",(tbl_task5[98]/tbl_task5[[คะแนนเต็ม]:[คะแนนเต็ม]])*tbl_task5[[%]:[%]])</f>
        <v/>
      </c>
      <c r="JI6" s="121" t="str">
        <f>IF(ISBLANK(tbl_task5[[คะแนนเต็ม]:[คะแนนเต็ม]]),"",(tbl_task5[99]/tbl_task5[[คะแนนเต็ม]:[คะแนนเต็ม]])*tbl_task5[[%]:[%]])</f>
        <v/>
      </c>
      <c r="JJ6" s="121" t="str">
        <f>IF(ISBLANK(tbl_task5[[คะแนนเต็ม]:[คะแนนเต็ม]]),"",(tbl_task5[100]/tbl_task5[[คะแนนเต็ม]:[คะแนนเต็ม]])*tbl_task5[[%]:[%]])</f>
        <v/>
      </c>
      <c r="JK6" s="121" t="str">
        <f>IF(ISBLANK(tbl_task5[[คะแนนเต็ม]:[คะแนนเต็ม]]),"",(tbl_task5[101]/tbl_task5[[คะแนนเต็ม]:[คะแนนเต็ม]])*tbl_task5[[%]:[%]])</f>
        <v/>
      </c>
      <c r="JL6" s="121" t="str">
        <f>IF(ISBLANK(tbl_task5[[คะแนนเต็ม]:[คะแนนเต็ม]]),"",(tbl_task5[102]/tbl_task5[[คะแนนเต็ม]:[คะแนนเต็ม]])*tbl_task5[[%]:[%]])</f>
        <v/>
      </c>
      <c r="JM6" s="121" t="str">
        <f>IF(ISBLANK(tbl_task5[[คะแนนเต็ม]:[คะแนนเต็ม]]),"",(tbl_task5[103]/tbl_task5[[คะแนนเต็ม]:[คะแนนเต็ม]])*tbl_task5[[%]:[%]])</f>
        <v/>
      </c>
      <c r="JN6" s="121" t="str">
        <f>IF(ISBLANK(tbl_task5[[คะแนนเต็ม]:[คะแนนเต็ม]]),"",(tbl_task5[104]/tbl_task5[[คะแนนเต็ม]:[คะแนนเต็ม]])*tbl_task5[[%]:[%]])</f>
        <v/>
      </c>
      <c r="JO6" s="121" t="str">
        <f>IF(ISBLANK(tbl_task5[[คะแนนเต็ม]:[คะแนนเต็ม]]),"",(tbl_task5[105]/tbl_task5[[คะแนนเต็ม]:[คะแนนเต็ม]])*tbl_task5[[%]:[%]])</f>
        <v/>
      </c>
      <c r="JP6" s="121" t="str">
        <f>IF(ISBLANK(tbl_task5[[คะแนนเต็ม]:[คะแนนเต็ม]]),"",(tbl_task5[106]/tbl_task5[[คะแนนเต็ม]:[คะแนนเต็ม]])*tbl_task5[[%]:[%]])</f>
        <v/>
      </c>
      <c r="JQ6" s="121" t="str">
        <f>IF(ISBLANK(tbl_task5[[คะแนนเต็ม]:[คะแนนเต็ม]]),"",(tbl_task5[107]/tbl_task5[[คะแนนเต็ม]:[คะแนนเต็ม]])*tbl_task5[[%]:[%]])</f>
        <v/>
      </c>
      <c r="JR6" s="121" t="str">
        <f>IF(ISBLANK(tbl_task5[[คะแนนเต็ม]:[คะแนนเต็ม]]),"",(tbl_task5[108]/tbl_task5[[คะแนนเต็ม]:[คะแนนเต็ม]])*tbl_task5[[%]:[%]])</f>
        <v/>
      </c>
      <c r="JS6" s="121" t="str">
        <f>IF(ISBLANK(tbl_task5[[คะแนนเต็ม]:[คะแนนเต็ม]]),"",(tbl_task5[109]/tbl_task5[[คะแนนเต็ม]:[คะแนนเต็ม]])*tbl_task5[[%]:[%]])</f>
        <v/>
      </c>
      <c r="JT6" s="121" t="str">
        <f>IF(ISBLANK(tbl_task5[[คะแนนเต็ม]:[คะแนนเต็ม]]),"",(tbl_task5[110]/tbl_task5[[คะแนนเต็ม]:[คะแนนเต็ม]])*tbl_task5[[%]:[%]])</f>
        <v/>
      </c>
      <c r="JU6" s="121" t="str">
        <f>IF(ISBLANK(tbl_task5[[คะแนนเต็ม]:[คะแนนเต็ม]]),"",(tbl_task5[111]/tbl_task5[[คะแนนเต็ม]:[คะแนนเต็ม]])*tbl_task5[[%]:[%]])</f>
        <v/>
      </c>
      <c r="JV6" s="121" t="str">
        <f>IF(ISBLANK(tbl_task5[[คะแนนเต็ม]:[คะแนนเต็ม]]),"",(tbl_task5[112]/tbl_task5[[คะแนนเต็ม]:[คะแนนเต็ม]])*tbl_task5[[%]:[%]])</f>
        <v/>
      </c>
      <c r="JW6" s="121" t="str">
        <f>IF(ISBLANK(tbl_task5[[คะแนนเต็ม]:[คะแนนเต็ม]]),"",(tbl_task5[113]/tbl_task5[[คะแนนเต็ม]:[คะแนนเต็ม]])*tbl_task5[[%]:[%]])</f>
        <v/>
      </c>
      <c r="JX6" s="121" t="str">
        <f>IF(ISBLANK(tbl_task5[[คะแนนเต็ม]:[คะแนนเต็ม]]),"",(tbl_task5[114]/tbl_task5[[คะแนนเต็ม]:[คะแนนเต็ม]])*tbl_task5[[%]:[%]])</f>
        <v/>
      </c>
      <c r="JY6" s="121" t="str">
        <f>IF(ISBLANK(tbl_task5[[คะแนนเต็ม]:[คะแนนเต็ม]]),"",(tbl_task5[115]/tbl_task5[[คะแนนเต็ม]:[คะแนนเต็ม]])*tbl_task5[[%]:[%]])</f>
        <v/>
      </c>
      <c r="JZ6" s="121" t="str">
        <f>IF(ISBLANK(tbl_task5[[คะแนนเต็ม]:[คะแนนเต็ม]]),"",(tbl_task5[116]/tbl_task5[[คะแนนเต็ม]:[คะแนนเต็ม]])*tbl_task5[[%]:[%]])</f>
        <v/>
      </c>
      <c r="KA6" s="121" t="str">
        <f>IF(ISBLANK(tbl_task5[[คะแนนเต็ม]:[คะแนนเต็ม]]),"",(tbl_task5[117]/tbl_task5[[คะแนนเต็ม]:[คะแนนเต็ม]])*tbl_task5[[%]:[%]])</f>
        <v/>
      </c>
      <c r="KB6" s="121" t="str">
        <f>IF(ISBLANK(tbl_task5[[คะแนนเต็ม]:[คะแนนเต็ม]]),"",(tbl_task5[118]/tbl_task5[[คะแนนเต็ม]:[คะแนนเต็ม]])*tbl_task5[[%]:[%]])</f>
        <v/>
      </c>
      <c r="KC6" s="121" t="str">
        <f>IF(ISBLANK(tbl_task5[[คะแนนเต็ม]:[คะแนนเต็ม]]),"",(tbl_task5[119]/tbl_task5[[คะแนนเต็ม]:[คะแนนเต็ม]])*tbl_task5[[%]:[%]])</f>
        <v/>
      </c>
      <c r="KD6" s="121" t="str">
        <f>IF(ISBLANK(tbl_task5[[คะแนนเต็ม]:[คะแนนเต็ม]]),"",(tbl_task5[120]/tbl_task5[[คะแนนเต็ม]:[คะแนนเต็ม]])*tbl_task5[[%]:[%]])</f>
        <v/>
      </c>
      <c r="KE6" s="121" t="str">
        <f>IF(ISBLANK(tbl_task5[[คะแนนเต็ม]:[คะแนนเต็ม]]),"",(tbl_task5[121]/tbl_task5[[คะแนนเต็ม]:[คะแนนเต็ม]])*tbl_task5[[%]:[%]])</f>
        <v/>
      </c>
      <c r="KF6" s="121" t="str">
        <f>IF(ISBLANK(tbl_task5[[คะแนนเต็ม]:[คะแนนเต็ม]]),"",(tbl_task5[122]/tbl_task5[[คะแนนเต็ม]:[คะแนนเต็ม]])*tbl_task5[[%]:[%]])</f>
        <v/>
      </c>
      <c r="KG6" s="121" t="str">
        <f>IF(ISBLANK(tbl_task5[[คะแนนเต็ม]:[คะแนนเต็ม]]),"",(tbl_task5[123]/tbl_task5[[คะแนนเต็ม]:[คะแนนเต็ม]])*tbl_task5[[%]:[%]])</f>
        <v/>
      </c>
      <c r="KH6" s="121" t="str">
        <f>IF(ISBLANK(tbl_task5[[คะแนนเต็ม]:[คะแนนเต็ม]]),"",(tbl_task5[124]/tbl_task5[[คะแนนเต็ม]:[คะแนนเต็ม]])*tbl_task5[[%]:[%]])</f>
        <v/>
      </c>
      <c r="KI6" s="121" t="str">
        <f>IF(ISBLANK(tbl_task5[[คะแนนเต็ม]:[คะแนนเต็ม]]),"",(tbl_task5[125]/tbl_task5[[คะแนนเต็ม]:[คะแนนเต็ม]])*tbl_task5[[%]:[%]])</f>
        <v/>
      </c>
      <c r="KJ6" s="121" t="str">
        <f>IF(ISBLANK(tbl_task5[[คะแนนเต็ม]:[คะแนนเต็ม]]),"",(tbl_task5[126]/tbl_task5[[คะแนนเต็ม]:[คะแนนเต็ม]])*tbl_task5[[%]:[%]])</f>
        <v/>
      </c>
      <c r="KK6" s="121" t="str">
        <f>IF(ISBLANK(tbl_task5[[คะแนนเต็ม]:[คะแนนเต็ม]]),"",(tbl_task5[127]/tbl_task5[[คะแนนเต็ม]:[คะแนนเต็ม]])*tbl_task5[[%]:[%]])</f>
        <v/>
      </c>
      <c r="KL6" s="121" t="str">
        <f>IF(ISBLANK(tbl_task5[[คะแนนเต็ม]:[คะแนนเต็ม]]),"",(tbl_task5[128]/tbl_task5[[คะแนนเต็ม]:[คะแนนเต็ม]])*tbl_task5[[%]:[%]])</f>
        <v/>
      </c>
      <c r="KM6" s="121" t="str">
        <f>IF(ISBLANK(tbl_task5[[คะแนนเต็ม]:[คะแนนเต็ม]]),"",(tbl_task5[129]/tbl_task5[[คะแนนเต็ม]:[คะแนนเต็ม]])*tbl_task5[[%]:[%]])</f>
        <v/>
      </c>
      <c r="KN6" s="121" t="str">
        <f>IF(ISBLANK(tbl_task5[[คะแนนเต็ม]:[คะแนนเต็ม]]),"",(tbl_task5[130]/tbl_task5[[คะแนนเต็ม]:[คะแนนเต็ม]])*tbl_task5[[%]:[%]])</f>
        <v/>
      </c>
      <c r="KO6" s="121" t="str">
        <f>IF(ISBLANK(tbl_task5[[คะแนนเต็ม]:[คะแนนเต็ม]]),"",(tbl_task5[131]/tbl_task5[[คะแนนเต็ม]:[คะแนนเต็ม]])*tbl_task5[[%]:[%]])</f>
        <v/>
      </c>
      <c r="KP6" s="121" t="str">
        <f>IF(ISBLANK(tbl_task5[[คะแนนเต็ม]:[คะแนนเต็ม]]),"",(tbl_task5[132]/tbl_task5[[คะแนนเต็ม]:[คะแนนเต็ม]])*tbl_task5[[%]:[%]])</f>
        <v/>
      </c>
      <c r="KQ6" s="121" t="str">
        <f>IF(ISBLANK(tbl_task5[[คะแนนเต็ม]:[คะแนนเต็ม]]),"",(tbl_task5[133]/tbl_task5[[คะแนนเต็ม]:[คะแนนเต็ม]])*tbl_task5[[%]:[%]])</f>
        <v/>
      </c>
      <c r="KR6" s="121" t="str">
        <f>IF(ISBLANK(tbl_task5[[คะแนนเต็ม]:[คะแนนเต็ม]]),"",(tbl_task5[134]/tbl_task5[[คะแนนเต็ม]:[คะแนนเต็ม]])*tbl_task5[[%]:[%]])</f>
        <v/>
      </c>
      <c r="KS6" s="121" t="str">
        <f>IF(ISBLANK(tbl_task5[[คะแนนเต็ม]:[คะแนนเต็ม]]),"",(tbl_task5[135]/tbl_task5[[คะแนนเต็ม]:[คะแนนเต็ม]])*tbl_task5[[%]:[%]])</f>
        <v/>
      </c>
      <c r="KT6" s="121" t="str">
        <f>IF(ISBLANK(tbl_task5[[คะแนนเต็ม]:[คะแนนเต็ม]]),"",(tbl_task5[136]/tbl_task5[[คะแนนเต็ม]:[คะแนนเต็ม]])*tbl_task5[[%]:[%]])</f>
        <v/>
      </c>
      <c r="KU6" s="121" t="str">
        <f>IF(ISBLANK(tbl_task5[[คะแนนเต็ม]:[คะแนนเต็ม]]),"",(tbl_task5[137]/tbl_task5[[คะแนนเต็ม]:[คะแนนเต็ม]])*tbl_task5[[%]:[%]])</f>
        <v/>
      </c>
      <c r="KV6" s="121" t="str">
        <f>IF(ISBLANK(tbl_task5[[คะแนนเต็ม]:[คะแนนเต็ม]]),"",(tbl_task5[138]/tbl_task5[[คะแนนเต็ม]:[คะแนนเต็ม]])*tbl_task5[[%]:[%]])</f>
        <v/>
      </c>
      <c r="KW6" s="121" t="str">
        <f>IF(ISBLANK(tbl_task5[[คะแนนเต็ม]:[คะแนนเต็ม]]),"",(tbl_task5[139]/tbl_task5[[คะแนนเต็ม]:[คะแนนเต็ม]])*tbl_task5[[%]:[%]])</f>
        <v/>
      </c>
      <c r="KX6" s="121" t="str">
        <f>IF(ISBLANK(tbl_task5[[คะแนนเต็ม]:[คะแนนเต็ม]]),"",(tbl_task5[140]/tbl_task5[[คะแนนเต็ม]:[คะแนนเต็ม]])*tbl_task5[[%]:[%]])</f>
        <v/>
      </c>
      <c r="KY6" s="121" t="str">
        <f>IF(ISBLANK(tbl_task5[[คะแนนเต็ม]:[คะแนนเต็ม]]),"",(tbl_task5[141]/tbl_task5[[คะแนนเต็ม]:[คะแนนเต็ม]])*tbl_task5[[%]:[%]])</f>
        <v/>
      </c>
      <c r="KZ6" s="121" t="str">
        <f>IF(ISBLANK(tbl_task5[[คะแนนเต็ม]:[คะแนนเต็ม]]),"",(tbl_task5[142]/tbl_task5[[คะแนนเต็ม]:[คะแนนเต็ม]])*tbl_task5[[%]:[%]])</f>
        <v/>
      </c>
      <c r="LA6" s="121" t="str">
        <f>IF(ISBLANK(tbl_task5[[คะแนนเต็ม]:[คะแนนเต็ม]]),"",(tbl_task5[143]/tbl_task5[[คะแนนเต็ม]:[คะแนนเต็ม]])*tbl_task5[[%]:[%]])</f>
        <v/>
      </c>
      <c r="LB6" s="121" t="str">
        <f>IF(ISBLANK(tbl_task5[[คะแนนเต็ม]:[คะแนนเต็ม]]),"",(tbl_task5[144]/tbl_task5[[คะแนนเต็ม]:[คะแนนเต็ม]])*tbl_task5[[%]:[%]])</f>
        <v/>
      </c>
      <c r="LC6" s="121" t="str">
        <f>IF(ISBLANK(tbl_task5[[คะแนนเต็ม]:[คะแนนเต็ม]]),"",(tbl_task5[145]/tbl_task5[[คะแนนเต็ม]:[คะแนนเต็ม]])*tbl_task5[[%]:[%]])</f>
        <v/>
      </c>
      <c r="LD6" s="121" t="str">
        <f>IF(ISBLANK(tbl_task5[[คะแนนเต็ม]:[คะแนนเต็ม]]),"",(tbl_task5[146]/tbl_task5[[คะแนนเต็ม]:[คะแนนเต็ม]])*tbl_task5[[%]:[%]])</f>
        <v/>
      </c>
      <c r="LE6" s="121" t="str">
        <f>IF(ISBLANK(tbl_task5[[คะแนนเต็ม]:[คะแนนเต็ม]]),"",(tbl_task5[147]/tbl_task5[[คะแนนเต็ม]:[คะแนนเต็ม]])*tbl_task5[[%]:[%]])</f>
        <v/>
      </c>
      <c r="LF6" s="121" t="str">
        <f>IF(ISBLANK(tbl_task5[[คะแนนเต็ม]:[คะแนนเต็ม]]),"",(tbl_task5[148]/tbl_task5[[คะแนนเต็ม]:[คะแนนเต็ม]])*tbl_task5[[%]:[%]])</f>
        <v/>
      </c>
      <c r="LG6" s="121" t="str">
        <f>IF(ISBLANK(tbl_task5[[คะแนนเต็ม]:[คะแนนเต็ม]]),"",(tbl_task5[149]/tbl_task5[[คะแนนเต็ม]:[คะแนนเต็ม]])*tbl_task5[[%]:[%]])</f>
        <v/>
      </c>
      <c r="LH6" s="121" t="str">
        <f>IF(ISBLANK(tbl_task5[[คะแนนเต็ม]:[คะแนนเต็ม]]),"",(tbl_task5[150]/tbl_task5[[คะแนนเต็ม]:[คะแนนเต็ม]])*tbl_task5[[%]:[%]])</f>
        <v/>
      </c>
      <c r="LI6" s="121" t="str">
        <f>IF(ISBLANK(tbl_task5[[คะแนนเต็ม]:[คะแนนเต็ม]]),"",(tbl_task5[151]/tbl_task5[[คะแนนเต็ม]:[คะแนนเต็ม]])*tbl_task5[[%]:[%]])</f>
        <v/>
      </c>
      <c r="LJ6" s="121" t="str">
        <f>IF(ISBLANK(tbl_task5[[คะแนนเต็ม]:[คะแนนเต็ม]]),"",(tbl_task5[152]/tbl_task5[[คะแนนเต็ม]:[คะแนนเต็ม]])*tbl_task5[[%]:[%]])</f>
        <v/>
      </c>
      <c r="LK6" s="121" t="str">
        <f>IF(ISBLANK(tbl_task5[[คะแนนเต็ม]:[คะแนนเต็ม]]),"",(tbl_task5[153]/tbl_task5[[คะแนนเต็ม]:[คะแนนเต็ม]])*tbl_task5[[%]:[%]])</f>
        <v/>
      </c>
      <c r="LL6" s="121" t="str">
        <f>IF(ISBLANK(tbl_task5[[คะแนนเต็ม]:[คะแนนเต็ม]]),"",(tbl_task5[154]/tbl_task5[[คะแนนเต็ม]:[คะแนนเต็ม]])*tbl_task5[[%]:[%]])</f>
        <v/>
      </c>
      <c r="LM6" s="121" t="str">
        <f>IF(ISBLANK(tbl_task5[[คะแนนเต็ม]:[คะแนนเต็ม]]),"",(tbl_task5[155]/tbl_task5[[คะแนนเต็ม]:[คะแนนเต็ม]])*tbl_task5[[%]:[%]])</f>
        <v/>
      </c>
      <c r="LN6" s="121" t="str">
        <f>IF(ISBLANK(tbl_task5[[คะแนนเต็ม]:[คะแนนเต็ม]]),"",(tbl_task5[156]/tbl_task5[[คะแนนเต็ม]:[คะแนนเต็ม]])*tbl_task5[[%]:[%]])</f>
        <v/>
      </c>
      <c r="LO6" s="121" t="str">
        <f>IF(ISBLANK(tbl_task5[[คะแนนเต็ม]:[คะแนนเต็ม]]),"",(tbl_task5[157]/tbl_task5[[คะแนนเต็ม]:[คะแนนเต็ม]])*tbl_task5[[%]:[%]])</f>
        <v/>
      </c>
      <c r="LP6" s="121" t="str">
        <f>IF(ISBLANK(tbl_task5[[คะแนนเต็ม]:[คะแนนเต็ม]]),"",(tbl_task5[158]/tbl_task5[[คะแนนเต็ม]:[คะแนนเต็ม]])*tbl_task5[[%]:[%]])</f>
        <v/>
      </c>
      <c r="LQ6" s="121" t="str">
        <f>IF(ISBLANK(tbl_task5[[คะแนนเต็ม]:[คะแนนเต็ม]]),"",(tbl_task5[159]/tbl_task5[[คะแนนเต็ม]:[คะแนนเต็ม]])*tbl_task5[[%]:[%]])</f>
        <v/>
      </c>
      <c r="LR6" s="121" t="str">
        <f>IF(ISBLANK(tbl_task5[[คะแนนเต็ม]:[คะแนนเต็ม]]),"",(tbl_task5[160]/tbl_task5[[คะแนนเต็ม]:[คะแนนเต็ม]])*tbl_task5[[%]:[%]])</f>
        <v/>
      </c>
      <c r="LS6" s="121" t="str">
        <f>IF(ISBLANK(tbl_task5[[คะแนนเต็ม]:[คะแนนเต็ม]]),"",(tbl_task5[161]/tbl_task5[[คะแนนเต็ม]:[คะแนนเต็ม]])*tbl_task5[[%]:[%]])</f>
        <v/>
      </c>
      <c r="LT6" s="121" t="str">
        <f>IF(ISBLANK(tbl_task5[[คะแนนเต็ม]:[คะแนนเต็ม]]),"",(tbl_task5[162]/tbl_task5[[คะแนนเต็ม]:[คะแนนเต็ม]])*tbl_task5[[%]:[%]])</f>
        <v/>
      </c>
      <c r="LU6" s="121" t="str">
        <f>IF(ISBLANK(tbl_task5[[คะแนนเต็ม]:[คะแนนเต็ม]]),"",(tbl_task5[163]/tbl_task5[[คะแนนเต็ม]:[คะแนนเต็ม]])*tbl_task5[[%]:[%]])</f>
        <v/>
      </c>
      <c r="LV6" s="121" t="str">
        <f>IF(ISBLANK(tbl_task5[[คะแนนเต็ม]:[คะแนนเต็ม]]),"",(tbl_task5[164]/tbl_task5[[คะแนนเต็ม]:[คะแนนเต็ม]])*tbl_task5[[%]:[%]])</f>
        <v/>
      </c>
      <c r="LW6" s="121" t="str">
        <f>IF(ISBLANK(tbl_task5[[คะแนนเต็ม]:[คะแนนเต็ม]]),"",(tbl_task5[165]/tbl_task5[[คะแนนเต็ม]:[คะแนนเต็ม]])*tbl_task5[[%]:[%]])</f>
        <v/>
      </c>
    </row>
    <row r="7" spans="1:335" ht="22.5" customHeight="1" x14ac:dyDescent="0.25">
      <c r="A7" s="24">
        <v>4</v>
      </c>
      <c r="B7" s="33"/>
      <c r="C7" s="5" t="str">
        <f>IF(ISBLANK(B7),"",VLOOKUP(B7,tbl_PLOs[],2,0))</f>
        <v/>
      </c>
      <c r="D7" s="102"/>
      <c r="E7" s="10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22"/>
      <c r="FO7" s="121" t="str">
        <f>IF(ISBLANK(tbl_task5[[คะแนนเต็ม]:[คะแนนเต็ม]]),"",(tbl_task5[1]/tbl_task5[[คะแนนเต็ม]:[คะแนนเต็ม]])*tbl_task5[[%]:[%]])</f>
        <v/>
      </c>
      <c r="FP7" s="121" t="str">
        <f>IF(ISBLANK(tbl_task5[[คะแนนเต็ม]:[คะแนนเต็ม]]),"",(tbl_task5[2]/tbl_task5[[คะแนนเต็ม]:[คะแนนเต็ม]])*tbl_task5[[%]:[%]])</f>
        <v/>
      </c>
      <c r="FQ7" s="121" t="str">
        <f>IF(ISBLANK(tbl_task5[[คะแนนเต็ม]:[คะแนนเต็ม]]),"",(tbl_task5[3]/tbl_task5[[คะแนนเต็ม]:[คะแนนเต็ม]])*tbl_task5[[%]:[%]])</f>
        <v/>
      </c>
      <c r="FR7" s="121" t="str">
        <f>IF(ISBLANK(tbl_task5[[คะแนนเต็ม]:[คะแนนเต็ม]]),"",(tbl_task5[4]/tbl_task5[[คะแนนเต็ม]:[คะแนนเต็ม]])*tbl_task5[[%]:[%]])</f>
        <v/>
      </c>
      <c r="FS7" s="121" t="str">
        <f>IF(ISBLANK(tbl_task5[[คะแนนเต็ม]:[คะแนนเต็ม]]),"",(tbl_task5[5]/tbl_task5[[คะแนนเต็ม]:[คะแนนเต็ม]])*tbl_task5[[%]:[%]])</f>
        <v/>
      </c>
      <c r="FT7" s="121" t="str">
        <f>IF(ISBLANK(tbl_task5[[คะแนนเต็ม]:[คะแนนเต็ม]]),"",(tbl_task5[6]/tbl_task5[[คะแนนเต็ม]:[คะแนนเต็ม]])*tbl_task5[[%]:[%]])</f>
        <v/>
      </c>
      <c r="FU7" s="121" t="str">
        <f>IF(ISBLANK(tbl_task5[[คะแนนเต็ม]:[คะแนนเต็ม]]),"",(tbl_task5[7]/tbl_task5[[คะแนนเต็ม]:[คะแนนเต็ม]])*tbl_task5[[%]:[%]])</f>
        <v/>
      </c>
      <c r="FV7" s="121" t="str">
        <f>IF(ISBLANK(tbl_task5[[คะแนนเต็ม]:[คะแนนเต็ม]]),"",(tbl_task5[8]/tbl_task5[[คะแนนเต็ม]:[คะแนนเต็ม]])*tbl_task5[[%]:[%]])</f>
        <v/>
      </c>
      <c r="FW7" s="121" t="str">
        <f>IF(ISBLANK(tbl_task5[[คะแนนเต็ม]:[คะแนนเต็ม]]),"",(tbl_task5[9]/tbl_task5[[คะแนนเต็ม]:[คะแนนเต็ม]])*tbl_task5[[%]:[%]])</f>
        <v/>
      </c>
      <c r="FX7" s="121" t="str">
        <f>IF(ISBLANK(tbl_task5[[คะแนนเต็ม]:[คะแนนเต็ม]]),"",(tbl_task5[10]/tbl_task5[[คะแนนเต็ม]:[คะแนนเต็ม]])*tbl_task5[[%]:[%]])</f>
        <v/>
      </c>
      <c r="FY7" s="121" t="str">
        <f>IF(ISBLANK(tbl_task5[[คะแนนเต็ม]:[คะแนนเต็ม]]),"",(tbl_task5[11]/tbl_task5[[คะแนนเต็ม]:[คะแนนเต็ม]])*tbl_task5[[%]:[%]])</f>
        <v/>
      </c>
      <c r="FZ7" s="121" t="str">
        <f>IF(ISBLANK(tbl_task5[[คะแนนเต็ม]:[คะแนนเต็ม]]),"",(tbl_task5[12]/tbl_task5[[คะแนนเต็ม]:[คะแนนเต็ม]])*tbl_task5[[%]:[%]])</f>
        <v/>
      </c>
      <c r="GA7" s="121" t="str">
        <f>IF(ISBLANK(tbl_task5[[คะแนนเต็ม]:[คะแนนเต็ม]]),"",(tbl_task5[13]/tbl_task5[[คะแนนเต็ม]:[คะแนนเต็ม]])*tbl_task5[[%]:[%]])</f>
        <v/>
      </c>
      <c r="GB7" s="121" t="str">
        <f>IF(ISBLANK(tbl_task5[[คะแนนเต็ม]:[คะแนนเต็ม]]),"",(tbl_task5[14]/tbl_task5[[คะแนนเต็ม]:[คะแนนเต็ม]])*tbl_task5[[%]:[%]])</f>
        <v/>
      </c>
      <c r="GC7" s="121" t="str">
        <f>IF(ISBLANK(tbl_task5[[คะแนนเต็ม]:[คะแนนเต็ม]]),"",(tbl_task5[15]/tbl_task5[[คะแนนเต็ม]:[คะแนนเต็ม]])*tbl_task5[[%]:[%]])</f>
        <v/>
      </c>
      <c r="GD7" s="121" t="str">
        <f>IF(ISBLANK(tbl_task5[[คะแนนเต็ม]:[คะแนนเต็ม]]),"",(tbl_task5[16]/tbl_task5[[คะแนนเต็ม]:[คะแนนเต็ม]])*tbl_task5[[%]:[%]])</f>
        <v/>
      </c>
      <c r="GE7" s="121" t="str">
        <f>IF(ISBLANK(tbl_task5[[คะแนนเต็ม]:[คะแนนเต็ม]]),"",(tbl_task5[17]/tbl_task5[[คะแนนเต็ม]:[คะแนนเต็ม]])*tbl_task5[[%]:[%]])</f>
        <v/>
      </c>
      <c r="GF7" s="121" t="str">
        <f>IF(ISBLANK(tbl_task5[[คะแนนเต็ม]:[คะแนนเต็ม]]),"",(tbl_task5[18]/tbl_task5[[คะแนนเต็ม]:[คะแนนเต็ม]])*tbl_task5[[%]:[%]])</f>
        <v/>
      </c>
      <c r="GG7" s="121" t="str">
        <f>IF(ISBLANK(tbl_task5[[คะแนนเต็ม]:[คะแนนเต็ม]]),"",(tbl_task5[19]/tbl_task5[[คะแนนเต็ม]:[คะแนนเต็ม]])*tbl_task5[[%]:[%]])</f>
        <v/>
      </c>
      <c r="GH7" s="121" t="str">
        <f>IF(ISBLANK(tbl_task5[[คะแนนเต็ม]:[คะแนนเต็ม]]),"",(tbl_task5[20]/tbl_task5[[คะแนนเต็ม]:[คะแนนเต็ม]])*tbl_task5[[%]:[%]])</f>
        <v/>
      </c>
      <c r="GI7" s="121" t="str">
        <f>IF(ISBLANK(tbl_task5[[คะแนนเต็ม]:[คะแนนเต็ม]]),"",(tbl_task5[21]/tbl_task5[[คะแนนเต็ม]:[คะแนนเต็ม]])*tbl_task5[[%]:[%]])</f>
        <v/>
      </c>
      <c r="GJ7" s="121" t="str">
        <f>IF(ISBLANK(tbl_task5[[คะแนนเต็ม]:[คะแนนเต็ม]]),"",(tbl_task5[22]/tbl_task5[[คะแนนเต็ม]:[คะแนนเต็ม]])*tbl_task5[[%]:[%]])</f>
        <v/>
      </c>
      <c r="GK7" s="121" t="str">
        <f>IF(ISBLANK(tbl_task5[[คะแนนเต็ม]:[คะแนนเต็ม]]),"",(tbl_task5[23]/tbl_task5[[คะแนนเต็ม]:[คะแนนเต็ม]])*tbl_task5[[%]:[%]])</f>
        <v/>
      </c>
      <c r="GL7" s="121" t="str">
        <f>IF(ISBLANK(tbl_task5[[คะแนนเต็ม]:[คะแนนเต็ม]]),"",(tbl_task5[24]/tbl_task5[[คะแนนเต็ม]:[คะแนนเต็ม]])*tbl_task5[[%]:[%]])</f>
        <v/>
      </c>
      <c r="GM7" s="121" t="str">
        <f>IF(ISBLANK(tbl_task5[[คะแนนเต็ม]:[คะแนนเต็ม]]),"",(tbl_task5[25]/tbl_task5[[คะแนนเต็ม]:[คะแนนเต็ม]])*tbl_task5[[%]:[%]])</f>
        <v/>
      </c>
      <c r="GN7" s="121" t="str">
        <f>IF(ISBLANK(tbl_task5[[คะแนนเต็ม]:[คะแนนเต็ม]]),"",(tbl_task5[26]/tbl_task5[[คะแนนเต็ม]:[คะแนนเต็ม]])*tbl_task5[[%]:[%]])</f>
        <v/>
      </c>
      <c r="GO7" s="121" t="str">
        <f>IF(ISBLANK(tbl_task5[[คะแนนเต็ม]:[คะแนนเต็ม]]),"",(tbl_task5[27]/tbl_task5[[คะแนนเต็ม]:[คะแนนเต็ม]])*tbl_task5[[%]:[%]])</f>
        <v/>
      </c>
      <c r="GP7" s="121" t="str">
        <f>IF(ISBLANK(tbl_task5[[คะแนนเต็ม]:[คะแนนเต็ม]]),"",(tbl_task5[28]/tbl_task5[[คะแนนเต็ม]:[คะแนนเต็ม]])*tbl_task5[[%]:[%]])</f>
        <v/>
      </c>
      <c r="GQ7" s="121" t="str">
        <f>IF(ISBLANK(tbl_task5[[คะแนนเต็ม]:[คะแนนเต็ม]]),"",(tbl_task5[29]/tbl_task5[[คะแนนเต็ม]:[คะแนนเต็ม]])*tbl_task5[[%]:[%]])</f>
        <v/>
      </c>
      <c r="GR7" s="121" t="str">
        <f>IF(ISBLANK(tbl_task5[[คะแนนเต็ม]:[คะแนนเต็ม]]),"",(tbl_task5[30]/tbl_task5[[คะแนนเต็ม]:[คะแนนเต็ม]])*tbl_task5[[%]:[%]])</f>
        <v/>
      </c>
      <c r="GS7" s="121" t="str">
        <f>IF(ISBLANK(tbl_task5[[คะแนนเต็ม]:[คะแนนเต็ม]]),"",(tbl_task5[31]/tbl_task5[[คะแนนเต็ม]:[คะแนนเต็ม]])*tbl_task5[[%]:[%]])</f>
        <v/>
      </c>
      <c r="GT7" s="121" t="str">
        <f>IF(ISBLANK(tbl_task5[[คะแนนเต็ม]:[คะแนนเต็ม]]),"",(tbl_task5[32]/tbl_task5[[คะแนนเต็ม]:[คะแนนเต็ม]])*tbl_task5[[%]:[%]])</f>
        <v/>
      </c>
      <c r="GU7" s="121" t="str">
        <f>IF(ISBLANK(tbl_task5[[คะแนนเต็ม]:[คะแนนเต็ม]]),"",(tbl_task5[33]/tbl_task5[[คะแนนเต็ม]:[คะแนนเต็ม]])*tbl_task5[[%]:[%]])</f>
        <v/>
      </c>
      <c r="GV7" s="121" t="str">
        <f>IF(ISBLANK(tbl_task5[[คะแนนเต็ม]:[คะแนนเต็ม]]),"",(tbl_task5[34]/tbl_task5[[คะแนนเต็ม]:[คะแนนเต็ม]])*tbl_task5[[%]:[%]])</f>
        <v/>
      </c>
      <c r="GW7" s="121" t="str">
        <f>IF(ISBLANK(tbl_task5[[คะแนนเต็ม]:[คะแนนเต็ม]]),"",(tbl_task5[35]/tbl_task5[[คะแนนเต็ม]:[คะแนนเต็ม]])*tbl_task5[[%]:[%]])</f>
        <v/>
      </c>
      <c r="GX7" s="121" t="str">
        <f>IF(ISBLANK(tbl_task5[[คะแนนเต็ม]:[คะแนนเต็ม]]),"",(tbl_task5[36]/tbl_task5[[คะแนนเต็ม]:[คะแนนเต็ม]])*tbl_task5[[%]:[%]])</f>
        <v/>
      </c>
      <c r="GY7" s="121" t="str">
        <f>IF(ISBLANK(tbl_task5[[คะแนนเต็ม]:[คะแนนเต็ม]]),"",(tbl_task5[37]/tbl_task5[[คะแนนเต็ม]:[คะแนนเต็ม]])*tbl_task5[[%]:[%]])</f>
        <v/>
      </c>
      <c r="GZ7" s="121" t="str">
        <f>IF(ISBLANK(tbl_task5[[คะแนนเต็ม]:[คะแนนเต็ม]]),"",(tbl_task5[38]/tbl_task5[[คะแนนเต็ม]:[คะแนนเต็ม]])*tbl_task5[[%]:[%]])</f>
        <v/>
      </c>
      <c r="HA7" s="121" t="str">
        <f>IF(ISBLANK(tbl_task5[[คะแนนเต็ม]:[คะแนนเต็ม]]),"",(tbl_task5[39]/tbl_task5[[คะแนนเต็ม]:[คะแนนเต็ม]])*tbl_task5[[%]:[%]])</f>
        <v/>
      </c>
      <c r="HB7" s="121" t="str">
        <f>IF(ISBLANK(tbl_task5[[คะแนนเต็ม]:[คะแนนเต็ม]]),"",(tbl_task5[40]/tbl_task5[[คะแนนเต็ม]:[คะแนนเต็ม]])*tbl_task5[[%]:[%]])</f>
        <v/>
      </c>
      <c r="HC7" s="121" t="str">
        <f>IF(ISBLANK(tbl_task5[[คะแนนเต็ม]:[คะแนนเต็ม]]),"",(tbl_task5[41]/tbl_task5[[คะแนนเต็ม]:[คะแนนเต็ม]])*tbl_task5[[%]:[%]])</f>
        <v/>
      </c>
      <c r="HD7" s="121" t="str">
        <f>IF(ISBLANK(tbl_task5[[คะแนนเต็ม]:[คะแนนเต็ม]]),"",(tbl_task5[42]/tbl_task5[[คะแนนเต็ม]:[คะแนนเต็ม]])*tbl_task5[[%]:[%]])</f>
        <v/>
      </c>
      <c r="HE7" s="121" t="str">
        <f>IF(ISBLANK(tbl_task5[[คะแนนเต็ม]:[คะแนนเต็ม]]),"",(tbl_task5[43]/tbl_task5[[คะแนนเต็ม]:[คะแนนเต็ม]])*tbl_task5[[%]:[%]])</f>
        <v/>
      </c>
      <c r="HF7" s="121" t="str">
        <f>IF(ISBLANK(tbl_task5[[คะแนนเต็ม]:[คะแนนเต็ม]]),"",(tbl_task5[44]/tbl_task5[[คะแนนเต็ม]:[คะแนนเต็ม]])*tbl_task5[[%]:[%]])</f>
        <v/>
      </c>
      <c r="HG7" s="121" t="str">
        <f>IF(ISBLANK(tbl_task5[[คะแนนเต็ม]:[คะแนนเต็ม]]),"",(tbl_task5[45]/tbl_task5[[คะแนนเต็ม]:[คะแนนเต็ม]])*tbl_task5[[%]:[%]])</f>
        <v/>
      </c>
      <c r="HH7" s="121" t="str">
        <f>IF(ISBLANK(tbl_task5[[คะแนนเต็ม]:[คะแนนเต็ม]]),"",(tbl_task5[46]/tbl_task5[[คะแนนเต็ม]:[คะแนนเต็ม]])*tbl_task5[[%]:[%]])</f>
        <v/>
      </c>
      <c r="HI7" s="121" t="str">
        <f>IF(ISBLANK(tbl_task5[[คะแนนเต็ม]:[คะแนนเต็ม]]),"",(tbl_task5[47]/tbl_task5[[คะแนนเต็ม]:[คะแนนเต็ม]])*tbl_task5[[%]:[%]])</f>
        <v/>
      </c>
      <c r="HJ7" s="121" t="str">
        <f>IF(ISBLANK(tbl_task5[[คะแนนเต็ม]:[คะแนนเต็ม]]),"",(tbl_task5[48]/tbl_task5[[คะแนนเต็ม]:[คะแนนเต็ม]])*tbl_task5[[%]:[%]])</f>
        <v/>
      </c>
      <c r="HK7" s="121" t="str">
        <f>IF(ISBLANK(tbl_task5[[คะแนนเต็ม]:[คะแนนเต็ม]]),"",(tbl_task5[49]/tbl_task5[[คะแนนเต็ม]:[คะแนนเต็ม]])*tbl_task5[[%]:[%]])</f>
        <v/>
      </c>
      <c r="HL7" s="121" t="str">
        <f>IF(ISBLANK(tbl_task5[[คะแนนเต็ม]:[คะแนนเต็ม]]),"",(tbl_task5[50]/tbl_task5[[คะแนนเต็ม]:[คะแนนเต็ม]])*tbl_task5[[%]:[%]])</f>
        <v/>
      </c>
      <c r="HM7" s="121" t="str">
        <f>IF(ISBLANK(tbl_task5[[คะแนนเต็ม]:[คะแนนเต็ม]]),"",(tbl_task5[51]/tbl_task5[[คะแนนเต็ม]:[คะแนนเต็ม]])*tbl_task5[[%]:[%]])</f>
        <v/>
      </c>
      <c r="HN7" s="121" t="str">
        <f>IF(ISBLANK(tbl_task5[[คะแนนเต็ม]:[คะแนนเต็ม]]),"",(tbl_task5[52]/tbl_task5[[คะแนนเต็ม]:[คะแนนเต็ม]])*tbl_task5[[%]:[%]])</f>
        <v/>
      </c>
      <c r="HO7" s="121" t="str">
        <f>IF(ISBLANK(tbl_task5[[คะแนนเต็ม]:[คะแนนเต็ม]]),"",(tbl_task5[53]/tbl_task5[[คะแนนเต็ม]:[คะแนนเต็ม]])*tbl_task5[[%]:[%]])</f>
        <v/>
      </c>
      <c r="HP7" s="121" t="str">
        <f>IF(ISBLANK(tbl_task5[[คะแนนเต็ม]:[คะแนนเต็ม]]),"",(tbl_task5[54]/tbl_task5[[คะแนนเต็ม]:[คะแนนเต็ม]])*tbl_task5[[%]:[%]])</f>
        <v/>
      </c>
      <c r="HQ7" s="121" t="str">
        <f>IF(ISBLANK(tbl_task5[[คะแนนเต็ม]:[คะแนนเต็ม]]),"",(tbl_task5[55]/tbl_task5[[คะแนนเต็ม]:[คะแนนเต็ม]])*tbl_task5[[%]:[%]])</f>
        <v/>
      </c>
      <c r="HR7" s="121" t="str">
        <f>IF(ISBLANK(tbl_task5[[คะแนนเต็ม]:[คะแนนเต็ม]]),"",(tbl_task5[56]/tbl_task5[[คะแนนเต็ม]:[คะแนนเต็ม]])*tbl_task5[[%]:[%]])</f>
        <v/>
      </c>
      <c r="HS7" s="121" t="str">
        <f>IF(ISBLANK(tbl_task5[[คะแนนเต็ม]:[คะแนนเต็ม]]),"",(tbl_task5[57]/tbl_task5[[คะแนนเต็ม]:[คะแนนเต็ม]])*tbl_task5[[%]:[%]])</f>
        <v/>
      </c>
      <c r="HT7" s="121" t="str">
        <f>IF(ISBLANK(tbl_task5[[คะแนนเต็ม]:[คะแนนเต็ม]]),"",(tbl_task5[58]/tbl_task5[[คะแนนเต็ม]:[คะแนนเต็ม]])*tbl_task5[[%]:[%]])</f>
        <v/>
      </c>
      <c r="HU7" s="121" t="str">
        <f>IF(ISBLANK(tbl_task5[[คะแนนเต็ม]:[คะแนนเต็ม]]),"",(tbl_task5[59]/tbl_task5[[คะแนนเต็ม]:[คะแนนเต็ม]])*tbl_task5[[%]:[%]])</f>
        <v/>
      </c>
      <c r="HV7" s="121" t="str">
        <f>IF(ISBLANK(tbl_task5[[คะแนนเต็ม]:[คะแนนเต็ม]]),"",(tbl_task5[60]/tbl_task5[[คะแนนเต็ม]:[คะแนนเต็ม]])*tbl_task5[[%]:[%]])</f>
        <v/>
      </c>
      <c r="HW7" s="121" t="str">
        <f>IF(ISBLANK(tbl_task5[[คะแนนเต็ม]:[คะแนนเต็ม]]),"",(tbl_task5[61]/tbl_task5[[คะแนนเต็ม]:[คะแนนเต็ม]])*tbl_task5[[%]:[%]])</f>
        <v/>
      </c>
      <c r="HX7" s="121" t="str">
        <f>IF(ISBLANK(tbl_task5[[คะแนนเต็ม]:[คะแนนเต็ม]]),"",(tbl_task5[62]/tbl_task5[[คะแนนเต็ม]:[คะแนนเต็ม]])*tbl_task5[[%]:[%]])</f>
        <v/>
      </c>
      <c r="HY7" s="121" t="str">
        <f>IF(ISBLANK(tbl_task5[[คะแนนเต็ม]:[คะแนนเต็ม]]),"",(tbl_task5[63]/tbl_task5[[คะแนนเต็ม]:[คะแนนเต็ม]])*tbl_task5[[%]:[%]])</f>
        <v/>
      </c>
      <c r="HZ7" s="121" t="str">
        <f>IF(ISBLANK(tbl_task5[[คะแนนเต็ม]:[คะแนนเต็ม]]),"",(tbl_task5[64]/tbl_task5[[คะแนนเต็ม]:[คะแนนเต็ม]])*tbl_task5[[%]:[%]])</f>
        <v/>
      </c>
      <c r="IA7" s="121" t="str">
        <f>IF(ISBLANK(tbl_task5[[คะแนนเต็ม]:[คะแนนเต็ม]]),"",(tbl_task5[65]/tbl_task5[[คะแนนเต็ม]:[คะแนนเต็ม]])*tbl_task5[[%]:[%]])</f>
        <v/>
      </c>
      <c r="IB7" s="121" t="str">
        <f>IF(ISBLANK(tbl_task5[[คะแนนเต็ม]:[คะแนนเต็ม]]),"",(tbl_task5[66]/tbl_task5[[คะแนนเต็ม]:[คะแนนเต็ม]])*tbl_task5[[%]:[%]])</f>
        <v/>
      </c>
      <c r="IC7" s="121" t="str">
        <f>IF(ISBLANK(tbl_task5[[คะแนนเต็ม]:[คะแนนเต็ม]]),"",(tbl_task5[67]/tbl_task5[[คะแนนเต็ม]:[คะแนนเต็ม]])*tbl_task5[[%]:[%]])</f>
        <v/>
      </c>
      <c r="ID7" s="121" t="str">
        <f>IF(ISBLANK(tbl_task5[[คะแนนเต็ม]:[คะแนนเต็ม]]),"",(tbl_task5[68]/tbl_task5[[คะแนนเต็ม]:[คะแนนเต็ม]])*tbl_task5[[%]:[%]])</f>
        <v/>
      </c>
      <c r="IE7" s="121" t="str">
        <f>IF(ISBLANK(tbl_task5[[คะแนนเต็ม]:[คะแนนเต็ม]]),"",(tbl_task5[69]/tbl_task5[[คะแนนเต็ม]:[คะแนนเต็ม]])*tbl_task5[[%]:[%]])</f>
        <v/>
      </c>
      <c r="IF7" s="121" t="str">
        <f>IF(ISBLANK(tbl_task5[[คะแนนเต็ม]:[คะแนนเต็ม]]),"",(tbl_task5[70]/tbl_task5[[คะแนนเต็ม]:[คะแนนเต็ม]])*tbl_task5[[%]:[%]])</f>
        <v/>
      </c>
      <c r="IG7" s="121" t="str">
        <f>IF(ISBLANK(tbl_task5[[คะแนนเต็ม]:[คะแนนเต็ม]]),"",(tbl_task5[71]/tbl_task5[[คะแนนเต็ม]:[คะแนนเต็ม]])*tbl_task5[[%]:[%]])</f>
        <v/>
      </c>
      <c r="IH7" s="121" t="str">
        <f>IF(ISBLANK(tbl_task5[[คะแนนเต็ม]:[คะแนนเต็ม]]),"",(tbl_task5[72]/tbl_task5[[คะแนนเต็ม]:[คะแนนเต็ม]])*tbl_task5[[%]:[%]])</f>
        <v/>
      </c>
      <c r="II7" s="121" t="str">
        <f>IF(ISBLANK(tbl_task5[[คะแนนเต็ม]:[คะแนนเต็ม]]),"",(tbl_task5[73]/tbl_task5[[คะแนนเต็ม]:[คะแนนเต็ม]])*tbl_task5[[%]:[%]])</f>
        <v/>
      </c>
      <c r="IJ7" s="121" t="str">
        <f>IF(ISBLANK(tbl_task5[[คะแนนเต็ม]:[คะแนนเต็ม]]),"",(tbl_task5[74]/tbl_task5[[คะแนนเต็ม]:[คะแนนเต็ม]])*tbl_task5[[%]:[%]])</f>
        <v/>
      </c>
      <c r="IK7" s="121" t="str">
        <f>IF(ISBLANK(tbl_task5[[คะแนนเต็ม]:[คะแนนเต็ม]]),"",(tbl_task5[75]/tbl_task5[[คะแนนเต็ม]:[คะแนนเต็ม]])*tbl_task5[[%]:[%]])</f>
        <v/>
      </c>
      <c r="IL7" s="121" t="str">
        <f>IF(ISBLANK(tbl_task5[[คะแนนเต็ม]:[คะแนนเต็ม]]),"",(tbl_task5[76]/tbl_task5[[คะแนนเต็ม]:[คะแนนเต็ม]])*tbl_task5[[%]:[%]])</f>
        <v/>
      </c>
      <c r="IM7" s="121" t="str">
        <f>IF(ISBLANK(tbl_task5[[คะแนนเต็ม]:[คะแนนเต็ม]]),"",(tbl_task5[77]/tbl_task5[[คะแนนเต็ม]:[คะแนนเต็ม]])*tbl_task5[[%]:[%]])</f>
        <v/>
      </c>
      <c r="IN7" s="121" t="str">
        <f>IF(ISBLANK(tbl_task5[[คะแนนเต็ม]:[คะแนนเต็ม]]),"",(tbl_task5[78]/tbl_task5[[คะแนนเต็ม]:[คะแนนเต็ม]])*tbl_task5[[%]:[%]])</f>
        <v/>
      </c>
      <c r="IO7" s="121" t="str">
        <f>IF(ISBLANK(tbl_task5[[คะแนนเต็ม]:[คะแนนเต็ม]]),"",(tbl_task5[79]/tbl_task5[[คะแนนเต็ม]:[คะแนนเต็ม]])*tbl_task5[[%]:[%]])</f>
        <v/>
      </c>
      <c r="IP7" s="121" t="str">
        <f>IF(ISBLANK(tbl_task5[[คะแนนเต็ม]:[คะแนนเต็ม]]),"",(tbl_task5[80]/tbl_task5[[คะแนนเต็ม]:[คะแนนเต็ม]])*tbl_task5[[%]:[%]])</f>
        <v/>
      </c>
      <c r="IQ7" s="121" t="str">
        <f>IF(ISBLANK(tbl_task5[[คะแนนเต็ม]:[คะแนนเต็ม]]),"",(tbl_task5[81]/tbl_task5[[คะแนนเต็ม]:[คะแนนเต็ม]])*tbl_task5[[%]:[%]])</f>
        <v/>
      </c>
      <c r="IR7" s="121" t="str">
        <f>IF(ISBLANK(tbl_task5[[คะแนนเต็ม]:[คะแนนเต็ม]]),"",(tbl_task5[82]/tbl_task5[[คะแนนเต็ม]:[คะแนนเต็ม]])*tbl_task5[[%]:[%]])</f>
        <v/>
      </c>
      <c r="IS7" s="121" t="str">
        <f>IF(ISBLANK(tbl_task5[[คะแนนเต็ม]:[คะแนนเต็ม]]),"",(tbl_task5[83]/tbl_task5[[คะแนนเต็ม]:[คะแนนเต็ม]])*tbl_task5[[%]:[%]])</f>
        <v/>
      </c>
      <c r="IT7" s="121" t="str">
        <f>IF(ISBLANK(tbl_task5[[คะแนนเต็ม]:[คะแนนเต็ม]]),"",(tbl_task5[84]/tbl_task5[[คะแนนเต็ม]:[คะแนนเต็ม]])*tbl_task5[[%]:[%]])</f>
        <v/>
      </c>
      <c r="IU7" s="121" t="str">
        <f>IF(ISBLANK(tbl_task5[[คะแนนเต็ม]:[คะแนนเต็ม]]),"",(tbl_task5[85]/tbl_task5[[คะแนนเต็ม]:[คะแนนเต็ม]])*tbl_task5[[%]:[%]])</f>
        <v/>
      </c>
      <c r="IV7" s="121" t="str">
        <f>IF(ISBLANK(tbl_task5[[คะแนนเต็ม]:[คะแนนเต็ม]]),"",(tbl_task5[86]/tbl_task5[[คะแนนเต็ม]:[คะแนนเต็ม]])*tbl_task5[[%]:[%]])</f>
        <v/>
      </c>
      <c r="IW7" s="121" t="str">
        <f>IF(ISBLANK(tbl_task5[[คะแนนเต็ม]:[คะแนนเต็ม]]),"",(tbl_task5[87]/tbl_task5[[คะแนนเต็ม]:[คะแนนเต็ม]])*tbl_task5[[%]:[%]])</f>
        <v/>
      </c>
      <c r="IX7" s="121" t="str">
        <f>IF(ISBLANK(tbl_task5[[คะแนนเต็ม]:[คะแนนเต็ม]]),"",(tbl_task5[88]/tbl_task5[[คะแนนเต็ม]:[คะแนนเต็ม]])*tbl_task5[[%]:[%]])</f>
        <v/>
      </c>
      <c r="IY7" s="121" t="str">
        <f>IF(ISBLANK(tbl_task5[[คะแนนเต็ม]:[คะแนนเต็ม]]),"",(tbl_task5[89]/tbl_task5[[คะแนนเต็ม]:[คะแนนเต็ม]])*tbl_task5[[%]:[%]])</f>
        <v/>
      </c>
      <c r="IZ7" s="121" t="str">
        <f>IF(ISBLANK(tbl_task5[[คะแนนเต็ม]:[คะแนนเต็ม]]),"",(tbl_task5[90]/tbl_task5[[คะแนนเต็ม]:[คะแนนเต็ม]])*tbl_task5[[%]:[%]])</f>
        <v/>
      </c>
      <c r="JA7" s="121" t="str">
        <f>IF(ISBLANK(tbl_task5[[คะแนนเต็ม]:[คะแนนเต็ม]]),"",(tbl_task5[91]/tbl_task5[[คะแนนเต็ม]:[คะแนนเต็ม]])*tbl_task5[[%]:[%]])</f>
        <v/>
      </c>
      <c r="JB7" s="121" t="str">
        <f>IF(ISBLANK(tbl_task5[[คะแนนเต็ม]:[คะแนนเต็ม]]),"",(tbl_task5[92]/tbl_task5[[คะแนนเต็ม]:[คะแนนเต็ม]])*tbl_task5[[%]:[%]])</f>
        <v/>
      </c>
      <c r="JC7" s="121" t="str">
        <f>IF(ISBLANK(tbl_task5[[คะแนนเต็ม]:[คะแนนเต็ม]]),"",(tbl_task5[93]/tbl_task5[[คะแนนเต็ม]:[คะแนนเต็ม]])*tbl_task5[[%]:[%]])</f>
        <v/>
      </c>
      <c r="JD7" s="121" t="str">
        <f>IF(ISBLANK(tbl_task5[[คะแนนเต็ม]:[คะแนนเต็ม]]),"",(tbl_task5[94]/tbl_task5[[คะแนนเต็ม]:[คะแนนเต็ม]])*tbl_task5[[%]:[%]])</f>
        <v/>
      </c>
      <c r="JE7" s="121" t="str">
        <f>IF(ISBLANK(tbl_task5[[คะแนนเต็ม]:[คะแนนเต็ม]]),"",(tbl_task5[95]/tbl_task5[[คะแนนเต็ม]:[คะแนนเต็ม]])*tbl_task5[[%]:[%]])</f>
        <v/>
      </c>
      <c r="JF7" s="121" t="str">
        <f>IF(ISBLANK(tbl_task5[[คะแนนเต็ม]:[คะแนนเต็ม]]),"",(tbl_task5[96]/tbl_task5[[คะแนนเต็ม]:[คะแนนเต็ม]])*tbl_task5[[%]:[%]])</f>
        <v/>
      </c>
      <c r="JG7" s="121" t="str">
        <f>IF(ISBLANK(tbl_task5[[คะแนนเต็ม]:[คะแนนเต็ม]]),"",(tbl_task5[97]/tbl_task5[[คะแนนเต็ม]:[คะแนนเต็ม]])*tbl_task5[[%]:[%]])</f>
        <v/>
      </c>
      <c r="JH7" s="121" t="str">
        <f>IF(ISBLANK(tbl_task5[[คะแนนเต็ม]:[คะแนนเต็ม]]),"",(tbl_task5[98]/tbl_task5[[คะแนนเต็ม]:[คะแนนเต็ม]])*tbl_task5[[%]:[%]])</f>
        <v/>
      </c>
      <c r="JI7" s="121" t="str">
        <f>IF(ISBLANK(tbl_task5[[คะแนนเต็ม]:[คะแนนเต็ม]]),"",(tbl_task5[99]/tbl_task5[[คะแนนเต็ม]:[คะแนนเต็ม]])*tbl_task5[[%]:[%]])</f>
        <v/>
      </c>
      <c r="JJ7" s="121" t="str">
        <f>IF(ISBLANK(tbl_task5[[คะแนนเต็ม]:[คะแนนเต็ม]]),"",(tbl_task5[100]/tbl_task5[[คะแนนเต็ม]:[คะแนนเต็ม]])*tbl_task5[[%]:[%]])</f>
        <v/>
      </c>
      <c r="JK7" s="121" t="str">
        <f>IF(ISBLANK(tbl_task5[[คะแนนเต็ม]:[คะแนนเต็ม]]),"",(tbl_task5[101]/tbl_task5[[คะแนนเต็ม]:[คะแนนเต็ม]])*tbl_task5[[%]:[%]])</f>
        <v/>
      </c>
      <c r="JL7" s="121" t="str">
        <f>IF(ISBLANK(tbl_task5[[คะแนนเต็ม]:[คะแนนเต็ม]]),"",(tbl_task5[102]/tbl_task5[[คะแนนเต็ม]:[คะแนนเต็ม]])*tbl_task5[[%]:[%]])</f>
        <v/>
      </c>
      <c r="JM7" s="121" t="str">
        <f>IF(ISBLANK(tbl_task5[[คะแนนเต็ม]:[คะแนนเต็ม]]),"",(tbl_task5[103]/tbl_task5[[คะแนนเต็ม]:[คะแนนเต็ม]])*tbl_task5[[%]:[%]])</f>
        <v/>
      </c>
      <c r="JN7" s="121" t="str">
        <f>IF(ISBLANK(tbl_task5[[คะแนนเต็ม]:[คะแนนเต็ม]]),"",(tbl_task5[104]/tbl_task5[[คะแนนเต็ม]:[คะแนนเต็ม]])*tbl_task5[[%]:[%]])</f>
        <v/>
      </c>
      <c r="JO7" s="121" t="str">
        <f>IF(ISBLANK(tbl_task5[[คะแนนเต็ม]:[คะแนนเต็ม]]),"",(tbl_task5[105]/tbl_task5[[คะแนนเต็ม]:[คะแนนเต็ม]])*tbl_task5[[%]:[%]])</f>
        <v/>
      </c>
      <c r="JP7" s="121" t="str">
        <f>IF(ISBLANK(tbl_task5[[คะแนนเต็ม]:[คะแนนเต็ม]]),"",(tbl_task5[106]/tbl_task5[[คะแนนเต็ม]:[คะแนนเต็ม]])*tbl_task5[[%]:[%]])</f>
        <v/>
      </c>
      <c r="JQ7" s="121" t="str">
        <f>IF(ISBLANK(tbl_task5[[คะแนนเต็ม]:[คะแนนเต็ม]]),"",(tbl_task5[107]/tbl_task5[[คะแนนเต็ม]:[คะแนนเต็ม]])*tbl_task5[[%]:[%]])</f>
        <v/>
      </c>
      <c r="JR7" s="121" t="str">
        <f>IF(ISBLANK(tbl_task5[[คะแนนเต็ม]:[คะแนนเต็ม]]),"",(tbl_task5[108]/tbl_task5[[คะแนนเต็ม]:[คะแนนเต็ม]])*tbl_task5[[%]:[%]])</f>
        <v/>
      </c>
      <c r="JS7" s="121" t="str">
        <f>IF(ISBLANK(tbl_task5[[คะแนนเต็ม]:[คะแนนเต็ม]]),"",(tbl_task5[109]/tbl_task5[[คะแนนเต็ม]:[คะแนนเต็ม]])*tbl_task5[[%]:[%]])</f>
        <v/>
      </c>
      <c r="JT7" s="121" t="str">
        <f>IF(ISBLANK(tbl_task5[[คะแนนเต็ม]:[คะแนนเต็ม]]),"",(tbl_task5[110]/tbl_task5[[คะแนนเต็ม]:[คะแนนเต็ม]])*tbl_task5[[%]:[%]])</f>
        <v/>
      </c>
      <c r="JU7" s="121" t="str">
        <f>IF(ISBLANK(tbl_task5[[คะแนนเต็ม]:[คะแนนเต็ม]]),"",(tbl_task5[111]/tbl_task5[[คะแนนเต็ม]:[คะแนนเต็ม]])*tbl_task5[[%]:[%]])</f>
        <v/>
      </c>
      <c r="JV7" s="121" t="str">
        <f>IF(ISBLANK(tbl_task5[[คะแนนเต็ม]:[คะแนนเต็ม]]),"",(tbl_task5[112]/tbl_task5[[คะแนนเต็ม]:[คะแนนเต็ม]])*tbl_task5[[%]:[%]])</f>
        <v/>
      </c>
      <c r="JW7" s="121" t="str">
        <f>IF(ISBLANK(tbl_task5[[คะแนนเต็ม]:[คะแนนเต็ม]]),"",(tbl_task5[113]/tbl_task5[[คะแนนเต็ม]:[คะแนนเต็ม]])*tbl_task5[[%]:[%]])</f>
        <v/>
      </c>
      <c r="JX7" s="121" t="str">
        <f>IF(ISBLANK(tbl_task5[[คะแนนเต็ม]:[คะแนนเต็ม]]),"",(tbl_task5[114]/tbl_task5[[คะแนนเต็ม]:[คะแนนเต็ม]])*tbl_task5[[%]:[%]])</f>
        <v/>
      </c>
      <c r="JY7" s="121" t="str">
        <f>IF(ISBLANK(tbl_task5[[คะแนนเต็ม]:[คะแนนเต็ม]]),"",(tbl_task5[115]/tbl_task5[[คะแนนเต็ม]:[คะแนนเต็ม]])*tbl_task5[[%]:[%]])</f>
        <v/>
      </c>
      <c r="JZ7" s="121" t="str">
        <f>IF(ISBLANK(tbl_task5[[คะแนนเต็ม]:[คะแนนเต็ม]]),"",(tbl_task5[116]/tbl_task5[[คะแนนเต็ม]:[คะแนนเต็ม]])*tbl_task5[[%]:[%]])</f>
        <v/>
      </c>
      <c r="KA7" s="121" t="str">
        <f>IF(ISBLANK(tbl_task5[[คะแนนเต็ม]:[คะแนนเต็ม]]),"",(tbl_task5[117]/tbl_task5[[คะแนนเต็ม]:[คะแนนเต็ม]])*tbl_task5[[%]:[%]])</f>
        <v/>
      </c>
      <c r="KB7" s="121" t="str">
        <f>IF(ISBLANK(tbl_task5[[คะแนนเต็ม]:[คะแนนเต็ม]]),"",(tbl_task5[118]/tbl_task5[[คะแนนเต็ม]:[คะแนนเต็ม]])*tbl_task5[[%]:[%]])</f>
        <v/>
      </c>
      <c r="KC7" s="121" t="str">
        <f>IF(ISBLANK(tbl_task5[[คะแนนเต็ม]:[คะแนนเต็ม]]),"",(tbl_task5[119]/tbl_task5[[คะแนนเต็ม]:[คะแนนเต็ม]])*tbl_task5[[%]:[%]])</f>
        <v/>
      </c>
      <c r="KD7" s="121" t="str">
        <f>IF(ISBLANK(tbl_task5[[คะแนนเต็ม]:[คะแนนเต็ม]]),"",(tbl_task5[120]/tbl_task5[[คะแนนเต็ม]:[คะแนนเต็ม]])*tbl_task5[[%]:[%]])</f>
        <v/>
      </c>
      <c r="KE7" s="121" t="str">
        <f>IF(ISBLANK(tbl_task5[[คะแนนเต็ม]:[คะแนนเต็ม]]),"",(tbl_task5[121]/tbl_task5[[คะแนนเต็ม]:[คะแนนเต็ม]])*tbl_task5[[%]:[%]])</f>
        <v/>
      </c>
      <c r="KF7" s="121" t="str">
        <f>IF(ISBLANK(tbl_task5[[คะแนนเต็ม]:[คะแนนเต็ม]]),"",(tbl_task5[122]/tbl_task5[[คะแนนเต็ม]:[คะแนนเต็ม]])*tbl_task5[[%]:[%]])</f>
        <v/>
      </c>
      <c r="KG7" s="121" t="str">
        <f>IF(ISBLANK(tbl_task5[[คะแนนเต็ม]:[คะแนนเต็ม]]),"",(tbl_task5[123]/tbl_task5[[คะแนนเต็ม]:[คะแนนเต็ม]])*tbl_task5[[%]:[%]])</f>
        <v/>
      </c>
      <c r="KH7" s="121" t="str">
        <f>IF(ISBLANK(tbl_task5[[คะแนนเต็ม]:[คะแนนเต็ม]]),"",(tbl_task5[124]/tbl_task5[[คะแนนเต็ม]:[คะแนนเต็ม]])*tbl_task5[[%]:[%]])</f>
        <v/>
      </c>
      <c r="KI7" s="121" t="str">
        <f>IF(ISBLANK(tbl_task5[[คะแนนเต็ม]:[คะแนนเต็ม]]),"",(tbl_task5[125]/tbl_task5[[คะแนนเต็ม]:[คะแนนเต็ม]])*tbl_task5[[%]:[%]])</f>
        <v/>
      </c>
      <c r="KJ7" s="121" t="str">
        <f>IF(ISBLANK(tbl_task5[[คะแนนเต็ม]:[คะแนนเต็ม]]),"",(tbl_task5[126]/tbl_task5[[คะแนนเต็ม]:[คะแนนเต็ม]])*tbl_task5[[%]:[%]])</f>
        <v/>
      </c>
      <c r="KK7" s="121" t="str">
        <f>IF(ISBLANK(tbl_task5[[คะแนนเต็ม]:[คะแนนเต็ม]]),"",(tbl_task5[127]/tbl_task5[[คะแนนเต็ม]:[คะแนนเต็ม]])*tbl_task5[[%]:[%]])</f>
        <v/>
      </c>
      <c r="KL7" s="121" t="str">
        <f>IF(ISBLANK(tbl_task5[[คะแนนเต็ม]:[คะแนนเต็ม]]),"",(tbl_task5[128]/tbl_task5[[คะแนนเต็ม]:[คะแนนเต็ม]])*tbl_task5[[%]:[%]])</f>
        <v/>
      </c>
      <c r="KM7" s="121" t="str">
        <f>IF(ISBLANK(tbl_task5[[คะแนนเต็ม]:[คะแนนเต็ม]]),"",(tbl_task5[129]/tbl_task5[[คะแนนเต็ม]:[คะแนนเต็ม]])*tbl_task5[[%]:[%]])</f>
        <v/>
      </c>
      <c r="KN7" s="121" t="str">
        <f>IF(ISBLANK(tbl_task5[[คะแนนเต็ม]:[คะแนนเต็ม]]),"",(tbl_task5[130]/tbl_task5[[คะแนนเต็ม]:[คะแนนเต็ม]])*tbl_task5[[%]:[%]])</f>
        <v/>
      </c>
      <c r="KO7" s="121" t="str">
        <f>IF(ISBLANK(tbl_task5[[คะแนนเต็ม]:[คะแนนเต็ม]]),"",(tbl_task5[131]/tbl_task5[[คะแนนเต็ม]:[คะแนนเต็ม]])*tbl_task5[[%]:[%]])</f>
        <v/>
      </c>
      <c r="KP7" s="121" t="str">
        <f>IF(ISBLANK(tbl_task5[[คะแนนเต็ม]:[คะแนนเต็ม]]),"",(tbl_task5[132]/tbl_task5[[คะแนนเต็ม]:[คะแนนเต็ม]])*tbl_task5[[%]:[%]])</f>
        <v/>
      </c>
      <c r="KQ7" s="121" t="str">
        <f>IF(ISBLANK(tbl_task5[[คะแนนเต็ม]:[คะแนนเต็ม]]),"",(tbl_task5[133]/tbl_task5[[คะแนนเต็ม]:[คะแนนเต็ม]])*tbl_task5[[%]:[%]])</f>
        <v/>
      </c>
      <c r="KR7" s="121" t="str">
        <f>IF(ISBLANK(tbl_task5[[คะแนนเต็ม]:[คะแนนเต็ม]]),"",(tbl_task5[134]/tbl_task5[[คะแนนเต็ม]:[คะแนนเต็ม]])*tbl_task5[[%]:[%]])</f>
        <v/>
      </c>
      <c r="KS7" s="121" t="str">
        <f>IF(ISBLANK(tbl_task5[[คะแนนเต็ม]:[คะแนนเต็ม]]),"",(tbl_task5[135]/tbl_task5[[คะแนนเต็ม]:[คะแนนเต็ม]])*tbl_task5[[%]:[%]])</f>
        <v/>
      </c>
      <c r="KT7" s="121" t="str">
        <f>IF(ISBLANK(tbl_task5[[คะแนนเต็ม]:[คะแนนเต็ม]]),"",(tbl_task5[136]/tbl_task5[[คะแนนเต็ม]:[คะแนนเต็ม]])*tbl_task5[[%]:[%]])</f>
        <v/>
      </c>
      <c r="KU7" s="121" t="str">
        <f>IF(ISBLANK(tbl_task5[[คะแนนเต็ม]:[คะแนนเต็ม]]),"",(tbl_task5[137]/tbl_task5[[คะแนนเต็ม]:[คะแนนเต็ม]])*tbl_task5[[%]:[%]])</f>
        <v/>
      </c>
      <c r="KV7" s="121" t="str">
        <f>IF(ISBLANK(tbl_task5[[คะแนนเต็ม]:[คะแนนเต็ม]]),"",(tbl_task5[138]/tbl_task5[[คะแนนเต็ม]:[คะแนนเต็ม]])*tbl_task5[[%]:[%]])</f>
        <v/>
      </c>
      <c r="KW7" s="121" t="str">
        <f>IF(ISBLANK(tbl_task5[[คะแนนเต็ม]:[คะแนนเต็ม]]),"",(tbl_task5[139]/tbl_task5[[คะแนนเต็ม]:[คะแนนเต็ม]])*tbl_task5[[%]:[%]])</f>
        <v/>
      </c>
      <c r="KX7" s="121" t="str">
        <f>IF(ISBLANK(tbl_task5[[คะแนนเต็ม]:[คะแนนเต็ม]]),"",(tbl_task5[140]/tbl_task5[[คะแนนเต็ม]:[คะแนนเต็ม]])*tbl_task5[[%]:[%]])</f>
        <v/>
      </c>
      <c r="KY7" s="121" t="str">
        <f>IF(ISBLANK(tbl_task5[[คะแนนเต็ม]:[คะแนนเต็ม]]),"",(tbl_task5[141]/tbl_task5[[คะแนนเต็ม]:[คะแนนเต็ม]])*tbl_task5[[%]:[%]])</f>
        <v/>
      </c>
      <c r="KZ7" s="121" t="str">
        <f>IF(ISBLANK(tbl_task5[[คะแนนเต็ม]:[คะแนนเต็ม]]),"",(tbl_task5[142]/tbl_task5[[คะแนนเต็ม]:[คะแนนเต็ม]])*tbl_task5[[%]:[%]])</f>
        <v/>
      </c>
      <c r="LA7" s="121" t="str">
        <f>IF(ISBLANK(tbl_task5[[คะแนนเต็ม]:[คะแนนเต็ม]]),"",(tbl_task5[143]/tbl_task5[[คะแนนเต็ม]:[คะแนนเต็ม]])*tbl_task5[[%]:[%]])</f>
        <v/>
      </c>
      <c r="LB7" s="121" t="str">
        <f>IF(ISBLANK(tbl_task5[[คะแนนเต็ม]:[คะแนนเต็ม]]),"",(tbl_task5[144]/tbl_task5[[คะแนนเต็ม]:[คะแนนเต็ม]])*tbl_task5[[%]:[%]])</f>
        <v/>
      </c>
      <c r="LC7" s="121" t="str">
        <f>IF(ISBLANK(tbl_task5[[คะแนนเต็ม]:[คะแนนเต็ม]]),"",(tbl_task5[145]/tbl_task5[[คะแนนเต็ม]:[คะแนนเต็ม]])*tbl_task5[[%]:[%]])</f>
        <v/>
      </c>
      <c r="LD7" s="121" t="str">
        <f>IF(ISBLANK(tbl_task5[[คะแนนเต็ม]:[คะแนนเต็ม]]),"",(tbl_task5[146]/tbl_task5[[คะแนนเต็ม]:[คะแนนเต็ม]])*tbl_task5[[%]:[%]])</f>
        <v/>
      </c>
      <c r="LE7" s="121" t="str">
        <f>IF(ISBLANK(tbl_task5[[คะแนนเต็ม]:[คะแนนเต็ม]]),"",(tbl_task5[147]/tbl_task5[[คะแนนเต็ม]:[คะแนนเต็ม]])*tbl_task5[[%]:[%]])</f>
        <v/>
      </c>
      <c r="LF7" s="121" t="str">
        <f>IF(ISBLANK(tbl_task5[[คะแนนเต็ม]:[คะแนนเต็ม]]),"",(tbl_task5[148]/tbl_task5[[คะแนนเต็ม]:[คะแนนเต็ม]])*tbl_task5[[%]:[%]])</f>
        <v/>
      </c>
      <c r="LG7" s="121" t="str">
        <f>IF(ISBLANK(tbl_task5[[คะแนนเต็ม]:[คะแนนเต็ม]]),"",(tbl_task5[149]/tbl_task5[[คะแนนเต็ม]:[คะแนนเต็ม]])*tbl_task5[[%]:[%]])</f>
        <v/>
      </c>
      <c r="LH7" s="121" t="str">
        <f>IF(ISBLANK(tbl_task5[[คะแนนเต็ม]:[คะแนนเต็ม]]),"",(tbl_task5[150]/tbl_task5[[คะแนนเต็ม]:[คะแนนเต็ม]])*tbl_task5[[%]:[%]])</f>
        <v/>
      </c>
      <c r="LI7" s="121" t="str">
        <f>IF(ISBLANK(tbl_task5[[คะแนนเต็ม]:[คะแนนเต็ม]]),"",(tbl_task5[151]/tbl_task5[[คะแนนเต็ม]:[คะแนนเต็ม]])*tbl_task5[[%]:[%]])</f>
        <v/>
      </c>
      <c r="LJ7" s="121" t="str">
        <f>IF(ISBLANK(tbl_task5[[คะแนนเต็ม]:[คะแนนเต็ม]]),"",(tbl_task5[152]/tbl_task5[[คะแนนเต็ม]:[คะแนนเต็ม]])*tbl_task5[[%]:[%]])</f>
        <v/>
      </c>
      <c r="LK7" s="121" t="str">
        <f>IF(ISBLANK(tbl_task5[[คะแนนเต็ม]:[คะแนนเต็ม]]),"",(tbl_task5[153]/tbl_task5[[คะแนนเต็ม]:[คะแนนเต็ม]])*tbl_task5[[%]:[%]])</f>
        <v/>
      </c>
      <c r="LL7" s="121" t="str">
        <f>IF(ISBLANK(tbl_task5[[คะแนนเต็ม]:[คะแนนเต็ม]]),"",(tbl_task5[154]/tbl_task5[[คะแนนเต็ม]:[คะแนนเต็ม]])*tbl_task5[[%]:[%]])</f>
        <v/>
      </c>
      <c r="LM7" s="121" t="str">
        <f>IF(ISBLANK(tbl_task5[[คะแนนเต็ม]:[คะแนนเต็ม]]),"",(tbl_task5[155]/tbl_task5[[คะแนนเต็ม]:[คะแนนเต็ม]])*tbl_task5[[%]:[%]])</f>
        <v/>
      </c>
      <c r="LN7" s="121" t="str">
        <f>IF(ISBLANK(tbl_task5[[คะแนนเต็ม]:[คะแนนเต็ม]]),"",(tbl_task5[156]/tbl_task5[[คะแนนเต็ม]:[คะแนนเต็ม]])*tbl_task5[[%]:[%]])</f>
        <v/>
      </c>
      <c r="LO7" s="121" t="str">
        <f>IF(ISBLANK(tbl_task5[[คะแนนเต็ม]:[คะแนนเต็ม]]),"",(tbl_task5[157]/tbl_task5[[คะแนนเต็ม]:[คะแนนเต็ม]])*tbl_task5[[%]:[%]])</f>
        <v/>
      </c>
      <c r="LP7" s="121" t="str">
        <f>IF(ISBLANK(tbl_task5[[คะแนนเต็ม]:[คะแนนเต็ม]]),"",(tbl_task5[158]/tbl_task5[[คะแนนเต็ม]:[คะแนนเต็ม]])*tbl_task5[[%]:[%]])</f>
        <v/>
      </c>
      <c r="LQ7" s="121" t="str">
        <f>IF(ISBLANK(tbl_task5[[คะแนนเต็ม]:[คะแนนเต็ม]]),"",(tbl_task5[159]/tbl_task5[[คะแนนเต็ม]:[คะแนนเต็ม]])*tbl_task5[[%]:[%]])</f>
        <v/>
      </c>
      <c r="LR7" s="121" t="str">
        <f>IF(ISBLANK(tbl_task5[[คะแนนเต็ม]:[คะแนนเต็ม]]),"",(tbl_task5[160]/tbl_task5[[คะแนนเต็ม]:[คะแนนเต็ม]])*tbl_task5[[%]:[%]])</f>
        <v/>
      </c>
      <c r="LS7" s="121" t="str">
        <f>IF(ISBLANK(tbl_task5[[คะแนนเต็ม]:[คะแนนเต็ม]]),"",(tbl_task5[161]/tbl_task5[[คะแนนเต็ม]:[คะแนนเต็ม]])*tbl_task5[[%]:[%]])</f>
        <v/>
      </c>
      <c r="LT7" s="121" t="str">
        <f>IF(ISBLANK(tbl_task5[[คะแนนเต็ม]:[คะแนนเต็ม]]),"",(tbl_task5[162]/tbl_task5[[คะแนนเต็ม]:[คะแนนเต็ม]])*tbl_task5[[%]:[%]])</f>
        <v/>
      </c>
      <c r="LU7" s="121" t="str">
        <f>IF(ISBLANK(tbl_task5[[คะแนนเต็ม]:[คะแนนเต็ม]]),"",(tbl_task5[163]/tbl_task5[[คะแนนเต็ม]:[คะแนนเต็ม]])*tbl_task5[[%]:[%]])</f>
        <v/>
      </c>
      <c r="LV7" s="121" t="str">
        <f>IF(ISBLANK(tbl_task5[[คะแนนเต็ม]:[คะแนนเต็ม]]),"",(tbl_task5[164]/tbl_task5[[คะแนนเต็ม]:[คะแนนเต็ม]])*tbl_task5[[%]:[%]])</f>
        <v/>
      </c>
      <c r="LW7" s="121" t="str">
        <f>IF(ISBLANK(tbl_task5[[คะแนนเต็ม]:[คะแนนเต็ม]]),"",(tbl_task5[165]/tbl_task5[[คะแนนเต็ม]:[คะแนนเต็ม]])*tbl_task5[[%]:[%]])</f>
        <v/>
      </c>
    </row>
    <row r="8" spans="1:335" ht="24.75" customHeight="1" x14ac:dyDescent="0.25">
      <c r="A8" s="24">
        <v>5</v>
      </c>
      <c r="B8" s="33"/>
      <c r="C8" s="5" t="str">
        <f>IF(ISBLANK(B8),"",VLOOKUP(B8,tbl_PLOs[],2,0))</f>
        <v/>
      </c>
      <c r="D8" s="102"/>
      <c r="E8" s="10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22"/>
      <c r="FO8" s="121" t="str">
        <f>IF(ISBLANK(tbl_task5[[คะแนนเต็ม]:[คะแนนเต็ม]]),"",(tbl_task5[1]/tbl_task5[[คะแนนเต็ม]:[คะแนนเต็ม]])*tbl_task5[[%]:[%]])</f>
        <v/>
      </c>
      <c r="FP8" s="121" t="str">
        <f>IF(ISBLANK(tbl_task5[[คะแนนเต็ม]:[คะแนนเต็ม]]),"",(tbl_task5[2]/tbl_task5[[คะแนนเต็ม]:[คะแนนเต็ม]])*tbl_task5[[%]:[%]])</f>
        <v/>
      </c>
      <c r="FQ8" s="121" t="str">
        <f>IF(ISBLANK(tbl_task5[[คะแนนเต็ม]:[คะแนนเต็ม]]),"",(tbl_task5[3]/tbl_task5[[คะแนนเต็ม]:[คะแนนเต็ม]])*tbl_task5[[%]:[%]])</f>
        <v/>
      </c>
      <c r="FR8" s="121" t="str">
        <f>IF(ISBLANK(tbl_task5[[คะแนนเต็ม]:[คะแนนเต็ม]]),"",(tbl_task5[4]/tbl_task5[[คะแนนเต็ม]:[คะแนนเต็ม]])*tbl_task5[[%]:[%]])</f>
        <v/>
      </c>
      <c r="FS8" s="121" t="str">
        <f>IF(ISBLANK(tbl_task5[[คะแนนเต็ม]:[คะแนนเต็ม]]),"",(tbl_task5[5]/tbl_task5[[คะแนนเต็ม]:[คะแนนเต็ม]])*tbl_task5[[%]:[%]])</f>
        <v/>
      </c>
      <c r="FT8" s="121" t="str">
        <f>IF(ISBLANK(tbl_task5[[คะแนนเต็ม]:[คะแนนเต็ม]]),"",(tbl_task5[6]/tbl_task5[[คะแนนเต็ม]:[คะแนนเต็ม]])*tbl_task5[[%]:[%]])</f>
        <v/>
      </c>
      <c r="FU8" s="121" t="str">
        <f>IF(ISBLANK(tbl_task5[[คะแนนเต็ม]:[คะแนนเต็ม]]),"",(tbl_task5[7]/tbl_task5[[คะแนนเต็ม]:[คะแนนเต็ม]])*tbl_task5[[%]:[%]])</f>
        <v/>
      </c>
      <c r="FV8" s="121" t="str">
        <f>IF(ISBLANK(tbl_task5[[คะแนนเต็ม]:[คะแนนเต็ม]]),"",(tbl_task5[8]/tbl_task5[[คะแนนเต็ม]:[คะแนนเต็ม]])*tbl_task5[[%]:[%]])</f>
        <v/>
      </c>
      <c r="FW8" s="121" t="str">
        <f>IF(ISBLANK(tbl_task5[[คะแนนเต็ม]:[คะแนนเต็ม]]),"",(tbl_task5[9]/tbl_task5[[คะแนนเต็ม]:[คะแนนเต็ม]])*tbl_task5[[%]:[%]])</f>
        <v/>
      </c>
      <c r="FX8" s="121" t="str">
        <f>IF(ISBLANK(tbl_task5[[คะแนนเต็ม]:[คะแนนเต็ม]]),"",(tbl_task5[10]/tbl_task5[[คะแนนเต็ม]:[คะแนนเต็ม]])*tbl_task5[[%]:[%]])</f>
        <v/>
      </c>
      <c r="FY8" s="121" t="str">
        <f>IF(ISBLANK(tbl_task5[[คะแนนเต็ม]:[คะแนนเต็ม]]),"",(tbl_task5[11]/tbl_task5[[คะแนนเต็ม]:[คะแนนเต็ม]])*tbl_task5[[%]:[%]])</f>
        <v/>
      </c>
      <c r="FZ8" s="121" t="str">
        <f>IF(ISBLANK(tbl_task5[[คะแนนเต็ม]:[คะแนนเต็ม]]),"",(tbl_task5[12]/tbl_task5[[คะแนนเต็ม]:[คะแนนเต็ม]])*tbl_task5[[%]:[%]])</f>
        <v/>
      </c>
      <c r="GA8" s="121" t="str">
        <f>IF(ISBLANK(tbl_task5[[คะแนนเต็ม]:[คะแนนเต็ม]]),"",(tbl_task5[13]/tbl_task5[[คะแนนเต็ม]:[คะแนนเต็ม]])*tbl_task5[[%]:[%]])</f>
        <v/>
      </c>
      <c r="GB8" s="121" t="str">
        <f>IF(ISBLANK(tbl_task5[[คะแนนเต็ม]:[คะแนนเต็ม]]),"",(tbl_task5[14]/tbl_task5[[คะแนนเต็ม]:[คะแนนเต็ม]])*tbl_task5[[%]:[%]])</f>
        <v/>
      </c>
      <c r="GC8" s="121" t="str">
        <f>IF(ISBLANK(tbl_task5[[คะแนนเต็ม]:[คะแนนเต็ม]]),"",(tbl_task5[15]/tbl_task5[[คะแนนเต็ม]:[คะแนนเต็ม]])*tbl_task5[[%]:[%]])</f>
        <v/>
      </c>
      <c r="GD8" s="121" t="str">
        <f>IF(ISBLANK(tbl_task5[[คะแนนเต็ม]:[คะแนนเต็ม]]),"",(tbl_task5[16]/tbl_task5[[คะแนนเต็ม]:[คะแนนเต็ม]])*tbl_task5[[%]:[%]])</f>
        <v/>
      </c>
      <c r="GE8" s="121" t="str">
        <f>IF(ISBLANK(tbl_task5[[คะแนนเต็ม]:[คะแนนเต็ม]]),"",(tbl_task5[17]/tbl_task5[[คะแนนเต็ม]:[คะแนนเต็ม]])*tbl_task5[[%]:[%]])</f>
        <v/>
      </c>
      <c r="GF8" s="121" t="str">
        <f>IF(ISBLANK(tbl_task5[[คะแนนเต็ม]:[คะแนนเต็ม]]),"",(tbl_task5[18]/tbl_task5[[คะแนนเต็ม]:[คะแนนเต็ม]])*tbl_task5[[%]:[%]])</f>
        <v/>
      </c>
      <c r="GG8" s="121" t="str">
        <f>IF(ISBLANK(tbl_task5[[คะแนนเต็ม]:[คะแนนเต็ม]]),"",(tbl_task5[19]/tbl_task5[[คะแนนเต็ม]:[คะแนนเต็ม]])*tbl_task5[[%]:[%]])</f>
        <v/>
      </c>
      <c r="GH8" s="121" t="str">
        <f>IF(ISBLANK(tbl_task5[[คะแนนเต็ม]:[คะแนนเต็ม]]),"",(tbl_task5[20]/tbl_task5[[คะแนนเต็ม]:[คะแนนเต็ม]])*tbl_task5[[%]:[%]])</f>
        <v/>
      </c>
      <c r="GI8" s="121" t="str">
        <f>IF(ISBLANK(tbl_task5[[คะแนนเต็ม]:[คะแนนเต็ม]]),"",(tbl_task5[21]/tbl_task5[[คะแนนเต็ม]:[คะแนนเต็ม]])*tbl_task5[[%]:[%]])</f>
        <v/>
      </c>
      <c r="GJ8" s="121" t="str">
        <f>IF(ISBLANK(tbl_task5[[คะแนนเต็ม]:[คะแนนเต็ม]]),"",(tbl_task5[22]/tbl_task5[[คะแนนเต็ม]:[คะแนนเต็ม]])*tbl_task5[[%]:[%]])</f>
        <v/>
      </c>
      <c r="GK8" s="121" t="str">
        <f>IF(ISBLANK(tbl_task5[[คะแนนเต็ม]:[คะแนนเต็ม]]),"",(tbl_task5[23]/tbl_task5[[คะแนนเต็ม]:[คะแนนเต็ม]])*tbl_task5[[%]:[%]])</f>
        <v/>
      </c>
      <c r="GL8" s="121" t="str">
        <f>IF(ISBLANK(tbl_task5[[คะแนนเต็ม]:[คะแนนเต็ม]]),"",(tbl_task5[24]/tbl_task5[[คะแนนเต็ม]:[คะแนนเต็ม]])*tbl_task5[[%]:[%]])</f>
        <v/>
      </c>
      <c r="GM8" s="121" t="str">
        <f>IF(ISBLANK(tbl_task5[[คะแนนเต็ม]:[คะแนนเต็ม]]),"",(tbl_task5[25]/tbl_task5[[คะแนนเต็ม]:[คะแนนเต็ม]])*tbl_task5[[%]:[%]])</f>
        <v/>
      </c>
      <c r="GN8" s="121" t="str">
        <f>IF(ISBLANK(tbl_task5[[คะแนนเต็ม]:[คะแนนเต็ม]]),"",(tbl_task5[26]/tbl_task5[[คะแนนเต็ม]:[คะแนนเต็ม]])*tbl_task5[[%]:[%]])</f>
        <v/>
      </c>
      <c r="GO8" s="121" t="str">
        <f>IF(ISBLANK(tbl_task5[[คะแนนเต็ม]:[คะแนนเต็ม]]),"",(tbl_task5[27]/tbl_task5[[คะแนนเต็ม]:[คะแนนเต็ม]])*tbl_task5[[%]:[%]])</f>
        <v/>
      </c>
      <c r="GP8" s="121" t="str">
        <f>IF(ISBLANK(tbl_task5[[คะแนนเต็ม]:[คะแนนเต็ม]]),"",(tbl_task5[28]/tbl_task5[[คะแนนเต็ม]:[คะแนนเต็ม]])*tbl_task5[[%]:[%]])</f>
        <v/>
      </c>
      <c r="GQ8" s="121" t="str">
        <f>IF(ISBLANK(tbl_task5[[คะแนนเต็ม]:[คะแนนเต็ม]]),"",(tbl_task5[29]/tbl_task5[[คะแนนเต็ม]:[คะแนนเต็ม]])*tbl_task5[[%]:[%]])</f>
        <v/>
      </c>
      <c r="GR8" s="121" t="str">
        <f>IF(ISBLANK(tbl_task5[[คะแนนเต็ม]:[คะแนนเต็ม]]),"",(tbl_task5[30]/tbl_task5[[คะแนนเต็ม]:[คะแนนเต็ม]])*tbl_task5[[%]:[%]])</f>
        <v/>
      </c>
      <c r="GS8" s="121" t="str">
        <f>IF(ISBLANK(tbl_task5[[คะแนนเต็ม]:[คะแนนเต็ม]]),"",(tbl_task5[31]/tbl_task5[[คะแนนเต็ม]:[คะแนนเต็ม]])*tbl_task5[[%]:[%]])</f>
        <v/>
      </c>
      <c r="GT8" s="121" t="str">
        <f>IF(ISBLANK(tbl_task5[[คะแนนเต็ม]:[คะแนนเต็ม]]),"",(tbl_task5[32]/tbl_task5[[คะแนนเต็ม]:[คะแนนเต็ม]])*tbl_task5[[%]:[%]])</f>
        <v/>
      </c>
      <c r="GU8" s="121" t="str">
        <f>IF(ISBLANK(tbl_task5[[คะแนนเต็ม]:[คะแนนเต็ม]]),"",(tbl_task5[33]/tbl_task5[[คะแนนเต็ม]:[คะแนนเต็ม]])*tbl_task5[[%]:[%]])</f>
        <v/>
      </c>
      <c r="GV8" s="121" t="str">
        <f>IF(ISBLANK(tbl_task5[[คะแนนเต็ม]:[คะแนนเต็ม]]),"",(tbl_task5[34]/tbl_task5[[คะแนนเต็ม]:[คะแนนเต็ม]])*tbl_task5[[%]:[%]])</f>
        <v/>
      </c>
      <c r="GW8" s="121" t="str">
        <f>IF(ISBLANK(tbl_task5[[คะแนนเต็ม]:[คะแนนเต็ม]]),"",(tbl_task5[35]/tbl_task5[[คะแนนเต็ม]:[คะแนนเต็ม]])*tbl_task5[[%]:[%]])</f>
        <v/>
      </c>
      <c r="GX8" s="121" t="str">
        <f>IF(ISBLANK(tbl_task5[[คะแนนเต็ม]:[คะแนนเต็ม]]),"",(tbl_task5[36]/tbl_task5[[คะแนนเต็ม]:[คะแนนเต็ม]])*tbl_task5[[%]:[%]])</f>
        <v/>
      </c>
      <c r="GY8" s="121" t="str">
        <f>IF(ISBLANK(tbl_task5[[คะแนนเต็ม]:[คะแนนเต็ม]]),"",(tbl_task5[37]/tbl_task5[[คะแนนเต็ม]:[คะแนนเต็ม]])*tbl_task5[[%]:[%]])</f>
        <v/>
      </c>
      <c r="GZ8" s="121" t="str">
        <f>IF(ISBLANK(tbl_task5[[คะแนนเต็ม]:[คะแนนเต็ม]]),"",(tbl_task5[38]/tbl_task5[[คะแนนเต็ม]:[คะแนนเต็ม]])*tbl_task5[[%]:[%]])</f>
        <v/>
      </c>
      <c r="HA8" s="121" t="str">
        <f>IF(ISBLANK(tbl_task5[[คะแนนเต็ม]:[คะแนนเต็ม]]),"",(tbl_task5[39]/tbl_task5[[คะแนนเต็ม]:[คะแนนเต็ม]])*tbl_task5[[%]:[%]])</f>
        <v/>
      </c>
      <c r="HB8" s="121" t="str">
        <f>IF(ISBLANK(tbl_task5[[คะแนนเต็ม]:[คะแนนเต็ม]]),"",(tbl_task5[40]/tbl_task5[[คะแนนเต็ม]:[คะแนนเต็ม]])*tbl_task5[[%]:[%]])</f>
        <v/>
      </c>
      <c r="HC8" s="121" t="str">
        <f>IF(ISBLANK(tbl_task5[[คะแนนเต็ม]:[คะแนนเต็ม]]),"",(tbl_task5[41]/tbl_task5[[คะแนนเต็ม]:[คะแนนเต็ม]])*tbl_task5[[%]:[%]])</f>
        <v/>
      </c>
      <c r="HD8" s="121" t="str">
        <f>IF(ISBLANK(tbl_task5[[คะแนนเต็ม]:[คะแนนเต็ม]]),"",(tbl_task5[42]/tbl_task5[[คะแนนเต็ม]:[คะแนนเต็ม]])*tbl_task5[[%]:[%]])</f>
        <v/>
      </c>
      <c r="HE8" s="121" t="str">
        <f>IF(ISBLANK(tbl_task5[[คะแนนเต็ม]:[คะแนนเต็ม]]),"",(tbl_task5[43]/tbl_task5[[คะแนนเต็ม]:[คะแนนเต็ม]])*tbl_task5[[%]:[%]])</f>
        <v/>
      </c>
      <c r="HF8" s="121" t="str">
        <f>IF(ISBLANK(tbl_task5[[คะแนนเต็ม]:[คะแนนเต็ม]]),"",(tbl_task5[44]/tbl_task5[[คะแนนเต็ม]:[คะแนนเต็ม]])*tbl_task5[[%]:[%]])</f>
        <v/>
      </c>
      <c r="HG8" s="121" t="str">
        <f>IF(ISBLANK(tbl_task5[[คะแนนเต็ม]:[คะแนนเต็ม]]),"",(tbl_task5[45]/tbl_task5[[คะแนนเต็ม]:[คะแนนเต็ม]])*tbl_task5[[%]:[%]])</f>
        <v/>
      </c>
      <c r="HH8" s="121" t="str">
        <f>IF(ISBLANK(tbl_task5[[คะแนนเต็ม]:[คะแนนเต็ม]]),"",(tbl_task5[46]/tbl_task5[[คะแนนเต็ม]:[คะแนนเต็ม]])*tbl_task5[[%]:[%]])</f>
        <v/>
      </c>
      <c r="HI8" s="121" t="str">
        <f>IF(ISBLANK(tbl_task5[[คะแนนเต็ม]:[คะแนนเต็ม]]),"",(tbl_task5[47]/tbl_task5[[คะแนนเต็ม]:[คะแนนเต็ม]])*tbl_task5[[%]:[%]])</f>
        <v/>
      </c>
      <c r="HJ8" s="121" t="str">
        <f>IF(ISBLANK(tbl_task5[[คะแนนเต็ม]:[คะแนนเต็ม]]),"",(tbl_task5[48]/tbl_task5[[คะแนนเต็ม]:[คะแนนเต็ม]])*tbl_task5[[%]:[%]])</f>
        <v/>
      </c>
      <c r="HK8" s="121" t="str">
        <f>IF(ISBLANK(tbl_task5[[คะแนนเต็ม]:[คะแนนเต็ม]]),"",(tbl_task5[49]/tbl_task5[[คะแนนเต็ม]:[คะแนนเต็ม]])*tbl_task5[[%]:[%]])</f>
        <v/>
      </c>
      <c r="HL8" s="121" t="str">
        <f>IF(ISBLANK(tbl_task5[[คะแนนเต็ม]:[คะแนนเต็ม]]),"",(tbl_task5[50]/tbl_task5[[คะแนนเต็ม]:[คะแนนเต็ม]])*tbl_task5[[%]:[%]])</f>
        <v/>
      </c>
      <c r="HM8" s="121" t="str">
        <f>IF(ISBLANK(tbl_task5[[คะแนนเต็ม]:[คะแนนเต็ม]]),"",(tbl_task5[51]/tbl_task5[[คะแนนเต็ม]:[คะแนนเต็ม]])*tbl_task5[[%]:[%]])</f>
        <v/>
      </c>
      <c r="HN8" s="121" t="str">
        <f>IF(ISBLANK(tbl_task5[[คะแนนเต็ม]:[คะแนนเต็ม]]),"",(tbl_task5[52]/tbl_task5[[คะแนนเต็ม]:[คะแนนเต็ม]])*tbl_task5[[%]:[%]])</f>
        <v/>
      </c>
      <c r="HO8" s="121" t="str">
        <f>IF(ISBLANK(tbl_task5[[คะแนนเต็ม]:[คะแนนเต็ม]]),"",(tbl_task5[53]/tbl_task5[[คะแนนเต็ม]:[คะแนนเต็ม]])*tbl_task5[[%]:[%]])</f>
        <v/>
      </c>
      <c r="HP8" s="121" t="str">
        <f>IF(ISBLANK(tbl_task5[[คะแนนเต็ม]:[คะแนนเต็ม]]),"",(tbl_task5[54]/tbl_task5[[คะแนนเต็ม]:[คะแนนเต็ม]])*tbl_task5[[%]:[%]])</f>
        <v/>
      </c>
      <c r="HQ8" s="121" t="str">
        <f>IF(ISBLANK(tbl_task5[[คะแนนเต็ม]:[คะแนนเต็ม]]),"",(tbl_task5[55]/tbl_task5[[คะแนนเต็ม]:[คะแนนเต็ม]])*tbl_task5[[%]:[%]])</f>
        <v/>
      </c>
      <c r="HR8" s="121" t="str">
        <f>IF(ISBLANK(tbl_task5[[คะแนนเต็ม]:[คะแนนเต็ม]]),"",(tbl_task5[56]/tbl_task5[[คะแนนเต็ม]:[คะแนนเต็ม]])*tbl_task5[[%]:[%]])</f>
        <v/>
      </c>
      <c r="HS8" s="121" t="str">
        <f>IF(ISBLANK(tbl_task5[[คะแนนเต็ม]:[คะแนนเต็ม]]),"",(tbl_task5[57]/tbl_task5[[คะแนนเต็ม]:[คะแนนเต็ม]])*tbl_task5[[%]:[%]])</f>
        <v/>
      </c>
      <c r="HT8" s="121" t="str">
        <f>IF(ISBLANK(tbl_task5[[คะแนนเต็ม]:[คะแนนเต็ม]]),"",(tbl_task5[58]/tbl_task5[[คะแนนเต็ม]:[คะแนนเต็ม]])*tbl_task5[[%]:[%]])</f>
        <v/>
      </c>
      <c r="HU8" s="121" t="str">
        <f>IF(ISBLANK(tbl_task5[[คะแนนเต็ม]:[คะแนนเต็ม]]),"",(tbl_task5[59]/tbl_task5[[คะแนนเต็ม]:[คะแนนเต็ม]])*tbl_task5[[%]:[%]])</f>
        <v/>
      </c>
      <c r="HV8" s="121" t="str">
        <f>IF(ISBLANK(tbl_task5[[คะแนนเต็ม]:[คะแนนเต็ม]]),"",(tbl_task5[60]/tbl_task5[[คะแนนเต็ม]:[คะแนนเต็ม]])*tbl_task5[[%]:[%]])</f>
        <v/>
      </c>
      <c r="HW8" s="121" t="str">
        <f>IF(ISBLANK(tbl_task5[[คะแนนเต็ม]:[คะแนนเต็ม]]),"",(tbl_task5[61]/tbl_task5[[คะแนนเต็ม]:[คะแนนเต็ม]])*tbl_task5[[%]:[%]])</f>
        <v/>
      </c>
      <c r="HX8" s="121" t="str">
        <f>IF(ISBLANK(tbl_task5[[คะแนนเต็ม]:[คะแนนเต็ม]]),"",(tbl_task5[62]/tbl_task5[[คะแนนเต็ม]:[คะแนนเต็ม]])*tbl_task5[[%]:[%]])</f>
        <v/>
      </c>
      <c r="HY8" s="121" t="str">
        <f>IF(ISBLANK(tbl_task5[[คะแนนเต็ม]:[คะแนนเต็ม]]),"",(tbl_task5[63]/tbl_task5[[คะแนนเต็ม]:[คะแนนเต็ม]])*tbl_task5[[%]:[%]])</f>
        <v/>
      </c>
      <c r="HZ8" s="121" t="str">
        <f>IF(ISBLANK(tbl_task5[[คะแนนเต็ม]:[คะแนนเต็ม]]),"",(tbl_task5[64]/tbl_task5[[คะแนนเต็ม]:[คะแนนเต็ม]])*tbl_task5[[%]:[%]])</f>
        <v/>
      </c>
      <c r="IA8" s="121" t="str">
        <f>IF(ISBLANK(tbl_task5[[คะแนนเต็ม]:[คะแนนเต็ม]]),"",(tbl_task5[65]/tbl_task5[[คะแนนเต็ม]:[คะแนนเต็ม]])*tbl_task5[[%]:[%]])</f>
        <v/>
      </c>
      <c r="IB8" s="121" t="str">
        <f>IF(ISBLANK(tbl_task5[[คะแนนเต็ม]:[คะแนนเต็ม]]),"",(tbl_task5[66]/tbl_task5[[คะแนนเต็ม]:[คะแนนเต็ม]])*tbl_task5[[%]:[%]])</f>
        <v/>
      </c>
      <c r="IC8" s="121" t="str">
        <f>IF(ISBLANK(tbl_task5[[คะแนนเต็ม]:[คะแนนเต็ม]]),"",(tbl_task5[67]/tbl_task5[[คะแนนเต็ม]:[คะแนนเต็ม]])*tbl_task5[[%]:[%]])</f>
        <v/>
      </c>
      <c r="ID8" s="121" t="str">
        <f>IF(ISBLANK(tbl_task5[[คะแนนเต็ม]:[คะแนนเต็ม]]),"",(tbl_task5[68]/tbl_task5[[คะแนนเต็ม]:[คะแนนเต็ม]])*tbl_task5[[%]:[%]])</f>
        <v/>
      </c>
      <c r="IE8" s="121" t="str">
        <f>IF(ISBLANK(tbl_task5[[คะแนนเต็ม]:[คะแนนเต็ม]]),"",(tbl_task5[69]/tbl_task5[[คะแนนเต็ม]:[คะแนนเต็ม]])*tbl_task5[[%]:[%]])</f>
        <v/>
      </c>
      <c r="IF8" s="121" t="str">
        <f>IF(ISBLANK(tbl_task5[[คะแนนเต็ม]:[คะแนนเต็ม]]),"",(tbl_task5[70]/tbl_task5[[คะแนนเต็ม]:[คะแนนเต็ม]])*tbl_task5[[%]:[%]])</f>
        <v/>
      </c>
      <c r="IG8" s="121" t="str">
        <f>IF(ISBLANK(tbl_task5[[คะแนนเต็ม]:[คะแนนเต็ม]]),"",(tbl_task5[71]/tbl_task5[[คะแนนเต็ม]:[คะแนนเต็ม]])*tbl_task5[[%]:[%]])</f>
        <v/>
      </c>
      <c r="IH8" s="121" t="str">
        <f>IF(ISBLANK(tbl_task5[[คะแนนเต็ม]:[คะแนนเต็ม]]),"",(tbl_task5[72]/tbl_task5[[คะแนนเต็ม]:[คะแนนเต็ม]])*tbl_task5[[%]:[%]])</f>
        <v/>
      </c>
      <c r="II8" s="121" t="str">
        <f>IF(ISBLANK(tbl_task5[[คะแนนเต็ม]:[คะแนนเต็ม]]),"",(tbl_task5[73]/tbl_task5[[คะแนนเต็ม]:[คะแนนเต็ม]])*tbl_task5[[%]:[%]])</f>
        <v/>
      </c>
      <c r="IJ8" s="121" t="str">
        <f>IF(ISBLANK(tbl_task5[[คะแนนเต็ม]:[คะแนนเต็ม]]),"",(tbl_task5[74]/tbl_task5[[คะแนนเต็ม]:[คะแนนเต็ม]])*tbl_task5[[%]:[%]])</f>
        <v/>
      </c>
      <c r="IK8" s="121" t="str">
        <f>IF(ISBLANK(tbl_task5[[คะแนนเต็ม]:[คะแนนเต็ม]]),"",(tbl_task5[75]/tbl_task5[[คะแนนเต็ม]:[คะแนนเต็ม]])*tbl_task5[[%]:[%]])</f>
        <v/>
      </c>
      <c r="IL8" s="121" t="str">
        <f>IF(ISBLANK(tbl_task5[[คะแนนเต็ม]:[คะแนนเต็ม]]),"",(tbl_task5[76]/tbl_task5[[คะแนนเต็ม]:[คะแนนเต็ม]])*tbl_task5[[%]:[%]])</f>
        <v/>
      </c>
      <c r="IM8" s="121" t="str">
        <f>IF(ISBLANK(tbl_task5[[คะแนนเต็ม]:[คะแนนเต็ม]]),"",(tbl_task5[77]/tbl_task5[[คะแนนเต็ม]:[คะแนนเต็ม]])*tbl_task5[[%]:[%]])</f>
        <v/>
      </c>
      <c r="IN8" s="121" t="str">
        <f>IF(ISBLANK(tbl_task5[[คะแนนเต็ม]:[คะแนนเต็ม]]),"",(tbl_task5[78]/tbl_task5[[คะแนนเต็ม]:[คะแนนเต็ม]])*tbl_task5[[%]:[%]])</f>
        <v/>
      </c>
      <c r="IO8" s="121" t="str">
        <f>IF(ISBLANK(tbl_task5[[คะแนนเต็ม]:[คะแนนเต็ม]]),"",(tbl_task5[79]/tbl_task5[[คะแนนเต็ม]:[คะแนนเต็ม]])*tbl_task5[[%]:[%]])</f>
        <v/>
      </c>
      <c r="IP8" s="121" t="str">
        <f>IF(ISBLANK(tbl_task5[[คะแนนเต็ม]:[คะแนนเต็ม]]),"",(tbl_task5[80]/tbl_task5[[คะแนนเต็ม]:[คะแนนเต็ม]])*tbl_task5[[%]:[%]])</f>
        <v/>
      </c>
      <c r="IQ8" s="121" t="str">
        <f>IF(ISBLANK(tbl_task5[[คะแนนเต็ม]:[คะแนนเต็ม]]),"",(tbl_task5[81]/tbl_task5[[คะแนนเต็ม]:[คะแนนเต็ม]])*tbl_task5[[%]:[%]])</f>
        <v/>
      </c>
      <c r="IR8" s="121" t="str">
        <f>IF(ISBLANK(tbl_task5[[คะแนนเต็ม]:[คะแนนเต็ม]]),"",(tbl_task5[82]/tbl_task5[[คะแนนเต็ม]:[คะแนนเต็ม]])*tbl_task5[[%]:[%]])</f>
        <v/>
      </c>
      <c r="IS8" s="121" t="str">
        <f>IF(ISBLANK(tbl_task5[[คะแนนเต็ม]:[คะแนนเต็ม]]),"",(tbl_task5[83]/tbl_task5[[คะแนนเต็ม]:[คะแนนเต็ม]])*tbl_task5[[%]:[%]])</f>
        <v/>
      </c>
      <c r="IT8" s="121" t="str">
        <f>IF(ISBLANK(tbl_task5[[คะแนนเต็ม]:[คะแนนเต็ม]]),"",(tbl_task5[84]/tbl_task5[[คะแนนเต็ม]:[คะแนนเต็ม]])*tbl_task5[[%]:[%]])</f>
        <v/>
      </c>
      <c r="IU8" s="121" t="str">
        <f>IF(ISBLANK(tbl_task5[[คะแนนเต็ม]:[คะแนนเต็ม]]),"",(tbl_task5[85]/tbl_task5[[คะแนนเต็ม]:[คะแนนเต็ม]])*tbl_task5[[%]:[%]])</f>
        <v/>
      </c>
      <c r="IV8" s="121" t="str">
        <f>IF(ISBLANK(tbl_task5[[คะแนนเต็ม]:[คะแนนเต็ม]]),"",(tbl_task5[86]/tbl_task5[[คะแนนเต็ม]:[คะแนนเต็ม]])*tbl_task5[[%]:[%]])</f>
        <v/>
      </c>
      <c r="IW8" s="121" t="str">
        <f>IF(ISBLANK(tbl_task5[[คะแนนเต็ม]:[คะแนนเต็ม]]),"",(tbl_task5[87]/tbl_task5[[คะแนนเต็ม]:[คะแนนเต็ม]])*tbl_task5[[%]:[%]])</f>
        <v/>
      </c>
      <c r="IX8" s="121" t="str">
        <f>IF(ISBLANK(tbl_task5[[คะแนนเต็ม]:[คะแนนเต็ม]]),"",(tbl_task5[88]/tbl_task5[[คะแนนเต็ม]:[คะแนนเต็ม]])*tbl_task5[[%]:[%]])</f>
        <v/>
      </c>
      <c r="IY8" s="121" t="str">
        <f>IF(ISBLANK(tbl_task5[[คะแนนเต็ม]:[คะแนนเต็ม]]),"",(tbl_task5[89]/tbl_task5[[คะแนนเต็ม]:[คะแนนเต็ม]])*tbl_task5[[%]:[%]])</f>
        <v/>
      </c>
      <c r="IZ8" s="121" t="str">
        <f>IF(ISBLANK(tbl_task5[[คะแนนเต็ม]:[คะแนนเต็ม]]),"",(tbl_task5[90]/tbl_task5[[คะแนนเต็ม]:[คะแนนเต็ม]])*tbl_task5[[%]:[%]])</f>
        <v/>
      </c>
      <c r="JA8" s="121" t="str">
        <f>IF(ISBLANK(tbl_task5[[คะแนนเต็ม]:[คะแนนเต็ม]]),"",(tbl_task5[91]/tbl_task5[[คะแนนเต็ม]:[คะแนนเต็ม]])*tbl_task5[[%]:[%]])</f>
        <v/>
      </c>
      <c r="JB8" s="121" t="str">
        <f>IF(ISBLANK(tbl_task5[[คะแนนเต็ม]:[คะแนนเต็ม]]),"",(tbl_task5[92]/tbl_task5[[คะแนนเต็ม]:[คะแนนเต็ม]])*tbl_task5[[%]:[%]])</f>
        <v/>
      </c>
      <c r="JC8" s="121" t="str">
        <f>IF(ISBLANK(tbl_task5[[คะแนนเต็ม]:[คะแนนเต็ม]]),"",(tbl_task5[93]/tbl_task5[[คะแนนเต็ม]:[คะแนนเต็ม]])*tbl_task5[[%]:[%]])</f>
        <v/>
      </c>
      <c r="JD8" s="121" t="str">
        <f>IF(ISBLANK(tbl_task5[[คะแนนเต็ม]:[คะแนนเต็ม]]),"",(tbl_task5[94]/tbl_task5[[คะแนนเต็ม]:[คะแนนเต็ม]])*tbl_task5[[%]:[%]])</f>
        <v/>
      </c>
      <c r="JE8" s="121" t="str">
        <f>IF(ISBLANK(tbl_task5[[คะแนนเต็ม]:[คะแนนเต็ม]]),"",(tbl_task5[95]/tbl_task5[[คะแนนเต็ม]:[คะแนนเต็ม]])*tbl_task5[[%]:[%]])</f>
        <v/>
      </c>
      <c r="JF8" s="121" t="str">
        <f>IF(ISBLANK(tbl_task5[[คะแนนเต็ม]:[คะแนนเต็ม]]),"",(tbl_task5[96]/tbl_task5[[คะแนนเต็ม]:[คะแนนเต็ม]])*tbl_task5[[%]:[%]])</f>
        <v/>
      </c>
      <c r="JG8" s="121" t="str">
        <f>IF(ISBLANK(tbl_task5[[คะแนนเต็ม]:[คะแนนเต็ม]]),"",(tbl_task5[97]/tbl_task5[[คะแนนเต็ม]:[คะแนนเต็ม]])*tbl_task5[[%]:[%]])</f>
        <v/>
      </c>
      <c r="JH8" s="121" t="str">
        <f>IF(ISBLANK(tbl_task5[[คะแนนเต็ม]:[คะแนนเต็ม]]),"",(tbl_task5[98]/tbl_task5[[คะแนนเต็ม]:[คะแนนเต็ม]])*tbl_task5[[%]:[%]])</f>
        <v/>
      </c>
      <c r="JI8" s="121" t="str">
        <f>IF(ISBLANK(tbl_task5[[คะแนนเต็ม]:[คะแนนเต็ม]]),"",(tbl_task5[99]/tbl_task5[[คะแนนเต็ม]:[คะแนนเต็ม]])*tbl_task5[[%]:[%]])</f>
        <v/>
      </c>
      <c r="JJ8" s="121" t="str">
        <f>IF(ISBLANK(tbl_task5[[คะแนนเต็ม]:[คะแนนเต็ม]]),"",(tbl_task5[100]/tbl_task5[[คะแนนเต็ม]:[คะแนนเต็ม]])*tbl_task5[[%]:[%]])</f>
        <v/>
      </c>
      <c r="JK8" s="121" t="str">
        <f>IF(ISBLANK(tbl_task5[[คะแนนเต็ม]:[คะแนนเต็ม]]),"",(tbl_task5[101]/tbl_task5[[คะแนนเต็ม]:[คะแนนเต็ม]])*tbl_task5[[%]:[%]])</f>
        <v/>
      </c>
      <c r="JL8" s="121" t="str">
        <f>IF(ISBLANK(tbl_task5[[คะแนนเต็ม]:[คะแนนเต็ม]]),"",(tbl_task5[102]/tbl_task5[[คะแนนเต็ม]:[คะแนนเต็ม]])*tbl_task5[[%]:[%]])</f>
        <v/>
      </c>
      <c r="JM8" s="121" t="str">
        <f>IF(ISBLANK(tbl_task5[[คะแนนเต็ม]:[คะแนนเต็ม]]),"",(tbl_task5[103]/tbl_task5[[คะแนนเต็ม]:[คะแนนเต็ม]])*tbl_task5[[%]:[%]])</f>
        <v/>
      </c>
      <c r="JN8" s="121" t="str">
        <f>IF(ISBLANK(tbl_task5[[คะแนนเต็ม]:[คะแนนเต็ม]]),"",(tbl_task5[104]/tbl_task5[[คะแนนเต็ม]:[คะแนนเต็ม]])*tbl_task5[[%]:[%]])</f>
        <v/>
      </c>
      <c r="JO8" s="121" t="str">
        <f>IF(ISBLANK(tbl_task5[[คะแนนเต็ม]:[คะแนนเต็ม]]),"",(tbl_task5[105]/tbl_task5[[คะแนนเต็ม]:[คะแนนเต็ม]])*tbl_task5[[%]:[%]])</f>
        <v/>
      </c>
      <c r="JP8" s="121" t="str">
        <f>IF(ISBLANK(tbl_task5[[คะแนนเต็ม]:[คะแนนเต็ม]]),"",(tbl_task5[106]/tbl_task5[[คะแนนเต็ม]:[คะแนนเต็ม]])*tbl_task5[[%]:[%]])</f>
        <v/>
      </c>
      <c r="JQ8" s="121" t="str">
        <f>IF(ISBLANK(tbl_task5[[คะแนนเต็ม]:[คะแนนเต็ม]]),"",(tbl_task5[107]/tbl_task5[[คะแนนเต็ม]:[คะแนนเต็ม]])*tbl_task5[[%]:[%]])</f>
        <v/>
      </c>
      <c r="JR8" s="121" t="str">
        <f>IF(ISBLANK(tbl_task5[[คะแนนเต็ม]:[คะแนนเต็ม]]),"",(tbl_task5[108]/tbl_task5[[คะแนนเต็ม]:[คะแนนเต็ม]])*tbl_task5[[%]:[%]])</f>
        <v/>
      </c>
      <c r="JS8" s="121" t="str">
        <f>IF(ISBLANK(tbl_task5[[คะแนนเต็ม]:[คะแนนเต็ม]]),"",(tbl_task5[109]/tbl_task5[[คะแนนเต็ม]:[คะแนนเต็ม]])*tbl_task5[[%]:[%]])</f>
        <v/>
      </c>
      <c r="JT8" s="121" t="str">
        <f>IF(ISBLANK(tbl_task5[[คะแนนเต็ม]:[คะแนนเต็ม]]),"",(tbl_task5[110]/tbl_task5[[คะแนนเต็ม]:[คะแนนเต็ม]])*tbl_task5[[%]:[%]])</f>
        <v/>
      </c>
      <c r="JU8" s="121" t="str">
        <f>IF(ISBLANK(tbl_task5[[คะแนนเต็ม]:[คะแนนเต็ม]]),"",(tbl_task5[111]/tbl_task5[[คะแนนเต็ม]:[คะแนนเต็ม]])*tbl_task5[[%]:[%]])</f>
        <v/>
      </c>
      <c r="JV8" s="121" t="str">
        <f>IF(ISBLANK(tbl_task5[[คะแนนเต็ม]:[คะแนนเต็ม]]),"",(tbl_task5[112]/tbl_task5[[คะแนนเต็ม]:[คะแนนเต็ม]])*tbl_task5[[%]:[%]])</f>
        <v/>
      </c>
      <c r="JW8" s="121" t="str">
        <f>IF(ISBLANK(tbl_task5[[คะแนนเต็ม]:[คะแนนเต็ม]]),"",(tbl_task5[113]/tbl_task5[[คะแนนเต็ม]:[คะแนนเต็ม]])*tbl_task5[[%]:[%]])</f>
        <v/>
      </c>
      <c r="JX8" s="121" t="str">
        <f>IF(ISBLANK(tbl_task5[[คะแนนเต็ม]:[คะแนนเต็ม]]),"",(tbl_task5[114]/tbl_task5[[คะแนนเต็ม]:[คะแนนเต็ม]])*tbl_task5[[%]:[%]])</f>
        <v/>
      </c>
      <c r="JY8" s="121" t="str">
        <f>IF(ISBLANK(tbl_task5[[คะแนนเต็ม]:[คะแนนเต็ม]]),"",(tbl_task5[115]/tbl_task5[[คะแนนเต็ม]:[คะแนนเต็ม]])*tbl_task5[[%]:[%]])</f>
        <v/>
      </c>
      <c r="JZ8" s="121" t="str">
        <f>IF(ISBLANK(tbl_task5[[คะแนนเต็ม]:[คะแนนเต็ม]]),"",(tbl_task5[116]/tbl_task5[[คะแนนเต็ม]:[คะแนนเต็ม]])*tbl_task5[[%]:[%]])</f>
        <v/>
      </c>
      <c r="KA8" s="121" t="str">
        <f>IF(ISBLANK(tbl_task5[[คะแนนเต็ม]:[คะแนนเต็ม]]),"",(tbl_task5[117]/tbl_task5[[คะแนนเต็ม]:[คะแนนเต็ม]])*tbl_task5[[%]:[%]])</f>
        <v/>
      </c>
      <c r="KB8" s="121" t="str">
        <f>IF(ISBLANK(tbl_task5[[คะแนนเต็ม]:[คะแนนเต็ม]]),"",(tbl_task5[118]/tbl_task5[[คะแนนเต็ม]:[คะแนนเต็ม]])*tbl_task5[[%]:[%]])</f>
        <v/>
      </c>
      <c r="KC8" s="121" t="str">
        <f>IF(ISBLANK(tbl_task5[[คะแนนเต็ม]:[คะแนนเต็ม]]),"",(tbl_task5[119]/tbl_task5[[คะแนนเต็ม]:[คะแนนเต็ม]])*tbl_task5[[%]:[%]])</f>
        <v/>
      </c>
      <c r="KD8" s="121" t="str">
        <f>IF(ISBLANK(tbl_task5[[คะแนนเต็ม]:[คะแนนเต็ม]]),"",(tbl_task5[120]/tbl_task5[[คะแนนเต็ม]:[คะแนนเต็ม]])*tbl_task5[[%]:[%]])</f>
        <v/>
      </c>
      <c r="KE8" s="121" t="str">
        <f>IF(ISBLANK(tbl_task5[[คะแนนเต็ม]:[คะแนนเต็ม]]),"",(tbl_task5[121]/tbl_task5[[คะแนนเต็ม]:[คะแนนเต็ม]])*tbl_task5[[%]:[%]])</f>
        <v/>
      </c>
      <c r="KF8" s="121" t="str">
        <f>IF(ISBLANK(tbl_task5[[คะแนนเต็ม]:[คะแนนเต็ม]]),"",(tbl_task5[122]/tbl_task5[[คะแนนเต็ม]:[คะแนนเต็ม]])*tbl_task5[[%]:[%]])</f>
        <v/>
      </c>
      <c r="KG8" s="121" t="str">
        <f>IF(ISBLANK(tbl_task5[[คะแนนเต็ม]:[คะแนนเต็ม]]),"",(tbl_task5[123]/tbl_task5[[คะแนนเต็ม]:[คะแนนเต็ม]])*tbl_task5[[%]:[%]])</f>
        <v/>
      </c>
      <c r="KH8" s="121" t="str">
        <f>IF(ISBLANK(tbl_task5[[คะแนนเต็ม]:[คะแนนเต็ม]]),"",(tbl_task5[124]/tbl_task5[[คะแนนเต็ม]:[คะแนนเต็ม]])*tbl_task5[[%]:[%]])</f>
        <v/>
      </c>
      <c r="KI8" s="121" t="str">
        <f>IF(ISBLANK(tbl_task5[[คะแนนเต็ม]:[คะแนนเต็ม]]),"",(tbl_task5[125]/tbl_task5[[คะแนนเต็ม]:[คะแนนเต็ม]])*tbl_task5[[%]:[%]])</f>
        <v/>
      </c>
      <c r="KJ8" s="121" t="str">
        <f>IF(ISBLANK(tbl_task5[[คะแนนเต็ม]:[คะแนนเต็ม]]),"",(tbl_task5[126]/tbl_task5[[คะแนนเต็ม]:[คะแนนเต็ม]])*tbl_task5[[%]:[%]])</f>
        <v/>
      </c>
      <c r="KK8" s="121" t="str">
        <f>IF(ISBLANK(tbl_task5[[คะแนนเต็ม]:[คะแนนเต็ม]]),"",(tbl_task5[127]/tbl_task5[[คะแนนเต็ม]:[คะแนนเต็ม]])*tbl_task5[[%]:[%]])</f>
        <v/>
      </c>
      <c r="KL8" s="121" t="str">
        <f>IF(ISBLANK(tbl_task5[[คะแนนเต็ม]:[คะแนนเต็ม]]),"",(tbl_task5[128]/tbl_task5[[คะแนนเต็ม]:[คะแนนเต็ม]])*tbl_task5[[%]:[%]])</f>
        <v/>
      </c>
      <c r="KM8" s="121" t="str">
        <f>IF(ISBLANK(tbl_task5[[คะแนนเต็ม]:[คะแนนเต็ม]]),"",(tbl_task5[129]/tbl_task5[[คะแนนเต็ม]:[คะแนนเต็ม]])*tbl_task5[[%]:[%]])</f>
        <v/>
      </c>
      <c r="KN8" s="121" t="str">
        <f>IF(ISBLANK(tbl_task5[[คะแนนเต็ม]:[คะแนนเต็ม]]),"",(tbl_task5[130]/tbl_task5[[คะแนนเต็ม]:[คะแนนเต็ม]])*tbl_task5[[%]:[%]])</f>
        <v/>
      </c>
      <c r="KO8" s="121" t="str">
        <f>IF(ISBLANK(tbl_task5[[คะแนนเต็ม]:[คะแนนเต็ม]]),"",(tbl_task5[131]/tbl_task5[[คะแนนเต็ม]:[คะแนนเต็ม]])*tbl_task5[[%]:[%]])</f>
        <v/>
      </c>
      <c r="KP8" s="121" t="str">
        <f>IF(ISBLANK(tbl_task5[[คะแนนเต็ม]:[คะแนนเต็ม]]),"",(tbl_task5[132]/tbl_task5[[คะแนนเต็ม]:[คะแนนเต็ม]])*tbl_task5[[%]:[%]])</f>
        <v/>
      </c>
      <c r="KQ8" s="121" t="str">
        <f>IF(ISBLANK(tbl_task5[[คะแนนเต็ม]:[คะแนนเต็ม]]),"",(tbl_task5[133]/tbl_task5[[คะแนนเต็ม]:[คะแนนเต็ม]])*tbl_task5[[%]:[%]])</f>
        <v/>
      </c>
      <c r="KR8" s="121" t="str">
        <f>IF(ISBLANK(tbl_task5[[คะแนนเต็ม]:[คะแนนเต็ม]]),"",(tbl_task5[134]/tbl_task5[[คะแนนเต็ม]:[คะแนนเต็ม]])*tbl_task5[[%]:[%]])</f>
        <v/>
      </c>
      <c r="KS8" s="121" t="str">
        <f>IF(ISBLANK(tbl_task5[[คะแนนเต็ม]:[คะแนนเต็ม]]),"",(tbl_task5[135]/tbl_task5[[คะแนนเต็ม]:[คะแนนเต็ม]])*tbl_task5[[%]:[%]])</f>
        <v/>
      </c>
      <c r="KT8" s="121" t="str">
        <f>IF(ISBLANK(tbl_task5[[คะแนนเต็ม]:[คะแนนเต็ม]]),"",(tbl_task5[136]/tbl_task5[[คะแนนเต็ม]:[คะแนนเต็ม]])*tbl_task5[[%]:[%]])</f>
        <v/>
      </c>
      <c r="KU8" s="121" t="str">
        <f>IF(ISBLANK(tbl_task5[[คะแนนเต็ม]:[คะแนนเต็ม]]),"",(tbl_task5[137]/tbl_task5[[คะแนนเต็ม]:[คะแนนเต็ม]])*tbl_task5[[%]:[%]])</f>
        <v/>
      </c>
      <c r="KV8" s="121" t="str">
        <f>IF(ISBLANK(tbl_task5[[คะแนนเต็ม]:[คะแนนเต็ม]]),"",(tbl_task5[138]/tbl_task5[[คะแนนเต็ม]:[คะแนนเต็ม]])*tbl_task5[[%]:[%]])</f>
        <v/>
      </c>
      <c r="KW8" s="121" t="str">
        <f>IF(ISBLANK(tbl_task5[[คะแนนเต็ม]:[คะแนนเต็ม]]),"",(tbl_task5[139]/tbl_task5[[คะแนนเต็ม]:[คะแนนเต็ม]])*tbl_task5[[%]:[%]])</f>
        <v/>
      </c>
      <c r="KX8" s="121" t="str">
        <f>IF(ISBLANK(tbl_task5[[คะแนนเต็ม]:[คะแนนเต็ม]]),"",(tbl_task5[140]/tbl_task5[[คะแนนเต็ม]:[คะแนนเต็ม]])*tbl_task5[[%]:[%]])</f>
        <v/>
      </c>
      <c r="KY8" s="121" t="str">
        <f>IF(ISBLANK(tbl_task5[[คะแนนเต็ม]:[คะแนนเต็ม]]),"",(tbl_task5[141]/tbl_task5[[คะแนนเต็ม]:[คะแนนเต็ม]])*tbl_task5[[%]:[%]])</f>
        <v/>
      </c>
      <c r="KZ8" s="121" t="str">
        <f>IF(ISBLANK(tbl_task5[[คะแนนเต็ม]:[คะแนนเต็ม]]),"",(tbl_task5[142]/tbl_task5[[คะแนนเต็ม]:[คะแนนเต็ม]])*tbl_task5[[%]:[%]])</f>
        <v/>
      </c>
      <c r="LA8" s="121" t="str">
        <f>IF(ISBLANK(tbl_task5[[คะแนนเต็ม]:[คะแนนเต็ม]]),"",(tbl_task5[143]/tbl_task5[[คะแนนเต็ม]:[คะแนนเต็ม]])*tbl_task5[[%]:[%]])</f>
        <v/>
      </c>
      <c r="LB8" s="121" t="str">
        <f>IF(ISBLANK(tbl_task5[[คะแนนเต็ม]:[คะแนนเต็ม]]),"",(tbl_task5[144]/tbl_task5[[คะแนนเต็ม]:[คะแนนเต็ม]])*tbl_task5[[%]:[%]])</f>
        <v/>
      </c>
      <c r="LC8" s="121" t="str">
        <f>IF(ISBLANK(tbl_task5[[คะแนนเต็ม]:[คะแนนเต็ม]]),"",(tbl_task5[145]/tbl_task5[[คะแนนเต็ม]:[คะแนนเต็ม]])*tbl_task5[[%]:[%]])</f>
        <v/>
      </c>
      <c r="LD8" s="121" t="str">
        <f>IF(ISBLANK(tbl_task5[[คะแนนเต็ม]:[คะแนนเต็ม]]),"",(tbl_task5[146]/tbl_task5[[คะแนนเต็ม]:[คะแนนเต็ม]])*tbl_task5[[%]:[%]])</f>
        <v/>
      </c>
      <c r="LE8" s="121" t="str">
        <f>IF(ISBLANK(tbl_task5[[คะแนนเต็ม]:[คะแนนเต็ม]]),"",(tbl_task5[147]/tbl_task5[[คะแนนเต็ม]:[คะแนนเต็ม]])*tbl_task5[[%]:[%]])</f>
        <v/>
      </c>
      <c r="LF8" s="121" t="str">
        <f>IF(ISBLANK(tbl_task5[[คะแนนเต็ม]:[คะแนนเต็ม]]),"",(tbl_task5[148]/tbl_task5[[คะแนนเต็ม]:[คะแนนเต็ม]])*tbl_task5[[%]:[%]])</f>
        <v/>
      </c>
      <c r="LG8" s="121" t="str">
        <f>IF(ISBLANK(tbl_task5[[คะแนนเต็ม]:[คะแนนเต็ม]]),"",(tbl_task5[149]/tbl_task5[[คะแนนเต็ม]:[คะแนนเต็ม]])*tbl_task5[[%]:[%]])</f>
        <v/>
      </c>
      <c r="LH8" s="121" t="str">
        <f>IF(ISBLANK(tbl_task5[[คะแนนเต็ม]:[คะแนนเต็ม]]),"",(tbl_task5[150]/tbl_task5[[คะแนนเต็ม]:[คะแนนเต็ม]])*tbl_task5[[%]:[%]])</f>
        <v/>
      </c>
      <c r="LI8" s="121" t="str">
        <f>IF(ISBLANK(tbl_task5[[คะแนนเต็ม]:[คะแนนเต็ม]]),"",(tbl_task5[151]/tbl_task5[[คะแนนเต็ม]:[คะแนนเต็ม]])*tbl_task5[[%]:[%]])</f>
        <v/>
      </c>
      <c r="LJ8" s="121" t="str">
        <f>IF(ISBLANK(tbl_task5[[คะแนนเต็ม]:[คะแนนเต็ม]]),"",(tbl_task5[152]/tbl_task5[[คะแนนเต็ม]:[คะแนนเต็ม]])*tbl_task5[[%]:[%]])</f>
        <v/>
      </c>
      <c r="LK8" s="121" t="str">
        <f>IF(ISBLANK(tbl_task5[[คะแนนเต็ม]:[คะแนนเต็ม]]),"",(tbl_task5[153]/tbl_task5[[คะแนนเต็ม]:[คะแนนเต็ม]])*tbl_task5[[%]:[%]])</f>
        <v/>
      </c>
      <c r="LL8" s="121" t="str">
        <f>IF(ISBLANK(tbl_task5[[คะแนนเต็ม]:[คะแนนเต็ม]]),"",(tbl_task5[154]/tbl_task5[[คะแนนเต็ม]:[คะแนนเต็ม]])*tbl_task5[[%]:[%]])</f>
        <v/>
      </c>
      <c r="LM8" s="121" t="str">
        <f>IF(ISBLANK(tbl_task5[[คะแนนเต็ม]:[คะแนนเต็ม]]),"",(tbl_task5[155]/tbl_task5[[คะแนนเต็ม]:[คะแนนเต็ม]])*tbl_task5[[%]:[%]])</f>
        <v/>
      </c>
      <c r="LN8" s="121" t="str">
        <f>IF(ISBLANK(tbl_task5[[คะแนนเต็ม]:[คะแนนเต็ม]]),"",(tbl_task5[156]/tbl_task5[[คะแนนเต็ม]:[คะแนนเต็ม]])*tbl_task5[[%]:[%]])</f>
        <v/>
      </c>
      <c r="LO8" s="121" t="str">
        <f>IF(ISBLANK(tbl_task5[[คะแนนเต็ม]:[คะแนนเต็ม]]),"",(tbl_task5[157]/tbl_task5[[คะแนนเต็ม]:[คะแนนเต็ม]])*tbl_task5[[%]:[%]])</f>
        <v/>
      </c>
      <c r="LP8" s="121" t="str">
        <f>IF(ISBLANK(tbl_task5[[คะแนนเต็ม]:[คะแนนเต็ม]]),"",(tbl_task5[158]/tbl_task5[[คะแนนเต็ม]:[คะแนนเต็ม]])*tbl_task5[[%]:[%]])</f>
        <v/>
      </c>
      <c r="LQ8" s="121" t="str">
        <f>IF(ISBLANK(tbl_task5[[คะแนนเต็ม]:[คะแนนเต็ม]]),"",(tbl_task5[159]/tbl_task5[[คะแนนเต็ม]:[คะแนนเต็ม]])*tbl_task5[[%]:[%]])</f>
        <v/>
      </c>
      <c r="LR8" s="121" t="str">
        <f>IF(ISBLANK(tbl_task5[[คะแนนเต็ม]:[คะแนนเต็ม]]),"",(tbl_task5[160]/tbl_task5[[คะแนนเต็ม]:[คะแนนเต็ม]])*tbl_task5[[%]:[%]])</f>
        <v/>
      </c>
      <c r="LS8" s="121" t="str">
        <f>IF(ISBLANK(tbl_task5[[คะแนนเต็ม]:[คะแนนเต็ม]]),"",(tbl_task5[161]/tbl_task5[[คะแนนเต็ม]:[คะแนนเต็ม]])*tbl_task5[[%]:[%]])</f>
        <v/>
      </c>
      <c r="LT8" s="121" t="str">
        <f>IF(ISBLANK(tbl_task5[[คะแนนเต็ม]:[คะแนนเต็ม]]),"",(tbl_task5[162]/tbl_task5[[คะแนนเต็ม]:[คะแนนเต็ม]])*tbl_task5[[%]:[%]])</f>
        <v/>
      </c>
      <c r="LU8" s="121" t="str">
        <f>IF(ISBLANK(tbl_task5[[คะแนนเต็ม]:[คะแนนเต็ม]]),"",(tbl_task5[163]/tbl_task5[[คะแนนเต็ม]:[คะแนนเต็ม]])*tbl_task5[[%]:[%]])</f>
        <v/>
      </c>
      <c r="LV8" s="121" t="str">
        <f>IF(ISBLANK(tbl_task5[[คะแนนเต็ม]:[คะแนนเต็ม]]),"",(tbl_task5[164]/tbl_task5[[คะแนนเต็ม]:[คะแนนเต็ม]])*tbl_task5[[%]:[%]])</f>
        <v/>
      </c>
      <c r="LW8" s="121" t="str">
        <f>IF(ISBLANK(tbl_task5[[คะแนนเต็ม]:[คะแนนเต็ม]]),"",(tbl_task5[165]/tbl_task5[[คะแนนเต็ม]:[คะแนนเต็ม]])*tbl_task5[[%]:[%]])</f>
        <v/>
      </c>
    </row>
    <row r="9" spans="1:335" x14ac:dyDescent="0.25">
      <c r="A9" s="24">
        <v>6</v>
      </c>
      <c r="B9" s="20"/>
      <c r="C9" s="5" t="str">
        <f>IF(ISBLANK(B9),"",VLOOKUP(B9,tbl_PLOs[],2,0))</f>
        <v/>
      </c>
      <c r="D9" s="102"/>
      <c r="E9" s="106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22"/>
      <c r="FO9" s="121" t="str">
        <f>IF(ISBLANK(tbl_task5[[คะแนนเต็ม]:[คะแนนเต็ม]]),"",(tbl_task5[1]/tbl_task5[[คะแนนเต็ม]:[คะแนนเต็ม]])*tbl_task5[[%]:[%]])</f>
        <v/>
      </c>
      <c r="FP9" s="121" t="str">
        <f>IF(ISBLANK(tbl_task5[[คะแนนเต็ม]:[คะแนนเต็ม]]),"",(tbl_task5[2]/tbl_task5[[คะแนนเต็ม]:[คะแนนเต็ม]])*tbl_task5[[%]:[%]])</f>
        <v/>
      </c>
      <c r="FQ9" s="121" t="str">
        <f>IF(ISBLANK(tbl_task5[[คะแนนเต็ม]:[คะแนนเต็ม]]),"",(tbl_task5[3]/tbl_task5[[คะแนนเต็ม]:[คะแนนเต็ม]])*tbl_task5[[%]:[%]])</f>
        <v/>
      </c>
      <c r="FR9" s="121" t="str">
        <f>IF(ISBLANK(tbl_task5[[คะแนนเต็ม]:[คะแนนเต็ม]]),"",(tbl_task5[4]/tbl_task5[[คะแนนเต็ม]:[คะแนนเต็ม]])*tbl_task5[[%]:[%]])</f>
        <v/>
      </c>
      <c r="FS9" s="121" t="str">
        <f>IF(ISBLANK(tbl_task5[[คะแนนเต็ม]:[คะแนนเต็ม]]),"",(tbl_task5[5]/tbl_task5[[คะแนนเต็ม]:[คะแนนเต็ม]])*tbl_task5[[%]:[%]])</f>
        <v/>
      </c>
      <c r="FT9" s="121" t="str">
        <f>IF(ISBLANK(tbl_task5[[คะแนนเต็ม]:[คะแนนเต็ม]]),"",(tbl_task5[6]/tbl_task5[[คะแนนเต็ม]:[คะแนนเต็ม]])*tbl_task5[[%]:[%]])</f>
        <v/>
      </c>
      <c r="FU9" s="121" t="str">
        <f>IF(ISBLANK(tbl_task5[[คะแนนเต็ม]:[คะแนนเต็ม]]),"",(tbl_task5[7]/tbl_task5[[คะแนนเต็ม]:[คะแนนเต็ม]])*tbl_task5[[%]:[%]])</f>
        <v/>
      </c>
      <c r="FV9" s="121" t="str">
        <f>IF(ISBLANK(tbl_task5[[คะแนนเต็ม]:[คะแนนเต็ม]]),"",(tbl_task5[8]/tbl_task5[[คะแนนเต็ม]:[คะแนนเต็ม]])*tbl_task5[[%]:[%]])</f>
        <v/>
      </c>
      <c r="FW9" s="121" t="str">
        <f>IF(ISBLANK(tbl_task5[[คะแนนเต็ม]:[คะแนนเต็ม]]),"",(tbl_task5[9]/tbl_task5[[คะแนนเต็ม]:[คะแนนเต็ม]])*tbl_task5[[%]:[%]])</f>
        <v/>
      </c>
      <c r="FX9" s="121" t="str">
        <f>IF(ISBLANK(tbl_task5[[คะแนนเต็ม]:[คะแนนเต็ม]]),"",(tbl_task5[10]/tbl_task5[[คะแนนเต็ม]:[คะแนนเต็ม]])*tbl_task5[[%]:[%]])</f>
        <v/>
      </c>
      <c r="FY9" s="121" t="str">
        <f>IF(ISBLANK(tbl_task5[[คะแนนเต็ม]:[คะแนนเต็ม]]),"",(tbl_task5[11]/tbl_task5[[คะแนนเต็ม]:[คะแนนเต็ม]])*tbl_task5[[%]:[%]])</f>
        <v/>
      </c>
      <c r="FZ9" s="121" t="str">
        <f>IF(ISBLANK(tbl_task5[[คะแนนเต็ม]:[คะแนนเต็ม]]),"",(tbl_task5[12]/tbl_task5[[คะแนนเต็ม]:[คะแนนเต็ม]])*tbl_task5[[%]:[%]])</f>
        <v/>
      </c>
      <c r="GA9" s="121" t="str">
        <f>IF(ISBLANK(tbl_task5[[คะแนนเต็ม]:[คะแนนเต็ม]]),"",(tbl_task5[13]/tbl_task5[[คะแนนเต็ม]:[คะแนนเต็ม]])*tbl_task5[[%]:[%]])</f>
        <v/>
      </c>
      <c r="GB9" s="121" t="str">
        <f>IF(ISBLANK(tbl_task5[[คะแนนเต็ม]:[คะแนนเต็ม]]),"",(tbl_task5[14]/tbl_task5[[คะแนนเต็ม]:[คะแนนเต็ม]])*tbl_task5[[%]:[%]])</f>
        <v/>
      </c>
      <c r="GC9" s="121" t="str">
        <f>IF(ISBLANK(tbl_task5[[คะแนนเต็ม]:[คะแนนเต็ม]]),"",(tbl_task5[15]/tbl_task5[[คะแนนเต็ม]:[คะแนนเต็ม]])*tbl_task5[[%]:[%]])</f>
        <v/>
      </c>
      <c r="GD9" s="121" t="str">
        <f>IF(ISBLANK(tbl_task5[[คะแนนเต็ม]:[คะแนนเต็ม]]),"",(tbl_task5[16]/tbl_task5[[คะแนนเต็ม]:[คะแนนเต็ม]])*tbl_task5[[%]:[%]])</f>
        <v/>
      </c>
      <c r="GE9" s="121" t="str">
        <f>IF(ISBLANK(tbl_task5[[คะแนนเต็ม]:[คะแนนเต็ม]]),"",(tbl_task5[17]/tbl_task5[[คะแนนเต็ม]:[คะแนนเต็ม]])*tbl_task5[[%]:[%]])</f>
        <v/>
      </c>
      <c r="GF9" s="121" t="str">
        <f>IF(ISBLANK(tbl_task5[[คะแนนเต็ม]:[คะแนนเต็ม]]),"",(tbl_task5[18]/tbl_task5[[คะแนนเต็ม]:[คะแนนเต็ม]])*tbl_task5[[%]:[%]])</f>
        <v/>
      </c>
      <c r="GG9" s="121" t="str">
        <f>IF(ISBLANK(tbl_task5[[คะแนนเต็ม]:[คะแนนเต็ม]]),"",(tbl_task5[19]/tbl_task5[[คะแนนเต็ม]:[คะแนนเต็ม]])*tbl_task5[[%]:[%]])</f>
        <v/>
      </c>
      <c r="GH9" s="121" t="str">
        <f>IF(ISBLANK(tbl_task5[[คะแนนเต็ม]:[คะแนนเต็ม]]),"",(tbl_task5[20]/tbl_task5[[คะแนนเต็ม]:[คะแนนเต็ม]])*tbl_task5[[%]:[%]])</f>
        <v/>
      </c>
      <c r="GI9" s="121" t="str">
        <f>IF(ISBLANK(tbl_task5[[คะแนนเต็ม]:[คะแนนเต็ม]]),"",(tbl_task5[21]/tbl_task5[[คะแนนเต็ม]:[คะแนนเต็ม]])*tbl_task5[[%]:[%]])</f>
        <v/>
      </c>
      <c r="GJ9" s="121" t="str">
        <f>IF(ISBLANK(tbl_task5[[คะแนนเต็ม]:[คะแนนเต็ม]]),"",(tbl_task5[22]/tbl_task5[[คะแนนเต็ม]:[คะแนนเต็ม]])*tbl_task5[[%]:[%]])</f>
        <v/>
      </c>
      <c r="GK9" s="121" t="str">
        <f>IF(ISBLANK(tbl_task5[[คะแนนเต็ม]:[คะแนนเต็ม]]),"",(tbl_task5[23]/tbl_task5[[คะแนนเต็ม]:[คะแนนเต็ม]])*tbl_task5[[%]:[%]])</f>
        <v/>
      </c>
      <c r="GL9" s="121" t="str">
        <f>IF(ISBLANK(tbl_task5[[คะแนนเต็ม]:[คะแนนเต็ม]]),"",(tbl_task5[24]/tbl_task5[[คะแนนเต็ม]:[คะแนนเต็ม]])*tbl_task5[[%]:[%]])</f>
        <v/>
      </c>
      <c r="GM9" s="121" t="str">
        <f>IF(ISBLANK(tbl_task5[[คะแนนเต็ม]:[คะแนนเต็ม]]),"",(tbl_task5[25]/tbl_task5[[คะแนนเต็ม]:[คะแนนเต็ม]])*tbl_task5[[%]:[%]])</f>
        <v/>
      </c>
      <c r="GN9" s="121" t="str">
        <f>IF(ISBLANK(tbl_task5[[คะแนนเต็ม]:[คะแนนเต็ม]]),"",(tbl_task5[26]/tbl_task5[[คะแนนเต็ม]:[คะแนนเต็ม]])*tbl_task5[[%]:[%]])</f>
        <v/>
      </c>
      <c r="GO9" s="121" t="str">
        <f>IF(ISBLANK(tbl_task5[[คะแนนเต็ม]:[คะแนนเต็ม]]),"",(tbl_task5[27]/tbl_task5[[คะแนนเต็ม]:[คะแนนเต็ม]])*tbl_task5[[%]:[%]])</f>
        <v/>
      </c>
      <c r="GP9" s="121" t="str">
        <f>IF(ISBLANK(tbl_task5[[คะแนนเต็ม]:[คะแนนเต็ม]]),"",(tbl_task5[28]/tbl_task5[[คะแนนเต็ม]:[คะแนนเต็ม]])*tbl_task5[[%]:[%]])</f>
        <v/>
      </c>
      <c r="GQ9" s="121" t="str">
        <f>IF(ISBLANK(tbl_task5[[คะแนนเต็ม]:[คะแนนเต็ม]]),"",(tbl_task5[29]/tbl_task5[[คะแนนเต็ม]:[คะแนนเต็ม]])*tbl_task5[[%]:[%]])</f>
        <v/>
      </c>
      <c r="GR9" s="121" t="str">
        <f>IF(ISBLANK(tbl_task5[[คะแนนเต็ม]:[คะแนนเต็ม]]),"",(tbl_task5[30]/tbl_task5[[คะแนนเต็ม]:[คะแนนเต็ม]])*tbl_task5[[%]:[%]])</f>
        <v/>
      </c>
      <c r="GS9" s="121" t="str">
        <f>IF(ISBLANK(tbl_task5[[คะแนนเต็ม]:[คะแนนเต็ม]]),"",(tbl_task5[31]/tbl_task5[[คะแนนเต็ม]:[คะแนนเต็ม]])*tbl_task5[[%]:[%]])</f>
        <v/>
      </c>
      <c r="GT9" s="121" t="str">
        <f>IF(ISBLANK(tbl_task5[[คะแนนเต็ม]:[คะแนนเต็ม]]),"",(tbl_task5[32]/tbl_task5[[คะแนนเต็ม]:[คะแนนเต็ม]])*tbl_task5[[%]:[%]])</f>
        <v/>
      </c>
      <c r="GU9" s="121" t="str">
        <f>IF(ISBLANK(tbl_task5[[คะแนนเต็ม]:[คะแนนเต็ม]]),"",(tbl_task5[33]/tbl_task5[[คะแนนเต็ม]:[คะแนนเต็ม]])*tbl_task5[[%]:[%]])</f>
        <v/>
      </c>
      <c r="GV9" s="121" t="str">
        <f>IF(ISBLANK(tbl_task5[[คะแนนเต็ม]:[คะแนนเต็ม]]),"",(tbl_task5[34]/tbl_task5[[คะแนนเต็ม]:[คะแนนเต็ม]])*tbl_task5[[%]:[%]])</f>
        <v/>
      </c>
      <c r="GW9" s="121" t="str">
        <f>IF(ISBLANK(tbl_task5[[คะแนนเต็ม]:[คะแนนเต็ม]]),"",(tbl_task5[35]/tbl_task5[[คะแนนเต็ม]:[คะแนนเต็ม]])*tbl_task5[[%]:[%]])</f>
        <v/>
      </c>
      <c r="GX9" s="121" t="str">
        <f>IF(ISBLANK(tbl_task5[[คะแนนเต็ม]:[คะแนนเต็ม]]),"",(tbl_task5[36]/tbl_task5[[คะแนนเต็ม]:[คะแนนเต็ม]])*tbl_task5[[%]:[%]])</f>
        <v/>
      </c>
      <c r="GY9" s="121" t="str">
        <f>IF(ISBLANK(tbl_task5[[คะแนนเต็ม]:[คะแนนเต็ม]]),"",(tbl_task5[37]/tbl_task5[[คะแนนเต็ม]:[คะแนนเต็ม]])*tbl_task5[[%]:[%]])</f>
        <v/>
      </c>
      <c r="GZ9" s="121" t="str">
        <f>IF(ISBLANK(tbl_task5[[คะแนนเต็ม]:[คะแนนเต็ม]]),"",(tbl_task5[38]/tbl_task5[[คะแนนเต็ม]:[คะแนนเต็ม]])*tbl_task5[[%]:[%]])</f>
        <v/>
      </c>
      <c r="HA9" s="121" t="str">
        <f>IF(ISBLANK(tbl_task5[[คะแนนเต็ม]:[คะแนนเต็ม]]),"",(tbl_task5[39]/tbl_task5[[คะแนนเต็ม]:[คะแนนเต็ม]])*tbl_task5[[%]:[%]])</f>
        <v/>
      </c>
      <c r="HB9" s="121" t="str">
        <f>IF(ISBLANK(tbl_task5[[คะแนนเต็ม]:[คะแนนเต็ม]]),"",(tbl_task5[40]/tbl_task5[[คะแนนเต็ม]:[คะแนนเต็ม]])*tbl_task5[[%]:[%]])</f>
        <v/>
      </c>
      <c r="HC9" s="121" t="str">
        <f>IF(ISBLANK(tbl_task5[[คะแนนเต็ม]:[คะแนนเต็ม]]),"",(tbl_task5[41]/tbl_task5[[คะแนนเต็ม]:[คะแนนเต็ม]])*tbl_task5[[%]:[%]])</f>
        <v/>
      </c>
      <c r="HD9" s="121" t="str">
        <f>IF(ISBLANK(tbl_task5[[คะแนนเต็ม]:[คะแนนเต็ม]]),"",(tbl_task5[42]/tbl_task5[[คะแนนเต็ม]:[คะแนนเต็ม]])*tbl_task5[[%]:[%]])</f>
        <v/>
      </c>
      <c r="HE9" s="121" t="str">
        <f>IF(ISBLANK(tbl_task5[[คะแนนเต็ม]:[คะแนนเต็ม]]),"",(tbl_task5[43]/tbl_task5[[คะแนนเต็ม]:[คะแนนเต็ม]])*tbl_task5[[%]:[%]])</f>
        <v/>
      </c>
      <c r="HF9" s="121" t="str">
        <f>IF(ISBLANK(tbl_task5[[คะแนนเต็ม]:[คะแนนเต็ม]]),"",(tbl_task5[44]/tbl_task5[[คะแนนเต็ม]:[คะแนนเต็ม]])*tbl_task5[[%]:[%]])</f>
        <v/>
      </c>
      <c r="HG9" s="121" t="str">
        <f>IF(ISBLANK(tbl_task5[[คะแนนเต็ม]:[คะแนนเต็ม]]),"",(tbl_task5[45]/tbl_task5[[คะแนนเต็ม]:[คะแนนเต็ม]])*tbl_task5[[%]:[%]])</f>
        <v/>
      </c>
      <c r="HH9" s="121" t="str">
        <f>IF(ISBLANK(tbl_task5[[คะแนนเต็ม]:[คะแนนเต็ม]]),"",(tbl_task5[46]/tbl_task5[[คะแนนเต็ม]:[คะแนนเต็ม]])*tbl_task5[[%]:[%]])</f>
        <v/>
      </c>
      <c r="HI9" s="121" t="str">
        <f>IF(ISBLANK(tbl_task5[[คะแนนเต็ม]:[คะแนนเต็ม]]),"",(tbl_task5[47]/tbl_task5[[คะแนนเต็ม]:[คะแนนเต็ม]])*tbl_task5[[%]:[%]])</f>
        <v/>
      </c>
      <c r="HJ9" s="121" t="str">
        <f>IF(ISBLANK(tbl_task5[[คะแนนเต็ม]:[คะแนนเต็ม]]),"",(tbl_task5[48]/tbl_task5[[คะแนนเต็ม]:[คะแนนเต็ม]])*tbl_task5[[%]:[%]])</f>
        <v/>
      </c>
      <c r="HK9" s="121" t="str">
        <f>IF(ISBLANK(tbl_task5[[คะแนนเต็ม]:[คะแนนเต็ม]]),"",(tbl_task5[49]/tbl_task5[[คะแนนเต็ม]:[คะแนนเต็ม]])*tbl_task5[[%]:[%]])</f>
        <v/>
      </c>
      <c r="HL9" s="121" t="str">
        <f>IF(ISBLANK(tbl_task5[[คะแนนเต็ม]:[คะแนนเต็ม]]),"",(tbl_task5[50]/tbl_task5[[คะแนนเต็ม]:[คะแนนเต็ม]])*tbl_task5[[%]:[%]])</f>
        <v/>
      </c>
      <c r="HM9" s="121" t="str">
        <f>IF(ISBLANK(tbl_task5[[คะแนนเต็ม]:[คะแนนเต็ม]]),"",(tbl_task5[51]/tbl_task5[[คะแนนเต็ม]:[คะแนนเต็ม]])*tbl_task5[[%]:[%]])</f>
        <v/>
      </c>
      <c r="HN9" s="121" t="str">
        <f>IF(ISBLANK(tbl_task5[[คะแนนเต็ม]:[คะแนนเต็ม]]),"",(tbl_task5[52]/tbl_task5[[คะแนนเต็ม]:[คะแนนเต็ม]])*tbl_task5[[%]:[%]])</f>
        <v/>
      </c>
      <c r="HO9" s="121" t="str">
        <f>IF(ISBLANK(tbl_task5[[คะแนนเต็ม]:[คะแนนเต็ม]]),"",(tbl_task5[53]/tbl_task5[[คะแนนเต็ม]:[คะแนนเต็ม]])*tbl_task5[[%]:[%]])</f>
        <v/>
      </c>
      <c r="HP9" s="121" t="str">
        <f>IF(ISBLANK(tbl_task5[[คะแนนเต็ม]:[คะแนนเต็ม]]),"",(tbl_task5[54]/tbl_task5[[คะแนนเต็ม]:[คะแนนเต็ม]])*tbl_task5[[%]:[%]])</f>
        <v/>
      </c>
      <c r="HQ9" s="121" t="str">
        <f>IF(ISBLANK(tbl_task5[[คะแนนเต็ม]:[คะแนนเต็ม]]),"",(tbl_task5[55]/tbl_task5[[คะแนนเต็ม]:[คะแนนเต็ม]])*tbl_task5[[%]:[%]])</f>
        <v/>
      </c>
      <c r="HR9" s="121" t="str">
        <f>IF(ISBLANK(tbl_task5[[คะแนนเต็ม]:[คะแนนเต็ม]]),"",(tbl_task5[56]/tbl_task5[[คะแนนเต็ม]:[คะแนนเต็ม]])*tbl_task5[[%]:[%]])</f>
        <v/>
      </c>
      <c r="HS9" s="121" t="str">
        <f>IF(ISBLANK(tbl_task5[[คะแนนเต็ม]:[คะแนนเต็ม]]),"",(tbl_task5[57]/tbl_task5[[คะแนนเต็ม]:[คะแนนเต็ม]])*tbl_task5[[%]:[%]])</f>
        <v/>
      </c>
      <c r="HT9" s="121" t="str">
        <f>IF(ISBLANK(tbl_task5[[คะแนนเต็ม]:[คะแนนเต็ม]]),"",(tbl_task5[58]/tbl_task5[[คะแนนเต็ม]:[คะแนนเต็ม]])*tbl_task5[[%]:[%]])</f>
        <v/>
      </c>
      <c r="HU9" s="121" t="str">
        <f>IF(ISBLANK(tbl_task5[[คะแนนเต็ม]:[คะแนนเต็ม]]),"",(tbl_task5[59]/tbl_task5[[คะแนนเต็ม]:[คะแนนเต็ม]])*tbl_task5[[%]:[%]])</f>
        <v/>
      </c>
      <c r="HV9" s="121" t="str">
        <f>IF(ISBLANK(tbl_task5[[คะแนนเต็ม]:[คะแนนเต็ม]]),"",(tbl_task5[60]/tbl_task5[[คะแนนเต็ม]:[คะแนนเต็ม]])*tbl_task5[[%]:[%]])</f>
        <v/>
      </c>
      <c r="HW9" s="121" t="str">
        <f>IF(ISBLANK(tbl_task5[[คะแนนเต็ม]:[คะแนนเต็ม]]),"",(tbl_task5[61]/tbl_task5[[คะแนนเต็ม]:[คะแนนเต็ม]])*tbl_task5[[%]:[%]])</f>
        <v/>
      </c>
      <c r="HX9" s="121" t="str">
        <f>IF(ISBLANK(tbl_task5[[คะแนนเต็ม]:[คะแนนเต็ม]]),"",(tbl_task5[62]/tbl_task5[[คะแนนเต็ม]:[คะแนนเต็ม]])*tbl_task5[[%]:[%]])</f>
        <v/>
      </c>
      <c r="HY9" s="121" t="str">
        <f>IF(ISBLANK(tbl_task5[[คะแนนเต็ม]:[คะแนนเต็ม]]),"",(tbl_task5[63]/tbl_task5[[คะแนนเต็ม]:[คะแนนเต็ม]])*tbl_task5[[%]:[%]])</f>
        <v/>
      </c>
      <c r="HZ9" s="121" t="str">
        <f>IF(ISBLANK(tbl_task5[[คะแนนเต็ม]:[คะแนนเต็ม]]),"",(tbl_task5[64]/tbl_task5[[คะแนนเต็ม]:[คะแนนเต็ม]])*tbl_task5[[%]:[%]])</f>
        <v/>
      </c>
      <c r="IA9" s="121" t="str">
        <f>IF(ISBLANK(tbl_task5[[คะแนนเต็ม]:[คะแนนเต็ม]]),"",(tbl_task5[65]/tbl_task5[[คะแนนเต็ม]:[คะแนนเต็ม]])*tbl_task5[[%]:[%]])</f>
        <v/>
      </c>
      <c r="IB9" s="121" t="str">
        <f>IF(ISBLANK(tbl_task5[[คะแนนเต็ม]:[คะแนนเต็ม]]),"",(tbl_task5[66]/tbl_task5[[คะแนนเต็ม]:[คะแนนเต็ม]])*tbl_task5[[%]:[%]])</f>
        <v/>
      </c>
      <c r="IC9" s="121" t="str">
        <f>IF(ISBLANK(tbl_task5[[คะแนนเต็ม]:[คะแนนเต็ม]]),"",(tbl_task5[67]/tbl_task5[[คะแนนเต็ม]:[คะแนนเต็ม]])*tbl_task5[[%]:[%]])</f>
        <v/>
      </c>
      <c r="ID9" s="121" t="str">
        <f>IF(ISBLANK(tbl_task5[[คะแนนเต็ม]:[คะแนนเต็ม]]),"",(tbl_task5[68]/tbl_task5[[คะแนนเต็ม]:[คะแนนเต็ม]])*tbl_task5[[%]:[%]])</f>
        <v/>
      </c>
      <c r="IE9" s="121" t="str">
        <f>IF(ISBLANK(tbl_task5[[คะแนนเต็ม]:[คะแนนเต็ม]]),"",(tbl_task5[69]/tbl_task5[[คะแนนเต็ม]:[คะแนนเต็ม]])*tbl_task5[[%]:[%]])</f>
        <v/>
      </c>
      <c r="IF9" s="121" t="str">
        <f>IF(ISBLANK(tbl_task5[[คะแนนเต็ม]:[คะแนนเต็ม]]),"",(tbl_task5[70]/tbl_task5[[คะแนนเต็ม]:[คะแนนเต็ม]])*tbl_task5[[%]:[%]])</f>
        <v/>
      </c>
      <c r="IG9" s="121" t="str">
        <f>IF(ISBLANK(tbl_task5[[คะแนนเต็ม]:[คะแนนเต็ม]]),"",(tbl_task5[71]/tbl_task5[[คะแนนเต็ม]:[คะแนนเต็ม]])*tbl_task5[[%]:[%]])</f>
        <v/>
      </c>
      <c r="IH9" s="121" t="str">
        <f>IF(ISBLANK(tbl_task5[[คะแนนเต็ม]:[คะแนนเต็ม]]),"",(tbl_task5[72]/tbl_task5[[คะแนนเต็ม]:[คะแนนเต็ม]])*tbl_task5[[%]:[%]])</f>
        <v/>
      </c>
      <c r="II9" s="121" t="str">
        <f>IF(ISBLANK(tbl_task5[[คะแนนเต็ม]:[คะแนนเต็ม]]),"",(tbl_task5[73]/tbl_task5[[คะแนนเต็ม]:[คะแนนเต็ม]])*tbl_task5[[%]:[%]])</f>
        <v/>
      </c>
      <c r="IJ9" s="121" t="str">
        <f>IF(ISBLANK(tbl_task5[[คะแนนเต็ม]:[คะแนนเต็ม]]),"",(tbl_task5[74]/tbl_task5[[คะแนนเต็ม]:[คะแนนเต็ม]])*tbl_task5[[%]:[%]])</f>
        <v/>
      </c>
      <c r="IK9" s="121" t="str">
        <f>IF(ISBLANK(tbl_task5[[คะแนนเต็ม]:[คะแนนเต็ม]]),"",(tbl_task5[75]/tbl_task5[[คะแนนเต็ม]:[คะแนนเต็ม]])*tbl_task5[[%]:[%]])</f>
        <v/>
      </c>
      <c r="IL9" s="121" t="str">
        <f>IF(ISBLANK(tbl_task5[[คะแนนเต็ม]:[คะแนนเต็ม]]),"",(tbl_task5[76]/tbl_task5[[คะแนนเต็ม]:[คะแนนเต็ม]])*tbl_task5[[%]:[%]])</f>
        <v/>
      </c>
      <c r="IM9" s="121" t="str">
        <f>IF(ISBLANK(tbl_task5[[คะแนนเต็ม]:[คะแนนเต็ม]]),"",(tbl_task5[77]/tbl_task5[[คะแนนเต็ม]:[คะแนนเต็ม]])*tbl_task5[[%]:[%]])</f>
        <v/>
      </c>
      <c r="IN9" s="121" t="str">
        <f>IF(ISBLANK(tbl_task5[[คะแนนเต็ม]:[คะแนนเต็ม]]),"",(tbl_task5[78]/tbl_task5[[คะแนนเต็ม]:[คะแนนเต็ม]])*tbl_task5[[%]:[%]])</f>
        <v/>
      </c>
      <c r="IO9" s="121" t="str">
        <f>IF(ISBLANK(tbl_task5[[คะแนนเต็ม]:[คะแนนเต็ม]]),"",(tbl_task5[79]/tbl_task5[[คะแนนเต็ม]:[คะแนนเต็ม]])*tbl_task5[[%]:[%]])</f>
        <v/>
      </c>
      <c r="IP9" s="121" t="str">
        <f>IF(ISBLANK(tbl_task5[[คะแนนเต็ม]:[คะแนนเต็ม]]),"",(tbl_task5[80]/tbl_task5[[คะแนนเต็ม]:[คะแนนเต็ม]])*tbl_task5[[%]:[%]])</f>
        <v/>
      </c>
      <c r="IQ9" s="121" t="str">
        <f>IF(ISBLANK(tbl_task5[[คะแนนเต็ม]:[คะแนนเต็ม]]),"",(tbl_task5[81]/tbl_task5[[คะแนนเต็ม]:[คะแนนเต็ม]])*tbl_task5[[%]:[%]])</f>
        <v/>
      </c>
      <c r="IR9" s="121" t="str">
        <f>IF(ISBLANK(tbl_task5[[คะแนนเต็ม]:[คะแนนเต็ม]]),"",(tbl_task5[82]/tbl_task5[[คะแนนเต็ม]:[คะแนนเต็ม]])*tbl_task5[[%]:[%]])</f>
        <v/>
      </c>
      <c r="IS9" s="121" t="str">
        <f>IF(ISBLANK(tbl_task5[[คะแนนเต็ม]:[คะแนนเต็ม]]),"",(tbl_task5[83]/tbl_task5[[คะแนนเต็ม]:[คะแนนเต็ม]])*tbl_task5[[%]:[%]])</f>
        <v/>
      </c>
      <c r="IT9" s="121" t="str">
        <f>IF(ISBLANK(tbl_task5[[คะแนนเต็ม]:[คะแนนเต็ม]]),"",(tbl_task5[84]/tbl_task5[[คะแนนเต็ม]:[คะแนนเต็ม]])*tbl_task5[[%]:[%]])</f>
        <v/>
      </c>
      <c r="IU9" s="121" t="str">
        <f>IF(ISBLANK(tbl_task5[[คะแนนเต็ม]:[คะแนนเต็ม]]),"",(tbl_task5[85]/tbl_task5[[คะแนนเต็ม]:[คะแนนเต็ม]])*tbl_task5[[%]:[%]])</f>
        <v/>
      </c>
      <c r="IV9" s="121" t="str">
        <f>IF(ISBLANK(tbl_task5[[คะแนนเต็ม]:[คะแนนเต็ม]]),"",(tbl_task5[86]/tbl_task5[[คะแนนเต็ม]:[คะแนนเต็ม]])*tbl_task5[[%]:[%]])</f>
        <v/>
      </c>
      <c r="IW9" s="121" t="str">
        <f>IF(ISBLANK(tbl_task5[[คะแนนเต็ม]:[คะแนนเต็ม]]),"",(tbl_task5[87]/tbl_task5[[คะแนนเต็ม]:[คะแนนเต็ม]])*tbl_task5[[%]:[%]])</f>
        <v/>
      </c>
      <c r="IX9" s="121" t="str">
        <f>IF(ISBLANK(tbl_task5[[คะแนนเต็ม]:[คะแนนเต็ม]]),"",(tbl_task5[88]/tbl_task5[[คะแนนเต็ม]:[คะแนนเต็ม]])*tbl_task5[[%]:[%]])</f>
        <v/>
      </c>
      <c r="IY9" s="121" t="str">
        <f>IF(ISBLANK(tbl_task5[[คะแนนเต็ม]:[คะแนนเต็ม]]),"",(tbl_task5[89]/tbl_task5[[คะแนนเต็ม]:[คะแนนเต็ม]])*tbl_task5[[%]:[%]])</f>
        <v/>
      </c>
      <c r="IZ9" s="121" t="str">
        <f>IF(ISBLANK(tbl_task5[[คะแนนเต็ม]:[คะแนนเต็ม]]),"",(tbl_task5[90]/tbl_task5[[คะแนนเต็ม]:[คะแนนเต็ม]])*tbl_task5[[%]:[%]])</f>
        <v/>
      </c>
      <c r="JA9" s="121" t="str">
        <f>IF(ISBLANK(tbl_task5[[คะแนนเต็ม]:[คะแนนเต็ม]]),"",(tbl_task5[91]/tbl_task5[[คะแนนเต็ม]:[คะแนนเต็ม]])*tbl_task5[[%]:[%]])</f>
        <v/>
      </c>
      <c r="JB9" s="121" t="str">
        <f>IF(ISBLANK(tbl_task5[[คะแนนเต็ม]:[คะแนนเต็ม]]),"",(tbl_task5[92]/tbl_task5[[คะแนนเต็ม]:[คะแนนเต็ม]])*tbl_task5[[%]:[%]])</f>
        <v/>
      </c>
      <c r="JC9" s="121" t="str">
        <f>IF(ISBLANK(tbl_task5[[คะแนนเต็ม]:[คะแนนเต็ม]]),"",(tbl_task5[93]/tbl_task5[[คะแนนเต็ม]:[คะแนนเต็ม]])*tbl_task5[[%]:[%]])</f>
        <v/>
      </c>
      <c r="JD9" s="121" t="str">
        <f>IF(ISBLANK(tbl_task5[[คะแนนเต็ม]:[คะแนนเต็ม]]),"",(tbl_task5[94]/tbl_task5[[คะแนนเต็ม]:[คะแนนเต็ม]])*tbl_task5[[%]:[%]])</f>
        <v/>
      </c>
      <c r="JE9" s="121" t="str">
        <f>IF(ISBLANK(tbl_task5[[คะแนนเต็ม]:[คะแนนเต็ม]]),"",(tbl_task5[95]/tbl_task5[[คะแนนเต็ม]:[คะแนนเต็ม]])*tbl_task5[[%]:[%]])</f>
        <v/>
      </c>
      <c r="JF9" s="121" t="str">
        <f>IF(ISBLANK(tbl_task5[[คะแนนเต็ม]:[คะแนนเต็ม]]),"",(tbl_task5[96]/tbl_task5[[คะแนนเต็ม]:[คะแนนเต็ม]])*tbl_task5[[%]:[%]])</f>
        <v/>
      </c>
      <c r="JG9" s="121" t="str">
        <f>IF(ISBLANK(tbl_task5[[คะแนนเต็ม]:[คะแนนเต็ม]]),"",(tbl_task5[97]/tbl_task5[[คะแนนเต็ม]:[คะแนนเต็ม]])*tbl_task5[[%]:[%]])</f>
        <v/>
      </c>
      <c r="JH9" s="121" t="str">
        <f>IF(ISBLANK(tbl_task5[[คะแนนเต็ม]:[คะแนนเต็ม]]),"",(tbl_task5[98]/tbl_task5[[คะแนนเต็ม]:[คะแนนเต็ม]])*tbl_task5[[%]:[%]])</f>
        <v/>
      </c>
      <c r="JI9" s="121" t="str">
        <f>IF(ISBLANK(tbl_task5[[คะแนนเต็ม]:[คะแนนเต็ม]]),"",(tbl_task5[99]/tbl_task5[[คะแนนเต็ม]:[คะแนนเต็ม]])*tbl_task5[[%]:[%]])</f>
        <v/>
      </c>
      <c r="JJ9" s="121" t="str">
        <f>IF(ISBLANK(tbl_task5[[คะแนนเต็ม]:[คะแนนเต็ม]]),"",(tbl_task5[100]/tbl_task5[[คะแนนเต็ม]:[คะแนนเต็ม]])*tbl_task5[[%]:[%]])</f>
        <v/>
      </c>
      <c r="JK9" s="121" t="str">
        <f>IF(ISBLANK(tbl_task5[[คะแนนเต็ม]:[คะแนนเต็ม]]),"",(tbl_task5[101]/tbl_task5[[คะแนนเต็ม]:[คะแนนเต็ม]])*tbl_task5[[%]:[%]])</f>
        <v/>
      </c>
      <c r="JL9" s="121" t="str">
        <f>IF(ISBLANK(tbl_task5[[คะแนนเต็ม]:[คะแนนเต็ม]]),"",(tbl_task5[102]/tbl_task5[[คะแนนเต็ม]:[คะแนนเต็ม]])*tbl_task5[[%]:[%]])</f>
        <v/>
      </c>
      <c r="JM9" s="121" t="str">
        <f>IF(ISBLANK(tbl_task5[[คะแนนเต็ม]:[คะแนนเต็ม]]),"",(tbl_task5[103]/tbl_task5[[คะแนนเต็ม]:[คะแนนเต็ม]])*tbl_task5[[%]:[%]])</f>
        <v/>
      </c>
      <c r="JN9" s="121" t="str">
        <f>IF(ISBLANK(tbl_task5[[คะแนนเต็ม]:[คะแนนเต็ม]]),"",(tbl_task5[104]/tbl_task5[[คะแนนเต็ม]:[คะแนนเต็ม]])*tbl_task5[[%]:[%]])</f>
        <v/>
      </c>
      <c r="JO9" s="121" t="str">
        <f>IF(ISBLANK(tbl_task5[[คะแนนเต็ม]:[คะแนนเต็ม]]),"",(tbl_task5[105]/tbl_task5[[คะแนนเต็ม]:[คะแนนเต็ม]])*tbl_task5[[%]:[%]])</f>
        <v/>
      </c>
      <c r="JP9" s="121" t="str">
        <f>IF(ISBLANK(tbl_task5[[คะแนนเต็ม]:[คะแนนเต็ม]]),"",(tbl_task5[106]/tbl_task5[[คะแนนเต็ม]:[คะแนนเต็ม]])*tbl_task5[[%]:[%]])</f>
        <v/>
      </c>
      <c r="JQ9" s="121" t="str">
        <f>IF(ISBLANK(tbl_task5[[คะแนนเต็ม]:[คะแนนเต็ม]]),"",(tbl_task5[107]/tbl_task5[[คะแนนเต็ม]:[คะแนนเต็ม]])*tbl_task5[[%]:[%]])</f>
        <v/>
      </c>
      <c r="JR9" s="121" t="str">
        <f>IF(ISBLANK(tbl_task5[[คะแนนเต็ม]:[คะแนนเต็ม]]),"",(tbl_task5[108]/tbl_task5[[คะแนนเต็ม]:[คะแนนเต็ม]])*tbl_task5[[%]:[%]])</f>
        <v/>
      </c>
      <c r="JS9" s="121" t="str">
        <f>IF(ISBLANK(tbl_task5[[คะแนนเต็ม]:[คะแนนเต็ม]]),"",(tbl_task5[109]/tbl_task5[[คะแนนเต็ม]:[คะแนนเต็ม]])*tbl_task5[[%]:[%]])</f>
        <v/>
      </c>
      <c r="JT9" s="121" t="str">
        <f>IF(ISBLANK(tbl_task5[[คะแนนเต็ม]:[คะแนนเต็ม]]),"",(tbl_task5[110]/tbl_task5[[คะแนนเต็ม]:[คะแนนเต็ม]])*tbl_task5[[%]:[%]])</f>
        <v/>
      </c>
      <c r="JU9" s="121" t="str">
        <f>IF(ISBLANK(tbl_task5[[คะแนนเต็ม]:[คะแนนเต็ม]]),"",(tbl_task5[111]/tbl_task5[[คะแนนเต็ม]:[คะแนนเต็ม]])*tbl_task5[[%]:[%]])</f>
        <v/>
      </c>
      <c r="JV9" s="121" t="str">
        <f>IF(ISBLANK(tbl_task5[[คะแนนเต็ม]:[คะแนนเต็ม]]),"",(tbl_task5[112]/tbl_task5[[คะแนนเต็ม]:[คะแนนเต็ม]])*tbl_task5[[%]:[%]])</f>
        <v/>
      </c>
      <c r="JW9" s="121" t="str">
        <f>IF(ISBLANK(tbl_task5[[คะแนนเต็ม]:[คะแนนเต็ม]]),"",(tbl_task5[113]/tbl_task5[[คะแนนเต็ม]:[คะแนนเต็ม]])*tbl_task5[[%]:[%]])</f>
        <v/>
      </c>
      <c r="JX9" s="121" t="str">
        <f>IF(ISBLANK(tbl_task5[[คะแนนเต็ม]:[คะแนนเต็ม]]),"",(tbl_task5[114]/tbl_task5[[คะแนนเต็ม]:[คะแนนเต็ม]])*tbl_task5[[%]:[%]])</f>
        <v/>
      </c>
      <c r="JY9" s="121" t="str">
        <f>IF(ISBLANK(tbl_task5[[คะแนนเต็ม]:[คะแนนเต็ม]]),"",(tbl_task5[115]/tbl_task5[[คะแนนเต็ม]:[คะแนนเต็ม]])*tbl_task5[[%]:[%]])</f>
        <v/>
      </c>
      <c r="JZ9" s="121" t="str">
        <f>IF(ISBLANK(tbl_task5[[คะแนนเต็ม]:[คะแนนเต็ม]]),"",(tbl_task5[116]/tbl_task5[[คะแนนเต็ม]:[คะแนนเต็ม]])*tbl_task5[[%]:[%]])</f>
        <v/>
      </c>
      <c r="KA9" s="121" t="str">
        <f>IF(ISBLANK(tbl_task5[[คะแนนเต็ม]:[คะแนนเต็ม]]),"",(tbl_task5[117]/tbl_task5[[คะแนนเต็ม]:[คะแนนเต็ม]])*tbl_task5[[%]:[%]])</f>
        <v/>
      </c>
      <c r="KB9" s="121" t="str">
        <f>IF(ISBLANK(tbl_task5[[คะแนนเต็ม]:[คะแนนเต็ม]]),"",(tbl_task5[118]/tbl_task5[[คะแนนเต็ม]:[คะแนนเต็ม]])*tbl_task5[[%]:[%]])</f>
        <v/>
      </c>
      <c r="KC9" s="121" t="str">
        <f>IF(ISBLANK(tbl_task5[[คะแนนเต็ม]:[คะแนนเต็ม]]),"",(tbl_task5[119]/tbl_task5[[คะแนนเต็ม]:[คะแนนเต็ม]])*tbl_task5[[%]:[%]])</f>
        <v/>
      </c>
      <c r="KD9" s="121" t="str">
        <f>IF(ISBLANK(tbl_task5[[คะแนนเต็ม]:[คะแนนเต็ม]]),"",(tbl_task5[120]/tbl_task5[[คะแนนเต็ม]:[คะแนนเต็ม]])*tbl_task5[[%]:[%]])</f>
        <v/>
      </c>
      <c r="KE9" s="121" t="str">
        <f>IF(ISBLANK(tbl_task5[[คะแนนเต็ม]:[คะแนนเต็ม]]),"",(tbl_task5[121]/tbl_task5[[คะแนนเต็ม]:[คะแนนเต็ม]])*tbl_task5[[%]:[%]])</f>
        <v/>
      </c>
      <c r="KF9" s="121" t="str">
        <f>IF(ISBLANK(tbl_task5[[คะแนนเต็ม]:[คะแนนเต็ม]]),"",(tbl_task5[122]/tbl_task5[[คะแนนเต็ม]:[คะแนนเต็ม]])*tbl_task5[[%]:[%]])</f>
        <v/>
      </c>
      <c r="KG9" s="121" t="str">
        <f>IF(ISBLANK(tbl_task5[[คะแนนเต็ม]:[คะแนนเต็ม]]),"",(tbl_task5[123]/tbl_task5[[คะแนนเต็ม]:[คะแนนเต็ม]])*tbl_task5[[%]:[%]])</f>
        <v/>
      </c>
      <c r="KH9" s="121" t="str">
        <f>IF(ISBLANK(tbl_task5[[คะแนนเต็ม]:[คะแนนเต็ม]]),"",(tbl_task5[124]/tbl_task5[[คะแนนเต็ม]:[คะแนนเต็ม]])*tbl_task5[[%]:[%]])</f>
        <v/>
      </c>
      <c r="KI9" s="121" t="str">
        <f>IF(ISBLANK(tbl_task5[[คะแนนเต็ม]:[คะแนนเต็ม]]),"",(tbl_task5[125]/tbl_task5[[คะแนนเต็ม]:[คะแนนเต็ม]])*tbl_task5[[%]:[%]])</f>
        <v/>
      </c>
      <c r="KJ9" s="121" t="str">
        <f>IF(ISBLANK(tbl_task5[[คะแนนเต็ม]:[คะแนนเต็ม]]),"",(tbl_task5[126]/tbl_task5[[คะแนนเต็ม]:[คะแนนเต็ม]])*tbl_task5[[%]:[%]])</f>
        <v/>
      </c>
      <c r="KK9" s="121" t="str">
        <f>IF(ISBLANK(tbl_task5[[คะแนนเต็ม]:[คะแนนเต็ม]]),"",(tbl_task5[127]/tbl_task5[[คะแนนเต็ม]:[คะแนนเต็ม]])*tbl_task5[[%]:[%]])</f>
        <v/>
      </c>
      <c r="KL9" s="121" t="str">
        <f>IF(ISBLANK(tbl_task5[[คะแนนเต็ม]:[คะแนนเต็ม]]),"",(tbl_task5[128]/tbl_task5[[คะแนนเต็ม]:[คะแนนเต็ม]])*tbl_task5[[%]:[%]])</f>
        <v/>
      </c>
      <c r="KM9" s="121" t="str">
        <f>IF(ISBLANK(tbl_task5[[คะแนนเต็ม]:[คะแนนเต็ม]]),"",(tbl_task5[129]/tbl_task5[[คะแนนเต็ม]:[คะแนนเต็ม]])*tbl_task5[[%]:[%]])</f>
        <v/>
      </c>
      <c r="KN9" s="121" t="str">
        <f>IF(ISBLANK(tbl_task5[[คะแนนเต็ม]:[คะแนนเต็ม]]),"",(tbl_task5[130]/tbl_task5[[คะแนนเต็ม]:[คะแนนเต็ม]])*tbl_task5[[%]:[%]])</f>
        <v/>
      </c>
      <c r="KO9" s="121" t="str">
        <f>IF(ISBLANK(tbl_task5[[คะแนนเต็ม]:[คะแนนเต็ม]]),"",(tbl_task5[131]/tbl_task5[[คะแนนเต็ม]:[คะแนนเต็ม]])*tbl_task5[[%]:[%]])</f>
        <v/>
      </c>
      <c r="KP9" s="121" t="str">
        <f>IF(ISBLANK(tbl_task5[[คะแนนเต็ม]:[คะแนนเต็ม]]),"",(tbl_task5[132]/tbl_task5[[คะแนนเต็ม]:[คะแนนเต็ม]])*tbl_task5[[%]:[%]])</f>
        <v/>
      </c>
      <c r="KQ9" s="121" t="str">
        <f>IF(ISBLANK(tbl_task5[[คะแนนเต็ม]:[คะแนนเต็ม]]),"",(tbl_task5[133]/tbl_task5[[คะแนนเต็ม]:[คะแนนเต็ม]])*tbl_task5[[%]:[%]])</f>
        <v/>
      </c>
      <c r="KR9" s="121" t="str">
        <f>IF(ISBLANK(tbl_task5[[คะแนนเต็ม]:[คะแนนเต็ม]]),"",(tbl_task5[134]/tbl_task5[[คะแนนเต็ม]:[คะแนนเต็ม]])*tbl_task5[[%]:[%]])</f>
        <v/>
      </c>
      <c r="KS9" s="121" t="str">
        <f>IF(ISBLANK(tbl_task5[[คะแนนเต็ม]:[คะแนนเต็ม]]),"",(tbl_task5[135]/tbl_task5[[คะแนนเต็ม]:[คะแนนเต็ม]])*tbl_task5[[%]:[%]])</f>
        <v/>
      </c>
      <c r="KT9" s="121" t="str">
        <f>IF(ISBLANK(tbl_task5[[คะแนนเต็ม]:[คะแนนเต็ม]]),"",(tbl_task5[136]/tbl_task5[[คะแนนเต็ม]:[คะแนนเต็ม]])*tbl_task5[[%]:[%]])</f>
        <v/>
      </c>
      <c r="KU9" s="121" t="str">
        <f>IF(ISBLANK(tbl_task5[[คะแนนเต็ม]:[คะแนนเต็ม]]),"",(tbl_task5[137]/tbl_task5[[คะแนนเต็ม]:[คะแนนเต็ม]])*tbl_task5[[%]:[%]])</f>
        <v/>
      </c>
      <c r="KV9" s="121" t="str">
        <f>IF(ISBLANK(tbl_task5[[คะแนนเต็ม]:[คะแนนเต็ม]]),"",(tbl_task5[138]/tbl_task5[[คะแนนเต็ม]:[คะแนนเต็ม]])*tbl_task5[[%]:[%]])</f>
        <v/>
      </c>
      <c r="KW9" s="121" t="str">
        <f>IF(ISBLANK(tbl_task5[[คะแนนเต็ม]:[คะแนนเต็ม]]),"",(tbl_task5[139]/tbl_task5[[คะแนนเต็ม]:[คะแนนเต็ม]])*tbl_task5[[%]:[%]])</f>
        <v/>
      </c>
      <c r="KX9" s="121" t="str">
        <f>IF(ISBLANK(tbl_task5[[คะแนนเต็ม]:[คะแนนเต็ม]]),"",(tbl_task5[140]/tbl_task5[[คะแนนเต็ม]:[คะแนนเต็ม]])*tbl_task5[[%]:[%]])</f>
        <v/>
      </c>
      <c r="KY9" s="121" t="str">
        <f>IF(ISBLANK(tbl_task5[[คะแนนเต็ม]:[คะแนนเต็ม]]),"",(tbl_task5[141]/tbl_task5[[คะแนนเต็ม]:[คะแนนเต็ม]])*tbl_task5[[%]:[%]])</f>
        <v/>
      </c>
      <c r="KZ9" s="121" t="str">
        <f>IF(ISBLANK(tbl_task5[[คะแนนเต็ม]:[คะแนนเต็ม]]),"",(tbl_task5[142]/tbl_task5[[คะแนนเต็ม]:[คะแนนเต็ม]])*tbl_task5[[%]:[%]])</f>
        <v/>
      </c>
      <c r="LA9" s="121" t="str">
        <f>IF(ISBLANK(tbl_task5[[คะแนนเต็ม]:[คะแนนเต็ม]]),"",(tbl_task5[143]/tbl_task5[[คะแนนเต็ม]:[คะแนนเต็ม]])*tbl_task5[[%]:[%]])</f>
        <v/>
      </c>
      <c r="LB9" s="121" t="str">
        <f>IF(ISBLANK(tbl_task5[[คะแนนเต็ม]:[คะแนนเต็ม]]),"",(tbl_task5[144]/tbl_task5[[คะแนนเต็ม]:[คะแนนเต็ม]])*tbl_task5[[%]:[%]])</f>
        <v/>
      </c>
      <c r="LC9" s="121" t="str">
        <f>IF(ISBLANK(tbl_task5[[คะแนนเต็ม]:[คะแนนเต็ม]]),"",(tbl_task5[145]/tbl_task5[[คะแนนเต็ม]:[คะแนนเต็ม]])*tbl_task5[[%]:[%]])</f>
        <v/>
      </c>
      <c r="LD9" s="121" t="str">
        <f>IF(ISBLANK(tbl_task5[[คะแนนเต็ม]:[คะแนนเต็ม]]),"",(tbl_task5[146]/tbl_task5[[คะแนนเต็ม]:[คะแนนเต็ม]])*tbl_task5[[%]:[%]])</f>
        <v/>
      </c>
      <c r="LE9" s="121" t="str">
        <f>IF(ISBLANK(tbl_task5[[คะแนนเต็ม]:[คะแนนเต็ม]]),"",(tbl_task5[147]/tbl_task5[[คะแนนเต็ม]:[คะแนนเต็ม]])*tbl_task5[[%]:[%]])</f>
        <v/>
      </c>
      <c r="LF9" s="121" t="str">
        <f>IF(ISBLANK(tbl_task5[[คะแนนเต็ม]:[คะแนนเต็ม]]),"",(tbl_task5[148]/tbl_task5[[คะแนนเต็ม]:[คะแนนเต็ม]])*tbl_task5[[%]:[%]])</f>
        <v/>
      </c>
      <c r="LG9" s="121" t="str">
        <f>IF(ISBLANK(tbl_task5[[คะแนนเต็ม]:[คะแนนเต็ม]]),"",(tbl_task5[149]/tbl_task5[[คะแนนเต็ม]:[คะแนนเต็ม]])*tbl_task5[[%]:[%]])</f>
        <v/>
      </c>
      <c r="LH9" s="121" t="str">
        <f>IF(ISBLANK(tbl_task5[[คะแนนเต็ม]:[คะแนนเต็ม]]),"",(tbl_task5[150]/tbl_task5[[คะแนนเต็ม]:[คะแนนเต็ม]])*tbl_task5[[%]:[%]])</f>
        <v/>
      </c>
      <c r="LI9" s="121" t="str">
        <f>IF(ISBLANK(tbl_task5[[คะแนนเต็ม]:[คะแนนเต็ม]]),"",(tbl_task5[151]/tbl_task5[[คะแนนเต็ม]:[คะแนนเต็ม]])*tbl_task5[[%]:[%]])</f>
        <v/>
      </c>
      <c r="LJ9" s="121" t="str">
        <f>IF(ISBLANK(tbl_task5[[คะแนนเต็ม]:[คะแนนเต็ม]]),"",(tbl_task5[152]/tbl_task5[[คะแนนเต็ม]:[คะแนนเต็ม]])*tbl_task5[[%]:[%]])</f>
        <v/>
      </c>
      <c r="LK9" s="121" t="str">
        <f>IF(ISBLANK(tbl_task5[[คะแนนเต็ม]:[คะแนนเต็ม]]),"",(tbl_task5[153]/tbl_task5[[คะแนนเต็ม]:[คะแนนเต็ม]])*tbl_task5[[%]:[%]])</f>
        <v/>
      </c>
      <c r="LL9" s="121" t="str">
        <f>IF(ISBLANK(tbl_task5[[คะแนนเต็ม]:[คะแนนเต็ม]]),"",(tbl_task5[154]/tbl_task5[[คะแนนเต็ม]:[คะแนนเต็ม]])*tbl_task5[[%]:[%]])</f>
        <v/>
      </c>
      <c r="LM9" s="121" t="str">
        <f>IF(ISBLANK(tbl_task5[[คะแนนเต็ม]:[คะแนนเต็ม]]),"",(tbl_task5[155]/tbl_task5[[คะแนนเต็ม]:[คะแนนเต็ม]])*tbl_task5[[%]:[%]])</f>
        <v/>
      </c>
      <c r="LN9" s="121" t="str">
        <f>IF(ISBLANK(tbl_task5[[คะแนนเต็ม]:[คะแนนเต็ม]]),"",(tbl_task5[156]/tbl_task5[[คะแนนเต็ม]:[คะแนนเต็ม]])*tbl_task5[[%]:[%]])</f>
        <v/>
      </c>
      <c r="LO9" s="121" t="str">
        <f>IF(ISBLANK(tbl_task5[[คะแนนเต็ม]:[คะแนนเต็ม]]),"",(tbl_task5[157]/tbl_task5[[คะแนนเต็ม]:[คะแนนเต็ม]])*tbl_task5[[%]:[%]])</f>
        <v/>
      </c>
      <c r="LP9" s="121" t="str">
        <f>IF(ISBLANK(tbl_task5[[คะแนนเต็ม]:[คะแนนเต็ม]]),"",(tbl_task5[158]/tbl_task5[[คะแนนเต็ม]:[คะแนนเต็ม]])*tbl_task5[[%]:[%]])</f>
        <v/>
      </c>
      <c r="LQ9" s="121" t="str">
        <f>IF(ISBLANK(tbl_task5[[คะแนนเต็ม]:[คะแนนเต็ม]]),"",(tbl_task5[159]/tbl_task5[[คะแนนเต็ม]:[คะแนนเต็ม]])*tbl_task5[[%]:[%]])</f>
        <v/>
      </c>
      <c r="LR9" s="121" t="str">
        <f>IF(ISBLANK(tbl_task5[[คะแนนเต็ม]:[คะแนนเต็ม]]),"",(tbl_task5[160]/tbl_task5[[คะแนนเต็ม]:[คะแนนเต็ม]])*tbl_task5[[%]:[%]])</f>
        <v/>
      </c>
      <c r="LS9" s="121" t="str">
        <f>IF(ISBLANK(tbl_task5[[คะแนนเต็ม]:[คะแนนเต็ม]]),"",(tbl_task5[161]/tbl_task5[[คะแนนเต็ม]:[คะแนนเต็ม]])*tbl_task5[[%]:[%]])</f>
        <v/>
      </c>
      <c r="LT9" s="121" t="str">
        <f>IF(ISBLANK(tbl_task5[[คะแนนเต็ม]:[คะแนนเต็ม]]),"",(tbl_task5[162]/tbl_task5[[คะแนนเต็ม]:[คะแนนเต็ม]])*tbl_task5[[%]:[%]])</f>
        <v/>
      </c>
      <c r="LU9" s="121" t="str">
        <f>IF(ISBLANK(tbl_task5[[คะแนนเต็ม]:[คะแนนเต็ม]]),"",(tbl_task5[163]/tbl_task5[[คะแนนเต็ม]:[คะแนนเต็ม]])*tbl_task5[[%]:[%]])</f>
        <v/>
      </c>
      <c r="LV9" s="121" t="str">
        <f>IF(ISBLANK(tbl_task5[[คะแนนเต็ม]:[คะแนนเต็ม]]),"",(tbl_task5[164]/tbl_task5[[คะแนนเต็ม]:[คะแนนเต็ม]])*tbl_task5[[%]:[%]])</f>
        <v/>
      </c>
      <c r="LW9" s="121" t="str">
        <f>IF(ISBLANK(tbl_task5[[คะแนนเต็ม]:[คะแนนเต็ม]]),"",(tbl_task5[165]/tbl_task5[[คะแนนเต็ม]:[คะแนนเต็ม]])*tbl_task5[[%]:[%]])</f>
        <v/>
      </c>
    </row>
    <row r="10" spans="1:335" ht="24" customHeight="1" x14ac:dyDescent="0.25">
      <c r="A10" s="24">
        <v>7</v>
      </c>
      <c r="B10" s="20"/>
      <c r="C10" s="5" t="str">
        <f>IF(ISBLANK(B10),"",VLOOKUP(B10,tbl_PLOs[],2,0))</f>
        <v/>
      </c>
      <c r="D10" s="102"/>
      <c r="E10" s="106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22"/>
      <c r="FO10" s="121" t="str">
        <f>IF(ISBLANK(tbl_task5[[คะแนนเต็ม]:[คะแนนเต็ม]]),"",(tbl_task5[1]/tbl_task5[[คะแนนเต็ม]:[คะแนนเต็ม]])*tbl_task5[[%]:[%]])</f>
        <v/>
      </c>
      <c r="FP10" s="121" t="str">
        <f>IF(ISBLANK(tbl_task5[[คะแนนเต็ม]:[คะแนนเต็ม]]),"",(tbl_task5[2]/tbl_task5[[คะแนนเต็ม]:[คะแนนเต็ม]])*tbl_task5[[%]:[%]])</f>
        <v/>
      </c>
      <c r="FQ10" s="121" t="str">
        <f>IF(ISBLANK(tbl_task5[[คะแนนเต็ม]:[คะแนนเต็ม]]),"",(tbl_task5[3]/tbl_task5[[คะแนนเต็ม]:[คะแนนเต็ม]])*tbl_task5[[%]:[%]])</f>
        <v/>
      </c>
      <c r="FR10" s="121" t="str">
        <f>IF(ISBLANK(tbl_task5[[คะแนนเต็ม]:[คะแนนเต็ม]]),"",(tbl_task5[4]/tbl_task5[[คะแนนเต็ม]:[คะแนนเต็ม]])*tbl_task5[[%]:[%]])</f>
        <v/>
      </c>
      <c r="FS10" s="121" t="str">
        <f>IF(ISBLANK(tbl_task5[[คะแนนเต็ม]:[คะแนนเต็ม]]),"",(tbl_task5[5]/tbl_task5[[คะแนนเต็ม]:[คะแนนเต็ม]])*tbl_task5[[%]:[%]])</f>
        <v/>
      </c>
      <c r="FT10" s="121" t="str">
        <f>IF(ISBLANK(tbl_task5[[คะแนนเต็ม]:[คะแนนเต็ม]]),"",(tbl_task5[6]/tbl_task5[[คะแนนเต็ม]:[คะแนนเต็ม]])*tbl_task5[[%]:[%]])</f>
        <v/>
      </c>
      <c r="FU10" s="121" t="str">
        <f>IF(ISBLANK(tbl_task5[[คะแนนเต็ม]:[คะแนนเต็ม]]),"",(tbl_task5[7]/tbl_task5[[คะแนนเต็ม]:[คะแนนเต็ม]])*tbl_task5[[%]:[%]])</f>
        <v/>
      </c>
      <c r="FV10" s="121" t="str">
        <f>IF(ISBLANK(tbl_task5[[คะแนนเต็ม]:[คะแนนเต็ม]]),"",(tbl_task5[8]/tbl_task5[[คะแนนเต็ม]:[คะแนนเต็ม]])*tbl_task5[[%]:[%]])</f>
        <v/>
      </c>
      <c r="FW10" s="121" t="str">
        <f>IF(ISBLANK(tbl_task5[[คะแนนเต็ม]:[คะแนนเต็ม]]),"",(tbl_task5[9]/tbl_task5[[คะแนนเต็ม]:[คะแนนเต็ม]])*tbl_task5[[%]:[%]])</f>
        <v/>
      </c>
      <c r="FX10" s="121" t="str">
        <f>IF(ISBLANK(tbl_task5[[คะแนนเต็ม]:[คะแนนเต็ม]]),"",(tbl_task5[10]/tbl_task5[[คะแนนเต็ม]:[คะแนนเต็ม]])*tbl_task5[[%]:[%]])</f>
        <v/>
      </c>
      <c r="FY10" s="121" t="str">
        <f>IF(ISBLANK(tbl_task5[[คะแนนเต็ม]:[คะแนนเต็ม]]),"",(tbl_task5[11]/tbl_task5[[คะแนนเต็ม]:[คะแนนเต็ม]])*tbl_task5[[%]:[%]])</f>
        <v/>
      </c>
      <c r="FZ10" s="121" t="str">
        <f>IF(ISBLANK(tbl_task5[[คะแนนเต็ม]:[คะแนนเต็ม]]),"",(tbl_task5[12]/tbl_task5[[คะแนนเต็ม]:[คะแนนเต็ม]])*tbl_task5[[%]:[%]])</f>
        <v/>
      </c>
      <c r="GA10" s="121" t="str">
        <f>IF(ISBLANK(tbl_task5[[คะแนนเต็ม]:[คะแนนเต็ม]]),"",(tbl_task5[13]/tbl_task5[[คะแนนเต็ม]:[คะแนนเต็ม]])*tbl_task5[[%]:[%]])</f>
        <v/>
      </c>
      <c r="GB10" s="121" t="str">
        <f>IF(ISBLANK(tbl_task5[[คะแนนเต็ม]:[คะแนนเต็ม]]),"",(tbl_task5[14]/tbl_task5[[คะแนนเต็ม]:[คะแนนเต็ม]])*tbl_task5[[%]:[%]])</f>
        <v/>
      </c>
      <c r="GC10" s="121" t="str">
        <f>IF(ISBLANK(tbl_task5[[คะแนนเต็ม]:[คะแนนเต็ม]]),"",(tbl_task5[15]/tbl_task5[[คะแนนเต็ม]:[คะแนนเต็ม]])*tbl_task5[[%]:[%]])</f>
        <v/>
      </c>
      <c r="GD10" s="121" t="str">
        <f>IF(ISBLANK(tbl_task5[[คะแนนเต็ม]:[คะแนนเต็ม]]),"",(tbl_task5[16]/tbl_task5[[คะแนนเต็ม]:[คะแนนเต็ม]])*tbl_task5[[%]:[%]])</f>
        <v/>
      </c>
      <c r="GE10" s="121" t="str">
        <f>IF(ISBLANK(tbl_task5[[คะแนนเต็ม]:[คะแนนเต็ม]]),"",(tbl_task5[17]/tbl_task5[[คะแนนเต็ม]:[คะแนนเต็ม]])*tbl_task5[[%]:[%]])</f>
        <v/>
      </c>
      <c r="GF10" s="121" t="str">
        <f>IF(ISBLANK(tbl_task5[[คะแนนเต็ม]:[คะแนนเต็ม]]),"",(tbl_task5[18]/tbl_task5[[คะแนนเต็ม]:[คะแนนเต็ม]])*tbl_task5[[%]:[%]])</f>
        <v/>
      </c>
      <c r="GG10" s="121" t="str">
        <f>IF(ISBLANK(tbl_task5[[คะแนนเต็ม]:[คะแนนเต็ม]]),"",(tbl_task5[19]/tbl_task5[[คะแนนเต็ม]:[คะแนนเต็ม]])*tbl_task5[[%]:[%]])</f>
        <v/>
      </c>
      <c r="GH10" s="121" t="str">
        <f>IF(ISBLANK(tbl_task5[[คะแนนเต็ม]:[คะแนนเต็ม]]),"",(tbl_task5[20]/tbl_task5[[คะแนนเต็ม]:[คะแนนเต็ม]])*tbl_task5[[%]:[%]])</f>
        <v/>
      </c>
      <c r="GI10" s="121" t="str">
        <f>IF(ISBLANK(tbl_task5[[คะแนนเต็ม]:[คะแนนเต็ม]]),"",(tbl_task5[21]/tbl_task5[[คะแนนเต็ม]:[คะแนนเต็ม]])*tbl_task5[[%]:[%]])</f>
        <v/>
      </c>
      <c r="GJ10" s="121" t="str">
        <f>IF(ISBLANK(tbl_task5[[คะแนนเต็ม]:[คะแนนเต็ม]]),"",(tbl_task5[22]/tbl_task5[[คะแนนเต็ม]:[คะแนนเต็ม]])*tbl_task5[[%]:[%]])</f>
        <v/>
      </c>
      <c r="GK10" s="121" t="str">
        <f>IF(ISBLANK(tbl_task5[[คะแนนเต็ม]:[คะแนนเต็ม]]),"",(tbl_task5[23]/tbl_task5[[คะแนนเต็ม]:[คะแนนเต็ม]])*tbl_task5[[%]:[%]])</f>
        <v/>
      </c>
      <c r="GL10" s="121" t="str">
        <f>IF(ISBLANK(tbl_task5[[คะแนนเต็ม]:[คะแนนเต็ม]]),"",(tbl_task5[24]/tbl_task5[[คะแนนเต็ม]:[คะแนนเต็ม]])*tbl_task5[[%]:[%]])</f>
        <v/>
      </c>
      <c r="GM10" s="121" t="str">
        <f>IF(ISBLANK(tbl_task5[[คะแนนเต็ม]:[คะแนนเต็ม]]),"",(tbl_task5[25]/tbl_task5[[คะแนนเต็ม]:[คะแนนเต็ม]])*tbl_task5[[%]:[%]])</f>
        <v/>
      </c>
      <c r="GN10" s="121" t="str">
        <f>IF(ISBLANK(tbl_task5[[คะแนนเต็ม]:[คะแนนเต็ม]]),"",(tbl_task5[26]/tbl_task5[[คะแนนเต็ม]:[คะแนนเต็ม]])*tbl_task5[[%]:[%]])</f>
        <v/>
      </c>
      <c r="GO10" s="121" t="str">
        <f>IF(ISBLANK(tbl_task5[[คะแนนเต็ม]:[คะแนนเต็ม]]),"",(tbl_task5[27]/tbl_task5[[คะแนนเต็ม]:[คะแนนเต็ม]])*tbl_task5[[%]:[%]])</f>
        <v/>
      </c>
      <c r="GP10" s="121" t="str">
        <f>IF(ISBLANK(tbl_task5[[คะแนนเต็ม]:[คะแนนเต็ม]]),"",(tbl_task5[28]/tbl_task5[[คะแนนเต็ม]:[คะแนนเต็ม]])*tbl_task5[[%]:[%]])</f>
        <v/>
      </c>
      <c r="GQ10" s="121" t="str">
        <f>IF(ISBLANK(tbl_task5[[คะแนนเต็ม]:[คะแนนเต็ม]]),"",(tbl_task5[29]/tbl_task5[[คะแนนเต็ม]:[คะแนนเต็ม]])*tbl_task5[[%]:[%]])</f>
        <v/>
      </c>
      <c r="GR10" s="121" t="str">
        <f>IF(ISBLANK(tbl_task5[[คะแนนเต็ม]:[คะแนนเต็ม]]),"",(tbl_task5[30]/tbl_task5[[คะแนนเต็ม]:[คะแนนเต็ม]])*tbl_task5[[%]:[%]])</f>
        <v/>
      </c>
      <c r="GS10" s="121" t="str">
        <f>IF(ISBLANK(tbl_task5[[คะแนนเต็ม]:[คะแนนเต็ม]]),"",(tbl_task5[31]/tbl_task5[[คะแนนเต็ม]:[คะแนนเต็ม]])*tbl_task5[[%]:[%]])</f>
        <v/>
      </c>
      <c r="GT10" s="121" t="str">
        <f>IF(ISBLANK(tbl_task5[[คะแนนเต็ม]:[คะแนนเต็ม]]),"",(tbl_task5[32]/tbl_task5[[คะแนนเต็ม]:[คะแนนเต็ม]])*tbl_task5[[%]:[%]])</f>
        <v/>
      </c>
      <c r="GU10" s="121" t="str">
        <f>IF(ISBLANK(tbl_task5[[คะแนนเต็ม]:[คะแนนเต็ม]]),"",(tbl_task5[33]/tbl_task5[[คะแนนเต็ม]:[คะแนนเต็ม]])*tbl_task5[[%]:[%]])</f>
        <v/>
      </c>
      <c r="GV10" s="121" t="str">
        <f>IF(ISBLANK(tbl_task5[[คะแนนเต็ม]:[คะแนนเต็ม]]),"",(tbl_task5[34]/tbl_task5[[คะแนนเต็ม]:[คะแนนเต็ม]])*tbl_task5[[%]:[%]])</f>
        <v/>
      </c>
      <c r="GW10" s="121" t="str">
        <f>IF(ISBLANK(tbl_task5[[คะแนนเต็ม]:[คะแนนเต็ม]]),"",(tbl_task5[35]/tbl_task5[[คะแนนเต็ม]:[คะแนนเต็ม]])*tbl_task5[[%]:[%]])</f>
        <v/>
      </c>
      <c r="GX10" s="121" t="str">
        <f>IF(ISBLANK(tbl_task5[[คะแนนเต็ม]:[คะแนนเต็ม]]),"",(tbl_task5[36]/tbl_task5[[คะแนนเต็ม]:[คะแนนเต็ม]])*tbl_task5[[%]:[%]])</f>
        <v/>
      </c>
      <c r="GY10" s="121" t="str">
        <f>IF(ISBLANK(tbl_task5[[คะแนนเต็ม]:[คะแนนเต็ม]]),"",(tbl_task5[37]/tbl_task5[[คะแนนเต็ม]:[คะแนนเต็ม]])*tbl_task5[[%]:[%]])</f>
        <v/>
      </c>
      <c r="GZ10" s="121" t="str">
        <f>IF(ISBLANK(tbl_task5[[คะแนนเต็ม]:[คะแนนเต็ม]]),"",(tbl_task5[38]/tbl_task5[[คะแนนเต็ม]:[คะแนนเต็ม]])*tbl_task5[[%]:[%]])</f>
        <v/>
      </c>
      <c r="HA10" s="121" t="str">
        <f>IF(ISBLANK(tbl_task5[[คะแนนเต็ม]:[คะแนนเต็ม]]),"",(tbl_task5[39]/tbl_task5[[คะแนนเต็ม]:[คะแนนเต็ม]])*tbl_task5[[%]:[%]])</f>
        <v/>
      </c>
      <c r="HB10" s="121" t="str">
        <f>IF(ISBLANK(tbl_task5[[คะแนนเต็ม]:[คะแนนเต็ม]]),"",(tbl_task5[40]/tbl_task5[[คะแนนเต็ม]:[คะแนนเต็ม]])*tbl_task5[[%]:[%]])</f>
        <v/>
      </c>
      <c r="HC10" s="121" t="str">
        <f>IF(ISBLANK(tbl_task5[[คะแนนเต็ม]:[คะแนนเต็ม]]),"",(tbl_task5[41]/tbl_task5[[คะแนนเต็ม]:[คะแนนเต็ม]])*tbl_task5[[%]:[%]])</f>
        <v/>
      </c>
      <c r="HD10" s="121" t="str">
        <f>IF(ISBLANK(tbl_task5[[คะแนนเต็ม]:[คะแนนเต็ม]]),"",(tbl_task5[42]/tbl_task5[[คะแนนเต็ม]:[คะแนนเต็ม]])*tbl_task5[[%]:[%]])</f>
        <v/>
      </c>
      <c r="HE10" s="121" t="str">
        <f>IF(ISBLANK(tbl_task5[[คะแนนเต็ม]:[คะแนนเต็ม]]),"",(tbl_task5[43]/tbl_task5[[คะแนนเต็ม]:[คะแนนเต็ม]])*tbl_task5[[%]:[%]])</f>
        <v/>
      </c>
      <c r="HF10" s="121" t="str">
        <f>IF(ISBLANK(tbl_task5[[คะแนนเต็ม]:[คะแนนเต็ม]]),"",(tbl_task5[44]/tbl_task5[[คะแนนเต็ม]:[คะแนนเต็ม]])*tbl_task5[[%]:[%]])</f>
        <v/>
      </c>
      <c r="HG10" s="121" t="str">
        <f>IF(ISBLANK(tbl_task5[[คะแนนเต็ม]:[คะแนนเต็ม]]),"",(tbl_task5[45]/tbl_task5[[คะแนนเต็ม]:[คะแนนเต็ม]])*tbl_task5[[%]:[%]])</f>
        <v/>
      </c>
      <c r="HH10" s="121" t="str">
        <f>IF(ISBLANK(tbl_task5[[คะแนนเต็ม]:[คะแนนเต็ม]]),"",(tbl_task5[46]/tbl_task5[[คะแนนเต็ม]:[คะแนนเต็ม]])*tbl_task5[[%]:[%]])</f>
        <v/>
      </c>
      <c r="HI10" s="121" t="str">
        <f>IF(ISBLANK(tbl_task5[[คะแนนเต็ม]:[คะแนนเต็ม]]),"",(tbl_task5[47]/tbl_task5[[คะแนนเต็ม]:[คะแนนเต็ม]])*tbl_task5[[%]:[%]])</f>
        <v/>
      </c>
      <c r="HJ10" s="121" t="str">
        <f>IF(ISBLANK(tbl_task5[[คะแนนเต็ม]:[คะแนนเต็ม]]),"",(tbl_task5[48]/tbl_task5[[คะแนนเต็ม]:[คะแนนเต็ม]])*tbl_task5[[%]:[%]])</f>
        <v/>
      </c>
      <c r="HK10" s="121" t="str">
        <f>IF(ISBLANK(tbl_task5[[คะแนนเต็ม]:[คะแนนเต็ม]]),"",(tbl_task5[49]/tbl_task5[[คะแนนเต็ม]:[คะแนนเต็ม]])*tbl_task5[[%]:[%]])</f>
        <v/>
      </c>
      <c r="HL10" s="121" t="str">
        <f>IF(ISBLANK(tbl_task5[[คะแนนเต็ม]:[คะแนนเต็ม]]),"",(tbl_task5[50]/tbl_task5[[คะแนนเต็ม]:[คะแนนเต็ม]])*tbl_task5[[%]:[%]])</f>
        <v/>
      </c>
      <c r="HM10" s="121" t="str">
        <f>IF(ISBLANK(tbl_task5[[คะแนนเต็ม]:[คะแนนเต็ม]]),"",(tbl_task5[51]/tbl_task5[[คะแนนเต็ม]:[คะแนนเต็ม]])*tbl_task5[[%]:[%]])</f>
        <v/>
      </c>
      <c r="HN10" s="121" t="str">
        <f>IF(ISBLANK(tbl_task5[[คะแนนเต็ม]:[คะแนนเต็ม]]),"",(tbl_task5[52]/tbl_task5[[คะแนนเต็ม]:[คะแนนเต็ม]])*tbl_task5[[%]:[%]])</f>
        <v/>
      </c>
      <c r="HO10" s="121" t="str">
        <f>IF(ISBLANK(tbl_task5[[คะแนนเต็ม]:[คะแนนเต็ม]]),"",(tbl_task5[53]/tbl_task5[[คะแนนเต็ม]:[คะแนนเต็ม]])*tbl_task5[[%]:[%]])</f>
        <v/>
      </c>
      <c r="HP10" s="121" t="str">
        <f>IF(ISBLANK(tbl_task5[[คะแนนเต็ม]:[คะแนนเต็ม]]),"",(tbl_task5[54]/tbl_task5[[คะแนนเต็ม]:[คะแนนเต็ม]])*tbl_task5[[%]:[%]])</f>
        <v/>
      </c>
      <c r="HQ10" s="121" t="str">
        <f>IF(ISBLANK(tbl_task5[[คะแนนเต็ม]:[คะแนนเต็ม]]),"",(tbl_task5[55]/tbl_task5[[คะแนนเต็ม]:[คะแนนเต็ม]])*tbl_task5[[%]:[%]])</f>
        <v/>
      </c>
      <c r="HR10" s="121" t="str">
        <f>IF(ISBLANK(tbl_task5[[คะแนนเต็ม]:[คะแนนเต็ม]]),"",(tbl_task5[56]/tbl_task5[[คะแนนเต็ม]:[คะแนนเต็ม]])*tbl_task5[[%]:[%]])</f>
        <v/>
      </c>
      <c r="HS10" s="121" t="str">
        <f>IF(ISBLANK(tbl_task5[[คะแนนเต็ม]:[คะแนนเต็ม]]),"",(tbl_task5[57]/tbl_task5[[คะแนนเต็ม]:[คะแนนเต็ม]])*tbl_task5[[%]:[%]])</f>
        <v/>
      </c>
      <c r="HT10" s="121" t="str">
        <f>IF(ISBLANK(tbl_task5[[คะแนนเต็ม]:[คะแนนเต็ม]]),"",(tbl_task5[58]/tbl_task5[[คะแนนเต็ม]:[คะแนนเต็ม]])*tbl_task5[[%]:[%]])</f>
        <v/>
      </c>
      <c r="HU10" s="121" t="str">
        <f>IF(ISBLANK(tbl_task5[[คะแนนเต็ม]:[คะแนนเต็ม]]),"",(tbl_task5[59]/tbl_task5[[คะแนนเต็ม]:[คะแนนเต็ม]])*tbl_task5[[%]:[%]])</f>
        <v/>
      </c>
      <c r="HV10" s="121" t="str">
        <f>IF(ISBLANK(tbl_task5[[คะแนนเต็ม]:[คะแนนเต็ม]]),"",(tbl_task5[60]/tbl_task5[[คะแนนเต็ม]:[คะแนนเต็ม]])*tbl_task5[[%]:[%]])</f>
        <v/>
      </c>
      <c r="HW10" s="121" t="str">
        <f>IF(ISBLANK(tbl_task5[[คะแนนเต็ม]:[คะแนนเต็ม]]),"",(tbl_task5[61]/tbl_task5[[คะแนนเต็ม]:[คะแนนเต็ม]])*tbl_task5[[%]:[%]])</f>
        <v/>
      </c>
      <c r="HX10" s="121" t="str">
        <f>IF(ISBLANK(tbl_task5[[คะแนนเต็ม]:[คะแนนเต็ม]]),"",(tbl_task5[62]/tbl_task5[[คะแนนเต็ม]:[คะแนนเต็ม]])*tbl_task5[[%]:[%]])</f>
        <v/>
      </c>
      <c r="HY10" s="121" t="str">
        <f>IF(ISBLANK(tbl_task5[[คะแนนเต็ม]:[คะแนนเต็ม]]),"",(tbl_task5[63]/tbl_task5[[คะแนนเต็ม]:[คะแนนเต็ม]])*tbl_task5[[%]:[%]])</f>
        <v/>
      </c>
      <c r="HZ10" s="121" t="str">
        <f>IF(ISBLANK(tbl_task5[[คะแนนเต็ม]:[คะแนนเต็ม]]),"",(tbl_task5[64]/tbl_task5[[คะแนนเต็ม]:[คะแนนเต็ม]])*tbl_task5[[%]:[%]])</f>
        <v/>
      </c>
      <c r="IA10" s="121" t="str">
        <f>IF(ISBLANK(tbl_task5[[คะแนนเต็ม]:[คะแนนเต็ม]]),"",(tbl_task5[65]/tbl_task5[[คะแนนเต็ม]:[คะแนนเต็ม]])*tbl_task5[[%]:[%]])</f>
        <v/>
      </c>
      <c r="IB10" s="121" t="str">
        <f>IF(ISBLANK(tbl_task5[[คะแนนเต็ม]:[คะแนนเต็ม]]),"",(tbl_task5[66]/tbl_task5[[คะแนนเต็ม]:[คะแนนเต็ม]])*tbl_task5[[%]:[%]])</f>
        <v/>
      </c>
      <c r="IC10" s="121" t="str">
        <f>IF(ISBLANK(tbl_task5[[คะแนนเต็ม]:[คะแนนเต็ม]]),"",(tbl_task5[67]/tbl_task5[[คะแนนเต็ม]:[คะแนนเต็ม]])*tbl_task5[[%]:[%]])</f>
        <v/>
      </c>
      <c r="ID10" s="121" t="str">
        <f>IF(ISBLANK(tbl_task5[[คะแนนเต็ม]:[คะแนนเต็ม]]),"",(tbl_task5[68]/tbl_task5[[คะแนนเต็ม]:[คะแนนเต็ม]])*tbl_task5[[%]:[%]])</f>
        <v/>
      </c>
      <c r="IE10" s="121" t="str">
        <f>IF(ISBLANK(tbl_task5[[คะแนนเต็ม]:[คะแนนเต็ม]]),"",(tbl_task5[69]/tbl_task5[[คะแนนเต็ม]:[คะแนนเต็ม]])*tbl_task5[[%]:[%]])</f>
        <v/>
      </c>
      <c r="IF10" s="121" t="str">
        <f>IF(ISBLANK(tbl_task5[[คะแนนเต็ม]:[คะแนนเต็ม]]),"",(tbl_task5[70]/tbl_task5[[คะแนนเต็ม]:[คะแนนเต็ม]])*tbl_task5[[%]:[%]])</f>
        <v/>
      </c>
      <c r="IG10" s="121" t="str">
        <f>IF(ISBLANK(tbl_task5[[คะแนนเต็ม]:[คะแนนเต็ม]]),"",(tbl_task5[71]/tbl_task5[[คะแนนเต็ม]:[คะแนนเต็ม]])*tbl_task5[[%]:[%]])</f>
        <v/>
      </c>
      <c r="IH10" s="121" t="str">
        <f>IF(ISBLANK(tbl_task5[[คะแนนเต็ม]:[คะแนนเต็ม]]),"",(tbl_task5[72]/tbl_task5[[คะแนนเต็ม]:[คะแนนเต็ม]])*tbl_task5[[%]:[%]])</f>
        <v/>
      </c>
      <c r="II10" s="121" t="str">
        <f>IF(ISBLANK(tbl_task5[[คะแนนเต็ม]:[คะแนนเต็ม]]),"",(tbl_task5[73]/tbl_task5[[คะแนนเต็ม]:[คะแนนเต็ม]])*tbl_task5[[%]:[%]])</f>
        <v/>
      </c>
      <c r="IJ10" s="121" t="str">
        <f>IF(ISBLANK(tbl_task5[[คะแนนเต็ม]:[คะแนนเต็ม]]),"",(tbl_task5[74]/tbl_task5[[คะแนนเต็ม]:[คะแนนเต็ม]])*tbl_task5[[%]:[%]])</f>
        <v/>
      </c>
      <c r="IK10" s="121" t="str">
        <f>IF(ISBLANK(tbl_task5[[คะแนนเต็ม]:[คะแนนเต็ม]]),"",(tbl_task5[75]/tbl_task5[[คะแนนเต็ม]:[คะแนนเต็ม]])*tbl_task5[[%]:[%]])</f>
        <v/>
      </c>
      <c r="IL10" s="121" t="str">
        <f>IF(ISBLANK(tbl_task5[[คะแนนเต็ม]:[คะแนนเต็ม]]),"",(tbl_task5[76]/tbl_task5[[คะแนนเต็ม]:[คะแนนเต็ม]])*tbl_task5[[%]:[%]])</f>
        <v/>
      </c>
      <c r="IM10" s="121" t="str">
        <f>IF(ISBLANK(tbl_task5[[คะแนนเต็ม]:[คะแนนเต็ม]]),"",(tbl_task5[77]/tbl_task5[[คะแนนเต็ม]:[คะแนนเต็ม]])*tbl_task5[[%]:[%]])</f>
        <v/>
      </c>
      <c r="IN10" s="121" t="str">
        <f>IF(ISBLANK(tbl_task5[[คะแนนเต็ม]:[คะแนนเต็ม]]),"",(tbl_task5[78]/tbl_task5[[คะแนนเต็ม]:[คะแนนเต็ม]])*tbl_task5[[%]:[%]])</f>
        <v/>
      </c>
      <c r="IO10" s="121" t="str">
        <f>IF(ISBLANK(tbl_task5[[คะแนนเต็ม]:[คะแนนเต็ม]]),"",(tbl_task5[79]/tbl_task5[[คะแนนเต็ม]:[คะแนนเต็ม]])*tbl_task5[[%]:[%]])</f>
        <v/>
      </c>
      <c r="IP10" s="121" t="str">
        <f>IF(ISBLANK(tbl_task5[[คะแนนเต็ม]:[คะแนนเต็ม]]),"",(tbl_task5[80]/tbl_task5[[คะแนนเต็ม]:[คะแนนเต็ม]])*tbl_task5[[%]:[%]])</f>
        <v/>
      </c>
      <c r="IQ10" s="121" t="str">
        <f>IF(ISBLANK(tbl_task5[[คะแนนเต็ม]:[คะแนนเต็ม]]),"",(tbl_task5[81]/tbl_task5[[คะแนนเต็ม]:[คะแนนเต็ม]])*tbl_task5[[%]:[%]])</f>
        <v/>
      </c>
      <c r="IR10" s="121" t="str">
        <f>IF(ISBLANK(tbl_task5[[คะแนนเต็ม]:[คะแนนเต็ม]]),"",(tbl_task5[82]/tbl_task5[[คะแนนเต็ม]:[คะแนนเต็ม]])*tbl_task5[[%]:[%]])</f>
        <v/>
      </c>
      <c r="IS10" s="121" t="str">
        <f>IF(ISBLANK(tbl_task5[[คะแนนเต็ม]:[คะแนนเต็ม]]),"",(tbl_task5[83]/tbl_task5[[คะแนนเต็ม]:[คะแนนเต็ม]])*tbl_task5[[%]:[%]])</f>
        <v/>
      </c>
      <c r="IT10" s="121" t="str">
        <f>IF(ISBLANK(tbl_task5[[คะแนนเต็ม]:[คะแนนเต็ม]]),"",(tbl_task5[84]/tbl_task5[[คะแนนเต็ม]:[คะแนนเต็ม]])*tbl_task5[[%]:[%]])</f>
        <v/>
      </c>
      <c r="IU10" s="121" t="str">
        <f>IF(ISBLANK(tbl_task5[[คะแนนเต็ม]:[คะแนนเต็ม]]),"",(tbl_task5[85]/tbl_task5[[คะแนนเต็ม]:[คะแนนเต็ม]])*tbl_task5[[%]:[%]])</f>
        <v/>
      </c>
      <c r="IV10" s="121" t="str">
        <f>IF(ISBLANK(tbl_task5[[คะแนนเต็ม]:[คะแนนเต็ม]]),"",(tbl_task5[86]/tbl_task5[[คะแนนเต็ม]:[คะแนนเต็ม]])*tbl_task5[[%]:[%]])</f>
        <v/>
      </c>
      <c r="IW10" s="121" t="str">
        <f>IF(ISBLANK(tbl_task5[[คะแนนเต็ม]:[คะแนนเต็ม]]),"",(tbl_task5[87]/tbl_task5[[คะแนนเต็ม]:[คะแนนเต็ม]])*tbl_task5[[%]:[%]])</f>
        <v/>
      </c>
      <c r="IX10" s="121" t="str">
        <f>IF(ISBLANK(tbl_task5[[คะแนนเต็ม]:[คะแนนเต็ม]]),"",(tbl_task5[88]/tbl_task5[[คะแนนเต็ม]:[คะแนนเต็ม]])*tbl_task5[[%]:[%]])</f>
        <v/>
      </c>
      <c r="IY10" s="121" t="str">
        <f>IF(ISBLANK(tbl_task5[[คะแนนเต็ม]:[คะแนนเต็ม]]),"",(tbl_task5[89]/tbl_task5[[คะแนนเต็ม]:[คะแนนเต็ม]])*tbl_task5[[%]:[%]])</f>
        <v/>
      </c>
      <c r="IZ10" s="121" t="str">
        <f>IF(ISBLANK(tbl_task5[[คะแนนเต็ม]:[คะแนนเต็ม]]),"",(tbl_task5[90]/tbl_task5[[คะแนนเต็ม]:[คะแนนเต็ม]])*tbl_task5[[%]:[%]])</f>
        <v/>
      </c>
      <c r="JA10" s="121" t="str">
        <f>IF(ISBLANK(tbl_task5[[คะแนนเต็ม]:[คะแนนเต็ม]]),"",(tbl_task5[91]/tbl_task5[[คะแนนเต็ม]:[คะแนนเต็ม]])*tbl_task5[[%]:[%]])</f>
        <v/>
      </c>
      <c r="JB10" s="121" t="str">
        <f>IF(ISBLANK(tbl_task5[[คะแนนเต็ม]:[คะแนนเต็ม]]),"",(tbl_task5[92]/tbl_task5[[คะแนนเต็ม]:[คะแนนเต็ม]])*tbl_task5[[%]:[%]])</f>
        <v/>
      </c>
      <c r="JC10" s="121" t="str">
        <f>IF(ISBLANK(tbl_task5[[คะแนนเต็ม]:[คะแนนเต็ม]]),"",(tbl_task5[93]/tbl_task5[[คะแนนเต็ม]:[คะแนนเต็ม]])*tbl_task5[[%]:[%]])</f>
        <v/>
      </c>
      <c r="JD10" s="121" t="str">
        <f>IF(ISBLANK(tbl_task5[[คะแนนเต็ม]:[คะแนนเต็ม]]),"",(tbl_task5[94]/tbl_task5[[คะแนนเต็ม]:[คะแนนเต็ม]])*tbl_task5[[%]:[%]])</f>
        <v/>
      </c>
      <c r="JE10" s="121" t="str">
        <f>IF(ISBLANK(tbl_task5[[คะแนนเต็ม]:[คะแนนเต็ม]]),"",(tbl_task5[95]/tbl_task5[[คะแนนเต็ม]:[คะแนนเต็ม]])*tbl_task5[[%]:[%]])</f>
        <v/>
      </c>
      <c r="JF10" s="121" t="str">
        <f>IF(ISBLANK(tbl_task5[[คะแนนเต็ม]:[คะแนนเต็ม]]),"",(tbl_task5[96]/tbl_task5[[คะแนนเต็ม]:[คะแนนเต็ม]])*tbl_task5[[%]:[%]])</f>
        <v/>
      </c>
      <c r="JG10" s="121" t="str">
        <f>IF(ISBLANK(tbl_task5[[คะแนนเต็ม]:[คะแนนเต็ม]]),"",(tbl_task5[97]/tbl_task5[[คะแนนเต็ม]:[คะแนนเต็ม]])*tbl_task5[[%]:[%]])</f>
        <v/>
      </c>
      <c r="JH10" s="121" t="str">
        <f>IF(ISBLANK(tbl_task5[[คะแนนเต็ม]:[คะแนนเต็ม]]),"",(tbl_task5[98]/tbl_task5[[คะแนนเต็ม]:[คะแนนเต็ม]])*tbl_task5[[%]:[%]])</f>
        <v/>
      </c>
      <c r="JI10" s="121" t="str">
        <f>IF(ISBLANK(tbl_task5[[คะแนนเต็ม]:[คะแนนเต็ม]]),"",(tbl_task5[99]/tbl_task5[[คะแนนเต็ม]:[คะแนนเต็ม]])*tbl_task5[[%]:[%]])</f>
        <v/>
      </c>
      <c r="JJ10" s="121" t="str">
        <f>IF(ISBLANK(tbl_task5[[คะแนนเต็ม]:[คะแนนเต็ม]]),"",(tbl_task5[100]/tbl_task5[[คะแนนเต็ม]:[คะแนนเต็ม]])*tbl_task5[[%]:[%]])</f>
        <v/>
      </c>
      <c r="JK10" s="121" t="str">
        <f>IF(ISBLANK(tbl_task5[[คะแนนเต็ม]:[คะแนนเต็ม]]),"",(tbl_task5[101]/tbl_task5[[คะแนนเต็ม]:[คะแนนเต็ม]])*tbl_task5[[%]:[%]])</f>
        <v/>
      </c>
      <c r="JL10" s="121" t="str">
        <f>IF(ISBLANK(tbl_task5[[คะแนนเต็ม]:[คะแนนเต็ม]]),"",(tbl_task5[102]/tbl_task5[[คะแนนเต็ม]:[คะแนนเต็ม]])*tbl_task5[[%]:[%]])</f>
        <v/>
      </c>
      <c r="JM10" s="121" t="str">
        <f>IF(ISBLANK(tbl_task5[[คะแนนเต็ม]:[คะแนนเต็ม]]),"",(tbl_task5[103]/tbl_task5[[คะแนนเต็ม]:[คะแนนเต็ม]])*tbl_task5[[%]:[%]])</f>
        <v/>
      </c>
      <c r="JN10" s="121" t="str">
        <f>IF(ISBLANK(tbl_task5[[คะแนนเต็ม]:[คะแนนเต็ม]]),"",(tbl_task5[104]/tbl_task5[[คะแนนเต็ม]:[คะแนนเต็ม]])*tbl_task5[[%]:[%]])</f>
        <v/>
      </c>
      <c r="JO10" s="121" t="str">
        <f>IF(ISBLANK(tbl_task5[[คะแนนเต็ม]:[คะแนนเต็ม]]),"",(tbl_task5[105]/tbl_task5[[คะแนนเต็ม]:[คะแนนเต็ม]])*tbl_task5[[%]:[%]])</f>
        <v/>
      </c>
      <c r="JP10" s="121" t="str">
        <f>IF(ISBLANK(tbl_task5[[คะแนนเต็ม]:[คะแนนเต็ม]]),"",(tbl_task5[106]/tbl_task5[[คะแนนเต็ม]:[คะแนนเต็ม]])*tbl_task5[[%]:[%]])</f>
        <v/>
      </c>
      <c r="JQ10" s="121" t="str">
        <f>IF(ISBLANK(tbl_task5[[คะแนนเต็ม]:[คะแนนเต็ม]]),"",(tbl_task5[107]/tbl_task5[[คะแนนเต็ม]:[คะแนนเต็ม]])*tbl_task5[[%]:[%]])</f>
        <v/>
      </c>
      <c r="JR10" s="121" t="str">
        <f>IF(ISBLANK(tbl_task5[[คะแนนเต็ม]:[คะแนนเต็ม]]),"",(tbl_task5[108]/tbl_task5[[คะแนนเต็ม]:[คะแนนเต็ม]])*tbl_task5[[%]:[%]])</f>
        <v/>
      </c>
      <c r="JS10" s="121" t="str">
        <f>IF(ISBLANK(tbl_task5[[คะแนนเต็ม]:[คะแนนเต็ม]]),"",(tbl_task5[109]/tbl_task5[[คะแนนเต็ม]:[คะแนนเต็ม]])*tbl_task5[[%]:[%]])</f>
        <v/>
      </c>
      <c r="JT10" s="121" t="str">
        <f>IF(ISBLANK(tbl_task5[[คะแนนเต็ม]:[คะแนนเต็ม]]),"",(tbl_task5[110]/tbl_task5[[คะแนนเต็ม]:[คะแนนเต็ม]])*tbl_task5[[%]:[%]])</f>
        <v/>
      </c>
      <c r="JU10" s="121" t="str">
        <f>IF(ISBLANK(tbl_task5[[คะแนนเต็ม]:[คะแนนเต็ม]]),"",(tbl_task5[111]/tbl_task5[[คะแนนเต็ม]:[คะแนนเต็ม]])*tbl_task5[[%]:[%]])</f>
        <v/>
      </c>
      <c r="JV10" s="121" t="str">
        <f>IF(ISBLANK(tbl_task5[[คะแนนเต็ม]:[คะแนนเต็ม]]),"",(tbl_task5[112]/tbl_task5[[คะแนนเต็ม]:[คะแนนเต็ม]])*tbl_task5[[%]:[%]])</f>
        <v/>
      </c>
      <c r="JW10" s="121" t="str">
        <f>IF(ISBLANK(tbl_task5[[คะแนนเต็ม]:[คะแนนเต็ม]]),"",(tbl_task5[113]/tbl_task5[[คะแนนเต็ม]:[คะแนนเต็ม]])*tbl_task5[[%]:[%]])</f>
        <v/>
      </c>
      <c r="JX10" s="121" t="str">
        <f>IF(ISBLANK(tbl_task5[[คะแนนเต็ม]:[คะแนนเต็ม]]),"",(tbl_task5[114]/tbl_task5[[คะแนนเต็ม]:[คะแนนเต็ม]])*tbl_task5[[%]:[%]])</f>
        <v/>
      </c>
      <c r="JY10" s="121" t="str">
        <f>IF(ISBLANK(tbl_task5[[คะแนนเต็ม]:[คะแนนเต็ม]]),"",(tbl_task5[115]/tbl_task5[[คะแนนเต็ม]:[คะแนนเต็ม]])*tbl_task5[[%]:[%]])</f>
        <v/>
      </c>
      <c r="JZ10" s="121" t="str">
        <f>IF(ISBLANK(tbl_task5[[คะแนนเต็ม]:[คะแนนเต็ม]]),"",(tbl_task5[116]/tbl_task5[[คะแนนเต็ม]:[คะแนนเต็ม]])*tbl_task5[[%]:[%]])</f>
        <v/>
      </c>
      <c r="KA10" s="121" t="str">
        <f>IF(ISBLANK(tbl_task5[[คะแนนเต็ม]:[คะแนนเต็ม]]),"",(tbl_task5[117]/tbl_task5[[คะแนนเต็ม]:[คะแนนเต็ม]])*tbl_task5[[%]:[%]])</f>
        <v/>
      </c>
      <c r="KB10" s="121" t="str">
        <f>IF(ISBLANK(tbl_task5[[คะแนนเต็ม]:[คะแนนเต็ม]]),"",(tbl_task5[118]/tbl_task5[[คะแนนเต็ม]:[คะแนนเต็ม]])*tbl_task5[[%]:[%]])</f>
        <v/>
      </c>
      <c r="KC10" s="121" t="str">
        <f>IF(ISBLANK(tbl_task5[[คะแนนเต็ม]:[คะแนนเต็ม]]),"",(tbl_task5[119]/tbl_task5[[คะแนนเต็ม]:[คะแนนเต็ม]])*tbl_task5[[%]:[%]])</f>
        <v/>
      </c>
      <c r="KD10" s="121" t="str">
        <f>IF(ISBLANK(tbl_task5[[คะแนนเต็ม]:[คะแนนเต็ม]]),"",(tbl_task5[120]/tbl_task5[[คะแนนเต็ม]:[คะแนนเต็ม]])*tbl_task5[[%]:[%]])</f>
        <v/>
      </c>
      <c r="KE10" s="121" t="str">
        <f>IF(ISBLANK(tbl_task5[[คะแนนเต็ม]:[คะแนนเต็ม]]),"",(tbl_task5[121]/tbl_task5[[คะแนนเต็ม]:[คะแนนเต็ม]])*tbl_task5[[%]:[%]])</f>
        <v/>
      </c>
      <c r="KF10" s="121" t="str">
        <f>IF(ISBLANK(tbl_task5[[คะแนนเต็ม]:[คะแนนเต็ม]]),"",(tbl_task5[122]/tbl_task5[[คะแนนเต็ม]:[คะแนนเต็ม]])*tbl_task5[[%]:[%]])</f>
        <v/>
      </c>
      <c r="KG10" s="121" t="str">
        <f>IF(ISBLANK(tbl_task5[[คะแนนเต็ม]:[คะแนนเต็ม]]),"",(tbl_task5[123]/tbl_task5[[คะแนนเต็ม]:[คะแนนเต็ม]])*tbl_task5[[%]:[%]])</f>
        <v/>
      </c>
      <c r="KH10" s="121" t="str">
        <f>IF(ISBLANK(tbl_task5[[คะแนนเต็ม]:[คะแนนเต็ม]]),"",(tbl_task5[124]/tbl_task5[[คะแนนเต็ม]:[คะแนนเต็ม]])*tbl_task5[[%]:[%]])</f>
        <v/>
      </c>
      <c r="KI10" s="121" t="str">
        <f>IF(ISBLANK(tbl_task5[[คะแนนเต็ม]:[คะแนนเต็ม]]),"",(tbl_task5[125]/tbl_task5[[คะแนนเต็ม]:[คะแนนเต็ม]])*tbl_task5[[%]:[%]])</f>
        <v/>
      </c>
      <c r="KJ10" s="121" t="str">
        <f>IF(ISBLANK(tbl_task5[[คะแนนเต็ม]:[คะแนนเต็ม]]),"",(tbl_task5[126]/tbl_task5[[คะแนนเต็ม]:[คะแนนเต็ม]])*tbl_task5[[%]:[%]])</f>
        <v/>
      </c>
      <c r="KK10" s="121" t="str">
        <f>IF(ISBLANK(tbl_task5[[คะแนนเต็ม]:[คะแนนเต็ม]]),"",(tbl_task5[127]/tbl_task5[[คะแนนเต็ม]:[คะแนนเต็ม]])*tbl_task5[[%]:[%]])</f>
        <v/>
      </c>
      <c r="KL10" s="121" t="str">
        <f>IF(ISBLANK(tbl_task5[[คะแนนเต็ม]:[คะแนนเต็ม]]),"",(tbl_task5[128]/tbl_task5[[คะแนนเต็ม]:[คะแนนเต็ม]])*tbl_task5[[%]:[%]])</f>
        <v/>
      </c>
      <c r="KM10" s="121" t="str">
        <f>IF(ISBLANK(tbl_task5[[คะแนนเต็ม]:[คะแนนเต็ม]]),"",(tbl_task5[129]/tbl_task5[[คะแนนเต็ม]:[คะแนนเต็ม]])*tbl_task5[[%]:[%]])</f>
        <v/>
      </c>
      <c r="KN10" s="121" t="str">
        <f>IF(ISBLANK(tbl_task5[[คะแนนเต็ม]:[คะแนนเต็ม]]),"",(tbl_task5[130]/tbl_task5[[คะแนนเต็ม]:[คะแนนเต็ม]])*tbl_task5[[%]:[%]])</f>
        <v/>
      </c>
      <c r="KO10" s="121" t="str">
        <f>IF(ISBLANK(tbl_task5[[คะแนนเต็ม]:[คะแนนเต็ม]]),"",(tbl_task5[131]/tbl_task5[[คะแนนเต็ม]:[คะแนนเต็ม]])*tbl_task5[[%]:[%]])</f>
        <v/>
      </c>
      <c r="KP10" s="121" t="str">
        <f>IF(ISBLANK(tbl_task5[[คะแนนเต็ม]:[คะแนนเต็ม]]),"",(tbl_task5[132]/tbl_task5[[คะแนนเต็ม]:[คะแนนเต็ม]])*tbl_task5[[%]:[%]])</f>
        <v/>
      </c>
      <c r="KQ10" s="121" t="str">
        <f>IF(ISBLANK(tbl_task5[[คะแนนเต็ม]:[คะแนนเต็ม]]),"",(tbl_task5[133]/tbl_task5[[คะแนนเต็ม]:[คะแนนเต็ม]])*tbl_task5[[%]:[%]])</f>
        <v/>
      </c>
      <c r="KR10" s="121" t="str">
        <f>IF(ISBLANK(tbl_task5[[คะแนนเต็ม]:[คะแนนเต็ม]]),"",(tbl_task5[134]/tbl_task5[[คะแนนเต็ม]:[คะแนนเต็ม]])*tbl_task5[[%]:[%]])</f>
        <v/>
      </c>
      <c r="KS10" s="121" t="str">
        <f>IF(ISBLANK(tbl_task5[[คะแนนเต็ม]:[คะแนนเต็ม]]),"",(tbl_task5[135]/tbl_task5[[คะแนนเต็ม]:[คะแนนเต็ม]])*tbl_task5[[%]:[%]])</f>
        <v/>
      </c>
      <c r="KT10" s="121" t="str">
        <f>IF(ISBLANK(tbl_task5[[คะแนนเต็ม]:[คะแนนเต็ม]]),"",(tbl_task5[136]/tbl_task5[[คะแนนเต็ม]:[คะแนนเต็ม]])*tbl_task5[[%]:[%]])</f>
        <v/>
      </c>
      <c r="KU10" s="121" t="str">
        <f>IF(ISBLANK(tbl_task5[[คะแนนเต็ม]:[คะแนนเต็ม]]),"",(tbl_task5[137]/tbl_task5[[คะแนนเต็ม]:[คะแนนเต็ม]])*tbl_task5[[%]:[%]])</f>
        <v/>
      </c>
      <c r="KV10" s="121" t="str">
        <f>IF(ISBLANK(tbl_task5[[คะแนนเต็ม]:[คะแนนเต็ม]]),"",(tbl_task5[138]/tbl_task5[[คะแนนเต็ม]:[คะแนนเต็ม]])*tbl_task5[[%]:[%]])</f>
        <v/>
      </c>
      <c r="KW10" s="121" t="str">
        <f>IF(ISBLANK(tbl_task5[[คะแนนเต็ม]:[คะแนนเต็ม]]),"",(tbl_task5[139]/tbl_task5[[คะแนนเต็ม]:[คะแนนเต็ม]])*tbl_task5[[%]:[%]])</f>
        <v/>
      </c>
      <c r="KX10" s="121" t="str">
        <f>IF(ISBLANK(tbl_task5[[คะแนนเต็ม]:[คะแนนเต็ม]]),"",(tbl_task5[140]/tbl_task5[[คะแนนเต็ม]:[คะแนนเต็ม]])*tbl_task5[[%]:[%]])</f>
        <v/>
      </c>
      <c r="KY10" s="121" t="str">
        <f>IF(ISBLANK(tbl_task5[[คะแนนเต็ม]:[คะแนนเต็ม]]),"",(tbl_task5[141]/tbl_task5[[คะแนนเต็ม]:[คะแนนเต็ม]])*tbl_task5[[%]:[%]])</f>
        <v/>
      </c>
      <c r="KZ10" s="121" t="str">
        <f>IF(ISBLANK(tbl_task5[[คะแนนเต็ม]:[คะแนนเต็ม]]),"",(tbl_task5[142]/tbl_task5[[คะแนนเต็ม]:[คะแนนเต็ม]])*tbl_task5[[%]:[%]])</f>
        <v/>
      </c>
      <c r="LA10" s="121" t="str">
        <f>IF(ISBLANK(tbl_task5[[คะแนนเต็ม]:[คะแนนเต็ม]]),"",(tbl_task5[143]/tbl_task5[[คะแนนเต็ม]:[คะแนนเต็ม]])*tbl_task5[[%]:[%]])</f>
        <v/>
      </c>
      <c r="LB10" s="121" t="str">
        <f>IF(ISBLANK(tbl_task5[[คะแนนเต็ม]:[คะแนนเต็ม]]),"",(tbl_task5[144]/tbl_task5[[คะแนนเต็ม]:[คะแนนเต็ม]])*tbl_task5[[%]:[%]])</f>
        <v/>
      </c>
      <c r="LC10" s="121" t="str">
        <f>IF(ISBLANK(tbl_task5[[คะแนนเต็ม]:[คะแนนเต็ม]]),"",(tbl_task5[145]/tbl_task5[[คะแนนเต็ม]:[คะแนนเต็ม]])*tbl_task5[[%]:[%]])</f>
        <v/>
      </c>
      <c r="LD10" s="121" t="str">
        <f>IF(ISBLANK(tbl_task5[[คะแนนเต็ม]:[คะแนนเต็ม]]),"",(tbl_task5[146]/tbl_task5[[คะแนนเต็ม]:[คะแนนเต็ม]])*tbl_task5[[%]:[%]])</f>
        <v/>
      </c>
      <c r="LE10" s="121" t="str">
        <f>IF(ISBLANK(tbl_task5[[คะแนนเต็ม]:[คะแนนเต็ม]]),"",(tbl_task5[147]/tbl_task5[[คะแนนเต็ม]:[คะแนนเต็ม]])*tbl_task5[[%]:[%]])</f>
        <v/>
      </c>
      <c r="LF10" s="121" t="str">
        <f>IF(ISBLANK(tbl_task5[[คะแนนเต็ม]:[คะแนนเต็ม]]),"",(tbl_task5[148]/tbl_task5[[คะแนนเต็ม]:[คะแนนเต็ม]])*tbl_task5[[%]:[%]])</f>
        <v/>
      </c>
      <c r="LG10" s="121" t="str">
        <f>IF(ISBLANK(tbl_task5[[คะแนนเต็ม]:[คะแนนเต็ม]]),"",(tbl_task5[149]/tbl_task5[[คะแนนเต็ม]:[คะแนนเต็ม]])*tbl_task5[[%]:[%]])</f>
        <v/>
      </c>
      <c r="LH10" s="121" t="str">
        <f>IF(ISBLANK(tbl_task5[[คะแนนเต็ม]:[คะแนนเต็ม]]),"",(tbl_task5[150]/tbl_task5[[คะแนนเต็ม]:[คะแนนเต็ม]])*tbl_task5[[%]:[%]])</f>
        <v/>
      </c>
      <c r="LI10" s="121" t="str">
        <f>IF(ISBLANK(tbl_task5[[คะแนนเต็ม]:[คะแนนเต็ม]]),"",(tbl_task5[151]/tbl_task5[[คะแนนเต็ม]:[คะแนนเต็ม]])*tbl_task5[[%]:[%]])</f>
        <v/>
      </c>
      <c r="LJ10" s="121" t="str">
        <f>IF(ISBLANK(tbl_task5[[คะแนนเต็ม]:[คะแนนเต็ม]]),"",(tbl_task5[152]/tbl_task5[[คะแนนเต็ม]:[คะแนนเต็ม]])*tbl_task5[[%]:[%]])</f>
        <v/>
      </c>
      <c r="LK10" s="121" t="str">
        <f>IF(ISBLANK(tbl_task5[[คะแนนเต็ม]:[คะแนนเต็ม]]),"",(tbl_task5[153]/tbl_task5[[คะแนนเต็ม]:[คะแนนเต็ม]])*tbl_task5[[%]:[%]])</f>
        <v/>
      </c>
      <c r="LL10" s="121" t="str">
        <f>IF(ISBLANK(tbl_task5[[คะแนนเต็ม]:[คะแนนเต็ม]]),"",(tbl_task5[154]/tbl_task5[[คะแนนเต็ม]:[คะแนนเต็ม]])*tbl_task5[[%]:[%]])</f>
        <v/>
      </c>
      <c r="LM10" s="121" t="str">
        <f>IF(ISBLANK(tbl_task5[[คะแนนเต็ม]:[คะแนนเต็ม]]),"",(tbl_task5[155]/tbl_task5[[คะแนนเต็ม]:[คะแนนเต็ม]])*tbl_task5[[%]:[%]])</f>
        <v/>
      </c>
      <c r="LN10" s="121" t="str">
        <f>IF(ISBLANK(tbl_task5[[คะแนนเต็ม]:[คะแนนเต็ม]]),"",(tbl_task5[156]/tbl_task5[[คะแนนเต็ม]:[คะแนนเต็ม]])*tbl_task5[[%]:[%]])</f>
        <v/>
      </c>
      <c r="LO10" s="121" t="str">
        <f>IF(ISBLANK(tbl_task5[[คะแนนเต็ม]:[คะแนนเต็ม]]),"",(tbl_task5[157]/tbl_task5[[คะแนนเต็ม]:[คะแนนเต็ม]])*tbl_task5[[%]:[%]])</f>
        <v/>
      </c>
      <c r="LP10" s="121" t="str">
        <f>IF(ISBLANK(tbl_task5[[คะแนนเต็ม]:[คะแนนเต็ม]]),"",(tbl_task5[158]/tbl_task5[[คะแนนเต็ม]:[คะแนนเต็ม]])*tbl_task5[[%]:[%]])</f>
        <v/>
      </c>
      <c r="LQ10" s="121" t="str">
        <f>IF(ISBLANK(tbl_task5[[คะแนนเต็ม]:[คะแนนเต็ม]]),"",(tbl_task5[159]/tbl_task5[[คะแนนเต็ม]:[คะแนนเต็ม]])*tbl_task5[[%]:[%]])</f>
        <v/>
      </c>
      <c r="LR10" s="121" t="str">
        <f>IF(ISBLANK(tbl_task5[[คะแนนเต็ม]:[คะแนนเต็ม]]),"",(tbl_task5[160]/tbl_task5[[คะแนนเต็ม]:[คะแนนเต็ม]])*tbl_task5[[%]:[%]])</f>
        <v/>
      </c>
      <c r="LS10" s="121" t="str">
        <f>IF(ISBLANK(tbl_task5[[คะแนนเต็ม]:[คะแนนเต็ม]]),"",(tbl_task5[161]/tbl_task5[[คะแนนเต็ม]:[คะแนนเต็ม]])*tbl_task5[[%]:[%]])</f>
        <v/>
      </c>
      <c r="LT10" s="121" t="str">
        <f>IF(ISBLANK(tbl_task5[[คะแนนเต็ม]:[คะแนนเต็ม]]),"",(tbl_task5[162]/tbl_task5[[คะแนนเต็ม]:[คะแนนเต็ม]])*tbl_task5[[%]:[%]])</f>
        <v/>
      </c>
      <c r="LU10" s="121" t="str">
        <f>IF(ISBLANK(tbl_task5[[คะแนนเต็ม]:[คะแนนเต็ม]]),"",(tbl_task5[163]/tbl_task5[[คะแนนเต็ม]:[คะแนนเต็ม]])*tbl_task5[[%]:[%]])</f>
        <v/>
      </c>
      <c r="LV10" s="121" t="str">
        <f>IF(ISBLANK(tbl_task5[[คะแนนเต็ม]:[คะแนนเต็ม]]),"",(tbl_task5[164]/tbl_task5[[คะแนนเต็ม]:[คะแนนเต็ม]])*tbl_task5[[%]:[%]])</f>
        <v/>
      </c>
      <c r="LW10" s="121" t="str">
        <f>IF(ISBLANK(tbl_task5[[คะแนนเต็ม]:[คะแนนเต็ม]]),"",(tbl_task5[165]/tbl_task5[[คะแนนเต็ม]:[คะแนนเต็ม]])*tbl_task5[[%]:[%]])</f>
        <v/>
      </c>
    </row>
    <row r="11" spans="1:335" ht="24" customHeight="1" x14ac:dyDescent="0.25">
      <c r="A11" s="24">
        <v>8</v>
      </c>
      <c r="B11" s="20"/>
      <c r="C11" s="5" t="str">
        <f>IF(ISBLANK(B11),"",VLOOKUP(B11,tbl_PLOs[],2,0))</f>
        <v/>
      </c>
      <c r="D11" s="102"/>
      <c r="E11" s="106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22"/>
      <c r="FO11" s="121" t="str">
        <f>IF(ISBLANK(tbl_task5[[คะแนนเต็ม]:[คะแนนเต็ม]]),"",(tbl_task5[1]/tbl_task5[[คะแนนเต็ม]:[คะแนนเต็ม]])*tbl_task5[[%]:[%]])</f>
        <v/>
      </c>
      <c r="FP11" s="121" t="str">
        <f>IF(ISBLANK(tbl_task5[[คะแนนเต็ม]:[คะแนนเต็ม]]),"",(tbl_task5[2]/tbl_task5[[คะแนนเต็ม]:[คะแนนเต็ม]])*tbl_task5[[%]:[%]])</f>
        <v/>
      </c>
      <c r="FQ11" s="121" t="str">
        <f>IF(ISBLANK(tbl_task5[[คะแนนเต็ม]:[คะแนนเต็ม]]),"",(tbl_task5[3]/tbl_task5[[คะแนนเต็ม]:[คะแนนเต็ม]])*tbl_task5[[%]:[%]])</f>
        <v/>
      </c>
      <c r="FR11" s="121" t="str">
        <f>IF(ISBLANK(tbl_task5[[คะแนนเต็ม]:[คะแนนเต็ม]]),"",(tbl_task5[4]/tbl_task5[[คะแนนเต็ม]:[คะแนนเต็ม]])*tbl_task5[[%]:[%]])</f>
        <v/>
      </c>
      <c r="FS11" s="121" t="str">
        <f>IF(ISBLANK(tbl_task5[[คะแนนเต็ม]:[คะแนนเต็ม]]),"",(tbl_task5[5]/tbl_task5[[คะแนนเต็ม]:[คะแนนเต็ม]])*tbl_task5[[%]:[%]])</f>
        <v/>
      </c>
      <c r="FT11" s="121" t="str">
        <f>IF(ISBLANK(tbl_task5[[คะแนนเต็ม]:[คะแนนเต็ม]]),"",(tbl_task5[6]/tbl_task5[[คะแนนเต็ม]:[คะแนนเต็ม]])*tbl_task5[[%]:[%]])</f>
        <v/>
      </c>
      <c r="FU11" s="121" t="str">
        <f>IF(ISBLANK(tbl_task5[[คะแนนเต็ม]:[คะแนนเต็ม]]),"",(tbl_task5[7]/tbl_task5[[คะแนนเต็ม]:[คะแนนเต็ม]])*tbl_task5[[%]:[%]])</f>
        <v/>
      </c>
      <c r="FV11" s="121" t="str">
        <f>IF(ISBLANK(tbl_task5[[คะแนนเต็ม]:[คะแนนเต็ม]]),"",(tbl_task5[8]/tbl_task5[[คะแนนเต็ม]:[คะแนนเต็ม]])*tbl_task5[[%]:[%]])</f>
        <v/>
      </c>
      <c r="FW11" s="121" t="str">
        <f>IF(ISBLANK(tbl_task5[[คะแนนเต็ม]:[คะแนนเต็ม]]),"",(tbl_task5[9]/tbl_task5[[คะแนนเต็ม]:[คะแนนเต็ม]])*tbl_task5[[%]:[%]])</f>
        <v/>
      </c>
      <c r="FX11" s="121" t="str">
        <f>IF(ISBLANK(tbl_task5[[คะแนนเต็ม]:[คะแนนเต็ม]]),"",(tbl_task5[10]/tbl_task5[[คะแนนเต็ม]:[คะแนนเต็ม]])*tbl_task5[[%]:[%]])</f>
        <v/>
      </c>
      <c r="FY11" s="121" t="str">
        <f>IF(ISBLANK(tbl_task5[[คะแนนเต็ม]:[คะแนนเต็ม]]),"",(tbl_task5[11]/tbl_task5[[คะแนนเต็ม]:[คะแนนเต็ม]])*tbl_task5[[%]:[%]])</f>
        <v/>
      </c>
      <c r="FZ11" s="121" t="str">
        <f>IF(ISBLANK(tbl_task5[[คะแนนเต็ม]:[คะแนนเต็ม]]),"",(tbl_task5[12]/tbl_task5[[คะแนนเต็ม]:[คะแนนเต็ม]])*tbl_task5[[%]:[%]])</f>
        <v/>
      </c>
      <c r="GA11" s="121" t="str">
        <f>IF(ISBLANK(tbl_task5[[คะแนนเต็ม]:[คะแนนเต็ม]]),"",(tbl_task5[13]/tbl_task5[[คะแนนเต็ม]:[คะแนนเต็ม]])*tbl_task5[[%]:[%]])</f>
        <v/>
      </c>
      <c r="GB11" s="121" t="str">
        <f>IF(ISBLANK(tbl_task5[[คะแนนเต็ม]:[คะแนนเต็ม]]),"",(tbl_task5[14]/tbl_task5[[คะแนนเต็ม]:[คะแนนเต็ม]])*tbl_task5[[%]:[%]])</f>
        <v/>
      </c>
      <c r="GC11" s="121" t="str">
        <f>IF(ISBLANK(tbl_task5[[คะแนนเต็ม]:[คะแนนเต็ม]]),"",(tbl_task5[15]/tbl_task5[[คะแนนเต็ม]:[คะแนนเต็ม]])*tbl_task5[[%]:[%]])</f>
        <v/>
      </c>
      <c r="GD11" s="121" t="str">
        <f>IF(ISBLANK(tbl_task5[[คะแนนเต็ม]:[คะแนนเต็ม]]),"",(tbl_task5[16]/tbl_task5[[คะแนนเต็ม]:[คะแนนเต็ม]])*tbl_task5[[%]:[%]])</f>
        <v/>
      </c>
      <c r="GE11" s="121" t="str">
        <f>IF(ISBLANK(tbl_task5[[คะแนนเต็ม]:[คะแนนเต็ม]]),"",(tbl_task5[17]/tbl_task5[[คะแนนเต็ม]:[คะแนนเต็ม]])*tbl_task5[[%]:[%]])</f>
        <v/>
      </c>
      <c r="GF11" s="121" t="str">
        <f>IF(ISBLANK(tbl_task5[[คะแนนเต็ม]:[คะแนนเต็ม]]),"",(tbl_task5[18]/tbl_task5[[คะแนนเต็ม]:[คะแนนเต็ม]])*tbl_task5[[%]:[%]])</f>
        <v/>
      </c>
      <c r="GG11" s="121" t="str">
        <f>IF(ISBLANK(tbl_task5[[คะแนนเต็ม]:[คะแนนเต็ม]]),"",(tbl_task5[19]/tbl_task5[[คะแนนเต็ม]:[คะแนนเต็ม]])*tbl_task5[[%]:[%]])</f>
        <v/>
      </c>
      <c r="GH11" s="121" t="str">
        <f>IF(ISBLANK(tbl_task5[[คะแนนเต็ม]:[คะแนนเต็ม]]),"",(tbl_task5[20]/tbl_task5[[คะแนนเต็ม]:[คะแนนเต็ม]])*tbl_task5[[%]:[%]])</f>
        <v/>
      </c>
      <c r="GI11" s="121" t="str">
        <f>IF(ISBLANK(tbl_task5[[คะแนนเต็ม]:[คะแนนเต็ม]]),"",(tbl_task5[21]/tbl_task5[[คะแนนเต็ม]:[คะแนนเต็ม]])*tbl_task5[[%]:[%]])</f>
        <v/>
      </c>
      <c r="GJ11" s="121" t="str">
        <f>IF(ISBLANK(tbl_task5[[คะแนนเต็ม]:[คะแนนเต็ม]]),"",(tbl_task5[22]/tbl_task5[[คะแนนเต็ม]:[คะแนนเต็ม]])*tbl_task5[[%]:[%]])</f>
        <v/>
      </c>
      <c r="GK11" s="121" t="str">
        <f>IF(ISBLANK(tbl_task5[[คะแนนเต็ม]:[คะแนนเต็ม]]),"",(tbl_task5[23]/tbl_task5[[คะแนนเต็ม]:[คะแนนเต็ม]])*tbl_task5[[%]:[%]])</f>
        <v/>
      </c>
      <c r="GL11" s="121" t="str">
        <f>IF(ISBLANK(tbl_task5[[คะแนนเต็ม]:[คะแนนเต็ม]]),"",(tbl_task5[24]/tbl_task5[[คะแนนเต็ม]:[คะแนนเต็ม]])*tbl_task5[[%]:[%]])</f>
        <v/>
      </c>
      <c r="GM11" s="121" t="str">
        <f>IF(ISBLANK(tbl_task5[[คะแนนเต็ม]:[คะแนนเต็ม]]),"",(tbl_task5[25]/tbl_task5[[คะแนนเต็ม]:[คะแนนเต็ม]])*tbl_task5[[%]:[%]])</f>
        <v/>
      </c>
      <c r="GN11" s="121" t="str">
        <f>IF(ISBLANK(tbl_task5[[คะแนนเต็ม]:[คะแนนเต็ม]]),"",(tbl_task5[26]/tbl_task5[[คะแนนเต็ม]:[คะแนนเต็ม]])*tbl_task5[[%]:[%]])</f>
        <v/>
      </c>
      <c r="GO11" s="121" t="str">
        <f>IF(ISBLANK(tbl_task5[[คะแนนเต็ม]:[คะแนนเต็ม]]),"",(tbl_task5[27]/tbl_task5[[คะแนนเต็ม]:[คะแนนเต็ม]])*tbl_task5[[%]:[%]])</f>
        <v/>
      </c>
      <c r="GP11" s="121" t="str">
        <f>IF(ISBLANK(tbl_task5[[คะแนนเต็ม]:[คะแนนเต็ม]]),"",(tbl_task5[28]/tbl_task5[[คะแนนเต็ม]:[คะแนนเต็ม]])*tbl_task5[[%]:[%]])</f>
        <v/>
      </c>
      <c r="GQ11" s="121" t="str">
        <f>IF(ISBLANK(tbl_task5[[คะแนนเต็ม]:[คะแนนเต็ม]]),"",(tbl_task5[29]/tbl_task5[[คะแนนเต็ม]:[คะแนนเต็ม]])*tbl_task5[[%]:[%]])</f>
        <v/>
      </c>
      <c r="GR11" s="121" t="str">
        <f>IF(ISBLANK(tbl_task5[[คะแนนเต็ม]:[คะแนนเต็ม]]),"",(tbl_task5[30]/tbl_task5[[คะแนนเต็ม]:[คะแนนเต็ม]])*tbl_task5[[%]:[%]])</f>
        <v/>
      </c>
      <c r="GS11" s="121" t="str">
        <f>IF(ISBLANK(tbl_task5[[คะแนนเต็ม]:[คะแนนเต็ม]]),"",(tbl_task5[31]/tbl_task5[[คะแนนเต็ม]:[คะแนนเต็ม]])*tbl_task5[[%]:[%]])</f>
        <v/>
      </c>
      <c r="GT11" s="121" t="str">
        <f>IF(ISBLANK(tbl_task5[[คะแนนเต็ม]:[คะแนนเต็ม]]),"",(tbl_task5[32]/tbl_task5[[คะแนนเต็ม]:[คะแนนเต็ม]])*tbl_task5[[%]:[%]])</f>
        <v/>
      </c>
      <c r="GU11" s="121" t="str">
        <f>IF(ISBLANK(tbl_task5[[คะแนนเต็ม]:[คะแนนเต็ม]]),"",(tbl_task5[33]/tbl_task5[[คะแนนเต็ม]:[คะแนนเต็ม]])*tbl_task5[[%]:[%]])</f>
        <v/>
      </c>
      <c r="GV11" s="121" t="str">
        <f>IF(ISBLANK(tbl_task5[[คะแนนเต็ม]:[คะแนนเต็ม]]),"",(tbl_task5[34]/tbl_task5[[คะแนนเต็ม]:[คะแนนเต็ม]])*tbl_task5[[%]:[%]])</f>
        <v/>
      </c>
      <c r="GW11" s="121" t="str">
        <f>IF(ISBLANK(tbl_task5[[คะแนนเต็ม]:[คะแนนเต็ม]]),"",(tbl_task5[35]/tbl_task5[[คะแนนเต็ม]:[คะแนนเต็ม]])*tbl_task5[[%]:[%]])</f>
        <v/>
      </c>
      <c r="GX11" s="121" t="str">
        <f>IF(ISBLANK(tbl_task5[[คะแนนเต็ม]:[คะแนนเต็ม]]),"",(tbl_task5[36]/tbl_task5[[คะแนนเต็ม]:[คะแนนเต็ม]])*tbl_task5[[%]:[%]])</f>
        <v/>
      </c>
      <c r="GY11" s="121" t="str">
        <f>IF(ISBLANK(tbl_task5[[คะแนนเต็ม]:[คะแนนเต็ม]]),"",(tbl_task5[37]/tbl_task5[[คะแนนเต็ม]:[คะแนนเต็ม]])*tbl_task5[[%]:[%]])</f>
        <v/>
      </c>
      <c r="GZ11" s="121" t="str">
        <f>IF(ISBLANK(tbl_task5[[คะแนนเต็ม]:[คะแนนเต็ม]]),"",(tbl_task5[38]/tbl_task5[[คะแนนเต็ม]:[คะแนนเต็ม]])*tbl_task5[[%]:[%]])</f>
        <v/>
      </c>
      <c r="HA11" s="121" t="str">
        <f>IF(ISBLANK(tbl_task5[[คะแนนเต็ม]:[คะแนนเต็ม]]),"",(tbl_task5[39]/tbl_task5[[คะแนนเต็ม]:[คะแนนเต็ม]])*tbl_task5[[%]:[%]])</f>
        <v/>
      </c>
      <c r="HB11" s="121" t="str">
        <f>IF(ISBLANK(tbl_task5[[คะแนนเต็ม]:[คะแนนเต็ม]]),"",(tbl_task5[40]/tbl_task5[[คะแนนเต็ม]:[คะแนนเต็ม]])*tbl_task5[[%]:[%]])</f>
        <v/>
      </c>
      <c r="HC11" s="121" t="str">
        <f>IF(ISBLANK(tbl_task5[[คะแนนเต็ม]:[คะแนนเต็ม]]),"",(tbl_task5[41]/tbl_task5[[คะแนนเต็ม]:[คะแนนเต็ม]])*tbl_task5[[%]:[%]])</f>
        <v/>
      </c>
      <c r="HD11" s="121" t="str">
        <f>IF(ISBLANK(tbl_task5[[คะแนนเต็ม]:[คะแนนเต็ม]]),"",(tbl_task5[42]/tbl_task5[[คะแนนเต็ม]:[คะแนนเต็ม]])*tbl_task5[[%]:[%]])</f>
        <v/>
      </c>
      <c r="HE11" s="121" t="str">
        <f>IF(ISBLANK(tbl_task5[[คะแนนเต็ม]:[คะแนนเต็ม]]),"",(tbl_task5[43]/tbl_task5[[คะแนนเต็ม]:[คะแนนเต็ม]])*tbl_task5[[%]:[%]])</f>
        <v/>
      </c>
      <c r="HF11" s="121" t="str">
        <f>IF(ISBLANK(tbl_task5[[คะแนนเต็ม]:[คะแนนเต็ม]]),"",(tbl_task5[44]/tbl_task5[[คะแนนเต็ม]:[คะแนนเต็ม]])*tbl_task5[[%]:[%]])</f>
        <v/>
      </c>
      <c r="HG11" s="121" t="str">
        <f>IF(ISBLANK(tbl_task5[[คะแนนเต็ม]:[คะแนนเต็ม]]),"",(tbl_task5[45]/tbl_task5[[คะแนนเต็ม]:[คะแนนเต็ม]])*tbl_task5[[%]:[%]])</f>
        <v/>
      </c>
      <c r="HH11" s="121" t="str">
        <f>IF(ISBLANK(tbl_task5[[คะแนนเต็ม]:[คะแนนเต็ม]]),"",(tbl_task5[46]/tbl_task5[[คะแนนเต็ม]:[คะแนนเต็ม]])*tbl_task5[[%]:[%]])</f>
        <v/>
      </c>
      <c r="HI11" s="121" t="str">
        <f>IF(ISBLANK(tbl_task5[[คะแนนเต็ม]:[คะแนนเต็ม]]),"",(tbl_task5[47]/tbl_task5[[คะแนนเต็ม]:[คะแนนเต็ม]])*tbl_task5[[%]:[%]])</f>
        <v/>
      </c>
      <c r="HJ11" s="121" t="str">
        <f>IF(ISBLANK(tbl_task5[[คะแนนเต็ม]:[คะแนนเต็ม]]),"",(tbl_task5[48]/tbl_task5[[คะแนนเต็ม]:[คะแนนเต็ม]])*tbl_task5[[%]:[%]])</f>
        <v/>
      </c>
      <c r="HK11" s="121" t="str">
        <f>IF(ISBLANK(tbl_task5[[คะแนนเต็ม]:[คะแนนเต็ม]]),"",(tbl_task5[49]/tbl_task5[[คะแนนเต็ม]:[คะแนนเต็ม]])*tbl_task5[[%]:[%]])</f>
        <v/>
      </c>
      <c r="HL11" s="121" t="str">
        <f>IF(ISBLANK(tbl_task5[[คะแนนเต็ม]:[คะแนนเต็ม]]),"",(tbl_task5[50]/tbl_task5[[คะแนนเต็ม]:[คะแนนเต็ม]])*tbl_task5[[%]:[%]])</f>
        <v/>
      </c>
      <c r="HM11" s="121" t="str">
        <f>IF(ISBLANK(tbl_task5[[คะแนนเต็ม]:[คะแนนเต็ม]]),"",(tbl_task5[51]/tbl_task5[[คะแนนเต็ม]:[คะแนนเต็ม]])*tbl_task5[[%]:[%]])</f>
        <v/>
      </c>
      <c r="HN11" s="121" t="str">
        <f>IF(ISBLANK(tbl_task5[[คะแนนเต็ม]:[คะแนนเต็ม]]),"",(tbl_task5[52]/tbl_task5[[คะแนนเต็ม]:[คะแนนเต็ม]])*tbl_task5[[%]:[%]])</f>
        <v/>
      </c>
      <c r="HO11" s="121" t="str">
        <f>IF(ISBLANK(tbl_task5[[คะแนนเต็ม]:[คะแนนเต็ม]]),"",(tbl_task5[53]/tbl_task5[[คะแนนเต็ม]:[คะแนนเต็ม]])*tbl_task5[[%]:[%]])</f>
        <v/>
      </c>
      <c r="HP11" s="121" t="str">
        <f>IF(ISBLANK(tbl_task5[[คะแนนเต็ม]:[คะแนนเต็ม]]),"",(tbl_task5[54]/tbl_task5[[คะแนนเต็ม]:[คะแนนเต็ม]])*tbl_task5[[%]:[%]])</f>
        <v/>
      </c>
      <c r="HQ11" s="121" t="str">
        <f>IF(ISBLANK(tbl_task5[[คะแนนเต็ม]:[คะแนนเต็ม]]),"",(tbl_task5[55]/tbl_task5[[คะแนนเต็ม]:[คะแนนเต็ม]])*tbl_task5[[%]:[%]])</f>
        <v/>
      </c>
      <c r="HR11" s="121" t="str">
        <f>IF(ISBLANK(tbl_task5[[คะแนนเต็ม]:[คะแนนเต็ม]]),"",(tbl_task5[56]/tbl_task5[[คะแนนเต็ม]:[คะแนนเต็ม]])*tbl_task5[[%]:[%]])</f>
        <v/>
      </c>
      <c r="HS11" s="121" t="str">
        <f>IF(ISBLANK(tbl_task5[[คะแนนเต็ม]:[คะแนนเต็ม]]),"",(tbl_task5[57]/tbl_task5[[คะแนนเต็ม]:[คะแนนเต็ม]])*tbl_task5[[%]:[%]])</f>
        <v/>
      </c>
      <c r="HT11" s="121" t="str">
        <f>IF(ISBLANK(tbl_task5[[คะแนนเต็ม]:[คะแนนเต็ม]]),"",(tbl_task5[58]/tbl_task5[[คะแนนเต็ม]:[คะแนนเต็ม]])*tbl_task5[[%]:[%]])</f>
        <v/>
      </c>
      <c r="HU11" s="121" t="str">
        <f>IF(ISBLANK(tbl_task5[[คะแนนเต็ม]:[คะแนนเต็ม]]),"",(tbl_task5[59]/tbl_task5[[คะแนนเต็ม]:[คะแนนเต็ม]])*tbl_task5[[%]:[%]])</f>
        <v/>
      </c>
      <c r="HV11" s="121" t="str">
        <f>IF(ISBLANK(tbl_task5[[คะแนนเต็ม]:[คะแนนเต็ม]]),"",(tbl_task5[60]/tbl_task5[[คะแนนเต็ม]:[คะแนนเต็ม]])*tbl_task5[[%]:[%]])</f>
        <v/>
      </c>
      <c r="HW11" s="121" t="str">
        <f>IF(ISBLANK(tbl_task5[[คะแนนเต็ม]:[คะแนนเต็ม]]),"",(tbl_task5[61]/tbl_task5[[คะแนนเต็ม]:[คะแนนเต็ม]])*tbl_task5[[%]:[%]])</f>
        <v/>
      </c>
      <c r="HX11" s="121" t="str">
        <f>IF(ISBLANK(tbl_task5[[คะแนนเต็ม]:[คะแนนเต็ม]]),"",(tbl_task5[62]/tbl_task5[[คะแนนเต็ม]:[คะแนนเต็ม]])*tbl_task5[[%]:[%]])</f>
        <v/>
      </c>
      <c r="HY11" s="121" t="str">
        <f>IF(ISBLANK(tbl_task5[[คะแนนเต็ม]:[คะแนนเต็ม]]),"",(tbl_task5[63]/tbl_task5[[คะแนนเต็ม]:[คะแนนเต็ม]])*tbl_task5[[%]:[%]])</f>
        <v/>
      </c>
      <c r="HZ11" s="121" t="str">
        <f>IF(ISBLANK(tbl_task5[[คะแนนเต็ม]:[คะแนนเต็ม]]),"",(tbl_task5[64]/tbl_task5[[คะแนนเต็ม]:[คะแนนเต็ม]])*tbl_task5[[%]:[%]])</f>
        <v/>
      </c>
      <c r="IA11" s="121" t="str">
        <f>IF(ISBLANK(tbl_task5[[คะแนนเต็ม]:[คะแนนเต็ม]]),"",(tbl_task5[65]/tbl_task5[[คะแนนเต็ม]:[คะแนนเต็ม]])*tbl_task5[[%]:[%]])</f>
        <v/>
      </c>
      <c r="IB11" s="121" t="str">
        <f>IF(ISBLANK(tbl_task5[[คะแนนเต็ม]:[คะแนนเต็ม]]),"",(tbl_task5[66]/tbl_task5[[คะแนนเต็ม]:[คะแนนเต็ม]])*tbl_task5[[%]:[%]])</f>
        <v/>
      </c>
      <c r="IC11" s="121" t="str">
        <f>IF(ISBLANK(tbl_task5[[คะแนนเต็ม]:[คะแนนเต็ม]]),"",(tbl_task5[67]/tbl_task5[[คะแนนเต็ม]:[คะแนนเต็ม]])*tbl_task5[[%]:[%]])</f>
        <v/>
      </c>
      <c r="ID11" s="121" t="str">
        <f>IF(ISBLANK(tbl_task5[[คะแนนเต็ม]:[คะแนนเต็ม]]),"",(tbl_task5[68]/tbl_task5[[คะแนนเต็ม]:[คะแนนเต็ม]])*tbl_task5[[%]:[%]])</f>
        <v/>
      </c>
      <c r="IE11" s="121" t="str">
        <f>IF(ISBLANK(tbl_task5[[คะแนนเต็ม]:[คะแนนเต็ม]]),"",(tbl_task5[69]/tbl_task5[[คะแนนเต็ม]:[คะแนนเต็ม]])*tbl_task5[[%]:[%]])</f>
        <v/>
      </c>
      <c r="IF11" s="121" t="str">
        <f>IF(ISBLANK(tbl_task5[[คะแนนเต็ม]:[คะแนนเต็ม]]),"",(tbl_task5[70]/tbl_task5[[คะแนนเต็ม]:[คะแนนเต็ม]])*tbl_task5[[%]:[%]])</f>
        <v/>
      </c>
      <c r="IG11" s="121" t="str">
        <f>IF(ISBLANK(tbl_task5[[คะแนนเต็ม]:[คะแนนเต็ม]]),"",(tbl_task5[71]/tbl_task5[[คะแนนเต็ม]:[คะแนนเต็ม]])*tbl_task5[[%]:[%]])</f>
        <v/>
      </c>
      <c r="IH11" s="121" t="str">
        <f>IF(ISBLANK(tbl_task5[[คะแนนเต็ม]:[คะแนนเต็ม]]),"",(tbl_task5[72]/tbl_task5[[คะแนนเต็ม]:[คะแนนเต็ม]])*tbl_task5[[%]:[%]])</f>
        <v/>
      </c>
      <c r="II11" s="121" t="str">
        <f>IF(ISBLANK(tbl_task5[[คะแนนเต็ม]:[คะแนนเต็ม]]),"",(tbl_task5[73]/tbl_task5[[คะแนนเต็ม]:[คะแนนเต็ม]])*tbl_task5[[%]:[%]])</f>
        <v/>
      </c>
      <c r="IJ11" s="121" t="str">
        <f>IF(ISBLANK(tbl_task5[[คะแนนเต็ม]:[คะแนนเต็ม]]),"",(tbl_task5[74]/tbl_task5[[คะแนนเต็ม]:[คะแนนเต็ม]])*tbl_task5[[%]:[%]])</f>
        <v/>
      </c>
      <c r="IK11" s="121" t="str">
        <f>IF(ISBLANK(tbl_task5[[คะแนนเต็ม]:[คะแนนเต็ม]]),"",(tbl_task5[75]/tbl_task5[[คะแนนเต็ม]:[คะแนนเต็ม]])*tbl_task5[[%]:[%]])</f>
        <v/>
      </c>
      <c r="IL11" s="121" t="str">
        <f>IF(ISBLANK(tbl_task5[[คะแนนเต็ม]:[คะแนนเต็ม]]),"",(tbl_task5[76]/tbl_task5[[คะแนนเต็ม]:[คะแนนเต็ม]])*tbl_task5[[%]:[%]])</f>
        <v/>
      </c>
      <c r="IM11" s="121" t="str">
        <f>IF(ISBLANK(tbl_task5[[คะแนนเต็ม]:[คะแนนเต็ม]]),"",(tbl_task5[77]/tbl_task5[[คะแนนเต็ม]:[คะแนนเต็ม]])*tbl_task5[[%]:[%]])</f>
        <v/>
      </c>
      <c r="IN11" s="121" t="str">
        <f>IF(ISBLANK(tbl_task5[[คะแนนเต็ม]:[คะแนนเต็ม]]),"",(tbl_task5[78]/tbl_task5[[คะแนนเต็ม]:[คะแนนเต็ม]])*tbl_task5[[%]:[%]])</f>
        <v/>
      </c>
      <c r="IO11" s="121" t="str">
        <f>IF(ISBLANK(tbl_task5[[คะแนนเต็ม]:[คะแนนเต็ม]]),"",(tbl_task5[79]/tbl_task5[[คะแนนเต็ม]:[คะแนนเต็ม]])*tbl_task5[[%]:[%]])</f>
        <v/>
      </c>
      <c r="IP11" s="121" t="str">
        <f>IF(ISBLANK(tbl_task5[[คะแนนเต็ม]:[คะแนนเต็ม]]),"",(tbl_task5[80]/tbl_task5[[คะแนนเต็ม]:[คะแนนเต็ม]])*tbl_task5[[%]:[%]])</f>
        <v/>
      </c>
      <c r="IQ11" s="121" t="str">
        <f>IF(ISBLANK(tbl_task5[[คะแนนเต็ม]:[คะแนนเต็ม]]),"",(tbl_task5[81]/tbl_task5[[คะแนนเต็ม]:[คะแนนเต็ม]])*tbl_task5[[%]:[%]])</f>
        <v/>
      </c>
      <c r="IR11" s="121" t="str">
        <f>IF(ISBLANK(tbl_task5[[คะแนนเต็ม]:[คะแนนเต็ม]]),"",(tbl_task5[82]/tbl_task5[[คะแนนเต็ม]:[คะแนนเต็ม]])*tbl_task5[[%]:[%]])</f>
        <v/>
      </c>
      <c r="IS11" s="121" t="str">
        <f>IF(ISBLANK(tbl_task5[[คะแนนเต็ม]:[คะแนนเต็ม]]),"",(tbl_task5[83]/tbl_task5[[คะแนนเต็ม]:[คะแนนเต็ม]])*tbl_task5[[%]:[%]])</f>
        <v/>
      </c>
      <c r="IT11" s="121" t="str">
        <f>IF(ISBLANK(tbl_task5[[คะแนนเต็ม]:[คะแนนเต็ม]]),"",(tbl_task5[84]/tbl_task5[[คะแนนเต็ม]:[คะแนนเต็ม]])*tbl_task5[[%]:[%]])</f>
        <v/>
      </c>
      <c r="IU11" s="121" t="str">
        <f>IF(ISBLANK(tbl_task5[[คะแนนเต็ม]:[คะแนนเต็ม]]),"",(tbl_task5[85]/tbl_task5[[คะแนนเต็ม]:[คะแนนเต็ม]])*tbl_task5[[%]:[%]])</f>
        <v/>
      </c>
      <c r="IV11" s="121" t="str">
        <f>IF(ISBLANK(tbl_task5[[คะแนนเต็ม]:[คะแนนเต็ม]]),"",(tbl_task5[86]/tbl_task5[[คะแนนเต็ม]:[คะแนนเต็ม]])*tbl_task5[[%]:[%]])</f>
        <v/>
      </c>
      <c r="IW11" s="121" t="str">
        <f>IF(ISBLANK(tbl_task5[[คะแนนเต็ม]:[คะแนนเต็ม]]),"",(tbl_task5[87]/tbl_task5[[คะแนนเต็ม]:[คะแนนเต็ม]])*tbl_task5[[%]:[%]])</f>
        <v/>
      </c>
      <c r="IX11" s="121" t="str">
        <f>IF(ISBLANK(tbl_task5[[คะแนนเต็ม]:[คะแนนเต็ม]]),"",(tbl_task5[88]/tbl_task5[[คะแนนเต็ม]:[คะแนนเต็ม]])*tbl_task5[[%]:[%]])</f>
        <v/>
      </c>
      <c r="IY11" s="121" t="str">
        <f>IF(ISBLANK(tbl_task5[[คะแนนเต็ม]:[คะแนนเต็ม]]),"",(tbl_task5[89]/tbl_task5[[คะแนนเต็ม]:[คะแนนเต็ม]])*tbl_task5[[%]:[%]])</f>
        <v/>
      </c>
      <c r="IZ11" s="121" t="str">
        <f>IF(ISBLANK(tbl_task5[[คะแนนเต็ม]:[คะแนนเต็ม]]),"",(tbl_task5[90]/tbl_task5[[คะแนนเต็ม]:[คะแนนเต็ม]])*tbl_task5[[%]:[%]])</f>
        <v/>
      </c>
      <c r="JA11" s="121" t="str">
        <f>IF(ISBLANK(tbl_task5[[คะแนนเต็ม]:[คะแนนเต็ม]]),"",(tbl_task5[91]/tbl_task5[[คะแนนเต็ม]:[คะแนนเต็ม]])*tbl_task5[[%]:[%]])</f>
        <v/>
      </c>
      <c r="JB11" s="121" t="str">
        <f>IF(ISBLANK(tbl_task5[[คะแนนเต็ม]:[คะแนนเต็ม]]),"",(tbl_task5[92]/tbl_task5[[คะแนนเต็ม]:[คะแนนเต็ม]])*tbl_task5[[%]:[%]])</f>
        <v/>
      </c>
      <c r="JC11" s="121" t="str">
        <f>IF(ISBLANK(tbl_task5[[คะแนนเต็ม]:[คะแนนเต็ม]]),"",(tbl_task5[93]/tbl_task5[[คะแนนเต็ม]:[คะแนนเต็ม]])*tbl_task5[[%]:[%]])</f>
        <v/>
      </c>
      <c r="JD11" s="121" t="str">
        <f>IF(ISBLANK(tbl_task5[[คะแนนเต็ม]:[คะแนนเต็ม]]),"",(tbl_task5[94]/tbl_task5[[คะแนนเต็ม]:[คะแนนเต็ม]])*tbl_task5[[%]:[%]])</f>
        <v/>
      </c>
      <c r="JE11" s="121" t="str">
        <f>IF(ISBLANK(tbl_task5[[คะแนนเต็ม]:[คะแนนเต็ม]]),"",(tbl_task5[95]/tbl_task5[[คะแนนเต็ม]:[คะแนนเต็ม]])*tbl_task5[[%]:[%]])</f>
        <v/>
      </c>
      <c r="JF11" s="121" t="str">
        <f>IF(ISBLANK(tbl_task5[[คะแนนเต็ม]:[คะแนนเต็ม]]),"",(tbl_task5[96]/tbl_task5[[คะแนนเต็ม]:[คะแนนเต็ม]])*tbl_task5[[%]:[%]])</f>
        <v/>
      </c>
      <c r="JG11" s="121" t="str">
        <f>IF(ISBLANK(tbl_task5[[คะแนนเต็ม]:[คะแนนเต็ม]]),"",(tbl_task5[97]/tbl_task5[[คะแนนเต็ม]:[คะแนนเต็ม]])*tbl_task5[[%]:[%]])</f>
        <v/>
      </c>
      <c r="JH11" s="121" t="str">
        <f>IF(ISBLANK(tbl_task5[[คะแนนเต็ม]:[คะแนนเต็ม]]),"",(tbl_task5[98]/tbl_task5[[คะแนนเต็ม]:[คะแนนเต็ม]])*tbl_task5[[%]:[%]])</f>
        <v/>
      </c>
      <c r="JI11" s="121" t="str">
        <f>IF(ISBLANK(tbl_task5[[คะแนนเต็ม]:[คะแนนเต็ม]]),"",(tbl_task5[99]/tbl_task5[[คะแนนเต็ม]:[คะแนนเต็ม]])*tbl_task5[[%]:[%]])</f>
        <v/>
      </c>
      <c r="JJ11" s="121" t="str">
        <f>IF(ISBLANK(tbl_task5[[คะแนนเต็ม]:[คะแนนเต็ม]]),"",(tbl_task5[100]/tbl_task5[[คะแนนเต็ม]:[คะแนนเต็ม]])*tbl_task5[[%]:[%]])</f>
        <v/>
      </c>
      <c r="JK11" s="121" t="str">
        <f>IF(ISBLANK(tbl_task5[[คะแนนเต็ม]:[คะแนนเต็ม]]),"",(tbl_task5[101]/tbl_task5[[คะแนนเต็ม]:[คะแนนเต็ม]])*tbl_task5[[%]:[%]])</f>
        <v/>
      </c>
      <c r="JL11" s="121" t="str">
        <f>IF(ISBLANK(tbl_task5[[คะแนนเต็ม]:[คะแนนเต็ม]]),"",(tbl_task5[102]/tbl_task5[[คะแนนเต็ม]:[คะแนนเต็ม]])*tbl_task5[[%]:[%]])</f>
        <v/>
      </c>
      <c r="JM11" s="121" t="str">
        <f>IF(ISBLANK(tbl_task5[[คะแนนเต็ม]:[คะแนนเต็ม]]),"",(tbl_task5[103]/tbl_task5[[คะแนนเต็ม]:[คะแนนเต็ม]])*tbl_task5[[%]:[%]])</f>
        <v/>
      </c>
      <c r="JN11" s="121" t="str">
        <f>IF(ISBLANK(tbl_task5[[คะแนนเต็ม]:[คะแนนเต็ม]]),"",(tbl_task5[104]/tbl_task5[[คะแนนเต็ม]:[คะแนนเต็ม]])*tbl_task5[[%]:[%]])</f>
        <v/>
      </c>
      <c r="JO11" s="121" t="str">
        <f>IF(ISBLANK(tbl_task5[[คะแนนเต็ม]:[คะแนนเต็ม]]),"",(tbl_task5[105]/tbl_task5[[คะแนนเต็ม]:[คะแนนเต็ม]])*tbl_task5[[%]:[%]])</f>
        <v/>
      </c>
      <c r="JP11" s="121" t="str">
        <f>IF(ISBLANK(tbl_task5[[คะแนนเต็ม]:[คะแนนเต็ม]]),"",(tbl_task5[106]/tbl_task5[[คะแนนเต็ม]:[คะแนนเต็ม]])*tbl_task5[[%]:[%]])</f>
        <v/>
      </c>
      <c r="JQ11" s="121" t="str">
        <f>IF(ISBLANK(tbl_task5[[คะแนนเต็ม]:[คะแนนเต็ม]]),"",(tbl_task5[107]/tbl_task5[[คะแนนเต็ม]:[คะแนนเต็ม]])*tbl_task5[[%]:[%]])</f>
        <v/>
      </c>
      <c r="JR11" s="121" t="str">
        <f>IF(ISBLANK(tbl_task5[[คะแนนเต็ม]:[คะแนนเต็ม]]),"",(tbl_task5[108]/tbl_task5[[คะแนนเต็ม]:[คะแนนเต็ม]])*tbl_task5[[%]:[%]])</f>
        <v/>
      </c>
      <c r="JS11" s="121" t="str">
        <f>IF(ISBLANK(tbl_task5[[คะแนนเต็ม]:[คะแนนเต็ม]]),"",(tbl_task5[109]/tbl_task5[[คะแนนเต็ม]:[คะแนนเต็ม]])*tbl_task5[[%]:[%]])</f>
        <v/>
      </c>
      <c r="JT11" s="121" t="str">
        <f>IF(ISBLANK(tbl_task5[[คะแนนเต็ม]:[คะแนนเต็ม]]),"",(tbl_task5[110]/tbl_task5[[คะแนนเต็ม]:[คะแนนเต็ม]])*tbl_task5[[%]:[%]])</f>
        <v/>
      </c>
      <c r="JU11" s="121" t="str">
        <f>IF(ISBLANK(tbl_task5[[คะแนนเต็ม]:[คะแนนเต็ม]]),"",(tbl_task5[111]/tbl_task5[[คะแนนเต็ม]:[คะแนนเต็ม]])*tbl_task5[[%]:[%]])</f>
        <v/>
      </c>
      <c r="JV11" s="121" t="str">
        <f>IF(ISBLANK(tbl_task5[[คะแนนเต็ม]:[คะแนนเต็ม]]),"",(tbl_task5[112]/tbl_task5[[คะแนนเต็ม]:[คะแนนเต็ม]])*tbl_task5[[%]:[%]])</f>
        <v/>
      </c>
      <c r="JW11" s="121" t="str">
        <f>IF(ISBLANK(tbl_task5[[คะแนนเต็ม]:[คะแนนเต็ม]]),"",(tbl_task5[113]/tbl_task5[[คะแนนเต็ม]:[คะแนนเต็ม]])*tbl_task5[[%]:[%]])</f>
        <v/>
      </c>
      <c r="JX11" s="121" t="str">
        <f>IF(ISBLANK(tbl_task5[[คะแนนเต็ม]:[คะแนนเต็ม]]),"",(tbl_task5[114]/tbl_task5[[คะแนนเต็ม]:[คะแนนเต็ม]])*tbl_task5[[%]:[%]])</f>
        <v/>
      </c>
      <c r="JY11" s="121" t="str">
        <f>IF(ISBLANK(tbl_task5[[คะแนนเต็ม]:[คะแนนเต็ม]]),"",(tbl_task5[115]/tbl_task5[[คะแนนเต็ม]:[คะแนนเต็ม]])*tbl_task5[[%]:[%]])</f>
        <v/>
      </c>
      <c r="JZ11" s="121" t="str">
        <f>IF(ISBLANK(tbl_task5[[คะแนนเต็ม]:[คะแนนเต็ม]]),"",(tbl_task5[116]/tbl_task5[[คะแนนเต็ม]:[คะแนนเต็ม]])*tbl_task5[[%]:[%]])</f>
        <v/>
      </c>
      <c r="KA11" s="121" t="str">
        <f>IF(ISBLANK(tbl_task5[[คะแนนเต็ม]:[คะแนนเต็ม]]),"",(tbl_task5[117]/tbl_task5[[คะแนนเต็ม]:[คะแนนเต็ม]])*tbl_task5[[%]:[%]])</f>
        <v/>
      </c>
      <c r="KB11" s="121" t="str">
        <f>IF(ISBLANK(tbl_task5[[คะแนนเต็ม]:[คะแนนเต็ม]]),"",(tbl_task5[118]/tbl_task5[[คะแนนเต็ม]:[คะแนนเต็ม]])*tbl_task5[[%]:[%]])</f>
        <v/>
      </c>
      <c r="KC11" s="121" t="str">
        <f>IF(ISBLANK(tbl_task5[[คะแนนเต็ม]:[คะแนนเต็ม]]),"",(tbl_task5[119]/tbl_task5[[คะแนนเต็ม]:[คะแนนเต็ม]])*tbl_task5[[%]:[%]])</f>
        <v/>
      </c>
      <c r="KD11" s="121" t="str">
        <f>IF(ISBLANK(tbl_task5[[คะแนนเต็ม]:[คะแนนเต็ม]]),"",(tbl_task5[120]/tbl_task5[[คะแนนเต็ม]:[คะแนนเต็ม]])*tbl_task5[[%]:[%]])</f>
        <v/>
      </c>
      <c r="KE11" s="121" t="str">
        <f>IF(ISBLANK(tbl_task5[[คะแนนเต็ม]:[คะแนนเต็ม]]),"",(tbl_task5[121]/tbl_task5[[คะแนนเต็ม]:[คะแนนเต็ม]])*tbl_task5[[%]:[%]])</f>
        <v/>
      </c>
      <c r="KF11" s="121" t="str">
        <f>IF(ISBLANK(tbl_task5[[คะแนนเต็ม]:[คะแนนเต็ม]]),"",(tbl_task5[122]/tbl_task5[[คะแนนเต็ม]:[คะแนนเต็ม]])*tbl_task5[[%]:[%]])</f>
        <v/>
      </c>
      <c r="KG11" s="121" t="str">
        <f>IF(ISBLANK(tbl_task5[[คะแนนเต็ม]:[คะแนนเต็ม]]),"",(tbl_task5[123]/tbl_task5[[คะแนนเต็ม]:[คะแนนเต็ม]])*tbl_task5[[%]:[%]])</f>
        <v/>
      </c>
      <c r="KH11" s="121" t="str">
        <f>IF(ISBLANK(tbl_task5[[คะแนนเต็ม]:[คะแนนเต็ม]]),"",(tbl_task5[124]/tbl_task5[[คะแนนเต็ม]:[คะแนนเต็ม]])*tbl_task5[[%]:[%]])</f>
        <v/>
      </c>
      <c r="KI11" s="121" t="str">
        <f>IF(ISBLANK(tbl_task5[[คะแนนเต็ม]:[คะแนนเต็ม]]),"",(tbl_task5[125]/tbl_task5[[คะแนนเต็ม]:[คะแนนเต็ม]])*tbl_task5[[%]:[%]])</f>
        <v/>
      </c>
      <c r="KJ11" s="121" t="str">
        <f>IF(ISBLANK(tbl_task5[[คะแนนเต็ม]:[คะแนนเต็ม]]),"",(tbl_task5[126]/tbl_task5[[คะแนนเต็ม]:[คะแนนเต็ม]])*tbl_task5[[%]:[%]])</f>
        <v/>
      </c>
      <c r="KK11" s="121" t="str">
        <f>IF(ISBLANK(tbl_task5[[คะแนนเต็ม]:[คะแนนเต็ม]]),"",(tbl_task5[127]/tbl_task5[[คะแนนเต็ม]:[คะแนนเต็ม]])*tbl_task5[[%]:[%]])</f>
        <v/>
      </c>
      <c r="KL11" s="121" t="str">
        <f>IF(ISBLANK(tbl_task5[[คะแนนเต็ม]:[คะแนนเต็ม]]),"",(tbl_task5[128]/tbl_task5[[คะแนนเต็ม]:[คะแนนเต็ม]])*tbl_task5[[%]:[%]])</f>
        <v/>
      </c>
      <c r="KM11" s="121" t="str">
        <f>IF(ISBLANK(tbl_task5[[คะแนนเต็ม]:[คะแนนเต็ม]]),"",(tbl_task5[129]/tbl_task5[[คะแนนเต็ม]:[คะแนนเต็ม]])*tbl_task5[[%]:[%]])</f>
        <v/>
      </c>
      <c r="KN11" s="121" t="str">
        <f>IF(ISBLANK(tbl_task5[[คะแนนเต็ม]:[คะแนนเต็ม]]),"",(tbl_task5[130]/tbl_task5[[คะแนนเต็ม]:[คะแนนเต็ม]])*tbl_task5[[%]:[%]])</f>
        <v/>
      </c>
      <c r="KO11" s="121" t="str">
        <f>IF(ISBLANK(tbl_task5[[คะแนนเต็ม]:[คะแนนเต็ม]]),"",(tbl_task5[131]/tbl_task5[[คะแนนเต็ม]:[คะแนนเต็ม]])*tbl_task5[[%]:[%]])</f>
        <v/>
      </c>
      <c r="KP11" s="121" t="str">
        <f>IF(ISBLANK(tbl_task5[[คะแนนเต็ม]:[คะแนนเต็ม]]),"",(tbl_task5[132]/tbl_task5[[คะแนนเต็ม]:[คะแนนเต็ม]])*tbl_task5[[%]:[%]])</f>
        <v/>
      </c>
      <c r="KQ11" s="121" t="str">
        <f>IF(ISBLANK(tbl_task5[[คะแนนเต็ม]:[คะแนนเต็ม]]),"",(tbl_task5[133]/tbl_task5[[คะแนนเต็ม]:[คะแนนเต็ม]])*tbl_task5[[%]:[%]])</f>
        <v/>
      </c>
      <c r="KR11" s="121" t="str">
        <f>IF(ISBLANK(tbl_task5[[คะแนนเต็ม]:[คะแนนเต็ม]]),"",(tbl_task5[134]/tbl_task5[[คะแนนเต็ม]:[คะแนนเต็ม]])*tbl_task5[[%]:[%]])</f>
        <v/>
      </c>
      <c r="KS11" s="121" t="str">
        <f>IF(ISBLANK(tbl_task5[[คะแนนเต็ม]:[คะแนนเต็ม]]),"",(tbl_task5[135]/tbl_task5[[คะแนนเต็ม]:[คะแนนเต็ม]])*tbl_task5[[%]:[%]])</f>
        <v/>
      </c>
      <c r="KT11" s="121" t="str">
        <f>IF(ISBLANK(tbl_task5[[คะแนนเต็ม]:[คะแนนเต็ม]]),"",(tbl_task5[136]/tbl_task5[[คะแนนเต็ม]:[คะแนนเต็ม]])*tbl_task5[[%]:[%]])</f>
        <v/>
      </c>
      <c r="KU11" s="121" t="str">
        <f>IF(ISBLANK(tbl_task5[[คะแนนเต็ม]:[คะแนนเต็ม]]),"",(tbl_task5[137]/tbl_task5[[คะแนนเต็ม]:[คะแนนเต็ม]])*tbl_task5[[%]:[%]])</f>
        <v/>
      </c>
      <c r="KV11" s="121" t="str">
        <f>IF(ISBLANK(tbl_task5[[คะแนนเต็ม]:[คะแนนเต็ม]]),"",(tbl_task5[138]/tbl_task5[[คะแนนเต็ม]:[คะแนนเต็ม]])*tbl_task5[[%]:[%]])</f>
        <v/>
      </c>
      <c r="KW11" s="121" t="str">
        <f>IF(ISBLANK(tbl_task5[[คะแนนเต็ม]:[คะแนนเต็ม]]),"",(tbl_task5[139]/tbl_task5[[คะแนนเต็ม]:[คะแนนเต็ม]])*tbl_task5[[%]:[%]])</f>
        <v/>
      </c>
      <c r="KX11" s="121" t="str">
        <f>IF(ISBLANK(tbl_task5[[คะแนนเต็ม]:[คะแนนเต็ม]]),"",(tbl_task5[140]/tbl_task5[[คะแนนเต็ม]:[คะแนนเต็ม]])*tbl_task5[[%]:[%]])</f>
        <v/>
      </c>
      <c r="KY11" s="121" t="str">
        <f>IF(ISBLANK(tbl_task5[[คะแนนเต็ม]:[คะแนนเต็ม]]),"",(tbl_task5[141]/tbl_task5[[คะแนนเต็ม]:[คะแนนเต็ม]])*tbl_task5[[%]:[%]])</f>
        <v/>
      </c>
      <c r="KZ11" s="121" t="str">
        <f>IF(ISBLANK(tbl_task5[[คะแนนเต็ม]:[คะแนนเต็ม]]),"",(tbl_task5[142]/tbl_task5[[คะแนนเต็ม]:[คะแนนเต็ม]])*tbl_task5[[%]:[%]])</f>
        <v/>
      </c>
      <c r="LA11" s="121" t="str">
        <f>IF(ISBLANK(tbl_task5[[คะแนนเต็ม]:[คะแนนเต็ม]]),"",(tbl_task5[143]/tbl_task5[[คะแนนเต็ม]:[คะแนนเต็ม]])*tbl_task5[[%]:[%]])</f>
        <v/>
      </c>
      <c r="LB11" s="121" t="str">
        <f>IF(ISBLANK(tbl_task5[[คะแนนเต็ม]:[คะแนนเต็ม]]),"",(tbl_task5[144]/tbl_task5[[คะแนนเต็ม]:[คะแนนเต็ม]])*tbl_task5[[%]:[%]])</f>
        <v/>
      </c>
      <c r="LC11" s="121" t="str">
        <f>IF(ISBLANK(tbl_task5[[คะแนนเต็ม]:[คะแนนเต็ม]]),"",(tbl_task5[145]/tbl_task5[[คะแนนเต็ม]:[คะแนนเต็ม]])*tbl_task5[[%]:[%]])</f>
        <v/>
      </c>
      <c r="LD11" s="121" t="str">
        <f>IF(ISBLANK(tbl_task5[[คะแนนเต็ม]:[คะแนนเต็ม]]),"",(tbl_task5[146]/tbl_task5[[คะแนนเต็ม]:[คะแนนเต็ม]])*tbl_task5[[%]:[%]])</f>
        <v/>
      </c>
      <c r="LE11" s="121" t="str">
        <f>IF(ISBLANK(tbl_task5[[คะแนนเต็ม]:[คะแนนเต็ม]]),"",(tbl_task5[147]/tbl_task5[[คะแนนเต็ม]:[คะแนนเต็ม]])*tbl_task5[[%]:[%]])</f>
        <v/>
      </c>
      <c r="LF11" s="121" t="str">
        <f>IF(ISBLANK(tbl_task5[[คะแนนเต็ม]:[คะแนนเต็ม]]),"",(tbl_task5[148]/tbl_task5[[คะแนนเต็ม]:[คะแนนเต็ม]])*tbl_task5[[%]:[%]])</f>
        <v/>
      </c>
      <c r="LG11" s="121" t="str">
        <f>IF(ISBLANK(tbl_task5[[คะแนนเต็ม]:[คะแนนเต็ม]]),"",(tbl_task5[149]/tbl_task5[[คะแนนเต็ม]:[คะแนนเต็ม]])*tbl_task5[[%]:[%]])</f>
        <v/>
      </c>
      <c r="LH11" s="121" t="str">
        <f>IF(ISBLANK(tbl_task5[[คะแนนเต็ม]:[คะแนนเต็ม]]),"",(tbl_task5[150]/tbl_task5[[คะแนนเต็ม]:[คะแนนเต็ม]])*tbl_task5[[%]:[%]])</f>
        <v/>
      </c>
      <c r="LI11" s="121" t="str">
        <f>IF(ISBLANK(tbl_task5[[คะแนนเต็ม]:[คะแนนเต็ม]]),"",(tbl_task5[151]/tbl_task5[[คะแนนเต็ม]:[คะแนนเต็ม]])*tbl_task5[[%]:[%]])</f>
        <v/>
      </c>
      <c r="LJ11" s="121" t="str">
        <f>IF(ISBLANK(tbl_task5[[คะแนนเต็ม]:[คะแนนเต็ม]]),"",(tbl_task5[152]/tbl_task5[[คะแนนเต็ม]:[คะแนนเต็ม]])*tbl_task5[[%]:[%]])</f>
        <v/>
      </c>
      <c r="LK11" s="121" t="str">
        <f>IF(ISBLANK(tbl_task5[[คะแนนเต็ม]:[คะแนนเต็ม]]),"",(tbl_task5[153]/tbl_task5[[คะแนนเต็ม]:[คะแนนเต็ม]])*tbl_task5[[%]:[%]])</f>
        <v/>
      </c>
      <c r="LL11" s="121" t="str">
        <f>IF(ISBLANK(tbl_task5[[คะแนนเต็ม]:[คะแนนเต็ม]]),"",(tbl_task5[154]/tbl_task5[[คะแนนเต็ม]:[คะแนนเต็ม]])*tbl_task5[[%]:[%]])</f>
        <v/>
      </c>
      <c r="LM11" s="121" t="str">
        <f>IF(ISBLANK(tbl_task5[[คะแนนเต็ม]:[คะแนนเต็ม]]),"",(tbl_task5[155]/tbl_task5[[คะแนนเต็ม]:[คะแนนเต็ม]])*tbl_task5[[%]:[%]])</f>
        <v/>
      </c>
      <c r="LN11" s="121" t="str">
        <f>IF(ISBLANK(tbl_task5[[คะแนนเต็ม]:[คะแนนเต็ม]]),"",(tbl_task5[156]/tbl_task5[[คะแนนเต็ม]:[คะแนนเต็ม]])*tbl_task5[[%]:[%]])</f>
        <v/>
      </c>
      <c r="LO11" s="121" t="str">
        <f>IF(ISBLANK(tbl_task5[[คะแนนเต็ม]:[คะแนนเต็ม]]),"",(tbl_task5[157]/tbl_task5[[คะแนนเต็ม]:[คะแนนเต็ม]])*tbl_task5[[%]:[%]])</f>
        <v/>
      </c>
      <c r="LP11" s="121" t="str">
        <f>IF(ISBLANK(tbl_task5[[คะแนนเต็ม]:[คะแนนเต็ม]]),"",(tbl_task5[158]/tbl_task5[[คะแนนเต็ม]:[คะแนนเต็ม]])*tbl_task5[[%]:[%]])</f>
        <v/>
      </c>
      <c r="LQ11" s="121" t="str">
        <f>IF(ISBLANK(tbl_task5[[คะแนนเต็ม]:[คะแนนเต็ม]]),"",(tbl_task5[159]/tbl_task5[[คะแนนเต็ม]:[คะแนนเต็ม]])*tbl_task5[[%]:[%]])</f>
        <v/>
      </c>
      <c r="LR11" s="121" t="str">
        <f>IF(ISBLANK(tbl_task5[[คะแนนเต็ม]:[คะแนนเต็ม]]),"",(tbl_task5[160]/tbl_task5[[คะแนนเต็ม]:[คะแนนเต็ม]])*tbl_task5[[%]:[%]])</f>
        <v/>
      </c>
      <c r="LS11" s="121" t="str">
        <f>IF(ISBLANK(tbl_task5[[คะแนนเต็ม]:[คะแนนเต็ม]]),"",(tbl_task5[161]/tbl_task5[[คะแนนเต็ม]:[คะแนนเต็ม]])*tbl_task5[[%]:[%]])</f>
        <v/>
      </c>
      <c r="LT11" s="121" t="str">
        <f>IF(ISBLANK(tbl_task5[[คะแนนเต็ม]:[คะแนนเต็ม]]),"",(tbl_task5[162]/tbl_task5[[คะแนนเต็ม]:[คะแนนเต็ม]])*tbl_task5[[%]:[%]])</f>
        <v/>
      </c>
      <c r="LU11" s="121" t="str">
        <f>IF(ISBLANK(tbl_task5[[คะแนนเต็ม]:[คะแนนเต็ม]]),"",(tbl_task5[163]/tbl_task5[[คะแนนเต็ม]:[คะแนนเต็ม]])*tbl_task5[[%]:[%]])</f>
        <v/>
      </c>
      <c r="LV11" s="121" t="str">
        <f>IF(ISBLANK(tbl_task5[[คะแนนเต็ม]:[คะแนนเต็ม]]),"",(tbl_task5[164]/tbl_task5[[คะแนนเต็ม]:[คะแนนเต็ม]])*tbl_task5[[%]:[%]])</f>
        <v/>
      </c>
      <c r="LW11" s="121" t="str">
        <f>IF(ISBLANK(tbl_task5[[คะแนนเต็ม]:[คะแนนเต็ม]]),"",(tbl_task5[165]/tbl_task5[[คะแนนเต็ม]:[คะแนนเต็ม]])*tbl_task5[[%]:[%]])</f>
        <v/>
      </c>
    </row>
    <row r="12" spans="1:335" ht="24" customHeight="1" x14ac:dyDescent="0.25">
      <c r="A12" s="24">
        <v>9</v>
      </c>
      <c r="B12" s="20"/>
      <c r="C12" s="5" t="str">
        <f>IF(ISBLANK(B12),"",VLOOKUP(B12,tbl_PLOs[],2,0))</f>
        <v/>
      </c>
      <c r="D12" s="102"/>
      <c r="E12" s="106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22"/>
      <c r="FO12" s="121" t="str">
        <f>IF(ISBLANK(tbl_task5[[คะแนนเต็ม]:[คะแนนเต็ม]]),"",(tbl_task5[1]/tbl_task5[[คะแนนเต็ม]:[คะแนนเต็ม]])*tbl_task5[[%]:[%]])</f>
        <v/>
      </c>
      <c r="FP12" s="121" t="str">
        <f>IF(ISBLANK(tbl_task5[[คะแนนเต็ม]:[คะแนนเต็ม]]),"",(tbl_task5[2]/tbl_task5[[คะแนนเต็ม]:[คะแนนเต็ม]])*tbl_task5[[%]:[%]])</f>
        <v/>
      </c>
      <c r="FQ12" s="121" t="str">
        <f>IF(ISBLANK(tbl_task5[[คะแนนเต็ม]:[คะแนนเต็ม]]),"",(tbl_task5[3]/tbl_task5[[คะแนนเต็ม]:[คะแนนเต็ม]])*tbl_task5[[%]:[%]])</f>
        <v/>
      </c>
      <c r="FR12" s="121" t="str">
        <f>IF(ISBLANK(tbl_task5[[คะแนนเต็ม]:[คะแนนเต็ม]]),"",(tbl_task5[4]/tbl_task5[[คะแนนเต็ม]:[คะแนนเต็ม]])*tbl_task5[[%]:[%]])</f>
        <v/>
      </c>
      <c r="FS12" s="121" t="str">
        <f>IF(ISBLANK(tbl_task5[[คะแนนเต็ม]:[คะแนนเต็ม]]),"",(tbl_task5[5]/tbl_task5[[คะแนนเต็ม]:[คะแนนเต็ม]])*tbl_task5[[%]:[%]])</f>
        <v/>
      </c>
      <c r="FT12" s="121" t="str">
        <f>IF(ISBLANK(tbl_task5[[คะแนนเต็ม]:[คะแนนเต็ม]]),"",(tbl_task5[6]/tbl_task5[[คะแนนเต็ม]:[คะแนนเต็ม]])*tbl_task5[[%]:[%]])</f>
        <v/>
      </c>
      <c r="FU12" s="121" t="str">
        <f>IF(ISBLANK(tbl_task5[[คะแนนเต็ม]:[คะแนนเต็ม]]),"",(tbl_task5[7]/tbl_task5[[คะแนนเต็ม]:[คะแนนเต็ม]])*tbl_task5[[%]:[%]])</f>
        <v/>
      </c>
      <c r="FV12" s="121" t="str">
        <f>IF(ISBLANK(tbl_task5[[คะแนนเต็ม]:[คะแนนเต็ม]]),"",(tbl_task5[8]/tbl_task5[[คะแนนเต็ม]:[คะแนนเต็ม]])*tbl_task5[[%]:[%]])</f>
        <v/>
      </c>
      <c r="FW12" s="121" t="str">
        <f>IF(ISBLANK(tbl_task5[[คะแนนเต็ม]:[คะแนนเต็ม]]),"",(tbl_task5[9]/tbl_task5[[คะแนนเต็ม]:[คะแนนเต็ม]])*tbl_task5[[%]:[%]])</f>
        <v/>
      </c>
      <c r="FX12" s="121" t="str">
        <f>IF(ISBLANK(tbl_task5[[คะแนนเต็ม]:[คะแนนเต็ม]]),"",(tbl_task5[10]/tbl_task5[[คะแนนเต็ม]:[คะแนนเต็ม]])*tbl_task5[[%]:[%]])</f>
        <v/>
      </c>
      <c r="FY12" s="121" t="str">
        <f>IF(ISBLANK(tbl_task5[[คะแนนเต็ม]:[คะแนนเต็ม]]),"",(tbl_task5[11]/tbl_task5[[คะแนนเต็ม]:[คะแนนเต็ม]])*tbl_task5[[%]:[%]])</f>
        <v/>
      </c>
      <c r="FZ12" s="121" t="str">
        <f>IF(ISBLANK(tbl_task5[[คะแนนเต็ม]:[คะแนนเต็ม]]),"",(tbl_task5[12]/tbl_task5[[คะแนนเต็ม]:[คะแนนเต็ม]])*tbl_task5[[%]:[%]])</f>
        <v/>
      </c>
      <c r="GA12" s="121" t="str">
        <f>IF(ISBLANK(tbl_task5[[คะแนนเต็ม]:[คะแนนเต็ม]]),"",(tbl_task5[13]/tbl_task5[[คะแนนเต็ม]:[คะแนนเต็ม]])*tbl_task5[[%]:[%]])</f>
        <v/>
      </c>
      <c r="GB12" s="121" t="str">
        <f>IF(ISBLANK(tbl_task5[[คะแนนเต็ม]:[คะแนนเต็ม]]),"",(tbl_task5[14]/tbl_task5[[คะแนนเต็ม]:[คะแนนเต็ม]])*tbl_task5[[%]:[%]])</f>
        <v/>
      </c>
      <c r="GC12" s="121" t="str">
        <f>IF(ISBLANK(tbl_task5[[คะแนนเต็ม]:[คะแนนเต็ม]]),"",(tbl_task5[15]/tbl_task5[[คะแนนเต็ม]:[คะแนนเต็ม]])*tbl_task5[[%]:[%]])</f>
        <v/>
      </c>
      <c r="GD12" s="121" t="str">
        <f>IF(ISBLANK(tbl_task5[[คะแนนเต็ม]:[คะแนนเต็ม]]),"",(tbl_task5[16]/tbl_task5[[คะแนนเต็ม]:[คะแนนเต็ม]])*tbl_task5[[%]:[%]])</f>
        <v/>
      </c>
      <c r="GE12" s="121" t="str">
        <f>IF(ISBLANK(tbl_task5[[คะแนนเต็ม]:[คะแนนเต็ม]]),"",(tbl_task5[17]/tbl_task5[[คะแนนเต็ม]:[คะแนนเต็ม]])*tbl_task5[[%]:[%]])</f>
        <v/>
      </c>
      <c r="GF12" s="121" t="str">
        <f>IF(ISBLANK(tbl_task5[[คะแนนเต็ม]:[คะแนนเต็ม]]),"",(tbl_task5[18]/tbl_task5[[คะแนนเต็ม]:[คะแนนเต็ม]])*tbl_task5[[%]:[%]])</f>
        <v/>
      </c>
      <c r="GG12" s="121" t="str">
        <f>IF(ISBLANK(tbl_task5[[คะแนนเต็ม]:[คะแนนเต็ม]]),"",(tbl_task5[19]/tbl_task5[[คะแนนเต็ม]:[คะแนนเต็ม]])*tbl_task5[[%]:[%]])</f>
        <v/>
      </c>
      <c r="GH12" s="121" t="str">
        <f>IF(ISBLANK(tbl_task5[[คะแนนเต็ม]:[คะแนนเต็ม]]),"",(tbl_task5[20]/tbl_task5[[คะแนนเต็ม]:[คะแนนเต็ม]])*tbl_task5[[%]:[%]])</f>
        <v/>
      </c>
      <c r="GI12" s="121" t="str">
        <f>IF(ISBLANK(tbl_task5[[คะแนนเต็ม]:[คะแนนเต็ม]]),"",(tbl_task5[21]/tbl_task5[[คะแนนเต็ม]:[คะแนนเต็ม]])*tbl_task5[[%]:[%]])</f>
        <v/>
      </c>
      <c r="GJ12" s="121" t="str">
        <f>IF(ISBLANK(tbl_task5[[คะแนนเต็ม]:[คะแนนเต็ม]]),"",(tbl_task5[22]/tbl_task5[[คะแนนเต็ม]:[คะแนนเต็ม]])*tbl_task5[[%]:[%]])</f>
        <v/>
      </c>
      <c r="GK12" s="121" t="str">
        <f>IF(ISBLANK(tbl_task5[[คะแนนเต็ม]:[คะแนนเต็ม]]),"",(tbl_task5[23]/tbl_task5[[คะแนนเต็ม]:[คะแนนเต็ม]])*tbl_task5[[%]:[%]])</f>
        <v/>
      </c>
      <c r="GL12" s="121" t="str">
        <f>IF(ISBLANK(tbl_task5[[คะแนนเต็ม]:[คะแนนเต็ม]]),"",(tbl_task5[24]/tbl_task5[[คะแนนเต็ม]:[คะแนนเต็ม]])*tbl_task5[[%]:[%]])</f>
        <v/>
      </c>
      <c r="GM12" s="121" t="str">
        <f>IF(ISBLANK(tbl_task5[[คะแนนเต็ม]:[คะแนนเต็ม]]),"",(tbl_task5[25]/tbl_task5[[คะแนนเต็ม]:[คะแนนเต็ม]])*tbl_task5[[%]:[%]])</f>
        <v/>
      </c>
      <c r="GN12" s="121" t="str">
        <f>IF(ISBLANK(tbl_task5[[คะแนนเต็ม]:[คะแนนเต็ม]]),"",(tbl_task5[26]/tbl_task5[[คะแนนเต็ม]:[คะแนนเต็ม]])*tbl_task5[[%]:[%]])</f>
        <v/>
      </c>
      <c r="GO12" s="121" t="str">
        <f>IF(ISBLANK(tbl_task5[[คะแนนเต็ม]:[คะแนนเต็ม]]),"",(tbl_task5[27]/tbl_task5[[คะแนนเต็ม]:[คะแนนเต็ม]])*tbl_task5[[%]:[%]])</f>
        <v/>
      </c>
      <c r="GP12" s="121" t="str">
        <f>IF(ISBLANK(tbl_task5[[คะแนนเต็ม]:[คะแนนเต็ม]]),"",(tbl_task5[28]/tbl_task5[[คะแนนเต็ม]:[คะแนนเต็ม]])*tbl_task5[[%]:[%]])</f>
        <v/>
      </c>
      <c r="GQ12" s="121" t="str">
        <f>IF(ISBLANK(tbl_task5[[คะแนนเต็ม]:[คะแนนเต็ม]]),"",(tbl_task5[29]/tbl_task5[[คะแนนเต็ม]:[คะแนนเต็ม]])*tbl_task5[[%]:[%]])</f>
        <v/>
      </c>
      <c r="GR12" s="121" t="str">
        <f>IF(ISBLANK(tbl_task5[[คะแนนเต็ม]:[คะแนนเต็ม]]),"",(tbl_task5[30]/tbl_task5[[คะแนนเต็ม]:[คะแนนเต็ม]])*tbl_task5[[%]:[%]])</f>
        <v/>
      </c>
      <c r="GS12" s="121" t="str">
        <f>IF(ISBLANK(tbl_task5[[คะแนนเต็ม]:[คะแนนเต็ม]]),"",(tbl_task5[31]/tbl_task5[[คะแนนเต็ม]:[คะแนนเต็ม]])*tbl_task5[[%]:[%]])</f>
        <v/>
      </c>
      <c r="GT12" s="121" t="str">
        <f>IF(ISBLANK(tbl_task5[[คะแนนเต็ม]:[คะแนนเต็ม]]),"",(tbl_task5[32]/tbl_task5[[คะแนนเต็ม]:[คะแนนเต็ม]])*tbl_task5[[%]:[%]])</f>
        <v/>
      </c>
      <c r="GU12" s="121" t="str">
        <f>IF(ISBLANK(tbl_task5[[คะแนนเต็ม]:[คะแนนเต็ม]]),"",(tbl_task5[33]/tbl_task5[[คะแนนเต็ม]:[คะแนนเต็ม]])*tbl_task5[[%]:[%]])</f>
        <v/>
      </c>
      <c r="GV12" s="121" t="str">
        <f>IF(ISBLANK(tbl_task5[[คะแนนเต็ม]:[คะแนนเต็ม]]),"",(tbl_task5[34]/tbl_task5[[คะแนนเต็ม]:[คะแนนเต็ม]])*tbl_task5[[%]:[%]])</f>
        <v/>
      </c>
      <c r="GW12" s="121" t="str">
        <f>IF(ISBLANK(tbl_task5[[คะแนนเต็ม]:[คะแนนเต็ม]]),"",(tbl_task5[35]/tbl_task5[[คะแนนเต็ม]:[คะแนนเต็ม]])*tbl_task5[[%]:[%]])</f>
        <v/>
      </c>
      <c r="GX12" s="121" t="str">
        <f>IF(ISBLANK(tbl_task5[[คะแนนเต็ม]:[คะแนนเต็ม]]),"",(tbl_task5[36]/tbl_task5[[คะแนนเต็ม]:[คะแนนเต็ม]])*tbl_task5[[%]:[%]])</f>
        <v/>
      </c>
      <c r="GY12" s="121" t="str">
        <f>IF(ISBLANK(tbl_task5[[คะแนนเต็ม]:[คะแนนเต็ม]]),"",(tbl_task5[37]/tbl_task5[[คะแนนเต็ม]:[คะแนนเต็ม]])*tbl_task5[[%]:[%]])</f>
        <v/>
      </c>
      <c r="GZ12" s="121" t="str">
        <f>IF(ISBLANK(tbl_task5[[คะแนนเต็ม]:[คะแนนเต็ม]]),"",(tbl_task5[38]/tbl_task5[[คะแนนเต็ม]:[คะแนนเต็ม]])*tbl_task5[[%]:[%]])</f>
        <v/>
      </c>
      <c r="HA12" s="121" t="str">
        <f>IF(ISBLANK(tbl_task5[[คะแนนเต็ม]:[คะแนนเต็ม]]),"",(tbl_task5[39]/tbl_task5[[คะแนนเต็ม]:[คะแนนเต็ม]])*tbl_task5[[%]:[%]])</f>
        <v/>
      </c>
      <c r="HB12" s="121" t="str">
        <f>IF(ISBLANK(tbl_task5[[คะแนนเต็ม]:[คะแนนเต็ม]]),"",(tbl_task5[40]/tbl_task5[[คะแนนเต็ม]:[คะแนนเต็ม]])*tbl_task5[[%]:[%]])</f>
        <v/>
      </c>
      <c r="HC12" s="121" t="str">
        <f>IF(ISBLANK(tbl_task5[[คะแนนเต็ม]:[คะแนนเต็ม]]),"",(tbl_task5[41]/tbl_task5[[คะแนนเต็ม]:[คะแนนเต็ม]])*tbl_task5[[%]:[%]])</f>
        <v/>
      </c>
      <c r="HD12" s="121" t="str">
        <f>IF(ISBLANK(tbl_task5[[คะแนนเต็ม]:[คะแนนเต็ม]]),"",(tbl_task5[42]/tbl_task5[[คะแนนเต็ม]:[คะแนนเต็ม]])*tbl_task5[[%]:[%]])</f>
        <v/>
      </c>
      <c r="HE12" s="121" t="str">
        <f>IF(ISBLANK(tbl_task5[[คะแนนเต็ม]:[คะแนนเต็ม]]),"",(tbl_task5[43]/tbl_task5[[คะแนนเต็ม]:[คะแนนเต็ม]])*tbl_task5[[%]:[%]])</f>
        <v/>
      </c>
      <c r="HF12" s="121" t="str">
        <f>IF(ISBLANK(tbl_task5[[คะแนนเต็ม]:[คะแนนเต็ม]]),"",(tbl_task5[44]/tbl_task5[[คะแนนเต็ม]:[คะแนนเต็ม]])*tbl_task5[[%]:[%]])</f>
        <v/>
      </c>
      <c r="HG12" s="121" t="str">
        <f>IF(ISBLANK(tbl_task5[[คะแนนเต็ม]:[คะแนนเต็ม]]),"",(tbl_task5[45]/tbl_task5[[คะแนนเต็ม]:[คะแนนเต็ม]])*tbl_task5[[%]:[%]])</f>
        <v/>
      </c>
      <c r="HH12" s="121" t="str">
        <f>IF(ISBLANK(tbl_task5[[คะแนนเต็ม]:[คะแนนเต็ม]]),"",(tbl_task5[46]/tbl_task5[[คะแนนเต็ม]:[คะแนนเต็ม]])*tbl_task5[[%]:[%]])</f>
        <v/>
      </c>
      <c r="HI12" s="121" t="str">
        <f>IF(ISBLANK(tbl_task5[[คะแนนเต็ม]:[คะแนนเต็ม]]),"",(tbl_task5[47]/tbl_task5[[คะแนนเต็ม]:[คะแนนเต็ม]])*tbl_task5[[%]:[%]])</f>
        <v/>
      </c>
      <c r="HJ12" s="121" t="str">
        <f>IF(ISBLANK(tbl_task5[[คะแนนเต็ม]:[คะแนนเต็ม]]),"",(tbl_task5[48]/tbl_task5[[คะแนนเต็ม]:[คะแนนเต็ม]])*tbl_task5[[%]:[%]])</f>
        <v/>
      </c>
      <c r="HK12" s="121" t="str">
        <f>IF(ISBLANK(tbl_task5[[คะแนนเต็ม]:[คะแนนเต็ม]]),"",(tbl_task5[49]/tbl_task5[[คะแนนเต็ม]:[คะแนนเต็ม]])*tbl_task5[[%]:[%]])</f>
        <v/>
      </c>
      <c r="HL12" s="121" t="str">
        <f>IF(ISBLANK(tbl_task5[[คะแนนเต็ม]:[คะแนนเต็ม]]),"",(tbl_task5[50]/tbl_task5[[คะแนนเต็ม]:[คะแนนเต็ม]])*tbl_task5[[%]:[%]])</f>
        <v/>
      </c>
      <c r="HM12" s="121" t="str">
        <f>IF(ISBLANK(tbl_task5[[คะแนนเต็ม]:[คะแนนเต็ม]]),"",(tbl_task5[51]/tbl_task5[[คะแนนเต็ม]:[คะแนนเต็ม]])*tbl_task5[[%]:[%]])</f>
        <v/>
      </c>
      <c r="HN12" s="121" t="str">
        <f>IF(ISBLANK(tbl_task5[[คะแนนเต็ม]:[คะแนนเต็ม]]),"",(tbl_task5[52]/tbl_task5[[คะแนนเต็ม]:[คะแนนเต็ม]])*tbl_task5[[%]:[%]])</f>
        <v/>
      </c>
      <c r="HO12" s="121" t="str">
        <f>IF(ISBLANK(tbl_task5[[คะแนนเต็ม]:[คะแนนเต็ม]]),"",(tbl_task5[53]/tbl_task5[[คะแนนเต็ม]:[คะแนนเต็ม]])*tbl_task5[[%]:[%]])</f>
        <v/>
      </c>
      <c r="HP12" s="121" t="str">
        <f>IF(ISBLANK(tbl_task5[[คะแนนเต็ม]:[คะแนนเต็ม]]),"",(tbl_task5[54]/tbl_task5[[คะแนนเต็ม]:[คะแนนเต็ม]])*tbl_task5[[%]:[%]])</f>
        <v/>
      </c>
      <c r="HQ12" s="121" t="str">
        <f>IF(ISBLANK(tbl_task5[[คะแนนเต็ม]:[คะแนนเต็ม]]),"",(tbl_task5[55]/tbl_task5[[คะแนนเต็ม]:[คะแนนเต็ม]])*tbl_task5[[%]:[%]])</f>
        <v/>
      </c>
      <c r="HR12" s="121" t="str">
        <f>IF(ISBLANK(tbl_task5[[คะแนนเต็ม]:[คะแนนเต็ม]]),"",(tbl_task5[56]/tbl_task5[[คะแนนเต็ม]:[คะแนนเต็ม]])*tbl_task5[[%]:[%]])</f>
        <v/>
      </c>
      <c r="HS12" s="121" t="str">
        <f>IF(ISBLANK(tbl_task5[[คะแนนเต็ม]:[คะแนนเต็ม]]),"",(tbl_task5[57]/tbl_task5[[คะแนนเต็ม]:[คะแนนเต็ม]])*tbl_task5[[%]:[%]])</f>
        <v/>
      </c>
      <c r="HT12" s="121" t="str">
        <f>IF(ISBLANK(tbl_task5[[คะแนนเต็ม]:[คะแนนเต็ม]]),"",(tbl_task5[58]/tbl_task5[[คะแนนเต็ม]:[คะแนนเต็ม]])*tbl_task5[[%]:[%]])</f>
        <v/>
      </c>
      <c r="HU12" s="121" t="str">
        <f>IF(ISBLANK(tbl_task5[[คะแนนเต็ม]:[คะแนนเต็ม]]),"",(tbl_task5[59]/tbl_task5[[คะแนนเต็ม]:[คะแนนเต็ม]])*tbl_task5[[%]:[%]])</f>
        <v/>
      </c>
      <c r="HV12" s="121" t="str">
        <f>IF(ISBLANK(tbl_task5[[คะแนนเต็ม]:[คะแนนเต็ม]]),"",(tbl_task5[60]/tbl_task5[[คะแนนเต็ม]:[คะแนนเต็ม]])*tbl_task5[[%]:[%]])</f>
        <v/>
      </c>
      <c r="HW12" s="121" t="str">
        <f>IF(ISBLANK(tbl_task5[[คะแนนเต็ม]:[คะแนนเต็ม]]),"",(tbl_task5[61]/tbl_task5[[คะแนนเต็ม]:[คะแนนเต็ม]])*tbl_task5[[%]:[%]])</f>
        <v/>
      </c>
      <c r="HX12" s="121" t="str">
        <f>IF(ISBLANK(tbl_task5[[คะแนนเต็ม]:[คะแนนเต็ม]]),"",(tbl_task5[62]/tbl_task5[[คะแนนเต็ม]:[คะแนนเต็ม]])*tbl_task5[[%]:[%]])</f>
        <v/>
      </c>
      <c r="HY12" s="121" t="str">
        <f>IF(ISBLANK(tbl_task5[[คะแนนเต็ม]:[คะแนนเต็ม]]),"",(tbl_task5[63]/tbl_task5[[คะแนนเต็ม]:[คะแนนเต็ม]])*tbl_task5[[%]:[%]])</f>
        <v/>
      </c>
      <c r="HZ12" s="121" t="str">
        <f>IF(ISBLANK(tbl_task5[[คะแนนเต็ม]:[คะแนนเต็ม]]),"",(tbl_task5[64]/tbl_task5[[คะแนนเต็ม]:[คะแนนเต็ม]])*tbl_task5[[%]:[%]])</f>
        <v/>
      </c>
      <c r="IA12" s="121" t="str">
        <f>IF(ISBLANK(tbl_task5[[คะแนนเต็ม]:[คะแนนเต็ม]]),"",(tbl_task5[65]/tbl_task5[[คะแนนเต็ม]:[คะแนนเต็ม]])*tbl_task5[[%]:[%]])</f>
        <v/>
      </c>
      <c r="IB12" s="121" t="str">
        <f>IF(ISBLANK(tbl_task5[[คะแนนเต็ม]:[คะแนนเต็ม]]),"",(tbl_task5[66]/tbl_task5[[คะแนนเต็ม]:[คะแนนเต็ม]])*tbl_task5[[%]:[%]])</f>
        <v/>
      </c>
      <c r="IC12" s="121" t="str">
        <f>IF(ISBLANK(tbl_task5[[คะแนนเต็ม]:[คะแนนเต็ม]]),"",(tbl_task5[67]/tbl_task5[[คะแนนเต็ม]:[คะแนนเต็ม]])*tbl_task5[[%]:[%]])</f>
        <v/>
      </c>
      <c r="ID12" s="121" t="str">
        <f>IF(ISBLANK(tbl_task5[[คะแนนเต็ม]:[คะแนนเต็ม]]),"",(tbl_task5[68]/tbl_task5[[คะแนนเต็ม]:[คะแนนเต็ม]])*tbl_task5[[%]:[%]])</f>
        <v/>
      </c>
      <c r="IE12" s="121" t="str">
        <f>IF(ISBLANK(tbl_task5[[คะแนนเต็ม]:[คะแนนเต็ม]]),"",(tbl_task5[69]/tbl_task5[[คะแนนเต็ม]:[คะแนนเต็ม]])*tbl_task5[[%]:[%]])</f>
        <v/>
      </c>
      <c r="IF12" s="121" t="str">
        <f>IF(ISBLANK(tbl_task5[[คะแนนเต็ม]:[คะแนนเต็ม]]),"",(tbl_task5[70]/tbl_task5[[คะแนนเต็ม]:[คะแนนเต็ม]])*tbl_task5[[%]:[%]])</f>
        <v/>
      </c>
      <c r="IG12" s="121" t="str">
        <f>IF(ISBLANK(tbl_task5[[คะแนนเต็ม]:[คะแนนเต็ม]]),"",(tbl_task5[71]/tbl_task5[[คะแนนเต็ม]:[คะแนนเต็ม]])*tbl_task5[[%]:[%]])</f>
        <v/>
      </c>
      <c r="IH12" s="121" t="str">
        <f>IF(ISBLANK(tbl_task5[[คะแนนเต็ม]:[คะแนนเต็ม]]),"",(tbl_task5[72]/tbl_task5[[คะแนนเต็ม]:[คะแนนเต็ม]])*tbl_task5[[%]:[%]])</f>
        <v/>
      </c>
      <c r="II12" s="121" t="str">
        <f>IF(ISBLANK(tbl_task5[[คะแนนเต็ม]:[คะแนนเต็ม]]),"",(tbl_task5[73]/tbl_task5[[คะแนนเต็ม]:[คะแนนเต็ม]])*tbl_task5[[%]:[%]])</f>
        <v/>
      </c>
      <c r="IJ12" s="121" t="str">
        <f>IF(ISBLANK(tbl_task5[[คะแนนเต็ม]:[คะแนนเต็ม]]),"",(tbl_task5[74]/tbl_task5[[คะแนนเต็ม]:[คะแนนเต็ม]])*tbl_task5[[%]:[%]])</f>
        <v/>
      </c>
      <c r="IK12" s="121" t="str">
        <f>IF(ISBLANK(tbl_task5[[คะแนนเต็ม]:[คะแนนเต็ม]]),"",(tbl_task5[75]/tbl_task5[[คะแนนเต็ม]:[คะแนนเต็ม]])*tbl_task5[[%]:[%]])</f>
        <v/>
      </c>
      <c r="IL12" s="121" t="str">
        <f>IF(ISBLANK(tbl_task5[[คะแนนเต็ม]:[คะแนนเต็ม]]),"",(tbl_task5[76]/tbl_task5[[คะแนนเต็ม]:[คะแนนเต็ม]])*tbl_task5[[%]:[%]])</f>
        <v/>
      </c>
      <c r="IM12" s="121" t="str">
        <f>IF(ISBLANK(tbl_task5[[คะแนนเต็ม]:[คะแนนเต็ม]]),"",(tbl_task5[77]/tbl_task5[[คะแนนเต็ม]:[คะแนนเต็ม]])*tbl_task5[[%]:[%]])</f>
        <v/>
      </c>
      <c r="IN12" s="121" t="str">
        <f>IF(ISBLANK(tbl_task5[[คะแนนเต็ม]:[คะแนนเต็ม]]),"",(tbl_task5[78]/tbl_task5[[คะแนนเต็ม]:[คะแนนเต็ม]])*tbl_task5[[%]:[%]])</f>
        <v/>
      </c>
      <c r="IO12" s="121" t="str">
        <f>IF(ISBLANK(tbl_task5[[คะแนนเต็ม]:[คะแนนเต็ม]]),"",(tbl_task5[79]/tbl_task5[[คะแนนเต็ม]:[คะแนนเต็ม]])*tbl_task5[[%]:[%]])</f>
        <v/>
      </c>
      <c r="IP12" s="121" t="str">
        <f>IF(ISBLANK(tbl_task5[[คะแนนเต็ม]:[คะแนนเต็ม]]),"",(tbl_task5[80]/tbl_task5[[คะแนนเต็ม]:[คะแนนเต็ม]])*tbl_task5[[%]:[%]])</f>
        <v/>
      </c>
      <c r="IQ12" s="121" t="str">
        <f>IF(ISBLANK(tbl_task5[[คะแนนเต็ม]:[คะแนนเต็ม]]),"",(tbl_task5[81]/tbl_task5[[คะแนนเต็ม]:[คะแนนเต็ม]])*tbl_task5[[%]:[%]])</f>
        <v/>
      </c>
      <c r="IR12" s="121" t="str">
        <f>IF(ISBLANK(tbl_task5[[คะแนนเต็ม]:[คะแนนเต็ม]]),"",(tbl_task5[82]/tbl_task5[[คะแนนเต็ม]:[คะแนนเต็ม]])*tbl_task5[[%]:[%]])</f>
        <v/>
      </c>
      <c r="IS12" s="121" t="str">
        <f>IF(ISBLANK(tbl_task5[[คะแนนเต็ม]:[คะแนนเต็ม]]),"",(tbl_task5[83]/tbl_task5[[คะแนนเต็ม]:[คะแนนเต็ม]])*tbl_task5[[%]:[%]])</f>
        <v/>
      </c>
      <c r="IT12" s="121" t="str">
        <f>IF(ISBLANK(tbl_task5[[คะแนนเต็ม]:[คะแนนเต็ม]]),"",(tbl_task5[84]/tbl_task5[[คะแนนเต็ม]:[คะแนนเต็ม]])*tbl_task5[[%]:[%]])</f>
        <v/>
      </c>
      <c r="IU12" s="121" t="str">
        <f>IF(ISBLANK(tbl_task5[[คะแนนเต็ม]:[คะแนนเต็ม]]),"",(tbl_task5[85]/tbl_task5[[คะแนนเต็ม]:[คะแนนเต็ม]])*tbl_task5[[%]:[%]])</f>
        <v/>
      </c>
      <c r="IV12" s="121" t="str">
        <f>IF(ISBLANK(tbl_task5[[คะแนนเต็ม]:[คะแนนเต็ม]]),"",(tbl_task5[86]/tbl_task5[[คะแนนเต็ม]:[คะแนนเต็ม]])*tbl_task5[[%]:[%]])</f>
        <v/>
      </c>
      <c r="IW12" s="121" t="str">
        <f>IF(ISBLANK(tbl_task5[[คะแนนเต็ม]:[คะแนนเต็ม]]),"",(tbl_task5[87]/tbl_task5[[คะแนนเต็ม]:[คะแนนเต็ม]])*tbl_task5[[%]:[%]])</f>
        <v/>
      </c>
      <c r="IX12" s="121" t="str">
        <f>IF(ISBLANK(tbl_task5[[คะแนนเต็ม]:[คะแนนเต็ม]]),"",(tbl_task5[88]/tbl_task5[[คะแนนเต็ม]:[คะแนนเต็ม]])*tbl_task5[[%]:[%]])</f>
        <v/>
      </c>
      <c r="IY12" s="121" t="str">
        <f>IF(ISBLANK(tbl_task5[[คะแนนเต็ม]:[คะแนนเต็ม]]),"",(tbl_task5[89]/tbl_task5[[คะแนนเต็ม]:[คะแนนเต็ม]])*tbl_task5[[%]:[%]])</f>
        <v/>
      </c>
      <c r="IZ12" s="121" t="str">
        <f>IF(ISBLANK(tbl_task5[[คะแนนเต็ม]:[คะแนนเต็ม]]),"",(tbl_task5[90]/tbl_task5[[คะแนนเต็ม]:[คะแนนเต็ม]])*tbl_task5[[%]:[%]])</f>
        <v/>
      </c>
      <c r="JA12" s="121" t="str">
        <f>IF(ISBLANK(tbl_task5[[คะแนนเต็ม]:[คะแนนเต็ม]]),"",(tbl_task5[91]/tbl_task5[[คะแนนเต็ม]:[คะแนนเต็ม]])*tbl_task5[[%]:[%]])</f>
        <v/>
      </c>
      <c r="JB12" s="121" t="str">
        <f>IF(ISBLANK(tbl_task5[[คะแนนเต็ม]:[คะแนนเต็ม]]),"",(tbl_task5[92]/tbl_task5[[คะแนนเต็ม]:[คะแนนเต็ม]])*tbl_task5[[%]:[%]])</f>
        <v/>
      </c>
      <c r="JC12" s="121" t="str">
        <f>IF(ISBLANK(tbl_task5[[คะแนนเต็ม]:[คะแนนเต็ม]]),"",(tbl_task5[93]/tbl_task5[[คะแนนเต็ม]:[คะแนนเต็ม]])*tbl_task5[[%]:[%]])</f>
        <v/>
      </c>
      <c r="JD12" s="121" t="str">
        <f>IF(ISBLANK(tbl_task5[[คะแนนเต็ม]:[คะแนนเต็ม]]),"",(tbl_task5[94]/tbl_task5[[คะแนนเต็ม]:[คะแนนเต็ม]])*tbl_task5[[%]:[%]])</f>
        <v/>
      </c>
      <c r="JE12" s="121" t="str">
        <f>IF(ISBLANK(tbl_task5[[คะแนนเต็ม]:[คะแนนเต็ม]]),"",(tbl_task5[95]/tbl_task5[[คะแนนเต็ม]:[คะแนนเต็ม]])*tbl_task5[[%]:[%]])</f>
        <v/>
      </c>
      <c r="JF12" s="121" t="str">
        <f>IF(ISBLANK(tbl_task5[[คะแนนเต็ม]:[คะแนนเต็ม]]),"",(tbl_task5[96]/tbl_task5[[คะแนนเต็ม]:[คะแนนเต็ม]])*tbl_task5[[%]:[%]])</f>
        <v/>
      </c>
      <c r="JG12" s="121" t="str">
        <f>IF(ISBLANK(tbl_task5[[คะแนนเต็ม]:[คะแนนเต็ม]]),"",(tbl_task5[97]/tbl_task5[[คะแนนเต็ม]:[คะแนนเต็ม]])*tbl_task5[[%]:[%]])</f>
        <v/>
      </c>
      <c r="JH12" s="121" t="str">
        <f>IF(ISBLANK(tbl_task5[[คะแนนเต็ม]:[คะแนนเต็ม]]),"",(tbl_task5[98]/tbl_task5[[คะแนนเต็ม]:[คะแนนเต็ม]])*tbl_task5[[%]:[%]])</f>
        <v/>
      </c>
      <c r="JI12" s="121" t="str">
        <f>IF(ISBLANK(tbl_task5[[คะแนนเต็ม]:[คะแนนเต็ม]]),"",(tbl_task5[99]/tbl_task5[[คะแนนเต็ม]:[คะแนนเต็ม]])*tbl_task5[[%]:[%]])</f>
        <v/>
      </c>
      <c r="JJ12" s="121" t="str">
        <f>IF(ISBLANK(tbl_task5[[คะแนนเต็ม]:[คะแนนเต็ม]]),"",(tbl_task5[100]/tbl_task5[[คะแนนเต็ม]:[คะแนนเต็ม]])*tbl_task5[[%]:[%]])</f>
        <v/>
      </c>
      <c r="JK12" s="121" t="str">
        <f>IF(ISBLANK(tbl_task5[[คะแนนเต็ม]:[คะแนนเต็ม]]),"",(tbl_task5[101]/tbl_task5[[คะแนนเต็ม]:[คะแนนเต็ม]])*tbl_task5[[%]:[%]])</f>
        <v/>
      </c>
      <c r="JL12" s="121" t="str">
        <f>IF(ISBLANK(tbl_task5[[คะแนนเต็ม]:[คะแนนเต็ม]]),"",(tbl_task5[102]/tbl_task5[[คะแนนเต็ม]:[คะแนนเต็ม]])*tbl_task5[[%]:[%]])</f>
        <v/>
      </c>
      <c r="JM12" s="121" t="str">
        <f>IF(ISBLANK(tbl_task5[[คะแนนเต็ม]:[คะแนนเต็ม]]),"",(tbl_task5[103]/tbl_task5[[คะแนนเต็ม]:[คะแนนเต็ม]])*tbl_task5[[%]:[%]])</f>
        <v/>
      </c>
      <c r="JN12" s="121" t="str">
        <f>IF(ISBLANK(tbl_task5[[คะแนนเต็ม]:[คะแนนเต็ม]]),"",(tbl_task5[104]/tbl_task5[[คะแนนเต็ม]:[คะแนนเต็ม]])*tbl_task5[[%]:[%]])</f>
        <v/>
      </c>
      <c r="JO12" s="121" t="str">
        <f>IF(ISBLANK(tbl_task5[[คะแนนเต็ม]:[คะแนนเต็ม]]),"",(tbl_task5[105]/tbl_task5[[คะแนนเต็ม]:[คะแนนเต็ม]])*tbl_task5[[%]:[%]])</f>
        <v/>
      </c>
      <c r="JP12" s="121" t="str">
        <f>IF(ISBLANK(tbl_task5[[คะแนนเต็ม]:[คะแนนเต็ม]]),"",(tbl_task5[106]/tbl_task5[[คะแนนเต็ม]:[คะแนนเต็ม]])*tbl_task5[[%]:[%]])</f>
        <v/>
      </c>
      <c r="JQ12" s="121" t="str">
        <f>IF(ISBLANK(tbl_task5[[คะแนนเต็ม]:[คะแนนเต็ม]]),"",(tbl_task5[107]/tbl_task5[[คะแนนเต็ม]:[คะแนนเต็ม]])*tbl_task5[[%]:[%]])</f>
        <v/>
      </c>
      <c r="JR12" s="121" t="str">
        <f>IF(ISBLANK(tbl_task5[[คะแนนเต็ม]:[คะแนนเต็ม]]),"",(tbl_task5[108]/tbl_task5[[คะแนนเต็ม]:[คะแนนเต็ม]])*tbl_task5[[%]:[%]])</f>
        <v/>
      </c>
      <c r="JS12" s="121" t="str">
        <f>IF(ISBLANK(tbl_task5[[คะแนนเต็ม]:[คะแนนเต็ม]]),"",(tbl_task5[109]/tbl_task5[[คะแนนเต็ม]:[คะแนนเต็ม]])*tbl_task5[[%]:[%]])</f>
        <v/>
      </c>
      <c r="JT12" s="121" t="str">
        <f>IF(ISBLANK(tbl_task5[[คะแนนเต็ม]:[คะแนนเต็ม]]),"",(tbl_task5[110]/tbl_task5[[คะแนนเต็ม]:[คะแนนเต็ม]])*tbl_task5[[%]:[%]])</f>
        <v/>
      </c>
      <c r="JU12" s="121" t="str">
        <f>IF(ISBLANK(tbl_task5[[คะแนนเต็ม]:[คะแนนเต็ม]]),"",(tbl_task5[111]/tbl_task5[[คะแนนเต็ม]:[คะแนนเต็ม]])*tbl_task5[[%]:[%]])</f>
        <v/>
      </c>
      <c r="JV12" s="121" t="str">
        <f>IF(ISBLANK(tbl_task5[[คะแนนเต็ม]:[คะแนนเต็ม]]),"",(tbl_task5[112]/tbl_task5[[คะแนนเต็ม]:[คะแนนเต็ม]])*tbl_task5[[%]:[%]])</f>
        <v/>
      </c>
      <c r="JW12" s="121" t="str">
        <f>IF(ISBLANK(tbl_task5[[คะแนนเต็ม]:[คะแนนเต็ม]]),"",(tbl_task5[113]/tbl_task5[[คะแนนเต็ม]:[คะแนนเต็ม]])*tbl_task5[[%]:[%]])</f>
        <v/>
      </c>
      <c r="JX12" s="121" t="str">
        <f>IF(ISBLANK(tbl_task5[[คะแนนเต็ม]:[คะแนนเต็ม]]),"",(tbl_task5[114]/tbl_task5[[คะแนนเต็ม]:[คะแนนเต็ม]])*tbl_task5[[%]:[%]])</f>
        <v/>
      </c>
      <c r="JY12" s="121" t="str">
        <f>IF(ISBLANK(tbl_task5[[คะแนนเต็ม]:[คะแนนเต็ม]]),"",(tbl_task5[115]/tbl_task5[[คะแนนเต็ม]:[คะแนนเต็ม]])*tbl_task5[[%]:[%]])</f>
        <v/>
      </c>
      <c r="JZ12" s="121" t="str">
        <f>IF(ISBLANK(tbl_task5[[คะแนนเต็ม]:[คะแนนเต็ม]]),"",(tbl_task5[116]/tbl_task5[[คะแนนเต็ม]:[คะแนนเต็ม]])*tbl_task5[[%]:[%]])</f>
        <v/>
      </c>
      <c r="KA12" s="121" t="str">
        <f>IF(ISBLANK(tbl_task5[[คะแนนเต็ม]:[คะแนนเต็ม]]),"",(tbl_task5[117]/tbl_task5[[คะแนนเต็ม]:[คะแนนเต็ม]])*tbl_task5[[%]:[%]])</f>
        <v/>
      </c>
      <c r="KB12" s="121" t="str">
        <f>IF(ISBLANK(tbl_task5[[คะแนนเต็ม]:[คะแนนเต็ม]]),"",(tbl_task5[118]/tbl_task5[[คะแนนเต็ม]:[คะแนนเต็ม]])*tbl_task5[[%]:[%]])</f>
        <v/>
      </c>
      <c r="KC12" s="121" t="str">
        <f>IF(ISBLANK(tbl_task5[[คะแนนเต็ม]:[คะแนนเต็ม]]),"",(tbl_task5[119]/tbl_task5[[คะแนนเต็ม]:[คะแนนเต็ม]])*tbl_task5[[%]:[%]])</f>
        <v/>
      </c>
      <c r="KD12" s="121" t="str">
        <f>IF(ISBLANK(tbl_task5[[คะแนนเต็ม]:[คะแนนเต็ม]]),"",(tbl_task5[120]/tbl_task5[[คะแนนเต็ม]:[คะแนนเต็ม]])*tbl_task5[[%]:[%]])</f>
        <v/>
      </c>
      <c r="KE12" s="121" t="str">
        <f>IF(ISBLANK(tbl_task5[[คะแนนเต็ม]:[คะแนนเต็ม]]),"",(tbl_task5[121]/tbl_task5[[คะแนนเต็ม]:[คะแนนเต็ม]])*tbl_task5[[%]:[%]])</f>
        <v/>
      </c>
      <c r="KF12" s="121" t="str">
        <f>IF(ISBLANK(tbl_task5[[คะแนนเต็ม]:[คะแนนเต็ม]]),"",(tbl_task5[122]/tbl_task5[[คะแนนเต็ม]:[คะแนนเต็ม]])*tbl_task5[[%]:[%]])</f>
        <v/>
      </c>
      <c r="KG12" s="121" t="str">
        <f>IF(ISBLANK(tbl_task5[[คะแนนเต็ม]:[คะแนนเต็ม]]),"",(tbl_task5[123]/tbl_task5[[คะแนนเต็ม]:[คะแนนเต็ม]])*tbl_task5[[%]:[%]])</f>
        <v/>
      </c>
      <c r="KH12" s="121" t="str">
        <f>IF(ISBLANK(tbl_task5[[คะแนนเต็ม]:[คะแนนเต็ม]]),"",(tbl_task5[124]/tbl_task5[[คะแนนเต็ม]:[คะแนนเต็ม]])*tbl_task5[[%]:[%]])</f>
        <v/>
      </c>
      <c r="KI12" s="121" t="str">
        <f>IF(ISBLANK(tbl_task5[[คะแนนเต็ม]:[คะแนนเต็ม]]),"",(tbl_task5[125]/tbl_task5[[คะแนนเต็ม]:[คะแนนเต็ม]])*tbl_task5[[%]:[%]])</f>
        <v/>
      </c>
      <c r="KJ12" s="121" t="str">
        <f>IF(ISBLANK(tbl_task5[[คะแนนเต็ม]:[คะแนนเต็ม]]),"",(tbl_task5[126]/tbl_task5[[คะแนนเต็ม]:[คะแนนเต็ม]])*tbl_task5[[%]:[%]])</f>
        <v/>
      </c>
      <c r="KK12" s="121" t="str">
        <f>IF(ISBLANK(tbl_task5[[คะแนนเต็ม]:[คะแนนเต็ม]]),"",(tbl_task5[127]/tbl_task5[[คะแนนเต็ม]:[คะแนนเต็ม]])*tbl_task5[[%]:[%]])</f>
        <v/>
      </c>
      <c r="KL12" s="121" t="str">
        <f>IF(ISBLANK(tbl_task5[[คะแนนเต็ม]:[คะแนนเต็ม]]),"",(tbl_task5[128]/tbl_task5[[คะแนนเต็ม]:[คะแนนเต็ม]])*tbl_task5[[%]:[%]])</f>
        <v/>
      </c>
      <c r="KM12" s="121" t="str">
        <f>IF(ISBLANK(tbl_task5[[คะแนนเต็ม]:[คะแนนเต็ม]]),"",(tbl_task5[129]/tbl_task5[[คะแนนเต็ม]:[คะแนนเต็ม]])*tbl_task5[[%]:[%]])</f>
        <v/>
      </c>
      <c r="KN12" s="121" t="str">
        <f>IF(ISBLANK(tbl_task5[[คะแนนเต็ม]:[คะแนนเต็ม]]),"",(tbl_task5[130]/tbl_task5[[คะแนนเต็ม]:[คะแนนเต็ม]])*tbl_task5[[%]:[%]])</f>
        <v/>
      </c>
      <c r="KO12" s="121" t="str">
        <f>IF(ISBLANK(tbl_task5[[คะแนนเต็ม]:[คะแนนเต็ม]]),"",(tbl_task5[131]/tbl_task5[[คะแนนเต็ม]:[คะแนนเต็ม]])*tbl_task5[[%]:[%]])</f>
        <v/>
      </c>
      <c r="KP12" s="121" t="str">
        <f>IF(ISBLANK(tbl_task5[[คะแนนเต็ม]:[คะแนนเต็ม]]),"",(tbl_task5[132]/tbl_task5[[คะแนนเต็ม]:[คะแนนเต็ม]])*tbl_task5[[%]:[%]])</f>
        <v/>
      </c>
      <c r="KQ12" s="121" t="str">
        <f>IF(ISBLANK(tbl_task5[[คะแนนเต็ม]:[คะแนนเต็ม]]),"",(tbl_task5[133]/tbl_task5[[คะแนนเต็ม]:[คะแนนเต็ม]])*tbl_task5[[%]:[%]])</f>
        <v/>
      </c>
      <c r="KR12" s="121" t="str">
        <f>IF(ISBLANK(tbl_task5[[คะแนนเต็ม]:[คะแนนเต็ม]]),"",(tbl_task5[134]/tbl_task5[[คะแนนเต็ม]:[คะแนนเต็ม]])*tbl_task5[[%]:[%]])</f>
        <v/>
      </c>
      <c r="KS12" s="121" t="str">
        <f>IF(ISBLANK(tbl_task5[[คะแนนเต็ม]:[คะแนนเต็ม]]),"",(tbl_task5[135]/tbl_task5[[คะแนนเต็ม]:[คะแนนเต็ม]])*tbl_task5[[%]:[%]])</f>
        <v/>
      </c>
      <c r="KT12" s="121" t="str">
        <f>IF(ISBLANK(tbl_task5[[คะแนนเต็ม]:[คะแนนเต็ม]]),"",(tbl_task5[136]/tbl_task5[[คะแนนเต็ม]:[คะแนนเต็ม]])*tbl_task5[[%]:[%]])</f>
        <v/>
      </c>
      <c r="KU12" s="121" t="str">
        <f>IF(ISBLANK(tbl_task5[[คะแนนเต็ม]:[คะแนนเต็ม]]),"",(tbl_task5[137]/tbl_task5[[คะแนนเต็ม]:[คะแนนเต็ม]])*tbl_task5[[%]:[%]])</f>
        <v/>
      </c>
      <c r="KV12" s="121" t="str">
        <f>IF(ISBLANK(tbl_task5[[คะแนนเต็ม]:[คะแนนเต็ม]]),"",(tbl_task5[138]/tbl_task5[[คะแนนเต็ม]:[คะแนนเต็ม]])*tbl_task5[[%]:[%]])</f>
        <v/>
      </c>
      <c r="KW12" s="121" t="str">
        <f>IF(ISBLANK(tbl_task5[[คะแนนเต็ม]:[คะแนนเต็ม]]),"",(tbl_task5[139]/tbl_task5[[คะแนนเต็ม]:[คะแนนเต็ม]])*tbl_task5[[%]:[%]])</f>
        <v/>
      </c>
      <c r="KX12" s="121" t="str">
        <f>IF(ISBLANK(tbl_task5[[คะแนนเต็ม]:[คะแนนเต็ม]]),"",(tbl_task5[140]/tbl_task5[[คะแนนเต็ม]:[คะแนนเต็ม]])*tbl_task5[[%]:[%]])</f>
        <v/>
      </c>
      <c r="KY12" s="121" t="str">
        <f>IF(ISBLANK(tbl_task5[[คะแนนเต็ม]:[คะแนนเต็ม]]),"",(tbl_task5[141]/tbl_task5[[คะแนนเต็ม]:[คะแนนเต็ม]])*tbl_task5[[%]:[%]])</f>
        <v/>
      </c>
      <c r="KZ12" s="121" t="str">
        <f>IF(ISBLANK(tbl_task5[[คะแนนเต็ม]:[คะแนนเต็ม]]),"",(tbl_task5[142]/tbl_task5[[คะแนนเต็ม]:[คะแนนเต็ม]])*tbl_task5[[%]:[%]])</f>
        <v/>
      </c>
      <c r="LA12" s="121" t="str">
        <f>IF(ISBLANK(tbl_task5[[คะแนนเต็ม]:[คะแนนเต็ม]]),"",(tbl_task5[143]/tbl_task5[[คะแนนเต็ม]:[คะแนนเต็ม]])*tbl_task5[[%]:[%]])</f>
        <v/>
      </c>
      <c r="LB12" s="121" t="str">
        <f>IF(ISBLANK(tbl_task5[[คะแนนเต็ม]:[คะแนนเต็ม]]),"",(tbl_task5[144]/tbl_task5[[คะแนนเต็ม]:[คะแนนเต็ม]])*tbl_task5[[%]:[%]])</f>
        <v/>
      </c>
      <c r="LC12" s="121" t="str">
        <f>IF(ISBLANK(tbl_task5[[คะแนนเต็ม]:[คะแนนเต็ม]]),"",(tbl_task5[145]/tbl_task5[[คะแนนเต็ม]:[คะแนนเต็ม]])*tbl_task5[[%]:[%]])</f>
        <v/>
      </c>
      <c r="LD12" s="121" t="str">
        <f>IF(ISBLANK(tbl_task5[[คะแนนเต็ม]:[คะแนนเต็ม]]),"",(tbl_task5[146]/tbl_task5[[คะแนนเต็ม]:[คะแนนเต็ม]])*tbl_task5[[%]:[%]])</f>
        <v/>
      </c>
      <c r="LE12" s="121" t="str">
        <f>IF(ISBLANK(tbl_task5[[คะแนนเต็ม]:[คะแนนเต็ม]]),"",(tbl_task5[147]/tbl_task5[[คะแนนเต็ม]:[คะแนนเต็ม]])*tbl_task5[[%]:[%]])</f>
        <v/>
      </c>
      <c r="LF12" s="121" t="str">
        <f>IF(ISBLANK(tbl_task5[[คะแนนเต็ม]:[คะแนนเต็ม]]),"",(tbl_task5[148]/tbl_task5[[คะแนนเต็ม]:[คะแนนเต็ม]])*tbl_task5[[%]:[%]])</f>
        <v/>
      </c>
      <c r="LG12" s="121" t="str">
        <f>IF(ISBLANK(tbl_task5[[คะแนนเต็ม]:[คะแนนเต็ม]]),"",(tbl_task5[149]/tbl_task5[[คะแนนเต็ม]:[คะแนนเต็ม]])*tbl_task5[[%]:[%]])</f>
        <v/>
      </c>
      <c r="LH12" s="121" t="str">
        <f>IF(ISBLANK(tbl_task5[[คะแนนเต็ม]:[คะแนนเต็ม]]),"",(tbl_task5[150]/tbl_task5[[คะแนนเต็ม]:[คะแนนเต็ม]])*tbl_task5[[%]:[%]])</f>
        <v/>
      </c>
      <c r="LI12" s="121" t="str">
        <f>IF(ISBLANK(tbl_task5[[คะแนนเต็ม]:[คะแนนเต็ม]]),"",(tbl_task5[151]/tbl_task5[[คะแนนเต็ม]:[คะแนนเต็ม]])*tbl_task5[[%]:[%]])</f>
        <v/>
      </c>
      <c r="LJ12" s="121" t="str">
        <f>IF(ISBLANK(tbl_task5[[คะแนนเต็ม]:[คะแนนเต็ม]]),"",(tbl_task5[152]/tbl_task5[[คะแนนเต็ม]:[คะแนนเต็ม]])*tbl_task5[[%]:[%]])</f>
        <v/>
      </c>
      <c r="LK12" s="121" t="str">
        <f>IF(ISBLANK(tbl_task5[[คะแนนเต็ม]:[คะแนนเต็ม]]),"",(tbl_task5[153]/tbl_task5[[คะแนนเต็ม]:[คะแนนเต็ม]])*tbl_task5[[%]:[%]])</f>
        <v/>
      </c>
      <c r="LL12" s="121" t="str">
        <f>IF(ISBLANK(tbl_task5[[คะแนนเต็ม]:[คะแนนเต็ม]]),"",(tbl_task5[154]/tbl_task5[[คะแนนเต็ม]:[คะแนนเต็ม]])*tbl_task5[[%]:[%]])</f>
        <v/>
      </c>
      <c r="LM12" s="121" t="str">
        <f>IF(ISBLANK(tbl_task5[[คะแนนเต็ม]:[คะแนนเต็ม]]),"",(tbl_task5[155]/tbl_task5[[คะแนนเต็ม]:[คะแนนเต็ม]])*tbl_task5[[%]:[%]])</f>
        <v/>
      </c>
      <c r="LN12" s="121" t="str">
        <f>IF(ISBLANK(tbl_task5[[คะแนนเต็ม]:[คะแนนเต็ม]]),"",(tbl_task5[156]/tbl_task5[[คะแนนเต็ม]:[คะแนนเต็ม]])*tbl_task5[[%]:[%]])</f>
        <v/>
      </c>
      <c r="LO12" s="121" t="str">
        <f>IF(ISBLANK(tbl_task5[[คะแนนเต็ม]:[คะแนนเต็ม]]),"",(tbl_task5[157]/tbl_task5[[คะแนนเต็ม]:[คะแนนเต็ม]])*tbl_task5[[%]:[%]])</f>
        <v/>
      </c>
      <c r="LP12" s="121" t="str">
        <f>IF(ISBLANK(tbl_task5[[คะแนนเต็ม]:[คะแนนเต็ม]]),"",(tbl_task5[158]/tbl_task5[[คะแนนเต็ม]:[คะแนนเต็ม]])*tbl_task5[[%]:[%]])</f>
        <v/>
      </c>
      <c r="LQ12" s="121" t="str">
        <f>IF(ISBLANK(tbl_task5[[คะแนนเต็ม]:[คะแนนเต็ม]]),"",(tbl_task5[159]/tbl_task5[[คะแนนเต็ม]:[คะแนนเต็ม]])*tbl_task5[[%]:[%]])</f>
        <v/>
      </c>
      <c r="LR12" s="121" t="str">
        <f>IF(ISBLANK(tbl_task5[[คะแนนเต็ม]:[คะแนนเต็ม]]),"",(tbl_task5[160]/tbl_task5[[คะแนนเต็ม]:[คะแนนเต็ม]])*tbl_task5[[%]:[%]])</f>
        <v/>
      </c>
      <c r="LS12" s="121" t="str">
        <f>IF(ISBLANK(tbl_task5[[คะแนนเต็ม]:[คะแนนเต็ม]]),"",(tbl_task5[161]/tbl_task5[[คะแนนเต็ม]:[คะแนนเต็ม]])*tbl_task5[[%]:[%]])</f>
        <v/>
      </c>
      <c r="LT12" s="121" t="str">
        <f>IF(ISBLANK(tbl_task5[[คะแนนเต็ม]:[คะแนนเต็ม]]),"",(tbl_task5[162]/tbl_task5[[คะแนนเต็ม]:[คะแนนเต็ม]])*tbl_task5[[%]:[%]])</f>
        <v/>
      </c>
      <c r="LU12" s="121" t="str">
        <f>IF(ISBLANK(tbl_task5[[คะแนนเต็ม]:[คะแนนเต็ม]]),"",(tbl_task5[163]/tbl_task5[[คะแนนเต็ม]:[คะแนนเต็ม]])*tbl_task5[[%]:[%]])</f>
        <v/>
      </c>
      <c r="LV12" s="121" t="str">
        <f>IF(ISBLANK(tbl_task5[[คะแนนเต็ม]:[คะแนนเต็ม]]),"",(tbl_task5[164]/tbl_task5[[คะแนนเต็ม]:[คะแนนเต็ม]])*tbl_task5[[%]:[%]])</f>
        <v/>
      </c>
      <c r="LW12" s="121" t="str">
        <f>IF(ISBLANK(tbl_task5[[คะแนนเต็ม]:[คะแนนเต็ม]]),"",(tbl_task5[165]/tbl_task5[[คะแนนเต็ม]:[คะแนนเต็ม]])*tbl_task5[[%]:[%]])</f>
        <v/>
      </c>
    </row>
    <row r="13" spans="1:335" ht="24" customHeight="1" x14ac:dyDescent="0.25">
      <c r="A13" s="24">
        <v>10</v>
      </c>
      <c r="B13" s="20"/>
      <c r="C13" s="5" t="str">
        <f>IF(ISBLANK(B13),"",VLOOKUP(B13,tbl_PLOs[],2,0))</f>
        <v/>
      </c>
      <c r="D13" s="102"/>
      <c r="E13" s="106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22"/>
      <c r="FO13" s="121" t="str">
        <f>IF(ISBLANK(tbl_task5[[คะแนนเต็ม]:[คะแนนเต็ม]]),"",(tbl_task5[1]/tbl_task5[[คะแนนเต็ม]:[คะแนนเต็ม]])*tbl_task5[[%]:[%]])</f>
        <v/>
      </c>
      <c r="FP13" s="121" t="str">
        <f>IF(ISBLANK(tbl_task5[[คะแนนเต็ม]:[คะแนนเต็ม]]),"",(tbl_task5[2]/tbl_task5[[คะแนนเต็ม]:[คะแนนเต็ม]])*tbl_task5[[%]:[%]])</f>
        <v/>
      </c>
      <c r="FQ13" s="121" t="str">
        <f>IF(ISBLANK(tbl_task5[[คะแนนเต็ม]:[คะแนนเต็ม]]),"",(tbl_task5[3]/tbl_task5[[คะแนนเต็ม]:[คะแนนเต็ม]])*tbl_task5[[%]:[%]])</f>
        <v/>
      </c>
      <c r="FR13" s="121" t="str">
        <f>IF(ISBLANK(tbl_task5[[คะแนนเต็ม]:[คะแนนเต็ม]]),"",(tbl_task5[4]/tbl_task5[[คะแนนเต็ม]:[คะแนนเต็ม]])*tbl_task5[[%]:[%]])</f>
        <v/>
      </c>
      <c r="FS13" s="121" t="str">
        <f>IF(ISBLANK(tbl_task5[[คะแนนเต็ม]:[คะแนนเต็ม]]),"",(tbl_task5[5]/tbl_task5[[คะแนนเต็ม]:[คะแนนเต็ม]])*tbl_task5[[%]:[%]])</f>
        <v/>
      </c>
      <c r="FT13" s="121" t="str">
        <f>IF(ISBLANK(tbl_task5[[คะแนนเต็ม]:[คะแนนเต็ม]]),"",(tbl_task5[6]/tbl_task5[[คะแนนเต็ม]:[คะแนนเต็ม]])*tbl_task5[[%]:[%]])</f>
        <v/>
      </c>
      <c r="FU13" s="121" t="str">
        <f>IF(ISBLANK(tbl_task5[[คะแนนเต็ม]:[คะแนนเต็ม]]),"",(tbl_task5[7]/tbl_task5[[คะแนนเต็ม]:[คะแนนเต็ม]])*tbl_task5[[%]:[%]])</f>
        <v/>
      </c>
      <c r="FV13" s="121" t="str">
        <f>IF(ISBLANK(tbl_task5[[คะแนนเต็ม]:[คะแนนเต็ม]]),"",(tbl_task5[8]/tbl_task5[[คะแนนเต็ม]:[คะแนนเต็ม]])*tbl_task5[[%]:[%]])</f>
        <v/>
      </c>
      <c r="FW13" s="121" t="str">
        <f>IF(ISBLANK(tbl_task5[[คะแนนเต็ม]:[คะแนนเต็ม]]),"",(tbl_task5[9]/tbl_task5[[คะแนนเต็ม]:[คะแนนเต็ม]])*tbl_task5[[%]:[%]])</f>
        <v/>
      </c>
      <c r="FX13" s="121" t="str">
        <f>IF(ISBLANK(tbl_task5[[คะแนนเต็ม]:[คะแนนเต็ม]]),"",(tbl_task5[10]/tbl_task5[[คะแนนเต็ม]:[คะแนนเต็ม]])*tbl_task5[[%]:[%]])</f>
        <v/>
      </c>
      <c r="FY13" s="121" t="str">
        <f>IF(ISBLANK(tbl_task5[[คะแนนเต็ม]:[คะแนนเต็ม]]),"",(tbl_task5[11]/tbl_task5[[คะแนนเต็ม]:[คะแนนเต็ม]])*tbl_task5[[%]:[%]])</f>
        <v/>
      </c>
      <c r="FZ13" s="121" t="str">
        <f>IF(ISBLANK(tbl_task5[[คะแนนเต็ม]:[คะแนนเต็ม]]),"",(tbl_task5[12]/tbl_task5[[คะแนนเต็ม]:[คะแนนเต็ม]])*tbl_task5[[%]:[%]])</f>
        <v/>
      </c>
      <c r="GA13" s="121" t="str">
        <f>IF(ISBLANK(tbl_task5[[คะแนนเต็ม]:[คะแนนเต็ม]]),"",(tbl_task5[13]/tbl_task5[[คะแนนเต็ม]:[คะแนนเต็ม]])*tbl_task5[[%]:[%]])</f>
        <v/>
      </c>
      <c r="GB13" s="121" t="str">
        <f>IF(ISBLANK(tbl_task5[[คะแนนเต็ม]:[คะแนนเต็ม]]),"",(tbl_task5[14]/tbl_task5[[คะแนนเต็ม]:[คะแนนเต็ม]])*tbl_task5[[%]:[%]])</f>
        <v/>
      </c>
      <c r="GC13" s="121" t="str">
        <f>IF(ISBLANK(tbl_task5[[คะแนนเต็ม]:[คะแนนเต็ม]]),"",(tbl_task5[15]/tbl_task5[[คะแนนเต็ม]:[คะแนนเต็ม]])*tbl_task5[[%]:[%]])</f>
        <v/>
      </c>
      <c r="GD13" s="121" t="str">
        <f>IF(ISBLANK(tbl_task5[[คะแนนเต็ม]:[คะแนนเต็ม]]),"",(tbl_task5[16]/tbl_task5[[คะแนนเต็ม]:[คะแนนเต็ม]])*tbl_task5[[%]:[%]])</f>
        <v/>
      </c>
      <c r="GE13" s="121" t="str">
        <f>IF(ISBLANK(tbl_task5[[คะแนนเต็ม]:[คะแนนเต็ม]]),"",(tbl_task5[17]/tbl_task5[[คะแนนเต็ม]:[คะแนนเต็ม]])*tbl_task5[[%]:[%]])</f>
        <v/>
      </c>
      <c r="GF13" s="121" t="str">
        <f>IF(ISBLANK(tbl_task5[[คะแนนเต็ม]:[คะแนนเต็ม]]),"",(tbl_task5[18]/tbl_task5[[คะแนนเต็ม]:[คะแนนเต็ม]])*tbl_task5[[%]:[%]])</f>
        <v/>
      </c>
      <c r="GG13" s="121" t="str">
        <f>IF(ISBLANK(tbl_task5[[คะแนนเต็ม]:[คะแนนเต็ม]]),"",(tbl_task5[19]/tbl_task5[[คะแนนเต็ม]:[คะแนนเต็ม]])*tbl_task5[[%]:[%]])</f>
        <v/>
      </c>
      <c r="GH13" s="121" t="str">
        <f>IF(ISBLANK(tbl_task5[[คะแนนเต็ม]:[คะแนนเต็ม]]),"",(tbl_task5[20]/tbl_task5[[คะแนนเต็ม]:[คะแนนเต็ม]])*tbl_task5[[%]:[%]])</f>
        <v/>
      </c>
      <c r="GI13" s="121" t="str">
        <f>IF(ISBLANK(tbl_task5[[คะแนนเต็ม]:[คะแนนเต็ม]]),"",(tbl_task5[21]/tbl_task5[[คะแนนเต็ม]:[คะแนนเต็ม]])*tbl_task5[[%]:[%]])</f>
        <v/>
      </c>
      <c r="GJ13" s="121" t="str">
        <f>IF(ISBLANK(tbl_task5[[คะแนนเต็ม]:[คะแนนเต็ม]]),"",(tbl_task5[22]/tbl_task5[[คะแนนเต็ม]:[คะแนนเต็ม]])*tbl_task5[[%]:[%]])</f>
        <v/>
      </c>
      <c r="GK13" s="121" t="str">
        <f>IF(ISBLANK(tbl_task5[[คะแนนเต็ม]:[คะแนนเต็ม]]),"",(tbl_task5[23]/tbl_task5[[คะแนนเต็ม]:[คะแนนเต็ม]])*tbl_task5[[%]:[%]])</f>
        <v/>
      </c>
      <c r="GL13" s="121" t="str">
        <f>IF(ISBLANK(tbl_task5[[คะแนนเต็ม]:[คะแนนเต็ม]]),"",(tbl_task5[24]/tbl_task5[[คะแนนเต็ม]:[คะแนนเต็ม]])*tbl_task5[[%]:[%]])</f>
        <v/>
      </c>
      <c r="GM13" s="121" t="str">
        <f>IF(ISBLANK(tbl_task5[[คะแนนเต็ม]:[คะแนนเต็ม]]),"",(tbl_task5[25]/tbl_task5[[คะแนนเต็ม]:[คะแนนเต็ม]])*tbl_task5[[%]:[%]])</f>
        <v/>
      </c>
      <c r="GN13" s="121" t="str">
        <f>IF(ISBLANK(tbl_task5[[คะแนนเต็ม]:[คะแนนเต็ม]]),"",(tbl_task5[26]/tbl_task5[[คะแนนเต็ม]:[คะแนนเต็ม]])*tbl_task5[[%]:[%]])</f>
        <v/>
      </c>
      <c r="GO13" s="121" t="str">
        <f>IF(ISBLANK(tbl_task5[[คะแนนเต็ม]:[คะแนนเต็ม]]),"",(tbl_task5[27]/tbl_task5[[คะแนนเต็ม]:[คะแนนเต็ม]])*tbl_task5[[%]:[%]])</f>
        <v/>
      </c>
      <c r="GP13" s="121" t="str">
        <f>IF(ISBLANK(tbl_task5[[คะแนนเต็ม]:[คะแนนเต็ม]]),"",(tbl_task5[28]/tbl_task5[[คะแนนเต็ม]:[คะแนนเต็ม]])*tbl_task5[[%]:[%]])</f>
        <v/>
      </c>
      <c r="GQ13" s="121" t="str">
        <f>IF(ISBLANK(tbl_task5[[คะแนนเต็ม]:[คะแนนเต็ม]]),"",(tbl_task5[29]/tbl_task5[[คะแนนเต็ม]:[คะแนนเต็ม]])*tbl_task5[[%]:[%]])</f>
        <v/>
      </c>
      <c r="GR13" s="121" t="str">
        <f>IF(ISBLANK(tbl_task5[[คะแนนเต็ม]:[คะแนนเต็ม]]),"",(tbl_task5[30]/tbl_task5[[คะแนนเต็ม]:[คะแนนเต็ม]])*tbl_task5[[%]:[%]])</f>
        <v/>
      </c>
      <c r="GS13" s="121" t="str">
        <f>IF(ISBLANK(tbl_task5[[คะแนนเต็ม]:[คะแนนเต็ม]]),"",(tbl_task5[31]/tbl_task5[[คะแนนเต็ม]:[คะแนนเต็ม]])*tbl_task5[[%]:[%]])</f>
        <v/>
      </c>
      <c r="GT13" s="121" t="str">
        <f>IF(ISBLANK(tbl_task5[[คะแนนเต็ม]:[คะแนนเต็ม]]),"",(tbl_task5[32]/tbl_task5[[คะแนนเต็ม]:[คะแนนเต็ม]])*tbl_task5[[%]:[%]])</f>
        <v/>
      </c>
      <c r="GU13" s="121" t="str">
        <f>IF(ISBLANK(tbl_task5[[คะแนนเต็ม]:[คะแนนเต็ม]]),"",(tbl_task5[33]/tbl_task5[[คะแนนเต็ม]:[คะแนนเต็ม]])*tbl_task5[[%]:[%]])</f>
        <v/>
      </c>
      <c r="GV13" s="121" t="str">
        <f>IF(ISBLANK(tbl_task5[[คะแนนเต็ม]:[คะแนนเต็ม]]),"",(tbl_task5[34]/tbl_task5[[คะแนนเต็ม]:[คะแนนเต็ม]])*tbl_task5[[%]:[%]])</f>
        <v/>
      </c>
      <c r="GW13" s="121" t="str">
        <f>IF(ISBLANK(tbl_task5[[คะแนนเต็ม]:[คะแนนเต็ม]]),"",(tbl_task5[35]/tbl_task5[[คะแนนเต็ม]:[คะแนนเต็ม]])*tbl_task5[[%]:[%]])</f>
        <v/>
      </c>
      <c r="GX13" s="121" t="str">
        <f>IF(ISBLANK(tbl_task5[[คะแนนเต็ม]:[คะแนนเต็ม]]),"",(tbl_task5[36]/tbl_task5[[คะแนนเต็ม]:[คะแนนเต็ม]])*tbl_task5[[%]:[%]])</f>
        <v/>
      </c>
      <c r="GY13" s="121" t="str">
        <f>IF(ISBLANK(tbl_task5[[คะแนนเต็ม]:[คะแนนเต็ม]]),"",(tbl_task5[37]/tbl_task5[[คะแนนเต็ม]:[คะแนนเต็ม]])*tbl_task5[[%]:[%]])</f>
        <v/>
      </c>
      <c r="GZ13" s="121" t="str">
        <f>IF(ISBLANK(tbl_task5[[คะแนนเต็ม]:[คะแนนเต็ม]]),"",(tbl_task5[38]/tbl_task5[[คะแนนเต็ม]:[คะแนนเต็ม]])*tbl_task5[[%]:[%]])</f>
        <v/>
      </c>
      <c r="HA13" s="121" t="str">
        <f>IF(ISBLANK(tbl_task5[[คะแนนเต็ม]:[คะแนนเต็ม]]),"",(tbl_task5[39]/tbl_task5[[คะแนนเต็ม]:[คะแนนเต็ม]])*tbl_task5[[%]:[%]])</f>
        <v/>
      </c>
      <c r="HB13" s="121" t="str">
        <f>IF(ISBLANK(tbl_task5[[คะแนนเต็ม]:[คะแนนเต็ม]]),"",(tbl_task5[40]/tbl_task5[[คะแนนเต็ม]:[คะแนนเต็ม]])*tbl_task5[[%]:[%]])</f>
        <v/>
      </c>
      <c r="HC13" s="121" t="str">
        <f>IF(ISBLANK(tbl_task5[[คะแนนเต็ม]:[คะแนนเต็ม]]),"",(tbl_task5[41]/tbl_task5[[คะแนนเต็ม]:[คะแนนเต็ม]])*tbl_task5[[%]:[%]])</f>
        <v/>
      </c>
      <c r="HD13" s="121" t="str">
        <f>IF(ISBLANK(tbl_task5[[คะแนนเต็ม]:[คะแนนเต็ม]]),"",(tbl_task5[42]/tbl_task5[[คะแนนเต็ม]:[คะแนนเต็ม]])*tbl_task5[[%]:[%]])</f>
        <v/>
      </c>
      <c r="HE13" s="121" t="str">
        <f>IF(ISBLANK(tbl_task5[[คะแนนเต็ม]:[คะแนนเต็ม]]),"",(tbl_task5[43]/tbl_task5[[คะแนนเต็ม]:[คะแนนเต็ม]])*tbl_task5[[%]:[%]])</f>
        <v/>
      </c>
      <c r="HF13" s="121" t="str">
        <f>IF(ISBLANK(tbl_task5[[คะแนนเต็ม]:[คะแนนเต็ม]]),"",(tbl_task5[44]/tbl_task5[[คะแนนเต็ม]:[คะแนนเต็ม]])*tbl_task5[[%]:[%]])</f>
        <v/>
      </c>
      <c r="HG13" s="121" t="str">
        <f>IF(ISBLANK(tbl_task5[[คะแนนเต็ม]:[คะแนนเต็ม]]),"",(tbl_task5[45]/tbl_task5[[คะแนนเต็ม]:[คะแนนเต็ม]])*tbl_task5[[%]:[%]])</f>
        <v/>
      </c>
      <c r="HH13" s="121" t="str">
        <f>IF(ISBLANK(tbl_task5[[คะแนนเต็ม]:[คะแนนเต็ม]]),"",(tbl_task5[46]/tbl_task5[[คะแนนเต็ม]:[คะแนนเต็ม]])*tbl_task5[[%]:[%]])</f>
        <v/>
      </c>
      <c r="HI13" s="121" t="str">
        <f>IF(ISBLANK(tbl_task5[[คะแนนเต็ม]:[คะแนนเต็ม]]),"",(tbl_task5[47]/tbl_task5[[คะแนนเต็ม]:[คะแนนเต็ม]])*tbl_task5[[%]:[%]])</f>
        <v/>
      </c>
      <c r="HJ13" s="121" t="str">
        <f>IF(ISBLANK(tbl_task5[[คะแนนเต็ม]:[คะแนนเต็ม]]),"",(tbl_task5[48]/tbl_task5[[คะแนนเต็ม]:[คะแนนเต็ม]])*tbl_task5[[%]:[%]])</f>
        <v/>
      </c>
      <c r="HK13" s="121" t="str">
        <f>IF(ISBLANK(tbl_task5[[คะแนนเต็ม]:[คะแนนเต็ม]]),"",(tbl_task5[49]/tbl_task5[[คะแนนเต็ม]:[คะแนนเต็ม]])*tbl_task5[[%]:[%]])</f>
        <v/>
      </c>
      <c r="HL13" s="121" t="str">
        <f>IF(ISBLANK(tbl_task5[[คะแนนเต็ม]:[คะแนนเต็ม]]),"",(tbl_task5[50]/tbl_task5[[คะแนนเต็ม]:[คะแนนเต็ม]])*tbl_task5[[%]:[%]])</f>
        <v/>
      </c>
      <c r="HM13" s="121" t="str">
        <f>IF(ISBLANK(tbl_task5[[คะแนนเต็ม]:[คะแนนเต็ม]]),"",(tbl_task5[51]/tbl_task5[[คะแนนเต็ม]:[คะแนนเต็ม]])*tbl_task5[[%]:[%]])</f>
        <v/>
      </c>
      <c r="HN13" s="121" t="str">
        <f>IF(ISBLANK(tbl_task5[[คะแนนเต็ม]:[คะแนนเต็ม]]),"",(tbl_task5[52]/tbl_task5[[คะแนนเต็ม]:[คะแนนเต็ม]])*tbl_task5[[%]:[%]])</f>
        <v/>
      </c>
      <c r="HO13" s="121" t="str">
        <f>IF(ISBLANK(tbl_task5[[คะแนนเต็ม]:[คะแนนเต็ม]]),"",(tbl_task5[53]/tbl_task5[[คะแนนเต็ม]:[คะแนนเต็ม]])*tbl_task5[[%]:[%]])</f>
        <v/>
      </c>
      <c r="HP13" s="121" t="str">
        <f>IF(ISBLANK(tbl_task5[[คะแนนเต็ม]:[คะแนนเต็ม]]),"",(tbl_task5[54]/tbl_task5[[คะแนนเต็ม]:[คะแนนเต็ม]])*tbl_task5[[%]:[%]])</f>
        <v/>
      </c>
      <c r="HQ13" s="121" t="str">
        <f>IF(ISBLANK(tbl_task5[[คะแนนเต็ม]:[คะแนนเต็ม]]),"",(tbl_task5[55]/tbl_task5[[คะแนนเต็ม]:[คะแนนเต็ม]])*tbl_task5[[%]:[%]])</f>
        <v/>
      </c>
      <c r="HR13" s="121" t="str">
        <f>IF(ISBLANK(tbl_task5[[คะแนนเต็ม]:[คะแนนเต็ม]]),"",(tbl_task5[56]/tbl_task5[[คะแนนเต็ม]:[คะแนนเต็ม]])*tbl_task5[[%]:[%]])</f>
        <v/>
      </c>
      <c r="HS13" s="121" t="str">
        <f>IF(ISBLANK(tbl_task5[[คะแนนเต็ม]:[คะแนนเต็ม]]),"",(tbl_task5[57]/tbl_task5[[คะแนนเต็ม]:[คะแนนเต็ม]])*tbl_task5[[%]:[%]])</f>
        <v/>
      </c>
      <c r="HT13" s="121" t="str">
        <f>IF(ISBLANK(tbl_task5[[คะแนนเต็ม]:[คะแนนเต็ม]]),"",(tbl_task5[58]/tbl_task5[[คะแนนเต็ม]:[คะแนนเต็ม]])*tbl_task5[[%]:[%]])</f>
        <v/>
      </c>
      <c r="HU13" s="121" t="str">
        <f>IF(ISBLANK(tbl_task5[[คะแนนเต็ม]:[คะแนนเต็ม]]),"",(tbl_task5[59]/tbl_task5[[คะแนนเต็ม]:[คะแนนเต็ม]])*tbl_task5[[%]:[%]])</f>
        <v/>
      </c>
      <c r="HV13" s="121" t="str">
        <f>IF(ISBLANK(tbl_task5[[คะแนนเต็ม]:[คะแนนเต็ม]]),"",(tbl_task5[60]/tbl_task5[[คะแนนเต็ม]:[คะแนนเต็ม]])*tbl_task5[[%]:[%]])</f>
        <v/>
      </c>
      <c r="HW13" s="121" t="str">
        <f>IF(ISBLANK(tbl_task5[[คะแนนเต็ม]:[คะแนนเต็ม]]),"",(tbl_task5[61]/tbl_task5[[คะแนนเต็ม]:[คะแนนเต็ม]])*tbl_task5[[%]:[%]])</f>
        <v/>
      </c>
      <c r="HX13" s="121" t="str">
        <f>IF(ISBLANK(tbl_task5[[คะแนนเต็ม]:[คะแนนเต็ม]]),"",(tbl_task5[62]/tbl_task5[[คะแนนเต็ม]:[คะแนนเต็ม]])*tbl_task5[[%]:[%]])</f>
        <v/>
      </c>
      <c r="HY13" s="121" t="str">
        <f>IF(ISBLANK(tbl_task5[[คะแนนเต็ม]:[คะแนนเต็ม]]),"",(tbl_task5[63]/tbl_task5[[คะแนนเต็ม]:[คะแนนเต็ม]])*tbl_task5[[%]:[%]])</f>
        <v/>
      </c>
      <c r="HZ13" s="121" t="str">
        <f>IF(ISBLANK(tbl_task5[[คะแนนเต็ม]:[คะแนนเต็ม]]),"",(tbl_task5[64]/tbl_task5[[คะแนนเต็ม]:[คะแนนเต็ม]])*tbl_task5[[%]:[%]])</f>
        <v/>
      </c>
      <c r="IA13" s="121" t="str">
        <f>IF(ISBLANK(tbl_task5[[คะแนนเต็ม]:[คะแนนเต็ม]]),"",(tbl_task5[65]/tbl_task5[[คะแนนเต็ม]:[คะแนนเต็ม]])*tbl_task5[[%]:[%]])</f>
        <v/>
      </c>
      <c r="IB13" s="121" t="str">
        <f>IF(ISBLANK(tbl_task5[[คะแนนเต็ม]:[คะแนนเต็ม]]),"",(tbl_task5[66]/tbl_task5[[คะแนนเต็ม]:[คะแนนเต็ม]])*tbl_task5[[%]:[%]])</f>
        <v/>
      </c>
      <c r="IC13" s="121" t="str">
        <f>IF(ISBLANK(tbl_task5[[คะแนนเต็ม]:[คะแนนเต็ม]]),"",(tbl_task5[67]/tbl_task5[[คะแนนเต็ม]:[คะแนนเต็ม]])*tbl_task5[[%]:[%]])</f>
        <v/>
      </c>
      <c r="ID13" s="121" t="str">
        <f>IF(ISBLANK(tbl_task5[[คะแนนเต็ม]:[คะแนนเต็ม]]),"",(tbl_task5[68]/tbl_task5[[คะแนนเต็ม]:[คะแนนเต็ม]])*tbl_task5[[%]:[%]])</f>
        <v/>
      </c>
      <c r="IE13" s="121" t="str">
        <f>IF(ISBLANK(tbl_task5[[คะแนนเต็ม]:[คะแนนเต็ม]]),"",(tbl_task5[69]/tbl_task5[[คะแนนเต็ม]:[คะแนนเต็ม]])*tbl_task5[[%]:[%]])</f>
        <v/>
      </c>
      <c r="IF13" s="121" t="str">
        <f>IF(ISBLANK(tbl_task5[[คะแนนเต็ม]:[คะแนนเต็ม]]),"",(tbl_task5[70]/tbl_task5[[คะแนนเต็ม]:[คะแนนเต็ม]])*tbl_task5[[%]:[%]])</f>
        <v/>
      </c>
      <c r="IG13" s="121" t="str">
        <f>IF(ISBLANK(tbl_task5[[คะแนนเต็ม]:[คะแนนเต็ม]]),"",(tbl_task5[71]/tbl_task5[[คะแนนเต็ม]:[คะแนนเต็ม]])*tbl_task5[[%]:[%]])</f>
        <v/>
      </c>
      <c r="IH13" s="121" t="str">
        <f>IF(ISBLANK(tbl_task5[[คะแนนเต็ม]:[คะแนนเต็ม]]),"",(tbl_task5[72]/tbl_task5[[คะแนนเต็ม]:[คะแนนเต็ม]])*tbl_task5[[%]:[%]])</f>
        <v/>
      </c>
      <c r="II13" s="121" t="str">
        <f>IF(ISBLANK(tbl_task5[[คะแนนเต็ม]:[คะแนนเต็ม]]),"",(tbl_task5[73]/tbl_task5[[คะแนนเต็ม]:[คะแนนเต็ม]])*tbl_task5[[%]:[%]])</f>
        <v/>
      </c>
      <c r="IJ13" s="121" t="str">
        <f>IF(ISBLANK(tbl_task5[[คะแนนเต็ม]:[คะแนนเต็ม]]),"",(tbl_task5[74]/tbl_task5[[คะแนนเต็ม]:[คะแนนเต็ม]])*tbl_task5[[%]:[%]])</f>
        <v/>
      </c>
      <c r="IK13" s="121" t="str">
        <f>IF(ISBLANK(tbl_task5[[คะแนนเต็ม]:[คะแนนเต็ม]]),"",(tbl_task5[75]/tbl_task5[[คะแนนเต็ม]:[คะแนนเต็ม]])*tbl_task5[[%]:[%]])</f>
        <v/>
      </c>
      <c r="IL13" s="121" t="str">
        <f>IF(ISBLANK(tbl_task5[[คะแนนเต็ม]:[คะแนนเต็ม]]),"",(tbl_task5[76]/tbl_task5[[คะแนนเต็ม]:[คะแนนเต็ม]])*tbl_task5[[%]:[%]])</f>
        <v/>
      </c>
      <c r="IM13" s="121" t="str">
        <f>IF(ISBLANK(tbl_task5[[คะแนนเต็ม]:[คะแนนเต็ม]]),"",(tbl_task5[77]/tbl_task5[[คะแนนเต็ม]:[คะแนนเต็ม]])*tbl_task5[[%]:[%]])</f>
        <v/>
      </c>
      <c r="IN13" s="121" t="str">
        <f>IF(ISBLANK(tbl_task5[[คะแนนเต็ม]:[คะแนนเต็ม]]),"",(tbl_task5[78]/tbl_task5[[คะแนนเต็ม]:[คะแนนเต็ม]])*tbl_task5[[%]:[%]])</f>
        <v/>
      </c>
      <c r="IO13" s="121" t="str">
        <f>IF(ISBLANK(tbl_task5[[คะแนนเต็ม]:[คะแนนเต็ม]]),"",(tbl_task5[79]/tbl_task5[[คะแนนเต็ม]:[คะแนนเต็ม]])*tbl_task5[[%]:[%]])</f>
        <v/>
      </c>
      <c r="IP13" s="121" t="str">
        <f>IF(ISBLANK(tbl_task5[[คะแนนเต็ม]:[คะแนนเต็ม]]),"",(tbl_task5[80]/tbl_task5[[คะแนนเต็ม]:[คะแนนเต็ม]])*tbl_task5[[%]:[%]])</f>
        <v/>
      </c>
      <c r="IQ13" s="121" t="str">
        <f>IF(ISBLANK(tbl_task5[[คะแนนเต็ม]:[คะแนนเต็ม]]),"",(tbl_task5[81]/tbl_task5[[คะแนนเต็ม]:[คะแนนเต็ม]])*tbl_task5[[%]:[%]])</f>
        <v/>
      </c>
      <c r="IR13" s="121" t="str">
        <f>IF(ISBLANK(tbl_task5[[คะแนนเต็ม]:[คะแนนเต็ม]]),"",(tbl_task5[82]/tbl_task5[[คะแนนเต็ม]:[คะแนนเต็ม]])*tbl_task5[[%]:[%]])</f>
        <v/>
      </c>
      <c r="IS13" s="121" t="str">
        <f>IF(ISBLANK(tbl_task5[[คะแนนเต็ม]:[คะแนนเต็ม]]),"",(tbl_task5[83]/tbl_task5[[คะแนนเต็ม]:[คะแนนเต็ม]])*tbl_task5[[%]:[%]])</f>
        <v/>
      </c>
      <c r="IT13" s="121" t="str">
        <f>IF(ISBLANK(tbl_task5[[คะแนนเต็ม]:[คะแนนเต็ม]]),"",(tbl_task5[84]/tbl_task5[[คะแนนเต็ม]:[คะแนนเต็ม]])*tbl_task5[[%]:[%]])</f>
        <v/>
      </c>
      <c r="IU13" s="121" t="str">
        <f>IF(ISBLANK(tbl_task5[[คะแนนเต็ม]:[คะแนนเต็ม]]),"",(tbl_task5[85]/tbl_task5[[คะแนนเต็ม]:[คะแนนเต็ม]])*tbl_task5[[%]:[%]])</f>
        <v/>
      </c>
      <c r="IV13" s="121" t="str">
        <f>IF(ISBLANK(tbl_task5[[คะแนนเต็ม]:[คะแนนเต็ม]]),"",(tbl_task5[86]/tbl_task5[[คะแนนเต็ม]:[คะแนนเต็ม]])*tbl_task5[[%]:[%]])</f>
        <v/>
      </c>
      <c r="IW13" s="121" t="str">
        <f>IF(ISBLANK(tbl_task5[[คะแนนเต็ม]:[คะแนนเต็ม]]),"",(tbl_task5[87]/tbl_task5[[คะแนนเต็ม]:[คะแนนเต็ม]])*tbl_task5[[%]:[%]])</f>
        <v/>
      </c>
      <c r="IX13" s="121" t="str">
        <f>IF(ISBLANK(tbl_task5[[คะแนนเต็ม]:[คะแนนเต็ม]]),"",(tbl_task5[88]/tbl_task5[[คะแนนเต็ม]:[คะแนนเต็ม]])*tbl_task5[[%]:[%]])</f>
        <v/>
      </c>
      <c r="IY13" s="121" t="str">
        <f>IF(ISBLANK(tbl_task5[[คะแนนเต็ม]:[คะแนนเต็ม]]),"",(tbl_task5[89]/tbl_task5[[คะแนนเต็ม]:[คะแนนเต็ม]])*tbl_task5[[%]:[%]])</f>
        <v/>
      </c>
      <c r="IZ13" s="121" t="str">
        <f>IF(ISBLANK(tbl_task5[[คะแนนเต็ม]:[คะแนนเต็ม]]),"",(tbl_task5[90]/tbl_task5[[คะแนนเต็ม]:[คะแนนเต็ม]])*tbl_task5[[%]:[%]])</f>
        <v/>
      </c>
      <c r="JA13" s="121" t="str">
        <f>IF(ISBLANK(tbl_task5[[คะแนนเต็ม]:[คะแนนเต็ม]]),"",(tbl_task5[91]/tbl_task5[[คะแนนเต็ม]:[คะแนนเต็ม]])*tbl_task5[[%]:[%]])</f>
        <v/>
      </c>
      <c r="JB13" s="121" t="str">
        <f>IF(ISBLANK(tbl_task5[[คะแนนเต็ม]:[คะแนนเต็ม]]),"",(tbl_task5[92]/tbl_task5[[คะแนนเต็ม]:[คะแนนเต็ม]])*tbl_task5[[%]:[%]])</f>
        <v/>
      </c>
      <c r="JC13" s="121" t="str">
        <f>IF(ISBLANK(tbl_task5[[คะแนนเต็ม]:[คะแนนเต็ม]]),"",(tbl_task5[93]/tbl_task5[[คะแนนเต็ม]:[คะแนนเต็ม]])*tbl_task5[[%]:[%]])</f>
        <v/>
      </c>
      <c r="JD13" s="121" t="str">
        <f>IF(ISBLANK(tbl_task5[[คะแนนเต็ม]:[คะแนนเต็ม]]),"",(tbl_task5[94]/tbl_task5[[คะแนนเต็ม]:[คะแนนเต็ม]])*tbl_task5[[%]:[%]])</f>
        <v/>
      </c>
      <c r="JE13" s="121" t="str">
        <f>IF(ISBLANK(tbl_task5[[คะแนนเต็ม]:[คะแนนเต็ม]]),"",(tbl_task5[95]/tbl_task5[[คะแนนเต็ม]:[คะแนนเต็ม]])*tbl_task5[[%]:[%]])</f>
        <v/>
      </c>
      <c r="JF13" s="121" t="str">
        <f>IF(ISBLANK(tbl_task5[[คะแนนเต็ม]:[คะแนนเต็ม]]),"",(tbl_task5[96]/tbl_task5[[คะแนนเต็ม]:[คะแนนเต็ม]])*tbl_task5[[%]:[%]])</f>
        <v/>
      </c>
      <c r="JG13" s="121" t="str">
        <f>IF(ISBLANK(tbl_task5[[คะแนนเต็ม]:[คะแนนเต็ม]]),"",(tbl_task5[97]/tbl_task5[[คะแนนเต็ม]:[คะแนนเต็ม]])*tbl_task5[[%]:[%]])</f>
        <v/>
      </c>
      <c r="JH13" s="121" t="str">
        <f>IF(ISBLANK(tbl_task5[[คะแนนเต็ม]:[คะแนนเต็ม]]),"",(tbl_task5[98]/tbl_task5[[คะแนนเต็ม]:[คะแนนเต็ม]])*tbl_task5[[%]:[%]])</f>
        <v/>
      </c>
      <c r="JI13" s="121" t="str">
        <f>IF(ISBLANK(tbl_task5[[คะแนนเต็ม]:[คะแนนเต็ม]]),"",(tbl_task5[99]/tbl_task5[[คะแนนเต็ม]:[คะแนนเต็ม]])*tbl_task5[[%]:[%]])</f>
        <v/>
      </c>
      <c r="JJ13" s="121" t="str">
        <f>IF(ISBLANK(tbl_task5[[คะแนนเต็ม]:[คะแนนเต็ม]]),"",(tbl_task5[100]/tbl_task5[[คะแนนเต็ม]:[คะแนนเต็ม]])*tbl_task5[[%]:[%]])</f>
        <v/>
      </c>
      <c r="JK13" s="121" t="str">
        <f>IF(ISBLANK(tbl_task5[[คะแนนเต็ม]:[คะแนนเต็ม]]),"",(tbl_task5[101]/tbl_task5[[คะแนนเต็ม]:[คะแนนเต็ม]])*tbl_task5[[%]:[%]])</f>
        <v/>
      </c>
      <c r="JL13" s="121" t="str">
        <f>IF(ISBLANK(tbl_task5[[คะแนนเต็ม]:[คะแนนเต็ม]]),"",(tbl_task5[102]/tbl_task5[[คะแนนเต็ม]:[คะแนนเต็ม]])*tbl_task5[[%]:[%]])</f>
        <v/>
      </c>
      <c r="JM13" s="121" t="str">
        <f>IF(ISBLANK(tbl_task5[[คะแนนเต็ม]:[คะแนนเต็ม]]),"",(tbl_task5[103]/tbl_task5[[คะแนนเต็ม]:[คะแนนเต็ม]])*tbl_task5[[%]:[%]])</f>
        <v/>
      </c>
      <c r="JN13" s="121" t="str">
        <f>IF(ISBLANK(tbl_task5[[คะแนนเต็ม]:[คะแนนเต็ม]]),"",(tbl_task5[104]/tbl_task5[[คะแนนเต็ม]:[คะแนนเต็ม]])*tbl_task5[[%]:[%]])</f>
        <v/>
      </c>
      <c r="JO13" s="121" t="str">
        <f>IF(ISBLANK(tbl_task5[[คะแนนเต็ม]:[คะแนนเต็ม]]),"",(tbl_task5[105]/tbl_task5[[คะแนนเต็ม]:[คะแนนเต็ม]])*tbl_task5[[%]:[%]])</f>
        <v/>
      </c>
      <c r="JP13" s="121" t="str">
        <f>IF(ISBLANK(tbl_task5[[คะแนนเต็ม]:[คะแนนเต็ม]]),"",(tbl_task5[106]/tbl_task5[[คะแนนเต็ม]:[คะแนนเต็ม]])*tbl_task5[[%]:[%]])</f>
        <v/>
      </c>
      <c r="JQ13" s="121" t="str">
        <f>IF(ISBLANK(tbl_task5[[คะแนนเต็ม]:[คะแนนเต็ม]]),"",(tbl_task5[107]/tbl_task5[[คะแนนเต็ม]:[คะแนนเต็ม]])*tbl_task5[[%]:[%]])</f>
        <v/>
      </c>
      <c r="JR13" s="121" t="str">
        <f>IF(ISBLANK(tbl_task5[[คะแนนเต็ม]:[คะแนนเต็ม]]),"",(tbl_task5[108]/tbl_task5[[คะแนนเต็ม]:[คะแนนเต็ม]])*tbl_task5[[%]:[%]])</f>
        <v/>
      </c>
      <c r="JS13" s="121" t="str">
        <f>IF(ISBLANK(tbl_task5[[คะแนนเต็ม]:[คะแนนเต็ม]]),"",(tbl_task5[109]/tbl_task5[[คะแนนเต็ม]:[คะแนนเต็ม]])*tbl_task5[[%]:[%]])</f>
        <v/>
      </c>
      <c r="JT13" s="121" t="str">
        <f>IF(ISBLANK(tbl_task5[[คะแนนเต็ม]:[คะแนนเต็ม]]),"",(tbl_task5[110]/tbl_task5[[คะแนนเต็ม]:[คะแนนเต็ม]])*tbl_task5[[%]:[%]])</f>
        <v/>
      </c>
      <c r="JU13" s="121" t="str">
        <f>IF(ISBLANK(tbl_task5[[คะแนนเต็ม]:[คะแนนเต็ม]]),"",(tbl_task5[111]/tbl_task5[[คะแนนเต็ม]:[คะแนนเต็ม]])*tbl_task5[[%]:[%]])</f>
        <v/>
      </c>
      <c r="JV13" s="121" t="str">
        <f>IF(ISBLANK(tbl_task5[[คะแนนเต็ม]:[คะแนนเต็ม]]),"",(tbl_task5[112]/tbl_task5[[คะแนนเต็ม]:[คะแนนเต็ม]])*tbl_task5[[%]:[%]])</f>
        <v/>
      </c>
      <c r="JW13" s="121" t="str">
        <f>IF(ISBLANK(tbl_task5[[คะแนนเต็ม]:[คะแนนเต็ม]]),"",(tbl_task5[113]/tbl_task5[[คะแนนเต็ม]:[คะแนนเต็ม]])*tbl_task5[[%]:[%]])</f>
        <v/>
      </c>
      <c r="JX13" s="121" t="str">
        <f>IF(ISBLANK(tbl_task5[[คะแนนเต็ม]:[คะแนนเต็ม]]),"",(tbl_task5[114]/tbl_task5[[คะแนนเต็ม]:[คะแนนเต็ม]])*tbl_task5[[%]:[%]])</f>
        <v/>
      </c>
      <c r="JY13" s="121" t="str">
        <f>IF(ISBLANK(tbl_task5[[คะแนนเต็ม]:[คะแนนเต็ม]]),"",(tbl_task5[115]/tbl_task5[[คะแนนเต็ม]:[คะแนนเต็ม]])*tbl_task5[[%]:[%]])</f>
        <v/>
      </c>
      <c r="JZ13" s="121" t="str">
        <f>IF(ISBLANK(tbl_task5[[คะแนนเต็ม]:[คะแนนเต็ม]]),"",(tbl_task5[116]/tbl_task5[[คะแนนเต็ม]:[คะแนนเต็ม]])*tbl_task5[[%]:[%]])</f>
        <v/>
      </c>
      <c r="KA13" s="121" t="str">
        <f>IF(ISBLANK(tbl_task5[[คะแนนเต็ม]:[คะแนนเต็ม]]),"",(tbl_task5[117]/tbl_task5[[คะแนนเต็ม]:[คะแนนเต็ม]])*tbl_task5[[%]:[%]])</f>
        <v/>
      </c>
      <c r="KB13" s="121" t="str">
        <f>IF(ISBLANK(tbl_task5[[คะแนนเต็ม]:[คะแนนเต็ม]]),"",(tbl_task5[118]/tbl_task5[[คะแนนเต็ม]:[คะแนนเต็ม]])*tbl_task5[[%]:[%]])</f>
        <v/>
      </c>
      <c r="KC13" s="121" t="str">
        <f>IF(ISBLANK(tbl_task5[[คะแนนเต็ม]:[คะแนนเต็ม]]),"",(tbl_task5[119]/tbl_task5[[คะแนนเต็ม]:[คะแนนเต็ม]])*tbl_task5[[%]:[%]])</f>
        <v/>
      </c>
      <c r="KD13" s="121" t="str">
        <f>IF(ISBLANK(tbl_task5[[คะแนนเต็ม]:[คะแนนเต็ม]]),"",(tbl_task5[120]/tbl_task5[[คะแนนเต็ม]:[คะแนนเต็ม]])*tbl_task5[[%]:[%]])</f>
        <v/>
      </c>
      <c r="KE13" s="121" t="str">
        <f>IF(ISBLANK(tbl_task5[[คะแนนเต็ม]:[คะแนนเต็ม]]),"",(tbl_task5[121]/tbl_task5[[คะแนนเต็ม]:[คะแนนเต็ม]])*tbl_task5[[%]:[%]])</f>
        <v/>
      </c>
      <c r="KF13" s="121" t="str">
        <f>IF(ISBLANK(tbl_task5[[คะแนนเต็ม]:[คะแนนเต็ม]]),"",(tbl_task5[122]/tbl_task5[[คะแนนเต็ม]:[คะแนนเต็ม]])*tbl_task5[[%]:[%]])</f>
        <v/>
      </c>
      <c r="KG13" s="121" t="str">
        <f>IF(ISBLANK(tbl_task5[[คะแนนเต็ม]:[คะแนนเต็ม]]),"",(tbl_task5[123]/tbl_task5[[คะแนนเต็ม]:[คะแนนเต็ม]])*tbl_task5[[%]:[%]])</f>
        <v/>
      </c>
      <c r="KH13" s="121" t="str">
        <f>IF(ISBLANK(tbl_task5[[คะแนนเต็ม]:[คะแนนเต็ม]]),"",(tbl_task5[124]/tbl_task5[[คะแนนเต็ม]:[คะแนนเต็ม]])*tbl_task5[[%]:[%]])</f>
        <v/>
      </c>
      <c r="KI13" s="121" t="str">
        <f>IF(ISBLANK(tbl_task5[[คะแนนเต็ม]:[คะแนนเต็ม]]),"",(tbl_task5[125]/tbl_task5[[คะแนนเต็ม]:[คะแนนเต็ม]])*tbl_task5[[%]:[%]])</f>
        <v/>
      </c>
      <c r="KJ13" s="121" t="str">
        <f>IF(ISBLANK(tbl_task5[[คะแนนเต็ม]:[คะแนนเต็ม]]),"",(tbl_task5[126]/tbl_task5[[คะแนนเต็ม]:[คะแนนเต็ม]])*tbl_task5[[%]:[%]])</f>
        <v/>
      </c>
      <c r="KK13" s="121" t="str">
        <f>IF(ISBLANK(tbl_task5[[คะแนนเต็ม]:[คะแนนเต็ม]]),"",(tbl_task5[127]/tbl_task5[[คะแนนเต็ม]:[คะแนนเต็ม]])*tbl_task5[[%]:[%]])</f>
        <v/>
      </c>
      <c r="KL13" s="121" t="str">
        <f>IF(ISBLANK(tbl_task5[[คะแนนเต็ม]:[คะแนนเต็ม]]),"",(tbl_task5[128]/tbl_task5[[คะแนนเต็ม]:[คะแนนเต็ม]])*tbl_task5[[%]:[%]])</f>
        <v/>
      </c>
      <c r="KM13" s="121" t="str">
        <f>IF(ISBLANK(tbl_task5[[คะแนนเต็ม]:[คะแนนเต็ม]]),"",(tbl_task5[129]/tbl_task5[[คะแนนเต็ม]:[คะแนนเต็ม]])*tbl_task5[[%]:[%]])</f>
        <v/>
      </c>
      <c r="KN13" s="121" t="str">
        <f>IF(ISBLANK(tbl_task5[[คะแนนเต็ม]:[คะแนนเต็ม]]),"",(tbl_task5[130]/tbl_task5[[คะแนนเต็ม]:[คะแนนเต็ม]])*tbl_task5[[%]:[%]])</f>
        <v/>
      </c>
      <c r="KO13" s="121" t="str">
        <f>IF(ISBLANK(tbl_task5[[คะแนนเต็ม]:[คะแนนเต็ม]]),"",(tbl_task5[131]/tbl_task5[[คะแนนเต็ม]:[คะแนนเต็ม]])*tbl_task5[[%]:[%]])</f>
        <v/>
      </c>
      <c r="KP13" s="121" t="str">
        <f>IF(ISBLANK(tbl_task5[[คะแนนเต็ม]:[คะแนนเต็ม]]),"",(tbl_task5[132]/tbl_task5[[คะแนนเต็ม]:[คะแนนเต็ม]])*tbl_task5[[%]:[%]])</f>
        <v/>
      </c>
      <c r="KQ13" s="121" t="str">
        <f>IF(ISBLANK(tbl_task5[[คะแนนเต็ม]:[คะแนนเต็ม]]),"",(tbl_task5[133]/tbl_task5[[คะแนนเต็ม]:[คะแนนเต็ม]])*tbl_task5[[%]:[%]])</f>
        <v/>
      </c>
      <c r="KR13" s="121" t="str">
        <f>IF(ISBLANK(tbl_task5[[คะแนนเต็ม]:[คะแนนเต็ม]]),"",(tbl_task5[134]/tbl_task5[[คะแนนเต็ม]:[คะแนนเต็ม]])*tbl_task5[[%]:[%]])</f>
        <v/>
      </c>
      <c r="KS13" s="121" t="str">
        <f>IF(ISBLANK(tbl_task5[[คะแนนเต็ม]:[คะแนนเต็ม]]),"",(tbl_task5[135]/tbl_task5[[คะแนนเต็ม]:[คะแนนเต็ม]])*tbl_task5[[%]:[%]])</f>
        <v/>
      </c>
      <c r="KT13" s="121" t="str">
        <f>IF(ISBLANK(tbl_task5[[คะแนนเต็ม]:[คะแนนเต็ม]]),"",(tbl_task5[136]/tbl_task5[[คะแนนเต็ม]:[คะแนนเต็ม]])*tbl_task5[[%]:[%]])</f>
        <v/>
      </c>
      <c r="KU13" s="121" t="str">
        <f>IF(ISBLANK(tbl_task5[[คะแนนเต็ม]:[คะแนนเต็ม]]),"",(tbl_task5[137]/tbl_task5[[คะแนนเต็ม]:[คะแนนเต็ม]])*tbl_task5[[%]:[%]])</f>
        <v/>
      </c>
      <c r="KV13" s="121" t="str">
        <f>IF(ISBLANK(tbl_task5[[คะแนนเต็ม]:[คะแนนเต็ม]]),"",(tbl_task5[138]/tbl_task5[[คะแนนเต็ม]:[คะแนนเต็ม]])*tbl_task5[[%]:[%]])</f>
        <v/>
      </c>
      <c r="KW13" s="121" t="str">
        <f>IF(ISBLANK(tbl_task5[[คะแนนเต็ม]:[คะแนนเต็ม]]),"",(tbl_task5[139]/tbl_task5[[คะแนนเต็ม]:[คะแนนเต็ม]])*tbl_task5[[%]:[%]])</f>
        <v/>
      </c>
      <c r="KX13" s="121" t="str">
        <f>IF(ISBLANK(tbl_task5[[คะแนนเต็ม]:[คะแนนเต็ม]]),"",(tbl_task5[140]/tbl_task5[[คะแนนเต็ม]:[คะแนนเต็ม]])*tbl_task5[[%]:[%]])</f>
        <v/>
      </c>
      <c r="KY13" s="121" t="str">
        <f>IF(ISBLANK(tbl_task5[[คะแนนเต็ม]:[คะแนนเต็ม]]),"",(tbl_task5[141]/tbl_task5[[คะแนนเต็ม]:[คะแนนเต็ม]])*tbl_task5[[%]:[%]])</f>
        <v/>
      </c>
      <c r="KZ13" s="121" t="str">
        <f>IF(ISBLANK(tbl_task5[[คะแนนเต็ม]:[คะแนนเต็ม]]),"",(tbl_task5[142]/tbl_task5[[คะแนนเต็ม]:[คะแนนเต็ม]])*tbl_task5[[%]:[%]])</f>
        <v/>
      </c>
      <c r="LA13" s="121" t="str">
        <f>IF(ISBLANK(tbl_task5[[คะแนนเต็ม]:[คะแนนเต็ม]]),"",(tbl_task5[143]/tbl_task5[[คะแนนเต็ม]:[คะแนนเต็ม]])*tbl_task5[[%]:[%]])</f>
        <v/>
      </c>
      <c r="LB13" s="121" t="str">
        <f>IF(ISBLANK(tbl_task5[[คะแนนเต็ม]:[คะแนนเต็ม]]),"",(tbl_task5[144]/tbl_task5[[คะแนนเต็ม]:[คะแนนเต็ม]])*tbl_task5[[%]:[%]])</f>
        <v/>
      </c>
      <c r="LC13" s="121" t="str">
        <f>IF(ISBLANK(tbl_task5[[คะแนนเต็ม]:[คะแนนเต็ม]]),"",(tbl_task5[145]/tbl_task5[[คะแนนเต็ม]:[คะแนนเต็ม]])*tbl_task5[[%]:[%]])</f>
        <v/>
      </c>
      <c r="LD13" s="121" t="str">
        <f>IF(ISBLANK(tbl_task5[[คะแนนเต็ม]:[คะแนนเต็ม]]),"",(tbl_task5[146]/tbl_task5[[คะแนนเต็ม]:[คะแนนเต็ม]])*tbl_task5[[%]:[%]])</f>
        <v/>
      </c>
      <c r="LE13" s="121" t="str">
        <f>IF(ISBLANK(tbl_task5[[คะแนนเต็ม]:[คะแนนเต็ม]]),"",(tbl_task5[147]/tbl_task5[[คะแนนเต็ม]:[คะแนนเต็ม]])*tbl_task5[[%]:[%]])</f>
        <v/>
      </c>
      <c r="LF13" s="121" t="str">
        <f>IF(ISBLANK(tbl_task5[[คะแนนเต็ม]:[คะแนนเต็ม]]),"",(tbl_task5[148]/tbl_task5[[คะแนนเต็ม]:[คะแนนเต็ม]])*tbl_task5[[%]:[%]])</f>
        <v/>
      </c>
      <c r="LG13" s="121" t="str">
        <f>IF(ISBLANK(tbl_task5[[คะแนนเต็ม]:[คะแนนเต็ม]]),"",(tbl_task5[149]/tbl_task5[[คะแนนเต็ม]:[คะแนนเต็ม]])*tbl_task5[[%]:[%]])</f>
        <v/>
      </c>
      <c r="LH13" s="121" t="str">
        <f>IF(ISBLANK(tbl_task5[[คะแนนเต็ม]:[คะแนนเต็ม]]),"",(tbl_task5[150]/tbl_task5[[คะแนนเต็ม]:[คะแนนเต็ม]])*tbl_task5[[%]:[%]])</f>
        <v/>
      </c>
      <c r="LI13" s="121" t="str">
        <f>IF(ISBLANK(tbl_task5[[คะแนนเต็ม]:[คะแนนเต็ม]]),"",(tbl_task5[151]/tbl_task5[[คะแนนเต็ม]:[คะแนนเต็ม]])*tbl_task5[[%]:[%]])</f>
        <v/>
      </c>
      <c r="LJ13" s="121" t="str">
        <f>IF(ISBLANK(tbl_task5[[คะแนนเต็ม]:[คะแนนเต็ม]]),"",(tbl_task5[152]/tbl_task5[[คะแนนเต็ม]:[คะแนนเต็ม]])*tbl_task5[[%]:[%]])</f>
        <v/>
      </c>
      <c r="LK13" s="121" t="str">
        <f>IF(ISBLANK(tbl_task5[[คะแนนเต็ม]:[คะแนนเต็ม]]),"",(tbl_task5[153]/tbl_task5[[คะแนนเต็ม]:[คะแนนเต็ม]])*tbl_task5[[%]:[%]])</f>
        <v/>
      </c>
      <c r="LL13" s="121" t="str">
        <f>IF(ISBLANK(tbl_task5[[คะแนนเต็ม]:[คะแนนเต็ม]]),"",(tbl_task5[154]/tbl_task5[[คะแนนเต็ม]:[คะแนนเต็ม]])*tbl_task5[[%]:[%]])</f>
        <v/>
      </c>
      <c r="LM13" s="121" t="str">
        <f>IF(ISBLANK(tbl_task5[[คะแนนเต็ม]:[คะแนนเต็ม]]),"",(tbl_task5[155]/tbl_task5[[คะแนนเต็ม]:[คะแนนเต็ม]])*tbl_task5[[%]:[%]])</f>
        <v/>
      </c>
      <c r="LN13" s="121" t="str">
        <f>IF(ISBLANK(tbl_task5[[คะแนนเต็ม]:[คะแนนเต็ม]]),"",(tbl_task5[156]/tbl_task5[[คะแนนเต็ม]:[คะแนนเต็ม]])*tbl_task5[[%]:[%]])</f>
        <v/>
      </c>
      <c r="LO13" s="121" t="str">
        <f>IF(ISBLANK(tbl_task5[[คะแนนเต็ม]:[คะแนนเต็ม]]),"",(tbl_task5[157]/tbl_task5[[คะแนนเต็ม]:[คะแนนเต็ม]])*tbl_task5[[%]:[%]])</f>
        <v/>
      </c>
      <c r="LP13" s="121" t="str">
        <f>IF(ISBLANK(tbl_task5[[คะแนนเต็ม]:[คะแนนเต็ม]]),"",(tbl_task5[158]/tbl_task5[[คะแนนเต็ม]:[คะแนนเต็ม]])*tbl_task5[[%]:[%]])</f>
        <v/>
      </c>
      <c r="LQ13" s="121" t="str">
        <f>IF(ISBLANK(tbl_task5[[คะแนนเต็ม]:[คะแนนเต็ม]]),"",(tbl_task5[159]/tbl_task5[[คะแนนเต็ม]:[คะแนนเต็ม]])*tbl_task5[[%]:[%]])</f>
        <v/>
      </c>
      <c r="LR13" s="121" t="str">
        <f>IF(ISBLANK(tbl_task5[[คะแนนเต็ม]:[คะแนนเต็ม]]),"",(tbl_task5[160]/tbl_task5[[คะแนนเต็ม]:[คะแนนเต็ม]])*tbl_task5[[%]:[%]])</f>
        <v/>
      </c>
      <c r="LS13" s="121" t="str">
        <f>IF(ISBLANK(tbl_task5[[คะแนนเต็ม]:[คะแนนเต็ม]]),"",(tbl_task5[161]/tbl_task5[[คะแนนเต็ม]:[คะแนนเต็ม]])*tbl_task5[[%]:[%]])</f>
        <v/>
      </c>
      <c r="LT13" s="121" t="str">
        <f>IF(ISBLANK(tbl_task5[[คะแนนเต็ม]:[คะแนนเต็ม]]),"",(tbl_task5[162]/tbl_task5[[คะแนนเต็ม]:[คะแนนเต็ม]])*tbl_task5[[%]:[%]])</f>
        <v/>
      </c>
      <c r="LU13" s="121" t="str">
        <f>IF(ISBLANK(tbl_task5[[คะแนนเต็ม]:[คะแนนเต็ม]]),"",(tbl_task5[163]/tbl_task5[[คะแนนเต็ม]:[คะแนนเต็ม]])*tbl_task5[[%]:[%]])</f>
        <v/>
      </c>
      <c r="LV13" s="121" t="str">
        <f>IF(ISBLANK(tbl_task5[[คะแนนเต็ม]:[คะแนนเต็ม]]),"",(tbl_task5[164]/tbl_task5[[คะแนนเต็ม]:[คะแนนเต็ม]])*tbl_task5[[%]:[%]])</f>
        <v/>
      </c>
      <c r="LW13" s="121" t="str">
        <f>IF(ISBLANK(tbl_task5[[คะแนนเต็ม]:[คะแนนเต็ม]]),"",(tbl_task5[165]/tbl_task5[[คะแนนเต็ม]:[คะแนนเต็ม]])*tbl_task5[[%]:[%]])</f>
        <v/>
      </c>
    </row>
    <row r="14" spans="1:335" ht="24" customHeight="1" x14ac:dyDescent="0.25">
      <c r="A14" s="24">
        <v>11</v>
      </c>
      <c r="B14" s="20"/>
      <c r="C14" s="5" t="str">
        <f>IF(ISBLANK(B14),"",VLOOKUP(B14,tbl_PLOs[],2,0))</f>
        <v/>
      </c>
      <c r="D14" s="102"/>
      <c r="E14" s="106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21" t="str">
        <f>IF(ISBLANK(tbl_task5[[คะแนนเต็ม]:[คะแนนเต็ม]]),"",(tbl_task5[1]/tbl_task5[[คะแนนเต็ม]:[คะแนนเต็ม]])*tbl_task5[[%]:[%]])</f>
        <v/>
      </c>
      <c r="FP14" s="121" t="str">
        <f>IF(ISBLANK(tbl_task5[[คะแนนเต็ม]:[คะแนนเต็ม]]),"",(tbl_task5[2]/tbl_task5[[คะแนนเต็ม]:[คะแนนเต็ม]])*tbl_task5[[%]:[%]])</f>
        <v/>
      </c>
      <c r="FQ14" s="121" t="str">
        <f>IF(ISBLANK(tbl_task5[[คะแนนเต็ม]:[คะแนนเต็ม]]),"",(tbl_task5[3]/tbl_task5[[คะแนนเต็ม]:[คะแนนเต็ม]])*tbl_task5[[%]:[%]])</f>
        <v/>
      </c>
      <c r="FR14" s="121" t="str">
        <f>IF(ISBLANK(tbl_task5[[คะแนนเต็ม]:[คะแนนเต็ม]]),"",(tbl_task5[4]/tbl_task5[[คะแนนเต็ม]:[คะแนนเต็ม]])*tbl_task5[[%]:[%]])</f>
        <v/>
      </c>
      <c r="FS14" s="121" t="str">
        <f>IF(ISBLANK(tbl_task5[[คะแนนเต็ม]:[คะแนนเต็ม]]),"",(tbl_task5[5]/tbl_task5[[คะแนนเต็ม]:[คะแนนเต็ม]])*tbl_task5[[%]:[%]])</f>
        <v/>
      </c>
      <c r="FT14" s="121" t="str">
        <f>IF(ISBLANK(tbl_task5[[คะแนนเต็ม]:[คะแนนเต็ม]]),"",(tbl_task5[6]/tbl_task5[[คะแนนเต็ม]:[คะแนนเต็ม]])*tbl_task5[[%]:[%]])</f>
        <v/>
      </c>
      <c r="FU14" s="121" t="str">
        <f>IF(ISBLANK(tbl_task5[[คะแนนเต็ม]:[คะแนนเต็ม]]),"",(tbl_task5[7]/tbl_task5[[คะแนนเต็ม]:[คะแนนเต็ม]])*tbl_task5[[%]:[%]])</f>
        <v/>
      </c>
      <c r="FV14" s="121" t="str">
        <f>IF(ISBLANK(tbl_task5[[คะแนนเต็ม]:[คะแนนเต็ม]]),"",(tbl_task5[8]/tbl_task5[[คะแนนเต็ม]:[คะแนนเต็ม]])*tbl_task5[[%]:[%]])</f>
        <v/>
      </c>
      <c r="FW14" s="121" t="str">
        <f>IF(ISBLANK(tbl_task5[[คะแนนเต็ม]:[คะแนนเต็ม]]),"",(tbl_task5[9]/tbl_task5[[คะแนนเต็ม]:[คะแนนเต็ม]])*tbl_task5[[%]:[%]])</f>
        <v/>
      </c>
      <c r="FX14" s="121" t="str">
        <f>IF(ISBLANK(tbl_task5[[คะแนนเต็ม]:[คะแนนเต็ม]]),"",(tbl_task5[10]/tbl_task5[[คะแนนเต็ม]:[คะแนนเต็ม]])*tbl_task5[[%]:[%]])</f>
        <v/>
      </c>
      <c r="FY14" s="121" t="str">
        <f>IF(ISBLANK(tbl_task5[[คะแนนเต็ม]:[คะแนนเต็ม]]),"",(tbl_task5[11]/tbl_task5[[คะแนนเต็ม]:[คะแนนเต็ม]])*tbl_task5[[%]:[%]])</f>
        <v/>
      </c>
      <c r="FZ14" s="121" t="str">
        <f>IF(ISBLANK(tbl_task5[[คะแนนเต็ม]:[คะแนนเต็ม]]),"",(tbl_task5[12]/tbl_task5[[คะแนนเต็ม]:[คะแนนเต็ม]])*tbl_task5[[%]:[%]])</f>
        <v/>
      </c>
      <c r="GA14" s="121" t="str">
        <f>IF(ISBLANK(tbl_task5[[คะแนนเต็ม]:[คะแนนเต็ม]]),"",(tbl_task5[13]/tbl_task5[[คะแนนเต็ม]:[คะแนนเต็ม]])*tbl_task5[[%]:[%]])</f>
        <v/>
      </c>
      <c r="GB14" s="121" t="str">
        <f>IF(ISBLANK(tbl_task5[[คะแนนเต็ม]:[คะแนนเต็ม]]),"",(tbl_task5[14]/tbl_task5[[คะแนนเต็ม]:[คะแนนเต็ม]])*tbl_task5[[%]:[%]])</f>
        <v/>
      </c>
      <c r="GC14" s="121" t="str">
        <f>IF(ISBLANK(tbl_task5[[คะแนนเต็ม]:[คะแนนเต็ม]]),"",(tbl_task5[15]/tbl_task5[[คะแนนเต็ม]:[คะแนนเต็ม]])*tbl_task5[[%]:[%]])</f>
        <v/>
      </c>
      <c r="GD14" s="121" t="str">
        <f>IF(ISBLANK(tbl_task5[[คะแนนเต็ม]:[คะแนนเต็ม]]),"",(tbl_task5[16]/tbl_task5[[คะแนนเต็ม]:[คะแนนเต็ม]])*tbl_task5[[%]:[%]])</f>
        <v/>
      </c>
      <c r="GE14" s="121" t="str">
        <f>IF(ISBLANK(tbl_task5[[คะแนนเต็ม]:[คะแนนเต็ม]]),"",(tbl_task5[17]/tbl_task5[[คะแนนเต็ม]:[คะแนนเต็ม]])*tbl_task5[[%]:[%]])</f>
        <v/>
      </c>
      <c r="GF14" s="121" t="str">
        <f>IF(ISBLANK(tbl_task5[[คะแนนเต็ม]:[คะแนนเต็ม]]),"",(tbl_task5[18]/tbl_task5[[คะแนนเต็ม]:[คะแนนเต็ม]])*tbl_task5[[%]:[%]])</f>
        <v/>
      </c>
      <c r="GG14" s="121" t="str">
        <f>IF(ISBLANK(tbl_task5[[คะแนนเต็ม]:[คะแนนเต็ม]]),"",(tbl_task5[19]/tbl_task5[[คะแนนเต็ม]:[คะแนนเต็ม]])*tbl_task5[[%]:[%]])</f>
        <v/>
      </c>
      <c r="GH14" s="121" t="str">
        <f>IF(ISBLANK(tbl_task5[[คะแนนเต็ม]:[คะแนนเต็ม]]),"",(tbl_task5[20]/tbl_task5[[คะแนนเต็ม]:[คะแนนเต็ม]])*tbl_task5[[%]:[%]])</f>
        <v/>
      </c>
      <c r="GI14" s="121" t="str">
        <f>IF(ISBLANK(tbl_task5[[คะแนนเต็ม]:[คะแนนเต็ม]]),"",(tbl_task5[21]/tbl_task5[[คะแนนเต็ม]:[คะแนนเต็ม]])*tbl_task5[[%]:[%]])</f>
        <v/>
      </c>
      <c r="GJ14" s="121" t="str">
        <f>IF(ISBLANK(tbl_task5[[คะแนนเต็ม]:[คะแนนเต็ม]]),"",(tbl_task5[22]/tbl_task5[[คะแนนเต็ม]:[คะแนนเต็ม]])*tbl_task5[[%]:[%]])</f>
        <v/>
      </c>
      <c r="GK14" s="121" t="str">
        <f>IF(ISBLANK(tbl_task5[[คะแนนเต็ม]:[คะแนนเต็ม]]),"",(tbl_task5[23]/tbl_task5[[คะแนนเต็ม]:[คะแนนเต็ม]])*tbl_task5[[%]:[%]])</f>
        <v/>
      </c>
      <c r="GL14" s="121" t="str">
        <f>IF(ISBLANK(tbl_task5[[คะแนนเต็ม]:[คะแนนเต็ม]]),"",(tbl_task5[24]/tbl_task5[[คะแนนเต็ม]:[คะแนนเต็ม]])*tbl_task5[[%]:[%]])</f>
        <v/>
      </c>
      <c r="GM14" s="121" t="str">
        <f>IF(ISBLANK(tbl_task5[[คะแนนเต็ม]:[คะแนนเต็ม]]),"",(tbl_task5[25]/tbl_task5[[คะแนนเต็ม]:[คะแนนเต็ม]])*tbl_task5[[%]:[%]])</f>
        <v/>
      </c>
      <c r="GN14" s="121" t="str">
        <f>IF(ISBLANK(tbl_task5[[คะแนนเต็ม]:[คะแนนเต็ม]]),"",(tbl_task5[26]/tbl_task5[[คะแนนเต็ม]:[คะแนนเต็ม]])*tbl_task5[[%]:[%]])</f>
        <v/>
      </c>
      <c r="GO14" s="121" t="str">
        <f>IF(ISBLANK(tbl_task5[[คะแนนเต็ม]:[คะแนนเต็ม]]),"",(tbl_task5[27]/tbl_task5[[คะแนนเต็ม]:[คะแนนเต็ม]])*tbl_task5[[%]:[%]])</f>
        <v/>
      </c>
      <c r="GP14" s="121" t="str">
        <f>IF(ISBLANK(tbl_task5[[คะแนนเต็ม]:[คะแนนเต็ม]]),"",(tbl_task5[28]/tbl_task5[[คะแนนเต็ม]:[คะแนนเต็ม]])*tbl_task5[[%]:[%]])</f>
        <v/>
      </c>
      <c r="GQ14" s="121" t="str">
        <f>IF(ISBLANK(tbl_task5[[คะแนนเต็ม]:[คะแนนเต็ม]]),"",(tbl_task5[29]/tbl_task5[[คะแนนเต็ม]:[คะแนนเต็ม]])*tbl_task5[[%]:[%]])</f>
        <v/>
      </c>
      <c r="GR14" s="121" t="str">
        <f>IF(ISBLANK(tbl_task5[[คะแนนเต็ม]:[คะแนนเต็ม]]),"",(tbl_task5[30]/tbl_task5[[คะแนนเต็ม]:[คะแนนเต็ม]])*tbl_task5[[%]:[%]])</f>
        <v/>
      </c>
      <c r="GS14" s="121" t="str">
        <f>IF(ISBLANK(tbl_task5[[คะแนนเต็ม]:[คะแนนเต็ม]]),"",(tbl_task5[31]/tbl_task5[[คะแนนเต็ม]:[คะแนนเต็ม]])*tbl_task5[[%]:[%]])</f>
        <v/>
      </c>
      <c r="GT14" s="121" t="str">
        <f>IF(ISBLANK(tbl_task5[[คะแนนเต็ม]:[คะแนนเต็ม]]),"",(tbl_task5[32]/tbl_task5[[คะแนนเต็ม]:[คะแนนเต็ม]])*tbl_task5[[%]:[%]])</f>
        <v/>
      </c>
      <c r="GU14" s="121" t="str">
        <f>IF(ISBLANK(tbl_task5[[คะแนนเต็ม]:[คะแนนเต็ม]]),"",(tbl_task5[33]/tbl_task5[[คะแนนเต็ม]:[คะแนนเต็ม]])*tbl_task5[[%]:[%]])</f>
        <v/>
      </c>
      <c r="GV14" s="121" t="str">
        <f>IF(ISBLANK(tbl_task5[[คะแนนเต็ม]:[คะแนนเต็ม]]),"",(tbl_task5[34]/tbl_task5[[คะแนนเต็ม]:[คะแนนเต็ม]])*tbl_task5[[%]:[%]])</f>
        <v/>
      </c>
      <c r="GW14" s="121" t="str">
        <f>IF(ISBLANK(tbl_task5[[คะแนนเต็ม]:[คะแนนเต็ม]]),"",(tbl_task5[35]/tbl_task5[[คะแนนเต็ม]:[คะแนนเต็ม]])*tbl_task5[[%]:[%]])</f>
        <v/>
      </c>
      <c r="GX14" s="121" t="str">
        <f>IF(ISBLANK(tbl_task5[[คะแนนเต็ม]:[คะแนนเต็ม]]),"",(tbl_task5[36]/tbl_task5[[คะแนนเต็ม]:[คะแนนเต็ม]])*tbl_task5[[%]:[%]])</f>
        <v/>
      </c>
      <c r="GY14" s="121" t="str">
        <f>IF(ISBLANK(tbl_task5[[คะแนนเต็ม]:[คะแนนเต็ม]]),"",(tbl_task5[37]/tbl_task5[[คะแนนเต็ม]:[คะแนนเต็ม]])*tbl_task5[[%]:[%]])</f>
        <v/>
      </c>
      <c r="GZ14" s="121" t="str">
        <f>IF(ISBLANK(tbl_task5[[คะแนนเต็ม]:[คะแนนเต็ม]]),"",(tbl_task5[38]/tbl_task5[[คะแนนเต็ม]:[คะแนนเต็ม]])*tbl_task5[[%]:[%]])</f>
        <v/>
      </c>
      <c r="HA14" s="121" t="str">
        <f>IF(ISBLANK(tbl_task5[[คะแนนเต็ม]:[คะแนนเต็ม]]),"",(tbl_task5[39]/tbl_task5[[คะแนนเต็ม]:[คะแนนเต็ม]])*tbl_task5[[%]:[%]])</f>
        <v/>
      </c>
      <c r="HB14" s="121" t="str">
        <f>IF(ISBLANK(tbl_task5[[คะแนนเต็ม]:[คะแนนเต็ม]]),"",(tbl_task5[40]/tbl_task5[[คะแนนเต็ม]:[คะแนนเต็ม]])*tbl_task5[[%]:[%]])</f>
        <v/>
      </c>
      <c r="HC14" s="121" t="str">
        <f>IF(ISBLANK(tbl_task5[[คะแนนเต็ม]:[คะแนนเต็ม]]),"",(tbl_task5[41]/tbl_task5[[คะแนนเต็ม]:[คะแนนเต็ม]])*tbl_task5[[%]:[%]])</f>
        <v/>
      </c>
      <c r="HD14" s="121" t="str">
        <f>IF(ISBLANK(tbl_task5[[คะแนนเต็ม]:[คะแนนเต็ม]]),"",(tbl_task5[42]/tbl_task5[[คะแนนเต็ม]:[คะแนนเต็ม]])*tbl_task5[[%]:[%]])</f>
        <v/>
      </c>
      <c r="HE14" s="121" t="str">
        <f>IF(ISBLANK(tbl_task5[[คะแนนเต็ม]:[คะแนนเต็ม]]),"",(tbl_task5[43]/tbl_task5[[คะแนนเต็ม]:[คะแนนเต็ม]])*tbl_task5[[%]:[%]])</f>
        <v/>
      </c>
      <c r="HF14" s="121" t="str">
        <f>IF(ISBLANK(tbl_task5[[คะแนนเต็ม]:[คะแนนเต็ม]]),"",(tbl_task5[44]/tbl_task5[[คะแนนเต็ม]:[คะแนนเต็ม]])*tbl_task5[[%]:[%]])</f>
        <v/>
      </c>
      <c r="HG14" s="121" t="str">
        <f>IF(ISBLANK(tbl_task5[[คะแนนเต็ม]:[คะแนนเต็ม]]),"",(tbl_task5[45]/tbl_task5[[คะแนนเต็ม]:[คะแนนเต็ม]])*tbl_task5[[%]:[%]])</f>
        <v/>
      </c>
      <c r="HH14" s="121" t="str">
        <f>IF(ISBLANK(tbl_task5[[คะแนนเต็ม]:[คะแนนเต็ม]]),"",(tbl_task5[46]/tbl_task5[[คะแนนเต็ม]:[คะแนนเต็ม]])*tbl_task5[[%]:[%]])</f>
        <v/>
      </c>
      <c r="HI14" s="121" t="str">
        <f>IF(ISBLANK(tbl_task5[[คะแนนเต็ม]:[คะแนนเต็ม]]),"",(tbl_task5[47]/tbl_task5[[คะแนนเต็ม]:[คะแนนเต็ม]])*tbl_task5[[%]:[%]])</f>
        <v/>
      </c>
      <c r="HJ14" s="121" t="str">
        <f>IF(ISBLANK(tbl_task5[[คะแนนเต็ม]:[คะแนนเต็ม]]),"",(tbl_task5[48]/tbl_task5[[คะแนนเต็ม]:[คะแนนเต็ม]])*tbl_task5[[%]:[%]])</f>
        <v/>
      </c>
      <c r="HK14" s="121" t="str">
        <f>IF(ISBLANK(tbl_task5[[คะแนนเต็ม]:[คะแนนเต็ม]]),"",(tbl_task5[49]/tbl_task5[[คะแนนเต็ม]:[คะแนนเต็ม]])*tbl_task5[[%]:[%]])</f>
        <v/>
      </c>
      <c r="HL14" s="121" t="str">
        <f>IF(ISBLANK(tbl_task5[[คะแนนเต็ม]:[คะแนนเต็ม]]),"",(tbl_task5[50]/tbl_task5[[คะแนนเต็ม]:[คะแนนเต็ม]])*tbl_task5[[%]:[%]])</f>
        <v/>
      </c>
      <c r="HM14" s="121" t="str">
        <f>IF(ISBLANK(tbl_task5[[คะแนนเต็ม]:[คะแนนเต็ม]]),"",(tbl_task5[51]/tbl_task5[[คะแนนเต็ม]:[คะแนนเต็ม]])*tbl_task5[[%]:[%]])</f>
        <v/>
      </c>
      <c r="HN14" s="121" t="str">
        <f>IF(ISBLANK(tbl_task5[[คะแนนเต็ม]:[คะแนนเต็ม]]),"",(tbl_task5[52]/tbl_task5[[คะแนนเต็ม]:[คะแนนเต็ม]])*tbl_task5[[%]:[%]])</f>
        <v/>
      </c>
      <c r="HO14" s="121" t="str">
        <f>IF(ISBLANK(tbl_task5[[คะแนนเต็ม]:[คะแนนเต็ม]]),"",(tbl_task5[53]/tbl_task5[[คะแนนเต็ม]:[คะแนนเต็ม]])*tbl_task5[[%]:[%]])</f>
        <v/>
      </c>
      <c r="HP14" s="121" t="str">
        <f>IF(ISBLANK(tbl_task5[[คะแนนเต็ม]:[คะแนนเต็ม]]),"",(tbl_task5[54]/tbl_task5[[คะแนนเต็ม]:[คะแนนเต็ม]])*tbl_task5[[%]:[%]])</f>
        <v/>
      </c>
      <c r="HQ14" s="121" t="str">
        <f>IF(ISBLANK(tbl_task5[[คะแนนเต็ม]:[คะแนนเต็ม]]),"",(tbl_task5[55]/tbl_task5[[คะแนนเต็ม]:[คะแนนเต็ม]])*tbl_task5[[%]:[%]])</f>
        <v/>
      </c>
      <c r="HR14" s="121" t="str">
        <f>IF(ISBLANK(tbl_task5[[คะแนนเต็ม]:[คะแนนเต็ม]]),"",(tbl_task5[56]/tbl_task5[[คะแนนเต็ม]:[คะแนนเต็ม]])*tbl_task5[[%]:[%]])</f>
        <v/>
      </c>
      <c r="HS14" s="121" t="str">
        <f>IF(ISBLANK(tbl_task5[[คะแนนเต็ม]:[คะแนนเต็ม]]),"",(tbl_task5[57]/tbl_task5[[คะแนนเต็ม]:[คะแนนเต็ม]])*tbl_task5[[%]:[%]])</f>
        <v/>
      </c>
      <c r="HT14" s="121" t="str">
        <f>IF(ISBLANK(tbl_task5[[คะแนนเต็ม]:[คะแนนเต็ม]]),"",(tbl_task5[58]/tbl_task5[[คะแนนเต็ม]:[คะแนนเต็ม]])*tbl_task5[[%]:[%]])</f>
        <v/>
      </c>
      <c r="HU14" s="121" t="str">
        <f>IF(ISBLANK(tbl_task5[[คะแนนเต็ม]:[คะแนนเต็ม]]),"",(tbl_task5[59]/tbl_task5[[คะแนนเต็ม]:[คะแนนเต็ม]])*tbl_task5[[%]:[%]])</f>
        <v/>
      </c>
      <c r="HV14" s="121" t="str">
        <f>IF(ISBLANK(tbl_task5[[คะแนนเต็ม]:[คะแนนเต็ม]]),"",(tbl_task5[60]/tbl_task5[[คะแนนเต็ม]:[คะแนนเต็ม]])*tbl_task5[[%]:[%]])</f>
        <v/>
      </c>
      <c r="HW14" s="121" t="str">
        <f>IF(ISBLANK(tbl_task5[[คะแนนเต็ม]:[คะแนนเต็ม]]),"",(tbl_task5[61]/tbl_task5[[คะแนนเต็ม]:[คะแนนเต็ม]])*tbl_task5[[%]:[%]])</f>
        <v/>
      </c>
      <c r="HX14" s="121" t="str">
        <f>IF(ISBLANK(tbl_task5[[คะแนนเต็ม]:[คะแนนเต็ม]]),"",(tbl_task5[62]/tbl_task5[[คะแนนเต็ม]:[คะแนนเต็ม]])*tbl_task5[[%]:[%]])</f>
        <v/>
      </c>
      <c r="HY14" s="121" t="str">
        <f>IF(ISBLANK(tbl_task5[[คะแนนเต็ม]:[คะแนนเต็ม]]),"",(tbl_task5[63]/tbl_task5[[คะแนนเต็ม]:[คะแนนเต็ม]])*tbl_task5[[%]:[%]])</f>
        <v/>
      </c>
      <c r="HZ14" s="121" t="str">
        <f>IF(ISBLANK(tbl_task5[[คะแนนเต็ม]:[คะแนนเต็ม]]),"",(tbl_task5[64]/tbl_task5[[คะแนนเต็ม]:[คะแนนเต็ม]])*tbl_task5[[%]:[%]])</f>
        <v/>
      </c>
      <c r="IA14" s="121" t="str">
        <f>IF(ISBLANK(tbl_task5[[คะแนนเต็ม]:[คะแนนเต็ม]]),"",(tbl_task5[65]/tbl_task5[[คะแนนเต็ม]:[คะแนนเต็ม]])*tbl_task5[[%]:[%]])</f>
        <v/>
      </c>
      <c r="IB14" s="121" t="str">
        <f>IF(ISBLANK(tbl_task5[[คะแนนเต็ม]:[คะแนนเต็ม]]),"",(tbl_task5[66]/tbl_task5[[คะแนนเต็ม]:[คะแนนเต็ม]])*tbl_task5[[%]:[%]])</f>
        <v/>
      </c>
      <c r="IC14" s="121" t="str">
        <f>IF(ISBLANK(tbl_task5[[คะแนนเต็ม]:[คะแนนเต็ม]]),"",(tbl_task5[67]/tbl_task5[[คะแนนเต็ม]:[คะแนนเต็ม]])*tbl_task5[[%]:[%]])</f>
        <v/>
      </c>
      <c r="ID14" s="121" t="str">
        <f>IF(ISBLANK(tbl_task5[[คะแนนเต็ม]:[คะแนนเต็ม]]),"",(tbl_task5[68]/tbl_task5[[คะแนนเต็ม]:[คะแนนเต็ม]])*tbl_task5[[%]:[%]])</f>
        <v/>
      </c>
      <c r="IE14" s="121" t="str">
        <f>IF(ISBLANK(tbl_task5[[คะแนนเต็ม]:[คะแนนเต็ม]]),"",(tbl_task5[69]/tbl_task5[[คะแนนเต็ม]:[คะแนนเต็ม]])*tbl_task5[[%]:[%]])</f>
        <v/>
      </c>
      <c r="IF14" s="121" t="str">
        <f>IF(ISBLANK(tbl_task5[[คะแนนเต็ม]:[คะแนนเต็ม]]),"",(tbl_task5[70]/tbl_task5[[คะแนนเต็ม]:[คะแนนเต็ม]])*tbl_task5[[%]:[%]])</f>
        <v/>
      </c>
      <c r="IG14" s="121" t="str">
        <f>IF(ISBLANK(tbl_task5[[คะแนนเต็ม]:[คะแนนเต็ม]]),"",(tbl_task5[71]/tbl_task5[[คะแนนเต็ม]:[คะแนนเต็ม]])*tbl_task5[[%]:[%]])</f>
        <v/>
      </c>
      <c r="IH14" s="121" t="str">
        <f>IF(ISBLANK(tbl_task5[[คะแนนเต็ม]:[คะแนนเต็ม]]),"",(tbl_task5[72]/tbl_task5[[คะแนนเต็ม]:[คะแนนเต็ม]])*tbl_task5[[%]:[%]])</f>
        <v/>
      </c>
      <c r="II14" s="121" t="str">
        <f>IF(ISBLANK(tbl_task5[[คะแนนเต็ม]:[คะแนนเต็ม]]),"",(tbl_task5[73]/tbl_task5[[คะแนนเต็ม]:[คะแนนเต็ม]])*tbl_task5[[%]:[%]])</f>
        <v/>
      </c>
      <c r="IJ14" s="121" t="str">
        <f>IF(ISBLANK(tbl_task5[[คะแนนเต็ม]:[คะแนนเต็ม]]),"",(tbl_task5[74]/tbl_task5[[คะแนนเต็ม]:[คะแนนเต็ม]])*tbl_task5[[%]:[%]])</f>
        <v/>
      </c>
      <c r="IK14" s="121" t="str">
        <f>IF(ISBLANK(tbl_task5[[คะแนนเต็ม]:[คะแนนเต็ม]]),"",(tbl_task5[75]/tbl_task5[[คะแนนเต็ม]:[คะแนนเต็ม]])*tbl_task5[[%]:[%]])</f>
        <v/>
      </c>
      <c r="IL14" s="121" t="str">
        <f>IF(ISBLANK(tbl_task5[[คะแนนเต็ม]:[คะแนนเต็ม]]),"",(tbl_task5[76]/tbl_task5[[คะแนนเต็ม]:[คะแนนเต็ม]])*tbl_task5[[%]:[%]])</f>
        <v/>
      </c>
      <c r="IM14" s="121" t="str">
        <f>IF(ISBLANK(tbl_task5[[คะแนนเต็ม]:[คะแนนเต็ม]]),"",(tbl_task5[77]/tbl_task5[[คะแนนเต็ม]:[คะแนนเต็ม]])*tbl_task5[[%]:[%]])</f>
        <v/>
      </c>
      <c r="IN14" s="121" t="str">
        <f>IF(ISBLANK(tbl_task5[[คะแนนเต็ม]:[คะแนนเต็ม]]),"",(tbl_task5[78]/tbl_task5[[คะแนนเต็ม]:[คะแนนเต็ม]])*tbl_task5[[%]:[%]])</f>
        <v/>
      </c>
      <c r="IO14" s="121" t="str">
        <f>IF(ISBLANK(tbl_task5[[คะแนนเต็ม]:[คะแนนเต็ม]]),"",(tbl_task5[79]/tbl_task5[[คะแนนเต็ม]:[คะแนนเต็ม]])*tbl_task5[[%]:[%]])</f>
        <v/>
      </c>
      <c r="IP14" s="121" t="str">
        <f>IF(ISBLANK(tbl_task5[[คะแนนเต็ม]:[คะแนนเต็ม]]),"",(tbl_task5[80]/tbl_task5[[คะแนนเต็ม]:[คะแนนเต็ม]])*tbl_task5[[%]:[%]])</f>
        <v/>
      </c>
      <c r="IQ14" s="121" t="str">
        <f>IF(ISBLANK(tbl_task5[[คะแนนเต็ม]:[คะแนนเต็ม]]),"",(tbl_task5[81]/tbl_task5[[คะแนนเต็ม]:[คะแนนเต็ม]])*tbl_task5[[%]:[%]])</f>
        <v/>
      </c>
      <c r="IR14" s="121" t="str">
        <f>IF(ISBLANK(tbl_task5[[คะแนนเต็ม]:[คะแนนเต็ม]]),"",(tbl_task5[82]/tbl_task5[[คะแนนเต็ม]:[คะแนนเต็ม]])*tbl_task5[[%]:[%]])</f>
        <v/>
      </c>
      <c r="IS14" s="121" t="str">
        <f>IF(ISBLANK(tbl_task5[[คะแนนเต็ม]:[คะแนนเต็ม]]),"",(tbl_task5[83]/tbl_task5[[คะแนนเต็ม]:[คะแนนเต็ม]])*tbl_task5[[%]:[%]])</f>
        <v/>
      </c>
      <c r="IT14" s="121" t="str">
        <f>IF(ISBLANK(tbl_task5[[คะแนนเต็ม]:[คะแนนเต็ม]]),"",(tbl_task5[84]/tbl_task5[[คะแนนเต็ม]:[คะแนนเต็ม]])*tbl_task5[[%]:[%]])</f>
        <v/>
      </c>
      <c r="IU14" s="121" t="str">
        <f>IF(ISBLANK(tbl_task5[[คะแนนเต็ม]:[คะแนนเต็ม]]),"",(tbl_task5[85]/tbl_task5[[คะแนนเต็ม]:[คะแนนเต็ม]])*tbl_task5[[%]:[%]])</f>
        <v/>
      </c>
      <c r="IV14" s="121" t="str">
        <f>IF(ISBLANK(tbl_task5[[คะแนนเต็ม]:[คะแนนเต็ม]]),"",(tbl_task5[86]/tbl_task5[[คะแนนเต็ม]:[คะแนนเต็ม]])*tbl_task5[[%]:[%]])</f>
        <v/>
      </c>
      <c r="IW14" s="121" t="str">
        <f>IF(ISBLANK(tbl_task5[[คะแนนเต็ม]:[คะแนนเต็ม]]),"",(tbl_task5[87]/tbl_task5[[คะแนนเต็ม]:[คะแนนเต็ม]])*tbl_task5[[%]:[%]])</f>
        <v/>
      </c>
      <c r="IX14" s="121" t="str">
        <f>IF(ISBLANK(tbl_task5[[คะแนนเต็ม]:[คะแนนเต็ม]]),"",(tbl_task5[88]/tbl_task5[[คะแนนเต็ม]:[คะแนนเต็ม]])*tbl_task5[[%]:[%]])</f>
        <v/>
      </c>
      <c r="IY14" s="121" t="str">
        <f>IF(ISBLANK(tbl_task5[[คะแนนเต็ม]:[คะแนนเต็ม]]),"",(tbl_task5[89]/tbl_task5[[คะแนนเต็ม]:[คะแนนเต็ม]])*tbl_task5[[%]:[%]])</f>
        <v/>
      </c>
      <c r="IZ14" s="121" t="str">
        <f>IF(ISBLANK(tbl_task5[[คะแนนเต็ม]:[คะแนนเต็ม]]),"",(tbl_task5[90]/tbl_task5[[คะแนนเต็ม]:[คะแนนเต็ม]])*tbl_task5[[%]:[%]])</f>
        <v/>
      </c>
      <c r="JA14" s="121" t="str">
        <f>IF(ISBLANK(tbl_task5[[คะแนนเต็ม]:[คะแนนเต็ม]]),"",(tbl_task5[91]/tbl_task5[[คะแนนเต็ม]:[คะแนนเต็ม]])*tbl_task5[[%]:[%]])</f>
        <v/>
      </c>
      <c r="JB14" s="121" t="str">
        <f>IF(ISBLANK(tbl_task5[[คะแนนเต็ม]:[คะแนนเต็ม]]),"",(tbl_task5[92]/tbl_task5[[คะแนนเต็ม]:[คะแนนเต็ม]])*tbl_task5[[%]:[%]])</f>
        <v/>
      </c>
      <c r="JC14" s="121" t="str">
        <f>IF(ISBLANK(tbl_task5[[คะแนนเต็ม]:[คะแนนเต็ม]]),"",(tbl_task5[93]/tbl_task5[[คะแนนเต็ม]:[คะแนนเต็ม]])*tbl_task5[[%]:[%]])</f>
        <v/>
      </c>
      <c r="JD14" s="121" t="str">
        <f>IF(ISBLANK(tbl_task5[[คะแนนเต็ม]:[คะแนนเต็ม]]),"",(tbl_task5[94]/tbl_task5[[คะแนนเต็ม]:[คะแนนเต็ม]])*tbl_task5[[%]:[%]])</f>
        <v/>
      </c>
      <c r="JE14" s="121" t="str">
        <f>IF(ISBLANK(tbl_task5[[คะแนนเต็ม]:[คะแนนเต็ม]]),"",(tbl_task5[95]/tbl_task5[[คะแนนเต็ม]:[คะแนนเต็ม]])*tbl_task5[[%]:[%]])</f>
        <v/>
      </c>
      <c r="JF14" s="121" t="str">
        <f>IF(ISBLANK(tbl_task5[[คะแนนเต็ม]:[คะแนนเต็ม]]),"",(tbl_task5[96]/tbl_task5[[คะแนนเต็ม]:[คะแนนเต็ม]])*tbl_task5[[%]:[%]])</f>
        <v/>
      </c>
      <c r="JG14" s="121" t="str">
        <f>IF(ISBLANK(tbl_task5[[คะแนนเต็ม]:[คะแนนเต็ม]]),"",(tbl_task5[97]/tbl_task5[[คะแนนเต็ม]:[คะแนนเต็ม]])*tbl_task5[[%]:[%]])</f>
        <v/>
      </c>
      <c r="JH14" s="121" t="str">
        <f>IF(ISBLANK(tbl_task5[[คะแนนเต็ม]:[คะแนนเต็ม]]),"",(tbl_task5[98]/tbl_task5[[คะแนนเต็ม]:[คะแนนเต็ม]])*tbl_task5[[%]:[%]])</f>
        <v/>
      </c>
      <c r="JI14" s="121" t="str">
        <f>IF(ISBLANK(tbl_task5[[คะแนนเต็ม]:[คะแนนเต็ม]]),"",(tbl_task5[99]/tbl_task5[[คะแนนเต็ม]:[คะแนนเต็ม]])*tbl_task5[[%]:[%]])</f>
        <v/>
      </c>
      <c r="JJ14" s="121" t="str">
        <f>IF(ISBLANK(tbl_task5[[คะแนนเต็ม]:[คะแนนเต็ม]]),"",(tbl_task5[100]/tbl_task5[[คะแนนเต็ม]:[คะแนนเต็ม]])*tbl_task5[[%]:[%]])</f>
        <v/>
      </c>
      <c r="JK14" s="121" t="str">
        <f>IF(ISBLANK(tbl_task5[[คะแนนเต็ม]:[คะแนนเต็ม]]),"",(tbl_task5[101]/tbl_task5[[คะแนนเต็ม]:[คะแนนเต็ม]])*tbl_task5[[%]:[%]])</f>
        <v/>
      </c>
      <c r="JL14" s="121" t="str">
        <f>IF(ISBLANK(tbl_task5[[คะแนนเต็ม]:[คะแนนเต็ม]]),"",(tbl_task5[102]/tbl_task5[[คะแนนเต็ม]:[คะแนนเต็ม]])*tbl_task5[[%]:[%]])</f>
        <v/>
      </c>
      <c r="JM14" s="121" t="str">
        <f>IF(ISBLANK(tbl_task5[[คะแนนเต็ม]:[คะแนนเต็ม]]),"",(tbl_task5[103]/tbl_task5[[คะแนนเต็ม]:[คะแนนเต็ม]])*tbl_task5[[%]:[%]])</f>
        <v/>
      </c>
      <c r="JN14" s="121" t="str">
        <f>IF(ISBLANK(tbl_task5[[คะแนนเต็ม]:[คะแนนเต็ม]]),"",(tbl_task5[104]/tbl_task5[[คะแนนเต็ม]:[คะแนนเต็ม]])*tbl_task5[[%]:[%]])</f>
        <v/>
      </c>
      <c r="JO14" s="121" t="str">
        <f>IF(ISBLANK(tbl_task5[[คะแนนเต็ม]:[คะแนนเต็ม]]),"",(tbl_task5[105]/tbl_task5[[คะแนนเต็ม]:[คะแนนเต็ม]])*tbl_task5[[%]:[%]])</f>
        <v/>
      </c>
      <c r="JP14" s="121" t="str">
        <f>IF(ISBLANK(tbl_task5[[คะแนนเต็ม]:[คะแนนเต็ม]]),"",(tbl_task5[106]/tbl_task5[[คะแนนเต็ม]:[คะแนนเต็ม]])*tbl_task5[[%]:[%]])</f>
        <v/>
      </c>
      <c r="JQ14" s="121" t="str">
        <f>IF(ISBLANK(tbl_task5[[คะแนนเต็ม]:[คะแนนเต็ม]]),"",(tbl_task5[107]/tbl_task5[[คะแนนเต็ม]:[คะแนนเต็ม]])*tbl_task5[[%]:[%]])</f>
        <v/>
      </c>
      <c r="JR14" s="121" t="str">
        <f>IF(ISBLANK(tbl_task5[[คะแนนเต็ม]:[คะแนนเต็ม]]),"",(tbl_task5[108]/tbl_task5[[คะแนนเต็ม]:[คะแนนเต็ม]])*tbl_task5[[%]:[%]])</f>
        <v/>
      </c>
      <c r="JS14" s="121" t="str">
        <f>IF(ISBLANK(tbl_task5[[คะแนนเต็ม]:[คะแนนเต็ม]]),"",(tbl_task5[109]/tbl_task5[[คะแนนเต็ม]:[คะแนนเต็ม]])*tbl_task5[[%]:[%]])</f>
        <v/>
      </c>
      <c r="JT14" s="121" t="str">
        <f>IF(ISBLANK(tbl_task5[[คะแนนเต็ม]:[คะแนนเต็ม]]),"",(tbl_task5[110]/tbl_task5[[คะแนนเต็ม]:[คะแนนเต็ม]])*tbl_task5[[%]:[%]])</f>
        <v/>
      </c>
      <c r="JU14" s="121" t="str">
        <f>IF(ISBLANK(tbl_task5[[คะแนนเต็ม]:[คะแนนเต็ม]]),"",(tbl_task5[111]/tbl_task5[[คะแนนเต็ม]:[คะแนนเต็ม]])*tbl_task5[[%]:[%]])</f>
        <v/>
      </c>
      <c r="JV14" s="121" t="str">
        <f>IF(ISBLANK(tbl_task5[[คะแนนเต็ม]:[คะแนนเต็ม]]),"",(tbl_task5[112]/tbl_task5[[คะแนนเต็ม]:[คะแนนเต็ม]])*tbl_task5[[%]:[%]])</f>
        <v/>
      </c>
      <c r="JW14" s="121" t="str">
        <f>IF(ISBLANK(tbl_task5[[คะแนนเต็ม]:[คะแนนเต็ม]]),"",(tbl_task5[113]/tbl_task5[[คะแนนเต็ม]:[คะแนนเต็ม]])*tbl_task5[[%]:[%]])</f>
        <v/>
      </c>
      <c r="JX14" s="121" t="str">
        <f>IF(ISBLANK(tbl_task5[[คะแนนเต็ม]:[คะแนนเต็ม]]),"",(tbl_task5[114]/tbl_task5[[คะแนนเต็ม]:[คะแนนเต็ม]])*tbl_task5[[%]:[%]])</f>
        <v/>
      </c>
      <c r="JY14" s="121" t="str">
        <f>IF(ISBLANK(tbl_task5[[คะแนนเต็ม]:[คะแนนเต็ม]]),"",(tbl_task5[115]/tbl_task5[[คะแนนเต็ม]:[คะแนนเต็ม]])*tbl_task5[[%]:[%]])</f>
        <v/>
      </c>
      <c r="JZ14" s="121" t="str">
        <f>IF(ISBLANK(tbl_task5[[คะแนนเต็ม]:[คะแนนเต็ม]]),"",(tbl_task5[116]/tbl_task5[[คะแนนเต็ม]:[คะแนนเต็ม]])*tbl_task5[[%]:[%]])</f>
        <v/>
      </c>
      <c r="KA14" s="121" t="str">
        <f>IF(ISBLANK(tbl_task5[[คะแนนเต็ม]:[คะแนนเต็ม]]),"",(tbl_task5[117]/tbl_task5[[คะแนนเต็ม]:[คะแนนเต็ม]])*tbl_task5[[%]:[%]])</f>
        <v/>
      </c>
      <c r="KB14" s="121" t="str">
        <f>IF(ISBLANK(tbl_task5[[คะแนนเต็ม]:[คะแนนเต็ม]]),"",(tbl_task5[118]/tbl_task5[[คะแนนเต็ม]:[คะแนนเต็ม]])*tbl_task5[[%]:[%]])</f>
        <v/>
      </c>
      <c r="KC14" s="121" t="str">
        <f>IF(ISBLANK(tbl_task5[[คะแนนเต็ม]:[คะแนนเต็ม]]),"",(tbl_task5[119]/tbl_task5[[คะแนนเต็ม]:[คะแนนเต็ม]])*tbl_task5[[%]:[%]])</f>
        <v/>
      </c>
      <c r="KD14" s="121" t="str">
        <f>IF(ISBLANK(tbl_task5[[คะแนนเต็ม]:[คะแนนเต็ม]]),"",(tbl_task5[120]/tbl_task5[[คะแนนเต็ม]:[คะแนนเต็ม]])*tbl_task5[[%]:[%]])</f>
        <v/>
      </c>
      <c r="KE14" s="121" t="str">
        <f>IF(ISBLANK(tbl_task5[[คะแนนเต็ม]:[คะแนนเต็ม]]),"",(tbl_task5[121]/tbl_task5[[คะแนนเต็ม]:[คะแนนเต็ม]])*tbl_task5[[%]:[%]])</f>
        <v/>
      </c>
      <c r="KF14" s="121" t="str">
        <f>IF(ISBLANK(tbl_task5[[คะแนนเต็ม]:[คะแนนเต็ม]]),"",(tbl_task5[122]/tbl_task5[[คะแนนเต็ม]:[คะแนนเต็ม]])*tbl_task5[[%]:[%]])</f>
        <v/>
      </c>
      <c r="KG14" s="121" t="str">
        <f>IF(ISBLANK(tbl_task5[[คะแนนเต็ม]:[คะแนนเต็ม]]),"",(tbl_task5[123]/tbl_task5[[คะแนนเต็ม]:[คะแนนเต็ม]])*tbl_task5[[%]:[%]])</f>
        <v/>
      </c>
      <c r="KH14" s="121" t="str">
        <f>IF(ISBLANK(tbl_task5[[คะแนนเต็ม]:[คะแนนเต็ม]]),"",(tbl_task5[124]/tbl_task5[[คะแนนเต็ม]:[คะแนนเต็ม]])*tbl_task5[[%]:[%]])</f>
        <v/>
      </c>
      <c r="KI14" s="121" t="str">
        <f>IF(ISBLANK(tbl_task5[[คะแนนเต็ม]:[คะแนนเต็ม]]),"",(tbl_task5[125]/tbl_task5[[คะแนนเต็ม]:[คะแนนเต็ม]])*tbl_task5[[%]:[%]])</f>
        <v/>
      </c>
      <c r="KJ14" s="121" t="str">
        <f>IF(ISBLANK(tbl_task5[[คะแนนเต็ม]:[คะแนนเต็ม]]),"",(tbl_task5[126]/tbl_task5[[คะแนนเต็ม]:[คะแนนเต็ม]])*tbl_task5[[%]:[%]])</f>
        <v/>
      </c>
      <c r="KK14" s="121" t="str">
        <f>IF(ISBLANK(tbl_task5[[คะแนนเต็ม]:[คะแนนเต็ม]]),"",(tbl_task5[127]/tbl_task5[[คะแนนเต็ม]:[คะแนนเต็ม]])*tbl_task5[[%]:[%]])</f>
        <v/>
      </c>
      <c r="KL14" s="121" t="str">
        <f>IF(ISBLANK(tbl_task5[[คะแนนเต็ม]:[คะแนนเต็ม]]),"",(tbl_task5[128]/tbl_task5[[คะแนนเต็ม]:[คะแนนเต็ม]])*tbl_task5[[%]:[%]])</f>
        <v/>
      </c>
      <c r="KM14" s="121" t="str">
        <f>IF(ISBLANK(tbl_task5[[คะแนนเต็ม]:[คะแนนเต็ม]]),"",(tbl_task5[129]/tbl_task5[[คะแนนเต็ม]:[คะแนนเต็ม]])*tbl_task5[[%]:[%]])</f>
        <v/>
      </c>
      <c r="KN14" s="121" t="str">
        <f>IF(ISBLANK(tbl_task5[[คะแนนเต็ม]:[คะแนนเต็ม]]),"",(tbl_task5[130]/tbl_task5[[คะแนนเต็ม]:[คะแนนเต็ม]])*tbl_task5[[%]:[%]])</f>
        <v/>
      </c>
      <c r="KO14" s="121" t="str">
        <f>IF(ISBLANK(tbl_task5[[คะแนนเต็ม]:[คะแนนเต็ม]]),"",(tbl_task5[131]/tbl_task5[[คะแนนเต็ม]:[คะแนนเต็ม]])*tbl_task5[[%]:[%]])</f>
        <v/>
      </c>
      <c r="KP14" s="121" t="str">
        <f>IF(ISBLANK(tbl_task5[[คะแนนเต็ม]:[คะแนนเต็ม]]),"",(tbl_task5[132]/tbl_task5[[คะแนนเต็ม]:[คะแนนเต็ม]])*tbl_task5[[%]:[%]])</f>
        <v/>
      </c>
      <c r="KQ14" s="121" t="str">
        <f>IF(ISBLANK(tbl_task5[[คะแนนเต็ม]:[คะแนนเต็ม]]),"",(tbl_task5[133]/tbl_task5[[คะแนนเต็ม]:[คะแนนเต็ม]])*tbl_task5[[%]:[%]])</f>
        <v/>
      </c>
      <c r="KR14" s="121" t="str">
        <f>IF(ISBLANK(tbl_task5[[คะแนนเต็ม]:[คะแนนเต็ม]]),"",(tbl_task5[134]/tbl_task5[[คะแนนเต็ม]:[คะแนนเต็ม]])*tbl_task5[[%]:[%]])</f>
        <v/>
      </c>
      <c r="KS14" s="121" t="str">
        <f>IF(ISBLANK(tbl_task5[[คะแนนเต็ม]:[คะแนนเต็ม]]),"",(tbl_task5[135]/tbl_task5[[คะแนนเต็ม]:[คะแนนเต็ม]])*tbl_task5[[%]:[%]])</f>
        <v/>
      </c>
      <c r="KT14" s="121" t="str">
        <f>IF(ISBLANK(tbl_task5[[คะแนนเต็ม]:[คะแนนเต็ม]]),"",(tbl_task5[136]/tbl_task5[[คะแนนเต็ม]:[คะแนนเต็ม]])*tbl_task5[[%]:[%]])</f>
        <v/>
      </c>
      <c r="KU14" s="121" t="str">
        <f>IF(ISBLANK(tbl_task5[[คะแนนเต็ม]:[คะแนนเต็ม]]),"",(tbl_task5[137]/tbl_task5[[คะแนนเต็ม]:[คะแนนเต็ม]])*tbl_task5[[%]:[%]])</f>
        <v/>
      </c>
      <c r="KV14" s="121" t="str">
        <f>IF(ISBLANK(tbl_task5[[คะแนนเต็ม]:[คะแนนเต็ม]]),"",(tbl_task5[138]/tbl_task5[[คะแนนเต็ม]:[คะแนนเต็ม]])*tbl_task5[[%]:[%]])</f>
        <v/>
      </c>
      <c r="KW14" s="121" t="str">
        <f>IF(ISBLANK(tbl_task5[[คะแนนเต็ม]:[คะแนนเต็ม]]),"",(tbl_task5[139]/tbl_task5[[คะแนนเต็ม]:[คะแนนเต็ม]])*tbl_task5[[%]:[%]])</f>
        <v/>
      </c>
      <c r="KX14" s="121" t="str">
        <f>IF(ISBLANK(tbl_task5[[คะแนนเต็ม]:[คะแนนเต็ม]]),"",(tbl_task5[140]/tbl_task5[[คะแนนเต็ม]:[คะแนนเต็ม]])*tbl_task5[[%]:[%]])</f>
        <v/>
      </c>
      <c r="KY14" s="121" t="str">
        <f>IF(ISBLANK(tbl_task5[[คะแนนเต็ม]:[คะแนนเต็ม]]),"",(tbl_task5[141]/tbl_task5[[คะแนนเต็ม]:[คะแนนเต็ม]])*tbl_task5[[%]:[%]])</f>
        <v/>
      </c>
      <c r="KZ14" s="121" t="str">
        <f>IF(ISBLANK(tbl_task5[[คะแนนเต็ม]:[คะแนนเต็ม]]),"",(tbl_task5[142]/tbl_task5[[คะแนนเต็ม]:[คะแนนเต็ม]])*tbl_task5[[%]:[%]])</f>
        <v/>
      </c>
      <c r="LA14" s="121" t="str">
        <f>IF(ISBLANK(tbl_task5[[คะแนนเต็ม]:[คะแนนเต็ม]]),"",(tbl_task5[143]/tbl_task5[[คะแนนเต็ม]:[คะแนนเต็ม]])*tbl_task5[[%]:[%]])</f>
        <v/>
      </c>
      <c r="LB14" s="121" t="str">
        <f>IF(ISBLANK(tbl_task5[[คะแนนเต็ม]:[คะแนนเต็ม]]),"",(tbl_task5[144]/tbl_task5[[คะแนนเต็ม]:[คะแนนเต็ม]])*tbl_task5[[%]:[%]])</f>
        <v/>
      </c>
      <c r="LC14" s="121" t="str">
        <f>IF(ISBLANK(tbl_task5[[คะแนนเต็ม]:[คะแนนเต็ม]]),"",(tbl_task5[145]/tbl_task5[[คะแนนเต็ม]:[คะแนนเต็ม]])*tbl_task5[[%]:[%]])</f>
        <v/>
      </c>
      <c r="LD14" s="121" t="str">
        <f>IF(ISBLANK(tbl_task5[[คะแนนเต็ม]:[คะแนนเต็ม]]),"",(tbl_task5[146]/tbl_task5[[คะแนนเต็ม]:[คะแนนเต็ม]])*tbl_task5[[%]:[%]])</f>
        <v/>
      </c>
      <c r="LE14" s="121" t="str">
        <f>IF(ISBLANK(tbl_task5[[คะแนนเต็ม]:[คะแนนเต็ม]]),"",(tbl_task5[147]/tbl_task5[[คะแนนเต็ม]:[คะแนนเต็ม]])*tbl_task5[[%]:[%]])</f>
        <v/>
      </c>
      <c r="LF14" s="121" t="str">
        <f>IF(ISBLANK(tbl_task5[[คะแนนเต็ม]:[คะแนนเต็ม]]),"",(tbl_task5[148]/tbl_task5[[คะแนนเต็ม]:[คะแนนเต็ม]])*tbl_task5[[%]:[%]])</f>
        <v/>
      </c>
      <c r="LG14" s="121" t="str">
        <f>IF(ISBLANK(tbl_task5[[คะแนนเต็ม]:[คะแนนเต็ม]]),"",(tbl_task5[149]/tbl_task5[[คะแนนเต็ม]:[คะแนนเต็ม]])*tbl_task5[[%]:[%]])</f>
        <v/>
      </c>
      <c r="LH14" s="121" t="str">
        <f>IF(ISBLANK(tbl_task5[[คะแนนเต็ม]:[คะแนนเต็ม]]),"",(tbl_task5[150]/tbl_task5[[คะแนนเต็ม]:[คะแนนเต็ม]])*tbl_task5[[%]:[%]])</f>
        <v/>
      </c>
      <c r="LI14" s="121" t="str">
        <f>IF(ISBLANK(tbl_task5[[คะแนนเต็ม]:[คะแนนเต็ม]]),"",(tbl_task5[151]/tbl_task5[[คะแนนเต็ม]:[คะแนนเต็ม]])*tbl_task5[[%]:[%]])</f>
        <v/>
      </c>
      <c r="LJ14" s="121" t="str">
        <f>IF(ISBLANK(tbl_task5[[คะแนนเต็ม]:[คะแนนเต็ม]]),"",(tbl_task5[152]/tbl_task5[[คะแนนเต็ม]:[คะแนนเต็ม]])*tbl_task5[[%]:[%]])</f>
        <v/>
      </c>
      <c r="LK14" s="121" t="str">
        <f>IF(ISBLANK(tbl_task5[[คะแนนเต็ม]:[คะแนนเต็ม]]),"",(tbl_task5[153]/tbl_task5[[คะแนนเต็ม]:[คะแนนเต็ม]])*tbl_task5[[%]:[%]])</f>
        <v/>
      </c>
      <c r="LL14" s="121" t="str">
        <f>IF(ISBLANK(tbl_task5[[คะแนนเต็ม]:[คะแนนเต็ม]]),"",(tbl_task5[154]/tbl_task5[[คะแนนเต็ม]:[คะแนนเต็ม]])*tbl_task5[[%]:[%]])</f>
        <v/>
      </c>
      <c r="LM14" s="121" t="str">
        <f>IF(ISBLANK(tbl_task5[[คะแนนเต็ม]:[คะแนนเต็ม]]),"",(tbl_task5[155]/tbl_task5[[คะแนนเต็ม]:[คะแนนเต็ม]])*tbl_task5[[%]:[%]])</f>
        <v/>
      </c>
      <c r="LN14" s="121" t="str">
        <f>IF(ISBLANK(tbl_task5[[คะแนนเต็ม]:[คะแนนเต็ม]]),"",(tbl_task5[156]/tbl_task5[[คะแนนเต็ม]:[คะแนนเต็ม]])*tbl_task5[[%]:[%]])</f>
        <v/>
      </c>
      <c r="LO14" s="121" t="str">
        <f>IF(ISBLANK(tbl_task5[[คะแนนเต็ม]:[คะแนนเต็ม]]),"",(tbl_task5[157]/tbl_task5[[คะแนนเต็ม]:[คะแนนเต็ม]])*tbl_task5[[%]:[%]])</f>
        <v/>
      </c>
      <c r="LP14" s="121" t="str">
        <f>IF(ISBLANK(tbl_task5[[คะแนนเต็ม]:[คะแนนเต็ม]]),"",(tbl_task5[158]/tbl_task5[[คะแนนเต็ม]:[คะแนนเต็ม]])*tbl_task5[[%]:[%]])</f>
        <v/>
      </c>
      <c r="LQ14" s="121" t="str">
        <f>IF(ISBLANK(tbl_task5[[คะแนนเต็ม]:[คะแนนเต็ม]]),"",(tbl_task5[159]/tbl_task5[[คะแนนเต็ม]:[คะแนนเต็ม]])*tbl_task5[[%]:[%]])</f>
        <v/>
      </c>
      <c r="LR14" s="121" t="str">
        <f>IF(ISBLANK(tbl_task5[[คะแนนเต็ม]:[คะแนนเต็ม]]),"",(tbl_task5[160]/tbl_task5[[คะแนนเต็ม]:[คะแนนเต็ม]])*tbl_task5[[%]:[%]])</f>
        <v/>
      </c>
      <c r="LS14" s="121" t="str">
        <f>IF(ISBLANK(tbl_task5[[คะแนนเต็ม]:[คะแนนเต็ม]]),"",(tbl_task5[161]/tbl_task5[[คะแนนเต็ม]:[คะแนนเต็ม]])*tbl_task5[[%]:[%]])</f>
        <v/>
      </c>
      <c r="LT14" s="121" t="str">
        <f>IF(ISBLANK(tbl_task5[[คะแนนเต็ม]:[คะแนนเต็ม]]),"",(tbl_task5[162]/tbl_task5[[คะแนนเต็ม]:[คะแนนเต็ม]])*tbl_task5[[%]:[%]])</f>
        <v/>
      </c>
      <c r="LU14" s="121" t="str">
        <f>IF(ISBLANK(tbl_task5[[คะแนนเต็ม]:[คะแนนเต็ม]]),"",(tbl_task5[163]/tbl_task5[[คะแนนเต็ม]:[คะแนนเต็ม]])*tbl_task5[[%]:[%]])</f>
        <v/>
      </c>
      <c r="LV14" s="121" t="str">
        <f>IF(ISBLANK(tbl_task5[[คะแนนเต็ม]:[คะแนนเต็ม]]),"",(tbl_task5[164]/tbl_task5[[คะแนนเต็ม]:[คะแนนเต็ม]])*tbl_task5[[%]:[%]])</f>
        <v/>
      </c>
      <c r="LW14" s="121" t="str">
        <f>IF(ISBLANK(tbl_task5[[คะแนนเต็ม]:[คะแนนเต็ม]]),"",(tbl_task5[165]/tbl_task5[[คะแนนเต็ม]:[คะแนนเต็ม]])*tbl_task5[[%]:[%]])</f>
        <v/>
      </c>
    </row>
    <row r="15" spans="1:335" ht="24" customHeight="1" x14ac:dyDescent="0.25">
      <c r="A15" s="24">
        <v>12</v>
      </c>
      <c r="B15" s="20"/>
      <c r="C15" s="5" t="str">
        <f>IF(ISBLANK(B15),"",VLOOKUP(B15,tbl_PLOs[],2,0))</f>
        <v/>
      </c>
      <c r="D15" s="102"/>
      <c r="E15" s="106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121" t="str">
        <f>IF(ISBLANK(tbl_task5[[คะแนนเต็ม]:[คะแนนเต็ม]]),"",(tbl_task5[1]/tbl_task5[[คะแนนเต็ม]:[คะแนนเต็ม]])*tbl_task5[[%]:[%]])</f>
        <v/>
      </c>
      <c r="FP15" s="121" t="str">
        <f>IF(ISBLANK(tbl_task5[[คะแนนเต็ม]:[คะแนนเต็ม]]),"",(tbl_task5[2]/tbl_task5[[คะแนนเต็ม]:[คะแนนเต็ม]])*tbl_task5[[%]:[%]])</f>
        <v/>
      </c>
      <c r="FQ15" s="121" t="str">
        <f>IF(ISBLANK(tbl_task5[[คะแนนเต็ม]:[คะแนนเต็ม]]),"",(tbl_task5[3]/tbl_task5[[คะแนนเต็ม]:[คะแนนเต็ม]])*tbl_task5[[%]:[%]])</f>
        <v/>
      </c>
      <c r="FR15" s="121" t="str">
        <f>IF(ISBLANK(tbl_task5[[คะแนนเต็ม]:[คะแนนเต็ม]]),"",(tbl_task5[4]/tbl_task5[[คะแนนเต็ม]:[คะแนนเต็ม]])*tbl_task5[[%]:[%]])</f>
        <v/>
      </c>
      <c r="FS15" s="121" t="str">
        <f>IF(ISBLANK(tbl_task5[[คะแนนเต็ม]:[คะแนนเต็ม]]),"",(tbl_task5[5]/tbl_task5[[คะแนนเต็ม]:[คะแนนเต็ม]])*tbl_task5[[%]:[%]])</f>
        <v/>
      </c>
      <c r="FT15" s="121" t="str">
        <f>IF(ISBLANK(tbl_task5[[คะแนนเต็ม]:[คะแนนเต็ม]]),"",(tbl_task5[6]/tbl_task5[[คะแนนเต็ม]:[คะแนนเต็ม]])*tbl_task5[[%]:[%]])</f>
        <v/>
      </c>
      <c r="FU15" s="121" t="str">
        <f>IF(ISBLANK(tbl_task5[[คะแนนเต็ม]:[คะแนนเต็ม]]),"",(tbl_task5[7]/tbl_task5[[คะแนนเต็ม]:[คะแนนเต็ม]])*tbl_task5[[%]:[%]])</f>
        <v/>
      </c>
      <c r="FV15" s="121" t="str">
        <f>IF(ISBLANK(tbl_task5[[คะแนนเต็ม]:[คะแนนเต็ม]]),"",(tbl_task5[8]/tbl_task5[[คะแนนเต็ม]:[คะแนนเต็ม]])*tbl_task5[[%]:[%]])</f>
        <v/>
      </c>
      <c r="FW15" s="121" t="str">
        <f>IF(ISBLANK(tbl_task5[[คะแนนเต็ม]:[คะแนนเต็ม]]),"",(tbl_task5[9]/tbl_task5[[คะแนนเต็ม]:[คะแนนเต็ม]])*tbl_task5[[%]:[%]])</f>
        <v/>
      </c>
      <c r="FX15" s="121" t="str">
        <f>IF(ISBLANK(tbl_task5[[คะแนนเต็ม]:[คะแนนเต็ม]]),"",(tbl_task5[10]/tbl_task5[[คะแนนเต็ม]:[คะแนนเต็ม]])*tbl_task5[[%]:[%]])</f>
        <v/>
      </c>
      <c r="FY15" s="121" t="str">
        <f>IF(ISBLANK(tbl_task5[[คะแนนเต็ม]:[คะแนนเต็ม]]),"",(tbl_task5[11]/tbl_task5[[คะแนนเต็ม]:[คะแนนเต็ม]])*tbl_task5[[%]:[%]])</f>
        <v/>
      </c>
      <c r="FZ15" s="121" t="str">
        <f>IF(ISBLANK(tbl_task5[[คะแนนเต็ม]:[คะแนนเต็ม]]),"",(tbl_task5[12]/tbl_task5[[คะแนนเต็ม]:[คะแนนเต็ม]])*tbl_task5[[%]:[%]])</f>
        <v/>
      </c>
      <c r="GA15" s="121" t="str">
        <f>IF(ISBLANK(tbl_task5[[คะแนนเต็ม]:[คะแนนเต็ม]]),"",(tbl_task5[13]/tbl_task5[[คะแนนเต็ม]:[คะแนนเต็ม]])*tbl_task5[[%]:[%]])</f>
        <v/>
      </c>
      <c r="GB15" s="121" t="str">
        <f>IF(ISBLANK(tbl_task5[[คะแนนเต็ม]:[คะแนนเต็ม]]),"",(tbl_task5[14]/tbl_task5[[คะแนนเต็ม]:[คะแนนเต็ม]])*tbl_task5[[%]:[%]])</f>
        <v/>
      </c>
      <c r="GC15" s="121" t="str">
        <f>IF(ISBLANK(tbl_task5[[คะแนนเต็ม]:[คะแนนเต็ม]]),"",(tbl_task5[15]/tbl_task5[[คะแนนเต็ม]:[คะแนนเต็ม]])*tbl_task5[[%]:[%]])</f>
        <v/>
      </c>
      <c r="GD15" s="121" t="str">
        <f>IF(ISBLANK(tbl_task5[[คะแนนเต็ม]:[คะแนนเต็ม]]),"",(tbl_task5[16]/tbl_task5[[คะแนนเต็ม]:[คะแนนเต็ม]])*tbl_task5[[%]:[%]])</f>
        <v/>
      </c>
      <c r="GE15" s="121" t="str">
        <f>IF(ISBLANK(tbl_task5[[คะแนนเต็ม]:[คะแนนเต็ม]]),"",(tbl_task5[17]/tbl_task5[[คะแนนเต็ม]:[คะแนนเต็ม]])*tbl_task5[[%]:[%]])</f>
        <v/>
      </c>
      <c r="GF15" s="121" t="str">
        <f>IF(ISBLANK(tbl_task5[[คะแนนเต็ม]:[คะแนนเต็ม]]),"",(tbl_task5[18]/tbl_task5[[คะแนนเต็ม]:[คะแนนเต็ม]])*tbl_task5[[%]:[%]])</f>
        <v/>
      </c>
      <c r="GG15" s="121" t="str">
        <f>IF(ISBLANK(tbl_task5[[คะแนนเต็ม]:[คะแนนเต็ม]]),"",(tbl_task5[19]/tbl_task5[[คะแนนเต็ม]:[คะแนนเต็ม]])*tbl_task5[[%]:[%]])</f>
        <v/>
      </c>
      <c r="GH15" s="121" t="str">
        <f>IF(ISBLANK(tbl_task5[[คะแนนเต็ม]:[คะแนนเต็ม]]),"",(tbl_task5[20]/tbl_task5[[คะแนนเต็ม]:[คะแนนเต็ม]])*tbl_task5[[%]:[%]])</f>
        <v/>
      </c>
      <c r="GI15" s="121" t="str">
        <f>IF(ISBLANK(tbl_task5[[คะแนนเต็ม]:[คะแนนเต็ม]]),"",(tbl_task5[21]/tbl_task5[[คะแนนเต็ม]:[คะแนนเต็ม]])*tbl_task5[[%]:[%]])</f>
        <v/>
      </c>
      <c r="GJ15" s="121" t="str">
        <f>IF(ISBLANK(tbl_task5[[คะแนนเต็ม]:[คะแนนเต็ม]]),"",(tbl_task5[22]/tbl_task5[[คะแนนเต็ม]:[คะแนนเต็ม]])*tbl_task5[[%]:[%]])</f>
        <v/>
      </c>
      <c r="GK15" s="121" t="str">
        <f>IF(ISBLANK(tbl_task5[[คะแนนเต็ม]:[คะแนนเต็ม]]),"",(tbl_task5[23]/tbl_task5[[คะแนนเต็ม]:[คะแนนเต็ม]])*tbl_task5[[%]:[%]])</f>
        <v/>
      </c>
      <c r="GL15" s="121" t="str">
        <f>IF(ISBLANK(tbl_task5[[คะแนนเต็ม]:[คะแนนเต็ม]]),"",(tbl_task5[24]/tbl_task5[[คะแนนเต็ม]:[คะแนนเต็ม]])*tbl_task5[[%]:[%]])</f>
        <v/>
      </c>
      <c r="GM15" s="121" t="str">
        <f>IF(ISBLANK(tbl_task5[[คะแนนเต็ม]:[คะแนนเต็ม]]),"",(tbl_task5[25]/tbl_task5[[คะแนนเต็ม]:[คะแนนเต็ม]])*tbl_task5[[%]:[%]])</f>
        <v/>
      </c>
      <c r="GN15" s="121" t="str">
        <f>IF(ISBLANK(tbl_task5[[คะแนนเต็ม]:[คะแนนเต็ม]]),"",(tbl_task5[26]/tbl_task5[[คะแนนเต็ม]:[คะแนนเต็ม]])*tbl_task5[[%]:[%]])</f>
        <v/>
      </c>
      <c r="GO15" s="121" t="str">
        <f>IF(ISBLANK(tbl_task5[[คะแนนเต็ม]:[คะแนนเต็ม]]),"",(tbl_task5[27]/tbl_task5[[คะแนนเต็ม]:[คะแนนเต็ม]])*tbl_task5[[%]:[%]])</f>
        <v/>
      </c>
      <c r="GP15" s="121" t="str">
        <f>IF(ISBLANK(tbl_task5[[คะแนนเต็ม]:[คะแนนเต็ม]]),"",(tbl_task5[28]/tbl_task5[[คะแนนเต็ม]:[คะแนนเต็ม]])*tbl_task5[[%]:[%]])</f>
        <v/>
      </c>
      <c r="GQ15" s="121" t="str">
        <f>IF(ISBLANK(tbl_task5[[คะแนนเต็ม]:[คะแนนเต็ม]]),"",(tbl_task5[29]/tbl_task5[[คะแนนเต็ม]:[คะแนนเต็ม]])*tbl_task5[[%]:[%]])</f>
        <v/>
      </c>
      <c r="GR15" s="121" t="str">
        <f>IF(ISBLANK(tbl_task5[[คะแนนเต็ม]:[คะแนนเต็ม]]),"",(tbl_task5[30]/tbl_task5[[คะแนนเต็ม]:[คะแนนเต็ม]])*tbl_task5[[%]:[%]])</f>
        <v/>
      </c>
      <c r="GS15" s="121" t="str">
        <f>IF(ISBLANK(tbl_task5[[คะแนนเต็ม]:[คะแนนเต็ม]]),"",(tbl_task5[31]/tbl_task5[[คะแนนเต็ม]:[คะแนนเต็ม]])*tbl_task5[[%]:[%]])</f>
        <v/>
      </c>
      <c r="GT15" s="121" t="str">
        <f>IF(ISBLANK(tbl_task5[[คะแนนเต็ม]:[คะแนนเต็ม]]),"",(tbl_task5[32]/tbl_task5[[คะแนนเต็ม]:[คะแนนเต็ม]])*tbl_task5[[%]:[%]])</f>
        <v/>
      </c>
      <c r="GU15" s="121" t="str">
        <f>IF(ISBLANK(tbl_task5[[คะแนนเต็ม]:[คะแนนเต็ม]]),"",(tbl_task5[33]/tbl_task5[[คะแนนเต็ม]:[คะแนนเต็ม]])*tbl_task5[[%]:[%]])</f>
        <v/>
      </c>
      <c r="GV15" s="121" t="str">
        <f>IF(ISBLANK(tbl_task5[[คะแนนเต็ม]:[คะแนนเต็ม]]),"",(tbl_task5[34]/tbl_task5[[คะแนนเต็ม]:[คะแนนเต็ม]])*tbl_task5[[%]:[%]])</f>
        <v/>
      </c>
      <c r="GW15" s="121" t="str">
        <f>IF(ISBLANK(tbl_task5[[คะแนนเต็ม]:[คะแนนเต็ม]]),"",(tbl_task5[35]/tbl_task5[[คะแนนเต็ม]:[คะแนนเต็ม]])*tbl_task5[[%]:[%]])</f>
        <v/>
      </c>
      <c r="GX15" s="121" t="str">
        <f>IF(ISBLANK(tbl_task5[[คะแนนเต็ม]:[คะแนนเต็ม]]),"",(tbl_task5[36]/tbl_task5[[คะแนนเต็ม]:[คะแนนเต็ม]])*tbl_task5[[%]:[%]])</f>
        <v/>
      </c>
      <c r="GY15" s="121" t="str">
        <f>IF(ISBLANK(tbl_task5[[คะแนนเต็ม]:[คะแนนเต็ม]]),"",(tbl_task5[37]/tbl_task5[[คะแนนเต็ม]:[คะแนนเต็ม]])*tbl_task5[[%]:[%]])</f>
        <v/>
      </c>
      <c r="GZ15" s="121" t="str">
        <f>IF(ISBLANK(tbl_task5[[คะแนนเต็ม]:[คะแนนเต็ม]]),"",(tbl_task5[38]/tbl_task5[[คะแนนเต็ม]:[คะแนนเต็ม]])*tbl_task5[[%]:[%]])</f>
        <v/>
      </c>
      <c r="HA15" s="121" t="str">
        <f>IF(ISBLANK(tbl_task5[[คะแนนเต็ม]:[คะแนนเต็ม]]),"",(tbl_task5[39]/tbl_task5[[คะแนนเต็ม]:[คะแนนเต็ม]])*tbl_task5[[%]:[%]])</f>
        <v/>
      </c>
      <c r="HB15" s="121" t="str">
        <f>IF(ISBLANK(tbl_task5[[คะแนนเต็ม]:[คะแนนเต็ม]]),"",(tbl_task5[40]/tbl_task5[[คะแนนเต็ม]:[คะแนนเต็ม]])*tbl_task5[[%]:[%]])</f>
        <v/>
      </c>
      <c r="HC15" s="121" t="str">
        <f>IF(ISBLANK(tbl_task5[[คะแนนเต็ม]:[คะแนนเต็ม]]),"",(tbl_task5[41]/tbl_task5[[คะแนนเต็ม]:[คะแนนเต็ม]])*tbl_task5[[%]:[%]])</f>
        <v/>
      </c>
      <c r="HD15" s="121" t="str">
        <f>IF(ISBLANK(tbl_task5[[คะแนนเต็ม]:[คะแนนเต็ม]]),"",(tbl_task5[42]/tbl_task5[[คะแนนเต็ม]:[คะแนนเต็ม]])*tbl_task5[[%]:[%]])</f>
        <v/>
      </c>
      <c r="HE15" s="121" t="str">
        <f>IF(ISBLANK(tbl_task5[[คะแนนเต็ม]:[คะแนนเต็ม]]),"",(tbl_task5[43]/tbl_task5[[คะแนนเต็ม]:[คะแนนเต็ม]])*tbl_task5[[%]:[%]])</f>
        <v/>
      </c>
      <c r="HF15" s="121" t="str">
        <f>IF(ISBLANK(tbl_task5[[คะแนนเต็ม]:[คะแนนเต็ม]]),"",(tbl_task5[44]/tbl_task5[[คะแนนเต็ม]:[คะแนนเต็ม]])*tbl_task5[[%]:[%]])</f>
        <v/>
      </c>
      <c r="HG15" s="121" t="str">
        <f>IF(ISBLANK(tbl_task5[[คะแนนเต็ม]:[คะแนนเต็ม]]),"",(tbl_task5[45]/tbl_task5[[คะแนนเต็ม]:[คะแนนเต็ม]])*tbl_task5[[%]:[%]])</f>
        <v/>
      </c>
      <c r="HH15" s="121" t="str">
        <f>IF(ISBLANK(tbl_task5[[คะแนนเต็ม]:[คะแนนเต็ม]]),"",(tbl_task5[46]/tbl_task5[[คะแนนเต็ม]:[คะแนนเต็ม]])*tbl_task5[[%]:[%]])</f>
        <v/>
      </c>
      <c r="HI15" s="121" t="str">
        <f>IF(ISBLANK(tbl_task5[[คะแนนเต็ม]:[คะแนนเต็ม]]),"",(tbl_task5[47]/tbl_task5[[คะแนนเต็ม]:[คะแนนเต็ม]])*tbl_task5[[%]:[%]])</f>
        <v/>
      </c>
      <c r="HJ15" s="121" t="str">
        <f>IF(ISBLANK(tbl_task5[[คะแนนเต็ม]:[คะแนนเต็ม]]),"",(tbl_task5[48]/tbl_task5[[คะแนนเต็ม]:[คะแนนเต็ม]])*tbl_task5[[%]:[%]])</f>
        <v/>
      </c>
      <c r="HK15" s="121" t="str">
        <f>IF(ISBLANK(tbl_task5[[คะแนนเต็ม]:[คะแนนเต็ม]]),"",(tbl_task5[49]/tbl_task5[[คะแนนเต็ม]:[คะแนนเต็ม]])*tbl_task5[[%]:[%]])</f>
        <v/>
      </c>
      <c r="HL15" s="121" t="str">
        <f>IF(ISBLANK(tbl_task5[[คะแนนเต็ม]:[คะแนนเต็ม]]),"",(tbl_task5[50]/tbl_task5[[คะแนนเต็ม]:[คะแนนเต็ม]])*tbl_task5[[%]:[%]])</f>
        <v/>
      </c>
      <c r="HM15" s="121" t="str">
        <f>IF(ISBLANK(tbl_task5[[คะแนนเต็ม]:[คะแนนเต็ม]]),"",(tbl_task5[51]/tbl_task5[[คะแนนเต็ม]:[คะแนนเต็ม]])*tbl_task5[[%]:[%]])</f>
        <v/>
      </c>
      <c r="HN15" s="121" t="str">
        <f>IF(ISBLANK(tbl_task5[[คะแนนเต็ม]:[คะแนนเต็ม]]),"",(tbl_task5[52]/tbl_task5[[คะแนนเต็ม]:[คะแนนเต็ม]])*tbl_task5[[%]:[%]])</f>
        <v/>
      </c>
      <c r="HO15" s="121" t="str">
        <f>IF(ISBLANK(tbl_task5[[คะแนนเต็ม]:[คะแนนเต็ม]]),"",(tbl_task5[53]/tbl_task5[[คะแนนเต็ม]:[คะแนนเต็ม]])*tbl_task5[[%]:[%]])</f>
        <v/>
      </c>
      <c r="HP15" s="121" t="str">
        <f>IF(ISBLANK(tbl_task5[[คะแนนเต็ม]:[คะแนนเต็ม]]),"",(tbl_task5[54]/tbl_task5[[คะแนนเต็ม]:[คะแนนเต็ม]])*tbl_task5[[%]:[%]])</f>
        <v/>
      </c>
      <c r="HQ15" s="121" t="str">
        <f>IF(ISBLANK(tbl_task5[[คะแนนเต็ม]:[คะแนนเต็ม]]),"",(tbl_task5[55]/tbl_task5[[คะแนนเต็ม]:[คะแนนเต็ม]])*tbl_task5[[%]:[%]])</f>
        <v/>
      </c>
      <c r="HR15" s="121" t="str">
        <f>IF(ISBLANK(tbl_task5[[คะแนนเต็ม]:[คะแนนเต็ม]]),"",(tbl_task5[56]/tbl_task5[[คะแนนเต็ม]:[คะแนนเต็ม]])*tbl_task5[[%]:[%]])</f>
        <v/>
      </c>
      <c r="HS15" s="121" t="str">
        <f>IF(ISBLANK(tbl_task5[[คะแนนเต็ม]:[คะแนนเต็ม]]),"",(tbl_task5[57]/tbl_task5[[คะแนนเต็ม]:[คะแนนเต็ม]])*tbl_task5[[%]:[%]])</f>
        <v/>
      </c>
      <c r="HT15" s="121" t="str">
        <f>IF(ISBLANK(tbl_task5[[คะแนนเต็ม]:[คะแนนเต็ม]]),"",(tbl_task5[58]/tbl_task5[[คะแนนเต็ม]:[คะแนนเต็ม]])*tbl_task5[[%]:[%]])</f>
        <v/>
      </c>
      <c r="HU15" s="121" t="str">
        <f>IF(ISBLANK(tbl_task5[[คะแนนเต็ม]:[คะแนนเต็ม]]),"",(tbl_task5[59]/tbl_task5[[คะแนนเต็ม]:[คะแนนเต็ม]])*tbl_task5[[%]:[%]])</f>
        <v/>
      </c>
      <c r="HV15" s="121" t="str">
        <f>IF(ISBLANK(tbl_task5[[คะแนนเต็ม]:[คะแนนเต็ม]]),"",(tbl_task5[60]/tbl_task5[[คะแนนเต็ม]:[คะแนนเต็ม]])*tbl_task5[[%]:[%]])</f>
        <v/>
      </c>
      <c r="HW15" s="121" t="str">
        <f>IF(ISBLANK(tbl_task5[[คะแนนเต็ม]:[คะแนนเต็ม]]),"",(tbl_task5[61]/tbl_task5[[คะแนนเต็ม]:[คะแนนเต็ม]])*tbl_task5[[%]:[%]])</f>
        <v/>
      </c>
      <c r="HX15" s="121" t="str">
        <f>IF(ISBLANK(tbl_task5[[คะแนนเต็ม]:[คะแนนเต็ม]]),"",(tbl_task5[62]/tbl_task5[[คะแนนเต็ม]:[คะแนนเต็ม]])*tbl_task5[[%]:[%]])</f>
        <v/>
      </c>
      <c r="HY15" s="121" t="str">
        <f>IF(ISBLANK(tbl_task5[[คะแนนเต็ม]:[คะแนนเต็ม]]),"",(tbl_task5[63]/tbl_task5[[คะแนนเต็ม]:[คะแนนเต็ม]])*tbl_task5[[%]:[%]])</f>
        <v/>
      </c>
      <c r="HZ15" s="121" t="str">
        <f>IF(ISBLANK(tbl_task5[[คะแนนเต็ม]:[คะแนนเต็ม]]),"",(tbl_task5[64]/tbl_task5[[คะแนนเต็ม]:[คะแนนเต็ม]])*tbl_task5[[%]:[%]])</f>
        <v/>
      </c>
      <c r="IA15" s="121" t="str">
        <f>IF(ISBLANK(tbl_task5[[คะแนนเต็ม]:[คะแนนเต็ม]]),"",(tbl_task5[65]/tbl_task5[[คะแนนเต็ม]:[คะแนนเต็ม]])*tbl_task5[[%]:[%]])</f>
        <v/>
      </c>
      <c r="IB15" s="121" t="str">
        <f>IF(ISBLANK(tbl_task5[[คะแนนเต็ม]:[คะแนนเต็ม]]),"",(tbl_task5[66]/tbl_task5[[คะแนนเต็ม]:[คะแนนเต็ม]])*tbl_task5[[%]:[%]])</f>
        <v/>
      </c>
      <c r="IC15" s="121" t="str">
        <f>IF(ISBLANK(tbl_task5[[คะแนนเต็ม]:[คะแนนเต็ม]]),"",(tbl_task5[67]/tbl_task5[[คะแนนเต็ม]:[คะแนนเต็ม]])*tbl_task5[[%]:[%]])</f>
        <v/>
      </c>
      <c r="ID15" s="121" t="str">
        <f>IF(ISBLANK(tbl_task5[[คะแนนเต็ม]:[คะแนนเต็ม]]),"",(tbl_task5[68]/tbl_task5[[คะแนนเต็ม]:[คะแนนเต็ม]])*tbl_task5[[%]:[%]])</f>
        <v/>
      </c>
      <c r="IE15" s="121" t="str">
        <f>IF(ISBLANK(tbl_task5[[คะแนนเต็ม]:[คะแนนเต็ม]]),"",(tbl_task5[69]/tbl_task5[[คะแนนเต็ม]:[คะแนนเต็ม]])*tbl_task5[[%]:[%]])</f>
        <v/>
      </c>
      <c r="IF15" s="121" t="str">
        <f>IF(ISBLANK(tbl_task5[[คะแนนเต็ม]:[คะแนนเต็ม]]),"",(tbl_task5[70]/tbl_task5[[คะแนนเต็ม]:[คะแนนเต็ม]])*tbl_task5[[%]:[%]])</f>
        <v/>
      </c>
      <c r="IG15" s="121" t="str">
        <f>IF(ISBLANK(tbl_task5[[คะแนนเต็ม]:[คะแนนเต็ม]]),"",(tbl_task5[71]/tbl_task5[[คะแนนเต็ม]:[คะแนนเต็ม]])*tbl_task5[[%]:[%]])</f>
        <v/>
      </c>
      <c r="IH15" s="121" t="str">
        <f>IF(ISBLANK(tbl_task5[[คะแนนเต็ม]:[คะแนนเต็ม]]),"",(tbl_task5[72]/tbl_task5[[คะแนนเต็ม]:[คะแนนเต็ม]])*tbl_task5[[%]:[%]])</f>
        <v/>
      </c>
      <c r="II15" s="121" t="str">
        <f>IF(ISBLANK(tbl_task5[[คะแนนเต็ม]:[คะแนนเต็ม]]),"",(tbl_task5[73]/tbl_task5[[คะแนนเต็ม]:[คะแนนเต็ม]])*tbl_task5[[%]:[%]])</f>
        <v/>
      </c>
      <c r="IJ15" s="121" t="str">
        <f>IF(ISBLANK(tbl_task5[[คะแนนเต็ม]:[คะแนนเต็ม]]),"",(tbl_task5[74]/tbl_task5[[คะแนนเต็ม]:[คะแนนเต็ม]])*tbl_task5[[%]:[%]])</f>
        <v/>
      </c>
      <c r="IK15" s="121" t="str">
        <f>IF(ISBLANK(tbl_task5[[คะแนนเต็ม]:[คะแนนเต็ม]]),"",(tbl_task5[75]/tbl_task5[[คะแนนเต็ม]:[คะแนนเต็ม]])*tbl_task5[[%]:[%]])</f>
        <v/>
      </c>
      <c r="IL15" s="121" t="str">
        <f>IF(ISBLANK(tbl_task5[[คะแนนเต็ม]:[คะแนนเต็ม]]),"",(tbl_task5[76]/tbl_task5[[คะแนนเต็ม]:[คะแนนเต็ม]])*tbl_task5[[%]:[%]])</f>
        <v/>
      </c>
      <c r="IM15" s="121" t="str">
        <f>IF(ISBLANK(tbl_task5[[คะแนนเต็ม]:[คะแนนเต็ม]]),"",(tbl_task5[77]/tbl_task5[[คะแนนเต็ม]:[คะแนนเต็ม]])*tbl_task5[[%]:[%]])</f>
        <v/>
      </c>
      <c r="IN15" s="121" t="str">
        <f>IF(ISBLANK(tbl_task5[[คะแนนเต็ม]:[คะแนนเต็ม]]),"",(tbl_task5[78]/tbl_task5[[คะแนนเต็ม]:[คะแนนเต็ม]])*tbl_task5[[%]:[%]])</f>
        <v/>
      </c>
      <c r="IO15" s="121" t="str">
        <f>IF(ISBLANK(tbl_task5[[คะแนนเต็ม]:[คะแนนเต็ม]]),"",(tbl_task5[79]/tbl_task5[[คะแนนเต็ม]:[คะแนนเต็ม]])*tbl_task5[[%]:[%]])</f>
        <v/>
      </c>
      <c r="IP15" s="121" t="str">
        <f>IF(ISBLANK(tbl_task5[[คะแนนเต็ม]:[คะแนนเต็ม]]),"",(tbl_task5[80]/tbl_task5[[คะแนนเต็ม]:[คะแนนเต็ม]])*tbl_task5[[%]:[%]])</f>
        <v/>
      </c>
      <c r="IQ15" s="121" t="str">
        <f>IF(ISBLANK(tbl_task5[[คะแนนเต็ม]:[คะแนนเต็ม]]),"",(tbl_task5[81]/tbl_task5[[คะแนนเต็ม]:[คะแนนเต็ม]])*tbl_task5[[%]:[%]])</f>
        <v/>
      </c>
      <c r="IR15" s="121" t="str">
        <f>IF(ISBLANK(tbl_task5[[คะแนนเต็ม]:[คะแนนเต็ม]]),"",(tbl_task5[82]/tbl_task5[[คะแนนเต็ม]:[คะแนนเต็ม]])*tbl_task5[[%]:[%]])</f>
        <v/>
      </c>
      <c r="IS15" s="121" t="str">
        <f>IF(ISBLANK(tbl_task5[[คะแนนเต็ม]:[คะแนนเต็ม]]),"",(tbl_task5[83]/tbl_task5[[คะแนนเต็ม]:[คะแนนเต็ม]])*tbl_task5[[%]:[%]])</f>
        <v/>
      </c>
      <c r="IT15" s="121" t="str">
        <f>IF(ISBLANK(tbl_task5[[คะแนนเต็ม]:[คะแนนเต็ม]]),"",(tbl_task5[84]/tbl_task5[[คะแนนเต็ม]:[คะแนนเต็ม]])*tbl_task5[[%]:[%]])</f>
        <v/>
      </c>
      <c r="IU15" s="121" t="str">
        <f>IF(ISBLANK(tbl_task5[[คะแนนเต็ม]:[คะแนนเต็ม]]),"",(tbl_task5[85]/tbl_task5[[คะแนนเต็ม]:[คะแนนเต็ม]])*tbl_task5[[%]:[%]])</f>
        <v/>
      </c>
      <c r="IV15" s="121" t="str">
        <f>IF(ISBLANK(tbl_task5[[คะแนนเต็ม]:[คะแนนเต็ม]]),"",(tbl_task5[86]/tbl_task5[[คะแนนเต็ม]:[คะแนนเต็ม]])*tbl_task5[[%]:[%]])</f>
        <v/>
      </c>
      <c r="IW15" s="121" t="str">
        <f>IF(ISBLANK(tbl_task5[[คะแนนเต็ม]:[คะแนนเต็ม]]),"",(tbl_task5[87]/tbl_task5[[คะแนนเต็ม]:[คะแนนเต็ม]])*tbl_task5[[%]:[%]])</f>
        <v/>
      </c>
      <c r="IX15" s="121" t="str">
        <f>IF(ISBLANK(tbl_task5[[คะแนนเต็ม]:[คะแนนเต็ม]]),"",(tbl_task5[88]/tbl_task5[[คะแนนเต็ม]:[คะแนนเต็ม]])*tbl_task5[[%]:[%]])</f>
        <v/>
      </c>
      <c r="IY15" s="121" t="str">
        <f>IF(ISBLANK(tbl_task5[[คะแนนเต็ม]:[คะแนนเต็ม]]),"",(tbl_task5[89]/tbl_task5[[คะแนนเต็ม]:[คะแนนเต็ม]])*tbl_task5[[%]:[%]])</f>
        <v/>
      </c>
      <c r="IZ15" s="121" t="str">
        <f>IF(ISBLANK(tbl_task5[[คะแนนเต็ม]:[คะแนนเต็ม]]),"",(tbl_task5[90]/tbl_task5[[คะแนนเต็ม]:[คะแนนเต็ม]])*tbl_task5[[%]:[%]])</f>
        <v/>
      </c>
      <c r="JA15" s="121" t="str">
        <f>IF(ISBLANK(tbl_task5[[คะแนนเต็ม]:[คะแนนเต็ม]]),"",(tbl_task5[91]/tbl_task5[[คะแนนเต็ม]:[คะแนนเต็ม]])*tbl_task5[[%]:[%]])</f>
        <v/>
      </c>
      <c r="JB15" s="121" t="str">
        <f>IF(ISBLANK(tbl_task5[[คะแนนเต็ม]:[คะแนนเต็ม]]),"",(tbl_task5[92]/tbl_task5[[คะแนนเต็ม]:[คะแนนเต็ม]])*tbl_task5[[%]:[%]])</f>
        <v/>
      </c>
      <c r="JC15" s="121" t="str">
        <f>IF(ISBLANK(tbl_task5[[คะแนนเต็ม]:[คะแนนเต็ม]]),"",(tbl_task5[93]/tbl_task5[[คะแนนเต็ม]:[คะแนนเต็ม]])*tbl_task5[[%]:[%]])</f>
        <v/>
      </c>
      <c r="JD15" s="121" t="str">
        <f>IF(ISBLANK(tbl_task5[[คะแนนเต็ม]:[คะแนนเต็ม]]),"",(tbl_task5[94]/tbl_task5[[คะแนนเต็ม]:[คะแนนเต็ม]])*tbl_task5[[%]:[%]])</f>
        <v/>
      </c>
      <c r="JE15" s="121" t="str">
        <f>IF(ISBLANK(tbl_task5[[คะแนนเต็ม]:[คะแนนเต็ม]]),"",(tbl_task5[95]/tbl_task5[[คะแนนเต็ม]:[คะแนนเต็ม]])*tbl_task5[[%]:[%]])</f>
        <v/>
      </c>
      <c r="JF15" s="121" t="str">
        <f>IF(ISBLANK(tbl_task5[[คะแนนเต็ม]:[คะแนนเต็ม]]),"",(tbl_task5[96]/tbl_task5[[คะแนนเต็ม]:[คะแนนเต็ม]])*tbl_task5[[%]:[%]])</f>
        <v/>
      </c>
      <c r="JG15" s="121" t="str">
        <f>IF(ISBLANK(tbl_task5[[คะแนนเต็ม]:[คะแนนเต็ม]]),"",(tbl_task5[97]/tbl_task5[[คะแนนเต็ม]:[คะแนนเต็ม]])*tbl_task5[[%]:[%]])</f>
        <v/>
      </c>
      <c r="JH15" s="121" t="str">
        <f>IF(ISBLANK(tbl_task5[[คะแนนเต็ม]:[คะแนนเต็ม]]),"",(tbl_task5[98]/tbl_task5[[คะแนนเต็ม]:[คะแนนเต็ม]])*tbl_task5[[%]:[%]])</f>
        <v/>
      </c>
      <c r="JI15" s="121" t="str">
        <f>IF(ISBLANK(tbl_task5[[คะแนนเต็ม]:[คะแนนเต็ม]]),"",(tbl_task5[99]/tbl_task5[[คะแนนเต็ม]:[คะแนนเต็ม]])*tbl_task5[[%]:[%]])</f>
        <v/>
      </c>
      <c r="JJ15" s="121" t="str">
        <f>IF(ISBLANK(tbl_task5[[คะแนนเต็ม]:[คะแนนเต็ม]]),"",(tbl_task5[100]/tbl_task5[[คะแนนเต็ม]:[คะแนนเต็ม]])*tbl_task5[[%]:[%]])</f>
        <v/>
      </c>
      <c r="JK15" s="121" t="str">
        <f>IF(ISBLANK(tbl_task5[[คะแนนเต็ม]:[คะแนนเต็ม]]),"",(tbl_task5[101]/tbl_task5[[คะแนนเต็ม]:[คะแนนเต็ม]])*tbl_task5[[%]:[%]])</f>
        <v/>
      </c>
      <c r="JL15" s="121" t="str">
        <f>IF(ISBLANK(tbl_task5[[คะแนนเต็ม]:[คะแนนเต็ม]]),"",(tbl_task5[102]/tbl_task5[[คะแนนเต็ม]:[คะแนนเต็ม]])*tbl_task5[[%]:[%]])</f>
        <v/>
      </c>
      <c r="JM15" s="121" t="str">
        <f>IF(ISBLANK(tbl_task5[[คะแนนเต็ม]:[คะแนนเต็ม]]),"",(tbl_task5[103]/tbl_task5[[คะแนนเต็ม]:[คะแนนเต็ม]])*tbl_task5[[%]:[%]])</f>
        <v/>
      </c>
      <c r="JN15" s="121" t="str">
        <f>IF(ISBLANK(tbl_task5[[คะแนนเต็ม]:[คะแนนเต็ม]]),"",(tbl_task5[104]/tbl_task5[[คะแนนเต็ม]:[คะแนนเต็ม]])*tbl_task5[[%]:[%]])</f>
        <v/>
      </c>
      <c r="JO15" s="121" t="str">
        <f>IF(ISBLANK(tbl_task5[[คะแนนเต็ม]:[คะแนนเต็ม]]),"",(tbl_task5[105]/tbl_task5[[คะแนนเต็ม]:[คะแนนเต็ม]])*tbl_task5[[%]:[%]])</f>
        <v/>
      </c>
      <c r="JP15" s="121" t="str">
        <f>IF(ISBLANK(tbl_task5[[คะแนนเต็ม]:[คะแนนเต็ม]]),"",(tbl_task5[106]/tbl_task5[[คะแนนเต็ม]:[คะแนนเต็ม]])*tbl_task5[[%]:[%]])</f>
        <v/>
      </c>
      <c r="JQ15" s="121" t="str">
        <f>IF(ISBLANK(tbl_task5[[คะแนนเต็ม]:[คะแนนเต็ม]]),"",(tbl_task5[107]/tbl_task5[[คะแนนเต็ม]:[คะแนนเต็ม]])*tbl_task5[[%]:[%]])</f>
        <v/>
      </c>
      <c r="JR15" s="121" t="str">
        <f>IF(ISBLANK(tbl_task5[[คะแนนเต็ม]:[คะแนนเต็ม]]),"",(tbl_task5[108]/tbl_task5[[คะแนนเต็ม]:[คะแนนเต็ม]])*tbl_task5[[%]:[%]])</f>
        <v/>
      </c>
      <c r="JS15" s="121" t="str">
        <f>IF(ISBLANK(tbl_task5[[คะแนนเต็ม]:[คะแนนเต็ม]]),"",(tbl_task5[109]/tbl_task5[[คะแนนเต็ม]:[คะแนนเต็ม]])*tbl_task5[[%]:[%]])</f>
        <v/>
      </c>
      <c r="JT15" s="121" t="str">
        <f>IF(ISBLANK(tbl_task5[[คะแนนเต็ม]:[คะแนนเต็ม]]),"",(tbl_task5[110]/tbl_task5[[คะแนนเต็ม]:[คะแนนเต็ม]])*tbl_task5[[%]:[%]])</f>
        <v/>
      </c>
      <c r="JU15" s="121" t="str">
        <f>IF(ISBLANK(tbl_task5[[คะแนนเต็ม]:[คะแนนเต็ม]]),"",(tbl_task5[111]/tbl_task5[[คะแนนเต็ม]:[คะแนนเต็ม]])*tbl_task5[[%]:[%]])</f>
        <v/>
      </c>
      <c r="JV15" s="121" t="str">
        <f>IF(ISBLANK(tbl_task5[[คะแนนเต็ม]:[คะแนนเต็ม]]),"",(tbl_task5[112]/tbl_task5[[คะแนนเต็ม]:[คะแนนเต็ม]])*tbl_task5[[%]:[%]])</f>
        <v/>
      </c>
      <c r="JW15" s="121" t="str">
        <f>IF(ISBLANK(tbl_task5[[คะแนนเต็ม]:[คะแนนเต็ม]]),"",(tbl_task5[113]/tbl_task5[[คะแนนเต็ม]:[คะแนนเต็ม]])*tbl_task5[[%]:[%]])</f>
        <v/>
      </c>
      <c r="JX15" s="121" t="str">
        <f>IF(ISBLANK(tbl_task5[[คะแนนเต็ม]:[คะแนนเต็ม]]),"",(tbl_task5[114]/tbl_task5[[คะแนนเต็ม]:[คะแนนเต็ม]])*tbl_task5[[%]:[%]])</f>
        <v/>
      </c>
      <c r="JY15" s="121" t="str">
        <f>IF(ISBLANK(tbl_task5[[คะแนนเต็ม]:[คะแนนเต็ม]]),"",(tbl_task5[115]/tbl_task5[[คะแนนเต็ม]:[คะแนนเต็ม]])*tbl_task5[[%]:[%]])</f>
        <v/>
      </c>
      <c r="JZ15" s="121" t="str">
        <f>IF(ISBLANK(tbl_task5[[คะแนนเต็ม]:[คะแนนเต็ม]]),"",(tbl_task5[116]/tbl_task5[[คะแนนเต็ม]:[คะแนนเต็ม]])*tbl_task5[[%]:[%]])</f>
        <v/>
      </c>
      <c r="KA15" s="121" t="str">
        <f>IF(ISBLANK(tbl_task5[[คะแนนเต็ม]:[คะแนนเต็ม]]),"",(tbl_task5[117]/tbl_task5[[คะแนนเต็ม]:[คะแนนเต็ม]])*tbl_task5[[%]:[%]])</f>
        <v/>
      </c>
      <c r="KB15" s="121" t="str">
        <f>IF(ISBLANK(tbl_task5[[คะแนนเต็ม]:[คะแนนเต็ม]]),"",(tbl_task5[118]/tbl_task5[[คะแนนเต็ม]:[คะแนนเต็ม]])*tbl_task5[[%]:[%]])</f>
        <v/>
      </c>
      <c r="KC15" s="121" t="str">
        <f>IF(ISBLANK(tbl_task5[[คะแนนเต็ม]:[คะแนนเต็ม]]),"",(tbl_task5[119]/tbl_task5[[คะแนนเต็ม]:[คะแนนเต็ม]])*tbl_task5[[%]:[%]])</f>
        <v/>
      </c>
      <c r="KD15" s="121" t="str">
        <f>IF(ISBLANK(tbl_task5[[คะแนนเต็ม]:[คะแนนเต็ม]]),"",(tbl_task5[120]/tbl_task5[[คะแนนเต็ม]:[คะแนนเต็ม]])*tbl_task5[[%]:[%]])</f>
        <v/>
      </c>
      <c r="KE15" s="121" t="str">
        <f>IF(ISBLANK(tbl_task5[[คะแนนเต็ม]:[คะแนนเต็ม]]),"",(tbl_task5[121]/tbl_task5[[คะแนนเต็ม]:[คะแนนเต็ม]])*tbl_task5[[%]:[%]])</f>
        <v/>
      </c>
      <c r="KF15" s="121" t="str">
        <f>IF(ISBLANK(tbl_task5[[คะแนนเต็ม]:[คะแนนเต็ม]]),"",(tbl_task5[122]/tbl_task5[[คะแนนเต็ม]:[คะแนนเต็ม]])*tbl_task5[[%]:[%]])</f>
        <v/>
      </c>
      <c r="KG15" s="121" t="str">
        <f>IF(ISBLANK(tbl_task5[[คะแนนเต็ม]:[คะแนนเต็ม]]),"",(tbl_task5[123]/tbl_task5[[คะแนนเต็ม]:[คะแนนเต็ม]])*tbl_task5[[%]:[%]])</f>
        <v/>
      </c>
      <c r="KH15" s="121" t="str">
        <f>IF(ISBLANK(tbl_task5[[คะแนนเต็ม]:[คะแนนเต็ม]]),"",(tbl_task5[124]/tbl_task5[[คะแนนเต็ม]:[คะแนนเต็ม]])*tbl_task5[[%]:[%]])</f>
        <v/>
      </c>
      <c r="KI15" s="121" t="str">
        <f>IF(ISBLANK(tbl_task5[[คะแนนเต็ม]:[คะแนนเต็ม]]),"",(tbl_task5[125]/tbl_task5[[คะแนนเต็ม]:[คะแนนเต็ม]])*tbl_task5[[%]:[%]])</f>
        <v/>
      </c>
      <c r="KJ15" s="121" t="str">
        <f>IF(ISBLANK(tbl_task5[[คะแนนเต็ม]:[คะแนนเต็ม]]),"",(tbl_task5[126]/tbl_task5[[คะแนนเต็ม]:[คะแนนเต็ม]])*tbl_task5[[%]:[%]])</f>
        <v/>
      </c>
      <c r="KK15" s="121" t="str">
        <f>IF(ISBLANK(tbl_task5[[คะแนนเต็ม]:[คะแนนเต็ม]]),"",(tbl_task5[127]/tbl_task5[[คะแนนเต็ม]:[คะแนนเต็ม]])*tbl_task5[[%]:[%]])</f>
        <v/>
      </c>
      <c r="KL15" s="121" t="str">
        <f>IF(ISBLANK(tbl_task5[[คะแนนเต็ม]:[คะแนนเต็ม]]),"",(tbl_task5[128]/tbl_task5[[คะแนนเต็ม]:[คะแนนเต็ม]])*tbl_task5[[%]:[%]])</f>
        <v/>
      </c>
      <c r="KM15" s="121" t="str">
        <f>IF(ISBLANK(tbl_task5[[คะแนนเต็ม]:[คะแนนเต็ม]]),"",(tbl_task5[129]/tbl_task5[[คะแนนเต็ม]:[คะแนนเต็ม]])*tbl_task5[[%]:[%]])</f>
        <v/>
      </c>
      <c r="KN15" s="121" t="str">
        <f>IF(ISBLANK(tbl_task5[[คะแนนเต็ม]:[คะแนนเต็ม]]),"",(tbl_task5[130]/tbl_task5[[คะแนนเต็ม]:[คะแนนเต็ม]])*tbl_task5[[%]:[%]])</f>
        <v/>
      </c>
      <c r="KO15" s="121" t="str">
        <f>IF(ISBLANK(tbl_task5[[คะแนนเต็ม]:[คะแนนเต็ม]]),"",(tbl_task5[131]/tbl_task5[[คะแนนเต็ม]:[คะแนนเต็ม]])*tbl_task5[[%]:[%]])</f>
        <v/>
      </c>
      <c r="KP15" s="121" t="str">
        <f>IF(ISBLANK(tbl_task5[[คะแนนเต็ม]:[คะแนนเต็ม]]),"",(tbl_task5[132]/tbl_task5[[คะแนนเต็ม]:[คะแนนเต็ม]])*tbl_task5[[%]:[%]])</f>
        <v/>
      </c>
      <c r="KQ15" s="121" t="str">
        <f>IF(ISBLANK(tbl_task5[[คะแนนเต็ม]:[คะแนนเต็ม]]),"",(tbl_task5[133]/tbl_task5[[คะแนนเต็ม]:[คะแนนเต็ม]])*tbl_task5[[%]:[%]])</f>
        <v/>
      </c>
      <c r="KR15" s="121" t="str">
        <f>IF(ISBLANK(tbl_task5[[คะแนนเต็ม]:[คะแนนเต็ม]]),"",(tbl_task5[134]/tbl_task5[[คะแนนเต็ม]:[คะแนนเต็ม]])*tbl_task5[[%]:[%]])</f>
        <v/>
      </c>
      <c r="KS15" s="121" t="str">
        <f>IF(ISBLANK(tbl_task5[[คะแนนเต็ม]:[คะแนนเต็ม]]),"",(tbl_task5[135]/tbl_task5[[คะแนนเต็ม]:[คะแนนเต็ม]])*tbl_task5[[%]:[%]])</f>
        <v/>
      </c>
      <c r="KT15" s="121" t="str">
        <f>IF(ISBLANK(tbl_task5[[คะแนนเต็ม]:[คะแนนเต็ม]]),"",(tbl_task5[136]/tbl_task5[[คะแนนเต็ม]:[คะแนนเต็ม]])*tbl_task5[[%]:[%]])</f>
        <v/>
      </c>
      <c r="KU15" s="121" t="str">
        <f>IF(ISBLANK(tbl_task5[[คะแนนเต็ม]:[คะแนนเต็ม]]),"",(tbl_task5[137]/tbl_task5[[คะแนนเต็ม]:[คะแนนเต็ม]])*tbl_task5[[%]:[%]])</f>
        <v/>
      </c>
      <c r="KV15" s="121" t="str">
        <f>IF(ISBLANK(tbl_task5[[คะแนนเต็ม]:[คะแนนเต็ม]]),"",(tbl_task5[138]/tbl_task5[[คะแนนเต็ม]:[คะแนนเต็ม]])*tbl_task5[[%]:[%]])</f>
        <v/>
      </c>
      <c r="KW15" s="121" t="str">
        <f>IF(ISBLANK(tbl_task5[[คะแนนเต็ม]:[คะแนนเต็ม]]),"",(tbl_task5[139]/tbl_task5[[คะแนนเต็ม]:[คะแนนเต็ม]])*tbl_task5[[%]:[%]])</f>
        <v/>
      </c>
      <c r="KX15" s="121" t="str">
        <f>IF(ISBLANK(tbl_task5[[คะแนนเต็ม]:[คะแนนเต็ม]]),"",(tbl_task5[140]/tbl_task5[[คะแนนเต็ม]:[คะแนนเต็ม]])*tbl_task5[[%]:[%]])</f>
        <v/>
      </c>
      <c r="KY15" s="121" t="str">
        <f>IF(ISBLANK(tbl_task5[[คะแนนเต็ม]:[คะแนนเต็ม]]),"",(tbl_task5[141]/tbl_task5[[คะแนนเต็ม]:[คะแนนเต็ม]])*tbl_task5[[%]:[%]])</f>
        <v/>
      </c>
      <c r="KZ15" s="121" t="str">
        <f>IF(ISBLANK(tbl_task5[[คะแนนเต็ม]:[คะแนนเต็ม]]),"",(tbl_task5[142]/tbl_task5[[คะแนนเต็ม]:[คะแนนเต็ม]])*tbl_task5[[%]:[%]])</f>
        <v/>
      </c>
      <c r="LA15" s="121" t="str">
        <f>IF(ISBLANK(tbl_task5[[คะแนนเต็ม]:[คะแนนเต็ม]]),"",(tbl_task5[143]/tbl_task5[[คะแนนเต็ม]:[คะแนนเต็ม]])*tbl_task5[[%]:[%]])</f>
        <v/>
      </c>
      <c r="LB15" s="121" t="str">
        <f>IF(ISBLANK(tbl_task5[[คะแนนเต็ม]:[คะแนนเต็ม]]),"",(tbl_task5[144]/tbl_task5[[คะแนนเต็ม]:[คะแนนเต็ม]])*tbl_task5[[%]:[%]])</f>
        <v/>
      </c>
      <c r="LC15" s="121" t="str">
        <f>IF(ISBLANK(tbl_task5[[คะแนนเต็ม]:[คะแนนเต็ม]]),"",(tbl_task5[145]/tbl_task5[[คะแนนเต็ม]:[คะแนนเต็ม]])*tbl_task5[[%]:[%]])</f>
        <v/>
      </c>
      <c r="LD15" s="121" t="str">
        <f>IF(ISBLANK(tbl_task5[[คะแนนเต็ม]:[คะแนนเต็ม]]),"",(tbl_task5[146]/tbl_task5[[คะแนนเต็ม]:[คะแนนเต็ม]])*tbl_task5[[%]:[%]])</f>
        <v/>
      </c>
      <c r="LE15" s="121" t="str">
        <f>IF(ISBLANK(tbl_task5[[คะแนนเต็ม]:[คะแนนเต็ม]]),"",(tbl_task5[147]/tbl_task5[[คะแนนเต็ม]:[คะแนนเต็ม]])*tbl_task5[[%]:[%]])</f>
        <v/>
      </c>
      <c r="LF15" s="121" t="str">
        <f>IF(ISBLANK(tbl_task5[[คะแนนเต็ม]:[คะแนนเต็ม]]),"",(tbl_task5[148]/tbl_task5[[คะแนนเต็ม]:[คะแนนเต็ม]])*tbl_task5[[%]:[%]])</f>
        <v/>
      </c>
      <c r="LG15" s="121" t="str">
        <f>IF(ISBLANK(tbl_task5[[คะแนนเต็ม]:[คะแนนเต็ม]]),"",(tbl_task5[149]/tbl_task5[[คะแนนเต็ม]:[คะแนนเต็ม]])*tbl_task5[[%]:[%]])</f>
        <v/>
      </c>
      <c r="LH15" s="121" t="str">
        <f>IF(ISBLANK(tbl_task5[[คะแนนเต็ม]:[คะแนนเต็ม]]),"",(tbl_task5[150]/tbl_task5[[คะแนนเต็ม]:[คะแนนเต็ม]])*tbl_task5[[%]:[%]])</f>
        <v/>
      </c>
      <c r="LI15" s="121" t="str">
        <f>IF(ISBLANK(tbl_task5[[คะแนนเต็ม]:[คะแนนเต็ม]]),"",(tbl_task5[151]/tbl_task5[[คะแนนเต็ม]:[คะแนนเต็ม]])*tbl_task5[[%]:[%]])</f>
        <v/>
      </c>
      <c r="LJ15" s="121" t="str">
        <f>IF(ISBLANK(tbl_task5[[คะแนนเต็ม]:[คะแนนเต็ม]]),"",(tbl_task5[152]/tbl_task5[[คะแนนเต็ม]:[คะแนนเต็ม]])*tbl_task5[[%]:[%]])</f>
        <v/>
      </c>
      <c r="LK15" s="121" t="str">
        <f>IF(ISBLANK(tbl_task5[[คะแนนเต็ม]:[คะแนนเต็ม]]),"",(tbl_task5[153]/tbl_task5[[คะแนนเต็ม]:[คะแนนเต็ม]])*tbl_task5[[%]:[%]])</f>
        <v/>
      </c>
      <c r="LL15" s="121" t="str">
        <f>IF(ISBLANK(tbl_task5[[คะแนนเต็ม]:[คะแนนเต็ม]]),"",(tbl_task5[154]/tbl_task5[[คะแนนเต็ม]:[คะแนนเต็ม]])*tbl_task5[[%]:[%]])</f>
        <v/>
      </c>
      <c r="LM15" s="121" t="str">
        <f>IF(ISBLANK(tbl_task5[[คะแนนเต็ม]:[คะแนนเต็ม]]),"",(tbl_task5[155]/tbl_task5[[คะแนนเต็ม]:[คะแนนเต็ม]])*tbl_task5[[%]:[%]])</f>
        <v/>
      </c>
      <c r="LN15" s="121" t="str">
        <f>IF(ISBLANK(tbl_task5[[คะแนนเต็ม]:[คะแนนเต็ม]]),"",(tbl_task5[156]/tbl_task5[[คะแนนเต็ม]:[คะแนนเต็ม]])*tbl_task5[[%]:[%]])</f>
        <v/>
      </c>
      <c r="LO15" s="121" t="str">
        <f>IF(ISBLANK(tbl_task5[[คะแนนเต็ม]:[คะแนนเต็ม]]),"",(tbl_task5[157]/tbl_task5[[คะแนนเต็ม]:[คะแนนเต็ม]])*tbl_task5[[%]:[%]])</f>
        <v/>
      </c>
      <c r="LP15" s="121" t="str">
        <f>IF(ISBLANK(tbl_task5[[คะแนนเต็ม]:[คะแนนเต็ม]]),"",(tbl_task5[158]/tbl_task5[[คะแนนเต็ม]:[คะแนนเต็ม]])*tbl_task5[[%]:[%]])</f>
        <v/>
      </c>
      <c r="LQ15" s="121" t="str">
        <f>IF(ISBLANK(tbl_task5[[คะแนนเต็ม]:[คะแนนเต็ม]]),"",(tbl_task5[159]/tbl_task5[[คะแนนเต็ม]:[คะแนนเต็ม]])*tbl_task5[[%]:[%]])</f>
        <v/>
      </c>
      <c r="LR15" s="121" t="str">
        <f>IF(ISBLANK(tbl_task5[[คะแนนเต็ม]:[คะแนนเต็ม]]),"",(tbl_task5[160]/tbl_task5[[คะแนนเต็ม]:[คะแนนเต็ม]])*tbl_task5[[%]:[%]])</f>
        <v/>
      </c>
      <c r="LS15" s="121" t="str">
        <f>IF(ISBLANK(tbl_task5[[คะแนนเต็ม]:[คะแนนเต็ม]]),"",(tbl_task5[161]/tbl_task5[[คะแนนเต็ม]:[คะแนนเต็ม]])*tbl_task5[[%]:[%]])</f>
        <v/>
      </c>
      <c r="LT15" s="121" t="str">
        <f>IF(ISBLANK(tbl_task5[[คะแนนเต็ม]:[คะแนนเต็ม]]),"",(tbl_task5[162]/tbl_task5[[คะแนนเต็ม]:[คะแนนเต็ม]])*tbl_task5[[%]:[%]])</f>
        <v/>
      </c>
      <c r="LU15" s="121" t="str">
        <f>IF(ISBLANK(tbl_task5[[คะแนนเต็ม]:[คะแนนเต็ม]]),"",(tbl_task5[163]/tbl_task5[[คะแนนเต็ม]:[คะแนนเต็ม]])*tbl_task5[[%]:[%]])</f>
        <v/>
      </c>
      <c r="LV15" s="121" t="str">
        <f>IF(ISBLANK(tbl_task5[[คะแนนเต็ม]:[คะแนนเต็ม]]),"",(tbl_task5[164]/tbl_task5[[คะแนนเต็ม]:[คะแนนเต็ม]])*tbl_task5[[%]:[%]])</f>
        <v/>
      </c>
      <c r="LW15" s="121" t="str">
        <f>IF(ISBLANK(tbl_task5[[คะแนนเต็ม]:[คะแนนเต็ม]]),"",(tbl_task5[165]/tbl_task5[[คะแนนเต็ม]:[คะแนนเต็ม]])*tbl_task5[[%]:[%]])</f>
        <v/>
      </c>
    </row>
    <row r="16" spans="1:335" ht="24" customHeight="1" x14ac:dyDescent="0.25">
      <c r="A16" s="24">
        <v>13</v>
      </c>
      <c r="B16" s="20"/>
      <c r="C16" s="5" t="str">
        <f>IF(ISBLANK(B16),"",VLOOKUP(B16,tbl_PLOs[],2,0))</f>
        <v/>
      </c>
      <c r="D16" s="102"/>
      <c r="E16" s="106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121" t="str">
        <f>IF(ISBLANK(tbl_task5[[คะแนนเต็ม]:[คะแนนเต็ม]]),"",(tbl_task5[1]/tbl_task5[[คะแนนเต็ม]:[คะแนนเต็ม]])*tbl_task5[[%]:[%]])</f>
        <v/>
      </c>
      <c r="FP16" s="121" t="str">
        <f>IF(ISBLANK(tbl_task5[[คะแนนเต็ม]:[คะแนนเต็ม]]),"",(tbl_task5[2]/tbl_task5[[คะแนนเต็ม]:[คะแนนเต็ม]])*tbl_task5[[%]:[%]])</f>
        <v/>
      </c>
      <c r="FQ16" s="121" t="str">
        <f>IF(ISBLANK(tbl_task5[[คะแนนเต็ม]:[คะแนนเต็ม]]),"",(tbl_task5[3]/tbl_task5[[คะแนนเต็ม]:[คะแนนเต็ม]])*tbl_task5[[%]:[%]])</f>
        <v/>
      </c>
      <c r="FR16" s="121" t="str">
        <f>IF(ISBLANK(tbl_task5[[คะแนนเต็ม]:[คะแนนเต็ม]]),"",(tbl_task5[4]/tbl_task5[[คะแนนเต็ม]:[คะแนนเต็ม]])*tbl_task5[[%]:[%]])</f>
        <v/>
      </c>
      <c r="FS16" s="121" t="str">
        <f>IF(ISBLANK(tbl_task5[[คะแนนเต็ม]:[คะแนนเต็ม]]),"",(tbl_task5[5]/tbl_task5[[คะแนนเต็ม]:[คะแนนเต็ม]])*tbl_task5[[%]:[%]])</f>
        <v/>
      </c>
      <c r="FT16" s="121" t="str">
        <f>IF(ISBLANK(tbl_task5[[คะแนนเต็ม]:[คะแนนเต็ม]]),"",(tbl_task5[6]/tbl_task5[[คะแนนเต็ม]:[คะแนนเต็ม]])*tbl_task5[[%]:[%]])</f>
        <v/>
      </c>
      <c r="FU16" s="121" t="str">
        <f>IF(ISBLANK(tbl_task5[[คะแนนเต็ม]:[คะแนนเต็ม]]),"",(tbl_task5[7]/tbl_task5[[คะแนนเต็ม]:[คะแนนเต็ม]])*tbl_task5[[%]:[%]])</f>
        <v/>
      </c>
      <c r="FV16" s="121" t="str">
        <f>IF(ISBLANK(tbl_task5[[คะแนนเต็ม]:[คะแนนเต็ม]]),"",(tbl_task5[8]/tbl_task5[[คะแนนเต็ม]:[คะแนนเต็ม]])*tbl_task5[[%]:[%]])</f>
        <v/>
      </c>
      <c r="FW16" s="121" t="str">
        <f>IF(ISBLANK(tbl_task5[[คะแนนเต็ม]:[คะแนนเต็ม]]),"",(tbl_task5[9]/tbl_task5[[คะแนนเต็ม]:[คะแนนเต็ม]])*tbl_task5[[%]:[%]])</f>
        <v/>
      </c>
      <c r="FX16" s="121" t="str">
        <f>IF(ISBLANK(tbl_task5[[คะแนนเต็ม]:[คะแนนเต็ม]]),"",(tbl_task5[10]/tbl_task5[[คะแนนเต็ม]:[คะแนนเต็ม]])*tbl_task5[[%]:[%]])</f>
        <v/>
      </c>
      <c r="FY16" s="121" t="str">
        <f>IF(ISBLANK(tbl_task5[[คะแนนเต็ม]:[คะแนนเต็ม]]),"",(tbl_task5[11]/tbl_task5[[คะแนนเต็ม]:[คะแนนเต็ม]])*tbl_task5[[%]:[%]])</f>
        <v/>
      </c>
      <c r="FZ16" s="121" t="str">
        <f>IF(ISBLANK(tbl_task5[[คะแนนเต็ม]:[คะแนนเต็ม]]),"",(tbl_task5[12]/tbl_task5[[คะแนนเต็ม]:[คะแนนเต็ม]])*tbl_task5[[%]:[%]])</f>
        <v/>
      </c>
      <c r="GA16" s="121" t="str">
        <f>IF(ISBLANK(tbl_task5[[คะแนนเต็ม]:[คะแนนเต็ม]]),"",(tbl_task5[13]/tbl_task5[[คะแนนเต็ม]:[คะแนนเต็ม]])*tbl_task5[[%]:[%]])</f>
        <v/>
      </c>
      <c r="GB16" s="121" t="str">
        <f>IF(ISBLANK(tbl_task5[[คะแนนเต็ม]:[คะแนนเต็ม]]),"",(tbl_task5[14]/tbl_task5[[คะแนนเต็ม]:[คะแนนเต็ม]])*tbl_task5[[%]:[%]])</f>
        <v/>
      </c>
      <c r="GC16" s="121" t="str">
        <f>IF(ISBLANK(tbl_task5[[คะแนนเต็ม]:[คะแนนเต็ม]]),"",(tbl_task5[15]/tbl_task5[[คะแนนเต็ม]:[คะแนนเต็ม]])*tbl_task5[[%]:[%]])</f>
        <v/>
      </c>
      <c r="GD16" s="121" t="str">
        <f>IF(ISBLANK(tbl_task5[[คะแนนเต็ม]:[คะแนนเต็ม]]),"",(tbl_task5[16]/tbl_task5[[คะแนนเต็ม]:[คะแนนเต็ม]])*tbl_task5[[%]:[%]])</f>
        <v/>
      </c>
      <c r="GE16" s="121" t="str">
        <f>IF(ISBLANK(tbl_task5[[คะแนนเต็ม]:[คะแนนเต็ม]]),"",(tbl_task5[17]/tbl_task5[[คะแนนเต็ม]:[คะแนนเต็ม]])*tbl_task5[[%]:[%]])</f>
        <v/>
      </c>
      <c r="GF16" s="121" t="str">
        <f>IF(ISBLANK(tbl_task5[[คะแนนเต็ม]:[คะแนนเต็ม]]),"",(tbl_task5[18]/tbl_task5[[คะแนนเต็ม]:[คะแนนเต็ม]])*tbl_task5[[%]:[%]])</f>
        <v/>
      </c>
      <c r="GG16" s="121" t="str">
        <f>IF(ISBLANK(tbl_task5[[คะแนนเต็ม]:[คะแนนเต็ม]]),"",(tbl_task5[19]/tbl_task5[[คะแนนเต็ม]:[คะแนนเต็ม]])*tbl_task5[[%]:[%]])</f>
        <v/>
      </c>
      <c r="GH16" s="121" t="str">
        <f>IF(ISBLANK(tbl_task5[[คะแนนเต็ม]:[คะแนนเต็ม]]),"",(tbl_task5[20]/tbl_task5[[คะแนนเต็ม]:[คะแนนเต็ม]])*tbl_task5[[%]:[%]])</f>
        <v/>
      </c>
      <c r="GI16" s="121" t="str">
        <f>IF(ISBLANK(tbl_task5[[คะแนนเต็ม]:[คะแนนเต็ม]]),"",(tbl_task5[21]/tbl_task5[[คะแนนเต็ม]:[คะแนนเต็ม]])*tbl_task5[[%]:[%]])</f>
        <v/>
      </c>
      <c r="GJ16" s="121" t="str">
        <f>IF(ISBLANK(tbl_task5[[คะแนนเต็ม]:[คะแนนเต็ม]]),"",(tbl_task5[22]/tbl_task5[[คะแนนเต็ม]:[คะแนนเต็ม]])*tbl_task5[[%]:[%]])</f>
        <v/>
      </c>
      <c r="GK16" s="121" t="str">
        <f>IF(ISBLANK(tbl_task5[[คะแนนเต็ม]:[คะแนนเต็ม]]),"",(tbl_task5[23]/tbl_task5[[คะแนนเต็ม]:[คะแนนเต็ม]])*tbl_task5[[%]:[%]])</f>
        <v/>
      </c>
      <c r="GL16" s="121" t="str">
        <f>IF(ISBLANK(tbl_task5[[คะแนนเต็ม]:[คะแนนเต็ม]]),"",(tbl_task5[24]/tbl_task5[[คะแนนเต็ม]:[คะแนนเต็ม]])*tbl_task5[[%]:[%]])</f>
        <v/>
      </c>
      <c r="GM16" s="121" t="str">
        <f>IF(ISBLANK(tbl_task5[[คะแนนเต็ม]:[คะแนนเต็ม]]),"",(tbl_task5[25]/tbl_task5[[คะแนนเต็ม]:[คะแนนเต็ม]])*tbl_task5[[%]:[%]])</f>
        <v/>
      </c>
      <c r="GN16" s="121" t="str">
        <f>IF(ISBLANK(tbl_task5[[คะแนนเต็ม]:[คะแนนเต็ม]]),"",(tbl_task5[26]/tbl_task5[[คะแนนเต็ม]:[คะแนนเต็ม]])*tbl_task5[[%]:[%]])</f>
        <v/>
      </c>
      <c r="GO16" s="121" t="str">
        <f>IF(ISBLANK(tbl_task5[[คะแนนเต็ม]:[คะแนนเต็ม]]),"",(tbl_task5[27]/tbl_task5[[คะแนนเต็ม]:[คะแนนเต็ม]])*tbl_task5[[%]:[%]])</f>
        <v/>
      </c>
      <c r="GP16" s="121" t="str">
        <f>IF(ISBLANK(tbl_task5[[คะแนนเต็ม]:[คะแนนเต็ม]]),"",(tbl_task5[28]/tbl_task5[[คะแนนเต็ม]:[คะแนนเต็ม]])*tbl_task5[[%]:[%]])</f>
        <v/>
      </c>
      <c r="GQ16" s="121" t="str">
        <f>IF(ISBLANK(tbl_task5[[คะแนนเต็ม]:[คะแนนเต็ม]]),"",(tbl_task5[29]/tbl_task5[[คะแนนเต็ม]:[คะแนนเต็ม]])*tbl_task5[[%]:[%]])</f>
        <v/>
      </c>
      <c r="GR16" s="121" t="str">
        <f>IF(ISBLANK(tbl_task5[[คะแนนเต็ม]:[คะแนนเต็ม]]),"",(tbl_task5[30]/tbl_task5[[คะแนนเต็ม]:[คะแนนเต็ม]])*tbl_task5[[%]:[%]])</f>
        <v/>
      </c>
      <c r="GS16" s="121" t="str">
        <f>IF(ISBLANK(tbl_task5[[คะแนนเต็ม]:[คะแนนเต็ม]]),"",(tbl_task5[31]/tbl_task5[[คะแนนเต็ม]:[คะแนนเต็ม]])*tbl_task5[[%]:[%]])</f>
        <v/>
      </c>
      <c r="GT16" s="121" t="str">
        <f>IF(ISBLANK(tbl_task5[[คะแนนเต็ม]:[คะแนนเต็ม]]),"",(tbl_task5[32]/tbl_task5[[คะแนนเต็ม]:[คะแนนเต็ม]])*tbl_task5[[%]:[%]])</f>
        <v/>
      </c>
      <c r="GU16" s="121" t="str">
        <f>IF(ISBLANK(tbl_task5[[คะแนนเต็ม]:[คะแนนเต็ม]]),"",(tbl_task5[33]/tbl_task5[[คะแนนเต็ม]:[คะแนนเต็ม]])*tbl_task5[[%]:[%]])</f>
        <v/>
      </c>
      <c r="GV16" s="121" t="str">
        <f>IF(ISBLANK(tbl_task5[[คะแนนเต็ม]:[คะแนนเต็ม]]),"",(tbl_task5[34]/tbl_task5[[คะแนนเต็ม]:[คะแนนเต็ม]])*tbl_task5[[%]:[%]])</f>
        <v/>
      </c>
      <c r="GW16" s="121" t="str">
        <f>IF(ISBLANK(tbl_task5[[คะแนนเต็ม]:[คะแนนเต็ม]]),"",(tbl_task5[35]/tbl_task5[[คะแนนเต็ม]:[คะแนนเต็ม]])*tbl_task5[[%]:[%]])</f>
        <v/>
      </c>
      <c r="GX16" s="121" t="str">
        <f>IF(ISBLANK(tbl_task5[[คะแนนเต็ม]:[คะแนนเต็ม]]),"",(tbl_task5[36]/tbl_task5[[คะแนนเต็ม]:[คะแนนเต็ม]])*tbl_task5[[%]:[%]])</f>
        <v/>
      </c>
      <c r="GY16" s="121" t="str">
        <f>IF(ISBLANK(tbl_task5[[คะแนนเต็ม]:[คะแนนเต็ม]]),"",(tbl_task5[37]/tbl_task5[[คะแนนเต็ม]:[คะแนนเต็ม]])*tbl_task5[[%]:[%]])</f>
        <v/>
      </c>
      <c r="GZ16" s="121" t="str">
        <f>IF(ISBLANK(tbl_task5[[คะแนนเต็ม]:[คะแนนเต็ม]]),"",(tbl_task5[38]/tbl_task5[[คะแนนเต็ม]:[คะแนนเต็ม]])*tbl_task5[[%]:[%]])</f>
        <v/>
      </c>
      <c r="HA16" s="121" t="str">
        <f>IF(ISBLANK(tbl_task5[[คะแนนเต็ม]:[คะแนนเต็ม]]),"",(tbl_task5[39]/tbl_task5[[คะแนนเต็ม]:[คะแนนเต็ม]])*tbl_task5[[%]:[%]])</f>
        <v/>
      </c>
      <c r="HB16" s="121" t="str">
        <f>IF(ISBLANK(tbl_task5[[คะแนนเต็ม]:[คะแนนเต็ม]]),"",(tbl_task5[40]/tbl_task5[[คะแนนเต็ม]:[คะแนนเต็ม]])*tbl_task5[[%]:[%]])</f>
        <v/>
      </c>
      <c r="HC16" s="121" t="str">
        <f>IF(ISBLANK(tbl_task5[[คะแนนเต็ม]:[คะแนนเต็ม]]),"",(tbl_task5[41]/tbl_task5[[คะแนนเต็ม]:[คะแนนเต็ม]])*tbl_task5[[%]:[%]])</f>
        <v/>
      </c>
      <c r="HD16" s="121" t="str">
        <f>IF(ISBLANK(tbl_task5[[คะแนนเต็ม]:[คะแนนเต็ม]]),"",(tbl_task5[42]/tbl_task5[[คะแนนเต็ม]:[คะแนนเต็ม]])*tbl_task5[[%]:[%]])</f>
        <v/>
      </c>
      <c r="HE16" s="121" t="str">
        <f>IF(ISBLANK(tbl_task5[[คะแนนเต็ม]:[คะแนนเต็ม]]),"",(tbl_task5[43]/tbl_task5[[คะแนนเต็ม]:[คะแนนเต็ม]])*tbl_task5[[%]:[%]])</f>
        <v/>
      </c>
      <c r="HF16" s="121" t="str">
        <f>IF(ISBLANK(tbl_task5[[คะแนนเต็ม]:[คะแนนเต็ม]]),"",(tbl_task5[44]/tbl_task5[[คะแนนเต็ม]:[คะแนนเต็ม]])*tbl_task5[[%]:[%]])</f>
        <v/>
      </c>
      <c r="HG16" s="121" t="str">
        <f>IF(ISBLANK(tbl_task5[[คะแนนเต็ม]:[คะแนนเต็ม]]),"",(tbl_task5[45]/tbl_task5[[คะแนนเต็ม]:[คะแนนเต็ม]])*tbl_task5[[%]:[%]])</f>
        <v/>
      </c>
      <c r="HH16" s="121" t="str">
        <f>IF(ISBLANK(tbl_task5[[คะแนนเต็ม]:[คะแนนเต็ม]]),"",(tbl_task5[46]/tbl_task5[[คะแนนเต็ม]:[คะแนนเต็ม]])*tbl_task5[[%]:[%]])</f>
        <v/>
      </c>
      <c r="HI16" s="121" t="str">
        <f>IF(ISBLANK(tbl_task5[[คะแนนเต็ม]:[คะแนนเต็ม]]),"",(tbl_task5[47]/tbl_task5[[คะแนนเต็ม]:[คะแนนเต็ม]])*tbl_task5[[%]:[%]])</f>
        <v/>
      </c>
      <c r="HJ16" s="121" t="str">
        <f>IF(ISBLANK(tbl_task5[[คะแนนเต็ม]:[คะแนนเต็ม]]),"",(tbl_task5[48]/tbl_task5[[คะแนนเต็ม]:[คะแนนเต็ม]])*tbl_task5[[%]:[%]])</f>
        <v/>
      </c>
      <c r="HK16" s="121" t="str">
        <f>IF(ISBLANK(tbl_task5[[คะแนนเต็ม]:[คะแนนเต็ม]]),"",(tbl_task5[49]/tbl_task5[[คะแนนเต็ม]:[คะแนนเต็ม]])*tbl_task5[[%]:[%]])</f>
        <v/>
      </c>
      <c r="HL16" s="121" t="str">
        <f>IF(ISBLANK(tbl_task5[[คะแนนเต็ม]:[คะแนนเต็ม]]),"",(tbl_task5[50]/tbl_task5[[คะแนนเต็ม]:[คะแนนเต็ม]])*tbl_task5[[%]:[%]])</f>
        <v/>
      </c>
      <c r="HM16" s="121" t="str">
        <f>IF(ISBLANK(tbl_task5[[คะแนนเต็ม]:[คะแนนเต็ม]]),"",(tbl_task5[51]/tbl_task5[[คะแนนเต็ม]:[คะแนนเต็ม]])*tbl_task5[[%]:[%]])</f>
        <v/>
      </c>
      <c r="HN16" s="121" t="str">
        <f>IF(ISBLANK(tbl_task5[[คะแนนเต็ม]:[คะแนนเต็ม]]),"",(tbl_task5[52]/tbl_task5[[คะแนนเต็ม]:[คะแนนเต็ม]])*tbl_task5[[%]:[%]])</f>
        <v/>
      </c>
      <c r="HO16" s="121" t="str">
        <f>IF(ISBLANK(tbl_task5[[คะแนนเต็ม]:[คะแนนเต็ม]]),"",(tbl_task5[53]/tbl_task5[[คะแนนเต็ม]:[คะแนนเต็ม]])*tbl_task5[[%]:[%]])</f>
        <v/>
      </c>
      <c r="HP16" s="121" t="str">
        <f>IF(ISBLANK(tbl_task5[[คะแนนเต็ม]:[คะแนนเต็ม]]),"",(tbl_task5[54]/tbl_task5[[คะแนนเต็ม]:[คะแนนเต็ม]])*tbl_task5[[%]:[%]])</f>
        <v/>
      </c>
      <c r="HQ16" s="121" t="str">
        <f>IF(ISBLANK(tbl_task5[[คะแนนเต็ม]:[คะแนนเต็ม]]),"",(tbl_task5[55]/tbl_task5[[คะแนนเต็ม]:[คะแนนเต็ม]])*tbl_task5[[%]:[%]])</f>
        <v/>
      </c>
      <c r="HR16" s="121" t="str">
        <f>IF(ISBLANK(tbl_task5[[คะแนนเต็ม]:[คะแนนเต็ม]]),"",(tbl_task5[56]/tbl_task5[[คะแนนเต็ม]:[คะแนนเต็ม]])*tbl_task5[[%]:[%]])</f>
        <v/>
      </c>
      <c r="HS16" s="121" t="str">
        <f>IF(ISBLANK(tbl_task5[[คะแนนเต็ม]:[คะแนนเต็ม]]),"",(tbl_task5[57]/tbl_task5[[คะแนนเต็ม]:[คะแนนเต็ม]])*tbl_task5[[%]:[%]])</f>
        <v/>
      </c>
      <c r="HT16" s="121" t="str">
        <f>IF(ISBLANK(tbl_task5[[คะแนนเต็ม]:[คะแนนเต็ม]]),"",(tbl_task5[58]/tbl_task5[[คะแนนเต็ม]:[คะแนนเต็ม]])*tbl_task5[[%]:[%]])</f>
        <v/>
      </c>
      <c r="HU16" s="121" t="str">
        <f>IF(ISBLANK(tbl_task5[[คะแนนเต็ม]:[คะแนนเต็ม]]),"",(tbl_task5[59]/tbl_task5[[คะแนนเต็ม]:[คะแนนเต็ม]])*tbl_task5[[%]:[%]])</f>
        <v/>
      </c>
      <c r="HV16" s="121" t="str">
        <f>IF(ISBLANK(tbl_task5[[คะแนนเต็ม]:[คะแนนเต็ม]]),"",(tbl_task5[60]/tbl_task5[[คะแนนเต็ม]:[คะแนนเต็ม]])*tbl_task5[[%]:[%]])</f>
        <v/>
      </c>
      <c r="HW16" s="121" t="str">
        <f>IF(ISBLANK(tbl_task5[[คะแนนเต็ม]:[คะแนนเต็ม]]),"",(tbl_task5[61]/tbl_task5[[คะแนนเต็ม]:[คะแนนเต็ม]])*tbl_task5[[%]:[%]])</f>
        <v/>
      </c>
      <c r="HX16" s="121" t="str">
        <f>IF(ISBLANK(tbl_task5[[คะแนนเต็ม]:[คะแนนเต็ม]]),"",(tbl_task5[62]/tbl_task5[[คะแนนเต็ม]:[คะแนนเต็ม]])*tbl_task5[[%]:[%]])</f>
        <v/>
      </c>
      <c r="HY16" s="121" t="str">
        <f>IF(ISBLANK(tbl_task5[[คะแนนเต็ม]:[คะแนนเต็ม]]),"",(tbl_task5[63]/tbl_task5[[คะแนนเต็ม]:[คะแนนเต็ม]])*tbl_task5[[%]:[%]])</f>
        <v/>
      </c>
      <c r="HZ16" s="121" t="str">
        <f>IF(ISBLANK(tbl_task5[[คะแนนเต็ม]:[คะแนนเต็ม]]),"",(tbl_task5[64]/tbl_task5[[คะแนนเต็ม]:[คะแนนเต็ม]])*tbl_task5[[%]:[%]])</f>
        <v/>
      </c>
      <c r="IA16" s="121" t="str">
        <f>IF(ISBLANK(tbl_task5[[คะแนนเต็ม]:[คะแนนเต็ม]]),"",(tbl_task5[65]/tbl_task5[[คะแนนเต็ม]:[คะแนนเต็ม]])*tbl_task5[[%]:[%]])</f>
        <v/>
      </c>
      <c r="IB16" s="121" t="str">
        <f>IF(ISBLANK(tbl_task5[[คะแนนเต็ม]:[คะแนนเต็ม]]),"",(tbl_task5[66]/tbl_task5[[คะแนนเต็ม]:[คะแนนเต็ม]])*tbl_task5[[%]:[%]])</f>
        <v/>
      </c>
      <c r="IC16" s="121" t="str">
        <f>IF(ISBLANK(tbl_task5[[คะแนนเต็ม]:[คะแนนเต็ม]]),"",(tbl_task5[67]/tbl_task5[[คะแนนเต็ม]:[คะแนนเต็ม]])*tbl_task5[[%]:[%]])</f>
        <v/>
      </c>
      <c r="ID16" s="121" t="str">
        <f>IF(ISBLANK(tbl_task5[[คะแนนเต็ม]:[คะแนนเต็ม]]),"",(tbl_task5[68]/tbl_task5[[คะแนนเต็ม]:[คะแนนเต็ม]])*tbl_task5[[%]:[%]])</f>
        <v/>
      </c>
      <c r="IE16" s="121" t="str">
        <f>IF(ISBLANK(tbl_task5[[คะแนนเต็ม]:[คะแนนเต็ม]]),"",(tbl_task5[69]/tbl_task5[[คะแนนเต็ม]:[คะแนนเต็ม]])*tbl_task5[[%]:[%]])</f>
        <v/>
      </c>
      <c r="IF16" s="121" t="str">
        <f>IF(ISBLANK(tbl_task5[[คะแนนเต็ม]:[คะแนนเต็ม]]),"",(tbl_task5[70]/tbl_task5[[คะแนนเต็ม]:[คะแนนเต็ม]])*tbl_task5[[%]:[%]])</f>
        <v/>
      </c>
      <c r="IG16" s="121" t="str">
        <f>IF(ISBLANK(tbl_task5[[คะแนนเต็ม]:[คะแนนเต็ม]]),"",(tbl_task5[71]/tbl_task5[[คะแนนเต็ม]:[คะแนนเต็ม]])*tbl_task5[[%]:[%]])</f>
        <v/>
      </c>
      <c r="IH16" s="121" t="str">
        <f>IF(ISBLANK(tbl_task5[[คะแนนเต็ม]:[คะแนนเต็ม]]),"",(tbl_task5[72]/tbl_task5[[คะแนนเต็ม]:[คะแนนเต็ม]])*tbl_task5[[%]:[%]])</f>
        <v/>
      </c>
      <c r="II16" s="121" t="str">
        <f>IF(ISBLANK(tbl_task5[[คะแนนเต็ม]:[คะแนนเต็ม]]),"",(tbl_task5[73]/tbl_task5[[คะแนนเต็ม]:[คะแนนเต็ม]])*tbl_task5[[%]:[%]])</f>
        <v/>
      </c>
      <c r="IJ16" s="121" t="str">
        <f>IF(ISBLANK(tbl_task5[[คะแนนเต็ม]:[คะแนนเต็ม]]),"",(tbl_task5[74]/tbl_task5[[คะแนนเต็ม]:[คะแนนเต็ม]])*tbl_task5[[%]:[%]])</f>
        <v/>
      </c>
      <c r="IK16" s="121" t="str">
        <f>IF(ISBLANK(tbl_task5[[คะแนนเต็ม]:[คะแนนเต็ม]]),"",(tbl_task5[75]/tbl_task5[[คะแนนเต็ม]:[คะแนนเต็ม]])*tbl_task5[[%]:[%]])</f>
        <v/>
      </c>
      <c r="IL16" s="121" t="str">
        <f>IF(ISBLANK(tbl_task5[[คะแนนเต็ม]:[คะแนนเต็ม]]),"",(tbl_task5[76]/tbl_task5[[คะแนนเต็ม]:[คะแนนเต็ม]])*tbl_task5[[%]:[%]])</f>
        <v/>
      </c>
      <c r="IM16" s="121" t="str">
        <f>IF(ISBLANK(tbl_task5[[คะแนนเต็ม]:[คะแนนเต็ม]]),"",(tbl_task5[77]/tbl_task5[[คะแนนเต็ม]:[คะแนนเต็ม]])*tbl_task5[[%]:[%]])</f>
        <v/>
      </c>
      <c r="IN16" s="121" t="str">
        <f>IF(ISBLANK(tbl_task5[[คะแนนเต็ม]:[คะแนนเต็ม]]),"",(tbl_task5[78]/tbl_task5[[คะแนนเต็ม]:[คะแนนเต็ม]])*tbl_task5[[%]:[%]])</f>
        <v/>
      </c>
      <c r="IO16" s="121" t="str">
        <f>IF(ISBLANK(tbl_task5[[คะแนนเต็ม]:[คะแนนเต็ม]]),"",(tbl_task5[79]/tbl_task5[[คะแนนเต็ม]:[คะแนนเต็ม]])*tbl_task5[[%]:[%]])</f>
        <v/>
      </c>
      <c r="IP16" s="121" t="str">
        <f>IF(ISBLANK(tbl_task5[[คะแนนเต็ม]:[คะแนนเต็ม]]),"",(tbl_task5[80]/tbl_task5[[คะแนนเต็ม]:[คะแนนเต็ม]])*tbl_task5[[%]:[%]])</f>
        <v/>
      </c>
      <c r="IQ16" s="121" t="str">
        <f>IF(ISBLANK(tbl_task5[[คะแนนเต็ม]:[คะแนนเต็ม]]),"",(tbl_task5[81]/tbl_task5[[คะแนนเต็ม]:[คะแนนเต็ม]])*tbl_task5[[%]:[%]])</f>
        <v/>
      </c>
      <c r="IR16" s="121" t="str">
        <f>IF(ISBLANK(tbl_task5[[คะแนนเต็ม]:[คะแนนเต็ม]]),"",(tbl_task5[82]/tbl_task5[[คะแนนเต็ม]:[คะแนนเต็ม]])*tbl_task5[[%]:[%]])</f>
        <v/>
      </c>
      <c r="IS16" s="121" t="str">
        <f>IF(ISBLANK(tbl_task5[[คะแนนเต็ม]:[คะแนนเต็ม]]),"",(tbl_task5[83]/tbl_task5[[คะแนนเต็ม]:[คะแนนเต็ม]])*tbl_task5[[%]:[%]])</f>
        <v/>
      </c>
      <c r="IT16" s="121" t="str">
        <f>IF(ISBLANK(tbl_task5[[คะแนนเต็ม]:[คะแนนเต็ม]]),"",(tbl_task5[84]/tbl_task5[[คะแนนเต็ม]:[คะแนนเต็ม]])*tbl_task5[[%]:[%]])</f>
        <v/>
      </c>
      <c r="IU16" s="121" t="str">
        <f>IF(ISBLANK(tbl_task5[[คะแนนเต็ม]:[คะแนนเต็ม]]),"",(tbl_task5[85]/tbl_task5[[คะแนนเต็ม]:[คะแนนเต็ม]])*tbl_task5[[%]:[%]])</f>
        <v/>
      </c>
      <c r="IV16" s="121" t="str">
        <f>IF(ISBLANK(tbl_task5[[คะแนนเต็ม]:[คะแนนเต็ม]]),"",(tbl_task5[86]/tbl_task5[[คะแนนเต็ม]:[คะแนนเต็ม]])*tbl_task5[[%]:[%]])</f>
        <v/>
      </c>
      <c r="IW16" s="121" t="str">
        <f>IF(ISBLANK(tbl_task5[[คะแนนเต็ม]:[คะแนนเต็ม]]),"",(tbl_task5[87]/tbl_task5[[คะแนนเต็ม]:[คะแนนเต็ม]])*tbl_task5[[%]:[%]])</f>
        <v/>
      </c>
      <c r="IX16" s="121" t="str">
        <f>IF(ISBLANK(tbl_task5[[คะแนนเต็ม]:[คะแนนเต็ม]]),"",(tbl_task5[88]/tbl_task5[[คะแนนเต็ม]:[คะแนนเต็ม]])*tbl_task5[[%]:[%]])</f>
        <v/>
      </c>
      <c r="IY16" s="121" t="str">
        <f>IF(ISBLANK(tbl_task5[[คะแนนเต็ม]:[คะแนนเต็ม]]),"",(tbl_task5[89]/tbl_task5[[คะแนนเต็ม]:[คะแนนเต็ม]])*tbl_task5[[%]:[%]])</f>
        <v/>
      </c>
      <c r="IZ16" s="121" t="str">
        <f>IF(ISBLANK(tbl_task5[[คะแนนเต็ม]:[คะแนนเต็ม]]),"",(tbl_task5[90]/tbl_task5[[คะแนนเต็ม]:[คะแนนเต็ม]])*tbl_task5[[%]:[%]])</f>
        <v/>
      </c>
      <c r="JA16" s="121" t="str">
        <f>IF(ISBLANK(tbl_task5[[คะแนนเต็ม]:[คะแนนเต็ม]]),"",(tbl_task5[91]/tbl_task5[[คะแนนเต็ม]:[คะแนนเต็ม]])*tbl_task5[[%]:[%]])</f>
        <v/>
      </c>
      <c r="JB16" s="121" t="str">
        <f>IF(ISBLANK(tbl_task5[[คะแนนเต็ม]:[คะแนนเต็ม]]),"",(tbl_task5[92]/tbl_task5[[คะแนนเต็ม]:[คะแนนเต็ม]])*tbl_task5[[%]:[%]])</f>
        <v/>
      </c>
      <c r="JC16" s="121" t="str">
        <f>IF(ISBLANK(tbl_task5[[คะแนนเต็ม]:[คะแนนเต็ม]]),"",(tbl_task5[93]/tbl_task5[[คะแนนเต็ม]:[คะแนนเต็ม]])*tbl_task5[[%]:[%]])</f>
        <v/>
      </c>
      <c r="JD16" s="121" t="str">
        <f>IF(ISBLANK(tbl_task5[[คะแนนเต็ม]:[คะแนนเต็ม]]),"",(tbl_task5[94]/tbl_task5[[คะแนนเต็ม]:[คะแนนเต็ม]])*tbl_task5[[%]:[%]])</f>
        <v/>
      </c>
      <c r="JE16" s="121" t="str">
        <f>IF(ISBLANK(tbl_task5[[คะแนนเต็ม]:[คะแนนเต็ม]]),"",(tbl_task5[95]/tbl_task5[[คะแนนเต็ม]:[คะแนนเต็ม]])*tbl_task5[[%]:[%]])</f>
        <v/>
      </c>
      <c r="JF16" s="121" t="str">
        <f>IF(ISBLANK(tbl_task5[[คะแนนเต็ม]:[คะแนนเต็ม]]),"",(tbl_task5[96]/tbl_task5[[คะแนนเต็ม]:[คะแนนเต็ม]])*tbl_task5[[%]:[%]])</f>
        <v/>
      </c>
      <c r="JG16" s="121" t="str">
        <f>IF(ISBLANK(tbl_task5[[คะแนนเต็ม]:[คะแนนเต็ม]]),"",(tbl_task5[97]/tbl_task5[[คะแนนเต็ม]:[คะแนนเต็ม]])*tbl_task5[[%]:[%]])</f>
        <v/>
      </c>
      <c r="JH16" s="121" t="str">
        <f>IF(ISBLANK(tbl_task5[[คะแนนเต็ม]:[คะแนนเต็ม]]),"",(tbl_task5[98]/tbl_task5[[คะแนนเต็ม]:[คะแนนเต็ม]])*tbl_task5[[%]:[%]])</f>
        <v/>
      </c>
      <c r="JI16" s="121" t="str">
        <f>IF(ISBLANK(tbl_task5[[คะแนนเต็ม]:[คะแนนเต็ม]]),"",(tbl_task5[99]/tbl_task5[[คะแนนเต็ม]:[คะแนนเต็ม]])*tbl_task5[[%]:[%]])</f>
        <v/>
      </c>
      <c r="JJ16" s="121" t="str">
        <f>IF(ISBLANK(tbl_task5[[คะแนนเต็ม]:[คะแนนเต็ม]]),"",(tbl_task5[100]/tbl_task5[[คะแนนเต็ม]:[คะแนนเต็ม]])*tbl_task5[[%]:[%]])</f>
        <v/>
      </c>
      <c r="JK16" s="121" t="str">
        <f>IF(ISBLANK(tbl_task5[[คะแนนเต็ม]:[คะแนนเต็ม]]),"",(tbl_task5[101]/tbl_task5[[คะแนนเต็ม]:[คะแนนเต็ม]])*tbl_task5[[%]:[%]])</f>
        <v/>
      </c>
      <c r="JL16" s="121" t="str">
        <f>IF(ISBLANK(tbl_task5[[คะแนนเต็ม]:[คะแนนเต็ม]]),"",(tbl_task5[102]/tbl_task5[[คะแนนเต็ม]:[คะแนนเต็ม]])*tbl_task5[[%]:[%]])</f>
        <v/>
      </c>
      <c r="JM16" s="121" t="str">
        <f>IF(ISBLANK(tbl_task5[[คะแนนเต็ม]:[คะแนนเต็ม]]),"",(tbl_task5[103]/tbl_task5[[คะแนนเต็ม]:[คะแนนเต็ม]])*tbl_task5[[%]:[%]])</f>
        <v/>
      </c>
      <c r="JN16" s="121" t="str">
        <f>IF(ISBLANK(tbl_task5[[คะแนนเต็ม]:[คะแนนเต็ม]]),"",(tbl_task5[104]/tbl_task5[[คะแนนเต็ม]:[คะแนนเต็ม]])*tbl_task5[[%]:[%]])</f>
        <v/>
      </c>
      <c r="JO16" s="121" t="str">
        <f>IF(ISBLANK(tbl_task5[[คะแนนเต็ม]:[คะแนนเต็ม]]),"",(tbl_task5[105]/tbl_task5[[คะแนนเต็ม]:[คะแนนเต็ม]])*tbl_task5[[%]:[%]])</f>
        <v/>
      </c>
      <c r="JP16" s="121" t="str">
        <f>IF(ISBLANK(tbl_task5[[คะแนนเต็ม]:[คะแนนเต็ม]]),"",(tbl_task5[106]/tbl_task5[[คะแนนเต็ม]:[คะแนนเต็ม]])*tbl_task5[[%]:[%]])</f>
        <v/>
      </c>
      <c r="JQ16" s="121" t="str">
        <f>IF(ISBLANK(tbl_task5[[คะแนนเต็ม]:[คะแนนเต็ม]]),"",(tbl_task5[107]/tbl_task5[[คะแนนเต็ม]:[คะแนนเต็ม]])*tbl_task5[[%]:[%]])</f>
        <v/>
      </c>
      <c r="JR16" s="121" t="str">
        <f>IF(ISBLANK(tbl_task5[[คะแนนเต็ม]:[คะแนนเต็ม]]),"",(tbl_task5[108]/tbl_task5[[คะแนนเต็ม]:[คะแนนเต็ม]])*tbl_task5[[%]:[%]])</f>
        <v/>
      </c>
      <c r="JS16" s="121" t="str">
        <f>IF(ISBLANK(tbl_task5[[คะแนนเต็ม]:[คะแนนเต็ม]]),"",(tbl_task5[109]/tbl_task5[[คะแนนเต็ม]:[คะแนนเต็ม]])*tbl_task5[[%]:[%]])</f>
        <v/>
      </c>
      <c r="JT16" s="121" t="str">
        <f>IF(ISBLANK(tbl_task5[[คะแนนเต็ม]:[คะแนนเต็ม]]),"",(tbl_task5[110]/tbl_task5[[คะแนนเต็ม]:[คะแนนเต็ม]])*tbl_task5[[%]:[%]])</f>
        <v/>
      </c>
      <c r="JU16" s="121" t="str">
        <f>IF(ISBLANK(tbl_task5[[คะแนนเต็ม]:[คะแนนเต็ม]]),"",(tbl_task5[111]/tbl_task5[[คะแนนเต็ม]:[คะแนนเต็ม]])*tbl_task5[[%]:[%]])</f>
        <v/>
      </c>
      <c r="JV16" s="121" t="str">
        <f>IF(ISBLANK(tbl_task5[[คะแนนเต็ม]:[คะแนนเต็ม]]),"",(tbl_task5[112]/tbl_task5[[คะแนนเต็ม]:[คะแนนเต็ม]])*tbl_task5[[%]:[%]])</f>
        <v/>
      </c>
      <c r="JW16" s="121" t="str">
        <f>IF(ISBLANK(tbl_task5[[คะแนนเต็ม]:[คะแนนเต็ม]]),"",(tbl_task5[113]/tbl_task5[[คะแนนเต็ม]:[คะแนนเต็ม]])*tbl_task5[[%]:[%]])</f>
        <v/>
      </c>
      <c r="JX16" s="121" t="str">
        <f>IF(ISBLANK(tbl_task5[[คะแนนเต็ม]:[คะแนนเต็ม]]),"",(tbl_task5[114]/tbl_task5[[คะแนนเต็ม]:[คะแนนเต็ม]])*tbl_task5[[%]:[%]])</f>
        <v/>
      </c>
      <c r="JY16" s="121" t="str">
        <f>IF(ISBLANK(tbl_task5[[คะแนนเต็ม]:[คะแนนเต็ม]]),"",(tbl_task5[115]/tbl_task5[[คะแนนเต็ม]:[คะแนนเต็ม]])*tbl_task5[[%]:[%]])</f>
        <v/>
      </c>
      <c r="JZ16" s="121" t="str">
        <f>IF(ISBLANK(tbl_task5[[คะแนนเต็ม]:[คะแนนเต็ม]]),"",(tbl_task5[116]/tbl_task5[[คะแนนเต็ม]:[คะแนนเต็ม]])*tbl_task5[[%]:[%]])</f>
        <v/>
      </c>
      <c r="KA16" s="121" t="str">
        <f>IF(ISBLANK(tbl_task5[[คะแนนเต็ม]:[คะแนนเต็ม]]),"",(tbl_task5[117]/tbl_task5[[คะแนนเต็ม]:[คะแนนเต็ม]])*tbl_task5[[%]:[%]])</f>
        <v/>
      </c>
      <c r="KB16" s="121" t="str">
        <f>IF(ISBLANK(tbl_task5[[คะแนนเต็ม]:[คะแนนเต็ม]]),"",(tbl_task5[118]/tbl_task5[[คะแนนเต็ม]:[คะแนนเต็ม]])*tbl_task5[[%]:[%]])</f>
        <v/>
      </c>
      <c r="KC16" s="121" t="str">
        <f>IF(ISBLANK(tbl_task5[[คะแนนเต็ม]:[คะแนนเต็ม]]),"",(tbl_task5[119]/tbl_task5[[คะแนนเต็ม]:[คะแนนเต็ม]])*tbl_task5[[%]:[%]])</f>
        <v/>
      </c>
      <c r="KD16" s="121" t="str">
        <f>IF(ISBLANK(tbl_task5[[คะแนนเต็ม]:[คะแนนเต็ม]]),"",(tbl_task5[120]/tbl_task5[[คะแนนเต็ม]:[คะแนนเต็ม]])*tbl_task5[[%]:[%]])</f>
        <v/>
      </c>
      <c r="KE16" s="121" t="str">
        <f>IF(ISBLANK(tbl_task5[[คะแนนเต็ม]:[คะแนนเต็ม]]),"",(tbl_task5[121]/tbl_task5[[คะแนนเต็ม]:[คะแนนเต็ม]])*tbl_task5[[%]:[%]])</f>
        <v/>
      </c>
      <c r="KF16" s="121" t="str">
        <f>IF(ISBLANK(tbl_task5[[คะแนนเต็ม]:[คะแนนเต็ม]]),"",(tbl_task5[122]/tbl_task5[[คะแนนเต็ม]:[คะแนนเต็ม]])*tbl_task5[[%]:[%]])</f>
        <v/>
      </c>
      <c r="KG16" s="121" t="str">
        <f>IF(ISBLANK(tbl_task5[[คะแนนเต็ม]:[คะแนนเต็ม]]),"",(tbl_task5[123]/tbl_task5[[คะแนนเต็ม]:[คะแนนเต็ม]])*tbl_task5[[%]:[%]])</f>
        <v/>
      </c>
      <c r="KH16" s="121" t="str">
        <f>IF(ISBLANK(tbl_task5[[คะแนนเต็ม]:[คะแนนเต็ม]]),"",(tbl_task5[124]/tbl_task5[[คะแนนเต็ม]:[คะแนนเต็ม]])*tbl_task5[[%]:[%]])</f>
        <v/>
      </c>
      <c r="KI16" s="121" t="str">
        <f>IF(ISBLANK(tbl_task5[[คะแนนเต็ม]:[คะแนนเต็ม]]),"",(tbl_task5[125]/tbl_task5[[คะแนนเต็ม]:[คะแนนเต็ม]])*tbl_task5[[%]:[%]])</f>
        <v/>
      </c>
      <c r="KJ16" s="121" t="str">
        <f>IF(ISBLANK(tbl_task5[[คะแนนเต็ม]:[คะแนนเต็ม]]),"",(tbl_task5[126]/tbl_task5[[คะแนนเต็ม]:[คะแนนเต็ม]])*tbl_task5[[%]:[%]])</f>
        <v/>
      </c>
      <c r="KK16" s="121" t="str">
        <f>IF(ISBLANK(tbl_task5[[คะแนนเต็ม]:[คะแนนเต็ม]]),"",(tbl_task5[127]/tbl_task5[[คะแนนเต็ม]:[คะแนนเต็ม]])*tbl_task5[[%]:[%]])</f>
        <v/>
      </c>
      <c r="KL16" s="121" t="str">
        <f>IF(ISBLANK(tbl_task5[[คะแนนเต็ม]:[คะแนนเต็ม]]),"",(tbl_task5[128]/tbl_task5[[คะแนนเต็ม]:[คะแนนเต็ม]])*tbl_task5[[%]:[%]])</f>
        <v/>
      </c>
      <c r="KM16" s="121" t="str">
        <f>IF(ISBLANK(tbl_task5[[คะแนนเต็ม]:[คะแนนเต็ม]]),"",(tbl_task5[129]/tbl_task5[[คะแนนเต็ม]:[คะแนนเต็ม]])*tbl_task5[[%]:[%]])</f>
        <v/>
      </c>
      <c r="KN16" s="121" t="str">
        <f>IF(ISBLANK(tbl_task5[[คะแนนเต็ม]:[คะแนนเต็ม]]),"",(tbl_task5[130]/tbl_task5[[คะแนนเต็ม]:[คะแนนเต็ม]])*tbl_task5[[%]:[%]])</f>
        <v/>
      </c>
      <c r="KO16" s="121" t="str">
        <f>IF(ISBLANK(tbl_task5[[คะแนนเต็ม]:[คะแนนเต็ม]]),"",(tbl_task5[131]/tbl_task5[[คะแนนเต็ม]:[คะแนนเต็ม]])*tbl_task5[[%]:[%]])</f>
        <v/>
      </c>
      <c r="KP16" s="121" t="str">
        <f>IF(ISBLANK(tbl_task5[[คะแนนเต็ม]:[คะแนนเต็ม]]),"",(tbl_task5[132]/tbl_task5[[คะแนนเต็ม]:[คะแนนเต็ม]])*tbl_task5[[%]:[%]])</f>
        <v/>
      </c>
      <c r="KQ16" s="121" t="str">
        <f>IF(ISBLANK(tbl_task5[[คะแนนเต็ม]:[คะแนนเต็ม]]),"",(tbl_task5[133]/tbl_task5[[คะแนนเต็ม]:[คะแนนเต็ม]])*tbl_task5[[%]:[%]])</f>
        <v/>
      </c>
      <c r="KR16" s="121" t="str">
        <f>IF(ISBLANK(tbl_task5[[คะแนนเต็ม]:[คะแนนเต็ม]]),"",(tbl_task5[134]/tbl_task5[[คะแนนเต็ม]:[คะแนนเต็ม]])*tbl_task5[[%]:[%]])</f>
        <v/>
      </c>
      <c r="KS16" s="121" t="str">
        <f>IF(ISBLANK(tbl_task5[[คะแนนเต็ม]:[คะแนนเต็ม]]),"",(tbl_task5[135]/tbl_task5[[คะแนนเต็ม]:[คะแนนเต็ม]])*tbl_task5[[%]:[%]])</f>
        <v/>
      </c>
      <c r="KT16" s="121" t="str">
        <f>IF(ISBLANK(tbl_task5[[คะแนนเต็ม]:[คะแนนเต็ม]]),"",(tbl_task5[136]/tbl_task5[[คะแนนเต็ม]:[คะแนนเต็ม]])*tbl_task5[[%]:[%]])</f>
        <v/>
      </c>
      <c r="KU16" s="121" t="str">
        <f>IF(ISBLANK(tbl_task5[[คะแนนเต็ม]:[คะแนนเต็ม]]),"",(tbl_task5[137]/tbl_task5[[คะแนนเต็ม]:[คะแนนเต็ม]])*tbl_task5[[%]:[%]])</f>
        <v/>
      </c>
      <c r="KV16" s="121" t="str">
        <f>IF(ISBLANK(tbl_task5[[คะแนนเต็ม]:[คะแนนเต็ม]]),"",(tbl_task5[138]/tbl_task5[[คะแนนเต็ม]:[คะแนนเต็ม]])*tbl_task5[[%]:[%]])</f>
        <v/>
      </c>
      <c r="KW16" s="121" t="str">
        <f>IF(ISBLANK(tbl_task5[[คะแนนเต็ม]:[คะแนนเต็ม]]),"",(tbl_task5[139]/tbl_task5[[คะแนนเต็ม]:[คะแนนเต็ม]])*tbl_task5[[%]:[%]])</f>
        <v/>
      </c>
      <c r="KX16" s="121" t="str">
        <f>IF(ISBLANK(tbl_task5[[คะแนนเต็ม]:[คะแนนเต็ม]]),"",(tbl_task5[140]/tbl_task5[[คะแนนเต็ม]:[คะแนนเต็ม]])*tbl_task5[[%]:[%]])</f>
        <v/>
      </c>
      <c r="KY16" s="121" t="str">
        <f>IF(ISBLANK(tbl_task5[[คะแนนเต็ม]:[คะแนนเต็ม]]),"",(tbl_task5[141]/tbl_task5[[คะแนนเต็ม]:[คะแนนเต็ม]])*tbl_task5[[%]:[%]])</f>
        <v/>
      </c>
      <c r="KZ16" s="121" t="str">
        <f>IF(ISBLANK(tbl_task5[[คะแนนเต็ม]:[คะแนนเต็ม]]),"",(tbl_task5[142]/tbl_task5[[คะแนนเต็ม]:[คะแนนเต็ม]])*tbl_task5[[%]:[%]])</f>
        <v/>
      </c>
      <c r="LA16" s="121" t="str">
        <f>IF(ISBLANK(tbl_task5[[คะแนนเต็ม]:[คะแนนเต็ม]]),"",(tbl_task5[143]/tbl_task5[[คะแนนเต็ม]:[คะแนนเต็ม]])*tbl_task5[[%]:[%]])</f>
        <v/>
      </c>
      <c r="LB16" s="121" t="str">
        <f>IF(ISBLANK(tbl_task5[[คะแนนเต็ม]:[คะแนนเต็ม]]),"",(tbl_task5[144]/tbl_task5[[คะแนนเต็ม]:[คะแนนเต็ม]])*tbl_task5[[%]:[%]])</f>
        <v/>
      </c>
      <c r="LC16" s="121" t="str">
        <f>IF(ISBLANK(tbl_task5[[คะแนนเต็ม]:[คะแนนเต็ม]]),"",(tbl_task5[145]/tbl_task5[[คะแนนเต็ม]:[คะแนนเต็ม]])*tbl_task5[[%]:[%]])</f>
        <v/>
      </c>
      <c r="LD16" s="121" t="str">
        <f>IF(ISBLANK(tbl_task5[[คะแนนเต็ม]:[คะแนนเต็ม]]),"",(tbl_task5[146]/tbl_task5[[คะแนนเต็ม]:[คะแนนเต็ม]])*tbl_task5[[%]:[%]])</f>
        <v/>
      </c>
      <c r="LE16" s="121" t="str">
        <f>IF(ISBLANK(tbl_task5[[คะแนนเต็ม]:[คะแนนเต็ม]]),"",(tbl_task5[147]/tbl_task5[[คะแนนเต็ม]:[คะแนนเต็ม]])*tbl_task5[[%]:[%]])</f>
        <v/>
      </c>
      <c r="LF16" s="121" t="str">
        <f>IF(ISBLANK(tbl_task5[[คะแนนเต็ม]:[คะแนนเต็ม]]),"",(tbl_task5[148]/tbl_task5[[คะแนนเต็ม]:[คะแนนเต็ม]])*tbl_task5[[%]:[%]])</f>
        <v/>
      </c>
      <c r="LG16" s="121" t="str">
        <f>IF(ISBLANK(tbl_task5[[คะแนนเต็ม]:[คะแนนเต็ม]]),"",(tbl_task5[149]/tbl_task5[[คะแนนเต็ม]:[คะแนนเต็ม]])*tbl_task5[[%]:[%]])</f>
        <v/>
      </c>
      <c r="LH16" s="121" t="str">
        <f>IF(ISBLANK(tbl_task5[[คะแนนเต็ม]:[คะแนนเต็ม]]),"",(tbl_task5[150]/tbl_task5[[คะแนนเต็ม]:[คะแนนเต็ม]])*tbl_task5[[%]:[%]])</f>
        <v/>
      </c>
      <c r="LI16" s="121" t="str">
        <f>IF(ISBLANK(tbl_task5[[คะแนนเต็ม]:[คะแนนเต็ม]]),"",(tbl_task5[151]/tbl_task5[[คะแนนเต็ม]:[คะแนนเต็ม]])*tbl_task5[[%]:[%]])</f>
        <v/>
      </c>
      <c r="LJ16" s="121" t="str">
        <f>IF(ISBLANK(tbl_task5[[คะแนนเต็ม]:[คะแนนเต็ม]]),"",(tbl_task5[152]/tbl_task5[[คะแนนเต็ม]:[คะแนนเต็ม]])*tbl_task5[[%]:[%]])</f>
        <v/>
      </c>
      <c r="LK16" s="121" t="str">
        <f>IF(ISBLANK(tbl_task5[[คะแนนเต็ม]:[คะแนนเต็ม]]),"",(tbl_task5[153]/tbl_task5[[คะแนนเต็ม]:[คะแนนเต็ม]])*tbl_task5[[%]:[%]])</f>
        <v/>
      </c>
      <c r="LL16" s="121" t="str">
        <f>IF(ISBLANK(tbl_task5[[คะแนนเต็ม]:[คะแนนเต็ม]]),"",(tbl_task5[154]/tbl_task5[[คะแนนเต็ม]:[คะแนนเต็ม]])*tbl_task5[[%]:[%]])</f>
        <v/>
      </c>
      <c r="LM16" s="121" t="str">
        <f>IF(ISBLANK(tbl_task5[[คะแนนเต็ม]:[คะแนนเต็ม]]),"",(tbl_task5[155]/tbl_task5[[คะแนนเต็ม]:[คะแนนเต็ม]])*tbl_task5[[%]:[%]])</f>
        <v/>
      </c>
      <c r="LN16" s="121" t="str">
        <f>IF(ISBLANK(tbl_task5[[คะแนนเต็ม]:[คะแนนเต็ม]]),"",(tbl_task5[156]/tbl_task5[[คะแนนเต็ม]:[คะแนนเต็ม]])*tbl_task5[[%]:[%]])</f>
        <v/>
      </c>
      <c r="LO16" s="121" t="str">
        <f>IF(ISBLANK(tbl_task5[[คะแนนเต็ม]:[คะแนนเต็ม]]),"",(tbl_task5[157]/tbl_task5[[คะแนนเต็ม]:[คะแนนเต็ม]])*tbl_task5[[%]:[%]])</f>
        <v/>
      </c>
      <c r="LP16" s="121" t="str">
        <f>IF(ISBLANK(tbl_task5[[คะแนนเต็ม]:[คะแนนเต็ม]]),"",(tbl_task5[158]/tbl_task5[[คะแนนเต็ม]:[คะแนนเต็ม]])*tbl_task5[[%]:[%]])</f>
        <v/>
      </c>
      <c r="LQ16" s="121" t="str">
        <f>IF(ISBLANK(tbl_task5[[คะแนนเต็ม]:[คะแนนเต็ม]]),"",(tbl_task5[159]/tbl_task5[[คะแนนเต็ม]:[คะแนนเต็ม]])*tbl_task5[[%]:[%]])</f>
        <v/>
      </c>
      <c r="LR16" s="121" t="str">
        <f>IF(ISBLANK(tbl_task5[[คะแนนเต็ม]:[คะแนนเต็ม]]),"",(tbl_task5[160]/tbl_task5[[คะแนนเต็ม]:[คะแนนเต็ม]])*tbl_task5[[%]:[%]])</f>
        <v/>
      </c>
      <c r="LS16" s="121" t="str">
        <f>IF(ISBLANK(tbl_task5[[คะแนนเต็ม]:[คะแนนเต็ม]]),"",(tbl_task5[161]/tbl_task5[[คะแนนเต็ม]:[คะแนนเต็ม]])*tbl_task5[[%]:[%]])</f>
        <v/>
      </c>
      <c r="LT16" s="121" t="str">
        <f>IF(ISBLANK(tbl_task5[[คะแนนเต็ม]:[คะแนนเต็ม]]),"",(tbl_task5[162]/tbl_task5[[คะแนนเต็ม]:[คะแนนเต็ม]])*tbl_task5[[%]:[%]])</f>
        <v/>
      </c>
      <c r="LU16" s="121" t="str">
        <f>IF(ISBLANK(tbl_task5[[คะแนนเต็ม]:[คะแนนเต็ม]]),"",(tbl_task5[163]/tbl_task5[[คะแนนเต็ม]:[คะแนนเต็ม]])*tbl_task5[[%]:[%]])</f>
        <v/>
      </c>
      <c r="LV16" s="121" t="str">
        <f>IF(ISBLANK(tbl_task5[[คะแนนเต็ม]:[คะแนนเต็ม]]),"",(tbl_task5[164]/tbl_task5[[คะแนนเต็ม]:[คะแนนเต็ม]])*tbl_task5[[%]:[%]])</f>
        <v/>
      </c>
      <c r="LW16" s="121" t="str">
        <f>IF(ISBLANK(tbl_task5[[คะแนนเต็ม]:[คะแนนเต็ม]]),"",(tbl_task5[165]/tbl_task5[[คะแนนเต็ม]:[คะแนนเต็ม]])*tbl_task5[[%]:[%]])</f>
        <v/>
      </c>
    </row>
    <row r="17" spans="1:335" ht="24" customHeight="1" x14ac:dyDescent="0.25">
      <c r="A17" s="24">
        <v>14</v>
      </c>
      <c r="B17" s="20"/>
      <c r="C17" s="5" t="str">
        <f>IF(ISBLANK(B17),"",VLOOKUP(B17,tbl_PLOs[],2,0))</f>
        <v/>
      </c>
      <c r="D17" s="102"/>
      <c r="E17" s="10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121" t="str">
        <f>IF(ISBLANK(tbl_task5[[คะแนนเต็ม]:[คะแนนเต็ม]]),"",(tbl_task5[1]/tbl_task5[[คะแนนเต็ม]:[คะแนนเต็ม]])*tbl_task5[[%]:[%]])</f>
        <v/>
      </c>
      <c r="FP17" s="121" t="str">
        <f>IF(ISBLANK(tbl_task5[[คะแนนเต็ม]:[คะแนนเต็ม]]),"",(tbl_task5[2]/tbl_task5[[คะแนนเต็ม]:[คะแนนเต็ม]])*tbl_task5[[%]:[%]])</f>
        <v/>
      </c>
      <c r="FQ17" s="121" t="str">
        <f>IF(ISBLANK(tbl_task5[[คะแนนเต็ม]:[คะแนนเต็ม]]),"",(tbl_task5[3]/tbl_task5[[คะแนนเต็ม]:[คะแนนเต็ม]])*tbl_task5[[%]:[%]])</f>
        <v/>
      </c>
      <c r="FR17" s="121" t="str">
        <f>IF(ISBLANK(tbl_task5[[คะแนนเต็ม]:[คะแนนเต็ม]]),"",(tbl_task5[4]/tbl_task5[[คะแนนเต็ม]:[คะแนนเต็ม]])*tbl_task5[[%]:[%]])</f>
        <v/>
      </c>
      <c r="FS17" s="121" t="str">
        <f>IF(ISBLANK(tbl_task5[[คะแนนเต็ม]:[คะแนนเต็ม]]),"",(tbl_task5[5]/tbl_task5[[คะแนนเต็ม]:[คะแนนเต็ม]])*tbl_task5[[%]:[%]])</f>
        <v/>
      </c>
      <c r="FT17" s="121" t="str">
        <f>IF(ISBLANK(tbl_task5[[คะแนนเต็ม]:[คะแนนเต็ม]]),"",(tbl_task5[6]/tbl_task5[[คะแนนเต็ม]:[คะแนนเต็ม]])*tbl_task5[[%]:[%]])</f>
        <v/>
      </c>
      <c r="FU17" s="121" t="str">
        <f>IF(ISBLANK(tbl_task5[[คะแนนเต็ม]:[คะแนนเต็ม]]),"",(tbl_task5[7]/tbl_task5[[คะแนนเต็ม]:[คะแนนเต็ม]])*tbl_task5[[%]:[%]])</f>
        <v/>
      </c>
      <c r="FV17" s="121" t="str">
        <f>IF(ISBLANK(tbl_task5[[คะแนนเต็ม]:[คะแนนเต็ม]]),"",(tbl_task5[8]/tbl_task5[[คะแนนเต็ม]:[คะแนนเต็ม]])*tbl_task5[[%]:[%]])</f>
        <v/>
      </c>
      <c r="FW17" s="121" t="str">
        <f>IF(ISBLANK(tbl_task5[[คะแนนเต็ม]:[คะแนนเต็ม]]),"",(tbl_task5[9]/tbl_task5[[คะแนนเต็ม]:[คะแนนเต็ม]])*tbl_task5[[%]:[%]])</f>
        <v/>
      </c>
      <c r="FX17" s="121" t="str">
        <f>IF(ISBLANK(tbl_task5[[คะแนนเต็ม]:[คะแนนเต็ม]]),"",(tbl_task5[10]/tbl_task5[[คะแนนเต็ม]:[คะแนนเต็ม]])*tbl_task5[[%]:[%]])</f>
        <v/>
      </c>
      <c r="FY17" s="121" t="str">
        <f>IF(ISBLANK(tbl_task5[[คะแนนเต็ม]:[คะแนนเต็ม]]),"",(tbl_task5[11]/tbl_task5[[คะแนนเต็ม]:[คะแนนเต็ม]])*tbl_task5[[%]:[%]])</f>
        <v/>
      </c>
      <c r="FZ17" s="121" t="str">
        <f>IF(ISBLANK(tbl_task5[[คะแนนเต็ม]:[คะแนนเต็ม]]),"",(tbl_task5[12]/tbl_task5[[คะแนนเต็ม]:[คะแนนเต็ม]])*tbl_task5[[%]:[%]])</f>
        <v/>
      </c>
      <c r="GA17" s="121" t="str">
        <f>IF(ISBLANK(tbl_task5[[คะแนนเต็ม]:[คะแนนเต็ม]]),"",(tbl_task5[13]/tbl_task5[[คะแนนเต็ม]:[คะแนนเต็ม]])*tbl_task5[[%]:[%]])</f>
        <v/>
      </c>
      <c r="GB17" s="121" t="str">
        <f>IF(ISBLANK(tbl_task5[[คะแนนเต็ม]:[คะแนนเต็ม]]),"",(tbl_task5[14]/tbl_task5[[คะแนนเต็ม]:[คะแนนเต็ม]])*tbl_task5[[%]:[%]])</f>
        <v/>
      </c>
      <c r="GC17" s="121" t="str">
        <f>IF(ISBLANK(tbl_task5[[คะแนนเต็ม]:[คะแนนเต็ม]]),"",(tbl_task5[15]/tbl_task5[[คะแนนเต็ม]:[คะแนนเต็ม]])*tbl_task5[[%]:[%]])</f>
        <v/>
      </c>
      <c r="GD17" s="121" t="str">
        <f>IF(ISBLANK(tbl_task5[[คะแนนเต็ม]:[คะแนนเต็ม]]),"",(tbl_task5[16]/tbl_task5[[คะแนนเต็ม]:[คะแนนเต็ม]])*tbl_task5[[%]:[%]])</f>
        <v/>
      </c>
      <c r="GE17" s="121" t="str">
        <f>IF(ISBLANK(tbl_task5[[คะแนนเต็ม]:[คะแนนเต็ม]]),"",(tbl_task5[17]/tbl_task5[[คะแนนเต็ม]:[คะแนนเต็ม]])*tbl_task5[[%]:[%]])</f>
        <v/>
      </c>
      <c r="GF17" s="121" t="str">
        <f>IF(ISBLANK(tbl_task5[[คะแนนเต็ม]:[คะแนนเต็ม]]),"",(tbl_task5[18]/tbl_task5[[คะแนนเต็ม]:[คะแนนเต็ม]])*tbl_task5[[%]:[%]])</f>
        <v/>
      </c>
      <c r="GG17" s="121" t="str">
        <f>IF(ISBLANK(tbl_task5[[คะแนนเต็ม]:[คะแนนเต็ม]]),"",(tbl_task5[19]/tbl_task5[[คะแนนเต็ม]:[คะแนนเต็ม]])*tbl_task5[[%]:[%]])</f>
        <v/>
      </c>
      <c r="GH17" s="121" t="str">
        <f>IF(ISBLANK(tbl_task5[[คะแนนเต็ม]:[คะแนนเต็ม]]),"",(tbl_task5[20]/tbl_task5[[คะแนนเต็ม]:[คะแนนเต็ม]])*tbl_task5[[%]:[%]])</f>
        <v/>
      </c>
      <c r="GI17" s="121" t="str">
        <f>IF(ISBLANK(tbl_task5[[คะแนนเต็ม]:[คะแนนเต็ม]]),"",(tbl_task5[21]/tbl_task5[[คะแนนเต็ม]:[คะแนนเต็ม]])*tbl_task5[[%]:[%]])</f>
        <v/>
      </c>
      <c r="GJ17" s="121" t="str">
        <f>IF(ISBLANK(tbl_task5[[คะแนนเต็ม]:[คะแนนเต็ม]]),"",(tbl_task5[22]/tbl_task5[[คะแนนเต็ม]:[คะแนนเต็ม]])*tbl_task5[[%]:[%]])</f>
        <v/>
      </c>
      <c r="GK17" s="121" t="str">
        <f>IF(ISBLANK(tbl_task5[[คะแนนเต็ม]:[คะแนนเต็ม]]),"",(tbl_task5[23]/tbl_task5[[คะแนนเต็ม]:[คะแนนเต็ม]])*tbl_task5[[%]:[%]])</f>
        <v/>
      </c>
      <c r="GL17" s="121" t="str">
        <f>IF(ISBLANK(tbl_task5[[คะแนนเต็ม]:[คะแนนเต็ม]]),"",(tbl_task5[24]/tbl_task5[[คะแนนเต็ม]:[คะแนนเต็ม]])*tbl_task5[[%]:[%]])</f>
        <v/>
      </c>
      <c r="GM17" s="121" t="str">
        <f>IF(ISBLANK(tbl_task5[[คะแนนเต็ม]:[คะแนนเต็ม]]),"",(tbl_task5[25]/tbl_task5[[คะแนนเต็ม]:[คะแนนเต็ม]])*tbl_task5[[%]:[%]])</f>
        <v/>
      </c>
      <c r="GN17" s="121" t="str">
        <f>IF(ISBLANK(tbl_task5[[คะแนนเต็ม]:[คะแนนเต็ม]]),"",(tbl_task5[26]/tbl_task5[[คะแนนเต็ม]:[คะแนนเต็ม]])*tbl_task5[[%]:[%]])</f>
        <v/>
      </c>
      <c r="GO17" s="121" t="str">
        <f>IF(ISBLANK(tbl_task5[[คะแนนเต็ม]:[คะแนนเต็ม]]),"",(tbl_task5[27]/tbl_task5[[คะแนนเต็ม]:[คะแนนเต็ม]])*tbl_task5[[%]:[%]])</f>
        <v/>
      </c>
      <c r="GP17" s="121" t="str">
        <f>IF(ISBLANK(tbl_task5[[คะแนนเต็ม]:[คะแนนเต็ม]]),"",(tbl_task5[28]/tbl_task5[[คะแนนเต็ม]:[คะแนนเต็ม]])*tbl_task5[[%]:[%]])</f>
        <v/>
      </c>
      <c r="GQ17" s="121" t="str">
        <f>IF(ISBLANK(tbl_task5[[คะแนนเต็ม]:[คะแนนเต็ม]]),"",(tbl_task5[29]/tbl_task5[[คะแนนเต็ม]:[คะแนนเต็ม]])*tbl_task5[[%]:[%]])</f>
        <v/>
      </c>
      <c r="GR17" s="121" t="str">
        <f>IF(ISBLANK(tbl_task5[[คะแนนเต็ม]:[คะแนนเต็ม]]),"",(tbl_task5[30]/tbl_task5[[คะแนนเต็ม]:[คะแนนเต็ม]])*tbl_task5[[%]:[%]])</f>
        <v/>
      </c>
      <c r="GS17" s="121" t="str">
        <f>IF(ISBLANK(tbl_task5[[คะแนนเต็ม]:[คะแนนเต็ม]]),"",(tbl_task5[31]/tbl_task5[[คะแนนเต็ม]:[คะแนนเต็ม]])*tbl_task5[[%]:[%]])</f>
        <v/>
      </c>
      <c r="GT17" s="121" t="str">
        <f>IF(ISBLANK(tbl_task5[[คะแนนเต็ม]:[คะแนนเต็ม]]),"",(tbl_task5[32]/tbl_task5[[คะแนนเต็ม]:[คะแนนเต็ม]])*tbl_task5[[%]:[%]])</f>
        <v/>
      </c>
      <c r="GU17" s="121" t="str">
        <f>IF(ISBLANK(tbl_task5[[คะแนนเต็ม]:[คะแนนเต็ม]]),"",(tbl_task5[33]/tbl_task5[[คะแนนเต็ม]:[คะแนนเต็ม]])*tbl_task5[[%]:[%]])</f>
        <v/>
      </c>
      <c r="GV17" s="121" t="str">
        <f>IF(ISBLANK(tbl_task5[[คะแนนเต็ม]:[คะแนนเต็ม]]),"",(tbl_task5[34]/tbl_task5[[คะแนนเต็ม]:[คะแนนเต็ม]])*tbl_task5[[%]:[%]])</f>
        <v/>
      </c>
      <c r="GW17" s="121" t="str">
        <f>IF(ISBLANK(tbl_task5[[คะแนนเต็ม]:[คะแนนเต็ม]]),"",(tbl_task5[35]/tbl_task5[[คะแนนเต็ม]:[คะแนนเต็ม]])*tbl_task5[[%]:[%]])</f>
        <v/>
      </c>
      <c r="GX17" s="121" t="str">
        <f>IF(ISBLANK(tbl_task5[[คะแนนเต็ม]:[คะแนนเต็ม]]),"",(tbl_task5[36]/tbl_task5[[คะแนนเต็ม]:[คะแนนเต็ม]])*tbl_task5[[%]:[%]])</f>
        <v/>
      </c>
      <c r="GY17" s="121" t="str">
        <f>IF(ISBLANK(tbl_task5[[คะแนนเต็ม]:[คะแนนเต็ม]]),"",(tbl_task5[37]/tbl_task5[[คะแนนเต็ม]:[คะแนนเต็ม]])*tbl_task5[[%]:[%]])</f>
        <v/>
      </c>
      <c r="GZ17" s="121" t="str">
        <f>IF(ISBLANK(tbl_task5[[คะแนนเต็ม]:[คะแนนเต็ม]]),"",(tbl_task5[38]/tbl_task5[[คะแนนเต็ม]:[คะแนนเต็ม]])*tbl_task5[[%]:[%]])</f>
        <v/>
      </c>
      <c r="HA17" s="121" t="str">
        <f>IF(ISBLANK(tbl_task5[[คะแนนเต็ม]:[คะแนนเต็ม]]),"",(tbl_task5[39]/tbl_task5[[คะแนนเต็ม]:[คะแนนเต็ม]])*tbl_task5[[%]:[%]])</f>
        <v/>
      </c>
      <c r="HB17" s="121" t="str">
        <f>IF(ISBLANK(tbl_task5[[คะแนนเต็ม]:[คะแนนเต็ม]]),"",(tbl_task5[40]/tbl_task5[[คะแนนเต็ม]:[คะแนนเต็ม]])*tbl_task5[[%]:[%]])</f>
        <v/>
      </c>
      <c r="HC17" s="121" t="str">
        <f>IF(ISBLANK(tbl_task5[[คะแนนเต็ม]:[คะแนนเต็ม]]),"",(tbl_task5[41]/tbl_task5[[คะแนนเต็ม]:[คะแนนเต็ม]])*tbl_task5[[%]:[%]])</f>
        <v/>
      </c>
      <c r="HD17" s="121" t="str">
        <f>IF(ISBLANK(tbl_task5[[คะแนนเต็ม]:[คะแนนเต็ม]]),"",(tbl_task5[42]/tbl_task5[[คะแนนเต็ม]:[คะแนนเต็ม]])*tbl_task5[[%]:[%]])</f>
        <v/>
      </c>
      <c r="HE17" s="121" t="str">
        <f>IF(ISBLANK(tbl_task5[[คะแนนเต็ม]:[คะแนนเต็ม]]),"",(tbl_task5[43]/tbl_task5[[คะแนนเต็ม]:[คะแนนเต็ม]])*tbl_task5[[%]:[%]])</f>
        <v/>
      </c>
      <c r="HF17" s="121" t="str">
        <f>IF(ISBLANK(tbl_task5[[คะแนนเต็ม]:[คะแนนเต็ม]]),"",(tbl_task5[44]/tbl_task5[[คะแนนเต็ม]:[คะแนนเต็ม]])*tbl_task5[[%]:[%]])</f>
        <v/>
      </c>
      <c r="HG17" s="121" t="str">
        <f>IF(ISBLANK(tbl_task5[[คะแนนเต็ม]:[คะแนนเต็ม]]),"",(tbl_task5[45]/tbl_task5[[คะแนนเต็ม]:[คะแนนเต็ม]])*tbl_task5[[%]:[%]])</f>
        <v/>
      </c>
      <c r="HH17" s="121" t="str">
        <f>IF(ISBLANK(tbl_task5[[คะแนนเต็ม]:[คะแนนเต็ม]]),"",(tbl_task5[46]/tbl_task5[[คะแนนเต็ม]:[คะแนนเต็ม]])*tbl_task5[[%]:[%]])</f>
        <v/>
      </c>
      <c r="HI17" s="121" t="str">
        <f>IF(ISBLANK(tbl_task5[[คะแนนเต็ม]:[คะแนนเต็ม]]),"",(tbl_task5[47]/tbl_task5[[คะแนนเต็ม]:[คะแนนเต็ม]])*tbl_task5[[%]:[%]])</f>
        <v/>
      </c>
      <c r="HJ17" s="121" t="str">
        <f>IF(ISBLANK(tbl_task5[[คะแนนเต็ม]:[คะแนนเต็ม]]),"",(tbl_task5[48]/tbl_task5[[คะแนนเต็ม]:[คะแนนเต็ม]])*tbl_task5[[%]:[%]])</f>
        <v/>
      </c>
      <c r="HK17" s="121" t="str">
        <f>IF(ISBLANK(tbl_task5[[คะแนนเต็ม]:[คะแนนเต็ม]]),"",(tbl_task5[49]/tbl_task5[[คะแนนเต็ม]:[คะแนนเต็ม]])*tbl_task5[[%]:[%]])</f>
        <v/>
      </c>
      <c r="HL17" s="121" t="str">
        <f>IF(ISBLANK(tbl_task5[[คะแนนเต็ม]:[คะแนนเต็ม]]),"",(tbl_task5[50]/tbl_task5[[คะแนนเต็ม]:[คะแนนเต็ม]])*tbl_task5[[%]:[%]])</f>
        <v/>
      </c>
      <c r="HM17" s="121" t="str">
        <f>IF(ISBLANK(tbl_task5[[คะแนนเต็ม]:[คะแนนเต็ม]]),"",(tbl_task5[51]/tbl_task5[[คะแนนเต็ม]:[คะแนนเต็ม]])*tbl_task5[[%]:[%]])</f>
        <v/>
      </c>
      <c r="HN17" s="121" t="str">
        <f>IF(ISBLANK(tbl_task5[[คะแนนเต็ม]:[คะแนนเต็ม]]),"",(tbl_task5[52]/tbl_task5[[คะแนนเต็ม]:[คะแนนเต็ม]])*tbl_task5[[%]:[%]])</f>
        <v/>
      </c>
      <c r="HO17" s="121" t="str">
        <f>IF(ISBLANK(tbl_task5[[คะแนนเต็ม]:[คะแนนเต็ม]]),"",(tbl_task5[53]/tbl_task5[[คะแนนเต็ม]:[คะแนนเต็ม]])*tbl_task5[[%]:[%]])</f>
        <v/>
      </c>
      <c r="HP17" s="121" t="str">
        <f>IF(ISBLANK(tbl_task5[[คะแนนเต็ม]:[คะแนนเต็ม]]),"",(tbl_task5[54]/tbl_task5[[คะแนนเต็ม]:[คะแนนเต็ม]])*tbl_task5[[%]:[%]])</f>
        <v/>
      </c>
      <c r="HQ17" s="121" t="str">
        <f>IF(ISBLANK(tbl_task5[[คะแนนเต็ม]:[คะแนนเต็ม]]),"",(tbl_task5[55]/tbl_task5[[คะแนนเต็ม]:[คะแนนเต็ม]])*tbl_task5[[%]:[%]])</f>
        <v/>
      </c>
      <c r="HR17" s="121" t="str">
        <f>IF(ISBLANK(tbl_task5[[คะแนนเต็ม]:[คะแนนเต็ม]]),"",(tbl_task5[56]/tbl_task5[[คะแนนเต็ม]:[คะแนนเต็ม]])*tbl_task5[[%]:[%]])</f>
        <v/>
      </c>
      <c r="HS17" s="121" t="str">
        <f>IF(ISBLANK(tbl_task5[[คะแนนเต็ม]:[คะแนนเต็ม]]),"",(tbl_task5[57]/tbl_task5[[คะแนนเต็ม]:[คะแนนเต็ม]])*tbl_task5[[%]:[%]])</f>
        <v/>
      </c>
      <c r="HT17" s="121" t="str">
        <f>IF(ISBLANK(tbl_task5[[คะแนนเต็ม]:[คะแนนเต็ม]]),"",(tbl_task5[58]/tbl_task5[[คะแนนเต็ม]:[คะแนนเต็ม]])*tbl_task5[[%]:[%]])</f>
        <v/>
      </c>
      <c r="HU17" s="121" t="str">
        <f>IF(ISBLANK(tbl_task5[[คะแนนเต็ม]:[คะแนนเต็ม]]),"",(tbl_task5[59]/tbl_task5[[คะแนนเต็ม]:[คะแนนเต็ม]])*tbl_task5[[%]:[%]])</f>
        <v/>
      </c>
      <c r="HV17" s="121" t="str">
        <f>IF(ISBLANK(tbl_task5[[คะแนนเต็ม]:[คะแนนเต็ม]]),"",(tbl_task5[60]/tbl_task5[[คะแนนเต็ม]:[คะแนนเต็ม]])*tbl_task5[[%]:[%]])</f>
        <v/>
      </c>
      <c r="HW17" s="121" t="str">
        <f>IF(ISBLANK(tbl_task5[[คะแนนเต็ม]:[คะแนนเต็ม]]),"",(tbl_task5[61]/tbl_task5[[คะแนนเต็ม]:[คะแนนเต็ม]])*tbl_task5[[%]:[%]])</f>
        <v/>
      </c>
      <c r="HX17" s="121" t="str">
        <f>IF(ISBLANK(tbl_task5[[คะแนนเต็ม]:[คะแนนเต็ม]]),"",(tbl_task5[62]/tbl_task5[[คะแนนเต็ม]:[คะแนนเต็ม]])*tbl_task5[[%]:[%]])</f>
        <v/>
      </c>
      <c r="HY17" s="121" t="str">
        <f>IF(ISBLANK(tbl_task5[[คะแนนเต็ม]:[คะแนนเต็ม]]),"",(tbl_task5[63]/tbl_task5[[คะแนนเต็ม]:[คะแนนเต็ม]])*tbl_task5[[%]:[%]])</f>
        <v/>
      </c>
      <c r="HZ17" s="121" t="str">
        <f>IF(ISBLANK(tbl_task5[[คะแนนเต็ม]:[คะแนนเต็ม]]),"",(tbl_task5[64]/tbl_task5[[คะแนนเต็ม]:[คะแนนเต็ม]])*tbl_task5[[%]:[%]])</f>
        <v/>
      </c>
      <c r="IA17" s="121" t="str">
        <f>IF(ISBLANK(tbl_task5[[คะแนนเต็ม]:[คะแนนเต็ม]]),"",(tbl_task5[65]/tbl_task5[[คะแนนเต็ม]:[คะแนนเต็ม]])*tbl_task5[[%]:[%]])</f>
        <v/>
      </c>
      <c r="IB17" s="121" t="str">
        <f>IF(ISBLANK(tbl_task5[[คะแนนเต็ม]:[คะแนนเต็ม]]),"",(tbl_task5[66]/tbl_task5[[คะแนนเต็ม]:[คะแนนเต็ม]])*tbl_task5[[%]:[%]])</f>
        <v/>
      </c>
      <c r="IC17" s="121" t="str">
        <f>IF(ISBLANK(tbl_task5[[คะแนนเต็ม]:[คะแนนเต็ม]]),"",(tbl_task5[67]/tbl_task5[[คะแนนเต็ม]:[คะแนนเต็ม]])*tbl_task5[[%]:[%]])</f>
        <v/>
      </c>
      <c r="ID17" s="121" t="str">
        <f>IF(ISBLANK(tbl_task5[[คะแนนเต็ม]:[คะแนนเต็ม]]),"",(tbl_task5[68]/tbl_task5[[คะแนนเต็ม]:[คะแนนเต็ม]])*tbl_task5[[%]:[%]])</f>
        <v/>
      </c>
      <c r="IE17" s="121" t="str">
        <f>IF(ISBLANK(tbl_task5[[คะแนนเต็ม]:[คะแนนเต็ม]]),"",(tbl_task5[69]/tbl_task5[[คะแนนเต็ม]:[คะแนนเต็ม]])*tbl_task5[[%]:[%]])</f>
        <v/>
      </c>
      <c r="IF17" s="121" t="str">
        <f>IF(ISBLANK(tbl_task5[[คะแนนเต็ม]:[คะแนนเต็ม]]),"",(tbl_task5[70]/tbl_task5[[คะแนนเต็ม]:[คะแนนเต็ม]])*tbl_task5[[%]:[%]])</f>
        <v/>
      </c>
      <c r="IG17" s="121" t="str">
        <f>IF(ISBLANK(tbl_task5[[คะแนนเต็ม]:[คะแนนเต็ม]]),"",(tbl_task5[71]/tbl_task5[[คะแนนเต็ม]:[คะแนนเต็ม]])*tbl_task5[[%]:[%]])</f>
        <v/>
      </c>
      <c r="IH17" s="121" t="str">
        <f>IF(ISBLANK(tbl_task5[[คะแนนเต็ม]:[คะแนนเต็ม]]),"",(tbl_task5[72]/tbl_task5[[คะแนนเต็ม]:[คะแนนเต็ม]])*tbl_task5[[%]:[%]])</f>
        <v/>
      </c>
      <c r="II17" s="121" t="str">
        <f>IF(ISBLANK(tbl_task5[[คะแนนเต็ม]:[คะแนนเต็ม]]),"",(tbl_task5[73]/tbl_task5[[คะแนนเต็ม]:[คะแนนเต็ม]])*tbl_task5[[%]:[%]])</f>
        <v/>
      </c>
      <c r="IJ17" s="121" t="str">
        <f>IF(ISBLANK(tbl_task5[[คะแนนเต็ม]:[คะแนนเต็ม]]),"",(tbl_task5[74]/tbl_task5[[คะแนนเต็ม]:[คะแนนเต็ม]])*tbl_task5[[%]:[%]])</f>
        <v/>
      </c>
      <c r="IK17" s="121" t="str">
        <f>IF(ISBLANK(tbl_task5[[คะแนนเต็ม]:[คะแนนเต็ม]]),"",(tbl_task5[75]/tbl_task5[[คะแนนเต็ม]:[คะแนนเต็ม]])*tbl_task5[[%]:[%]])</f>
        <v/>
      </c>
      <c r="IL17" s="121" t="str">
        <f>IF(ISBLANK(tbl_task5[[คะแนนเต็ม]:[คะแนนเต็ม]]),"",(tbl_task5[76]/tbl_task5[[คะแนนเต็ม]:[คะแนนเต็ม]])*tbl_task5[[%]:[%]])</f>
        <v/>
      </c>
      <c r="IM17" s="121" t="str">
        <f>IF(ISBLANK(tbl_task5[[คะแนนเต็ม]:[คะแนนเต็ม]]),"",(tbl_task5[77]/tbl_task5[[คะแนนเต็ม]:[คะแนนเต็ม]])*tbl_task5[[%]:[%]])</f>
        <v/>
      </c>
      <c r="IN17" s="121" t="str">
        <f>IF(ISBLANK(tbl_task5[[คะแนนเต็ม]:[คะแนนเต็ม]]),"",(tbl_task5[78]/tbl_task5[[คะแนนเต็ม]:[คะแนนเต็ม]])*tbl_task5[[%]:[%]])</f>
        <v/>
      </c>
      <c r="IO17" s="121" t="str">
        <f>IF(ISBLANK(tbl_task5[[คะแนนเต็ม]:[คะแนนเต็ม]]),"",(tbl_task5[79]/tbl_task5[[คะแนนเต็ม]:[คะแนนเต็ม]])*tbl_task5[[%]:[%]])</f>
        <v/>
      </c>
      <c r="IP17" s="121" t="str">
        <f>IF(ISBLANK(tbl_task5[[คะแนนเต็ม]:[คะแนนเต็ม]]),"",(tbl_task5[80]/tbl_task5[[คะแนนเต็ม]:[คะแนนเต็ม]])*tbl_task5[[%]:[%]])</f>
        <v/>
      </c>
      <c r="IQ17" s="121" t="str">
        <f>IF(ISBLANK(tbl_task5[[คะแนนเต็ม]:[คะแนนเต็ม]]),"",(tbl_task5[81]/tbl_task5[[คะแนนเต็ม]:[คะแนนเต็ม]])*tbl_task5[[%]:[%]])</f>
        <v/>
      </c>
      <c r="IR17" s="121" t="str">
        <f>IF(ISBLANK(tbl_task5[[คะแนนเต็ม]:[คะแนนเต็ม]]),"",(tbl_task5[82]/tbl_task5[[คะแนนเต็ม]:[คะแนนเต็ม]])*tbl_task5[[%]:[%]])</f>
        <v/>
      </c>
      <c r="IS17" s="121" t="str">
        <f>IF(ISBLANK(tbl_task5[[คะแนนเต็ม]:[คะแนนเต็ม]]),"",(tbl_task5[83]/tbl_task5[[คะแนนเต็ม]:[คะแนนเต็ม]])*tbl_task5[[%]:[%]])</f>
        <v/>
      </c>
      <c r="IT17" s="121" t="str">
        <f>IF(ISBLANK(tbl_task5[[คะแนนเต็ม]:[คะแนนเต็ม]]),"",(tbl_task5[84]/tbl_task5[[คะแนนเต็ม]:[คะแนนเต็ม]])*tbl_task5[[%]:[%]])</f>
        <v/>
      </c>
      <c r="IU17" s="121" t="str">
        <f>IF(ISBLANK(tbl_task5[[คะแนนเต็ม]:[คะแนนเต็ม]]),"",(tbl_task5[85]/tbl_task5[[คะแนนเต็ม]:[คะแนนเต็ม]])*tbl_task5[[%]:[%]])</f>
        <v/>
      </c>
      <c r="IV17" s="121" t="str">
        <f>IF(ISBLANK(tbl_task5[[คะแนนเต็ม]:[คะแนนเต็ม]]),"",(tbl_task5[86]/tbl_task5[[คะแนนเต็ม]:[คะแนนเต็ม]])*tbl_task5[[%]:[%]])</f>
        <v/>
      </c>
      <c r="IW17" s="121" t="str">
        <f>IF(ISBLANK(tbl_task5[[คะแนนเต็ม]:[คะแนนเต็ม]]),"",(tbl_task5[87]/tbl_task5[[คะแนนเต็ม]:[คะแนนเต็ม]])*tbl_task5[[%]:[%]])</f>
        <v/>
      </c>
      <c r="IX17" s="121" t="str">
        <f>IF(ISBLANK(tbl_task5[[คะแนนเต็ม]:[คะแนนเต็ม]]),"",(tbl_task5[88]/tbl_task5[[คะแนนเต็ม]:[คะแนนเต็ม]])*tbl_task5[[%]:[%]])</f>
        <v/>
      </c>
      <c r="IY17" s="121" t="str">
        <f>IF(ISBLANK(tbl_task5[[คะแนนเต็ม]:[คะแนนเต็ม]]),"",(tbl_task5[89]/tbl_task5[[คะแนนเต็ม]:[คะแนนเต็ม]])*tbl_task5[[%]:[%]])</f>
        <v/>
      </c>
      <c r="IZ17" s="121" t="str">
        <f>IF(ISBLANK(tbl_task5[[คะแนนเต็ม]:[คะแนนเต็ม]]),"",(tbl_task5[90]/tbl_task5[[คะแนนเต็ม]:[คะแนนเต็ม]])*tbl_task5[[%]:[%]])</f>
        <v/>
      </c>
      <c r="JA17" s="121" t="str">
        <f>IF(ISBLANK(tbl_task5[[คะแนนเต็ม]:[คะแนนเต็ม]]),"",(tbl_task5[91]/tbl_task5[[คะแนนเต็ม]:[คะแนนเต็ม]])*tbl_task5[[%]:[%]])</f>
        <v/>
      </c>
      <c r="JB17" s="121" t="str">
        <f>IF(ISBLANK(tbl_task5[[คะแนนเต็ม]:[คะแนนเต็ม]]),"",(tbl_task5[92]/tbl_task5[[คะแนนเต็ม]:[คะแนนเต็ม]])*tbl_task5[[%]:[%]])</f>
        <v/>
      </c>
      <c r="JC17" s="121" t="str">
        <f>IF(ISBLANK(tbl_task5[[คะแนนเต็ม]:[คะแนนเต็ม]]),"",(tbl_task5[93]/tbl_task5[[คะแนนเต็ม]:[คะแนนเต็ม]])*tbl_task5[[%]:[%]])</f>
        <v/>
      </c>
      <c r="JD17" s="121" t="str">
        <f>IF(ISBLANK(tbl_task5[[คะแนนเต็ม]:[คะแนนเต็ม]]),"",(tbl_task5[94]/tbl_task5[[คะแนนเต็ม]:[คะแนนเต็ม]])*tbl_task5[[%]:[%]])</f>
        <v/>
      </c>
      <c r="JE17" s="121" t="str">
        <f>IF(ISBLANK(tbl_task5[[คะแนนเต็ม]:[คะแนนเต็ม]]),"",(tbl_task5[95]/tbl_task5[[คะแนนเต็ม]:[คะแนนเต็ม]])*tbl_task5[[%]:[%]])</f>
        <v/>
      </c>
      <c r="JF17" s="121" t="str">
        <f>IF(ISBLANK(tbl_task5[[คะแนนเต็ม]:[คะแนนเต็ม]]),"",(tbl_task5[96]/tbl_task5[[คะแนนเต็ม]:[คะแนนเต็ม]])*tbl_task5[[%]:[%]])</f>
        <v/>
      </c>
      <c r="JG17" s="121" t="str">
        <f>IF(ISBLANK(tbl_task5[[คะแนนเต็ม]:[คะแนนเต็ม]]),"",(tbl_task5[97]/tbl_task5[[คะแนนเต็ม]:[คะแนนเต็ม]])*tbl_task5[[%]:[%]])</f>
        <v/>
      </c>
      <c r="JH17" s="121" t="str">
        <f>IF(ISBLANK(tbl_task5[[คะแนนเต็ม]:[คะแนนเต็ม]]),"",(tbl_task5[98]/tbl_task5[[คะแนนเต็ม]:[คะแนนเต็ม]])*tbl_task5[[%]:[%]])</f>
        <v/>
      </c>
      <c r="JI17" s="121" t="str">
        <f>IF(ISBLANK(tbl_task5[[คะแนนเต็ม]:[คะแนนเต็ม]]),"",(tbl_task5[99]/tbl_task5[[คะแนนเต็ม]:[คะแนนเต็ม]])*tbl_task5[[%]:[%]])</f>
        <v/>
      </c>
      <c r="JJ17" s="121" t="str">
        <f>IF(ISBLANK(tbl_task5[[คะแนนเต็ม]:[คะแนนเต็ม]]),"",(tbl_task5[100]/tbl_task5[[คะแนนเต็ม]:[คะแนนเต็ม]])*tbl_task5[[%]:[%]])</f>
        <v/>
      </c>
      <c r="JK17" s="121" t="str">
        <f>IF(ISBLANK(tbl_task5[[คะแนนเต็ม]:[คะแนนเต็ม]]),"",(tbl_task5[101]/tbl_task5[[คะแนนเต็ม]:[คะแนนเต็ม]])*tbl_task5[[%]:[%]])</f>
        <v/>
      </c>
      <c r="JL17" s="121" t="str">
        <f>IF(ISBLANK(tbl_task5[[คะแนนเต็ม]:[คะแนนเต็ม]]),"",(tbl_task5[102]/tbl_task5[[คะแนนเต็ม]:[คะแนนเต็ม]])*tbl_task5[[%]:[%]])</f>
        <v/>
      </c>
      <c r="JM17" s="121" t="str">
        <f>IF(ISBLANK(tbl_task5[[คะแนนเต็ม]:[คะแนนเต็ม]]),"",(tbl_task5[103]/tbl_task5[[คะแนนเต็ม]:[คะแนนเต็ม]])*tbl_task5[[%]:[%]])</f>
        <v/>
      </c>
      <c r="JN17" s="121" t="str">
        <f>IF(ISBLANK(tbl_task5[[คะแนนเต็ม]:[คะแนนเต็ม]]),"",(tbl_task5[104]/tbl_task5[[คะแนนเต็ม]:[คะแนนเต็ม]])*tbl_task5[[%]:[%]])</f>
        <v/>
      </c>
      <c r="JO17" s="121" t="str">
        <f>IF(ISBLANK(tbl_task5[[คะแนนเต็ม]:[คะแนนเต็ม]]),"",(tbl_task5[105]/tbl_task5[[คะแนนเต็ม]:[คะแนนเต็ม]])*tbl_task5[[%]:[%]])</f>
        <v/>
      </c>
      <c r="JP17" s="121" t="str">
        <f>IF(ISBLANK(tbl_task5[[คะแนนเต็ม]:[คะแนนเต็ม]]),"",(tbl_task5[106]/tbl_task5[[คะแนนเต็ม]:[คะแนนเต็ม]])*tbl_task5[[%]:[%]])</f>
        <v/>
      </c>
      <c r="JQ17" s="121" t="str">
        <f>IF(ISBLANK(tbl_task5[[คะแนนเต็ม]:[คะแนนเต็ม]]),"",(tbl_task5[107]/tbl_task5[[คะแนนเต็ม]:[คะแนนเต็ม]])*tbl_task5[[%]:[%]])</f>
        <v/>
      </c>
      <c r="JR17" s="121" t="str">
        <f>IF(ISBLANK(tbl_task5[[คะแนนเต็ม]:[คะแนนเต็ม]]),"",(tbl_task5[108]/tbl_task5[[คะแนนเต็ม]:[คะแนนเต็ม]])*tbl_task5[[%]:[%]])</f>
        <v/>
      </c>
      <c r="JS17" s="121" t="str">
        <f>IF(ISBLANK(tbl_task5[[คะแนนเต็ม]:[คะแนนเต็ม]]),"",(tbl_task5[109]/tbl_task5[[คะแนนเต็ม]:[คะแนนเต็ม]])*tbl_task5[[%]:[%]])</f>
        <v/>
      </c>
      <c r="JT17" s="121" t="str">
        <f>IF(ISBLANK(tbl_task5[[คะแนนเต็ม]:[คะแนนเต็ม]]),"",(tbl_task5[110]/tbl_task5[[คะแนนเต็ม]:[คะแนนเต็ม]])*tbl_task5[[%]:[%]])</f>
        <v/>
      </c>
      <c r="JU17" s="121" t="str">
        <f>IF(ISBLANK(tbl_task5[[คะแนนเต็ม]:[คะแนนเต็ม]]),"",(tbl_task5[111]/tbl_task5[[คะแนนเต็ม]:[คะแนนเต็ม]])*tbl_task5[[%]:[%]])</f>
        <v/>
      </c>
      <c r="JV17" s="121" t="str">
        <f>IF(ISBLANK(tbl_task5[[คะแนนเต็ม]:[คะแนนเต็ม]]),"",(tbl_task5[112]/tbl_task5[[คะแนนเต็ม]:[คะแนนเต็ม]])*tbl_task5[[%]:[%]])</f>
        <v/>
      </c>
      <c r="JW17" s="121" t="str">
        <f>IF(ISBLANK(tbl_task5[[คะแนนเต็ม]:[คะแนนเต็ม]]),"",(tbl_task5[113]/tbl_task5[[คะแนนเต็ม]:[คะแนนเต็ม]])*tbl_task5[[%]:[%]])</f>
        <v/>
      </c>
      <c r="JX17" s="121" t="str">
        <f>IF(ISBLANK(tbl_task5[[คะแนนเต็ม]:[คะแนนเต็ม]]),"",(tbl_task5[114]/tbl_task5[[คะแนนเต็ม]:[คะแนนเต็ม]])*tbl_task5[[%]:[%]])</f>
        <v/>
      </c>
      <c r="JY17" s="121" t="str">
        <f>IF(ISBLANK(tbl_task5[[คะแนนเต็ม]:[คะแนนเต็ม]]),"",(tbl_task5[115]/tbl_task5[[คะแนนเต็ม]:[คะแนนเต็ม]])*tbl_task5[[%]:[%]])</f>
        <v/>
      </c>
      <c r="JZ17" s="121" t="str">
        <f>IF(ISBLANK(tbl_task5[[คะแนนเต็ม]:[คะแนนเต็ม]]),"",(tbl_task5[116]/tbl_task5[[คะแนนเต็ม]:[คะแนนเต็ม]])*tbl_task5[[%]:[%]])</f>
        <v/>
      </c>
      <c r="KA17" s="121" t="str">
        <f>IF(ISBLANK(tbl_task5[[คะแนนเต็ม]:[คะแนนเต็ม]]),"",(tbl_task5[117]/tbl_task5[[คะแนนเต็ม]:[คะแนนเต็ม]])*tbl_task5[[%]:[%]])</f>
        <v/>
      </c>
      <c r="KB17" s="121" t="str">
        <f>IF(ISBLANK(tbl_task5[[คะแนนเต็ม]:[คะแนนเต็ม]]),"",(tbl_task5[118]/tbl_task5[[คะแนนเต็ม]:[คะแนนเต็ม]])*tbl_task5[[%]:[%]])</f>
        <v/>
      </c>
      <c r="KC17" s="121" t="str">
        <f>IF(ISBLANK(tbl_task5[[คะแนนเต็ม]:[คะแนนเต็ม]]),"",(tbl_task5[119]/tbl_task5[[คะแนนเต็ม]:[คะแนนเต็ม]])*tbl_task5[[%]:[%]])</f>
        <v/>
      </c>
      <c r="KD17" s="121" t="str">
        <f>IF(ISBLANK(tbl_task5[[คะแนนเต็ม]:[คะแนนเต็ม]]),"",(tbl_task5[120]/tbl_task5[[คะแนนเต็ม]:[คะแนนเต็ม]])*tbl_task5[[%]:[%]])</f>
        <v/>
      </c>
      <c r="KE17" s="121" t="str">
        <f>IF(ISBLANK(tbl_task5[[คะแนนเต็ม]:[คะแนนเต็ม]]),"",(tbl_task5[121]/tbl_task5[[คะแนนเต็ม]:[คะแนนเต็ม]])*tbl_task5[[%]:[%]])</f>
        <v/>
      </c>
      <c r="KF17" s="121" t="str">
        <f>IF(ISBLANK(tbl_task5[[คะแนนเต็ม]:[คะแนนเต็ม]]),"",(tbl_task5[122]/tbl_task5[[คะแนนเต็ม]:[คะแนนเต็ม]])*tbl_task5[[%]:[%]])</f>
        <v/>
      </c>
      <c r="KG17" s="121" t="str">
        <f>IF(ISBLANK(tbl_task5[[คะแนนเต็ม]:[คะแนนเต็ม]]),"",(tbl_task5[123]/tbl_task5[[คะแนนเต็ม]:[คะแนนเต็ม]])*tbl_task5[[%]:[%]])</f>
        <v/>
      </c>
      <c r="KH17" s="121" t="str">
        <f>IF(ISBLANK(tbl_task5[[คะแนนเต็ม]:[คะแนนเต็ม]]),"",(tbl_task5[124]/tbl_task5[[คะแนนเต็ม]:[คะแนนเต็ม]])*tbl_task5[[%]:[%]])</f>
        <v/>
      </c>
      <c r="KI17" s="121" t="str">
        <f>IF(ISBLANK(tbl_task5[[คะแนนเต็ม]:[คะแนนเต็ม]]),"",(tbl_task5[125]/tbl_task5[[คะแนนเต็ม]:[คะแนนเต็ม]])*tbl_task5[[%]:[%]])</f>
        <v/>
      </c>
      <c r="KJ17" s="121" t="str">
        <f>IF(ISBLANK(tbl_task5[[คะแนนเต็ม]:[คะแนนเต็ม]]),"",(tbl_task5[126]/tbl_task5[[คะแนนเต็ม]:[คะแนนเต็ม]])*tbl_task5[[%]:[%]])</f>
        <v/>
      </c>
      <c r="KK17" s="121" t="str">
        <f>IF(ISBLANK(tbl_task5[[คะแนนเต็ม]:[คะแนนเต็ม]]),"",(tbl_task5[127]/tbl_task5[[คะแนนเต็ม]:[คะแนนเต็ม]])*tbl_task5[[%]:[%]])</f>
        <v/>
      </c>
      <c r="KL17" s="121" t="str">
        <f>IF(ISBLANK(tbl_task5[[คะแนนเต็ม]:[คะแนนเต็ม]]),"",(tbl_task5[128]/tbl_task5[[คะแนนเต็ม]:[คะแนนเต็ม]])*tbl_task5[[%]:[%]])</f>
        <v/>
      </c>
      <c r="KM17" s="121" t="str">
        <f>IF(ISBLANK(tbl_task5[[คะแนนเต็ม]:[คะแนนเต็ม]]),"",(tbl_task5[129]/tbl_task5[[คะแนนเต็ม]:[คะแนนเต็ม]])*tbl_task5[[%]:[%]])</f>
        <v/>
      </c>
      <c r="KN17" s="121" t="str">
        <f>IF(ISBLANK(tbl_task5[[คะแนนเต็ม]:[คะแนนเต็ม]]),"",(tbl_task5[130]/tbl_task5[[คะแนนเต็ม]:[คะแนนเต็ม]])*tbl_task5[[%]:[%]])</f>
        <v/>
      </c>
      <c r="KO17" s="121" t="str">
        <f>IF(ISBLANK(tbl_task5[[คะแนนเต็ม]:[คะแนนเต็ม]]),"",(tbl_task5[131]/tbl_task5[[คะแนนเต็ม]:[คะแนนเต็ม]])*tbl_task5[[%]:[%]])</f>
        <v/>
      </c>
      <c r="KP17" s="121" t="str">
        <f>IF(ISBLANK(tbl_task5[[คะแนนเต็ม]:[คะแนนเต็ม]]),"",(tbl_task5[132]/tbl_task5[[คะแนนเต็ม]:[คะแนนเต็ม]])*tbl_task5[[%]:[%]])</f>
        <v/>
      </c>
      <c r="KQ17" s="121" t="str">
        <f>IF(ISBLANK(tbl_task5[[คะแนนเต็ม]:[คะแนนเต็ม]]),"",(tbl_task5[133]/tbl_task5[[คะแนนเต็ม]:[คะแนนเต็ม]])*tbl_task5[[%]:[%]])</f>
        <v/>
      </c>
      <c r="KR17" s="121" t="str">
        <f>IF(ISBLANK(tbl_task5[[คะแนนเต็ม]:[คะแนนเต็ม]]),"",(tbl_task5[134]/tbl_task5[[คะแนนเต็ม]:[คะแนนเต็ม]])*tbl_task5[[%]:[%]])</f>
        <v/>
      </c>
      <c r="KS17" s="121" t="str">
        <f>IF(ISBLANK(tbl_task5[[คะแนนเต็ม]:[คะแนนเต็ม]]),"",(tbl_task5[135]/tbl_task5[[คะแนนเต็ม]:[คะแนนเต็ม]])*tbl_task5[[%]:[%]])</f>
        <v/>
      </c>
      <c r="KT17" s="121" t="str">
        <f>IF(ISBLANK(tbl_task5[[คะแนนเต็ม]:[คะแนนเต็ม]]),"",(tbl_task5[136]/tbl_task5[[คะแนนเต็ม]:[คะแนนเต็ม]])*tbl_task5[[%]:[%]])</f>
        <v/>
      </c>
      <c r="KU17" s="121" t="str">
        <f>IF(ISBLANK(tbl_task5[[คะแนนเต็ม]:[คะแนนเต็ม]]),"",(tbl_task5[137]/tbl_task5[[คะแนนเต็ม]:[คะแนนเต็ม]])*tbl_task5[[%]:[%]])</f>
        <v/>
      </c>
      <c r="KV17" s="121" t="str">
        <f>IF(ISBLANK(tbl_task5[[คะแนนเต็ม]:[คะแนนเต็ม]]),"",(tbl_task5[138]/tbl_task5[[คะแนนเต็ม]:[คะแนนเต็ม]])*tbl_task5[[%]:[%]])</f>
        <v/>
      </c>
      <c r="KW17" s="121" t="str">
        <f>IF(ISBLANK(tbl_task5[[คะแนนเต็ม]:[คะแนนเต็ม]]),"",(tbl_task5[139]/tbl_task5[[คะแนนเต็ม]:[คะแนนเต็ม]])*tbl_task5[[%]:[%]])</f>
        <v/>
      </c>
      <c r="KX17" s="121" t="str">
        <f>IF(ISBLANK(tbl_task5[[คะแนนเต็ม]:[คะแนนเต็ม]]),"",(tbl_task5[140]/tbl_task5[[คะแนนเต็ม]:[คะแนนเต็ม]])*tbl_task5[[%]:[%]])</f>
        <v/>
      </c>
      <c r="KY17" s="121" t="str">
        <f>IF(ISBLANK(tbl_task5[[คะแนนเต็ม]:[คะแนนเต็ม]]),"",(tbl_task5[141]/tbl_task5[[คะแนนเต็ม]:[คะแนนเต็ม]])*tbl_task5[[%]:[%]])</f>
        <v/>
      </c>
      <c r="KZ17" s="121" t="str">
        <f>IF(ISBLANK(tbl_task5[[คะแนนเต็ม]:[คะแนนเต็ม]]),"",(tbl_task5[142]/tbl_task5[[คะแนนเต็ม]:[คะแนนเต็ม]])*tbl_task5[[%]:[%]])</f>
        <v/>
      </c>
      <c r="LA17" s="121" t="str">
        <f>IF(ISBLANK(tbl_task5[[คะแนนเต็ม]:[คะแนนเต็ม]]),"",(tbl_task5[143]/tbl_task5[[คะแนนเต็ม]:[คะแนนเต็ม]])*tbl_task5[[%]:[%]])</f>
        <v/>
      </c>
      <c r="LB17" s="121" t="str">
        <f>IF(ISBLANK(tbl_task5[[คะแนนเต็ม]:[คะแนนเต็ม]]),"",(tbl_task5[144]/tbl_task5[[คะแนนเต็ม]:[คะแนนเต็ม]])*tbl_task5[[%]:[%]])</f>
        <v/>
      </c>
      <c r="LC17" s="121" t="str">
        <f>IF(ISBLANK(tbl_task5[[คะแนนเต็ม]:[คะแนนเต็ม]]),"",(tbl_task5[145]/tbl_task5[[คะแนนเต็ม]:[คะแนนเต็ม]])*tbl_task5[[%]:[%]])</f>
        <v/>
      </c>
      <c r="LD17" s="121" t="str">
        <f>IF(ISBLANK(tbl_task5[[คะแนนเต็ม]:[คะแนนเต็ม]]),"",(tbl_task5[146]/tbl_task5[[คะแนนเต็ม]:[คะแนนเต็ม]])*tbl_task5[[%]:[%]])</f>
        <v/>
      </c>
      <c r="LE17" s="121" t="str">
        <f>IF(ISBLANK(tbl_task5[[คะแนนเต็ม]:[คะแนนเต็ม]]),"",(tbl_task5[147]/tbl_task5[[คะแนนเต็ม]:[คะแนนเต็ม]])*tbl_task5[[%]:[%]])</f>
        <v/>
      </c>
      <c r="LF17" s="121" t="str">
        <f>IF(ISBLANK(tbl_task5[[คะแนนเต็ม]:[คะแนนเต็ม]]),"",(tbl_task5[148]/tbl_task5[[คะแนนเต็ม]:[คะแนนเต็ม]])*tbl_task5[[%]:[%]])</f>
        <v/>
      </c>
      <c r="LG17" s="121" t="str">
        <f>IF(ISBLANK(tbl_task5[[คะแนนเต็ม]:[คะแนนเต็ม]]),"",(tbl_task5[149]/tbl_task5[[คะแนนเต็ม]:[คะแนนเต็ม]])*tbl_task5[[%]:[%]])</f>
        <v/>
      </c>
      <c r="LH17" s="121" t="str">
        <f>IF(ISBLANK(tbl_task5[[คะแนนเต็ม]:[คะแนนเต็ม]]),"",(tbl_task5[150]/tbl_task5[[คะแนนเต็ม]:[คะแนนเต็ม]])*tbl_task5[[%]:[%]])</f>
        <v/>
      </c>
      <c r="LI17" s="121" t="str">
        <f>IF(ISBLANK(tbl_task5[[คะแนนเต็ม]:[คะแนนเต็ม]]),"",(tbl_task5[151]/tbl_task5[[คะแนนเต็ม]:[คะแนนเต็ม]])*tbl_task5[[%]:[%]])</f>
        <v/>
      </c>
      <c r="LJ17" s="121" t="str">
        <f>IF(ISBLANK(tbl_task5[[คะแนนเต็ม]:[คะแนนเต็ม]]),"",(tbl_task5[152]/tbl_task5[[คะแนนเต็ม]:[คะแนนเต็ม]])*tbl_task5[[%]:[%]])</f>
        <v/>
      </c>
      <c r="LK17" s="121" t="str">
        <f>IF(ISBLANK(tbl_task5[[คะแนนเต็ม]:[คะแนนเต็ม]]),"",(tbl_task5[153]/tbl_task5[[คะแนนเต็ม]:[คะแนนเต็ม]])*tbl_task5[[%]:[%]])</f>
        <v/>
      </c>
      <c r="LL17" s="121" t="str">
        <f>IF(ISBLANK(tbl_task5[[คะแนนเต็ม]:[คะแนนเต็ม]]),"",(tbl_task5[154]/tbl_task5[[คะแนนเต็ม]:[คะแนนเต็ม]])*tbl_task5[[%]:[%]])</f>
        <v/>
      </c>
      <c r="LM17" s="121" t="str">
        <f>IF(ISBLANK(tbl_task5[[คะแนนเต็ม]:[คะแนนเต็ม]]),"",(tbl_task5[155]/tbl_task5[[คะแนนเต็ม]:[คะแนนเต็ม]])*tbl_task5[[%]:[%]])</f>
        <v/>
      </c>
      <c r="LN17" s="121" t="str">
        <f>IF(ISBLANK(tbl_task5[[คะแนนเต็ม]:[คะแนนเต็ม]]),"",(tbl_task5[156]/tbl_task5[[คะแนนเต็ม]:[คะแนนเต็ม]])*tbl_task5[[%]:[%]])</f>
        <v/>
      </c>
      <c r="LO17" s="121" t="str">
        <f>IF(ISBLANK(tbl_task5[[คะแนนเต็ม]:[คะแนนเต็ม]]),"",(tbl_task5[157]/tbl_task5[[คะแนนเต็ม]:[คะแนนเต็ม]])*tbl_task5[[%]:[%]])</f>
        <v/>
      </c>
      <c r="LP17" s="121" t="str">
        <f>IF(ISBLANK(tbl_task5[[คะแนนเต็ม]:[คะแนนเต็ม]]),"",(tbl_task5[158]/tbl_task5[[คะแนนเต็ม]:[คะแนนเต็ม]])*tbl_task5[[%]:[%]])</f>
        <v/>
      </c>
      <c r="LQ17" s="121" t="str">
        <f>IF(ISBLANK(tbl_task5[[คะแนนเต็ม]:[คะแนนเต็ม]]),"",(tbl_task5[159]/tbl_task5[[คะแนนเต็ม]:[คะแนนเต็ม]])*tbl_task5[[%]:[%]])</f>
        <v/>
      </c>
      <c r="LR17" s="121" t="str">
        <f>IF(ISBLANK(tbl_task5[[คะแนนเต็ม]:[คะแนนเต็ม]]),"",(tbl_task5[160]/tbl_task5[[คะแนนเต็ม]:[คะแนนเต็ม]])*tbl_task5[[%]:[%]])</f>
        <v/>
      </c>
      <c r="LS17" s="121" t="str">
        <f>IF(ISBLANK(tbl_task5[[คะแนนเต็ม]:[คะแนนเต็ม]]),"",(tbl_task5[161]/tbl_task5[[คะแนนเต็ม]:[คะแนนเต็ม]])*tbl_task5[[%]:[%]])</f>
        <v/>
      </c>
      <c r="LT17" s="121" t="str">
        <f>IF(ISBLANK(tbl_task5[[คะแนนเต็ม]:[คะแนนเต็ม]]),"",(tbl_task5[162]/tbl_task5[[คะแนนเต็ม]:[คะแนนเต็ม]])*tbl_task5[[%]:[%]])</f>
        <v/>
      </c>
      <c r="LU17" s="121" t="str">
        <f>IF(ISBLANK(tbl_task5[[คะแนนเต็ม]:[คะแนนเต็ม]]),"",(tbl_task5[163]/tbl_task5[[คะแนนเต็ม]:[คะแนนเต็ม]])*tbl_task5[[%]:[%]])</f>
        <v/>
      </c>
      <c r="LV17" s="121" t="str">
        <f>IF(ISBLANK(tbl_task5[[คะแนนเต็ม]:[คะแนนเต็ม]]),"",(tbl_task5[164]/tbl_task5[[คะแนนเต็ม]:[คะแนนเต็ม]])*tbl_task5[[%]:[%]])</f>
        <v/>
      </c>
      <c r="LW17" s="121" t="str">
        <f>IF(ISBLANK(tbl_task5[[คะแนนเต็ม]:[คะแนนเต็ม]]),"",(tbl_task5[165]/tbl_task5[[คะแนนเต็ม]:[คะแนนเต็ม]])*tbl_task5[[%]:[%]])</f>
        <v/>
      </c>
    </row>
    <row r="18" spans="1:335" ht="24" customHeight="1" x14ac:dyDescent="0.25">
      <c r="A18" s="24">
        <v>15</v>
      </c>
      <c r="B18" s="20"/>
      <c r="C18" s="5" t="str">
        <f>IF(ISBLANK(B18),"",VLOOKUP(B18,tbl_PLOs[],2,0))</f>
        <v/>
      </c>
      <c r="D18" s="102"/>
      <c r="E18" s="106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121" t="str">
        <f>IF(ISBLANK(tbl_task5[[คะแนนเต็ม]:[คะแนนเต็ม]]),"",(tbl_task5[1]/tbl_task5[[คะแนนเต็ม]:[คะแนนเต็ม]])*tbl_task5[[%]:[%]])</f>
        <v/>
      </c>
      <c r="FP18" s="121" t="str">
        <f>IF(ISBLANK(tbl_task5[[คะแนนเต็ม]:[คะแนนเต็ม]]),"",(tbl_task5[2]/tbl_task5[[คะแนนเต็ม]:[คะแนนเต็ม]])*tbl_task5[[%]:[%]])</f>
        <v/>
      </c>
      <c r="FQ18" s="121" t="str">
        <f>IF(ISBLANK(tbl_task5[[คะแนนเต็ม]:[คะแนนเต็ม]]),"",(tbl_task5[3]/tbl_task5[[คะแนนเต็ม]:[คะแนนเต็ม]])*tbl_task5[[%]:[%]])</f>
        <v/>
      </c>
      <c r="FR18" s="121" t="str">
        <f>IF(ISBLANK(tbl_task5[[คะแนนเต็ม]:[คะแนนเต็ม]]),"",(tbl_task5[4]/tbl_task5[[คะแนนเต็ม]:[คะแนนเต็ม]])*tbl_task5[[%]:[%]])</f>
        <v/>
      </c>
      <c r="FS18" s="121" t="str">
        <f>IF(ISBLANK(tbl_task5[[คะแนนเต็ม]:[คะแนนเต็ม]]),"",(tbl_task5[5]/tbl_task5[[คะแนนเต็ม]:[คะแนนเต็ม]])*tbl_task5[[%]:[%]])</f>
        <v/>
      </c>
      <c r="FT18" s="121" t="str">
        <f>IF(ISBLANK(tbl_task5[[คะแนนเต็ม]:[คะแนนเต็ม]]),"",(tbl_task5[6]/tbl_task5[[คะแนนเต็ม]:[คะแนนเต็ม]])*tbl_task5[[%]:[%]])</f>
        <v/>
      </c>
      <c r="FU18" s="121" t="str">
        <f>IF(ISBLANK(tbl_task5[[คะแนนเต็ม]:[คะแนนเต็ม]]),"",(tbl_task5[7]/tbl_task5[[คะแนนเต็ม]:[คะแนนเต็ม]])*tbl_task5[[%]:[%]])</f>
        <v/>
      </c>
      <c r="FV18" s="121" t="str">
        <f>IF(ISBLANK(tbl_task5[[คะแนนเต็ม]:[คะแนนเต็ม]]),"",(tbl_task5[8]/tbl_task5[[คะแนนเต็ม]:[คะแนนเต็ม]])*tbl_task5[[%]:[%]])</f>
        <v/>
      </c>
      <c r="FW18" s="121" t="str">
        <f>IF(ISBLANK(tbl_task5[[คะแนนเต็ม]:[คะแนนเต็ม]]),"",(tbl_task5[9]/tbl_task5[[คะแนนเต็ม]:[คะแนนเต็ม]])*tbl_task5[[%]:[%]])</f>
        <v/>
      </c>
      <c r="FX18" s="121" t="str">
        <f>IF(ISBLANK(tbl_task5[[คะแนนเต็ม]:[คะแนนเต็ม]]),"",(tbl_task5[10]/tbl_task5[[คะแนนเต็ม]:[คะแนนเต็ม]])*tbl_task5[[%]:[%]])</f>
        <v/>
      </c>
      <c r="FY18" s="121" t="str">
        <f>IF(ISBLANK(tbl_task5[[คะแนนเต็ม]:[คะแนนเต็ม]]),"",(tbl_task5[11]/tbl_task5[[คะแนนเต็ม]:[คะแนนเต็ม]])*tbl_task5[[%]:[%]])</f>
        <v/>
      </c>
      <c r="FZ18" s="121" t="str">
        <f>IF(ISBLANK(tbl_task5[[คะแนนเต็ม]:[คะแนนเต็ม]]),"",(tbl_task5[12]/tbl_task5[[คะแนนเต็ม]:[คะแนนเต็ม]])*tbl_task5[[%]:[%]])</f>
        <v/>
      </c>
      <c r="GA18" s="121" t="str">
        <f>IF(ISBLANK(tbl_task5[[คะแนนเต็ม]:[คะแนนเต็ม]]),"",(tbl_task5[13]/tbl_task5[[คะแนนเต็ม]:[คะแนนเต็ม]])*tbl_task5[[%]:[%]])</f>
        <v/>
      </c>
      <c r="GB18" s="121" t="str">
        <f>IF(ISBLANK(tbl_task5[[คะแนนเต็ม]:[คะแนนเต็ม]]),"",(tbl_task5[14]/tbl_task5[[คะแนนเต็ม]:[คะแนนเต็ม]])*tbl_task5[[%]:[%]])</f>
        <v/>
      </c>
      <c r="GC18" s="121" t="str">
        <f>IF(ISBLANK(tbl_task5[[คะแนนเต็ม]:[คะแนนเต็ม]]),"",(tbl_task5[15]/tbl_task5[[คะแนนเต็ม]:[คะแนนเต็ม]])*tbl_task5[[%]:[%]])</f>
        <v/>
      </c>
      <c r="GD18" s="121" t="str">
        <f>IF(ISBLANK(tbl_task5[[คะแนนเต็ม]:[คะแนนเต็ม]]),"",(tbl_task5[16]/tbl_task5[[คะแนนเต็ม]:[คะแนนเต็ม]])*tbl_task5[[%]:[%]])</f>
        <v/>
      </c>
      <c r="GE18" s="121" t="str">
        <f>IF(ISBLANK(tbl_task5[[คะแนนเต็ม]:[คะแนนเต็ม]]),"",(tbl_task5[17]/tbl_task5[[คะแนนเต็ม]:[คะแนนเต็ม]])*tbl_task5[[%]:[%]])</f>
        <v/>
      </c>
      <c r="GF18" s="121" t="str">
        <f>IF(ISBLANK(tbl_task5[[คะแนนเต็ม]:[คะแนนเต็ม]]),"",(tbl_task5[18]/tbl_task5[[คะแนนเต็ม]:[คะแนนเต็ม]])*tbl_task5[[%]:[%]])</f>
        <v/>
      </c>
      <c r="GG18" s="121" t="str">
        <f>IF(ISBLANK(tbl_task5[[คะแนนเต็ม]:[คะแนนเต็ม]]),"",(tbl_task5[19]/tbl_task5[[คะแนนเต็ม]:[คะแนนเต็ม]])*tbl_task5[[%]:[%]])</f>
        <v/>
      </c>
      <c r="GH18" s="121" t="str">
        <f>IF(ISBLANK(tbl_task5[[คะแนนเต็ม]:[คะแนนเต็ม]]),"",(tbl_task5[20]/tbl_task5[[คะแนนเต็ม]:[คะแนนเต็ม]])*tbl_task5[[%]:[%]])</f>
        <v/>
      </c>
      <c r="GI18" s="121" t="str">
        <f>IF(ISBLANK(tbl_task5[[คะแนนเต็ม]:[คะแนนเต็ม]]),"",(tbl_task5[21]/tbl_task5[[คะแนนเต็ม]:[คะแนนเต็ม]])*tbl_task5[[%]:[%]])</f>
        <v/>
      </c>
      <c r="GJ18" s="121" t="str">
        <f>IF(ISBLANK(tbl_task5[[คะแนนเต็ม]:[คะแนนเต็ม]]),"",(tbl_task5[22]/tbl_task5[[คะแนนเต็ม]:[คะแนนเต็ม]])*tbl_task5[[%]:[%]])</f>
        <v/>
      </c>
      <c r="GK18" s="121" t="str">
        <f>IF(ISBLANK(tbl_task5[[คะแนนเต็ม]:[คะแนนเต็ม]]),"",(tbl_task5[23]/tbl_task5[[คะแนนเต็ม]:[คะแนนเต็ม]])*tbl_task5[[%]:[%]])</f>
        <v/>
      </c>
      <c r="GL18" s="121" t="str">
        <f>IF(ISBLANK(tbl_task5[[คะแนนเต็ม]:[คะแนนเต็ม]]),"",(tbl_task5[24]/tbl_task5[[คะแนนเต็ม]:[คะแนนเต็ม]])*tbl_task5[[%]:[%]])</f>
        <v/>
      </c>
      <c r="GM18" s="121" t="str">
        <f>IF(ISBLANK(tbl_task5[[คะแนนเต็ม]:[คะแนนเต็ม]]),"",(tbl_task5[25]/tbl_task5[[คะแนนเต็ม]:[คะแนนเต็ม]])*tbl_task5[[%]:[%]])</f>
        <v/>
      </c>
      <c r="GN18" s="121" t="str">
        <f>IF(ISBLANK(tbl_task5[[คะแนนเต็ม]:[คะแนนเต็ม]]),"",(tbl_task5[26]/tbl_task5[[คะแนนเต็ม]:[คะแนนเต็ม]])*tbl_task5[[%]:[%]])</f>
        <v/>
      </c>
      <c r="GO18" s="121" t="str">
        <f>IF(ISBLANK(tbl_task5[[คะแนนเต็ม]:[คะแนนเต็ม]]),"",(tbl_task5[27]/tbl_task5[[คะแนนเต็ม]:[คะแนนเต็ม]])*tbl_task5[[%]:[%]])</f>
        <v/>
      </c>
      <c r="GP18" s="121" t="str">
        <f>IF(ISBLANK(tbl_task5[[คะแนนเต็ม]:[คะแนนเต็ม]]),"",(tbl_task5[28]/tbl_task5[[คะแนนเต็ม]:[คะแนนเต็ม]])*tbl_task5[[%]:[%]])</f>
        <v/>
      </c>
      <c r="GQ18" s="121" t="str">
        <f>IF(ISBLANK(tbl_task5[[คะแนนเต็ม]:[คะแนนเต็ม]]),"",(tbl_task5[29]/tbl_task5[[คะแนนเต็ม]:[คะแนนเต็ม]])*tbl_task5[[%]:[%]])</f>
        <v/>
      </c>
      <c r="GR18" s="121" t="str">
        <f>IF(ISBLANK(tbl_task5[[คะแนนเต็ม]:[คะแนนเต็ม]]),"",(tbl_task5[30]/tbl_task5[[คะแนนเต็ม]:[คะแนนเต็ม]])*tbl_task5[[%]:[%]])</f>
        <v/>
      </c>
      <c r="GS18" s="121" t="str">
        <f>IF(ISBLANK(tbl_task5[[คะแนนเต็ม]:[คะแนนเต็ม]]),"",(tbl_task5[31]/tbl_task5[[คะแนนเต็ม]:[คะแนนเต็ม]])*tbl_task5[[%]:[%]])</f>
        <v/>
      </c>
      <c r="GT18" s="121" t="str">
        <f>IF(ISBLANK(tbl_task5[[คะแนนเต็ม]:[คะแนนเต็ม]]),"",(tbl_task5[32]/tbl_task5[[คะแนนเต็ม]:[คะแนนเต็ม]])*tbl_task5[[%]:[%]])</f>
        <v/>
      </c>
      <c r="GU18" s="121" t="str">
        <f>IF(ISBLANK(tbl_task5[[คะแนนเต็ม]:[คะแนนเต็ม]]),"",(tbl_task5[33]/tbl_task5[[คะแนนเต็ม]:[คะแนนเต็ม]])*tbl_task5[[%]:[%]])</f>
        <v/>
      </c>
      <c r="GV18" s="121" t="str">
        <f>IF(ISBLANK(tbl_task5[[คะแนนเต็ม]:[คะแนนเต็ม]]),"",(tbl_task5[34]/tbl_task5[[คะแนนเต็ม]:[คะแนนเต็ม]])*tbl_task5[[%]:[%]])</f>
        <v/>
      </c>
      <c r="GW18" s="121" t="str">
        <f>IF(ISBLANK(tbl_task5[[คะแนนเต็ม]:[คะแนนเต็ม]]),"",(tbl_task5[35]/tbl_task5[[คะแนนเต็ม]:[คะแนนเต็ม]])*tbl_task5[[%]:[%]])</f>
        <v/>
      </c>
      <c r="GX18" s="121" t="str">
        <f>IF(ISBLANK(tbl_task5[[คะแนนเต็ม]:[คะแนนเต็ม]]),"",(tbl_task5[36]/tbl_task5[[คะแนนเต็ม]:[คะแนนเต็ม]])*tbl_task5[[%]:[%]])</f>
        <v/>
      </c>
      <c r="GY18" s="121" t="str">
        <f>IF(ISBLANK(tbl_task5[[คะแนนเต็ม]:[คะแนนเต็ม]]),"",(tbl_task5[37]/tbl_task5[[คะแนนเต็ม]:[คะแนนเต็ม]])*tbl_task5[[%]:[%]])</f>
        <v/>
      </c>
      <c r="GZ18" s="121" t="str">
        <f>IF(ISBLANK(tbl_task5[[คะแนนเต็ม]:[คะแนนเต็ม]]),"",(tbl_task5[38]/tbl_task5[[คะแนนเต็ม]:[คะแนนเต็ม]])*tbl_task5[[%]:[%]])</f>
        <v/>
      </c>
      <c r="HA18" s="121" t="str">
        <f>IF(ISBLANK(tbl_task5[[คะแนนเต็ม]:[คะแนนเต็ม]]),"",(tbl_task5[39]/tbl_task5[[คะแนนเต็ม]:[คะแนนเต็ม]])*tbl_task5[[%]:[%]])</f>
        <v/>
      </c>
      <c r="HB18" s="121" t="str">
        <f>IF(ISBLANK(tbl_task5[[คะแนนเต็ม]:[คะแนนเต็ม]]),"",(tbl_task5[40]/tbl_task5[[คะแนนเต็ม]:[คะแนนเต็ม]])*tbl_task5[[%]:[%]])</f>
        <v/>
      </c>
      <c r="HC18" s="121" t="str">
        <f>IF(ISBLANK(tbl_task5[[คะแนนเต็ม]:[คะแนนเต็ม]]),"",(tbl_task5[41]/tbl_task5[[คะแนนเต็ม]:[คะแนนเต็ม]])*tbl_task5[[%]:[%]])</f>
        <v/>
      </c>
      <c r="HD18" s="121" t="str">
        <f>IF(ISBLANK(tbl_task5[[คะแนนเต็ม]:[คะแนนเต็ม]]),"",(tbl_task5[42]/tbl_task5[[คะแนนเต็ม]:[คะแนนเต็ม]])*tbl_task5[[%]:[%]])</f>
        <v/>
      </c>
      <c r="HE18" s="121" t="str">
        <f>IF(ISBLANK(tbl_task5[[คะแนนเต็ม]:[คะแนนเต็ม]]),"",(tbl_task5[43]/tbl_task5[[คะแนนเต็ม]:[คะแนนเต็ม]])*tbl_task5[[%]:[%]])</f>
        <v/>
      </c>
      <c r="HF18" s="121" t="str">
        <f>IF(ISBLANK(tbl_task5[[คะแนนเต็ม]:[คะแนนเต็ม]]),"",(tbl_task5[44]/tbl_task5[[คะแนนเต็ม]:[คะแนนเต็ม]])*tbl_task5[[%]:[%]])</f>
        <v/>
      </c>
      <c r="HG18" s="121" t="str">
        <f>IF(ISBLANK(tbl_task5[[คะแนนเต็ม]:[คะแนนเต็ม]]),"",(tbl_task5[45]/tbl_task5[[คะแนนเต็ม]:[คะแนนเต็ม]])*tbl_task5[[%]:[%]])</f>
        <v/>
      </c>
      <c r="HH18" s="121" t="str">
        <f>IF(ISBLANK(tbl_task5[[คะแนนเต็ม]:[คะแนนเต็ม]]),"",(tbl_task5[46]/tbl_task5[[คะแนนเต็ม]:[คะแนนเต็ม]])*tbl_task5[[%]:[%]])</f>
        <v/>
      </c>
      <c r="HI18" s="121" t="str">
        <f>IF(ISBLANK(tbl_task5[[คะแนนเต็ม]:[คะแนนเต็ม]]),"",(tbl_task5[47]/tbl_task5[[คะแนนเต็ม]:[คะแนนเต็ม]])*tbl_task5[[%]:[%]])</f>
        <v/>
      </c>
      <c r="HJ18" s="121" t="str">
        <f>IF(ISBLANK(tbl_task5[[คะแนนเต็ม]:[คะแนนเต็ม]]),"",(tbl_task5[48]/tbl_task5[[คะแนนเต็ม]:[คะแนนเต็ม]])*tbl_task5[[%]:[%]])</f>
        <v/>
      </c>
      <c r="HK18" s="121" t="str">
        <f>IF(ISBLANK(tbl_task5[[คะแนนเต็ม]:[คะแนนเต็ม]]),"",(tbl_task5[49]/tbl_task5[[คะแนนเต็ม]:[คะแนนเต็ม]])*tbl_task5[[%]:[%]])</f>
        <v/>
      </c>
      <c r="HL18" s="121" t="str">
        <f>IF(ISBLANK(tbl_task5[[คะแนนเต็ม]:[คะแนนเต็ม]]),"",(tbl_task5[50]/tbl_task5[[คะแนนเต็ม]:[คะแนนเต็ม]])*tbl_task5[[%]:[%]])</f>
        <v/>
      </c>
      <c r="HM18" s="121" t="str">
        <f>IF(ISBLANK(tbl_task5[[คะแนนเต็ม]:[คะแนนเต็ม]]),"",(tbl_task5[51]/tbl_task5[[คะแนนเต็ม]:[คะแนนเต็ม]])*tbl_task5[[%]:[%]])</f>
        <v/>
      </c>
      <c r="HN18" s="121" t="str">
        <f>IF(ISBLANK(tbl_task5[[คะแนนเต็ม]:[คะแนนเต็ม]]),"",(tbl_task5[52]/tbl_task5[[คะแนนเต็ม]:[คะแนนเต็ม]])*tbl_task5[[%]:[%]])</f>
        <v/>
      </c>
      <c r="HO18" s="121" t="str">
        <f>IF(ISBLANK(tbl_task5[[คะแนนเต็ม]:[คะแนนเต็ม]]),"",(tbl_task5[53]/tbl_task5[[คะแนนเต็ม]:[คะแนนเต็ม]])*tbl_task5[[%]:[%]])</f>
        <v/>
      </c>
      <c r="HP18" s="121" t="str">
        <f>IF(ISBLANK(tbl_task5[[คะแนนเต็ม]:[คะแนนเต็ม]]),"",(tbl_task5[54]/tbl_task5[[คะแนนเต็ม]:[คะแนนเต็ม]])*tbl_task5[[%]:[%]])</f>
        <v/>
      </c>
      <c r="HQ18" s="121" t="str">
        <f>IF(ISBLANK(tbl_task5[[คะแนนเต็ม]:[คะแนนเต็ม]]),"",(tbl_task5[55]/tbl_task5[[คะแนนเต็ม]:[คะแนนเต็ม]])*tbl_task5[[%]:[%]])</f>
        <v/>
      </c>
      <c r="HR18" s="121" t="str">
        <f>IF(ISBLANK(tbl_task5[[คะแนนเต็ม]:[คะแนนเต็ม]]),"",(tbl_task5[56]/tbl_task5[[คะแนนเต็ม]:[คะแนนเต็ม]])*tbl_task5[[%]:[%]])</f>
        <v/>
      </c>
      <c r="HS18" s="121" t="str">
        <f>IF(ISBLANK(tbl_task5[[คะแนนเต็ม]:[คะแนนเต็ม]]),"",(tbl_task5[57]/tbl_task5[[คะแนนเต็ม]:[คะแนนเต็ม]])*tbl_task5[[%]:[%]])</f>
        <v/>
      </c>
      <c r="HT18" s="121" t="str">
        <f>IF(ISBLANK(tbl_task5[[คะแนนเต็ม]:[คะแนนเต็ม]]),"",(tbl_task5[58]/tbl_task5[[คะแนนเต็ม]:[คะแนนเต็ม]])*tbl_task5[[%]:[%]])</f>
        <v/>
      </c>
      <c r="HU18" s="121" t="str">
        <f>IF(ISBLANK(tbl_task5[[คะแนนเต็ม]:[คะแนนเต็ม]]),"",(tbl_task5[59]/tbl_task5[[คะแนนเต็ม]:[คะแนนเต็ม]])*tbl_task5[[%]:[%]])</f>
        <v/>
      </c>
      <c r="HV18" s="121" t="str">
        <f>IF(ISBLANK(tbl_task5[[คะแนนเต็ม]:[คะแนนเต็ม]]),"",(tbl_task5[60]/tbl_task5[[คะแนนเต็ม]:[คะแนนเต็ม]])*tbl_task5[[%]:[%]])</f>
        <v/>
      </c>
      <c r="HW18" s="121" t="str">
        <f>IF(ISBLANK(tbl_task5[[คะแนนเต็ม]:[คะแนนเต็ม]]),"",(tbl_task5[61]/tbl_task5[[คะแนนเต็ม]:[คะแนนเต็ม]])*tbl_task5[[%]:[%]])</f>
        <v/>
      </c>
      <c r="HX18" s="121" t="str">
        <f>IF(ISBLANK(tbl_task5[[คะแนนเต็ม]:[คะแนนเต็ม]]),"",(tbl_task5[62]/tbl_task5[[คะแนนเต็ม]:[คะแนนเต็ม]])*tbl_task5[[%]:[%]])</f>
        <v/>
      </c>
      <c r="HY18" s="121" t="str">
        <f>IF(ISBLANK(tbl_task5[[คะแนนเต็ม]:[คะแนนเต็ม]]),"",(tbl_task5[63]/tbl_task5[[คะแนนเต็ม]:[คะแนนเต็ม]])*tbl_task5[[%]:[%]])</f>
        <v/>
      </c>
      <c r="HZ18" s="121" t="str">
        <f>IF(ISBLANK(tbl_task5[[คะแนนเต็ม]:[คะแนนเต็ม]]),"",(tbl_task5[64]/tbl_task5[[คะแนนเต็ม]:[คะแนนเต็ม]])*tbl_task5[[%]:[%]])</f>
        <v/>
      </c>
      <c r="IA18" s="121" t="str">
        <f>IF(ISBLANK(tbl_task5[[คะแนนเต็ม]:[คะแนนเต็ม]]),"",(tbl_task5[65]/tbl_task5[[คะแนนเต็ม]:[คะแนนเต็ม]])*tbl_task5[[%]:[%]])</f>
        <v/>
      </c>
      <c r="IB18" s="121" t="str">
        <f>IF(ISBLANK(tbl_task5[[คะแนนเต็ม]:[คะแนนเต็ม]]),"",(tbl_task5[66]/tbl_task5[[คะแนนเต็ม]:[คะแนนเต็ม]])*tbl_task5[[%]:[%]])</f>
        <v/>
      </c>
      <c r="IC18" s="121" t="str">
        <f>IF(ISBLANK(tbl_task5[[คะแนนเต็ม]:[คะแนนเต็ม]]),"",(tbl_task5[67]/tbl_task5[[คะแนนเต็ม]:[คะแนนเต็ม]])*tbl_task5[[%]:[%]])</f>
        <v/>
      </c>
      <c r="ID18" s="121" t="str">
        <f>IF(ISBLANK(tbl_task5[[คะแนนเต็ม]:[คะแนนเต็ม]]),"",(tbl_task5[68]/tbl_task5[[คะแนนเต็ม]:[คะแนนเต็ม]])*tbl_task5[[%]:[%]])</f>
        <v/>
      </c>
      <c r="IE18" s="121" t="str">
        <f>IF(ISBLANK(tbl_task5[[คะแนนเต็ม]:[คะแนนเต็ม]]),"",(tbl_task5[69]/tbl_task5[[คะแนนเต็ม]:[คะแนนเต็ม]])*tbl_task5[[%]:[%]])</f>
        <v/>
      </c>
      <c r="IF18" s="121" t="str">
        <f>IF(ISBLANK(tbl_task5[[คะแนนเต็ม]:[คะแนนเต็ม]]),"",(tbl_task5[70]/tbl_task5[[คะแนนเต็ม]:[คะแนนเต็ม]])*tbl_task5[[%]:[%]])</f>
        <v/>
      </c>
      <c r="IG18" s="121" t="str">
        <f>IF(ISBLANK(tbl_task5[[คะแนนเต็ม]:[คะแนนเต็ม]]),"",(tbl_task5[71]/tbl_task5[[คะแนนเต็ม]:[คะแนนเต็ม]])*tbl_task5[[%]:[%]])</f>
        <v/>
      </c>
      <c r="IH18" s="121" t="str">
        <f>IF(ISBLANK(tbl_task5[[คะแนนเต็ม]:[คะแนนเต็ม]]),"",(tbl_task5[72]/tbl_task5[[คะแนนเต็ม]:[คะแนนเต็ม]])*tbl_task5[[%]:[%]])</f>
        <v/>
      </c>
      <c r="II18" s="121" t="str">
        <f>IF(ISBLANK(tbl_task5[[คะแนนเต็ม]:[คะแนนเต็ม]]),"",(tbl_task5[73]/tbl_task5[[คะแนนเต็ม]:[คะแนนเต็ม]])*tbl_task5[[%]:[%]])</f>
        <v/>
      </c>
      <c r="IJ18" s="121" t="str">
        <f>IF(ISBLANK(tbl_task5[[คะแนนเต็ม]:[คะแนนเต็ม]]),"",(tbl_task5[74]/tbl_task5[[คะแนนเต็ม]:[คะแนนเต็ม]])*tbl_task5[[%]:[%]])</f>
        <v/>
      </c>
      <c r="IK18" s="121" t="str">
        <f>IF(ISBLANK(tbl_task5[[คะแนนเต็ม]:[คะแนนเต็ม]]),"",(tbl_task5[75]/tbl_task5[[คะแนนเต็ม]:[คะแนนเต็ม]])*tbl_task5[[%]:[%]])</f>
        <v/>
      </c>
      <c r="IL18" s="121" t="str">
        <f>IF(ISBLANK(tbl_task5[[คะแนนเต็ม]:[คะแนนเต็ม]]),"",(tbl_task5[76]/tbl_task5[[คะแนนเต็ม]:[คะแนนเต็ม]])*tbl_task5[[%]:[%]])</f>
        <v/>
      </c>
      <c r="IM18" s="121" t="str">
        <f>IF(ISBLANK(tbl_task5[[คะแนนเต็ม]:[คะแนนเต็ม]]),"",(tbl_task5[77]/tbl_task5[[คะแนนเต็ม]:[คะแนนเต็ม]])*tbl_task5[[%]:[%]])</f>
        <v/>
      </c>
      <c r="IN18" s="121" t="str">
        <f>IF(ISBLANK(tbl_task5[[คะแนนเต็ม]:[คะแนนเต็ม]]),"",(tbl_task5[78]/tbl_task5[[คะแนนเต็ม]:[คะแนนเต็ม]])*tbl_task5[[%]:[%]])</f>
        <v/>
      </c>
      <c r="IO18" s="121" t="str">
        <f>IF(ISBLANK(tbl_task5[[คะแนนเต็ม]:[คะแนนเต็ม]]),"",(tbl_task5[79]/tbl_task5[[คะแนนเต็ม]:[คะแนนเต็ม]])*tbl_task5[[%]:[%]])</f>
        <v/>
      </c>
      <c r="IP18" s="121" t="str">
        <f>IF(ISBLANK(tbl_task5[[คะแนนเต็ม]:[คะแนนเต็ม]]),"",(tbl_task5[80]/tbl_task5[[คะแนนเต็ม]:[คะแนนเต็ม]])*tbl_task5[[%]:[%]])</f>
        <v/>
      </c>
      <c r="IQ18" s="121" t="str">
        <f>IF(ISBLANK(tbl_task5[[คะแนนเต็ม]:[คะแนนเต็ม]]),"",(tbl_task5[81]/tbl_task5[[คะแนนเต็ม]:[คะแนนเต็ม]])*tbl_task5[[%]:[%]])</f>
        <v/>
      </c>
      <c r="IR18" s="121" t="str">
        <f>IF(ISBLANK(tbl_task5[[คะแนนเต็ม]:[คะแนนเต็ม]]),"",(tbl_task5[82]/tbl_task5[[คะแนนเต็ม]:[คะแนนเต็ม]])*tbl_task5[[%]:[%]])</f>
        <v/>
      </c>
      <c r="IS18" s="121" t="str">
        <f>IF(ISBLANK(tbl_task5[[คะแนนเต็ม]:[คะแนนเต็ม]]),"",(tbl_task5[83]/tbl_task5[[คะแนนเต็ม]:[คะแนนเต็ม]])*tbl_task5[[%]:[%]])</f>
        <v/>
      </c>
      <c r="IT18" s="121" t="str">
        <f>IF(ISBLANK(tbl_task5[[คะแนนเต็ม]:[คะแนนเต็ม]]),"",(tbl_task5[84]/tbl_task5[[คะแนนเต็ม]:[คะแนนเต็ม]])*tbl_task5[[%]:[%]])</f>
        <v/>
      </c>
      <c r="IU18" s="121" t="str">
        <f>IF(ISBLANK(tbl_task5[[คะแนนเต็ม]:[คะแนนเต็ม]]),"",(tbl_task5[85]/tbl_task5[[คะแนนเต็ม]:[คะแนนเต็ม]])*tbl_task5[[%]:[%]])</f>
        <v/>
      </c>
      <c r="IV18" s="121" t="str">
        <f>IF(ISBLANK(tbl_task5[[คะแนนเต็ม]:[คะแนนเต็ม]]),"",(tbl_task5[86]/tbl_task5[[คะแนนเต็ม]:[คะแนนเต็ม]])*tbl_task5[[%]:[%]])</f>
        <v/>
      </c>
      <c r="IW18" s="121" t="str">
        <f>IF(ISBLANK(tbl_task5[[คะแนนเต็ม]:[คะแนนเต็ม]]),"",(tbl_task5[87]/tbl_task5[[คะแนนเต็ม]:[คะแนนเต็ม]])*tbl_task5[[%]:[%]])</f>
        <v/>
      </c>
      <c r="IX18" s="121" t="str">
        <f>IF(ISBLANK(tbl_task5[[คะแนนเต็ม]:[คะแนนเต็ม]]),"",(tbl_task5[88]/tbl_task5[[คะแนนเต็ม]:[คะแนนเต็ม]])*tbl_task5[[%]:[%]])</f>
        <v/>
      </c>
      <c r="IY18" s="121" t="str">
        <f>IF(ISBLANK(tbl_task5[[คะแนนเต็ม]:[คะแนนเต็ม]]),"",(tbl_task5[89]/tbl_task5[[คะแนนเต็ม]:[คะแนนเต็ม]])*tbl_task5[[%]:[%]])</f>
        <v/>
      </c>
      <c r="IZ18" s="121" t="str">
        <f>IF(ISBLANK(tbl_task5[[คะแนนเต็ม]:[คะแนนเต็ม]]),"",(tbl_task5[90]/tbl_task5[[คะแนนเต็ม]:[คะแนนเต็ม]])*tbl_task5[[%]:[%]])</f>
        <v/>
      </c>
      <c r="JA18" s="121" t="str">
        <f>IF(ISBLANK(tbl_task5[[คะแนนเต็ม]:[คะแนนเต็ม]]),"",(tbl_task5[91]/tbl_task5[[คะแนนเต็ม]:[คะแนนเต็ม]])*tbl_task5[[%]:[%]])</f>
        <v/>
      </c>
      <c r="JB18" s="121" t="str">
        <f>IF(ISBLANK(tbl_task5[[คะแนนเต็ม]:[คะแนนเต็ม]]),"",(tbl_task5[92]/tbl_task5[[คะแนนเต็ม]:[คะแนนเต็ม]])*tbl_task5[[%]:[%]])</f>
        <v/>
      </c>
      <c r="JC18" s="121" t="str">
        <f>IF(ISBLANK(tbl_task5[[คะแนนเต็ม]:[คะแนนเต็ม]]),"",(tbl_task5[93]/tbl_task5[[คะแนนเต็ม]:[คะแนนเต็ม]])*tbl_task5[[%]:[%]])</f>
        <v/>
      </c>
      <c r="JD18" s="121" t="str">
        <f>IF(ISBLANK(tbl_task5[[คะแนนเต็ม]:[คะแนนเต็ม]]),"",(tbl_task5[94]/tbl_task5[[คะแนนเต็ม]:[คะแนนเต็ม]])*tbl_task5[[%]:[%]])</f>
        <v/>
      </c>
      <c r="JE18" s="121" t="str">
        <f>IF(ISBLANK(tbl_task5[[คะแนนเต็ม]:[คะแนนเต็ม]]),"",(tbl_task5[95]/tbl_task5[[คะแนนเต็ม]:[คะแนนเต็ม]])*tbl_task5[[%]:[%]])</f>
        <v/>
      </c>
      <c r="JF18" s="121" t="str">
        <f>IF(ISBLANK(tbl_task5[[คะแนนเต็ม]:[คะแนนเต็ม]]),"",(tbl_task5[96]/tbl_task5[[คะแนนเต็ม]:[คะแนนเต็ม]])*tbl_task5[[%]:[%]])</f>
        <v/>
      </c>
      <c r="JG18" s="121" t="str">
        <f>IF(ISBLANK(tbl_task5[[คะแนนเต็ม]:[คะแนนเต็ม]]),"",(tbl_task5[97]/tbl_task5[[คะแนนเต็ม]:[คะแนนเต็ม]])*tbl_task5[[%]:[%]])</f>
        <v/>
      </c>
      <c r="JH18" s="121" t="str">
        <f>IF(ISBLANK(tbl_task5[[คะแนนเต็ม]:[คะแนนเต็ม]]),"",(tbl_task5[98]/tbl_task5[[คะแนนเต็ม]:[คะแนนเต็ม]])*tbl_task5[[%]:[%]])</f>
        <v/>
      </c>
      <c r="JI18" s="121" t="str">
        <f>IF(ISBLANK(tbl_task5[[คะแนนเต็ม]:[คะแนนเต็ม]]),"",(tbl_task5[99]/tbl_task5[[คะแนนเต็ม]:[คะแนนเต็ม]])*tbl_task5[[%]:[%]])</f>
        <v/>
      </c>
      <c r="JJ18" s="121" t="str">
        <f>IF(ISBLANK(tbl_task5[[คะแนนเต็ม]:[คะแนนเต็ม]]),"",(tbl_task5[100]/tbl_task5[[คะแนนเต็ม]:[คะแนนเต็ม]])*tbl_task5[[%]:[%]])</f>
        <v/>
      </c>
      <c r="JK18" s="121" t="str">
        <f>IF(ISBLANK(tbl_task5[[คะแนนเต็ม]:[คะแนนเต็ม]]),"",(tbl_task5[101]/tbl_task5[[คะแนนเต็ม]:[คะแนนเต็ม]])*tbl_task5[[%]:[%]])</f>
        <v/>
      </c>
      <c r="JL18" s="121" t="str">
        <f>IF(ISBLANK(tbl_task5[[คะแนนเต็ม]:[คะแนนเต็ม]]),"",(tbl_task5[102]/tbl_task5[[คะแนนเต็ม]:[คะแนนเต็ม]])*tbl_task5[[%]:[%]])</f>
        <v/>
      </c>
      <c r="JM18" s="121" t="str">
        <f>IF(ISBLANK(tbl_task5[[คะแนนเต็ม]:[คะแนนเต็ม]]),"",(tbl_task5[103]/tbl_task5[[คะแนนเต็ม]:[คะแนนเต็ม]])*tbl_task5[[%]:[%]])</f>
        <v/>
      </c>
      <c r="JN18" s="121" t="str">
        <f>IF(ISBLANK(tbl_task5[[คะแนนเต็ม]:[คะแนนเต็ม]]),"",(tbl_task5[104]/tbl_task5[[คะแนนเต็ม]:[คะแนนเต็ม]])*tbl_task5[[%]:[%]])</f>
        <v/>
      </c>
      <c r="JO18" s="121" t="str">
        <f>IF(ISBLANK(tbl_task5[[คะแนนเต็ม]:[คะแนนเต็ม]]),"",(tbl_task5[105]/tbl_task5[[คะแนนเต็ม]:[คะแนนเต็ม]])*tbl_task5[[%]:[%]])</f>
        <v/>
      </c>
      <c r="JP18" s="121" t="str">
        <f>IF(ISBLANK(tbl_task5[[คะแนนเต็ม]:[คะแนนเต็ม]]),"",(tbl_task5[106]/tbl_task5[[คะแนนเต็ม]:[คะแนนเต็ม]])*tbl_task5[[%]:[%]])</f>
        <v/>
      </c>
      <c r="JQ18" s="121" t="str">
        <f>IF(ISBLANK(tbl_task5[[คะแนนเต็ม]:[คะแนนเต็ม]]),"",(tbl_task5[107]/tbl_task5[[คะแนนเต็ม]:[คะแนนเต็ม]])*tbl_task5[[%]:[%]])</f>
        <v/>
      </c>
      <c r="JR18" s="121" t="str">
        <f>IF(ISBLANK(tbl_task5[[คะแนนเต็ม]:[คะแนนเต็ม]]),"",(tbl_task5[108]/tbl_task5[[คะแนนเต็ม]:[คะแนนเต็ม]])*tbl_task5[[%]:[%]])</f>
        <v/>
      </c>
      <c r="JS18" s="121" t="str">
        <f>IF(ISBLANK(tbl_task5[[คะแนนเต็ม]:[คะแนนเต็ม]]),"",(tbl_task5[109]/tbl_task5[[คะแนนเต็ม]:[คะแนนเต็ม]])*tbl_task5[[%]:[%]])</f>
        <v/>
      </c>
      <c r="JT18" s="121" t="str">
        <f>IF(ISBLANK(tbl_task5[[คะแนนเต็ม]:[คะแนนเต็ม]]),"",(tbl_task5[110]/tbl_task5[[คะแนนเต็ม]:[คะแนนเต็ม]])*tbl_task5[[%]:[%]])</f>
        <v/>
      </c>
      <c r="JU18" s="121" t="str">
        <f>IF(ISBLANK(tbl_task5[[คะแนนเต็ม]:[คะแนนเต็ม]]),"",(tbl_task5[111]/tbl_task5[[คะแนนเต็ม]:[คะแนนเต็ม]])*tbl_task5[[%]:[%]])</f>
        <v/>
      </c>
      <c r="JV18" s="121" t="str">
        <f>IF(ISBLANK(tbl_task5[[คะแนนเต็ม]:[คะแนนเต็ม]]),"",(tbl_task5[112]/tbl_task5[[คะแนนเต็ม]:[คะแนนเต็ม]])*tbl_task5[[%]:[%]])</f>
        <v/>
      </c>
      <c r="JW18" s="121" t="str">
        <f>IF(ISBLANK(tbl_task5[[คะแนนเต็ม]:[คะแนนเต็ม]]),"",(tbl_task5[113]/tbl_task5[[คะแนนเต็ม]:[คะแนนเต็ม]])*tbl_task5[[%]:[%]])</f>
        <v/>
      </c>
      <c r="JX18" s="121" t="str">
        <f>IF(ISBLANK(tbl_task5[[คะแนนเต็ม]:[คะแนนเต็ม]]),"",(tbl_task5[114]/tbl_task5[[คะแนนเต็ม]:[คะแนนเต็ม]])*tbl_task5[[%]:[%]])</f>
        <v/>
      </c>
      <c r="JY18" s="121" t="str">
        <f>IF(ISBLANK(tbl_task5[[คะแนนเต็ม]:[คะแนนเต็ม]]),"",(tbl_task5[115]/tbl_task5[[คะแนนเต็ม]:[คะแนนเต็ม]])*tbl_task5[[%]:[%]])</f>
        <v/>
      </c>
      <c r="JZ18" s="121" t="str">
        <f>IF(ISBLANK(tbl_task5[[คะแนนเต็ม]:[คะแนนเต็ม]]),"",(tbl_task5[116]/tbl_task5[[คะแนนเต็ม]:[คะแนนเต็ม]])*tbl_task5[[%]:[%]])</f>
        <v/>
      </c>
      <c r="KA18" s="121" t="str">
        <f>IF(ISBLANK(tbl_task5[[คะแนนเต็ม]:[คะแนนเต็ม]]),"",(tbl_task5[117]/tbl_task5[[คะแนนเต็ม]:[คะแนนเต็ม]])*tbl_task5[[%]:[%]])</f>
        <v/>
      </c>
      <c r="KB18" s="121" t="str">
        <f>IF(ISBLANK(tbl_task5[[คะแนนเต็ม]:[คะแนนเต็ม]]),"",(tbl_task5[118]/tbl_task5[[คะแนนเต็ม]:[คะแนนเต็ม]])*tbl_task5[[%]:[%]])</f>
        <v/>
      </c>
      <c r="KC18" s="121" t="str">
        <f>IF(ISBLANK(tbl_task5[[คะแนนเต็ม]:[คะแนนเต็ม]]),"",(tbl_task5[119]/tbl_task5[[คะแนนเต็ม]:[คะแนนเต็ม]])*tbl_task5[[%]:[%]])</f>
        <v/>
      </c>
      <c r="KD18" s="121" t="str">
        <f>IF(ISBLANK(tbl_task5[[คะแนนเต็ม]:[คะแนนเต็ม]]),"",(tbl_task5[120]/tbl_task5[[คะแนนเต็ม]:[คะแนนเต็ม]])*tbl_task5[[%]:[%]])</f>
        <v/>
      </c>
      <c r="KE18" s="121" t="str">
        <f>IF(ISBLANK(tbl_task5[[คะแนนเต็ม]:[คะแนนเต็ม]]),"",(tbl_task5[121]/tbl_task5[[คะแนนเต็ม]:[คะแนนเต็ม]])*tbl_task5[[%]:[%]])</f>
        <v/>
      </c>
      <c r="KF18" s="121" t="str">
        <f>IF(ISBLANK(tbl_task5[[คะแนนเต็ม]:[คะแนนเต็ม]]),"",(tbl_task5[122]/tbl_task5[[คะแนนเต็ม]:[คะแนนเต็ม]])*tbl_task5[[%]:[%]])</f>
        <v/>
      </c>
      <c r="KG18" s="121" t="str">
        <f>IF(ISBLANK(tbl_task5[[คะแนนเต็ม]:[คะแนนเต็ม]]),"",(tbl_task5[123]/tbl_task5[[คะแนนเต็ม]:[คะแนนเต็ม]])*tbl_task5[[%]:[%]])</f>
        <v/>
      </c>
      <c r="KH18" s="121" t="str">
        <f>IF(ISBLANK(tbl_task5[[คะแนนเต็ม]:[คะแนนเต็ม]]),"",(tbl_task5[124]/tbl_task5[[คะแนนเต็ม]:[คะแนนเต็ม]])*tbl_task5[[%]:[%]])</f>
        <v/>
      </c>
      <c r="KI18" s="121" t="str">
        <f>IF(ISBLANK(tbl_task5[[คะแนนเต็ม]:[คะแนนเต็ม]]),"",(tbl_task5[125]/tbl_task5[[คะแนนเต็ม]:[คะแนนเต็ม]])*tbl_task5[[%]:[%]])</f>
        <v/>
      </c>
      <c r="KJ18" s="121" t="str">
        <f>IF(ISBLANK(tbl_task5[[คะแนนเต็ม]:[คะแนนเต็ม]]),"",(tbl_task5[126]/tbl_task5[[คะแนนเต็ม]:[คะแนนเต็ม]])*tbl_task5[[%]:[%]])</f>
        <v/>
      </c>
      <c r="KK18" s="121" t="str">
        <f>IF(ISBLANK(tbl_task5[[คะแนนเต็ม]:[คะแนนเต็ม]]),"",(tbl_task5[127]/tbl_task5[[คะแนนเต็ม]:[คะแนนเต็ม]])*tbl_task5[[%]:[%]])</f>
        <v/>
      </c>
      <c r="KL18" s="121" t="str">
        <f>IF(ISBLANK(tbl_task5[[คะแนนเต็ม]:[คะแนนเต็ม]]),"",(tbl_task5[128]/tbl_task5[[คะแนนเต็ม]:[คะแนนเต็ม]])*tbl_task5[[%]:[%]])</f>
        <v/>
      </c>
      <c r="KM18" s="121" t="str">
        <f>IF(ISBLANK(tbl_task5[[คะแนนเต็ม]:[คะแนนเต็ม]]),"",(tbl_task5[129]/tbl_task5[[คะแนนเต็ม]:[คะแนนเต็ม]])*tbl_task5[[%]:[%]])</f>
        <v/>
      </c>
      <c r="KN18" s="121" t="str">
        <f>IF(ISBLANK(tbl_task5[[คะแนนเต็ม]:[คะแนนเต็ม]]),"",(tbl_task5[130]/tbl_task5[[คะแนนเต็ม]:[คะแนนเต็ม]])*tbl_task5[[%]:[%]])</f>
        <v/>
      </c>
      <c r="KO18" s="121" t="str">
        <f>IF(ISBLANK(tbl_task5[[คะแนนเต็ม]:[คะแนนเต็ม]]),"",(tbl_task5[131]/tbl_task5[[คะแนนเต็ม]:[คะแนนเต็ม]])*tbl_task5[[%]:[%]])</f>
        <v/>
      </c>
      <c r="KP18" s="121" t="str">
        <f>IF(ISBLANK(tbl_task5[[คะแนนเต็ม]:[คะแนนเต็ม]]),"",(tbl_task5[132]/tbl_task5[[คะแนนเต็ม]:[คะแนนเต็ม]])*tbl_task5[[%]:[%]])</f>
        <v/>
      </c>
      <c r="KQ18" s="121" t="str">
        <f>IF(ISBLANK(tbl_task5[[คะแนนเต็ม]:[คะแนนเต็ม]]),"",(tbl_task5[133]/tbl_task5[[คะแนนเต็ม]:[คะแนนเต็ม]])*tbl_task5[[%]:[%]])</f>
        <v/>
      </c>
      <c r="KR18" s="121" t="str">
        <f>IF(ISBLANK(tbl_task5[[คะแนนเต็ม]:[คะแนนเต็ม]]),"",(tbl_task5[134]/tbl_task5[[คะแนนเต็ม]:[คะแนนเต็ม]])*tbl_task5[[%]:[%]])</f>
        <v/>
      </c>
      <c r="KS18" s="121" t="str">
        <f>IF(ISBLANK(tbl_task5[[คะแนนเต็ม]:[คะแนนเต็ม]]),"",(tbl_task5[135]/tbl_task5[[คะแนนเต็ม]:[คะแนนเต็ม]])*tbl_task5[[%]:[%]])</f>
        <v/>
      </c>
      <c r="KT18" s="121" t="str">
        <f>IF(ISBLANK(tbl_task5[[คะแนนเต็ม]:[คะแนนเต็ม]]),"",(tbl_task5[136]/tbl_task5[[คะแนนเต็ม]:[คะแนนเต็ม]])*tbl_task5[[%]:[%]])</f>
        <v/>
      </c>
      <c r="KU18" s="121" t="str">
        <f>IF(ISBLANK(tbl_task5[[คะแนนเต็ม]:[คะแนนเต็ม]]),"",(tbl_task5[137]/tbl_task5[[คะแนนเต็ม]:[คะแนนเต็ม]])*tbl_task5[[%]:[%]])</f>
        <v/>
      </c>
      <c r="KV18" s="121" t="str">
        <f>IF(ISBLANK(tbl_task5[[คะแนนเต็ม]:[คะแนนเต็ม]]),"",(tbl_task5[138]/tbl_task5[[คะแนนเต็ม]:[คะแนนเต็ม]])*tbl_task5[[%]:[%]])</f>
        <v/>
      </c>
      <c r="KW18" s="121" t="str">
        <f>IF(ISBLANK(tbl_task5[[คะแนนเต็ม]:[คะแนนเต็ม]]),"",(tbl_task5[139]/tbl_task5[[คะแนนเต็ม]:[คะแนนเต็ม]])*tbl_task5[[%]:[%]])</f>
        <v/>
      </c>
      <c r="KX18" s="121" t="str">
        <f>IF(ISBLANK(tbl_task5[[คะแนนเต็ม]:[คะแนนเต็ม]]),"",(tbl_task5[140]/tbl_task5[[คะแนนเต็ม]:[คะแนนเต็ม]])*tbl_task5[[%]:[%]])</f>
        <v/>
      </c>
      <c r="KY18" s="121" t="str">
        <f>IF(ISBLANK(tbl_task5[[คะแนนเต็ม]:[คะแนนเต็ม]]),"",(tbl_task5[141]/tbl_task5[[คะแนนเต็ม]:[คะแนนเต็ม]])*tbl_task5[[%]:[%]])</f>
        <v/>
      </c>
      <c r="KZ18" s="121" t="str">
        <f>IF(ISBLANK(tbl_task5[[คะแนนเต็ม]:[คะแนนเต็ม]]),"",(tbl_task5[142]/tbl_task5[[คะแนนเต็ม]:[คะแนนเต็ม]])*tbl_task5[[%]:[%]])</f>
        <v/>
      </c>
      <c r="LA18" s="121" t="str">
        <f>IF(ISBLANK(tbl_task5[[คะแนนเต็ม]:[คะแนนเต็ม]]),"",(tbl_task5[143]/tbl_task5[[คะแนนเต็ม]:[คะแนนเต็ม]])*tbl_task5[[%]:[%]])</f>
        <v/>
      </c>
      <c r="LB18" s="121" t="str">
        <f>IF(ISBLANK(tbl_task5[[คะแนนเต็ม]:[คะแนนเต็ม]]),"",(tbl_task5[144]/tbl_task5[[คะแนนเต็ม]:[คะแนนเต็ม]])*tbl_task5[[%]:[%]])</f>
        <v/>
      </c>
      <c r="LC18" s="121" t="str">
        <f>IF(ISBLANK(tbl_task5[[คะแนนเต็ม]:[คะแนนเต็ม]]),"",(tbl_task5[145]/tbl_task5[[คะแนนเต็ม]:[คะแนนเต็ม]])*tbl_task5[[%]:[%]])</f>
        <v/>
      </c>
      <c r="LD18" s="121" t="str">
        <f>IF(ISBLANK(tbl_task5[[คะแนนเต็ม]:[คะแนนเต็ม]]),"",(tbl_task5[146]/tbl_task5[[คะแนนเต็ม]:[คะแนนเต็ม]])*tbl_task5[[%]:[%]])</f>
        <v/>
      </c>
      <c r="LE18" s="121" t="str">
        <f>IF(ISBLANK(tbl_task5[[คะแนนเต็ม]:[คะแนนเต็ม]]),"",(tbl_task5[147]/tbl_task5[[คะแนนเต็ม]:[คะแนนเต็ม]])*tbl_task5[[%]:[%]])</f>
        <v/>
      </c>
      <c r="LF18" s="121" t="str">
        <f>IF(ISBLANK(tbl_task5[[คะแนนเต็ม]:[คะแนนเต็ม]]),"",(tbl_task5[148]/tbl_task5[[คะแนนเต็ม]:[คะแนนเต็ม]])*tbl_task5[[%]:[%]])</f>
        <v/>
      </c>
      <c r="LG18" s="121" t="str">
        <f>IF(ISBLANK(tbl_task5[[คะแนนเต็ม]:[คะแนนเต็ม]]),"",(tbl_task5[149]/tbl_task5[[คะแนนเต็ม]:[คะแนนเต็ม]])*tbl_task5[[%]:[%]])</f>
        <v/>
      </c>
      <c r="LH18" s="121" t="str">
        <f>IF(ISBLANK(tbl_task5[[คะแนนเต็ม]:[คะแนนเต็ม]]),"",(tbl_task5[150]/tbl_task5[[คะแนนเต็ม]:[คะแนนเต็ม]])*tbl_task5[[%]:[%]])</f>
        <v/>
      </c>
      <c r="LI18" s="121" t="str">
        <f>IF(ISBLANK(tbl_task5[[คะแนนเต็ม]:[คะแนนเต็ม]]),"",(tbl_task5[151]/tbl_task5[[คะแนนเต็ม]:[คะแนนเต็ม]])*tbl_task5[[%]:[%]])</f>
        <v/>
      </c>
      <c r="LJ18" s="121" t="str">
        <f>IF(ISBLANK(tbl_task5[[คะแนนเต็ม]:[คะแนนเต็ม]]),"",(tbl_task5[152]/tbl_task5[[คะแนนเต็ม]:[คะแนนเต็ม]])*tbl_task5[[%]:[%]])</f>
        <v/>
      </c>
      <c r="LK18" s="121" t="str">
        <f>IF(ISBLANK(tbl_task5[[คะแนนเต็ม]:[คะแนนเต็ม]]),"",(tbl_task5[153]/tbl_task5[[คะแนนเต็ม]:[คะแนนเต็ม]])*tbl_task5[[%]:[%]])</f>
        <v/>
      </c>
      <c r="LL18" s="121" t="str">
        <f>IF(ISBLANK(tbl_task5[[คะแนนเต็ม]:[คะแนนเต็ม]]),"",(tbl_task5[154]/tbl_task5[[คะแนนเต็ม]:[คะแนนเต็ม]])*tbl_task5[[%]:[%]])</f>
        <v/>
      </c>
      <c r="LM18" s="121" t="str">
        <f>IF(ISBLANK(tbl_task5[[คะแนนเต็ม]:[คะแนนเต็ม]]),"",(tbl_task5[155]/tbl_task5[[คะแนนเต็ม]:[คะแนนเต็ม]])*tbl_task5[[%]:[%]])</f>
        <v/>
      </c>
      <c r="LN18" s="121" t="str">
        <f>IF(ISBLANK(tbl_task5[[คะแนนเต็ม]:[คะแนนเต็ม]]),"",(tbl_task5[156]/tbl_task5[[คะแนนเต็ม]:[คะแนนเต็ม]])*tbl_task5[[%]:[%]])</f>
        <v/>
      </c>
      <c r="LO18" s="121" t="str">
        <f>IF(ISBLANK(tbl_task5[[คะแนนเต็ม]:[คะแนนเต็ม]]),"",(tbl_task5[157]/tbl_task5[[คะแนนเต็ม]:[คะแนนเต็ม]])*tbl_task5[[%]:[%]])</f>
        <v/>
      </c>
      <c r="LP18" s="121" t="str">
        <f>IF(ISBLANK(tbl_task5[[คะแนนเต็ม]:[คะแนนเต็ม]]),"",(tbl_task5[158]/tbl_task5[[คะแนนเต็ม]:[คะแนนเต็ม]])*tbl_task5[[%]:[%]])</f>
        <v/>
      </c>
      <c r="LQ18" s="121" t="str">
        <f>IF(ISBLANK(tbl_task5[[คะแนนเต็ม]:[คะแนนเต็ม]]),"",(tbl_task5[159]/tbl_task5[[คะแนนเต็ม]:[คะแนนเต็ม]])*tbl_task5[[%]:[%]])</f>
        <v/>
      </c>
      <c r="LR18" s="121" t="str">
        <f>IF(ISBLANK(tbl_task5[[คะแนนเต็ม]:[คะแนนเต็ม]]),"",(tbl_task5[160]/tbl_task5[[คะแนนเต็ม]:[คะแนนเต็ม]])*tbl_task5[[%]:[%]])</f>
        <v/>
      </c>
      <c r="LS18" s="121" t="str">
        <f>IF(ISBLANK(tbl_task5[[คะแนนเต็ม]:[คะแนนเต็ม]]),"",(tbl_task5[161]/tbl_task5[[คะแนนเต็ม]:[คะแนนเต็ม]])*tbl_task5[[%]:[%]])</f>
        <v/>
      </c>
      <c r="LT18" s="121" t="str">
        <f>IF(ISBLANK(tbl_task5[[คะแนนเต็ม]:[คะแนนเต็ม]]),"",(tbl_task5[162]/tbl_task5[[คะแนนเต็ม]:[คะแนนเต็ม]])*tbl_task5[[%]:[%]])</f>
        <v/>
      </c>
      <c r="LU18" s="121" t="str">
        <f>IF(ISBLANK(tbl_task5[[คะแนนเต็ม]:[คะแนนเต็ม]]),"",(tbl_task5[163]/tbl_task5[[คะแนนเต็ม]:[คะแนนเต็ม]])*tbl_task5[[%]:[%]])</f>
        <v/>
      </c>
      <c r="LV18" s="121" t="str">
        <f>IF(ISBLANK(tbl_task5[[คะแนนเต็ม]:[คะแนนเต็ม]]),"",(tbl_task5[164]/tbl_task5[[คะแนนเต็ม]:[คะแนนเต็ม]])*tbl_task5[[%]:[%]])</f>
        <v/>
      </c>
      <c r="LW18" s="121" t="str">
        <f>IF(ISBLANK(tbl_task5[[คะแนนเต็ม]:[คะแนนเต็ม]]),"",(tbl_task5[165]/tbl_task5[[คะแนนเต็ม]:[คะแนนเต็ม]])*tbl_task5[[%]:[%]])</f>
        <v/>
      </c>
    </row>
    <row r="19" spans="1:335" ht="24" customHeight="1" x14ac:dyDescent="0.25">
      <c r="A19" s="24">
        <v>16</v>
      </c>
      <c r="B19" s="20"/>
      <c r="C19" s="5" t="str">
        <f>IF(ISBLANK(B19),"",VLOOKUP(B19,tbl_PLOs[],2,0))</f>
        <v/>
      </c>
      <c r="D19" s="102"/>
      <c r="E19" s="106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121" t="str">
        <f>IF(ISBLANK(tbl_task5[[คะแนนเต็ม]:[คะแนนเต็ม]]),"",(tbl_task5[1]/tbl_task5[[คะแนนเต็ม]:[คะแนนเต็ม]])*tbl_task5[[%]:[%]])</f>
        <v/>
      </c>
      <c r="FP19" s="121" t="str">
        <f>IF(ISBLANK(tbl_task5[[คะแนนเต็ม]:[คะแนนเต็ม]]),"",(tbl_task5[2]/tbl_task5[[คะแนนเต็ม]:[คะแนนเต็ม]])*tbl_task5[[%]:[%]])</f>
        <v/>
      </c>
      <c r="FQ19" s="121" t="str">
        <f>IF(ISBLANK(tbl_task5[[คะแนนเต็ม]:[คะแนนเต็ม]]),"",(tbl_task5[3]/tbl_task5[[คะแนนเต็ม]:[คะแนนเต็ม]])*tbl_task5[[%]:[%]])</f>
        <v/>
      </c>
      <c r="FR19" s="121" t="str">
        <f>IF(ISBLANK(tbl_task5[[คะแนนเต็ม]:[คะแนนเต็ม]]),"",(tbl_task5[4]/tbl_task5[[คะแนนเต็ม]:[คะแนนเต็ม]])*tbl_task5[[%]:[%]])</f>
        <v/>
      </c>
      <c r="FS19" s="121" t="str">
        <f>IF(ISBLANK(tbl_task5[[คะแนนเต็ม]:[คะแนนเต็ม]]),"",(tbl_task5[5]/tbl_task5[[คะแนนเต็ม]:[คะแนนเต็ม]])*tbl_task5[[%]:[%]])</f>
        <v/>
      </c>
      <c r="FT19" s="121" t="str">
        <f>IF(ISBLANK(tbl_task5[[คะแนนเต็ม]:[คะแนนเต็ม]]),"",(tbl_task5[6]/tbl_task5[[คะแนนเต็ม]:[คะแนนเต็ม]])*tbl_task5[[%]:[%]])</f>
        <v/>
      </c>
      <c r="FU19" s="121" t="str">
        <f>IF(ISBLANK(tbl_task5[[คะแนนเต็ม]:[คะแนนเต็ม]]),"",(tbl_task5[7]/tbl_task5[[คะแนนเต็ม]:[คะแนนเต็ม]])*tbl_task5[[%]:[%]])</f>
        <v/>
      </c>
      <c r="FV19" s="121" t="str">
        <f>IF(ISBLANK(tbl_task5[[คะแนนเต็ม]:[คะแนนเต็ม]]),"",(tbl_task5[8]/tbl_task5[[คะแนนเต็ม]:[คะแนนเต็ม]])*tbl_task5[[%]:[%]])</f>
        <v/>
      </c>
      <c r="FW19" s="121" t="str">
        <f>IF(ISBLANK(tbl_task5[[คะแนนเต็ม]:[คะแนนเต็ม]]),"",(tbl_task5[9]/tbl_task5[[คะแนนเต็ม]:[คะแนนเต็ม]])*tbl_task5[[%]:[%]])</f>
        <v/>
      </c>
      <c r="FX19" s="121" t="str">
        <f>IF(ISBLANK(tbl_task5[[คะแนนเต็ม]:[คะแนนเต็ม]]),"",(tbl_task5[10]/tbl_task5[[คะแนนเต็ม]:[คะแนนเต็ม]])*tbl_task5[[%]:[%]])</f>
        <v/>
      </c>
      <c r="FY19" s="121" t="str">
        <f>IF(ISBLANK(tbl_task5[[คะแนนเต็ม]:[คะแนนเต็ม]]),"",(tbl_task5[11]/tbl_task5[[คะแนนเต็ม]:[คะแนนเต็ม]])*tbl_task5[[%]:[%]])</f>
        <v/>
      </c>
      <c r="FZ19" s="121" t="str">
        <f>IF(ISBLANK(tbl_task5[[คะแนนเต็ม]:[คะแนนเต็ม]]),"",(tbl_task5[12]/tbl_task5[[คะแนนเต็ม]:[คะแนนเต็ม]])*tbl_task5[[%]:[%]])</f>
        <v/>
      </c>
      <c r="GA19" s="121" t="str">
        <f>IF(ISBLANK(tbl_task5[[คะแนนเต็ม]:[คะแนนเต็ม]]),"",(tbl_task5[13]/tbl_task5[[คะแนนเต็ม]:[คะแนนเต็ม]])*tbl_task5[[%]:[%]])</f>
        <v/>
      </c>
      <c r="GB19" s="121" t="str">
        <f>IF(ISBLANK(tbl_task5[[คะแนนเต็ม]:[คะแนนเต็ม]]),"",(tbl_task5[14]/tbl_task5[[คะแนนเต็ม]:[คะแนนเต็ม]])*tbl_task5[[%]:[%]])</f>
        <v/>
      </c>
      <c r="GC19" s="121" t="str">
        <f>IF(ISBLANK(tbl_task5[[คะแนนเต็ม]:[คะแนนเต็ม]]),"",(tbl_task5[15]/tbl_task5[[คะแนนเต็ม]:[คะแนนเต็ม]])*tbl_task5[[%]:[%]])</f>
        <v/>
      </c>
      <c r="GD19" s="121" t="str">
        <f>IF(ISBLANK(tbl_task5[[คะแนนเต็ม]:[คะแนนเต็ม]]),"",(tbl_task5[16]/tbl_task5[[คะแนนเต็ม]:[คะแนนเต็ม]])*tbl_task5[[%]:[%]])</f>
        <v/>
      </c>
      <c r="GE19" s="121" t="str">
        <f>IF(ISBLANK(tbl_task5[[คะแนนเต็ม]:[คะแนนเต็ม]]),"",(tbl_task5[17]/tbl_task5[[คะแนนเต็ม]:[คะแนนเต็ม]])*tbl_task5[[%]:[%]])</f>
        <v/>
      </c>
      <c r="GF19" s="121" t="str">
        <f>IF(ISBLANK(tbl_task5[[คะแนนเต็ม]:[คะแนนเต็ม]]),"",(tbl_task5[18]/tbl_task5[[คะแนนเต็ม]:[คะแนนเต็ม]])*tbl_task5[[%]:[%]])</f>
        <v/>
      </c>
      <c r="GG19" s="121" t="str">
        <f>IF(ISBLANK(tbl_task5[[คะแนนเต็ม]:[คะแนนเต็ม]]),"",(tbl_task5[19]/tbl_task5[[คะแนนเต็ม]:[คะแนนเต็ม]])*tbl_task5[[%]:[%]])</f>
        <v/>
      </c>
      <c r="GH19" s="121" t="str">
        <f>IF(ISBLANK(tbl_task5[[คะแนนเต็ม]:[คะแนนเต็ม]]),"",(tbl_task5[20]/tbl_task5[[คะแนนเต็ม]:[คะแนนเต็ม]])*tbl_task5[[%]:[%]])</f>
        <v/>
      </c>
      <c r="GI19" s="121" t="str">
        <f>IF(ISBLANK(tbl_task5[[คะแนนเต็ม]:[คะแนนเต็ม]]),"",(tbl_task5[21]/tbl_task5[[คะแนนเต็ม]:[คะแนนเต็ม]])*tbl_task5[[%]:[%]])</f>
        <v/>
      </c>
      <c r="GJ19" s="121" t="str">
        <f>IF(ISBLANK(tbl_task5[[คะแนนเต็ม]:[คะแนนเต็ม]]),"",(tbl_task5[22]/tbl_task5[[คะแนนเต็ม]:[คะแนนเต็ม]])*tbl_task5[[%]:[%]])</f>
        <v/>
      </c>
      <c r="GK19" s="121" t="str">
        <f>IF(ISBLANK(tbl_task5[[คะแนนเต็ม]:[คะแนนเต็ม]]),"",(tbl_task5[23]/tbl_task5[[คะแนนเต็ม]:[คะแนนเต็ม]])*tbl_task5[[%]:[%]])</f>
        <v/>
      </c>
      <c r="GL19" s="121" t="str">
        <f>IF(ISBLANK(tbl_task5[[คะแนนเต็ม]:[คะแนนเต็ม]]),"",(tbl_task5[24]/tbl_task5[[คะแนนเต็ม]:[คะแนนเต็ม]])*tbl_task5[[%]:[%]])</f>
        <v/>
      </c>
      <c r="GM19" s="121" t="str">
        <f>IF(ISBLANK(tbl_task5[[คะแนนเต็ม]:[คะแนนเต็ม]]),"",(tbl_task5[25]/tbl_task5[[คะแนนเต็ม]:[คะแนนเต็ม]])*tbl_task5[[%]:[%]])</f>
        <v/>
      </c>
      <c r="GN19" s="121" t="str">
        <f>IF(ISBLANK(tbl_task5[[คะแนนเต็ม]:[คะแนนเต็ม]]),"",(tbl_task5[26]/tbl_task5[[คะแนนเต็ม]:[คะแนนเต็ม]])*tbl_task5[[%]:[%]])</f>
        <v/>
      </c>
      <c r="GO19" s="121" t="str">
        <f>IF(ISBLANK(tbl_task5[[คะแนนเต็ม]:[คะแนนเต็ม]]),"",(tbl_task5[27]/tbl_task5[[คะแนนเต็ม]:[คะแนนเต็ม]])*tbl_task5[[%]:[%]])</f>
        <v/>
      </c>
      <c r="GP19" s="121" t="str">
        <f>IF(ISBLANK(tbl_task5[[คะแนนเต็ม]:[คะแนนเต็ม]]),"",(tbl_task5[28]/tbl_task5[[คะแนนเต็ม]:[คะแนนเต็ม]])*tbl_task5[[%]:[%]])</f>
        <v/>
      </c>
      <c r="GQ19" s="121" t="str">
        <f>IF(ISBLANK(tbl_task5[[คะแนนเต็ม]:[คะแนนเต็ม]]),"",(tbl_task5[29]/tbl_task5[[คะแนนเต็ม]:[คะแนนเต็ม]])*tbl_task5[[%]:[%]])</f>
        <v/>
      </c>
      <c r="GR19" s="121" t="str">
        <f>IF(ISBLANK(tbl_task5[[คะแนนเต็ม]:[คะแนนเต็ม]]),"",(tbl_task5[30]/tbl_task5[[คะแนนเต็ม]:[คะแนนเต็ม]])*tbl_task5[[%]:[%]])</f>
        <v/>
      </c>
      <c r="GS19" s="121" t="str">
        <f>IF(ISBLANK(tbl_task5[[คะแนนเต็ม]:[คะแนนเต็ม]]),"",(tbl_task5[31]/tbl_task5[[คะแนนเต็ม]:[คะแนนเต็ม]])*tbl_task5[[%]:[%]])</f>
        <v/>
      </c>
      <c r="GT19" s="121" t="str">
        <f>IF(ISBLANK(tbl_task5[[คะแนนเต็ม]:[คะแนนเต็ม]]),"",(tbl_task5[32]/tbl_task5[[คะแนนเต็ม]:[คะแนนเต็ม]])*tbl_task5[[%]:[%]])</f>
        <v/>
      </c>
      <c r="GU19" s="121" t="str">
        <f>IF(ISBLANK(tbl_task5[[คะแนนเต็ม]:[คะแนนเต็ม]]),"",(tbl_task5[33]/tbl_task5[[คะแนนเต็ม]:[คะแนนเต็ม]])*tbl_task5[[%]:[%]])</f>
        <v/>
      </c>
      <c r="GV19" s="121" t="str">
        <f>IF(ISBLANK(tbl_task5[[คะแนนเต็ม]:[คะแนนเต็ม]]),"",(tbl_task5[34]/tbl_task5[[คะแนนเต็ม]:[คะแนนเต็ม]])*tbl_task5[[%]:[%]])</f>
        <v/>
      </c>
      <c r="GW19" s="121" t="str">
        <f>IF(ISBLANK(tbl_task5[[คะแนนเต็ม]:[คะแนนเต็ม]]),"",(tbl_task5[35]/tbl_task5[[คะแนนเต็ม]:[คะแนนเต็ม]])*tbl_task5[[%]:[%]])</f>
        <v/>
      </c>
      <c r="GX19" s="121" t="str">
        <f>IF(ISBLANK(tbl_task5[[คะแนนเต็ม]:[คะแนนเต็ม]]),"",(tbl_task5[36]/tbl_task5[[คะแนนเต็ม]:[คะแนนเต็ม]])*tbl_task5[[%]:[%]])</f>
        <v/>
      </c>
      <c r="GY19" s="121" t="str">
        <f>IF(ISBLANK(tbl_task5[[คะแนนเต็ม]:[คะแนนเต็ม]]),"",(tbl_task5[37]/tbl_task5[[คะแนนเต็ม]:[คะแนนเต็ม]])*tbl_task5[[%]:[%]])</f>
        <v/>
      </c>
      <c r="GZ19" s="121" t="str">
        <f>IF(ISBLANK(tbl_task5[[คะแนนเต็ม]:[คะแนนเต็ม]]),"",(tbl_task5[38]/tbl_task5[[คะแนนเต็ม]:[คะแนนเต็ม]])*tbl_task5[[%]:[%]])</f>
        <v/>
      </c>
      <c r="HA19" s="121" t="str">
        <f>IF(ISBLANK(tbl_task5[[คะแนนเต็ม]:[คะแนนเต็ม]]),"",(tbl_task5[39]/tbl_task5[[คะแนนเต็ม]:[คะแนนเต็ม]])*tbl_task5[[%]:[%]])</f>
        <v/>
      </c>
      <c r="HB19" s="121" t="str">
        <f>IF(ISBLANK(tbl_task5[[คะแนนเต็ม]:[คะแนนเต็ม]]),"",(tbl_task5[40]/tbl_task5[[คะแนนเต็ม]:[คะแนนเต็ม]])*tbl_task5[[%]:[%]])</f>
        <v/>
      </c>
      <c r="HC19" s="121" t="str">
        <f>IF(ISBLANK(tbl_task5[[คะแนนเต็ม]:[คะแนนเต็ม]]),"",(tbl_task5[41]/tbl_task5[[คะแนนเต็ม]:[คะแนนเต็ม]])*tbl_task5[[%]:[%]])</f>
        <v/>
      </c>
      <c r="HD19" s="121" t="str">
        <f>IF(ISBLANK(tbl_task5[[คะแนนเต็ม]:[คะแนนเต็ม]]),"",(tbl_task5[42]/tbl_task5[[คะแนนเต็ม]:[คะแนนเต็ม]])*tbl_task5[[%]:[%]])</f>
        <v/>
      </c>
      <c r="HE19" s="121" t="str">
        <f>IF(ISBLANK(tbl_task5[[คะแนนเต็ม]:[คะแนนเต็ม]]),"",(tbl_task5[43]/tbl_task5[[คะแนนเต็ม]:[คะแนนเต็ม]])*tbl_task5[[%]:[%]])</f>
        <v/>
      </c>
      <c r="HF19" s="121" t="str">
        <f>IF(ISBLANK(tbl_task5[[คะแนนเต็ม]:[คะแนนเต็ม]]),"",(tbl_task5[44]/tbl_task5[[คะแนนเต็ม]:[คะแนนเต็ม]])*tbl_task5[[%]:[%]])</f>
        <v/>
      </c>
      <c r="HG19" s="121" t="str">
        <f>IF(ISBLANK(tbl_task5[[คะแนนเต็ม]:[คะแนนเต็ม]]),"",(tbl_task5[45]/tbl_task5[[คะแนนเต็ม]:[คะแนนเต็ม]])*tbl_task5[[%]:[%]])</f>
        <v/>
      </c>
      <c r="HH19" s="121" t="str">
        <f>IF(ISBLANK(tbl_task5[[คะแนนเต็ม]:[คะแนนเต็ม]]),"",(tbl_task5[46]/tbl_task5[[คะแนนเต็ม]:[คะแนนเต็ม]])*tbl_task5[[%]:[%]])</f>
        <v/>
      </c>
      <c r="HI19" s="121" t="str">
        <f>IF(ISBLANK(tbl_task5[[คะแนนเต็ม]:[คะแนนเต็ม]]),"",(tbl_task5[47]/tbl_task5[[คะแนนเต็ม]:[คะแนนเต็ม]])*tbl_task5[[%]:[%]])</f>
        <v/>
      </c>
      <c r="HJ19" s="121" t="str">
        <f>IF(ISBLANK(tbl_task5[[คะแนนเต็ม]:[คะแนนเต็ม]]),"",(tbl_task5[48]/tbl_task5[[คะแนนเต็ม]:[คะแนนเต็ม]])*tbl_task5[[%]:[%]])</f>
        <v/>
      </c>
      <c r="HK19" s="121" t="str">
        <f>IF(ISBLANK(tbl_task5[[คะแนนเต็ม]:[คะแนนเต็ม]]),"",(tbl_task5[49]/tbl_task5[[คะแนนเต็ม]:[คะแนนเต็ม]])*tbl_task5[[%]:[%]])</f>
        <v/>
      </c>
      <c r="HL19" s="121" t="str">
        <f>IF(ISBLANK(tbl_task5[[คะแนนเต็ม]:[คะแนนเต็ม]]),"",(tbl_task5[50]/tbl_task5[[คะแนนเต็ม]:[คะแนนเต็ม]])*tbl_task5[[%]:[%]])</f>
        <v/>
      </c>
      <c r="HM19" s="121" t="str">
        <f>IF(ISBLANK(tbl_task5[[คะแนนเต็ม]:[คะแนนเต็ม]]),"",(tbl_task5[51]/tbl_task5[[คะแนนเต็ม]:[คะแนนเต็ม]])*tbl_task5[[%]:[%]])</f>
        <v/>
      </c>
      <c r="HN19" s="121" t="str">
        <f>IF(ISBLANK(tbl_task5[[คะแนนเต็ม]:[คะแนนเต็ม]]),"",(tbl_task5[52]/tbl_task5[[คะแนนเต็ม]:[คะแนนเต็ม]])*tbl_task5[[%]:[%]])</f>
        <v/>
      </c>
      <c r="HO19" s="121" t="str">
        <f>IF(ISBLANK(tbl_task5[[คะแนนเต็ม]:[คะแนนเต็ม]]),"",(tbl_task5[53]/tbl_task5[[คะแนนเต็ม]:[คะแนนเต็ม]])*tbl_task5[[%]:[%]])</f>
        <v/>
      </c>
      <c r="HP19" s="121" t="str">
        <f>IF(ISBLANK(tbl_task5[[คะแนนเต็ม]:[คะแนนเต็ม]]),"",(tbl_task5[54]/tbl_task5[[คะแนนเต็ม]:[คะแนนเต็ม]])*tbl_task5[[%]:[%]])</f>
        <v/>
      </c>
      <c r="HQ19" s="121" t="str">
        <f>IF(ISBLANK(tbl_task5[[คะแนนเต็ม]:[คะแนนเต็ม]]),"",(tbl_task5[55]/tbl_task5[[คะแนนเต็ม]:[คะแนนเต็ม]])*tbl_task5[[%]:[%]])</f>
        <v/>
      </c>
      <c r="HR19" s="121" t="str">
        <f>IF(ISBLANK(tbl_task5[[คะแนนเต็ม]:[คะแนนเต็ม]]),"",(tbl_task5[56]/tbl_task5[[คะแนนเต็ม]:[คะแนนเต็ม]])*tbl_task5[[%]:[%]])</f>
        <v/>
      </c>
      <c r="HS19" s="121" t="str">
        <f>IF(ISBLANK(tbl_task5[[คะแนนเต็ม]:[คะแนนเต็ม]]),"",(tbl_task5[57]/tbl_task5[[คะแนนเต็ม]:[คะแนนเต็ม]])*tbl_task5[[%]:[%]])</f>
        <v/>
      </c>
      <c r="HT19" s="121" t="str">
        <f>IF(ISBLANK(tbl_task5[[คะแนนเต็ม]:[คะแนนเต็ม]]),"",(tbl_task5[58]/tbl_task5[[คะแนนเต็ม]:[คะแนนเต็ม]])*tbl_task5[[%]:[%]])</f>
        <v/>
      </c>
      <c r="HU19" s="121" t="str">
        <f>IF(ISBLANK(tbl_task5[[คะแนนเต็ม]:[คะแนนเต็ม]]),"",(tbl_task5[59]/tbl_task5[[คะแนนเต็ม]:[คะแนนเต็ม]])*tbl_task5[[%]:[%]])</f>
        <v/>
      </c>
      <c r="HV19" s="121" t="str">
        <f>IF(ISBLANK(tbl_task5[[คะแนนเต็ม]:[คะแนนเต็ม]]),"",(tbl_task5[60]/tbl_task5[[คะแนนเต็ม]:[คะแนนเต็ม]])*tbl_task5[[%]:[%]])</f>
        <v/>
      </c>
      <c r="HW19" s="121" t="str">
        <f>IF(ISBLANK(tbl_task5[[คะแนนเต็ม]:[คะแนนเต็ม]]),"",(tbl_task5[61]/tbl_task5[[คะแนนเต็ม]:[คะแนนเต็ม]])*tbl_task5[[%]:[%]])</f>
        <v/>
      </c>
      <c r="HX19" s="121" t="str">
        <f>IF(ISBLANK(tbl_task5[[คะแนนเต็ม]:[คะแนนเต็ม]]),"",(tbl_task5[62]/tbl_task5[[คะแนนเต็ม]:[คะแนนเต็ม]])*tbl_task5[[%]:[%]])</f>
        <v/>
      </c>
      <c r="HY19" s="121" t="str">
        <f>IF(ISBLANK(tbl_task5[[คะแนนเต็ม]:[คะแนนเต็ม]]),"",(tbl_task5[63]/tbl_task5[[คะแนนเต็ม]:[คะแนนเต็ม]])*tbl_task5[[%]:[%]])</f>
        <v/>
      </c>
      <c r="HZ19" s="121" t="str">
        <f>IF(ISBLANK(tbl_task5[[คะแนนเต็ม]:[คะแนนเต็ม]]),"",(tbl_task5[64]/tbl_task5[[คะแนนเต็ม]:[คะแนนเต็ม]])*tbl_task5[[%]:[%]])</f>
        <v/>
      </c>
      <c r="IA19" s="121" t="str">
        <f>IF(ISBLANK(tbl_task5[[คะแนนเต็ม]:[คะแนนเต็ม]]),"",(tbl_task5[65]/tbl_task5[[คะแนนเต็ม]:[คะแนนเต็ม]])*tbl_task5[[%]:[%]])</f>
        <v/>
      </c>
      <c r="IB19" s="121" t="str">
        <f>IF(ISBLANK(tbl_task5[[คะแนนเต็ม]:[คะแนนเต็ม]]),"",(tbl_task5[66]/tbl_task5[[คะแนนเต็ม]:[คะแนนเต็ม]])*tbl_task5[[%]:[%]])</f>
        <v/>
      </c>
      <c r="IC19" s="121" t="str">
        <f>IF(ISBLANK(tbl_task5[[คะแนนเต็ม]:[คะแนนเต็ม]]),"",(tbl_task5[67]/tbl_task5[[คะแนนเต็ม]:[คะแนนเต็ม]])*tbl_task5[[%]:[%]])</f>
        <v/>
      </c>
      <c r="ID19" s="121" t="str">
        <f>IF(ISBLANK(tbl_task5[[คะแนนเต็ม]:[คะแนนเต็ม]]),"",(tbl_task5[68]/tbl_task5[[คะแนนเต็ม]:[คะแนนเต็ม]])*tbl_task5[[%]:[%]])</f>
        <v/>
      </c>
      <c r="IE19" s="121" t="str">
        <f>IF(ISBLANK(tbl_task5[[คะแนนเต็ม]:[คะแนนเต็ม]]),"",(tbl_task5[69]/tbl_task5[[คะแนนเต็ม]:[คะแนนเต็ม]])*tbl_task5[[%]:[%]])</f>
        <v/>
      </c>
      <c r="IF19" s="121" t="str">
        <f>IF(ISBLANK(tbl_task5[[คะแนนเต็ม]:[คะแนนเต็ม]]),"",(tbl_task5[70]/tbl_task5[[คะแนนเต็ม]:[คะแนนเต็ม]])*tbl_task5[[%]:[%]])</f>
        <v/>
      </c>
      <c r="IG19" s="121" t="str">
        <f>IF(ISBLANK(tbl_task5[[คะแนนเต็ม]:[คะแนนเต็ม]]),"",(tbl_task5[71]/tbl_task5[[คะแนนเต็ม]:[คะแนนเต็ม]])*tbl_task5[[%]:[%]])</f>
        <v/>
      </c>
      <c r="IH19" s="121" t="str">
        <f>IF(ISBLANK(tbl_task5[[คะแนนเต็ม]:[คะแนนเต็ม]]),"",(tbl_task5[72]/tbl_task5[[คะแนนเต็ม]:[คะแนนเต็ม]])*tbl_task5[[%]:[%]])</f>
        <v/>
      </c>
      <c r="II19" s="121" t="str">
        <f>IF(ISBLANK(tbl_task5[[คะแนนเต็ม]:[คะแนนเต็ม]]),"",(tbl_task5[73]/tbl_task5[[คะแนนเต็ม]:[คะแนนเต็ม]])*tbl_task5[[%]:[%]])</f>
        <v/>
      </c>
      <c r="IJ19" s="121" t="str">
        <f>IF(ISBLANK(tbl_task5[[คะแนนเต็ม]:[คะแนนเต็ม]]),"",(tbl_task5[74]/tbl_task5[[คะแนนเต็ม]:[คะแนนเต็ม]])*tbl_task5[[%]:[%]])</f>
        <v/>
      </c>
      <c r="IK19" s="121" t="str">
        <f>IF(ISBLANK(tbl_task5[[คะแนนเต็ม]:[คะแนนเต็ม]]),"",(tbl_task5[75]/tbl_task5[[คะแนนเต็ม]:[คะแนนเต็ม]])*tbl_task5[[%]:[%]])</f>
        <v/>
      </c>
      <c r="IL19" s="121" t="str">
        <f>IF(ISBLANK(tbl_task5[[คะแนนเต็ม]:[คะแนนเต็ม]]),"",(tbl_task5[76]/tbl_task5[[คะแนนเต็ม]:[คะแนนเต็ม]])*tbl_task5[[%]:[%]])</f>
        <v/>
      </c>
      <c r="IM19" s="121" t="str">
        <f>IF(ISBLANK(tbl_task5[[คะแนนเต็ม]:[คะแนนเต็ม]]),"",(tbl_task5[77]/tbl_task5[[คะแนนเต็ม]:[คะแนนเต็ม]])*tbl_task5[[%]:[%]])</f>
        <v/>
      </c>
      <c r="IN19" s="121" t="str">
        <f>IF(ISBLANK(tbl_task5[[คะแนนเต็ม]:[คะแนนเต็ม]]),"",(tbl_task5[78]/tbl_task5[[คะแนนเต็ม]:[คะแนนเต็ม]])*tbl_task5[[%]:[%]])</f>
        <v/>
      </c>
      <c r="IO19" s="121" t="str">
        <f>IF(ISBLANK(tbl_task5[[คะแนนเต็ม]:[คะแนนเต็ม]]),"",(tbl_task5[79]/tbl_task5[[คะแนนเต็ม]:[คะแนนเต็ม]])*tbl_task5[[%]:[%]])</f>
        <v/>
      </c>
      <c r="IP19" s="121" t="str">
        <f>IF(ISBLANK(tbl_task5[[คะแนนเต็ม]:[คะแนนเต็ม]]),"",(tbl_task5[80]/tbl_task5[[คะแนนเต็ม]:[คะแนนเต็ม]])*tbl_task5[[%]:[%]])</f>
        <v/>
      </c>
      <c r="IQ19" s="121" t="str">
        <f>IF(ISBLANK(tbl_task5[[คะแนนเต็ม]:[คะแนนเต็ม]]),"",(tbl_task5[81]/tbl_task5[[คะแนนเต็ม]:[คะแนนเต็ม]])*tbl_task5[[%]:[%]])</f>
        <v/>
      </c>
      <c r="IR19" s="121" t="str">
        <f>IF(ISBLANK(tbl_task5[[คะแนนเต็ม]:[คะแนนเต็ม]]),"",(tbl_task5[82]/tbl_task5[[คะแนนเต็ม]:[คะแนนเต็ม]])*tbl_task5[[%]:[%]])</f>
        <v/>
      </c>
      <c r="IS19" s="121" t="str">
        <f>IF(ISBLANK(tbl_task5[[คะแนนเต็ม]:[คะแนนเต็ม]]),"",(tbl_task5[83]/tbl_task5[[คะแนนเต็ม]:[คะแนนเต็ม]])*tbl_task5[[%]:[%]])</f>
        <v/>
      </c>
      <c r="IT19" s="121" t="str">
        <f>IF(ISBLANK(tbl_task5[[คะแนนเต็ม]:[คะแนนเต็ม]]),"",(tbl_task5[84]/tbl_task5[[คะแนนเต็ม]:[คะแนนเต็ม]])*tbl_task5[[%]:[%]])</f>
        <v/>
      </c>
      <c r="IU19" s="121" t="str">
        <f>IF(ISBLANK(tbl_task5[[คะแนนเต็ม]:[คะแนนเต็ม]]),"",(tbl_task5[85]/tbl_task5[[คะแนนเต็ม]:[คะแนนเต็ม]])*tbl_task5[[%]:[%]])</f>
        <v/>
      </c>
      <c r="IV19" s="121" t="str">
        <f>IF(ISBLANK(tbl_task5[[คะแนนเต็ม]:[คะแนนเต็ม]]),"",(tbl_task5[86]/tbl_task5[[คะแนนเต็ม]:[คะแนนเต็ม]])*tbl_task5[[%]:[%]])</f>
        <v/>
      </c>
      <c r="IW19" s="121" t="str">
        <f>IF(ISBLANK(tbl_task5[[คะแนนเต็ม]:[คะแนนเต็ม]]),"",(tbl_task5[87]/tbl_task5[[คะแนนเต็ม]:[คะแนนเต็ม]])*tbl_task5[[%]:[%]])</f>
        <v/>
      </c>
      <c r="IX19" s="121" t="str">
        <f>IF(ISBLANK(tbl_task5[[คะแนนเต็ม]:[คะแนนเต็ม]]),"",(tbl_task5[88]/tbl_task5[[คะแนนเต็ม]:[คะแนนเต็ม]])*tbl_task5[[%]:[%]])</f>
        <v/>
      </c>
      <c r="IY19" s="121" t="str">
        <f>IF(ISBLANK(tbl_task5[[คะแนนเต็ม]:[คะแนนเต็ม]]),"",(tbl_task5[89]/tbl_task5[[คะแนนเต็ม]:[คะแนนเต็ม]])*tbl_task5[[%]:[%]])</f>
        <v/>
      </c>
      <c r="IZ19" s="121" t="str">
        <f>IF(ISBLANK(tbl_task5[[คะแนนเต็ม]:[คะแนนเต็ม]]),"",(tbl_task5[90]/tbl_task5[[คะแนนเต็ม]:[คะแนนเต็ม]])*tbl_task5[[%]:[%]])</f>
        <v/>
      </c>
      <c r="JA19" s="121" t="str">
        <f>IF(ISBLANK(tbl_task5[[คะแนนเต็ม]:[คะแนนเต็ม]]),"",(tbl_task5[91]/tbl_task5[[คะแนนเต็ม]:[คะแนนเต็ม]])*tbl_task5[[%]:[%]])</f>
        <v/>
      </c>
      <c r="JB19" s="121" t="str">
        <f>IF(ISBLANK(tbl_task5[[คะแนนเต็ม]:[คะแนนเต็ม]]),"",(tbl_task5[92]/tbl_task5[[คะแนนเต็ม]:[คะแนนเต็ม]])*tbl_task5[[%]:[%]])</f>
        <v/>
      </c>
      <c r="JC19" s="121" t="str">
        <f>IF(ISBLANK(tbl_task5[[คะแนนเต็ม]:[คะแนนเต็ม]]),"",(tbl_task5[93]/tbl_task5[[คะแนนเต็ม]:[คะแนนเต็ม]])*tbl_task5[[%]:[%]])</f>
        <v/>
      </c>
      <c r="JD19" s="121" t="str">
        <f>IF(ISBLANK(tbl_task5[[คะแนนเต็ม]:[คะแนนเต็ม]]),"",(tbl_task5[94]/tbl_task5[[คะแนนเต็ม]:[คะแนนเต็ม]])*tbl_task5[[%]:[%]])</f>
        <v/>
      </c>
      <c r="JE19" s="121" t="str">
        <f>IF(ISBLANK(tbl_task5[[คะแนนเต็ม]:[คะแนนเต็ม]]),"",(tbl_task5[95]/tbl_task5[[คะแนนเต็ม]:[คะแนนเต็ม]])*tbl_task5[[%]:[%]])</f>
        <v/>
      </c>
      <c r="JF19" s="121" t="str">
        <f>IF(ISBLANK(tbl_task5[[คะแนนเต็ม]:[คะแนนเต็ม]]),"",(tbl_task5[96]/tbl_task5[[คะแนนเต็ม]:[คะแนนเต็ม]])*tbl_task5[[%]:[%]])</f>
        <v/>
      </c>
      <c r="JG19" s="121" t="str">
        <f>IF(ISBLANK(tbl_task5[[คะแนนเต็ม]:[คะแนนเต็ม]]),"",(tbl_task5[97]/tbl_task5[[คะแนนเต็ม]:[คะแนนเต็ม]])*tbl_task5[[%]:[%]])</f>
        <v/>
      </c>
      <c r="JH19" s="121" t="str">
        <f>IF(ISBLANK(tbl_task5[[คะแนนเต็ม]:[คะแนนเต็ม]]),"",(tbl_task5[98]/tbl_task5[[คะแนนเต็ม]:[คะแนนเต็ม]])*tbl_task5[[%]:[%]])</f>
        <v/>
      </c>
      <c r="JI19" s="121" t="str">
        <f>IF(ISBLANK(tbl_task5[[คะแนนเต็ม]:[คะแนนเต็ม]]),"",(tbl_task5[99]/tbl_task5[[คะแนนเต็ม]:[คะแนนเต็ม]])*tbl_task5[[%]:[%]])</f>
        <v/>
      </c>
      <c r="JJ19" s="121" t="str">
        <f>IF(ISBLANK(tbl_task5[[คะแนนเต็ม]:[คะแนนเต็ม]]),"",(tbl_task5[100]/tbl_task5[[คะแนนเต็ม]:[คะแนนเต็ม]])*tbl_task5[[%]:[%]])</f>
        <v/>
      </c>
      <c r="JK19" s="121" t="str">
        <f>IF(ISBLANK(tbl_task5[[คะแนนเต็ม]:[คะแนนเต็ม]]),"",(tbl_task5[101]/tbl_task5[[คะแนนเต็ม]:[คะแนนเต็ม]])*tbl_task5[[%]:[%]])</f>
        <v/>
      </c>
      <c r="JL19" s="121" t="str">
        <f>IF(ISBLANK(tbl_task5[[คะแนนเต็ม]:[คะแนนเต็ม]]),"",(tbl_task5[102]/tbl_task5[[คะแนนเต็ม]:[คะแนนเต็ม]])*tbl_task5[[%]:[%]])</f>
        <v/>
      </c>
      <c r="JM19" s="121" t="str">
        <f>IF(ISBLANK(tbl_task5[[คะแนนเต็ม]:[คะแนนเต็ม]]),"",(tbl_task5[103]/tbl_task5[[คะแนนเต็ม]:[คะแนนเต็ม]])*tbl_task5[[%]:[%]])</f>
        <v/>
      </c>
      <c r="JN19" s="121" t="str">
        <f>IF(ISBLANK(tbl_task5[[คะแนนเต็ม]:[คะแนนเต็ม]]),"",(tbl_task5[104]/tbl_task5[[คะแนนเต็ม]:[คะแนนเต็ม]])*tbl_task5[[%]:[%]])</f>
        <v/>
      </c>
      <c r="JO19" s="121" t="str">
        <f>IF(ISBLANK(tbl_task5[[คะแนนเต็ม]:[คะแนนเต็ม]]),"",(tbl_task5[105]/tbl_task5[[คะแนนเต็ม]:[คะแนนเต็ม]])*tbl_task5[[%]:[%]])</f>
        <v/>
      </c>
      <c r="JP19" s="121" t="str">
        <f>IF(ISBLANK(tbl_task5[[คะแนนเต็ม]:[คะแนนเต็ม]]),"",(tbl_task5[106]/tbl_task5[[คะแนนเต็ม]:[คะแนนเต็ม]])*tbl_task5[[%]:[%]])</f>
        <v/>
      </c>
      <c r="JQ19" s="121" t="str">
        <f>IF(ISBLANK(tbl_task5[[คะแนนเต็ม]:[คะแนนเต็ม]]),"",(tbl_task5[107]/tbl_task5[[คะแนนเต็ม]:[คะแนนเต็ม]])*tbl_task5[[%]:[%]])</f>
        <v/>
      </c>
      <c r="JR19" s="121" t="str">
        <f>IF(ISBLANK(tbl_task5[[คะแนนเต็ม]:[คะแนนเต็ม]]),"",(tbl_task5[108]/tbl_task5[[คะแนนเต็ม]:[คะแนนเต็ม]])*tbl_task5[[%]:[%]])</f>
        <v/>
      </c>
      <c r="JS19" s="121" t="str">
        <f>IF(ISBLANK(tbl_task5[[คะแนนเต็ม]:[คะแนนเต็ม]]),"",(tbl_task5[109]/tbl_task5[[คะแนนเต็ม]:[คะแนนเต็ม]])*tbl_task5[[%]:[%]])</f>
        <v/>
      </c>
      <c r="JT19" s="121" t="str">
        <f>IF(ISBLANK(tbl_task5[[คะแนนเต็ม]:[คะแนนเต็ม]]),"",(tbl_task5[110]/tbl_task5[[คะแนนเต็ม]:[คะแนนเต็ม]])*tbl_task5[[%]:[%]])</f>
        <v/>
      </c>
      <c r="JU19" s="121" t="str">
        <f>IF(ISBLANK(tbl_task5[[คะแนนเต็ม]:[คะแนนเต็ม]]),"",(tbl_task5[111]/tbl_task5[[คะแนนเต็ม]:[คะแนนเต็ม]])*tbl_task5[[%]:[%]])</f>
        <v/>
      </c>
      <c r="JV19" s="121" t="str">
        <f>IF(ISBLANK(tbl_task5[[คะแนนเต็ม]:[คะแนนเต็ม]]),"",(tbl_task5[112]/tbl_task5[[คะแนนเต็ม]:[คะแนนเต็ม]])*tbl_task5[[%]:[%]])</f>
        <v/>
      </c>
      <c r="JW19" s="121" t="str">
        <f>IF(ISBLANK(tbl_task5[[คะแนนเต็ม]:[คะแนนเต็ม]]),"",(tbl_task5[113]/tbl_task5[[คะแนนเต็ม]:[คะแนนเต็ม]])*tbl_task5[[%]:[%]])</f>
        <v/>
      </c>
      <c r="JX19" s="121" t="str">
        <f>IF(ISBLANK(tbl_task5[[คะแนนเต็ม]:[คะแนนเต็ม]]),"",(tbl_task5[114]/tbl_task5[[คะแนนเต็ม]:[คะแนนเต็ม]])*tbl_task5[[%]:[%]])</f>
        <v/>
      </c>
      <c r="JY19" s="121" t="str">
        <f>IF(ISBLANK(tbl_task5[[คะแนนเต็ม]:[คะแนนเต็ม]]),"",(tbl_task5[115]/tbl_task5[[คะแนนเต็ม]:[คะแนนเต็ม]])*tbl_task5[[%]:[%]])</f>
        <v/>
      </c>
      <c r="JZ19" s="121" t="str">
        <f>IF(ISBLANK(tbl_task5[[คะแนนเต็ม]:[คะแนนเต็ม]]),"",(tbl_task5[116]/tbl_task5[[คะแนนเต็ม]:[คะแนนเต็ม]])*tbl_task5[[%]:[%]])</f>
        <v/>
      </c>
      <c r="KA19" s="121" t="str">
        <f>IF(ISBLANK(tbl_task5[[คะแนนเต็ม]:[คะแนนเต็ม]]),"",(tbl_task5[117]/tbl_task5[[คะแนนเต็ม]:[คะแนนเต็ม]])*tbl_task5[[%]:[%]])</f>
        <v/>
      </c>
      <c r="KB19" s="121" t="str">
        <f>IF(ISBLANK(tbl_task5[[คะแนนเต็ม]:[คะแนนเต็ม]]),"",(tbl_task5[118]/tbl_task5[[คะแนนเต็ม]:[คะแนนเต็ม]])*tbl_task5[[%]:[%]])</f>
        <v/>
      </c>
      <c r="KC19" s="121" t="str">
        <f>IF(ISBLANK(tbl_task5[[คะแนนเต็ม]:[คะแนนเต็ม]]),"",(tbl_task5[119]/tbl_task5[[คะแนนเต็ม]:[คะแนนเต็ม]])*tbl_task5[[%]:[%]])</f>
        <v/>
      </c>
      <c r="KD19" s="121" t="str">
        <f>IF(ISBLANK(tbl_task5[[คะแนนเต็ม]:[คะแนนเต็ม]]),"",(tbl_task5[120]/tbl_task5[[คะแนนเต็ม]:[คะแนนเต็ม]])*tbl_task5[[%]:[%]])</f>
        <v/>
      </c>
      <c r="KE19" s="121" t="str">
        <f>IF(ISBLANK(tbl_task5[[คะแนนเต็ม]:[คะแนนเต็ม]]),"",(tbl_task5[121]/tbl_task5[[คะแนนเต็ม]:[คะแนนเต็ม]])*tbl_task5[[%]:[%]])</f>
        <v/>
      </c>
      <c r="KF19" s="121" t="str">
        <f>IF(ISBLANK(tbl_task5[[คะแนนเต็ม]:[คะแนนเต็ม]]),"",(tbl_task5[122]/tbl_task5[[คะแนนเต็ม]:[คะแนนเต็ม]])*tbl_task5[[%]:[%]])</f>
        <v/>
      </c>
      <c r="KG19" s="121" t="str">
        <f>IF(ISBLANK(tbl_task5[[คะแนนเต็ม]:[คะแนนเต็ม]]),"",(tbl_task5[123]/tbl_task5[[คะแนนเต็ม]:[คะแนนเต็ม]])*tbl_task5[[%]:[%]])</f>
        <v/>
      </c>
      <c r="KH19" s="121" t="str">
        <f>IF(ISBLANK(tbl_task5[[คะแนนเต็ม]:[คะแนนเต็ม]]),"",(tbl_task5[124]/tbl_task5[[คะแนนเต็ม]:[คะแนนเต็ม]])*tbl_task5[[%]:[%]])</f>
        <v/>
      </c>
      <c r="KI19" s="121" t="str">
        <f>IF(ISBLANK(tbl_task5[[คะแนนเต็ม]:[คะแนนเต็ม]]),"",(tbl_task5[125]/tbl_task5[[คะแนนเต็ม]:[คะแนนเต็ม]])*tbl_task5[[%]:[%]])</f>
        <v/>
      </c>
      <c r="KJ19" s="121" t="str">
        <f>IF(ISBLANK(tbl_task5[[คะแนนเต็ม]:[คะแนนเต็ม]]),"",(tbl_task5[126]/tbl_task5[[คะแนนเต็ม]:[คะแนนเต็ม]])*tbl_task5[[%]:[%]])</f>
        <v/>
      </c>
      <c r="KK19" s="121" t="str">
        <f>IF(ISBLANK(tbl_task5[[คะแนนเต็ม]:[คะแนนเต็ม]]),"",(tbl_task5[127]/tbl_task5[[คะแนนเต็ม]:[คะแนนเต็ม]])*tbl_task5[[%]:[%]])</f>
        <v/>
      </c>
      <c r="KL19" s="121" t="str">
        <f>IF(ISBLANK(tbl_task5[[คะแนนเต็ม]:[คะแนนเต็ม]]),"",(tbl_task5[128]/tbl_task5[[คะแนนเต็ม]:[คะแนนเต็ม]])*tbl_task5[[%]:[%]])</f>
        <v/>
      </c>
      <c r="KM19" s="121" t="str">
        <f>IF(ISBLANK(tbl_task5[[คะแนนเต็ม]:[คะแนนเต็ม]]),"",(tbl_task5[129]/tbl_task5[[คะแนนเต็ม]:[คะแนนเต็ม]])*tbl_task5[[%]:[%]])</f>
        <v/>
      </c>
      <c r="KN19" s="121" t="str">
        <f>IF(ISBLANK(tbl_task5[[คะแนนเต็ม]:[คะแนนเต็ม]]),"",(tbl_task5[130]/tbl_task5[[คะแนนเต็ม]:[คะแนนเต็ม]])*tbl_task5[[%]:[%]])</f>
        <v/>
      </c>
      <c r="KO19" s="121" t="str">
        <f>IF(ISBLANK(tbl_task5[[คะแนนเต็ม]:[คะแนนเต็ม]]),"",(tbl_task5[131]/tbl_task5[[คะแนนเต็ม]:[คะแนนเต็ม]])*tbl_task5[[%]:[%]])</f>
        <v/>
      </c>
      <c r="KP19" s="121" t="str">
        <f>IF(ISBLANK(tbl_task5[[คะแนนเต็ม]:[คะแนนเต็ม]]),"",(tbl_task5[132]/tbl_task5[[คะแนนเต็ม]:[คะแนนเต็ม]])*tbl_task5[[%]:[%]])</f>
        <v/>
      </c>
      <c r="KQ19" s="121" t="str">
        <f>IF(ISBLANK(tbl_task5[[คะแนนเต็ม]:[คะแนนเต็ม]]),"",(tbl_task5[133]/tbl_task5[[คะแนนเต็ม]:[คะแนนเต็ม]])*tbl_task5[[%]:[%]])</f>
        <v/>
      </c>
      <c r="KR19" s="121" t="str">
        <f>IF(ISBLANK(tbl_task5[[คะแนนเต็ม]:[คะแนนเต็ม]]),"",(tbl_task5[134]/tbl_task5[[คะแนนเต็ม]:[คะแนนเต็ม]])*tbl_task5[[%]:[%]])</f>
        <v/>
      </c>
      <c r="KS19" s="121" t="str">
        <f>IF(ISBLANK(tbl_task5[[คะแนนเต็ม]:[คะแนนเต็ม]]),"",(tbl_task5[135]/tbl_task5[[คะแนนเต็ม]:[คะแนนเต็ม]])*tbl_task5[[%]:[%]])</f>
        <v/>
      </c>
      <c r="KT19" s="121" t="str">
        <f>IF(ISBLANK(tbl_task5[[คะแนนเต็ม]:[คะแนนเต็ม]]),"",(tbl_task5[136]/tbl_task5[[คะแนนเต็ม]:[คะแนนเต็ม]])*tbl_task5[[%]:[%]])</f>
        <v/>
      </c>
      <c r="KU19" s="121" t="str">
        <f>IF(ISBLANK(tbl_task5[[คะแนนเต็ม]:[คะแนนเต็ม]]),"",(tbl_task5[137]/tbl_task5[[คะแนนเต็ม]:[คะแนนเต็ม]])*tbl_task5[[%]:[%]])</f>
        <v/>
      </c>
      <c r="KV19" s="121" t="str">
        <f>IF(ISBLANK(tbl_task5[[คะแนนเต็ม]:[คะแนนเต็ม]]),"",(tbl_task5[138]/tbl_task5[[คะแนนเต็ม]:[คะแนนเต็ม]])*tbl_task5[[%]:[%]])</f>
        <v/>
      </c>
      <c r="KW19" s="121" t="str">
        <f>IF(ISBLANK(tbl_task5[[คะแนนเต็ม]:[คะแนนเต็ม]]),"",(tbl_task5[139]/tbl_task5[[คะแนนเต็ม]:[คะแนนเต็ม]])*tbl_task5[[%]:[%]])</f>
        <v/>
      </c>
      <c r="KX19" s="121" t="str">
        <f>IF(ISBLANK(tbl_task5[[คะแนนเต็ม]:[คะแนนเต็ม]]),"",(tbl_task5[140]/tbl_task5[[คะแนนเต็ม]:[คะแนนเต็ม]])*tbl_task5[[%]:[%]])</f>
        <v/>
      </c>
      <c r="KY19" s="121" t="str">
        <f>IF(ISBLANK(tbl_task5[[คะแนนเต็ม]:[คะแนนเต็ม]]),"",(tbl_task5[141]/tbl_task5[[คะแนนเต็ม]:[คะแนนเต็ม]])*tbl_task5[[%]:[%]])</f>
        <v/>
      </c>
      <c r="KZ19" s="121" t="str">
        <f>IF(ISBLANK(tbl_task5[[คะแนนเต็ม]:[คะแนนเต็ม]]),"",(tbl_task5[142]/tbl_task5[[คะแนนเต็ม]:[คะแนนเต็ม]])*tbl_task5[[%]:[%]])</f>
        <v/>
      </c>
      <c r="LA19" s="121" t="str">
        <f>IF(ISBLANK(tbl_task5[[คะแนนเต็ม]:[คะแนนเต็ม]]),"",(tbl_task5[143]/tbl_task5[[คะแนนเต็ม]:[คะแนนเต็ม]])*tbl_task5[[%]:[%]])</f>
        <v/>
      </c>
      <c r="LB19" s="121" t="str">
        <f>IF(ISBLANK(tbl_task5[[คะแนนเต็ม]:[คะแนนเต็ม]]),"",(tbl_task5[144]/tbl_task5[[คะแนนเต็ม]:[คะแนนเต็ม]])*tbl_task5[[%]:[%]])</f>
        <v/>
      </c>
      <c r="LC19" s="121" t="str">
        <f>IF(ISBLANK(tbl_task5[[คะแนนเต็ม]:[คะแนนเต็ม]]),"",(tbl_task5[145]/tbl_task5[[คะแนนเต็ม]:[คะแนนเต็ม]])*tbl_task5[[%]:[%]])</f>
        <v/>
      </c>
      <c r="LD19" s="121" t="str">
        <f>IF(ISBLANK(tbl_task5[[คะแนนเต็ม]:[คะแนนเต็ม]]),"",(tbl_task5[146]/tbl_task5[[คะแนนเต็ม]:[คะแนนเต็ม]])*tbl_task5[[%]:[%]])</f>
        <v/>
      </c>
      <c r="LE19" s="121" t="str">
        <f>IF(ISBLANK(tbl_task5[[คะแนนเต็ม]:[คะแนนเต็ม]]),"",(tbl_task5[147]/tbl_task5[[คะแนนเต็ม]:[คะแนนเต็ม]])*tbl_task5[[%]:[%]])</f>
        <v/>
      </c>
      <c r="LF19" s="121" t="str">
        <f>IF(ISBLANK(tbl_task5[[คะแนนเต็ม]:[คะแนนเต็ม]]),"",(tbl_task5[148]/tbl_task5[[คะแนนเต็ม]:[คะแนนเต็ม]])*tbl_task5[[%]:[%]])</f>
        <v/>
      </c>
      <c r="LG19" s="121" t="str">
        <f>IF(ISBLANK(tbl_task5[[คะแนนเต็ม]:[คะแนนเต็ม]]),"",(tbl_task5[149]/tbl_task5[[คะแนนเต็ม]:[คะแนนเต็ม]])*tbl_task5[[%]:[%]])</f>
        <v/>
      </c>
      <c r="LH19" s="121" t="str">
        <f>IF(ISBLANK(tbl_task5[[คะแนนเต็ม]:[คะแนนเต็ม]]),"",(tbl_task5[150]/tbl_task5[[คะแนนเต็ม]:[คะแนนเต็ม]])*tbl_task5[[%]:[%]])</f>
        <v/>
      </c>
      <c r="LI19" s="121" t="str">
        <f>IF(ISBLANK(tbl_task5[[คะแนนเต็ม]:[คะแนนเต็ม]]),"",(tbl_task5[151]/tbl_task5[[คะแนนเต็ม]:[คะแนนเต็ม]])*tbl_task5[[%]:[%]])</f>
        <v/>
      </c>
      <c r="LJ19" s="121" t="str">
        <f>IF(ISBLANK(tbl_task5[[คะแนนเต็ม]:[คะแนนเต็ม]]),"",(tbl_task5[152]/tbl_task5[[คะแนนเต็ม]:[คะแนนเต็ม]])*tbl_task5[[%]:[%]])</f>
        <v/>
      </c>
      <c r="LK19" s="121" t="str">
        <f>IF(ISBLANK(tbl_task5[[คะแนนเต็ม]:[คะแนนเต็ม]]),"",(tbl_task5[153]/tbl_task5[[คะแนนเต็ม]:[คะแนนเต็ม]])*tbl_task5[[%]:[%]])</f>
        <v/>
      </c>
      <c r="LL19" s="121" t="str">
        <f>IF(ISBLANK(tbl_task5[[คะแนนเต็ม]:[คะแนนเต็ม]]),"",(tbl_task5[154]/tbl_task5[[คะแนนเต็ม]:[คะแนนเต็ม]])*tbl_task5[[%]:[%]])</f>
        <v/>
      </c>
      <c r="LM19" s="121" t="str">
        <f>IF(ISBLANK(tbl_task5[[คะแนนเต็ม]:[คะแนนเต็ม]]),"",(tbl_task5[155]/tbl_task5[[คะแนนเต็ม]:[คะแนนเต็ม]])*tbl_task5[[%]:[%]])</f>
        <v/>
      </c>
      <c r="LN19" s="121" t="str">
        <f>IF(ISBLANK(tbl_task5[[คะแนนเต็ม]:[คะแนนเต็ม]]),"",(tbl_task5[156]/tbl_task5[[คะแนนเต็ม]:[คะแนนเต็ม]])*tbl_task5[[%]:[%]])</f>
        <v/>
      </c>
      <c r="LO19" s="121" t="str">
        <f>IF(ISBLANK(tbl_task5[[คะแนนเต็ม]:[คะแนนเต็ม]]),"",(tbl_task5[157]/tbl_task5[[คะแนนเต็ม]:[คะแนนเต็ม]])*tbl_task5[[%]:[%]])</f>
        <v/>
      </c>
      <c r="LP19" s="121" t="str">
        <f>IF(ISBLANK(tbl_task5[[คะแนนเต็ม]:[คะแนนเต็ม]]),"",(tbl_task5[158]/tbl_task5[[คะแนนเต็ม]:[คะแนนเต็ม]])*tbl_task5[[%]:[%]])</f>
        <v/>
      </c>
      <c r="LQ19" s="121" t="str">
        <f>IF(ISBLANK(tbl_task5[[คะแนนเต็ม]:[คะแนนเต็ม]]),"",(tbl_task5[159]/tbl_task5[[คะแนนเต็ม]:[คะแนนเต็ม]])*tbl_task5[[%]:[%]])</f>
        <v/>
      </c>
      <c r="LR19" s="121" t="str">
        <f>IF(ISBLANK(tbl_task5[[คะแนนเต็ม]:[คะแนนเต็ม]]),"",(tbl_task5[160]/tbl_task5[[คะแนนเต็ม]:[คะแนนเต็ม]])*tbl_task5[[%]:[%]])</f>
        <v/>
      </c>
      <c r="LS19" s="121" t="str">
        <f>IF(ISBLANK(tbl_task5[[คะแนนเต็ม]:[คะแนนเต็ม]]),"",(tbl_task5[161]/tbl_task5[[คะแนนเต็ม]:[คะแนนเต็ม]])*tbl_task5[[%]:[%]])</f>
        <v/>
      </c>
      <c r="LT19" s="121" t="str">
        <f>IF(ISBLANK(tbl_task5[[คะแนนเต็ม]:[คะแนนเต็ม]]),"",(tbl_task5[162]/tbl_task5[[คะแนนเต็ม]:[คะแนนเต็ม]])*tbl_task5[[%]:[%]])</f>
        <v/>
      </c>
      <c r="LU19" s="121" t="str">
        <f>IF(ISBLANK(tbl_task5[[คะแนนเต็ม]:[คะแนนเต็ม]]),"",(tbl_task5[163]/tbl_task5[[คะแนนเต็ม]:[คะแนนเต็ม]])*tbl_task5[[%]:[%]])</f>
        <v/>
      </c>
      <c r="LV19" s="121" t="str">
        <f>IF(ISBLANK(tbl_task5[[คะแนนเต็ม]:[คะแนนเต็ม]]),"",(tbl_task5[164]/tbl_task5[[คะแนนเต็ม]:[คะแนนเต็ม]])*tbl_task5[[%]:[%]])</f>
        <v/>
      </c>
      <c r="LW19" s="121" t="str">
        <f>IF(ISBLANK(tbl_task5[[คะแนนเต็ม]:[คะแนนเต็ม]]),"",(tbl_task5[165]/tbl_task5[[คะแนนเต็ม]:[คะแนนเต็ม]])*tbl_task5[[%]:[%]])</f>
        <v/>
      </c>
    </row>
    <row r="20" spans="1:335" ht="24" customHeight="1" x14ac:dyDescent="0.25">
      <c r="A20" s="24">
        <v>17</v>
      </c>
      <c r="B20" s="20"/>
      <c r="C20" s="5" t="str">
        <f>IF(ISBLANK(B20),"",VLOOKUP(B20,tbl_PLOs[],2,0))</f>
        <v/>
      </c>
      <c r="D20" s="102"/>
      <c r="E20" s="106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121" t="str">
        <f>IF(ISBLANK(tbl_task5[[คะแนนเต็ม]:[คะแนนเต็ม]]),"",(tbl_task5[1]/tbl_task5[[คะแนนเต็ม]:[คะแนนเต็ม]])*tbl_task5[[%]:[%]])</f>
        <v/>
      </c>
      <c r="FP20" s="121" t="str">
        <f>IF(ISBLANK(tbl_task5[[คะแนนเต็ม]:[คะแนนเต็ม]]),"",(tbl_task5[2]/tbl_task5[[คะแนนเต็ม]:[คะแนนเต็ม]])*tbl_task5[[%]:[%]])</f>
        <v/>
      </c>
      <c r="FQ20" s="121" t="str">
        <f>IF(ISBLANK(tbl_task5[[คะแนนเต็ม]:[คะแนนเต็ม]]),"",(tbl_task5[3]/tbl_task5[[คะแนนเต็ม]:[คะแนนเต็ม]])*tbl_task5[[%]:[%]])</f>
        <v/>
      </c>
      <c r="FR20" s="121" t="str">
        <f>IF(ISBLANK(tbl_task5[[คะแนนเต็ม]:[คะแนนเต็ม]]),"",(tbl_task5[4]/tbl_task5[[คะแนนเต็ม]:[คะแนนเต็ม]])*tbl_task5[[%]:[%]])</f>
        <v/>
      </c>
      <c r="FS20" s="121" t="str">
        <f>IF(ISBLANK(tbl_task5[[คะแนนเต็ม]:[คะแนนเต็ม]]),"",(tbl_task5[5]/tbl_task5[[คะแนนเต็ม]:[คะแนนเต็ม]])*tbl_task5[[%]:[%]])</f>
        <v/>
      </c>
      <c r="FT20" s="121" t="str">
        <f>IF(ISBLANK(tbl_task5[[คะแนนเต็ม]:[คะแนนเต็ม]]),"",(tbl_task5[6]/tbl_task5[[คะแนนเต็ม]:[คะแนนเต็ม]])*tbl_task5[[%]:[%]])</f>
        <v/>
      </c>
      <c r="FU20" s="121" t="str">
        <f>IF(ISBLANK(tbl_task5[[คะแนนเต็ม]:[คะแนนเต็ม]]),"",(tbl_task5[7]/tbl_task5[[คะแนนเต็ม]:[คะแนนเต็ม]])*tbl_task5[[%]:[%]])</f>
        <v/>
      </c>
      <c r="FV20" s="121" t="str">
        <f>IF(ISBLANK(tbl_task5[[คะแนนเต็ม]:[คะแนนเต็ม]]),"",(tbl_task5[8]/tbl_task5[[คะแนนเต็ม]:[คะแนนเต็ม]])*tbl_task5[[%]:[%]])</f>
        <v/>
      </c>
      <c r="FW20" s="121" t="str">
        <f>IF(ISBLANK(tbl_task5[[คะแนนเต็ม]:[คะแนนเต็ม]]),"",(tbl_task5[9]/tbl_task5[[คะแนนเต็ม]:[คะแนนเต็ม]])*tbl_task5[[%]:[%]])</f>
        <v/>
      </c>
      <c r="FX20" s="121" t="str">
        <f>IF(ISBLANK(tbl_task5[[คะแนนเต็ม]:[คะแนนเต็ม]]),"",(tbl_task5[10]/tbl_task5[[คะแนนเต็ม]:[คะแนนเต็ม]])*tbl_task5[[%]:[%]])</f>
        <v/>
      </c>
      <c r="FY20" s="121" t="str">
        <f>IF(ISBLANK(tbl_task5[[คะแนนเต็ม]:[คะแนนเต็ม]]),"",(tbl_task5[11]/tbl_task5[[คะแนนเต็ม]:[คะแนนเต็ม]])*tbl_task5[[%]:[%]])</f>
        <v/>
      </c>
      <c r="FZ20" s="121" t="str">
        <f>IF(ISBLANK(tbl_task5[[คะแนนเต็ม]:[คะแนนเต็ม]]),"",(tbl_task5[12]/tbl_task5[[คะแนนเต็ม]:[คะแนนเต็ม]])*tbl_task5[[%]:[%]])</f>
        <v/>
      </c>
      <c r="GA20" s="121" t="str">
        <f>IF(ISBLANK(tbl_task5[[คะแนนเต็ม]:[คะแนนเต็ม]]),"",(tbl_task5[13]/tbl_task5[[คะแนนเต็ม]:[คะแนนเต็ม]])*tbl_task5[[%]:[%]])</f>
        <v/>
      </c>
      <c r="GB20" s="121" t="str">
        <f>IF(ISBLANK(tbl_task5[[คะแนนเต็ม]:[คะแนนเต็ม]]),"",(tbl_task5[14]/tbl_task5[[คะแนนเต็ม]:[คะแนนเต็ม]])*tbl_task5[[%]:[%]])</f>
        <v/>
      </c>
      <c r="GC20" s="121" t="str">
        <f>IF(ISBLANK(tbl_task5[[คะแนนเต็ม]:[คะแนนเต็ม]]),"",(tbl_task5[15]/tbl_task5[[คะแนนเต็ม]:[คะแนนเต็ม]])*tbl_task5[[%]:[%]])</f>
        <v/>
      </c>
      <c r="GD20" s="121" t="str">
        <f>IF(ISBLANK(tbl_task5[[คะแนนเต็ม]:[คะแนนเต็ม]]),"",(tbl_task5[16]/tbl_task5[[คะแนนเต็ม]:[คะแนนเต็ม]])*tbl_task5[[%]:[%]])</f>
        <v/>
      </c>
      <c r="GE20" s="121" t="str">
        <f>IF(ISBLANK(tbl_task5[[คะแนนเต็ม]:[คะแนนเต็ม]]),"",(tbl_task5[17]/tbl_task5[[คะแนนเต็ม]:[คะแนนเต็ม]])*tbl_task5[[%]:[%]])</f>
        <v/>
      </c>
      <c r="GF20" s="121" t="str">
        <f>IF(ISBLANK(tbl_task5[[คะแนนเต็ม]:[คะแนนเต็ม]]),"",(tbl_task5[18]/tbl_task5[[คะแนนเต็ม]:[คะแนนเต็ม]])*tbl_task5[[%]:[%]])</f>
        <v/>
      </c>
      <c r="GG20" s="121" t="str">
        <f>IF(ISBLANK(tbl_task5[[คะแนนเต็ม]:[คะแนนเต็ม]]),"",(tbl_task5[19]/tbl_task5[[คะแนนเต็ม]:[คะแนนเต็ม]])*tbl_task5[[%]:[%]])</f>
        <v/>
      </c>
      <c r="GH20" s="121" t="str">
        <f>IF(ISBLANK(tbl_task5[[คะแนนเต็ม]:[คะแนนเต็ม]]),"",(tbl_task5[20]/tbl_task5[[คะแนนเต็ม]:[คะแนนเต็ม]])*tbl_task5[[%]:[%]])</f>
        <v/>
      </c>
      <c r="GI20" s="121" t="str">
        <f>IF(ISBLANK(tbl_task5[[คะแนนเต็ม]:[คะแนนเต็ม]]),"",(tbl_task5[21]/tbl_task5[[คะแนนเต็ม]:[คะแนนเต็ม]])*tbl_task5[[%]:[%]])</f>
        <v/>
      </c>
      <c r="GJ20" s="121" t="str">
        <f>IF(ISBLANK(tbl_task5[[คะแนนเต็ม]:[คะแนนเต็ม]]),"",(tbl_task5[22]/tbl_task5[[คะแนนเต็ม]:[คะแนนเต็ม]])*tbl_task5[[%]:[%]])</f>
        <v/>
      </c>
      <c r="GK20" s="121" t="str">
        <f>IF(ISBLANK(tbl_task5[[คะแนนเต็ม]:[คะแนนเต็ม]]),"",(tbl_task5[23]/tbl_task5[[คะแนนเต็ม]:[คะแนนเต็ม]])*tbl_task5[[%]:[%]])</f>
        <v/>
      </c>
      <c r="GL20" s="121" t="str">
        <f>IF(ISBLANK(tbl_task5[[คะแนนเต็ม]:[คะแนนเต็ม]]),"",(tbl_task5[24]/tbl_task5[[คะแนนเต็ม]:[คะแนนเต็ม]])*tbl_task5[[%]:[%]])</f>
        <v/>
      </c>
      <c r="GM20" s="121" t="str">
        <f>IF(ISBLANK(tbl_task5[[คะแนนเต็ม]:[คะแนนเต็ม]]),"",(tbl_task5[25]/tbl_task5[[คะแนนเต็ม]:[คะแนนเต็ม]])*tbl_task5[[%]:[%]])</f>
        <v/>
      </c>
      <c r="GN20" s="121" t="str">
        <f>IF(ISBLANK(tbl_task5[[คะแนนเต็ม]:[คะแนนเต็ม]]),"",(tbl_task5[26]/tbl_task5[[คะแนนเต็ม]:[คะแนนเต็ม]])*tbl_task5[[%]:[%]])</f>
        <v/>
      </c>
      <c r="GO20" s="121" t="str">
        <f>IF(ISBLANK(tbl_task5[[คะแนนเต็ม]:[คะแนนเต็ม]]),"",(tbl_task5[27]/tbl_task5[[คะแนนเต็ม]:[คะแนนเต็ม]])*tbl_task5[[%]:[%]])</f>
        <v/>
      </c>
      <c r="GP20" s="121" t="str">
        <f>IF(ISBLANK(tbl_task5[[คะแนนเต็ม]:[คะแนนเต็ม]]),"",(tbl_task5[28]/tbl_task5[[คะแนนเต็ม]:[คะแนนเต็ม]])*tbl_task5[[%]:[%]])</f>
        <v/>
      </c>
      <c r="GQ20" s="121" t="str">
        <f>IF(ISBLANK(tbl_task5[[คะแนนเต็ม]:[คะแนนเต็ม]]),"",(tbl_task5[29]/tbl_task5[[คะแนนเต็ม]:[คะแนนเต็ม]])*tbl_task5[[%]:[%]])</f>
        <v/>
      </c>
      <c r="GR20" s="121" t="str">
        <f>IF(ISBLANK(tbl_task5[[คะแนนเต็ม]:[คะแนนเต็ม]]),"",(tbl_task5[30]/tbl_task5[[คะแนนเต็ม]:[คะแนนเต็ม]])*tbl_task5[[%]:[%]])</f>
        <v/>
      </c>
      <c r="GS20" s="121" t="str">
        <f>IF(ISBLANK(tbl_task5[[คะแนนเต็ม]:[คะแนนเต็ม]]),"",(tbl_task5[31]/tbl_task5[[คะแนนเต็ม]:[คะแนนเต็ม]])*tbl_task5[[%]:[%]])</f>
        <v/>
      </c>
      <c r="GT20" s="121" t="str">
        <f>IF(ISBLANK(tbl_task5[[คะแนนเต็ม]:[คะแนนเต็ม]]),"",(tbl_task5[32]/tbl_task5[[คะแนนเต็ม]:[คะแนนเต็ม]])*tbl_task5[[%]:[%]])</f>
        <v/>
      </c>
      <c r="GU20" s="121" t="str">
        <f>IF(ISBLANK(tbl_task5[[คะแนนเต็ม]:[คะแนนเต็ม]]),"",(tbl_task5[33]/tbl_task5[[คะแนนเต็ม]:[คะแนนเต็ม]])*tbl_task5[[%]:[%]])</f>
        <v/>
      </c>
      <c r="GV20" s="121" t="str">
        <f>IF(ISBLANK(tbl_task5[[คะแนนเต็ม]:[คะแนนเต็ม]]),"",(tbl_task5[34]/tbl_task5[[คะแนนเต็ม]:[คะแนนเต็ม]])*tbl_task5[[%]:[%]])</f>
        <v/>
      </c>
      <c r="GW20" s="121" t="str">
        <f>IF(ISBLANK(tbl_task5[[คะแนนเต็ม]:[คะแนนเต็ม]]),"",(tbl_task5[35]/tbl_task5[[คะแนนเต็ม]:[คะแนนเต็ม]])*tbl_task5[[%]:[%]])</f>
        <v/>
      </c>
      <c r="GX20" s="121" t="str">
        <f>IF(ISBLANK(tbl_task5[[คะแนนเต็ม]:[คะแนนเต็ม]]),"",(tbl_task5[36]/tbl_task5[[คะแนนเต็ม]:[คะแนนเต็ม]])*tbl_task5[[%]:[%]])</f>
        <v/>
      </c>
      <c r="GY20" s="121" t="str">
        <f>IF(ISBLANK(tbl_task5[[คะแนนเต็ม]:[คะแนนเต็ม]]),"",(tbl_task5[37]/tbl_task5[[คะแนนเต็ม]:[คะแนนเต็ม]])*tbl_task5[[%]:[%]])</f>
        <v/>
      </c>
      <c r="GZ20" s="121" t="str">
        <f>IF(ISBLANK(tbl_task5[[คะแนนเต็ม]:[คะแนนเต็ม]]),"",(tbl_task5[38]/tbl_task5[[คะแนนเต็ม]:[คะแนนเต็ม]])*tbl_task5[[%]:[%]])</f>
        <v/>
      </c>
      <c r="HA20" s="121" t="str">
        <f>IF(ISBLANK(tbl_task5[[คะแนนเต็ม]:[คะแนนเต็ม]]),"",(tbl_task5[39]/tbl_task5[[คะแนนเต็ม]:[คะแนนเต็ม]])*tbl_task5[[%]:[%]])</f>
        <v/>
      </c>
      <c r="HB20" s="121" t="str">
        <f>IF(ISBLANK(tbl_task5[[คะแนนเต็ม]:[คะแนนเต็ม]]),"",(tbl_task5[40]/tbl_task5[[คะแนนเต็ม]:[คะแนนเต็ม]])*tbl_task5[[%]:[%]])</f>
        <v/>
      </c>
      <c r="HC20" s="121" t="str">
        <f>IF(ISBLANK(tbl_task5[[คะแนนเต็ม]:[คะแนนเต็ม]]),"",(tbl_task5[41]/tbl_task5[[คะแนนเต็ม]:[คะแนนเต็ม]])*tbl_task5[[%]:[%]])</f>
        <v/>
      </c>
      <c r="HD20" s="121" t="str">
        <f>IF(ISBLANK(tbl_task5[[คะแนนเต็ม]:[คะแนนเต็ม]]),"",(tbl_task5[42]/tbl_task5[[คะแนนเต็ม]:[คะแนนเต็ม]])*tbl_task5[[%]:[%]])</f>
        <v/>
      </c>
      <c r="HE20" s="121" t="str">
        <f>IF(ISBLANK(tbl_task5[[คะแนนเต็ม]:[คะแนนเต็ม]]),"",(tbl_task5[43]/tbl_task5[[คะแนนเต็ม]:[คะแนนเต็ม]])*tbl_task5[[%]:[%]])</f>
        <v/>
      </c>
      <c r="HF20" s="121" t="str">
        <f>IF(ISBLANK(tbl_task5[[คะแนนเต็ม]:[คะแนนเต็ม]]),"",(tbl_task5[44]/tbl_task5[[คะแนนเต็ม]:[คะแนนเต็ม]])*tbl_task5[[%]:[%]])</f>
        <v/>
      </c>
      <c r="HG20" s="121" t="str">
        <f>IF(ISBLANK(tbl_task5[[คะแนนเต็ม]:[คะแนนเต็ม]]),"",(tbl_task5[45]/tbl_task5[[คะแนนเต็ม]:[คะแนนเต็ม]])*tbl_task5[[%]:[%]])</f>
        <v/>
      </c>
      <c r="HH20" s="121" t="str">
        <f>IF(ISBLANK(tbl_task5[[คะแนนเต็ม]:[คะแนนเต็ม]]),"",(tbl_task5[46]/tbl_task5[[คะแนนเต็ม]:[คะแนนเต็ม]])*tbl_task5[[%]:[%]])</f>
        <v/>
      </c>
      <c r="HI20" s="121" t="str">
        <f>IF(ISBLANK(tbl_task5[[คะแนนเต็ม]:[คะแนนเต็ม]]),"",(tbl_task5[47]/tbl_task5[[คะแนนเต็ม]:[คะแนนเต็ม]])*tbl_task5[[%]:[%]])</f>
        <v/>
      </c>
      <c r="HJ20" s="121" t="str">
        <f>IF(ISBLANK(tbl_task5[[คะแนนเต็ม]:[คะแนนเต็ม]]),"",(tbl_task5[48]/tbl_task5[[คะแนนเต็ม]:[คะแนนเต็ม]])*tbl_task5[[%]:[%]])</f>
        <v/>
      </c>
      <c r="HK20" s="121" t="str">
        <f>IF(ISBLANK(tbl_task5[[คะแนนเต็ม]:[คะแนนเต็ม]]),"",(tbl_task5[49]/tbl_task5[[คะแนนเต็ม]:[คะแนนเต็ม]])*tbl_task5[[%]:[%]])</f>
        <v/>
      </c>
      <c r="HL20" s="121" t="str">
        <f>IF(ISBLANK(tbl_task5[[คะแนนเต็ม]:[คะแนนเต็ม]]),"",(tbl_task5[50]/tbl_task5[[คะแนนเต็ม]:[คะแนนเต็ม]])*tbl_task5[[%]:[%]])</f>
        <v/>
      </c>
      <c r="HM20" s="121" t="str">
        <f>IF(ISBLANK(tbl_task5[[คะแนนเต็ม]:[คะแนนเต็ม]]),"",(tbl_task5[51]/tbl_task5[[คะแนนเต็ม]:[คะแนนเต็ม]])*tbl_task5[[%]:[%]])</f>
        <v/>
      </c>
      <c r="HN20" s="121" t="str">
        <f>IF(ISBLANK(tbl_task5[[คะแนนเต็ม]:[คะแนนเต็ม]]),"",(tbl_task5[52]/tbl_task5[[คะแนนเต็ม]:[คะแนนเต็ม]])*tbl_task5[[%]:[%]])</f>
        <v/>
      </c>
      <c r="HO20" s="121" t="str">
        <f>IF(ISBLANK(tbl_task5[[คะแนนเต็ม]:[คะแนนเต็ม]]),"",(tbl_task5[53]/tbl_task5[[คะแนนเต็ม]:[คะแนนเต็ม]])*tbl_task5[[%]:[%]])</f>
        <v/>
      </c>
      <c r="HP20" s="121" t="str">
        <f>IF(ISBLANK(tbl_task5[[คะแนนเต็ม]:[คะแนนเต็ม]]),"",(tbl_task5[54]/tbl_task5[[คะแนนเต็ม]:[คะแนนเต็ม]])*tbl_task5[[%]:[%]])</f>
        <v/>
      </c>
      <c r="HQ20" s="121" t="str">
        <f>IF(ISBLANK(tbl_task5[[คะแนนเต็ม]:[คะแนนเต็ม]]),"",(tbl_task5[55]/tbl_task5[[คะแนนเต็ม]:[คะแนนเต็ม]])*tbl_task5[[%]:[%]])</f>
        <v/>
      </c>
      <c r="HR20" s="121" t="str">
        <f>IF(ISBLANK(tbl_task5[[คะแนนเต็ม]:[คะแนนเต็ม]]),"",(tbl_task5[56]/tbl_task5[[คะแนนเต็ม]:[คะแนนเต็ม]])*tbl_task5[[%]:[%]])</f>
        <v/>
      </c>
      <c r="HS20" s="121" t="str">
        <f>IF(ISBLANK(tbl_task5[[คะแนนเต็ม]:[คะแนนเต็ม]]),"",(tbl_task5[57]/tbl_task5[[คะแนนเต็ม]:[คะแนนเต็ม]])*tbl_task5[[%]:[%]])</f>
        <v/>
      </c>
      <c r="HT20" s="121" t="str">
        <f>IF(ISBLANK(tbl_task5[[คะแนนเต็ม]:[คะแนนเต็ม]]),"",(tbl_task5[58]/tbl_task5[[คะแนนเต็ม]:[คะแนนเต็ม]])*tbl_task5[[%]:[%]])</f>
        <v/>
      </c>
      <c r="HU20" s="121" t="str">
        <f>IF(ISBLANK(tbl_task5[[คะแนนเต็ม]:[คะแนนเต็ม]]),"",(tbl_task5[59]/tbl_task5[[คะแนนเต็ม]:[คะแนนเต็ม]])*tbl_task5[[%]:[%]])</f>
        <v/>
      </c>
      <c r="HV20" s="121" t="str">
        <f>IF(ISBLANK(tbl_task5[[คะแนนเต็ม]:[คะแนนเต็ม]]),"",(tbl_task5[60]/tbl_task5[[คะแนนเต็ม]:[คะแนนเต็ม]])*tbl_task5[[%]:[%]])</f>
        <v/>
      </c>
      <c r="HW20" s="121" t="str">
        <f>IF(ISBLANK(tbl_task5[[คะแนนเต็ม]:[คะแนนเต็ม]]),"",(tbl_task5[61]/tbl_task5[[คะแนนเต็ม]:[คะแนนเต็ม]])*tbl_task5[[%]:[%]])</f>
        <v/>
      </c>
      <c r="HX20" s="121" t="str">
        <f>IF(ISBLANK(tbl_task5[[คะแนนเต็ม]:[คะแนนเต็ม]]),"",(tbl_task5[62]/tbl_task5[[คะแนนเต็ม]:[คะแนนเต็ม]])*tbl_task5[[%]:[%]])</f>
        <v/>
      </c>
      <c r="HY20" s="121" t="str">
        <f>IF(ISBLANK(tbl_task5[[คะแนนเต็ม]:[คะแนนเต็ม]]),"",(tbl_task5[63]/tbl_task5[[คะแนนเต็ม]:[คะแนนเต็ม]])*tbl_task5[[%]:[%]])</f>
        <v/>
      </c>
      <c r="HZ20" s="121" t="str">
        <f>IF(ISBLANK(tbl_task5[[คะแนนเต็ม]:[คะแนนเต็ม]]),"",(tbl_task5[64]/tbl_task5[[คะแนนเต็ม]:[คะแนนเต็ม]])*tbl_task5[[%]:[%]])</f>
        <v/>
      </c>
      <c r="IA20" s="121" t="str">
        <f>IF(ISBLANK(tbl_task5[[คะแนนเต็ม]:[คะแนนเต็ม]]),"",(tbl_task5[65]/tbl_task5[[คะแนนเต็ม]:[คะแนนเต็ม]])*tbl_task5[[%]:[%]])</f>
        <v/>
      </c>
      <c r="IB20" s="121" t="str">
        <f>IF(ISBLANK(tbl_task5[[คะแนนเต็ม]:[คะแนนเต็ม]]),"",(tbl_task5[66]/tbl_task5[[คะแนนเต็ม]:[คะแนนเต็ม]])*tbl_task5[[%]:[%]])</f>
        <v/>
      </c>
      <c r="IC20" s="121" t="str">
        <f>IF(ISBLANK(tbl_task5[[คะแนนเต็ม]:[คะแนนเต็ม]]),"",(tbl_task5[67]/tbl_task5[[คะแนนเต็ม]:[คะแนนเต็ม]])*tbl_task5[[%]:[%]])</f>
        <v/>
      </c>
      <c r="ID20" s="121" t="str">
        <f>IF(ISBLANK(tbl_task5[[คะแนนเต็ม]:[คะแนนเต็ม]]),"",(tbl_task5[68]/tbl_task5[[คะแนนเต็ม]:[คะแนนเต็ม]])*tbl_task5[[%]:[%]])</f>
        <v/>
      </c>
      <c r="IE20" s="121" t="str">
        <f>IF(ISBLANK(tbl_task5[[คะแนนเต็ม]:[คะแนนเต็ม]]),"",(tbl_task5[69]/tbl_task5[[คะแนนเต็ม]:[คะแนนเต็ม]])*tbl_task5[[%]:[%]])</f>
        <v/>
      </c>
      <c r="IF20" s="121" t="str">
        <f>IF(ISBLANK(tbl_task5[[คะแนนเต็ม]:[คะแนนเต็ม]]),"",(tbl_task5[70]/tbl_task5[[คะแนนเต็ม]:[คะแนนเต็ม]])*tbl_task5[[%]:[%]])</f>
        <v/>
      </c>
      <c r="IG20" s="121" t="str">
        <f>IF(ISBLANK(tbl_task5[[คะแนนเต็ม]:[คะแนนเต็ม]]),"",(tbl_task5[71]/tbl_task5[[คะแนนเต็ม]:[คะแนนเต็ม]])*tbl_task5[[%]:[%]])</f>
        <v/>
      </c>
      <c r="IH20" s="121" t="str">
        <f>IF(ISBLANK(tbl_task5[[คะแนนเต็ม]:[คะแนนเต็ม]]),"",(tbl_task5[72]/tbl_task5[[คะแนนเต็ม]:[คะแนนเต็ม]])*tbl_task5[[%]:[%]])</f>
        <v/>
      </c>
      <c r="II20" s="121" t="str">
        <f>IF(ISBLANK(tbl_task5[[คะแนนเต็ม]:[คะแนนเต็ม]]),"",(tbl_task5[73]/tbl_task5[[คะแนนเต็ม]:[คะแนนเต็ม]])*tbl_task5[[%]:[%]])</f>
        <v/>
      </c>
      <c r="IJ20" s="121" t="str">
        <f>IF(ISBLANK(tbl_task5[[คะแนนเต็ม]:[คะแนนเต็ม]]),"",(tbl_task5[74]/tbl_task5[[คะแนนเต็ม]:[คะแนนเต็ม]])*tbl_task5[[%]:[%]])</f>
        <v/>
      </c>
      <c r="IK20" s="121" t="str">
        <f>IF(ISBLANK(tbl_task5[[คะแนนเต็ม]:[คะแนนเต็ม]]),"",(tbl_task5[75]/tbl_task5[[คะแนนเต็ม]:[คะแนนเต็ม]])*tbl_task5[[%]:[%]])</f>
        <v/>
      </c>
      <c r="IL20" s="121" t="str">
        <f>IF(ISBLANK(tbl_task5[[คะแนนเต็ม]:[คะแนนเต็ม]]),"",(tbl_task5[76]/tbl_task5[[คะแนนเต็ม]:[คะแนนเต็ม]])*tbl_task5[[%]:[%]])</f>
        <v/>
      </c>
      <c r="IM20" s="121" t="str">
        <f>IF(ISBLANK(tbl_task5[[คะแนนเต็ม]:[คะแนนเต็ม]]),"",(tbl_task5[77]/tbl_task5[[คะแนนเต็ม]:[คะแนนเต็ม]])*tbl_task5[[%]:[%]])</f>
        <v/>
      </c>
      <c r="IN20" s="121" t="str">
        <f>IF(ISBLANK(tbl_task5[[คะแนนเต็ม]:[คะแนนเต็ม]]),"",(tbl_task5[78]/tbl_task5[[คะแนนเต็ม]:[คะแนนเต็ม]])*tbl_task5[[%]:[%]])</f>
        <v/>
      </c>
      <c r="IO20" s="121" t="str">
        <f>IF(ISBLANK(tbl_task5[[คะแนนเต็ม]:[คะแนนเต็ม]]),"",(tbl_task5[79]/tbl_task5[[คะแนนเต็ม]:[คะแนนเต็ม]])*tbl_task5[[%]:[%]])</f>
        <v/>
      </c>
      <c r="IP20" s="121" t="str">
        <f>IF(ISBLANK(tbl_task5[[คะแนนเต็ม]:[คะแนนเต็ม]]),"",(tbl_task5[80]/tbl_task5[[คะแนนเต็ม]:[คะแนนเต็ม]])*tbl_task5[[%]:[%]])</f>
        <v/>
      </c>
      <c r="IQ20" s="121" t="str">
        <f>IF(ISBLANK(tbl_task5[[คะแนนเต็ม]:[คะแนนเต็ม]]),"",(tbl_task5[81]/tbl_task5[[คะแนนเต็ม]:[คะแนนเต็ม]])*tbl_task5[[%]:[%]])</f>
        <v/>
      </c>
      <c r="IR20" s="121" t="str">
        <f>IF(ISBLANK(tbl_task5[[คะแนนเต็ม]:[คะแนนเต็ม]]),"",(tbl_task5[82]/tbl_task5[[คะแนนเต็ม]:[คะแนนเต็ม]])*tbl_task5[[%]:[%]])</f>
        <v/>
      </c>
      <c r="IS20" s="121" t="str">
        <f>IF(ISBLANK(tbl_task5[[คะแนนเต็ม]:[คะแนนเต็ม]]),"",(tbl_task5[83]/tbl_task5[[คะแนนเต็ม]:[คะแนนเต็ม]])*tbl_task5[[%]:[%]])</f>
        <v/>
      </c>
      <c r="IT20" s="121" t="str">
        <f>IF(ISBLANK(tbl_task5[[คะแนนเต็ม]:[คะแนนเต็ม]]),"",(tbl_task5[84]/tbl_task5[[คะแนนเต็ม]:[คะแนนเต็ม]])*tbl_task5[[%]:[%]])</f>
        <v/>
      </c>
      <c r="IU20" s="121" t="str">
        <f>IF(ISBLANK(tbl_task5[[คะแนนเต็ม]:[คะแนนเต็ม]]),"",(tbl_task5[85]/tbl_task5[[คะแนนเต็ม]:[คะแนนเต็ม]])*tbl_task5[[%]:[%]])</f>
        <v/>
      </c>
      <c r="IV20" s="121" t="str">
        <f>IF(ISBLANK(tbl_task5[[คะแนนเต็ม]:[คะแนนเต็ม]]),"",(tbl_task5[86]/tbl_task5[[คะแนนเต็ม]:[คะแนนเต็ม]])*tbl_task5[[%]:[%]])</f>
        <v/>
      </c>
      <c r="IW20" s="121" t="str">
        <f>IF(ISBLANK(tbl_task5[[คะแนนเต็ม]:[คะแนนเต็ม]]),"",(tbl_task5[87]/tbl_task5[[คะแนนเต็ม]:[คะแนนเต็ม]])*tbl_task5[[%]:[%]])</f>
        <v/>
      </c>
      <c r="IX20" s="121" t="str">
        <f>IF(ISBLANK(tbl_task5[[คะแนนเต็ม]:[คะแนนเต็ม]]),"",(tbl_task5[88]/tbl_task5[[คะแนนเต็ม]:[คะแนนเต็ม]])*tbl_task5[[%]:[%]])</f>
        <v/>
      </c>
      <c r="IY20" s="121" t="str">
        <f>IF(ISBLANK(tbl_task5[[คะแนนเต็ม]:[คะแนนเต็ม]]),"",(tbl_task5[89]/tbl_task5[[คะแนนเต็ม]:[คะแนนเต็ม]])*tbl_task5[[%]:[%]])</f>
        <v/>
      </c>
      <c r="IZ20" s="121" t="str">
        <f>IF(ISBLANK(tbl_task5[[คะแนนเต็ม]:[คะแนนเต็ม]]),"",(tbl_task5[90]/tbl_task5[[คะแนนเต็ม]:[คะแนนเต็ม]])*tbl_task5[[%]:[%]])</f>
        <v/>
      </c>
      <c r="JA20" s="121" t="str">
        <f>IF(ISBLANK(tbl_task5[[คะแนนเต็ม]:[คะแนนเต็ม]]),"",(tbl_task5[91]/tbl_task5[[คะแนนเต็ม]:[คะแนนเต็ม]])*tbl_task5[[%]:[%]])</f>
        <v/>
      </c>
      <c r="JB20" s="121" t="str">
        <f>IF(ISBLANK(tbl_task5[[คะแนนเต็ม]:[คะแนนเต็ม]]),"",(tbl_task5[92]/tbl_task5[[คะแนนเต็ม]:[คะแนนเต็ม]])*tbl_task5[[%]:[%]])</f>
        <v/>
      </c>
      <c r="JC20" s="121" t="str">
        <f>IF(ISBLANK(tbl_task5[[คะแนนเต็ม]:[คะแนนเต็ม]]),"",(tbl_task5[93]/tbl_task5[[คะแนนเต็ม]:[คะแนนเต็ม]])*tbl_task5[[%]:[%]])</f>
        <v/>
      </c>
      <c r="JD20" s="121" t="str">
        <f>IF(ISBLANK(tbl_task5[[คะแนนเต็ม]:[คะแนนเต็ม]]),"",(tbl_task5[94]/tbl_task5[[คะแนนเต็ม]:[คะแนนเต็ม]])*tbl_task5[[%]:[%]])</f>
        <v/>
      </c>
      <c r="JE20" s="121" t="str">
        <f>IF(ISBLANK(tbl_task5[[คะแนนเต็ม]:[คะแนนเต็ม]]),"",(tbl_task5[95]/tbl_task5[[คะแนนเต็ม]:[คะแนนเต็ม]])*tbl_task5[[%]:[%]])</f>
        <v/>
      </c>
      <c r="JF20" s="121" t="str">
        <f>IF(ISBLANK(tbl_task5[[คะแนนเต็ม]:[คะแนนเต็ม]]),"",(tbl_task5[96]/tbl_task5[[คะแนนเต็ม]:[คะแนนเต็ม]])*tbl_task5[[%]:[%]])</f>
        <v/>
      </c>
      <c r="JG20" s="121" t="str">
        <f>IF(ISBLANK(tbl_task5[[คะแนนเต็ม]:[คะแนนเต็ม]]),"",(tbl_task5[97]/tbl_task5[[คะแนนเต็ม]:[คะแนนเต็ม]])*tbl_task5[[%]:[%]])</f>
        <v/>
      </c>
      <c r="JH20" s="121" t="str">
        <f>IF(ISBLANK(tbl_task5[[คะแนนเต็ม]:[คะแนนเต็ม]]),"",(tbl_task5[98]/tbl_task5[[คะแนนเต็ม]:[คะแนนเต็ม]])*tbl_task5[[%]:[%]])</f>
        <v/>
      </c>
      <c r="JI20" s="121" t="str">
        <f>IF(ISBLANK(tbl_task5[[คะแนนเต็ม]:[คะแนนเต็ม]]),"",(tbl_task5[99]/tbl_task5[[คะแนนเต็ม]:[คะแนนเต็ม]])*tbl_task5[[%]:[%]])</f>
        <v/>
      </c>
      <c r="JJ20" s="121" t="str">
        <f>IF(ISBLANK(tbl_task5[[คะแนนเต็ม]:[คะแนนเต็ม]]),"",(tbl_task5[100]/tbl_task5[[คะแนนเต็ม]:[คะแนนเต็ม]])*tbl_task5[[%]:[%]])</f>
        <v/>
      </c>
      <c r="JK20" s="121" t="str">
        <f>IF(ISBLANK(tbl_task5[[คะแนนเต็ม]:[คะแนนเต็ม]]),"",(tbl_task5[101]/tbl_task5[[คะแนนเต็ม]:[คะแนนเต็ม]])*tbl_task5[[%]:[%]])</f>
        <v/>
      </c>
      <c r="JL20" s="121" t="str">
        <f>IF(ISBLANK(tbl_task5[[คะแนนเต็ม]:[คะแนนเต็ม]]),"",(tbl_task5[102]/tbl_task5[[คะแนนเต็ม]:[คะแนนเต็ม]])*tbl_task5[[%]:[%]])</f>
        <v/>
      </c>
      <c r="JM20" s="121" t="str">
        <f>IF(ISBLANK(tbl_task5[[คะแนนเต็ม]:[คะแนนเต็ม]]),"",(tbl_task5[103]/tbl_task5[[คะแนนเต็ม]:[คะแนนเต็ม]])*tbl_task5[[%]:[%]])</f>
        <v/>
      </c>
      <c r="JN20" s="121" t="str">
        <f>IF(ISBLANK(tbl_task5[[คะแนนเต็ม]:[คะแนนเต็ม]]),"",(tbl_task5[104]/tbl_task5[[คะแนนเต็ม]:[คะแนนเต็ม]])*tbl_task5[[%]:[%]])</f>
        <v/>
      </c>
      <c r="JO20" s="121" t="str">
        <f>IF(ISBLANK(tbl_task5[[คะแนนเต็ม]:[คะแนนเต็ม]]),"",(tbl_task5[105]/tbl_task5[[คะแนนเต็ม]:[คะแนนเต็ม]])*tbl_task5[[%]:[%]])</f>
        <v/>
      </c>
      <c r="JP20" s="121" t="str">
        <f>IF(ISBLANK(tbl_task5[[คะแนนเต็ม]:[คะแนนเต็ม]]),"",(tbl_task5[106]/tbl_task5[[คะแนนเต็ม]:[คะแนนเต็ม]])*tbl_task5[[%]:[%]])</f>
        <v/>
      </c>
      <c r="JQ20" s="121" t="str">
        <f>IF(ISBLANK(tbl_task5[[คะแนนเต็ม]:[คะแนนเต็ม]]),"",(tbl_task5[107]/tbl_task5[[คะแนนเต็ม]:[คะแนนเต็ม]])*tbl_task5[[%]:[%]])</f>
        <v/>
      </c>
      <c r="JR20" s="121" t="str">
        <f>IF(ISBLANK(tbl_task5[[คะแนนเต็ม]:[คะแนนเต็ม]]),"",(tbl_task5[108]/tbl_task5[[คะแนนเต็ม]:[คะแนนเต็ม]])*tbl_task5[[%]:[%]])</f>
        <v/>
      </c>
      <c r="JS20" s="121" t="str">
        <f>IF(ISBLANK(tbl_task5[[คะแนนเต็ม]:[คะแนนเต็ม]]),"",(tbl_task5[109]/tbl_task5[[คะแนนเต็ม]:[คะแนนเต็ม]])*tbl_task5[[%]:[%]])</f>
        <v/>
      </c>
      <c r="JT20" s="121" t="str">
        <f>IF(ISBLANK(tbl_task5[[คะแนนเต็ม]:[คะแนนเต็ม]]),"",(tbl_task5[110]/tbl_task5[[คะแนนเต็ม]:[คะแนนเต็ม]])*tbl_task5[[%]:[%]])</f>
        <v/>
      </c>
      <c r="JU20" s="121" t="str">
        <f>IF(ISBLANK(tbl_task5[[คะแนนเต็ม]:[คะแนนเต็ม]]),"",(tbl_task5[111]/tbl_task5[[คะแนนเต็ม]:[คะแนนเต็ม]])*tbl_task5[[%]:[%]])</f>
        <v/>
      </c>
      <c r="JV20" s="121" t="str">
        <f>IF(ISBLANK(tbl_task5[[คะแนนเต็ม]:[คะแนนเต็ม]]),"",(tbl_task5[112]/tbl_task5[[คะแนนเต็ม]:[คะแนนเต็ม]])*tbl_task5[[%]:[%]])</f>
        <v/>
      </c>
      <c r="JW20" s="121" t="str">
        <f>IF(ISBLANK(tbl_task5[[คะแนนเต็ม]:[คะแนนเต็ม]]),"",(tbl_task5[113]/tbl_task5[[คะแนนเต็ม]:[คะแนนเต็ม]])*tbl_task5[[%]:[%]])</f>
        <v/>
      </c>
      <c r="JX20" s="121" t="str">
        <f>IF(ISBLANK(tbl_task5[[คะแนนเต็ม]:[คะแนนเต็ม]]),"",(tbl_task5[114]/tbl_task5[[คะแนนเต็ม]:[คะแนนเต็ม]])*tbl_task5[[%]:[%]])</f>
        <v/>
      </c>
      <c r="JY20" s="121" t="str">
        <f>IF(ISBLANK(tbl_task5[[คะแนนเต็ม]:[คะแนนเต็ม]]),"",(tbl_task5[115]/tbl_task5[[คะแนนเต็ม]:[คะแนนเต็ม]])*tbl_task5[[%]:[%]])</f>
        <v/>
      </c>
      <c r="JZ20" s="121" t="str">
        <f>IF(ISBLANK(tbl_task5[[คะแนนเต็ม]:[คะแนนเต็ม]]),"",(tbl_task5[116]/tbl_task5[[คะแนนเต็ม]:[คะแนนเต็ม]])*tbl_task5[[%]:[%]])</f>
        <v/>
      </c>
      <c r="KA20" s="121" t="str">
        <f>IF(ISBLANK(tbl_task5[[คะแนนเต็ม]:[คะแนนเต็ม]]),"",(tbl_task5[117]/tbl_task5[[คะแนนเต็ม]:[คะแนนเต็ม]])*tbl_task5[[%]:[%]])</f>
        <v/>
      </c>
      <c r="KB20" s="121" t="str">
        <f>IF(ISBLANK(tbl_task5[[คะแนนเต็ม]:[คะแนนเต็ม]]),"",(tbl_task5[118]/tbl_task5[[คะแนนเต็ม]:[คะแนนเต็ม]])*tbl_task5[[%]:[%]])</f>
        <v/>
      </c>
      <c r="KC20" s="121" t="str">
        <f>IF(ISBLANK(tbl_task5[[คะแนนเต็ม]:[คะแนนเต็ม]]),"",(tbl_task5[119]/tbl_task5[[คะแนนเต็ม]:[คะแนนเต็ม]])*tbl_task5[[%]:[%]])</f>
        <v/>
      </c>
      <c r="KD20" s="121" t="str">
        <f>IF(ISBLANK(tbl_task5[[คะแนนเต็ม]:[คะแนนเต็ม]]),"",(tbl_task5[120]/tbl_task5[[คะแนนเต็ม]:[คะแนนเต็ม]])*tbl_task5[[%]:[%]])</f>
        <v/>
      </c>
      <c r="KE20" s="121" t="str">
        <f>IF(ISBLANK(tbl_task5[[คะแนนเต็ม]:[คะแนนเต็ม]]),"",(tbl_task5[121]/tbl_task5[[คะแนนเต็ม]:[คะแนนเต็ม]])*tbl_task5[[%]:[%]])</f>
        <v/>
      </c>
      <c r="KF20" s="121" t="str">
        <f>IF(ISBLANK(tbl_task5[[คะแนนเต็ม]:[คะแนนเต็ม]]),"",(tbl_task5[122]/tbl_task5[[คะแนนเต็ม]:[คะแนนเต็ม]])*tbl_task5[[%]:[%]])</f>
        <v/>
      </c>
      <c r="KG20" s="121" t="str">
        <f>IF(ISBLANK(tbl_task5[[คะแนนเต็ม]:[คะแนนเต็ม]]),"",(tbl_task5[123]/tbl_task5[[คะแนนเต็ม]:[คะแนนเต็ม]])*tbl_task5[[%]:[%]])</f>
        <v/>
      </c>
      <c r="KH20" s="121" t="str">
        <f>IF(ISBLANK(tbl_task5[[คะแนนเต็ม]:[คะแนนเต็ม]]),"",(tbl_task5[124]/tbl_task5[[คะแนนเต็ม]:[คะแนนเต็ม]])*tbl_task5[[%]:[%]])</f>
        <v/>
      </c>
      <c r="KI20" s="121" t="str">
        <f>IF(ISBLANK(tbl_task5[[คะแนนเต็ม]:[คะแนนเต็ม]]),"",(tbl_task5[125]/tbl_task5[[คะแนนเต็ม]:[คะแนนเต็ม]])*tbl_task5[[%]:[%]])</f>
        <v/>
      </c>
      <c r="KJ20" s="121" t="str">
        <f>IF(ISBLANK(tbl_task5[[คะแนนเต็ม]:[คะแนนเต็ม]]),"",(tbl_task5[126]/tbl_task5[[คะแนนเต็ม]:[คะแนนเต็ม]])*tbl_task5[[%]:[%]])</f>
        <v/>
      </c>
      <c r="KK20" s="121" t="str">
        <f>IF(ISBLANK(tbl_task5[[คะแนนเต็ม]:[คะแนนเต็ม]]),"",(tbl_task5[127]/tbl_task5[[คะแนนเต็ม]:[คะแนนเต็ม]])*tbl_task5[[%]:[%]])</f>
        <v/>
      </c>
      <c r="KL20" s="121" t="str">
        <f>IF(ISBLANK(tbl_task5[[คะแนนเต็ม]:[คะแนนเต็ม]]),"",(tbl_task5[128]/tbl_task5[[คะแนนเต็ม]:[คะแนนเต็ม]])*tbl_task5[[%]:[%]])</f>
        <v/>
      </c>
      <c r="KM20" s="121" t="str">
        <f>IF(ISBLANK(tbl_task5[[คะแนนเต็ม]:[คะแนนเต็ม]]),"",(tbl_task5[129]/tbl_task5[[คะแนนเต็ม]:[คะแนนเต็ม]])*tbl_task5[[%]:[%]])</f>
        <v/>
      </c>
      <c r="KN20" s="121" t="str">
        <f>IF(ISBLANK(tbl_task5[[คะแนนเต็ม]:[คะแนนเต็ม]]),"",(tbl_task5[130]/tbl_task5[[คะแนนเต็ม]:[คะแนนเต็ม]])*tbl_task5[[%]:[%]])</f>
        <v/>
      </c>
      <c r="KO20" s="121" t="str">
        <f>IF(ISBLANK(tbl_task5[[คะแนนเต็ม]:[คะแนนเต็ม]]),"",(tbl_task5[131]/tbl_task5[[คะแนนเต็ม]:[คะแนนเต็ม]])*tbl_task5[[%]:[%]])</f>
        <v/>
      </c>
      <c r="KP20" s="121" t="str">
        <f>IF(ISBLANK(tbl_task5[[คะแนนเต็ม]:[คะแนนเต็ม]]),"",(tbl_task5[132]/tbl_task5[[คะแนนเต็ม]:[คะแนนเต็ม]])*tbl_task5[[%]:[%]])</f>
        <v/>
      </c>
      <c r="KQ20" s="121" t="str">
        <f>IF(ISBLANK(tbl_task5[[คะแนนเต็ม]:[คะแนนเต็ม]]),"",(tbl_task5[133]/tbl_task5[[คะแนนเต็ม]:[คะแนนเต็ม]])*tbl_task5[[%]:[%]])</f>
        <v/>
      </c>
      <c r="KR20" s="121" t="str">
        <f>IF(ISBLANK(tbl_task5[[คะแนนเต็ม]:[คะแนนเต็ม]]),"",(tbl_task5[134]/tbl_task5[[คะแนนเต็ม]:[คะแนนเต็ม]])*tbl_task5[[%]:[%]])</f>
        <v/>
      </c>
      <c r="KS20" s="121" t="str">
        <f>IF(ISBLANK(tbl_task5[[คะแนนเต็ม]:[คะแนนเต็ม]]),"",(tbl_task5[135]/tbl_task5[[คะแนนเต็ม]:[คะแนนเต็ม]])*tbl_task5[[%]:[%]])</f>
        <v/>
      </c>
      <c r="KT20" s="121" t="str">
        <f>IF(ISBLANK(tbl_task5[[คะแนนเต็ม]:[คะแนนเต็ม]]),"",(tbl_task5[136]/tbl_task5[[คะแนนเต็ม]:[คะแนนเต็ม]])*tbl_task5[[%]:[%]])</f>
        <v/>
      </c>
      <c r="KU20" s="121" t="str">
        <f>IF(ISBLANK(tbl_task5[[คะแนนเต็ม]:[คะแนนเต็ม]]),"",(tbl_task5[137]/tbl_task5[[คะแนนเต็ม]:[คะแนนเต็ม]])*tbl_task5[[%]:[%]])</f>
        <v/>
      </c>
      <c r="KV20" s="121" t="str">
        <f>IF(ISBLANK(tbl_task5[[คะแนนเต็ม]:[คะแนนเต็ม]]),"",(tbl_task5[138]/tbl_task5[[คะแนนเต็ม]:[คะแนนเต็ม]])*tbl_task5[[%]:[%]])</f>
        <v/>
      </c>
      <c r="KW20" s="121" t="str">
        <f>IF(ISBLANK(tbl_task5[[คะแนนเต็ม]:[คะแนนเต็ม]]),"",(tbl_task5[139]/tbl_task5[[คะแนนเต็ม]:[คะแนนเต็ม]])*tbl_task5[[%]:[%]])</f>
        <v/>
      </c>
      <c r="KX20" s="121" t="str">
        <f>IF(ISBLANK(tbl_task5[[คะแนนเต็ม]:[คะแนนเต็ม]]),"",(tbl_task5[140]/tbl_task5[[คะแนนเต็ม]:[คะแนนเต็ม]])*tbl_task5[[%]:[%]])</f>
        <v/>
      </c>
      <c r="KY20" s="121" t="str">
        <f>IF(ISBLANK(tbl_task5[[คะแนนเต็ม]:[คะแนนเต็ม]]),"",(tbl_task5[141]/tbl_task5[[คะแนนเต็ม]:[คะแนนเต็ม]])*tbl_task5[[%]:[%]])</f>
        <v/>
      </c>
      <c r="KZ20" s="121" t="str">
        <f>IF(ISBLANK(tbl_task5[[คะแนนเต็ม]:[คะแนนเต็ม]]),"",(tbl_task5[142]/tbl_task5[[คะแนนเต็ม]:[คะแนนเต็ม]])*tbl_task5[[%]:[%]])</f>
        <v/>
      </c>
      <c r="LA20" s="121" t="str">
        <f>IF(ISBLANK(tbl_task5[[คะแนนเต็ม]:[คะแนนเต็ม]]),"",(tbl_task5[143]/tbl_task5[[คะแนนเต็ม]:[คะแนนเต็ม]])*tbl_task5[[%]:[%]])</f>
        <v/>
      </c>
      <c r="LB20" s="121" t="str">
        <f>IF(ISBLANK(tbl_task5[[คะแนนเต็ม]:[คะแนนเต็ม]]),"",(tbl_task5[144]/tbl_task5[[คะแนนเต็ม]:[คะแนนเต็ม]])*tbl_task5[[%]:[%]])</f>
        <v/>
      </c>
      <c r="LC20" s="121" t="str">
        <f>IF(ISBLANK(tbl_task5[[คะแนนเต็ม]:[คะแนนเต็ม]]),"",(tbl_task5[145]/tbl_task5[[คะแนนเต็ม]:[คะแนนเต็ม]])*tbl_task5[[%]:[%]])</f>
        <v/>
      </c>
      <c r="LD20" s="121" t="str">
        <f>IF(ISBLANK(tbl_task5[[คะแนนเต็ม]:[คะแนนเต็ม]]),"",(tbl_task5[146]/tbl_task5[[คะแนนเต็ม]:[คะแนนเต็ม]])*tbl_task5[[%]:[%]])</f>
        <v/>
      </c>
      <c r="LE20" s="121" t="str">
        <f>IF(ISBLANK(tbl_task5[[คะแนนเต็ม]:[คะแนนเต็ม]]),"",(tbl_task5[147]/tbl_task5[[คะแนนเต็ม]:[คะแนนเต็ม]])*tbl_task5[[%]:[%]])</f>
        <v/>
      </c>
      <c r="LF20" s="121" t="str">
        <f>IF(ISBLANK(tbl_task5[[คะแนนเต็ม]:[คะแนนเต็ม]]),"",(tbl_task5[148]/tbl_task5[[คะแนนเต็ม]:[คะแนนเต็ม]])*tbl_task5[[%]:[%]])</f>
        <v/>
      </c>
      <c r="LG20" s="121" t="str">
        <f>IF(ISBLANK(tbl_task5[[คะแนนเต็ม]:[คะแนนเต็ม]]),"",(tbl_task5[149]/tbl_task5[[คะแนนเต็ม]:[คะแนนเต็ม]])*tbl_task5[[%]:[%]])</f>
        <v/>
      </c>
      <c r="LH20" s="121" t="str">
        <f>IF(ISBLANK(tbl_task5[[คะแนนเต็ม]:[คะแนนเต็ม]]),"",(tbl_task5[150]/tbl_task5[[คะแนนเต็ม]:[คะแนนเต็ม]])*tbl_task5[[%]:[%]])</f>
        <v/>
      </c>
      <c r="LI20" s="121" t="str">
        <f>IF(ISBLANK(tbl_task5[[คะแนนเต็ม]:[คะแนนเต็ม]]),"",(tbl_task5[151]/tbl_task5[[คะแนนเต็ม]:[คะแนนเต็ม]])*tbl_task5[[%]:[%]])</f>
        <v/>
      </c>
      <c r="LJ20" s="121" t="str">
        <f>IF(ISBLANK(tbl_task5[[คะแนนเต็ม]:[คะแนนเต็ม]]),"",(tbl_task5[152]/tbl_task5[[คะแนนเต็ม]:[คะแนนเต็ม]])*tbl_task5[[%]:[%]])</f>
        <v/>
      </c>
      <c r="LK20" s="121" t="str">
        <f>IF(ISBLANK(tbl_task5[[คะแนนเต็ม]:[คะแนนเต็ม]]),"",(tbl_task5[153]/tbl_task5[[คะแนนเต็ม]:[คะแนนเต็ม]])*tbl_task5[[%]:[%]])</f>
        <v/>
      </c>
      <c r="LL20" s="121" t="str">
        <f>IF(ISBLANK(tbl_task5[[คะแนนเต็ม]:[คะแนนเต็ม]]),"",(tbl_task5[154]/tbl_task5[[คะแนนเต็ม]:[คะแนนเต็ม]])*tbl_task5[[%]:[%]])</f>
        <v/>
      </c>
      <c r="LM20" s="121" t="str">
        <f>IF(ISBLANK(tbl_task5[[คะแนนเต็ม]:[คะแนนเต็ม]]),"",(tbl_task5[155]/tbl_task5[[คะแนนเต็ม]:[คะแนนเต็ม]])*tbl_task5[[%]:[%]])</f>
        <v/>
      </c>
      <c r="LN20" s="121" t="str">
        <f>IF(ISBLANK(tbl_task5[[คะแนนเต็ม]:[คะแนนเต็ม]]),"",(tbl_task5[156]/tbl_task5[[คะแนนเต็ม]:[คะแนนเต็ม]])*tbl_task5[[%]:[%]])</f>
        <v/>
      </c>
      <c r="LO20" s="121" t="str">
        <f>IF(ISBLANK(tbl_task5[[คะแนนเต็ม]:[คะแนนเต็ม]]),"",(tbl_task5[157]/tbl_task5[[คะแนนเต็ม]:[คะแนนเต็ม]])*tbl_task5[[%]:[%]])</f>
        <v/>
      </c>
      <c r="LP20" s="121" t="str">
        <f>IF(ISBLANK(tbl_task5[[คะแนนเต็ม]:[คะแนนเต็ม]]),"",(tbl_task5[158]/tbl_task5[[คะแนนเต็ม]:[คะแนนเต็ม]])*tbl_task5[[%]:[%]])</f>
        <v/>
      </c>
      <c r="LQ20" s="121" t="str">
        <f>IF(ISBLANK(tbl_task5[[คะแนนเต็ม]:[คะแนนเต็ม]]),"",(tbl_task5[159]/tbl_task5[[คะแนนเต็ม]:[คะแนนเต็ม]])*tbl_task5[[%]:[%]])</f>
        <v/>
      </c>
      <c r="LR20" s="121" t="str">
        <f>IF(ISBLANK(tbl_task5[[คะแนนเต็ม]:[คะแนนเต็ม]]),"",(tbl_task5[160]/tbl_task5[[คะแนนเต็ม]:[คะแนนเต็ม]])*tbl_task5[[%]:[%]])</f>
        <v/>
      </c>
      <c r="LS20" s="121" t="str">
        <f>IF(ISBLANK(tbl_task5[[คะแนนเต็ม]:[คะแนนเต็ม]]),"",(tbl_task5[161]/tbl_task5[[คะแนนเต็ม]:[คะแนนเต็ม]])*tbl_task5[[%]:[%]])</f>
        <v/>
      </c>
      <c r="LT20" s="121" t="str">
        <f>IF(ISBLANK(tbl_task5[[คะแนนเต็ม]:[คะแนนเต็ม]]),"",(tbl_task5[162]/tbl_task5[[คะแนนเต็ม]:[คะแนนเต็ม]])*tbl_task5[[%]:[%]])</f>
        <v/>
      </c>
      <c r="LU20" s="121" t="str">
        <f>IF(ISBLANK(tbl_task5[[คะแนนเต็ม]:[คะแนนเต็ม]]),"",(tbl_task5[163]/tbl_task5[[คะแนนเต็ม]:[คะแนนเต็ม]])*tbl_task5[[%]:[%]])</f>
        <v/>
      </c>
      <c r="LV20" s="121" t="str">
        <f>IF(ISBLANK(tbl_task5[[คะแนนเต็ม]:[คะแนนเต็ม]]),"",(tbl_task5[164]/tbl_task5[[คะแนนเต็ม]:[คะแนนเต็ม]])*tbl_task5[[%]:[%]])</f>
        <v/>
      </c>
      <c r="LW20" s="121" t="str">
        <f>IF(ISBLANK(tbl_task5[[คะแนนเต็ม]:[คะแนนเต็ม]]),"",(tbl_task5[165]/tbl_task5[[คะแนนเต็ม]:[คะแนนเต็ม]])*tbl_task5[[%]:[%]])</f>
        <v/>
      </c>
    </row>
    <row r="21" spans="1:335" ht="24" customHeight="1" x14ac:dyDescent="0.25">
      <c r="A21" s="24">
        <v>18</v>
      </c>
      <c r="B21" s="20"/>
      <c r="C21" s="5" t="str">
        <f>IF(ISBLANK(B21),"",VLOOKUP(B21,tbl_PLOs[],2,0))</f>
        <v/>
      </c>
      <c r="D21" s="102"/>
      <c r="E21" s="106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21" t="str">
        <f>IF(ISBLANK(tbl_task5[[คะแนนเต็ม]:[คะแนนเต็ม]]),"",(tbl_task5[1]/tbl_task5[[คะแนนเต็ม]:[คะแนนเต็ม]])*tbl_task5[[%]:[%]])</f>
        <v/>
      </c>
      <c r="FP21" s="121" t="str">
        <f>IF(ISBLANK(tbl_task5[[คะแนนเต็ม]:[คะแนนเต็ม]]),"",(tbl_task5[2]/tbl_task5[[คะแนนเต็ม]:[คะแนนเต็ม]])*tbl_task5[[%]:[%]])</f>
        <v/>
      </c>
      <c r="FQ21" s="121" t="str">
        <f>IF(ISBLANK(tbl_task5[[คะแนนเต็ม]:[คะแนนเต็ม]]),"",(tbl_task5[3]/tbl_task5[[คะแนนเต็ม]:[คะแนนเต็ม]])*tbl_task5[[%]:[%]])</f>
        <v/>
      </c>
      <c r="FR21" s="121" t="str">
        <f>IF(ISBLANK(tbl_task5[[คะแนนเต็ม]:[คะแนนเต็ม]]),"",(tbl_task5[4]/tbl_task5[[คะแนนเต็ม]:[คะแนนเต็ม]])*tbl_task5[[%]:[%]])</f>
        <v/>
      </c>
      <c r="FS21" s="121" t="str">
        <f>IF(ISBLANK(tbl_task5[[คะแนนเต็ม]:[คะแนนเต็ม]]),"",(tbl_task5[5]/tbl_task5[[คะแนนเต็ม]:[คะแนนเต็ม]])*tbl_task5[[%]:[%]])</f>
        <v/>
      </c>
      <c r="FT21" s="121" t="str">
        <f>IF(ISBLANK(tbl_task5[[คะแนนเต็ม]:[คะแนนเต็ม]]),"",(tbl_task5[6]/tbl_task5[[คะแนนเต็ม]:[คะแนนเต็ม]])*tbl_task5[[%]:[%]])</f>
        <v/>
      </c>
      <c r="FU21" s="121" t="str">
        <f>IF(ISBLANK(tbl_task5[[คะแนนเต็ม]:[คะแนนเต็ม]]),"",(tbl_task5[7]/tbl_task5[[คะแนนเต็ม]:[คะแนนเต็ม]])*tbl_task5[[%]:[%]])</f>
        <v/>
      </c>
      <c r="FV21" s="121" t="str">
        <f>IF(ISBLANK(tbl_task5[[คะแนนเต็ม]:[คะแนนเต็ม]]),"",(tbl_task5[8]/tbl_task5[[คะแนนเต็ม]:[คะแนนเต็ม]])*tbl_task5[[%]:[%]])</f>
        <v/>
      </c>
      <c r="FW21" s="121" t="str">
        <f>IF(ISBLANK(tbl_task5[[คะแนนเต็ม]:[คะแนนเต็ม]]),"",(tbl_task5[9]/tbl_task5[[คะแนนเต็ม]:[คะแนนเต็ม]])*tbl_task5[[%]:[%]])</f>
        <v/>
      </c>
      <c r="FX21" s="121" t="str">
        <f>IF(ISBLANK(tbl_task5[[คะแนนเต็ม]:[คะแนนเต็ม]]),"",(tbl_task5[10]/tbl_task5[[คะแนนเต็ม]:[คะแนนเต็ม]])*tbl_task5[[%]:[%]])</f>
        <v/>
      </c>
      <c r="FY21" s="121" t="str">
        <f>IF(ISBLANK(tbl_task5[[คะแนนเต็ม]:[คะแนนเต็ม]]),"",(tbl_task5[11]/tbl_task5[[คะแนนเต็ม]:[คะแนนเต็ม]])*tbl_task5[[%]:[%]])</f>
        <v/>
      </c>
      <c r="FZ21" s="121" t="str">
        <f>IF(ISBLANK(tbl_task5[[คะแนนเต็ม]:[คะแนนเต็ม]]),"",(tbl_task5[12]/tbl_task5[[คะแนนเต็ม]:[คะแนนเต็ม]])*tbl_task5[[%]:[%]])</f>
        <v/>
      </c>
      <c r="GA21" s="121" t="str">
        <f>IF(ISBLANK(tbl_task5[[คะแนนเต็ม]:[คะแนนเต็ม]]),"",(tbl_task5[13]/tbl_task5[[คะแนนเต็ม]:[คะแนนเต็ม]])*tbl_task5[[%]:[%]])</f>
        <v/>
      </c>
      <c r="GB21" s="121" t="str">
        <f>IF(ISBLANK(tbl_task5[[คะแนนเต็ม]:[คะแนนเต็ม]]),"",(tbl_task5[14]/tbl_task5[[คะแนนเต็ม]:[คะแนนเต็ม]])*tbl_task5[[%]:[%]])</f>
        <v/>
      </c>
      <c r="GC21" s="121" t="str">
        <f>IF(ISBLANK(tbl_task5[[คะแนนเต็ม]:[คะแนนเต็ม]]),"",(tbl_task5[15]/tbl_task5[[คะแนนเต็ม]:[คะแนนเต็ม]])*tbl_task5[[%]:[%]])</f>
        <v/>
      </c>
      <c r="GD21" s="121" t="str">
        <f>IF(ISBLANK(tbl_task5[[คะแนนเต็ม]:[คะแนนเต็ม]]),"",(tbl_task5[16]/tbl_task5[[คะแนนเต็ม]:[คะแนนเต็ม]])*tbl_task5[[%]:[%]])</f>
        <v/>
      </c>
      <c r="GE21" s="121" t="str">
        <f>IF(ISBLANK(tbl_task5[[คะแนนเต็ม]:[คะแนนเต็ม]]),"",(tbl_task5[17]/tbl_task5[[คะแนนเต็ม]:[คะแนนเต็ม]])*tbl_task5[[%]:[%]])</f>
        <v/>
      </c>
      <c r="GF21" s="121" t="str">
        <f>IF(ISBLANK(tbl_task5[[คะแนนเต็ม]:[คะแนนเต็ม]]),"",(tbl_task5[18]/tbl_task5[[คะแนนเต็ม]:[คะแนนเต็ม]])*tbl_task5[[%]:[%]])</f>
        <v/>
      </c>
      <c r="GG21" s="121" t="str">
        <f>IF(ISBLANK(tbl_task5[[คะแนนเต็ม]:[คะแนนเต็ม]]),"",(tbl_task5[19]/tbl_task5[[คะแนนเต็ม]:[คะแนนเต็ม]])*tbl_task5[[%]:[%]])</f>
        <v/>
      </c>
      <c r="GH21" s="121" t="str">
        <f>IF(ISBLANK(tbl_task5[[คะแนนเต็ม]:[คะแนนเต็ม]]),"",(tbl_task5[20]/tbl_task5[[คะแนนเต็ม]:[คะแนนเต็ม]])*tbl_task5[[%]:[%]])</f>
        <v/>
      </c>
      <c r="GI21" s="121" t="str">
        <f>IF(ISBLANK(tbl_task5[[คะแนนเต็ม]:[คะแนนเต็ม]]),"",(tbl_task5[21]/tbl_task5[[คะแนนเต็ม]:[คะแนนเต็ม]])*tbl_task5[[%]:[%]])</f>
        <v/>
      </c>
      <c r="GJ21" s="121" t="str">
        <f>IF(ISBLANK(tbl_task5[[คะแนนเต็ม]:[คะแนนเต็ม]]),"",(tbl_task5[22]/tbl_task5[[คะแนนเต็ม]:[คะแนนเต็ม]])*tbl_task5[[%]:[%]])</f>
        <v/>
      </c>
      <c r="GK21" s="121" t="str">
        <f>IF(ISBLANK(tbl_task5[[คะแนนเต็ม]:[คะแนนเต็ม]]),"",(tbl_task5[23]/tbl_task5[[คะแนนเต็ม]:[คะแนนเต็ม]])*tbl_task5[[%]:[%]])</f>
        <v/>
      </c>
      <c r="GL21" s="121" t="str">
        <f>IF(ISBLANK(tbl_task5[[คะแนนเต็ม]:[คะแนนเต็ม]]),"",(tbl_task5[24]/tbl_task5[[คะแนนเต็ม]:[คะแนนเต็ม]])*tbl_task5[[%]:[%]])</f>
        <v/>
      </c>
      <c r="GM21" s="121" t="str">
        <f>IF(ISBLANK(tbl_task5[[คะแนนเต็ม]:[คะแนนเต็ม]]),"",(tbl_task5[25]/tbl_task5[[คะแนนเต็ม]:[คะแนนเต็ม]])*tbl_task5[[%]:[%]])</f>
        <v/>
      </c>
      <c r="GN21" s="121" t="str">
        <f>IF(ISBLANK(tbl_task5[[คะแนนเต็ม]:[คะแนนเต็ม]]),"",(tbl_task5[26]/tbl_task5[[คะแนนเต็ม]:[คะแนนเต็ม]])*tbl_task5[[%]:[%]])</f>
        <v/>
      </c>
      <c r="GO21" s="121" t="str">
        <f>IF(ISBLANK(tbl_task5[[คะแนนเต็ม]:[คะแนนเต็ม]]),"",(tbl_task5[27]/tbl_task5[[คะแนนเต็ม]:[คะแนนเต็ม]])*tbl_task5[[%]:[%]])</f>
        <v/>
      </c>
      <c r="GP21" s="121" t="str">
        <f>IF(ISBLANK(tbl_task5[[คะแนนเต็ม]:[คะแนนเต็ม]]),"",(tbl_task5[28]/tbl_task5[[คะแนนเต็ม]:[คะแนนเต็ม]])*tbl_task5[[%]:[%]])</f>
        <v/>
      </c>
      <c r="GQ21" s="121" t="str">
        <f>IF(ISBLANK(tbl_task5[[คะแนนเต็ม]:[คะแนนเต็ม]]),"",(tbl_task5[29]/tbl_task5[[คะแนนเต็ม]:[คะแนนเต็ม]])*tbl_task5[[%]:[%]])</f>
        <v/>
      </c>
      <c r="GR21" s="121" t="str">
        <f>IF(ISBLANK(tbl_task5[[คะแนนเต็ม]:[คะแนนเต็ม]]),"",(tbl_task5[30]/tbl_task5[[คะแนนเต็ม]:[คะแนนเต็ม]])*tbl_task5[[%]:[%]])</f>
        <v/>
      </c>
      <c r="GS21" s="121" t="str">
        <f>IF(ISBLANK(tbl_task5[[คะแนนเต็ม]:[คะแนนเต็ม]]),"",(tbl_task5[31]/tbl_task5[[คะแนนเต็ม]:[คะแนนเต็ม]])*tbl_task5[[%]:[%]])</f>
        <v/>
      </c>
      <c r="GT21" s="121" t="str">
        <f>IF(ISBLANK(tbl_task5[[คะแนนเต็ม]:[คะแนนเต็ม]]),"",(tbl_task5[32]/tbl_task5[[คะแนนเต็ม]:[คะแนนเต็ม]])*tbl_task5[[%]:[%]])</f>
        <v/>
      </c>
      <c r="GU21" s="121" t="str">
        <f>IF(ISBLANK(tbl_task5[[คะแนนเต็ม]:[คะแนนเต็ม]]),"",(tbl_task5[33]/tbl_task5[[คะแนนเต็ม]:[คะแนนเต็ม]])*tbl_task5[[%]:[%]])</f>
        <v/>
      </c>
      <c r="GV21" s="121" t="str">
        <f>IF(ISBLANK(tbl_task5[[คะแนนเต็ม]:[คะแนนเต็ม]]),"",(tbl_task5[34]/tbl_task5[[คะแนนเต็ม]:[คะแนนเต็ม]])*tbl_task5[[%]:[%]])</f>
        <v/>
      </c>
      <c r="GW21" s="121" t="str">
        <f>IF(ISBLANK(tbl_task5[[คะแนนเต็ม]:[คะแนนเต็ม]]),"",(tbl_task5[35]/tbl_task5[[คะแนนเต็ม]:[คะแนนเต็ม]])*tbl_task5[[%]:[%]])</f>
        <v/>
      </c>
      <c r="GX21" s="121" t="str">
        <f>IF(ISBLANK(tbl_task5[[คะแนนเต็ม]:[คะแนนเต็ม]]),"",(tbl_task5[36]/tbl_task5[[คะแนนเต็ม]:[คะแนนเต็ม]])*tbl_task5[[%]:[%]])</f>
        <v/>
      </c>
      <c r="GY21" s="121" t="str">
        <f>IF(ISBLANK(tbl_task5[[คะแนนเต็ม]:[คะแนนเต็ม]]),"",(tbl_task5[37]/tbl_task5[[คะแนนเต็ม]:[คะแนนเต็ม]])*tbl_task5[[%]:[%]])</f>
        <v/>
      </c>
      <c r="GZ21" s="121" t="str">
        <f>IF(ISBLANK(tbl_task5[[คะแนนเต็ม]:[คะแนนเต็ม]]),"",(tbl_task5[38]/tbl_task5[[คะแนนเต็ม]:[คะแนนเต็ม]])*tbl_task5[[%]:[%]])</f>
        <v/>
      </c>
      <c r="HA21" s="121" t="str">
        <f>IF(ISBLANK(tbl_task5[[คะแนนเต็ม]:[คะแนนเต็ม]]),"",(tbl_task5[39]/tbl_task5[[คะแนนเต็ม]:[คะแนนเต็ม]])*tbl_task5[[%]:[%]])</f>
        <v/>
      </c>
      <c r="HB21" s="121" t="str">
        <f>IF(ISBLANK(tbl_task5[[คะแนนเต็ม]:[คะแนนเต็ม]]),"",(tbl_task5[40]/tbl_task5[[คะแนนเต็ม]:[คะแนนเต็ม]])*tbl_task5[[%]:[%]])</f>
        <v/>
      </c>
      <c r="HC21" s="121" t="str">
        <f>IF(ISBLANK(tbl_task5[[คะแนนเต็ม]:[คะแนนเต็ม]]),"",(tbl_task5[41]/tbl_task5[[คะแนนเต็ม]:[คะแนนเต็ม]])*tbl_task5[[%]:[%]])</f>
        <v/>
      </c>
      <c r="HD21" s="121" t="str">
        <f>IF(ISBLANK(tbl_task5[[คะแนนเต็ม]:[คะแนนเต็ม]]),"",(tbl_task5[42]/tbl_task5[[คะแนนเต็ม]:[คะแนนเต็ม]])*tbl_task5[[%]:[%]])</f>
        <v/>
      </c>
      <c r="HE21" s="121" t="str">
        <f>IF(ISBLANK(tbl_task5[[คะแนนเต็ม]:[คะแนนเต็ม]]),"",(tbl_task5[43]/tbl_task5[[คะแนนเต็ม]:[คะแนนเต็ม]])*tbl_task5[[%]:[%]])</f>
        <v/>
      </c>
      <c r="HF21" s="121" t="str">
        <f>IF(ISBLANK(tbl_task5[[คะแนนเต็ม]:[คะแนนเต็ม]]),"",(tbl_task5[44]/tbl_task5[[คะแนนเต็ม]:[คะแนนเต็ม]])*tbl_task5[[%]:[%]])</f>
        <v/>
      </c>
      <c r="HG21" s="121" t="str">
        <f>IF(ISBLANK(tbl_task5[[คะแนนเต็ม]:[คะแนนเต็ม]]),"",(tbl_task5[45]/tbl_task5[[คะแนนเต็ม]:[คะแนนเต็ม]])*tbl_task5[[%]:[%]])</f>
        <v/>
      </c>
      <c r="HH21" s="121" t="str">
        <f>IF(ISBLANK(tbl_task5[[คะแนนเต็ม]:[คะแนนเต็ม]]),"",(tbl_task5[46]/tbl_task5[[คะแนนเต็ม]:[คะแนนเต็ม]])*tbl_task5[[%]:[%]])</f>
        <v/>
      </c>
      <c r="HI21" s="121" t="str">
        <f>IF(ISBLANK(tbl_task5[[คะแนนเต็ม]:[คะแนนเต็ม]]),"",(tbl_task5[47]/tbl_task5[[คะแนนเต็ม]:[คะแนนเต็ม]])*tbl_task5[[%]:[%]])</f>
        <v/>
      </c>
      <c r="HJ21" s="121" t="str">
        <f>IF(ISBLANK(tbl_task5[[คะแนนเต็ม]:[คะแนนเต็ม]]),"",(tbl_task5[48]/tbl_task5[[คะแนนเต็ม]:[คะแนนเต็ม]])*tbl_task5[[%]:[%]])</f>
        <v/>
      </c>
      <c r="HK21" s="121" t="str">
        <f>IF(ISBLANK(tbl_task5[[คะแนนเต็ม]:[คะแนนเต็ม]]),"",(tbl_task5[49]/tbl_task5[[คะแนนเต็ม]:[คะแนนเต็ม]])*tbl_task5[[%]:[%]])</f>
        <v/>
      </c>
      <c r="HL21" s="121" t="str">
        <f>IF(ISBLANK(tbl_task5[[คะแนนเต็ม]:[คะแนนเต็ม]]),"",(tbl_task5[50]/tbl_task5[[คะแนนเต็ม]:[คะแนนเต็ม]])*tbl_task5[[%]:[%]])</f>
        <v/>
      </c>
      <c r="HM21" s="121" t="str">
        <f>IF(ISBLANK(tbl_task5[[คะแนนเต็ม]:[คะแนนเต็ม]]),"",(tbl_task5[51]/tbl_task5[[คะแนนเต็ม]:[คะแนนเต็ม]])*tbl_task5[[%]:[%]])</f>
        <v/>
      </c>
      <c r="HN21" s="121" t="str">
        <f>IF(ISBLANK(tbl_task5[[คะแนนเต็ม]:[คะแนนเต็ม]]),"",(tbl_task5[52]/tbl_task5[[คะแนนเต็ม]:[คะแนนเต็ม]])*tbl_task5[[%]:[%]])</f>
        <v/>
      </c>
      <c r="HO21" s="121" t="str">
        <f>IF(ISBLANK(tbl_task5[[คะแนนเต็ม]:[คะแนนเต็ม]]),"",(tbl_task5[53]/tbl_task5[[คะแนนเต็ม]:[คะแนนเต็ม]])*tbl_task5[[%]:[%]])</f>
        <v/>
      </c>
      <c r="HP21" s="121" t="str">
        <f>IF(ISBLANK(tbl_task5[[คะแนนเต็ม]:[คะแนนเต็ม]]),"",(tbl_task5[54]/tbl_task5[[คะแนนเต็ม]:[คะแนนเต็ม]])*tbl_task5[[%]:[%]])</f>
        <v/>
      </c>
      <c r="HQ21" s="121" t="str">
        <f>IF(ISBLANK(tbl_task5[[คะแนนเต็ม]:[คะแนนเต็ม]]),"",(tbl_task5[55]/tbl_task5[[คะแนนเต็ม]:[คะแนนเต็ม]])*tbl_task5[[%]:[%]])</f>
        <v/>
      </c>
      <c r="HR21" s="121" t="str">
        <f>IF(ISBLANK(tbl_task5[[คะแนนเต็ม]:[คะแนนเต็ม]]),"",(tbl_task5[56]/tbl_task5[[คะแนนเต็ม]:[คะแนนเต็ม]])*tbl_task5[[%]:[%]])</f>
        <v/>
      </c>
      <c r="HS21" s="121" t="str">
        <f>IF(ISBLANK(tbl_task5[[คะแนนเต็ม]:[คะแนนเต็ม]]),"",(tbl_task5[57]/tbl_task5[[คะแนนเต็ม]:[คะแนนเต็ม]])*tbl_task5[[%]:[%]])</f>
        <v/>
      </c>
      <c r="HT21" s="121" t="str">
        <f>IF(ISBLANK(tbl_task5[[คะแนนเต็ม]:[คะแนนเต็ม]]),"",(tbl_task5[58]/tbl_task5[[คะแนนเต็ม]:[คะแนนเต็ม]])*tbl_task5[[%]:[%]])</f>
        <v/>
      </c>
      <c r="HU21" s="121" t="str">
        <f>IF(ISBLANK(tbl_task5[[คะแนนเต็ม]:[คะแนนเต็ม]]),"",(tbl_task5[59]/tbl_task5[[คะแนนเต็ม]:[คะแนนเต็ม]])*tbl_task5[[%]:[%]])</f>
        <v/>
      </c>
      <c r="HV21" s="121" t="str">
        <f>IF(ISBLANK(tbl_task5[[คะแนนเต็ม]:[คะแนนเต็ม]]),"",(tbl_task5[60]/tbl_task5[[คะแนนเต็ม]:[คะแนนเต็ม]])*tbl_task5[[%]:[%]])</f>
        <v/>
      </c>
      <c r="HW21" s="121" t="str">
        <f>IF(ISBLANK(tbl_task5[[คะแนนเต็ม]:[คะแนนเต็ม]]),"",(tbl_task5[61]/tbl_task5[[คะแนนเต็ม]:[คะแนนเต็ม]])*tbl_task5[[%]:[%]])</f>
        <v/>
      </c>
      <c r="HX21" s="121" t="str">
        <f>IF(ISBLANK(tbl_task5[[คะแนนเต็ม]:[คะแนนเต็ม]]),"",(tbl_task5[62]/tbl_task5[[คะแนนเต็ม]:[คะแนนเต็ม]])*tbl_task5[[%]:[%]])</f>
        <v/>
      </c>
      <c r="HY21" s="121" t="str">
        <f>IF(ISBLANK(tbl_task5[[คะแนนเต็ม]:[คะแนนเต็ม]]),"",(tbl_task5[63]/tbl_task5[[คะแนนเต็ม]:[คะแนนเต็ม]])*tbl_task5[[%]:[%]])</f>
        <v/>
      </c>
      <c r="HZ21" s="121" t="str">
        <f>IF(ISBLANK(tbl_task5[[คะแนนเต็ม]:[คะแนนเต็ม]]),"",(tbl_task5[64]/tbl_task5[[คะแนนเต็ม]:[คะแนนเต็ม]])*tbl_task5[[%]:[%]])</f>
        <v/>
      </c>
      <c r="IA21" s="121" t="str">
        <f>IF(ISBLANK(tbl_task5[[คะแนนเต็ม]:[คะแนนเต็ม]]),"",(tbl_task5[65]/tbl_task5[[คะแนนเต็ม]:[คะแนนเต็ม]])*tbl_task5[[%]:[%]])</f>
        <v/>
      </c>
      <c r="IB21" s="121" t="str">
        <f>IF(ISBLANK(tbl_task5[[คะแนนเต็ม]:[คะแนนเต็ม]]),"",(tbl_task5[66]/tbl_task5[[คะแนนเต็ม]:[คะแนนเต็ม]])*tbl_task5[[%]:[%]])</f>
        <v/>
      </c>
      <c r="IC21" s="121" t="str">
        <f>IF(ISBLANK(tbl_task5[[คะแนนเต็ม]:[คะแนนเต็ม]]),"",(tbl_task5[67]/tbl_task5[[คะแนนเต็ม]:[คะแนนเต็ม]])*tbl_task5[[%]:[%]])</f>
        <v/>
      </c>
      <c r="ID21" s="121" t="str">
        <f>IF(ISBLANK(tbl_task5[[คะแนนเต็ม]:[คะแนนเต็ม]]),"",(tbl_task5[68]/tbl_task5[[คะแนนเต็ม]:[คะแนนเต็ม]])*tbl_task5[[%]:[%]])</f>
        <v/>
      </c>
      <c r="IE21" s="121" t="str">
        <f>IF(ISBLANK(tbl_task5[[คะแนนเต็ม]:[คะแนนเต็ม]]),"",(tbl_task5[69]/tbl_task5[[คะแนนเต็ม]:[คะแนนเต็ม]])*tbl_task5[[%]:[%]])</f>
        <v/>
      </c>
      <c r="IF21" s="121" t="str">
        <f>IF(ISBLANK(tbl_task5[[คะแนนเต็ม]:[คะแนนเต็ม]]),"",(tbl_task5[70]/tbl_task5[[คะแนนเต็ม]:[คะแนนเต็ม]])*tbl_task5[[%]:[%]])</f>
        <v/>
      </c>
      <c r="IG21" s="121" t="str">
        <f>IF(ISBLANK(tbl_task5[[คะแนนเต็ม]:[คะแนนเต็ม]]),"",(tbl_task5[71]/tbl_task5[[คะแนนเต็ม]:[คะแนนเต็ม]])*tbl_task5[[%]:[%]])</f>
        <v/>
      </c>
      <c r="IH21" s="121" t="str">
        <f>IF(ISBLANK(tbl_task5[[คะแนนเต็ม]:[คะแนนเต็ม]]),"",(tbl_task5[72]/tbl_task5[[คะแนนเต็ม]:[คะแนนเต็ม]])*tbl_task5[[%]:[%]])</f>
        <v/>
      </c>
      <c r="II21" s="121" t="str">
        <f>IF(ISBLANK(tbl_task5[[คะแนนเต็ม]:[คะแนนเต็ม]]),"",(tbl_task5[73]/tbl_task5[[คะแนนเต็ม]:[คะแนนเต็ม]])*tbl_task5[[%]:[%]])</f>
        <v/>
      </c>
      <c r="IJ21" s="121" t="str">
        <f>IF(ISBLANK(tbl_task5[[คะแนนเต็ม]:[คะแนนเต็ม]]),"",(tbl_task5[74]/tbl_task5[[คะแนนเต็ม]:[คะแนนเต็ม]])*tbl_task5[[%]:[%]])</f>
        <v/>
      </c>
      <c r="IK21" s="121" t="str">
        <f>IF(ISBLANK(tbl_task5[[คะแนนเต็ม]:[คะแนนเต็ม]]),"",(tbl_task5[75]/tbl_task5[[คะแนนเต็ม]:[คะแนนเต็ม]])*tbl_task5[[%]:[%]])</f>
        <v/>
      </c>
      <c r="IL21" s="121" t="str">
        <f>IF(ISBLANK(tbl_task5[[คะแนนเต็ม]:[คะแนนเต็ม]]),"",(tbl_task5[76]/tbl_task5[[คะแนนเต็ม]:[คะแนนเต็ม]])*tbl_task5[[%]:[%]])</f>
        <v/>
      </c>
      <c r="IM21" s="121" t="str">
        <f>IF(ISBLANK(tbl_task5[[คะแนนเต็ม]:[คะแนนเต็ม]]),"",(tbl_task5[77]/tbl_task5[[คะแนนเต็ม]:[คะแนนเต็ม]])*tbl_task5[[%]:[%]])</f>
        <v/>
      </c>
      <c r="IN21" s="121" t="str">
        <f>IF(ISBLANK(tbl_task5[[คะแนนเต็ม]:[คะแนนเต็ม]]),"",(tbl_task5[78]/tbl_task5[[คะแนนเต็ม]:[คะแนนเต็ม]])*tbl_task5[[%]:[%]])</f>
        <v/>
      </c>
      <c r="IO21" s="121" t="str">
        <f>IF(ISBLANK(tbl_task5[[คะแนนเต็ม]:[คะแนนเต็ม]]),"",(tbl_task5[79]/tbl_task5[[คะแนนเต็ม]:[คะแนนเต็ม]])*tbl_task5[[%]:[%]])</f>
        <v/>
      </c>
      <c r="IP21" s="121" t="str">
        <f>IF(ISBLANK(tbl_task5[[คะแนนเต็ม]:[คะแนนเต็ม]]),"",(tbl_task5[80]/tbl_task5[[คะแนนเต็ม]:[คะแนนเต็ม]])*tbl_task5[[%]:[%]])</f>
        <v/>
      </c>
      <c r="IQ21" s="121" t="str">
        <f>IF(ISBLANK(tbl_task5[[คะแนนเต็ม]:[คะแนนเต็ม]]),"",(tbl_task5[81]/tbl_task5[[คะแนนเต็ม]:[คะแนนเต็ม]])*tbl_task5[[%]:[%]])</f>
        <v/>
      </c>
      <c r="IR21" s="121" t="str">
        <f>IF(ISBLANK(tbl_task5[[คะแนนเต็ม]:[คะแนนเต็ม]]),"",(tbl_task5[82]/tbl_task5[[คะแนนเต็ม]:[คะแนนเต็ม]])*tbl_task5[[%]:[%]])</f>
        <v/>
      </c>
      <c r="IS21" s="121" t="str">
        <f>IF(ISBLANK(tbl_task5[[คะแนนเต็ม]:[คะแนนเต็ม]]),"",(tbl_task5[83]/tbl_task5[[คะแนนเต็ม]:[คะแนนเต็ม]])*tbl_task5[[%]:[%]])</f>
        <v/>
      </c>
      <c r="IT21" s="121" t="str">
        <f>IF(ISBLANK(tbl_task5[[คะแนนเต็ม]:[คะแนนเต็ม]]),"",(tbl_task5[84]/tbl_task5[[คะแนนเต็ม]:[คะแนนเต็ม]])*tbl_task5[[%]:[%]])</f>
        <v/>
      </c>
      <c r="IU21" s="121" t="str">
        <f>IF(ISBLANK(tbl_task5[[คะแนนเต็ม]:[คะแนนเต็ม]]),"",(tbl_task5[85]/tbl_task5[[คะแนนเต็ม]:[คะแนนเต็ม]])*tbl_task5[[%]:[%]])</f>
        <v/>
      </c>
      <c r="IV21" s="121" t="str">
        <f>IF(ISBLANK(tbl_task5[[คะแนนเต็ม]:[คะแนนเต็ม]]),"",(tbl_task5[86]/tbl_task5[[คะแนนเต็ม]:[คะแนนเต็ม]])*tbl_task5[[%]:[%]])</f>
        <v/>
      </c>
      <c r="IW21" s="121" t="str">
        <f>IF(ISBLANK(tbl_task5[[คะแนนเต็ม]:[คะแนนเต็ม]]),"",(tbl_task5[87]/tbl_task5[[คะแนนเต็ม]:[คะแนนเต็ม]])*tbl_task5[[%]:[%]])</f>
        <v/>
      </c>
      <c r="IX21" s="121" t="str">
        <f>IF(ISBLANK(tbl_task5[[คะแนนเต็ม]:[คะแนนเต็ม]]),"",(tbl_task5[88]/tbl_task5[[คะแนนเต็ม]:[คะแนนเต็ม]])*tbl_task5[[%]:[%]])</f>
        <v/>
      </c>
      <c r="IY21" s="121" t="str">
        <f>IF(ISBLANK(tbl_task5[[คะแนนเต็ม]:[คะแนนเต็ม]]),"",(tbl_task5[89]/tbl_task5[[คะแนนเต็ม]:[คะแนนเต็ม]])*tbl_task5[[%]:[%]])</f>
        <v/>
      </c>
      <c r="IZ21" s="121" t="str">
        <f>IF(ISBLANK(tbl_task5[[คะแนนเต็ม]:[คะแนนเต็ม]]),"",(tbl_task5[90]/tbl_task5[[คะแนนเต็ม]:[คะแนนเต็ม]])*tbl_task5[[%]:[%]])</f>
        <v/>
      </c>
      <c r="JA21" s="121" t="str">
        <f>IF(ISBLANK(tbl_task5[[คะแนนเต็ม]:[คะแนนเต็ม]]),"",(tbl_task5[91]/tbl_task5[[คะแนนเต็ม]:[คะแนนเต็ม]])*tbl_task5[[%]:[%]])</f>
        <v/>
      </c>
      <c r="JB21" s="121" t="str">
        <f>IF(ISBLANK(tbl_task5[[คะแนนเต็ม]:[คะแนนเต็ม]]),"",(tbl_task5[92]/tbl_task5[[คะแนนเต็ม]:[คะแนนเต็ม]])*tbl_task5[[%]:[%]])</f>
        <v/>
      </c>
      <c r="JC21" s="121" t="str">
        <f>IF(ISBLANK(tbl_task5[[คะแนนเต็ม]:[คะแนนเต็ม]]),"",(tbl_task5[93]/tbl_task5[[คะแนนเต็ม]:[คะแนนเต็ม]])*tbl_task5[[%]:[%]])</f>
        <v/>
      </c>
      <c r="JD21" s="121" t="str">
        <f>IF(ISBLANK(tbl_task5[[คะแนนเต็ม]:[คะแนนเต็ม]]),"",(tbl_task5[94]/tbl_task5[[คะแนนเต็ม]:[คะแนนเต็ม]])*tbl_task5[[%]:[%]])</f>
        <v/>
      </c>
      <c r="JE21" s="121" t="str">
        <f>IF(ISBLANK(tbl_task5[[คะแนนเต็ม]:[คะแนนเต็ม]]),"",(tbl_task5[95]/tbl_task5[[คะแนนเต็ม]:[คะแนนเต็ม]])*tbl_task5[[%]:[%]])</f>
        <v/>
      </c>
      <c r="JF21" s="121" t="str">
        <f>IF(ISBLANK(tbl_task5[[คะแนนเต็ม]:[คะแนนเต็ม]]),"",(tbl_task5[96]/tbl_task5[[คะแนนเต็ม]:[คะแนนเต็ม]])*tbl_task5[[%]:[%]])</f>
        <v/>
      </c>
      <c r="JG21" s="121" t="str">
        <f>IF(ISBLANK(tbl_task5[[คะแนนเต็ม]:[คะแนนเต็ม]]),"",(tbl_task5[97]/tbl_task5[[คะแนนเต็ม]:[คะแนนเต็ม]])*tbl_task5[[%]:[%]])</f>
        <v/>
      </c>
      <c r="JH21" s="121" t="str">
        <f>IF(ISBLANK(tbl_task5[[คะแนนเต็ม]:[คะแนนเต็ม]]),"",(tbl_task5[98]/tbl_task5[[คะแนนเต็ม]:[คะแนนเต็ม]])*tbl_task5[[%]:[%]])</f>
        <v/>
      </c>
      <c r="JI21" s="121" t="str">
        <f>IF(ISBLANK(tbl_task5[[คะแนนเต็ม]:[คะแนนเต็ม]]),"",(tbl_task5[99]/tbl_task5[[คะแนนเต็ม]:[คะแนนเต็ม]])*tbl_task5[[%]:[%]])</f>
        <v/>
      </c>
      <c r="JJ21" s="121" t="str">
        <f>IF(ISBLANK(tbl_task5[[คะแนนเต็ม]:[คะแนนเต็ม]]),"",(tbl_task5[100]/tbl_task5[[คะแนนเต็ม]:[คะแนนเต็ม]])*tbl_task5[[%]:[%]])</f>
        <v/>
      </c>
      <c r="JK21" s="121" t="str">
        <f>IF(ISBLANK(tbl_task5[[คะแนนเต็ม]:[คะแนนเต็ม]]),"",(tbl_task5[101]/tbl_task5[[คะแนนเต็ม]:[คะแนนเต็ม]])*tbl_task5[[%]:[%]])</f>
        <v/>
      </c>
      <c r="JL21" s="121" t="str">
        <f>IF(ISBLANK(tbl_task5[[คะแนนเต็ม]:[คะแนนเต็ม]]),"",(tbl_task5[102]/tbl_task5[[คะแนนเต็ม]:[คะแนนเต็ม]])*tbl_task5[[%]:[%]])</f>
        <v/>
      </c>
      <c r="JM21" s="121" t="str">
        <f>IF(ISBLANK(tbl_task5[[คะแนนเต็ม]:[คะแนนเต็ม]]),"",(tbl_task5[103]/tbl_task5[[คะแนนเต็ม]:[คะแนนเต็ม]])*tbl_task5[[%]:[%]])</f>
        <v/>
      </c>
      <c r="JN21" s="121" t="str">
        <f>IF(ISBLANK(tbl_task5[[คะแนนเต็ม]:[คะแนนเต็ม]]),"",(tbl_task5[104]/tbl_task5[[คะแนนเต็ม]:[คะแนนเต็ม]])*tbl_task5[[%]:[%]])</f>
        <v/>
      </c>
      <c r="JO21" s="121" t="str">
        <f>IF(ISBLANK(tbl_task5[[คะแนนเต็ม]:[คะแนนเต็ม]]),"",(tbl_task5[105]/tbl_task5[[คะแนนเต็ม]:[คะแนนเต็ม]])*tbl_task5[[%]:[%]])</f>
        <v/>
      </c>
      <c r="JP21" s="121" t="str">
        <f>IF(ISBLANK(tbl_task5[[คะแนนเต็ม]:[คะแนนเต็ม]]),"",(tbl_task5[106]/tbl_task5[[คะแนนเต็ม]:[คะแนนเต็ม]])*tbl_task5[[%]:[%]])</f>
        <v/>
      </c>
      <c r="JQ21" s="121" t="str">
        <f>IF(ISBLANK(tbl_task5[[คะแนนเต็ม]:[คะแนนเต็ม]]),"",(tbl_task5[107]/tbl_task5[[คะแนนเต็ม]:[คะแนนเต็ม]])*tbl_task5[[%]:[%]])</f>
        <v/>
      </c>
      <c r="JR21" s="121" t="str">
        <f>IF(ISBLANK(tbl_task5[[คะแนนเต็ม]:[คะแนนเต็ม]]),"",(tbl_task5[108]/tbl_task5[[คะแนนเต็ม]:[คะแนนเต็ม]])*tbl_task5[[%]:[%]])</f>
        <v/>
      </c>
      <c r="JS21" s="121" t="str">
        <f>IF(ISBLANK(tbl_task5[[คะแนนเต็ม]:[คะแนนเต็ม]]),"",(tbl_task5[109]/tbl_task5[[คะแนนเต็ม]:[คะแนนเต็ม]])*tbl_task5[[%]:[%]])</f>
        <v/>
      </c>
      <c r="JT21" s="121" t="str">
        <f>IF(ISBLANK(tbl_task5[[คะแนนเต็ม]:[คะแนนเต็ม]]),"",(tbl_task5[110]/tbl_task5[[คะแนนเต็ม]:[คะแนนเต็ม]])*tbl_task5[[%]:[%]])</f>
        <v/>
      </c>
      <c r="JU21" s="121" t="str">
        <f>IF(ISBLANK(tbl_task5[[คะแนนเต็ม]:[คะแนนเต็ม]]),"",(tbl_task5[111]/tbl_task5[[คะแนนเต็ม]:[คะแนนเต็ม]])*tbl_task5[[%]:[%]])</f>
        <v/>
      </c>
      <c r="JV21" s="121" t="str">
        <f>IF(ISBLANK(tbl_task5[[คะแนนเต็ม]:[คะแนนเต็ม]]),"",(tbl_task5[112]/tbl_task5[[คะแนนเต็ม]:[คะแนนเต็ม]])*tbl_task5[[%]:[%]])</f>
        <v/>
      </c>
      <c r="JW21" s="121" t="str">
        <f>IF(ISBLANK(tbl_task5[[คะแนนเต็ม]:[คะแนนเต็ม]]),"",(tbl_task5[113]/tbl_task5[[คะแนนเต็ม]:[คะแนนเต็ม]])*tbl_task5[[%]:[%]])</f>
        <v/>
      </c>
      <c r="JX21" s="121" t="str">
        <f>IF(ISBLANK(tbl_task5[[คะแนนเต็ม]:[คะแนนเต็ม]]),"",(tbl_task5[114]/tbl_task5[[คะแนนเต็ม]:[คะแนนเต็ม]])*tbl_task5[[%]:[%]])</f>
        <v/>
      </c>
      <c r="JY21" s="121" t="str">
        <f>IF(ISBLANK(tbl_task5[[คะแนนเต็ม]:[คะแนนเต็ม]]),"",(tbl_task5[115]/tbl_task5[[คะแนนเต็ม]:[คะแนนเต็ม]])*tbl_task5[[%]:[%]])</f>
        <v/>
      </c>
      <c r="JZ21" s="121" t="str">
        <f>IF(ISBLANK(tbl_task5[[คะแนนเต็ม]:[คะแนนเต็ม]]),"",(tbl_task5[116]/tbl_task5[[คะแนนเต็ม]:[คะแนนเต็ม]])*tbl_task5[[%]:[%]])</f>
        <v/>
      </c>
      <c r="KA21" s="121" t="str">
        <f>IF(ISBLANK(tbl_task5[[คะแนนเต็ม]:[คะแนนเต็ม]]),"",(tbl_task5[117]/tbl_task5[[คะแนนเต็ม]:[คะแนนเต็ม]])*tbl_task5[[%]:[%]])</f>
        <v/>
      </c>
      <c r="KB21" s="121" t="str">
        <f>IF(ISBLANK(tbl_task5[[คะแนนเต็ม]:[คะแนนเต็ม]]),"",(tbl_task5[118]/tbl_task5[[คะแนนเต็ม]:[คะแนนเต็ม]])*tbl_task5[[%]:[%]])</f>
        <v/>
      </c>
      <c r="KC21" s="121" t="str">
        <f>IF(ISBLANK(tbl_task5[[คะแนนเต็ม]:[คะแนนเต็ม]]),"",(tbl_task5[119]/tbl_task5[[คะแนนเต็ม]:[คะแนนเต็ม]])*tbl_task5[[%]:[%]])</f>
        <v/>
      </c>
      <c r="KD21" s="121" t="str">
        <f>IF(ISBLANK(tbl_task5[[คะแนนเต็ม]:[คะแนนเต็ม]]),"",(tbl_task5[120]/tbl_task5[[คะแนนเต็ม]:[คะแนนเต็ม]])*tbl_task5[[%]:[%]])</f>
        <v/>
      </c>
      <c r="KE21" s="121" t="str">
        <f>IF(ISBLANK(tbl_task5[[คะแนนเต็ม]:[คะแนนเต็ม]]),"",(tbl_task5[121]/tbl_task5[[คะแนนเต็ม]:[คะแนนเต็ม]])*tbl_task5[[%]:[%]])</f>
        <v/>
      </c>
      <c r="KF21" s="121" t="str">
        <f>IF(ISBLANK(tbl_task5[[คะแนนเต็ม]:[คะแนนเต็ม]]),"",(tbl_task5[122]/tbl_task5[[คะแนนเต็ม]:[คะแนนเต็ม]])*tbl_task5[[%]:[%]])</f>
        <v/>
      </c>
      <c r="KG21" s="121" t="str">
        <f>IF(ISBLANK(tbl_task5[[คะแนนเต็ม]:[คะแนนเต็ม]]),"",(tbl_task5[123]/tbl_task5[[คะแนนเต็ม]:[คะแนนเต็ม]])*tbl_task5[[%]:[%]])</f>
        <v/>
      </c>
      <c r="KH21" s="121" t="str">
        <f>IF(ISBLANK(tbl_task5[[คะแนนเต็ม]:[คะแนนเต็ม]]),"",(tbl_task5[124]/tbl_task5[[คะแนนเต็ม]:[คะแนนเต็ม]])*tbl_task5[[%]:[%]])</f>
        <v/>
      </c>
      <c r="KI21" s="121" t="str">
        <f>IF(ISBLANK(tbl_task5[[คะแนนเต็ม]:[คะแนนเต็ม]]),"",(tbl_task5[125]/tbl_task5[[คะแนนเต็ม]:[คะแนนเต็ม]])*tbl_task5[[%]:[%]])</f>
        <v/>
      </c>
      <c r="KJ21" s="121" t="str">
        <f>IF(ISBLANK(tbl_task5[[คะแนนเต็ม]:[คะแนนเต็ม]]),"",(tbl_task5[126]/tbl_task5[[คะแนนเต็ม]:[คะแนนเต็ม]])*tbl_task5[[%]:[%]])</f>
        <v/>
      </c>
      <c r="KK21" s="121" t="str">
        <f>IF(ISBLANK(tbl_task5[[คะแนนเต็ม]:[คะแนนเต็ม]]),"",(tbl_task5[127]/tbl_task5[[คะแนนเต็ม]:[คะแนนเต็ม]])*tbl_task5[[%]:[%]])</f>
        <v/>
      </c>
      <c r="KL21" s="121" t="str">
        <f>IF(ISBLANK(tbl_task5[[คะแนนเต็ม]:[คะแนนเต็ม]]),"",(tbl_task5[128]/tbl_task5[[คะแนนเต็ม]:[คะแนนเต็ม]])*tbl_task5[[%]:[%]])</f>
        <v/>
      </c>
      <c r="KM21" s="121" t="str">
        <f>IF(ISBLANK(tbl_task5[[คะแนนเต็ม]:[คะแนนเต็ม]]),"",(tbl_task5[129]/tbl_task5[[คะแนนเต็ม]:[คะแนนเต็ม]])*tbl_task5[[%]:[%]])</f>
        <v/>
      </c>
      <c r="KN21" s="121" t="str">
        <f>IF(ISBLANK(tbl_task5[[คะแนนเต็ม]:[คะแนนเต็ม]]),"",(tbl_task5[130]/tbl_task5[[คะแนนเต็ม]:[คะแนนเต็ม]])*tbl_task5[[%]:[%]])</f>
        <v/>
      </c>
      <c r="KO21" s="121" t="str">
        <f>IF(ISBLANK(tbl_task5[[คะแนนเต็ม]:[คะแนนเต็ม]]),"",(tbl_task5[131]/tbl_task5[[คะแนนเต็ม]:[คะแนนเต็ม]])*tbl_task5[[%]:[%]])</f>
        <v/>
      </c>
      <c r="KP21" s="121" t="str">
        <f>IF(ISBLANK(tbl_task5[[คะแนนเต็ม]:[คะแนนเต็ม]]),"",(tbl_task5[132]/tbl_task5[[คะแนนเต็ม]:[คะแนนเต็ม]])*tbl_task5[[%]:[%]])</f>
        <v/>
      </c>
      <c r="KQ21" s="121" t="str">
        <f>IF(ISBLANK(tbl_task5[[คะแนนเต็ม]:[คะแนนเต็ม]]),"",(tbl_task5[133]/tbl_task5[[คะแนนเต็ม]:[คะแนนเต็ม]])*tbl_task5[[%]:[%]])</f>
        <v/>
      </c>
      <c r="KR21" s="121" t="str">
        <f>IF(ISBLANK(tbl_task5[[คะแนนเต็ม]:[คะแนนเต็ม]]),"",(tbl_task5[134]/tbl_task5[[คะแนนเต็ม]:[คะแนนเต็ม]])*tbl_task5[[%]:[%]])</f>
        <v/>
      </c>
      <c r="KS21" s="121" t="str">
        <f>IF(ISBLANK(tbl_task5[[คะแนนเต็ม]:[คะแนนเต็ม]]),"",(tbl_task5[135]/tbl_task5[[คะแนนเต็ม]:[คะแนนเต็ม]])*tbl_task5[[%]:[%]])</f>
        <v/>
      </c>
      <c r="KT21" s="121" t="str">
        <f>IF(ISBLANK(tbl_task5[[คะแนนเต็ม]:[คะแนนเต็ม]]),"",(tbl_task5[136]/tbl_task5[[คะแนนเต็ม]:[คะแนนเต็ม]])*tbl_task5[[%]:[%]])</f>
        <v/>
      </c>
      <c r="KU21" s="121" t="str">
        <f>IF(ISBLANK(tbl_task5[[คะแนนเต็ม]:[คะแนนเต็ม]]),"",(tbl_task5[137]/tbl_task5[[คะแนนเต็ม]:[คะแนนเต็ม]])*tbl_task5[[%]:[%]])</f>
        <v/>
      </c>
      <c r="KV21" s="121" t="str">
        <f>IF(ISBLANK(tbl_task5[[คะแนนเต็ม]:[คะแนนเต็ม]]),"",(tbl_task5[138]/tbl_task5[[คะแนนเต็ม]:[คะแนนเต็ม]])*tbl_task5[[%]:[%]])</f>
        <v/>
      </c>
      <c r="KW21" s="121" t="str">
        <f>IF(ISBLANK(tbl_task5[[คะแนนเต็ม]:[คะแนนเต็ม]]),"",(tbl_task5[139]/tbl_task5[[คะแนนเต็ม]:[คะแนนเต็ม]])*tbl_task5[[%]:[%]])</f>
        <v/>
      </c>
      <c r="KX21" s="121" t="str">
        <f>IF(ISBLANK(tbl_task5[[คะแนนเต็ม]:[คะแนนเต็ม]]),"",(tbl_task5[140]/tbl_task5[[คะแนนเต็ม]:[คะแนนเต็ม]])*tbl_task5[[%]:[%]])</f>
        <v/>
      </c>
      <c r="KY21" s="121" t="str">
        <f>IF(ISBLANK(tbl_task5[[คะแนนเต็ม]:[คะแนนเต็ม]]),"",(tbl_task5[141]/tbl_task5[[คะแนนเต็ม]:[คะแนนเต็ม]])*tbl_task5[[%]:[%]])</f>
        <v/>
      </c>
      <c r="KZ21" s="121" t="str">
        <f>IF(ISBLANK(tbl_task5[[คะแนนเต็ม]:[คะแนนเต็ม]]),"",(tbl_task5[142]/tbl_task5[[คะแนนเต็ม]:[คะแนนเต็ม]])*tbl_task5[[%]:[%]])</f>
        <v/>
      </c>
      <c r="LA21" s="121" t="str">
        <f>IF(ISBLANK(tbl_task5[[คะแนนเต็ม]:[คะแนนเต็ม]]),"",(tbl_task5[143]/tbl_task5[[คะแนนเต็ม]:[คะแนนเต็ม]])*tbl_task5[[%]:[%]])</f>
        <v/>
      </c>
      <c r="LB21" s="121" t="str">
        <f>IF(ISBLANK(tbl_task5[[คะแนนเต็ม]:[คะแนนเต็ม]]),"",(tbl_task5[144]/tbl_task5[[คะแนนเต็ม]:[คะแนนเต็ม]])*tbl_task5[[%]:[%]])</f>
        <v/>
      </c>
      <c r="LC21" s="121" t="str">
        <f>IF(ISBLANK(tbl_task5[[คะแนนเต็ม]:[คะแนนเต็ม]]),"",(tbl_task5[145]/tbl_task5[[คะแนนเต็ม]:[คะแนนเต็ม]])*tbl_task5[[%]:[%]])</f>
        <v/>
      </c>
      <c r="LD21" s="121" t="str">
        <f>IF(ISBLANK(tbl_task5[[คะแนนเต็ม]:[คะแนนเต็ม]]),"",(tbl_task5[146]/tbl_task5[[คะแนนเต็ม]:[คะแนนเต็ม]])*tbl_task5[[%]:[%]])</f>
        <v/>
      </c>
      <c r="LE21" s="121" t="str">
        <f>IF(ISBLANK(tbl_task5[[คะแนนเต็ม]:[คะแนนเต็ม]]),"",(tbl_task5[147]/tbl_task5[[คะแนนเต็ม]:[คะแนนเต็ม]])*tbl_task5[[%]:[%]])</f>
        <v/>
      </c>
      <c r="LF21" s="121" t="str">
        <f>IF(ISBLANK(tbl_task5[[คะแนนเต็ม]:[คะแนนเต็ม]]),"",(tbl_task5[148]/tbl_task5[[คะแนนเต็ม]:[คะแนนเต็ม]])*tbl_task5[[%]:[%]])</f>
        <v/>
      </c>
      <c r="LG21" s="121" t="str">
        <f>IF(ISBLANK(tbl_task5[[คะแนนเต็ม]:[คะแนนเต็ม]]),"",(tbl_task5[149]/tbl_task5[[คะแนนเต็ม]:[คะแนนเต็ม]])*tbl_task5[[%]:[%]])</f>
        <v/>
      </c>
      <c r="LH21" s="121" t="str">
        <f>IF(ISBLANK(tbl_task5[[คะแนนเต็ม]:[คะแนนเต็ม]]),"",(tbl_task5[150]/tbl_task5[[คะแนนเต็ม]:[คะแนนเต็ม]])*tbl_task5[[%]:[%]])</f>
        <v/>
      </c>
      <c r="LI21" s="121" t="str">
        <f>IF(ISBLANK(tbl_task5[[คะแนนเต็ม]:[คะแนนเต็ม]]),"",(tbl_task5[151]/tbl_task5[[คะแนนเต็ม]:[คะแนนเต็ม]])*tbl_task5[[%]:[%]])</f>
        <v/>
      </c>
      <c r="LJ21" s="121" t="str">
        <f>IF(ISBLANK(tbl_task5[[คะแนนเต็ม]:[คะแนนเต็ม]]),"",(tbl_task5[152]/tbl_task5[[คะแนนเต็ม]:[คะแนนเต็ม]])*tbl_task5[[%]:[%]])</f>
        <v/>
      </c>
      <c r="LK21" s="121" t="str">
        <f>IF(ISBLANK(tbl_task5[[คะแนนเต็ม]:[คะแนนเต็ม]]),"",(tbl_task5[153]/tbl_task5[[คะแนนเต็ม]:[คะแนนเต็ม]])*tbl_task5[[%]:[%]])</f>
        <v/>
      </c>
      <c r="LL21" s="121" t="str">
        <f>IF(ISBLANK(tbl_task5[[คะแนนเต็ม]:[คะแนนเต็ม]]),"",(tbl_task5[154]/tbl_task5[[คะแนนเต็ม]:[คะแนนเต็ม]])*tbl_task5[[%]:[%]])</f>
        <v/>
      </c>
      <c r="LM21" s="121" t="str">
        <f>IF(ISBLANK(tbl_task5[[คะแนนเต็ม]:[คะแนนเต็ม]]),"",(tbl_task5[155]/tbl_task5[[คะแนนเต็ม]:[คะแนนเต็ม]])*tbl_task5[[%]:[%]])</f>
        <v/>
      </c>
      <c r="LN21" s="121" t="str">
        <f>IF(ISBLANK(tbl_task5[[คะแนนเต็ม]:[คะแนนเต็ม]]),"",(tbl_task5[156]/tbl_task5[[คะแนนเต็ม]:[คะแนนเต็ม]])*tbl_task5[[%]:[%]])</f>
        <v/>
      </c>
      <c r="LO21" s="121" t="str">
        <f>IF(ISBLANK(tbl_task5[[คะแนนเต็ม]:[คะแนนเต็ม]]),"",(tbl_task5[157]/tbl_task5[[คะแนนเต็ม]:[คะแนนเต็ม]])*tbl_task5[[%]:[%]])</f>
        <v/>
      </c>
      <c r="LP21" s="121" t="str">
        <f>IF(ISBLANK(tbl_task5[[คะแนนเต็ม]:[คะแนนเต็ม]]),"",(tbl_task5[158]/tbl_task5[[คะแนนเต็ม]:[คะแนนเต็ม]])*tbl_task5[[%]:[%]])</f>
        <v/>
      </c>
      <c r="LQ21" s="121" t="str">
        <f>IF(ISBLANK(tbl_task5[[คะแนนเต็ม]:[คะแนนเต็ม]]),"",(tbl_task5[159]/tbl_task5[[คะแนนเต็ม]:[คะแนนเต็ม]])*tbl_task5[[%]:[%]])</f>
        <v/>
      </c>
      <c r="LR21" s="121" t="str">
        <f>IF(ISBLANK(tbl_task5[[คะแนนเต็ม]:[คะแนนเต็ม]]),"",(tbl_task5[160]/tbl_task5[[คะแนนเต็ม]:[คะแนนเต็ม]])*tbl_task5[[%]:[%]])</f>
        <v/>
      </c>
      <c r="LS21" s="121" t="str">
        <f>IF(ISBLANK(tbl_task5[[คะแนนเต็ม]:[คะแนนเต็ม]]),"",(tbl_task5[161]/tbl_task5[[คะแนนเต็ม]:[คะแนนเต็ม]])*tbl_task5[[%]:[%]])</f>
        <v/>
      </c>
      <c r="LT21" s="121" t="str">
        <f>IF(ISBLANK(tbl_task5[[คะแนนเต็ม]:[คะแนนเต็ม]]),"",(tbl_task5[162]/tbl_task5[[คะแนนเต็ม]:[คะแนนเต็ม]])*tbl_task5[[%]:[%]])</f>
        <v/>
      </c>
      <c r="LU21" s="121" t="str">
        <f>IF(ISBLANK(tbl_task5[[คะแนนเต็ม]:[คะแนนเต็ม]]),"",(tbl_task5[163]/tbl_task5[[คะแนนเต็ม]:[คะแนนเต็ม]])*tbl_task5[[%]:[%]])</f>
        <v/>
      </c>
      <c r="LV21" s="121" t="str">
        <f>IF(ISBLANK(tbl_task5[[คะแนนเต็ม]:[คะแนนเต็ม]]),"",(tbl_task5[164]/tbl_task5[[คะแนนเต็ม]:[คะแนนเต็ม]])*tbl_task5[[%]:[%]])</f>
        <v/>
      </c>
      <c r="LW21" s="121" t="str">
        <f>IF(ISBLANK(tbl_task5[[คะแนนเต็ม]:[คะแนนเต็ม]]),"",(tbl_task5[165]/tbl_task5[[คะแนนเต็ม]:[คะแนนเต็ม]])*tbl_task5[[%]:[%]])</f>
        <v/>
      </c>
    </row>
    <row r="22" spans="1:335" ht="24" customHeight="1" x14ac:dyDescent="0.25">
      <c r="A22" s="24">
        <v>19</v>
      </c>
      <c r="B22" s="20"/>
      <c r="C22" s="5" t="str">
        <f>IF(ISBLANK(B22),"",VLOOKUP(B22,tbl_PLOs[],2,0))</f>
        <v/>
      </c>
      <c r="D22" s="102"/>
      <c r="E22" s="106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121" t="str">
        <f>IF(ISBLANK(tbl_task5[[คะแนนเต็ม]:[คะแนนเต็ม]]),"",(tbl_task5[1]/tbl_task5[[คะแนนเต็ม]:[คะแนนเต็ม]])*tbl_task5[[%]:[%]])</f>
        <v/>
      </c>
      <c r="FP22" s="121" t="str">
        <f>IF(ISBLANK(tbl_task5[[คะแนนเต็ม]:[คะแนนเต็ม]]),"",(tbl_task5[2]/tbl_task5[[คะแนนเต็ม]:[คะแนนเต็ม]])*tbl_task5[[%]:[%]])</f>
        <v/>
      </c>
      <c r="FQ22" s="121" t="str">
        <f>IF(ISBLANK(tbl_task5[[คะแนนเต็ม]:[คะแนนเต็ม]]),"",(tbl_task5[3]/tbl_task5[[คะแนนเต็ม]:[คะแนนเต็ม]])*tbl_task5[[%]:[%]])</f>
        <v/>
      </c>
      <c r="FR22" s="121" t="str">
        <f>IF(ISBLANK(tbl_task5[[คะแนนเต็ม]:[คะแนนเต็ม]]),"",(tbl_task5[4]/tbl_task5[[คะแนนเต็ม]:[คะแนนเต็ม]])*tbl_task5[[%]:[%]])</f>
        <v/>
      </c>
      <c r="FS22" s="121" t="str">
        <f>IF(ISBLANK(tbl_task5[[คะแนนเต็ม]:[คะแนนเต็ม]]),"",(tbl_task5[5]/tbl_task5[[คะแนนเต็ม]:[คะแนนเต็ม]])*tbl_task5[[%]:[%]])</f>
        <v/>
      </c>
      <c r="FT22" s="121" t="str">
        <f>IF(ISBLANK(tbl_task5[[คะแนนเต็ม]:[คะแนนเต็ม]]),"",(tbl_task5[6]/tbl_task5[[คะแนนเต็ม]:[คะแนนเต็ม]])*tbl_task5[[%]:[%]])</f>
        <v/>
      </c>
      <c r="FU22" s="121" t="str">
        <f>IF(ISBLANK(tbl_task5[[คะแนนเต็ม]:[คะแนนเต็ม]]),"",(tbl_task5[7]/tbl_task5[[คะแนนเต็ม]:[คะแนนเต็ม]])*tbl_task5[[%]:[%]])</f>
        <v/>
      </c>
      <c r="FV22" s="121" t="str">
        <f>IF(ISBLANK(tbl_task5[[คะแนนเต็ม]:[คะแนนเต็ม]]),"",(tbl_task5[8]/tbl_task5[[คะแนนเต็ม]:[คะแนนเต็ม]])*tbl_task5[[%]:[%]])</f>
        <v/>
      </c>
      <c r="FW22" s="121" t="str">
        <f>IF(ISBLANK(tbl_task5[[คะแนนเต็ม]:[คะแนนเต็ม]]),"",(tbl_task5[9]/tbl_task5[[คะแนนเต็ม]:[คะแนนเต็ม]])*tbl_task5[[%]:[%]])</f>
        <v/>
      </c>
      <c r="FX22" s="121" t="str">
        <f>IF(ISBLANK(tbl_task5[[คะแนนเต็ม]:[คะแนนเต็ม]]),"",(tbl_task5[10]/tbl_task5[[คะแนนเต็ม]:[คะแนนเต็ม]])*tbl_task5[[%]:[%]])</f>
        <v/>
      </c>
      <c r="FY22" s="121" t="str">
        <f>IF(ISBLANK(tbl_task5[[คะแนนเต็ม]:[คะแนนเต็ม]]),"",(tbl_task5[11]/tbl_task5[[คะแนนเต็ม]:[คะแนนเต็ม]])*tbl_task5[[%]:[%]])</f>
        <v/>
      </c>
      <c r="FZ22" s="121" t="str">
        <f>IF(ISBLANK(tbl_task5[[คะแนนเต็ม]:[คะแนนเต็ม]]),"",(tbl_task5[12]/tbl_task5[[คะแนนเต็ม]:[คะแนนเต็ม]])*tbl_task5[[%]:[%]])</f>
        <v/>
      </c>
      <c r="GA22" s="121" t="str">
        <f>IF(ISBLANK(tbl_task5[[คะแนนเต็ม]:[คะแนนเต็ม]]),"",(tbl_task5[13]/tbl_task5[[คะแนนเต็ม]:[คะแนนเต็ม]])*tbl_task5[[%]:[%]])</f>
        <v/>
      </c>
      <c r="GB22" s="121" t="str">
        <f>IF(ISBLANK(tbl_task5[[คะแนนเต็ม]:[คะแนนเต็ม]]),"",(tbl_task5[14]/tbl_task5[[คะแนนเต็ม]:[คะแนนเต็ม]])*tbl_task5[[%]:[%]])</f>
        <v/>
      </c>
      <c r="GC22" s="121" t="str">
        <f>IF(ISBLANK(tbl_task5[[คะแนนเต็ม]:[คะแนนเต็ม]]),"",(tbl_task5[15]/tbl_task5[[คะแนนเต็ม]:[คะแนนเต็ม]])*tbl_task5[[%]:[%]])</f>
        <v/>
      </c>
      <c r="GD22" s="121" t="str">
        <f>IF(ISBLANK(tbl_task5[[คะแนนเต็ม]:[คะแนนเต็ม]]),"",(tbl_task5[16]/tbl_task5[[คะแนนเต็ม]:[คะแนนเต็ม]])*tbl_task5[[%]:[%]])</f>
        <v/>
      </c>
      <c r="GE22" s="121" t="str">
        <f>IF(ISBLANK(tbl_task5[[คะแนนเต็ม]:[คะแนนเต็ม]]),"",(tbl_task5[17]/tbl_task5[[คะแนนเต็ม]:[คะแนนเต็ม]])*tbl_task5[[%]:[%]])</f>
        <v/>
      </c>
      <c r="GF22" s="121" t="str">
        <f>IF(ISBLANK(tbl_task5[[คะแนนเต็ม]:[คะแนนเต็ม]]),"",(tbl_task5[18]/tbl_task5[[คะแนนเต็ม]:[คะแนนเต็ม]])*tbl_task5[[%]:[%]])</f>
        <v/>
      </c>
      <c r="GG22" s="121" t="str">
        <f>IF(ISBLANK(tbl_task5[[คะแนนเต็ม]:[คะแนนเต็ม]]),"",(tbl_task5[19]/tbl_task5[[คะแนนเต็ม]:[คะแนนเต็ม]])*tbl_task5[[%]:[%]])</f>
        <v/>
      </c>
      <c r="GH22" s="121" t="str">
        <f>IF(ISBLANK(tbl_task5[[คะแนนเต็ม]:[คะแนนเต็ม]]),"",(tbl_task5[20]/tbl_task5[[คะแนนเต็ม]:[คะแนนเต็ม]])*tbl_task5[[%]:[%]])</f>
        <v/>
      </c>
      <c r="GI22" s="121" t="str">
        <f>IF(ISBLANK(tbl_task5[[คะแนนเต็ม]:[คะแนนเต็ม]]),"",(tbl_task5[21]/tbl_task5[[คะแนนเต็ม]:[คะแนนเต็ม]])*tbl_task5[[%]:[%]])</f>
        <v/>
      </c>
      <c r="GJ22" s="121" t="str">
        <f>IF(ISBLANK(tbl_task5[[คะแนนเต็ม]:[คะแนนเต็ม]]),"",(tbl_task5[22]/tbl_task5[[คะแนนเต็ม]:[คะแนนเต็ม]])*tbl_task5[[%]:[%]])</f>
        <v/>
      </c>
      <c r="GK22" s="121" t="str">
        <f>IF(ISBLANK(tbl_task5[[คะแนนเต็ม]:[คะแนนเต็ม]]),"",(tbl_task5[23]/tbl_task5[[คะแนนเต็ม]:[คะแนนเต็ม]])*tbl_task5[[%]:[%]])</f>
        <v/>
      </c>
      <c r="GL22" s="121" t="str">
        <f>IF(ISBLANK(tbl_task5[[คะแนนเต็ม]:[คะแนนเต็ม]]),"",(tbl_task5[24]/tbl_task5[[คะแนนเต็ม]:[คะแนนเต็ม]])*tbl_task5[[%]:[%]])</f>
        <v/>
      </c>
      <c r="GM22" s="121" t="str">
        <f>IF(ISBLANK(tbl_task5[[คะแนนเต็ม]:[คะแนนเต็ม]]),"",(tbl_task5[25]/tbl_task5[[คะแนนเต็ม]:[คะแนนเต็ม]])*tbl_task5[[%]:[%]])</f>
        <v/>
      </c>
      <c r="GN22" s="121" t="str">
        <f>IF(ISBLANK(tbl_task5[[คะแนนเต็ม]:[คะแนนเต็ม]]),"",(tbl_task5[26]/tbl_task5[[คะแนนเต็ม]:[คะแนนเต็ม]])*tbl_task5[[%]:[%]])</f>
        <v/>
      </c>
      <c r="GO22" s="121" t="str">
        <f>IF(ISBLANK(tbl_task5[[คะแนนเต็ม]:[คะแนนเต็ม]]),"",(tbl_task5[27]/tbl_task5[[คะแนนเต็ม]:[คะแนนเต็ม]])*tbl_task5[[%]:[%]])</f>
        <v/>
      </c>
      <c r="GP22" s="121" t="str">
        <f>IF(ISBLANK(tbl_task5[[คะแนนเต็ม]:[คะแนนเต็ม]]),"",(tbl_task5[28]/tbl_task5[[คะแนนเต็ม]:[คะแนนเต็ม]])*tbl_task5[[%]:[%]])</f>
        <v/>
      </c>
      <c r="GQ22" s="121" t="str">
        <f>IF(ISBLANK(tbl_task5[[คะแนนเต็ม]:[คะแนนเต็ม]]),"",(tbl_task5[29]/tbl_task5[[คะแนนเต็ม]:[คะแนนเต็ม]])*tbl_task5[[%]:[%]])</f>
        <v/>
      </c>
      <c r="GR22" s="121" t="str">
        <f>IF(ISBLANK(tbl_task5[[คะแนนเต็ม]:[คะแนนเต็ม]]),"",(tbl_task5[30]/tbl_task5[[คะแนนเต็ม]:[คะแนนเต็ม]])*tbl_task5[[%]:[%]])</f>
        <v/>
      </c>
      <c r="GS22" s="121" t="str">
        <f>IF(ISBLANK(tbl_task5[[คะแนนเต็ม]:[คะแนนเต็ม]]),"",(tbl_task5[31]/tbl_task5[[คะแนนเต็ม]:[คะแนนเต็ม]])*tbl_task5[[%]:[%]])</f>
        <v/>
      </c>
      <c r="GT22" s="121" t="str">
        <f>IF(ISBLANK(tbl_task5[[คะแนนเต็ม]:[คะแนนเต็ม]]),"",(tbl_task5[32]/tbl_task5[[คะแนนเต็ม]:[คะแนนเต็ม]])*tbl_task5[[%]:[%]])</f>
        <v/>
      </c>
      <c r="GU22" s="121" t="str">
        <f>IF(ISBLANK(tbl_task5[[คะแนนเต็ม]:[คะแนนเต็ม]]),"",(tbl_task5[33]/tbl_task5[[คะแนนเต็ม]:[คะแนนเต็ม]])*tbl_task5[[%]:[%]])</f>
        <v/>
      </c>
      <c r="GV22" s="121" t="str">
        <f>IF(ISBLANK(tbl_task5[[คะแนนเต็ม]:[คะแนนเต็ม]]),"",(tbl_task5[34]/tbl_task5[[คะแนนเต็ม]:[คะแนนเต็ม]])*tbl_task5[[%]:[%]])</f>
        <v/>
      </c>
      <c r="GW22" s="121" t="str">
        <f>IF(ISBLANK(tbl_task5[[คะแนนเต็ม]:[คะแนนเต็ม]]),"",(tbl_task5[35]/tbl_task5[[คะแนนเต็ม]:[คะแนนเต็ม]])*tbl_task5[[%]:[%]])</f>
        <v/>
      </c>
      <c r="GX22" s="121" t="str">
        <f>IF(ISBLANK(tbl_task5[[คะแนนเต็ม]:[คะแนนเต็ม]]),"",(tbl_task5[36]/tbl_task5[[คะแนนเต็ม]:[คะแนนเต็ม]])*tbl_task5[[%]:[%]])</f>
        <v/>
      </c>
      <c r="GY22" s="121" t="str">
        <f>IF(ISBLANK(tbl_task5[[คะแนนเต็ม]:[คะแนนเต็ม]]),"",(tbl_task5[37]/tbl_task5[[คะแนนเต็ม]:[คะแนนเต็ม]])*tbl_task5[[%]:[%]])</f>
        <v/>
      </c>
      <c r="GZ22" s="121" t="str">
        <f>IF(ISBLANK(tbl_task5[[คะแนนเต็ม]:[คะแนนเต็ม]]),"",(tbl_task5[38]/tbl_task5[[คะแนนเต็ม]:[คะแนนเต็ม]])*tbl_task5[[%]:[%]])</f>
        <v/>
      </c>
      <c r="HA22" s="121" t="str">
        <f>IF(ISBLANK(tbl_task5[[คะแนนเต็ม]:[คะแนนเต็ม]]),"",(tbl_task5[39]/tbl_task5[[คะแนนเต็ม]:[คะแนนเต็ม]])*tbl_task5[[%]:[%]])</f>
        <v/>
      </c>
      <c r="HB22" s="121" t="str">
        <f>IF(ISBLANK(tbl_task5[[คะแนนเต็ม]:[คะแนนเต็ม]]),"",(tbl_task5[40]/tbl_task5[[คะแนนเต็ม]:[คะแนนเต็ม]])*tbl_task5[[%]:[%]])</f>
        <v/>
      </c>
      <c r="HC22" s="121" t="str">
        <f>IF(ISBLANK(tbl_task5[[คะแนนเต็ม]:[คะแนนเต็ม]]),"",(tbl_task5[41]/tbl_task5[[คะแนนเต็ม]:[คะแนนเต็ม]])*tbl_task5[[%]:[%]])</f>
        <v/>
      </c>
      <c r="HD22" s="121" t="str">
        <f>IF(ISBLANK(tbl_task5[[คะแนนเต็ม]:[คะแนนเต็ม]]),"",(tbl_task5[42]/tbl_task5[[คะแนนเต็ม]:[คะแนนเต็ม]])*tbl_task5[[%]:[%]])</f>
        <v/>
      </c>
      <c r="HE22" s="121" t="str">
        <f>IF(ISBLANK(tbl_task5[[คะแนนเต็ม]:[คะแนนเต็ม]]),"",(tbl_task5[43]/tbl_task5[[คะแนนเต็ม]:[คะแนนเต็ม]])*tbl_task5[[%]:[%]])</f>
        <v/>
      </c>
      <c r="HF22" s="121" t="str">
        <f>IF(ISBLANK(tbl_task5[[คะแนนเต็ม]:[คะแนนเต็ม]]),"",(tbl_task5[44]/tbl_task5[[คะแนนเต็ม]:[คะแนนเต็ม]])*tbl_task5[[%]:[%]])</f>
        <v/>
      </c>
      <c r="HG22" s="121" t="str">
        <f>IF(ISBLANK(tbl_task5[[คะแนนเต็ม]:[คะแนนเต็ม]]),"",(tbl_task5[45]/tbl_task5[[คะแนนเต็ม]:[คะแนนเต็ม]])*tbl_task5[[%]:[%]])</f>
        <v/>
      </c>
      <c r="HH22" s="121" t="str">
        <f>IF(ISBLANK(tbl_task5[[คะแนนเต็ม]:[คะแนนเต็ม]]),"",(tbl_task5[46]/tbl_task5[[คะแนนเต็ม]:[คะแนนเต็ม]])*tbl_task5[[%]:[%]])</f>
        <v/>
      </c>
      <c r="HI22" s="121" t="str">
        <f>IF(ISBLANK(tbl_task5[[คะแนนเต็ม]:[คะแนนเต็ม]]),"",(tbl_task5[47]/tbl_task5[[คะแนนเต็ม]:[คะแนนเต็ม]])*tbl_task5[[%]:[%]])</f>
        <v/>
      </c>
      <c r="HJ22" s="121" t="str">
        <f>IF(ISBLANK(tbl_task5[[คะแนนเต็ม]:[คะแนนเต็ม]]),"",(tbl_task5[48]/tbl_task5[[คะแนนเต็ม]:[คะแนนเต็ม]])*tbl_task5[[%]:[%]])</f>
        <v/>
      </c>
      <c r="HK22" s="121" t="str">
        <f>IF(ISBLANK(tbl_task5[[คะแนนเต็ม]:[คะแนนเต็ม]]),"",(tbl_task5[49]/tbl_task5[[คะแนนเต็ม]:[คะแนนเต็ม]])*tbl_task5[[%]:[%]])</f>
        <v/>
      </c>
      <c r="HL22" s="121" t="str">
        <f>IF(ISBLANK(tbl_task5[[คะแนนเต็ม]:[คะแนนเต็ม]]),"",(tbl_task5[50]/tbl_task5[[คะแนนเต็ม]:[คะแนนเต็ม]])*tbl_task5[[%]:[%]])</f>
        <v/>
      </c>
      <c r="HM22" s="121" t="str">
        <f>IF(ISBLANK(tbl_task5[[คะแนนเต็ม]:[คะแนนเต็ม]]),"",(tbl_task5[51]/tbl_task5[[คะแนนเต็ม]:[คะแนนเต็ม]])*tbl_task5[[%]:[%]])</f>
        <v/>
      </c>
      <c r="HN22" s="121" t="str">
        <f>IF(ISBLANK(tbl_task5[[คะแนนเต็ม]:[คะแนนเต็ม]]),"",(tbl_task5[52]/tbl_task5[[คะแนนเต็ม]:[คะแนนเต็ม]])*tbl_task5[[%]:[%]])</f>
        <v/>
      </c>
      <c r="HO22" s="121" t="str">
        <f>IF(ISBLANK(tbl_task5[[คะแนนเต็ม]:[คะแนนเต็ม]]),"",(tbl_task5[53]/tbl_task5[[คะแนนเต็ม]:[คะแนนเต็ม]])*tbl_task5[[%]:[%]])</f>
        <v/>
      </c>
      <c r="HP22" s="121" t="str">
        <f>IF(ISBLANK(tbl_task5[[คะแนนเต็ม]:[คะแนนเต็ม]]),"",(tbl_task5[54]/tbl_task5[[คะแนนเต็ม]:[คะแนนเต็ม]])*tbl_task5[[%]:[%]])</f>
        <v/>
      </c>
      <c r="HQ22" s="121" t="str">
        <f>IF(ISBLANK(tbl_task5[[คะแนนเต็ม]:[คะแนนเต็ม]]),"",(tbl_task5[55]/tbl_task5[[คะแนนเต็ม]:[คะแนนเต็ม]])*tbl_task5[[%]:[%]])</f>
        <v/>
      </c>
      <c r="HR22" s="121" t="str">
        <f>IF(ISBLANK(tbl_task5[[คะแนนเต็ม]:[คะแนนเต็ม]]),"",(tbl_task5[56]/tbl_task5[[คะแนนเต็ม]:[คะแนนเต็ม]])*tbl_task5[[%]:[%]])</f>
        <v/>
      </c>
      <c r="HS22" s="121" t="str">
        <f>IF(ISBLANK(tbl_task5[[คะแนนเต็ม]:[คะแนนเต็ม]]),"",(tbl_task5[57]/tbl_task5[[คะแนนเต็ม]:[คะแนนเต็ม]])*tbl_task5[[%]:[%]])</f>
        <v/>
      </c>
      <c r="HT22" s="121" t="str">
        <f>IF(ISBLANK(tbl_task5[[คะแนนเต็ม]:[คะแนนเต็ม]]),"",(tbl_task5[58]/tbl_task5[[คะแนนเต็ม]:[คะแนนเต็ม]])*tbl_task5[[%]:[%]])</f>
        <v/>
      </c>
      <c r="HU22" s="121" t="str">
        <f>IF(ISBLANK(tbl_task5[[คะแนนเต็ม]:[คะแนนเต็ม]]),"",(tbl_task5[59]/tbl_task5[[คะแนนเต็ม]:[คะแนนเต็ม]])*tbl_task5[[%]:[%]])</f>
        <v/>
      </c>
      <c r="HV22" s="121" t="str">
        <f>IF(ISBLANK(tbl_task5[[คะแนนเต็ม]:[คะแนนเต็ม]]),"",(tbl_task5[60]/tbl_task5[[คะแนนเต็ม]:[คะแนนเต็ม]])*tbl_task5[[%]:[%]])</f>
        <v/>
      </c>
      <c r="HW22" s="121" t="str">
        <f>IF(ISBLANK(tbl_task5[[คะแนนเต็ม]:[คะแนนเต็ม]]),"",(tbl_task5[61]/tbl_task5[[คะแนนเต็ม]:[คะแนนเต็ม]])*tbl_task5[[%]:[%]])</f>
        <v/>
      </c>
      <c r="HX22" s="121" t="str">
        <f>IF(ISBLANK(tbl_task5[[คะแนนเต็ม]:[คะแนนเต็ม]]),"",(tbl_task5[62]/tbl_task5[[คะแนนเต็ม]:[คะแนนเต็ม]])*tbl_task5[[%]:[%]])</f>
        <v/>
      </c>
      <c r="HY22" s="121" t="str">
        <f>IF(ISBLANK(tbl_task5[[คะแนนเต็ม]:[คะแนนเต็ม]]),"",(tbl_task5[63]/tbl_task5[[คะแนนเต็ม]:[คะแนนเต็ม]])*tbl_task5[[%]:[%]])</f>
        <v/>
      </c>
      <c r="HZ22" s="121" t="str">
        <f>IF(ISBLANK(tbl_task5[[คะแนนเต็ม]:[คะแนนเต็ม]]),"",(tbl_task5[64]/tbl_task5[[คะแนนเต็ม]:[คะแนนเต็ม]])*tbl_task5[[%]:[%]])</f>
        <v/>
      </c>
      <c r="IA22" s="121" t="str">
        <f>IF(ISBLANK(tbl_task5[[คะแนนเต็ม]:[คะแนนเต็ม]]),"",(tbl_task5[65]/tbl_task5[[คะแนนเต็ม]:[คะแนนเต็ม]])*tbl_task5[[%]:[%]])</f>
        <v/>
      </c>
      <c r="IB22" s="121" t="str">
        <f>IF(ISBLANK(tbl_task5[[คะแนนเต็ม]:[คะแนนเต็ม]]),"",(tbl_task5[66]/tbl_task5[[คะแนนเต็ม]:[คะแนนเต็ม]])*tbl_task5[[%]:[%]])</f>
        <v/>
      </c>
      <c r="IC22" s="121" t="str">
        <f>IF(ISBLANK(tbl_task5[[คะแนนเต็ม]:[คะแนนเต็ม]]),"",(tbl_task5[67]/tbl_task5[[คะแนนเต็ม]:[คะแนนเต็ม]])*tbl_task5[[%]:[%]])</f>
        <v/>
      </c>
      <c r="ID22" s="121" t="str">
        <f>IF(ISBLANK(tbl_task5[[คะแนนเต็ม]:[คะแนนเต็ม]]),"",(tbl_task5[68]/tbl_task5[[คะแนนเต็ม]:[คะแนนเต็ม]])*tbl_task5[[%]:[%]])</f>
        <v/>
      </c>
      <c r="IE22" s="121" t="str">
        <f>IF(ISBLANK(tbl_task5[[คะแนนเต็ม]:[คะแนนเต็ม]]),"",(tbl_task5[69]/tbl_task5[[คะแนนเต็ม]:[คะแนนเต็ม]])*tbl_task5[[%]:[%]])</f>
        <v/>
      </c>
      <c r="IF22" s="121" t="str">
        <f>IF(ISBLANK(tbl_task5[[คะแนนเต็ม]:[คะแนนเต็ม]]),"",(tbl_task5[70]/tbl_task5[[คะแนนเต็ม]:[คะแนนเต็ม]])*tbl_task5[[%]:[%]])</f>
        <v/>
      </c>
      <c r="IG22" s="121" t="str">
        <f>IF(ISBLANK(tbl_task5[[คะแนนเต็ม]:[คะแนนเต็ม]]),"",(tbl_task5[71]/tbl_task5[[คะแนนเต็ม]:[คะแนนเต็ม]])*tbl_task5[[%]:[%]])</f>
        <v/>
      </c>
      <c r="IH22" s="121" t="str">
        <f>IF(ISBLANK(tbl_task5[[คะแนนเต็ม]:[คะแนนเต็ม]]),"",(tbl_task5[72]/tbl_task5[[คะแนนเต็ม]:[คะแนนเต็ม]])*tbl_task5[[%]:[%]])</f>
        <v/>
      </c>
      <c r="II22" s="121" t="str">
        <f>IF(ISBLANK(tbl_task5[[คะแนนเต็ม]:[คะแนนเต็ม]]),"",(tbl_task5[73]/tbl_task5[[คะแนนเต็ม]:[คะแนนเต็ม]])*tbl_task5[[%]:[%]])</f>
        <v/>
      </c>
      <c r="IJ22" s="121" t="str">
        <f>IF(ISBLANK(tbl_task5[[คะแนนเต็ม]:[คะแนนเต็ม]]),"",(tbl_task5[74]/tbl_task5[[คะแนนเต็ม]:[คะแนนเต็ม]])*tbl_task5[[%]:[%]])</f>
        <v/>
      </c>
      <c r="IK22" s="121" t="str">
        <f>IF(ISBLANK(tbl_task5[[คะแนนเต็ม]:[คะแนนเต็ม]]),"",(tbl_task5[75]/tbl_task5[[คะแนนเต็ม]:[คะแนนเต็ม]])*tbl_task5[[%]:[%]])</f>
        <v/>
      </c>
      <c r="IL22" s="121" t="str">
        <f>IF(ISBLANK(tbl_task5[[คะแนนเต็ม]:[คะแนนเต็ม]]),"",(tbl_task5[76]/tbl_task5[[คะแนนเต็ม]:[คะแนนเต็ม]])*tbl_task5[[%]:[%]])</f>
        <v/>
      </c>
      <c r="IM22" s="121" t="str">
        <f>IF(ISBLANK(tbl_task5[[คะแนนเต็ม]:[คะแนนเต็ม]]),"",(tbl_task5[77]/tbl_task5[[คะแนนเต็ม]:[คะแนนเต็ม]])*tbl_task5[[%]:[%]])</f>
        <v/>
      </c>
      <c r="IN22" s="121" t="str">
        <f>IF(ISBLANK(tbl_task5[[คะแนนเต็ม]:[คะแนนเต็ม]]),"",(tbl_task5[78]/tbl_task5[[คะแนนเต็ม]:[คะแนนเต็ม]])*tbl_task5[[%]:[%]])</f>
        <v/>
      </c>
      <c r="IO22" s="121" t="str">
        <f>IF(ISBLANK(tbl_task5[[คะแนนเต็ม]:[คะแนนเต็ม]]),"",(tbl_task5[79]/tbl_task5[[คะแนนเต็ม]:[คะแนนเต็ม]])*tbl_task5[[%]:[%]])</f>
        <v/>
      </c>
      <c r="IP22" s="121" t="str">
        <f>IF(ISBLANK(tbl_task5[[คะแนนเต็ม]:[คะแนนเต็ม]]),"",(tbl_task5[80]/tbl_task5[[คะแนนเต็ม]:[คะแนนเต็ม]])*tbl_task5[[%]:[%]])</f>
        <v/>
      </c>
      <c r="IQ22" s="121" t="str">
        <f>IF(ISBLANK(tbl_task5[[คะแนนเต็ม]:[คะแนนเต็ม]]),"",(tbl_task5[81]/tbl_task5[[คะแนนเต็ม]:[คะแนนเต็ม]])*tbl_task5[[%]:[%]])</f>
        <v/>
      </c>
      <c r="IR22" s="121" t="str">
        <f>IF(ISBLANK(tbl_task5[[คะแนนเต็ม]:[คะแนนเต็ม]]),"",(tbl_task5[82]/tbl_task5[[คะแนนเต็ม]:[คะแนนเต็ม]])*tbl_task5[[%]:[%]])</f>
        <v/>
      </c>
      <c r="IS22" s="121" t="str">
        <f>IF(ISBLANK(tbl_task5[[คะแนนเต็ม]:[คะแนนเต็ม]]),"",(tbl_task5[83]/tbl_task5[[คะแนนเต็ม]:[คะแนนเต็ม]])*tbl_task5[[%]:[%]])</f>
        <v/>
      </c>
      <c r="IT22" s="121" t="str">
        <f>IF(ISBLANK(tbl_task5[[คะแนนเต็ม]:[คะแนนเต็ม]]),"",(tbl_task5[84]/tbl_task5[[คะแนนเต็ม]:[คะแนนเต็ม]])*tbl_task5[[%]:[%]])</f>
        <v/>
      </c>
      <c r="IU22" s="121" t="str">
        <f>IF(ISBLANK(tbl_task5[[คะแนนเต็ม]:[คะแนนเต็ม]]),"",(tbl_task5[85]/tbl_task5[[คะแนนเต็ม]:[คะแนนเต็ม]])*tbl_task5[[%]:[%]])</f>
        <v/>
      </c>
      <c r="IV22" s="121" t="str">
        <f>IF(ISBLANK(tbl_task5[[คะแนนเต็ม]:[คะแนนเต็ม]]),"",(tbl_task5[86]/tbl_task5[[คะแนนเต็ม]:[คะแนนเต็ม]])*tbl_task5[[%]:[%]])</f>
        <v/>
      </c>
      <c r="IW22" s="121" t="str">
        <f>IF(ISBLANK(tbl_task5[[คะแนนเต็ม]:[คะแนนเต็ม]]),"",(tbl_task5[87]/tbl_task5[[คะแนนเต็ม]:[คะแนนเต็ม]])*tbl_task5[[%]:[%]])</f>
        <v/>
      </c>
      <c r="IX22" s="121" t="str">
        <f>IF(ISBLANK(tbl_task5[[คะแนนเต็ม]:[คะแนนเต็ม]]),"",(tbl_task5[88]/tbl_task5[[คะแนนเต็ม]:[คะแนนเต็ม]])*tbl_task5[[%]:[%]])</f>
        <v/>
      </c>
      <c r="IY22" s="121" t="str">
        <f>IF(ISBLANK(tbl_task5[[คะแนนเต็ม]:[คะแนนเต็ม]]),"",(tbl_task5[89]/tbl_task5[[คะแนนเต็ม]:[คะแนนเต็ม]])*tbl_task5[[%]:[%]])</f>
        <v/>
      </c>
      <c r="IZ22" s="121" t="str">
        <f>IF(ISBLANK(tbl_task5[[คะแนนเต็ม]:[คะแนนเต็ม]]),"",(tbl_task5[90]/tbl_task5[[คะแนนเต็ม]:[คะแนนเต็ม]])*tbl_task5[[%]:[%]])</f>
        <v/>
      </c>
      <c r="JA22" s="121" t="str">
        <f>IF(ISBLANK(tbl_task5[[คะแนนเต็ม]:[คะแนนเต็ม]]),"",(tbl_task5[91]/tbl_task5[[คะแนนเต็ม]:[คะแนนเต็ม]])*tbl_task5[[%]:[%]])</f>
        <v/>
      </c>
      <c r="JB22" s="121" t="str">
        <f>IF(ISBLANK(tbl_task5[[คะแนนเต็ม]:[คะแนนเต็ม]]),"",(tbl_task5[92]/tbl_task5[[คะแนนเต็ม]:[คะแนนเต็ม]])*tbl_task5[[%]:[%]])</f>
        <v/>
      </c>
      <c r="JC22" s="121" t="str">
        <f>IF(ISBLANK(tbl_task5[[คะแนนเต็ม]:[คะแนนเต็ม]]),"",(tbl_task5[93]/tbl_task5[[คะแนนเต็ม]:[คะแนนเต็ม]])*tbl_task5[[%]:[%]])</f>
        <v/>
      </c>
      <c r="JD22" s="121" t="str">
        <f>IF(ISBLANK(tbl_task5[[คะแนนเต็ม]:[คะแนนเต็ม]]),"",(tbl_task5[94]/tbl_task5[[คะแนนเต็ม]:[คะแนนเต็ม]])*tbl_task5[[%]:[%]])</f>
        <v/>
      </c>
      <c r="JE22" s="121" t="str">
        <f>IF(ISBLANK(tbl_task5[[คะแนนเต็ม]:[คะแนนเต็ม]]),"",(tbl_task5[95]/tbl_task5[[คะแนนเต็ม]:[คะแนนเต็ม]])*tbl_task5[[%]:[%]])</f>
        <v/>
      </c>
      <c r="JF22" s="121" t="str">
        <f>IF(ISBLANK(tbl_task5[[คะแนนเต็ม]:[คะแนนเต็ม]]),"",(tbl_task5[96]/tbl_task5[[คะแนนเต็ม]:[คะแนนเต็ม]])*tbl_task5[[%]:[%]])</f>
        <v/>
      </c>
      <c r="JG22" s="121" t="str">
        <f>IF(ISBLANK(tbl_task5[[คะแนนเต็ม]:[คะแนนเต็ม]]),"",(tbl_task5[97]/tbl_task5[[คะแนนเต็ม]:[คะแนนเต็ม]])*tbl_task5[[%]:[%]])</f>
        <v/>
      </c>
      <c r="JH22" s="121" t="str">
        <f>IF(ISBLANK(tbl_task5[[คะแนนเต็ม]:[คะแนนเต็ม]]),"",(tbl_task5[98]/tbl_task5[[คะแนนเต็ม]:[คะแนนเต็ม]])*tbl_task5[[%]:[%]])</f>
        <v/>
      </c>
      <c r="JI22" s="121" t="str">
        <f>IF(ISBLANK(tbl_task5[[คะแนนเต็ม]:[คะแนนเต็ม]]),"",(tbl_task5[99]/tbl_task5[[คะแนนเต็ม]:[คะแนนเต็ม]])*tbl_task5[[%]:[%]])</f>
        <v/>
      </c>
      <c r="JJ22" s="121" t="str">
        <f>IF(ISBLANK(tbl_task5[[คะแนนเต็ม]:[คะแนนเต็ม]]),"",(tbl_task5[100]/tbl_task5[[คะแนนเต็ม]:[คะแนนเต็ม]])*tbl_task5[[%]:[%]])</f>
        <v/>
      </c>
      <c r="JK22" s="121" t="str">
        <f>IF(ISBLANK(tbl_task5[[คะแนนเต็ม]:[คะแนนเต็ม]]),"",(tbl_task5[101]/tbl_task5[[คะแนนเต็ม]:[คะแนนเต็ม]])*tbl_task5[[%]:[%]])</f>
        <v/>
      </c>
      <c r="JL22" s="121" t="str">
        <f>IF(ISBLANK(tbl_task5[[คะแนนเต็ม]:[คะแนนเต็ม]]),"",(tbl_task5[102]/tbl_task5[[คะแนนเต็ม]:[คะแนนเต็ม]])*tbl_task5[[%]:[%]])</f>
        <v/>
      </c>
      <c r="JM22" s="121" t="str">
        <f>IF(ISBLANK(tbl_task5[[คะแนนเต็ม]:[คะแนนเต็ม]]),"",(tbl_task5[103]/tbl_task5[[คะแนนเต็ม]:[คะแนนเต็ม]])*tbl_task5[[%]:[%]])</f>
        <v/>
      </c>
      <c r="JN22" s="121" t="str">
        <f>IF(ISBLANK(tbl_task5[[คะแนนเต็ม]:[คะแนนเต็ม]]),"",(tbl_task5[104]/tbl_task5[[คะแนนเต็ม]:[คะแนนเต็ม]])*tbl_task5[[%]:[%]])</f>
        <v/>
      </c>
      <c r="JO22" s="121" t="str">
        <f>IF(ISBLANK(tbl_task5[[คะแนนเต็ม]:[คะแนนเต็ม]]),"",(tbl_task5[105]/tbl_task5[[คะแนนเต็ม]:[คะแนนเต็ม]])*tbl_task5[[%]:[%]])</f>
        <v/>
      </c>
      <c r="JP22" s="121" t="str">
        <f>IF(ISBLANK(tbl_task5[[คะแนนเต็ม]:[คะแนนเต็ม]]),"",(tbl_task5[106]/tbl_task5[[คะแนนเต็ม]:[คะแนนเต็ม]])*tbl_task5[[%]:[%]])</f>
        <v/>
      </c>
      <c r="JQ22" s="121" t="str">
        <f>IF(ISBLANK(tbl_task5[[คะแนนเต็ม]:[คะแนนเต็ม]]),"",(tbl_task5[107]/tbl_task5[[คะแนนเต็ม]:[คะแนนเต็ม]])*tbl_task5[[%]:[%]])</f>
        <v/>
      </c>
      <c r="JR22" s="121" t="str">
        <f>IF(ISBLANK(tbl_task5[[คะแนนเต็ม]:[คะแนนเต็ม]]),"",(tbl_task5[108]/tbl_task5[[คะแนนเต็ม]:[คะแนนเต็ม]])*tbl_task5[[%]:[%]])</f>
        <v/>
      </c>
      <c r="JS22" s="121" t="str">
        <f>IF(ISBLANK(tbl_task5[[คะแนนเต็ม]:[คะแนนเต็ม]]),"",(tbl_task5[109]/tbl_task5[[คะแนนเต็ม]:[คะแนนเต็ม]])*tbl_task5[[%]:[%]])</f>
        <v/>
      </c>
      <c r="JT22" s="121" t="str">
        <f>IF(ISBLANK(tbl_task5[[คะแนนเต็ม]:[คะแนนเต็ม]]),"",(tbl_task5[110]/tbl_task5[[คะแนนเต็ม]:[คะแนนเต็ม]])*tbl_task5[[%]:[%]])</f>
        <v/>
      </c>
      <c r="JU22" s="121" t="str">
        <f>IF(ISBLANK(tbl_task5[[คะแนนเต็ม]:[คะแนนเต็ม]]),"",(tbl_task5[111]/tbl_task5[[คะแนนเต็ม]:[คะแนนเต็ม]])*tbl_task5[[%]:[%]])</f>
        <v/>
      </c>
      <c r="JV22" s="121" t="str">
        <f>IF(ISBLANK(tbl_task5[[คะแนนเต็ม]:[คะแนนเต็ม]]),"",(tbl_task5[112]/tbl_task5[[คะแนนเต็ม]:[คะแนนเต็ม]])*tbl_task5[[%]:[%]])</f>
        <v/>
      </c>
      <c r="JW22" s="121" t="str">
        <f>IF(ISBLANK(tbl_task5[[คะแนนเต็ม]:[คะแนนเต็ม]]),"",(tbl_task5[113]/tbl_task5[[คะแนนเต็ม]:[คะแนนเต็ม]])*tbl_task5[[%]:[%]])</f>
        <v/>
      </c>
      <c r="JX22" s="121" t="str">
        <f>IF(ISBLANK(tbl_task5[[คะแนนเต็ม]:[คะแนนเต็ม]]),"",(tbl_task5[114]/tbl_task5[[คะแนนเต็ม]:[คะแนนเต็ม]])*tbl_task5[[%]:[%]])</f>
        <v/>
      </c>
      <c r="JY22" s="121" t="str">
        <f>IF(ISBLANK(tbl_task5[[คะแนนเต็ม]:[คะแนนเต็ม]]),"",(tbl_task5[115]/tbl_task5[[คะแนนเต็ม]:[คะแนนเต็ม]])*tbl_task5[[%]:[%]])</f>
        <v/>
      </c>
      <c r="JZ22" s="121" t="str">
        <f>IF(ISBLANK(tbl_task5[[คะแนนเต็ม]:[คะแนนเต็ม]]),"",(tbl_task5[116]/tbl_task5[[คะแนนเต็ม]:[คะแนนเต็ม]])*tbl_task5[[%]:[%]])</f>
        <v/>
      </c>
      <c r="KA22" s="121" t="str">
        <f>IF(ISBLANK(tbl_task5[[คะแนนเต็ม]:[คะแนนเต็ม]]),"",(tbl_task5[117]/tbl_task5[[คะแนนเต็ม]:[คะแนนเต็ม]])*tbl_task5[[%]:[%]])</f>
        <v/>
      </c>
      <c r="KB22" s="121" t="str">
        <f>IF(ISBLANK(tbl_task5[[คะแนนเต็ม]:[คะแนนเต็ม]]),"",(tbl_task5[118]/tbl_task5[[คะแนนเต็ม]:[คะแนนเต็ม]])*tbl_task5[[%]:[%]])</f>
        <v/>
      </c>
      <c r="KC22" s="121" t="str">
        <f>IF(ISBLANK(tbl_task5[[คะแนนเต็ม]:[คะแนนเต็ม]]),"",(tbl_task5[119]/tbl_task5[[คะแนนเต็ม]:[คะแนนเต็ม]])*tbl_task5[[%]:[%]])</f>
        <v/>
      </c>
      <c r="KD22" s="121" t="str">
        <f>IF(ISBLANK(tbl_task5[[คะแนนเต็ม]:[คะแนนเต็ม]]),"",(tbl_task5[120]/tbl_task5[[คะแนนเต็ม]:[คะแนนเต็ม]])*tbl_task5[[%]:[%]])</f>
        <v/>
      </c>
      <c r="KE22" s="121" t="str">
        <f>IF(ISBLANK(tbl_task5[[คะแนนเต็ม]:[คะแนนเต็ม]]),"",(tbl_task5[121]/tbl_task5[[คะแนนเต็ม]:[คะแนนเต็ม]])*tbl_task5[[%]:[%]])</f>
        <v/>
      </c>
      <c r="KF22" s="121" t="str">
        <f>IF(ISBLANK(tbl_task5[[คะแนนเต็ม]:[คะแนนเต็ม]]),"",(tbl_task5[122]/tbl_task5[[คะแนนเต็ม]:[คะแนนเต็ม]])*tbl_task5[[%]:[%]])</f>
        <v/>
      </c>
      <c r="KG22" s="121" t="str">
        <f>IF(ISBLANK(tbl_task5[[คะแนนเต็ม]:[คะแนนเต็ม]]),"",(tbl_task5[123]/tbl_task5[[คะแนนเต็ม]:[คะแนนเต็ม]])*tbl_task5[[%]:[%]])</f>
        <v/>
      </c>
      <c r="KH22" s="121" t="str">
        <f>IF(ISBLANK(tbl_task5[[คะแนนเต็ม]:[คะแนนเต็ม]]),"",(tbl_task5[124]/tbl_task5[[คะแนนเต็ม]:[คะแนนเต็ม]])*tbl_task5[[%]:[%]])</f>
        <v/>
      </c>
      <c r="KI22" s="121" t="str">
        <f>IF(ISBLANK(tbl_task5[[คะแนนเต็ม]:[คะแนนเต็ม]]),"",(tbl_task5[125]/tbl_task5[[คะแนนเต็ม]:[คะแนนเต็ม]])*tbl_task5[[%]:[%]])</f>
        <v/>
      </c>
      <c r="KJ22" s="121" t="str">
        <f>IF(ISBLANK(tbl_task5[[คะแนนเต็ม]:[คะแนนเต็ม]]),"",(tbl_task5[126]/tbl_task5[[คะแนนเต็ม]:[คะแนนเต็ม]])*tbl_task5[[%]:[%]])</f>
        <v/>
      </c>
      <c r="KK22" s="121" t="str">
        <f>IF(ISBLANK(tbl_task5[[คะแนนเต็ม]:[คะแนนเต็ม]]),"",(tbl_task5[127]/tbl_task5[[คะแนนเต็ม]:[คะแนนเต็ม]])*tbl_task5[[%]:[%]])</f>
        <v/>
      </c>
      <c r="KL22" s="121" t="str">
        <f>IF(ISBLANK(tbl_task5[[คะแนนเต็ม]:[คะแนนเต็ม]]),"",(tbl_task5[128]/tbl_task5[[คะแนนเต็ม]:[คะแนนเต็ม]])*tbl_task5[[%]:[%]])</f>
        <v/>
      </c>
      <c r="KM22" s="121" t="str">
        <f>IF(ISBLANK(tbl_task5[[คะแนนเต็ม]:[คะแนนเต็ม]]),"",(tbl_task5[129]/tbl_task5[[คะแนนเต็ม]:[คะแนนเต็ม]])*tbl_task5[[%]:[%]])</f>
        <v/>
      </c>
      <c r="KN22" s="121" t="str">
        <f>IF(ISBLANK(tbl_task5[[คะแนนเต็ม]:[คะแนนเต็ม]]),"",(tbl_task5[130]/tbl_task5[[คะแนนเต็ม]:[คะแนนเต็ม]])*tbl_task5[[%]:[%]])</f>
        <v/>
      </c>
      <c r="KO22" s="121" t="str">
        <f>IF(ISBLANK(tbl_task5[[คะแนนเต็ม]:[คะแนนเต็ม]]),"",(tbl_task5[131]/tbl_task5[[คะแนนเต็ม]:[คะแนนเต็ม]])*tbl_task5[[%]:[%]])</f>
        <v/>
      </c>
      <c r="KP22" s="121" t="str">
        <f>IF(ISBLANK(tbl_task5[[คะแนนเต็ม]:[คะแนนเต็ม]]),"",(tbl_task5[132]/tbl_task5[[คะแนนเต็ม]:[คะแนนเต็ม]])*tbl_task5[[%]:[%]])</f>
        <v/>
      </c>
      <c r="KQ22" s="121" t="str">
        <f>IF(ISBLANK(tbl_task5[[คะแนนเต็ม]:[คะแนนเต็ม]]),"",(tbl_task5[133]/tbl_task5[[คะแนนเต็ม]:[คะแนนเต็ม]])*tbl_task5[[%]:[%]])</f>
        <v/>
      </c>
      <c r="KR22" s="121" t="str">
        <f>IF(ISBLANK(tbl_task5[[คะแนนเต็ม]:[คะแนนเต็ม]]),"",(tbl_task5[134]/tbl_task5[[คะแนนเต็ม]:[คะแนนเต็ม]])*tbl_task5[[%]:[%]])</f>
        <v/>
      </c>
      <c r="KS22" s="121" t="str">
        <f>IF(ISBLANK(tbl_task5[[คะแนนเต็ม]:[คะแนนเต็ม]]),"",(tbl_task5[135]/tbl_task5[[คะแนนเต็ม]:[คะแนนเต็ม]])*tbl_task5[[%]:[%]])</f>
        <v/>
      </c>
      <c r="KT22" s="121" t="str">
        <f>IF(ISBLANK(tbl_task5[[คะแนนเต็ม]:[คะแนนเต็ม]]),"",(tbl_task5[136]/tbl_task5[[คะแนนเต็ม]:[คะแนนเต็ม]])*tbl_task5[[%]:[%]])</f>
        <v/>
      </c>
      <c r="KU22" s="121" t="str">
        <f>IF(ISBLANK(tbl_task5[[คะแนนเต็ม]:[คะแนนเต็ม]]),"",(tbl_task5[137]/tbl_task5[[คะแนนเต็ม]:[คะแนนเต็ม]])*tbl_task5[[%]:[%]])</f>
        <v/>
      </c>
      <c r="KV22" s="121" t="str">
        <f>IF(ISBLANK(tbl_task5[[คะแนนเต็ม]:[คะแนนเต็ม]]),"",(tbl_task5[138]/tbl_task5[[คะแนนเต็ม]:[คะแนนเต็ม]])*tbl_task5[[%]:[%]])</f>
        <v/>
      </c>
      <c r="KW22" s="121" t="str">
        <f>IF(ISBLANK(tbl_task5[[คะแนนเต็ม]:[คะแนนเต็ม]]),"",(tbl_task5[139]/tbl_task5[[คะแนนเต็ม]:[คะแนนเต็ม]])*tbl_task5[[%]:[%]])</f>
        <v/>
      </c>
      <c r="KX22" s="121" t="str">
        <f>IF(ISBLANK(tbl_task5[[คะแนนเต็ม]:[คะแนนเต็ม]]),"",(tbl_task5[140]/tbl_task5[[คะแนนเต็ม]:[คะแนนเต็ม]])*tbl_task5[[%]:[%]])</f>
        <v/>
      </c>
      <c r="KY22" s="121" t="str">
        <f>IF(ISBLANK(tbl_task5[[คะแนนเต็ม]:[คะแนนเต็ม]]),"",(tbl_task5[141]/tbl_task5[[คะแนนเต็ม]:[คะแนนเต็ม]])*tbl_task5[[%]:[%]])</f>
        <v/>
      </c>
      <c r="KZ22" s="121" t="str">
        <f>IF(ISBLANK(tbl_task5[[คะแนนเต็ม]:[คะแนนเต็ม]]),"",(tbl_task5[142]/tbl_task5[[คะแนนเต็ม]:[คะแนนเต็ม]])*tbl_task5[[%]:[%]])</f>
        <v/>
      </c>
      <c r="LA22" s="121" t="str">
        <f>IF(ISBLANK(tbl_task5[[คะแนนเต็ม]:[คะแนนเต็ม]]),"",(tbl_task5[143]/tbl_task5[[คะแนนเต็ม]:[คะแนนเต็ม]])*tbl_task5[[%]:[%]])</f>
        <v/>
      </c>
      <c r="LB22" s="121" t="str">
        <f>IF(ISBLANK(tbl_task5[[คะแนนเต็ม]:[คะแนนเต็ม]]),"",(tbl_task5[144]/tbl_task5[[คะแนนเต็ม]:[คะแนนเต็ม]])*tbl_task5[[%]:[%]])</f>
        <v/>
      </c>
      <c r="LC22" s="121" t="str">
        <f>IF(ISBLANK(tbl_task5[[คะแนนเต็ม]:[คะแนนเต็ม]]),"",(tbl_task5[145]/tbl_task5[[คะแนนเต็ม]:[คะแนนเต็ม]])*tbl_task5[[%]:[%]])</f>
        <v/>
      </c>
      <c r="LD22" s="121" t="str">
        <f>IF(ISBLANK(tbl_task5[[คะแนนเต็ม]:[คะแนนเต็ม]]),"",(tbl_task5[146]/tbl_task5[[คะแนนเต็ม]:[คะแนนเต็ม]])*tbl_task5[[%]:[%]])</f>
        <v/>
      </c>
      <c r="LE22" s="121" t="str">
        <f>IF(ISBLANK(tbl_task5[[คะแนนเต็ม]:[คะแนนเต็ม]]),"",(tbl_task5[147]/tbl_task5[[คะแนนเต็ม]:[คะแนนเต็ม]])*tbl_task5[[%]:[%]])</f>
        <v/>
      </c>
      <c r="LF22" s="121" t="str">
        <f>IF(ISBLANK(tbl_task5[[คะแนนเต็ม]:[คะแนนเต็ม]]),"",(tbl_task5[148]/tbl_task5[[คะแนนเต็ม]:[คะแนนเต็ม]])*tbl_task5[[%]:[%]])</f>
        <v/>
      </c>
      <c r="LG22" s="121" t="str">
        <f>IF(ISBLANK(tbl_task5[[คะแนนเต็ม]:[คะแนนเต็ม]]),"",(tbl_task5[149]/tbl_task5[[คะแนนเต็ม]:[คะแนนเต็ม]])*tbl_task5[[%]:[%]])</f>
        <v/>
      </c>
      <c r="LH22" s="121" t="str">
        <f>IF(ISBLANK(tbl_task5[[คะแนนเต็ม]:[คะแนนเต็ม]]),"",(tbl_task5[150]/tbl_task5[[คะแนนเต็ม]:[คะแนนเต็ม]])*tbl_task5[[%]:[%]])</f>
        <v/>
      </c>
      <c r="LI22" s="121" t="str">
        <f>IF(ISBLANK(tbl_task5[[คะแนนเต็ม]:[คะแนนเต็ม]]),"",(tbl_task5[151]/tbl_task5[[คะแนนเต็ม]:[คะแนนเต็ม]])*tbl_task5[[%]:[%]])</f>
        <v/>
      </c>
      <c r="LJ22" s="121" t="str">
        <f>IF(ISBLANK(tbl_task5[[คะแนนเต็ม]:[คะแนนเต็ม]]),"",(tbl_task5[152]/tbl_task5[[คะแนนเต็ม]:[คะแนนเต็ม]])*tbl_task5[[%]:[%]])</f>
        <v/>
      </c>
      <c r="LK22" s="121" t="str">
        <f>IF(ISBLANK(tbl_task5[[คะแนนเต็ม]:[คะแนนเต็ม]]),"",(tbl_task5[153]/tbl_task5[[คะแนนเต็ม]:[คะแนนเต็ม]])*tbl_task5[[%]:[%]])</f>
        <v/>
      </c>
      <c r="LL22" s="121" t="str">
        <f>IF(ISBLANK(tbl_task5[[คะแนนเต็ม]:[คะแนนเต็ม]]),"",(tbl_task5[154]/tbl_task5[[คะแนนเต็ม]:[คะแนนเต็ม]])*tbl_task5[[%]:[%]])</f>
        <v/>
      </c>
      <c r="LM22" s="121" t="str">
        <f>IF(ISBLANK(tbl_task5[[คะแนนเต็ม]:[คะแนนเต็ม]]),"",(tbl_task5[155]/tbl_task5[[คะแนนเต็ม]:[คะแนนเต็ม]])*tbl_task5[[%]:[%]])</f>
        <v/>
      </c>
      <c r="LN22" s="121" t="str">
        <f>IF(ISBLANK(tbl_task5[[คะแนนเต็ม]:[คะแนนเต็ม]]),"",(tbl_task5[156]/tbl_task5[[คะแนนเต็ม]:[คะแนนเต็ม]])*tbl_task5[[%]:[%]])</f>
        <v/>
      </c>
      <c r="LO22" s="121" t="str">
        <f>IF(ISBLANK(tbl_task5[[คะแนนเต็ม]:[คะแนนเต็ม]]),"",(tbl_task5[157]/tbl_task5[[คะแนนเต็ม]:[คะแนนเต็ม]])*tbl_task5[[%]:[%]])</f>
        <v/>
      </c>
      <c r="LP22" s="121" t="str">
        <f>IF(ISBLANK(tbl_task5[[คะแนนเต็ม]:[คะแนนเต็ม]]),"",(tbl_task5[158]/tbl_task5[[คะแนนเต็ม]:[คะแนนเต็ม]])*tbl_task5[[%]:[%]])</f>
        <v/>
      </c>
      <c r="LQ22" s="121" t="str">
        <f>IF(ISBLANK(tbl_task5[[คะแนนเต็ม]:[คะแนนเต็ม]]),"",(tbl_task5[159]/tbl_task5[[คะแนนเต็ม]:[คะแนนเต็ม]])*tbl_task5[[%]:[%]])</f>
        <v/>
      </c>
      <c r="LR22" s="121" t="str">
        <f>IF(ISBLANK(tbl_task5[[คะแนนเต็ม]:[คะแนนเต็ม]]),"",(tbl_task5[160]/tbl_task5[[คะแนนเต็ม]:[คะแนนเต็ม]])*tbl_task5[[%]:[%]])</f>
        <v/>
      </c>
      <c r="LS22" s="121" t="str">
        <f>IF(ISBLANK(tbl_task5[[คะแนนเต็ม]:[คะแนนเต็ม]]),"",(tbl_task5[161]/tbl_task5[[คะแนนเต็ม]:[คะแนนเต็ม]])*tbl_task5[[%]:[%]])</f>
        <v/>
      </c>
      <c r="LT22" s="121" t="str">
        <f>IF(ISBLANK(tbl_task5[[คะแนนเต็ม]:[คะแนนเต็ม]]),"",(tbl_task5[162]/tbl_task5[[คะแนนเต็ม]:[คะแนนเต็ม]])*tbl_task5[[%]:[%]])</f>
        <v/>
      </c>
      <c r="LU22" s="121" t="str">
        <f>IF(ISBLANK(tbl_task5[[คะแนนเต็ม]:[คะแนนเต็ม]]),"",(tbl_task5[163]/tbl_task5[[คะแนนเต็ม]:[คะแนนเต็ม]])*tbl_task5[[%]:[%]])</f>
        <v/>
      </c>
      <c r="LV22" s="121" t="str">
        <f>IF(ISBLANK(tbl_task5[[คะแนนเต็ม]:[คะแนนเต็ม]]),"",(tbl_task5[164]/tbl_task5[[คะแนนเต็ม]:[คะแนนเต็ม]])*tbl_task5[[%]:[%]])</f>
        <v/>
      </c>
      <c r="LW22" s="121" t="str">
        <f>IF(ISBLANK(tbl_task5[[คะแนนเต็ม]:[คะแนนเต็ม]]),"",(tbl_task5[165]/tbl_task5[[คะแนนเต็ม]:[คะแนนเต็ม]])*tbl_task5[[%]:[%]])</f>
        <v/>
      </c>
    </row>
    <row r="23" spans="1:335" ht="24" customHeight="1" x14ac:dyDescent="0.25">
      <c r="A23" s="24">
        <v>20</v>
      </c>
      <c r="B23" s="25"/>
      <c r="C23" s="26" t="str">
        <f>IF(ISBLANK(B23),"",VLOOKUP(B23,tbl_PLOs[],2,0))</f>
        <v/>
      </c>
      <c r="D23" s="103"/>
      <c r="E23" s="10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21" t="str">
        <f>IF(ISBLANK(tbl_task5[[คะแนนเต็ม]:[คะแนนเต็ม]]),"",(tbl_task5[1]/tbl_task5[[คะแนนเต็ม]:[คะแนนเต็ม]])*tbl_task5[[%]:[%]])</f>
        <v/>
      </c>
      <c r="FP23" s="121" t="str">
        <f>IF(ISBLANK(tbl_task5[[คะแนนเต็ม]:[คะแนนเต็ม]]),"",(tbl_task5[2]/tbl_task5[[คะแนนเต็ม]:[คะแนนเต็ม]])*tbl_task5[[%]:[%]])</f>
        <v/>
      </c>
      <c r="FQ23" s="121" t="str">
        <f>IF(ISBLANK(tbl_task5[[คะแนนเต็ม]:[คะแนนเต็ม]]),"",(tbl_task5[3]/tbl_task5[[คะแนนเต็ม]:[คะแนนเต็ม]])*tbl_task5[[%]:[%]])</f>
        <v/>
      </c>
      <c r="FR23" s="121" t="str">
        <f>IF(ISBLANK(tbl_task5[[คะแนนเต็ม]:[คะแนนเต็ม]]),"",(tbl_task5[4]/tbl_task5[[คะแนนเต็ม]:[คะแนนเต็ม]])*tbl_task5[[%]:[%]])</f>
        <v/>
      </c>
      <c r="FS23" s="121" t="str">
        <f>IF(ISBLANK(tbl_task5[[คะแนนเต็ม]:[คะแนนเต็ม]]),"",(tbl_task5[5]/tbl_task5[[คะแนนเต็ม]:[คะแนนเต็ม]])*tbl_task5[[%]:[%]])</f>
        <v/>
      </c>
      <c r="FT23" s="121" t="str">
        <f>IF(ISBLANK(tbl_task5[[คะแนนเต็ม]:[คะแนนเต็ม]]),"",(tbl_task5[6]/tbl_task5[[คะแนนเต็ม]:[คะแนนเต็ม]])*tbl_task5[[%]:[%]])</f>
        <v/>
      </c>
      <c r="FU23" s="121" t="str">
        <f>IF(ISBLANK(tbl_task5[[คะแนนเต็ม]:[คะแนนเต็ม]]),"",(tbl_task5[7]/tbl_task5[[คะแนนเต็ม]:[คะแนนเต็ม]])*tbl_task5[[%]:[%]])</f>
        <v/>
      </c>
      <c r="FV23" s="121" t="str">
        <f>IF(ISBLANK(tbl_task5[[คะแนนเต็ม]:[คะแนนเต็ม]]),"",(tbl_task5[8]/tbl_task5[[คะแนนเต็ม]:[คะแนนเต็ม]])*tbl_task5[[%]:[%]])</f>
        <v/>
      </c>
      <c r="FW23" s="121" t="str">
        <f>IF(ISBLANK(tbl_task5[[คะแนนเต็ม]:[คะแนนเต็ม]]),"",(tbl_task5[9]/tbl_task5[[คะแนนเต็ม]:[คะแนนเต็ม]])*tbl_task5[[%]:[%]])</f>
        <v/>
      </c>
      <c r="FX23" s="121" t="str">
        <f>IF(ISBLANK(tbl_task5[[คะแนนเต็ม]:[คะแนนเต็ม]]),"",(tbl_task5[10]/tbl_task5[[คะแนนเต็ม]:[คะแนนเต็ม]])*tbl_task5[[%]:[%]])</f>
        <v/>
      </c>
      <c r="FY23" s="121" t="str">
        <f>IF(ISBLANK(tbl_task5[[คะแนนเต็ม]:[คะแนนเต็ม]]),"",(tbl_task5[11]/tbl_task5[[คะแนนเต็ม]:[คะแนนเต็ม]])*tbl_task5[[%]:[%]])</f>
        <v/>
      </c>
      <c r="FZ23" s="121" t="str">
        <f>IF(ISBLANK(tbl_task5[[คะแนนเต็ม]:[คะแนนเต็ม]]),"",(tbl_task5[12]/tbl_task5[[คะแนนเต็ม]:[คะแนนเต็ม]])*tbl_task5[[%]:[%]])</f>
        <v/>
      </c>
      <c r="GA23" s="121" t="str">
        <f>IF(ISBLANK(tbl_task5[[คะแนนเต็ม]:[คะแนนเต็ม]]),"",(tbl_task5[13]/tbl_task5[[คะแนนเต็ม]:[คะแนนเต็ม]])*tbl_task5[[%]:[%]])</f>
        <v/>
      </c>
      <c r="GB23" s="121" t="str">
        <f>IF(ISBLANK(tbl_task5[[คะแนนเต็ม]:[คะแนนเต็ม]]),"",(tbl_task5[14]/tbl_task5[[คะแนนเต็ม]:[คะแนนเต็ม]])*tbl_task5[[%]:[%]])</f>
        <v/>
      </c>
      <c r="GC23" s="121" t="str">
        <f>IF(ISBLANK(tbl_task5[[คะแนนเต็ม]:[คะแนนเต็ม]]),"",(tbl_task5[15]/tbl_task5[[คะแนนเต็ม]:[คะแนนเต็ม]])*tbl_task5[[%]:[%]])</f>
        <v/>
      </c>
      <c r="GD23" s="121" t="str">
        <f>IF(ISBLANK(tbl_task5[[คะแนนเต็ม]:[คะแนนเต็ม]]),"",(tbl_task5[16]/tbl_task5[[คะแนนเต็ม]:[คะแนนเต็ม]])*tbl_task5[[%]:[%]])</f>
        <v/>
      </c>
      <c r="GE23" s="121" t="str">
        <f>IF(ISBLANK(tbl_task5[[คะแนนเต็ม]:[คะแนนเต็ม]]),"",(tbl_task5[17]/tbl_task5[[คะแนนเต็ม]:[คะแนนเต็ม]])*tbl_task5[[%]:[%]])</f>
        <v/>
      </c>
      <c r="GF23" s="121" t="str">
        <f>IF(ISBLANK(tbl_task5[[คะแนนเต็ม]:[คะแนนเต็ม]]),"",(tbl_task5[18]/tbl_task5[[คะแนนเต็ม]:[คะแนนเต็ม]])*tbl_task5[[%]:[%]])</f>
        <v/>
      </c>
      <c r="GG23" s="121" t="str">
        <f>IF(ISBLANK(tbl_task5[[คะแนนเต็ม]:[คะแนนเต็ม]]),"",(tbl_task5[19]/tbl_task5[[คะแนนเต็ม]:[คะแนนเต็ม]])*tbl_task5[[%]:[%]])</f>
        <v/>
      </c>
      <c r="GH23" s="121" t="str">
        <f>IF(ISBLANK(tbl_task5[[คะแนนเต็ม]:[คะแนนเต็ม]]),"",(tbl_task5[20]/tbl_task5[[คะแนนเต็ม]:[คะแนนเต็ม]])*tbl_task5[[%]:[%]])</f>
        <v/>
      </c>
      <c r="GI23" s="121" t="str">
        <f>IF(ISBLANK(tbl_task5[[คะแนนเต็ม]:[คะแนนเต็ม]]),"",(tbl_task5[21]/tbl_task5[[คะแนนเต็ม]:[คะแนนเต็ม]])*tbl_task5[[%]:[%]])</f>
        <v/>
      </c>
      <c r="GJ23" s="121" t="str">
        <f>IF(ISBLANK(tbl_task5[[คะแนนเต็ม]:[คะแนนเต็ม]]),"",(tbl_task5[22]/tbl_task5[[คะแนนเต็ม]:[คะแนนเต็ม]])*tbl_task5[[%]:[%]])</f>
        <v/>
      </c>
      <c r="GK23" s="121" t="str">
        <f>IF(ISBLANK(tbl_task5[[คะแนนเต็ม]:[คะแนนเต็ม]]),"",(tbl_task5[23]/tbl_task5[[คะแนนเต็ม]:[คะแนนเต็ม]])*tbl_task5[[%]:[%]])</f>
        <v/>
      </c>
      <c r="GL23" s="121" t="str">
        <f>IF(ISBLANK(tbl_task5[[คะแนนเต็ม]:[คะแนนเต็ม]]),"",(tbl_task5[24]/tbl_task5[[คะแนนเต็ม]:[คะแนนเต็ม]])*tbl_task5[[%]:[%]])</f>
        <v/>
      </c>
      <c r="GM23" s="121" t="str">
        <f>IF(ISBLANK(tbl_task5[[คะแนนเต็ม]:[คะแนนเต็ม]]),"",(tbl_task5[25]/tbl_task5[[คะแนนเต็ม]:[คะแนนเต็ม]])*tbl_task5[[%]:[%]])</f>
        <v/>
      </c>
      <c r="GN23" s="121" t="str">
        <f>IF(ISBLANK(tbl_task5[[คะแนนเต็ม]:[คะแนนเต็ม]]),"",(tbl_task5[26]/tbl_task5[[คะแนนเต็ม]:[คะแนนเต็ม]])*tbl_task5[[%]:[%]])</f>
        <v/>
      </c>
      <c r="GO23" s="121" t="str">
        <f>IF(ISBLANK(tbl_task5[[คะแนนเต็ม]:[คะแนนเต็ม]]),"",(tbl_task5[27]/tbl_task5[[คะแนนเต็ม]:[คะแนนเต็ม]])*tbl_task5[[%]:[%]])</f>
        <v/>
      </c>
      <c r="GP23" s="121" t="str">
        <f>IF(ISBLANK(tbl_task5[[คะแนนเต็ม]:[คะแนนเต็ม]]),"",(tbl_task5[28]/tbl_task5[[คะแนนเต็ม]:[คะแนนเต็ม]])*tbl_task5[[%]:[%]])</f>
        <v/>
      </c>
      <c r="GQ23" s="121" t="str">
        <f>IF(ISBLANK(tbl_task5[[คะแนนเต็ม]:[คะแนนเต็ม]]),"",(tbl_task5[29]/tbl_task5[[คะแนนเต็ม]:[คะแนนเต็ม]])*tbl_task5[[%]:[%]])</f>
        <v/>
      </c>
      <c r="GR23" s="121" t="str">
        <f>IF(ISBLANK(tbl_task5[[คะแนนเต็ม]:[คะแนนเต็ม]]),"",(tbl_task5[30]/tbl_task5[[คะแนนเต็ม]:[คะแนนเต็ม]])*tbl_task5[[%]:[%]])</f>
        <v/>
      </c>
      <c r="GS23" s="121" t="str">
        <f>IF(ISBLANK(tbl_task5[[คะแนนเต็ม]:[คะแนนเต็ม]]),"",(tbl_task5[31]/tbl_task5[[คะแนนเต็ม]:[คะแนนเต็ม]])*tbl_task5[[%]:[%]])</f>
        <v/>
      </c>
      <c r="GT23" s="121" t="str">
        <f>IF(ISBLANK(tbl_task5[[คะแนนเต็ม]:[คะแนนเต็ม]]),"",(tbl_task5[32]/tbl_task5[[คะแนนเต็ม]:[คะแนนเต็ม]])*tbl_task5[[%]:[%]])</f>
        <v/>
      </c>
      <c r="GU23" s="121" t="str">
        <f>IF(ISBLANK(tbl_task5[[คะแนนเต็ม]:[คะแนนเต็ม]]),"",(tbl_task5[33]/tbl_task5[[คะแนนเต็ม]:[คะแนนเต็ม]])*tbl_task5[[%]:[%]])</f>
        <v/>
      </c>
      <c r="GV23" s="121" t="str">
        <f>IF(ISBLANK(tbl_task5[[คะแนนเต็ม]:[คะแนนเต็ม]]),"",(tbl_task5[34]/tbl_task5[[คะแนนเต็ม]:[คะแนนเต็ม]])*tbl_task5[[%]:[%]])</f>
        <v/>
      </c>
      <c r="GW23" s="121" t="str">
        <f>IF(ISBLANK(tbl_task5[[คะแนนเต็ม]:[คะแนนเต็ม]]),"",(tbl_task5[35]/tbl_task5[[คะแนนเต็ม]:[คะแนนเต็ม]])*tbl_task5[[%]:[%]])</f>
        <v/>
      </c>
      <c r="GX23" s="121" t="str">
        <f>IF(ISBLANK(tbl_task5[[คะแนนเต็ม]:[คะแนนเต็ม]]),"",(tbl_task5[36]/tbl_task5[[คะแนนเต็ม]:[คะแนนเต็ม]])*tbl_task5[[%]:[%]])</f>
        <v/>
      </c>
      <c r="GY23" s="121" t="str">
        <f>IF(ISBLANK(tbl_task5[[คะแนนเต็ม]:[คะแนนเต็ม]]),"",(tbl_task5[37]/tbl_task5[[คะแนนเต็ม]:[คะแนนเต็ม]])*tbl_task5[[%]:[%]])</f>
        <v/>
      </c>
      <c r="GZ23" s="121" t="str">
        <f>IF(ISBLANK(tbl_task5[[คะแนนเต็ม]:[คะแนนเต็ม]]),"",(tbl_task5[38]/tbl_task5[[คะแนนเต็ม]:[คะแนนเต็ม]])*tbl_task5[[%]:[%]])</f>
        <v/>
      </c>
      <c r="HA23" s="121" t="str">
        <f>IF(ISBLANK(tbl_task5[[คะแนนเต็ม]:[คะแนนเต็ม]]),"",(tbl_task5[39]/tbl_task5[[คะแนนเต็ม]:[คะแนนเต็ม]])*tbl_task5[[%]:[%]])</f>
        <v/>
      </c>
      <c r="HB23" s="121" t="str">
        <f>IF(ISBLANK(tbl_task5[[คะแนนเต็ม]:[คะแนนเต็ม]]),"",(tbl_task5[40]/tbl_task5[[คะแนนเต็ม]:[คะแนนเต็ม]])*tbl_task5[[%]:[%]])</f>
        <v/>
      </c>
      <c r="HC23" s="121" t="str">
        <f>IF(ISBLANK(tbl_task5[[คะแนนเต็ม]:[คะแนนเต็ม]]),"",(tbl_task5[41]/tbl_task5[[คะแนนเต็ม]:[คะแนนเต็ม]])*tbl_task5[[%]:[%]])</f>
        <v/>
      </c>
      <c r="HD23" s="121" t="str">
        <f>IF(ISBLANK(tbl_task5[[คะแนนเต็ม]:[คะแนนเต็ม]]),"",(tbl_task5[42]/tbl_task5[[คะแนนเต็ม]:[คะแนนเต็ม]])*tbl_task5[[%]:[%]])</f>
        <v/>
      </c>
      <c r="HE23" s="121" t="str">
        <f>IF(ISBLANK(tbl_task5[[คะแนนเต็ม]:[คะแนนเต็ม]]),"",(tbl_task5[43]/tbl_task5[[คะแนนเต็ม]:[คะแนนเต็ม]])*tbl_task5[[%]:[%]])</f>
        <v/>
      </c>
      <c r="HF23" s="121" t="str">
        <f>IF(ISBLANK(tbl_task5[[คะแนนเต็ม]:[คะแนนเต็ม]]),"",(tbl_task5[44]/tbl_task5[[คะแนนเต็ม]:[คะแนนเต็ม]])*tbl_task5[[%]:[%]])</f>
        <v/>
      </c>
      <c r="HG23" s="121" t="str">
        <f>IF(ISBLANK(tbl_task5[[คะแนนเต็ม]:[คะแนนเต็ม]]),"",(tbl_task5[45]/tbl_task5[[คะแนนเต็ม]:[คะแนนเต็ม]])*tbl_task5[[%]:[%]])</f>
        <v/>
      </c>
      <c r="HH23" s="121" t="str">
        <f>IF(ISBLANK(tbl_task5[[คะแนนเต็ม]:[คะแนนเต็ม]]),"",(tbl_task5[46]/tbl_task5[[คะแนนเต็ม]:[คะแนนเต็ม]])*tbl_task5[[%]:[%]])</f>
        <v/>
      </c>
      <c r="HI23" s="121" t="str">
        <f>IF(ISBLANK(tbl_task5[[คะแนนเต็ม]:[คะแนนเต็ม]]),"",(tbl_task5[47]/tbl_task5[[คะแนนเต็ม]:[คะแนนเต็ม]])*tbl_task5[[%]:[%]])</f>
        <v/>
      </c>
      <c r="HJ23" s="121" t="str">
        <f>IF(ISBLANK(tbl_task5[[คะแนนเต็ม]:[คะแนนเต็ม]]),"",(tbl_task5[48]/tbl_task5[[คะแนนเต็ม]:[คะแนนเต็ม]])*tbl_task5[[%]:[%]])</f>
        <v/>
      </c>
      <c r="HK23" s="121" t="str">
        <f>IF(ISBLANK(tbl_task5[[คะแนนเต็ม]:[คะแนนเต็ม]]),"",(tbl_task5[49]/tbl_task5[[คะแนนเต็ม]:[คะแนนเต็ม]])*tbl_task5[[%]:[%]])</f>
        <v/>
      </c>
      <c r="HL23" s="121" t="str">
        <f>IF(ISBLANK(tbl_task5[[คะแนนเต็ม]:[คะแนนเต็ม]]),"",(tbl_task5[50]/tbl_task5[[คะแนนเต็ม]:[คะแนนเต็ม]])*tbl_task5[[%]:[%]])</f>
        <v/>
      </c>
      <c r="HM23" s="121" t="str">
        <f>IF(ISBLANK(tbl_task5[[คะแนนเต็ม]:[คะแนนเต็ม]]),"",(tbl_task5[51]/tbl_task5[[คะแนนเต็ม]:[คะแนนเต็ม]])*tbl_task5[[%]:[%]])</f>
        <v/>
      </c>
      <c r="HN23" s="121" t="str">
        <f>IF(ISBLANK(tbl_task5[[คะแนนเต็ม]:[คะแนนเต็ม]]),"",(tbl_task5[52]/tbl_task5[[คะแนนเต็ม]:[คะแนนเต็ม]])*tbl_task5[[%]:[%]])</f>
        <v/>
      </c>
      <c r="HO23" s="121" t="str">
        <f>IF(ISBLANK(tbl_task5[[คะแนนเต็ม]:[คะแนนเต็ม]]),"",(tbl_task5[53]/tbl_task5[[คะแนนเต็ม]:[คะแนนเต็ม]])*tbl_task5[[%]:[%]])</f>
        <v/>
      </c>
      <c r="HP23" s="121" t="str">
        <f>IF(ISBLANK(tbl_task5[[คะแนนเต็ม]:[คะแนนเต็ม]]),"",(tbl_task5[54]/tbl_task5[[คะแนนเต็ม]:[คะแนนเต็ม]])*tbl_task5[[%]:[%]])</f>
        <v/>
      </c>
      <c r="HQ23" s="121" t="str">
        <f>IF(ISBLANK(tbl_task5[[คะแนนเต็ม]:[คะแนนเต็ม]]),"",(tbl_task5[55]/tbl_task5[[คะแนนเต็ม]:[คะแนนเต็ม]])*tbl_task5[[%]:[%]])</f>
        <v/>
      </c>
      <c r="HR23" s="121" t="str">
        <f>IF(ISBLANK(tbl_task5[[คะแนนเต็ม]:[คะแนนเต็ม]]),"",(tbl_task5[56]/tbl_task5[[คะแนนเต็ม]:[คะแนนเต็ม]])*tbl_task5[[%]:[%]])</f>
        <v/>
      </c>
      <c r="HS23" s="121" t="str">
        <f>IF(ISBLANK(tbl_task5[[คะแนนเต็ม]:[คะแนนเต็ม]]),"",(tbl_task5[57]/tbl_task5[[คะแนนเต็ม]:[คะแนนเต็ม]])*tbl_task5[[%]:[%]])</f>
        <v/>
      </c>
      <c r="HT23" s="121" t="str">
        <f>IF(ISBLANK(tbl_task5[[คะแนนเต็ม]:[คะแนนเต็ม]]),"",(tbl_task5[58]/tbl_task5[[คะแนนเต็ม]:[คะแนนเต็ม]])*tbl_task5[[%]:[%]])</f>
        <v/>
      </c>
      <c r="HU23" s="121" t="str">
        <f>IF(ISBLANK(tbl_task5[[คะแนนเต็ม]:[คะแนนเต็ม]]),"",(tbl_task5[59]/tbl_task5[[คะแนนเต็ม]:[คะแนนเต็ม]])*tbl_task5[[%]:[%]])</f>
        <v/>
      </c>
      <c r="HV23" s="121" t="str">
        <f>IF(ISBLANK(tbl_task5[[คะแนนเต็ม]:[คะแนนเต็ม]]),"",(tbl_task5[60]/tbl_task5[[คะแนนเต็ม]:[คะแนนเต็ม]])*tbl_task5[[%]:[%]])</f>
        <v/>
      </c>
      <c r="HW23" s="121" t="str">
        <f>IF(ISBLANK(tbl_task5[[คะแนนเต็ม]:[คะแนนเต็ม]]),"",(tbl_task5[61]/tbl_task5[[คะแนนเต็ม]:[คะแนนเต็ม]])*tbl_task5[[%]:[%]])</f>
        <v/>
      </c>
      <c r="HX23" s="121" t="str">
        <f>IF(ISBLANK(tbl_task5[[คะแนนเต็ม]:[คะแนนเต็ม]]),"",(tbl_task5[62]/tbl_task5[[คะแนนเต็ม]:[คะแนนเต็ม]])*tbl_task5[[%]:[%]])</f>
        <v/>
      </c>
      <c r="HY23" s="121" t="str">
        <f>IF(ISBLANK(tbl_task5[[คะแนนเต็ม]:[คะแนนเต็ม]]),"",(tbl_task5[63]/tbl_task5[[คะแนนเต็ม]:[คะแนนเต็ม]])*tbl_task5[[%]:[%]])</f>
        <v/>
      </c>
      <c r="HZ23" s="121" t="str">
        <f>IF(ISBLANK(tbl_task5[[คะแนนเต็ม]:[คะแนนเต็ม]]),"",(tbl_task5[64]/tbl_task5[[คะแนนเต็ม]:[คะแนนเต็ม]])*tbl_task5[[%]:[%]])</f>
        <v/>
      </c>
      <c r="IA23" s="121" t="str">
        <f>IF(ISBLANK(tbl_task5[[คะแนนเต็ม]:[คะแนนเต็ม]]),"",(tbl_task5[65]/tbl_task5[[คะแนนเต็ม]:[คะแนนเต็ม]])*tbl_task5[[%]:[%]])</f>
        <v/>
      </c>
      <c r="IB23" s="121" t="str">
        <f>IF(ISBLANK(tbl_task5[[คะแนนเต็ม]:[คะแนนเต็ม]]),"",(tbl_task5[66]/tbl_task5[[คะแนนเต็ม]:[คะแนนเต็ม]])*tbl_task5[[%]:[%]])</f>
        <v/>
      </c>
      <c r="IC23" s="121" t="str">
        <f>IF(ISBLANK(tbl_task5[[คะแนนเต็ม]:[คะแนนเต็ม]]),"",(tbl_task5[67]/tbl_task5[[คะแนนเต็ม]:[คะแนนเต็ม]])*tbl_task5[[%]:[%]])</f>
        <v/>
      </c>
      <c r="ID23" s="121" t="str">
        <f>IF(ISBLANK(tbl_task5[[คะแนนเต็ม]:[คะแนนเต็ม]]),"",(tbl_task5[68]/tbl_task5[[คะแนนเต็ม]:[คะแนนเต็ม]])*tbl_task5[[%]:[%]])</f>
        <v/>
      </c>
      <c r="IE23" s="121" t="str">
        <f>IF(ISBLANK(tbl_task5[[คะแนนเต็ม]:[คะแนนเต็ม]]),"",(tbl_task5[69]/tbl_task5[[คะแนนเต็ม]:[คะแนนเต็ม]])*tbl_task5[[%]:[%]])</f>
        <v/>
      </c>
      <c r="IF23" s="121" t="str">
        <f>IF(ISBLANK(tbl_task5[[คะแนนเต็ม]:[คะแนนเต็ม]]),"",(tbl_task5[70]/tbl_task5[[คะแนนเต็ม]:[คะแนนเต็ม]])*tbl_task5[[%]:[%]])</f>
        <v/>
      </c>
      <c r="IG23" s="121" t="str">
        <f>IF(ISBLANK(tbl_task5[[คะแนนเต็ม]:[คะแนนเต็ม]]),"",(tbl_task5[71]/tbl_task5[[คะแนนเต็ม]:[คะแนนเต็ม]])*tbl_task5[[%]:[%]])</f>
        <v/>
      </c>
      <c r="IH23" s="121" t="str">
        <f>IF(ISBLANK(tbl_task5[[คะแนนเต็ม]:[คะแนนเต็ม]]),"",(tbl_task5[72]/tbl_task5[[คะแนนเต็ม]:[คะแนนเต็ม]])*tbl_task5[[%]:[%]])</f>
        <v/>
      </c>
      <c r="II23" s="121" t="str">
        <f>IF(ISBLANK(tbl_task5[[คะแนนเต็ม]:[คะแนนเต็ม]]),"",(tbl_task5[73]/tbl_task5[[คะแนนเต็ม]:[คะแนนเต็ม]])*tbl_task5[[%]:[%]])</f>
        <v/>
      </c>
      <c r="IJ23" s="121" t="str">
        <f>IF(ISBLANK(tbl_task5[[คะแนนเต็ม]:[คะแนนเต็ม]]),"",(tbl_task5[74]/tbl_task5[[คะแนนเต็ม]:[คะแนนเต็ม]])*tbl_task5[[%]:[%]])</f>
        <v/>
      </c>
      <c r="IK23" s="121" t="str">
        <f>IF(ISBLANK(tbl_task5[[คะแนนเต็ม]:[คะแนนเต็ม]]),"",(tbl_task5[75]/tbl_task5[[คะแนนเต็ม]:[คะแนนเต็ม]])*tbl_task5[[%]:[%]])</f>
        <v/>
      </c>
      <c r="IL23" s="121" t="str">
        <f>IF(ISBLANK(tbl_task5[[คะแนนเต็ม]:[คะแนนเต็ม]]),"",(tbl_task5[76]/tbl_task5[[คะแนนเต็ม]:[คะแนนเต็ม]])*tbl_task5[[%]:[%]])</f>
        <v/>
      </c>
      <c r="IM23" s="121" t="str">
        <f>IF(ISBLANK(tbl_task5[[คะแนนเต็ม]:[คะแนนเต็ม]]),"",(tbl_task5[77]/tbl_task5[[คะแนนเต็ม]:[คะแนนเต็ม]])*tbl_task5[[%]:[%]])</f>
        <v/>
      </c>
      <c r="IN23" s="121" t="str">
        <f>IF(ISBLANK(tbl_task5[[คะแนนเต็ม]:[คะแนนเต็ม]]),"",(tbl_task5[78]/tbl_task5[[คะแนนเต็ม]:[คะแนนเต็ม]])*tbl_task5[[%]:[%]])</f>
        <v/>
      </c>
      <c r="IO23" s="121" t="str">
        <f>IF(ISBLANK(tbl_task5[[คะแนนเต็ม]:[คะแนนเต็ม]]),"",(tbl_task5[79]/tbl_task5[[คะแนนเต็ม]:[คะแนนเต็ม]])*tbl_task5[[%]:[%]])</f>
        <v/>
      </c>
      <c r="IP23" s="121" t="str">
        <f>IF(ISBLANK(tbl_task5[[คะแนนเต็ม]:[คะแนนเต็ม]]),"",(tbl_task5[80]/tbl_task5[[คะแนนเต็ม]:[คะแนนเต็ม]])*tbl_task5[[%]:[%]])</f>
        <v/>
      </c>
      <c r="IQ23" s="121" t="str">
        <f>IF(ISBLANK(tbl_task5[[คะแนนเต็ม]:[คะแนนเต็ม]]),"",(tbl_task5[81]/tbl_task5[[คะแนนเต็ม]:[คะแนนเต็ม]])*tbl_task5[[%]:[%]])</f>
        <v/>
      </c>
      <c r="IR23" s="121" t="str">
        <f>IF(ISBLANK(tbl_task5[[คะแนนเต็ม]:[คะแนนเต็ม]]),"",(tbl_task5[82]/tbl_task5[[คะแนนเต็ม]:[คะแนนเต็ม]])*tbl_task5[[%]:[%]])</f>
        <v/>
      </c>
      <c r="IS23" s="121" t="str">
        <f>IF(ISBLANK(tbl_task5[[คะแนนเต็ม]:[คะแนนเต็ม]]),"",(tbl_task5[83]/tbl_task5[[คะแนนเต็ม]:[คะแนนเต็ม]])*tbl_task5[[%]:[%]])</f>
        <v/>
      </c>
      <c r="IT23" s="121" t="str">
        <f>IF(ISBLANK(tbl_task5[[คะแนนเต็ม]:[คะแนนเต็ม]]),"",(tbl_task5[84]/tbl_task5[[คะแนนเต็ม]:[คะแนนเต็ม]])*tbl_task5[[%]:[%]])</f>
        <v/>
      </c>
      <c r="IU23" s="121" t="str">
        <f>IF(ISBLANK(tbl_task5[[คะแนนเต็ม]:[คะแนนเต็ม]]),"",(tbl_task5[85]/tbl_task5[[คะแนนเต็ม]:[คะแนนเต็ม]])*tbl_task5[[%]:[%]])</f>
        <v/>
      </c>
      <c r="IV23" s="121" t="str">
        <f>IF(ISBLANK(tbl_task5[[คะแนนเต็ม]:[คะแนนเต็ม]]),"",(tbl_task5[86]/tbl_task5[[คะแนนเต็ม]:[คะแนนเต็ม]])*tbl_task5[[%]:[%]])</f>
        <v/>
      </c>
      <c r="IW23" s="121" t="str">
        <f>IF(ISBLANK(tbl_task5[[คะแนนเต็ม]:[คะแนนเต็ม]]),"",(tbl_task5[87]/tbl_task5[[คะแนนเต็ม]:[คะแนนเต็ม]])*tbl_task5[[%]:[%]])</f>
        <v/>
      </c>
      <c r="IX23" s="121" t="str">
        <f>IF(ISBLANK(tbl_task5[[คะแนนเต็ม]:[คะแนนเต็ม]]),"",(tbl_task5[88]/tbl_task5[[คะแนนเต็ม]:[คะแนนเต็ม]])*tbl_task5[[%]:[%]])</f>
        <v/>
      </c>
      <c r="IY23" s="121" t="str">
        <f>IF(ISBLANK(tbl_task5[[คะแนนเต็ม]:[คะแนนเต็ม]]),"",(tbl_task5[89]/tbl_task5[[คะแนนเต็ม]:[คะแนนเต็ม]])*tbl_task5[[%]:[%]])</f>
        <v/>
      </c>
      <c r="IZ23" s="121" t="str">
        <f>IF(ISBLANK(tbl_task5[[คะแนนเต็ม]:[คะแนนเต็ม]]),"",(tbl_task5[90]/tbl_task5[[คะแนนเต็ม]:[คะแนนเต็ม]])*tbl_task5[[%]:[%]])</f>
        <v/>
      </c>
      <c r="JA23" s="121" t="str">
        <f>IF(ISBLANK(tbl_task5[[คะแนนเต็ม]:[คะแนนเต็ม]]),"",(tbl_task5[91]/tbl_task5[[คะแนนเต็ม]:[คะแนนเต็ม]])*tbl_task5[[%]:[%]])</f>
        <v/>
      </c>
      <c r="JB23" s="121" t="str">
        <f>IF(ISBLANK(tbl_task5[[คะแนนเต็ม]:[คะแนนเต็ม]]),"",(tbl_task5[92]/tbl_task5[[คะแนนเต็ม]:[คะแนนเต็ม]])*tbl_task5[[%]:[%]])</f>
        <v/>
      </c>
      <c r="JC23" s="121" t="str">
        <f>IF(ISBLANK(tbl_task5[[คะแนนเต็ม]:[คะแนนเต็ม]]),"",(tbl_task5[93]/tbl_task5[[คะแนนเต็ม]:[คะแนนเต็ม]])*tbl_task5[[%]:[%]])</f>
        <v/>
      </c>
      <c r="JD23" s="121" t="str">
        <f>IF(ISBLANK(tbl_task5[[คะแนนเต็ม]:[คะแนนเต็ม]]),"",(tbl_task5[94]/tbl_task5[[คะแนนเต็ม]:[คะแนนเต็ม]])*tbl_task5[[%]:[%]])</f>
        <v/>
      </c>
      <c r="JE23" s="121" t="str">
        <f>IF(ISBLANK(tbl_task5[[คะแนนเต็ม]:[คะแนนเต็ม]]),"",(tbl_task5[95]/tbl_task5[[คะแนนเต็ม]:[คะแนนเต็ม]])*tbl_task5[[%]:[%]])</f>
        <v/>
      </c>
      <c r="JF23" s="121" t="str">
        <f>IF(ISBLANK(tbl_task5[[คะแนนเต็ม]:[คะแนนเต็ม]]),"",(tbl_task5[96]/tbl_task5[[คะแนนเต็ม]:[คะแนนเต็ม]])*tbl_task5[[%]:[%]])</f>
        <v/>
      </c>
      <c r="JG23" s="121" t="str">
        <f>IF(ISBLANK(tbl_task5[[คะแนนเต็ม]:[คะแนนเต็ม]]),"",(tbl_task5[97]/tbl_task5[[คะแนนเต็ม]:[คะแนนเต็ม]])*tbl_task5[[%]:[%]])</f>
        <v/>
      </c>
      <c r="JH23" s="121" t="str">
        <f>IF(ISBLANK(tbl_task5[[คะแนนเต็ม]:[คะแนนเต็ม]]),"",(tbl_task5[98]/tbl_task5[[คะแนนเต็ม]:[คะแนนเต็ม]])*tbl_task5[[%]:[%]])</f>
        <v/>
      </c>
      <c r="JI23" s="121" t="str">
        <f>IF(ISBLANK(tbl_task5[[คะแนนเต็ม]:[คะแนนเต็ม]]),"",(tbl_task5[99]/tbl_task5[[คะแนนเต็ม]:[คะแนนเต็ม]])*tbl_task5[[%]:[%]])</f>
        <v/>
      </c>
      <c r="JJ23" s="121" t="str">
        <f>IF(ISBLANK(tbl_task5[[คะแนนเต็ม]:[คะแนนเต็ม]]),"",(tbl_task5[100]/tbl_task5[[คะแนนเต็ม]:[คะแนนเต็ม]])*tbl_task5[[%]:[%]])</f>
        <v/>
      </c>
      <c r="JK23" s="121" t="str">
        <f>IF(ISBLANK(tbl_task5[[คะแนนเต็ม]:[คะแนนเต็ม]]),"",(tbl_task5[101]/tbl_task5[[คะแนนเต็ม]:[คะแนนเต็ม]])*tbl_task5[[%]:[%]])</f>
        <v/>
      </c>
      <c r="JL23" s="121" t="str">
        <f>IF(ISBLANK(tbl_task5[[คะแนนเต็ม]:[คะแนนเต็ม]]),"",(tbl_task5[102]/tbl_task5[[คะแนนเต็ม]:[คะแนนเต็ม]])*tbl_task5[[%]:[%]])</f>
        <v/>
      </c>
      <c r="JM23" s="121" t="str">
        <f>IF(ISBLANK(tbl_task5[[คะแนนเต็ม]:[คะแนนเต็ม]]),"",(tbl_task5[103]/tbl_task5[[คะแนนเต็ม]:[คะแนนเต็ม]])*tbl_task5[[%]:[%]])</f>
        <v/>
      </c>
      <c r="JN23" s="121" t="str">
        <f>IF(ISBLANK(tbl_task5[[คะแนนเต็ม]:[คะแนนเต็ม]]),"",(tbl_task5[104]/tbl_task5[[คะแนนเต็ม]:[คะแนนเต็ม]])*tbl_task5[[%]:[%]])</f>
        <v/>
      </c>
      <c r="JO23" s="121" t="str">
        <f>IF(ISBLANK(tbl_task5[[คะแนนเต็ม]:[คะแนนเต็ม]]),"",(tbl_task5[105]/tbl_task5[[คะแนนเต็ม]:[คะแนนเต็ม]])*tbl_task5[[%]:[%]])</f>
        <v/>
      </c>
      <c r="JP23" s="121" t="str">
        <f>IF(ISBLANK(tbl_task5[[คะแนนเต็ม]:[คะแนนเต็ม]]),"",(tbl_task5[106]/tbl_task5[[คะแนนเต็ม]:[คะแนนเต็ม]])*tbl_task5[[%]:[%]])</f>
        <v/>
      </c>
      <c r="JQ23" s="121" t="str">
        <f>IF(ISBLANK(tbl_task5[[คะแนนเต็ม]:[คะแนนเต็ม]]),"",(tbl_task5[107]/tbl_task5[[คะแนนเต็ม]:[คะแนนเต็ม]])*tbl_task5[[%]:[%]])</f>
        <v/>
      </c>
      <c r="JR23" s="121" t="str">
        <f>IF(ISBLANK(tbl_task5[[คะแนนเต็ม]:[คะแนนเต็ม]]),"",(tbl_task5[108]/tbl_task5[[คะแนนเต็ม]:[คะแนนเต็ม]])*tbl_task5[[%]:[%]])</f>
        <v/>
      </c>
      <c r="JS23" s="121" t="str">
        <f>IF(ISBLANK(tbl_task5[[คะแนนเต็ม]:[คะแนนเต็ม]]),"",(tbl_task5[109]/tbl_task5[[คะแนนเต็ม]:[คะแนนเต็ม]])*tbl_task5[[%]:[%]])</f>
        <v/>
      </c>
      <c r="JT23" s="121" t="str">
        <f>IF(ISBLANK(tbl_task5[[คะแนนเต็ม]:[คะแนนเต็ม]]),"",(tbl_task5[110]/tbl_task5[[คะแนนเต็ม]:[คะแนนเต็ม]])*tbl_task5[[%]:[%]])</f>
        <v/>
      </c>
      <c r="JU23" s="121" t="str">
        <f>IF(ISBLANK(tbl_task5[[คะแนนเต็ม]:[คะแนนเต็ม]]),"",(tbl_task5[111]/tbl_task5[[คะแนนเต็ม]:[คะแนนเต็ม]])*tbl_task5[[%]:[%]])</f>
        <v/>
      </c>
      <c r="JV23" s="121" t="str">
        <f>IF(ISBLANK(tbl_task5[[คะแนนเต็ม]:[คะแนนเต็ม]]),"",(tbl_task5[112]/tbl_task5[[คะแนนเต็ม]:[คะแนนเต็ม]])*tbl_task5[[%]:[%]])</f>
        <v/>
      </c>
      <c r="JW23" s="121" t="str">
        <f>IF(ISBLANK(tbl_task5[[คะแนนเต็ม]:[คะแนนเต็ม]]),"",(tbl_task5[113]/tbl_task5[[คะแนนเต็ม]:[คะแนนเต็ม]])*tbl_task5[[%]:[%]])</f>
        <v/>
      </c>
      <c r="JX23" s="121" t="str">
        <f>IF(ISBLANK(tbl_task5[[คะแนนเต็ม]:[คะแนนเต็ม]]),"",(tbl_task5[114]/tbl_task5[[คะแนนเต็ม]:[คะแนนเต็ม]])*tbl_task5[[%]:[%]])</f>
        <v/>
      </c>
      <c r="JY23" s="121" t="str">
        <f>IF(ISBLANK(tbl_task5[[คะแนนเต็ม]:[คะแนนเต็ม]]),"",(tbl_task5[115]/tbl_task5[[คะแนนเต็ม]:[คะแนนเต็ม]])*tbl_task5[[%]:[%]])</f>
        <v/>
      </c>
      <c r="JZ23" s="121" t="str">
        <f>IF(ISBLANK(tbl_task5[[คะแนนเต็ม]:[คะแนนเต็ม]]),"",(tbl_task5[116]/tbl_task5[[คะแนนเต็ม]:[คะแนนเต็ม]])*tbl_task5[[%]:[%]])</f>
        <v/>
      </c>
      <c r="KA23" s="121" t="str">
        <f>IF(ISBLANK(tbl_task5[[คะแนนเต็ม]:[คะแนนเต็ม]]),"",(tbl_task5[117]/tbl_task5[[คะแนนเต็ม]:[คะแนนเต็ม]])*tbl_task5[[%]:[%]])</f>
        <v/>
      </c>
      <c r="KB23" s="121" t="str">
        <f>IF(ISBLANK(tbl_task5[[คะแนนเต็ม]:[คะแนนเต็ม]]),"",(tbl_task5[118]/tbl_task5[[คะแนนเต็ม]:[คะแนนเต็ม]])*tbl_task5[[%]:[%]])</f>
        <v/>
      </c>
      <c r="KC23" s="121" t="str">
        <f>IF(ISBLANK(tbl_task5[[คะแนนเต็ม]:[คะแนนเต็ม]]),"",(tbl_task5[119]/tbl_task5[[คะแนนเต็ม]:[คะแนนเต็ม]])*tbl_task5[[%]:[%]])</f>
        <v/>
      </c>
      <c r="KD23" s="121" t="str">
        <f>IF(ISBLANK(tbl_task5[[คะแนนเต็ม]:[คะแนนเต็ม]]),"",(tbl_task5[120]/tbl_task5[[คะแนนเต็ม]:[คะแนนเต็ม]])*tbl_task5[[%]:[%]])</f>
        <v/>
      </c>
      <c r="KE23" s="121" t="str">
        <f>IF(ISBLANK(tbl_task5[[คะแนนเต็ม]:[คะแนนเต็ม]]),"",(tbl_task5[121]/tbl_task5[[คะแนนเต็ม]:[คะแนนเต็ม]])*tbl_task5[[%]:[%]])</f>
        <v/>
      </c>
      <c r="KF23" s="121" t="str">
        <f>IF(ISBLANK(tbl_task5[[คะแนนเต็ม]:[คะแนนเต็ม]]),"",(tbl_task5[122]/tbl_task5[[คะแนนเต็ม]:[คะแนนเต็ม]])*tbl_task5[[%]:[%]])</f>
        <v/>
      </c>
      <c r="KG23" s="121" t="str">
        <f>IF(ISBLANK(tbl_task5[[คะแนนเต็ม]:[คะแนนเต็ม]]),"",(tbl_task5[123]/tbl_task5[[คะแนนเต็ม]:[คะแนนเต็ม]])*tbl_task5[[%]:[%]])</f>
        <v/>
      </c>
      <c r="KH23" s="121" t="str">
        <f>IF(ISBLANK(tbl_task5[[คะแนนเต็ม]:[คะแนนเต็ม]]),"",(tbl_task5[124]/tbl_task5[[คะแนนเต็ม]:[คะแนนเต็ม]])*tbl_task5[[%]:[%]])</f>
        <v/>
      </c>
      <c r="KI23" s="121" t="str">
        <f>IF(ISBLANK(tbl_task5[[คะแนนเต็ม]:[คะแนนเต็ม]]),"",(tbl_task5[125]/tbl_task5[[คะแนนเต็ม]:[คะแนนเต็ม]])*tbl_task5[[%]:[%]])</f>
        <v/>
      </c>
      <c r="KJ23" s="121" t="str">
        <f>IF(ISBLANK(tbl_task5[[คะแนนเต็ม]:[คะแนนเต็ม]]),"",(tbl_task5[126]/tbl_task5[[คะแนนเต็ม]:[คะแนนเต็ม]])*tbl_task5[[%]:[%]])</f>
        <v/>
      </c>
      <c r="KK23" s="121" t="str">
        <f>IF(ISBLANK(tbl_task5[[คะแนนเต็ม]:[คะแนนเต็ม]]),"",(tbl_task5[127]/tbl_task5[[คะแนนเต็ม]:[คะแนนเต็ม]])*tbl_task5[[%]:[%]])</f>
        <v/>
      </c>
      <c r="KL23" s="121" t="str">
        <f>IF(ISBLANK(tbl_task5[[คะแนนเต็ม]:[คะแนนเต็ม]]),"",(tbl_task5[128]/tbl_task5[[คะแนนเต็ม]:[คะแนนเต็ม]])*tbl_task5[[%]:[%]])</f>
        <v/>
      </c>
      <c r="KM23" s="121" t="str">
        <f>IF(ISBLANK(tbl_task5[[คะแนนเต็ม]:[คะแนนเต็ม]]),"",(tbl_task5[129]/tbl_task5[[คะแนนเต็ม]:[คะแนนเต็ม]])*tbl_task5[[%]:[%]])</f>
        <v/>
      </c>
      <c r="KN23" s="121" t="str">
        <f>IF(ISBLANK(tbl_task5[[คะแนนเต็ม]:[คะแนนเต็ม]]),"",(tbl_task5[130]/tbl_task5[[คะแนนเต็ม]:[คะแนนเต็ม]])*tbl_task5[[%]:[%]])</f>
        <v/>
      </c>
      <c r="KO23" s="121" t="str">
        <f>IF(ISBLANK(tbl_task5[[คะแนนเต็ม]:[คะแนนเต็ม]]),"",(tbl_task5[131]/tbl_task5[[คะแนนเต็ม]:[คะแนนเต็ม]])*tbl_task5[[%]:[%]])</f>
        <v/>
      </c>
      <c r="KP23" s="121" t="str">
        <f>IF(ISBLANK(tbl_task5[[คะแนนเต็ม]:[คะแนนเต็ม]]),"",(tbl_task5[132]/tbl_task5[[คะแนนเต็ม]:[คะแนนเต็ม]])*tbl_task5[[%]:[%]])</f>
        <v/>
      </c>
      <c r="KQ23" s="121" t="str">
        <f>IF(ISBLANK(tbl_task5[[คะแนนเต็ม]:[คะแนนเต็ม]]),"",(tbl_task5[133]/tbl_task5[[คะแนนเต็ม]:[คะแนนเต็ม]])*tbl_task5[[%]:[%]])</f>
        <v/>
      </c>
      <c r="KR23" s="121" t="str">
        <f>IF(ISBLANK(tbl_task5[[คะแนนเต็ม]:[คะแนนเต็ม]]),"",(tbl_task5[134]/tbl_task5[[คะแนนเต็ม]:[คะแนนเต็ม]])*tbl_task5[[%]:[%]])</f>
        <v/>
      </c>
      <c r="KS23" s="121" t="str">
        <f>IF(ISBLANK(tbl_task5[[คะแนนเต็ม]:[คะแนนเต็ม]]),"",(tbl_task5[135]/tbl_task5[[คะแนนเต็ม]:[คะแนนเต็ม]])*tbl_task5[[%]:[%]])</f>
        <v/>
      </c>
      <c r="KT23" s="121" t="str">
        <f>IF(ISBLANK(tbl_task5[[คะแนนเต็ม]:[คะแนนเต็ม]]),"",(tbl_task5[136]/tbl_task5[[คะแนนเต็ม]:[คะแนนเต็ม]])*tbl_task5[[%]:[%]])</f>
        <v/>
      </c>
      <c r="KU23" s="121" t="str">
        <f>IF(ISBLANK(tbl_task5[[คะแนนเต็ม]:[คะแนนเต็ม]]),"",(tbl_task5[137]/tbl_task5[[คะแนนเต็ม]:[คะแนนเต็ม]])*tbl_task5[[%]:[%]])</f>
        <v/>
      </c>
      <c r="KV23" s="121" t="str">
        <f>IF(ISBLANK(tbl_task5[[คะแนนเต็ม]:[คะแนนเต็ม]]),"",(tbl_task5[138]/tbl_task5[[คะแนนเต็ม]:[คะแนนเต็ม]])*tbl_task5[[%]:[%]])</f>
        <v/>
      </c>
      <c r="KW23" s="121" t="str">
        <f>IF(ISBLANK(tbl_task5[[คะแนนเต็ม]:[คะแนนเต็ม]]),"",(tbl_task5[139]/tbl_task5[[คะแนนเต็ม]:[คะแนนเต็ม]])*tbl_task5[[%]:[%]])</f>
        <v/>
      </c>
      <c r="KX23" s="121" t="str">
        <f>IF(ISBLANK(tbl_task5[[คะแนนเต็ม]:[คะแนนเต็ม]]),"",(tbl_task5[140]/tbl_task5[[คะแนนเต็ม]:[คะแนนเต็ม]])*tbl_task5[[%]:[%]])</f>
        <v/>
      </c>
      <c r="KY23" s="121" t="str">
        <f>IF(ISBLANK(tbl_task5[[คะแนนเต็ม]:[คะแนนเต็ม]]),"",(tbl_task5[141]/tbl_task5[[คะแนนเต็ม]:[คะแนนเต็ม]])*tbl_task5[[%]:[%]])</f>
        <v/>
      </c>
      <c r="KZ23" s="121" t="str">
        <f>IF(ISBLANK(tbl_task5[[คะแนนเต็ม]:[คะแนนเต็ม]]),"",(tbl_task5[142]/tbl_task5[[คะแนนเต็ม]:[คะแนนเต็ม]])*tbl_task5[[%]:[%]])</f>
        <v/>
      </c>
      <c r="LA23" s="121" t="str">
        <f>IF(ISBLANK(tbl_task5[[คะแนนเต็ม]:[คะแนนเต็ม]]),"",(tbl_task5[143]/tbl_task5[[คะแนนเต็ม]:[คะแนนเต็ม]])*tbl_task5[[%]:[%]])</f>
        <v/>
      </c>
      <c r="LB23" s="121" t="str">
        <f>IF(ISBLANK(tbl_task5[[คะแนนเต็ม]:[คะแนนเต็ม]]),"",(tbl_task5[144]/tbl_task5[[คะแนนเต็ม]:[คะแนนเต็ม]])*tbl_task5[[%]:[%]])</f>
        <v/>
      </c>
      <c r="LC23" s="121" t="str">
        <f>IF(ISBLANK(tbl_task5[[คะแนนเต็ม]:[คะแนนเต็ม]]),"",(tbl_task5[145]/tbl_task5[[คะแนนเต็ม]:[คะแนนเต็ม]])*tbl_task5[[%]:[%]])</f>
        <v/>
      </c>
      <c r="LD23" s="121" t="str">
        <f>IF(ISBLANK(tbl_task5[[คะแนนเต็ม]:[คะแนนเต็ม]]),"",(tbl_task5[146]/tbl_task5[[คะแนนเต็ม]:[คะแนนเต็ม]])*tbl_task5[[%]:[%]])</f>
        <v/>
      </c>
      <c r="LE23" s="121" t="str">
        <f>IF(ISBLANK(tbl_task5[[คะแนนเต็ม]:[คะแนนเต็ม]]),"",(tbl_task5[147]/tbl_task5[[คะแนนเต็ม]:[คะแนนเต็ม]])*tbl_task5[[%]:[%]])</f>
        <v/>
      </c>
      <c r="LF23" s="121" t="str">
        <f>IF(ISBLANK(tbl_task5[[คะแนนเต็ม]:[คะแนนเต็ม]]),"",(tbl_task5[148]/tbl_task5[[คะแนนเต็ม]:[คะแนนเต็ม]])*tbl_task5[[%]:[%]])</f>
        <v/>
      </c>
      <c r="LG23" s="121" t="str">
        <f>IF(ISBLANK(tbl_task5[[คะแนนเต็ม]:[คะแนนเต็ม]]),"",(tbl_task5[149]/tbl_task5[[คะแนนเต็ม]:[คะแนนเต็ม]])*tbl_task5[[%]:[%]])</f>
        <v/>
      </c>
      <c r="LH23" s="121" t="str">
        <f>IF(ISBLANK(tbl_task5[[คะแนนเต็ม]:[คะแนนเต็ม]]),"",(tbl_task5[150]/tbl_task5[[คะแนนเต็ม]:[คะแนนเต็ม]])*tbl_task5[[%]:[%]])</f>
        <v/>
      </c>
      <c r="LI23" s="121" t="str">
        <f>IF(ISBLANK(tbl_task5[[คะแนนเต็ม]:[คะแนนเต็ม]]),"",(tbl_task5[151]/tbl_task5[[คะแนนเต็ม]:[คะแนนเต็ม]])*tbl_task5[[%]:[%]])</f>
        <v/>
      </c>
      <c r="LJ23" s="121" t="str">
        <f>IF(ISBLANK(tbl_task5[[คะแนนเต็ม]:[คะแนนเต็ม]]),"",(tbl_task5[152]/tbl_task5[[คะแนนเต็ม]:[คะแนนเต็ม]])*tbl_task5[[%]:[%]])</f>
        <v/>
      </c>
      <c r="LK23" s="121" t="str">
        <f>IF(ISBLANK(tbl_task5[[คะแนนเต็ม]:[คะแนนเต็ม]]),"",(tbl_task5[153]/tbl_task5[[คะแนนเต็ม]:[คะแนนเต็ม]])*tbl_task5[[%]:[%]])</f>
        <v/>
      </c>
      <c r="LL23" s="121" t="str">
        <f>IF(ISBLANK(tbl_task5[[คะแนนเต็ม]:[คะแนนเต็ม]]),"",(tbl_task5[154]/tbl_task5[[คะแนนเต็ม]:[คะแนนเต็ม]])*tbl_task5[[%]:[%]])</f>
        <v/>
      </c>
      <c r="LM23" s="121" t="str">
        <f>IF(ISBLANK(tbl_task5[[คะแนนเต็ม]:[คะแนนเต็ม]]),"",(tbl_task5[155]/tbl_task5[[คะแนนเต็ม]:[คะแนนเต็ม]])*tbl_task5[[%]:[%]])</f>
        <v/>
      </c>
      <c r="LN23" s="121" t="str">
        <f>IF(ISBLANK(tbl_task5[[คะแนนเต็ม]:[คะแนนเต็ม]]),"",(tbl_task5[156]/tbl_task5[[คะแนนเต็ม]:[คะแนนเต็ม]])*tbl_task5[[%]:[%]])</f>
        <v/>
      </c>
      <c r="LO23" s="121" t="str">
        <f>IF(ISBLANK(tbl_task5[[คะแนนเต็ม]:[คะแนนเต็ม]]),"",(tbl_task5[157]/tbl_task5[[คะแนนเต็ม]:[คะแนนเต็ม]])*tbl_task5[[%]:[%]])</f>
        <v/>
      </c>
      <c r="LP23" s="121" t="str">
        <f>IF(ISBLANK(tbl_task5[[คะแนนเต็ม]:[คะแนนเต็ม]]),"",(tbl_task5[158]/tbl_task5[[คะแนนเต็ม]:[คะแนนเต็ม]])*tbl_task5[[%]:[%]])</f>
        <v/>
      </c>
      <c r="LQ23" s="121" t="str">
        <f>IF(ISBLANK(tbl_task5[[คะแนนเต็ม]:[คะแนนเต็ม]]),"",(tbl_task5[159]/tbl_task5[[คะแนนเต็ม]:[คะแนนเต็ม]])*tbl_task5[[%]:[%]])</f>
        <v/>
      </c>
      <c r="LR23" s="121" t="str">
        <f>IF(ISBLANK(tbl_task5[[คะแนนเต็ม]:[คะแนนเต็ม]]),"",(tbl_task5[160]/tbl_task5[[คะแนนเต็ม]:[คะแนนเต็ม]])*tbl_task5[[%]:[%]])</f>
        <v/>
      </c>
      <c r="LS23" s="121" t="str">
        <f>IF(ISBLANK(tbl_task5[[คะแนนเต็ม]:[คะแนนเต็ม]]),"",(tbl_task5[161]/tbl_task5[[คะแนนเต็ม]:[คะแนนเต็ม]])*tbl_task5[[%]:[%]])</f>
        <v/>
      </c>
      <c r="LT23" s="121" t="str">
        <f>IF(ISBLANK(tbl_task5[[คะแนนเต็ม]:[คะแนนเต็ม]]),"",(tbl_task5[162]/tbl_task5[[คะแนนเต็ม]:[คะแนนเต็ม]])*tbl_task5[[%]:[%]])</f>
        <v/>
      </c>
      <c r="LU23" s="121" t="str">
        <f>IF(ISBLANK(tbl_task5[[คะแนนเต็ม]:[คะแนนเต็ม]]),"",(tbl_task5[163]/tbl_task5[[คะแนนเต็ม]:[คะแนนเต็ม]])*tbl_task5[[%]:[%]])</f>
        <v/>
      </c>
      <c r="LV23" s="121" t="str">
        <f>IF(ISBLANK(tbl_task5[[คะแนนเต็ม]:[คะแนนเต็ม]]),"",(tbl_task5[164]/tbl_task5[[คะแนนเต็ม]:[คะแนนเต็ม]])*tbl_task5[[%]:[%]])</f>
        <v/>
      </c>
      <c r="LW23" s="121" t="str">
        <f>IF(ISBLANK(tbl_task5[[คะแนนเต็ม]:[คะแนนเต็ม]]),"",(tbl_task5[165]/tbl_task5[[คะแนนเต็ม]:[คะแนนเต็ม]])*tbl_task5[[%]:[%]])</f>
        <v/>
      </c>
    </row>
    <row r="24" spans="1:335" ht="24" customHeight="1" x14ac:dyDescent="0.25">
      <c r="A24" s="24">
        <v>21</v>
      </c>
      <c r="B24" s="20"/>
      <c r="C24" s="5" t="str">
        <f>IF(ISBLANK(B24),"",VLOOKUP(B24,tbl_PLOs[],2,0))</f>
        <v/>
      </c>
      <c r="D24" s="102"/>
      <c r="E24" s="106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21" t="str">
        <f>IF(ISBLANK(tbl_task5[[คะแนนเต็ม]:[คะแนนเต็ม]]),"",(tbl_task5[1]/tbl_task5[[คะแนนเต็ม]:[คะแนนเต็ม]])*tbl_task5[[%]:[%]])</f>
        <v/>
      </c>
      <c r="FP24" s="121" t="str">
        <f>IF(ISBLANK(tbl_task5[[คะแนนเต็ม]:[คะแนนเต็ม]]),"",(tbl_task5[2]/tbl_task5[[คะแนนเต็ม]:[คะแนนเต็ม]])*tbl_task5[[%]:[%]])</f>
        <v/>
      </c>
      <c r="FQ24" s="121" t="str">
        <f>IF(ISBLANK(tbl_task5[[คะแนนเต็ม]:[คะแนนเต็ม]]),"",(tbl_task5[3]/tbl_task5[[คะแนนเต็ม]:[คะแนนเต็ม]])*tbl_task5[[%]:[%]])</f>
        <v/>
      </c>
      <c r="FR24" s="121" t="str">
        <f>IF(ISBLANK(tbl_task5[[คะแนนเต็ม]:[คะแนนเต็ม]]),"",(tbl_task5[4]/tbl_task5[[คะแนนเต็ม]:[คะแนนเต็ม]])*tbl_task5[[%]:[%]])</f>
        <v/>
      </c>
      <c r="FS24" s="121" t="str">
        <f>IF(ISBLANK(tbl_task5[[คะแนนเต็ม]:[คะแนนเต็ม]]),"",(tbl_task5[5]/tbl_task5[[คะแนนเต็ม]:[คะแนนเต็ม]])*tbl_task5[[%]:[%]])</f>
        <v/>
      </c>
      <c r="FT24" s="121" t="str">
        <f>IF(ISBLANK(tbl_task5[[คะแนนเต็ม]:[คะแนนเต็ม]]),"",(tbl_task5[6]/tbl_task5[[คะแนนเต็ม]:[คะแนนเต็ม]])*tbl_task5[[%]:[%]])</f>
        <v/>
      </c>
      <c r="FU24" s="121" t="str">
        <f>IF(ISBLANK(tbl_task5[[คะแนนเต็ม]:[คะแนนเต็ม]]),"",(tbl_task5[7]/tbl_task5[[คะแนนเต็ม]:[คะแนนเต็ม]])*tbl_task5[[%]:[%]])</f>
        <v/>
      </c>
      <c r="FV24" s="121" t="str">
        <f>IF(ISBLANK(tbl_task5[[คะแนนเต็ม]:[คะแนนเต็ม]]),"",(tbl_task5[8]/tbl_task5[[คะแนนเต็ม]:[คะแนนเต็ม]])*tbl_task5[[%]:[%]])</f>
        <v/>
      </c>
      <c r="FW24" s="121" t="str">
        <f>IF(ISBLANK(tbl_task5[[คะแนนเต็ม]:[คะแนนเต็ม]]),"",(tbl_task5[9]/tbl_task5[[คะแนนเต็ม]:[คะแนนเต็ม]])*tbl_task5[[%]:[%]])</f>
        <v/>
      </c>
      <c r="FX24" s="121" t="str">
        <f>IF(ISBLANK(tbl_task5[[คะแนนเต็ม]:[คะแนนเต็ม]]),"",(tbl_task5[10]/tbl_task5[[คะแนนเต็ม]:[คะแนนเต็ม]])*tbl_task5[[%]:[%]])</f>
        <v/>
      </c>
      <c r="FY24" s="121" t="str">
        <f>IF(ISBLANK(tbl_task5[[คะแนนเต็ม]:[คะแนนเต็ม]]),"",(tbl_task5[11]/tbl_task5[[คะแนนเต็ม]:[คะแนนเต็ม]])*tbl_task5[[%]:[%]])</f>
        <v/>
      </c>
      <c r="FZ24" s="121" t="str">
        <f>IF(ISBLANK(tbl_task5[[คะแนนเต็ม]:[คะแนนเต็ม]]),"",(tbl_task5[12]/tbl_task5[[คะแนนเต็ม]:[คะแนนเต็ม]])*tbl_task5[[%]:[%]])</f>
        <v/>
      </c>
      <c r="GA24" s="121" t="str">
        <f>IF(ISBLANK(tbl_task5[[คะแนนเต็ม]:[คะแนนเต็ม]]),"",(tbl_task5[13]/tbl_task5[[คะแนนเต็ม]:[คะแนนเต็ม]])*tbl_task5[[%]:[%]])</f>
        <v/>
      </c>
      <c r="GB24" s="121" t="str">
        <f>IF(ISBLANK(tbl_task5[[คะแนนเต็ม]:[คะแนนเต็ม]]),"",(tbl_task5[14]/tbl_task5[[คะแนนเต็ม]:[คะแนนเต็ม]])*tbl_task5[[%]:[%]])</f>
        <v/>
      </c>
      <c r="GC24" s="121" t="str">
        <f>IF(ISBLANK(tbl_task5[[คะแนนเต็ม]:[คะแนนเต็ม]]),"",(tbl_task5[15]/tbl_task5[[คะแนนเต็ม]:[คะแนนเต็ม]])*tbl_task5[[%]:[%]])</f>
        <v/>
      </c>
      <c r="GD24" s="121" t="str">
        <f>IF(ISBLANK(tbl_task5[[คะแนนเต็ม]:[คะแนนเต็ม]]),"",(tbl_task5[16]/tbl_task5[[คะแนนเต็ม]:[คะแนนเต็ม]])*tbl_task5[[%]:[%]])</f>
        <v/>
      </c>
      <c r="GE24" s="121" t="str">
        <f>IF(ISBLANK(tbl_task5[[คะแนนเต็ม]:[คะแนนเต็ม]]),"",(tbl_task5[17]/tbl_task5[[คะแนนเต็ม]:[คะแนนเต็ม]])*tbl_task5[[%]:[%]])</f>
        <v/>
      </c>
      <c r="GF24" s="121" t="str">
        <f>IF(ISBLANK(tbl_task5[[คะแนนเต็ม]:[คะแนนเต็ม]]),"",(tbl_task5[18]/tbl_task5[[คะแนนเต็ม]:[คะแนนเต็ม]])*tbl_task5[[%]:[%]])</f>
        <v/>
      </c>
      <c r="GG24" s="121" t="str">
        <f>IF(ISBLANK(tbl_task5[[คะแนนเต็ม]:[คะแนนเต็ม]]),"",(tbl_task5[19]/tbl_task5[[คะแนนเต็ม]:[คะแนนเต็ม]])*tbl_task5[[%]:[%]])</f>
        <v/>
      </c>
      <c r="GH24" s="121" t="str">
        <f>IF(ISBLANK(tbl_task5[[คะแนนเต็ม]:[คะแนนเต็ม]]),"",(tbl_task5[20]/tbl_task5[[คะแนนเต็ม]:[คะแนนเต็ม]])*tbl_task5[[%]:[%]])</f>
        <v/>
      </c>
      <c r="GI24" s="121" t="str">
        <f>IF(ISBLANK(tbl_task5[[คะแนนเต็ม]:[คะแนนเต็ม]]),"",(tbl_task5[21]/tbl_task5[[คะแนนเต็ม]:[คะแนนเต็ม]])*tbl_task5[[%]:[%]])</f>
        <v/>
      </c>
      <c r="GJ24" s="121" t="str">
        <f>IF(ISBLANK(tbl_task5[[คะแนนเต็ม]:[คะแนนเต็ม]]),"",(tbl_task5[22]/tbl_task5[[คะแนนเต็ม]:[คะแนนเต็ม]])*tbl_task5[[%]:[%]])</f>
        <v/>
      </c>
      <c r="GK24" s="121" t="str">
        <f>IF(ISBLANK(tbl_task5[[คะแนนเต็ม]:[คะแนนเต็ม]]),"",(tbl_task5[23]/tbl_task5[[คะแนนเต็ม]:[คะแนนเต็ม]])*tbl_task5[[%]:[%]])</f>
        <v/>
      </c>
      <c r="GL24" s="121" t="str">
        <f>IF(ISBLANK(tbl_task5[[คะแนนเต็ม]:[คะแนนเต็ม]]),"",(tbl_task5[24]/tbl_task5[[คะแนนเต็ม]:[คะแนนเต็ม]])*tbl_task5[[%]:[%]])</f>
        <v/>
      </c>
      <c r="GM24" s="121" t="str">
        <f>IF(ISBLANK(tbl_task5[[คะแนนเต็ม]:[คะแนนเต็ม]]),"",(tbl_task5[25]/tbl_task5[[คะแนนเต็ม]:[คะแนนเต็ม]])*tbl_task5[[%]:[%]])</f>
        <v/>
      </c>
      <c r="GN24" s="121" t="str">
        <f>IF(ISBLANK(tbl_task5[[คะแนนเต็ม]:[คะแนนเต็ม]]),"",(tbl_task5[26]/tbl_task5[[คะแนนเต็ม]:[คะแนนเต็ม]])*tbl_task5[[%]:[%]])</f>
        <v/>
      </c>
      <c r="GO24" s="121" t="str">
        <f>IF(ISBLANK(tbl_task5[[คะแนนเต็ม]:[คะแนนเต็ม]]),"",(tbl_task5[27]/tbl_task5[[คะแนนเต็ม]:[คะแนนเต็ม]])*tbl_task5[[%]:[%]])</f>
        <v/>
      </c>
      <c r="GP24" s="121" t="str">
        <f>IF(ISBLANK(tbl_task5[[คะแนนเต็ม]:[คะแนนเต็ม]]),"",(tbl_task5[28]/tbl_task5[[คะแนนเต็ม]:[คะแนนเต็ม]])*tbl_task5[[%]:[%]])</f>
        <v/>
      </c>
      <c r="GQ24" s="121" t="str">
        <f>IF(ISBLANK(tbl_task5[[คะแนนเต็ม]:[คะแนนเต็ม]]),"",(tbl_task5[29]/tbl_task5[[คะแนนเต็ม]:[คะแนนเต็ม]])*tbl_task5[[%]:[%]])</f>
        <v/>
      </c>
      <c r="GR24" s="121" t="str">
        <f>IF(ISBLANK(tbl_task5[[คะแนนเต็ม]:[คะแนนเต็ม]]),"",(tbl_task5[30]/tbl_task5[[คะแนนเต็ม]:[คะแนนเต็ม]])*tbl_task5[[%]:[%]])</f>
        <v/>
      </c>
      <c r="GS24" s="121" t="str">
        <f>IF(ISBLANK(tbl_task5[[คะแนนเต็ม]:[คะแนนเต็ม]]),"",(tbl_task5[31]/tbl_task5[[คะแนนเต็ม]:[คะแนนเต็ม]])*tbl_task5[[%]:[%]])</f>
        <v/>
      </c>
      <c r="GT24" s="121" t="str">
        <f>IF(ISBLANK(tbl_task5[[คะแนนเต็ม]:[คะแนนเต็ม]]),"",(tbl_task5[32]/tbl_task5[[คะแนนเต็ม]:[คะแนนเต็ม]])*tbl_task5[[%]:[%]])</f>
        <v/>
      </c>
      <c r="GU24" s="121" t="str">
        <f>IF(ISBLANK(tbl_task5[[คะแนนเต็ม]:[คะแนนเต็ม]]),"",(tbl_task5[33]/tbl_task5[[คะแนนเต็ม]:[คะแนนเต็ม]])*tbl_task5[[%]:[%]])</f>
        <v/>
      </c>
      <c r="GV24" s="121" t="str">
        <f>IF(ISBLANK(tbl_task5[[คะแนนเต็ม]:[คะแนนเต็ม]]),"",(tbl_task5[34]/tbl_task5[[คะแนนเต็ม]:[คะแนนเต็ม]])*tbl_task5[[%]:[%]])</f>
        <v/>
      </c>
      <c r="GW24" s="121" t="str">
        <f>IF(ISBLANK(tbl_task5[[คะแนนเต็ม]:[คะแนนเต็ม]]),"",(tbl_task5[35]/tbl_task5[[คะแนนเต็ม]:[คะแนนเต็ม]])*tbl_task5[[%]:[%]])</f>
        <v/>
      </c>
      <c r="GX24" s="121" t="str">
        <f>IF(ISBLANK(tbl_task5[[คะแนนเต็ม]:[คะแนนเต็ม]]),"",(tbl_task5[36]/tbl_task5[[คะแนนเต็ม]:[คะแนนเต็ม]])*tbl_task5[[%]:[%]])</f>
        <v/>
      </c>
      <c r="GY24" s="121" t="str">
        <f>IF(ISBLANK(tbl_task5[[คะแนนเต็ม]:[คะแนนเต็ม]]),"",(tbl_task5[37]/tbl_task5[[คะแนนเต็ม]:[คะแนนเต็ม]])*tbl_task5[[%]:[%]])</f>
        <v/>
      </c>
      <c r="GZ24" s="121" t="str">
        <f>IF(ISBLANK(tbl_task5[[คะแนนเต็ม]:[คะแนนเต็ม]]),"",(tbl_task5[38]/tbl_task5[[คะแนนเต็ม]:[คะแนนเต็ม]])*tbl_task5[[%]:[%]])</f>
        <v/>
      </c>
      <c r="HA24" s="121" t="str">
        <f>IF(ISBLANK(tbl_task5[[คะแนนเต็ม]:[คะแนนเต็ม]]),"",(tbl_task5[39]/tbl_task5[[คะแนนเต็ม]:[คะแนนเต็ม]])*tbl_task5[[%]:[%]])</f>
        <v/>
      </c>
      <c r="HB24" s="121" t="str">
        <f>IF(ISBLANK(tbl_task5[[คะแนนเต็ม]:[คะแนนเต็ม]]),"",(tbl_task5[40]/tbl_task5[[คะแนนเต็ม]:[คะแนนเต็ม]])*tbl_task5[[%]:[%]])</f>
        <v/>
      </c>
      <c r="HC24" s="121" t="str">
        <f>IF(ISBLANK(tbl_task5[[คะแนนเต็ม]:[คะแนนเต็ม]]),"",(tbl_task5[41]/tbl_task5[[คะแนนเต็ม]:[คะแนนเต็ม]])*tbl_task5[[%]:[%]])</f>
        <v/>
      </c>
      <c r="HD24" s="121" t="str">
        <f>IF(ISBLANK(tbl_task5[[คะแนนเต็ม]:[คะแนนเต็ม]]),"",(tbl_task5[42]/tbl_task5[[คะแนนเต็ม]:[คะแนนเต็ม]])*tbl_task5[[%]:[%]])</f>
        <v/>
      </c>
      <c r="HE24" s="121" t="str">
        <f>IF(ISBLANK(tbl_task5[[คะแนนเต็ม]:[คะแนนเต็ม]]),"",(tbl_task5[43]/tbl_task5[[คะแนนเต็ม]:[คะแนนเต็ม]])*tbl_task5[[%]:[%]])</f>
        <v/>
      </c>
      <c r="HF24" s="121" t="str">
        <f>IF(ISBLANK(tbl_task5[[คะแนนเต็ม]:[คะแนนเต็ม]]),"",(tbl_task5[44]/tbl_task5[[คะแนนเต็ม]:[คะแนนเต็ม]])*tbl_task5[[%]:[%]])</f>
        <v/>
      </c>
      <c r="HG24" s="121" t="str">
        <f>IF(ISBLANK(tbl_task5[[คะแนนเต็ม]:[คะแนนเต็ม]]),"",(tbl_task5[45]/tbl_task5[[คะแนนเต็ม]:[คะแนนเต็ม]])*tbl_task5[[%]:[%]])</f>
        <v/>
      </c>
      <c r="HH24" s="121" t="str">
        <f>IF(ISBLANK(tbl_task5[[คะแนนเต็ม]:[คะแนนเต็ม]]),"",(tbl_task5[46]/tbl_task5[[คะแนนเต็ม]:[คะแนนเต็ม]])*tbl_task5[[%]:[%]])</f>
        <v/>
      </c>
      <c r="HI24" s="121" t="str">
        <f>IF(ISBLANK(tbl_task5[[คะแนนเต็ม]:[คะแนนเต็ม]]),"",(tbl_task5[47]/tbl_task5[[คะแนนเต็ม]:[คะแนนเต็ม]])*tbl_task5[[%]:[%]])</f>
        <v/>
      </c>
      <c r="HJ24" s="121" t="str">
        <f>IF(ISBLANK(tbl_task5[[คะแนนเต็ม]:[คะแนนเต็ม]]),"",(tbl_task5[48]/tbl_task5[[คะแนนเต็ม]:[คะแนนเต็ม]])*tbl_task5[[%]:[%]])</f>
        <v/>
      </c>
      <c r="HK24" s="121" t="str">
        <f>IF(ISBLANK(tbl_task5[[คะแนนเต็ม]:[คะแนนเต็ม]]),"",(tbl_task5[49]/tbl_task5[[คะแนนเต็ม]:[คะแนนเต็ม]])*tbl_task5[[%]:[%]])</f>
        <v/>
      </c>
      <c r="HL24" s="121" t="str">
        <f>IF(ISBLANK(tbl_task5[[คะแนนเต็ม]:[คะแนนเต็ม]]),"",(tbl_task5[50]/tbl_task5[[คะแนนเต็ม]:[คะแนนเต็ม]])*tbl_task5[[%]:[%]])</f>
        <v/>
      </c>
      <c r="HM24" s="121" t="str">
        <f>IF(ISBLANK(tbl_task5[[คะแนนเต็ม]:[คะแนนเต็ม]]),"",(tbl_task5[51]/tbl_task5[[คะแนนเต็ม]:[คะแนนเต็ม]])*tbl_task5[[%]:[%]])</f>
        <v/>
      </c>
      <c r="HN24" s="121" t="str">
        <f>IF(ISBLANK(tbl_task5[[คะแนนเต็ม]:[คะแนนเต็ม]]),"",(tbl_task5[52]/tbl_task5[[คะแนนเต็ม]:[คะแนนเต็ม]])*tbl_task5[[%]:[%]])</f>
        <v/>
      </c>
      <c r="HO24" s="121" t="str">
        <f>IF(ISBLANK(tbl_task5[[คะแนนเต็ม]:[คะแนนเต็ม]]),"",(tbl_task5[53]/tbl_task5[[คะแนนเต็ม]:[คะแนนเต็ม]])*tbl_task5[[%]:[%]])</f>
        <v/>
      </c>
      <c r="HP24" s="121" t="str">
        <f>IF(ISBLANK(tbl_task5[[คะแนนเต็ม]:[คะแนนเต็ม]]),"",(tbl_task5[54]/tbl_task5[[คะแนนเต็ม]:[คะแนนเต็ม]])*tbl_task5[[%]:[%]])</f>
        <v/>
      </c>
      <c r="HQ24" s="121" t="str">
        <f>IF(ISBLANK(tbl_task5[[คะแนนเต็ม]:[คะแนนเต็ม]]),"",(tbl_task5[55]/tbl_task5[[คะแนนเต็ม]:[คะแนนเต็ม]])*tbl_task5[[%]:[%]])</f>
        <v/>
      </c>
      <c r="HR24" s="121" t="str">
        <f>IF(ISBLANK(tbl_task5[[คะแนนเต็ม]:[คะแนนเต็ม]]),"",(tbl_task5[56]/tbl_task5[[คะแนนเต็ม]:[คะแนนเต็ม]])*tbl_task5[[%]:[%]])</f>
        <v/>
      </c>
      <c r="HS24" s="121" t="str">
        <f>IF(ISBLANK(tbl_task5[[คะแนนเต็ม]:[คะแนนเต็ม]]),"",(tbl_task5[57]/tbl_task5[[คะแนนเต็ม]:[คะแนนเต็ม]])*tbl_task5[[%]:[%]])</f>
        <v/>
      </c>
      <c r="HT24" s="121" t="str">
        <f>IF(ISBLANK(tbl_task5[[คะแนนเต็ม]:[คะแนนเต็ม]]),"",(tbl_task5[58]/tbl_task5[[คะแนนเต็ม]:[คะแนนเต็ม]])*tbl_task5[[%]:[%]])</f>
        <v/>
      </c>
      <c r="HU24" s="121" t="str">
        <f>IF(ISBLANK(tbl_task5[[คะแนนเต็ม]:[คะแนนเต็ม]]),"",(tbl_task5[59]/tbl_task5[[คะแนนเต็ม]:[คะแนนเต็ม]])*tbl_task5[[%]:[%]])</f>
        <v/>
      </c>
      <c r="HV24" s="121" t="str">
        <f>IF(ISBLANK(tbl_task5[[คะแนนเต็ม]:[คะแนนเต็ม]]),"",(tbl_task5[60]/tbl_task5[[คะแนนเต็ม]:[คะแนนเต็ม]])*tbl_task5[[%]:[%]])</f>
        <v/>
      </c>
      <c r="HW24" s="121" t="str">
        <f>IF(ISBLANK(tbl_task5[[คะแนนเต็ม]:[คะแนนเต็ม]]),"",(tbl_task5[61]/tbl_task5[[คะแนนเต็ม]:[คะแนนเต็ม]])*tbl_task5[[%]:[%]])</f>
        <v/>
      </c>
      <c r="HX24" s="121" t="str">
        <f>IF(ISBLANK(tbl_task5[[คะแนนเต็ม]:[คะแนนเต็ม]]),"",(tbl_task5[62]/tbl_task5[[คะแนนเต็ม]:[คะแนนเต็ม]])*tbl_task5[[%]:[%]])</f>
        <v/>
      </c>
      <c r="HY24" s="121" t="str">
        <f>IF(ISBLANK(tbl_task5[[คะแนนเต็ม]:[คะแนนเต็ม]]),"",(tbl_task5[63]/tbl_task5[[คะแนนเต็ม]:[คะแนนเต็ม]])*tbl_task5[[%]:[%]])</f>
        <v/>
      </c>
      <c r="HZ24" s="121" t="str">
        <f>IF(ISBLANK(tbl_task5[[คะแนนเต็ม]:[คะแนนเต็ม]]),"",(tbl_task5[64]/tbl_task5[[คะแนนเต็ม]:[คะแนนเต็ม]])*tbl_task5[[%]:[%]])</f>
        <v/>
      </c>
      <c r="IA24" s="121" t="str">
        <f>IF(ISBLANK(tbl_task5[[คะแนนเต็ม]:[คะแนนเต็ม]]),"",(tbl_task5[65]/tbl_task5[[คะแนนเต็ม]:[คะแนนเต็ม]])*tbl_task5[[%]:[%]])</f>
        <v/>
      </c>
      <c r="IB24" s="121" t="str">
        <f>IF(ISBLANK(tbl_task5[[คะแนนเต็ม]:[คะแนนเต็ม]]),"",(tbl_task5[66]/tbl_task5[[คะแนนเต็ม]:[คะแนนเต็ม]])*tbl_task5[[%]:[%]])</f>
        <v/>
      </c>
      <c r="IC24" s="121" t="str">
        <f>IF(ISBLANK(tbl_task5[[คะแนนเต็ม]:[คะแนนเต็ม]]),"",(tbl_task5[67]/tbl_task5[[คะแนนเต็ม]:[คะแนนเต็ม]])*tbl_task5[[%]:[%]])</f>
        <v/>
      </c>
      <c r="ID24" s="121" t="str">
        <f>IF(ISBLANK(tbl_task5[[คะแนนเต็ม]:[คะแนนเต็ม]]),"",(tbl_task5[68]/tbl_task5[[คะแนนเต็ม]:[คะแนนเต็ม]])*tbl_task5[[%]:[%]])</f>
        <v/>
      </c>
      <c r="IE24" s="121" t="str">
        <f>IF(ISBLANK(tbl_task5[[คะแนนเต็ม]:[คะแนนเต็ม]]),"",(tbl_task5[69]/tbl_task5[[คะแนนเต็ม]:[คะแนนเต็ม]])*tbl_task5[[%]:[%]])</f>
        <v/>
      </c>
      <c r="IF24" s="121" t="str">
        <f>IF(ISBLANK(tbl_task5[[คะแนนเต็ม]:[คะแนนเต็ม]]),"",(tbl_task5[70]/tbl_task5[[คะแนนเต็ม]:[คะแนนเต็ม]])*tbl_task5[[%]:[%]])</f>
        <v/>
      </c>
      <c r="IG24" s="121" t="str">
        <f>IF(ISBLANK(tbl_task5[[คะแนนเต็ม]:[คะแนนเต็ม]]),"",(tbl_task5[71]/tbl_task5[[คะแนนเต็ม]:[คะแนนเต็ม]])*tbl_task5[[%]:[%]])</f>
        <v/>
      </c>
      <c r="IH24" s="121" t="str">
        <f>IF(ISBLANK(tbl_task5[[คะแนนเต็ม]:[คะแนนเต็ม]]),"",(tbl_task5[72]/tbl_task5[[คะแนนเต็ม]:[คะแนนเต็ม]])*tbl_task5[[%]:[%]])</f>
        <v/>
      </c>
      <c r="II24" s="121" t="str">
        <f>IF(ISBLANK(tbl_task5[[คะแนนเต็ม]:[คะแนนเต็ม]]),"",(tbl_task5[73]/tbl_task5[[คะแนนเต็ม]:[คะแนนเต็ม]])*tbl_task5[[%]:[%]])</f>
        <v/>
      </c>
      <c r="IJ24" s="121" t="str">
        <f>IF(ISBLANK(tbl_task5[[คะแนนเต็ม]:[คะแนนเต็ม]]),"",(tbl_task5[74]/tbl_task5[[คะแนนเต็ม]:[คะแนนเต็ม]])*tbl_task5[[%]:[%]])</f>
        <v/>
      </c>
      <c r="IK24" s="121" t="str">
        <f>IF(ISBLANK(tbl_task5[[คะแนนเต็ม]:[คะแนนเต็ม]]),"",(tbl_task5[75]/tbl_task5[[คะแนนเต็ม]:[คะแนนเต็ม]])*tbl_task5[[%]:[%]])</f>
        <v/>
      </c>
      <c r="IL24" s="121" t="str">
        <f>IF(ISBLANK(tbl_task5[[คะแนนเต็ม]:[คะแนนเต็ม]]),"",(tbl_task5[76]/tbl_task5[[คะแนนเต็ม]:[คะแนนเต็ม]])*tbl_task5[[%]:[%]])</f>
        <v/>
      </c>
      <c r="IM24" s="121" t="str">
        <f>IF(ISBLANK(tbl_task5[[คะแนนเต็ม]:[คะแนนเต็ม]]),"",(tbl_task5[77]/tbl_task5[[คะแนนเต็ม]:[คะแนนเต็ม]])*tbl_task5[[%]:[%]])</f>
        <v/>
      </c>
      <c r="IN24" s="121" t="str">
        <f>IF(ISBLANK(tbl_task5[[คะแนนเต็ม]:[คะแนนเต็ม]]),"",(tbl_task5[78]/tbl_task5[[คะแนนเต็ม]:[คะแนนเต็ม]])*tbl_task5[[%]:[%]])</f>
        <v/>
      </c>
      <c r="IO24" s="121" t="str">
        <f>IF(ISBLANK(tbl_task5[[คะแนนเต็ม]:[คะแนนเต็ม]]),"",(tbl_task5[79]/tbl_task5[[คะแนนเต็ม]:[คะแนนเต็ม]])*tbl_task5[[%]:[%]])</f>
        <v/>
      </c>
      <c r="IP24" s="121" t="str">
        <f>IF(ISBLANK(tbl_task5[[คะแนนเต็ม]:[คะแนนเต็ม]]),"",(tbl_task5[80]/tbl_task5[[คะแนนเต็ม]:[คะแนนเต็ม]])*tbl_task5[[%]:[%]])</f>
        <v/>
      </c>
      <c r="IQ24" s="121" t="str">
        <f>IF(ISBLANK(tbl_task5[[คะแนนเต็ม]:[คะแนนเต็ม]]),"",(tbl_task5[81]/tbl_task5[[คะแนนเต็ม]:[คะแนนเต็ม]])*tbl_task5[[%]:[%]])</f>
        <v/>
      </c>
      <c r="IR24" s="121" t="str">
        <f>IF(ISBLANK(tbl_task5[[คะแนนเต็ม]:[คะแนนเต็ม]]),"",(tbl_task5[82]/tbl_task5[[คะแนนเต็ม]:[คะแนนเต็ม]])*tbl_task5[[%]:[%]])</f>
        <v/>
      </c>
      <c r="IS24" s="121" t="str">
        <f>IF(ISBLANK(tbl_task5[[คะแนนเต็ม]:[คะแนนเต็ม]]),"",(tbl_task5[83]/tbl_task5[[คะแนนเต็ม]:[คะแนนเต็ม]])*tbl_task5[[%]:[%]])</f>
        <v/>
      </c>
      <c r="IT24" s="121" t="str">
        <f>IF(ISBLANK(tbl_task5[[คะแนนเต็ม]:[คะแนนเต็ม]]),"",(tbl_task5[84]/tbl_task5[[คะแนนเต็ม]:[คะแนนเต็ม]])*tbl_task5[[%]:[%]])</f>
        <v/>
      </c>
      <c r="IU24" s="121" t="str">
        <f>IF(ISBLANK(tbl_task5[[คะแนนเต็ม]:[คะแนนเต็ม]]),"",(tbl_task5[85]/tbl_task5[[คะแนนเต็ม]:[คะแนนเต็ม]])*tbl_task5[[%]:[%]])</f>
        <v/>
      </c>
      <c r="IV24" s="121" t="str">
        <f>IF(ISBLANK(tbl_task5[[คะแนนเต็ม]:[คะแนนเต็ม]]),"",(tbl_task5[86]/tbl_task5[[คะแนนเต็ม]:[คะแนนเต็ม]])*tbl_task5[[%]:[%]])</f>
        <v/>
      </c>
      <c r="IW24" s="121" t="str">
        <f>IF(ISBLANK(tbl_task5[[คะแนนเต็ม]:[คะแนนเต็ม]]),"",(tbl_task5[87]/tbl_task5[[คะแนนเต็ม]:[คะแนนเต็ม]])*tbl_task5[[%]:[%]])</f>
        <v/>
      </c>
      <c r="IX24" s="121" t="str">
        <f>IF(ISBLANK(tbl_task5[[คะแนนเต็ม]:[คะแนนเต็ม]]),"",(tbl_task5[88]/tbl_task5[[คะแนนเต็ม]:[คะแนนเต็ม]])*tbl_task5[[%]:[%]])</f>
        <v/>
      </c>
      <c r="IY24" s="121" t="str">
        <f>IF(ISBLANK(tbl_task5[[คะแนนเต็ม]:[คะแนนเต็ม]]),"",(tbl_task5[89]/tbl_task5[[คะแนนเต็ม]:[คะแนนเต็ม]])*tbl_task5[[%]:[%]])</f>
        <v/>
      </c>
      <c r="IZ24" s="121" t="str">
        <f>IF(ISBLANK(tbl_task5[[คะแนนเต็ม]:[คะแนนเต็ม]]),"",(tbl_task5[90]/tbl_task5[[คะแนนเต็ม]:[คะแนนเต็ม]])*tbl_task5[[%]:[%]])</f>
        <v/>
      </c>
      <c r="JA24" s="121" t="str">
        <f>IF(ISBLANK(tbl_task5[[คะแนนเต็ม]:[คะแนนเต็ม]]),"",(tbl_task5[91]/tbl_task5[[คะแนนเต็ม]:[คะแนนเต็ม]])*tbl_task5[[%]:[%]])</f>
        <v/>
      </c>
      <c r="JB24" s="121" t="str">
        <f>IF(ISBLANK(tbl_task5[[คะแนนเต็ม]:[คะแนนเต็ม]]),"",(tbl_task5[92]/tbl_task5[[คะแนนเต็ม]:[คะแนนเต็ม]])*tbl_task5[[%]:[%]])</f>
        <v/>
      </c>
      <c r="JC24" s="121" t="str">
        <f>IF(ISBLANK(tbl_task5[[คะแนนเต็ม]:[คะแนนเต็ม]]),"",(tbl_task5[93]/tbl_task5[[คะแนนเต็ม]:[คะแนนเต็ม]])*tbl_task5[[%]:[%]])</f>
        <v/>
      </c>
      <c r="JD24" s="121" t="str">
        <f>IF(ISBLANK(tbl_task5[[คะแนนเต็ม]:[คะแนนเต็ม]]),"",(tbl_task5[94]/tbl_task5[[คะแนนเต็ม]:[คะแนนเต็ม]])*tbl_task5[[%]:[%]])</f>
        <v/>
      </c>
      <c r="JE24" s="121" t="str">
        <f>IF(ISBLANK(tbl_task5[[คะแนนเต็ม]:[คะแนนเต็ม]]),"",(tbl_task5[95]/tbl_task5[[คะแนนเต็ม]:[คะแนนเต็ม]])*tbl_task5[[%]:[%]])</f>
        <v/>
      </c>
      <c r="JF24" s="121" t="str">
        <f>IF(ISBLANK(tbl_task5[[คะแนนเต็ม]:[คะแนนเต็ม]]),"",(tbl_task5[96]/tbl_task5[[คะแนนเต็ม]:[คะแนนเต็ม]])*tbl_task5[[%]:[%]])</f>
        <v/>
      </c>
      <c r="JG24" s="121" t="str">
        <f>IF(ISBLANK(tbl_task5[[คะแนนเต็ม]:[คะแนนเต็ม]]),"",(tbl_task5[97]/tbl_task5[[คะแนนเต็ม]:[คะแนนเต็ม]])*tbl_task5[[%]:[%]])</f>
        <v/>
      </c>
      <c r="JH24" s="121" t="str">
        <f>IF(ISBLANK(tbl_task5[[คะแนนเต็ม]:[คะแนนเต็ม]]),"",(tbl_task5[98]/tbl_task5[[คะแนนเต็ม]:[คะแนนเต็ม]])*tbl_task5[[%]:[%]])</f>
        <v/>
      </c>
      <c r="JI24" s="121" t="str">
        <f>IF(ISBLANK(tbl_task5[[คะแนนเต็ม]:[คะแนนเต็ม]]),"",(tbl_task5[99]/tbl_task5[[คะแนนเต็ม]:[คะแนนเต็ม]])*tbl_task5[[%]:[%]])</f>
        <v/>
      </c>
      <c r="JJ24" s="121" t="str">
        <f>IF(ISBLANK(tbl_task5[[คะแนนเต็ม]:[คะแนนเต็ม]]),"",(tbl_task5[100]/tbl_task5[[คะแนนเต็ม]:[คะแนนเต็ม]])*tbl_task5[[%]:[%]])</f>
        <v/>
      </c>
      <c r="JK24" s="121" t="str">
        <f>IF(ISBLANK(tbl_task5[[คะแนนเต็ม]:[คะแนนเต็ม]]),"",(tbl_task5[101]/tbl_task5[[คะแนนเต็ม]:[คะแนนเต็ม]])*tbl_task5[[%]:[%]])</f>
        <v/>
      </c>
      <c r="JL24" s="121" t="str">
        <f>IF(ISBLANK(tbl_task5[[คะแนนเต็ม]:[คะแนนเต็ม]]),"",(tbl_task5[102]/tbl_task5[[คะแนนเต็ม]:[คะแนนเต็ม]])*tbl_task5[[%]:[%]])</f>
        <v/>
      </c>
      <c r="JM24" s="121" t="str">
        <f>IF(ISBLANK(tbl_task5[[คะแนนเต็ม]:[คะแนนเต็ม]]),"",(tbl_task5[103]/tbl_task5[[คะแนนเต็ม]:[คะแนนเต็ม]])*tbl_task5[[%]:[%]])</f>
        <v/>
      </c>
      <c r="JN24" s="121" t="str">
        <f>IF(ISBLANK(tbl_task5[[คะแนนเต็ม]:[คะแนนเต็ม]]),"",(tbl_task5[104]/tbl_task5[[คะแนนเต็ม]:[คะแนนเต็ม]])*tbl_task5[[%]:[%]])</f>
        <v/>
      </c>
      <c r="JO24" s="121" t="str">
        <f>IF(ISBLANK(tbl_task5[[คะแนนเต็ม]:[คะแนนเต็ม]]),"",(tbl_task5[105]/tbl_task5[[คะแนนเต็ม]:[คะแนนเต็ม]])*tbl_task5[[%]:[%]])</f>
        <v/>
      </c>
      <c r="JP24" s="121" t="str">
        <f>IF(ISBLANK(tbl_task5[[คะแนนเต็ม]:[คะแนนเต็ม]]),"",(tbl_task5[106]/tbl_task5[[คะแนนเต็ม]:[คะแนนเต็ม]])*tbl_task5[[%]:[%]])</f>
        <v/>
      </c>
      <c r="JQ24" s="121" t="str">
        <f>IF(ISBLANK(tbl_task5[[คะแนนเต็ม]:[คะแนนเต็ม]]),"",(tbl_task5[107]/tbl_task5[[คะแนนเต็ม]:[คะแนนเต็ม]])*tbl_task5[[%]:[%]])</f>
        <v/>
      </c>
      <c r="JR24" s="121" t="str">
        <f>IF(ISBLANK(tbl_task5[[คะแนนเต็ม]:[คะแนนเต็ม]]),"",(tbl_task5[108]/tbl_task5[[คะแนนเต็ม]:[คะแนนเต็ม]])*tbl_task5[[%]:[%]])</f>
        <v/>
      </c>
      <c r="JS24" s="121" t="str">
        <f>IF(ISBLANK(tbl_task5[[คะแนนเต็ม]:[คะแนนเต็ม]]),"",(tbl_task5[109]/tbl_task5[[คะแนนเต็ม]:[คะแนนเต็ม]])*tbl_task5[[%]:[%]])</f>
        <v/>
      </c>
      <c r="JT24" s="121" t="str">
        <f>IF(ISBLANK(tbl_task5[[คะแนนเต็ม]:[คะแนนเต็ม]]),"",(tbl_task5[110]/tbl_task5[[คะแนนเต็ม]:[คะแนนเต็ม]])*tbl_task5[[%]:[%]])</f>
        <v/>
      </c>
      <c r="JU24" s="121" t="str">
        <f>IF(ISBLANK(tbl_task5[[คะแนนเต็ม]:[คะแนนเต็ม]]),"",(tbl_task5[111]/tbl_task5[[คะแนนเต็ม]:[คะแนนเต็ม]])*tbl_task5[[%]:[%]])</f>
        <v/>
      </c>
      <c r="JV24" s="121" t="str">
        <f>IF(ISBLANK(tbl_task5[[คะแนนเต็ม]:[คะแนนเต็ม]]),"",(tbl_task5[112]/tbl_task5[[คะแนนเต็ม]:[คะแนนเต็ม]])*tbl_task5[[%]:[%]])</f>
        <v/>
      </c>
      <c r="JW24" s="121" t="str">
        <f>IF(ISBLANK(tbl_task5[[คะแนนเต็ม]:[คะแนนเต็ม]]),"",(tbl_task5[113]/tbl_task5[[คะแนนเต็ม]:[คะแนนเต็ม]])*tbl_task5[[%]:[%]])</f>
        <v/>
      </c>
      <c r="JX24" s="121" t="str">
        <f>IF(ISBLANK(tbl_task5[[คะแนนเต็ม]:[คะแนนเต็ม]]),"",(tbl_task5[114]/tbl_task5[[คะแนนเต็ม]:[คะแนนเต็ม]])*tbl_task5[[%]:[%]])</f>
        <v/>
      </c>
      <c r="JY24" s="121" t="str">
        <f>IF(ISBLANK(tbl_task5[[คะแนนเต็ม]:[คะแนนเต็ม]]),"",(tbl_task5[115]/tbl_task5[[คะแนนเต็ม]:[คะแนนเต็ม]])*tbl_task5[[%]:[%]])</f>
        <v/>
      </c>
      <c r="JZ24" s="121" t="str">
        <f>IF(ISBLANK(tbl_task5[[คะแนนเต็ม]:[คะแนนเต็ม]]),"",(tbl_task5[116]/tbl_task5[[คะแนนเต็ม]:[คะแนนเต็ม]])*tbl_task5[[%]:[%]])</f>
        <v/>
      </c>
      <c r="KA24" s="121" t="str">
        <f>IF(ISBLANK(tbl_task5[[คะแนนเต็ม]:[คะแนนเต็ม]]),"",(tbl_task5[117]/tbl_task5[[คะแนนเต็ม]:[คะแนนเต็ม]])*tbl_task5[[%]:[%]])</f>
        <v/>
      </c>
      <c r="KB24" s="121" t="str">
        <f>IF(ISBLANK(tbl_task5[[คะแนนเต็ม]:[คะแนนเต็ม]]),"",(tbl_task5[118]/tbl_task5[[คะแนนเต็ม]:[คะแนนเต็ม]])*tbl_task5[[%]:[%]])</f>
        <v/>
      </c>
      <c r="KC24" s="121" t="str">
        <f>IF(ISBLANK(tbl_task5[[คะแนนเต็ม]:[คะแนนเต็ม]]),"",(tbl_task5[119]/tbl_task5[[คะแนนเต็ม]:[คะแนนเต็ม]])*tbl_task5[[%]:[%]])</f>
        <v/>
      </c>
      <c r="KD24" s="121" t="str">
        <f>IF(ISBLANK(tbl_task5[[คะแนนเต็ม]:[คะแนนเต็ม]]),"",(tbl_task5[120]/tbl_task5[[คะแนนเต็ม]:[คะแนนเต็ม]])*tbl_task5[[%]:[%]])</f>
        <v/>
      </c>
      <c r="KE24" s="121" t="str">
        <f>IF(ISBLANK(tbl_task5[[คะแนนเต็ม]:[คะแนนเต็ม]]),"",(tbl_task5[121]/tbl_task5[[คะแนนเต็ม]:[คะแนนเต็ม]])*tbl_task5[[%]:[%]])</f>
        <v/>
      </c>
      <c r="KF24" s="121" t="str">
        <f>IF(ISBLANK(tbl_task5[[คะแนนเต็ม]:[คะแนนเต็ม]]),"",(tbl_task5[122]/tbl_task5[[คะแนนเต็ม]:[คะแนนเต็ม]])*tbl_task5[[%]:[%]])</f>
        <v/>
      </c>
      <c r="KG24" s="121" t="str">
        <f>IF(ISBLANK(tbl_task5[[คะแนนเต็ม]:[คะแนนเต็ม]]),"",(tbl_task5[123]/tbl_task5[[คะแนนเต็ม]:[คะแนนเต็ม]])*tbl_task5[[%]:[%]])</f>
        <v/>
      </c>
      <c r="KH24" s="121" t="str">
        <f>IF(ISBLANK(tbl_task5[[คะแนนเต็ม]:[คะแนนเต็ม]]),"",(tbl_task5[124]/tbl_task5[[คะแนนเต็ม]:[คะแนนเต็ม]])*tbl_task5[[%]:[%]])</f>
        <v/>
      </c>
      <c r="KI24" s="121" t="str">
        <f>IF(ISBLANK(tbl_task5[[คะแนนเต็ม]:[คะแนนเต็ม]]),"",(tbl_task5[125]/tbl_task5[[คะแนนเต็ม]:[คะแนนเต็ม]])*tbl_task5[[%]:[%]])</f>
        <v/>
      </c>
      <c r="KJ24" s="121" t="str">
        <f>IF(ISBLANK(tbl_task5[[คะแนนเต็ม]:[คะแนนเต็ม]]),"",(tbl_task5[126]/tbl_task5[[คะแนนเต็ม]:[คะแนนเต็ม]])*tbl_task5[[%]:[%]])</f>
        <v/>
      </c>
      <c r="KK24" s="121" t="str">
        <f>IF(ISBLANK(tbl_task5[[คะแนนเต็ม]:[คะแนนเต็ม]]),"",(tbl_task5[127]/tbl_task5[[คะแนนเต็ม]:[คะแนนเต็ม]])*tbl_task5[[%]:[%]])</f>
        <v/>
      </c>
      <c r="KL24" s="121" t="str">
        <f>IF(ISBLANK(tbl_task5[[คะแนนเต็ม]:[คะแนนเต็ม]]),"",(tbl_task5[128]/tbl_task5[[คะแนนเต็ม]:[คะแนนเต็ม]])*tbl_task5[[%]:[%]])</f>
        <v/>
      </c>
      <c r="KM24" s="121" t="str">
        <f>IF(ISBLANK(tbl_task5[[คะแนนเต็ม]:[คะแนนเต็ม]]),"",(tbl_task5[129]/tbl_task5[[คะแนนเต็ม]:[คะแนนเต็ม]])*tbl_task5[[%]:[%]])</f>
        <v/>
      </c>
      <c r="KN24" s="121" t="str">
        <f>IF(ISBLANK(tbl_task5[[คะแนนเต็ม]:[คะแนนเต็ม]]),"",(tbl_task5[130]/tbl_task5[[คะแนนเต็ม]:[คะแนนเต็ม]])*tbl_task5[[%]:[%]])</f>
        <v/>
      </c>
      <c r="KO24" s="121" t="str">
        <f>IF(ISBLANK(tbl_task5[[คะแนนเต็ม]:[คะแนนเต็ม]]),"",(tbl_task5[131]/tbl_task5[[คะแนนเต็ม]:[คะแนนเต็ม]])*tbl_task5[[%]:[%]])</f>
        <v/>
      </c>
      <c r="KP24" s="121" t="str">
        <f>IF(ISBLANK(tbl_task5[[คะแนนเต็ม]:[คะแนนเต็ม]]),"",(tbl_task5[132]/tbl_task5[[คะแนนเต็ม]:[คะแนนเต็ม]])*tbl_task5[[%]:[%]])</f>
        <v/>
      </c>
      <c r="KQ24" s="121" t="str">
        <f>IF(ISBLANK(tbl_task5[[คะแนนเต็ม]:[คะแนนเต็ม]]),"",(tbl_task5[133]/tbl_task5[[คะแนนเต็ม]:[คะแนนเต็ม]])*tbl_task5[[%]:[%]])</f>
        <v/>
      </c>
      <c r="KR24" s="121" t="str">
        <f>IF(ISBLANK(tbl_task5[[คะแนนเต็ม]:[คะแนนเต็ม]]),"",(tbl_task5[134]/tbl_task5[[คะแนนเต็ม]:[คะแนนเต็ม]])*tbl_task5[[%]:[%]])</f>
        <v/>
      </c>
      <c r="KS24" s="121" t="str">
        <f>IF(ISBLANK(tbl_task5[[คะแนนเต็ม]:[คะแนนเต็ม]]),"",(tbl_task5[135]/tbl_task5[[คะแนนเต็ม]:[คะแนนเต็ม]])*tbl_task5[[%]:[%]])</f>
        <v/>
      </c>
      <c r="KT24" s="121" t="str">
        <f>IF(ISBLANK(tbl_task5[[คะแนนเต็ม]:[คะแนนเต็ม]]),"",(tbl_task5[136]/tbl_task5[[คะแนนเต็ม]:[คะแนนเต็ม]])*tbl_task5[[%]:[%]])</f>
        <v/>
      </c>
      <c r="KU24" s="121" t="str">
        <f>IF(ISBLANK(tbl_task5[[คะแนนเต็ม]:[คะแนนเต็ม]]),"",(tbl_task5[137]/tbl_task5[[คะแนนเต็ม]:[คะแนนเต็ม]])*tbl_task5[[%]:[%]])</f>
        <v/>
      </c>
      <c r="KV24" s="121" t="str">
        <f>IF(ISBLANK(tbl_task5[[คะแนนเต็ม]:[คะแนนเต็ม]]),"",(tbl_task5[138]/tbl_task5[[คะแนนเต็ม]:[คะแนนเต็ม]])*tbl_task5[[%]:[%]])</f>
        <v/>
      </c>
      <c r="KW24" s="121" t="str">
        <f>IF(ISBLANK(tbl_task5[[คะแนนเต็ม]:[คะแนนเต็ม]]),"",(tbl_task5[139]/tbl_task5[[คะแนนเต็ม]:[คะแนนเต็ม]])*tbl_task5[[%]:[%]])</f>
        <v/>
      </c>
      <c r="KX24" s="121" t="str">
        <f>IF(ISBLANK(tbl_task5[[คะแนนเต็ม]:[คะแนนเต็ม]]),"",(tbl_task5[140]/tbl_task5[[คะแนนเต็ม]:[คะแนนเต็ม]])*tbl_task5[[%]:[%]])</f>
        <v/>
      </c>
      <c r="KY24" s="121" t="str">
        <f>IF(ISBLANK(tbl_task5[[คะแนนเต็ม]:[คะแนนเต็ม]]),"",(tbl_task5[141]/tbl_task5[[คะแนนเต็ม]:[คะแนนเต็ม]])*tbl_task5[[%]:[%]])</f>
        <v/>
      </c>
      <c r="KZ24" s="121" t="str">
        <f>IF(ISBLANK(tbl_task5[[คะแนนเต็ม]:[คะแนนเต็ม]]),"",(tbl_task5[142]/tbl_task5[[คะแนนเต็ม]:[คะแนนเต็ม]])*tbl_task5[[%]:[%]])</f>
        <v/>
      </c>
      <c r="LA24" s="121" t="str">
        <f>IF(ISBLANK(tbl_task5[[คะแนนเต็ม]:[คะแนนเต็ม]]),"",(tbl_task5[143]/tbl_task5[[คะแนนเต็ม]:[คะแนนเต็ม]])*tbl_task5[[%]:[%]])</f>
        <v/>
      </c>
      <c r="LB24" s="121" t="str">
        <f>IF(ISBLANK(tbl_task5[[คะแนนเต็ม]:[คะแนนเต็ม]]),"",(tbl_task5[144]/tbl_task5[[คะแนนเต็ม]:[คะแนนเต็ม]])*tbl_task5[[%]:[%]])</f>
        <v/>
      </c>
      <c r="LC24" s="121" t="str">
        <f>IF(ISBLANK(tbl_task5[[คะแนนเต็ม]:[คะแนนเต็ม]]),"",(tbl_task5[145]/tbl_task5[[คะแนนเต็ม]:[คะแนนเต็ม]])*tbl_task5[[%]:[%]])</f>
        <v/>
      </c>
      <c r="LD24" s="121" t="str">
        <f>IF(ISBLANK(tbl_task5[[คะแนนเต็ม]:[คะแนนเต็ม]]),"",(tbl_task5[146]/tbl_task5[[คะแนนเต็ม]:[คะแนนเต็ม]])*tbl_task5[[%]:[%]])</f>
        <v/>
      </c>
      <c r="LE24" s="121" t="str">
        <f>IF(ISBLANK(tbl_task5[[คะแนนเต็ม]:[คะแนนเต็ม]]),"",(tbl_task5[147]/tbl_task5[[คะแนนเต็ม]:[คะแนนเต็ม]])*tbl_task5[[%]:[%]])</f>
        <v/>
      </c>
      <c r="LF24" s="121" t="str">
        <f>IF(ISBLANK(tbl_task5[[คะแนนเต็ม]:[คะแนนเต็ม]]),"",(tbl_task5[148]/tbl_task5[[คะแนนเต็ม]:[คะแนนเต็ม]])*tbl_task5[[%]:[%]])</f>
        <v/>
      </c>
      <c r="LG24" s="121" t="str">
        <f>IF(ISBLANK(tbl_task5[[คะแนนเต็ม]:[คะแนนเต็ม]]),"",(tbl_task5[149]/tbl_task5[[คะแนนเต็ม]:[คะแนนเต็ม]])*tbl_task5[[%]:[%]])</f>
        <v/>
      </c>
      <c r="LH24" s="121" t="str">
        <f>IF(ISBLANK(tbl_task5[[คะแนนเต็ม]:[คะแนนเต็ม]]),"",(tbl_task5[150]/tbl_task5[[คะแนนเต็ม]:[คะแนนเต็ม]])*tbl_task5[[%]:[%]])</f>
        <v/>
      </c>
      <c r="LI24" s="121" t="str">
        <f>IF(ISBLANK(tbl_task5[[คะแนนเต็ม]:[คะแนนเต็ม]]),"",(tbl_task5[151]/tbl_task5[[คะแนนเต็ม]:[คะแนนเต็ม]])*tbl_task5[[%]:[%]])</f>
        <v/>
      </c>
      <c r="LJ24" s="121" t="str">
        <f>IF(ISBLANK(tbl_task5[[คะแนนเต็ม]:[คะแนนเต็ม]]),"",(tbl_task5[152]/tbl_task5[[คะแนนเต็ม]:[คะแนนเต็ม]])*tbl_task5[[%]:[%]])</f>
        <v/>
      </c>
      <c r="LK24" s="121" t="str">
        <f>IF(ISBLANK(tbl_task5[[คะแนนเต็ม]:[คะแนนเต็ม]]),"",(tbl_task5[153]/tbl_task5[[คะแนนเต็ม]:[คะแนนเต็ม]])*tbl_task5[[%]:[%]])</f>
        <v/>
      </c>
      <c r="LL24" s="121" t="str">
        <f>IF(ISBLANK(tbl_task5[[คะแนนเต็ม]:[คะแนนเต็ม]]),"",(tbl_task5[154]/tbl_task5[[คะแนนเต็ม]:[คะแนนเต็ม]])*tbl_task5[[%]:[%]])</f>
        <v/>
      </c>
      <c r="LM24" s="121" t="str">
        <f>IF(ISBLANK(tbl_task5[[คะแนนเต็ม]:[คะแนนเต็ม]]),"",(tbl_task5[155]/tbl_task5[[คะแนนเต็ม]:[คะแนนเต็ม]])*tbl_task5[[%]:[%]])</f>
        <v/>
      </c>
      <c r="LN24" s="121" t="str">
        <f>IF(ISBLANK(tbl_task5[[คะแนนเต็ม]:[คะแนนเต็ม]]),"",(tbl_task5[156]/tbl_task5[[คะแนนเต็ม]:[คะแนนเต็ม]])*tbl_task5[[%]:[%]])</f>
        <v/>
      </c>
      <c r="LO24" s="121" t="str">
        <f>IF(ISBLANK(tbl_task5[[คะแนนเต็ม]:[คะแนนเต็ม]]),"",(tbl_task5[157]/tbl_task5[[คะแนนเต็ม]:[คะแนนเต็ม]])*tbl_task5[[%]:[%]])</f>
        <v/>
      </c>
      <c r="LP24" s="121" t="str">
        <f>IF(ISBLANK(tbl_task5[[คะแนนเต็ม]:[คะแนนเต็ม]]),"",(tbl_task5[158]/tbl_task5[[คะแนนเต็ม]:[คะแนนเต็ม]])*tbl_task5[[%]:[%]])</f>
        <v/>
      </c>
      <c r="LQ24" s="121" t="str">
        <f>IF(ISBLANK(tbl_task5[[คะแนนเต็ม]:[คะแนนเต็ม]]),"",(tbl_task5[159]/tbl_task5[[คะแนนเต็ม]:[คะแนนเต็ม]])*tbl_task5[[%]:[%]])</f>
        <v/>
      </c>
      <c r="LR24" s="121" t="str">
        <f>IF(ISBLANK(tbl_task5[[คะแนนเต็ม]:[คะแนนเต็ม]]),"",(tbl_task5[160]/tbl_task5[[คะแนนเต็ม]:[คะแนนเต็ม]])*tbl_task5[[%]:[%]])</f>
        <v/>
      </c>
      <c r="LS24" s="121" t="str">
        <f>IF(ISBLANK(tbl_task5[[คะแนนเต็ม]:[คะแนนเต็ม]]),"",(tbl_task5[161]/tbl_task5[[คะแนนเต็ม]:[คะแนนเต็ม]])*tbl_task5[[%]:[%]])</f>
        <v/>
      </c>
      <c r="LT24" s="121" t="str">
        <f>IF(ISBLANK(tbl_task5[[คะแนนเต็ม]:[คะแนนเต็ม]]),"",(tbl_task5[162]/tbl_task5[[คะแนนเต็ม]:[คะแนนเต็ม]])*tbl_task5[[%]:[%]])</f>
        <v/>
      </c>
      <c r="LU24" s="121" t="str">
        <f>IF(ISBLANK(tbl_task5[[คะแนนเต็ม]:[คะแนนเต็ม]]),"",(tbl_task5[163]/tbl_task5[[คะแนนเต็ม]:[คะแนนเต็ม]])*tbl_task5[[%]:[%]])</f>
        <v/>
      </c>
      <c r="LV24" s="121" t="str">
        <f>IF(ISBLANK(tbl_task5[[คะแนนเต็ม]:[คะแนนเต็ม]]),"",(tbl_task5[164]/tbl_task5[[คะแนนเต็ม]:[คะแนนเต็ม]])*tbl_task5[[%]:[%]])</f>
        <v/>
      </c>
      <c r="LW24" s="121" t="str">
        <f>IF(ISBLANK(tbl_task5[[คะแนนเต็ม]:[คะแนนเต็ม]]),"",(tbl_task5[165]/tbl_task5[[คะแนนเต็ม]:[คะแนนเต็ม]])*tbl_task5[[%]:[%]])</f>
        <v/>
      </c>
    </row>
    <row r="25" spans="1:335" ht="24" customHeight="1" x14ac:dyDescent="0.25">
      <c r="A25" s="24">
        <v>22</v>
      </c>
      <c r="B25" s="20"/>
      <c r="C25" s="5" t="str">
        <f>IF(ISBLANK(B25),"",VLOOKUP(B25,tbl_PLOs[],2,0))</f>
        <v/>
      </c>
      <c r="D25" s="102"/>
      <c r="E25" s="106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21" t="str">
        <f>IF(ISBLANK(tbl_task5[[คะแนนเต็ม]:[คะแนนเต็ม]]),"",(tbl_task5[1]/tbl_task5[[คะแนนเต็ม]:[คะแนนเต็ม]])*tbl_task5[[%]:[%]])</f>
        <v/>
      </c>
      <c r="FP25" s="121" t="str">
        <f>IF(ISBLANK(tbl_task5[[คะแนนเต็ม]:[คะแนนเต็ม]]),"",(tbl_task5[2]/tbl_task5[[คะแนนเต็ม]:[คะแนนเต็ม]])*tbl_task5[[%]:[%]])</f>
        <v/>
      </c>
      <c r="FQ25" s="121" t="str">
        <f>IF(ISBLANK(tbl_task5[[คะแนนเต็ม]:[คะแนนเต็ม]]),"",(tbl_task5[3]/tbl_task5[[คะแนนเต็ม]:[คะแนนเต็ม]])*tbl_task5[[%]:[%]])</f>
        <v/>
      </c>
      <c r="FR25" s="121" t="str">
        <f>IF(ISBLANK(tbl_task5[[คะแนนเต็ม]:[คะแนนเต็ม]]),"",(tbl_task5[4]/tbl_task5[[คะแนนเต็ม]:[คะแนนเต็ม]])*tbl_task5[[%]:[%]])</f>
        <v/>
      </c>
      <c r="FS25" s="121" t="str">
        <f>IF(ISBLANK(tbl_task5[[คะแนนเต็ม]:[คะแนนเต็ม]]),"",(tbl_task5[5]/tbl_task5[[คะแนนเต็ม]:[คะแนนเต็ม]])*tbl_task5[[%]:[%]])</f>
        <v/>
      </c>
      <c r="FT25" s="121" t="str">
        <f>IF(ISBLANK(tbl_task5[[คะแนนเต็ม]:[คะแนนเต็ม]]),"",(tbl_task5[6]/tbl_task5[[คะแนนเต็ม]:[คะแนนเต็ม]])*tbl_task5[[%]:[%]])</f>
        <v/>
      </c>
      <c r="FU25" s="121" t="str">
        <f>IF(ISBLANK(tbl_task5[[คะแนนเต็ม]:[คะแนนเต็ม]]),"",(tbl_task5[7]/tbl_task5[[คะแนนเต็ม]:[คะแนนเต็ม]])*tbl_task5[[%]:[%]])</f>
        <v/>
      </c>
      <c r="FV25" s="121" t="str">
        <f>IF(ISBLANK(tbl_task5[[คะแนนเต็ม]:[คะแนนเต็ม]]),"",(tbl_task5[8]/tbl_task5[[คะแนนเต็ม]:[คะแนนเต็ม]])*tbl_task5[[%]:[%]])</f>
        <v/>
      </c>
      <c r="FW25" s="121" t="str">
        <f>IF(ISBLANK(tbl_task5[[คะแนนเต็ม]:[คะแนนเต็ม]]),"",(tbl_task5[9]/tbl_task5[[คะแนนเต็ม]:[คะแนนเต็ม]])*tbl_task5[[%]:[%]])</f>
        <v/>
      </c>
      <c r="FX25" s="121" t="str">
        <f>IF(ISBLANK(tbl_task5[[คะแนนเต็ม]:[คะแนนเต็ม]]),"",(tbl_task5[10]/tbl_task5[[คะแนนเต็ม]:[คะแนนเต็ม]])*tbl_task5[[%]:[%]])</f>
        <v/>
      </c>
      <c r="FY25" s="121" t="str">
        <f>IF(ISBLANK(tbl_task5[[คะแนนเต็ม]:[คะแนนเต็ม]]),"",(tbl_task5[11]/tbl_task5[[คะแนนเต็ม]:[คะแนนเต็ม]])*tbl_task5[[%]:[%]])</f>
        <v/>
      </c>
      <c r="FZ25" s="121" t="str">
        <f>IF(ISBLANK(tbl_task5[[คะแนนเต็ม]:[คะแนนเต็ม]]),"",(tbl_task5[12]/tbl_task5[[คะแนนเต็ม]:[คะแนนเต็ม]])*tbl_task5[[%]:[%]])</f>
        <v/>
      </c>
      <c r="GA25" s="121" t="str">
        <f>IF(ISBLANK(tbl_task5[[คะแนนเต็ม]:[คะแนนเต็ม]]),"",(tbl_task5[13]/tbl_task5[[คะแนนเต็ม]:[คะแนนเต็ม]])*tbl_task5[[%]:[%]])</f>
        <v/>
      </c>
      <c r="GB25" s="121" t="str">
        <f>IF(ISBLANK(tbl_task5[[คะแนนเต็ม]:[คะแนนเต็ม]]),"",(tbl_task5[14]/tbl_task5[[คะแนนเต็ม]:[คะแนนเต็ม]])*tbl_task5[[%]:[%]])</f>
        <v/>
      </c>
      <c r="GC25" s="121" t="str">
        <f>IF(ISBLANK(tbl_task5[[คะแนนเต็ม]:[คะแนนเต็ม]]),"",(tbl_task5[15]/tbl_task5[[คะแนนเต็ม]:[คะแนนเต็ม]])*tbl_task5[[%]:[%]])</f>
        <v/>
      </c>
      <c r="GD25" s="121" t="str">
        <f>IF(ISBLANK(tbl_task5[[คะแนนเต็ม]:[คะแนนเต็ม]]),"",(tbl_task5[16]/tbl_task5[[คะแนนเต็ม]:[คะแนนเต็ม]])*tbl_task5[[%]:[%]])</f>
        <v/>
      </c>
      <c r="GE25" s="121" t="str">
        <f>IF(ISBLANK(tbl_task5[[คะแนนเต็ม]:[คะแนนเต็ม]]),"",(tbl_task5[17]/tbl_task5[[คะแนนเต็ม]:[คะแนนเต็ม]])*tbl_task5[[%]:[%]])</f>
        <v/>
      </c>
      <c r="GF25" s="121" t="str">
        <f>IF(ISBLANK(tbl_task5[[คะแนนเต็ม]:[คะแนนเต็ม]]),"",(tbl_task5[18]/tbl_task5[[คะแนนเต็ม]:[คะแนนเต็ม]])*tbl_task5[[%]:[%]])</f>
        <v/>
      </c>
      <c r="GG25" s="121" t="str">
        <f>IF(ISBLANK(tbl_task5[[คะแนนเต็ม]:[คะแนนเต็ม]]),"",(tbl_task5[19]/tbl_task5[[คะแนนเต็ม]:[คะแนนเต็ม]])*tbl_task5[[%]:[%]])</f>
        <v/>
      </c>
      <c r="GH25" s="121" t="str">
        <f>IF(ISBLANK(tbl_task5[[คะแนนเต็ม]:[คะแนนเต็ม]]),"",(tbl_task5[20]/tbl_task5[[คะแนนเต็ม]:[คะแนนเต็ม]])*tbl_task5[[%]:[%]])</f>
        <v/>
      </c>
      <c r="GI25" s="121" t="str">
        <f>IF(ISBLANK(tbl_task5[[คะแนนเต็ม]:[คะแนนเต็ม]]),"",(tbl_task5[21]/tbl_task5[[คะแนนเต็ม]:[คะแนนเต็ม]])*tbl_task5[[%]:[%]])</f>
        <v/>
      </c>
      <c r="GJ25" s="121" t="str">
        <f>IF(ISBLANK(tbl_task5[[คะแนนเต็ม]:[คะแนนเต็ม]]),"",(tbl_task5[22]/tbl_task5[[คะแนนเต็ม]:[คะแนนเต็ม]])*tbl_task5[[%]:[%]])</f>
        <v/>
      </c>
      <c r="GK25" s="121" t="str">
        <f>IF(ISBLANK(tbl_task5[[คะแนนเต็ม]:[คะแนนเต็ม]]),"",(tbl_task5[23]/tbl_task5[[คะแนนเต็ม]:[คะแนนเต็ม]])*tbl_task5[[%]:[%]])</f>
        <v/>
      </c>
      <c r="GL25" s="121" t="str">
        <f>IF(ISBLANK(tbl_task5[[คะแนนเต็ม]:[คะแนนเต็ม]]),"",(tbl_task5[24]/tbl_task5[[คะแนนเต็ม]:[คะแนนเต็ม]])*tbl_task5[[%]:[%]])</f>
        <v/>
      </c>
      <c r="GM25" s="121" t="str">
        <f>IF(ISBLANK(tbl_task5[[คะแนนเต็ม]:[คะแนนเต็ม]]),"",(tbl_task5[25]/tbl_task5[[คะแนนเต็ม]:[คะแนนเต็ม]])*tbl_task5[[%]:[%]])</f>
        <v/>
      </c>
      <c r="GN25" s="121" t="str">
        <f>IF(ISBLANK(tbl_task5[[คะแนนเต็ม]:[คะแนนเต็ม]]),"",(tbl_task5[26]/tbl_task5[[คะแนนเต็ม]:[คะแนนเต็ม]])*tbl_task5[[%]:[%]])</f>
        <v/>
      </c>
      <c r="GO25" s="121" t="str">
        <f>IF(ISBLANK(tbl_task5[[คะแนนเต็ม]:[คะแนนเต็ม]]),"",(tbl_task5[27]/tbl_task5[[คะแนนเต็ม]:[คะแนนเต็ม]])*tbl_task5[[%]:[%]])</f>
        <v/>
      </c>
      <c r="GP25" s="121" t="str">
        <f>IF(ISBLANK(tbl_task5[[คะแนนเต็ม]:[คะแนนเต็ม]]),"",(tbl_task5[28]/tbl_task5[[คะแนนเต็ม]:[คะแนนเต็ม]])*tbl_task5[[%]:[%]])</f>
        <v/>
      </c>
      <c r="GQ25" s="121" t="str">
        <f>IF(ISBLANK(tbl_task5[[คะแนนเต็ม]:[คะแนนเต็ม]]),"",(tbl_task5[29]/tbl_task5[[คะแนนเต็ม]:[คะแนนเต็ม]])*tbl_task5[[%]:[%]])</f>
        <v/>
      </c>
      <c r="GR25" s="121" t="str">
        <f>IF(ISBLANK(tbl_task5[[คะแนนเต็ม]:[คะแนนเต็ม]]),"",(tbl_task5[30]/tbl_task5[[คะแนนเต็ม]:[คะแนนเต็ม]])*tbl_task5[[%]:[%]])</f>
        <v/>
      </c>
      <c r="GS25" s="121" t="str">
        <f>IF(ISBLANK(tbl_task5[[คะแนนเต็ม]:[คะแนนเต็ม]]),"",(tbl_task5[31]/tbl_task5[[คะแนนเต็ม]:[คะแนนเต็ม]])*tbl_task5[[%]:[%]])</f>
        <v/>
      </c>
      <c r="GT25" s="121" t="str">
        <f>IF(ISBLANK(tbl_task5[[คะแนนเต็ม]:[คะแนนเต็ม]]),"",(tbl_task5[32]/tbl_task5[[คะแนนเต็ม]:[คะแนนเต็ม]])*tbl_task5[[%]:[%]])</f>
        <v/>
      </c>
      <c r="GU25" s="121" t="str">
        <f>IF(ISBLANK(tbl_task5[[คะแนนเต็ม]:[คะแนนเต็ม]]),"",(tbl_task5[33]/tbl_task5[[คะแนนเต็ม]:[คะแนนเต็ม]])*tbl_task5[[%]:[%]])</f>
        <v/>
      </c>
      <c r="GV25" s="121" t="str">
        <f>IF(ISBLANK(tbl_task5[[คะแนนเต็ม]:[คะแนนเต็ม]]),"",(tbl_task5[34]/tbl_task5[[คะแนนเต็ม]:[คะแนนเต็ม]])*tbl_task5[[%]:[%]])</f>
        <v/>
      </c>
      <c r="GW25" s="121" t="str">
        <f>IF(ISBLANK(tbl_task5[[คะแนนเต็ม]:[คะแนนเต็ม]]),"",(tbl_task5[35]/tbl_task5[[คะแนนเต็ม]:[คะแนนเต็ม]])*tbl_task5[[%]:[%]])</f>
        <v/>
      </c>
      <c r="GX25" s="121" t="str">
        <f>IF(ISBLANK(tbl_task5[[คะแนนเต็ม]:[คะแนนเต็ม]]),"",(tbl_task5[36]/tbl_task5[[คะแนนเต็ม]:[คะแนนเต็ม]])*tbl_task5[[%]:[%]])</f>
        <v/>
      </c>
      <c r="GY25" s="121" t="str">
        <f>IF(ISBLANK(tbl_task5[[คะแนนเต็ม]:[คะแนนเต็ม]]),"",(tbl_task5[37]/tbl_task5[[คะแนนเต็ม]:[คะแนนเต็ม]])*tbl_task5[[%]:[%]])</f>
        <v/>
      </c>
      <c r="GZ25" s="121" t="str">
        <f>IF(ISBLANK(tbl_task5[[คะแนนเต็ม]:[คะแนนเต็ม]]),"",(tbl_task5[38]/tbl_task5[[คะแนนเต็ม]:[คะแนนเต็ม]])*tbl_task5[[%]:[%]])</f>
        <v/>
      </c>
      <c r="HA25" s="121" t="str">
        <f>IF(ISBLANK(tbl_task5[[คะแนนเต็ม]:[คะแนนเต็ม]]),"",(tbl_task5[39]/tbl_task5[[คะแนนเต็ม]:[คะแนนเต็ม]])*tbl_task5[[%]:[%]])</f>
        <v/>
      </c>
      <c r="HB25" s="121" t="str">
        <f>IF(ISBLANK(tbl_task5[[คะแนนเต็ม]:[คะแนนเต็ม]]),"",(tbl_task5[40]/tbl_task5[[คะแนนเต็ม]:[คะแนนเต็ม]])*tbl_task5[[%]:[%]])</f>
        <v/>
      </c>
      <c r="HC25" s="121" t="str">
        <f>IF(ISBLANK(tbl_task5[[คะแนนเต็ม]:[คะแนนเต็ม]]),"",(tbl_task5[41]/tbl_task5[[คะแนนเต็ม]:[คะแนนเต็ม]])*tbl_task5[[%]:[%]])</f>
        <v/>
      </c>
      <c r="HD25" s="121" t="str">
        <f>IF(ISBLANK(tbl_task5[[คะแนนเต็ม]:[คะแนนเต็ม]]),"",(tbl_task5[42]/tbl_task5[[คะแนนเต็ม]:[คะแนนเต็ม]])*tbl_task5[[%]:[%]])</f>
        <v/>
      </c>
      <c r="HE25" s="121" t="str">
        <f>IF(ISBLANK(tbl_task5[[คะแนนเต็ม]:[คะแนนเต็ม]]),"",(tbl_task5[43]/tbl_task5[[คะแนนเต็ม]:[คะแนนเต็ม]])*tbl_task5[[%]:[%]])</f>
        <v/>
      </c>
      <c r="HF25" s="121" t="str">
        <f>IF(ISBLANK(tbl_task5[[คะแนนเต็ม]:[คะแนนเต็ม]]),"",(tbl_task5[44]/tbl_task5[[คะแนนเต็ม]:[คะแนนเต็ม]])*tbl_task5[[%]:[%]])</f>
        <v/>
      </c>
      <c r="HG25" s="121" t="str">
        <f>IF(ISBLANK(tbl_task5[[คะแนนเต็ม]:[คะแนนเต็ม]]),"",(tbl_task5[45]/tbl_task5[[คะแนนเต็ม]:[คะแนนเต็ม]])*tbl_task5[[%]:[%]])</f>
        <v/>
      </c>
      <c r="HH25" s="121" t="str">
        <f>IF(ISBLANK(tbl_task5[[คะแนนเต็ม]:[คะแนนเต็ม]]),"",(tbl_task5[46]/tbl_task5[[คะแนนเต็ม]:[คะแนนเต็ม]])*tbl_task5[[%]:[%]])</f>
        <v/>
      </c>
      <c r="HI25" s="121" t="str">
        <f>IF(ISBLANK(tbl_task5[[คะแนนเต็ม]:[คะแนนเต็ม]]),"",(tbl_task5[47]/tbl_task5[[คะแนนเต็ม]:[คะแนนเต็ม]])*tbl_task5[[%]:[%]])</f>
        <v/>
      </c>
      <c r="HJ25" s="121" t="str">
        <f>IF(ISBLANK(tbl_task5[[คะแนนเต็ม]:[คะแนนเต็ม]]),"",(tbl_task5[48]/tbl_task5[[คะแนนเต็ม]:[คะแนนเต็ม]])*tbl_task5[[%]:[%]])</f>
        <v/>
      </c>
      <c r="HK25" s="121" t="str">
        <f>IF(ISBLANK(tbl_task5[[คะแนนเต็ม]:[คะแนนเต็ม]]),"",(tbl_task5[49]/tbl_task5[[คะแนนเต็ม]:[คะแนนเต็ม]])*tbl_task5[[%]:[%]])</f>
        <v/>
      </c>
      <c r="HL25" s="121" t="str">
        <f>IF(ISBLANK(tbl_task5[[คะแนนเต็ม]:[คะแนนเต็ม]]),"",(tbl_task5[50]/tbl_task5[[คะแนนเต็ม]:[คะแนนเต็ม]])*tbl_task5[[%]:[%]])</f>
        <v/>
      </c>
      <c r="HM25" s="121" t="str">
        <f>IF(ISBLANK(tbl_task5[[คะแนนเต็ม]:[คะแนนเต็ม]]),"",(tbl_task5[51]/tbl_task5[[คะแนนเต็ม]:[คะแนนเต็ม]])*tbl_task5[[%]:[%]])</f>
        <v/>
      </c>
      <c r="HN25" s="121" t="str">
        <f>IF(ISBLANK(tbl_task5[[คะแนนเต็ม]:[คะแนนเต็ม]]),"",(tbl_task5[52]/tbl_task5[[คะแนนเต็ม]:[คะแนนเต็ม]])*tbl_task5[[%]:[%]])</f>
        <v/>
      </c>
      <c r="HO25" s="121" t="str">
        <f>IF(ISBLANK(tbl_task5[[คะแนนเต็ม]:[คะแนนเต็ม]]),"",(tbl_task5[53]/tbl_task5[[คะแนนเต็ม]:[คะแนนเต็ม]])*tbl_task5[[%]:[%]])</f>
        <v/>
      </c>
      <c r="HP25" s="121" t="str">
        <f>IF(ISBLANK(tbl_task5[[คะแนนเต็ม]:[คะแนนเต็ม]]),"",(tbl_task5[54]/tbl_task5[[คะแนนเต็ม]:[คะแนนเต็ม]])*tbl_task5[[%]:[%]])</f>
        <v/>
      </c>
      <c r="HQ25" s="121" t="str">
        <f>IF(ISBLANK(tbl_task5[[คะแนนเต็ม]:[คะแนนเต็ม]]),"",(tbl_task5[55]/tbl_task5[[คะแนนเต็ม]:[คะแนนเต็ม]])*tbl_task5[[%]:[%]])</f>
        <v/>
      </c>
      <c r="HR25" s="121" t="str">
        <f>IF(ISBLANK(tbl_task5[[คะแนนเต็ม]:[คะแนนเต็ม]]),"",(tbl_task5[56]/tbl_task5[[คะแนนเต็ม]:[คะแนนเต็ม]])*tbl_task5[[%]:[%]])</f>
        <v/>
      </c>
      <c r="HS25" s="121" t="str">
        <f>IF(ISBLANK(tbl_task5[[คะแนนเต็ม]:[คะแนนเต็ม]]),"",(tbl_task5[57]/tbl_task5[[คะแนนเต็ม]:[คะแนนเต็ม]])*tbl_task5[[%]:[%]])</f>
        <v/>
      </c>
      <c r="HT25" s="121" t="str">
        <f>IF(ISBLANK(tbl_task5[[คะแนนเต็ม]:[คะแนนเต็ม]]),"",(tbl_task5[58]/tbl_task5[[คะแนนเต็ม]:[คะแนนเต็ม]])*tbl_task5[[%]:[%]])</f>
        <v/>
      </c>
      <c r="HU25" s="121" t="str">
        <f>IF(ISBLANK(tbl_task5[[คะแนนเต็ม]:[คะแนนเต็ม]]),"",(tbl_task5[59]/tbl_task5[[คะแนนเต็ม]:[คะแนนเต็ม]])*tbl_task5[[%]:[%]])</f>
        <v/>
      </c>
      <c r="HV25" s="121" t="str">
        <f>IF(ISBLANK(tbl_task5[[คะแนนเต็ม]:[คะแนนเต็ม]]),"",(tbl_task5[60]/tbl_task5[[คะแนนเต็ม]:[คะแนนเต็ม]])*tbl_task5[[%]:[%]])</f>
        <v/>
      </c>
      <c r="HW25" s="121" t="str">
        <f>IF(ISBLANK(tbl_task5[[คะแนนเต็ม]:[คะแนนเต็ม]]),"",(tbl_task5[61]/tbl_task5[[คะแนนเต็ม]:[คะแนนเต็ม]])*tbl_task5[[%]:[%]])</f>
        <v/>
      </c>
      <c r="HX25" s="121" t="str">
        <f>IF(ISBLANK(tbl_task5[[คะแนนเต็ม]:[คะแนนเต็ม]]),"",(tbl_task5[62]/tbl_task5[[คะแนนเต็ม]:[คะแนนเต็ม]])*tbl_task5[[%]:[%]])</f>
        <v/>
      </c>
      <c r="HY25" s="121" t="str">
        <f>IF(ISBLANK(tbl_task5[[คะแนนเต็ม]:[คะแนนเต็ม]]),"",(tbl_task5[63]/tbl_task5[[คะแนนเต็ม]:[คะแนนเต็ม]])*tbl_task5[[%]:[%]])</f>
        <v/>
      </c>
      <c r="HZ25" s="121" t="str">
        <f>IF(ISBLANK(tbl_task5[[คะแนนเต็ม]:[คะแนนเต็ม]]),"",(tbl_task5[64]/tbl_task5[[คะแนนเต็ม]:[คะแนนเต็ม]])*tbl_task5[[%]:[%]])</f>
        <v/>
      </c>
      <c r="IA25" s="121" t="str">
        <f>IF(ISBLANK(tbl_task5[[คะแนนเต็ม]:[คะแนนเต็ม]]),"",(tbl_task5[65]/tbl_task5[[คะแนนเต็ม]:[คะแนนเต็ม]])*tbl_task5[[%]:[%]])</f>
        <v/>
      </c>
      <c r="IB25" s="121" t="str">
        <f>IF(ISBLANK(tbl_task5[[คะแนนเต็ม]:[คะแนนเต็ม]]),"",(tbl_task5[66]/tbl_task5[[คะแนนเต็ม]:[คะแนนเต็ม]])*tbl_task5[[%]:[%]])</f>
        <v/>
      </c>
      <c r="IC25" s="121" t="str">
        <f>IF(ISBLANK(tbl_task5[[คะแนนเต็ม]:[คะแนนเต็ม]]),"",(tbl_task5[67]/tbl_task5[[คะแนนเต็ม]:[คะแนนเต็ม]])*tbl_task5[[%]:[%]])</f>
        <v/>
      </c>
      <c r="ID25" s="121" t="str">
        <f>IF(ISBLANK(tbl_task5[[คะแนนเต็ม]:[คะแนนเต็ม]]),"",(tbl_task5[68]/tbl_task5[[คะแนนเต็ม]:[คะแนนเต็ม]])*tbl_task5[[%]:[%]])</f>
        <v/>
      </c>
      <c r="IE25" s="121" t="str">
        <f>IF(ISBLANK(tbl_task5[[คะแนนเต็ม]:[คะแนนเต็ม]]),"",(tbl_task5[69]/tbl_task5[[คะแนนเต็ม]:[คะแนนเต็ม]])*tbl_task5[[%]:[%]])</f>
        <v/>
      </c>
      <c r="IF25" s="121" t="str">
        <f>IF(ISBLANK(tbl_task5[[คะแนนเต็ม]:[คะแนนเต็ม]]),"",(tbl_task5[70]/tbl_task5[[คะแนนเต็ม]:[คะแนนเต็ม]])*tbl_task5[[%]:[%]])</f>
        <v/>
      </c>
      <c r="IG25" s="121" t="str">
        <f>IF(ISBLANK(tbl_task5[[คะแนนเต็ม]:[คะแนนเต็ม]]),"",(tbl_task5[71]/tbl_task5[[คะแนนเต็ม]:[คะแนนเต็ม]])*tbl_task5[[%]:[%]])</f>
        <v/>
      </c>
      <c r="IH25" s="121" t="str">
        <f>IF(ISBLANK(tbl_task5[[คะแนนเต็ม]:[คะแนนเต็ม]]),"",(tbl_task5[72]/tbl_task5[[คะแนนเต็ม]:[คะแนนเต็ม]])*tbl_task5[[%]:[%]])</f>
        <v/>
      </c>
      <c r="II25" s="121" t="str">
        <f>IF(ISBLANK(tbl_task5[[คะแนนเต็ม]:[คะแนนเต็ม]]),"",(tbl_task5[73]/tbl_task5[[คะแนนเต็ม]:[คะแนนเต็ม]])*tbl_task5[[%]:[%]])</f>
        <v/>
      </c>
      <c r="IJ25" s="121" t="str">
        <f>IF(ISBLANK(tbl_task5[[คะแนนเต็ม]:[คะแนนเต็ม]]),"",(tbl_task5[74]/tbl_task5[[คะแนนเต็ม]:[คะแนนเต็ม]])*tbl_task5[[%]:[%]])</f>
        <v/>
      </c>
      <c r="IK25" s="121" t="str">
        <f>IF(ISBLANK(tbl_task5[[คะแนนเต็ม]:[คะแนนเต็ม]]),"",(tbl_task5[75]/tbl_task5[[คะแนนเต็ม]:[คะแนนเต็ม]])*tbl_task5[[%]:[%]])</f>
        <v/>
      </c>
      <c r="IL25" s="121" t="str">
        <f>IF(ISBLANK(tbl_task5[[คะแนนเต็ม]:[คะแนนเต็ม]]),"",(tbl_task5[76]/tbl_task5[[คะแนนเต็ม]:[คะแนนเต็ม]])*tbl_task5[[%]:[%]])</f>
        <v/>
      </c>
      <c r="IM25" s="121" t="str">
        <f>IF(ISBLANK(tbl_task5[[คะแนนเต็ม]:[คะแนนเต็ม]]),"",(tbl_task5[77]/tbl_task5[[คะแนนเต็ม]:[คะแนนเต็ม]])*tbl_task5[[%]:[%]])</f>
        <v/>
      </c>
      <c r="IN25" s="121" t="str">
        <f>IF(ISBLANK(tbl_task5[[คะแนนเต็ม]:[คะแนนเต็ม]]),"",(tbl_task5[78]/tbl_task5[[คะแนนเต็ม]:[คะแนนเต็ม]])*tbl_task5[[%]:[%]])</f>
        <v/>
      </c>
      <c r="IO25" s="121" t="str">
        <f>IF(ISBLANK(tbl_task5[[คะแนนเต็ม]:[คะแนนเต็ม]]),"",(tbl_task5[79]/tbl_task5[[คะแนนเต็ม]:[คะแนนเต็ม]])*tbl_task5[[%]:[%]])</f>
        <v/>
      </c>
      <c r="IP25" s="121" t="str">
        <f>IF(ISBLANK(tbl_task5[[คะแนนเต็ม]:[คะแนนเต็ม]]),"",(tbl_task5[80]/tbl_task5[[คะแนนเต็ม]:[คะแนนเต็ม]])*tbl_task5[[%]:[%]])</f>
        <v/>
      </c>
      <c r="IQ25" s="121" t="str">
        <f>IF(ISBLANK(tbl_task5[[คะแนนเต็ม]:[คะแนนเต็ม]]),"",(tbl_task5[81]/tbl_task5[[คะแนนเต็ม]:[คะแนนเต็ม]])*tbl_task5[[%]:[%]])</f>
        <v/>
      </c>
      <c r="IR25" s="121" t="str">
        <f>IF(ISBLANK(tbl_task5[[คะแนนเต็ม]:[คะแนนเต็ม]]),"",(tbl_task5[82]/tbl_task5[[คะแนนเต็ม]:[คะแนนเต็ม]])*tbl_task5[[%]:[%]])</f>
        <v/>
      </c>
      <c r="IS25" s="121" t="str">
        <f>IF(ISBLANK(tbl_task5[[คะแนนเต็ม]:[คะแนนเต็ม]]),"",(tbl_task5[83]/tbl_task5[[คะแนนเต็ม]:[คะแนนเต็ม]])*tbl_task5[[%]:[%]])</f>
        <v/>
      </c>
      <c r="IT25" s="121" t="str">
        <f>IF(ISBLANK(tbl_task5[[คะแนนเต็ม]:[คะแนนเต็ม]]),"",(tbl_task5[84]/tbl_task5[[คะแนนเต็ม]:[คะแนนเต็ม]])*tbl_task5[[%]:[%]])</f>
        <v/>
      </c>
      <c r="IU25" s="121" t="str">
        <f>IF(ISBLANK(tbl_task5[[คะแนนเต็ม]:[คะแนนเต็ม]]),"",(tbl_task5[85]/tbl_task5[[คะแนนเต็ม]:[คะแนนเต็ม]])*tbl_task5[[%]:[%]])</f>
        <v/>
      </c>
      <c r="IV25" s="121" t="str">
        <f>IF(ISBLANK(tbl_task5[[คะแนนเต็ม]:[คะแนนเต็ม]]),"",(tbl_task5[86]/tbl_task5[[คะแนนเต็ม]:[คะแนนเต็ม]])*tbl_task5[[%]:[%]])</f>
        <v/>
      </c>
      <c r="IW25" s="121" t="str">
        <f>IF(ISBLANK(tbl_task5[[คะแนนเต็ม]:[คะแนนเต็ม]]),"",(tbl_task5[87]/tbl_task5[[คะแนนเต็ม]:[คะแนนเต็ม]])*tbl_task5[[%]:[%]])</f>
        <v/>
      </c>
      <c r="IX25" s="121" t="str">
        <f>IF(ISBLANK(tbl_task5[[คะแนนเต็ม]:[คะแนนเต็ม]]),"",(tbl_task5[88]/tbl_task5[[คะแนนเต็ม]:[คะแนนเต็ม]])*tbl_task5[[%]:[%]])</f>
        <v/>
      </c>
      <c r="IY25" s="121" t="str">
        <f>IF(ISBLANK(tbl_task5[[คะแนนเต็ม]:[คะแนนเต็ม]]),"",(tbl_task5[89]/tbl_task5[[คะแนนเต็ม]:[คะแนนเต็ม]])*tbl_task5[[%]:[%]])</f>
        <v/>
      </c>
      <c r="IZ25" s="121" t="str">
        <f>IF(ISBLANK(tbl_task5[[คะแนนเต็ม]:[คะแนนเต็ม]]),"",(tbl_task5[90]/tbl_task5[[คะแนนเต็ม]:[คะแนนเต็ม]])*tbl_task5[[%]:[%]])</f>
        <v/>
      </c>
      <c r="JA25" s="121" t="str">
        <f>IF(ISBLANK(tbl_task5[[คะแนนเต็ม]:[คะแนนเต็ม]]),"",(tbl_task5[91]/tbl_task5[[คะแนนเต็ม]:[คะแนนเต็ม]])*tbl_task5[[%]:[%]])</f>
        <v/>
      </c>
      <c r="JB25" s="121" t="str">
        <f>IF(ISBLANK(tbl_task5[[คะแนนเต็ม]:[คะแนนเต็ม]]),"",(tbl_task5[92]/tbl_task5[[คะแนนเต็ม]:[คะแนนเต็ม]])*tbl_task5[[%]:[%]])</f>
        <v/>
      </c>
      <c r="JC25" s="121" t="str">
        <f>IF(ISBLANK(tbl_task5[[คะแนนเต็ม]:[คะแนนเต็ม]]),"",(tbl_task5[93]/tbl_task5[[คะแนนเต็ม]:[คะแนนเต็ม]])*tbl_task5[[%]:[%]])</f>
        <v/>
      </c>
      <c r="JD25" s="121" t="str">
        <f>IF(ISBLANK(tbl_task5[[คะแนนเต็ม]:[คะแนนเต็ม]]),"",(tbl_task5[94]/tbl_task5[[คะแนนเต็ม]:[คะแนนเต็ม]])*tbl_task5[[%]:[%]])</f>
        <v/>
      </c>
      <c r="JE25" s="121" t="str">
        <f>IF(ISBLANK(tbl_task5[[คะแนนเต็ม]:[คะแนนเต็ม]]),"",(tbl_task5[95]/tbl_task5[[คะแนนเต็ม]:[คะแนนเต็ม]])*tbl_task5[[%]:[%]])</f>
        <v/>
      </c>
      <c r="JF25" s="121" t="str">
        <f>IF(ISBLANK(tbl_task5[[คะแนนเต็ม]:[คะแนนเต็ม]]),"",(tbl_task5[96]/tbl_task5[[คะแนนเต็ม]:[คะแนนเต็ม]])*tbl_task5[[%]:[%]])</f>
        <v/>
      </c>
      <c r="JG25" s="121" t="str">
        <f>IF(ISBLANK(tbl_task5[[คะแนนเต็ม]:[คะแนนเต็ม]]),"",(tbl_task5[97]/tbl_task5[[คะแนนเต็ม]:[คะแนนเต็ม]])*tbl_task5[[%]:[%]])</f>
        <v/>
      </c>
      <c r="JH25" s="121" t="str">
        <f>IF(ISBLANK(tbl_task5[[คะแนนเต็ม]:[คะแนนเต็ม]]),"",(tbl_task5[98]/tbl_task5[[คะแนนเต็ม]:[คะแนนเต็ม]])*tbl_task5[[%]:[%]])</f>
        <v/>
      </c>
      <c r="JI25" s="121" t="str">
        <f>IF(ISBLANK(tbl_task5[[คะแนนเต็ม]:[คะแนนเต็ม]]),"",(tbl_task5[99]/tbl_task5[[คะแนนเต็ม]:[คะแนนเต็ม]])*tbl_task5[[%]:[%]])</f>
        <v/>
      </c>
      <c r="JJ25" s="121" t="str">
        <f>IF(ISBLANK(tbl_task5[[คะแนนเต็ม]:[คะแนนเต็ม]]),"",(tbl_task5[100]/tbl_task5[[คะแนนเต็ม]:[คะแนนเต็ม]])*tbl_task5[[%]:[%]])</f>
        <v/>
      </c>
      <c r="JK25" s="121" t="str">
        <f>IF(ISBLANK(tbl_task5[[คะแนนเต็ม]:[คะแนนเต็ม]]),"",(tbl_task5[101]/tbl_task5[[คะแนนเต็ม]:[คะแนนเต็ม]])*tbl_task5[[%]:[%]])</f>
        <v/>
      </c>
      <c r="JL25" s="121" t="str">
        <f>IF(ISBLANK(tbl_task5[[คะแนนเต็ม]:[คะแนนเต็ม]]),"",(tbl_task5[102]/tbl_task5[[คะแนนเต็ม]:[คะแนนเต็ม]])*tbl_task5[[%]:[%]])</f>
        <v/>
      </c>
      <c r="JM25" s="121" t="str">
        <f>IF(ISBLANK(tbl_task5[[คะแนนเต็ม]:[คะแนนเต็ม]]),"",(tbl_task5[103]/tbl_task5[[คะแนนเต็ม]:[คะแนนเต็ม]])*tbl_task5[[%]:[%]])</f>
        <v/>
      </c>
      <c r="JN25" s="121" t="str">
        <f>IF(ISBLANK(tbl_task5[[คะแนนเต็ม]:[คะแนนเต็ม]]),"",(tbl_task5[104]/tbl_task5[[คะแนนเต็ม]:[คะแนนเต็ม]])*tbl_task5[[%]:[%]])</f>
        <v/>
      </c>
      <c r="JO25" s="121" t="str">
        <f>IF(ISBLANK(tbl_task5[[คะแนนเต็ม]:[คะแนนเต็ม]]),"",(tbl_task5[105]/tbl_task5[[คะแนนเต็ม]:[คะแนนเต็ม]])*tbl_task5[[%]:[%]])</f>
        <v/>
      </c>
      <c r="JP25" s="121" t="str">
        <f>IF(ISBLANK(tbl_task5[[คะแนนเต็ม]:[คะแนนเต็ม]]),"",(tbl_task5[106]/tbl_task5[[คะแนนเต็ม]:[คะแนนเต็ม]])*tbl_task5[[%]:[%]])</f>
        <v/>
      </c>
      <c r="JQ25" s="121" t="str">
        <f>IF(ISBLANK(tbl_task5[[คะแนนเต็ม]:[คะแนนเต็ม]]),"",(tbl_task5[107]/tbl_task5[[คะแนนเต็ม]:[คะแนนเต็ม]])*tbl_task5[[%]:[%]])</f>
        <v/>
      </c>
      <c r="JR25" s="121" t="str">
        <f>IF(ISBLANK(tbl_task5[[คะแนนเต็ม]:[คะแนนเต็ม]]),"",(tbl_task5[108]/tbl_task5[[คะแนนเต็ม]:[คะแนนเต็ม]])*tbl_task5[[%]:[%]])</f>
        <v/>
      </c>
      <c r="JS25" s="121" t="str">
        <f>IF(ISBLANK(tbl_task5[[คะแนนเต็ม]:[คะแนนเต็ม]]),"",(tbl_task5[109]/tbl_task5[[คะแนนเต็ม]:[คะแนนเต็ม]])*tbl_task5[[%]:[%]])</f>
        <v/>
      </c>
      <c r="JT25" s="121" t="str">
        <f>IF(ISBLANK(tbl_task5[[คะแนนเต็ม]:[คะแนนเต็ม]]),"",(tbl_task5[110]/tbl_task5[[คะแนนเต็ม]:[คะแนนเต็ม]])*tbl_task5[[%]:[%]])</f>
        <v/>
      </c>
      <c r="JU25" s="121" t="str">
        <f>IF(ISBLANK(tbl_task5[[คะแนนเต็ม]:[คะแนนเต็ม]]),"",(tbl_task5[111]/tbl_task5[[คะแนนเต็ม]:[คะแนนเต็ม]])*tbl_task5[[%]:[%]])</f>
        <v/>
      </c>
      <c r="JV25" s="121" t="str">
        <f>IF(ISBLANK(tbl_task5[[คะแนนเต็ม]:[คะแนนเต็ม]]),"",(tbl_task5[112]/tbl_task5[[คะแนนเต็ม]:[คะแนนเต็ม]])*tbl_task5[[%]:[%]])</f>
        <v/>
      </c>
      <c r="JW25" s="121" t="str">
        <f>IF(ISBLANK(tbl_task5[[คะแนนเต็ม]:[คะแนนเต็ม]]),"",(tbl_task5[113]/tbl_task5[[คะแนนเต็ม]:[คะแนนเต็ม]])*tbl_task5[[%]:[%]])</f>
        <v/>
      </c>
      <c r="JX25" s="121" t="str">
        <f>IF(ISBLANK(tbl_task5[[คะแนนเต็ม]:[คะแนนเต็ม]]),"",(tbl_task5[114]/tbl_task5[[คะแนนเต็ม]:[คะแนนเต็ม]])*tbl_task5[[%]:[%]])</f>
        <v/>
      </c>
      <c r="JY25" s="121" t="str">
        <f>IF(ISBLANK(tbl_task5[[คะแนนเต็ม]:[คะแนนเต็ม]]),"",(tbl_task5[115]/tbl_task5[[คะแนนเต็ม]:[คะแนนเต็ม]])*tbl_task5[[%]:[%]])</f>
        <v/>
      </c>
      <c r="JZ25" s="121" t="str">
        <f>IF(ISBLANK(tbl_task5[[คะแนนเต็ม]:[คะแนนเต็ม]]),"",(tbl_task5[116]/tbl_task5[[คะแนนเต็ม]:[คะแนนเต็ม]])*tbl_task5[[%]:[%]])</f>
        <v/>
      </c>
      <c r="KA25" s="121" t="str">
        <f>IF(ISBLANK(tbl_task5[[คะแนนเต็ม]:[คะแนนเต็ม]]),"",(tbl_task5[117]/tbl_task5[[คะแนนเต็ม]:[คะแนนเต็ม]])*tbl_task5[[%]:[%]])</f>
        <v/>
      </c>
      <c r="KB25" s="121" t="str">
        <f>IF(ISBLANK(tbl_task5[[คะแนนเต็ม]:[คะแนนเต็ม]]),"",(tbl_task5[118]/tbl_task5[[คะแนนเต็ม]:[คะแนนเต็ม]])*tbl_task5[[%]:[%]])</f>
        <v/>
      </c>
      <c r="KC25" s="121" t="str">
        <f>IF(ISBLANK(tbl_task5[[คะแนนเต็ม]:[คะแนนเต็ม]]),"",(tbl_task5[119]/tbl_task5[[คะแนนเต็ม]:[คะแนนเต็ม]])*tbl_task5[[%]:[%]])</f>
        <v/>
      </c>
      <c r="KD25" s="121" t="str">
        <f>IF(ISBLANK(tbl_task5[[คะแนนเต็ม]:[คะแนนเต็ม]]),"",(tbl_task5[120]/tbl_task5[[คะแนนเต็ม]:[คะแนนเต็ม]])*tbl_task5[[%]:[%]])</f>
        <v/>
      </c>
      <c r="KE25" s="121" t="str">
        <f>IF(ISBLANK(tbl_task5[[คะแนนเต็ม]:[คะแนนเต็ม]]),"",(tbl_task5[121]/tbl_task5[[คะแนนเต็ม]:[คะแนนเต็ม]])*tbl_task5[[%]:[%]])</f>
        <v/>
      </c>
      <c r="KF25" s="121" t="str">
        <f>IF(ISBLANK(tbl_task5[[คะแนนเต็ม]:[คะแนนเต็ม]]),"",(tbl_task5[122]/tbl_task5[[คะแนนเต็ม]:[คะแนนเต็ม]])*tbl_task5[[%]:[%]])</f>
        <v/>
      </c>
      <c r="KG25" s="121" t="str">
        <f>IF(ISBLANK(tbl_task5[[คะแนนเต็ม]:[คะแนนเต็ม]]),"",(tbl_task5[123]/tbl_task5[[คะแนนเต็ม]:[คะแนนเต็ม]])*tbl_task5[[%]:[%]])</f>
        <v/>
      </c>
      <c r="KH25" s="121" t="str">
        <f>IF(ISBLANK(tbl_task5[[คะแนนเต็ม]:[คะแนนเต็ม]]),"",(tbl_task5[124]/tbl_task5[[คะแนนเต็ม]:[คะแนนเต็ม]])*tbl_task5[[%]:[%]])</f>
        <v/>
      </c>
      <c r="KI25" s="121" t="str">
        <f>IF(ISBLANK(tbl_task5[[คะแนนเต็ม]:[คะแนนเต็ม]]),"",(tbl_task5[125]/tbl_task5[[คะแนนเต็ม]:[คะแนนเต็ม]])*tbl_task5[[%]:[%]])</f>
        <v/>
      </c>
      <c r="KJ25" s="121" t="str">
        <f>IF(ISBLANK(tbl_task5[[คะแนนเต็ม]:[คะแนนเต็ม]]),"",(tbl_task5[126]/tbl_task5[[คะแนนเต็ม]:[คะแนนเต็ม]])*tbl_task5[[%]:[%]])</f>
        <v/>
      </c>
      <c r="KK25" s="121" t="str">
        <f>IF(ISBLANK(tbl_task5[[คะแนนเต็ม]:[คะแนนเต็ม]]),"",(tbl_task5[127]/tbl_task5[[คะแนนเต็ม]:[คะแนนเต็ม]])*tbl_task5[[%]:[%]])</f>
        <v/>
      </c>
      <c r="KL25" s="121" t="str">
        <f>IF(ISBLANK(tbl_task5[[คะแนนเต็ม]:[คะแนนเต็ม]]),"",(tbl_task5[128]/tbl_task5[[คะแนนเต็ม]:[คะแนนเต็ม]])*tbl_task5[[%]:[%]])</f>
        <v/>
      </c>
      <c r="KM25" s="121" t="str">
        <f>IF(ISBLANK(tbl_task5[[คะแนนเต็ม]:[คะแนนเต็ม]]),"",(tbl_task5[129]/tbl_task5[[คะแนนเต็ม]:[คะแนนเต็ม]])*tbl_task5[[%]:[%]])</f>
        <v/>
      </c>
      <c r="KN25" s="121" t="str">
        <f>IF(ISBLANK(tbl_task5[[คะแนนเต็ม]:[คะแนนเต็ม]]),"",(tbl_task5[130]/tbl_task5[[คะแนนเต็ม]:[คะแนนเต็ม]])*tbl_task5[[%]:[%]])</f>
        <v/>
      </c>
      <c r="KO25" s="121" t="str">
        <f>IF(ISBLANK(tbl_task5[[คะแนนเต็ม]:[คะแนนเต็ม]]),"",(tbl_task5[131]/tbl_task5[[คะแนนเต็ม]:[คะแนนเต็ม]])*tbl_task5[[%]:[%]])</f>
        <v/>
      </c>
      <c r="KP25" s="121" t="str">
        <f>IF(ISBLANK(tbl_task5[[คะแนนเต็ม]:[คะแนนเต็ม]]),"",(tbl_task5[132]/tbl_task5[[คะแนนเต็ม]:[คะแนนเต็ม]])*tbl_task5[[%]:[%]])</f>
        <v/>
      </c>
      <c r="KQ25" s="121" t="str">
        <f>IF(ISBLANK(tbl_task5[[คะแนนเต็ม]:[คะแนนเต็ม]]),"",(tbl_task5[133]/tbl_task5[[คะแนนเต็ม]:[คะแนนเต็ม]])*tbl_task5[[%]:[%]])</f>
        <v/>
      </c>
      <c r="KR25" s="121" t="str">
        <f>IF(ISBLANK(tbl_task5[[คะแนนเต็ม]:[คะแนนเต็ม]]),"",(tbl_task5[134]/tbl_task5[[คะแนนเต็ม]:[คะแนนเต็ม]])*tbl_task5[[%]:[%]])</f>
        <v/>
      </c>
      <c r="KS25" s="121" t="str">
        <f>IF(ISBLANK(tbl_task5[[คะแนนเต็ม]:[คะแนนเต็ม]]),"",(tbl_task5[135]/tbl_task5[[คะแนนเต็ม]:[คะแนนเต็ม]])*tbl_task5[[%]:[%]])</f>
        <v/>
      </c>
      <c r="KT25" s="121" t="str">
        <f>IF(ISBLANK(tbl_task5[[คะแนนเต็ม]:[คะแนนเต็ม]]),"",(tbl_task5[136]/tbl_task5[[คะแนนเต็ม]:[คะแนนเต็ม]])*tbl_task5[[%]:[%]])</f>
        <v/>
      </c>
      <c r="KU25" s="121" t="str">
        <f>IF(ISBLANK(tbl_task5[[คะแนนเต็ม]:[คะแนนเต็ม]]),"",(tbl_task5[137]/tbl_task5[[คะแนนเต็ม]:[คะแนนเต็ม]])*tbl_task5[[%]:[%]])</f>
        <v/>
      </c>
      <c r="KV25" s="121" t="str">
        <f>IF(ISBLANK(tbl_task5[[คะแนนเต็ม]:[คะแนนเต็ม]]),"",(tbl_task5[138]/tbl_task5[[คะแนนเต็ม]:[คะแนนเต็ม]])*tbl_task5[[%]:[%]])</f>
        <v/>
      </c>
      <c r="KW25" s="121" t="str">
        <f>IF(ISBLANK(tbl_task5[[คะแนนเต็ม]:[คะแนนเต็ม]]),"",(tbl_task5[139]/tbl_task5[[คะแนนเต็ม]:[คะแนนเต็ม]])*tbl_task5[[%]:[%]])</f>
        <v/>
      </c>
      <c r="KX25" s="121" t="str">
        <f>IF(ISBLANK(tbl_task5[[คะแนนเต็ม]:[คะแนนเต็ม]]),"",(tbl_task5[140]/tbl_task5[[คะแนนเต็ม]:[คะแนนเต็ม]])*tbl_task5[[%]:[%]])</f>
        <v/>
      </c>
      <c r="KY25" s="121" t="str">
        <f>IF(ISBLANK(tbl_task5[[คะแนนเต็ม]:[คะแนนเต็ม]]),"",(tbl_task5[141]/tbl_task5[[คะแนนเต็ม]:[คะแนนเต็ม]])*tbl_task5[[%]:[%]])</f>
        <v/>
      </c>
      <c r="KZ25" s="121" t="str">
        <f>IF(ISBLANK(tbl_task5[[คะแนนเต็ม]:[คะแนนเต็ม]]),"",(tbl_task5[142]/tbl_task5[[คะแนนเต็ม]:[คะแนนเต็ม]])*tbl_task5[[%]:[%]])</f>
        <v/>
      </c>
      <c r="LA25" s="121" t="str">
        <f>IF(ISBLANK(tbl_task5[[คะแนนเต็ม]:[คะแนนเต็ม]]),"",(tbl_task5[143]/tbl_task5[[คะแนนเต็ม]:[คะแนนเต็ม]])*tbl_task5[[%]:[%]])</f>
        <v/>
      </c>
      <c r="LB25" s="121" t="str">
        <f>IF(ISBLANK(tbl_task5[[คะแนนเต็ม]:[คะแนนเต็ม]]),"",(tbl_task5[144]/tbl_task5[[คะแนนเต็ม]:[คะแนนเต็ม]])*tbl_task5[[%]:[%]])</f>
        <v/>
      </c>
      <c r="LC25" s="121" t="str">
        <f>IF(ISBLANK(tbl_task5[[คะแนนเต็ม]:[คะแนนเต็ม]]),"",(tbl_task5[145]/tbl_task5[[คะแนนเต็ม]:[คะแนนเต็ม]])*tbl_task5[[%]:[%]])</f>
        <v/>
      </c>
      <c r="LD25" s="121" t="str">
        <f>IF(ISBLANK(tbl_task5[[คะแนนเต็ม]:[คะแนนเต็ม]]),"",(tbl_task5[146]/tbl_task5[[คะแนนเต็ม]:[คะแนนเต็ม]])*tbl_task5[[%]:[%]])</f>
        <v/>
      </c>
      <c r="LE25" s="121" t="str">
        <f>IF(ISBLANK(tbl_task5[[คะแนนเต็ม]:[คะแนนเต็ม]]),"",(tbl_task5[147]/tbl_task5[[คะแนนเต็ม]:[คะแนนเต็ม]])*tbl_task5[[%]:[%]])</f>
        <v/>
      </c>
      <c r="LF25" s="121" t="str">
        <f>IF(ISBLANK(tbl_task5[[คะแนนเต็ม]:[คะแนนเต็ม]]),"",(tbl_task5[148]/tbl_task5[[คะแนนเต็ม]:[คะแนนเต็ม]])*tbl_task5[[%]:[%]])</f>
        <v/>
      </c>
      <c r="LG25" s="121" t="str">
        <f>IF(ISBLANK(tbl_task5[[คะแนนเต็ม]:[คะแนนเต็ม]]),"",(tbl_task5[149]/tbl_task5[[คะแนนเต็ม]:[คะแนนเต็ม]])*tbl_task5[[%]:[%]])</f>
        <v/>
      </c>
      <c r="LH25" s="121" t="str">
        <f>IF(ISBLANK(tbl_task5[[คะแนนเต็ม]:[คะแนนเต็ม]]),"",(tbl_task5[150]/tbl_task5[[คะแนนเต็ม]:[คะแนนเต็ม]])*tbl_task5[[%]:[%]])</f>
        <v/>
      </c>
      <c r="LI25" s="121" t="str">
        <f>IF(ISBLANK(tbl_task5[[คะแนนเต็ม]:[คะแนนเต็ม]]),"",(tbl_task5[151]/tbl_task5[[คะแนนเต็ม]:[คะแนนเต็ม]])*tbl_task5[[%]:[%]])</f>
        <v/>
      </c>
      <c r="LJ25" s="121" t="str">
        <f>IF(ISBLANK(tbl_task5[[คะแนนเต็ม]:[คะแนนเต็ม]]),"",(tbl_task5[152]/tbl_task5[[คะแนนเต็ม]:[คะแนนเต็ม]])*tbl_task5[[%]:[%]])</f>
        <v/>
      </c>
      <c r="LK25" s="121" t="str">
        <f>IF(ISBLANK(tbl_task5[[คะแนนเต็ม]:[คะแนนเต็ม]]),"",(tbl_task5[153]/tbl_task5[[คะแนนเต็ม]:[คะแนนเต็ม]])*tbl_task5[[%]:[%]])</f>
        <v/>
      </c>
      <c r="LL25" s="121" t="str">
        <f>IF(ISBLANK(tbl_task5[[คะแนนเต็ม]:[คะแนนเต็ม]]),"",(tbl_task5[154]/tbl_task5[[คะแนนเต็ม]:[คะแนนเต็ม]])*tbl_task5[[%]:[%]])</f>
        <v/>
      </c>
      <c r="LM25" s="121" t="str">
        <f>IF(ISBLANK(tbl_task5[[คะแนนเต็ม]:[คะแนนเต็ม]]),"",(tbl_task5[155]/tbl_task5[[คะแนนเต็ม]:[คะแนนเต็ม]])*tbl_task5[[%]:[%]])</f>
        <v/>
      </c>
      <c r="LN25" s="121" t="str">
        <f>IF(ISBLANK(tbl_task5[[คะแนนเต็ม]:[คะแนนเต็ม]]),"",(tbl_task5[156]/tbl_task5[[คะแนนเต็ม]:[คะแนนเต็ม]])*tbl_task5[[%]:[%]])</f>
        <v/>
      </c>
      <c r="LO25" s="121" t="str">
        <f>IF(ISBLANK(tbl_task5[[คะแนนเต็ม]:[คะแนนเต็ม]]),"",(tbl_task5[157]/tbl_task5[[คะแนนเต็ม]:[คะแนนเต็ม]])*tbl_task5[[%]:[%]])</f>
        <v/>
      </c>
      <c r="LP25" s="121" t="str">
        <f>IF(ISBLANK(tbl_task5[[คะแนนเต็ม]:[คะแนนเต็ม]]),"",(tbl_task5[158]/tbl_task5[[คะแนนเต็ม]:[คะแนนเต็ม]])*tbl_task5[[%]:[%]])</f>
        <v/>
      </c>
      <c r="LQ25" s="121" t="str">
        <f>IF(ISBLANK(tbl_task5[[คะแนนเต็ม]:[คะแนนเต็ม]]),"",(tbl_task5[159]/tbl_task5[[คะแนนเต็ม]:[คะแนนเต็ม]])*tbl_task5[[%]:[%]])</f>
        <v/>
      </c>
      <c r="LR25" s="121" t="str">
        <f>IF(ISBLANK(tbl_task5[[คะแนนเต็ม]:[คะแนนเต็ม]]),"",(tbl_task5[160]/tbl_task5[[คะแนนเต็ม]:[คะแนนเต็ม]])*tbl_task5[[%]:[%]])</f>
        <v/>
      </c>
      <c r="LS25" s="121" t="str">
        <f>IF(ISBLANK(tbl_task5[[คะแนนเต็ม]:[คะแนนเต็ม]]),"",(tbl_task5[161]/tbl_task5[[คะแนนเต็ม]:[คะแนนเต็ม]])*tbl_task5[[%]:[%]])</f>
        <v/>
      </c>
      <c r="LT25" s="121" t="str">
        <f>IF(ISBLANK(tbl_task5[[คะแนนเต็ม]:[คะแนนเต็ม]]),"",(tbl_task5[162]/tbl_task5[[คะแนนเต็ม]:[คะแนนเต็ม]])*tbl_task5[[%]:[%]])</f>
        <v/>
      </c>
      <c r="LU25" s="121" t="str">
        <f>IF(ISBLANK(tbl_task5[[คะแนนเต็ม]:[คะแนนเต็ม]]),"",(tbl_task5[163]/tbl_task5[[คะแนนเต็ม]:[คะแนนเต็ม]])*tbl_task5[[%]:[%]])</f>
        <v/>
      </c>
      <c r="LV25" s="121" t="str">
        <f>IF(ISBLANK(tbl_task5[[คะแนนเต็ม]:[คะแนนเต็ม]]),"",(tbl_task5[164]/tbl_task5[[คะแนนเต็ม]:[คะแนนเต็ม]])*tbl_task5[[%]:[%]])</f>
        <v/>
      </c>
      <c r="LW25" s="121" t="str">
        <f>IF(ISBLANK(tbl_task5[[คะแนนเต็ม]:[คะแนนเต็ม]]),"",(tbl_task5[165]/tbl_task5[[คะแนนเต็ม]:[คะแนนเต็ม]])*tbl_task5[[%]:[%]])</f>
        <v/>
      </c>
    </row>
    <row r="26" spans="1:335" ht="24" customHeight="1" x14ac:dyDescent="0.25">
      <c r="A26" s="24">
        <v>23</v>
      </c>
      <c r="B26" s="20"/>
      <c r="C26" s="5" t="str">
        <f>IF(ISBLANK(B26),"",VLOOKUP(B26,tbl_PLOs[],2,0))</f>
        <v/>
      </c>
      <c r="D26" s="102"/>
      <c r="E26" s="106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21" t="str">
        <f>IF(ISBLANK(tbl_task5[[คะแนนเต็ม]:[คะแนนเต็ม]]),"",(tbl_task5[1]/tbl_task5[[คะแนนเต็ม]:[คะแนนเต็ม]])*tbl_task5[[%]:[%]])</f>
        <v/>
      </c>
      <c r="FP26" s="121" t="str">
        <f>IF(ISBLANK(tbl_task5[[คะแนนเต็ม]:[คะแนนเต็ม]]),"",(tbl_task5[2]/tbl_task5[[คะแนนเต็ม]:[คะแนนเต็ม]])*tbl_task5[[%]:[%]])</f>
        <v/>
      </c>
      <c r="FQ26" s="121" t="str">
        <f>IF(ISBLANK(tbl_task5[[คะแนนเต็ม]:[คะแนนเต็ม]]),"",(tbl_task5[3]/tbl_task5[[คะแนนเต็ม]:[คะแนนเต็ม]])*tbl_task5[[%]:[%]])</f>
        <v/>
      </c>
      <c r="FR26" s="121" t="str">
        <f>IF(ISBLANK(tbl_task5[[คะแนนเต็ม]:[คะแนนเต็ม]]),"",(tbl_task5[4]/tbl_task5[[คะแนนเต็ม]:[คะแนนเต็ม]])*tbl_task5[[%]:[%]])</f>
        <v/>
      </c>
      <c r="FS26" s="121" t="str">
        <f>IF(ISBLANK(tbl_task5[[คะแนนเต็ม]:[คะแนนเต็ม]]),"",(tbl_task5[5]/tbl_task5[[คะแนนเต็ม]:[คะแนนเต็ม]])*tbl_task5[[%]:[%]])</f>
        <v/>
      </c>
      <c r="FT26" s="121" t="str">
        <f>IF(ISBLANK(tbl_task5[[คะแนนเต็ม]:[คะแนนเต็ม]]),"",(tbl_task5[6]/tbl_task5[[คะแนนเต็ม]:[คะแนนเต็ม]])*tbl_task5[[%]:[%]])</f>
        <v/>
      </c>
      <c r="FU26" s="121" t="str">
        <f>IF(ISBLANK(tbl_task5[[คะแนนเต็ม]:[คะแนนเต็ม]]),"",(tbl_task5[7]/tbl_task5[[คะแนนเต็ม]:[คะแนนเต็ม]])*tbl_task5[[%]:[%]])</f>
        <v/>
      </c>
      <c r="FV26" s="121" t="str">
        <f>IF(ISBLANK(tbl_task5[[คะแนนเต็ม]:[คะแนนเต็ม]]),"",(tbl_task5[8]/tbl_task5[[คะแนนเต็ม]:[คะแนนเต็ม]])*tbl_task5[[%]:[%]])</f>
        <v/>
      </c>
      <c r="FW26" s="121" t="str">
        <f>IF(ISBLANK(tbl_task5[[คะแนนเต็ม]:[คะแนนเต็ม]]),"",(tbl_task5[9]/tbl_task5[[คะแนนเต็ม]:[คะแนนเต็ม]])*tbl_task5[[%]:[%]])</f>
        <v/>
      </c>
      <c r="FX26" s="121" t="str">
        <f>IF(ISBLANK(tbl_task5[[คะแนนเต็ม]:[คะแนนเต็ม]]),"",(tbl_task5[10]/tbl_task5[[คะแนนเต็ม]:[คะแนนเต็ม]])*tbl_task5[[%]:[%]])</f>
        <v/>
      </c>
      <c r="FY26" s="121" t="str">
        <f>IF(ISBLANK(tbl_task5[[คะแนนเต็ม]:[คะแนนเต็ม]]),"",(tbl_task5[11]/tbl_task5[[คะแนนเต็ม]:[คะแนนเต็ม]])*tbl_task5[[%]:[%]])</f>
        <v/>
      </c>
      <c r="FZ26" s="121" t="str">
        <f>IF(ISBLANK(tbl_task5[[คะแนนเต็ม]:[คะแนนเต็ม]]),"",(tbl_task5[12]/tbl_task5[[คะแนนเต็ม]:[คะแนนเต็ม]])*tbl_task5[[%]:[%]])</f>
        <v/>
      </c>
      <c r="GA26" s="121" t="str">
        <f>IF(ISBLANK(tbl_task5[[คะแนนเต็ม]:[คะแนนเต็ม]]),"",(tbl_task5[13]/tbl_task5[[คะแนนเต็ม]:[คะแนนเต็ม]])*tbl_task5[[%]:[%]])</f>
        <v/>
      </c>
      <c r="GB26" s="121" t="str">
        <f>IF(ISBLANK(tbl_task5[[คะแนนเต็ม]:[คะแนนเต็ม]]),"",(tbl_task5[14]/tbl_task5[[คะแนนเต็ม]:[คะแนนเต็ม]])*tbl_task5[[%]:[%]])</f>
        <v/>
      </c>
      <c r="GC26" s="121" t="str">
        <f>IF(ISBLANK(tbl_task5[[คะแนนเต็ม]:[คะแนนเต็ม]]),"",(tbl_task5[15]/tbl_task5[[คะแนนเต็ม]:[คะแนนเต็ม]])*tbl_task5[[%]:[%]])</f>
        <v/>
      </c>
      <c r="GD26" s="121" t="str">
        <f>IF(ISBLANK(tbl_task5[[คะแนนเต็ม]:[คะแนนเต็ม]]),"",(tbl_task5[16]/tbl_task5[[คะแนนเต็ม]:[คะแนนเต็ม]])*tbl_task5[[%]:[%]])</f>
        <v/>
      </c>
      <c r="GE26" s="121" t="str">
        <f>IF(ISBLANK(tbl_task5[[คะแนนเต็ม]:[คะแนนเต็ม]]),"",(tbl_task5[17]/tbl_task5[[คะแนนเต็ม]:[คะแนนเต็ม]])*tbl_task5[[%]:[%]])</f>
        <v/>
      </c>
      <c r="GF26" s="121" t="str">
        <f>IF(ISBLANK(tbl_task5[[คะแนนเต็ม]:[คะแนนเต็ม]]),"",(tbl_task5[18]/tbl_task5[[คะแนนเต็ม]:[คะแนนเต็ม]])*tbl_task5[[%]:[%]])</f>
        <v/>
      </c>
      <c r="GG26" s="121" t="str">
        <f>IF(ISBLANK(tbl_task5[[คะแนนเต็ม]:[คะแนนเต็ม]]),"",(tbl_task5[19]/tbl_task5[[คะแนนเต็ม]:[คะแนนเต็ม]])*tbl_task5[[%]:[%]])</f>
        <v/>
      </c>
      <c r="GH26" s="121" t="str">
        <f>IF(ISBLANK(tbl_task5[[คะแนนเต็ม]:[คะแนนเต็ม]]),"",(tbl_task5[20]/tbl_task5[[คะแนนเต็ม]:[คะแนนเต็ม]])*tbl_task5[[%]:[%]])</f>
        <v/>
      </c>
      <c r="GI26" s="121" t="str">
        <f>IF(ISBLANK(tbl_task5[[คะแนนเต็ม]:[คะแนนเต็ม]]),"",(tbl_task5[21]/tbl_task5[[คะแนนเต็ม]:[คะแนนเต็ม]])*tbl_task5[[%]:[%]])</f>
        <v/>
      </c>
      <c r="GJ26" s="121" t="str">
        <f>IF(ISBLANK(tbl_task5[[คะแนนเต็ม]:[คะแนนเต็ม]]),"",(tbl_task5[22]/tbl_task5[[คะแนนเต็ม]:[คะแนนเต็ม]])*tbl_task5[[%]:[%]])</f>
        <v/>
      </c>
      <c r="GK26" s="121" t="str">
        <f>IF(ISBLANK(tbl_task5[[คะแนนเต็ม]:[คะแนนเต็ม]]),"",(tbl_task5[23]/tbl_task5[[คะแนนเต็ม]:[คะแนนเต็ม]])*tbl_task5[[%]:[%]])</f>
        <v/>
      </c>
      <c r="GL26" s="121" t="str">
        <f>IF(ISBLANK(tbl_task5[[คะแนนเต็ม]:[คะแนนเต็ม]]),"",(tbl_task5[24]/tbl_task5[[คะแนนเต็ม]:[คะแนนเต็ม]])*tbl_task5[[%]:[%]])</f>
        <v/>
      </c>
      <c r="GM26" s="121" t="str">
        <f>IF(ISBLANK(tbl_task5[[คะแนนเต็ม]:[คะแนนเต็ม]]),"",(tbl_task5[25]/tbl_task5[[คะแนนเต็ม]:[คะแนนเต็ม]])*tbl_task5[[%]:[%]])</f>
        <v/>
      </c>
      <c r="GN26" s="121" t="str">
        <f>IF(ISBLANK(tbl_task5[[คะแนนเต็ม]:[คะแนนเต็ม]]),"",(tbl_task5[26]/tbl_task5[[คะแนนเต็ม]:[คะแนนเต็ม]])*tbl_task5[[%]:[%]])</f>
        <v/>
      </c>
      <c r="GO26" s="121" t="str">
        <f>IF(ISBLANK(tbl_task5[[คะแนนเต็ม]:[คะแนนเต็ม]]),"",(tbl_task5[27]/tbl_task5[[คะแนนเต็ม]:[คะแนนเต็ม]])*tbl_task5[[%]:[%]])</f>
        <v/>
      </c>
      <c r="GP26" s="121" t="str">
        <f>IF(ISBLANK(tbl_task5[[คะแนนเต็ม]:[คะแนนเต็ม]]),"",(tbl_task5[28]/tbl_task5[[คะแนนเต็ม]:[คะแนนเต็ม]])*tbl_task5[[%]:[%]])</f>
        <v/>
      </c>
      <c r="GQ26" s="121" t="str">
        <f>IF(ISBLANK(tbl_task5[[คะแนนเต็ม]:[คะแนนเต็ม]]),"",(tbl_task5[29]/tbl_task5[[คะแนนเต็ม]:[คะแนนเต็ม]])*tbl_task5[[%]:[%]])</f>
        <v/>
      </c>
      <c r="GR26" s="121" t="str">
        <f>IF(ISBLANK(tbl_task5[[คะแนนเต็ม]:[คะแนนเต็ม]]),"",(tbl_task5[30]/tbl_task5[[คะแนนเต็ม]:[คะแนนเต็ม]])*tbl_task5[[%]:[%]])</f>
        <v/>
      </c>
      <c r="GS26" s="121" t="str">
        <f>IF(ISBLANK(tbl_task5[[คะแนนเต็ม]:[คะแนนเต็ม]]),"",(tbl_task5[31]/tbl_task5[[คะแนนเต็ม]:[คะแนนเต็ม]])*tbl_task5[[%]:[%]])</f>
        <v/>
      </c>
      <c r="GT26" s="121" t="str">
        <f>IF(ISBLANK(tbl_task5[[คะแนนเต็ม]:[คะแนนเต็ม]]),"",(tbl_task5[32]/tbl_task5[[คะแนนเต็ม]:[คะแนนเต็ม]])*tbl_task5[[%]:[%]])</f>
        <v/>
      </c>
      <c r="GU26" s="121" t="str">
        <f>IF(ISBLANK(tbl_task5[[คะแนนเต็ม]:[คะแนนเต็ม]]),"",(tbl_task5[33]/tbl_task5[[คะแนนเต็ม]:[คะแนนเต็ม]])*tbl_task5[[%]:[%]])</f>
        <v/>
      </c>
      <c r="GV26" s="121" t="str">
        <f>IF(ISBLANK(tbl_task5[[คะแนนเต็ม]:[คะแนนเต็ม]]),"",(tbl_task5[34]/tbl_task5[[คะแนนเต็ม]:[คะแนนเต็ม]])*tbl_task5[[%]:[%]])</f>
        <v/>
      </c>
      <c r="GW26" s="121" t="str">
        <f>IF(ISBLANK(tbl_task5[[คะแนนเต็ม]:[คะแนนเต็ม]]),"",(tbl_task5[35]/tbl_task5[[คะแนนเต็ม]:[คะแนนเต็ม]])*tbl_task5[[%]:[%]])</f>
        <v/>
      </c>
      <c r="GX26" s="121" t="str">
        <f>IF(ISBLANK(tbl_task5[[คะแนนเต็ม]:[คะแนนเต็ม]]),"",(tbl_task5[36]/tbl_task5[[คะแนนเต็ม]:[คะแนนเต็ม]])*tbl_task5[[%]:[%]])</f>
        <v/>
      </c>
      <c r="GY26" s="121" t="str">
        <f>IF(ISBLANK(tbl_task5[[คะแนนเต็ม]:[คะแนนเต็ม]]),"",(tbl_task5[37]/tbl_task5[[คะแนนเต็ม]:[คะแนนเต็ม]])*tbl_task5[[%]:[%]])</f>
        <v/>
      </c>
      <c r="GZ26" s="121" t="str">
        <f>IF(ISBLANK(tbl_task5[[คะแนนเต็ม]:[คะแนนเต็ม]]),"",(tbl_task5[38]/tbl_task5[[คะแนนเต็ม]:[คะแนนเต็ม]])*tbl_task5[[%]:[%]])</f>
        <v/>
      </c>
      <c r="HA26" s="121" t="str">
        <f>IF(ISBLANK(tbl_task5[[คะแนนเต็ม]:[คะแนนเต็ม]]),"",(tbl_task5[39]/tbl_task5[[คะแนนเต็ม]:[คะแนนเต็ม]])*tbl_task5[[%]:[%]])</f>
        <v/>
      </c>
      <c r="HB26" s="121" t="str">
        <f>IF(ISBLANK(tbl_task5[[คะแนนเต็ม]:[คะแนนเต็ม]]),"",(tbl_task5[40]/tbl_task5[[คะแนนเต็ม]:[คะแนนเต็ม]])*tbl_task5[[%]:[%]])</f>
        <v/>
      </c>
      <c r="HC26" s="121" t="str">
        <f>IF(ISBLANK(tbl_task5[[คะแนนเต็ม]:[คะแนนเต็ม]]),"",(tbl_task5[41]/tbl_task5[[คะแนนเต็ม]:[คะแนนเต็ม]])*tbl_task5[[%]:[%]])</f>
        <v/>
      </c>
      <c r="HD26" s="121" t="str">
        <f>IF(ISBLANK(tbl_task5[[คะแนนเต็ม]:[คะแนนเต็ม]]),"",(tbl_task5[42]/tbl_task5[[คะแนนเต็ม]:[คะแนนเต็ม]])*tbl_task5[[%]:[%]])</f>
        <v/>
      </c>
      <c r="HE26" s="121" t="str">
        <f>IF(ISBLANK(tbl_task5[[คะแนนเต็ม]:[คะแนนเต็ม]]),"",(tbl_task5[43]/tbl_task5[[คะแนนเต็ม]:[คะแนนเต็ม]])*tbl_task5[[%]:[%]])</f>
        <v/>
      </c>
      <c r="HF26" s="121" t="str">
        <f>IF(ISBLANK(tbl_task5[[คะแนนเต็ม]:[คะแนนเต็ม]]),"",(tbl_task5[44]/tbl_task5[[คะแนนเต็ม]:[คะแนนเต็ม]])*tbl_task5[[%]:[%]])</f>
        <v/>
      </c>
      <c r="HG26" s="121" t="str">
        <f>IF(ISBLANK(tbl_task5[[คะแนนเต็ม]:[คะแนนเต็ม]]),"",(tbl_task5[45]/tbl_task5[[คะแนนเต็ม]:[คะแนนเต็ม]])*tbl_task5[[%]:[%]])</f>
        <v/>
      </c>
      <c r="HH26" s="121" t="str">
        <f>IF(ISBLANK(tbl_task5[[คะแนนเต็ม]:[คะแนนเต็ม]]),"",(tbl_task5[46]/tbl_task5[[คะแนนเต็ม]:[คะแนนเต็ม]])*tbl_task5[[%]:[%]])</f>
        <v/>
      </c>
      <c r="HI26" s="121" t="str">
        <f>IF(ISBLANK(tbl_task5[[คะแนนเต็ม]:[คะแนนเต็ม]]),"",(tbl_task5[47]/tbl_task5[[คะแนนเต็ม]:[คะแนนเต็ม]])*tbl_task5[[%]:[%]])</f>
        <v/>
      </c>
      <c r="HJ26" s="121" t="str">
        <f>IF(ISBLANK(tbl_task5[[คะแนนเต็ม]:[คะแนนเต็ม]]),"",(tbl_task5[48]/tbl_task5[[คะแนนเต็ม]:[คะแนนเต็ม]])*tbl_task5[[%]:[%]])</f>
        <v/>
      </c>
      <c r="HK26" s="121" t="str">
        <f>IF(ISBLANK(tbl_task5[[คะแนนเต็ม]:[คะแนนเต็ม]]),"",(tbl_task5[49]/tbl_task5[[คะแนนเต็ม]:[คะแนนเต็ม]])*tbl_task5[[%]:[%]])</f>
        <v/>
      </c>
      <c r="HL26" s="121" t="str">
        <f>IF(ISBLANK(tbl_task5[[คะแนนเต็ม]:[คะแนนเต็ม]]),"",(tbl_task5[50]/tbl_task5[[คะแนนเต็ม]:[คะแนนเต็ม]])*tbl_task5[[%]:[%]])</f>
        <v/>
      </c>
      <c r="HM26" s="121" t="str">
        <f>IF(ISBLANK(tbl_task5[[คะแนนเต็ม]:[คะแนนเต็ม]]),"",(tbl_task5[51]/tbl_task5[[คะแนนเต็ม]:[คะแนนเต็ม]])*tbl_task5[[%]:[%]])</f>
        <v/>
      </c>
      <c r="HN26" s="121" t="str">
        <f>IF(ISBLANK(tbl_task5[[คะแนนเต็ม]:[คะแนนเต็ม]]),"",(tbl_task5[52]/tbl_task5[[คะแนนเต็ม]:[คะแนนเต็ม]])*tbl_task5[[%]:[%]])</f>
        <v/>
      </c>
      <c r="HO26" s="121" t="str">
        <f>IF(ISBLANK(tbl_task5[[คะแนนเต็ม]:[คะแนนเต็ม]]),"",(tbl_task5[53]/tbl_task5[[คะแนนเต็ม]:[คะแนนเต็ม]])*tbl_task5[[%]:[%]])</f>
        <v/>
      </c>
      <c r="HP26" s="121" t="str">
        <f>IF(ISBLANK(tbl_task5[[คะแนนเต็ม]:[คะแนนเต็ม]]),"",(tbl_task5[54]/tbl_task5[[คะแนนเต็ม]:[คะแนนเต็ม]])*tbl_task5[[%]:[%]])</f>
        <v/>
      </c>
      <c r="HQ26" s="121" t="str">
        <f>IF(ISBLANK(tbl_task5[[คะแนนเต็ม]:[คะแนนเต็ม]]),"",(tbl_task5[55]/tbl_task5[[คะแนนเต็ม]:[คะแนนเต็ม]])*tbl_task5[[%]:[%]])</f>
        <v/>
      </c>
      <c r="HR26" s="121" t="str">
        <f>IF(ISBLANK(tbl_task5[[คะแนนเต็ม]:[คะแนนเต็ม]]),"",(tbl_task5[56]/tbl_task5[[คะแนนเต็ม]:[คะแนนเต็ม]])*tbl_task5[[%]:[%]])</f>
        <v/>
      </c>
      <c r="HS26" s="121" t="str">
        <f>IF(ISBLANK(tbl_task5[[คะแนนเต็ม]:[คะแนนเต็ม]]),"",(tbl_task5[57]/tbl_task5[[คะแนนเต็ม]:[คะแนนเต็ม]])*tbl_task5[[%]:[%]])</f>
        <v/>
      </c>
      <c r="HT26" s="121" t="str">
        <f>IF(ISBLANK(tbl_task5[[คะแนนเต็ม]:[คะแนนเต็ม]]),"",(tbl_task5[58]/tbl_task5[[คะแนนเต็ม]:[คะแนนเต็ม]])*tbl_task5[[%]:[%]])</f>
        <v/>
      </c>
      <c r="HU26" s="121" t="str">
        <f>IF(ISBLANK(tbl_task5[[คะแนนเต็ม]:[คะแนนเต็ม]]),"",(tbl_task5[59]/tbl_task5[[คะแนนเต็ม]:[คะแนนเต็ม]])*tbl_task5[[%]:[%]])</f>
        <v/>
      </c>
      <c r="HV26" s="121" t="str">
        <f>IF(ISBLANK(tbl_task5[[คะแนนเต็ม]:[คะแนนเต็ม]]),"",(tbl_task5[60]/tbl_task5[[คะแนนเต็ม]:[คะแนนเต็ม]])*tbl_task5[[%]:[%]])</f>
        <v/>
      </c>
      <c r="HW26" s="121" t="str">
        <f>IF(ISBLANK(tbl_task5[[คะแนนเต็ม]:[คะแนนเต็ม]]),"",(tbl_task5[61]/tbl_task5[[คะแนนเต็ม]:[คะแนนเต็ม]])*tbl_task5[[%]:[%]])</f>
        <v/>
      </c>
      <c r="HX26" s="121" t="str">
        <f>IF(ISBLANK(tbl_task5[[คะแนนเต็ม]:[คะแนนเต็ม]]),"",(tbl_task5[62]/tbl_task5[[คะแนนเต็ม]:[คะแนนเต็ม]])*tbl_task5[[%]:[%]])</f>
        <v/>
      </c>
      <c r="HY26" s="121" t="str">
        <f>IF(ISBLANK(tbl_task5[[คะแนนเต็ม]:[คะแนนเต็ม]]),"",(tbl_task5[63]/tbl_task5[[คะแนนเต็ม]:[คะแนนเต็ม]])*tbl_task5[[%]:[%]])</f>
        <v/>
      </c>
      <c r="HZ26" s="121" t="str">
        <f>IF(ISBLANK(tbl_task5[[คะแนนเต็ม]:[คะแนนเต็ม]]),"",(tbl_task5[64]/tbl_task5[[คะแนนเต็ม]:[คะแนนเต็ม]])*tbl_task5[[%]:[%]])</f>
        <v/>
      </c>
      <c r="IA26" s="121" t="str">
        <f>IF(ISBLANK(tbl_task5[[คะแนนเต็ม]:[คะแนนเต็ม]]),"",(tbl_task5[65]/tbl_task5[[คะแนนเต็ม]:[คะแนนเต็ม]])*tbl_task5[[%]:[%]])</f>
        <v/>
      </c>
      <c r="IB26" s="121" t="str">
        <f>IF(ISBLANK(tbl_task5[[คะแนนเต็ม]:[คะแนนเต็ม]]),"",(tbl_task5[66]/tbl_task5[[คะแนนเต็ม]:[คะแนนเต็ม]])*tbl_task5[[%]:[%]])</f>
        <v/>
      </c>
      <c r="IC26" s="121" t="str">
        <f>IF(ISBLANK(tbl_task5[[คะแนนเต็ม]:[คะแนนเต็ม]]),"",(tbl_task5[67]/tbl_task5[[คะแนนเต็ม]:[คะแนนเต็ม]])*tbl_task5[[%]:[%]])</f>
        <v/>
      </c>
      <c r="ID26" s="121" t="str">
        <f>IF(ISBLANK(tbl_task5[[คะแนนเต็ม]:[คะแนนเต็ม]]),"",(tbl_task5[68]/tbl_task5[[คะแนนเต็ม]:[คะแนนเต็ม]])*tbl_task5[[%]:[%]])</f>
        <v/>
      </c>
      <c r="IE26" s="121" t="str">
        <f>IF(ISBLANK(tbl_task5[[คะแนนเต็ม]:[คะแนนเต็ม]]),"",(tbl_task5[69]/tbl_task5[[คะแนนเต็ม]:[คะแนนเต็ม]])*tbl_task5[[%]:[%]])</f>
        <v/>
      </c>
      <c r="IF26" s="121" t="str">
        <f>IF(ISBLANK(tbl_task5[[คะแนนเต็ม]:[คะแนนเต็ม]]),"",(tbl_task5[70]/tbl_task5[[คะแนนเต็ม]:[คะแนนเต็ม]])*tbl_task5[[%]:[%]])</f>
        <v/>
      </c>
      <c r="IG26" s="121" t="str">
        <f>IF(ISBLANK(tbl_task5[[คะแนนเต็ม]:[คะแนนเต็ม]]),"",(tbl_task5[71]/tbl_task5[[คะแนนเต็ม]:[คะแนนเต็ม]])*tbl_task5[[%]:[%]])</f>
        <v/>
      </c>
      <c r="IH26" s="121" t="str">
        <f>IF(ISBLANK(tbl_task5[[คะแนนเต็ม]:[คะแนนเต็ม]]),"",(tbl_task5[72]/tbl_task5[[คะแนนเต็ม]:[คะแนนเต็ม]])*tbl_task5[[%]:[%]])</f>
        <v/>
      </c>
      <c r="II26" s="121" t="str">
        <f>IF(ISBLANK(tbl_task5[[คะแนนเต็ม]:[คะแนนเต็ม]]),"",(tbl_task5[73]/tbl_task5[[คะแนนเต็ม]:[คะแนนเต็ม]])*tbl_task5[[%]:[%]])</f>
        <v/>
      </c>
      <c r="IJ26" s="121" t="str">
        <f>IF(ISBLANK(tbl_task5[[คะแนนเต็ม]:[คะแนนเต็ม]]),"",(tbl_task5[74]/tbl_task5[[คะแนนเต็ม]:[คะแนนเต็ม]])*tbl_task5[[%]:[%]])</f>
        <v/>
      </c>
      <c r="IK26" s="121" t="str">
        <f>IF(ISBLANK(tbl_task5[[คะแนนเต็ม]:[คะแนนเต็ม]]),"",(tbl_task5[75]/tbl_task5[[คะแนนเต็ม]:[คะแนนเต็ม]])*tbl_task5[[%]:[%]])</f>
        <v/>
      </c>
      <c r="IL26" s="121" t="str">
        <f>IF(ISBLANK(tbl_task5[[คะแนนเต็ม]:[คะแนนเต็ม]]),"",(tbl_task5[76]/tbl_task5[[คะแนนเต็ม]:[คะแนนเต็ม]])*tbl_task5[[%]:[%]])</f>
        <v/>
      </c>
      <c r="IM26" s="121" t="str">
        <f>IF(ISBLANK(tbl_task5[[คะแนนเต็ม]:[คะแนนเต็ม]]),"",(tbl_task5[77]/tbl_task5[[คะแนนเต็ม]:[คะแนนเต็ม]])*tbl_task5[[%]:[%]])</f>
        <v/>
      </c>
      <c r="IN26" s="121" t="str">
        <f>IF(ISBLANK(tbl_task5[[คะแนนเต็ม]:[คะแนนเต็ม]]),"",(tbl_task5[78]/tbl_task5[[คะแนนเต็ม]:[คะแนนเต็ม]])*tbl_task5[[%]:[%]])</f>
        <v/>
      </c>
      <c r="IO26" s="121" t="str">
        <f>IF(ISBLANK(tbl_task5[[คะแนนเต็ม]:[คะแนนเต็ม]]),"",(tbl_task5[79]/tbl_task5[[คะแนนเต็ม]:[คะแนนเต็ม]])*tbl_task5[[%]:[%]])</f>
        <v/>
      </c>
      <c r="IP26" s="121" t="str">
        <f>IF(ISBLANK(tbl_task5[[คะแนนเต็ม]:[คะแนนเต็ม]]),"",(tbl_task5[80]/tbl_task5[[คะแนนเต็ม]:[คะแนนเต็ม]])*tbl_task5[[%]:[%]])</f>
        <v/>
      </c>
      <c r="IQ26" s="121" t="str">
        <f>IF(ISBLANK(tbl_task5[[คะแนนเต็ม]:[คะแนนเต็ม]]),"",(tbl_task5[81]/tbl_task5[[คะแนนเต็ม]:[คะแนนเต็ม]])*tbl_task5[[%]:[%]])</f>
        <v/>
      </c>
      <c r="IR26" s="121" t="str">
        <f>IF(ISBLANK(tbl_task5[[คะแนนเต็ม]:[คะแนนเต็ม]]),"",(tbl_task5[82]/tbl_task5[[คะแนนเต็ม]:[คะแนนเต็ม]])*tbl_task5[[%]:[%]])</f>
        <v/>
      </c>
      <c r="IS26" s="121" t="str">
        <f>IF(ISBLANK(tbl_task5[[คะแนนเต็ม]:[คะแนนเต็ม]]),"",(tbl_task5[83]/tbl_task5[[คะแนนเต็ม]:[คะแนนเต็ม]])*tbl_task5[[%]:[%]])</f>
        <v/>
      </c>
      <c r="IT26" s="121" t="str">
        <f>IF(ISBLANK(tbl_task5[[คะแนนเต็ม]:[คะแนนเต็ม]]),"",(tbl_task5[84]/tbl_task5[[คะแนนเต็ม]:[คะแนนเต็ม]])*tbl_task5[[%]:[%]])</f>
        <v/>
      </c>
      <c r="IU26" s="121" t="str">
        <f>IF(ISBLANK(tbl_task5[[คะแนนเต็ม]:[คะแนนเต็ม]]),"",(tbl_task5[85]/tbl_task5[[คะแนนเต็ม]:[คะแนนเต็ม]])*tbl_task5[[%]:[%]])</f>
        <v/>
      </c>
      <c r="IV26" s="121" t="str">
        <f>IF(ISBLANK(tbl_task5[[คะแนนเต็ม]:[คะแนนเต็ม]]),"",(tbl_task5[86]/tbl_task5[[คะแนนเต็ม]:[คะแนนเต็ม]])*tbl_task5[[%]:[%]])</f>
        <v/>
      </c>
      <c r="IW26" s="121" t="str">
        <f>IF(ISBLANK(tbl_task5[[คะแนนเต็ม]:[คะแนนเต็ม]]),"",(tbl_task5[87]/tbl_task5[[คะแนนเต็ม]:[คะแนนเต็ม]])*tbl_task5[[%]:[%]])</f>
        <v/>
      </c>
      <c r="IX26" s="121" t="str">
        <f>IF(ISBLANK(tbl_task5[[คะแนนเต็ม]:[คะแนนเต็ม]]),"",(tbl_task5[88]/tbl_task5[[คะแนนเต็ม]:[คะแนนเต็ม]])*tbl_task5[[%]:[%]])</f>
        <v/>
      </c>
      <c r="IY26" s="121" t="str">
        <f>IF(ISBLANK(tbl_task5[[คะแนนเต็ม]:[คะแนนเต็ม]]),"",(tbl_task5[89]/tbl_task5[[คะแนนเต็ม]:[คะแนนเต็ม]])*tbl_task5[[%]:[%]])</f>
        <v/>
      </c>
      <c r="IZ26" s="121" t="str">
        <f>IF(ISBLANK(tbl_task5[[คะแนนเต็ม]:[คะแนนเต็ม]]),"",(tbl_task5[90]/tbl_task5[[คะแนนเต็ม]:[คะแนนเต็ม]])*tbl_task5[[%]:[%]])</f>
        <v/>
      </c>
      <c r="JA26" s="121" t="str">
        <f>IF(ISBLANK(tbl_task5[[คะแนนเต็ม]:[คะแนนเต็ม]]),"",(tbl_task5[91]/tbl_task5[[คะแนนเต็ม]:[คะแนนเต็ม]])*tbl_task5[[%]:[%]])</f>
        <v/>
      </c>
      <c r="JB26" s="121" t="str">
        <f>IF(ISBLANK(tbl_task5[[คะแนนเต็ม]:[คะแนนเต็ม]]),"",(tbl_task5[92]/tbl_task5[[คะแนนเต็ม]:[คะแนนเต็ม]])*tbl_task5[[%]:[%]])</f>
        <v/>
      </c>
      <c r="JC26" s="121" t="str">
        <f>IF(ISBLANK(tbl_task5[[คะแนนเต็ม]:[คะแนนเต็ม]]),"",(tbl_task5[93]/tbl_task5[[คะแนนเต็ม]:[คะแนนเต็ม]])*tbl_task5[[%]:[%]])</f>
        <v/>
      </c>
      <c r="JD26" s="121" t="str">
        <f>IF(ISBLANK(tbl_task5[[คะแนนเต็ม]:[คะแนนเต็ม]]),"",(tbl_task5[94]/tbl_task5[[คะแนนเต็ม]:[คะแนนเต็ม]])*tbl_task5[[%]:[%]])</f>
        <v/>
      </c>
      <c r="JE26" s="121" t="str">
        <f>IF(ISBLANK(tbl_task5[[คะแนนเต็ม]:[คะแนนเต็ม]]),"",(tbl_task5[95]/tbl_task5[[คะแนนเต็ม]:[คะแนนเต็ม]])*tbl_task5[[%]:[%]])</f>
        <v/>
      </c>
      <c r="JF26" s="121" t="str">
        <f>IF(ISBLANK(tbl_task5[[คะแนนเต็ม]:[คะแนนเต็ม]]),"",(tbl_task5[96]/tbl_task5[[คะแนนเต็ม]:[คะแนนเต็ม]])*tbl_task5[[%]:[%]])</f>
        <v/>
      </c>
      <c r="JG26" s="121" t="str">
        <f>IF(ISBLANK(tbl_task5[[คะแนนเต็ม]:[คะแนนเต็ม]]),"",(tbl_task5[97]/tbl_task5[[คะแนนเต็ม]:[คะแนนเต็ม]])*tbl_task5[[%]:[%]])</f>
        <v/>
      </c>
      <c r="JH26" s="121" t="str">
        <f>IF(ISBLANK(tbl_task5[[คะแนนเต็ม]:[คะแนนเต็ม]]),"",(tbl_task5[98]/tbl_task5[[คะแนนเต็ม]:[คะแนนเต็ม]])*tbl_task5[[%]:[%]])</f>
        <v/>
      </c>
      <c r="JI26" s="121" t="str">
        <f>IF(ISBLANK(tbl_task5[[คะแนนเต็ม]:[คะแนนเต็ม]]),"",(tbl_task5[99]/tbl_task5[[คะแนนเต็ม]:[คะแนนเต็ม]])*tbl_task5[[%]:[%]])</f>
        <v/>
      </c>
      <c r="JJ26" s="121" t="str">
        <f>IF(ISBLANK(tbl_task5[[คะแนนเต็ม]:[คะแนนเต็ม]]),"",(tbl_task5[100]/tbl_task5[[คะแนนเต็ม]:[คะแนนเต็ม]])*tbl_task5[[%]:[%]])</f>
        <v/>
      </c>
      <c r="JK26" s="121" t="str">
        <f>IF(ISBLANK(tbl_task5[[คะแนนเต็ม]:[คะแนนเต็ม]]),"",(tbl_task5[101]/tbl_task5[[คะแนนเต็ม]:[คะแนนเต็ม]])*tbl_task5[[%]:[%]])</f>
        <v/>
      </c>
      <c r="JL26" s="121" t="str">
        <f>IF(ISBLANK(tbl_task5[[คะแนนเต็ม]:[คะแนนเต็ม]]),"",(tbl_task5[102]/tbl_task5[[คะแนนเต็ม]:[คะแนนเต็ม]])*tbl_task5[[%]:[%]])</f>
        <v/>
      </c>
      <c r="JM26" s="121" t="str">
        <f>IF(ISBLANK(tbl_task5[[คะแนนเต็ม]:[คะแนนเต็ม]]),"",(tbl_task5[103]/tbl_task5[[คะแนนเต็ม]:[คะแนนเต็ม]])*tbl_task5[[%]:[%]])</f>
        <v/>
      </c>
      <c r="JN26" s="121" t="str">
        <f>IF(ISBLANK(tbl_task5[[คะแนนเต็ม]:[คะแนนเต็ม]]),"",(tbl_task5[104]/tbl_task5[[คะแนนเต็ม]:[คะแนนเต็ม]])*tbl_task5[[%]:[%]])</f>
        <v/>
      </c>
      <c r="JO26" s="121" t="str">
        <f>IF(ISBLANK(tbl_task5[[คะแนนเต็ม]:[คะแนนเต็ม]]),"",(tbl_task5[105]/tbl_task5[[คะแนนเต็ม]:[คะแนนเต็ม]])*tbl_task5[[%]:[%]])</f>
        <v/>
      </c>
      <c r="JP26" s="121" t="str">
        <f>IF(ISBLANK(tbl_task5[[คะแนนเต็ม]:[คะแนนเต็ม]]),"",(tbl_task5[106]/tbl_task5[[คะแนนเต็ม]:[คะแนนเต็ม]])*tbl_task5[[%]:[%]])</f>
        <v/>
      </c>
      <c r="JQ26" s="121" t="str">
        <f>IF(ISBLANK(tbl_task5[[คะแนนเต็ม]:[คะแนนเต็ม]]),"",(tbl_task5[107]/tbl_task5[[คะแนนเต็ม]:[คะแนนเต็ม]])*tbl_task5[[%]:[%]])</f>
        <v/>
      </c>
      <c r="JR26" s="121" t="str">
        <f>IF(ISBLANK(tbl_task5[[คะแนนเต็ม]:[คะแนนเต็ม]]),"",(tbl_task5[108]/tbl_task5[[คะแนนเต็ม]:[คะแนนเต็ม]])*tbl_task5[[%]:[%]])</f>
        <v/>
      </c>
      <c r="JS26" s="121" t="str">
        <f>IF(ISBLANK(tbl_task5[[คะแนนเต็ม]:[คะแนนเต็ม]]),"",(tbl_task5[109]/tbl_task5[[คะแนนเต็ม]:[คะแนนเต็ม]])*tbl_task5[[%]:[%]])</f>
        <v/>
      </c>
      <c r="JT26" s="121" t="str">
        <f>IF(ISBLANK(tbl_task5[[คะแนนเต็ม]:[คะแนนเต็ม]]),"",(tbl_task5[110]/tbl_task5[[คะแนนเต็ม]:[คะแนนเต็ม]])*tbl_task5[[%]:[%]])</f>
        <v/>
      </c>
      <c r="JU26" s="121" t="str">
        <f>IF(ISBLANK(tbl_task5[[คะแนนเต็ม]:[คะแนนเต็ม]]),"",(tbl_task5[111]/tbl_task5[[คะแนนเต็ม]:[คะแนนเต็ม]])*tbl_task5[[%]:[%]])</f>
        <v/>
      </c>
      <c r="JV26" s="121" t="str">
        <f>IF(ISBLANK(tbl_task5[[คะแนนเต็ม]:[คะแนนเต็ม]]),"",(tbl_task5[112]/tbl_task5[[คะแนนเต็ม]:[คะแนนเต็ม]])*tbl_task5[[%]:[%]])</f>
        <v/>
      </c>
      <c r="JW26" s="121" t="str">
        <f>IF(ISBLANK(tbl_task5[[คะแนนเต็ม]:[คะแนนเต็ม]]),"",(tbl_task5[113]/tbl_task5[[คะแนนเต็ม]:[คะแนนเต็ม]])*tbl_task5[[%]:[%]])</f>
        <v/>
      </c>
      <c r="JX26" s="121" t="str">
        <f>IF(ISBLANK(tbl_task5[[คะแนนเต็ม]:[คะแนนเต็ม]]),"",(tbl_task5[114]/tbl_task5[[คะแนนเต็ม]:[คะแนนเต็ม]])*tbl_task5[[%]:[%]])</f>
        <v/>
      </c>
      <c r="JY26" s="121" t="str">
        <f>IF(ISBLANK(tbl_task5[[คะแนนเต็ม]:[คะแนนเต็ม]]),"",(tbl_task5[115]/tbl_task5[[คะแนนเต็ม]:[คะแนนเต็ม]])*tbl_task5[[%]:[%]])</f>
        <v/>
      </c>
      <c r="JZ26" s="121" t="str">
        <f>IF(ISBLANK(tbl_task5[[คะแนนเต็ม]:[คะแนนเต็ม]]),"",(tbl_task5[116]/tbl_task5[[คะแนนเต็ม]:[คะแนนเต็ม]])*tbl_task5[[%]:[%]])</f>
        <v/>
      </c>
      <c r="KA26" s="121" t="str">
        <f>IF(ISBLANK(tbl_task5[[คะแนนเต็ม]:[คะแนนเต็ม]]),"",(tbl_task5[117]/tbl_task5[[คะแนนเต็ม]:[คะแนนเต็ม]])*tbl_task5[[%]:[%]])</f>
        <v/>
      </c>
      <c r="KB26" s="121" t="str">
        <f>IF(ISBLANK(tbl_task5[[คะแนนเต็ม]:[คะแนนเต็ม]]),"",(tbl_task5[118]/tbl_task5[[คะแนนเต็ม]:[คะแนนเต็ม]])*tbl_task5[[%]:[%]])</f>
        <v/>
      </c>
      <c r="KC26" s="121" t="str">
        <f>IF(ISBLANK(tbl_task5[[คะแนนเต็ม]:[คะแนนเต็ม]]),"",(tbl_task5[119]/tbl_task5[[คะแนนเต็ม]:[คะแนนเต็ม]])*tbl_task5[[%]:[%]])</f>
        <v/>
      </c>
      <c r="KD26" s="121" t="str">
        <f>IF(ISBLANK(tbl_task5[[คะแนนเต็ม]:[คะแนนเต็ม]]),"",(tbl_task5[120]/tbl_task5[[คะแนนเต็ม]:[คะแนนเต็ม]])*tbl_task5[[%]:[%]])</f>
        <v/>
      </c>
      <c r="KE26" s="121" t="str">
        <f>IF(ISBLANK(tbl_task5[[คะแนนเต็ม]:[คะแนนเต็ม]]),"",(tbl_task5[121]/tbl_task5[[คะแนนเต็ม]:[คะแนนเต็ม]])*tbl_task5[[%]:[%]])</f>
        <v/>
      </c>
      <c r="KF26" s="121" t="str">
        <f>IF(ISBLANK(tbl_task5[[คะแนนเต็ม]:[คะแนนเต็ม]]),"",(tbl_task5[122]/tbl_task5[[คะแนนเต็ม]:[คะแนนเต็ม]])*tbl_task5[[%]:[%]])</f>
        <v/>
      </c>
      <c r="KG26" s="121" t="str">
        <f>IF(ISBLANK(tbl_task5[[คะแนนเต็ม]:[คะแนนเต็ม]]),"",(tbl_task5[123]/tbl_task5[[คะแนนเต็ม]:[คะแนนเต็ม]])*tbl_task5[[%]:[%]])</f>
        <v/>
      </c>
      <c r="KH26" s="121" t="str">
        <f>IF(ISBLANK(tbl_task5[[คะแนนเต็ม]:[คะแนนเต็ม]]),"",(tbl_task5[124]/tbl_task5[[คะแนนเต็ม]:[คะแนนเต็ม]])*tbl_task5[[%]:[%]])</f>
        <v/>
      </c>
      <c r="KI26" s="121" t="str">
        <f>IF(ISBLANK(tbl_task5[[คะแนนเต็ม]:[คะแนนเต็ม]]),"",(tbl_task5[125]/tbl_task5[[คะแนนเต็ม]:[คะแนนเต็ม]])*tbl_task5[[%]:[%]])</f>
        <v/>
      </c>
      <c r="KJ26" s="121" t="str">
        <f>IF(ISBLANK(tbl_task5[[คะแนนเต็ม]:[คะแนนเต็ม]]),"",(tbl_task5[126]/tbl_task5[[คะแนนเต็ม]:[คะแนนเต็ม]])*tbl_task5[[%]:[%]])</f>
        <v/>
      </c>
      <c r="KK26" s="121" t="str">
        <f>IF(ISBLANK(tbl_task5[[คะแนนเต็ม]:[คะแนนเต็ม]]),"",(tbl_task5[127]/tbl_task5[[คะแนนเต็ม]:[คะแนนเต็ม]])*tbl_task5[[%]:[%]])</f>
        <v/>
      </c>
      <c r="KL26" s="121" t="str">
        <f>IF(ISBLANK(tbl_task5[[คะแนนเต็ม]:[คะแนนเต็ม]]),"",(tbl_task5[128]/tbl_task5[[คะแนนเต็ม]:[คะแนนเต็ม]])*tbl_task5[[%]:[%]])</f>
        <v/>
      </c>
      <c r="KM26" s="121" t="str">
        <f>IF(ISBLANK(tbl_task5[[คะแนนเต็ม]:[คะแนนเต็ม]]),"",(tbl_task5[129]/tbl_task5[[คะแนนเต็ม]:[คะแนนเต็ม]])*tbl_task5[[%]:[%]])</f>
        <v/>
      </c>
      <c r="KN26" s="121" t="str">
        <f>IF(ISBLANK(tbl_task5[[คะแนนเต็ม]:[คะแนนเต็ม]]),"",(tbl_task5[130]/tbl_task5[[คะแนนเต็ม]:[คะแนนเต็ม]])*tbl_task5[[%]:[%]])</f>
        <v/>
      </c>
      <c r="KO26" s="121" t="str">
        <f>IF(ISBLANK(tbl_task5[[คะแนนเต็ม]:[คะแนนเต็ม]]),"",(tbl_task5[131]/tbl_task5[[คะแนนเต็ม]:[คะแนนเต็ม]])*tbl_task5[[%]:[%]])</f>
        <v/>
      </c>
      <c r="KP26" s="121" t="str">
        <f>IF(ISBLANK(tbl_task5[[คะแนนเต็ม]:[คะแนนเต็ม]]),"",(tbl_task5[132]/tbl_task5[[คะแนนเต็ม]:[คะแนนเต็ม]])*tbl_task5[[%]:[%]])</f>
        <v/>
      </c>
      <c r="KQ26" s="121" t="str">
        <f>IF(ISBLANK(tbl_task5[[คะแนนเต็ม]:[คะแนนเต็ม]]),"",(tbl_task5[133]/tbl_task5[[คะแนนเต็ม]:[คะแนนเต็ม]])*tbl_task5[[%]:[%]])</f>
        <v/>
      </c>
      <c r="KR26" s="121" t="str">
        <f>IF(ISBLANK(tbl_task5[[คะแนนเต็ม]:[คะแนนเต็ม]]),"",(tbl_task5[134]/tbl_task5[[คะแนนเต็ม]:[คะแนนเต็ม]])*tbl_task5[[%]:[%]])</f>
        <v/>
      </c>
      <c r="KS26" s="121" t="str">
        <f>IF(ISBLANK(tbl_task5[[คะแนนเต็ม]:[คะแนนเต็ม]]),"",(tbl_task5[135]/tbl_task5[[คะแนนเต็ม]:[คะแนนเต็ม]])*tbl_task5[[%]:[%]])</f>
        <v/>
      </c>
      <c r="KT26" s="121" t="str">
        <f>IF(ISBLANK(tbl_task5[[คะแนนเต็ม]:[คะแนนเต็ม]]),"",(tbl_task5[136]/tbl_task5[[คะแนนเต็ม]:[คะแนนเต็ม]])*tbl_task5[[%]:[%]])</f>
        <v/>
      </c>
      <c r="KU26" s="121" t="str">
        <f>IF(ISBLANK(tbl_task5[[คะแนนเต็ม]:[คะแนนเต็ม]]),"",(tbl_task5[137]/tbl_task5[[คะแนนเต็ม]:[คะแนนเต็ม]])*tbl_task5[[%]:[%]])</f>
        <v/>
      </c>
      <c r="KV26" s="121" t="str">
        <f>IF(ISBLANK(tbl_task5[[คะแนนเต็ม]:[คะแนนเต็ม]]),"",(tbl_task5[138]/tbl_task5[[คะแนนเต็ม]:[คะแนนเต็ม]])*tbl_task5[[%]:[%]])</f>
        <v/>
      </c>
      <c r="KW26" s="121" t="str">
        <f>IF(ISBLANK(tbl_task5[[คะแนนเต็ม]:[คะแนนเต็ม]]),"",(tbl_task5[139]/tbl_task5[[คะแนนเต็ม]:[คะแนนเต็ม]])*tbl_task5[[%]:[%]])</f>
        <v/>
      </c>
      <c r="KX26" s="121" t="str">
        <f>IF(ISBLANK(tbl_task5[[คะแนนเต็ม]:[คะแนนเต็ม]]),"",(tbl_task5[140]/tbl_task5[[คะแนนเต็ม]:[คะแนนเต็ม]])*tbl_task5[[%]:[%]])</f>
        <v/>
      </c>
      <c r="KY26" s="121" t="str">
        <f>IF(ISBLANK(tbl_task5[[คะแนนเต็ม]:[คะแนนเต็ม]]),"",(tbl_task5[141]/tbl_task5[[คะแนนเต็ม]:[คะแนนเต็ม]])*tbl_task5[[%]:[%]])</f>
        <v/>
      </c>
      <c r="KZ26" s="121" t="str">
        <f>IF(ISBLANK(tbl_task5[[คะแนนเต็ม]:[คะแนนเต็ม]]),"",(tbl_task5[142]/tbl_task5[[คะแนนเต็ม]:[คะแนนเต็ม]])*tbl_task5[[%]:[%]])</f>
        <v/>
      </c>
      <c r="LA26" s="121" t="str">
        <f>IF(ISBLANK(tbl_task5[[คะแนนเต็ม]:[คะแนนเต็ม]]),"",(tbl_task5[143]/tbl_task5[[คะแนนเต็ม]:[คะแนนเต็ม]])*tbl_task5[[%]:[%]])</f>
        <v/>
      </c>
      <c r="LB26" s="121" t="str">
        <f>IF(ISBLANK(tbl_task5[[คะแนนเต็ม]:[คะแนนเต็ม]]),"",(tbl_task5[144]/tbl_task5[[คะแนนเต็ม]:[คะแนนเต็ม]])*tbl_task5[[%]:[%]])</f>
        <v/>
      </c>
      <c r="LC26" s="121" t="str">
        <f>IF(ISBLANK(tbl_task5[[คะแนนเต็ม]:[คะแนนเต็ม]]),"",(tbl_task5[145]/tbl_task5[[คะแนนเต็ม]:[คะแนนเต็ม]])*tbl_task5[[%]:[%]])</f>
        <v/>
      </c>
      <c r="LD26" s="121" t="str">
        <f>IF(ISBLANK(tbl_task5[[คะแนนเต็ม]:[คะแนนเต็ม]]),"",(tbl_task5[146]/tbl_task5[[คะแนนเต็ม]:[คะแนนเต็ม]])*tbl_task5[[%]:[%]])</f>
        <v/>
      </c>
      <c r="LE26" s="121" t="str">
        <f>IF(ISBLANK(tbl_task5[[คะแนนเต็ม]:[คะแนนเต็ม]]),"",(tbl_task5[147]/tbl_task5[[คะแนนเต็ม]:[คะแนนเต็ม]])*tbl_task5[[%]:[%]])</f>
        <v/>
      </c>
      <c r="LF26" s="121" t="str">
        <f>IF(ISBLANK(tbl_task5[[คะแนนเต็ม]:[คะแนนเต็ม]]),"",(tbl_task5[148]/tbl_task5[[คะแนนเต็ม]:[คะแนนเต็ม]])*tbl_task5[[%]:[%]])</f>
        <v/>
      </c>
      <c r="LG26" s="121" t="str">
        <f>IF(ISBLANK(tbl_task5[[คะแนนเต็ม]:[คะแนนเต็ม]]),"",(tbl_task5[149]/tbl_task5[[คะแนนเต็ม]:[คะแนนเต็ม]])*tbl_task5[[%]:[%]])</f>
        <v/>
      </c>
      <c r="LH26" s="121" t="str">
        <f>IF(ISBLANK(tbl_task5[[คะแนนเต็ม]:[คะแนนเต็ม]]),"",(tbl_task5[150]/tbl_task5[[คะแนนเต็ม]:[คะแนนเต็ม]])*tbl_task5[[%]:[%]])</f>
        <v/>
      </c>
      <c r="LI26" s="121" t="str">
        <f>IF(ISBLANK(tbl_task5[[คะแนนเต็ม]:[คะแนนเต็ม]]),"",(tbl_task5[151]/tbl_task5[[คะแนนเต็ม]:[คะแนนเต็ม]])*tbl_task5[[%]:[%]])</f>
        <v/>
      </c>
      <c r="LJ26" s="121" t="str">
        <f>IF(ISBLANK(tbl_task5[[คะแนนเต็ม]:[คะแนนเต็ม]]),"",(tbl_task5[152]/tbl_task5[[คะแนนเต็ม]:[คะแนนเต็ม]])*tbl_task5[[%]:[%]])</f>
        <v/>
      </c>
      <c r="LK26" s="121" t="str">
        <f>IF(ISBLANK(tbl_task5[[คะแนนเต็ม]:[คะแนนเต็ม]]),"",(tbl_task5[153]/tbl_task5[[คะแนนเต็ม]:[คะแนนเต็ม]])*tbl_task5[[%]:[%]])</f>
        <v/>
      </c>
      <c r="LL26" s="121" t="str">
        <f>IF(ISBLANK(tbl_task5[[คะแนนเต็ม]:[คะแนนเต็ม]]),"",(tbl_task5[154]/tbl_task5[[คะแนนเต็ม]:[คะแนนเต็ม]])*tbl_task5[[%]:[%]])</f>
        <v/>
      </c>
      <c r="LM26" s="121" t="str">
        <f>IF(ISBLANK(tbl_task5[[คะแนนเต็ม]:[คะแนนเต็ม]]),"",(tbl_task5[155]/tbl_task5[[คะแนนเต็ม]:[คะแนนเต็ม]])*tbl_task5[[%]:[%]])</f>
        <v/>
      </c>
      <c r="LN26" s="121" t="str">
        <f>IF(ISBLANK(tbl_task5[[คะแนนเต็ม]:[คะแนนเต็ม]]),"",(tbl_task5[156]/tbl_task5[[คะแนนเต็ม]:[คะแนนเต็ม]])*tbl_task5[[%]:[%]])</f>
        <v/>
      </c>
      <c r="LO26" s="121" t="str">
        <f>IF(ISBLANK(tbl_task5[[คะแนนเต็ม]:[คะแนนเต็ม]]),"",(tbl_task5[157]/tbl_task5[[คะแนนเต็ม]:[คะแนนเต็ม]])*tbl_task5[[%]:[%]])</f>
        <v/>
      </c>
      <c r="LP26" s="121" t="str">
        <f>IF(ISBLANK(tbl_task5[[คะแนนเต็ม]:[คะแนนเต็ม]]),"",(tbl_task5[158]/tbl_task5[[คะแนนเต็ม]:[คะแนนเต็ม]])*tbl_task5[[%]:[%]])</f>
        <v/>
      </c>
      <c r="LQ26" s="121" t="str">
        <f>IF(ISBLANK(tbl_task5[[คะแนนเต็ม]:[คะแนนเต็ม]]),"",(tbl_task5[159]/tbl_task5[[คะแนนเต็ม]:[คะแนนเต็ม]])*tbl_task5[[%]:[%]])</f>
        <v/>
      </c>
      <c r="LR26" s="121" t="str">
        <f>IF(ISBLANK(tbl_task5[[คะแนนเต็ม]:[คะแนนเต็ม]]),"",(tbl_task5[160]/tbl_task5[[คะแนนเต็ม]:[คะแนนเต็ม]])*tbl_task5[[%]:[%]])</f>
        <v/>
      </c>
      <c r="LS26" s="121" t="str">
        <f>IF(ISBLANK(tbl_task5[[คะแนนเต็ม]:[คะแนนเต็ม]]),"",(tbl_task5[161]/tbl_task5[[คะแนนเต็ม]:[คะแนนเต็ม]])*tbl_task5[[%]:[%]])</f>
        <v/>
      </c>
      <c r="LT26" s="121" t="str">
        <f>IF(ISBLANK(tbl_task5[[คะแนนเต็ม]:[คะแนนเต็ม]]),"",(tbl_task5[162]/tbl_task5[[คะแนนเต็ม]:[คะแนนเต็ม]])*tbl_task5[[%]:[%]])</f>
        <v/>
      </c>
      <c r="LU26" s="121" t="str">
        <f>IF(ISBLANK(tbl_task5[[คะแนนเต็ม]:[คะแนนเต็ม]]),"",(tbl_task5[163]/tbl_task5[[คะแนนเต็ม]:[คะแนนเต็ม]])*tbl_task5[[%]:[%]])</f>
        <v/>
      </c>
      <c r="LV26" s="121" t="str">
        <f>IF(ISBLANK(tbl_task5[[คะแนนเต็ม]:[คะแนนเต็ม]]),"",(tbl_task5[164]/tbl_task5[[คะแนนเต็ม]:[คะแนนเต็ม]])*tbl_task5[[%]:[%]])</f>
        <v/>
      </c>
      <c r="LW26" s="121" t="str">
        <f>IF(ISBLANK(tbl_task5[[คะแนนเต็ม]:[คะแนนเต็ม]]),"",(tbl_task5[165]/tbl_task5[[คะแนนเต็ม]:[คะแนนเต็ม]])*tbl_task5[[%]:[%]])</f>
        <v/>
      </c>
    </row>
    <row r="27" spans="1:335" ht="24" customHeight="1" x14ac:dyDescent="0.25">
      <c r="A27" s="24">
        <v>24</v>
      </c>
      <c r="B27" s="20"/>
      <c r="C27" s="5" t="str">
        <f>IF(ISBLANK(B27),"",VLOOKUP(B27,tbl_PLOs[],2,0))</f>
        <v/>
      </c>
      <c r="D27" s="102"/>
      <c r="E27" s="106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21" t="str">
        <f>IF(ISBLANK(tbl_task5[[คะแนนเต็ม]:[คะแนนเต็ม]]),"",(tbl_task5[1]/tbl_task5[[คะแนนเต็ม]:[คะแนนเต็ม]])*tbl_task5[[%]:[%]])</f>
        <v/>
      </c>
      <c r="FP27" s="121" t="str">
        <f>IF(ISBLANK(tbl_task5[[คะแนนเต็ม]:[คะแนนเต็ม]]),"",(tbl_task5[2]/tbl_task5[[คะแนนเต็ม]:[คะแนนเต็ม]])*tbl_task5[[%]:[%]])</f>
        <v/>
      </c>
      <c r="FQ27" s="121" t="str">
        <f>IF(ISBLANK(tbl_task5[[คะแนนเต็ม]:[คะแนนเต็ม]]),"",(tbl_task5[3]/tbl_task5[[คะแนนเต็ม]:[คะแนนเต็ม]])*tbl_task5[[%]:[%]])</f>
        <v/>
      </c>
      <c r="FR27" s="121" t="str">
        <f>IF(ISBLANK(tbl_task5[[คะแนนเต็ม]:[คะแนนเต็ม]]),"",(tbl_task5[4]/tbl_task5[[คะแนนเต็ม]:[คะแนนเต็ม]])*tbl_task5[[%]:[%]])</f>
        <v/>
      </c>
      <c r="FS27" s="121" t="str">
        <f>IF(ISBLANK(tbl_task5[[คะแนนเต็ม]:[คะแนนเต็ม]]),"",(tbl_task5[5]/tbl_task5[[คะแนนเต็ม]:[คะแนนเต็ม]])*tbl_task5[[%]:[%]])</f>
        <v/>
      </c>
      <c r="FT27" s="121" t="str">
        <f>IF(ISBLANK(tbl_task5[[คะแนนเต็ม]:[คะแนนเต็ม]]),"",(tbl_task5[6]/tbl_task5[[คะแนนเต็ม]:[คะแนนเต็ม]])*tbl_task5[[%]:[%]])</f>
        <v/>
      </c>
      <c r="FU27" s="121" t="str">
        <f>IF(ISBLANK(tbl_task5[[คะแนนเต็ม]:[คะแนนเต็ม]]),"",(tbl_task5[7]/tbl_task5[[คะแนนเต็ม]:[คะแนนเต็ม]])*tbl_task5[[%]:[%]])</f>
        <v/>
      </c>
      <c r="FV27" s="121" t="str">
        <f>IF(ISBLANK(tbl_task5[[คะแนนเต็ม]:[คะแนนเต็ม]]),"",(tbl_task5[8]/tbl_task5[[คะแนนเต็ม]:[คะแนนเต็ม]])*tbl_task5[[%]:[%]])</f>
        <v/>
      </c>
      <c r="FW27" s="121" t="str">
        <f>IF(ISBLANK(tbl_task5[[คะแนนเต็ม]:[คะแนนเต็ม]]),"",(tbl_task5[9]/tbl_task5[[คะแนนเต็ม]:[คะแนนเต็ม]])*tbl_task5[[%]:[%]])</f>
        <v/>
      </c>
      <c r="FX27" s="121" t="str">
        <f>IF(ISBLANK(tbl_task5[[คะแนนเต็ม]:[คะแนนเต็ม]]),"",(tbl_task5[10]/tbl_task5[[คะแนนเต็ม]:[คะแนนเต็ม]])*tbl_task5[[%]:[%]])</f>
        <v/>
      </c>
      <c r="FY27" s="121" t="str">
        <f>IF(ISBLANK(tbl_task5[[คะแนนเต็ม]:[คะแนนเต็ม]]),"",(tbl_task5[11]/tbl_task5[[คะแนนเต็ม]:[คะแนนเต็ม]])*tbl_task5[[%]:[%]])</f>
        <v/>
      </c>
      <c r="FZ27" s="121" t="str">
        <f>IF(ISBLANK(tbl_task5[[คะแนนเต็ม]:[คะแนนเต็ม]]),"",(tbl_task5[12]/tbl_task5[[คะแนนเต็ม]:[คะแนนเต็ม]])*tbl_task5[[%]:[%]])</f>
        <v/>
      </c>
      <c r="GA27" s="121" t="str">
        <f>IF(ISBLANK(tbl_task5[[คะแนนเต็ม]:[คะแนนเต็ม]]),"",(tbl_task5[13]/tbl_task5[[คะแนนเต็ม]:[คะแนนเต็ม]])*tbl_task5[[%]:[%]])</f>
        <v/>
      </c>
      <c r="GB27" s="121" t="str">
        <f>IF(ISBLANK(tbl_task5[[คะแนนเต็ม]:[คะแนนเต็ม]]),"",(tbl_task5[14]/tbl_task5[[คะแนนเต็ม]:[คะแนนเต็ม]])*tbl_task5[[%]:[%]])</f>
        <v/>
      </c>
      <c r="GC27" s="121" t="str">
        <f>IF(ISBLANK(tbl_task5[[คะแนนเต็ม]:[คะแนนเต็ม]]),"",(tbl_task5[15]/tbl_task5[[คะแนนเต็ม]:[คะแนนเต็ม]])*tbl_task5[[%]:[%]])</f>
        <v/>
      </c>
      <c r="GD27" s="121" t="str">
        <f>IF(ISBLANK(tbl_task5[[คะแนนเต็ม]:[คะแนนเต็ม]]),"",(tbl_task5[16]/tbl_task5[[คะแนนเต็ม]:[คะแนนเต็ม]])*tbl_task5[[%]:[%]])</f>
        <v/>
      </c>
      <c r="GE27" s="121" t="str">
        <f>IF(ISBLANK(tbl_task5[[คะแนนเต็ม]:[คะแนนเต็ม]]),"",(tbl_task5[17]/tbl_task5[[คะแนนเต็ม]:[คะแนนเต็ม]])*tbl_task5[[%]:[%]])</f>
        <v/>
      </c>
      <c r="GF27" s="121" t="str">
        <f>IF(ISBLANK(tbl_task5[[คะแนนเต็ม]:[คะแนนเต็ม]]),"",(tbl_task5[18]/tbl_task5[[คะแนนเต็ม]:[คะแนนเต็ม]])*tbl_task5[[%]:[%]])</f>
        <v/>
      </c>
      <c r="GG27" s="121" t="str">
        <f>IF(ISBLANK(tbl_task5[[คะแนนเต็ม]:[คะแนนเต็ม]]),"",(tbl_task5[19]/tbl_task5[[คะแนนเต็ม]:[คะแนนเต็ม]])*tbl_task5[[%]:[%]])</f>
        <v/>
      </c>
      <c r="GH27" s="121" t="str">
        <f>IF(ISBLANK(tbl_task5[[คะแนนเต็ม]:[คะแนนเต็ม]]),"",(tbl_task5[20]/tbl_task5[[คะแนนเต็ม]:[คะแนนเต็ม]])*tbl_task5[[%]:[%]])</f>
        <v/>
      </c>
      <c r="GI27" s="121" t="str">
        <f>IF(ISBLANK(tbl_task5[[คะแนนเต็ม]:[คะแนนเต็ม]]),"",(tbl_task5[21]/tbl_task5[[คะแนนเต็ม]:[คะแนนเต็ม]])*tbl_task5[[%]:[%]])</f>
        <v/>
      </c>
      <c r="GJ27" s="121" t="str">
        <f>IF(ISBLANK(tbl_task5[[คะแนนเต็ม]:[คะแนนเต็ม]]),"",(tbl_task5[22]/tbl_task5[[คะแนนเต็ม]:[คะแนนเต็ม]])*tbl_task5[[%]:[%]])</f>
        <v/>
      </c>
      <c r="GK27" s="121" t="str">
        <f>IF(ISBLANK(tbl_task5[[คะแนนเต็ม]:[คะแนนเต็ม]]),"",(tbl_task5[23]/tbl_task5[[คะแนนเต็ม]:[คะแนนเต็ม]])*tbl_task5[[%]:[%]])</f>
        <v/>
      </c>
      <c r="GL27" s="121" t="str">
        <f>IF(ISBLANK(tbl_task5[[คะแนนเต็ม]:[คะแนนเต็ม]]),"",(tbl_task5[24]/tbl_task5[[คะแนนเต็ม]:[คะแนนเต็ม]])*tbl_task5[[%]:[%]])</f>
        <v/>
      </c>
      <c r="GM27" s="121" t="str">
        <f>IF(ISBLANK(tbl_task5[[คะแนนเต็ม]:[คะแนนเต็ม]]),"",(tbl_task5[25]/tbl_task5[[คะแนนเต็ม]:[คะแนนเต็ม]])*tbl_task5[[%]:[%]])</f>
        <v/>
      </c>
      <c r="GN27" s="121" t="str">
        <f>IF(ISBLANK(tbl_task5[[คะแนนเต็ม]:[คะแนนเต็ม]]),"",(tbl_task5[26]/tbl_task5[[คะแนนเต็ม]:[คะแนนเต็ม]])*tbl_task5[[%]:[%]])</f>
        <v/>
      </c>
      <c r="GO27" s="121" t="str">
        <f>IF(ISBLANK(tbl_task5[[คะแนนเต็ม]:[คะแนนเต็ม]]),"",(tbl_task5[27]/tbl_task5[[คะแนนเต็ม]:[คะแนนเต็ม]])*tbl_task5[[%]:[%]])</f>
        <v/>
      </c>
      <c r="GP27" s="121" t="str">
        <f>IF(ISBLANK(tbl_task5[[คะแนนเต็ม]:[คะแนนเต็ม]]),"",(tbl_task5[28]/tbl_task5[[คะแนนเต็ม]:[คะแนนเต็ม]])*tbl_task5[[%]:[%]])</f>
        <v/>
      </c>
      <c r="GQ27" s="121" t="str">
        <f>IF(ISBLANK(tbl_task5[[คะแนนเต็ม]:[คะแนนเต็ม]]),"",(tbl_task5[29]/tbl_task5[[คะแนนเต็ม]:[คะแนนเต็ม]])*tbl_task5[[%]:[%]])</f>
        <v/>
      </c>
      <c r="GR27" s="121" t="str">
        <f>IF(ISBLANK(tbl_task5[[คะแนนเต็ม]:[คะแนนเต็ม]]),"",(tbl_task5[30]/tbl_task5[[คะแนนเต็ม]:[คะแนนเต็ม]])*tbl_task5[[%]:[%]])</f>
        <v/>
      </c>
      <c r="GS27" s="121" t="str">
        <f>IF(ISBLANK(tbl_task5[[คะแนนเต็ม]:[คะแนนเต็ม]]),"",(tbl_task5[31]/tbl_task5[[คะแนนเต็ม]:[คะแนนเต็ม]])*tbl_task5[[%]:[%]])</f>
        <v/>
      </c>
      <c r="GT27" s="121" t="str">
        <f>IF(ISBLANK(tbl_task5[[คะแนนเต็ม]:[คะแนนเต็ม]]),"",(tbl_task5[32]/tbl_task5[[คะแนนเต็ม]:[คะแนนเต็ม]])*tbl_task5[[%]:[%]])</f>
        <v/>
      </c>
      <c r="GU27" s="121" t="str">
        <f>IF(ISBLANK(tbl_task5[[คะแนนเต็ม]:[คะแนนเต็ม]]),"",(tbl_task5[33]/tbl_task5[[คะแนนเต็ม]:[คะแนนเต็ม]])*tbl_task5[[%]:[%]])</f>
        <v/>
      </c>
      <c r="GV27" s="121" t="str">
        <f>IF(ISBLANK(tbl_task5[[คะแนนเต็ม]:[คะแนนเต็ม]]),"",(tbl_task5[34]/tbl_task5[[คะแนนเต็ม]:[คะแนนเต็ม]])*tbl_task5[[%]:[%]])</f>
        <v/>
      </c>
      <c r="GW27" s="121" t="str">
        <f>IF(ISBLANK(tbl_task5[[คะแนนเต็ม]:[คะแนนเต็ม]]),"",(tbl_task5[35]/tbl_task5[[คะแนนเต็ม]:[คะแนนเต็ม]])*tbl_task5[[%]:[%]])</f>
        <v/>
      </c>
      <c r="GX27" s="121" t="str">
        <f>IF(ISBLANK(tbl_task5[[คะแนนเต็ม]:[คะแนนเต็ม]]),"",(tbl_task5[36]/tbl_task5[[คะแนนเต็ม]:[คะแนนเต็ม]])*tbl_task5[[%]:[%]])</f>
        <v/>
      </c>
      <c r="GY27" s="121" t="str">
        <f>IF(ISBLANK(tbl_task5[[คะแนนเต็ม]:[คะแนนเต็ม]]),"",(tbl_task5[37]/tbl_task5[[คะแนนเต็ม]:[คะแนนเต็ม]])*tbl_task5[[%]:[%]])</f>
        <v/>
      </c>
      <c r="GZ27" s="121" t="str">
        <f>IF(ISBLANK(tbl_task5[[คะแนนเต็ม]:[คะแนนเต็ม]]),"",(tbl_task5[38]/tbl_task5[[คะแนนเต็ม]:[คะแนนเต็ม]])*tbl_task5[[%]:[%]])</f>
        <v/>
      </c>
      <c r="HA27" s="121" t="str">
        <f>IF(ISBLANK(tbl_task5[[คะแนนเต็ม]:[คะแนนเต็ม]]),"",(tbl_task5[39]/tbl_task5[[คะแนนเต็ม]:[คะแนนเต็ม]])*tbl_task5[[%]:[%]])</f>
        <v/>
      </c>
      <c r="HB27" s="121" t="str">
        <f>IF(ISBLANK(tbl_task5[[คะแนนเต็ม]:[คะแนนเต็ม]]),"",(tbl_task5[40]/tbl_task5[[คะแนนเต็ม]:[คะแนนเต็ม]])*tbl_task5[[%]:[%]])</f>
        <v/>
      </c>
      <c r="HC27" s="121" t="str">
        <f>IF(ISBLANK(tbl_task5[[คะแนนเต็ม]:[คะแนนเต็ม]]),"",(tbl_task5[41]/tbl_task5[[คะแนนเต็ม]:[คะแนนเต็ม]])*tbl_task5[[%]:[%]])</f>
        <v/>
      </c>
      <c r="HD27" s="121" t="str">
        <f>IF(ISBLANK(tbl_task5[[คะแนนเต็ม]:[คะแนนเต็ม]]),"",(tbl_task5[42]/tbl_task5[[คะแนนเต็ม]:[คะแนนเต็ม]])*tbl_task5[[%]:[%]])</f>
        <v/>
      </c>
      <c r="HE27" s="121" t="str">
        <f>IF(ISBLANK(tbl_task5[[คะแนนเต็ม]:[คะแนนเต็ม]]),"",(tbl_task5[43]/tbl_task5[[คะแนนเต็ม]:[คะแนนเต็ม]])*tbl_task5[[%]:[%]])</f>
        <v/>
      </c>
      <c r="HF27" s="121" t="str">
        <f>IF(ISBLANK(tbl_task5[[คะแนนเต็ม]:[คะแนนเต็ม]]),"",(tbl_task5[44]/tbl_task5[[คะแนนเต็ม]:[คะแนนเต็ม]])*tbl_task5[[%]:[%]])</f>
        <v/>
      </c>
      <c r="HG27" s="121" t="str">
        <f>IF(ISBLANK(tbl_task5[[คะแนนเต็ม]:[คะแนนเต็ม]]),"",(tbl_task5[45]/tbl_task5[[คะแนนเต็ม]:[คะแนนเต็ม]])*tbl_task5[[%]:[%]])</f>
        <v/>
      </c>
      <c r="HH27" s="121" t="str">
        <f>IF(ISBLANK(tbl_task5[[คะแนนเต็ม]:[คะแนนเต็ม]]),"",(tbl_task5[46]/tbl_task5[[คะแนนเต็ม]:[คะแนนเต็ม]])*tbl_task5[[%]:[%]])</f>
        <v/>
      </c>
      <c r="HI27" s="121" t="str">
        <f>IF(ISBLANK(tbl_task5[[คะแนนเต็ม]:[คะแนนเต็ม]]),"",(tbl_task5[47]/tbl_task5[[คะแนนเต็ม]:[คะแนนเต็ม]])*tbl_task5[[%]:[%]])</f>
        <v/>
      </c>
      <c r="HJ27" s="121" t="str">
        <f>IF(ISBLANK(tbl_task5[[คะแนนเต็ม]:[คะแนนเต็ม]]),"",(tbl_task5[48]/tbl_task5[[คะแนนเต็ม]:[คะแนนเต็ม]])*tbl_task5[[%]:[%]])</f>
        <v/>
      </c>
      <c r="HK27" s="121" t="str">
        <f>IF(ISBLANK(tbl_task5[[คะแนนเต็ม]:[คะแนนเต็ม]]),"",(tbl_task5[49]/tbl_task5[[คะแนนเต็ม]:[คะแนนเต็ม]])*tbl_task5[[%]:[%]])</f>
        <v/>
      </c>
      <c r="HL27" s="121" t="str">
        <f>IF(ISBLANK(tbl_task5[[คะแนนเต็ม]:[คะแนนเต็ม]]),"",(tbl_task5[50]/tbl_task5[[คะแนนเต็ม]:[คะแนนเต็ม]])*tbl_task5[[%]:[%]])</f>
        <v/>
      </c>
      <c r="HM27" s="121" t="str">
        <f>IF(ISBLANK(tbl_task5[[คะแนนเต็ม]:[คะแนนเต็ม]]),"",(tbl_task5[51]/tbl_task5[[คะแนนเต็ม]:[คะแนนเต็ม]])*tbl_task5[[%]:[%]])</f>
        <v/>
      </c>
      <c r="HN27" s="121" t="str">
        <f>IF(ISBLANK(tbl_task5[[คะแนนเต็ม]:[คะแนนเต็ม]]),"",(tbl_task5[52]/tbl_task5[[คะแนนเต็ม]:[คะแนนเต็ม]])*tbl_task5[[%]:[%]])</f>
        <v/>
      </c>
      <c r="HO27" s="121" t="str">
        <f>IF(ISBLANK(tbl_task5[[คะแนนเต็ม]:[คะแนนเต็ม]]),"",(tbl_task5[53]/tbl_task5[[คะแนนเต็ม]:[คะแนนเต็ม]])*tbl_task5[[%]:[%]])</f>
        <v/>
      </c>
      <c r="HP27" s="121" t="str">
        <f>IF(ISBLANK(tbl_task5[[คะแนนเต็ม]:[คะแนนเต็ม]]),"",(tbl_task5[54]/tbl_task5[[คะแนนเต็ม]:[คะแนนเต็ม]])*tbl_task5[[%]:[%]])</f>
        <v/>
      </c>
      <c r="HQ27" s="121" t="str">
        <f>IF(ISBLANK(tbl_task5[[คะแนนเต็ม]:[คะแนนเต็ม]]),"",(tbl_task5[55]/tbl_task5[[คะแนนเต็ม]:[คะแนนเต็ม]])*tbl_task5[[%]:[%]])</f>
        <v/>
      </c>
      <c r="HR27" s="121" t="str">
        <f>IF(ISBLANK(tbl_task5[[คะแนนเต็ม]:[คะแนนเต็ม]]),"",(tbl_task5[56]/tbl_task5[[คะแนนเต็ม]:[คะแนนเต็ม]])*tbl_task5[[%]:[%]])</f>
        <v/>
      </c>
      <c r="HS27" s="121" t="str">
        <f>IF(ISBLANK(tbl_task5[[คะแนนเต็ม]:[คะแนนเต็ม]]),"",(tbl_task5[57]/tbl_task5[[คะแนนเต็ม]:[คะแนนเต็ม]])*tbl_task5[[%]:[%]])</f>
        <v/>
      </c>
      <c r="HT27" s="121" t="str">
        <f>IF(ISBLANK(tbl_task5[[คะแนนเต็ม]:[คะแนนเต็ม]]),"",(tbl_task5[58]/tbl_task5[[คะแนนเต็ม]:[คะแนนเต็ม]])*tbl_task5[[%]:[%]])</f>
        <v/>
      </c>
      <c r="HU27" s="121" t="str">
        <f>IF(ISBLANK(tbl_task5[[คะแนนเต็ม]:[คะแนนเต็ม]]),"",(tbl_task5[59]/tbl_task5[[คะแนนเต็ม]:[คะแนนเต็ม]])*tbl_task5[[%]:[%]])</f>
        <v/>
      </c>
      <c r="HV27" s="121" t="str">
        <f>IF(ISBLANK(tbl_task5[[คะแนนเต็ม]:[คะแนนเต็ม]]),"",(tbl_task5[60]/tbl_task5[[คะแนนเต็ม]:[คะแนนเต็ม]])*tbl_task5[[%]:[%]])</f>
        <v/>
      </c>
      <c r="HW27" s="121" t="str">
        <f>IF(ISBLANK(tbl_task5[[คะแนนเต็ม]:[คะแนนเต็ม]]),"",(tbl_task5[61]/tbl_task5[[คะแนนเต็ม]:[คะแนนเต็ม]])*tbl_task5[[%]:[%]])</f>
        <v/>
      </c>
      <c r="HX27" s="121" t="str">
        <f>IF(ISBLANK(tbl_task5[[คะแนนเต็ม]:[คะแนนเต็ม]]),"",(tbl_task5[62]/tbl_task5[[คะแนนเต็ม]:[คะแนนเต็ม]])*tbl_task5[[%]:[%]])</f>
        <v/>
      </c>
      <c r="HY27" s="121" t="str">
        <f>IF(ISBLANK(tbl_task5[[คะแนนเต็ม]:[คะแนนเต็ม]]),"",(tbl_task5[63]/tbl_task5[[คะแนนเต็ม]:[คะแนนเต็ม]])*tbl_task5[[%]:[%]])</f>
        <v/>
      </c>
      <c r="HZ27" s="121" t="str">
        <f>IF(ISBLANK(tbl_task5[[คะแนนเต็ม]:[คะแนนเต็ม]]),"",(tbl_task5[64]/tbl_task5[[คะแนนเต็ม]:[คะแนนเต็ม]])*tbl_task5[[%]:[%]])</f>
        <v/>
      </c>
      <c r="IA27" s="121" t="str">
        <f>IF(ISBLANK(tbl_task5[[คะแนนเต็ม]:[คะแนนเต็ม]]),"",(tbl_task5[65]/tbl_task5[[คะแนนเต็ม]:[คะแนนเต็ม]])*tbl_task5[[%]:[%]])</f>
        <v/>
      </c>
      <c r="IB27" s="121" t="str">
        <f>IF(ISBLANK(tbl_task5[[คะแนนเต็ม]:[คะแนนเต็ม]]),"",(tbl_task5[66]/tbl_task5[[คะแนนเต็ม]:[คะแนนเต็ม]])*tbl_task5[[%]:[%]])</f>
        <v/>
      </c>
      <c r="IC27" s="121" t="str">
        <f>IF(ISBLANK(tbl_task5[[คะแนนเต็ม]:[คะแนนเต็ม]]),"",(tbl_task5[67]/tbl_task5[[คะแนนเต็ม]:[คะแนนเต็ม]])*tbl_task5[[%]:[%]])</f>
        <v/>
      </c>
      <c r="ID27" s="121" t="str">
        <f>IF(ISBLANK(tbl_task5[[คะแนนเต็ม]:[คะแนนเต็ม]]),"",(tbl_task5[68]/tbl_task5[[คะแนนเต็ม]:[คะแนนเต็ม]])*tbl_task5[[%]:[%]])</f>
        <v/>
      </c>
      <c r="IE27" s="121" t="str">
        <f>IF(ISBLANK(tbl_task5[[คะแนนเต็ม]:[คะแนนเต็ม]]),"",(tbl_task5[69]/tbl_task5[[คะแนนเต็ม]:[คะแนนเต็ม]])*tbl_task5[[%]:[%]])</f>
        <v/>
      </c>
      <c r="IF27" s="121" t="str">
        <f>IF(ISBLANK(tbl_task5[[คะแนนเต็ม]:[คะแนนเต็ม]]),"",(tbl_task5[70]/tbl_task5[[คะแนนเต็ม]:[คะแนนเต็ม]])*tbl_task5[[%]:[%]])</f>
        <v/>
      </c>
      <c r="IG27" s="121" t="str">
        <f>IF(ISBLANK(tbl_task5[[คะแนนเต็ม]:[คะแนนเต็ม]]),"",(tbl_task5[71]/tbl_task5[[คะแนนเต็ม]:[คะแนนเต็ม]])*tbl_task5[[%]:[%]])</f>
        <v/>
      </c>
      <c r="IH27" s="121" t="str">
        <f>IF(ISBLANK(tbl_task5[[คะแนนเต็ม]:[คะแนนเต็ม]]),"",(tbl_task5[72]/tbl_task5[[คะแนนเต็ม]:[คะแนนเต็ม]])*tbl_task5[[%]:[%]])</f>
        <v/>
      </c>
      <c r="II27" s="121" t="str">
        <f>IF(ISBLANK(tbl_task5[[คะแนนเต็ม]:[คะแนนเต็ม]]),"",(tbl_task5[73]/tbl_task5[[คะแนนเต็ม]:[คะแนนเต็ม]])*tbl_task5[[%]:[%]])</f>
        <v/>
      </c>
      <c r="IJ27" s="121" t="str">
        <f>IF(ISBLANK(tbl_task5[[คะแนนเต็ม]:[คะแนนเต็ม]]),"",(tbl_task5[74]/tbl_task5[[คะแนนเต็ม]:[คะแนนเต็ม]])*tbl_task5[[%]:[%]])</f>
        <v/>
      </c>
      <c r="IK27" s="121" t="str">
        <f>IF(ISBLANK(tbl_task5[[คะแนนเต็ม]:[คะแนนเต็ม]]),"",(tbl_task5[75]/tbl_task5[[คะแนนเต็ม]:[คะแนนเต็ม]])*tbl_task5[[%]:[%]])</f>
        <v/>
      </c>
      <c r="IL27" s="121" t="str">
        <f>IF(ISBLANK(tbl_task5[[คะแนนเต็ม]:[คะแนนเต็ม]]),"",(tbl_task5[76]/tbl_task5[[คะแนนเต็ม]:[คะแนนเต็ม]])*tbl_task5[[%]:[%]])</f>
        <v/>
      </c>
      <c r="IM27" s="121" t="str">
        <f>IF(ISBLANK(tbl_task5[[คะแนนเต็ม]:[คะแนนเต็ม]]),"",(tbl_task5[77]/tbl_task5[[คะแนนเต็ม]:[คะแนนเต็ม]])*tbl_task5[[%]:[%]])</f>
        <v/>
      </c>
      <c r="IN27" s="121" t="str">
        <f>IF(ISBLANK(tbl_task5[[คะแนนเต็ม]:[คะแนนเต็ม]]),"",(tbl_task5[78]/tbl_task5[[คะแนนเต็ม]:[คะแนนเต็ม]])*tbl_task5[[%]:[%]])</f>
        <v/>
      </c>
      <c r="IO27" s="121" t="str">
        <f>IF(ISBLANK(tbl_task5[[คะแนนเต็ม]:[คะแนนเต็ม]]),"",(tbl_task5[79]/tbl_task5[[คะแนนเต็ม]:[คะแนนเต็ม]])*tbl_task5[[%]:[%]])</f>
        <v/>
      </c>
      <c r="IP27" s="121" t="str">
        <f>IF(ISBLANK(tbl_task5[[คะแนนเต็ม]:[คะแนนเต็ม]]),"",(tbl_task5[80]/tbl_task5[[คะแนนเต็ม]:[คะแนนเต็ม]])*tbl_task5[[%]:[%]])</f>
        <v/>
      </c>
      <c r="IQ27" s="121" t="str">
        <f>IF(ISBLANK(tbl_task5[[คะแนนเต็ม]:[คะแนนเต็ม]]),"",(tbl_task5[81]/tbl_task5[[คะแนนเต็ม]:[คะแนนเต็ม]])*tbl_task5[[%]:[%]])</f>
        <v/>
      </c>
      <c r="IR27" s="121" t="str">
        <f>IF(ISBLANK(tbl_task5[[คะแนนเต็ม]:[คะแนนเต็ม]]),"",(tbl_task5[82]/tbl_task5[[คะแนนเต็ม]:[คะแนนเต็ม]])*tbl_task5[[%]:[%]])</f>
        <v/>
      </c>
      <c r="IS27" s="121" t="str">
        <f>IF(ISBLANK(tbl_task5[[คะแนนเต็ม]:[คะแนนเต็ม]]),"",(tbl_task5[83]/tbl_task5[[คะแนนเต็ม]:[คะแนนเต็ม]])*tbl_task5[[%]:[%]])</f>
        <v/>
      </c>
      <c r="IT27" s="121" t="str">
        <f>IF(ISBLANK(tbl_task5[[คะแนนเต็ม]:[คะแนนเต็ม]]),"",(tbl_task5[84]/tbl_task5[[คะแนนเต็ม]:[คะแนนเต็ม]])*tbl_task5[[%]:[%]])</f>
        <v/>
      </c>
      <c r="IU27" s="121" t="str">
        <f>IF(ISBLANK(tbl_task5[[คะแนนเต็ม]:[คะแนนเต็ม]]),"",(tbl_task5[85]/tbl_task5[[คะแนนเต็ม]:[คะแนนเต็ม]])*tbl_task5[[%]:[%]])</f>
        <v/>
      </c>
      <c r="IV27" s="121" t="str">
        <f>IF(ISBLANK(tbl_task5[[คะแนนเต็ม]:[คะแนนเต็ม]]),"",(tbl_task5[86]/tbl_task5[[คะแนนเต็ม]:[คะแนนเต็ม]])*tbl_task5[[%]:[%]])</f>
        <v/>
      </c>
      <c r="IW27" s="121" t="str">
        <f>IF(ISBLANK(tbl_task5[[คะแนนเต็ม]:[คะแนนเต็ม]]),"",(tbl_task5[87]/tbl_task5[[คะแนนเต็ม]:[คะแนนเต็ม]])*tbl_task5[[%]:[%]])</f>
        <v/>
      </c>
      <c r="IX27" s="121" t="str">
        <f>IF(ISBLANK(tbl_task5[[คะแนนเต็ม]:[คะแนนเต็ม]]),"",(tbl_task5[88]/tbl_task5[[คะแนนเต็ม]:[คะแนนเต็ม]])*tbl_task5[[%]:[%]])</f>
        <v/>
      </c>
      <c r="IY27" s="121" t="str">
        <f>IF(ISBLANK(tbl_task5[[คะแนนเต็ม]:[คะแนนเต็ม]]),"",(tbl_task5[89]/tbl_task5[[คะแนนเต็ม]:[คะแนนเต็ม]])*tbl_task5[[%]:[%]])</f>
        <v/>
      </c>
      <c r="IZ27" s="121" t="str">
        <f>IF(ISBLANK(tbl_task5[[คะแนนเต็ม]:[คะแนนเต็ม]]),"",(tbl_task5[90]/tbl_task5[[คะแนนเต็ม]:[คะแนนเต็ม]])*tbl_task5[[%]:[%]])</f>
        <v/>
      </c>
      <c r="JA27" s="121" t="str">
        <f>IF(ISBLANK(tbl_task5[[คะแนนเต็ม]:[คะแนนเต็ม]]),"",(tbl_task5[91]/tbl_task5[[คะแนนเต็ม]:[คะแนนเต็ม]])*tbl_task5[[%]:[%]])</f>
        <v/>
      </c>
      <c r="JB27" s="121" t="str">
        <f>IF(ISBLANK(tbl_task5[[คะแนนเต็ม]:[คะแนนเต็ม]]),"",(tbl_task5[92]/tbl_task5[[คะแนนเต็ม]:[คะแนนเต็ม]])*tbl_task5[[%]:[%]])</f>
        <v/>
      </c>
      <c r="JC27" s="121" t="str">
        <f>IF(ISBLANK(tbl_task5[[คะแนนเต็ม]:[คะแนนเต็ม]]),"",(tbl_task5[93]/tbl_task5[[คะแนนเต็ม]:[คะแนนเต็ม]])*tbl_task5[[%]:[%]])</f>
        <v/>
      </c>
      <c r="JD27" s="121" t="str">
        <f>IF(ISBLANK(tbl_task5[[คะแนนเต็ม]:[คะแนนเต็ม]]),"",(tbl_task5[94]/tbl_task5[[คะแนนเต็ม]:[คะแนนเต็ม]])*tbl_task5[[%]:[%]])</f>
        <v/>
      </c>
      <c r="JE27" s="121" t="str">
        <f>IF(ISBLANK(tbl_task5[[คะแนนเต็ม]:[คะแนนเต็ม]]),"",(tbl_task5[95]/tbl_task5[[คะแนนเต็ม]:[คะแนนเต็ม]])*tbl_task5[[%]:[%]])</f>
        <v/>
      </c>
      <c r="JF27" s="121" t="str">
        <f>IF(ISBLANK(tbl_task5[[คะแนนเต็ม]:[คะแนนเต็ม]]),"",(tbl_task5[96]/tbl_task5[[คะแนนเต็ม]:[คะแนนเต็ม]])*tbl_task5[[%]:[%]])</f>
        <v/>
      </c>
      <c r="JG27" s="121" t="str">
        <f>IF(ISBLANK(tbl_task5[[คะแนนเต็ม]:[คะแนนเต็ม]]),"",(tbl_task5[97]/tbl_task5[[คะแนนเต็ม]:[คะแนนเต็ม]])*tbl_task5[[%]:[%]])</f>
        <v/>
      </c>
      <c r="JH27" s="121" t="str">
        <f>IF(ISBLANK(tbl_task5[[คะแนนเต็ม]:[คะแนนเต็ม]]),"",(tbl_task5[98]/tbl_task5[[คะแนนเต็ม]:[คะแนนเต็ม]])*tbl_task5[[%]:[%]])</f>
        <v/>
      </c>
      <c r="JI27" s="121" t="str">
        <f>IF(ISBLANK(tbl_task5[[คะแนนเต็ม]:[คะแนนเต็ม]]),"",(tbl_task5[99]/tbl_task5[[คะแนนเต็ม]:[คะแนนเต็ม]])*tbl_task5[[%]:[%]])</f>
        <v/>
      </c>
      <c r="JJ27" s="121" t="str">
        <f>IF(ISBLANK(tbl_task5[[คะแนนเต็ม]:[คะแนนเต็ม]]),"",(tbl_task5[100]/tbl_task5[[คะแนนเต็ม]:[คะแนนเต็ม]])*tbl_task5[[%]:[%]])</f>
        <v/>
      </c>
      <c r="JK27" s="121" t="str">
        <f>IF(ISBLANK(tbl_task5[[คะแนนเต็ม]:[คะแนนเต็ม]]),"",(tbl_task5[101]/tbl_task5[[คะแนนเต็ม]:[คะแนนเต็ม]])*tbl_task5[[%]:[%]])</f>
        <v/>
      </c>
      <c r="JL27" s="121" t="str">
        <f>IF(ISBLANK(tbl_task5[[คะแนนเต็ม]:[คะแนนเต็ม]]),"",(tbl_task5[102]/tbl_task5[[คะแนนเต็ม]:[คะแนนเต็ม]])*tbl_task5[[%]:[%]])</f>
        <v/>
      </c>
      <c r="JM27" s="121" t="str">
        <f>IF(ISBLANK(tbl_task5[[คะแนนเต็ม]:[คะแนนเต็ม]]),"",(tbl_task5[103]/tbl_task5[[คะแนนเต็ม]:[คะแนนเต็ม]])*tbl_task5[[%]:[%]])</f>
        <v/>
      </c>
      <c r="JN27" s="121" t="str">
        <f>IF(ISBLANK(tbl_task5[[คะแนนเต็ม]:[คะแนนเต็ม]]),"",(tbl_task5[104]/tbl_task5[[คะแนนเต็ม]:[คะแนนเต็ม]])*tbl_task5[[%]:[%]])</f>
        <v/>
      </c>
      <c r="JO27" s="121" t="str">
        <f>IF(ISBLANK(tbl_task5[[คะแนนเต็ม]:[คะแนนเต็ม]]),"",(tbl_task5[105]/tbl_task5[[คะแนนเต็ม]:[คะแนนเต็ม]])*tbl_task5[[%]:[%]])</f>
        <v/>
      </c>
      <c r="JP27" s="121" t="str">
        <f>IF(ISBLANK(tbl_task5[[คะแนนเต็ม]:[คะแนนเต็ม]]),"",(tbl_task5[106]/tbl_task5[[คะแนนเต็ม]:[คะแนนเต็ม]])*tbl_task5[[%]:[%]])</f>
        <v/>
      </c>
      <c r="JQ27" s="121" t="str">
        <f>IF(ISBLANK(tbl_task5[[คะแนนเต็ม]:[คะแนนเต็ม]]),"",(tbl_task5[107]/tbl_task5[[คะแนนเต็ม]:[คะแนนเต็ม]])*tbl_task5[[%]:[%]])</f>
        <v/>
      </c>
      <c r="JR27" s="121" t="str">
        <f>IF(ISBLANK(tbl_task5[[คะแนนเต็ม]:[คะแนนเต็ม]]),"",(tbl_task5[108]/tbl_task5[[คะแนนเต็ม]:[คะแนนเต็ม]])*tbl_task5[[%]:[%]])</f>
        <v/>
      </c>
      <c r="JS27" s="121" t="str">
        <f>IF(ISBLANK(tbl_task5[[คะแนนเต็ม]:[คะแนนเต็ม]]),"",(tbl_task5[109]/tbl_task5[[คะแนนเต็ม]:[คะแนนเต็ม]])*tbl_task5[[%]:[%]])</f>
        <v/>
      </c>
      <c r="JT27" s="121" t="str">
        <f>IF(ISBLANK(tbl_task5[[คะแนนเต็ม]:[คะแนนเต็ม]]),"",(tbl_task5[110]/tbl_task5[[คะแนนเต็ม]:[คะแนนเต็ม]])*tbl_task5[[%]:[%]])</f>
        <v/>
      </c>
      <c r="JU27" s="121" t="str">
        <f>IF(ISBLANK(tbl_task5[[คะแนนเต็ม]:[คะแนนเต็ม]]),"",(tbl_task5[111]/tbl_task5[[คะแนนเต็ม]:[คะแนนเต็ม]])*tbl_task5[[%]:[%]])</f>
        <v/>
      </c>
      <c r="JV27" s="121" t="str">
        <f>IF(ISBLANK(tbl_task5[[คะแนนเต็ม]:[คะแนนเต็ม]]),"",(tbl_task5[112]/tbl_task5[[คะแนนเต็ม]:[คะแนนเต็ม]])*tbl_task5[[%]:[%]])</f>
        <v/>
      </c>
      <c r="JW27" s="121" t="str">
        <f>IF(ISBLANK(tbl_task5[[คะแนนเต็ม]:[คะแนนเต็ม]]),"",(tbl_task5[113]/tbl_task5[[คะแนนเต็ม]:[คะแนนเต็ม]])*tbl_task5[[%]:[%]])</f>
        <v/>
      </c>
      <c r="JX27" s="121" t="str">
        <f>IF(ISBLANK(tbl_task5[[คะแนนเต็ม]:[คะแนนเต็ม]]),"",(tbl_task5[114]/tbl_task5[[คะแนนเต็ม]:[คะแนนเต็ม]])*tbl_task5[[%]:[%]])</f>
        <v/>
      </c>
      <c r="JY27" s="121" t="str">
        <f>IF(ISBLANK(tbl_task5[[คะแนนเต็ม]:[คะแนนเต็ม]]),"",(tbl_task5[115]/tbl_task5[[คะแนนเต็ม]:[คะแนนเต็ม]])*tbl_task5[[%]:[%]])</f>
        <v/>
      </c>
      <c r="JZ27" s="121" t="str">
        <f>IF(ISBLANK(tbl_task5[[คะแนนเต็ม]:[คะแนนเต็ม]]),"",(tbl_task5[116]/tbl_task5[[คะแนนเต็ม]:[คะแนนเต็ม]])*tbl_task5[[%]:[%]])</f>
        <v/>
      </c>
      <c r="KA27" s="121" t="str">
        <f>IF(ISBLANK(tbl_task5[[คะแนนเต็ม]:[คะแนนเต็ม]]),"",(tbl_task5[117]/tbl_task5[[คะแนนเต็ม]:[คะแนนเต็ม]])*tbl_task5[[%]:[%]])</f>
        <v/>
      </c>
      <c r="KB27" s="121" t="str">
        <f>IF(ISBLANK(tbl_task5[[คะแนนเต็ม]:[คะแนนเต็ม]]),"",(tbl_task5[118]/tbl_task5[[คะแนนเต็ม]:[คะแนนเต็ม]])*tbl_task5[[%]:[%]])</f>
        <v/>
      </c>
      <c r="KC27" s="121" t="str">
        <f>IF(ISBLANK(tbl_task5[[คะแนนเต็ม]:[คะแนนเต็ม]]),"",(tbl_task5[119]/tbl_task5[[คะแนนเต็ม]:[คะแนนเต็ม]])*tbl_task5[[%]:[%]])</f>
        <v/>
      </c>
      <c r="KD27" s="121" t="str">
        <f>IF(ISBLANK(tbl_task5[[คะแนนเต็ม]:[คะแนนเต็ม]]),"",(tbl_task5[120]/tbl_task5[[คะแนนเต็ม]:[คะแนนเต็ม]])*tbl_task5[[%]:[%]])</f>
        <v/>
      </c>
      <c r="KE27" s="121" t="str">
        <f>IF(ISBLANK(tbl_task5[[คะแนนเต็ม]:[คะแนนเต็ม]]),"",(tbl_task5[121]/tbl_task5[[คะแนนเต็ม]:[คะแนนเต็ม]])*tbl_task5[[%]:[%]])</f>
        <v/>
      </c>
      <c r="KF27" s="121" t="str">
        <f>IF(ISBLANK(tbl_task5[[คะแนนเต็ม]:[คะแนนเต็ม]]),"",(tbl_task5[122]/tbl_task5[[คะแนนเต็ม]:[คะแนนเต็ม]])*tbl_task5[[%]:[%]])</f>
        <v/>
      </c>
      <c r="KG27" s="121" t="str">
        <f>IF(ISBLANK(tbl_task5[[คะแนนเต็ม]:[คะแนนเต็ม]]),"",(tbl_task5[123]/tbl_task5[[คะแนนเต็ม]:[คะแนนเต็ม]])*tbl_task5[[%]:[%]])</f>
        <v/>
      </c>
      <c r="KH27" s="121" t="str">
        <f>IF(ISBLANK(tbl_task5[[คะแนนเต็ม]:[คะแนนเต็ม]]),"",(tbl_task5[124]/tbl_task5[[คะแนนเต็ม]:[คะแนนเต็ม]])*tbl_task5[[%]:[%]])</f>
        <v/>
      </c>
      <c r="KI27" s="121" t="str">
        <f>IF(ISBLANK(tbl_task5[[คะแนนเต็ม]:[คะแนนเต็ม]]),"",(tbl_task5[125]/tbl_task5[[คะแนนเต็ม]:[คะแนนเต็ม]])*tbl_task5[[%]:[%]])</f>
        <v/>
      </c>
      <c r="KJ27" s="121" t="str">
        <f>IF(ISBLANK(tbl_task5[[คะแนนเต็ม]:[คะแนนเต็ม]]),"",(tbl_task5[126]/tbl_task5[[คะแนนเต็ม]:[คะแนนเต็ม]])*tbl_task5[[%]:[%]])</f>
        <v/>
      </c>
      <c r="KK27" s="121" t="str">
        <f>IF(ISBLANK(tbl_task5[[คะแนนเต็ม]:[คะแนนเต็ม]]),"",(tbl_task5[127]/tbl_task5[[คะแนนเต็ม]:[คะแนนเต็ม]])*tbl_task5[[%]:[%]])</f>
        <v/>
      </c>
      <c r="KL27" s="121" t="str">
        <f>IF(ISBLANK(tbl_task5[[คะแนนเต็ม]:[คะแนนเต็ม]]),"",(tbl_task5[128]/tbl_task5[[คะแนนเต็ม]:[คะแนนเต็ม]])*tbl_task5[[%]:[%]])</f>
        <v/>
      </c>
      <c r="KM27" s="121" t="str">
        <f>IF(ISBLANK(tbl_task5[[คะแนนเต็ม]:[คะแนนเต็ม]]),"",(tbl_task5[129]/tbl_task5[[คะแนนเต็ม]:[คะแนนเต็ม]])*tbl_task5[[%]:[%]])</f>
        <v/>
      </c>
      <c r="KN27" s="121" t="str">
        <f>IF(ISBLANK(tbl_task5[[คะแนนเต็ม]:[คะแนนเต็ม]]),"",(tbl_task5[130]/tbl_task5[[คะแนนเต็ม]:[คะแนนเต็ม]])*tbl_task5[[%]:[%]])</f>
        <v/>
      </c>
      <c r="KO27" s="121" t="str">
        <f>IF(ISBLANK(tbl_task5[[คะแนนเต็ม]:[คะแนนเต็ม]]),"",(tbl_task5[131]/tbl_task5[[คะแนนเต็ม]:[คะแนนเต็ม]])*tbl_task5[[%]:[%]])</f>
        <v/>
      </c>
      <c r="KP27" s="121" t="str">
        <f>IF(ISBLANK(tbl_task5[[คะแนนเต็ม]:[คะแนนเต็ม]]),"",(tbl_task5[132]/tbl_task5[[คะแนนเต็ม]:[คะแนนเต็ม]])*tbl_task5[[%]:[%]])</f>
        <v/>
      </c>
      <c r="KQ27" s="121" t="str">
        <f>IF(ISBLANK(tbl_task5[[คะแนนเต็ม]:[คะแนนเต็ม]]),"",(tbl_task5[133]/tbl_task5[[คะแนนเต็ม]:[คะแนนเต็ม]])*tbl_task5[[%]:[%]])</f>
        <v/>
      </c>
      <c r="KR27" s="121" t="str">
        <f>IF(ISBLANK(tbl_task5[[คะแนนเต็ม]:[คะแนนเต็ม]]),"",(tbl_task5[134]/tbl_task5[[คะแนนเต็ม]:[คะแนนเต็ม]])*tbl_task5[[%]:[%]])</f>
        <v/>
      </c>
      <c r="KS27" s="121" t="str">
        <f>IF(ISBLANK(tbl_task5[[คะแนนเต็ม]:[คะแนนเต็ม]]),"",(tbl_task5[135]/tbl_task5[[คะแนนเต็ม]:[คะแนนเต็ม]])*tbl_task5[[%]:[%]])</f>
        <v/>
      </c>
      <c r="KT27" s="121" t="str">
        <f>IF(ISBLANK(tbl_task5[[คะแนนเต็ม]:[คะแนนเต็ม]]),"",(tbl_task5[136]/tbl_task5[[คะแนนเต็ม]:[คะแนนเต็ม]])*tbl_task5[[%]:[%]])</f>
        <v/>
      </c>
      <c r="KU27" s="121" t="str">
        <f>IF(ISBLANK(tbl_task5[[คะแนนเต็ม]:[คะแนนเต็ม]]),"",(tbl_task5[137]/tbl_task5[[คะแนนเต็ม]:[คะแนนเต็ม]])*tbl_task5[[%]:[%]])</f>
        <v/>
      </c>
      <c r="KV27" s="121" t="str">
        <f>IF(ISBLANK(tbl_task5[[คะแนนเต็ม]:[คะแนนเต็ม]]),"",(tbl_task5[138]/tbl_task5[[คะแนนเต็ม]:[คะแนนเต็ม]])*tbl_task5[[%]:[%]])</f>
        <v/>
      </c>
      <c r="KW27" s="121" t="str">
        <f>IF(ISBLANK(tbl_task5[[คะแนนเต็ม]:[คะแนนเต็ม]]),"",(tbl_task5[139]/tbl_task5[[คะแนนเต็ม]:[คะแนนเต็ม]])*tbl_task5[[%]:[%]])</f>
        <v/>
      </c>
      <c r="KX27" s="121" t="str">
        <f>IF(ISBLANK(tbl_task5[[คะแนนเต็ม]:[คะแนนเต็ม]]),"",(tbl_task5[140]/tbl_task5[[คะแนนเต็ม]:[คะแนนเต็ม]])*tbl_task5[[%]:[%]])</f>
        <v/>
      </c>
      <c r="KY27" s="121" t="str">
        <f>IF(ISBLANK(tbl_task5[[คะแนนเต็ม]:[คะแนนเต็ม]]),"",(tbl_task5[141]/tbl_task5[[คะแนนเต็ม]:[คะแนนเต็ม]])*tbl_task5[[%]:[%]])</f>
        <v/>
      </c>
      <c r="KZ27" s="121" t="str">
        <f>IF(ISBLANK(tbl_task5[[คะแนนเต็ม]:[คะแนนเต็ม]]),"",(tbl_task5[142]/tbl_task5[[คะแนนเต็ม]:[คะแนนเต็ม]])*tbl_task5[[%]:[%]])</f>
        <v/>
      </c>
      <c r="LA27" s="121" t="str">
        <f>IF(ISBLANK(tbl_task5[[คะแนนเต็ม]:[คะแนนเต็ม]]),"",(tbl_task5[143]/tbl_task5[[คะแนนเต็ม]:[คะแนนเต็ม]])*tbl_task5[[%]:[%]])</f>
        <v/>
      </c>
      <c r="LB27" s="121" t="str">
        <f>IF(ISBLANK(tbl_task5[[คะแนนเต็ม]:[คะแนนเต็ม]]),"",(tbl_task5[144]/tbl_task5[[คะแนนเต็ม]:[คะแนนเต็ม]])*tbl_task5[[%]:[%]])</f>
        <v/>
      </c>
      <c r="LC27" s="121" t="str">
        <f>IF(ISBLANK(tbl_task5[[คะแนนเต็ม]:[คะแนนเต็ม]]),"",(tbl_task5[145]/tbl_task5[[คะแนนเต็ม]:[คะแนนเต็ม]])*tbl_task5[[%]:[%]])</f>
        <v/>
      </c>
      <c r="LD27" s="121" t="str">
        <f>IF(ISBLANK(tbl_task5[[คะแนนเต็ม]:[คะแนนเต็ม]]),"",(tbl_task5[146]/tbl_task5[[คะแนนเต็ม]:[คะแนนเต็ม]])*tbl_task5[[%]:[%]])</f>
        <v/>
      </c>
      <c r="LE27" s="121" t="str">
        <f>IF(ISBLANK(tbl_task5[[คะแนนเต็ม]:[คะแนนเต็ม]]),"",(tbl_task5[147]/tbl_task5[[คะแนนเต็ม]:[คะแนนเต็ม]])*tbl_task5[[%]:[%]])</f>
        <v/>
      </c>
      <c r="LF27" s="121" t="str">
        <f>IF(ISBLANK(tbl_task5[[คะแนนเต็ม]:[คะแนนเต็ม]]),"",(tbl_task5[148]/tbl_task5[[คะแนนเต็ม]:[คะแนนเต็ม]])*tbl_task5[[%]:[%]])</f>
        <v/>
      </c>
      <c r="LG27" s="121" t="str">
        <f>IF(ISBLANK(tbl_task5[[คะแนนเต็ม]:[คะแนนเต็ม]]),"",(tbl_task5[149]/tbl_task5[[คะแนนเต็ม]:[คะแนนเต็ม]])*tbl_task5[[%]:[%]])</f>
        <v/>
      </c>
      <c r="LH27" s="121" t="str">
        <f>IF(ISBLANK(tbl_task5[[คะแนนเต็ม]:[คะแนนเต็ม]]),"",(tbl_task5[150]/tbl_task5[[คะแนนเต็ม]:[คะแนนเต็ม]])*tbl_task5[[%]:[%]])</f>
        <v/>
      </c>
      <c r="LI27" s="121" t="str">
        <f>IF(ISBLANK(tbl_task5[[คะแนนเต็ม]:[คะแนนเต็ม]]),"",(tbl_task5[151]/tbl_task5[[คะแนนเต็ม]:[คะแนนเต็ม]])*tbl_task5[[%]:[%]])</f>
        <v/>
      </c>
      <c r="LJ27" s="121" t="str">
        <f>IF(ISBLANK(tbl_task5[[คะแนนเต็ม]:[คะแนนเต็ม]]),"",(tbl_task5[152]/tbl_task5[[คะแนนเต็ม]:[คะแนนเต็ม]])*tbl_task5[[%]:[%]])</f>
        <v/>
      </c>
      <c r="LK27" s="121" t="str">
        <f>IF(ISBLANK(tbl_task5[[คะแนนเต็ม]:[คะแนนเต็ม]]),"",(tbl_task5[153]/tbl_task5[[คะแนนเต็ม]:[คะแนนเต็ม]])*tbl_task5[[%]:[%]])</f>
        <v/>
      </c>
      <c r="LL27" s="121" t="str">
        <f>IF(ISBLANK(tbl_task5[[คะแนนเต็ม]:[คะแนนเต็ม]]),"",(tbl_task5[154]/tbl_task5[[คะแนนเต็ม]:[คะแนนเต็ม]])*tbl_task5[[%]:[%]])</f>
        <v/>
      </c>
      <c r="LM27" s="121" t="str">
        <f>IF(ISBLANK(tbl_task5[[คะแนนเต็ม]:[คะแนนเต็ม]]),"",(tbl_task5[155]/tbl_task5[[คะแนนเต็ม]:[คะแนนเต็ม]])*tbl_task5[[%]:[%]])</f>
        <v/>
      </c>
      <c r="LN27" s="121" t="str">
        <f>IF(ISBLANK(tbl_task5[[คะแนนเต็ม]:[คะแนนเต็ม]]),"",(tbl_task5[156]/tbl_task5[[คะแนนเต็ม]:[คะแนนเต็ม]])*tbl_task5[[%]:[%]])</f>
        <v/>
      </c>
      <c r="LO27" s="121" t="str">
        <f>IF(ISBLANK(tbl_task5[[คะแนนเต็ม]:[คะแนนเต็ม]]),"",(tbl_task5[157]/tbl_task5[[คะแนนเต็ม]:[คะแนนเต็ม]])*tbl_task5[[%]:[%]])</f>
        <v/>
      </c>
      <c r="LP27" s="121" t="str">
        <f>IF(ISBLANK(tbl_task5[[คะแนนเต็ม]:[คะแนนเต็ม]]),"",(tbl_task5[158]/tbl_task5[[คะแนนเต็ม]:[คะแนนเต็ม]])*tbl_task5[[%]:[%]])</f>
        <v/>
      </c>
      <c r="LQ27" s="121" t="str">
        <f>IF(ISBLANK(tbl_task5[[คะแนนเต็ม]:[คะแนนเต็ม]]),"",(tbl_task5[159]/tbl_task5[[คะแนนเต็ม]:[คะแนนเต็ม]])*tbl_task5[[%]:[%]])</f>
        <v/>
      </c>
      <c r="LR27" s="121" t="str">
        <f>IF(ISBLANK(tbl_task5[[คะแนนเต็ม]:[คะแนนเต็ม]]),"",(tbl_task5[160]/tbl_task5[[คะแนนเต็ม]:[คะแนนเต็ม]])*tbl_task5[[%]:[%]])</f>
        <v/>
      </c>
      <c r="LS27" s="121" t="str">
        <f>IF(ISBLANK(tbl_task5[[คะแนนเต็ม]:[คะแนนเต็ม]]),"",(tbl_task5[161]/tbl_task5[[คะแนนเต็ม]:[คะแนนเต็ม]])*tbl_task5[[%]:[%]])</f>
        <v/>
      </c>
      <c r="LT27" s="121" t="str">
        <f>IF(ISBLANK(tbl_task5[[คะแนนเต็ม]:[คะแนนเต็ม]]),"",(tbl_task5[162]/tbl_task5[[คะแนนเต็ม]:[คะแนนเต็ม]])*tbl_task5[[%]:[%]])</f>
        <v/>
      </c>
      <c r="LU27" s="121" t="str">
        <f>IF(ISBLANK(tbl_task5[[คะแนนเต็ม]:[คะแนนเต็ม]]),"",(tbl_task5[163]/tbl_task5[[คะแนนเต็ม]:[คะแนนเต็ม]])*tbl_task5[[%]:[%]])</f>
        <v/>
      </c>
      <c r="LV27" s="121" t="str">
        <f>IF(ISBLANK(tbl_task5[[คะแนนเต็ม]:[คะแนนเต็ม]]),"",(tbl_task5[164]/tbl_task5[[คะแนนเต็ม]:[คะแนนเต็ม]])*tbl_task5[[%]:[%]])</f>
        <v/>
      </c>
      <c r="LW27" s="121" t="str">
        <f>IF(ISBLANK(tbl_task5[[คะแนนเต็ม]:[คะแนนเต็ม]]),"",(tbl_task5[165]/tbl_task5[[คะแนนเต็ม]:[คะแนนเต็ม]])*tbl_task5[[%]:[%]])</f>
        <v/>
      </c>
    </row>
    <row r="28" spans="1:335" ht="24" customHeight="1" x14ac:dyDescent="0.25">
      <c r="A28" s="24">
        <v>25</v>
      </c>
      <c r="B28" s="25"/>
      <c r="C28" s="26" t="str">
        <f>IF(ISBLANK(B28),"",VLOOKUP(B28,tbl_PLOs[],2,0))</f>
        <v/>
      </c>
      <c r="D28" s="103"/>
      <c r="E28" s="10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121" t="str">
        <f>IF(ISBLANK(tbl_task5[[คะแนนเต็ม]:[คะแนนเต็ม]]),"",(tbl_task5[1]/tbl_task5[[คะแนนเต็ม]:[คะแนนเต็ม]])*tbl_task5[[%]:[%]])</f>
        <v/>
      </c>
      <c r="FP28" s="121" t="str">
        <f>IF(ISBLANK(tbl_task5[[คะแนนเต็ม]:[คะแนนเต็ม]]),"",(tbl_task5[2]/tbl_task5[[คะแนนเต็ม]:[คะแนนเต็ม]])*tbl_task5[[%]:[%]])</f>
        <v/>
      </c>
      <c r="FQ28" s="121" t="str">
        <f>IF(ISBLANK(tbl_task5[[คะแนนเต็ม]:[คะแนนเต็ม]]),"",(tbl_task5[3]/tbl_task5[[คะแนนเต็ม]:[คะแนนเต็ม]])*tbl_task5[[%]:[%]])</f>
        <v/>
      </c>
      <c r="FR28" s="121" t="str">
        <f>IF(ISBLANK(tbl_task5[[คะแนนเต็ม]:[คะแนนเต็ม]]),"",(tbl_task5[4]/tbl_task5[[คะแนนเต็ม]:[คะแนนเต็ม]])*tbl_task5[[%]:[%]])</f>
        <v/>
      </c>
      <c r="FS28" s="121" t="str">
        <f>IF(ISBLANK(tbl_task5[[คะแนนเต็ม]:[คะแนนเต็ม]]),"",(tbl_task5[5]/tbl_task5[[คะแนนเต็ม]:[คะแนนเต็ม]])*tbl_task5[[%]:[%]])</f>
        <v/>
      </c>
      <c r="FT28" s="121" t="str">
        <f>IF(ISBLANK(tbl_task5[[คะแนนเต็ม]:[คะแนนเต็ม]]),"",(tbl_task5[6]/tbl_task5[[คะแนนเต็ม]:[คะแนนเต็ม]])*tbl_task5[[%]:[%]])</f>
        <v/>
      </c>
      <c r="FU28" s="121" t="str">
        <f>IF(ISBLANK(tbl_task5[[คะแนนเต็ม]:[คะแนนเต็ม]]),"",(tbl_task5[7]/tbl_task5[[คะแนนเต็ม]:[คะแนนเต็ม]])*tbl_task5[[%]:[%]])</f>
        <v/>
      </c>
      <c r="FV28" s="121" t="str">
        <f>IF(ISBLANK(tbl_task5[[คะแนนเต็ม]:[คะแนนเต็ม]]),"",(tbl_task5[8]/tbl_task5[[คะแนนเต็ม]:[คะแนนเต็ม]])*tbl_task5[[%]:[%]])</f>
        <v/>
      </c>
      <c r="FW28" s="121" t="str">
        <f>IF(ISBLANK(tbl_task5[[คะแนนเต็ม]:[คะแนนเต็ม]]),"",(tbl_task5[9]/tbl_task5[[คะแนนเต็ม]:[คะแนนเต็ม]])*tbl_task5[[%]:[%]])</f>
        <v/>
      </c>
      <c r="FX28" s="121" t="str">
        <f>IF(ISBLANK(tbl_task5[[คะแนนเต็ม]:[คะแนนเต็ม]]),"",(tbl_task5[10]/tbl_task5[[คะแนนเต็ม]:[คะแนนเต็ม]])*tbl_task5[[%]:[%]])</f>
        <v/>
      </c>
      <c r="FY28" s="121" t="str">
        <f>IF(ISBLANK(tbl_task5[[คะแนนเต็ม]:[คะแนนเต็ม]]),"",(tbl_task5[11]/tbl_task5[[คะแนนเต็ม]:[คะแนนเต็ม]])*tbl_task5[[%]:[%]])</f>
        <v/>
      </c>
      <c r="FZ28" s="121" t="str">
        <f>IF(ISBLANK(tbl_task5[[คะแนนเต็ม]:[คะแนนเต็ม]]),"",(tbl_task5[12]/tbl_task5[[คะแนนเต็ม]:[คะแนนเต็ม]])*tbl_task5[[%]:[%]])</f>
        <v/>
      </c>
      <c r="GA28" s="121" t="str">
        <f>IF(ISBLANK(tbl_task5[[คะแนนเต็ม]:[คะแนนเต็ม]]),"",(tbl_task5[13]/tbl_task5[[คะแนนเต็ม]:[คะแนนเต็ม]])*tbl_task5[[%]:[%]])</f>
        <v/>
      </c>
      <c r="GB28" s="121" t="str">
        <f>IF(ISBLANK(tbl_task5[[คะแนนเต็ม]:[คะแนนเต็ม]]),"",(tbl_task5[14]/tbl_task5[[คะแนนเต็ม]:[คะแนนเต็ม]])*tbl_task5[[%]:[%]])</f>
        <v/>
      </c>
      <c r="GC28" s="121" t="str">
        <f>IF(ISBLANK(tbl_task5[[คะแนนเต็ม]:[คะแนนเต็ม]]),"",(tbl_task5[15]/tbl_task5[[คะแนนเต็ม]:[คะแนนเต็ม]])*tbl_task5[[%]:[%]])</f>
        <v/>
      </c>
      <c r="GD28" s="121" t="str">
        <f>IF(ISBLANK(tbl_task5[[คะแนนเต็ม]:[คะแนนเต็ม]]),"",(tbl_task5[16]/tbl_task5[[คะแนนเต็ม]:[คะแนนเต็ม]])*tbl_task5[[%]:[%]])</f>
        <v/>
      </c>
      <c r="GE28" s="121" t="str">
        <f>IF(ISBLANK(tbl_task5[[คะแนนเต็ม]:[คะแนนเต็ม]]),"",(tbl_task5[17]/tbl_task5[[คะแนนเต็ม]:[คะแนนเต็ม]])*tbl_task5[[%]:[%]])</f>
        <v/>
      </c>
      <c r="GF28" s="121" t="str">
        <f>IF(ISBLANK(tbl_task5[[คะแนนเต็ม]:[คะแนนเต็ม]]),"",(tbl_task5[18]/tbl_task5[[คะแนนเต็ม]:[คะแนนเต็ม]])*tbl_task5[[%]:[%]])</f>
        <v/>
      </c>
      <c r="GG28" s="121" t="str">
        <f>IF(ISBLANK(tbl_task5[[คะแนนเต็ม]:[คะแนนเต็ม]]),"",(tbl_task5[19]/tbl_task5[[คะแนนเต็ม]:[คะแนนเต็ม]])*tbl_task5[[%]:[%]])</f>
        <v/>
      </c>
      <c r="GH28" s="121" t="str">
        <f>IF(ISBLANK(tbl_task5[[คะแนนเต็ม]:[คะแนนเต็ม]]),"",(tbl_task5[20]/tbl_task5[[คะแนนเต็ม]:[คะแนนเต็ม]])*tbl_task5[[%]:[%]])</f>
        <v/>
      </c>
      <c r="GI28" s="121" t="str">
        <f>IF(ISBLANK(tbl_task5[[คะแนนเต็ม]:[คะแนนเต็ม]]),"",(tbl_task5[21]/tbl_task5[[คะแนนเต็ม]:[คะแนนเต็ม]])*tbl_task5[[%]:[%]])</f>
        <v/>
      </c>
      <c r="GJ28" s="121" t="str">
        <f>IF(ISBLANK(tbl_task5[[คะแนนเต็ม]:[คะแนนเต็ม]]),"",(tbl_task5[22]/tbl_task5[[คะแนนเต็ม]:[คะแนนเต็ม]])*tbl_task5[[%]:[%]])</f>
        <v/>
      </c>
      <c r="GK28" s="121" t="str">
        <f>IF(ISBLANK(tbl_task5[[คะแนนเต็ม]:[คะแนนเต็ม]]),"",(tbl_task5[23]/tbl_task5[[คะแนนเต็ม]:[คะแนนเต็ม]])*tbl_task5[[%]:[%]])</f>
        <v/>
      </c>
      <c r="GL28" s="121" t="str">
        <f>IF(ISBLANK(tbl_task5[[คะแนนเต็ม]:[คะแนนเต็ม]]),"",(tbl_task5[24]/tbl_task5[[คะแนนเต็ม]:[คะแนนเต็ม]])*tbl_task5[[%]:[%]])</f>
        <v/>
      </c>
      <c r="GM28" s="121" t="str">
        <f>IF(ISBLANK(tbl_task5[[คะแนนเต็ม]:[คะแนนเต็ม]]),"",(tbl_task5[25]/tbl_task5[[คะแนนเต็ม]:[คะแนนเต็ม]])*tbl_task5[[%]:[%]])</f>
        <v/>
      </c>
      <c r="GN28" s="121" t="str">
        <f>IF(ISBLANK(tbl_task5[[คะแนนเต็ม]:[คะแนนเต็ม]]),"",(tbl_task5[26]/tbl_task5[[คะแนนเต็ม]:[คะแนนเต็ม]])*tbl_task5[[%]:[%]])</f>
        <v/>
      </c>
      <c r="GO28" s="121" t="str">
        <f>IF(ISBLANK(tbl_task5[[คะแนนเต็ม]:[คะแนนเต็ม]]),"",(tbl_task5[27]/tbl_task5[[คะแนนเต็ม]:[คะแนนเต็ม]])*tbl_task5[[%]:[%]])</f>
        <v/>
      </c>
      <c r="GP28" s="121" t="str">
        <f>IF(ISBLANK(tbl_task5[[คะแนนเต็ม]:[คะแนนเต็ม]]),"",(tbl_task5[28]/tbl_task5[[คะแนนเต็ม]:[คะแนนเต็ม]])*tbl_task5[[%]:[%]])</f>
        <v/>
      </c>
      <c r="GQ28" s="121" t="str">
        <f>IF(ISBLANK(tbl_task5[[คะแนนเต็ม]:[คะแนนเต็ม]]),"",(tbl_task5[29]/tbl_task5[[คะแนนเต็ม]:[คะแนนเต็ม]])*tbl_task5[[%]:[%]])</f>
        <v/>
      </c>
      <c r="GR28" s="121" t="str">
        <f>IF(ISBLANK(tbl_task5[[คะแนนเต็ม]:[คะแนนเต็ม]]),"",(tbl_task5[30]/tbl_task5[[คะแนนเต็ม]:[คะแนนเต็ม]])*tbl_task5[[%]:[%]])</f>
        <v/>
      </c>
      <c r="GS28" s="121" t="str">
        <f>IF(ISBLANK(tbl_task5[[คะแนนเต็ม]:[คะแนนเต็ม]]),"",(tbl_task5[31]/tbl_task5[[คะแนนเต็ม]:[คะแนนเต็ม]])*tbl_task5[[%]:[%]])</f>
        <v/>
      </c>
      <c r="GT28" s="121" t="str">
        <f>IF(ISBLANK(tbl_task5[[คะแนนเต็ม]:[คะแนนเต็ม]]),"",(tbl_task5[32]/tbl_task5[[คะแนนเต็ม]:[คะแนนเต็ม]])*tbl_task5[[%]:[%]])</f>
        <v/>
      </c>
      <c r="GU28" s="121" t="str">
        <f>IF(ISBLANK(tbl_task5[[คะแนนเต็ม]:[คะแนนเต็ม]]),"",(tbl_task5[33]/tbl_task5[[คะแนนเต็ม]:[คะแนนเต็ม]])*tbl_task5[[%]:[%]])</f>
        <v/>
      </c>
      <c r="GV28" s="121" t="str">
        <f>IF(ISBLANK(tbl_task5[[คะแนนเต็ม]:[คะแนนเต็ม]]),"",(tbl_task5[34]/tbl_task5[[คะแนนเต็ม]:[คะแนนเต็ม]])*tbl_task5[[%]:[%]])</f>
        <v/>
      </c>
      <c r="GW28" s="121" t="str">
        <f>IF(ISBLANK(tbl_task5[[คะแนนเต็ม]:[คะแนนเต็ม]]),"",(tbl_task5[35]/tbl_task5[[คะแนนเต็ม]:[คะแนนเต็ม]])*tbl_task5[[%]:[%]])</f>
        <v/>
      </c>
      <c r="GX28" s="121" t="str">
        <f>IF(ISBLANK(tbl_task5[[คะแนนเต็ม]:[คะแนนเต็ม]]),"",(tbl_task5[36]/tbl_task5[[คะแนนเต็ม]:[คะแนนเต็ม]])*tbl_task5[[%]:[%]])</f>
        <v/>
      </c>
      <c r="GY28" s="121" t="str">
        <f>IF(ISBLANK(tbl_task5[[คะแนนเต็ม]:[คะแนนเต็ม]]),"",(tbl_task5[37]/tbl_task5[[คะแนนเต็ม]:[คะแนนเต็ม]])*tbl_task5[[%]:[%]])</f>
        <v/>
      </c>
      <c r="GZ28" s="121" t="str">
        <f>IF(ISBLANK(tbl_task5[[คะแนนเต็ม]:[คะแนนเต็ม]]),"",(tbl_task5[38]/tbl_task5[[คะแนนเต็ม]:[คะแนนเต็ม]])*tbl_task5[[%]:[%]])</f>
        <v/>
      </c>
      <c r="HA28" s="121" t="str">
        <f>IF(ISBLANK(tbl_task5[[คะแนนเต็ม]:[คะแนนเต็ม]]),"",(tbl_task5[39]/tbl_task5[[คะแนนเต็ม]:[คะแนนเต็ม]])*tbl_task5[[%]:[%]])</f>
        <v/>
      </c>
      <c r="HB28" s="121" t="str">
        <f>IF(ISBLANK(tbl_task5[[คะแนนเต็ม]:[คะแนนเต็ม]]),"",(tbl_task5[40]/tbl_task5[[คะแนนเต็ม]:[คะแนนเต็ม]])*tbl_task5[[%]:[%]])</f>
        <v/>
      </c>
      <c r="HC28" s="121" t="str">
        <f>IF(ISBLANK(tbl_task5[[คะแนนเต็ม]:[คะแนนเต็ม]]),"",(tbl_task5[41]/tbl_task5[[คะแนนเต็ม]:[คะแนนเต็ม]])*tbl_task5[[%]:[%]])</f>
        <v/>
      </c>
      <c r="HD28" s="121" t="str">
        <f>IF(ISBLANK(tbl_task5[[คะแนนเต็ม]:[คะแนนเต็ม]]),"",(tbl_task5[42]/tbl_task5[[คะแนนเต็ม]:[คะแนนเต็ม]])*tbl_task5[[%]:[%]])</f>
        <v/>
      </c>
      <c r="HE28" s="121" t="str">
        <f>IF(ISBLANK(tbl_task5[[คะแนนเต็ม]:[คะแนนเต็ม]]),"",(tbl_task5[43]/tbl_task5[[คะแนนเต็ม]:[คะแนนเต็ม]])*tbl_task5[[%]:[%]])</f>
        <v/>
      </c>
      <c r="HF28" s="121" t="str">
        <f>IF(ISBLANK(tbl_task5[[คะแนนเต็ม]:[คะแนนเต็ม]]),"",(tbl_task5[44]/tbl_task5[[คะแนนเต็ม]:[คะแนนเต็ม]])*tbl_task5[[%]:[%]])</f>
        <v/>
      </c>
      <c r="HG28" s="121" t="str">
        <f>IF(ISBLANK(tbl_task5[[คะแนนเต็ม]:[คะแนนเต็ม]]),"",(tbl_task5[45]/tbl_task5[[คะแนนเต็ม]:[คะแนนเต็ม]])*tbl_task5[[%]:[%]])</f>
        <v/>
      </c>
      <c r="HH28" s="121" t="str">
        <f>IF(ISBLANK(tbl_task5[[คะแนนเต็ม]:[คะแนนเต็ม]]),"",(tbl_task5[46]/tbl_task5[[คะแนนเต็ม]:[คะแนนเต็ม]])*tbl_task5[[%]:[%]])</f>
        <v/>
      </c>
      <c r="HI28" s="121" t="str">
        <f>IF(ISBLANK(tbl_task5[[คะแนนเต็ม]:[คะแนนเต็ม]]),"",(tbl_task5[47]/tbl_task5[[คะแนนเต็ม]:[คะแนนเต็ม]])*tbl_task5[[%]:[%]])</f>
        <v/>
      </c>
      <c r="HJ28" s="121" t="str">
        <f>IF(ISBLANK(tbl_task5[[คะแนนเต็ม]:[คะแนนเต็ม]]),"",(tbl_task5[48]/tbl_task5[[คะแนนเต็ม]:[คะแนนเต็ม]])*tbl_task5[[%]:[%]])</f>
        <v/>
      </c>
      <c r="HK28" s="121" t="str">
        <f>IF(ISBLANK(tbl_task5[[คะแนนเต็ม]:[คะแนนเต็ม]]),"",(tbl_task5[49]/tbl_task5[[คะแนนเต็ม]:[คะแนนเต็ม]])*tbl_task5[[%]:[%]])</f>
        <v/>
      </c>
      <c r="HL28" s="121" t="str">
        <f>IF(ISBLANK(tbl_task5[[คะแนนเต็ม]:[คะแนนเต็ม]]),"",(tbl_task5[50]/tbl_task5[[คะแนนเต็ม]:[คะแนนเต็ม]])*tbl_task5[[%]:[%]])</f>
        <v/>
      </c>
      <c r="HM28" s="121" t="str">
        <f>IF(ISBLANK(tbl_task5[[คะแนนเต็ม]:[คะแนนเต็ม]]),"",(tbl_task5[51]/tbl_task5[[คะแนนเต็ม]:[คะแนนเต็ม]])*tbl_task5[[%]:[%]])</f>
        <v/>
      </c>
      <c r="HN28" s="121" t="str">
        <f>IF(ISBLANK(tbl_task5[[คะแนนเต็ม]:[คะแนนเต็ม]]),"",(tbl_task5[52]/tbl_task5[[คะแนนเต็ม]:[คะแนนเต็ม]])*tbl_task5[[%]:[%]])</f>
        <v/>
      </c>
      <c r="HO28" s="121" t="str">
        <f>IF(ISBLANK(tbl_task5[[คะแนนเต็ม]:[คะแนนเต็ม]]),"",(tbl_task5[53]/tbl_task5[[คะแนนเต็ม]:[คะแนนเต็ม]])*tbl_task5[[%]:[%]])</f>
        <v/>
      </c>
      <c r="HP28" s="121" t="str">
        <f>IF(ISBLANK(tbl_task5[[คะแนนเต็ม]:[คะแนนเต็ม]]),"",(tbl_task5[54]/tbl_task5[[คะแนนเต็ม]:[คะแนนเต็ม]])*tbl_task5[[%]:[%]])</f>
        <v/>
      </c>
      <c r="HQ28" s="121" t="str">
        <f>IF(ISBLANK(tbl_task5[[คะแนนเต็ม]:[คะแนนเต็ม]]),"",(tbl_task5[55]/tbl_task5[[คะแนนเต็ม]:[คะแนนเต็ม]])*tbl_task5[[%]:[%]])</f>
        <v/>
      </c>
      <c r="HR28" s="121" t="str">
        <f>IF(ISBLANK(tbl_task5[[คะแนนเต็ม]:[คะแนนเต็ม]]),"",(tbl_task5[56]/tbl_task5[[คะแนนเต็ม]:[คะแนนเต็ม]])*tbl_task5[[%]:[%]])</f>
        <v/>
      </c>
      <c r="HS28" s="121" t="str">
        <f>IF(ISBLANK(tbl_task5[[คะแนนเต็ม]:[คะแนนเต็ม]]),"",(tbl_task5[57]/tbl_task5[[คะแนนเต็ม]:[คะแนนเต็ม]])*tbl_task5[[%]:[%]])</f>
        <v/>
      </c>
      <c r="HT28" s="121" t="str">
        <f>IF(ISBLANK(tbl_task5[[คะแนนเต็ม]:[คะแนนเต็ม]]),"",(tbl_task5[58]/tbl_task5[[คะแนนเต็ม]:[คะแนนเต็ม]])*tbl_task5[[%]:[%]])</f>
        <v/>
      </c>
      <c r="HU28" s="121" t="str">
        <f>IF(ISBLANK(tbl_task5[[คะแนนเต็ม]:[คะแนนเต็ม]]),"",(tbl_task5[59]/tbl_task5[[คะแนนเต็ม]:[คะแนนเต็ม]])*tbl_task5[[%]:[%]])</f>
        <v/>
      </c>
      <c r="HV28" s="121" t="str">
        <f>IF(ISBLANK(tbl_task5[[คะแนนเต็ม]:[คะแนนเต็ม]]),"",(tbl_task5[60]/tbl_task5[[คะแนนเต็ม]:[คะแนนเต็ม]])*tbl_task5[[%]:[%]])</f>
        <v/>
      </c>
      <c r="HW28" s="121" t="str">
        <f>IF(ISBLANK(tbl_task5[[คะแนนเต็ม]:[คะแนนเต็ม]]),"",(tbl_task5[61]/tbl_task5[[คะแนนเต็ม]:[คะแนนเต็ม]])*tbl_task5[[%]:[%]])</f>
        <v/>
      </c>
      <c r="HX28" s="121" t="str">
        <f>IF(ISBLANK(tbl_task5[[คะแนนเต็ม]:[คะแนนเต็ม]]),"",(tbl_task5[62]/tbl_task5[[คะแนนเต็ม]:[คะแนนเต็ม]])*tbl_task5[[%]:[%]])</f>
        <v/>
      </c>
      <c r="HY28" s="121" t="str">
        <f>IF(ISBLANK(tbl_task5[[คะแนนเต็ม]:[คะแนนเต็ม]]),"",(tbl_task5[63]/tbl_task5[[คะแนนเต็ม]:[คะแนนเต็ม]])*tbl_task5[[%]:[%]])</f>
        <v/>
      </c>
      <c r="HZ28" s="121" t="str">
        <f>IF(ISBLANK(tbl_task5[[คะแนนเต็ม]:[คะแนนเต็ม]]),"",(tbl_task5[64]/tbl_task5[[คะแนนเต็ม]:[คะแนนเต็ม]])*tbl_task5[[%]:[%]])</f>
        <v/>
      </c>
      <c r="IA28" s="121" t="str">
        <f>IF(ISBLANK(tbl_task5[[คะแนนเต็ม]:[คะแนนเต็ม]]),"",(tbl_task5[65]/tbl_task5[[คะแนนเต็ม]:[คะแนนเต็ม]])*tbl_task5[[%]:[%]])</f>
        <v/>
      </c>
      <c r="IB28" s="121" t="str">
        <f>IF(ISBLANK(tbl_task5[[คะแนนเต็ม]:[คะแนนเต็ม]]),"",(tbl_task5[66]/tbl_task5[[คะแนนเต็ม]:[คะแนนเต็ม]])*tbl_task5[[%]:[%]])</f>
        <v/>
      </c>
      <c r="IC28" s="121" t="str">
        <f>IF(ISBLANK(tbl_task5[[คะแนนเต็ม]:[คะแนนเต็ม]]),"",(tbl_task5[67]/tbl_task5[[คะแนนเต็ม]:[คะแนนเต็ม]])*tbl_task5[[%]:[%]])</f>
        <v/>
      </c>
      <c r="ID28" s="121" t="str">
        <f>IF(ISBLANK(tbl_task5[[คะแนนเต็ม]:[คะแนนเต็ม]]),"",(tbl_task5[68]/tbl_task5[[คะแนนเต็ม]:[คะแนนเต็ม]])*tbl_task5[[%]:[%]])</f>
        <v/>
      </c>
      <c r="IE28" s="121" t="str">
        <f>IF(ISBLANK(tbl_task5[[คะแนนเต็ม]:[คะแนนเต็ม]]),"",(tbl_task5[69]/tbl_task5[[คะแนนเต็ม]:[คะแนนเต็ม]])*tbl_task5[[%]:[%]])</f>
        <v/>
      </c>
      <c r="IF28" s="121" t="str">
        <f>IF(ISBLANK(tbl_task5[[คะแนนเต็ม]:[คะแนนเต็ม]]),"",(tbl_task5[70]/tbl_task5[[คะแนนเต็ม]:[คะแนนเต็ม]])*tbl_task5[[%]:[%]])</f>
        <v/>
      </c>
      <c r="IG28" s="121" t="str">
        <f>IF(ISBLANK(tbl_task5[[คะแนนเต็ม]:[คะแนนเต็ม]]),"",(tbl_task5[71]/tbl_task5[[คะแนนเต็ม]:[คะแนนเต็ม]])*tbl_task5[[%]:[%]])</f>
        <v/>
      </c>
      <c r="IH28" s="121" t="str">
        <f>IF(ISBLANK(tbl_task5[[คะแนนเต็ม]:[คะแนนเต็ม]]),"",(tbl_task5[72]/tbl_task5[[คะแนนเต็ม]:[คะแนนเต็ม]])*tbl_task5[[%]:[%]])</f>
        <v/>
      </c>
      <c r="II28" s="121" t="str">
        <f>IF(ISBLANK(tbl_task5[[คะแนนเต็ม]:[คะแนนเต็ม]]),"",(tbl_task5[73]/tbl_task5[[คะแนนเต็ม]:[คะแนนเต็ม]])*tbl_task5[[%]:[%]])</f>
        <v/>
      </c>
      <c r="IJ28" s="121" t="str">
        <f>IF(ISBLANK(tbl_task5[[คะแนนเต็ม]:[คะแนนเต็ม]]),"",(tbl_task5[74]/tbl_task5[[คะแนนเต็ม]:[คะแนนเต็ม]])*tbl_task5[[%]:[%]])</f>
        <v/>
      </c>
      <c r="IK28" s="121" t="str">
        <f>IF(ISBLANK(tbl_task5[[คะแนนเต็ม]:[คะแนนเต็ม]]),"",(tbl_task5[75]/tbl_task5[[คะแนนเต็ม]:[คะแนนเต็ม]])*tbl_task5[[%]:[%]])</f>
        <v/>
      </c>
      <c r="IL28" s="121" t="str">
        <f>IF(ISBLANK(tbl_task5[[คะแนนเต็ม]:[คะแนนเต็ม]]),"",(tbl_task5[76]/tbl_task5[[คะแนนเต็ม]:[คะแนนเต็ม]])*tbl_task5[[%]:[%]])</f>
        <v/>
      </c>
      <c r="IM28" s="121" t="str">
        <f>IF(ISBLANK(tbl_task5[[คะแนนเต็ม]:[คะแนนเต็ม]]),"",(tbl_task5[77]/tbl_task5[[คะแนนเต็ม]:[คะแนนเต็ม]])*tbl_task5[[%]:[%]])</f>
        <v/>
      </c>
      <c r="IN28" s="121" t="str">
        <f>IF(ISBLANK(tbl_task5[[คะแนนเต็ม]:[คะแนนเต็ม]]),"",(tbl_task5[78]/tbl_task5[[คะแนนเต็ม]:[คะแนนเต็ม]])*tbl_task5[[%]:[%]])</f>
        <v/>
      </c>
      <c r="IO28" s="121" t="str">
        <f>IF(ISBLANK(tbl_task5[[คะแนนเต็ม]:[คะแนนเต็ม]]),"",(tbl_task5[79]/tbl_task5[[คะแนนเต็ม]:[คะแนนเต็ม]])*tbl_task5[[%]:[%]])</f>
        <v/>
      </c>
      <c r="IP28" s="121" t="str">
        <f>IF(ISBLANK(tbl_task5[[คะแนนเต็ม]:[คะแนนเต็ม]]),"",(tbl_task5[80]/tbl_task5[[คะแนนเต็ม]:[คะแนนเต็ม]])*tbl_task5[[%]:[%]])</f>
        <v/>
      </c>
      <c r="IQ28" s="121" t="str">
        <f>IF(ISBLANK(tbl_task5[[คะแนนเต็ม]:[คะแนนเต็ม]]),"",(tbl_task5[81]/tbl_task5[[คะแนนเต็ม]:[คะแนนเต็ม]])*tbl_task5[[%]:[%]])</f>
        <v/>
      </c>
      <c r="IR28" s="121" t="str">
        <f>IF(ISBLANK(tbl_task5[[คะแนนเต็ม]:[คะแนนเต็ม]]),"",(tbl_task5[82]/tbl_task5[[คะแนนเต็ม]:[คะแนนเต็ม]])*tbl_task5[[%]:[%]])</f>
        <v/>
      </c>
      <c r="IS28" s="121" t="str">
        <f>IF(ISBLANK(tbl_task5[[คะแนนเต็ม]:[คะแนนเต็ม]]),"",(tbl_task5[83]/tbl_task5[[คะแนนเต็ม]:[คะแนนเต็ม]])*tbl_task5[[%]:[%]])</f>
        <v/>
      </c>
      <c r="IT28" s="121" t="str">
        <f>IF(ISBLANK(tbl_task5[[คะแนนเต็ม]:[คะแนนเต็ม]]),"",(tbl_task5[84]/tbl_task5[[คะแนนเต็ม]:[คะแนนเต็ม]])*tbl_task5[[%]:[%]])</f>
        <v/>
      </c>
      <c r="IU28" s="121" t="str">
        <f>IF(ISBLANK(tbl_task5[[คะแนนเต็ม]:[คะแนนเต็ม]]),"",(tbl_task5[85]/tbl_task5[[คะแนนเต็ม]:[คะแนนเต็ม]])*tbl_task5[[%]:[%]])</f>
        <v/>
      </c>
      <c r="IV28" s="121" t="str">
        <f>IF(ISBLANK(tbl_task5[[คะแนนเต็ม]:[คะแนนเต็ม]]),"",(tbl_task5[86]/tbl_task5[[คะแนนเต็ม]:[คะแนนเต็ม]])*tbl_task5[[%]:[%]])</f>
        <v/>
      </c>
      <c r="IW28" s="121" t="str">
        <f>IF(ISBLANK(tbl_task5[[คะแนนเต็ม]:[คะแนนเต็ม]]),"",(tbl_task5[87]/tbl_task5[[คะแนนเต็ม]:[คะแนนเต็ม]])*tbl_task5[[%]:[%]])</f>
        <v/>
      </c>
      <c r="IX28" s="121" t="str">
        <f>IF(ISBLANK(tbl_task5[[คะแนนเต็ม]:[คะแนนเต็ม]]),"",(tbl_task5[88]/tbl_task5[[คะแนนเต็ม]:[คะแนนเต็ม]])*tbl_task5[[%]:[%]])</f>
        <v/>
      </c>
      <c r="IY28" s="121" t="str">
        <f>IF(ISBLANK(tbl_task5[[คะแนนเต็ม]:[คะแนนเต็ม]]),"",(tbl_task5[89]/tbl_task5[[คะแนนเต็ม]:[คะแนนเต็ม]])*tbl_task5[[%]:[%]])</f>
        <v/>
      </c>
      <c r="IZ28" s="121" t="str">
        <f>IF(ISBLANK(tbl_task5[[คะแนนเต็ม]:[คะแนนเต็ม]]),"",(tbl_task5[90]/tbl_task5[[คะแนนเต็ม]:[คะแนนเต็ม]])*tbl_task5[[%]:[%]])</f>
        <v/>
      </c>
      <c r="JA28" s="121" t="str">
        <f>IF(ISBLANK(tbl_task5[[คะแนนเต็ม]:[คะแนนเต็ม]]),"",(tbl_task5[91]/tbl_task5[[คะแนนเต็ม]:[คะแนนเต็ม]])*tbl_task5[[%]:[%]])</f>
        <v/>
      </c>
      <c r="JB28" s="121" t="str">
        <f>IF(ISBLANK(tbl_task5[[คะแนนเต็ม]:[คะแนนเต็ม]]),"",(tbl_task5[92]/tbl_task5[[คะแนนเต็ม]:[คะแนนเต็ม]])*tbl_task5[[%]:[%]])</f>
        <v/>
      </c>
      <c r="JC28" s="121" t="str">
        <f>IF(ISBLANK(tbl_task5[[คะแนนเต็ม]:[คะแนนเต็ม]]),"",(tbl_task5[93]/tbl_task5[[คะแนนเต็ม]:[คะแนนเต็ม]])*tbl_task5[[%]:[%]])</f>
        <v/>
      </c>
      <c r="JD28" s="121" t="str">
        <f>IF(ISBLANK(tbl_task5[[คะแนนเต็ม]:[คะแนนเต็ม]]),"",(tbl_task5[94]/tbl_task5[[คะแนนเต็ม]:[คะแนนเต็ม]])*tbl_task5[[%]:[%]])</f>
        <v/>
      </c>
      <c r="JE28" s="121" t="str">
        <f>IF(ISBLANK(tbl_task5[[คะแนนเต็ม]:[คะแนนเต็ม]]),"",(tbl_task5[95]/tbl_task5[[คะแนนเต็ม]:[คะแนนเต็ม]])*tbl_task5[[%]:[%]])</f>
        <v/>
      </c>
      <c r="JF28" s="121" t="str">
        <f>IF(ISBLANK(tbl_task5[[คะแนนเต็ม]:[คะแนนเต็ม]]),"",(tbl_task5[96]/tbl_task5[[คะแนนเต็ม]:[คะแนนเต็ม]])*tbl_task5[[%]:[%]])</f>
        <v/>
      </c>
      <c r="JG28" s="121" t="str">
        <f>IF(ISBLANK(tbl_task5[[คะแนนเต็ม]:[คะแนนเต็ม]]),"",(tbl_task5[97]/tbl_task5[[คะแนนเต็ม]:[คะแนนเต็ม]])*tbl_task5[[%]:[%]])</f>
        <v/>
      </c>
      <c r="JH28" s="121" t="str">
        <f>IF(ISBLANK(tbl_task5[[คะแนนเต็ม]:[คะแนนเต็ม]]),"",(tbl_task5[98]/tbl_task5[[คะแนนเต็ม]:[คะแนนเต็ม]])*tbl_task5[[%]:[%]])</f>
        <v/>
      </c>
      <c r="JI28" s="121" t="str">
        <f>IF(ISBLANK(tbl_task5[[คะแนนเต็ม]:[คะแนนเต็ม]]),"",(tbl_task5[99]/tbl_task5[[คะแนนเต็ม]:[คะแนนเต็ม]])*tbl_task5[[%]:[%]])</f>
        <v/>
      </c>
      <c r="JJ28" s="121" t="str">
        <f>IF(ISBLANK(tbl_task5[[คะแนนเต็ม]:[คะแนนเต็ม]]),"",(tbl_task5[100]/tbl_task5[[คะแนนเต็ม]:[คะแนนเต็ม]])*tbl_task5[[%]:[%]])</f>
        <v/>
      </c>
      <c r="JK28" s="121" t="str">
        <f>IF(ISBLANK(tbl_task5[[คะแนนเต็ม]:[คะแนนเต็ม]]),"",(tbl_task5[101]/tbl_task5[[คะแนนเต็ม]:[คะแนนเต็ม]])*tbl_task5[[%]:[%]])</f>
        <v/>
      </c>
      <c r="JL28" s="121" t="str">
        <f>IF(ISBLANK(tbl_task5[[คะแนนเต็ม]:[คะแนนเต็ม]]),"",(tbl_task5[102]/tbl_task5[[คะแนนเต็ม]:[คะแนนเต็ม]])*tbl_task5[[%]:[%]])</f>
        <v/>
      </c>
      <c r="JM28" s="121" t="str">
        <f>IF(ISBLANK(tbl_task5[[คะแนนเต็ม]:[คะแนนเต็ม]]),"",(tbl_task5[103]/tbl_task5[[คะแนนเต็ม]:[คะแนนเต็ม]])*tbl_task5[[%]:[%]])</f>
        <v/>
      </c>
      <c r="JN28" s="121" t="str">
        <f>IF(ISBLANK(tbl_task5[[คะแนนเต็ม]:[คะแนนเต็ม]]),"",(tbl_task5[104]/tbl_task5[[คะแนนเต็ม]:[คะแนนเต็ม]])*tbl_task5[[%]:[%]])</f>
        <v/>
      </c>
      <c r="JO28" s="121" t="str">
        <f>IF(ISBLANK(tbl_task5[[คะแนนเต็ม]:[คะแนนเต็ม]]),"",(tbl_task5[105]/tbl_task5[[คะแนนเต็ม]:[คะแนนเต็ม]])*tbl_task5[[%]:[%]])</f>
        <v/>
      </c>
      <c r="JP28" s="121" t="str">
        <f>IF(ISBLANK(tbl_task5[[คะแนนเต็ม]:[คะแนนเต็ม]]),"",(tbl_task5[106]/tbl_task5[[คะแนนเต็ม]:[คะแนนเต็ม]])*tbl_task5[[%]:[%]])</f>
        <v/>
      </c>
      <c r="JQ28" s="121" t="str">
        <f>IF(ISBLANK(tbl_task5[[คะแนนเต็ม]:[คะแนนเต็ม]]),"",(tbl_task5[107]/tbl_task5[[คะแนนเต็ม]:[คะแนนเต็ม]])*tbl_task5[[%]:[%]])</f>
        <v/>
      </c>
      <c r="JR28" s="121" t="str">
        <f>IF(ISBLANK(tbl_task5[[คะแนนเต็ม]:[คะแนนเต็ม]]),"",(tbl_task5[108]/tbl_task5[[คะแนนเต็ม]:[คะแนนเต็ม]])*tbl_task5[[%]:[%]])</f>
        <v/>
      </c>
      <c r="JS28" s="121" t="str">
        <f>IF(ISBLANK(tbl_task5[[คะแนนเต็ม]:[คะแนนเต็ม]]),"",(tbl_task5[109]/tbl_task5[[คะแนนเต็ม]:[คะแนนเต็ม]])*tbl_task5[[%]:[%]])</f>
        <v/>
      </c>
      <c r="JT28" s="121" t="str">
        <f>IF(ISBLANK(tbl_task5[[คะแนนเต็ม]:[คะแนนเต็ม]]),"",(tbl_task5[110]/tbl_task5[[คะแนนเต็ม]:[คะแนนเต็ม]])*tbl_task5[[%]:[%]])</f>
        <v/>
      </c>
      <c r="JU28" s="121" t="str">
        <f>IF(ISBLANK(tbl_task5[[คะแนนเต็ม]:[คะแนนเต็ม]]),"",(tbl_task5[111]/tbl_task5[[คะแนนเต็ม]:[คะแนนเต็ม]])*tbl_task5[[%]:[%]])</f>
        <v/>
      </c>
      <c r="JV28" s="121" t="str">
        <f>IF(ISBLANK(tbl_task5[[คะแนนเต็ม]:[คะแนนเต็ม]]),"",(tbl_task5[112]/tbl_task5[[คะแนนเต็ม]:[คะแนนเต็ม]])*tbl_task5[[%]:[%]])</f>
        <v/>
      </c>
      <c r="JW28" s="121" t="str">
        <f>IF(ISBLANK(tbl_task5[[คะแนนเต็ม]:[คะแนนเต็ม]]),"",(tbl_task5[113]/tbl_task5[[คะแนนเต็ม]:[คะแนนเต็ม]])*tbl_task5[[%]:[%]])</f>
        <v/>
      </c>
      <c r="JX28" s="121" t="str">
        <f>IF(ISBLANK(tbl_task5[[คะแนนเต็ม]:[คะแนนเต็ม]]),"",(tbl_task5[114]/tbl_task5[[คะแนนเต็ม]:[คะแนนเต็ม]])*tbl_task5[[%]:[%]])</f>
        <v/>
      </c>
      <c r="JY28" s="121" t="str">
        <f>IF(ISBLANK(tbl_task5[[คะแนนเต็ม]:[คะแนนเต็ม]]),"",(tbl_task5[115]/tbl_task5[[คะแนนเต็ม]:[คะแนนเต็ม]])*tbl_task5[[%]:[%]])</f>
        <v/>
      </c>
      <c r="JZ28" s="121" t="str">
        <f>IF(ISBLANK(tbl_task5[[คะแนนเต็ม]:[คะแนนเต็ม]]),"",(tbl_task5[116]/tbl_task5[[คะแนนเต็ม]:[คะแนนเต็ม]])*tbl_task5[[%]:[%]])</f>
        <v/>
      </c>
      <c r="KA28" s="121" t="str">
        <f>IF(ISBLANK(tbl_task5[[คะแนนเต็ม]:[คะแนนเต็ม]]),"",(tbl_task5[117]/tbl_task5[[คะแนนเต็ม]:[คะแนนเต็ม]])*tbl_task5[[%]:[%]])</f>
        <v/>
      </c>
      <c r="KB28" s="121" t="str">
        <f>IF(ISBLANK(tbl_task5[[คะแนนเต็ม]:[คะแนนเต็ม]]),"",(tbl_task5[118]/tbl_task5[[คะแนนเต็ม]:[คะแนนเต็ม]])*tbl_task5[[%]:[%]])</f>
        <v/>
      </c>
      <c r="KC28" s="121" t="str">
        <f>IF(ISBLANK(tbl_task5[[คะแนนเต็ม]:[คะแนนเต็ม]]),"",(tbl_task5[119]/tbl_task5[[คะแนนเต็ม]:[คะแนนเต็ม]])*tbl_task5[[%]:[%]])</f>
        <v/>
      </c>
      <c r="KD28" s="121" t="str">
        <f>IF(ISBLANK(tbl_task5[[คะแนนเต็ม]:[คะแนนเต็ม]]),"",(tbl_task5[120]/tbl_task5[[คะแนนเต็ม]:[คะแนนเต็ม]])*tbl_task5[[%]:[%]])</f>
        <v/>
      </c>
      <c r="KE28" s="121" t="str">
        <f>IF(ISBLANK(tbl_task5[[คะแนนเต็ม]:[คะแนนเต็ม]]),"",(tbl_task5[121]/tbl_task5[[คะแนนเต็ม]:[คะแนนเต็ม]])*tbl_task5[[%]:[%]])</f>
        <v/>
      </c>
      <c r="KF28" s="121" t="str">
        <f>IF(ISBLANK(tbl_task5[[คะแนนเต็ม]:[คะแนนเต็ม]]),"",(tbl_task5[122]/tbl_task5[[คะแนนเต็ม]:[คะแนนเต็ม]])*tbl_task5[[%]:[%]])</f>
        <v/>
      </c>
      <c r="KG28" s="121" t="str">
        <f>IF(ISBLANK(tbl_task5[[คะแนนเต็ม]:[คะแนนเต็ม]]),"",(tbl_task5[123]/tbl_task5[[คะแนนเต็ม]:[คะแนนเต็ม]])*tbl_task5[[%]:[%]])</f>
        <v/>
      </c>
      <c r="KH28" s="121" t="str">
        <f>IF(ISBLANK(tbl_task5[[คะแนนเต็ม]:[คะแนนเต็ม]]),"",(tbl_task5[124]/tbl_task5[[คะแนนเต็ม]:[คะแนนเต็ม]])*tbl_task5[[%]:[%]])</f>
        <v/>
      </c>
      <c r="KI28" s="121" t="str">
        <f>IF(ISBLANK(tbl_task5[[คะแนนเต็ม]:[คะแนนเต็ม]]),"",(tbl_task5[125]/tbl_task5[[คะแนนเต็ม]:[คะแนนเต็ม]])*tbl_task5[[%]:[%]])</f>
        <v/>
      </c>
      <c r="KJ28" s="121" t="str">
        <f>IF(ISBLANK(tbl_task5[[คะแนนเต็ม]:[คะแนนเต็ม]]),"",(tbl_task5[126]/tbl_task5[[คะแนนเต็ม]:[คะแนนเต็ม]])*tbl_task5[[%]:[%]])</f>
        <v/>
      </c>
      <c r="KK28" s="121" t="str">
        <f>IF(ISBLANK(tbl_task5[[คะแนนเต็ม]:[คะแนนเต็ม]]),"",(tbl_task5[127]/tbl_task5[[คะแนนเต็ม]:[คะแนนเต็ม]])*tbl_task5[[%]:[%]])</f>
        <v/>
      </c>
      <c r="KL28" s="121" t="str">
        <f>IF(ISBLANK(tbl_task5[[คะแนนเต็ม]:[คะแนนเต็ม]]),"",(tbl_task5[128]/tbl_task5[[คะแนนเต็ม]:[คะแนนเต็ม]])*tbl_task5[[%]:[%]])</f>
        <v/>
      </c>
      <c r="KM28" s="121" t="str">
        <f>IF(ISBLANK(tbl_task5[[คะแนนเต็ม]:[คะแนนเต็ม]]),"",(tbl_task5[129]/tbl_task5[[คะแนนเต็ม]:[คะแนนเต็ม]])*tbl_task5[[%]:[%]])</f>
        <v/>
      </c>
      <c r="KN28" s="121" t="str">
        <f>IF(ISBLANK(tbl_task5[[คะแนนเต็ม]:[คะแนนเต็ม]]),"",(tbl_task5[130]/tbl_task5[[คะแนนเต็ม]:[คะแนนเต็ม]])*tbl_task5[[%]:[%]])</f>
        <v/>
      </c>
      <c r="KO28" s="121" t="str">
        <f>IF(ISBLANK(tbl_task5[[คะแนนเต็ม]:[คะแนนเต็ม]]),"",(tbl_task5[131]/tbl_task5[[คะแนนเต็ม]:[คะแนนเต็ม]])*tbl_task5[[%]:[%]])</f>
        <v/>
      </c>
      <c r="KP28" s="121" t="str">
        <f>IF(ISBLANK(tbl_task5[[คะแนนเต็ม]:[คะแนนเต็ม]]),"",(tbl_task5[132]/tbl_task5[[คะแนนเต็ม]:[คะแนนเต็ม]])*tbl_task5[[%]:[%]])</f>
        <v/>
      </c>
      <c r="KQ28" s="121" t="str">
        <f>IF(ISBLANK(tbl_task5[[คะแนนเต็ม]:[คะแนนเต็ม]]),"",(tbl_task5[133]/tbl_task5[[คะแนนเต็ม]:[คะแนนเต็ม]])*tbl_task5[[%]:[%]])</f>
        <v/>
      </c>
      <c r="KR28" s="121" t="str">
        <f>IF(ISBLANK(tbl_task5[[คะแนนเต็ม]:[คะแนนเต็ม]]),"",(tbl_task5[134]/tbl_task5[[คะแนนเต็ม]:[คะแนนเต็ม]])*tbl_task5[[%]:[%]])</f>
        <v/>
      </c>
      <c r="KS28" s="121" t="str">
        <f>IF(ISBLANK(tbl_task5[[คะแนนเต็ม]:[คะแนนเต็ม]]),"",(tbl_task5[135]/tbl_task5[[คะแนนเต็ม]:[คะแนนเต็ม]])*tbl_task5[[%]:[%]])</f>
        <v/>
      </c>
      <c r="KT28" s="121" t="str">
        <f>IF(ISBLANK(tbl_task5[[คะแนนเต็ม]:[คะแนนเต็ม]]),"",(tbl_task5[136]/tbl_task5[[คะแนนเต็ม]:[คะแนนเต็ม]])*tbl_task5[[%]:[%]])</f>
        <v/>
      </c>
      <c r="KU28" s="121" t="str">
        <f>IF(ISBLANK(tbl_task5[[คะแนนเต็ม]:[คะแนนเต็ม]]),"",(tbl_task5[137]/tbl_task5[[คะแนนเต็ม]:[คะแนนเต็ม]])*tbl_task5[[%]:[%]])</f>
        <v/>
      </c>
      <c r="KV28" s="121" t="str">
        <f>IF(ISBLANK(tbl_task5[[คะแนนเต็ม]:[คะแนนเต็ม]]),"",(tbl_task5[138]/tbl_task5[[คะแนนเต็ม]:[คะแนนเต็ม]])*tbl_task5[[%]:[%]])</f>
        <v/>
      </c>
      <c r="KW28" s="121" t="str">
        <f>IF(ISBLANK(tbl_task5[[คะแนนเต็ม]:[คะแนนเต็ม]]),"",(tbl_task5[139]/tbl_task5[[คะแนนเต็ม]:[คะแนนเต็ม]])*tbl_task5[[%]:[%]])</f>
        <v/>
      </c>
      <c r="KX28" s="121" t="str">
        <f>IF(ISBLANK(tbl_task5[[คะแนนเต็ม]:[คะแนนเต็ม]]),"",(tbl_task5[140]/tbl_task5[[คะแนนเต็ม]:[คะแนนเต็ม]])*tbl_task5[[%]:[%]])</f>
        <v/>
      </c>
      <c r="KY28" s="121" t="str">
        <f>IF(ISBLANK(tbl_task5[[คะแนนเต็ม]:[คะแนนเต็ม]]),"",(tbl_task5[141]/tbl_task5[[คะแนนเต็ม]:[คะแนนเต็ม]])*tbl_task5[[%]:[%]])</f>
        <v/>
      </c>
      <c r="KZ28" s="121" t="str">
        <f>IF(ISBLANK(tbl_task5[[คะแนนเต็ม]:[คะแนนเต็ม]]),"",(tbl_task5[142]/tbl_task5[[คะแนนเต็ม]:[คะแนนเต็ม]])*tbl_task5[[%]:[%]])</f>
        <v/>
      </c>
      <c r="LA28" s="121" t="str">
        <f>IF(ISBLANK(tbl_task5[[คะแนนเต็ม]:[คะแนนเต็ม]]),"",(tbl_task5[143]/tbl_task5[[คะแนนเต็ม]:[คะแนนเต็ม]])*tbl_task5[[%]:[%]])</f>
        <v/>
      </c>
      <c r="LB28" s="121" t="str">
        <f>IF(ISBLANK(tbl_task5[[คะแนนเต็ม]:[คะแนนเต็ม]]),"",(tbl_task5[144]/tbl_task5[[คะแนนเต็ม]:[คะแนนเต็ม]])*tbl_task5[[%]:[%]])</f>
        <v/>
      </c>
      <c r="LC28" s="121" t="str">
        <f>IF(ISBLANK(tbl_task5[[คะแนนเต็ม]:[คะแนนเต็ม]]),"",(tbl_task5[145]/tbl_task5[[คะแนนเต็ม]:[คะแนนเต็ม]])*tbl_task5[[%]:[%]])</f>
        <v/>
      </c>
      <c r="LD28" s="121" t="str">
        <f>IF(ISBLANK(tbl_task5[[คะแนนเต็ม]:[คะแนนเต็ม]]),"",(tbl_task5[146]/tbl_task5[[คะแนนเต็ม]:[คะแนนเต็ม]])*tbl_task5[[%]:[%]])</f>
        <v/>
      </c>
      <c r="LE28" s="121" t="str">
        <f>IF(ISBLANK(tbl_task5[[คะแนนเต็ม]:[คะแนนเต็ม]]),"",(tbl_task5[147]/tbl_task5[[คะแนนเต็ม]:[คะแนนเต็ม]])*tbl_task5[[%]:[%]])</f>
        <v/>
      </c>
      <c r="LF28" s="121" t="str">
        <f>IF(ISBLANK(tbl_task5[[คะแนนเต็ม]:[คะแนนเต็ม]]),"",(tbl_task5[148]/tbl_task5[[คะแนนเต็ม]:[คะแนนเต็ม]])*tbl_task5[[%]:[%]])</f>
        <v/>
      </c>
      <c r="LG28" s="121" t="str">
        <f>IF(ISBLANK(tbl_task5[[คะแนนเต็ม]:[คะแนนเต็ม]]),"",(tbl_task5[149]/tbl_task5[[คะแนนเต็ม]:[คะแนนเต็ม]])*tbl_task5[[%]:[%]])</f>
        <v/>
      </c>
      <c r="LH28" s="121" t="str">
        <f>IF(ISBLANK(tbl_task5[[คะแนนเต็ม]:[คะแนนเต็ม]]),"",(tbl_task5[150]/tbl_task5[[คะแนนเต็ม]:[คะแนนเต็ม]])*tbl_task5[[%]:[%]])</f>
        <v/>
      </c>
      <c r="LI28" s="121" t="str">
        <f>IF(ISBLANK(tbl_task5[[คะแนนเต็ม]:[คะแนนเต็ม]]),"",(tbl_task5[151]/tbl_task5[[คะแนนเต็ม]:[คะแนนเต็ม]])*tbl_task5[[%]:[%]])</f>
        <v/>
      </c>
      <c r="LJ28" s="121" t="str">
        <f>IF(ISBLANK(tbl_task5[[คะแนนเต็ม]:[คะแนนเต็ม]]),"",(tbl_task5[152]/tbl_task5[[คะแนนเต็ม]:[คะแนนเต็ม]])*tbl_task5[[%]:[%]])</f>
        <v/>
      </c>
      <c r="LK28" s="121" t="str">
        <f>IF(ISBLANK(tbl_task5[[คะแนนเต็ม]:[คะแนนเต็ม]]),"",(tbl_task5[153]/tbl_task5[[คะแนนเต็ม]:[คะแนนเต็ม]])*tbl_task5[[%]:[%]])</f>
        <v/>
      </c>
      <c r="LL28" s="121" t="str">
        <f>IF(ISBLANK(tbl_task5[[คะแนนเต็ม]:[คะแนนเต็ม]]),"",(tbl_task5[154]/tbl_task5[[คะแนนเต็ม]:[คะแนนเต็ม]])*tbl_task5[[%]:[%]])</f>
        <v/>
      </c>
      <c r="LM28" s="121" t="str">
        <f>IF(ISBLANK(tbl_task5[[คะแนนเต็ม]:[คะแนนเต็ม]]),"",(tbl_task5[155]/tbl_task5[[คะแนนเต็ม]:[คะแนนเต็ม]])*tbl_task5[[%]:[%]])</f>
        <v/>
      </c>
      <c r="LN28" s="121" t="str">
        <f>IF(ISBLANK(tbl_task5[[คะแนนเต็ม]:[คะแนนเต็ม]]),"",(tbl_task5[156]/tbl_task5[[คะแนนเต็ม]:[คะแนนเต็ม]])*tbl_task5[[%]:[%]])</f>
        <v/>
      </c>
      <c r="LO28" s="121" t="str">
        <f>IF(ISBLANK(tbl_task5[[คะแนนเต็ม]:[คะแนนเต็ม]]),"",(tbl_task5[157]/tbl_task5[[คะแนนเต็ม]:[คะแนนเต็ม]])*tbl_task5[[%]:[%]])</f>
        <v/>
      </c>
      <c r="LP28" s="121" t="str">
        <f>IF(ISBLANK(tbl_task5[[คะแนนเต็ม]:[คะแนนเต็ม]]),"",(tbl_task5[158]/tbl_task5[[คะแนนเต็ม]:[คะแนนเต็ม]])*tbl_task5[[%]:[%]])</f>
        <v/>
      </c>
      <c r="LQ28" s="121" t="str">
        <f>IF(ISBLANK(tbl_task5[[คะแนนเต็ม]:[คะแนนเต็ม]]),"",(tbl_task5[159]/tbl_task5[[คะแนนเต็ม]:[คะแนนเต็ม]])*tbl_task5[[%]:[%]])</f>
        <v/>
      </c>
      <c r="LR28" s="121" t="str">
        <f>IF(ISBLANK(tbl_task5[[คะแนนเต็ม]:[คะแนนเต็ม]]),"",(tbl_task5[160]/tbl_task5[[คะแนนเต็ม]:[คะแนนเต็ม]])*tbl_task5[[%]:[%]])</f>
        <v/>
      </c>
      <c r="LS28" s="121" t="str">
        <f>IF(ISBLANK(tbl_task5[[คะแนนเต็ม]:[คะแนนเต็ม]]),"",(tbl_task5[161]/tbl_task5[[คะแนนเต็ม]:[คะแนนเต็ม]])*tbl_task5[[%]:[%]])</f>
        <v/>
      </c>
      <c r="LT28" s="121" t="str">
        <f>IF(ISBLANK(tbl_task5[[คะแนนเต็ม]:[คะแนนเต็ม]]),"",(tbl_task5[162]/tbl_task5[[คะแนนเต็ม]:[คะแนนเต็ม]])*tbl_task5[[%]:[%]])</f>
        <v/>
      </c>
      <c r="LU28" s="121" t="str">
        <f>IF(ISBLANK(tbl_task5[[คะแนนเต็ม]:[คะแนนเต็ม]]),"",(tbl_task5[163]/tbl_task5[[คะแนนเต็ม]:[คะแนนเต็ม]])*tbl_task5[[%]:[%]])</f>
        <v/>
      </c>
      <c r="LV28" s="121" t="str">
        <f>IF(ISBLANK(tbl_task5[[คะแนนเต็ม]:[คะแนนเต็ม]]),"",(tbl_task5[164]/tbl_task5[[คะแนนเต็ม]:[คะแนนเต็ม]])*tbl_task5[[%]:[%]])</f>
        <v/>
      </c>
      <c r="LW28" s="121" t="str">
        <f>IF(ISBLANK(tbl_task5[[คะแนนเต็ม]:[คะแนนเต็ม]]),"",(tbl_task5[165]/tbl_task5[[คะแนนเต็ม]:[คะแนนเต็ม]])*tbl_task5[[%]:[%]])</f>
        <v/>
      </c>
    </row>
    <row r="29" spans="1:335" s="34" customFormat="1" ht="24" customHeight="1" x14ac:dyDescent="0.25">
      <c r="A29" s="42" t="s">
        <v>11</v>
      </c>
      <c r="B29" s="109">
        <f>COUNTA(tbl_task5[SubPLOs])</f>
        <v>0</v>
      </c>
      <c r="C29" s="129"/>
      <c r="D29" s="108">
        <f>SUM(tbl_task5[คะแนนเต็ม])</f>
        <v>0</v>
      </c>
      <c r="E29" s="108">
        <f>SUM(tbl_task5[%])</f>
        <v>0</v>
      </c>
      <c r="F29" s="124">
        <f>SUM(tbl_task5[1])</f>
        <v>0</v>
      </c>
      <c r="G29" s="124">
        <f>SUM(tbl_task5[2])</f>
        <v>0</v>
      </c>
      <c r="H29" s="124">
        <f>SUM(tbl_task5[3])</f>
        <v>0</v>
      </c>
      <c r="I29" s="124">
        <f>SUM(tbl_task5[4])</f>
        <v>0</v>
      </c>
      <c r="J29" s="124">
        <f>SUM(tbl_task5[5])</f>
        <v>0</v>
      </c>
      <c r="K29" s="124">
        <f>SUM(tbl_task5[6])</f>
        <v>0</v>
      </c>
      <c r="L29" s="124">
        <f>SUM(tbl_task5[7])</f>
        <v>0</v>
      </c>
      <c r="M29" s="124">
        <f>SUM(tbl_task5[8])</f>
        <v>0</v>
      </c>
      <c r="N29" s="124">
        <f>SUM(tbl_task5[9])</f>
        <v>0</v>
      </c>
      <c r="O29" s="124">
        <f>SUM(tbl_task5[10])</f>
        <v>0</v>
      </c>
      <c r="P29" s="124">
        <f>SUM(tbl_task5[11])</f>
        <v>0</v>
      </c>
      <c r="Q29" s="124">
        <f>SUM(tbl_task5[12])</f>
        <v>0</v>
      </c>
      <c r="R29" s="124">
        <f>SUM(tbl_task5[13])</f>
        <v>0</v>
      </c>
      <c r="S29" s="124">
        <f>SUM(tbl_task5[14])</f>
        <v>0</v>
      </c>
      <c r="T29" s="124">
        <f>SUM(tbl_task5[15])</f>
        <v>0</v>
      </c>
      <c r="U29" s="124">
        <f>SUM(tbl_task5[16])</f>
        <v>0</v>
      </c>
      <c r="V29" s="124">
        <f>SUM(tbl_task5[17])</f>
        <v>0</v>
      </c>
      <c r="W29" s="124">
        <f>SUM(tbl_task5[18])</f>
        <v>0</v>
      </c>
      <c r="X29" s="124">
        <f>SUM(tbl_task5[19])</f>
        <v>0</v>
      </c>
      <c r="Y29" s="124">
        <f>SUM(tbl_task5[20])</f>
        <v>0</v>
      </c>
      <c r="Z29" s="124">
        <f>SUM(tbl_task5[21])</f>
        <v>0</v>
      </c>
      <c r="AA29" s="124">
        <f>SUM(tbl_task5[22])</f>
        <v>0</v>
      </c>
      <c r="AB29" s="124">
        <f>SUM(tbl_task5[23])</f>
        <v>0</v>
      </c>
      <c r="AC29" s="124">
        <f>SUM(tbl_task5[24])</f>
        <v>0</v>
      </c>
      <c r="AD29" s="124">
        <f>SUM(tbl_task5[25])</f>
        <v>0</v>
      </c>
      <c r="AE29" s="124">
        <f>SUM(tbl_task5[26])</f>
        <v>0</v>
      </c>
      <c r="AF29" s="124">
        <f>SUM(tbl_task5[27])</f>
        <v>0</v>
      </c>
      <c r="AG29" s="124">
        <f>SUM(tbl_task5[28])</f>
        <v>0</v>
      </c>
      <c r="AH29" s="124">
        <f>SUM(tbl_task5[29])</f>
        <v>0</v>
      </c>
      <c r="AI29" s="124">
        <f>SUM(tbl_task5[30])</f>
        <v>0</v>
      </c>
      <c r="AJ29" s="124">
        <f>SUM(tbl_task5[31])</f>
        <v>0</v>
      </c>
      <c r="AK29" s="124">
        <f>SUM(tbl_task5[32])</f>
        <v>0</v>
      </c>
      <c r="AL29" s="124">
        <f>SUM(tbl_task5[33])</f>
        <v>0</v>
      </c>
      <c r="AM29" s="124">
        <f>SUM(tbl_task5[34])</f>
        <v>0</v>
      </c>
      <c r="AN29" s="124">
        <f>SUM(tbl_task5[35])</f>
        <v>0</v>
      </c>
      <c r="AO29" s="124">
        <f>SUM(tbl_task5[36])</f>
        <v>0</v>
      </c>
      <c r="AP29" s="124">
        <f>SUM(tbl_task5[37])</f>
        <v>0</v>
      </c>
      <c r="AQ29" s="124">
        <f>SUM(tbl_task5[38])</f>
        <v>0</v>
      </c>
      <c r="AR29" s="124">
        <f>SUM(tbl_task5[39])</f>
        <v>0</v>
      </c>
      <c r="AS29" s="124">
        <f>SUM(tbl_task5[40])</f>
        <v>0</v>
      </c>
      <c r="AT29" s="124">
        <f>SUM(tbl_task5[41])</f>
        <v>0</v>
      </c>
      <c r="AU29" s="124">
        <f>SUM(tbl_task5[42])</f>
        <v>0</v>
      </c>
      <c r="AV29" s="124">
        <f>SUM(tbl_task5[43])</f>
        <v>0</v>
      </c>
      <c r="AW29" s="124">
        <f>SUM(tbl_task5[44])</f>
        <v>0</v>
      </c>
      <c r="AX29" s="124">
        <f>SUM(tbl_task5[45])</f>
        <v>0</v>
      </c>
      <c r="AY29" s="124">
        <f>SUM(tbl_task5[46])</f>
        <v>0</v>
      </c>
      <c r="AZ29" s="124">
        <f>SUM(tbl_task5[47])</f>
        <v>0</v>
      </c>
      <c r="BA29" s="124">
        <f>SUM(tbl_task5[48])</f>
        <v>0</v>
      </c>
      <c r="BB29" s="124">
        <f>SUM(tbl_task5[49])</f>
        <v>0</v>
      </c>
      <c r="BC29" s="124">
        <f>SUM(tbl_task5[50])</f>
        <v>0</v>
      </c>
      <c r="BD29" s="124">
        <f>SUM(tbl_task5[51])</f>
        <v>0</v>
      </c>
      <c r="BE29" s="124">
        <f>SUM(tbl_task5[52])</f>
        <v>0</v>
      </c>
      <c r="BF29" s="124">
        <f>SUM(tbl_task5[53])</f>
        <v>0</v>
      </c>
      <c r="BG29" s="124">
        <f>SUM(tbl_task5[54])</f>
        <v>0</v>
      </c>
      <c r="BH29" s="124">
        <f>SUM(tbl_task5[55])</f>
        <v>0</v>
      </c>
      <c r="BI29" s="124">
        <f>SUM(tbl_task5[56])</f>
        <v>0</v>
      </c>
      <c r="BJ29" s="124">
        <f>SUM(tbl_task5[57])</f>
        <v>0</v>
      </c>
      <c r="BK29" s="124">
        <f>SUM(tbl_task5[58])</f>
        <v>0</v>
      </c>
      <c r="BL29" s="124">
        <f>SUM(tbl_task5[59])</f>
        <v>0</v>
      </c>
      <c r="BM29" s="124">
        <f>SUM(tbl_task5[60])</f>
        <v>0</v>
      </c>
      <c r="BN29" s="124">
        <f>SUM(tbl_task5[61])</f>
        <v>0</v>
      </c>
      <c r="BO29" s="124">
        <f>SUM(tbl_task5[62])</f>
        <v>0</v>
      </c>
      <c r="BP29" s="124">
        <f>SUM(tbl_task5[63])</f>
        <v>0</v>
      </c>
      <c r="BQ29" s="124">
        <f>SUM(tbl_task5[64])</f>
        <v>0</v>
      </c>
      <c r="BR29" s="124">
        <f>SUM(tbl_task5[65])</f>
        <v>0</v>
      </c>
      <c r="BS29" s="124">
        <f>SUM(tbl_task5[66])</f>
        <v>0</v>
      </c>
      <c r="BT29" s="124">
        <f>SUM(tbl_task5[67])</f>
        <v>0</v>
      </c>
      <c r="BU29" s="124">
        <f>SUM(tbl_task5[68])</f>
        <v>0</v>
      </c>
      <c r="BV29" s="124">
        <f>SUM(tbl_task5[69])</f>
        <v>0</v>
      </c>
      <c r="BW29" s="124">
        <f>SUM(tbl_task5[70])</f>
        <v>0</v>
      </c>
      <c r="BX29" s="124">
        <f>SUM(tbl_task5[71])</f>
        <v>0</v>
      </c>
      <c r="BY29" s="124">
        <f>SUM(tbl_task5[72])</f>
        <v>0</v>
      </c>
      <c r="BZ29" s="124">
        <f>SUM(tbl_task5[73])</f>
        <v>0</v>
      </c>
      <c r="CA29" s="124">
        <f>SUM(tbl_task5[74])</f>
        <v>0</v>
      </c>
      <c r="CB29" s="124">
        <f>SUM(tbl_task5[75])</f>
        <v>0</v>
      </c>
      <c r="CC29" s="124">
        <f>SUM(tbl_task5[76])</f>
        <v>0</v>
      </c>
      <c r="CD29" s="124">
        <f>SUM(tbl_task5[77])</f>
        <v>0</v>
      </c>
      <c r="CE29" s="124">
        <f>SUM(tbl_task5[78])</f>
        <v>0</v>
      </c>
      <c r="CF29" s="124">
        <f>SUM(tbl_task5[79])</f>
        <v>0</v>
      </c>
      <c r="CG29" s="124">
        <f>SUM(tbl_task5[80])</f>
        <v>0</v>
      </c>
      <c r="CH29" s="124">
        <f>SUM(tbl_task5[81])</f>
        <v>0</v>
      </c>
      <c r="CI29" s="124">
        <f>SUM(tbl_task5[82])</f>
        <v>0</v>
      </c>
      <c r="CJ29" s="124">
        <f>SUM(tbl_task5[83])</f>
        <v>0</v>
      </c>
      <c r="CK29" s="124">
        <f>SUM(tbl_task5[84])</f>
        <v>0</v>
      </c>
      <c r="CL29" s="124">
        <f>SUM(tbl_task5[85])</f>
        <v>0</v>
      </c>
      <c r="CM29" s="124">
        <f>SUM(tbl_task5[86])</f>
        <v>0</v>
      </c>
      <c r="CN29" s="124">
        <f>SUM(tbl_task5[87])</f>
        <v>0</v>
      </c>
      <c r="CO29" s="124">
        <f>SUM(tbl_task5[88])</f>
        <v>0</v>
      </c>
      <c r="CP29" s="124">
        <f>SUM(tbl_task5[89])</f>
        <v>0</v>
      </c>
      <c r="CQ29" s="124">
        <f>SUM(tbl_task5[90])</f>
        <v>0</v>
      </c>
      <c r="CR29" s="124">
        <f>SUM(tbl_task5[91])</f>
        <v>0</v>
      </c>
      <c r="CS29" s="124">
        <f>SUM(tbl_task5[92])</f>
        <v>0</v>
      </c>
      <c r="CT29" s="124">
        <f>SUM(tbl_task5[93])</f>
        <v>0</v>
      </c>
      <c r="CU29" s="124">
        <f>SUM(tbl_task5[94])</f>
        <v>0</v>
      </c>
      <c r="CV29" s="124">
        <f>SUM(tbl_task5[95])</f>
        <v>0</v>
      </c>
      <c r="CW29" s="124">
        <f>SUM(tbl_task5[96])</f>
        <v>0</v>
      </c>
      <c r="CX29" s="124">
        <f>SUM(tbl_task5[97])</f>
        <v>0</v>
      </c>
      <c r="CY29" s="124">
        <f>SUM(tbl_task5[98])</f>
        <v>0</v>
      </c>
      <c r="CZ29" s="124">
        <f>SUM(tbl_task5[99])</f>
        <v>0</v>
      </c>
      <c r="DA29" s="124">
        <f>SUM(tbl_task5[100])</f>
        <v>0</v>
      </c>
      <c r="DB29" s="124">
        <f>SUM(tbl_task5[101])</f>
        <v>0</v>
      </c>
      <c r="DC29" s="124">
        <f>SUM(tbl_task5[102])</f>
        <v>0</v>
      </c>
      <c r="DD29" s="124">
        <f>SUM(tbl_task5[103])</f>
        <v>0</v>
      </c>
      <c r="DE29" s="124">
        <f>SUM(tbl_task5[104])</f>
        <v>0</v>
      </c>
      <c r="DF29" s="124">
        <f>SUM(tbl_task5[105])</f>
        <v>0</v>
      </c>
      <c r="DG29" s="124">
        <f>SUM(tbl_task5[106])</f>
        <v>0</v>
      </c>
      <c r="DH29" s="124">
        <f>SUM(tbl_task5[107])</f>
        <v>0</v>
      </c>
      <c r="DI29" s="124">
        <f>SUM(tbl_task5[108])</f>
        <v>0</v>
      </c>
      <c r="DJ29" s="124">
        <f>SUM(tbl_task5[109])</f>
        <v>0</v>
      </c>
      <c r="DK29" s="124">
        <f>SUM(tbl_task5[110])</f>
        <v>0</v>
      </c>
      <c r="DL29" s="124">
        <f>SUM(tbl_task5[111])</f>
        <v>0</v>
      </c>
      <c r="DM29" s="124">
        <f>SUM(tbl_task5[112])</f>
        <v>0</v>
      </c>
      <c r="DN29" s="124">
        <f>SUM(tbl_task5[113])</f>
        <v>0</v>
      </c>
      <c r="DO29" s="124">
        <f>SUM(tbl_task5[114])</f>
        <v>0</v>
      </c>
      <c r="DP29" s="124">
        <f>SUM(tbl_task5[115])</f>
        <v>0</v>
      </c>
      <c r="DQ29" s="124">
        <f>SUM(tbl_task5[116])</f>
        <v>0</v>
      </c>
      <c r="DR29" s="124">
        <f>SUM(tbl_task5[117])</f>
        <v>0</v>
      </c>
      <c r="DS29" s="124">
        <f>SUM(tbl_task5[118])</f>
        <v>0</v>
      </c>
      <c r="DT29" s="124">
        <f>SUM(tbl_task5[119])</f>
        <v>0</v>
      </c>
      <c r="DU29" s="124">
        <f>SUM(tbl_task5[120])</f>
        <v>0</v>
      </c>
      <c r="DV29" s="124">
        <f>SUM(tbl_task5[121])</f>
        <v>0</v>
      </c>
      <c r="DW29" s="124">
        <f>SUM(tbl_task5[122])</f>
        <v>0</v>
      </c>
      <c r="DX29" s="124">
        <f>SUM(tbl_task5[123])</f>
        <v>0</v>
      </c>
      <c r="DY29" s="124">
        <f>SUM(tbl_task5[124])</f>
        <v>0</v>
      </c>
      <c r="DZ29" s="124">
        <f>SUM(tbl_task5[125])</f>
        <v>0</v>
      </c>
      <c r="EA29" s="124">
        <f>SUM(tbl_task5[126])</f>
        <v>0</v>
      </c>
      <c r="EB29" s="124">
        <f>SUM(tbl_task5[127])</f>
        <v>0</v>
      </c>
      <c r="EC29" s="124">
        <f>SUM(tbl_task5[128])</f>
        <v>0</v>
      </c>
      <c r="ED29" s="124">
        <f>SUM(tbl_task5[129])</f>
        <v>0</v>
      </c>
      <c r="EE29" s="124">
        <f>SUM(tbl_task5[130])</f>
        <v>0</v>
      </c>
      <c r="EF29" s="124">
        <f>SUM(tbl_task5[131])</f>
        <v>0</v>
      </c>
      <c r="EG29" s="124">
        <f>SUM(tbl_task5[132])</f>
        <v>0</v>
      </c>
      <c r="EH29" s="124">
        <f>SUM(tbl_task5[133])</f>
        <v>0</v>
      </c>
      <c r="EI29" s="124">
        <f>SUM(tbl_task5[134])</f>
        <v>0</v>
      </c>
      <c r="EJ29" s="124">
        <f>SUM(tbl_task5[135])</f>
        <v>0</v>
      </c>
      <c r="EK29" s="124">
        <f>SUM(tbl_task5[136])</f>
        <v>0</v>
      </c>
      <c r="EL29" s="124">
        <f>SUM(tbl_task5[137])</f>
        <v>0</v>
      </c>
      <c r="EM29" s="124">
        <f>SUM(tbl_task5[138])</f>
        <v>0</v>
      </c>
      <c r="EN29" s="124">
        <f>SUM(tbl_task5[139])</f>
        <v>0</v>
      </c>
      <c r="EO29" s="124">
        <f>SUM(tbl_task5[140])</f>
        <v>0</v>
      </c>
      <c r="EP29" s="124">
        <f>SUM(tbl_task5[141])</f>
        <v>0</v>
      </c>
      <c r="EQ29" s="124">
        <f>SUM(tbl_task5[142])</f>
        <v>0</v>
      </c>
      <c r="ER29" s="124">
        <f>SUM(tbl_task5[143])</f>
        <v>0</v>
      </c>
      <c r="ES29" s="124">
        <f>SUM(tbl_task5[144])</f>
        <v>0</v>
      </c>
      <c r="ET29" s="124">
        <f>SUM(tbl_task5[145])</f>
        <v>0</v>
      </c>
      <c r="EU29" s="124">
        <f>SUM(tbl_task5[146])</f>
        <v>0</v>
      </c>
      <c r="EV29" s="124">
        <f>SUM(tbl_task5[147])</f>
        <v>0</v>
      </c>
      <c r="EW29" s="124">
        <f>SUM(tbl_task5[148])</f>
        <v>0</v>
      </c>
      <c r="EX29" s="124">
        <f>SUM(tbl_task5[149])</f>
        <v>0</v>
      </c>
      <c r="EY29" s="124">
        <f>SUM(tbl_task5[150])</f>
        <v>0</v>
      </c>
      <c r="EZ29" s="124">
        <f>SUM(tbl_task5[151])</f>
        <v>0</v>
      </c>
      <c r="FA29" s="124">
        <f>SUM(tbl_task5[152])</f>
        <v>0</v>
      </c>
      <c r="FB29" s="124">
        <f>SUM(tbl_task5[153])</f>
        <v>0</v>
      </c>
      <c r="FC29" s="124">
        <f>SUM(tbl_task5[154])</f>
        <v>0</v>
      </c>
      <c r="FD29" s="124">
        <f>SUM(tbl_task5[155])</f>
        <v>0</v>
      </c>
      <c r="FE29" s="124">
        <f>SUM(tbl_task5[156])</f>
        <v>0</v>
      </c>
      <c r="FF29" s="124">
        <f>SUM(tbl_task5[157])</f>
        <v>0</v>
      </c>
      <c r="FG29" s="124">
        <f>SUM(tbl_task5[158])</f>
        <v>0</v>
      </c>
      <c r="FH29" s="124">
        <f>SUM(tbl_task5[159])</f>
        <v>0</v>
      </c>
      <c r="FI29" s="124">
        <f>SUM(tbl_task5[160])</f>
        <v>0</v>
      </c>
      <c r="FJ29" s="124">
        <f>SUM(tbl_task5[161])</f>
        <v>0</v>
      </c>
      <c r="FK29" s="124">
        <f>SUM(tbl_task5[162])</f>
        <v>0</v>
      </c>
      <c r="FL29" s="124">
        <f>SUM(tbl_task5[163])</f>
        <v>0</v>
      </c>
      <c r="FM29" s="124">
        <f>SUM(tbl_task5[164])</f>
        <v>0</v>
      </c>
      <c r="FN29" s="124">
        <f>SUM(tbl_task5[165])</f>
        <v>0</v>
      </c>
      <c r="FO29" s="124">
        <f>SUM(tbl_task5[S1])</f>
        <v>0</v>
      </c>
      <c r="FP29" s="124">
        <f>SUM(tbl_task5[S2])</f>
        <v>0</v>
      </c>
      <c r="FQ29" s="124">
        <f>SUM(tbl_task5[S3])</f>
        <v>0</v>
      </c>
      <c r="FR29" s="124">
        <f>SUM(tbl_task5[S4])</f>
        <v>0</v>
      </c>
      <c r="FS29" s="124">
        <f>SUM(tbl_task5[S5])</f>
        <v>0</v>
      </c>
      <c r="FT29" s="124">
        <f>SUM(tbl_task5[S6])</f>
        <v>0</v>
      </c>
      <c r="FU29" s="124">
        <f>SUM(tbl_task5[S7])</f>
        <v>0</v>
      </c>
      <c r="FV29" s="124">
        <f>SUM(tbl_task5[S8])</f>
        <v>0</v>
      </c>
      <c r="FW29" s="124">
        <f>SUM(tbl_task5[S9])</f>
        <v>0</v>
      </c>
      <c r="FX29" s="124">
        <f>SUM(tbl_task5[S10])</f>
        <v>0</v>
      </c>
      <c r="FY29" s="124">
        <f>SUM(tbl_task5[S11])</f>
        <v>0</v>
      </c>
      <c r="FZ29" s="124">
        <f>SUM(tbl_task5[S12])</f>
        <v>0</v>
      </c>
      <c r="GA29" s="124">
        <f>SUM(tbl_task5[S13])</f>
        <v>0</v>
      </c>
      <c r="GB29" s="124">
        <f>SUM(tbl_task5[S14])</f>
        <v>0</v>
      </c>
      <c r="GC29" s="124">
        <f>SUM(tbl_task5[S15])</f>
        <v>0</v>
      </c>
      <c r="GD29" s="124">
        <f>SUM(tbl_task5[S16])</f>
        <v>0</v>
      </c>
      <c r="GE29" s="124">
        <f>SUM(tbl_task5[S17])</f>
        <v>0</v>
      </c>
      <c r="GF29" s="124">
        <f>SUM(tbl_task5[S18])</f>
        <v>0</v>
      </c>
      <c r="GG29" s="124">
        <f>SUM(tbl_task5[S19])</f>
        <v>0</v>
      </c>
      <c r="GH29" s="124">
        <f>SUM(tbl_task5[S20])</f>
        <v>0</v>
      </c>
      <c r="GI29" s="124">
        <f>SUM(tbl_task5[S21])</f>
        <v>0</v>
      </c>
      <c r="GJ29" s="124">
        <f>SUM(tbl_task5[S22])</f>
        <v>0</v>
      </c>
      <c r="GK29" s="124">
        <f>SUM(tbl_task5[S23])</f>
        <v>0</v>
      </c>
      <c r="GL29" s="124">
        <f>SUM(tbl_task5[S24])</f>
        <v>0</v>
      </c>
      <c r="GM29" s="124">
        <f>SUM(tbl_task5[S25])</f>
        <v>0</v>
      </c>
      <c r="GN29" s="124">
        <f>SUM(tbl_task5[S26])</f>
        <v>0</v>
      </c>
      <c r="GO29" s="124">
        <f>SUM(tbl_task5[S27])</f>
        <v>0</v>
      </c>
      <c r="GP29" s="124">
        <f>SUM(tbl_task5[S28])</f>
        <v>0</v>
      </c>
      <c r="GQ29" s="124">
        <f>SUM(tbl_task5[S29])</f>
        <v>0</v>
      </c>
      <c r="GR29" s="124">
        <f>SUM(tbl_task5[S30])</f>
        <v>0</v>
      </c>
      <c r="GS29" s="124">
        <f>SUM(tbl_task5[S31])</f>
        <v>0</v>
      </c>
      <c r="GT29" s="124">
        <f>SUM(tbl_task5[S32])</f>
        <v>0</v>
      </c>
      <c r="GU29" s="124">
        <f>SUM(tbl_task5[S33])</f>
        <v>0</v>
      </c>
      <c r="GV29" s="124">
        <f>SUM(tbl_task5[S34])</f>
        <v>0</v>
      </c>
      <c r="GW29" s="124">
        <f>SUM(tbl_task5[S35])</f>
        <v>0</v>
      </c>
      <c r="GX29" s="124">
        <f>SUM(tbl_task5[S36])</f>
        <v>0</v>
      </c>
      <c r="GY29" s="124">
        <f>SUM(tbl_task5[S37])</f>
        <v>0</v>
      </c>
      <c r="GZ29" s="124">
        <f>SUM(tbl_task5[S38])</f>
        <v>0</v>
      </c>
      <c r="HA29" s="124">
        <f>SUM(tbl_task5[S39])</f>
        <v>0</v>
      </c>
      <c r="HB29" s="124">
        <f>SUM(tbl_task5[S40])</f>
        <v>0</v>
      </c>
      <c r="HC29" s="124">
        <f>SUM(tbl_task5[S41])</f>
        <v>0</v>
      </c>
      <c r="HD29" s="124">
        <f>SUM(tbl_task5[S42])</f>
        <v>0</v>
      </c>
      <c r="HE29" s="124">
        <f>SUM(tbl_task5[S43])</f>
        <v>0</v>
      </c>
      <c r="HF29" s="124">
        <f>SUM(tbl_task5[S44])</f>
        <v>0</v>
      </c>
      <c r="HG29" s="124">
        <f>SUM(tbl_task5[S45])</f>
        <v>0</v>
      </c>
      <c r="HH29" s="124">
        <f>SUM(tbl_task5[S46])</f>
        <v>0</v>
      </c>
      <c r="HI29" s="124">
        <f>SUM(tbl_task5[S47])</f>
        <v>0</v>
      </c>
      <c r="HJ29" s="124">
        <f>SUM(tbl_task5[S48])</f>
        <v>0</v>
      </c>
      <c r="HK29" s="124">
        <f>SUM(tbl_task5[S49])</f>
        <v>0</v>
      </c>
      <c r="HL29" s="124">
        <f>SUM(tbl_task5[S50])</f>
        <v>0</v>
      </c>
      <c r="HM29" s="124">
        <f>SUM(tbl_task5[S51])</f>
        <v>0</v>
      </c>
      <c r="HN29" s="124">
        <f>SUM(tbl_task5[S52])</f>
        <v>0</v>
      </c>
      <c r="HO29" s="124">
        <f>SUM(tbl_task5[S53])</f>
        <v>0</v>
      </c>
      <c r="HP29" s="124">
        <f>SUM(tbl_task5[S54])</f>
        <v>0</v>
      </c>
      <c r="HQ29" s="124">
        <f>SUM(tbl_task5[S55])</f>
        <v>0</v>
      </c>
      <c r="HR29" s="124">
        <f>SUM(tbl_task5[S56])</f>
        <v>0</v>
      </c>
      <c r="HS29" s="124">
        <f>SUM(tbl_task5[S57])</f>
        <v>0</v>
      </c>
      <c r="HT29" s="124">
        <f>SUM(tbl_task5[S58])</f>
        <v>0</v>
      </c>
      <c r="HU29" s="124">
        <f>SUM(tbl_task5[S59])</f>
        <v>0</v>
      </c>
      <c r="HV29" s="124">
        <f>SUM(tbl_task5[S60])</f>
        <v>0</v>
      </c>
      <c r="HW29" s="124">
        <f>SUM(tbl_task5[S61])</f>
        <v>0</v>
      </c>
      <c r="HX29" s="124">
        <f>SUM(tbl_task5[S62])</f>
        <v>0</v>
      </c>
      <c r="HY29" s="124">
        <f>SUM(tbl_task5[S63])</f>
        <v>0</v>
      </c>
      <c r="HZ29" s="124">
        <f>SUM(tbl_task5[S64])</f>
        <v>0</v>
      </c>
      <c r="IA29" s="124">
        <f>SUM(tbl_task5[S65])</f>
        <v>0</v>
      </c>
      <c r="IB29" s="124">
        <f>SUM(tbl_task5[S66])</f>
        <v>0</v>
      </c>
      <c r="IC29" s="124">
        <f>SUM(tbl_task5[S67])</f>
        <v>0</v>
      </c>
      <c r="ID29" s="124">
        <f>SUM(tbl_task5[S68])</f>
        <v>0</v>
      </c>
      <c r="IE29" s="124">
        <f>SUM(tbl_task5[S69])</f>
        <v>0</v>
      </c>
      <c r="IF29" s="124">
        <f>SUM(tbl_task5[S70])</f>
        <v>0</v>
      </c>
      <c r="IG29" s="124">
        <f>SUM(tbl_task5[S71])</f>
        <v>0</v>
      </c>
      <c r="IH29" s="124">
        <f>SUM(tbl_task5[S72])</f>
        <v>0</v>
      </c>
      <c r="II29" s="124">
        <f>SUM(tbl_task5[S73])</f>
        <v>0</v>
      </c>
      <c r="IJ29" s="124">
        <f>SUM(tbl_task5[S74])</f>
        <v>0</v>
      </c>
      <c r="IK29" s="124">
        <f>SUM(tbl_task5[S75])</f>
        <v>0</v>
      </c>
      <c r="IL29" s="124">
        <f>SUM(tbl_task5[S76])</f>
        <v>0</v>
      </c>
      <c r="IM29" s="124">
        <f>SUM(tbl_task5[S77])</f>
        <v>0</v>
      </c>
      <c r="IN29" s="124">
        <f>SUM(tbl_task5[S78])</f>
        <v>0</v>
      </c>
      <c r="IO29" s="124">
        <f>SUM(tbl_task5[S79])</f>
        <v>0</v>
      </c>
      <c r="IP29" s="124">
        <f>SUM(tbl_task5[S80])</f>
        <v>0</v>
      </c>
      <c r="IQ29" s="124">
        <f>SUM(tbl_task5[S81])</f>
        <v>0</v>
      </c>
      <c r="IR29" s="124">
        <f>SUM(tbl_task5[S82])</f>
        <v>0</v>
      </c>
      <c r="IS29" s="124">
        <f>SUM(tbl_task5[S83])</f>
        <v>0</v>
      </c>
      <c r="IT29" s="124">
        <f>SUM(tbl_task5[S84])</f>
        <v>0</v>
      </c>
      <c r="IU29" s="124">
        <f>SUM(tbl_task5[S85])</f>
        <v>0</v>
      </c>
      <c r="IV29" s="124">
        <f>SUM(tbl_task5[S86])</f>
        <v>0</v>
      </c>
      <c r="IW29" s="124">
        <f>SUM(tbl_task5[S87])</f>
        <v>0</v>
      </c>
      <c r="IX29" s="124">
        <f>SUM(tbl_task5[S88])</f>
        <v>0</v>
      </c>
      <c r="IY29" s="124">
        <f>SUM(tbl_task5[S89])</f>
        <v>0</v>
      </c>
      <c r="IZ29" s="124">
        <f>SUM(tbl_task5[S90])</f>
        <v>0</v>
      </c>
      <c r="JA29" s="124">
        <f>SUM(tbl_task5[S91])</f>
        <v>0</v>
      </c>
      <c r="JB29" s="124">
        <f>SUM(tbl_task5[S92])</f>
        <v>0</v>
      </c>
      <c r="JC29" s="124">
        <f>SUM(tbl_task5[S93])</f>
        <v>0</v>
      </c>
      <c r="JD29" s="124">
        <f>SUM(tbl_task5[S94])</f>
        <v>0</v>
      </c>
      <c r="JE29" s="124">
        <f>SUM(tbl_task5[S95])</f>
        <v>0</v>
      </c>
      <c r="JF29" s="124">
        <f>SUM(tbl_task5[S96])</f>
        <v>0</v>
      </c>
      <c r="JG29" s="124">
        <f>SUM(tbl_task5[S97])</f>
        <v>0</v>
      </c>
      <c r="JH29" s="124">
        <f>SUM(tbl_task5[S98])</f>
        <v>0</v>
      </c>
      <c r="JI29" s="124">
        <f>SUM(tbl_task5[S99])</f>
        <v>0</v>
      </c>
      <c r="JJ29" s="124">
        <f>SUM(tbl_task5[S100])</f>
        <v>0</v>
      </c>
      <c r="JK29" s="124">
        <f>SUM(tbl_task5[S101])</f>
        <v>0</v>
      </c>
      <c r="JL29" s="124">
        <f>SUM(tbl_task5[S102])</f>
        <v>0</v>
      </c>
      <c r="JM29" s="124">
        <f>SUM(tbl_task5[S103])</f>
        <v>0</v>
      </c>
      <c r="JN29" s="124">
        <f>SUM(tbl_task5[S104])</f>
        <v>0</v>
      </c>
      <c r="JO29" s="124">
        <f>SUM(tbl_task5[S105])</f>
        <v>0</v>
      </c>
      <c r="JP29" s="124">
        <f>SUM(tbl_task5[S106])</f>
        <v>0</v>
      </c>
      <c r="JQ29" s="124">
        <f>SUM(tbl_task5[S107])</f>
        <v>0</v>
      </c>
      <c r="JR29" s="124">
        <f>SUM(tbl_task5[S108])</f>
        <v>0</v>
      </c>
      <c r="JS29" s="124">
        <f>SUM(tbl_task5[S109])</f>
        <v>0</v>
      </c>
      <c r="JT29" s="124">
        <f>SUM(tbl_task5[S110])</f>
        <v>0</v>
      </c>
      <c r="JU29" s="124">
        <f>SUM(tbl_task5[S111])</f>
        <v>0</v>
      </c>
      <c r="JV29" s="124">
        <f>SUM(tbl_task5[S112])</f>
        <v>0</v>
      </c>
      <c r="JW29" s="124">
        <f>SUM(tbl_task5[S113])</f>
        <v>0</v>
      </c>
      <c r="JX29" s="124">
        <f>SUM(tbl_task5[S114])</f>
        <v>0</v>
      </c>
      <c r="JY29" s="124">
        <f>SUM(tbl_task5[S115])</f>
        <v>0</v>
      </c>
      <c r="JZ29" s="124">
        <f>SUM(tbl_task5[S116])</f>
        <v>0</v>
      </c>
      <c r="KA29" s="124">
        <f>SUM(tbl_task5[S117])</f>
        <v>0</v>
      </c>
      <c r="KB29" s="124">
        <f>SUM(tbl_task5[S118])</f>
        <v>0</v>
      </c>
      <c r="KC29" s="124">
        <f>SUM(tbl_task5[S119])</f>
        <v>0</v>
      </c>
      <c r="KD29" s="124">
        <f>SUM(tbl_task5[S120])</f>
        <v>0</v>
      </c>
      <c r="KE29" s="124">
        <f>SUM(tbl_task5[S121])</f>
        <v>0</v>
      </c>
      <c r="KF29" s="124">
        <f>SUM(tbl_task5[S122])</f>
        <v>0</v>
      </c>
      <c r="KG29" s="124">
        <f>SUM(tbl_task5[S123])</f>
        <v>0</v>
      </c>
      <c r="KH29" s="124">
        <f>SUM(tbl_task5[S124])</f>
        <v>0</v>
      </c>
      <c r="KI29" s="124">
        <f>SUM(tbl_task5[S125])</f>
        <v>0</v>
      </c>
      <c r="KJ29" s="124">
        <f>SUM(tbl_task5[S126])</f>
        <v>0</v>
      </c>
      <c r="KK29" s="124">
        <f>SUM(tbl_task5[S127])</f>
        <v>0</v>
      </c>
      <c r="KL29" s="124">
        <f>SUM(tbl_task5[S128])</f>
        <v>0</v>
      </c>
      <c r="KM29" s="124">
        <f>SUM(tbl_task5[S129])</f>
        <v>0</v>
      </c>
      <c r="KN29" s="124">
        <f>SUM(tbl_task5[S130])</f>
        <v>0</v>
      </c>
      <c r="KO29" s="124">
        <f>SUM(tbl_task5[S131])</f>
        <v>0</v>
      </c>
      <c r="KP29" s="124">
        <f>SUM(tbl_task5[S132])</f>
        <v>0</v>
      </c>
      <c r="KQ29" s="124">
        <f>SUM(tbl_task5[S133])</f>
        <v>0</v>
      </c>
      <c r="KR29" s="124">
        <f>SUM(tbl_task5[S134])</f>
        <v>0</v>
      </c>
      <c r="KS29" s="124">
        <f>SUM(tbl_task5[S135])</f>
        <v>0</v>
      </c>
      <c r="KT29" s="124">
        <f>SUM(tbl_task5[S136])</f>
        <v>0</v>
      </c>
      <c r="KU29" s="124">
        <f>SUM(tbl_task5[S137])</f>
        <v>0</v>
      </c>
      <c r="KV29" s="124">
        <f>SUM(tbl_task5[S138])</f>
        <v>0</v>
      </c>
      <c r="KW29" s="124">
        <f>SUM(tbl_task5[S139])</f>
        <v>0</v>
      </c>
      <c r="KX29" s="124">
        <f>SUM(tbl_task5[S140])</f>
        <v>0</v>
      </c>
      <c r="KY29" s="124">
        <f>SUM(tbl_task5[S141])</f>
        <v>0</v>
      </c>
      <c r="KZ29" s="124">
        <f>SUM(tbl_task5[S142])</f>
        <v>0</v>
      </c>
      <c r="LA29" s="124">
        <f>SUM(tbl_task5[S143])</f>
        <v>0</v>
      </c>
      <c r="LB29" s="124">
        <f>SUM(tbl_task5[S144])</f>
        <v>0</v>
      </c>
      <c r="LC29" s="124">
        <f>SUM(tbl_task5[S145])</f>
        <v>0</v>
      </c>
      <c r="LD29" s="124">
        <f>SUM(tbl_task5[S146])</f>
        <v>0</v>
      </c>
      <c r="LE29" s="124">
        <f>SUM(tbl_task5[S147])</f>
        <v>0</v>
      </c>
      <c r="LF29" s="124">
        <f>SUM(tbl_task5[S148])</f>
        <v>0</v>
      </c>
      <c r="LG29" s="124">
        <f>SUM(tbl_task5[S149])</f>
        <v>0</v>
      </c>
      <c r="LH29" s="124">
        <f>SUM(tbl_task5[S150])</f>
        <v>0</v>
      </c>
      <c r="LI29" s="124">
        <f>SUM(tbl_task5[S151])</f>
        <v>0</v>
      </c>
      <c r="LJ29" s="124">
        <f>SUM(tbl_task5[S152])</f>
        <v>0</v>
      </c>
      <c r="LK29" s="124">
        <f>SUM(tbl_task5[S153])</f>
        <v>0</v>
      </c>
      <c r="LL29" s="124">
        <f>SUM(tbl_task5[S154])</f>
        <v>0</v>
      </c>
      <c r="LM29" s="124">
        <f>SUM(tbl_task5[S155])</f>
        <v>0</v>
      </c>
      <c r="LN29" s="124">
        <f>SUM(tbl_task5[S156])</f>
        <v>0</v>
      </c>
      <c r="LO29" s="124">
        <f>SUM(tbl_task5[S157])</f>
        <v>0</v>
      </c>
      <c r="LP29" s="124">
        <f>SUM(tbl_task5[S158])</f>
        <v>0</v>
      </c>
      <c r="LQ29" s="124">
        <f>SUM(tbl_task5[S159])</f>
        <v>0</v>
      </c>
      <c r="LR29" s="124">
        <f>SUM(tbl_task5[S160])</f>
        <v>0</v>
      </c>
      <c r="LS29" s="124">
        <f>SUM(tbl_task5[S161])</f>
        <v>0</v>
      </c>
      <c r="LT29" s="124">
        <f>SUM(tbl_task5[S162])</f>
        <v>0</v>
      </c>
      <c r="LU29" s="124">
        <f>SUM(tbl_task5[S163])</f>
        <v>0</v>
      </c>
      <c r="LV29" s="124">
        <f>SUM(tbl_task5[S164])</f>
        <v>0</v>
      </c>
      <c r="LW29" s="124">
        <f>SUM(tbl_task5[S165])</f>
        <v>0</v>
      </c>
    </row>
    <row r="30" spans="1:335" s="39" customFormat="1" ht="9" customHeight="1" x14ac:dyDescent="0.25">
      <c r="A30" s="23"/>
      <c r="B30" s="35"/>
      <c r="C30" s="36"/>
      <c r="D30" s="100"/>
      <c r="E30" s="37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</row>
    <row r="31" spans="1:335" ht="10.5" customHeight="1" x14ac:dyDescent="0.25">
      <c r="A31" s="23"/>
      <c r="B31" s="35"/>
      <c r="C31" s="36"/>
      <c r="D31" s="100"/>
      <c r="E31" s="37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</row>
    <row r="32" spans="1:335" x14ac:dyDescent="0.25">
      <c r="A32" s="6" t="s">
        <v>410</v>
      </c>
    </row>
    <row r="33" spans="1:170" ht="42" x14ac:dyDescent="0.25">
      <c r="A33" s="7" t="s">
        <v>10</v>
      </c>
      <c r="B33" s="21" t="s">
        <v>286</v>
      </c>
      <c r="C33" s="21" t="s">
        <v>451</v>
      </c>
      <c r="D33" s="21" t="s">
        <v>409</v>
      </c>
      <c r="E33" s="43" t="s">
        <v>249</v>
      </c>
      <c r="F33" s="122" t="s">
        <v>22</v>
      </c>
      <c r="G33" s="122" t="s">
        <v>23</v>
      </c>
      <c r="H33" s="122" t="s">
        <v>24</v>
      </c>
      <c r="I33" s="122" t="s">
        <v>25</v>
      </c>
      <c r="J33" s="122" t="s">
        <v>26</v>
      </c>
      <c r="K33" s="122" t="s">
        <v>27</v>
      </c>
      <c r="L33" s="122" t="s">
        <v>28</v>
      </c>
      <c r="M33" s="122" t="s">
        <v>29</v>
      </c>
      <c r="N33" s="122" t="s">
        <v>30</v>
      </c>
      <c r="O33" s="122" t="s">
        <v>31</v>
      </c>
      <c r="P33" s="122" t="s">
        <v>32</v>
      </c>
      <c r="Q33" s="122" t="s">
        <v>33</v>
      </c>
      <c r="R33" s="122" t="s">
        <v>34</v>
      </c>
      <c r="S33" s="122" t="s">
        <v>35</v>
      </c>
      <c r="T33" s="122" t="s">
        <v>36</v>
      </c>
      <c r="U33" s="122" t="s">
        <v>37</v>
      </c>
      <c r="V33" s="122" t="s">
        <v>38</v>
      </c>
      <c r="W33" s="122" t="s">
        <v>39</v>
      </c>
      <c r="X33" s="122" t="s">
        <v>40</v>
      </c>
      <c r="Y33" s="122" t="s">
        <v>41</v>
      </c>
      <c r="Z33" s="122" t="s">
        <v>42</v>
      </c>
      <c r="AA33" s="122" t="s">
        <v>43</v>
      </c>
      <c r="AB33" s="122" t="s">
        <v>44</v>
      </c>
      <c r="AC33" s="122" t="s">
        <v>45</v>
      </c>
      <c r="AD33" s="122" t="s">
        <v>46</v>
      </c>
      <c r="AE33" s="122" t="s">
        <v>47</v>
      </c>
      <c r="AF33" s="122" t="s">
        <v>48</v>
      </c>
      <c r="AG33" s="122" t="s">
        <v>49</v>
      </c>
      <c r="AH33" s="122" t="s">
        <v>50</v>
      </c>
      <c r="AI33" s="122" t="s">
        <v>51</v>
      </c>
      <c r="AJ33" s="122" t="s">
        <v>52</v>
      </c>
      <c r="AK33" s="122" t="s">
        <v>53</v>
      </c>
      <c r="AL33" s="122" t="s">
        <v>54</v>
      </c>
      <c r="AM33" s="122" t="s">
        <v>55</v>
      </c>
      <c r="AN33" s="122" t="s">
        <v>56</v>
      </c>
      <c r="AO33" s="122" t="s">
        <v>57</v>
      </c>
      <c r="AP33" s="122" t="s">
        <v>58</v>
      </c>
      <c r="AQ33" s="122" t="s">
        <v>59</v>
      </c>
      <c r="AR33" s="122" t="s">
        <v>60</v>
      </c>
      <c r="AS33" s="122" t="s">
        <v>61</v>
      </c>
      <c r="AT33" s="122" t="s">
        <v>62</v>
      </c>
      <c r="AU33" s="122" t="s">
        <v>63</v>
      </c>
      <c r="AV33" s="122" t="s">
        <v>64</v>
      </c>
      <c r="AW33" s="122" t="s">
        <v>65</v>
      </c>
      <c r="AX33" s="122" t="s">
        <v>66</v>
      </c>
      <c r="AY33" s="122" t="s">
        <v>67</v>
      </c>
      <c r="AZ33" s="122" t="s">
        <v>68</v>
      </c>
      <c r="BA33" s="122" t="s">
        <v>69</v>
      </c>
      <c r="BB33" s="122" t="s">
        <v>70</v>
      </c>
      <c r="BC33" s="122" t="s">
        <v>71</v>
      </c>
      <c r="BD33" s="122" t="s">
        <v>72</v>
      </c>
      <c r="BE33" s="122" t="s">
        <v>73</v>
      </c>
      <c r="BF33" s="122" t="s">
        <v>74</v>
      </c>
      <c r="BG33" s="122" t="s">
        <v>75</v>
      </c>
      <c r="BH33" s="122" t="s">
        <v>76</v>
      </c>
      <c r="BI33" s="122" t="s">
        <v>77</v>
      </c>
      <c r="BJ33" s="122" t="s">
        <v>78</v>
      </c>
      <c r="BK33" s="122" t="s">
        <v>79</v>
      </c>
      <c r="BL33" s="122" t="s">
        <v>80</v>
      </c>
      <c r="BM33" s="122" t="s">
        <v>81</v>
      </c>
      <c r="BN33" s="122" t="s">
        <v>82</v>
      </c>
      <c r="BO33" s="122" t="s">
        <v>83</v>
      </c>
      <c r="BP33" s="122" t="s">
        <v>84</v>
      </c>
      <c r="BQ33" s="122" t="s">
        <v>85</v>
      </c>
      <c r="BR33" s="122" t="s">
        <v>86</v>
      </c>
      <c r="BS33" s="122" t="s">
        <v>87</v>
      </c>
      <c r="BT33" s="122" t="s">
        <v>88</v>
      </c>
      <c r="BU33" s="122" t="s">
        <v>89</v>
      </c>
      <c r="BV33" s="122" t="s">
        <v>90</v>
      </c>
      <c r="BW33" s="122" t="s">
        <v>91</v>
      </c>
      <c r="BX33" s="122" t="s">
        <v>92</v>
      </c>
      <c r="BY33" s="122" t="s">
        <v>93</v>
      </c>
      <c r="BZ33" s="122" t="s">
        <v>94</v>
      </c>
      <c r="CA33" s="122" t="s">
        <v>95</v>
      </c>
      <c r="CB33" s="122" t="s">
        <v>96</v>
      </c>
      <c r="CC33" s="122" t="s">
        <v>97</v>
      </c>
      <c r="CD33" s="122" t="s">
        <v>98</v>
      </c>
      <c r="CE33" s="122" t="s">
        <v>99</v>
      </c>
      <c r="CF33" s="122" t="s">
        <v>100</v>
      </c>
      <c r="CG33" s="122" t="s">
        <v>101</v>
      </c>
      <c r="CH33" s="122" t="s">
        <v>102</v>
      </c>
      <c r="CI33" s="122" t="s">
        <v>103</v>
      </c>
      <c r="CJ33" s="122" t="s">
        <v>104</v>
      </c>
      <c r="CK33" s="122" t="s">
        <v>105</v>
      </c>
      <c r="CL33" s="122" t="s">
        <v>106</v>
      </c>
      <c r="CM33" s="122" t="s">
        <v>107</v>
      </c>
      <c r="CN33" s="122" t="s">
        <v>108</v>
      </c>
      <c r="CO33" s="122" t="s">
        <v>109</v>
      </c>
      <c r="CP33" s="122" t="s">
        <v>110</v>
      </c>
      <c r="CQ33" s="122" t="s">
        <v>111</v>
      </c>
      <c r="CR33" s="122" t="s">
        <v>112</v>
      </c>
      <c r="CS33" s="122" t="s">
        <v>113</v>
      </c>
      <c r="CT33" s="122" t="s">
        <v>114</v>
      </c>
      <c r="CU33" s="122" t="s">
        <v>115</v>
      </c>
      <c r="CV33" s="122" t="s">
        <v>116</v>
      </c>
      <c r="CW33" s="122" t="s">
        <v>117</v>
      </c>
      <c r="CX33" s="122" t="s">
        <v>118</v>
      </c>
      <c r="CY33" s="122" t="s">
        <v>119</v>
      </c>
      <c r="CZ33" s="122" t="s">
        <v>120</v>
      </c>
      <c r="DA33" s="122" t="s">
        <v>121</v>
      </c>
      <c r="DB33" s="122" t="s">
        <v>122</v>
      </c>
      <c r="DC33" s="122" t="s">
        <v>123</v>
      </c>
      <c r="DD33" s="122" t="s">
        <v>124</v>
      </c>
      <c r="DE33" s="122" t="s">
        <v>125</v>
      </c>
      <c r="DF33" s="122" t="s">
        <v>126</v>
      </c>
      <c r="DG33" s="122" t="s">
        <v>127</v>
      </c>
      <c r="DH33" s="122" t="s">
        <v>128</v>
      </c>
      <c r="DI33" s="122" t="s">
        <v>129</v>
      </c>
      <c r="DJ33" s="122" t="s">
        <v>130</v>
      </c>
      <c r="DK33" s="122" t="s">
        <v>131</v>
      </c>
      <c r="DL33" s="122" t="s">
        <v>132</v>
      </c>
      <c r="DM33" s="122" t="s">
        <v>133</v>
      </c>
      <c r="DN33" s="122" t="s">
        <v>134</v>
      </c>
      <c r="DO33" s="122" t="s">
        <v>135</v>
      </c>
      <c r="DP33" s="122" t="s">
        <v>136</v>
      </c>
      <c r="DQ33" s="122" t="s">
        <v>359</v>
      </c>
      <c r="DR33" s="122" t="s">
        <v>360</v>
      </c>
      <c r="DS33" s="122" t="s">
        <v>361</v>
      </c>
      <c r="DT33" s="122" t="s">
        <v>362</v>
      </c>
      <c r="DU33" s="122" t="s">
        <v>363</v>
      </c>
      <c r="DV33" s="122" t="s">
        <v>364</v>
      </c>
      <c r="DW33" s="122" t="s">
        <v>365</v>
      </c>
      <c r="DX33" s="122" t="s">
        <v>366</v>
      </c>
      <c r="DY33" s="122" t="s">
        <v>367</v>
      </c>
      <c r="DZ33" s="122" t="s">
        <v>368</v>
      </c>
      <c r="EA33" s="122" t="s">
        <v>369</v>
      </c>
      <c r="EB33" s="122" t="s">
        <v>370</v>
      </c>
      <c r="EC33" s="122" t="s">
        <v>371</v>
      </c>
      <c r="ED33" s="122" t="s">
        <v>372</v>
      </c>
      <c r="EE33" s="122" t="s">
        <v>373</v>
      </c>
      <c r="EF33" s="122" t="s">
        <v>374</v>
      </c>
      <c r="EG33" s="122" t="s">
        <v>375</v>
      </c>
      <c r="EH33" s="122" t="s">
        <v>376</v>
      </c>
      <c r="EI33" s="122" t="s">
        <v>377</v>
      </c>
      <c r="EJ33" s="122" t="s">
        <v>378</v>
      </c>
      <c r="EK33" s="122" t="s">
        <v>379</v>
      </c>
      <c r="EL33" s="122" t="s">
        <v>380</v>
      </c>
      <c r="EM33" s="122" t="s">
        <v>381</v>
      </c>
      <c r="EN33" s="122" t="s">
        <v>382</v>
      </c>
      <c r="EO33" s="122" t="s">
        <v>383</v>
      </c>
      <c r="EP33" s="122" t="s">
        <v>384</v>
      </c>
      <c r="EQ33" s="122" t="s">
        <v>385</v>
      </c>
      <c r="ER33" s="122" t="s">
        <v>386</v>
      </c>
      <c r="ES33" s="122" t="s">
        <v>387</v>
      </c>
      <c r="ET33" s="122" t="s">
        <v>388</v>
      </c>
      <c r="EU33" s="122" t="s">
        <v>389</v>
      </c>
      <c r="EV33" s="122" t="s">
        <v>390</v>
      </c>
      <c r="EW33" s="122" t="s">
        <v>391</v>
      </c>
      <c r="EX33" s="122" t="s">
        <v>392</v>
      </c>
      <c r="EY33" s="122" t="s">
        <v>393</v>
      </c>
      <c r="EZ33" s="122" t="s">
        <v>394</v>
      </c>
      <c r="FA33" s="122" t="s">
        <v>395</v>
      </c>
      <c r="FB33" s="122" t="s">
        <v>396</v>
      </c>
      <c r="FC33" s="122" t="s">
        <v>397</v>
      </c>
      <c r="FD33" s="122" t="s">
        <v>398</v>
      </c>
      <c r="FE33" s="122" t="s">
        <v>399</v>
      </c>
      <c r="FF33" s="122" t="s">
        <v>400</v>
      </c>
      <c r="FG33" s="122" t="s">
        <v>401</v>
      </c>
      <c r="FH33" s="122" t="s">
        <v>402</v>
      </c>
      <c r="FI33" s="122" t="s">
        <v>403</v>
      </c>
      <c r="FJ33" s="122" t="s">
        <v>404</v>
      </c>
      <c r="FK33" s="122" t="s">
        <v>405</v>
      </c>
      <c r="FL33" s="122" t="s">
        <v>406</v>
      </c>
      <c r="FM33" s="122" t="s">
        <v>407</v>
      </c>
      <c r="FN33" s="122" t="s">
        <v>408</v>
      </c>
    </row>
    <row r="34" spans="1:170" ht="84" x14ac:dyDescent="0.25">
      <c r="A34" s="135">
        <v>1</v>
      </c>
      <c r="B34" s="5" t="s">
        <v>617</v>
      </c>
      <c r="C34" s="136">
        <f>COUNTIFS(tbl_task5[SubPLOs],"&gt;=1",tbl_task5[SubPLOs],"&lt;2")</f>
        <v>0</v>
      </c>
      <c r="D34" s="136">
        <f>SUMIFS(tbl_task5[คะแนนเต็ม],tbl_task5[SubPLOs],"&gt;=1",tbl_task5[SubPLOs],"&lt;2")</f>
        <v>0</v>
      </c>
      <c r="E34" s="137">
        <f>SUMIFS(tbl_task5[%],tbl_task5[SubPLOs],"&gt;=1",tbl_task5[SubPLOs],"&lt;2")</f>
        <v>0</v>
      </c>
      <c r="F34" s="138">
        <f>SUMIFS(tbl_task5[S1],tbl_task5[[SubPLOs]:[SubPLOs]],"&gt;=1",tbl_task5[[SubPLOs]:[SubPLOs]],"&lt;2")</f>
        <v>0</v>
      </c>
      <c r="G34" s="138">
        <f>SUMIFS(tbl_task5[S2],tbl_task5[[SubPLOs]:[SubPLOs]],"&gt;=1",tbl_task5[[SubPLOs]:[SubPLOs]],"&lt;2")</f>
        <v>0</v>
      </c>
      <c r="H34" s="138">
        <f>SUMIFS(tbl_task5[S3],tbl_task5[[SubPLOs]:[SubPLOs]],"&gt;=1",tbl_task5[[SubPLOs]:[SubPLOs]],"&lt;2")</f>
        <v>0</v>
      </c>
      <c r="I34" s="138">
        <f>SUMIFS(tbl_task5[S4],tbl_task5[[SubPLOs]:[SubPLOs]],"&gt;=1",tbl_task5[[SubPLOs]:[SubPLOs]],"&lt;2")</f>
        <v>0</v>
      </c>
      <c r="J34" s="138">
        <f>SUMIFS(tbl_task5[S5],tbl_task5[[SubPLOs]:[SubPLOs]],"&gt;=1",tbl_task5[[SubPLOs]:[SubPLOs]],"&lt;2")</f>
        <v>0</v>
      </c>
      <c r="K34" s="138">
        <f>SUMIFS(tbl_task5[S6],tbl_task5[[SubPLOs]:[SubPLOs]],"&gt;=1",tbl_task5[[SubPLOs]:[SubPLOs]],"&lt;2")</f>
        <v>0</v>
      </c>
      <c r="L34" s="138">
        <f>SUMIFS(tbl_task5[S7],tbl_task5[[SubPLOs]:[SubPLOs]],"&gt;=1",tbl_task5[[SubPLOs]:[SubPLOs]],"&lt;2")</f>
        <v>0</v>
      </c>
      <c r="M34" s="138">
        <f>SUMIFS(tbl_task5[S8],tbl_task5[[SubPLOs]:[SubPLOs]],"&gt;=1",tbl_task5[[SubPLOs]:[SubPLOs]],"&lt;2")</f>
        <v>0</v>
      </c>
      <c r="N34" s="138">
        <f>SUMIFS(tbl_task5[S9],tbl_task5[[SubPLOs]:[SubPLOs]],"&gt;=1",tbl_task5[[SubPLOs]:[SubPLOs]],"&lt;2")</f>
        <v>0</v>
      </c>
      <c r="O34" s="138">
        <f>SUMIFS(tbl_task5[S10],tbl_task5[[SubPLOs]:[SubPLOs]],"&gt;=1",tbl_task5[[SubPLOs]:[SubPLOs]],"&lt;2")</f>
        <v>0</v>
      </c>
      <c r="P34" s="138">
        <f>SUMIFS(tbl_task5[S11],tbl_task5[[SubPLOs]:[SubPLOs]],"&gt;=1",tbl_task5[[SubPLOs]:[SubPLOs]],"&lt;2")</f>
        <v>0</v>
      </c>
      <c r="Q34" s="138">
        <f>SUMIFS(tbl_task5[S12],tbl_task5[[SubPLOs]:[SubPLOs]],"&gt;=1",tbl_task5[[SubPLOs]:[SubPLOs]],"&lt;2")</f>
        <v>0</v>
      </c>
      <c r="R34" s="138">
        <f>SUMIFS(tbl_task5[S13],tbl_task5[[SubPLOs]:[SubPLOs]],"&gt;=1",tbl_task5[[SubPLOs]:[SubPLOs]],"&lt;2")</f>
        <v>0</v>
      </c>
      <c r="S34" s="138">
        <f>SUMIFS(tbl_task5[S14],tbl_task5[[SubPLOs]:[SubPLOs]],"&gt;=1",tbl_task5[[SubPLOs]:[SubPLOs]],"&lt;2")</f>
        <v>0</v>
      </c>
      <c r="T34" s="138">
        <f>SUMIFS(tbl_task5[S15],tbl_task5[[SubPLOs]:[SubPLOs]],"&gt;=1",tbl_task5[[SubPLOs]:[SubPLOs]],"&lt;2")</f>
        <v>0</v>
      </c>
      <c r="U34" s="138">
        <f>SUMIFS(tbl_task5[S16],tbl_task5[[SubPLOs]:[SubPLOs]],"&gt;=1",tbl_task5[[SubPLOs]:[SubPLOs]],"&lt;2")</f>
        <v>0</v>
      </c>
      <c r="V34" s="138">
        <f>SUMIFS(tbl_task5[S17],tbl_task5[[SubPLOs]:[SubPLOs]],"&gt;=1",tbl_task5[[SubPLOs]:[SubPLOs]],"&lt;2")</f>
        <v>0</v>
      </c>
      <c r="W34" s="138">
        <f>SUMIFS(tbl_task5[S18],tbl_task5[[SubPLOs]:[SubPLOs]],"&gt;=1",tbl_task5[[SubPLOs]:[SubPLOs]],"&lt;2")</f>
        <v>0</v>
      </c>
      <c r="X34" s="138">
        <f>SUMIFS(tbl_task5[S19],tbl_task5[[SubPLOs]:[SubPLOs]],"&gt;=1",tbl_task5[[SubPLOs]:[SubPLOs]],"&lt;2")</f>
        <v>0</v>
      </c>
      <c r="Y34" s="138">
        <f>SUMIFS(tbl_task5[S20],tbl_task5[[SubPLOs]:[SubPLOs]],"&gt;=1",tbl_task5[[SubPLOs]:[SubPLOs]],"&lt;2")</f>
        <v>0</v>
      </c>
      <c r="Z34" s="138">
        <f>SUMIFS(tbl_task5[S21],tbl_task5[[SubPLOs]:[SubPLOs]],"&gt;=1",tbl_task5[[SubPLOs]:[SubPLOs]],"&lt;2")</f>
        <v>0</v>
      </c>
      <c r="AA34" s="138">
        <f>SUMIFS(tbl_task5[S22],tbl_task5[[SubPLOs]:[SubPLOs]],"&gt;=1",tbl_task5[[SubPLOs]:[SubPLOs]],"&lt;2")</f>
        <v>0</v>
      </c>
      <c r="AB34" s="138">
        <f>SUMIFS(tbl_task5[S23],tbl_task5[[SubPLOs]:[SubPLOs]],"&gt;=1",tbl_task5[[SubPLOs]:[SubPLOs]],"&lt;2")</f>
        <v>0</v>
      </c>
      <c r="AC34" s="138">
        <f>SUMIFS(tbl_task5[S24],tbl_task5[[SubPLOs]:[SubPLOs]],"&gt;=1",tbl_task5[[SubPLOs]:[SubPLOs]],"&lt;2")</f>
        <v>0</v>
      </c>
      <c r="AD34" s="138">
        <f>SUMIFS(tbl_task5[S25],tbl_task5[[SubPLOs]:[SubPLOs]],"&gt;=1",tbl_task5[[SubPLOs]:[SubPLOs]],"&lt;2")</f>
        <v>0</v>
      </c>
      <c r="AE34" s="138">
        <f>SUMIFS(tbl_task5[S26],tbl_task5[[SubPLOs]:[SubPLOs]],"&gt;=1",tbl_task5[[SubPLOs]:[SubPLOs]],"&lt;2")</f>
        <v>0</v>
      </c>
      <c r="AF34" s="138">
        <f>SUMIFS(tbl_task5[S27],tbl_task5[[SubPLOs]:[SubPLOs]],"&gt;=1",tbl_task5[[SubPLOs]:[SubPLOs]],"&lt;2")</f>
        <v>0</v>
      </c>
      <c r="AG34" s="138">
        <f>SUMIFS(tbl_task5[S28],tbl_task5[[SubPLOs]:[SubPLOs]],"&gt;=1",tbl_task5[[SubPLOs]:[SubPLOs]],"&lt;2")</f>
        <v>0</v>
      </c>
      <c r="AH34" s="138">
        <f>SUMIFS(tbl_task5[S29],tbl_task5[[SubPLOs]:[SubPLOs]],"&gt;=1",tbl_task5[[SubPLOs]:[SubPLOs]],"&lt;2")</f>
        <v>0</v>
      </c>
      <c r="AI34" s="138">
        <f>SUMIFS(tbl_task5[S30],tbl_task5[[SubPLOs]:[SubPLOs]],"&gt;=1",tbl_task5[[SubPLOs]:[SubPLOs]],"&lt;2")</f>
        <v>0</v>
      </c>
      <c r="AJ34" s="138">
        <f>SUMIFS(tbl_task5[S31],tbl_task5[[SubPLOs]:[SubPLOs]],"&gt;=1",tbl_task5[[SubPLOs]:[SubPLOs]],"&lt;2")</f>
        <v>0</v>
      </c>
      <c r="AK34" s="138">
        <f>SUMIFS(tbl_task5[S32],tbl_task5[[SubPLOs]:[SubPLOs]],"&gt;=1",tbl_task5[[SubPLOs]:[SubPLOs]],"&lt;2")</f>
        <v>0</v>
      </c>
      <c r="AL34" s="138">
        <f>SUMIFS(tbl_task5[S33],tbl_task5[[SubPLOs]:[SubPLOs]],"&gt;=1",tbl_task5[[SubPLOs]:[SubPLOs]],"&lt;2")</f>
        <v>0</v>
      </c>
      <c r="AM34" s="138">
        <f>SUMIFS(tbl_task5[S34],tbl_task5[[SubPLOs]:[SubPLOs]],"&gt;=1",tbl_task5[[SubPLOs]:[SubPLOs]],"&lt;2")</f>
        <v>0</v>
      </c>
      <c r="AN34" s="138">
        <f>SUMIFS(tbl_task5[S35],tbl_task5[[SubPLOs]:[SubPLOs]],"&gt;=1",tbl_task5[[SubPLOs]:[SubPLOs]],"&lt;2")</f>
        <v>0</v>
      </c>
      <c r="AO34" s="138">
        <f>SUMIFS(tbl_task5[S36],tbl_task5[[SubPLOs]:[SubPLOs]],"&gt;=1",tbl_task5[[SubPLOs]:[SubPLOs]],"&lt;2")</f>
        <v>0</v>
      </c>
      <c r="AP34" s="138">
        <f>SUMIFS(tbl_task5[S37],tbl_task5[[SubPLOs]:[SubPLOs]],"&gt;=1",tbl_task5[[SubPLOs]:[SubPLOs]],"&lt;2")</f>
        <v>0</v>
      </c>
      <c r="AQ34" s="138">
        <f>SUMIFS(tbl_task5[S38],tbl_task5[[SubPLOs]:[SubPLOs]],"&gt;=1",tbl_task5[[SubPLOs]:[SubPLOs]],"&lt;2")</f>
        <v>0</v>
      </c>
      <c r="AR34" s="138">
        <f>SUMIFS(tbl_task5[S39],tbl_task5[[SubPLOs]:[SubPLOs]],"&gt;=1",tbl_task5[[SubPLOs]:[SubPLOs]],"&lt;2")</f>
        <v>0</v>
      </c>
      <c r="AS34" s="138">
        <f>SUMIFS(tbl_task5[S40],tbl_task5[[SubPLOs]:[SubPLOs]],"&gt;=1",tbl_task5[[SubPLOs]:[SubPLOs]],"&lt;2")</f>
        <v>0</v>
      </c>
      <c r="AT34" s="138">
        <f>SUMIFS(tbl_task5[S41],tbl_task5[[SubPLOs]:[SubPLOs]],"&gt;=1",tbl_task5[[SubPLOs]:[SubPLOs]],"&lt;2")</f>
        <v>0</v>
      </c>
      <c r="AU34" s="138">
        <f>SUMIFS(tbl_task5[S42],tbl_task5[[SubPLOs]:[SubPLOs]],"&gt;=1",tbl_task5[[SubPLOs]:[SubPLOs]],"&lt;2")</f>
        <v>0</v>
      </c>
      <c r="AV34" s="138">
        <f>SUMIFS(tbl_task5[S43],tbl_task5[[SubPLOs]:[SubPLOs]],"&gt;=1",tbl_task5[[SubPLOs]:[SubPLOs]],"&lt;2")</f>
        <v>0</v>
      </c>
      <c r="AW34" s="138">
        <f>SUMIFS(tbl_task5[S44],tbl_task5[[SubPLOs]:[SubPLOs]],"&gt;=1",tbl_task5[[SubPLOs]:[SubPLOs]],"&lt;2")</f>
        <v>0</v>
      </c>
      <c r="AX34" s="138">
        <f>SUMIFS(tbl_task5[S45],tbl_task5[[SubPLOs]:[SubPLOs]],"&gt;=1",tbl_task5[[SubPLOs]:[SubPLOs]],"&lt;2")</f>
        <v>0</v>
      </c>
      <c r="AY34" s="138">
        <f>SUMIFS(tbl_task5[S46],tbl_task5[[SubPLOs]:[SubPLOs]],"&gt;=1",tbl_task5[[SubPLOs]:[SubPLOs]],"&lt;2")</f>
        <v>0</v>
      </c>
      <c r="AZ34" s="138">
        <f>SUMIFS(tbl_task5[S47],tbl_task5[[SubPLOs]:[SubPLOs]],"&gt;=1",tbl_task5[[SubPLOs]:[SubPLOs]],"&lt;2")</f>
        <v>0</v>
      </c>
      <c r="BA34" s="138">
        <f>SUMIFS(tbl_task5[S48],tbl_task5[[SubPLOs]:[SubPLOs]],"&gt;=1",tbl_task5[[SubPLOs]:[SubPLOs]],"&lt;2")</f>
        <v>0</v>
      </c>
      <c r="BB34" s="138">
        <f>SUMIFS(tbl_task5[S49],tbl_task5[[SubPLOs]:[SubPLOs]],"&gt;=1",tbl_task5[[SubPLOs]:[SubPLOs]],"&lt;2")</f>
        <v>0</v>
      </c>
      <c r="BC34" s="138">
        <f>SUMIFS(tbl_task5[S50],tbl_task5[[SubPLOs]:[SubPLOs]],"&gt;=1",tbl_task5[[SubPLOs]:[SubPLOs]],"&lt;2")</f>
        <v>0</v>
      </c>
      <c r="BD34" s="138">
        <f>SUMIFS(tbl_task5[S51],tbl_task5[[SubPLOs]:[SubPLOs]],"&gt;=1",tbl_task5[[SubPLOs]:[SubPLOs]],"&lt;2")</f>
        <v>0</v>
      </c>
      <c r="BE34" s="138">
        <f>SUMIFS(tbl_task5[S52],tbl_task5[[SubPLOs]:[SubPLOs]],"&gt;=1",tbl_task5[[SubPLOs]:[SubPLOs]],"&lt;2")</f>
        <v>0</v>
      </c>
      <c r="BF34" s="138">
        <f>SUMIFS(tbl_task5[S53],tbl_task5[[SubPLOs]:[SubPLOs]],"&gt;=1",tbl_task5[[SubPLOs]:[SubPLOs]],"&lt;2")</f>
        <v>0</v>
      </c>
      <c r="BG34" s="138">
        <f>SUMIFS(tbl_task5[S54],tbl_task5[[SubPLOs]:[SubPLOs]],"&gt;=1",tbl_task5[[SubPLOs]:[SubPLOs]],"&lt;2")</f>
        <v>0</v>
      </c>
      <c r="BH34" s="138">
        <f>SUMIFS(tbl_task5[S55],tbl_task5[[SubPLOs]:[SubPLOs]],"&gt;=1",tbl_task5[[SubPLOs]:[SubPLOs]],"&lt;2")</f>
        <v>0</v>
      </c>
      <c r="BI34" s="138">
        <f>SUMIFS(tbl_task5[S56],tbl_task5[[SubPLOs]:[SubPLOs]],"&gt;=1",tbl_task5[[SubPLOs]:[SubPLOs]],"&lt;2")</f>
        <v>0</v>
      </c>
      <c r="BJ34" s="138">
        <f>SUMIFS(tbl_task5[S57],tbl_task5[[SubPLOs]:[SubPLOs]],"&gt;=1",tbl_task5[[SubPLOs]:[SubPLOs]],"&lt;2")</f>
        <v>0</v>
      </c>
      <c r="BK34" s="138">
        <f>SUMIFS(tbl_task5[S58],tbl_task5[[SubPLOs]:[SubPLOs]],"&gt;=1",tbl_task5[[SubPLOs]:[SubPLOs]],"&lt;2")</f>
        <v>0</v>
      </c>
      <c r="BL34" s="138">
        <f>SUMIFS(tbl_task5[S59],tbl_task5[[SubPLOs]:[SubPLOs]],"&gt;=1",tbl_task5[[SubPLOs]:[SubPLOs]],"&lt;2")</f>
        <v>0</v>
      </c>
      <c r="BM34" s="138">
        <f>SUMIFS(tbl_task5[S60],tbl_task5[[SubPLOs]:[SubPLOs]],"&gt;=1",tbl_task5[[SubPLOs]:[SubPLOs]],"&lt;2")</f>
        <v>0</v>
      </c>
      <c r="BN34" s="138">
        <f>SUMIFS(tbl_task5[S61],tbl_task5[[SubPLOs]:[SubPLOs]],"&gt;=1",tbl_task5[[SubPLOs]:[SubPLOs]],"&lt;2")</f>
        <v>0</v>
      </c>
      <c r="BO34" s="138">
        <f>SUMIFS(tbl_task5[S62],tbl_task5[[SubPLOs]:[SubPLOs]],"&gt;=1",tbl_task5[[SubPLOs]:[SubPLOs]],"&lt;2")</f>
        <v>0</v>
      </c>
      <c r="BP34" s="138">
        <f>SUMIFS(tbl_task5[S63],tbl_task5[[SubPLOs]:[SubPLOs]],"&gt;=1",tbl_task5[[SubPLOs]:[SubPLOs]],"&lt;2")</f>
        <v>0</v>
      </c>
      <c r="BQ34" s="138">
        <f>SUMIFS(tbl_task5[S64],tbl_task5[[SubPLOs]:[SubPLOs]],"&gt;=1",tbl_task5[[SubPLOs]:[SubPLOs]],"&lt;2")</f>
        <v>0</v>
      </c>
      <c r="BR34" s="138">
        <f>SUMIFS(tbl_task5[S65],tbl_task5[[SubPLOs]:[SubPLOs]],"&gt;=1",tbl_task5[[SubPLOs]:[SubPLOs]],"&lt;2")</f>
        <v>0</v>
      </c>
      <c r="BS34" s="138">
        <f>SUMIFS(tbl_task5[S66],tbl_task5[[SubPLOs]:[SubPLOs]],"&gt;=1",tbl_task5[[SubPLOs]:[SubPLOs]],"&lt;2")</f>
        <v>0</v>
      </c>
      <c r="BT34" s="138">
        <f>SUMIFS(tbl_task5[S67],tbl_task5[[SubPLOs]:[SubPLOs]],"&gt;=1",tbl_task5[[SubPLOs]:[SubPLOs]],"&lt;2")</f>
        <v>0</v>
      </c>
      <c r="BU34" s="138">
        <f>SUMIFS(tbl_task5[S68],tbl_task5[[SubPLOs]:[SubPLOs]],"&gt;=1",tbl_task5[[SubPLOs]:[SubPLOs]],"&lt;2")</f>
        <v>0</v>
      </c>
      <c r="BV34" s="138">
        <f>SUMIFS(tbl_task5[S69],tbl_task5[[SubPLOs]:[SubPLOs]],"&gt;=1",tbl_task5[[SubPLOs]:[SubPLOs]],"&lt;2")</f>
        <v>0</v>
      </c>
      <c r="BW34" s="138">
        <f>SUMIFS(tbl_task5[S70],tbl_task5[[SubPLOs]:[SubPLOs]],"&gt;=1",tbl_task5[[SubPLOs]:[SubPLOs]],"&lt;2")</f>
        <v>0</v>
      </c>
      <c r="BX34" s="138">
        <f>SUMIFS(tbl_task5[S71],tbl_task5[[SubPLOs]:[SubPLOs]],"&gt;=1",tbl_task5[[SubPLOs]:[SubPLOs]],"&lt;2")</f>
        <v>0</v>
      </c>
      <c r="BY34" s="138">
        <f>SUMIFS(tbl_task5[S72],tbl_task5[[SubPLOs]:[SubPLOs]],"&gt;=1",tbl_task5[[SubPLOs]:[SubPLOs]],"&lt;2")</f>
        <v>0</v>
      </c>
      <c r="BZ34" s="138">
        <f>SUMIFS(tbl_task5[S73],tbl_task5[[SubPLOs]:[SubPLOs]],"&gt;=1",tbl_task5[[SubPLOs]:[SubPLOs]],"&lt;2")</f>
        <v>0</v>
      </c>
      <c r="CA34" s="138">
        <f>SUMIFS(tbl_task5[S74],tbl_task5[[SubPLOs]:[SubPLOs]],"&gt;=1",tbl_task5[[SubPLOs]:[SubPLOs]],"&lt;2")</f>
        <v>0</v>
      </c>
      <c r="CB34" s="138">
        <f>SUMIFS(tbl_task5[S75],tbl_task5[[SubPLOs]:[SubPLOs]],"&gt;=1",tbl_task5[[SubPLOs]:[SubPLOs]],"&lt;2")</f>
        <v>0</v>
      </c>
      <c r="CC34" s="138">
        <f>SUMIFS(tbl_task5[S76],tbl_task5[[SubPLOs]:[SubPLOs]],"&gt;=1",tbl_task5[[SubPLOs]:[SubPLOs]],"&lt;2")</f>
        <v>0</v>
      </c>
      <c r="CD34" s="138">
        <f>SUMIFS(tbl_task5[S77],tbl_task5[[SubPLOs]:[SubPLOs]],"&gt;=1",tbl_task5[[SubPLOs]:[SubPLOs]],"&lt;2")</f>
        <v>0</v>
      </c>
      <c r="CE34" s="138">
        <f>SUMIFS(tbl_task5[S78],tbl_task5[[SubPLOs]:[SubPLOs]],"&gt;=1",tbl_task5[[SubPLOs]:[SubPLOs]],"&lt;2")</f>
        <v>0</v>
      </c>
      <c r="CF34" s="138">
        <f>SUMIFS(tbl_task5[S79],tbl_task5[[SubPLOs]:[SubPLOs]],"&gt;=1",tbl_task5[[SubPLOs]:[SubPLOs]],"&lt;2")</f>
        <v>0</v>
      </c>
      <c r="CG34" s="138">
        <f>SUMIFS(tbl_task5[S80],tbl_task5[[SubPLOs]:[SubPLOs]],"&gt;=1",tbl_task5[[SubPLOs]:[SubPLOs]],"&lt;2")</f>
        <v>0</v>
      </c>
      <c r="CH34" s="138">
        <f>SUMIFS(tbl_task5[S81],tbl_task5[[SubPLOs]:[SubPLOs]],"&gt;=1",tbl_task5[[SubPLOs]:[SubPLOs]],"&lt;2")</f>
        <v>0</v>
      </c>
      <c r="CI34" s="138">
        <f>SUMIFS(tbl_task5[S82],tbl_task5[[SubPLOs]:[SubPLOs]],"&gt;=1",tbl_task5[[SubPLOs]:[SubPLOs]],"&lt;2")</f>
        <v>0</v>
      </c>
      <c r="CJ34" s="138">
        <f>SUMIFS(tbl_task5[S83],tbl_task5[[SubPLOs]:[SubPLOs]],"&gt;=1",tbl_task5[[SubPLOs]:[SubPLOs]],"&lt;2")</f>
        <v>0</v>
      </c>
      <c r="CK34" s="138">
        <f>SUMIFS(tbl_task5[S84],tbl_task5[[SubPLOs]:[SubPLOs]],"&gt;=1",tbl_task5[[SubPLOs]:[SubPLOs]],"&lt;2")</f>
        <v>0</v>
      </c>
      <c r="CL34" s="138">
        <f>SUMIFS(tbl_task5[S85],tbl_task5[[SubPLOs]:[SubPLOs]],"&gt;=1",tbl_task5[[SubPLOs]:[SubPLOs]],"&lt;2")</f>
        <v>0</v>
      </c>
      <c r="CM34" s="138">
        <f>SUMIFS(tbl_task5[S86],tbl_task5[[SubPLOs]:[SubPLOs]],"&gt;=1",tbl_task5[[SubPLOs]:[SubPLOs]],"&lt;2")</f>
        <v>0</v>
      </c>
      <c r="CN34" s="138">
        <f>SUMIFS(tbl_task5[S87],tbl_task5[[SubPLOs]:[SubPLOs]],"&gt;=1",tbl_task5[[SubPLOs]:[SubPLOs]],"&lt;2")</f>
        <v>0</v>
      </c>
      <c r="CO34" s="138">
        <f>SUMIFS(tbl_task5[S88],tbl_task5[[SubPLOs]:[SubPLOs]],"&gt;=1",tbl_task5[[SubPLOs]:[SubPLOs]],"&lt;2")</f>
        <v>0</v>
      </c>
      <c r="CP34" s="138">
        <f>SUMIFS(tbl_task5[S89],tbl_task5[[SubPLOs]:[SubPLOs]],"&gt;=1",tbl_task5[[SubPLOs]:[SubPLOs]],"&lt;2")</f>
        <v>0</v>
      </c>
      <c r="CQ34" s="138">
        <f>SUMIFS(tbl_task5[S90],tbl_task5[[SubPLOs]:[SubPLOs]],"&gt;=1",tbl_task5[[SubPLOs]:[SubPLOs]],"&lt;2")</f>
        <v>0</v>
      </c>
      <c r="CR34" s="138">
        <f>SUMIFS(tbl_task5[S91],tbl_task5[[SubPLOs]:[SubPLOs]],"&gt;=1",tbl_task5[[SubPLOs]:[SubPLOs]],"&lt;2")</f>
        <v>0</v>
      </c>
      <c r="CS34" s="138">
        <f>SUMIFS(tbl_task5[S92],tbl_task5[[SubPLOs]:[SubPLOs]],"&gt;=1",tbl_task5[[SubPLOs]:[SubPLOs]],"&lt;2")</f>
        <v>0</v>
      </c>
      <c r="CT34" s="138">
        <f>SUMIFS(tbl_task5[S93],tbl_task5[[SubPLOs]:[SubPLOs]],"&gt;=1",tbl_task5[[SubPLOs]:[SubPLOs]],"&lt;2")</f>
        <v>0</v>
      </c>
      <c r="CU34" s="138">
        <f>SUMIFS(tbl_task5[S94],tbl_task5[[SubPLOs]:[SubPLOs]],"&gt;=1",tbl_task5[[SubPLOs]:[SubPLOs]],"&lt;2")</f>
        <v>0</v>
      </c>
      <c r="CV34" s="138">
        <f>SUMIFS(tbl_task5[S95],tbl_task5[[SubPLOs]:[SubPLOs]],"&gt;=1",tbl_task5[[SubPLOs]:[SubPLOs]],"&lt;2")</f>
        <v>0</v>
      </c>
      <c r="CW34" s="138">
        <f>SUMIFS(tbl_task5[S96],tbl_task5[[SubPLOs]:[SubPLOs]],"&gt;=1",tbl_task5[[SubPLOs]:[SubPLOs]],"&lt;2")</f>
        <v>0</v>
      </c>
      <c r="CX34" s="138">
        <f>SUMIFS(tbl_task5[S97],tbl_task5[[SubPLOs]:[SubPLOs]],"&gt;=1",tbl_task5[[SubPLOs]:[SubPLOs]],"&lt;2")</f>
        <v>0</v>
      </c>
      <c r="CY34" s="138">
        <f>SUMIFS(tbl_task5[S98],tbl_task5[[SubPLOs]:[SubPLOs]],"&gt;=1",tbl_task5[[SubPLOs]:[SubPLOs]],"&lt;2")</f>
        <v>0</v>
      </c>
      <c r="CZ34" s="138">
        <f>SUMIFS(tbl_task5[S99],tbl_task5[[SubPLOs]:[SubPLOs]],"&gt;=1",tbl_task5[[SubPLOs]:[SubPLOs]],"&lt;2")</f>
        <v>0</v>
      </c>
      <c r="DA34" s="138">
        <f>SUMIFS(tbl_task5[S100],tbl_task5[[SubPLOs]:[SubPLOs]],"&gt;=1",tbl_task5[[SubPLOs]:[SubPLOs]],"&lt;2")</f>
        <v>0</v>
      </c>
      <c r="DB34" s="138">
        <f>SUMIFS(tbl_task5[S101],tbl_task5[[SubPLOs]:[SubPLOs]],"&gt;=1",tbl_task5[[SubPLOs]:[SubPLOs]],"&lt;2")</f>
        <v>0</v>
      </c>
      <c r="DC34" s="138">
        <f>SUMIFS(tbl_task5[S102],tbl_task5[[SubPLOs]:[SubPLOs]],"&gt;=1",tbl_task5[[SubPLOs]:[SubPLOs]],"&lt;2")</f>
        <v>0</v>
      </c>
      <c r="DD34" s="138">
        <f>SUMIFS(tbl_task5[S103],tbl_task5[[SubPLOs]:[SubPLOs]],"&gt;=1",tbl_task5[[SubPLOs]:[SubPLOs]],"&lt;2")</f>
        <v>0</v>
      </c>
      <c r="DE34" s="138">
        <f>SUMIFS(tbl_task5[S104],tbl_task5[[SubPLOs]:[SubPLOs]],"&gt;=1",tbl_task5[[SubPLOs]:[SubPLOs]],"&lt;2")</f>
        <v>0</v>
      </c>
      <c r="DF34" s="138">
        <f>SUMIFS(tbl_task5[S105],tbl_task5[[SubPLOs]:[SubPLOs]],"&gt;=1",tbl_task5[[SubPLOs]:[SubPLOs]],"&lt;2")</f>
        <v>0</v>
      </c>
      <c r="DG34" s="138">
        <f>SUMIFS(tbl_task5[S106],tbl_task5[[SubPLOs]:[SubPLOs]],"&gt;=1",tbl_task5[[SubPLOs]:[SubPLOs]],"&lt;2")</f>
        <v>0</v>
      </c>
      <c r="DH34" s="138">
        <f>SUMIFS(tbl_task5[S106],tbl_task5[[SubPLOs]:[SubPLOs]],"&gt;=1",tbl_task5[[SubPLOs]:[SubPLOs]],"&lt;2")</f>
        <v>0</v>
      </c>
      <c r="DI34" s="138">
        <f>SUMIFS(tbl_task5[S108],tbl_task5[[SubPLOs]:[SubPLOs]],"&gt;=1",tbl_task5[[SubPLOs]:[SubPLOs]],"&lt;2")</f>
        <v>0</v>
      </c>
      <c r="DJ34" s="138">
        <f>SUMIFS(tbl_task5[S109],tbl_task5[[SubPLOs]:[SubPLOs]],"&gt;=1",tbl_task5[[SubPLOs]:[SubPLOs]],"&lt;2")</f>
        <v>0</v>
      </c>
      <c r="DK34" s="138">
        <f>SUMIFS(tbl_task5[S110],tbl_task5[[SubPLOs]:[SubPLOs]],"&gt;=1",tbl_task5[[SubPLOs]:[SubPLOs]],"&lt;2")</f>
        <v>0</v>
      </c>
      <c r="DL34" s="138">
        <f>SUMIFS(tbl_task5[S111],tbl_task5[[SubPLOs]:[SubPLOs]],"&gt;=1",tbl_task5[[SubPLOs]:[SubPLOs]],"&lt;2")</f>
        <v>0</v>
      </c>
      <c r="DM34" s="138">
        <f>SUMIFS(tbl_task5[S112],tbl_task5[[SubPLOs]:[SubPLOs]],"&gt;=1",tbl_task5[[SubPLOs]:[SubPLOs]],"&lt;2")</f>
        <v>0</v>
      </c>
      <c r="DN34" s="138">
        <f>SUMIFS(tbl_task5[S113],tbl_task5[[SubPLOs]:[SubPLOs]],"&gt;=1",tbl_task5[[SubPLOs]:[SubPLOs]],"&lt;2")</f>
        <v>0</v>
      </c>
      <c r="DO34" s="138">
        <f>SUMIFS(tbl_task5[S114],tbl_task5[[SubPLOs]:[SubPLOs]],"&gt;=1",tbl_task5[[SubPLOs]:[SubPLOs]],"&lt;2")</f>
        <v>0</v>
      </c>
      <c r="DP34" s="138">
        <f>SUMIFS(tbl_task5[S115],tbl_task5[[SubPLOs]:[SubPLOs]],"&gt;=1",tbl_task5[[SubPLOs]:[SubPLOs]],"&lt;2")</f>
        <v>0</v>
      </c>
      <c r="DQ34" s="138">
        <f>SUMIFS(tbl_task5[S116],tbl_task5[[SubPLOs]:[SubPLOs]],"&gt;=1",tbl_task5[[SubPLOs]:[SubPLOs]],"&lt;2")</f>
        <v>0</v>
      </c>
      <c r="DR34" s="138">
        <f>SUMIFS(tbl_task5[S117],tbl_task5[[SubPLOs]:[SubPLOs]],"&gt;=1",tbl_task5[[SubPLOs]:[SubPLOs]],"&lt;2")</f>
        <v>0</v>
      </c>
      <c r="DS34" s="138">
        <f>SUMIFS(tbl_task5[S118],tbl_task5[[SubPLOs]:[SubPLOs]],"&gt;=1",tbl_task5[[SubPLOs]:[SubPLOs]],"&lt;2")</f>
        <v>0</v>
      </c>
      <c r="DT34" s="138">
        <f>SUMIFS(tbl_task5[S119],tbl_task5[[SubPLOs]:[SubPLOs]],"&gt;=1",tbl_task5[[SubPLOs]:[SubPLOs]],"&lt;2")</f>
        <v>0</v>
      </c>
      <c r="DU34" s="138">
        <f>SUMIFS(tbl_task5[S120],tbl_task5[[SubPLOs]:[SubPLOs]],"&gt;=1",tbl_task5[[SubPLOs]:[SubPLOs]],"&lt;2")</f>
        <v>0</v>
      </c>
      <c r="DV34" s="138">
        <f>SUMIFS(tbl_task5[S121],tbl_task5[[SubPLOs]:[SubPLOs]],"&gt;=1",tbl_task5[[SubPLOs]:[SubPLOs]],"&lt;2")</f>
        <v>0</v>
      </c>
      <c r="DW34" s="138">
        <f>SUMIFS(tbl_task5[S122],tbl_task5[[SubPLOs]:[SubPLOs]],"&gt;=1",tbl_task5[[SubPLOs]:[SubPLOs]],"&lt;2")</f>
        <v>0</v>
      </c>
      <c r="DX34" s="138">
        <f>SUMIFS(tbl_task5[S123],tbl_task5[[SubPLOs]:[SubPLOs]],"&gt;=1",tbl_task5[[SubPLOs]:[SubPLOs]],"&lt;2")</f>
        <v>0</v>
      </c>
      <c r="DY34" s="138">
        <f>SUMIFS(tbl_task5[S124],tbl_task5[[SubPLOs]:[SubPLOs]],"&gt;=1",tbl_task5[[SubPLOs]:[SubPLOs]],"&lt;2")</f>
        <v>0</v>
      </c>
      <c r="DZ34" s="138">
        <f>SUMIFS(tbl_task5[S125],tbl_task5[[SubPLOs]:[SubPLOs]],"&gt;=1",tbl_task5[[SubPLOs]:[SubPLOs]],"&lt;2")</f>
        <v>0</v>
      </c>
      <c r="EA34" s="138">
        <f>SUMIFS(tbl_task5[S126],tbl_task5[[SubPLOs]:[SubPLOs]],"&gt;=1",tbl_task5[[SubPLOs]:[SubPLOs]],"&lt;2")</f>
        <v>0</v>
      </c>
      <c r="EB34" s="138">
        <f>SUMIFS(tbl_task5[S127],tbl_task5[[SubPLOs]:[SubPLOs]],"&gt;=1",tbl_task5[[SubPLOs]:[SubPLOs]],"&lt;2")</f>
        <v>0</v>
      </c>
      <c r="EC34" s="138">
        <f>SUMIFS(tbl_task5[S128],tbl_task5[[SubPLOs]:[SubPLOs]],"&gt;=1",tbl_task5[[SubPLOs]:[SubPLOs]],"&lt;2")</f>
        <v>0</v>
      </c>
      <c r="ED34" s="138">
        <f>SUMIFS(tbl_task5[S129],tbl_task5[[SubPLOs]:[SubPLOs]],"&gt;=1",tbl_task5[[SubPLOs]:[SubPLOs]],"&lt;2")</f>
        <v>0</v>
      </c>
      <c r="EE34" s="138">
        <f>SUMIFS(tbl_task5[S130],tbl_task5[[SubPLOs]:[SubPLOs]],"&gt;=1",tbl_task5[[SubPLOs]:[SubPLOs]],"&lt;2")</f>
        <v>0</v>
      </c>
      <c r="EF34" s="138">
        <f>SUMIFS(tbl_task5[S131],tbl_task5[[SubPLOs]:[SubPLOs]],"&gt;=1",tbl_task5[[SubPLOs]:[SubPLOs]],"&lt;2")</f>
        <v>0</v>
      </c>
      <c r="EG34" s="138">
        <f>SUMIFS(tbl_task5[S132],tbl_task5[[SubPLOs]:[SubPLOs]],"&gt;=1",tbl_task5[[SubPLOs]:[SubPLOs]],"&lt;2")</f>
        <v>0</v>
      </c>
      <c r="EH34" s="138">
        <f>SUMIFS(tbl_task5[S133],tbl_task5[[SubPLOs]:[SubPLOs]],"&gt;=1",tbl_task5[[SubPLOs]:[SubPLOs]],"&lt;2")</f>
        <v>0</v>
      </c>
      <c r="EI34" s="138">
        <f>SUMIFS(tbl_task5[S134],tbl_task5[[SubPLOs]:[SubPLOs]],"&gt;=1",tbl_task5[[SubPLOs]:[SubPLOs]],"&lt;2")</f>
        <v>0</v>
      </c>
      <c r="EJ34" s="138">
        <f>SUMIFS(tbl_task5[S135],tbl_task5[[SubPLOs]:[SubPLOs]],"&gt;=1",tbl_task5[[SubPLOs]:[SubPLOs]],"&lt;2")</f>
        <v>0</v>
      </c>
      <c r="EK34" s="138">
        <f>SUMIFS(tbl_task5[S136],tbl_task5[[SubPLOs]:[SubPLOs]],"&gt;=1",tbl_task5[[SubPLOs]:[SubPLOs]],"&lt;2")</f>
        <v>0</v>
      </c>
      <c r="EL34" s="138">
        <f>SUMIFS(tbl_task5[S137],tbl_task5[[SubPLOs]:[SubPLOs]],"&gt;=1",tbl_task5[[SubPLOs]:[SubPLOs]],"&lt;2")</f>
        <v>0</v>
      </c>
      <c r="EM34" s="138">
        <f>SUMIFS(tbl_task5[S138],tbl_task5[[SubPLOs]:[SubPLOs]],"&gt;=1",tbl_task5[[SubPLOs]:[SubPLOs]],"&lt;2")</f>
        <v>0</v>
      </c>
      <c r="EN34" s="138">
        <f>SUMIFS(tbl_task5[S139],tbl_task5[[SubPLOs]:[SubPLOs]],"&gt;=1",tbl_task5[[SubPLOs]:[SubPLOs]],"&lt;2")</f>
        <v>0</v>
      </c>
      <c r="EO34" s="138">
        <f>SUMIFS(tbl_task5[S140],tbl_task5[[SubPLOs]:[SubPLOs]],"&gt;=1",tbl_task5[[SubPLOs]:[SubPLOs]],"&lt;2")</f>
        <v>0</v>
      </c>
      <c r="EP34" s="138">
        <f>SUMIFS(tbl_task5[S141],tbl_task5[[SubPLOs]:[SubPLOs]],"&gt;=1",tbl_task5[[SubPLOs]:[SubPLOs]],"&lt;2")</f>
        <v>0</v>
      </c>
      <c r="EQ34" s="138">
        <f>SUMIFS(tbl_task5[S142],tbl_task5[[SubPLOs]:[SubPLOs]],"&gt;=1",tbl_task5[[SubPLOs]:[SubPLOs]],"&lt;2")</f>
        <v>0</v>
      </c>
      <c r="ER34" s="138">
        <f>SUMIFS(tbl_task5[S143],tbl_task5[[SubPLOs]:[SubPLOs]],"&gt;=1",tbl_task5[[SubPLOs]:[SubPLOs]],"&lt;2")</f>
        <v>0</v>
      </c>
      <c r="ES34" s="138">
        <f>SUMIFS(tbl_task5[S144],tbl_task5[[SubPLOs]:[SubPLOs]],"&gt;=1",tbl_task5[[SubPLOs]:[SubPLOs]],"&lt;2")</f>
        <v>0</v>
      </c>
      <c r="ET34" s="138">
        <f>SUMIFS(tbl_task5[S145],tbl_task5[[SubPLOs]:[SubPLOs]],"&gt;=1",tbl_task5[[SubPLOs]:[SubPLOs]],"&lt;2")</f>
        <v>0</v>
      </c>
      <c r="EU34" s="138">
        <f>SUMIFS(tbl_task5[S146],tbl_task5[[SubPLOs]:[SubPLOs]],"&gt;=1",tbl_task5[[SubPLOs]:[SubPLOs]],"&lt;2")</f>
        <v>0</v>
      </c>
      <c r="EV34" s="138">
        <f>SUMIFS(tbl_task5[S147],tbl_task5[[SubPLOs]:[SubPLOs]],"&gt;=1",tbl_task5[[SubPLOs]:[SubPLOs]],"&lt;2")</f>
        <v>0</v>
      </c>
      <c r="EW34" s="138">
        <f>SUMIFS(tbl_task5[S148],tbl_task5[[SubPLOs]:[SubPLOs]],"&gt;=1",tbl_task5[[SubPLOs]:[SubPLOs]],"&lt;2")</f>
        <v>0</v>
      </c>
      <c r="EX34" s="138">
        <f>SUMIFS(tbl_task5[S149],tbl_task5[[SubPLOs]:[SubPLOs]],"&gt;=1",tbl_task5[[SubPLOs]:[SubPLOs]],"&lt;2")</f>
        <v>0</v>
      </c>
      <c r="EY34" s="138">
        <f>SUMIFS(tbl_task5[S150],tbl_task5[[SubPLOs]:[SubPLOs]],"&gt;=1",tbl_task5[[SubPLOs]:[SubPLOs]],"&lt;2")</f>
        <v>0</v>
      </c>
      <c r="EZ34" s="138">
        <f>SUMIFS(tbl_task5[S151],tbl_task5[[SubPLOs]:[SubPLOs]],"&gt;=1",tbl_task5[[SubPLOs]:[SubPLOs]],"&lt;2")</f>
        <v>0</v>
      </c>
      <c r="FA34" s="138">
        <f>SUMIFS(tbl_task5[S152],tbl_task5[[SubPLOs]:[SubPLOs]],"&gt;=1",tbl_task5[[SubPLOs]:[SubPLOs]],"&lt;2")</f>
        <v>0</v>
      </c>
      <c r="FB34" s="138">
        <f>SUMIFS(tbl_task5[S153],tbl_task5[[SubPLOs]:[SubPLOs]],"&gt;=1",tbl_task5[[SubPLOs]:[SubPLOs]],"&lt;2")</f>
        <v>0</v>
      </c>
      <c r="FC34" s="138">
        <f>SUMIFS(tbl_task5[S154],tbl_task5[[SubPLOs]:[SubPLOs]],"&gt;=1",tbl_task5[[SubPLOs]:[SubPLOs]],"&lt;2")</f>
        <v>0</v>
      </c>
      <c r="FD34" s="138">
        <f>SUMIFS(tbl_task5[S155],tbl_task5[[SubPLOs]:[SubPLOs]],"&gt;=1",tbl_task5[[SubPLOs]:[SubPLOs]],"&lt;2")</f>
        <v>0</v>
      </c>
      <c r="FE34" s="138">
        <f>SUMIFS(tbl_task5[S156],tbl_task5[[SubPLOs]:[SubPLOs]],"&gt;=1",tbl_task5[[SubPLOs]:[SubPLOs]],"&lt;2")</f>
        <v>0</v>
      </c>
      <c r="FF34" s="138">
        <f>SUMIFS(tbl_task5[S157],tbl_task5[[SubPLOs]:[SubPLOs]],"&gt;=1",tbl_task5[[SubPLOs]:[SubPLOs]],"&lt;2")</f>
        <v>0</v>
      </c>
      <c r="FG34" s="138">
        <f>SUMIFS(tbl_task5[S158],tbl_task5[[SubPLOs]:[SubPLOs]],"&gt;=1",tbl_task5[[SubPLOs]:[SubPLOs]],"&lt;2")</f>
        <v>0</v>
      </c>
      <c r="FH34" s="138">
        <f>SUMIFS(tbl_task5[S159],tbl_task5[[SubPLOs]:[SubPLOs]],"&gt;=1",tbl_task5[[SubPLOs]:[SubPLOs]],"&lt;2")</f>
        <v>0</v>
      </c>
      <c r="FI34" s="138">
        <f>SUMIFS(tbl_task5[S160],tbl_task5[[SubPLOs]:[SubPLOs]],"&gt;=1",tbl_task5[[SubPLOs]:[SubPLOs]],"&lt;2")</f>
        <v>0</v>
      </c>
      <c r="FJ34" s="138">
        <f>SUMIFS(tbl_task5[S161],tbl_task5[[SubPLOs]:[SubPLOs]],"&gt;=1",tbl_task5[[SubPLOs]:[SubPLOs]],"&lt;2")</f>
        <v>0</v>
      </c>
      <c r="FK34" s="138">
        <f>SUMIFS(tbl_task5[S162],tbl_task5[[SubPLOs]:[SubPLOs]],"&gt;=1",tbl_task5[[SubPLOs]:[SubPLOs]],"&lt;2")</f>
        <v>0</v>
      </c>
      <c r="FL34" s="138">
        <f>SUMIFS(tbl_task5[S163],tbl_task5[[SubPLOs]:[SubPLOs]],"&gt;=1",tbl_task5[[SubPLOs]:[SubPLOs]],"&lt;2")</f>
        <v>0</v>
      </c>
      <c r="FM34" s="138">
        <f>SUMIFS(tbl_task5[S164],tbl_task5[[SubPLOs]:[SubPLOs]],"&gt;=1",tbl_task5[[SubPLOs]:[SubPLOs]],"&lt;2")</f>
        <v>0</v>
      </c>
      <c r="FN34" s="138">
        <f>SUMIFS(tbl_task5[S165],tbl_task5[[SubPLOs]:[SubPLOs]],"&gt;=1",tbl_task5[[SubPLOs]:[SubPLOs]],"&lt;2")</f>
        <v>0</v>
      </c>
    </row>
    <row r="35" spans="1:170" ht="147" x14ac:dyDescent="0.25">
      <c r="A35" s="135">
        <v>2</v>
      </c>
      <c r="B35" s="5" t="s">
        <v>435</v>
      </c>
      <c r="C35" s="136">
        <f>COUNTIFS(tbl_task5[SubPLOs],"&gt;=2",tbl_task5[SubPLOs],"&lt;3")</f>
        <v>0</v>
      </c>
      <c r="D35" s="136">
        <f>SUMIFS(tbl_task5[คะแนนเต็ม],tbl_task5[SubPLOs],"&gt;=2",tbl_task5[SubPLOs],"&lt;3")</f>
        <v>0</v>
      </c>
      <c r="E35" s="137">
        <f>SUMIFS(tbl_task5[%],tbl_task5[SubPLOs],"&gt;=2",tbl_task5[SubPLOs],"&lt;3")</f>
        <v>0</v>
      </c>
      <c r="F35" s="138">
        <f>SUMIFS(tbl_task5[S1],tbl_task5[[SubPLOs]:[SubPLOs]],"&gt;=2",tbl_task5[[SubPLOs]:[SubPLOs]],"&lt;3")</f>
        <v>0</v>
      </c>
      <c r="G35" s="138">
        <f>SUMIFS(tbl_task5[S2],tbl_task5[[SubPLOs]:[SubPLOs]],"&gt;=2",tbl_task5[[SubPLOs]:[SubPLOs]],"&lt;3")</f>
        <v>0</v>
      </c>
      <c r="H35" s="138">
        <f>SUMIFS(tbl_task5[S3],tbl_task5[[SubPLOs]:[SubPLOs]],"&gt;=2",tbl_task5[[SubPLOs]:[SubPLOs]],"&lt;3")</f>
        <v>0</v>
      </c>
      <c r="I35" s="138">
        <f>SUMIFS(tbl_task5[S4],tbl_task5[[SubPLOs]:[SubPLOs]],"&gt;=2",tbl_task5[[SubPLOs]:[SubPLOs]],"&lt;3")</f>
        <v>0</v>
      </c>
      <c r="J35" s="138">
        <f>SUMIFS(tbl_task5[S5],tbl_task5[[SubPLOs]:[SubPLOs]],"&gt;=2",tbl_task5[[SubPLOs]:[SubPLOs]],"&lt;3")</f>
        <v>0</v>
      </c>
      <c r="K35" s="138">
        <f>SUMIFS(tbl_task5[S6],tbl_task5[[SubPLOs]:[SubPLOs]],"&gt;=2",tbl_task5[[SubPLOs]:[SubPLOs]],"&lt;3")</f>
        <v>0</v>
      </c>
      <c r="L35" s="138">
        <f>SUMIFS(tbl_task5[S7],tbl_task5[[SubPLOs]:[SubPLOs]],"&gt;=2",tbl_task5[[SubPLOs]:[SubPLOs]],"&lt;3")</f>
        <v>0</v>
      </c>
      <c r="M35" s="138">
        <f>SUMIFS(tbl_task5[S8],tbl_task5[[SubPLOs]:[SubPLOs]],"&gt;=2",tbl_task5[[SubPLOs]:[SubPLOs]],"&lt;3")</f>
        <v>0</v>
      </c>
      <c r="N35" s="138">
        <f>SUMIFS(tbl_task5[S9],tbl_task5[[SubPLOs]:[SubPLOs]],"&gt;=2",tbl_task5[[SubPLOs]:[SubPLOs]],"&lt;3")</f>
        <v>0</v>
      </c>
      <c r="O35" s="138">
        <f>SUMIFS(tbl_task5[S10],tbl_task5[[SubPLOs]:[SubPLOs]],"&gt;=2",tbl_task5[[SubPLOs]:[SubPLOs]],"&lt;3")</f>
        <v>0</v>
      </c>
      <c r="P35" s="138">
        <f>SUMIFS(tbl_task5[S11],tbl_task5[[SubPLOs]:[SubPLOs]],"&gt;=2",tbl_task5[[SubPLOs]:[SubPLOs]],"&lt;3")</f>
        <v>0</v>
      </c>
      <c r="Q35" s="138">
        <f>SUMIFS(tbl_task5[S12],tbl_task5[[SubPLOs]:[SubPLOs]],"&gt;=2",tbl_task5[[SubPLOs]:[SubPLOs]],"&lt;3")</f>
        <v>0</v>
      </c>
      <c r="R35" s="138">
        <f>SUMIFS(tbl_task5[S13],tbl_task5[[SubPLOs]:[SubPLOs]],"&gt;=2",tbl_task5[[SubPLOs]:[SubPLOs]],"&lt;3")</f>
        <v>0</v>
      </c>
      <c r="S35" s="138">
        <f>SUMIFS(tbl_task5[S14],tbl_task5[[SubPLOs]:[SubPLOs]],"&gt;=2",tbl_task5[[SubPLOs]:[SubPLOs]],"&lt;3")</f>
        <v>0</v>
      </c>
      <c r="T35" s="138">
        <f>SUMIFS(tbl_task5[S15],tbl_task5[[SubPLOs]:[SubPLOs]],"&gt;=2",tbl_task5[[SubPLOs]:[SubPLOs]],"&lt;3")</f>
        <v>0</v>
      </c>
      <c r="U35" s="138">
        <f>SUMIFS(tbl_task5[S16],tbl_task5[[SubPLOs]:[SubPLOs]],"&gt;=2",tbl_task5[[SubPLOs]:[SubPLOs]],"&lt;3")</f>
        <v>0</v>
      </c>
      <c r="V35" s="138">
        <f>SUMIFS(tbl_task5[S17],tbl_task5[[SubPLOs]:[SubPLOs]],"&gt;=2",tbl_task5[[SubPLOs]:[SubPLOs]],"&lt;3")</f>
        <v>0</v>
      </c>
      <c r="W35" s="138">
        <f>SUMIFS(tbl_task5[S18],tbl_task5[[SubPLOs]:[SubPLOs]],"&gt;=2",tbl_task5[[SubPLOs]:[SubPLOs]],"&lt;3")</f>
        <v>0</v>
      </c>
      <c r="X35" s="138">
        <f>SUMIFS(tbl_task5[S19],tbl_task5[[SubPLOs]:[SubPLOs]],"&gt;=2",tbl_task5[[SubPLOs]:[SubPLOs]],"&lt;3")</f>
        <v>0</v>
      </c>
      <c r="Y35" s="138">
        <f>SUMIFS(tbl_task5[S20],tbl_task5[[SubPLOs]:[SubPLOs]],"&gt;=2",tbl_task5[[SubPLOs]:[SubPLOs]],"&lt;3")</f>
        <v>0</v>
      </c>
      <c r="Z35" s="138">
        <f>SUMIFS(tbl_task5[S21],tbl_task5[[SubPLOs]:[SubPLOs]],"&gt;=2",tbl_task5[[SubPLOs]:[SubPLOs]],"&lt;3")</f>
        <v>0</v>
      </c>
      <c r="AA35" s="138">
        <f>SUMIFS(tbl_task5[S22],tbl_task5[[SubPLOs]:[SubPLOs]],"&gt;=2",tbl_task5[[SubPLOs]:[SubPLOs]],"&lt;3")</f>
        <v>0</v>
      </c>
      <c r="AB35" s="138">
        <f>SUMIFS(tbl_task5[S23],tbl_task5[[SubPLOs]:[SubPLOs]],"&gt;=2",tbl_task5[[SubPLOs]:[SubPLOs]],"&lt;3")</f>
        <v>0</v>
      </c>
      <c r="AC35" s="138">
        <f>SUMIFS(tbl_task5[S24],tbl_task5[[SubPLOs]:[SubPLOs]],"&gt;=2",tbl_task5[[SubPLOs]:[SubPLOs]],"&lt;3")</f>
        <v>0</v>
      </c>
      <c r="AD35" s="138">
        <f>SUMIFS(tbl_task5[S25],tbl_task5[[SubPLOs]:[SubPLOs]],"&gt;=2",tbl_task5[[SubPLOs]:[SubPLOs]],"&lt;3")</f>
        <v>0</v>
      </c>
      <c r="AE35" s="138">
        <f>SUMIFS(tbl_task5[S26],tbl_task5[[SubPLOs]:[SubPLOs]],"&gt;=2",tbl_task5[[SubPLOs]:[SubPLOs]],"&lt;3")</f>
        <v>0</v>
      </c>
      <c r="AF35" s="138">
        <f>SUMIFS(tbl_task5[S27],tbl_task5[[SubPLOs]:[SubPLOs]],"&gt;=2",tbl_task5[[SubPLOs]:[SubPLOs]],"&lt;3")</f>
        <v>0</v>
      </c>
      <c r="AG35" s="138">
        <f>SUMIFS(tbl_task5[S28],tbl_task5[[SubPLOs]:[SubPLOs]],"&gt;=2",tbl_task5[[SubPLOs]:[SubPLOs]],"&lt;3")</f>
        <v>0</v>
      </c>
      <c r="AH35" s="138">
        <f>SUMIFS(tbl_task5[S29],tbl_task5[[SubPLOs]:[SubPLOs]],"&gt;=2",tbl_task5[[SubPLOs]:[SubPLOs]],"&lt;3")</f>
        <v>0</v>
      </c>
      <c r="AI35" s="138">
        <f>SUMIFS(tbl_task5[S30],tbl_task5[[SubPLOs]:[SubPLOs]],"&gt;=2",tbl_task5[[SubPLOs]:[SubPLOs]],"&lt;3")</f>
        <v>0</v>
      </c>
      <c r="AJ35" s="138">
        <f>SUMIFS(tbl_task5[S31],tbl_task5[[SubPLOs]:[SubPLOs]],"&gt;=2",tbl_task5[[SubPLOs]:[SubPLOs]],"&lt;3")</f>
        <v>0</v>
      </c>
      <c r="AK35" s="138">
        <f>SUMIFS(tbl_task5[S32],tbl_task5[[SubPLOs]:[SubPLOs]],"&gt;=2",tbl_task5[[SubPLOs]:[SubPLOs]],"&lt;3")</f>
        <v>0</v>
      </c>
      <c r="AL35" s="138">
        <f>SUMIFS(tbl_task5[S33],tbl_task5[[SubPLOs]:[SubPLOs]],"&gt;=2",tbl_task5[[SubPLOs]:[SubPLOs]],"&lt;3")</f>
        <v>0</v>
      </c>
      <c r="AM35" s="138">
        <f>SUMIFS(tbl_task5[S34],tbl_task5[[SubPLOs]:[SubPLOs]],"&gt;=2",tbl_task5[[SubPLOs]:[SubPLOs]],"&lt;3")</f>
        <v>0</v>
      </c>
      <c r="AN35" s="138">
        <f>SUMIFS(tbl_task5[S35],tbl_task5[[SubPLOs]:[SubPLOs]],"&gt;=2",tbl_task5[[SubPLOs]:[SubPLOs]],"&lt;3")</f>
        <v>0</v>
      </c>
      <c r="AO35" s="138">
        <f>SUMIFS(tbl_task5[S36],tbl_task5[[SubPLOs]:[SubPLOs]],"&gt;=2",tbl_task5[[SubPLOs]:[SubPLOs]],"&lt;3")</f>
        <v>0</v>
      </c>
      <c r="AP35" s="138">
        <f>SUMIFS(tbl_task5[S37],tbl_task5[[SubPLOs]:[SubPLOs]],"&gt;=2",tbl_task5[[SubPLOs]:[SubPLOs]],"&lt;3")</f>
        <v>0</v>
      </c>
      <c r="AQ35" s="138">
        <f>SUMIFS(tbl_task5[S38],tbl_task5[[SubPLOs]:[SubPLOs]],"&gt;=2",tbl_task5[[SubPLOs]:[SubPLOs]],"&lt;3")</f>
        <v>0</v>
      </c>
      <c r="AR35" s="138">
        <f>SUMIFS(tbl_task5[S39],tbl_task5[[SubPLOs]:[SubPLOs]],"&gt;=2",tbl_task5[[SubPLOs]:[SubPLOs]],"&lt;3")</f>
        <v>0</v>
      </c>
      <c r="AS35" s="138">
        <f>SUMIFS(tbl_task5[S40],tbl_task5[[SubPLOs]:[SubPLOs]],"&gt;=2",tbl_task5[[SubPLOs]:[SubPLOs]],"&lt;3")</f>
        <v>0</v>
      </c>
      <c r="AT35" s="138">
        <f>SUMIFS(tbl_task5[S41],tbl_task5[[SubPLOs]:[SubPLOs]],"&gt;=2",tbl_task5[[SubPLOs]:[SubPLOs]],"&lt;3")</f>
        <v>0</v>
      </c>
      <c r="AU35" s="138">
        <f>SUMIFS(tbl_task5[S42],tbl_task5[[SubPLOs]:[SubPLOs]],"&gt;=2",tbl_task5[[SubPLOs]:[SubPLOs]],"&lt;3")</f>
        <v>0</v>
      </c>
      <c r="AV35" s="138">
        <f>SUMIFS(tbl_task5[S43],tbl_task5[[SubPLOs]:[SubPLOs]],"&gt;=2",tbl_task5[[SubPLOs]:[SubPLOs]],"&lt;3")</f>
        <v>0</v>
      </c>
      <c r="AW35" s="138">
        <f>SUMIFS(tbl_task5[S44],tbl_task5[[SubPLOs]:[SubPLOs]],"&gt;=2",tbl_task5[[SubPLOs]:[SubPLOs]],"&lt;3")</f>
        <v>0</v>
      </c>
      <c r="AX35" s="138">
        <f>SUMIFS(tbl_task5[S45],tbl_task5[[SubPLOs]:[SubPLOs]],"&gt;=2",tbl_task5[[SubPLOs]:[SubPLOs]],"&lt;3")</f>
        <v>0</v>
      </c>
      <c r="AY35" s="138">
        <f>SUMIFS(tbl_task5[S46],tbl_task5[[SubPLOs]:[SubPLOs]],"&gt;=2",tbl_task5[[SubPLOs]:[SubPLOs]],"&lt;3")</f>
        <v>0</v>
      </c>
      <c r="AZ35" s="138">
        <f>SUMIFS(tbl_task5[S47],tbl_task5[[SubPLOs]:[SubPLOs]],"&gt;=2",tbl_task5[[SubPLOs]:[SubPLOs]],"&lt;3")</f>
        <v>0</v>
      </c>
      <c r="BA35" s="138">
        <f>SUMIFS(tbl_task5[S48],tbl_task5[[SubPLOs]:[SubPLOs]],"&gt;=2",tbl_task5[[SubPLOs]:[SubPLOs]],"&lt;3")</f>
        <v>0</v>
      </c>
      <c r="BB35" s="138">
        <f>SUMIFS(tbl_task5[S49],tbl_task5[[SubPLOs]:[SubPLOs]],"&gt;=2",tbl_task5[[SubPLOs]:[SubPLOs]],"&lt;3")</f>
        <v>0</v>
      </c>
      <c r="BC35" s="138">
        <f>SUMIFS(tbl_task5[S50],tbl_task5[[SubPLOs]:[SubPLOs]],"&gt;=2",tbl_task5[[SubPLOs]:[SubPLOs]],"&lt;3")</f>
        <v>0</v>
      </c>
      <c r="BD35" s="138">
        <f>SUMIFS(tbl_task5[S51],tbl_task5[[SubPLOs]:[SubPLOs]],"&gt;=2",tbl_task5[[SubPLOs]:[SubPLOs]],"&lt;3")</f>
        <v>0</v>
      </c>
      <c r="BE35" s="138">
        <f>SUMIFS(tbl_task5[S52],tbl_task5[[SubPLOs]:[SubPLOs]],"&gt;=2",tbl_task5[[SubPLOs]:[SubPLOs]],"&lt;3")</f>
        <v>0</v>
      </c>
      <c r="BF35" s="138">
        <f>SUMIFS(tbl_task5[S53],tbl_task5[[SubPLOs]:[SubPLOs]],"&gt;=2",tbl_task5[[SubPLOs]:[SubPLOs]],"&lt;3")</f>
        <v>0</v>
      </c>
      <c r="BG35" s="138">
        <f>SUMIFS(tbl_task5[S54],tbl_task5[[SubPLOs]:[SubPLOs]],"&gt;=2",tbl_task5[[SubPLOs]:[SubPLOs]],"&lt;3")</f>
        <v>0</v>
      </c>
      <c r="BH35" s="138">
        <f>SUMIFS(tbl_task5[S55],tbl_task5[[SubPLOs]:[SubPLOs]],"&gt;=2",tbl_task5[[SubPLOs]:[SubPLOs]],"&lt;3")</f>
        <v>0</v>
      </c>
      <c r="BI35" s="138">
        <f>SUMIFS(tbl_task5[S56],tbl_task5[[SubPLOs]:[SubPLOs]],"&gt;=2",tbl_task5[[SubPLOs]:[SubPLOs]],"&lt;3")</f>
        <v>0</v>
      </c>
      <c r="BJ35" s="138">
        <f>SUMIFS(tbl_task5[S57],tbl_task5[[SubPLOs]:[SubPLOs]],"&gt;=2",tbl_task5[[SubPLOs]:[SubPLOs]],"&lt;3")</f>
        <v>0</v>
      </c>
      <c r="BK35" s="138">
        <f>SUMIFS(tbl_task5[S58],tbl_task5[[SubPLOs]:[SubPLOs]],"&gt;=2",tbl_task5[[SubPLOs]:[SubPLOs]],"&lt;3")</f>
        <v>0</v>
      </c>
      <c r="BL35" s="138">
        <f>SUMIFS(tbl_task5[S59],tbl_task5[[SubPLOs]:[SubPLOs]],"&gt;=2",tbl_task5[[SubPLOs]:[SubPLOs]],"&lt;3")</f>
        <v>0</v>
      </c>
      <c r="BM35" s="138">
        <f>SUMIFS(tbl_task5[S60],tbl_task5[[SubPLOs]:[SubPLOs]],"&gt;=2",tbl_task5[[SubPLOs]:[SubPLOs]],"&lt;3")</f>
        <v>0</v>
      </c>
      <c r="BN35" s="138">
        <f>SUMIFS(tbl_task5[S61],tbl_task5[[SubPLOs]:[SubPLOs]],"&gt;=2",tbl_task5[[SubPLOs]:[SubPLOs]],"&lt;3")</f>
        <v>0</v>
      </c>
      <c r="BO35" s="138">
        <f>SUMIFS(tbl_task5[S62],tbl_task5[[SubPLOs]:[SubPLOs]],"&gt;=2",tbl_task5[[SubPLOs]:[SubPLOs]],"&lt;3")</f>
        <v>0</v>
      </c>
      <c r="BP35" s="138">
        <f>SUMIFS(tbl_task5[S63],tbl_task5[[SubPLOs]:[SubPLOs]],"&gt;=2",tbl_task5[[SubPLOs]:[SubPLOs]],"&lt;3")</f>
        <v>0</v>
      </c>
      <c r="BQ35" s="138">
        <f>SUMIFS(tbl_task5[S64],tbl_task5[[SubPLOs]:[SubPLOs]],"&gt;=2",tbl_task5[[SubPLOs]:[SubPLOs]],"&lt;3")</f>
        <v>0</v>
      </c>
      <c r="BR35" s="138">
        <f>SUMIFS(tbl_task5[S65],tbl_task5[[SubPLOs]:[SubPLOs]],"&gt;=2",tbl_task5[[SubPLOs]:[SubPLOs]],"&lt;3")</f>
        <v>0</v>
      </c>
      <c r="BS35" s="138">
        <f>SUMIFS(tbl_task5[S66],tbl_task5[[SubPLOs]:[SubPLOs]],"&gt;=2",tbl_task5[[SubPLOs]:[SubPLOs]],"&lt;3")</f>
        <v>0</v>
      </c>
      <c r="BT35" s="138">
        <f>SUMIFS(tbl_task5[S67],tbl_task5[[SubPLOs]:[SubPLOs]],"&gt;=2",tbl_task5[[SubPLOs]:[SubPLOs]],"&lt;3")</f>
        <v>0</v>
      </c>
      <c r="BU35" s="138">
        <f>SUMIFS(tbl_task5[S68],tbl_task5[[SubPLOs]:[SubPLOs]],"&gt;=2",tbl_task5[[SubPLOs]:[SubPLOs]],"&lt;3")</f>
        <v>0</v>
      </c>
      <c r="BV35" s="138">
        <f>SUMIFS(tbl_task5[S69],tbl_task5[[SubPLOs]:[SubPLOs]],"&gt;=2",tbl_task5[[SubPLOs]:[SubPLOs]],"&lt;3")</f>
        <v>0</v>
      </c>
      <c r="BW35" s="138">
        <f>SUMIFS(tbl_task5[S70],tbl_task5[[SubPLOs]:[SubPLOs]],"&gt;=2",tbl_task5[[SubPLOs]:[SubPLOs]],"&lt;3")</f>
        <v>0</v>
      </c>
      <c r="BX35" s="138">
        <f>SUMIFS(tbl_task5[S71],tbl_task5[[SubPLOs]:[SubPLOs]],"&gt;=2",tbl_task5[[SubPLOs]:[SubPLOs]],"&lt;3")</f>
        <v>0</v>
      </c>
      <c r="BY35" s="138">
        <f>SUMIFS(tbl_task5[S72],tbl_task5[[SubPLOs]:[SubPLOs]],"&gt;=2",tbl_task5[[SubPLOs]:[SubPLOs]],"&lt;3")</f>
        <v>0</v>
      </c>
      <c r="BZ35" s="138">
        <f>SUMIFS(tbl_task5[S73],tbl_task5[[SubPLOs]:[SubPLOs]],"&gt;=2",tbl_task5[[SubPLOs]:[SubPLOs]],"&lt;3")</f>
        <v>0</v>
      </c>
      <c r="CA35" s="138">
        <f>SUMIFS(tbl_task5[S74],tbl_task5[[SubPLOs]:[SubPLOs]],"&gt;=2",tbl_task5[[SubPLOs]:[SubPLOs]],"&lt;3")</f>
        <v>0</v>
      </c>
      <c r="CB35" s="138">
        <f>SUMIFS(tbl_task5[S75],tbl_task5[[SubPLOs]:[SubPLOs]],"&gt;=2",tbl_task5[[SubPLOs]:[SubPLOs]],"&lt;3")</f>
        <v>0</v>
      </c>
      <c r="CC35" s="138">
        <f>SUMIFS(tbl_task5[S76],tbl_task5[[SubPLOs]:[SubPLOs]],"&gt;=2",tbl_task5[[SubPLOs]:[SubPLOs]],"&lt;3")</f>
        <v>0</v>
      </c>
      <c r="CD35" s="138">
        <f>SUMIFS(tbl_task5[S77],tbl_task5[[SubPLOs]:[SubPLOs]],"&gt;=2",tbl_task5[[SubPLOs]:[SubPLOs]],"&lt;3")</f>
        <v>0</v>
      </c>
      <c r="CE35" s="138">
        <f>SUMIFS(tbl_task5[S78],tbl_task5[[SubPLOs]:[SubPLOs]],"&gt;=2",tbl_task5[[SubPLOs]:[SubPLOs]],"&lt;3")</f>
        <v>0</v>
      </c>
      <c r="CF35" s="138">
        <f>SUMIFS(tbl_task5[S79],tbl_task5[[SubPLOs]:[SubPLOs]],"&gt;=2",tbl_task5[[SubPLOs]:[SubPLOs]],"&lt;3")</f>
        <v>0</v>
      </c>
      <c r="CG35" s="138">
        <f>SUMIFS(tbl_task5[S80],tbl_task5[[SubPLOs]:[SubPLOs]],"&gt;=2",tbl_task5[[SubPLOs]:[SubPLOs]],"&lt;3")</f>
        <v>0</v>
      </c>
      <c r="CH35" s="138">
        <f>SUMIFS(tbl_task5[S81],tbl_task5[[SubPLOs]:[SubPLOs]],"&gt;=2",tbl_task5[[SubPLOs]:[SubPLOs]],"&lt;3")</f>
        <v>0</v>
      </c>
      <c r="CI35" s="138">
        <f>SUMIFS(tbl_task5[S82],tbl_task5[[SubPLOs]:[SubPLOs]],"&gt;=2",tbl_task5[[SubPLOs]:[SubPLOs]],"&lt;3")</f>
        <v>0</v>
      </c>
      <c r="CJ35" s="138">
        <f>SUMIFS(tbl_task5[S83],tbl_task5[[SubPLOs]:[SubPLOs]],"&gt;=2",tbl_task5[[SubPLOs]:[SubPLOs]],"&lt;3")</f>
        <v>0</v>
      </c>
      <c r="CK35" s="138">
        <f>SUMIFS(tbl_task5[S84],tbl_task5[[SubPLOs]:[SubPLOs]],"&gt;=2",tbl_task5[[SubPLOs]:[SubPLOs]],"&lt;3")</f>
        <v>0</v>
      </c>
      <c r="CL35" s="138">
        <f>SUMIFS(tbl_task5[S85],tbl_task5[[SubPLOs]:[SubPLOs]],"&gt;=2",tbl_task5[[SubPLOs]:[SubPLOs]],"&lt;3")</f>
        <v>0</v>
      </c>
      <c r="CM35" s="138">
        <f>SUMIFS(tbl_task5[S86],tbl_task5[[SubPLOs]:[SubPLOs]],"&gt;=2",tbl_task5[[SubPLOs]:[SubPLOs]],"&lt;3")</f>
        <v>0</v>
      </c>
      <c r="CN35" s="138">
        <f>SUMIFS(tbl_task5[S87],tbl_task5[[SubPLOs]:[SubPLOs]],"&gt;=2",tbl_task5[[SubPLOs]:[SubPLOs]],"&lt;3")</f>
        <v>0</v>
      </c>
      <c r="CO35" s="138">
        <f>SUMIFS(tbl_task5[S88],tbl_task5[[SubPLOs]:[SubPLOs]],"&gt;=2",tbl_task5[[SubPLOs]:[SubPLOs]],"&lt;3")</f>
        <v>0</v>
      </c>
      <c r="CP35" s="138">
        <f>SUMIFS(tbl_task5[S89],tbl_task5[[SubPLOs]:[SubPLOs]],"&gt;=2",tbl_task5[[SubPLOs]:[SubPLOs]],"&lt;3")</f>
        <v>0</v>
      </c>
      <c r="CQ35" s="138">
        <f>SUMIFS(tbl_task5[S90],tbl_task5[[SubPLOs]:[SubPLOs]],"&gt;=2",tbl_task5[[SubPLOs]:[SubPLOs]],"&lt;3")</f>
        <v>0</v>
      </c>
      <c r="CR35" s="138">
        <f>SUMIFS(tbl_task5[S91],tbl_task5[[SubPLOs]:[SubPLOs]],"&gt;=2",tbl_task5[[SubPLOs]:[SubPLOs]],"&lt;3")</f>
        <v>0</v>
      </c>
      <c r="CS35" s="138">
        <f>SUMIFS(tbl_task5[S92],tbl_task5[[SubPLOs]:[SubPLOs]],"&gt;=2",tbl_task5[[SubPLOs]:[SubPLOs]],"&lt;3")</f>
        <v>0</v>
      </c>
      <c r="CT35" s="138">
        <f>SUMIFS(tbl_task5[S93],tbl_task5[[SubPLOs]:[SubPLOs]],"&gt;=2",tbl_task5[[SubPLOs]:[SubPLOs]],"&lt;3")</f>
        <v>0</v>
      </c>
      <c r="CU35" s="138">
        <f>SUMIFS(tbl_task5[S94],tbl_task5[[SubPLOs]:[SubPLOs]],"&gt;=2",tbl_task5[[SubPLOs]:[SubPLOs]],"&lt;3")</f>
        <v>0</v>
      </c>
      <c r="CV35" s="138">
        <f>SUMIFS(tbl_task5[S95],tbl_task5[[SubPLOs]:[SubPLOs]],"&gt;=2",tbl_task5[[SubPLOs]:[SubPLOs]],"&lt;3")</f>
        <v>0</v>
      </c>
      <c r="CW35" s="138">
        <f>SUMIFS(tbl_task5[S96],tbl_task5[[SubPLOs]:[SubPLOs]],"&gt;=2",tbl_task5[[SubPLOs]:[SubPLOs]],"&lt;3")</f>
        <v>0</v>
      </c>
      <c r="CX35" s="138">
        <f>SUMIFS(tbl_task5[S97],tbl_task5[[SubPLOs]:[SubPLOs]],"&gt;=2",tbl_task5[[SubPLOs]:[SubPLOs]],"&lt;3")</f>
        <v>0</v>
      </c>
      <c r="CY35" s="138">
        <f>SUMIFS(tbl_task5[S98],tbl_task5[[SubPLOs]:[SubPLOs]],"&gt;=2",tbl_task5[[SubPLOs]:[SubPLOs]],"&lt;3")</f>
        <v>0</v>
      </c>
      <c r="CZ35" s="138">
        <f>SUMIFS(tbl_task5[S99],tbl_task5[[SubPLOs]:[SubPLOs]],"&gt;=2",tbl_task5[[SubPLOs]:[SubPLOs]],"&lt;3")</f>
        <v>0</v>
      </c>
      <c r="DA35" s="138">
        <f>SUMIFS(tbl_task5[S100],tbl_task5[[SubPLOs]:[SubPLOs]],"&gt;=2",tbl_task5[[SubPLOs]:[SubPLOs]],"&lt;3")</f>
        <v>0</v>
      </c>
      <c r="DB35" s="138">
        <f>SUMIFS(tbl_task5[S101],tbl_task5[[SubPLOs]:[SubPLOs]],"&gt;=2",tbl_task5[[SubPLOs]:[SubPLOs]],"&lt;3")</f>
        <v>0</v>
      </c>
      <c r="DC35" s="138">
        <f>SUMIFS(tbl_task5[S102],tbl_task5[[SubPLOs]:[SubPLOs]],"&gt;=2",tbl_task5[[SubPLOs]:[SubPLOs]],"&lt;3")</f>
        <v>0</v>
      </c>
      <c r="DD35" s="138">
        <f>SUMIFS(tbl_task5[S103],tbl_task5[[SubPLOs]:[SubPLOs]],"&gt;=2",tbl_task5[[SubPLOs]:[SubPLOs]],"&lt;3")</f>
        <v>0</v>
      </c>
      <c r="DE35" s="138">
        <f>SUMIFS(tbl_task5[S104],tbl_task5[[SubPLOs]:[SubPLOs]],"&gt;=2",tbl_task5[[SubPLOs]:[SubPLOs]],"&lt;3")</f>
        <v>0</v>
      </c>
      <c r="DF35" s="138">
        <f>SUMIFS(tbl_task5[S105],tbl_task5[[SubPLOs]:[SubPLOs]],"&gt;=2",tbl_task5[[SubPLOs]:[SubPLOs]],"&lt;3")</f>
        <v>0</v>
      </c>
      <c r="DG35" s="138">
        <f>SUMIFS(tbl_task5[S106],tbl_task5[[SubPLOs]:[SubPLOs]],"&gt;=2",tbl_task5[[SubPLOs]:[SubPLOs]],"&lt;3")</f>
        <v>0</v>
      </c>
      <c r="DH35" s="138">
        <f>SUMIFS(tbl_task5[S106],tbl_task5[[SubPLOs]:[SubPLOs]],"&gt;=2",tbl_task5[[SubPLOs]:[SubPLOs]],"&lt;3")</f>
        <v>0</v>
      </c>
      <c r="DI35" s="138">
        <f>SUMIFS(tbl_task5[S108],tbl_task5[[SubPLOs]:[SubPLOs]],"&gt;=2",tbl_task5[[SubPLOs]:[SubPLOs]],"&lt;3")</f>
        <v>0</v>
      </c>
      <c r="DJ35" s="138">
        <f>SUMIFS(tbl_task5[S109],tbl_task5[[SubPLOs]:[SubPLOs]],"&gt;=2",tbl_task5[[SubPLOs]:[SubPLOs]],"&lt;3")</f>
        <v>0</v>
      </c>
      <c r="DK35" s="138">
        <f>SUMIFS(tbl_task5[S110],tbl_task5[[SubPLOs]:[SubPLOs]],"&gt;=2",tbl_task5[[SubPLOs]:[SubPLOs]],"&lt;3")</f>
        <v>0</v>
      </c>
      <c r="DL35" s="138">
        <f>SUMIFS(tbl_task5[S111],tbl_task5[[SubPLOs]:[SubPLOs]],"&gt;=2",tbl_task5[[SubPLOs]:[SubPLOs]],"&lt;3")</f>
        <v>0</v>
      </c>
      <c r="DM35" s="138">
        <f>SUMIFS(tbl_task5[S112],tbl_task5[[SubPLOs]:[SubPLOs]],"&gt;=2",tbl_task5[[SubPLOs]:[SubPLOs]],"&lt;3")</f>
        <v>0</v>
      </c>
      <c r="DN35" s="138">
        <f>SUMIFS(tbl_task5[S113],tbl_task5[[SubPLOs]:[SubPLOs]],"&gt;=2",tbl_task5[[SubPLOs]:[SubPLOs]],"&lt;3")</f>
        <v>0</v>
      </c>
      <c r="DO35" s="138">
        <f>SUMIFS(tbl_task5[S114],tbl_task5[[SubPLOs]:[SubPLOs]],"&gt;=2",tbl_task5[[SubPLOs]:[SubPLOs]],"&lt;3")</f>
        <v>0</v>
      </c>
      <c r="DP35" s="138">
        <f>SUMIFS(tbl_task5[S115],tbl_task5[[SubPLOs]:[SubPLOs]],"&gt;=2",tbl_task5[[SubPLOs]:[SubPLOs]],"&lt;3")</f>
        <v>0</v>
      </c>
      <c r="DQ35" s="138">
        <f>SUMIFS(tbl_task5[S116],tbl_task5[[SubPLOs]:[SubPLOs]],"&gt;=2",tbl_task5[[SubPLOs]:[SubPLOs]],"&lt;3")</f>
        <v>0</v>
      </c>
      <c r="DR35" s="138">
        <f>SUMIFS(tbl_task5[S117],tbl_task5[[SubPLOs]:[SubPLOs]],"&gt;=2",tbl_task5[[SubPLOs]:[SubPLOs]],"&lt;3")</f>
        <v>0</v>
      </c>
      <c r="DS35" s="138">
        <f>SUMIFS(tbl_task5[S118],tbl_task5[[SubPLOs]:[SubPLOs]],"&gt;=2",tbl_task5[[SubPLOs]:[SubPLOs]],"&lt;3")</f>
        <v>0</v>
      </c>
      <c r="DT35" s="138">
        <f>SUMIFS(tbl_task5[S119],tbl_task5[[SubPLOs]:[SubPLOs]],"&gt;=2",tbl_task5[[SubPLOs]:[SubPLOs]],"&lt;3")</f>
        <v>0</v>
      </c>
      <c r="DU35" s="138">
        <f>SUMIFS(tbl_task5[S120],tbl_task5[[SubPLOs]:[SubPLOs]],"&gt;=2",tbl_task5[[SubPLOs]:[SubPLOs]],"&lt;3")</f>
        <v>0</v>
      </c>
      <c r="DV35" s="138">
        <f>SUMIFS(tbl_task5[S121],tbl_task5[[SubPLOs]:[SubPLOs]],"&gt;=2",tbl_task5[[SubPLOs]:[SubPLOs]],"&lt;3")</f>
        <v>0</v>
      </c>
      <c r="DW35" s="138">
        <f>SUMIFS(tbl_task5[S122],tbl_task5[[SubPLOs]:[SubPLOs]],"&gt;=2",tbl_task5[[SubPLOs]:[SubPLOs]],"&lt;3")</f>
        <v>0</v>
      </c>
      <c r="DX35" s="138">
        <f>SUMIFS(tbl_task5[S123],tbl_task5[[SubPLOs]:[SubPLOs]],"&gt;=2",tbl_task5[[SubPLOs]:[SubPLOs]],"&lt;3")</f>
        <v>0</v>
      </c>
      <c r="DY35" s="138">
        <f>SUMIFS(tbl_task5[S124],tbl_task5[[SubPLOs]:[SubPLOs]],"&gt;=2",tbl_task5[[SubPLOs]:[SubPLOs]],"&lt;3")</f>
        <v>0</v>
      </c>
      <c r="DZ35" s="138">
        <f>SUMIFS(tbl_task5[S125],tbl_task5[[SubPLOs]:[SubPLOs]],"&gt;=2",tbl_task5[[SubPLOs]:[SubPLOs]],"&lt;3")</f>
        <v>0</v>
      </c>
      <c r="EA35" s="138">
        <f>SUMIFS(tbl_task5[S126],tbl_task5[[SubPLOs]:[SubPLOs]],"&gt;=2",tbl_task5[[SubPLOs]:[SubPLOs]],"&lt;3")</f>
        <v>0</v>
      </c>
      <c r="EB35" s="138">
        <f>SUMIFS(tbl_task5[S127],tbl_task5[[SubPLOs]:[SubPLOs]],"&gt;=2",tbl_task5[[SubPLOs]:[SubPLOs]],"&lt;3")</f>
        <v>0</v>
      </c>
      <c r="EC35" s="138">
        <f>SUMIFS(tbl_task5[S128],tbl_task5[[SubPLOs]:[SubPLOs]],"&gt;=2",tbl_task5[[SubPLOs]:[SubPLOs]],"&lt;3")</f>
        <v>0</v>
      </c>
      <c r="ED35" s="138">
        <f>SUMIFS(tbl_task5[S129],tbl_task5[[SubPLOs]:[SubPLOs]],"&gt;=2",tbl_task5[[SubPLOs]:[SubPLOs]],"&lt;3")</f>
        <v>0</v>
      </c>
      <c r="EE35" s="138">
        <f>SUMIFS(tbl_task5[S130],tbl_task5[[SubPLOs]:[SubPLOs]],"&gt;=2",tbl_task5[[SubPLOs]:[SubPLOs]],"&lt;3")</f>
        <v>0</v>
      </c>
      <c r="EF35" s="138">
        <f>SUMIFS(tbl_task5[S131],tbl_task5[[SubPLOs]:[SubPLOs]],"&gt;=2",tbl_task5[[SubPLOs]:[SubPLOs]],"&lt;3")</f>
        <v>0</v>
      </c>
      <c r="EG35" s="138">
        <f>SUMIFS(tbl_task5[S132],tbl_task5[[SubPLOs]:[SubPLOs]],"&gt;=2",tbl_task5[[SubPLOs]:[SubPLOs]],"&lt;3")</f>
        <v>0</v>
      </c>
      <c r="EH35" s="138">
        <f>SUMIFS(tbl_task5[S133],tbl_task5[[SubPLOs]:[SubPLOs]],"&gt;=2",tbl_task5[[SubPLOs]:[SubPLOs]],"&lt;3")</f>
        <v>0</v>
      </c>
      <c r="EI35" s="138">
        <f>SUMIFS(tbl_task5[S134],tbl_task5[[SubPLOs]:[SubPLOs]],"&gt;=2",tbl_task5[[SubPLOs]:[SubPLOs]],"&lt;3")</f>
        <v>0</v>
      </c>
      <c r="EJ35" s="138">
        <f>SUMIFS(tbl_task5[S135],tbl_task5[[SubPLOs]:[SubPLOs]],"&gt;=2",tbl_task5[[SubPLOs]:[SubPLOs]],"&lt;3")</f>
        <v>0</v>
      </c>
      <c r="EK35" s="138">
        <f>SUMIFS(tbl_task5[S136],tbl_task5[[SubPLOs]:[SubPLOs]],"&gt;=2",tbl_task5[[SubPLOs]:[SubPLOs]],"&lt;3")</f>
        <v>0</v>
      </c>
      <c r="EL35" s="138">
        <f>SUMIFS(tbl_task5[S137],tbl_task5[[SubPLOs]:[SubPLOs]],"&gt;=2",tbl_task5[[SubPLOs]:[SubPLOs]],"&lt;3")</f>
        <v>0</v>
      </c>
      <c r="EM35" s="138">
        <f>SUMIFS(tbl_task5[S138],tbl_task5[[SubPLOs]:[SubPLOs]],"&gt;=2",tbl_task5[[SubPLOs]:[SubPLOs]],"&lt;3")</f>
        <v>0</v>
      </c>
      <c r="EN35" s="138">
        <f>SUMIFS(tbl_task5[S139],tbl_task5[[SubPLOs]:[SubPLOs]],"&gt;=2",tbl_task5[[SubPLOs]:[SubPLOs]],"&lt;3")</f>
        <v>0</v>
      </c>
      <c r="EO35" s="138">
        <f>SUMIFS(tbl_task5[S140],tbl_task5[[SubPLOs]:[SubPLOs]],"&gt;=2",tbl_task5[[SubPLOs]:[SubPLOs]],"&lt;3")</f>
        <v>0</v>
      </c>
      <c r="EP35" s="138">
        <f>SUMIFS(tbl_task5[S141],tbl_task5[[SubPLOs]:[SubPLOs]],"&gt;=2",tbl_task5[[SubPLOs]:[SubPLOs]],"&lt;3")</f>
        <v>0</v>
      </c>
      <c r="EQ35" s="138">
        <f>SUMIFS(tbl_task5[S142],tbl_task5[[SubPLOs]:[SubPLOs]],"&gt;=2",tbl_task5[[SubPLOs]:[SubPLOs]],"&lt;3")</f>
        <v>0</v>
      </c>
      <c r="ER35" s="138">
        <f>SUMIFS(tbl_task5[S143],tbl_task5[[SubPLOs]:[SubPLOs]],"&gt;=2",tbl_task5[[SubPLOs]:[SubPLOs]],"&lt;3")</f>
        <v>0</v>
      </c>
      <c r="ES35" s="138">
        <f>SUMIFS(tbl_task5[S144],tbl_task5[[SubPLOs]:[SubPLOs]],"&gt;=2",tbl_task5[[SubPLOs]:[SubPLOs]],"&lt;3")</f>
        <v>0</v>
      </c>
      <c r="ET35" s="138">
        <f>SUMIFS(tbl_task5[S145],tbl_task5[[SubPLOs]:[SubPLOs]],"&gt;=2",tbl_task5[[SubPLOs]:[SubPLOs]],"&lt;3")</f>
        <v>0</v>
      </c>
      <c r="EU35" s="138">
        <f>SUMIFS(tbl_task5[S146],tbl_task5[[SubPLOs]:[SubPLOs]],"&gt;=2",tbl_task5[[SubPLOs]:[SubPLOs]],"&lt;3")</f>
        <v>0</v>
      </c>
      <c r="EV35" s="138">
        <f>SUMIFS(tbl_task5[S147],tbl_task5[[SubPLOs]:[SubPLOs]],"&gt;=2",tbl_task5[[SubPLOs]:[SubPLOs]],"&lt;3")</f>
        <v>0</v>
      </c>
      <c r="EW35" s="138">
        <f>SUMIFS(tbl_task5[S148],tbl_task5[[SubPLOs]:[SubPLOs]],"&gt;=2",tbl_task5[[SubPLOs]:[SubPLOs]],"&lt;3")</f>
        <v>0</v>
      </c>
      <c r="EX35" s="138">
        <f>SUMIFS(tbl_task5[S149],tbl_task5[[SubPLOs]:[SubPLOs]],"&gt;=2",tbl_task5[[SubPLOs]:[SubPLOs]],"&lt;3")</f>
        <v>0</v>
      </c>
      <c r="EY35" s="138">
        <f>SUMIFS(tbl_task5[S150],tbl_task5[[SubPLOs]:[SubPLOs]],"&gt;=2",tbl_task5[[SubPLOs]:[SubPLOs]],"&lt;3")</f>
        <v>0</v>
      </c>
      <c r="EZ35" s="138">
        <f>SUMIFS(tbl_task5[S151],tbl_task5[[SubPLOs]:[SubPLOs]],"&gt;=2",tbl_task5[[SubPLOs]:[SubPLOs]],"&lt;3")</f>
        <v>0</v>
      </c>
      <c r="FA35" s="138">
        <f>SUMIFS(tbl_task5[S152],tbl_task5[[SubPLOs]:[SubPLOs]],"&gt;=2",tbl_task5[[SubPLOs]:[SubPLOs]],"&lt;3")</f>
        <v>0</v>
      </c>
      <c r="FB35" s="138">
        <f>SUMIFS(tbl_task5[S153],tbl_task5[[SubPLOs]:[SubPLOs]],"&gt;=2",tbl_task5[[SubPLOs]:[SubPLOs]],"&lt;3")</f>
        <v>0</v>
      </c>
      <c r="FC35" s="138">
        <f>SUMIFS(tbl_task5[S154],tbl_task5[[SubPLOs]:[SubPLOs]],"&gt;=2",tbl_task5[[SubPLOs]:[SubPLOs]],"&lt;3")</f>
        <v>0</v>
      </c>
      <c r="FD35" s="138">
        <f>SUMIFS(tbl_task5[S155],tbl_task5[[SubPLOs]:[SubPLOs]],"&gt;=2",tbl_task5[[SubPLOs]:[SubPLOs]],"&lt;3")</f>
        <v>0</v>
      </c>
      <c r="FE35" s="138">
        <f>SUMIFS(tbl_task5[S156],tbl_task5[[SubPLOs]:[SubPLOs]],"&gt;=2",tbl_task5[[SubPLOs]:[SubPLOs]],"&lt;3")</f>
        <v>0</v>
      </c>
      <c r="FF35" s="138">
        <f>SUMIFS(tbl_task5[S157],tbl_task5[[SubPLOs]:[SubPLOs]],"&gt;=2",tbl_task5[[SubPLOs]:[SubPLOs]],"&lt;3")</f>
        <v>0</v>
      </c>
      <c r="FG35" s="138">
        <f>SUMIFS(tbl_task5[S158],tbl_task5[[SubPLOs]:[SubPLOs]],"&gt;=2",tbl_task5[[SubPLOs]:[SubPLOs]],"&lt;3")</f>
        <v>0</v>
      </c>
      <c r="FH35" s="138">
        <f>SUMIFS(tbl_task5[S159],tbl_task5[[SubPLOs]:[SubPLOs]],"&gt;=2",tbl_task5[[SubPLOs]:[SubPLOs]],"&lt;3")</f>
        <v>0</v>
      </c>
      <c r="FI35" s="138">
        <f>SUMIFS(tbl_task5[S160],tbl_task5[[SubPLOs]:[SubPLOs]],"&gt;=2",tbl_task5[[SubPLOs]:[SubPLOs]],"&lt;3")</f>
        <v>0</v>
      </c>
      <c r="FJ35" s="138">
        <f>SUMIFS(tbl_task5[S161],tbl_task5[[SubPLOs]:[SubPLOs]],"&gt;=2",tbl_task5[[SubPLOs]:[SubPLOs]],"&lt;3")</f>
        <v>0</v>
      </c>
      <c r="FK35" s="138">
        <f>SUMIFS(tbl_task5[S162],tbl_task5[[SubPLOs]:[SubPLOs]],"&gt;=2",tbl_task5[[SubPLOs]:[SubPLOs]],"&lt;3")</f>
        <v>0</v>
      </c>
      <c r="FL35" s="138">
        <f>SUMIFS(tbl_task5[S163],tbl_task5[[SubPLOs]:[SubPLOs]],"&gt;=2",tbl_task5[[SubPLOs]:[SubPLOs]],"&lt;3")</f>
        <v>0</v>
      </c>
      <c r="FM35" s="138">
        <f>SUMIFS(tbl_task5[S164],tbl_task5[[SubPLOs]:[SubPLOs]],"&gt;=2",tbl_task5[[SubPLOs]:[SubPLOs]],"&lt;3")</f>
        <v>0</v>
      </c>
      <c r="FN35" s="138">
        <f>SUMIFS(tbl_task5[S165],tbl_task5[[SubPLOs]:[SubPLOs]],"&gt;=2",tbl_task5[[SubPLOs]:[SubPLOs]],"&lt;3")</f>
        <v>0</v>
      </c>
    </row>
    <row r="36" spans="1:170" ht="63" x14ac:dyDescent="0.25">
      <c r="A36" s="135">
        <v>3</v>
      </c>
      <c r="B36" s="5" t="s">
        <v>436</v>
      </c>
      <c r="C36" s="136">
        <f>COUNTIFS(tbl_task5[SubPLOs],"&gt;=3",tbl_task5[SubPLOs],"&lt;4")</f>
        <v>0</v>
      </c>
      <c r="D36" s="136">
        <f>SUMIFS(tbl_task5[คะแนนเต็ม],tbl_task5[SubPLOs],"&gt;=3",tbl_task5[SubPLOs],"&lt;4")</f>
        <v>0</v>
      </c>
      <c r="E36" s="137">
        <f>SUMIFS(tbl_task5[%],tbl_task5[SubPLOs],"&gt;=3",tbl_task5[SubPLOs],"&lt;4")</f>
        <v>0</v>
      </c>
      <c r="F36" s="138">
        <f>SUMIFS(tbl_task5[S1],tbl_task5[[SubPLOs]:[SubPLOs]],"&gt;=3",tbl_task5[[SubPLOs]:[SubPLOs]],"&lt;4")</f>
        <v>0</v>
      </c>
      <c r="G36" s="138">
        <f>SUMIFS(tbl_task5[S2],tbl_task5[[SubPLOs]:[SubPLOs]],"&gt;=3",tbl_task5[[SubPLOs]:[SubPLOs]],"&lt;4")</f>
        <v>0</v>
      </c>
      <c r="H36" s="138">
        <f>SUMIFS(tbl_task5[S3],tbl_task5[[SubPLOs]:[SubPLOs]],"&gt;=3",tbl_task5[[SubPLOs]:[SubPLOs]],"&lt;4")</f>
        <v>0</v>
      </c>
      <c r="I36" s="138">
        <f>SUMIFS(tbl_task5[S4],tbl_task5[[SubPLOs]:[SubPLOs]],"&gt;=3",tbl_task5[[SubPLOs]:[SubPLOs]],"&lt;4")</f>
        <v>0</v>
      </c>
      <c r="J36" s="138">
        <f>SUMIFS(tbl_task5[S5],tbl_task5[[SubPLOs]:[SubPLOs]],"&gt;=3",tbl_task5[[SubPLOs]:[SubPLOs]],"&lt;4")</f>
        <v>0</v>
      </c>
      <c r="K36" s="138">
        <f>SUMIFS(tbl_task5[S6],tbl_task5[[SubPLOs]:[SubPLOs]],"&gt;=3",tbl_task5[[SubPLOs]:[SubPLOs]],"&lt;4")</f>
        <v>0</v>
      </c>
      <c r="L36" s="138">
        <f>SUMIFS(tbl_task5[S7],tbl_task5[[SubPLOs]:[SubPLOs]],"&gt;=3",tbl_task5[[SubPLOs]:[SubPLOs]],"&lt;4")</f>
        <v>0</v>
      </c>
      <c r="M36" s="138">
        <f>SUMIFS(tbl_task5[S8],tbl_task5[[SubPLOs]:[SubPLOs]],"&gt;=3",tbl_task5[[SubPLOs]:[SubPLOs]],"&lt;4")</f>
        <v>0</v>
      </c>
      <c r="N36" s="138">
        <f>SUMIFS(tbl_task5[S9],tbl_task5[[SubPLOs]:[SubPLOs]],"&gt;=3",tbl_task5[[SubPLOs]:[SubPLOs]],"&lt;4")</f>
        <v>0</v>
      </c>
      <c r="O36" s="138">
        <f>SUMIFS(tbl_task5[S10],tbl_task5[[SubPLOs]:[SubPLOs]],"&gt;=3",tbl_task5[[SubPLOs]:[SubPLOs]],"&lt;4")</f>
        <v>0</v>
      </c>
      <c r="P36" s="138">
        <f>SUMIFS(tbl_task5[S11],tbl_task5[[SubPLOs]:[SubPLOs]],"&gt;=3",tbl_task5[[SubPLOs]:[SubPLOs]],"&lt;4")</f>
        <v>0</v>
      </c>
      <c r="Q36" s="138">
        <f>SUMIFS(tbl_task5[S12],tbl_task5[[SubPLOs]:[SubPLOs]],"&gt;=3",tbl_task5[[SubPLOs]:[SubPLOs]],"&lt;4")</f>
        <v>0</v>
      </c>
      <c r="R36" s="138">
        <f>SUMIFS(tbl_task5[S13],tbl_task5[[SubPLOs]:[SubPLOs]],"&gt;=3",tbl_task5[[SubPLOs]:[SubPLOs]],"&lt;4")</f>
        <v>0</v>
      </c>
      <c r="S36" s="138">
        <f>SUMIFS(tbl_task5[S14],tbl_task5[[SubPLOs]:[SubPLOs]],"&gt;=3",tbl_task5[[SubPLOs]:[SubPLOs]],"&lt;4")</f>
        <v>0</v>
      </c>
      <c r="T36" s="138">
        <f>SUMIFS(tbl_task5[S15],tbl_task5[[SubPLOs]:[SubPLOs]],"&gt;=3",tbl_task5[[SubPLOs]:[SubPLOs]],"&lt;4")</f>
        <v>0</v>
      </c>
      <c r="U36" s="138">
        <f>SUMIFS(tbl_task5[S16],tbl_task5[[SubPLOs]:[SubPLOs]],"&gt;=3",tbl_task5[[SubPLOs]:[SubPLOs]],"&lt;4")</f>
        <v>0</v>
      </c>
      <c r="V36" s="138">
        <f>SUMIFS(tbl_task5[S17],tbl_task5[[SubPLOs]:[SubPLOs]],"&gt;=3",tbl_task5[[SubPLOs]:[SubPLOs]],"&lt;4")</f>
        <v>0</v>
      </c>
      <c r="W36" s="138">
        <f>SUMIFS(tbl_task5[S18],tbl_task5[[SubPLOs]:[SubPLOs]],"&gt;=3",tbl_task5[[SubPLOs]:[SubPLOs]],"&lt;4")</f>
        <v>0</v>
      </c>
      <c r="X36" s="138">
        <f>SUMIFS(tbl_task5[S19],tbl_task5[[SubPLOs]:[SubPLOs]],"&gt;=3",tbl_task5[[SubPLOs]:[SubPLOs]],"&lt;4")</f>
        <v>0</v>
      </c>
      <c r="Y36" s="138">
        <f>SUMIFS(tbl_task5[S20],tbl_task5[[SubPLOs]:[SubPLOs]],"&gt;=3",tbl_task5[[SubPLOs]:[SubPLOs]],"&lt;4")</f>
        <v>0</v>
      </c>
      <c r="Z36" s="138">
        <f>SUMIFS(tbl_task5[S21],tbl_task5[[SubPLOs]:[SubPLOs]],"&gt;=3",tbl_task5[[SubPLOs]:[SubPLOs]],"&lt;4")</f>
        <v>0</v>
      </c>
      <c r="AA36" s="138">
        <f>SUMIFS(tbl_task5[S22],tbl_task5[[SubPLOs]:[SubPLOs]],"&gt;=3",tbl_task5[[SubPLOs]:[SubPLOs]],"&lt;4")</f>
        <v>0</v>
      </c>
      <c r="AB36" s="138">
        <f>SUMIFS(tbl_task5[S23],tbl_task5[[SubPLOs]:[SubPLOs]],"&gt;=3",tbl_task5[[SubPLOs]:[SubPLOs]],"&lt;4")</f>
        <v>0</v>
      </c>
      <c r="AC36" s="138">
        <f>SUMIFS(tbl_task5[S24],tbl_task5[[SubPLOs]:[SubPLOs]],"&gt;=3",tbl_task5[[SubPLOs]:[SubPLOs]],"&lt;4")</f>
        <v>0</v>
      </c>
      <c r="AD36" s="138">
        <f>SUMIFS(tbl_task5[S25],tbl_task5[[SubPLOs]:[SubPLOs]],"&gt;=3",tbl_task5[[SubPLOs]:[SubPLOs]],"&lt;4")</f>
        <v>0</v>
      </c>
      <c r="AE36" s="138">
        <f>SUMIFS(tbl_task5[S26],tbl_task5[[SubPLOs]:[SubPLOs]],"&gt;=3",tbl_task5[[SubPLOs]:[SubPLOs]],"&lt;4")</f>
        <v>0</v>
      </c>
      <c r="AF36" s="138">
        <f>SUMIFS(tbl_task5[S27],tbl_task5[[SubPLOs]:[SubPLOs]],"&gt;=3",tbl_task5[[SubPLOs]:[SubPLOs]],"&lt;4")</f>
        <v>0</v>
      </c>
      <c r="AG36" s="138">
        <f>SUMIFS(tbl_task5[S28],tbl_task5[[SubPLOs]:[SubPLOs]],"&gt;=3",tbl_task5[[SubPLOs]:[SubPLOs]],"&lt;4")</f>
        <v>0</v>
      </c>
      <c r="AH36" s="138">
        <f>SUMIFS(tbl_task5[S29],tbl_task5[[SubPLOs]:[SubPLOs]],"&gt;=3",tbl_task5[[SubPLOs]:[SubPLOs]],"&lt;4")</f>
        <v>0</v>
      </c>
      <c r="AI36" s="138">
        <f>SUMIFS(tbl_task5[S30],tbl_task5[[SubPLOs]:[SubPLOs]],"&gt;=3",tbl_task5[[SubPLOs]:[SubPLOs]],"&lt;4")</f>
        <v>0</v>
      </c>
      <c r="AJ36" s="138">
        <f>SUMIFS(tbl_task5[S31],tbl_task5[[SubPLOs]:[SubPLOs]],"&gt;=3",tbl_task5[[SubPLOs]:[SubPLOs]],"&lt;4")</f>
        <v>0</v>
      </c>
      <c r="AK36" s="138">
        <f>SUMIFS(tbl_task5[S32],tbl_task5[[SubPLOs]:[SubPLOs]],"&gt;=3",tbl_task5[[SubPLOs]:[SubPLOs]],"&lt;4")</f>
        <v>0</v>
      </c>
      <c r="AL36" s="138">
        <f>SUMIFS(tbl_task5[S33],tbl_task5[[SubPLOs]:[SubPLOs]],"&gt;=3",tbl_task5[[SubPLOs]:[SubPLOs]],"&lt;4")</f>
        <v>0</v>
      </c>
      <c r="AM36" s="138">
        <f>SUMIFS(tbl_task5[S34],tbl_task5[[SubPLOs]:[SubPLOs]],"&gt;=3",tbl_task5[[SubPLOs]:[SubPLOs]],"&lt;4")</f>
        <v>0</v>
      </c>
      <c r="AN36" s="138">
        <f>SUMIFS(tbl_task5[S35],tbl_task5[[SubPLOs]:[SubPLOs]],"&gt;=3",tbl_task5[[SubPLOs]:[SubPLOs]],"&lt;4")</f>
        <v>0</v>
      </c>
      <c r="AO36" s="138">
        <f>SUMIFS(tbl_task5[S36],tbl_task5[[SubPLOs]:[SubPLOs]],"&gt;=3",tbl_task5[[SubPLOs]:[SubPLOs]],"&lt;4")</f>
        <v>0</v>
      </c>
      <c r="AP36" s="138">
        <f>SUMIFS(tbl_task5[S37],tbl_task5[[SubPLOs]:[SubPLOs]],"&gt;=3",tbl_task5[[SubPLOs]:[SubPLOs]],"&lt;4")</f>
        <v>0</v>
      </c>
      <c r="AQ36" s="138">
        <f>SUMIFS(tbl_task5[S38],tbl_task5[[SubPLOs]:[SubPLOs]],"&gt;=3",tbl_task5[[SubPLOs]:[SubPLOs]],"&lt;4")</f>
        <v>0</v>
      </c>
      <c r="AR36" s="138">
        <f>SUMIFS(tbl_task5[S39],tbl_task5[[SubPLOs]:[SubPLOs]],"&gt;=3",tbl_task5[[SubPLOs]:[SubPLOs]],"&lt;4")</f>
        <v>0</v>
      </c>
      <c r="AS36" s="138">
        <f>SUMIFS(tbl_task5[S40],tbl_task5[[SubPLOs]:[SubPLOs]],"&gt;=3",tbl_task5[[SubPLOs]:[SubPLOs]],"&lt;4")</f>
        <v>0</v>
      </c>
      <c r="AT36" s="138">
        <f>SUMIFS(tbl_task5[S41],tbl_task5[[SubPLOs]:[SubPLOs]],"&gt;=3",tbl_task5[[SubPLOs]:[SubPLOs]],"&lt;4")</f>
        <v>0</v>
      </c>
      <c r="AU36" s="138">
        <f>SUMIFS(tbl_task5[S42],tbl_task5[[SubPLOs]:[SubPLOs]],"&gt;=3",tbl_task5[[SubPLOs]:[SubPLOs]],"&lt;4")</f>
        <v>0</v>
      </c>
      <c r="AV36" s="138">
        <f>SUMIFS(tbl_task5[S43],tbl_task5[[SubPLOs]:[SubPLOs]],"&gt;=3",tbl_task5[[SubPLOs]:[SubPLOs]],"&lt;4")</f>
        <v>0</v>
      </c>
      <c r="AW36" s="138">
        <f>SUMIFS(tbl_task5[S44],tbl_task5[[SubPLOs]:[SubPLOs]],"&gt;=3",tbl_task5[[SubPLOs]:[SubPLOs]],"&lt;4")</f>
        <v>0</v>
      </c>
      <c r="AX36" s="138">
        <f>SUMIFS(tbl_task5[S45],tbl_task5[[SubPLOs]:[SubPLOs]],"&gt;=3",tbl_task5[[SubPLOs]:[SubPLOs]],"&lt;4")</f>
        <v>0</v>
      </c>
      <c r="AY36" s="138">
        <f>SUMIFS(tbl_task5[S46],tbl_task5[[SubPLOs]:[SubPLOs]],"&gt;=3",tbl_task5[[SubPLOs]:[SubPLOs]],"&lt;4")</f>
        <v>0</v>
      </c>
      <c r="AZ36" s="138">
        <f>SUMIFS(tbl_task5[S47],tbl_task5[[SubPLOs]:[SubPLOs]],"&gt;=3",tbl_task5[[SubPLOs]:[SubPLOs]],"&lt;4")</f>
        <v>0</v>
      </c>
      <c r="BA36" s="138">
        <f>SUMIFS(tbl_task5[S48],tbl_task5[[SubPLOs]:[SubPLOs]],"&gt;=3",tbl_task5[[SubPLOs]:[SubPLOs]],"&lt;4")</f>
        <v>0</v>
      </c>
      <c r="BB36" s="138">
        <f>SUMIFS(tbl_task5[S49],tbl_task5[[SubPLOs]:[SubPLOs]],"&gt;=3",tbl_task5[[SubPLOs]:[SubPLOs]],"&lt;4")</f>
        <v>0</v>
      </c>
      <c r="BC36" s="138">
        <f>SUMIFS(tbl_task5[S50],tbl_task5[[SubPLOs]:[SubPLOs]],"&gt;=3",tbl_task5[[SubPLOs]:[SubPLOs]],"&lt;4")</f>
        <v>0</v>
      </c>
      <c r="BD36" s="138">
        <f>SUMIFS(tbl_task5[S51],tbl_task5[[SubPLOs]:[SubPLOs]],"&gt;=3",tbl_task5[[SubPLOs]:[SubPLOs]],"&lt;4")</f>
        <v>0</v>
      </c>
      <c r="BE36" s="138">
        <f>SUMIFS(tbl_task5[S52],tbl_task5[[SubPLOs]:[SubPLOs]],"&gt;=3",tbl_task5[[SubPLOs]:[SubPLOs]],"&lt;4")</f>
        <v>0</v>
      </c>
      <c r="BF36" s="138">
        <f>SUMIFS(tbl_task5[S53],tbl_task5[[SubPLOs]:[SubPLOs]],"&gt;=3",tbl_task5[[SubPLOs]:[SubPLOs]],"&lt;4")</f>
        <v>0</v>
      </c>
      <c r="BG36" s="138">
        <f>SUMIFS(tbl_task5[S54],tbl_task5[[SubPLOs]:[SubPLOs]],"&gt;=3",tbl_task5[[SubPLOs]:[SubPLOs]],"&lt;4")</f>
        <v>0</v>
      </c>
      <c r="BH36" s="138">
        <f>SUMIFS(tbl_task5[S55],tbl_task5[[SubPLOs]:[SubPLOs]],"&gt;=3",tbl_task5[[SubPLOs]:[SubPLOs]],"&lt;4")</f>
        <v>0</v>
      </c>
      <c r="BI36" s="138">
        <f>SUMIFS(tbl_task5[S56],tbl_task5[[SubPLOs]:[SubPLOs]],"&gt;=3",tbl_task5[[SubPLOs]:[SubPLOs]],"&lt;4")</f>
        <v>0</v>
      </c>
      <c r="BJ36" s="138">
        <f>SUMIFS(tbl_task5[S57],tbl_task5[[SubPLOs]:[SubPLOs]],"&gt;=3",tbl_task5[[SubPLOs]:[SubPLOs]],"&lt;4")</f>
        <v>0</v>
      </c>
      <c r="BK36" s="138">
        <f>SUMIFS(tbl_task5[S58],tbl_task5[[SubPLOs]:[SubPLOs]],"&gt;=3",tbl_task5[[SubPLOs]:[SubPLOs]],"&lt;4")</f>
        <v>0</v>
      </c>
      <c r="BL36" s="138">
        <f>SUMIFS(tbl_task5[S59],tbl_task5[[SubPLOs]:[SubPLOs]],"&gt;=3",tbl_task5[[SubPLOs]:[SubPLOs]],"&lt;4")</f>
        <v>0</v>
      </c>
      <c r="BM36" s="138">
        <f>SUMIFS(tbl_task5[S60],tbl_task5[[SubPLOs]:[SubPLOs]],"&gt;=3",tbl_task5[[SubPLOs]:[SubPLOs]],"&lt;4")</f>
        <v>0</v>
      </c>
      <c r="BN36" s="138">
        <f>SUMIFS(tbl_task5[S61],tbl_task5[[SubPLOs]:[SubPLOs]],"&gt;=3",tbl_task5[[SubPLOs]:[SubPLOs]],"&lt;4")</f>
        <v>0</v>
      </c>
      <c r="BO36" s="138">
        <f>SUMIFS(tbl_task5[S62],tbl_task5[[SubPLOs]:[SubPLOs]],"&gt;=3",tbl_task5[[SubPLOs]:[SubPLOs]],"&lt;4")</f>
        <v>0</v>
      </c>
      <c r="BP36" s="138">
        <f>SUMIFS(tbl_task5[S63],tbl_task5[[SubPLOs]:[SubPLOs]],"&gt;=3",tbl_task5[[SubPLOs]:[SubPLOs]],"&lt;4")</f>
        <v>0</v>
      </c>
      <c r="BQ36" s="138">
        <f>SUMIFS(tbl_task5[S64],tbl_task5[[SubPLOs]:[SubPLOs]],"&gt;=3",tbl_task5[[SubPLOs]:[SubPLOs]],"&lt;4")</f>
        <v>0</v>
      </c>
      <c r="BR36" s="138">
        <f>SUMIFS(tbl_task5[S65],tbl_task5[[SubPLOs]:[SubPLOs]],"&gt;=3",tbl_task5[[SubPLOs]:[SubPLOs]],"&lt;4")</f>
        <v>0</v>
      </c>
      <c r="BS36" s="138">
        <f>SUMIFS(tbl_task5[S66],tbl_task5[[SubPLOs]:[SubPLOs]],"&gt;=3",tbl_task5[[SubPLOs]:[SubPLOs]],"&lt;4")</f>
        <v>0</v>
      </c>
      <c r="BT36" s="138">
        <f>SUMIFS(tbl_task5[S67],tbl_task5[[SubPLOs]:[SubPLOs]],"&gt;=3",tbl_task5[[SubPLOs]:[SubPLOs]],"&lt;4")</f>
        <v>0</v>
      </c>
      <c r="BU36" s="138">
        <f>SUMIFS(tbl_task5[S68],tbl_task5[[SubPLOs]:[SubPLOs]],"&gt;=3",tbl_task5[[SubPLOs]:[SubPLOs]],"&lt;4")</f>
        <v>0</v>
      </c>
      <c r="BV36" s="138">
        <f>SUMIFS(tbl_task5[S69],tbl_task5[[SubPLOs]:[SubPLOs]],"&gt;=3",tbl_task5[[SubPLOs]:[SubPLOs]],"&lt;4")</f>
        <v>0</v>
      </c>
      <c r="BW36" s="138">
        <f>SUMIFS(tbl_task5[S70],tbl_task5[[SubPLOs]:[SubPLOs]],"&gt;=3",tbl_task5[[SubPLOs]:[SubPLOs]],"&lt;4")</f>
        <v>0</v>
      </c>
      <c r="BX36" s="138">
        <f>SUMIFS(tbl_task5[S71],tbl_task5[[SubPLOs]:[SubPLOs]],"&gt;=3",tbl_task5[[SubPLOs]:[SubPLOs]],"&lt;4")</f>
        <v>0</v>
      </c>
      <c r="BY36" s="138">
        <f>SUMIFS(tbl_task5[S72],tbl_task5[[SubPLOs]:[SubPLOs]],"&gt;=3",tbl_task5[[SubPLOs]:[SubPLOs]],"&lt;4")</f>
        <v>0</v>
      </c>
      <c r="BZ36" s="138">
        <f>SUMIFS(tbl_task5[S73],tbl_task5[[SubPLOs]:[SubPLOs]],"&gt;=3",tbl_task5[[SubPLOs]:[SubPLOs]],"&lt;4")</f>
        <v>0</v>
      </c>
      <c r="CA36" s="138">
        <f>SUMIFS(tbl_task5[S74],tbl_task5[[SubPLOs]:[SubPLOs]],"&gt;=3",tbl_task5[[SubPLOs]:[SubPLOs]],"&lt;4")</f>
        <v>0</v>
      </c>
      <c r="CB36" s="138">
        <f>SUMIFS(tbl_task5[S75],tbl_task5[[SubPLOs]:[SubPLOs]],"&gt;=3",tbl_task5[[SubPLOs]:[SubPLOs]],"&lt;4")</f>
        <v>0</v>
      </c>
      <c r="CC36" s="138">
        <f>SUMIFS(tbl_task5[S76],tbl_task5[[SubPLOs]:[SubPLOs]],"&gt;=3",tbl_task5[[SubPLOs]:[SubPLOs]],"&lt;4")</f>
        <v>0</v>
      </c>
      <c r="CD36" s="138">
        <f>SUMIFS(tbl_task5[S77],tbl_task5[[SubPLOs]:[SubPLOs]],"&gt;=3",tbl_task5[[SubPLOs]:[SubPLOs]],"&lt;4")</f>
        <v>0</v>
      </c>
      <c r="CE36" s="138">
        <f>SUMIFS(tbl_task5[S78],tbl_task5[[SubPLOs]:[SubPLOs]],"&gt;=3",tbl_task5[[SubPLOs]:[SubPLOs]],"&lt;4")</f>
        <v>0</v>
      </c>
      <c r="CF36" s="138">
        <f>SUMIFS(tbl_task5[S79],tbl_task5[[SubPLOs]:[SubPLOs]],"&gt;=3",tbl_task5[[SubPLOs]:[SubPLOs]],"&lt;4")</f>
        <v>0</v>
      </c>
      <c r="CG36" s="138">
        <f>SUMIFS(tbl_task5[S80],tbl_task5[[SubPLOs]:[SubPLOs]],"&gt;=3",tbl_task5[[SubPLOs]:[SubPLOs]],"&lt;4")</f>
        <v>0</v>
      </c>
      <c r="CH36" s="138">
        <f>SUMIFS(tbl_task5[S81],tbl_task5[[SubPLOs]:[SubPLOs]],"&gt;=3",tbl_task5[[SubPLOs]:[SubPLOs]],"&lt;4")</f>
        <v>0</v>
      </c>
      <c r="CI36" s="138">
        <f>SUMIFS(tbl_task5[S82],tbl_task5[[SubPLOs]:[SubPLOs]],"&gt;=3",tbl_task5[[SubPLOs]:[SubPLOs]],"&lt;4")</f>
        <v>0</v>
      </c>
      <c r="CJ36" s="138">
        <f>SUMIFS(tbl_task5[S83],tbl_task5[[SubPLOs]:[SubPLOs]],"&gt;=3",tbl_task5[[SubPLOs]:[SubPLOs]],"&lt;4")</f>
        <v>0</v>
      </c>
      <c r="CK36" s="138">
        <f>SUMIFS(tbl_task5[S84],tbl_task5[[SubPLOs]:[SubPLOs]],"&gt;=3",tbl_task5[[SubPLOs]:[SubPLOs]],"&lt;4")</f>
        <v>0</v>
      </c>
      <c r="CL36" s="138">
        <f>SUMIFS(tbl_task5[S85],tbl_task5[[SubPLOs]:[SubPLOs]],"&gt;=3",tbl_task5[[SubPLOs]:[SubPLOs]],"&lt;4")</f>
        <v>0</v>
      </c>
      <c r="CM36" s="138">
        <f>SUMIFS(tbl_task5[S86],tbl_task5[[SubPLOs]:[SubPLOs]],"&gt;=3",tbl_task5[[SubPLOs]:[SubPLOs]],"&lt;4")</f>
        <v>0</v>
      </c>
      <c r="CN36" s="138">
        <f>SUMIFS(tbl_task5[S87],tbl_task5[[SubPLOs]:[SubPLOs]],"&gt;=3",tbl_task5[[SubPLOs]:[SubPLOs]],"&lt;4")</f>
        <v>0</v>
      </c>
      <c r="CO36" s="138">
        <f>SUMIFS(tbl_task5[S88],tbl_task5[[SubPLOs]:[SubPLOs]],"&gt;=3",tbl_task5[[SubPLOs]:[SubPLOs]],"&lt;4")</f>
        <v>0</v>
      </c>
      <c r="CP36" s="138">
        <f>SUMIFS(tbl_task5[S89],tbl_task5[[SubPLOs]:[SubPLOs]],"&gt;=3",tbl_task5[[SubPLOs]:[SubPLOs]],"&lt;4")</f>
        <v>0</v>
      </c>
      <c r="CQ36" s="138">
        <f>SUMIFS(tbl_task5[S90],tbl_task5[[SubPLOs]:[SubPLOs]],"&gt;=3",tbl_task5[[SubPLOs]:[SubPLOs]],"&lt;4")</f>
        <v>0</v>
      </c>
      <c r="CR36" s="138">
        <f>SUMIFS(tbl_task5[S91],tbl_task5[[SubPLOs]:[SubPLOs]],"&gt;=3",tbl_task5[[SubPLOs]:[SubPLOs]],"&lt;4")</f>
        <v>0</v>
      </c>
      <c r="CS36" s="138">
        <f>SUMIFS(tbl_task5[S92],tbl_task5[[SubPLOs]:[SubPLOs]],"&gt;=3",tbl_task5[[SubPLOs]:[SubPLOs]],"&lt;4")</f>
        <v>0</v>
      </c>
      <c r="CT36" s="138">
        <f>SUMIFS(tbl_task5[S93],tbl_task5[[SubPLOs]:[SubPLOs]],"&gt;=3",tbl_task5[[SubPLOs]:[SubPLOs]],"&lt;4")</f>
        <v>0</v>
      </c>
      <c r="CU36" s="138">
        <f>SUMIFS(tbl_task5[S94],tbl_task5[[SubPLOs]:[SubPLOs]],"&gt;=3",tbl_task5[[SubPLOs]:[SubPLOs]],"&lt;4")</f>
        <v>0</v>
      </c>
      <c r="CV36" s="138">
        <f>SUMIFS(tbl_task5[S95],tbl_task5[[SubPLOs]:[SubPLOs]],"&gt;=3",tbl_task5[[SubPLOs]:[SubPLOs]],"&lt;4")</f>
        <v>0</v>
      </c>
      <c r="CW36" s="138">
        <f>SUMIFS(tbl_task5[S96],tbl_task5[[SubPLOs]:[SubPLOs]],"&gt;=3",tbl_task5[[SubPLOs]:[SubPLOs]],"&lt;4")</f>
        <v>0</v>
      </c>
      <c r="CX36" s="138">
        <f>SUMIFS(tbl_task5[S97],tbl_task5[[SubPLOs]:[SubPLOs]],"&gt;=3",tbl_task5[[SubPLOs]:[SubPLOs]],"&lt;4")</f>
        <v>0</v>
      </c>
      <c r="CY36" s="138">
        <f>SUMIFS(tbl_task5[S98],tbl_task5[[SubPLOs]:[SubPLOs]],"&gt;=3",tbl_task5[[SubPLOs]:[SubPLOs]],"&lt;4")</f>
        <v>0</v>
      </c>
      <c r="CZ36" s="138">
        <f>SUMIFS(tbl_task5[S99],tbl_task5[[SubPLOs]:[SubPLOs]],"&gt;=3",tbl_task5[[SubPLOs]:[SubPLOs]],"&lt;4")</f>
        <v>0</v>
      </c>
      <c r="DA36" s="138">
        <f>SUMIFS(tbl_task5[S100],tbl_task5[[SubPLOs]:[SubPLOs]],"&gt;=3",tbl_task5[[SubPLOs]:[SubPLOs]],"&lt;4")</f>
        <v>0</v>
      </c>
      <c r="DB36" s="138">
        <f>SUMIFS(tbl_task5[S101],tbl_task5[[SubPLOs]:[SubPLOs]],"&gt;=3",tbl_task5[[SubPLOs]:[SubPLOs]],"&lt;4")</f>
        <v>0</v>
      </c>
      <c r="DC36" s="138">
        <f>SUMIFS(tbl_task5[S102],tbl_task5[[SubPLOs]:[SubPLOs]],"&gt;=3",tbl_task5[[SubPLOs]:[SubPLOs]],"&lt;4")</f>
        <v>0</v>
      </c>
      <c r="DD36" s="138">
        <f>SUMIFS(tbl_task5[S103],tbl_task5[[SubPLOs]:[SubPLOs]],"&gt;=3",tbl_task5[[SubPLOs]:[SubPLOs]],"&lt;4")</f>
        <v>0</v>
      </c>
      <c r="DE36" s="138">
        <f>SUMIFS(tbl_task5[S104],tbl_task5[[SubPLOs]:[SubPLOs]],"&gt;=3",tbl_task5[[SubPLOs]:[SubPLOs]],"&lt;4")</f>
        <v>0</v>
      </c>
      <c r="DF36" s="138">
        <f>SUMIFS(tbl_task5[S105],tbl_task5[[SubPLOs]:[SubPLOs]],"&gt;=3",tbl_task5[[SubPLOs]:[SubPLOs]],"&lt;4")</f>
        <v>0</v>
      </c>
      <c r="DG36" s="138">
        <f>SUMIFS(tbl_task5[S106],tbl_task5[[SubPLOs]:[SubPLOs]],"&gt;=3",tbl_task5[[SubPLOs]:[SubPLOs]],"&lt;4")</f>
        <v>0</v>
      </c>
      <c r="DH36" s="138">
        <f>SUMIFS(tbl_task5[S106],tbl_task5[[SubPLOs]:[SubPLOs]],"&gt;=3",tbl_task5[[SubPLOs]:[SubPLOs]],"&lt;4")</f>
        <v>0</v>
      </c>
      <c r="DI36" s="138">
        <f>SUMIFS(tbl_task5[S108],tbl_task5[[SubPLOs]:[SubPLOs]],"&gt;=3",tbl_task5[[SubPLOs]:[SubPLOs]],"&lt;4")</f>
        <v>0</v>
      </c>
      <c r="DJ36" s="138">
        <f>SUMIFS(tbl_task5[S109],tbl_task5[[SubPLOs]:[SubPLOs]],"&gt;=3",tbl_task5[[SubPLOs]:[SubPLOs]],"&lt;4")</f>
        <v>0</v>
      </c>
      <c r="DK36" s="138">
        <f>SUMIFS(tbl_task5[S110],tbl_task5[[SubPLOs]:[SubPLOs]],"&gt;=3",tbl_task5[[SubPLOs]:[SubPLOs]],"&lt;4")</f>
        <v>0</v>
      </c>
      <c r="DL36" s="138">
        <f>SUMIFS(tbl_task5[S111],tbl_task5[[SubPLOs]:[SubPLOs]],"&gt;=3",tbl_task5[[SubPLOs]:[SubPLOs]],"&lt;4")</f>
        <v>0</v>
      </c>
      <c r="DM36" s="138">
        <f>SUMIFS(tbl_task5[S112],tbl_task5[[SubPLOs]:[SubPLOs]],"&gt;=3",tbl_task5[[SubPLOs]:[SubPLOs]],"&lt;4")</f>
        <v>0</v>
      </c>
      <c r="DN36" s="138">
        <f>SUMIFS(tbl_task5[S113],tbl_task5[[SubPLOs]:[SubPLOs]],"&gt;=3",tbl_task5[[SubPLOs]:[SubPLOs]],"&lt;4")</f>
        <v>0</v>
      </c>
      <c r="DO36" s="138">
        <f>SUMIFS(tbl_task5[S114],tbl_task5[[SubPLOs]:[SubPLOs]],"&gt;=3",tbl_task5[[SubPLOs]:[SubPLOs]],"&lt;4")</f>
        <v>0</v>
      </c>
      <c r="DP36" s="138">
        <f>SUMIFS(tbl_task5[S115],tbl_task5[[SubPLOs]:[SubPLOs]],"&gt;=3",tbl_task5[[SubPLOs]:[SubPLOs]],"&lt;4")</f>
        <v>0</v>
      </c>
      <c r="DQ36" s="138">
        <f>SUMIFS(tbl_task5[S116],tbl_task5[[SubPLOs]:[SubPLOs]],"&gt;=3",tbl_task5[[SubPLOs]:[SubPLOs]],"&lt;4")</f>
        <v>0</v>
      </c>
      <c r="DR36" s="138">
        <f>SUMIFS(tbl_task5[S117],tbl_task5[[SubPLOs]:[SubPLOs]],"&gt;=3",tbl_task5[[SubPLOs]:[SubPLOs]],"&lt;4")</f>
        <v>0</v>
      </c>
      <c r="DS36" s="138">
        <f>SUMIFS(tbl_task5[S118],tbl_task5[[SubPLOs]:[SubPLOs]],"&gt;=3",tbl_task5[[SubPLOs]:[SubPLOs]],"&lt;4")</f>
        <v>0</v>
      </c>
      <c r="DT36" s="138">
        <f>SUMIFS(tbl_task5[S119],tbl_task5[[SubPLOs]:[SubPLOs]],"&gt;=3",tbl_task5[[SubPLOs]:[SubPLOs]],"&lt;4")</f>
        <v>0</v>
      </c>
      <c r="DU36" s="138">
        <f>SUMIFS(tbl_task5[S120],tbl_task5[[SubPLOs]:[SubPLOs]],"&gt;=3",tbl_task5[[SubPLOs]:[SubPLOs]],"&lt;4")</f>
        <v>0</v>
      </c>
      <c r="DV36" s="138">
        <f>SUMIFS(tbl_task5[S121],tbl_task5[[SubPLOs]:[SubPLOs]],"&gt;=3",tbl_task5[[SubPLOs]:[SubPLOs]],"&lt;4")</f>
        <v>0</v>
      </c>
      <c r="DW36" s="138">
        <f>SUMIFS(tbl_task5[S122],tbl_task5[[SubPLOs]:[SubPLOs]],"&gt;=3",tbl_task5[[SubPLOs]:[SubPLOs]],"&lt;4")</f>
        <v>0</v>
      </c>
      <c r="DX36" s="138">
        <f>SUMIFS(tbl_task5[S123],tbl_task5[[SubPLOs]:[SubPLOs]],"&gt;=3",tbl_task5[[SubPLOs]:[SubPLOs]],"&lt;4")</f>
        <v>0</v>
      </c>
      <c r="DY36" s="138">
        <f>SUMIFS(tbl_task5[S124],tbl_task5[[SubPLOs]:[SubPLOs]],"&gt;=3",tbl_task5[[SubPLOs]:[SubPLOs]],"&lt;4")</f>
        <v>0</v>
      </c>
      <c r="DZ36" s="138">
        <f>SUMIFS(tbl_task5[S125],tbl_task5[[SubPLOs]:[SubPLOs]],"&gt;=3",tbl_task5[[SubPLOs]:[SubPLOs]],"&lt;4")</f>
        <v>0</v>
      </c>
      <c r="EA36" s="138">
        <f>SUMIFS(tbl_task5[S126],tbl_task5[[SubPLOs]:[SubPLOs]],"&gt;=3",tbl_task5[[SubPLOs]:[SubPLOs]],"&lt;4")</f>
        <v>0</v>
      </c>
      <c r="EB36" s="138">
        <f>SUMIFS(tbl_task5[S127],tbl_task5[[SubPLOs]:[SubPLOs]],"&gt;=3",tbl_task5[[SubPLOs]:[SubPLOs]],"&lt;4")</f>
        <v>0</v>
      </c>
      <c r="EC36" s="138">
        <f>SUMIFS(tbl_task5[S128],tbl_task5[[SubPLOs]:[SubPLOs]],"&gt;=3",tbl_task5[[SubPLOs]:[SubPLOs]],"&lt;4")</f>
        <v>0</v>
      </c>
      <c r="ED36" s="138">
        <f>SUMIFS(tbl_task5[S129],tbl_task5[[SubPLOs]:[SubPLOs]],"&gt;=3",tbl_task5[[SubPLOs]:[SubPLOs]],"&lt;4")</f>
        <v>0</v>
      </c>
      <c r="EE36" s="138">
        <f>SUMIFS(tbl_task5[S130],tbl_task5[[SubPLOs]:[SubPLOs]],"&gt;=3",tbl_task5[[SubPLOs]:[SubPLOs]],"&lt;4")</f>
        <v>0</v>
      </c>
      <c r="EF36" s="138">
        <f>SUMIFS(tbl_task5[S131],tbl_task5[[SubPLOs]:[SubPLOs]],"&gt;=3",tbl_task5[[SubPLOs]:[SubPLOs]],"&lt;4")</f>
        <v>0</v>
      </c>
      <c r="EG36" s="138">
        <f>SUMIFS(tbl_task5[S132],tbl_task5[[SubPLOs]:[SubPLOs]],"&gt;=3",tbl_task5[[SubPLOs]:[SubPLOs]],"&lt;4")</f>
        <v>0</v>
      </c>
      <c r="EH36" s="138">
        <f>SUMIFS(tbl_task5[S133],tbl_task5[[SubPLOs]:[SubPLOs]],"&gt;=3",tbl_task5[[SubPLOs]:[SubPLOs]],"&lt;4")</f>
        <v>0</v>
      </c>
      <c r="EI36" s="138">
        <f>SUMIFS(tbl_task5[S134],tbl_task5[[SubPLOs]:[SubPLOs]],"&gt;=3",tbl_task5[[SubPLOs]:[SubPLOs]],"&lt;4")</f>
        <v>0</v>
      </c>
      <c r="EJ36" s="138">
        <f>SUMIFS(tbl_task5[S135],tbl_task5[[SubPLOs]:[SubPLOs]],"&gt;=3",tbl_task5[[SubPLOs]:[SubPLOs]],"&lt;4")</f>
        <v>0</v>
      </c>
      <c r="EK36" s="138">
        <f>SUMIFS(tbl_task5[S136],tbl_task5[[SubPLOs]:[SubPLOs]],"&gt;=3",tbl_task5[[SubPLOs]:[SubPLOs]],"&lt;4")</f>
        <v>0</v>
      </c>
      <c r="EL36" s="138">
        <f>SUMIFS(tbl_task5[S137],tbl_task5[[SubPLOs]:[SubPLOs]],"&gt;=3",tbl_task5[[SubPLOs]:[SubPLOs]],"&lt;4")</f>
        <v>0</v>
      </c>
      <c r="EM36" s="138">
        <f>SUMIFS(tbl_task5[S138],tbl_task5[[SubPLOs]:[SubPLOs]],"&gt;=3",tbl_task5[[SubPLOs]:[SubPLOs]],"&lt;4")</f>
        <v>0</v>
      </c>
      <c r="EN36" s="138">
        <f>SUMIFS(tbl_task5[S139],tbl_task5[[SubPLOs]:[SubPLOs]],"&gt;=3",tbl_task5[[SubPLOs]:[SubPLOs]],"&lt;4")</f>
        <v>0</v>
      </c>
      <c r="EO36" s="138">
        <f>SUMIFS(tbl_task5[S140],tbl_task5[[SubPLOs]:[SubPLOs]],"&gt;=3",tbl_task5[[SubPLOs]:[SubPLOs]],"&lt;4")</f>
        <v>0</v>
      </c>
      <c r="EP36" s="138">
        <f>SUMIFS(tbl_task5[S141],tbl_task5[[SubPLOs]:[SubPLOs]],"&gt;=3",tbl_task5[[SubPLOs]:[SubPLOs]],"&lt;4")</f>
        <v>0</v>
      </c>
      <c r="EQ36" s="138">
        <f>SUMIFS(tbl_task5[S142],tbl_task5[[SubPLOs]:[SubPLOs]],"&gt;=3",tbl_task5[[SubPLOs]:[SubPLOs]],"&lt;4")</f>
        <v>0</v>
      </c>
      <c r="ER36" s="138">
        <f>SUMIFS(tbl_task5[S143],tbl_task5[[SubPLOs]:[SubPLOs]],"&gt;=3",tbl_task5[[SubPLOs]:[SubPLOs]],"&lt;4")</f>
        <v>0</v>
      </c>
      <c r="ES36" s="138">
        <f>SUMIFS(tbl_task5[S144],tbl_task5[[SubPLOs]:[SubPLOs]],"&gt;=3",tbl_task5[[SubPLOs]:[SubPLOs]],"&lt;4")</f>
        <v>0</v>
      </c>
      <c r="ET36" s="138">
        <f>SUMIFS(tbl_task5[S145],tbl_task5[[SubPLOs]:[SubPLOs]],"&gt;=3",tbl_task5[[SubPLOs]:[SubPLOs]],"&lt;4")</f>
        <v>0</v>
      </c>
      <c r="EU36" s="138">
        <f>SUMIFS(tbl_task5[S146],tbl_task5[[SubPLOs]:[SubPLOs]],"&gt;=3",tbl_task5[[SubPLOs]:[SubPLOs]],"&lt;4")</f>
        <v>0</v>
      </c>
      <c r="EV36" s="138">
        <f>SUMIFS(tbl_task5[S147],tbl_task5[[SubPLOs]:[SubPLOs]],"&gt;=3",tbl_task5[[SubPLOs]:[SubPLOs]],"&lt;4")</f>
        <v>0</v>
      </c>
      <c r="EW36" s="138">
        <f>SUMIFS(tbl_task5[S148],tbl_task5[[SubPLOs]:[SubPLOs]],"&gt;=3",tbl_task5[[SubPLOs]:[SubPLOs]],"&lt;4")</f>
        <v>0</v>
      </c>
      <c r="EX36" s="138">
        <f>SUMIFS(tbl_task5[S149],tbl_task5[[SubPLOs]:[SubPLOs]],"&gt;=3",tbl_task5[[SubPLOs]:[SubPLOs]],"&lt;4")</f>
        <v>0</v>
      </c>
      <c r="EY36" s="138">
        <f>SUMIFS(tbl_task5[S150],tbl_task5[[SubPLOs]:[SubPLOs]],"&gt;=3",tbl_task5[[SubPLOs]:[SubPLOs]],"&lt;4")</f>
        <v>0</v>
      </c>
      <c r="EZ36" s="138">
        <f>SUMIFS(tbl_task5[S151],tbl_task5[[SubPLOs]:[SubPLOs]],"&gt;=3",tbl_task5[[SubPLOs]:[SubPLOs]],"&lt;4")</f>
        <v>0</v>
      </c>
      <c r="FA36" s="138">
        <f>SUMIFS(tbl_task5[S152],tbl_task5[[SubPLOs]:[SubPLOs]],"&gt;=3",tbl_task5[[SubPLOs]:[SubPLOs]],"&lt;4")</f>
        <v>0</v>
      </c>
      <c r="FB36" s="138">
        <f>SUMIFS(tbl_task5[S153],tbl_task5[[SubPLOs]:[SubPLOs]],"&gt;=3",tbl_task5[[SubPLOs]:[SubPLOs]],"&lt;4")</f>
        <v>0</v>
      </c>
      <c r="FC36" s="138">
        <f>SUMIFS(tbl_task5[S154],tbl_task5[[SubPLOs]:[SubPLOs]],"&gt;=3",tbl_task5[[SubPLOs]:[SubPLOs]],"&lt;4")</f>
        <v>0</v>
      </c>
      <c r="FD36" s="138">
        <f>SUMIFS(tbl_task5[S155],tbl_task5[[SubPLOs]:[SubPLOs]],"&gt;=3",tbl_task5[[SubPLOs]:[SubPLOs]],"&lt;4")</f>
        <v>0</v>
      </c>
      <c r="FE36" s="138">
        <f>SUMIFS(tbl_task5[S156],tbl_task5[[SubPLOs]:[SubPLOs]],"&gt;=3",tbl_task5[[SubPLOs]:[SubPLOs]],"&lt;4")</f>
        <v>0</v>
      </c>
      <c r="FF36" s="138">
        <f>SUMIFS(tbl_task5[S157],tbl_task5[[SubPLOs]:[SubPLOs]],"&gt;=3",tbl_task5[[SubPLOs]:[SubPLOs]],"&lt;4")</f>
        <v>0</v>
      </c>
      <c r="FG36" s="138">
        <f>SUMIFS(tbl_task5[S158],tbl_task5[[SubPLOs]:[SubPLOs]],"&gt;=3",tbl_task5[[SubPLOs]:[SubPLOs]],"&lt;4")</f>
        <v>0</v>
      </c>
      <c r="FH36" s="138">
        <f>SUMIFS(tbl_task5[S159],tbl_task5[[SubPLOs]:[SubPLOs]],"&gt;=3",tbl_task5[[SubPLOs]:[SubPLOs]],"&lt;4")</f>
        <v>0</v>
      </c>
      <c r="FI36" s="138">
        <f>SUMIFS(tbl_task5[S160],tbl_task5[[SubPLOs]:[SubPLOs]],"&gt;=3",tbl_task5[[SubPLOs]:[SubPLOs]],"&lt;4")</f>
        <v>0</v>
      </c>
      <c r="FJ36" s="138">
        <f>SUMIFS(tbl_task5[S161],tbl_task5[[SubPLOs]:[SubPLOs]],"&gt;=3",tbl_task5[[SubPLOs]:[SubPLOs]],"&lt;4")</f>
        <v>0</v>
      </c>
      <c r="FK36" s="138">
        <f>SUMIFS(tbl_task5[S162],tbl_task5[[SubPLOs]:[SubPLOs]],"&gt;=3",tbl_task5[[SubPLOs]:[SubPLOs]],"&lt;4")</f>
        <v>0</v>
      </c>
      <c r="FL36" s="138">
        <f>SUMIFS(tbl_task5[S163],tbl_task5[[SubPLOs]:[SubPLOs]],"&gt;=3",tbl_task5[[SubPLOs]:[SubPLOs]],"&lt;4")</f>
        <v>0</v>
      </c>
      <c r="FM36" s="138">
        <f>SUMIFS(tbl_task5[S164],tbl_task5[[SubPLOs]:[SubPLOs]],"&gt;=3",tbl_task5[[SubPLOs]:[SubPLOs]],"&lt;4")</f>
        <v>0</v>
      </c>
      <c r="FN36" s="138">
        <f>SUMIFS(tbl_task5[S165],tbl_task5[[SubPLOs]:[SubPLOs]],"&gt;=3",tbl_task5[[SubPLOs]:[SubPLOs]],"&lt;4")</f>
        <v>0</v>
      </c>
    </row>
    <row r="37" spans="1:170" ht="63" x14ac:dyDescent="0.25">
      <c r="A37" s="135">
        <v>4</v>
      </c>
      <c r="B37" s="5" t="s">
        <v>437</v>
      </c>
      <c r="C37" s="136">
        <f>COUNTIFS(tbl_task5[SubPLOs],"&gt;=4",tbl_task5[SubPLOs],"&lt;5")</f>
        <v>0</v>
      </c>
      <c r="D37" s="136">
        <f>SUMIFS(tbl_task5[คะแนนเต็ม],tbl_task5[SubPLOs],"&gt;=4",tbl_task5[SubPLOs],"&lt;5")</f>
        <v>0</v>
      </c>
      <c r="E37" s="137">
        <f>SUMIFS(tbl_task5[%],tbl_task5[SubPLOs],"&gt;=4",tbl_task5[SubPLOs],"&lt;5")</f>
        <v>0</v>
      </c>
      <c r="F37" s="138">
        <f>SUMIFS(tbl_task5[S1],tbl_task5[[SubPLOs]:[SubPLOs]],"&gt;=4",tbl_task5[[SubPLOs]:[SubPLOs]],"&lt;5")</f>
        <v>0</v>
      </c>
      <c r="G37" s="138">
        <f>SUMIFS(tbl_task5[S2],tbl_task5[[SubPLOs]:[SubPLOs]],"&gt;=4",tbl_task5[[SubPLOs]:[SubPLOs]],"&lt;5")</f>
        <v>0</v>
      </c>
      <c r="H37" s="138">
        <f>SUMIFS(tbl_task5[S3],tbl_task5[[SubPLOs]:[SubPLOs]],"&gt;=4",tbl_task5[[SubPLOs]:[SubPLOs]],"&lt;5")</f>
        <v>0</v>
      </c>
      <c r="I37" s="138">
        <f>SUMIFS(tbl_task5[S4],tbl_task5[[SubPLOs]:[SubPLOs]],"&gt;=4",tbl_task5[[SubPLOs]:[SubPLOs]],"&lt;5")</f>
        <v>0</v>
      </c>
      <c r="J37" s="138">
        <f>SUMIFS(tbl_task5[S5],tbl_task5[[SubPLOs]:[SubPLOs]],"&gt;=4",tbl_task5[[SubPLOs]:[SubPLOs]],"&lt;5")</f>
        <v>0</v>
      </c>
      <c r="K37" s="138">
        <f>SUMIFS(tbl_task5[S6],tbl_task5[[SubPLOs]:[SubPLOs]],"&gt;=4",tbl_task5[[SubPLOs]:[SubPLOs]],"&lt;5")</f>
        <v>0</v>
      </c>
      <c r="L37" s="138">
        <f>SUMIFS(tbl_task5[S7],tbl_task5[[SubPLOs]:[SubPLOs]],"&gt;=4",tbl_task5[[SubPLOs]:[SubPLOs]],"&lt;5")</f>
        <v>0</v>
      </c>
      <c r="M37" s="138">
        <f>SUMIFS(tbl_task5[S8],tbl_task5[[SubPLOs]:[SubPLOs]],"&gt;=4",tbl_task5[[SubPLOs]:[SubPLOs]],"&lt;5")</f>
        <v>0</v>
      </c>
      <c r="N37" s="138">
        <f>SUMIFS(tbl_task5[S9],tbl_task5[[SubPLOs]:[SubPLOs]],"&gt;=4",tbl_task5[[SubPLOs]:[SubPLOs]],"&lt;5")</f>
        <v>0</v>
      </c>
      <c r="O37" s="138">
        <f>SUMIFS(tbl_task5[S10],tbl_task5[[SubPLOs]:[SubPLOs]],"&gt;=4",tbl_task5[[SubPLOs]:[SubPLOs]],"&lt;5")</f>
        <v>0</v>
      </c>
      <c r="P37" s="138">
        <f>SUMIFS(tbl_task5[S11],tbl_task5[[SubPLOs]:[SubPLOs]],"&gt;=4",tbl_task5[[SubPLOs]:[SubPLOs]],"&lt;5")</f>
        <v>0</v>
      </c>
      <c r="Q37" s="138">
        <f>SUMIFS(tbl_task5[S12],tbl_task5[[SubPLOs]:[SubPLOs]],"&gt;=4",tbl_task5[[SubPLOs]:[SubPLOs]],"&lt;5")</f>
        <v>0</v>
      </c>
      <c r="R37" s="138">
        <f>SUMIFS(tbl_task5[S13],tbl_task5[[SubPLOs]:[SubPLOs]],"&gt;=4",tbl_task5[[SubPLOs]:[SubPLOs]],"&lt;5")</f>
        <v>0</v>
      </c>
      <c r="S37" s="138">
        <f>SUMIFS(tbl_task5[S14],tbl_task5[[SubPLOs]:[SubPLOs]],"&gt;=4",tbl_task5[[SubPLOs]:[SubPLOs]],"&lt;5")</f>
        <v>0</v>
      </c>
      <c r="T37" s="138">
        <f>SUMIFS(tbl_task5[S15],tbl_task5[[SubPLOs]:[SubPLOs]],"&gt;=4",tbl_task5[[SubPLOs]:[SubPLOs]],"&lt;5")</f>
        <v>0</v>
      </c>
      <c r="U37" s="138">
        <f>SUMIFS(tbl_task5[S16],tbl_task5[[SubPLOs]:[SubPLOs]],"&gt;=4",tbl_task5[[SubPLOs]:[SubPLOs]],"&lt;5")</f>
        <v>0</v>
      </c>
      <c r="V37" s="138">
        <f>SUMIFS(tbl_task5[S17],tbl_task5[[SubPLOs]:[SubPLOs]],"&gt;=4",tbl_task5[[SubPLOs]:[SubPLOs]],"&lt;5")</f>
        <v>0</v>
      </c>
      <c r="W37" s="138">
        <f>SUMIFS(tbl_task5[S18],tbl_task5[[SubPLOs]:[SubPLOs]],"&gt;=4",tbl_task5[[SubPLOs]:[SubPLOs]],"&lt;5")</f>
        <v>0</v>
      </c>
      <c r="X37" s="138">
        <f>SUMIFS(tbl_task5[S19],tbl_task5[[SubPLOs]:[SubPLOs]],"&gt;=4",tbl_task5[[SubPLOs]:[SubPLOs]],"&lt;5")</f>
        <v>0</v>
      </c>
      <c r="Y37" s="138">
        <f>SUMIFS(tbl_task5[S20],tbl_task5[[SubPLOs]:[SubPLOs]],"&gt;=4",tbl_task5[[SubPLOs]:[SubPLOs]],"&lt;5")</f>
        <v>0</v>
      </c>
      <c r="Z37" s="138">
        <f>SUMIFS(tbl_task5[S21],tbl_task5[[SubPLOs]:[SubPLOs]],"&gt;=4",tbl_task5[[SubPLOs]:[SubPLOs]],"&lt;5")</f>
        <v>0</v>
      </c>
      <c r="AA37" s="138">
        <f>SUMIFS(tbl_task5[S22],tbl_task5[[SubPLOs]:[SubPLOs]],"&gt;=4",tbl_task5[[SubPLOs]:[SubPLOs]],"&lt;5")</f>
        <v>0</v>
      </c>
      <c r="AB37" s="138">
        <f>SUMIFS(tbl_task5[S23],tbl_task5[[SubPLOs]:[SubPLOs]],"&gt;=4",tbl_task5[[SubPLOs]:[SubPLOs]],"&lt;5")</f>
        <v>0</v>
      </c>
      <c r="AC37" s="138">
        <f>SUMIFS(tbl_task5[S24],tbl_task5[[SubPLOs]:[SubPLOs]],"&gt;=4",tbl_task5[[SubPLOs]:[SubPLOs]],"&lt;5")</f>
        <v>0</v>
      </c>
      <c r="AD37" s="138">
        <f>SUMIFS(tbl_task5[S25],tbl_task5[[SubPLOs]:[SubPLOs]],"&gt;=4",tbl_task5[[SubPLOs]:[SubPLOs]],"&lt;5")</f>
        <v>0</v>
      </c>
      <c r="AE37" s="138">
        <f>SUMIFS(tbl_task5[S26],tbl_task5[[SubPLOs]:[SubPLOs]],"&gt;=4",tbl_task5[[SubPLOs]:[SubPLOs]],"&lt;5")</f>
        <v>0</v>
      </c>
      <c r="AF37" s="138">
        <f>SUMIFS(tbl_task5[S27],tbl_task5[[SubPLOs]:[SubPLOs]],"&gt;=4",tbl_task5[[SubPLOs]:[SubPLOs]],"&lt;5")</f>
        <v>0</v>
      </c>
      <c r="AG37" s="138">
        <f>SUMIFS(tbl_task5[S28],tbl_task5[[SubPLOs]:[SubPLOs]],"&gt;=4",tbl_task5[[SubPLOs]:[SubPLOs]],"&lt;5")</f>
        <v>0</v>
      </c>
      <c r="AH37" s="138">
        <f>SUMIFS(tbl_task5[S29],tbl_task5[[SubPLOs]:[SubPLOs]],"&gt;=4",tbl_task5[[SubPLOs]:[SubPLOs]],"&lt;5")</f>
        <v>0</v>
      </c>
      <c r="AI37" s="138">
        <f>SUMIFS(tbl_task5[S30],tbl_task5[[SubPLOs]:[SubPLOs]],"&gt;=4",tbl_task5[[SubPLOs]:[SubPLOs]],"&lt;5")</f>
        <v>0</v>
      </c>
      <c r="AJ37" s="138">
        <f>SUMIFS(tbl_task5[S31],tbl_task5[[SubPLOs]:[SubPLOs]],"&gt;=4",tbl_task5[[SubPLOs]:[SubPLOs]],"&lt;5")</f>
        <v>0</v>
      </c>
      <c r="AK37" s="138">
        <f>SUMIFS(tbl_task5[S32],tbl_task5[[SubPLOs]:[SubPLOs]],"&gt;=4",tbl_task5[[SubPLOs]:[SubPLOs]],"&lt;5")</f>
        <v>0</v>
      </c>
      <c r="AL37" s="138">
        <f>SUMIFS(tbl_task5[S33],tbl_task5[[SubPLOs]:[SubPLOs]],"&gt;=4",tbl_task5[[SubPLOs]:[SubPLOs]],"&lt;5")</f>
        <v>0</v>
      </c>
      <c r="AM37" s="138">
        <f>SUMIFS(tbl_task5[S34],tbl_task5[[SubPLOs]:[SubPLOs]],"&gt;=4",tbl_task5[[SubPLOs]:[SubPLOs]],"&lt;5")</f>
        <v>0</v>
      </c>
      <c r="AN37" s="138">
        <f>SUMIFS(tbl_task5[S35],tbl_task5[[SubPLOs]:[SubPLOs]],"&gt;=4",tbl_task5[[SubPLOs]:[SubPLOs]],"&lt;5")</f>
        <v>0</v>
      </c>
      <c r="AO37" s="138">
        <f>SUMIFS(tbl_task5[S36],tbl_task5[[SubPLOs]:[SubPLOs]],"&gt;=4",tbl_task5[[SubPLOs]:[SubPLOs]],"&lt;5")</f>
        <v>0</v>
      </c>
      <c r="AP37" s="138">
        <f>SUMIFS(tbl_task5[S37],tbl_task5[[SubPLOs]:[SubPLOs]],"&gt;=4",tbl_task5[[SubPLOs]:[SubPLOs]],"&lt;5")</f>
        <v>0</v>
      </c>
      <c r="AQ37" s="138">
        <f>SUMIFS(tbl_task5[S38],tbl_task5[[SubPLOs]:[SubPLOs]],"&gt;=4",tbl_task5[[SubPLOs]:[SubPLOs]],"&lt;5")</f>
        <v>0</v>
      </c>
      <c r="AR37" s="138">
        <f>SUMIFS(tbl_task5[S39],tbl_task5[[SubPLOs]:[SubPLOs]],"&gt;=4",tbl_task5[[SubPLOs]:[SubPLOs]],"&lt;5")</f>
        <v>0</v>
      </c>
      <c r="AS37" s="138">
        <f>SUMIFS(tbl_task5[S40],tbl_task5[[SubPLOs]:[SubPLOs]],"&gt;=4",tbl_task5[[SubPLOs]:[SubPLOs]],"&lt;5")</f>
        <v>0</v>
      </c>
      <c r="AT37" s="138">
        <f>SUMIFS(tbl_task5[S41],tbl_task5[[SubPLOs]:[SubPLOs]],"&gt;=4",tbl_task5[[SubPLOs]:[SubPLOs]],"&lt;5")</f>
        <v>0</v>
      </c>
      <c r="AU37" s="138">
        <f>SUMIFS(tbl_task5[S42],tbl_task5[[SubPLOs]:[SubPLOs]],"&gt;=4",tbl_task5[[SubPLOs]:[SubPLOs]],"&lt;5")</f>
        <v>0</v>
      </c>
      <c r="AV37" s="138">
        <f>SUMIFS(tbl_task5[S43],tbl_task5[[SubPLOs]:[SubPLOs]],"&gt;=4",tbl_task5[[SubPLOs]:[SubPLOs]],"&lt;5")</f>
        <v>0</v>
      </c>
      <c r="AW37" s="138">
        <f>SUMIFS(tbl_task5[S44],tbl_task5[[SubPLOs]:[SubPLOs]],"&gt;=4",tbl_task5[[SubPLOs]:[SubPLOs]],"&lt;5")</f>
        <v>0</v>
      </c>
      <c r="AX37" s="138">
        <f>SUMIFS(tbl_task5[S45],tbl_task5[[SubPLOs]:[SubPLOs]],"&gt;=4",tbl_task5[[SubPLOs]:[SubPLOs]],"&lt;5")</f>
        <v>0</v>
      </c>
      <c r="AY37" s="138">
        <f>SUMIFS(tbl_task5[S46],tbl_task5[[SubPLOs]:[SubPLOs]],"&gt;=4",tbl_task5[[SubPLOs]:[SubPLOs]],"&lt;5")</f>
        <v>0</v>
      </c>
      <c r="AZ37" s="138">
        <f>SUMIFS(tbl_task5[S47],tbl_task5[[SubPLOs]:[SubPLOs]],"&gt;=4",tbl_task5[[SubPLOs]:[SubPLOs]],"&lt;5")</f>
        <v>0</v>
      </c>
      <c r="BA37" s="138">
        <f>SUMIFS(tbl_task5[S48],tbl_task5[[SubPLOs]:[SubPLOs]],"&gt;=4",tbl_task5[[SubPLOs]:[SubPLOs]],"&lt;5")</f>
        <v>0</v>
      </c>
      <c r="BB37" s="138">
        <f>SUMIFS(tbl_task5[S49],tbl_task5[[SubPLOs]:[SubPLOs]],"&gt;=4",tbl_task5[[SubPLOs]:[SubPLOs]],"&lt;5")</f>
        <v>0</v>
      </c>
      <c r="BC37" s="138">
        <f>SUMIFS(tbl_task5[S50],tbl_task5[[SubPLOs]:[SubPLOs]],"&gt;=4",tbl_task5[[SubPLOs]:[SubPLOs]],"&lt;5")</f>
        <v>0</v>
      </c>
      <c r="BD37" s="138">
        <f>SUMIFS(tbl_task5[S51],tbl_task5[[SubPLOs]:[SubPLOs]],"&gt;=4",tbl_task5[[SubPLOs]:[SubPLOs]],"&lt;5")</f>
        <v>0</v>
      </c>
      <c r="BE37" s="138">
        <f>SUMIFS(tbl_task5[S52],tbl_task5[[SubPLOs]:[SubPLOs]],"&gt;=4",tbl_task5[[SubPLOs]:[SubPLOs]],"&lt;5")</f>
        <v>0</v>
      </c>
      <c r="BF37" s="138">
        <f>SUMIFS(tbl_task5[S53],tbl_task5[[SubPLOs]:[SubPLOs]],"&gt;=4",tbl_task5[[SubPLOs]:[SubPLOs]],"&lt;5")</f>
        <v>0</v>
      </c>
      <c r="BG37" s="138">
        <f>SUMIFS(tbl_task5[S54],tbl_task5[[SubPLOs]:[SubPLOs]],"&gt;=4",tbl_task5[[SubPLOs]:[SubPLOs]],"&lt;5")</f>
        <v>0</v>
      </c>
      <c r="BH37" s="138">
        <f>SUMIFS(tbl_task5[S55],tbl_task5[[SubPLOs]:[SubPLOs]],"&gt;=4",tbl_task5[[SubPLOs]:[SubPLOs]],"&lt;5")</f>
        <v>0</v>
      </c>
      <c r="BI37" s="138">
        <f>SUMIFS(tbl_task5[S56],tbl_task5[[SubPLOs]:[SubPLOs]],"&gt;=4",tbl_task5[[SubPLOs]:[SubPLOs]],"&lt;5")</f>
        <v>0</v>
      </c>
      <c r="BJ37" s="138">
        <f>SUMIFS(tbl_task5[S57],tbl_task5[[SubPLOs]:[SubPLOs]],"&gt;=4",tbl_task5[[SubPLOs]:[SubPLOs]],"&lt;5")</f>
        <v>0</v>
      </c>
      <c r="BK37" s="138">
        <f>SUMIFS(tbl_task5[S58],tbl_task5[[SubPLOs]:[SubPLOs]],"&gt;=4",tbl_task5[[SubPLOs]:[SubPLOs]],"&lt;5")</f>
        <v>0</v>
      </c>
      <c r="BL37" s="138">
        <f>SUMIFS(tbl_task5[S59],tbl_task5[[SubPLOs]:[SubPLOs]],"&gt;=4",tbl_task5[[SubPLOs]:[SubPLOs]],"&lt;5")</f>
        <v>0</v>
      </c>
      <c r="BM37" s="138">
        <f>SUMIFS(tbl_task5[S60],tbl_task5[[SubPLOs]:[SubPLOs]],"&gt;=4",tbl_task5[[SubPLOs]:[SubPLOs]],"&lt;5")</f>
        <v>0</v>
      </c>
      <c r="BN37" s="138">
        <f>SUMIFS(tbl_task5[S61],tbl_task5[[SubPLOs]:[SubPLOs]],"&gt;=4",tbl_task5[[SubPLOs]:[SubPLOs]],"&lt;5")</f>
        <v>0</v>
      </c>
      <c r="BO37" s="138">
        <f>SUMIFS(tbl_task5[S62],tbl_task5[[SubPLOs]:[SubPLOs]],"&gt;=4",tbl_task5[[SubPLOs]:[SubPLOs]],"&lt;5")</f>
        <v>0</v>
      </c>
      <c r="BP37" s="138">
        <f>SUMIFS(tbl_task5[S63],tbl_task5[[SubPLOs]:[SubPLOs]],"&gt;=4",tbl_task5[[SubPLOs]:[SubPLOs]],"&lt;5")</f>
        <v>0</v>
      </c>
      <c r="BQ37" s="138">
        <f>SUMIFS(tbl_task5[S64],tbl_task5[[SubPLOs]:[SubPLOs]],"&gt;=4",tbl_task5[[SubPLOs]:[SubPLOs]],"&lt;5")</f>
        <v>0</v>
      </c>
      <c r="BR37" s="138">
        <f>SUMIFS(tbl_task5[S65],tbl_task5[[SubPLOs]:[SubPLOs]],"&gt;=4",tbl_task5[[SubPLOs]:[SubPLOs]],"&lt;5")</f>
        <v>0</v>
      </c>
      <c r="BS37" s="138">
        <f>SUMIFS(tbl_task5[S66],tbl_task5[[SubPLOs]:[SubPLOs]],"&gt;=4",tbl_task5[[SubPLOs]:[SubPLOs]],"&lt;5")</f>
        <v>0</v>
      </c>
      <c r="BT37" s="138">
        <f>SUMIFS(tbl_task5[S67],tbl_task5[[SubPLOs]:[SubPLOs]],"&gt;=4",tbl_task5[[SubPLOs]:[SubPLOs]],"&lt;5")</f>
        <v>0</v>
      </c>
      <c r="BU37" s="138">
        <f>SUMIFS(tbl_task5[S68],tbl_task5[[SubPLOs]:[SubPLOs]],"&gt;=4",tbl_task5[[SubPLOs]:[SubPLOs]],"&lt;5")</f>
        <v>0</v>
      </c>
      <c r="BV37" s="138">
        <f>SUMIFS(tbl_task5[S69],tbl_task5[[SubPLOs]:[SubPLOs]],"&gt;=4",tbl_task5[[SubPLOs]:[SubPLOs]],"&lt;5")</f>
        <v>0</v>
      </c>
      <c r="BW37" s="138">
        <f>SUMIFS(tbl_task5[S70],tbl_task5[[SubPLOs]:[SubPLOs]],"&gt;=4",tbl_task5[[SubPLOs]:[SubPLOs]],"&lt;5")</f>
        <v>0</v>
      </c>
      <c r="BX37" s="138">
        <f>SUMIFS(tbl_task5[S71],tbl_task5[[SubPLOs]:[SubPLOs]],"&gt;=4",tbl_task5[[SubPLOs]:[SubPLOs]],"&lt;5")</f>
        <v>0</v>
      </c>
      <c r="BY37" s="138">
        <f>SUMIFS(tbl_task5[S72],tbl_task5[[SubPLOs]:[SubPLOs]],"&gt;=4",tbl_task5[[SubPLOs]:[SubPLOs]],"&lt;5")</f>
        <v>0</v>
      </c>
      <c r="BZ37" s="138">
        <f>SUMIFS(tbl_task5[S73],tbl_task5[[SubPLOs]:[SubPLOs]],"&gt;=4",tbl_task5[[SubPLOs]:[SubPLOs]],"&lt;5")</f>
        <v>0</v>
      </c>
      <c r="CA37" s="138">
        <f>SUMIFS(tbl_task5[S74],tbl_task5[[SubPLOs]:[SubPLOs]],"&gt;=4",tbl_task5[[SubPLOs]:[SubPLOs]],"&lt;5")</f>
        <v>0</v>
      </c>
      <c r="CB37" s="138">
        <f>SUMIFS(tbl_task5[S75],tbl_task5[[SubPLOs]:[SubPLOs]],"&gt;=4",tbl_task5[[SubPLOs]:[SubPLOs]],"&lt;5")</f>
        <v>0</v>
      </c>
      <c r="CC37" s="138">
        <f>SUMIFS(tbl_task5[S76],tbl_task5[[SubPLOs]:[SubPLOs]],"&gt;=4",tbl_task5[[SubPLOs]:[SubPLOs]],"&lt;5")</f>
        <v>0</v>
      </c>
      <c r="CD37" s="138">
        <f>SUMIFS(tbl_task5[S77],tbl_task5[[SubPLOs]:[SubPLOs]],"&gt;=4",tbl_task5[[SubPLOs]:[SubPLOs]],"&lt;5")</f>
        <v>0</v>
      </c>
      <c r="CE37" s="138">
        <f>SUMIFS(tbl_task5[S78],tbl_task5[[SubPLOs]:[SubPLOs]],"&gt;=4",tbl_task5[[SubPLOs]:[SubPLOs]],"&lt;5")</f>
        <v>0</v>
      </c>
      <c r="CF37" s="138">
        <f>SUMIFS(tbl_task5[S79],tbl_task5[[SubPLOs]:[SubPLOs]],"&gt;=4",tbl_task5[[SubPLOs]:[SubPLOs]],"&lt;5")</f>
        <v>0</v>
      </c>
      <c r="CG37" s="138">
        <f>SUMIFS(tbl_task5[S80],tbl_task5[[SubPLOs]:[SubPLOs]],"&gt;=4",tbl_task5[[SubPLOs]:[SubPLOs]],"&lt;5")</f>
        <v>0</v>
      </c>
      <c r="CH37" s="138">
        <f>SUMIFS(tbl_task5[S81],tbl_task5[[SubPLOs]:[SubPLOs]],"&gt;=4",tbl_task5[[SubPLOs]:[SubPLOs]],"&lt;5")</f>
        <v>0</v>
      </c>
      <c r="CI37" s="138">
        <f>SUMIFS(tbl_task5[S82],tbl_task5[[SubPLOs]:[SubPLOs]],"&gt;=4",tbl_task5[[SubPLOs]:[SubPLOs]],"&lt;5")</f>
        <v>0</v>
      </c>
      <c r="CJ37" s="138">
        <f>SUMIFS(tbl_task5[S83],tbl_task5[[SubPLOs]:[SubPLOs]],"&gt;=4",tbl_task5[[SubPLOs]:[SubPLOs]],"&lt;5")</f>
        <v>0</v>
      </c>
      <c r="CK37" s="138">
        <f>SUMIFS(tbl_task5[S84],tbl_task5[[SubPLOs]:[SubPLOs]],"&gt;=4",tbl_task5[[SubPLOs]:[SubPLOs]],"&lt;5")</f>
        <v>0</v>
      </c>
      <c r="CL37" s="138">
        <f>SUMIFS(tbl_task5[S85],tbl_task5[[SubPLOs]:[SubPLOs]],"&gt;=4",tbl_task5[[SubPLOs]:[SubPLOs]],"&lt;5")</f>
        <v>0</v>
      </c>
      <c r="CM37" s="138">
        <f>SUMIFS(tbl_task5[S86],tbl_task5[[SubPLOs]:[SubPLOs]],"&gt;=4",tbl_task5[[SubPLOs]:[SubPLOs]],"&lt;5")</f>
        <v>0</v>
      </c>
      <c r="CN37" s="138">
        <f>SUMIFS(tbl_task5[S87],tbl_task5[[SubPLOs]:[SubPLOs]],"&gt;=4",tbl_task5[[SubPLOs]:[SubPLOs]],"&lt;5")</f>
        <v>0</v>
      </c>
      <c r="CO37" s="138">
        <f>SUMIFS(tbl_task5[S88],tbl_task5[[SubPLOs]:[SubPLOs]],"&gt;=4",tbl_task5[[SubPLOs]:[SubPLOs]],"&lt;5")</f>
        <v>0</v>
      </c>
      <c r="CP37" s="138">
        <f>SUMIFS(tbl_task5[S89],tbl_task5[[SubPLOs]:[SubPLOs]],"&gt;=4",tbl_task5[[SubPLOs]:[SubPLOs]],"&lt;5")</f>
        <v>0</v>
      </c>
      <c r="CQ37" s="138">
        <f>SUMIFS(tbl_task5[S90],tbl_task5[[SubPLOs]:[SubPLOs]],"&gt;=4",tbl_task5[[SubPLOs]:[SubPLOs]],"&lt;5")</f>
        <v>0</v>
      </c>
      <c r="CR37" s="138">
        <f>SUMIFS(tbl_task5[S91],tbl_task5[[SubPLOs]:[SubPLOs]],"&gt;=4",tbl_task5[[SubPLOs]:[SubPLOs]],"&lt;5")</f>
        <v>0</v>
      </c>
      <c r="CS37" s="138">
        <f>SUMIFS(tbl_task5[S92],tbl_task5[[SubPLOs]:[SubPLOs]],"&gt;=4",tbl_task5[[SubPLOs]:[SubPLOs]],"&lt;5")</f>
        <v>0</v>
      </c>
      <c r="CT37" s="138">
        <f>SUMIFS(tbl_task5[S93],tbl_task5[[SubPLOs]:[SubPLOs]],"&gt;=4",tbl_task5[[SubPLOs]:[SubPLOs]],"&lt;5")</f>
        <v>0</v>
      </c>
      <c r="CU37" s="138">
        <f>SUMIFS(tbl_task5[S94],tbl_task5[[SubPLOs]:[SubPLOs]],"&gt;=4",tbl_task5[[SubPLOs]:[SubPLOs]],"&lt;5")</f>
        <v>0</v>
      </c>
      <c r="CV37" s="138">
        <f>SUMIFS(tbl_task5[S95],tbl_task5[[SubPLOs]:[SubPLOs]],"&gt;=4",tbl_task5[[SubPLOs]:[SubPLOs]],"&lt;5")</f>
        <v>0</v>
      </c>
      <c r="CW37" s="138">
        <f>SUMIFS(tbl_task5[S96],tbl_task5[[SubPLOs]:[SubPLOs]],"&gt;=4",tbl_task5[[SubPLOs]:[SubPLOs]],"&lt;5")</f>
        <v>0</v>
      </c>
      <c r="CX37" s="138">
        <f>SUMIFS(tbl_task5[S97],tbl_task5[[SubPLOs]:[SubPLOs]],"&gt;=4",tbl_task5[[SubPLOs]:[SubPLOs]],"&lt;5")</f>
        <v>0</v>
      </c>
      <c r="CY37" s="138">
        <f>SUMIFS(tbl_task5[S98],tbl_task5[[SubPLOs]:[SubPLOs]],"&gt;=4",tbl_task5[[SubPLOs]:[SubPLOs]],"&lt;5")</f>
        <v>0</v>
      </c>
      <c r="CZ37" s="138">
        <f>SUMIFS(tbl_task5[S99],tbl_task5[[SubPLOs]:[SubPLOs]],"&gt;=4",tbl_task5[[SubPLOs]:[SubPLOs]],"&lt;5")</f>
        <v>0</v>
      </c>
      <c r="DA37" s="138">
        <f>SUMIFS(tbl_task5[S100],tbl_task5[[SubPLOs]:[SubPLOs]],"&gt;=4",tbl_task5[[SubPLOs]:[SubPLOs]],"&lt;5")</f>
        <v>0</v>
      </c>
      <c r="DB37" s="138">
        <f>SUMIFS(tbl_task5[S101],tbl_task5[[SubPLOs]:[SubPLOs]],"&gt;=4",tbl_task5[[SubPLOs]:[SubPLOs]],"&lt;5")</f>
        <v>0</v>
      </c>
      <c r="DC37" s="138">
        <f>SUMIFS(tbl_task5[S102],tbl_task5[[SubPLOs]:[SubPLOs]],"&gt;=4",tbl_task5[[SubPLOs]:[SubPLOs]],"&lt;5")</f>
        <v>0</v>
      </c>
      <c r="DD37" s="138">
        <f>SUMIFS(tbl_task5[S103],tbl_task5[[SubPLOs]:[SubPLOs]],"&gt;=4",tbl_task5[[SubPLOs]:[SubPLOs]],"&lt;5")</f>
        <v>0</v>
      </c>
      <c r="DE37" s="138">
        <f>SUMIFS(tbl_task5[S104],tbl_task5[[SubPLOs]:[SubPLOs]],"&gt;=4",tbl_task5[[SubPLOs]:[SubPLOs]],"&lt;5")</f>
        <v>0</v>
      </c>
      <c r="DF37" s="138">
        <f>SUMIFS(tbl_task5[S105],tbl_task5[[SubPLOs]:[SubPLOs]],"&gt;=4",tbl_task5[[SubPLOs]:[SubPLOs]],"&lt;5")</f>
        <v>0</v>
      </c>
      <c r="DG37" s="138">
        <f>SUMIFS(tbl_task5[S106],tbl_task5[[SubPLOs]:[SubPLOs]],"&gt;=4",tbl_task5[[SubPLOs]:[SubPLOs]],"&lt;5")</f>
        <v>0</v>
      </c>
      <c r="DH37" s="138">
        <f>SUMIFS(tbl_task5[S106],tbl_task5[[SubPLOs]:[SubPLOs]],"&gt;=4",tbl_task5[[SubPLOs]:[SubPLOs]],"&lt;5")</f>
        <v>0</v>
      </c>
      <c r="DI37" s="138">
        <f>SUMIFS(tbl_task5[S108],tbl_task5[[SubPLOs]:[SubPLOs]],"&gt;=4",tbl_task5[[SubPLOs]:[SubPLOs]],"&lt;5")</f>
        <v>0</v>
      </c>
      <c r="DJ37" s="138">
        <f>SUMIFS(tbl_task5[S109],tbl_task5[[SubPLOs]:[SubPLOs]],"&gt;=4",tbl_task5[[SubPLOs]:[SubPLOs]],"&lt;5")</f>
        <v>0</v>
      </c>
      <c r="DK37" s="138">
        <f>SUMIFS(tbl_task5[S110],tbl_task5[[SubPLOs]:[SubPLOs]],"&gt;=4",tbl_task5[[SubPLOs]:[SubPLOs]],"&lt;5")</f>
        <v>0</v>
      </c>
      <c r="DL37" s="138">
        <f>SUMIFS(tbl_task5[S111],tbl_task5[[SubPLOs]:[SubPLOs]],"&gt;=4",tbl_task5[[SubPLOs]:[SubPLOs]],"&lt;5")</f>
        <v>0</v>
      </c>
      <c r="DM37" s="138">
        <f>SUMIFS(tbl_task5[S112],tbl_task5[[SubPLOs]:[SubPLOs]],"&gt;=4",tbl_task5[[SubPLOs]:[SubPLOs]],"&lt;5")</f>
        <v>0</v>
      </c>
      <c r="DN37" s="138">
        <f>SUMIFS(tbl_task5[S113],tbl_task5[[SubPLOs]:[SubPLOs]],"&gt;=4",tbl_task5[[SubPLOs]:[SubPLOs]],"&lt;5")</f>
        <v>0</v>
      </c>
      <c r="DO37" s="138">
        <f>SUMIFS(tbl_task5[S114],tbl_task5[[SubPLOs]:[SubPLOs]],"&gt;=4",tbl_task5[[SubPLOs]:[SubPLOs]],"&lt;5")</f>
        <v>0</v>
      </c>
      <c r="DP37" s="138">
        <f>SUMIFS(tbl_task5[S115],tbl_task5[[SubPLOs]:[SubPLOs]],"&gt;=4",tbl_task5[[SubPLOs]:[SubPLOs]],"&lt;5")</f>
        <v>0</v>
      </c>
      <c r="DQ37" s="138">
        <f>SUMIFS(tbl_task5[S116],tbl_task5[[SubPLOs]:[SubPLOs]],"&gt;=4",tbl_task5[[SubPLOs]:[SubPLOs]],"&lt;5")</f>
        <v>0</v>
      </c>
      <c r="DR37" s="138">
        <f>SUMIFS(tbl_task5[S117],tbl_task5[[SubPLOs]:[SubPLOs]],"&gt;=4",tbl_task5[[SubPLOs]:[SubPLOs]],"&lt;5")</f>
        <v>0</v>
      </c>
      <c r="DS37" s="138">
        <f>SUMIFS(tbl_task5[S118],tbl_task5[[SubPLOs]:[SubPLOs]],"&gt;=4",tbl_task5[[SubPLOs]:[SubPLOs]],"&lt;5")</f>
        <v>0</v>
      </c>
      <c r="DT37" s="138">
        <f>SUMIFS(tbl_task5[S119],tbl_task5[[SubPLOs]:[SubPLOs]],"&gt;=4",tbl_task5[[SubPLOs]:[SubPLOs]],"&lt;5")</f>
        <v>0</v>
      </c>
      <c r="DU37" s="138">
        <f>SUMIFS(tbl_task5[S120],tbl_task5[[SubPLOs]:[SubPLOs]],"&gt;=4",tbl_task5[[SubPLOs]:[SubPLOs]],"&lt;5")</f>
        <v>0</v>
      </c>
      <c r="DV37" s="138">
        <f>SUMIFS(tbl_task5[S121],tbl_task5[[SubPLOs]:[SubPLOs]],"&gt;=4",tbl_task5[[SubPLOs]:[SubPLOs]],"&lt;5")</f>
        <v>0</v>
      </c>
      <c r="DW37" s="138">
        <f>SUMIFS(tbl_task5[S122],tbl_task5[[SubPLOs]:[SubPLOs]],"&gt;=4",tbl_task5[[SubPLOs]:[SubPLOs]],"&lt;5")</f>
        <v>0</v>
      </c>
      <c r="DX37" s="138">
        <f>SUMIFS(tbl_task5[S123],tbl_task5[[SubPLOs]:[SubPLOs]],"&gt;=4",tbl_task5[[SubPLOs]:[SubPLOs]],"&lt;5")</f>
        <v>0</v>
      </c>
      <c r="DY37" s="138">
        <f>SUMIFS(tbl_task5[S124],tbl_task5[[SubPLOs]:[SubPLOs]],"&gt;=4",tbl_task5[[SubPLOs]:[SubPLOs]],"&lt;5")</f>
        <v>0</v>
      </c>
      <c r="DZ37" s="138">
        <f>SUMIFS(tbl_task5[S125],tbl_task5[[SubPLOs]:[SubPLOs]],"&gt;=4",tbl_task5[[SubPLOs]:[SubPLOs]],"&lt;5")</f>
        <v>0</v>
      </c>
      <c r="EA37" s="138">
        <f>SUMIFS(tbl_task5[S126],tbl_task5[[SubPLOs]:[SubPLOs]],"&gt;=4",tbl_task5[[SubPLOs]:[SubPLOs]],"&lt;5")</f>
        <v>0</v>
      </c>
      <c r="EB37" s="138">
        <f>SUMIFS(tbl_task5[S127],tbl_task5[[SubPLOs]:[SubPLOs]],"&gt;=4",tbl_task5[[SubPLOs]:[SubPLOs]],"&lt;5")</f>
        <v>0</v>
      </c>
      <c r="EC37" s="138">
        <f>SUMIFS(tbl_task5[S128],tbl_task5[[SubPLOs]:[SubPLOs]],"&gt;=4",tbl_task5[[SubPLOs]:[SubPLOs]],"&lt;5")</f>
        <v>0</v>
      </c>
      <c r="ED37" s="138">
        <f>SUMIFS(tbl_task5[S129],tbl_task5[[SubPLOs]:[SubPLOs]],"&gt;=4",tbl_task5[[SubPLOs]:[SubPLOs]],"&lt;5")</f>
        <v>0</v>
      </c>
      <c r="EE37" s="138">
        <f>SUMIFS(tbl_task5[S130],tbl_task5[[SubPLOs]:[SubPLOs]],"&gt;=4",tbl_task5[[SubPLOs]:[SubPLOs]],"&lt;5")</f>
        <v>0</v>
      </c>
      <c r="EF37" s="138">
        <f>SUMIFS(tbl_task5[S131],tbl_task5[[SubPLOs]:[SubPLOs]],"&gt;=4",tbl_task5[[SubPLOs]:[SubPLOs]],"&lt;5")</f>
        <v>0</v>
      </c>
      <c r="EG37" s="138">
        <f>SUMIFS(tbl_task5[S132],tbl_task5[[SubPLOs]:[SubPLOs]],"&gt;=4",tbl_task5[[SubPLOs]:[SubPLOs]],"&lt;5")</f>
        <v>0</v>
      </c>
      <c r="EH37" s="138">
        <f>SUMIFS(tbl_task5[S133],tbl_task5[[SubPLOs]:[SubPLOs]],"&gt;=4",tbl_task5[[SubPLOs]:[SubPLOs]],"&lt;5")</f>
        <v>0</v>
      </c>
      <c r="EI37" s="138">
        <f>SUMIFS(tbl_task5[S134],tbl_task5[[SubPLOs]:[SubPLOs]],"&gt;=4",tbl_task5[[SubPLOs]:[SubPLOs]],"&lt;5")</f>
        <v>0</v>
      </c>
      <c r="EJ37" s="138">
        <f>SUMIFS(tbl_task5[S135],tbl_task5[[SubPLOs]:[SubPLOs]],"&gt;=4",tbl_task5[[SubPLOs]:[SubPLOs]],"&lt;5")</f>
        <v>0</v>
      </c>
      <c r="EK37" s="138">
        <f>SUMIFS(tbl_task5[S136],tbl_task5[[SubPLOs]:[SubPLOs]],"&gt;=4",tbl_task5[[SubPLOs]:[SubPLOs]],"&lt;5")</f>
        <v>0</v>
      </c>
      <c r="EL37" s="138">
        <f>SUMIFS(tbl_task5[S137],tbl_task5[[SubPLOs]:[SubPLOs]],"&gt;=4",tbl_task5[[SubPLOs]:[SubPLOs]],"&lt;5")</f>
        <v>0</v>
      </c>
      <c r="EM37" s="138">
        <f>SUMIFS(tbl_task5[S138],tbl_task5[[SubPLOs]:[SubPLOs]],"&gt;=4",tbl_task5[[SubPLOs]:[SubPLOs]],"&lt;5")</f>
        <v>0</v>
      </c>
      <c r="EN37" s="138">
        <f>SUMIFS(tbl_task5[S139],tbl_task5[[SubPLOs]:[SubPLOs]],"&gt;=4",tbl_task5[[SubPLOs]:[SubPLOs]],"&lt;5")</f>
        <v>0</v>
      </c>
      <c r="EO37" s="138">
        <f>SUMIFS(tbl_task5[S140],tbl_task5[[SubPLOs]:[SubPLOs]],"&gt;=4",tbl_task5[[SubPLOs]:[SubPLOs]],"&lt;5")</f>
        <v>0</v>
      </c>
      <c r="EP37" s="138">
        <f>SUMIFS(tbl_task5[S141],tbl_task5[[SubPLOs]:[SubPLOs]],"&gt;=4",tbl_task5[[SubPLOs]:[SubPLOs]],"&lt;5")</f>
        <v>0</v>
      </c>
      <c r="EQ37" s="138">
        <f>SUMIFS(tbl_task5[S142],tbl_task5[[SubPLOs]:[SubPLOs]],"&gt;=4",tbl_task5[[SubPLOs]:[SubPLOs]],"&lt;5")</f>
        <v>0</v>
      </c>
      <c r="ER37" s="138">
        <f>SUMIFS(tbl_task5[S143],tbl_task5[[SubPLOs]:[SubPLOs]],"&gt;=4",tbl_task5[[SubPLOs]:[SubPLOs]],"&lt;5")</f>
        <v>0</v>
      </c>
      <c r="ES37" s="138">
        <f>SUMIFS(tbl_task5[S144],tbl_task5[[SubPLOs]:[SubPLOs]],"&gt;=4",tbl_task5[[SubPLOs]:[SubPLOs]],"&lt;5")</f>
        <v>0</v>
      </c>
      <c r="ET37" s="138">
        <f>SUMIFS(tbl_task5[S145],tbl_task5[[SubPLOs]:[SubPLOs]],"&gt;=4",tbl_task5[[SubPLOs]:[SubPLOs]],"&lt;5")</f>
        <v>0</v>
      </c>
      <c r="EU37" s="138">
        <f>SUMIFS(tbl_task5[S146],tbl_task5[[SubPLOs]:[SubPLOs]],"&gt;=4",tbl_task5[[SubPLOs]:[SubPLOs]],"&lt;5")</f>
        <v>0</v>
      </c>
      <c r="EV37" s="138">
        <f>SUMIFS(tbl_task5[S147],tbl_task5[[SubPLOs]:[SubPLOs]],"&gt;=4",tbl_task5[[SubPLOs]:[SubPLOs]],"&lt;5")</f>
        <v>0</v>
      </c>
      <c r="EW37" s="138">
        <f>SUMIFS(tbl_task5[S148],tbl_task5[[SubPLOs]:[SubPLOs]],"&gt;=4",tbl_task5[[SubPLOs]:[SubPLOs]],"&lt;5")</f>
        <v>0</v>
      </c>
      <c r="EX37" s="138">
        <f>SUMIFS(tbl_task5[S149],tbl_task5[[SubPLOs]:[SubPLOs]],"&gt;=4",tbl_task5[[SubPLOs]:[SubPLOs]],"&lt;5")</f>
        <v>0</v>
      </c>
      <c r="EY37" s="138">
        <f>SUMIFS(tbl_task5[S150],tbl_task5[[SubPLOs]:[SubPLOs]],"&gt;=4",tbl_task5[[SubPLOs]:[SubPLOs]],"&lt;5")</f>
        <v>0</v>
      </c>
      <c r="EZ37" s="138">
        <f>SUMIFS(tbl_task5[S151],tbl_task5[[SubPLOs]:[SubPLOs]],"&gt;=4",tbl_task5[[SubPLOs]:[SubPLOs]],"&lt;5")</f>
        <v>0</v>
      </c>
      <c r="FA37" s="138">
        <f>SUMIFS(tbl_task5[S152],tbl_task5[[SubPLOs]:[SubPLOs]],"&gt;=4",tbl_task5[[SubPLOs]:[SubPLOs]],"&lt;5")</f>
        <v>0</v>
      </c>
      <c r="FB37" s="138">
        <f>SUMIFS(tbl_task5[S153],tbl_task5[[SubPLOs]:[SubPLOs]],"&gt;=4",tbl_task5[[SubPLOs]:[SubPLOs]],"&lt;5")</f>
        <v>0</v>
      </c>
      <c r="FC37" s="138">
        <f>SUMIFS(tbl_task5[S154],tbl_task5[[SubPLOs]:[SubPLOs]],"&gt;=4",tbl_task5[[SubPLOs]:[SubPLOs]],"&lt;5")</f>
        <v>0</v>
      </c>
      <c r="FD37" s="138">
        <f>SUMIFS(tbl_task5[S155],tbl_task5[[SubPLOs]:[SubPLOs]],"&gt;=4",tbl_task5[[SubPLOs]:[SubPLOs]],"&lt;5")</f>
        <v>0</v>
      </c>
      <c r="FE37" s="138">
        <f>SUMIFS(tbl_task5[S156],tbl_task5[[SubPLOs]:[SubPLOs]],"&gt;=4",tbl_task5[[SubPLOs]:[SubPLOs]],"&lt;5")</f>
        <v>0</v>
      </c>
      <c r="FF37" s="138">
        <f>SUMIFS(tbl_task5[S157],tbl_task5[[SubPLOs]:[SubPLOs]],"&gt;=4",tbl_task5[[SubPLOs]:[SubPLOs]],"&lt;5")</f>
        <v>0</v>
      </c>
      <c r="FG37" s="138">
        <f>SUMIFS(tbl_task5[S158],tbl_task5[[SubPLOs]:[SubPLOs]],"&gt;=4",tbl_task5[[SubPLOs]:[SubPLOs]],"&lt;5")</f>
        <v>0</v>
      </c>
      <c r="FH37" s="138">
        <f>SUMIFS(tbl_task5[S159],tbl_task5[[SubPLOs]:[SubPLOs]],"&gt;=4",tbl_task5[[SubPLOs]:[SubPLOs]],"&lt;5")</f>
        <v>0</v>
      </c>
      <c r="FI37" s="138">
        <f>SUMIFS(tbl_task5[S160],tbl_task5[[SubPLOs]:[SubPLOs]],"&gt;=4",tbl_task5[[SubPLOs]:[SubPLOs]],"&lt;5")</f>
        <v>0</v>
      </c>
      <c r="FJ37" s="138">
        <f>SUMIFS(tbl_task5[S161],tbl_task5[[SubPLOs]:[SubPLOs]],"&gt;=4",tbl_task5[[SubPLOs]:[SubPLOs]],"&lt;5")</f>
        <v>0</v>
      </c>
      <c r="FK37" s="138">
        <f>SUMIFS(tbl_task5[S162],tbl_task5[[SubPLOs]:[SubPLOs]],"&gt;=4",tbl_task5[[SubPLOs]:[SubPLOs]],"&lt;5")</f>
        <v>0</v>
      </c>
      <c r="FL37" s="138">
        <f>SUMIFS(tbl_task5[S163],tbl_task5[[SubPLOs]:[SubPLOs]],"&gt;=4",tbl_task5[[SubPLOs]:[SubPLOs]],"&lt;5")</f>
        <v>0</v>
      </c>
      <c r="FM37" s="138">
        <f>SUMIFS(tbl_task5[S164],tbl_task5[[SubPLOs]:[SubPLOs]],"&gt;=4",tbl_task5[[SubPLOs]:[SubPLOs]],"&lt;5")</f>
        <v>0</v>
      </c>
      <c r="FN37" s="138">
        <f>SUMIFS(tbl_task5[S165],tbl_task5[[SubPLOs]:[SubPLOs]],"&gt;=4",tbl_task5[[SubPLOs]:[SubPLOs]],"&lt;5")</f>
        <v>0</v>
      </c>
    </row>
    <row r="38" spans="1:170" ht="84" x14ac:dyDescent="0.25">
      <c r="A38" s="135">
        <v>5</v>
      </c>
      <c r="B38" s="5" t="s">
        <v>438</v>
      </c>
      <c r="C38" s="136">
        <f>COUNTIFS(tbl_task5[SubPLOs],"&gt;=5",tbl_task5[SubPLOs],"&lt;6")</f>
        <v>0</v>
      </c>
      <c r="D38" s="136">
        <f>SUMIFS(tbl_task5[คะแนนเต็ม],tbl_task5[SubPLOs],"&gt;=5",tbl_task5[SubPLOs],"&lt;6")</f>
        <v>0</v>
      </c>
      <c r="E38" s="137">
        <f>SUMIFS(tbl_task5[%],tbl_task5[SubPLOs],"&gt;=5",tbl_task5[SubPLOs],"&lt;6")</f>
        <v>0</v>
      </c>
      <c r="F38" s="138">
        <f>SUMIFS(tbl_task5[S1],tbl_task5[[SubPLOs]:[SubPLOs]],"&gt;=5",tbl_task5[[SubPLOs]:[SubPLOs]],"&lt;6")</f>
        <v>0</v>
      </c>
      <c r="G38" s="138">
        <f>SUMIFS(tbl_task5[S2],tbl_task5[[SubPLOs]:[SubPLOs]],"&gt;=5",tbl_task5[[SubPLOs]:[SubPLOs]],"&lt;6")</f>
        <v>0</v>
      </c>
      <c r="H38" s="138">
        <f>SUMIFS(tbl_task5[S3],tbl_task5[[SubPLOs]:[SubPLOs]],"&gt;=5",tbl_task5[[SubPLOs]:[SubPLOs]],"&lt;6")</f>
        <v>0</v>
      </c>
      <c r="I38" s="138">
        <f>SUMIFS(tbl_task5[S4],tbl_task5[[SubPLOs]:[SubPLOs]],"&gt;=5",tbl_task5[[SubPLOs]:[SubPLOs]],"&lt;6")</f>
        <v>0</v>
      </c>
      <c r="J38" s="138">
        <f>SUMIFS(tbl_task5[S5],tbl_task5[[SubPLOs]:[SubPLOs]],"&gt;=5",tbl_task5[[SubPLOs]:[SubPLOs]],"&lt;6")</f>
        <v>0</v>
      </c>
      <c r="K38" s="138">
        <f>SUMIFS(tbl_task5[S6],tbl_task5[[SubPLOs]:[SubPLOs]],"&gt;=5",tbl_task5[[SubPLOs]:[SubPLOs]],"&lt;6")</f>
        <v>0</v>
      </c>
      <c r="L38" s="138">
        <f>SUMIFS(tbl_task5[S7],tbl_task5[[SubPLOs]:[SubPLOs]],"&gt;=5",tbl_task5[[SubPLOs]:[SubPLOs]],"&lt;6")</f>
        <v>0</v>
      </c>
      <c r="M38" s="138">
        <f>SUMIFS(tbl_task5[S8],tbl_task5[[SubPLOs]:[SubPLOs]],"&gt;=5",tbl_task5[[SubPLOs]:[SubPLOs]],"&lt;6")</f>
        <v>0</v>
      </c>
      <c r="N38" s="138">
        <f>SUMIFS(tbl_task5[S9],tbl_task5[[SubPLOs]:[SubPLOs]],"&gt;=5",tbl_task5[[SubPLOs]:[SubPLOs]],"&lt;6")</f>
        <v>0</v>
      </c>
      <c r="O38" s="138">
        <f>SUMIFS(tbl_task5[S10],tbl_task5[[SubPLOs]:[SubPLOs]],"&gt;=5",tbl_task5[[SubPLOs]:[SubPLOs]],"&lt;6")</f>
        <v>0</v>
      </c>
      <c r="P38" s="138">
        <f>SUMIFS(tbl_task5[S11],tbl_task5[[SubPLOs]:[SubPLOs]],"&gt;=5",tbl_task5[[SubPLOs]:[SubPLOs]],"&lt;6")</f>
        <v>0</v>
      </c>
      <c r="Q38" s="138">
        <f>SUMIFS(tbl_task5[S12],tbl_task5[[SubPLOs]:[SubPLOs]],"&gt;=5",tbl_task5[[SubPLOs]:[SubPLOs]],"&lt;6")</f>
        <v>0</v>
      </c>
      <c r="R38" s="138">
        <f>SUMIFS(tbl_task5[S13],tbl_task5[[SubPLOs]:[SubPLOs]],"&gt;=5",tbl_task5[[SubPLOs]:[SubPLOs]],"&lt;6")</f>
        <v>0</v>
      </c>
      <c r="S38" s="138">
        <f>SUMIFS(tbl_task5[S14],tbl_task5[[SubPLOs]:[SubPLOs]],"&gt;=5",tbl_task5[[SubPLOs]:[SubPLOs]],"&lt;6")</f>
        <v>0</v>
      </c>
      <c r="T38" s="138">
        <f>SUMIFS(tbl_task5[S15],tbl_task5[[SubPLOs]:[SubPLOs]],"&gt;=5",tbl_task5[[SubPLOs]:[SubPLOs]],"&lt;6")</f>
        <v>0</v>
      </c>
      <c r="U38" s="138">
        <f>SUMIFS(tbl_task5[S16],tbl_task5[[SubPLOs]:[SubPLOs]],"&gt;=5",tbl_task5[[SubPLOs]:[SubPLOs]],"&lt;6")</f>
        <v>0</v>
      </c>
      <c r="V38" s="138">
        <f>SUMIFS(tbl_task5[S17],tbl_task5[[SubPLOs]:[SubPLOs]],"&gt;=5",tbl_task5[[SubPLOs]:[SubPLOs]],"&lt;6")</f>
        <v>0</v>
      </c>
      <c r="W38" s="138">
        <f>SUMIFS(tbl_task5[S18],tbl_task5[[SubPLOs]:[SubPLOs]],"&gt;=5",tbl_task5[[SubPLOs]:[SubPLOs]],"&lt;6")</f>
        <v>0</v>
      </c>
      <c r="X38" s="138">
        <f>SUMIFS(tbl_task5[S19],tbl_task5[[SubPLOs]:[SubPLOs]],"&gt;=5",tbl_task5[[SubPLOs]:[SubPLOs]],"&lt;6")</f>
        <v>0</v>
      </c>
      <c r="Y38" s="138">
        <f>SUMIFS(tbl_task5[S20],tbl_task5[[SubPLOs]:[SubPLOs]],"&gt;=5",tbl_task5[[SubPLOs]:[SubPLOs]],"&lt;6")</f>
        <v>0</v>
      </c>
      <c r="Z38" s="138">
        <f>SUMIFS(tbl_task5[S21],tbl_task5[[SubPLOs]:[SubPLOs]],"&gt;=5",tbl_task5[[SubPLOs]:[SubPLOs]],"&lt;6")</f>
        <v>0</v>
      </c>
      <c r="AA38" s="138">
        <f>SUMIFS(tbl_task5[S22],tbl_task5[[SubPLOs]:[SubPLOs]],"&gt;=5",tbl_task5[[SubPLOs]:[SubPLOs]],"&lt;6")</f>
        <v>0</v>
      </c>
      <c r="AB38" s="138">
        <f>SUMIFS(tbl_task5[S23],tbl_task5[[SubPLOs]:[SubPLOs]],"&gt;=5",tbl_task5[[SubPLOs]:[SubPLOs]],"&lt;6")</f>
        <v>0</v>
      </c>
      <c r="AC38" s="138">
        <f>SUMIFS(tbl_task5[S24],tbl_task5[[SubPLOs]:[SubPLOs]],"&gt;=5",tbl_task5[[SubPLOs]:[SubPLOs]],"&lt;6")</f>
        <v>0</v>
      </c>
      <c r="AD38" s="138">
        <f>SUMIFS(tbl_task5[S25],tbl_task5[[SubPLOs]:[SubPLOs]],"&gt;=5",tbl_task5[[SubPLOs]:[SubPLOs]],"&lt;6")</f>
        <v>0</v>
      </c>
      <c r="AE38" s="138">
        <f>SUMIFS(tbl_task5[S26],tbl_task5[[SubPLOs]:[SubPLOs]],"&gt;=5",tbl_task5[[SubPLOs]:[SubPLOs]],"&lt;6")</f>
        <v>0</v>
      </c>
      <c r="AF38" s="138">
        <f>SUMIFS(tbl_task5[S27],tbl_task5[[SubPLOs]:[SubPLOs]],"&gt;=5",tbl_task5[[SubPLOs]:[SubPLOs]],"&lt;6")</f>
        <v>0</v>
      </c>
      <c r="AG38" s="138">
        <f>SUMIFS(tbl_task5[S28],tbl_task5[[SubPLOs]:[SubPLOs]],"&gt;=5",tbl_task5[[SubPLOs]:[SubPLOs]],"&lt;6")</f>
        <v>0</v>
      </c>
      <c r="AH38" s="138">
        <f>SUMIFS(tbl_task5[S29],tbl_task5[[SubPLOs]:[SubPLOs]],"&gt;=5",tbl_task5[[SubPLOs]:[SubPLOs]],"&lt;6")</f>
        <v>0</v>
      </c>
      <c r="AI38" s="138">
        <f>SUMIFS(tbl_task5[S30],tbl_task5[[SubPLOs]:[SubPLOs]],"&gt;=5",tbl_task5[[SubPLOs]:[SubPLOs]],"&lt;6")</f>
        <v>0</v>
      </c>
      <c r="AJ38" s="138">
        <f>SUMIFS(tbl_task5[S31],tbl_task5[[SubPLOs]:[SubPLOs]],"&gt;=5",tbl_task5[[SubPLOs]:[SubPLOs]],"&lt;6")</f>
        <v>0</v>
      </c>
      <c r="AK38" s="138">
        <f>SUMIFS(tbl_task5[S32],tbl_task5[[SubPLOs]:[SubPLOs]],"&gt;=5",tbl_task5[[SubPLOs]:[SubPLOs]],"&lt;6")</f>
        <v>0</v>
      </c>
      <c r="AL38" s="138">
        <f>SUMIFS(tbl_task5[S33],tbl_task5[[SubPLOs]:[SubPLOs]],"&gt;=5",tbl_task5[[SubPLOs]:[SubPLOs]],"&lt;6")</f>
        <v>0</v>
      </c>
      <c r="AM38" s="138">
        <f>SUMIFS(tbl_task5[S34],tbl_task5[[SubPLOs]:[SubPLOs]],"&gt;=5",tbl_task5[[SubPLOs]:[SubPLOs]],"&lt;6")</f>
        <v>0</v>
      </c>
      <c r="AN38" s="138">
        <f>SUMIFS(tbl_task5[S35],tbl_task5[[SubPLOs]:[SubPLOs]],"&gt;=5",tbl_task5[[SubPLOs]:[SubPLOs]],"&lt;6")</f>
        <v>0</v>
      </c>
      <c r="AO38" s="138">
        <f>SUMIFS(tbl_task5[S36],tbl_task5[[SubPLOs]:[SubPLOs]],"&gt;=5",tbl_task5[[SubPLOs]:[SubPLOs]],"&lt;6")</f>
        <v>0</v>
      </c>
      <c r="AP38" s="138">
        <f>SUMIFS(tbl_task5[S37],tbl_task5[[SubPLOs]:[SubPLOs]],"&gt;=5",tbl_task5[[SubPLOs]:[SubPLOs]],"&lt;6")</f>
        <v>0</v>
      </c>
      <c r="AQ38" s="138">
        <f>SUMIFS(tbl_task5[S38],tbl_task5[[SubPLOs]:[SubPLOs]],"&gt;=5",tbl_task5[[SubPLOs]:[SubPLOs]],"&lt;6")</f>
        <v>0</v>
      </c>
      <c r="AR38" s="138">
        <f>SUMIFS(tbl_task5[S39],tbl_task5[[SubPLOs]:[SubPLOs]],"&gt;=5",tbl_task5[[SubPLOs]:[SubPLOs]],"&lt;6")</f>
        <v>0</v>
      </c>
      <c r="AS38" s="138">
        <f>SUMIFS(tbl_task5[S40],tbl_task5[[SubPLOs]:[SubPLOs]],"&gt;=5",tbl_task5[[SubPLOs]:[SubPLOs]],"&lt;6")</f>
        <v>0</v>
      </c>
      <c r="AT38" s="138">
        <f>SUMIFS(tbl_task5[S41],tbl_task5[[SubPLOs]:[SubPLOs]],"&gt;=5",tbl_task5[[SubPLOs]:[SubPLOs]],"&lt;6")</f>
        <v>0</v>
      </c>
      <c r="AU38" s="138">
        <f>SUMIFS(tbl_task5[S42],tbl_task5[[SubPLOs]:[SubPLOs]],"&gt;=5",tbl_task5[[SubPLOs]:[SubPLOs]],"&lt;6")</f>
        <v>0</v>
      </c>
      <c r="AV38" s="138">
        <f>SUMIFS(tbl_task5[S43],tbl_task5[[SubPLOs]:[SubPLOs]],"&gt;=5",tbl_task5[[SubPLOs]:[SubPLOs]],"&lt;6")</f>
        <v>0</v>
      </c>
      <c r="AW38" s="138">
        <f>SUMIFS(tbl_task5[S44],tbl_task5[[SubPLOs]:[SubPLOs]],"&gt;=5",tbl_task5[[SubPLOs]:[SubPLOs]],"&lt;6")</f>
        <v>0</v>
      </c>
      <c r="AX38" s="138">
        <f>SUMIFS(tbl_task5[S45],tbl_task5[[SubPLOs]:[SubPLOs]],"&gt;=5",tbl_task5[[SubPLOs]:[SubPLOs]],"&lt;6")</f>
        <v>0</v>
      </c>
      <c r="AY38" s="138">
        <f>SUMIFS(tbl_task5[S46],tbl_task5[[SubPLOs]:[SubPLOs]],"&gt;=5",tbl_task5[[SubPLOs]:[SubPLOs]],"&lt;6")</f>
        <v>0</v>
      </c>
      <c r="AZ38" s="138">
        <f>SUMIFS(tbl_task5[S47],tbl_task5[[SubPLOs]:[SubPLOs]],"&gt;=5",tbl_task5[[SubPLOs]:[SubPLOs]],"&lt;6")</f>
        <v>0</v>
      </c>
      <c r="BA38" s="138">
        <f>SUMIFS(tbl_task5[S48],tbl_task5[[SubPLOs]:[SubPLOs]],"&gt;=5",tbl_task5[[SubPLOs]:[SubPLOs]],"&lt;6")</f>
        <v>0</v>
      </c>
      <c r="BB38" s="138">
        <f>SUMIFS(tbl_task5[S49],tbl_task5[[SubPLOs]:[SubPLOs]],"&gt;=5",tbl_task5[[SubPLOs]:[SubPLOs]],"&lt;6")</f>
        <v>0</v>
      </c>
      <c r="BC38" s="138">
        <f>SUMIFS(tbl_task5[S50],tbl_task5[[SubPLOs]:[SubPLOs]],"&gt;=5",tbl_task5[[SubPLOs]:[SubPLOs]],"&lt;6")</f>
        <v>0</v>
      </c>
      <c r="BD38" s="138">
        <f>SUMIFS(tbl_task5[S51],tbl_task5[[SubPLOs]:[SubPLOs]],"&gt;=5",tbl_task5[[SubPLOs]:[SubPLOs]],"&lt;6")</f>
        <v>0</v>
      </c>
      <c r="BE38" s="138">
        <f>SUMIFS(tbl_task5[S52],tbl_task5[[SubPLOs]:[SubPLOs]],"&gt;=5",tbl_task5[[SubPLOs]:[SubPLOs]],"&lt;6")</f>
        <v>0</v>
      </c>
      <c r="BF38" s="138">
        <f>SUMIFS(tbl_task5[S53],tbl_task5[[SubPLOs]:[SubPLOs]],"&gt;=5",tbl_task5[[SubPLOs]:[SubPLOs]],"&lt;6")</f>
        <v>0</v>
      </c>
      <c r="BG38" s="138">
        <f>SUMIFS(tbl_task5[S54],tbl_task5[[SubPLOs]:[SubPLOs]],"&gt;=5",tbl_task5[[SubPLOs]:[SubPLOs]],"&lt;6")</f>
        <v>0</v>
      </c>
      <c r="BH38" s="138">
        <f>SUMIFS(tbl_task5[S55],tbl_task5[[SubPLOs]:[SubPLOs]],"&gt;=5",tbl_task5[[SubPLOs]:[SubPLOs]],"&lt;6")</f>
        <v>0</v>
      </c>
      <c r="BI38" s="138">
        <f>SUMIFS(tbl_task5[S56],tbl_task5[[SubPLOs]:[SubPLOs]],"&gt;=5",tbl_task5[[SubPLOs]:[SubPLOs]],"&lt;6")</f>
        <v>0</v>
      </c>
      <c r="BJ38" s="138">
        <f>SUMIFS(tbl_task5[S57],tbl_task5[[SubPLOs]:[SubPLOs]],"&gt;=5",tbl_task5[[SubPLOs]:[SubPLOs]],"&lt;6")</f>
        <v>0</v>
      </c>
      <c r="BK38" s="138">
        <f>SUMIFS(tbl_task5[S58],tbl_task5[[SubPLOs]:[SubPLOs]],"&gt;=5",tbl_task5[[SubPLOs]:[SubPLOs]],"&lt;6")</f>
        <v>0</v>
      </c>
      <c r="BL38" s="138">
        <f>SUMIFS(tbl_task5[S59],tbl_task5[[SubPLOs]:[SubPLOs]],"&gt;=5",tbl_task5[[SubPLOs]:[SubPLOs]],"&lt;6")</f>
        <v>0</v>
      </c>
      <c r="BM38" s="138">
        <f>SUMIFS(tbl_task5[S60],tbl_task5[[SubPLOs]:[SubPLOs]],"&gt;=5",tbl_task5[[SubPLOs]:[SubPLOs]],"&lt;6")</f>
        <v>0</v>
      </c>
      <c r="BN38" s="138">
        <f>SUMIFS(tbl_task5[S61],tbl_task5[[SubPLOs]:[SubPLOs]],"&gt;=5",tbl_task5[[SubPLOs]:[SubPLOs]],"&lt;6")</f>
        <v>0</v>
      </c>
      <c r="BO38" s="138">
        <f>SUMIFS(tbl_task5[S62],tbl_task5[[SubPLOs]:[SubPLOs]],"&gt;=5",tbl_task5[[SubPLOs]:[SubPLOs]],"&lt;6")</f>
        <v>0</v>
      </c>
      <c r="BP38" s="138">
        <f>SUMIFS(tbl_task5[S63],tbl_task5[[SubPLOs]:[SubPLOs]],"&gt;=5",tbl_task5[[SubPLOs]:[SubPLOs]],"&lt;6")</f>
        <v>0</v>
      </c>
      <c r="BQ38" s="138">
        <f>SUMIFS(tbl_task5[S64],tbl_task5[[SubPLOs]:[SubPLOs]],"&gt;=5",tbl_task5[[SubPLOs]:[SubPLOs]],"&lt;6")</f>
        <v>0</v>
      </c>
      <c r="BR38" s="138">
        <f>SUMIFS(tbl_task5[S65],tbl_task5[[SubPLOs]:[SubPLOs]],"&gt;=5",tbl_task5[[SubPLOs]:[SubPLOs]],"&lt;6")</f>
        <v>0</v>
      </c>
      <c r="BS38" s="138">
        <f>SUMIFS(tbl_task5[S66],tbl_task5[[SubPLOs]:[SubPLOs]],"&gt;=5",tbl_task5[[SubPLOs]:[SubPLOs]],"&lt;6")</f>
        <v>0</v>
      </c>
      <c r="BT38" s="138">
        <f>SUMIFS(tbl_task5[S67],tbl_task5[[SubPLOs]:[SubPLOs]],"&gt;=5",tbl_task5[[SubPLOs]:[SubPLOs]],"&lt;6")</f>
        <v>0</v>
      </c>
      <c r="BU38" s="138">
        <f>SUMIFS(tbl_task5[S68],tbl_task5[[SubPLOs]:[SubPLOs]],"&gt;=5",tbl_task5[[SubPLOs]:[SubPLOs]],"&lt;6")</f>
        <v>0</v>
      </c>
      <c r="BV38" s="138">
        <f>SUMIFS(tbl_task5[S69],tbl_task5[[SubPLOs]:[SubPLOs]],"&gt;=5",tbl_task5[[SubPLOs]:[SubPLOs]],"&lt;6")</f>
        <v>0</v>
      </c>
      <c r="BW38" s="138">
        <f>SUMIFS(tbl_task5[S70],tbl_task5[[SubPLOs]:[SubPLOs]],"&gt;=5",tbl_task5[[SubPLOs]:[SubPLOs]],"&lt;6")</f>
        <v>0</v>
      </c>
      <c r="BX38" s="138">
        <f>SUMIFS(tbl_task5[S71],tbl_task5[[SubPLOs]:[SubPLOs]],"&gt;=5",tbl_task5[[SubPLOs]:[SubPLOs]],"&lt;6")</f>
        <v>0</v>
      </c>
      <c r="BY38" s="138">
        <f>SUMIFS(tbl_task5[S72],tbl_task5[[SubPLOs]:[SubPLOs]],"&gt;=5",tbl_task5[[SubPLOs]:[SubPLOs]],"&lt;6")</f>
        <v>0</v>
      </c>
      <c r="BZ38" s="138">
        <f>SUMIFS(tbl_task5[S73],tbl_task5[[SubPLOs]:[SubPLOs]],"&gt;=5",tbl_task5[[SubPLOs]:[SubPLOs]],"&lt;6")</f>
        <v>0</v>
      </c>
      <c r="CA38" s="138">
        <f>SUMIFS(tbl_task5[S74],tbl_task5[[SubPLOs]:[SubPLOs]],"&gt;=5",tbl_task5[[SubPLOs]:[SubPLOs]],"&lt;6")</f>
        <v>0</v>
      </c>
      <c r="CB38" s="138">
        <f>SUMIFS(tbl_task5[S75],tbl_task5[[SubPLOs]:[SubPLOs]],"&gt;=5",tbl_task5[[SubPLOs]:[SubPLOs]],"&lt;6")</f>
        <v>0</v>
      </c>
      <c r="CC38" s="138">
        <f>SUMIFS(tbl_task5[S76],tbl_task5[[SubPLOs]:[SubPLOs]],"&gt;=5",tbl_task5[[SubPLOs]:[SubPLOs]],"&lt;6")</f>
        <v>0</v>
      </c>
      <c r="CD38" s="138">
        <f>SUMIFS(tbl_task5[S77],tbl_task5[[SubPLOs]:[SubPLOs]],"&gt;=5",tbl_task5[[SubPLOs]:[SubPLOs]],"&lt;6")</f>
        <v>0</v>
      </c>
      <c r="CE38" s="138">
        <f>SUMIFS(tbl_task5[S78],tbl_task5[[SubPLOs]:[SubPLOs]],"&gt;=5",tbl_task5[[SubPLOs]:[SubPLOs]],"&lt;6")</f>
        <v>0</v>
      </c>
      <c r="CF38" s="138">
        <f>SUMIFS(tbl_task5[S79],tbl_task5[[SubPLOs]:[SubPLOs]],"&gt;=5",tbl_task5[[SubPLOs]:[SubPLOs]],"&lt;6")</f>
        <v>0</v>
      </c>
      <c r="CG38" s="138">
        <f>SUMIFS(tbl_task5[S80],tbl_task5[[SubPLOs]:[SubPLOs]],"&gt;=5",tbl_task5[[SubPLOs]:[SubPLOs]],"&lt;6")</f>
        <v>0</v>
      </c>
      <c r="CH38" s="138">
        <f>SUMIFS(tbl_task5[S81],tbl_task5[[SubPLOs]:[SubPLOs]],"&gt;=5",tbl_task5[[SubPLOs]:[SubPLOs]],"&lt;6")</f>
        <v>0</v>
      </c>
      <c r="CI38" s="138">
        <f>SUMIFS(tbl_task5[S82],tbl_task5[[SubPLOs]:[SubPLOs]],"&gt;=5",tbl_task5[[SubPLOs]:[SubPLOs]],"&lt;6")</f>
        <v>0</v>
      </c>
      <c r="CJ38" s="138">
        <f>SUMIFS(tbl_task5[S83],tbl_task5[[SubPLOs]:[SubPLOs]],"&gt;=5",tbl_task5[[SubPLOs]:[SubPLOs]],"&lt;6")</f>
        <v>0</v>
      </c>
      <c r="CK38" s="138">
        <f>SUMIFS(tbl_task5[S84],tbl_task5[[SubPLOs]:[SubPLOs]],"&gt;=5",tbl_task5[[SubPLOs]:[SubPLOs]],"&lt;6")</f>
        <v>0</v>
      </c>
      <c r="CL38" s="138">
        <f>SUMIFS(tbl_task5[S85],tbl_task5[[SubPLOs]:[SubPLOs]],"&gt;=5",tbl_task5[[SubPLOs]:[SubPLOs]],"&lt;6")</f>
        <v>0</v>
      </c>
      <c r="CM38" s="138">
        <f>SUMIFS(tbl_task5[S86],tbl_task5[[SubPLOs]:[SubPLOs]],"&gt;=5",tbl_task5[[SubPLOs]:[SubPLOs]],"&lt;6")</f>
        <v>0</v>
      </c>
      <c r="CN38" s="138">
        <f>SUMIFS(tbl_task5[S87],tbl_task5[[SubPLOs]:[SubPLOs]],"&gt;=5",tbl_task5[[SubPLOs]:[SubPLOs]],"&lt;6")</f>
        <v>0</v>
      </c>
      <c r="CO38" s="138">
        <f>SUMIFS(tbl_task5[S88],tbl_task5[[SubPLOs]:[SubPLOs]],"&gt;=5",tbl_task5[[SubPLOs]:[SubPLOs]],"&lt;6")</f>
        <v>0</v>
      </c>
      <c r="CP38" s="138">
        <f>SUMIFS(tbl_task5[S89],tbl_task5[[SubPLOs]:[SubPLOs]],"&gt;=5",tbl_task5[[SubPLOs]:[SubPLOs]],"&lt;6")</f>
        <v>0</v>
      </c>
      <c r="CQ38" s="138">
        <f>SUMIFS(tbl_task5[S90],tbl_task5[[SubPLOs]:[SubPLOs]],"&gt;=5",tbl_task5[[SubPLOs]:[SubPLOs]],"&lt;6")</f>
        <v>0</v>
      </c>
      <c r="CR38" s="138">
        <f>SUMIFS(tbl_task5[S91],tbl_task5[[SubPLOs]:[SubPLOs]],"&gt;=5",tbl_task5[[SubPLOs]:[SubPLOs]],"&lt;6")</f>
        <v>0</v>
      </c>
      <c r="CS38" s="138">
        <f>SUMIFS(tbl_task5[S92],tbl_task5[[SubPLOs]:[SubPLOs]],"&gt;=5",tbl_task5[[SubPLOs]:[SubPLOs]],"&lt;6")</f>
        <v>0</v>
      </c>
      <c r="CT38" s="138">
        <f>SUMIFS(tbl_task5[S93],tbl_task5[[SubPLOs]:[SubPLOs]],"&gt;=5",tbl_task5[[SubPLOs]:[SubPLOs]],"&lt;6")</f>
        <v>0</v>
      </c>
      <c r="CU38" s="138">
        <f>SUMIFS(tbl_task5[S94],tbl_task5[[SubPLOs]:[SubPLOs]],"&gt;=5",tbl_task5[[SubPLOs]:[SubPLOs]],"&lt;6")</f>
        <v>0</v>
      </c>
      <c r="CV38" s="138">
        <f>SUMIFS(tbl_task5[S95],tbl_task5[[SubPLOs]:[SubPLOs]],"&gt;=5",tbl_task5[[SubPLOs]:[SubPLOs]],"&lt;6")</f>
        <v>0</v>
      </c>
      <c r="CW38" s="138">
        <f>SUMIFS(tbl_task5[S96],tbl_task5[[SubPLOs]:[SubPLOs]],"&gt;=5",tbl_task5[[SubPLOs]:[SubPLOs]],"&lt;6")</f>
        <v>0</v>
      </c>
      <c r="CX38" s="138">
        <f>SUMIFS(tbl_task5[S97],tbl_task5[[SubPLOs]:[SubPLOs]],"&gt;=5",tbl_task5[[SubPLOs]:[SubPLOs]],"&lt;6")</f>
        <v>0</v>
      </c>
      <c r="CY38" s="138">
        <f>SUMIFS(tbl_task5[S98],tbl_task5[[SubPLOs]:[SubPLOs]],"&gt;=5",tbl_task5[[SubPLOs]:[SubPLOs]],"&lt;6")</f>
        <v>0</v>
      </c>
      <c r="CZ38" s="138">
        <f>SUMIFS(tbl_task5[S99],tbl_task5[[SubPLOs]:[SubPLOs]],"&gt;=5",tbl_task5[[SubPLOs]:[SubPLOs]],"&lt;6")</f>
        <v>0</v>
      </c>
      <c r="DA38" s="138">
        <f>SUMIFS(tbl_task5[S100],tbl_task5[[SubPLOs]:[SubPLOs]],"&gt;=5",tbl_task5[[SubPLOs]:[SubPLOs]],"&lt;6")</f>
        <v>0</v>
      </c>
      <c r="DB38" s="138">
        <f>SUMIFS(tbl_task5[S101],tbl_task5[[SubPLOs]:[SubPLOs]],"&gt;=5",tbl_task5[[SubPLOs]:[SubPLOs]],"&lt;6")</f>
        <v>0</v>
      </c>
      <c r="DC38" s="138">
        <f>SUMIFS(tbl_task5[S102],tbl_task5[[SubPLOs]:[SubPLOs]],"&gt;=5",tbl_task5[[SubPLOs]:[SubPLOs]],"&lt;6")</f>
        <v>0</v>
      </c>
      <c r="DD38" s="138">
        <f>SUMIFS(tbl_task5[S103],tbl_task5[[SubPLOs]:[SubPLOs]],"&gt;=5",tbl_task5[[SubPLOs]:[SubPLOs]],"&lt;6")</f>
        <v>0</v>
      </c>
      <c r="DE38" s="138">
        <f>SUMIFS(tbl_task5[S104],tbl_task5[[SubPLOs]:[SubPLOs]],"&gt;=5",tbl_task5[[SubPLOs]:[SubPLOs]],"&lt;6")</f>
        <v>0</v>
      </c>
      <c r="DF38" s="138">
        <f>SUMIFS(tbl_task5[S105],tbl_task5[[SubPLOs]:[SubPLOs]],"&gt;=5",tbl_task5[[SubPLOs]:[SubPLOs]],"&lt;6")</f>
        <v>0</v>
      </c>
      <c r="DG38" s="138">
        <f>SUMIFS(tbl_task5[S106],tbl_task5[[SubPLOs]:[SubPLOs]],"&gt;=5",tbl_task5[[SubPLOs]:[SubPLOs]],"&lt;6")</f>
        <v>0</v>
      </c>
      <c r="DH38" s="138">
        <f>SUMIFS(tbl_task5[S106],tbl_task5[[SubPLOs]:[SubPLOs]],"&gt;=5",tbl_task5[[SubPLOs]:[SubPLOs]],"&lt;6")</f>
        <v>0</v>
      </c>
      <c r="DI38" s="138">
        <f>SUMIFS(tbl_task5[S108],tbl_task5[[SubPLOs]:[SubPLOs]],"&gt;=5",tbl_task5[[SubPLOs]:[SubPLOs]],"&lt;6")</f>
        <v>0</v>
      </c>
      <c r="DJ38" s="138">
        <f>SUMIFS(tbl_task5[S109],tbl_task5[[SubPLOs]:[SubPLOs]],"&gt;=5",tbl_task5[[SubPLOs]:[SubPLOs]],"&lt;6")</f>
        <v>0</v>
      </c>
      <c r="DK38" s="138">
        <f>SUMIFS(tbl_task5[S110],tbl_task5[[SubPLOs]:[SubPLOs]],"&gt;=5",tbl_task5[[SubPLOs]:[SubPLOs]],"&lt;6")</f>
        <v>0</v>
      </c>
      <c r="DL38" s="138">
        <f>SUMIFS(tbl_task5[S111],tbl_task5[[SubPLOs]:[SubPLOs]],"&gt;=5",tbl_task5[[SubPLOs]:[SubPLOs]],"&lt;6")</f>
        <v>0</v>
      </c>
      <c r="DM38" s="138">
        <f>SUMIFS(tbl_task5[S112],tbl_task5[[SubPLOs]:[SubPLOs]],"&gt;=5",tbl_task5[[SubPLOs]:[SubPLOs]],"&lt;6")</f>
        <v>0</v>
      </c>
      <c r="DN38" s="138">
        <f>SUMIFS(tbl_task5[S113],tbl_task5[[SubPLOs]:[SubPLOs]],"&gt;=5",tbl_task5[[SubPLOs]:[SubPLOs]],"&lt;6")</f>
        <v>0</v>
      </c>
      <c r="DO38" s="138">
        <f>SUMIFS(tbl_task5[S114],tbl_task5[[SubPLOs]:[SubPLOs]],"&gt;=5",tbl_task5[[SubPLOs]:[SubPLOs]],"&lt;6")</f>
        <v>0</v>
      </c>
      <c r="DP38" s="138">
        <f>SUMIFS(tbl_task5[S115],tbl_task5[[SubPLOs]:[SubPLOs]],"&gt;=5",tbl_task5[[SubPLOs]:[SubPLOs]],"&lt;6")</f>
        <v>0</v>
      </c>
      <c r="DQ38" s="138">
        <f>SUMIFS(tbl_task5[S116],tbl_task5[[SubPLOs]:[SubPLOs]],"&gt;=5",tbl_task5[[SubPLOs]:[SubPLOs]],"&lt;6")</f>
        <v>0</v>
      </c>
      <c r="DR38" s="138">
        <f>SUMIFS(tbl_task5[S117],tbl_task5[[SubPLOs]:[SubPLOs]],"&gt;=5",tbl_task5[[SubPLOs]:[SubPLOs]],"&lt;6")</f>
        <v>0</v>
      </c>
      <c r="DS38" s="138">
        <f>SUMIFS(tbl_task5[S118],tbl_task5[[SubPLOs]:[SubPLOs]],"&gt;=5",tbl_task5[[SubPLOs]:[SubPLOs]],"&lt;6")</f>
        <v>0</v>
      </c>
      <c r="DT38" s="138">
        <f>SUMIFS(tbl_task5[S119],tbl_task5[[SubPLOs]:[SubPLOs]],"&gt;=5",tbl_task5[[SubPLOs]:[SubPLOs]],"&lt;6")</f>
        <v>0</v>
      </c>
      <c r="DU38" s="138">
        <f>SUMIFS(tbl_task5[S120],tbl_task5[[SubPLOs]:[SubPLOs]],"&gt;=5",tbl_task5[[SubPLOs]:[SubPLOs]],"&lt;6")</f>
        <v>0</v>
      </c>
      <c r="DV38" s="138">
        <f>SUMIFS(tbl_task5[S121],tbl_task5[[SubPLOs]:[SubPLOs]],"&gt;=5",tbl_task5[[SubPLOs]:[SubPLOs]],"&lt;6")</f>
        <v>0</v>
      </c>
      <c r="DW38" s="138">
        <f>SUMIFS(tbl_task5[S122],tbl_task5[[SubPLOs]:[SubPLOs]],"&gt;=5",tbl_task5[[SubPLOs]:[SubPLOs]],"&lt;6")</f>
        <v>0</v>
      </c>
      <c r="DX38" s="138">
        <f>SUMIFS(tbl_task5[S123],tbl_task5[[SubPLOs]:[SubPLOs]],"&gt;=5",tbl_task5[[SubPLOs]:[SubPLOs]],"&lt;6")</f>
        <v>0</v>
      </c>
      <c r="DY38" s="138">
        <f>SUMIFS(tbl_task5[S124],tbl_task5[[SubPLOs]:[SubPLOs]],"&gt;=5",tbl_task5[[SubPLOs]:[SubPLOs]],"&lt;6")</f>
        <v>0</v>
      </c>
      <c r="DZ38" s="138">
        <f>SUMIFS(tbl_task5[S125],tbl_task5[[SubPLOs]:[SubPLOs]],"&gt;=5",tbl_task5[[SubPLOs]:[SubPLOs]],"&lt;6")</f>
        <v>0</v>
      </c>
      <c r="EA38" s="138">
        <f>SUMIFS(tbl_task5[S126],tbl_task5[[SubPLOs]:[SubPLOs]],"&gt;=5",tbl_task5[[SubPLOs]:[SubPLOs]],"&lt;6")</f>
        <v>0</v>
      </c>
      <c r="EB38" s="138">
        <f>SUMIFS(tbl_task5[S127],tbl_task5[[SubPLOs]:[SubPLOs]],"&gt;=5",tbl_task5[[SubPLOs]:[SubPLOs]],"&lt;6")</f>
        <v>0</v>
      </c>
      <c r="EC38" s="138">
        <f>SUMIFS(tbl_task5[S128],tbl_task5[[SubPLOs]:[SubPLOs]],"&gt;=5",tbl_task5[[SubPLOs]:[SubPLOs]],"&lt;6")</f>
        <v>0</v>
      </c>
      <c r="ED38" s="138">
        <f>SUMIFS(tbl_task5[S129],tbl_task5[[SubPLOs]:[SubPLOs]],"&gt;=5",tbl_task5[[SubPLOs]:[SubPLOs]],"&lt;6")</f>
        <v>0</v>
      </c>
      <c r="EE38" s="138">
        <f>SUMIFS(tbl_task5[S130],tbl_task5[[SubPLOs]:[SubPLOs]],"&gt;=5",tbl_task5[[SubPLOs]:[SubPLOs]],"&lt;6")</f>
        <v>0</v>
      </c>
      <c r="EF38" s="138">
        <f>SUMIFS(tbl_task5[S131],tbl_task5[[SubPLOs]:[SubPLOs]],"&gt;=5",tbl_task5[[SubPLOs]:[SubPLOs]],"&lt;6")</f>
        <v>0</v>
      </c>
      <c r="EG38" s="138">
        <f>SUMIFS(tbl_task5[S132],tbl_task5[[SubPLOs]:[SubPLOs]],"&gt;=5",tbl_task5[[SubPLOs]:[SubPLOs]],"&lt;6")</f>
        <v>0</v>
      </c>
      <c r="EH38" s="138">
        <f>SUMIFS(tbl_task5[S133],tbl_task5[[SubPLOs]:[SubPLOs]],"&gt;=5",tbl_task5[[SubPLOs]:[SubPLOs]],"&lt;6")</f>
        <v>0</v>
      </c>
      <c r="EI38" s="138">
        <f>SUMIFS(tbl_task5[S134],tbl_task5[[SubPLOs]:[SubPLOs]],"&gt;=5",tbl_task5[[SubPLOs]:[SubPLOs]],"&lt;6")</f>
        <v>0</v>
      </c>
      <c r="EJ38" s="138">
        <f>SUMIFS(tbl_task5[S135],tbl_task5[[SubPLOs]:[SubPLOs]],"&gt;=5",tbl_task5[[SubPLOs]:[SubPLOs]],"&lt;6")</f>
        <v>0</v>
      </c>
      <c r="EK38" s="138">
        <f>SUMIFS(tbl_task5[S136],tbl_task5[[SubPLOs]:[SubPLOs]],"&gt;=5",tbl_task5[[SubPLOs]:[SubPLOs]],"&lt;6")</f>
        <v>0</v>
      </c>
      <c r="EL38" s="138">
        <f>SUMIFS(tbl_task5[S137],tbl_task5[[SubPLOs]:[SubPLOs]],"&gt;=5",tbl_task5[[SubPLOs]:[SubPLOs]],"&lt;6")</f>
        <v>0</v>
      </c>
      <c r="EM38" s="138">
        <f>SUMIFS(tbl_task5[S138],tbl_task5[[SubPLOs]:[SubPLOs]],"&gt;=5",tbl_task5[[SubPLOs]:[SubPLOs]],"&lt;6")</f>
        <v>0</v>
      </c>
      <c r="EN38" s="138">
        <f>SUMIFS(tbl_task5[S139],tbl_task5[[SubPLOs]:[SubPLOs]],"&gt;=5",tbl_task5[[SubPLOs]:[SubPLOs]],"&lt;6")</f>
        <v>0</v>
      </c>
      <c r="EO38" s="138">
        <f>SUMIFS(tbl_task5[S140],tbl_task5[[SubPLOs]:[SubPLOs]],"&gt;=5",tbl_task5[[SubPLOs]:[SubPLOs]],"&lt;6")</f>
        <v>0</v>
      </c>
      <c r="EP38" s="138">
        <f>SUMIFS(tbl_task5[S141],tbl_task5[[SubPLOs]:[SubPLOs]],"&gt;=5",tbl_task5[[SubPLOs]:[SubPLOs]],"&lt;6")</f>
        <v>0</v>
      </c>
      <c r="EQ38" s="138">
        <f>SUMIFS(tbl_task5[S142],tbl_task5[[SubPLOs]:[SubPLOs]],"&gt;=5",tbl_task5[[SubPLOs]:[SubPLOs]],"&lt;6")</f>
        <v>0</v>
      </c>
      <c r="ER38" s="138">
        <f>SUMIFS(tbl_task5[S143],tbl_task5[[SubPLOs]:[SubPLOs]],"&gt;=5",tbl_task5[[SubPLOs]:[SubPLOs]],"&lt;6")</f>
        <v>0</v>
      </c>
      <c r="ES38" s="138">
        <f>SUMIFS(tbl_task5[S144],tbl_task5[[SubPLOs]:[SubPLOs]],"&gt;=5",tbl_task5[[SubPLOs]:[SubPLOs]],"&lt;6")</f>
        <v>0</v>
      </c>
      <c r="ET38" s="138">
        <f>SUMIFS(tbl_task5[S145],tbl_task5[[SubPLOs]:[SubPLOs]],"&gt;=5",tbl_task5[[SubPLOs]:[SubPLOs]],"&lt;6")</f>
        <v>0</v>
      </c>
      <c r="EU38" s="138">
        <f>SUMIFS(tbl_task5[S146],tbl_task5[[SubPLOs]:[SubPLOs]],"&gt;=5",tbl_task5[[SubPLOs]:[SubPLOs]],"&lt;6")</f>
        <v>0</v>
      </c>
      <c r="EV38" s="138">
        <f>SUMIFS(tbl_task5[S147],tbl_task5[[SubPLOs]:[SubPLOs]],"&gt;=5",tbl_task5[[SubPLOs]:[SubPLOs]],"&lt;6")</f>
        <v>0</v>
      </c>
      <c r="EW38" s="138">
        <f>SUMIFS(tbl_task5[S148],tbl_task5[[SubPLOs]:[SubPLOs]],"&gt;=5",tbl_task5[[SubPLOs]:[SubPLOs]],"&lt;6")</f>
        <v>0</v>
      </c>
      <c r="EX38" s="138">
        <f>SUMIFS(tbl_task5[S149],tbl_task5[[SubPLOs]:[SubPLOs]],"&gt;=5",tbl_task5[[SubPLOs]:[SubPLOs]],"&lt;6")</f>
        <v>0</v>
      </c>
      <c r="EY38" s="138">
        <f>SUMIFS(tbl_task5[S150],tbl_task5[[SubPLOs]:[SubPLOs]],"&gt;=5",tbl_task5[[SubPLOs]:[SubPLOs]],"&lt;6")</f>
        <v>0</v>
      </c>
      <c r="EZ38" s="138">
        <f>SUMIFS(tbl_task5[S151],tbl_task5[[SubPLOs]:[SubPLOs]],"&gt;=5",tbl_task5[[SubPLOs]:[SubPLOs]],"&lt;6")</f>
        <v>0</v>
      </c>
      <c r="FA38" s="138">
        <f>SUMIFS(tbl_task5[S152],tbl_task5[[SubPLOs]:[SubPLOs]],"&gt;=5",tbl_task5[[SubPLOs]:[SubPLOs]],"&lt;6")</f>
        <v>0</v>
      </c>
      <c r="FB38" s="138">
        <f>SUMIFS(tbl_task5[S153],tbl_task5[[SubPLOs]:[SubPLOs]],"&gt;=5",tbl_task5[[SubPLOs]:[SubPLOs]],"&lt;6")</f>
        <v>0</v>
      </c>
      <c r="FC38" s="138">
        <f>SUMIFS(tbl_task5[S154],tbl_task5[[SubPLOs]:[SubPLOs]],"&gt;=5",tbl_task5[[SubPLOs]:[SubPLOs]],"&lt;6")</f>
        <v>0</v>
      </c>
      <c r="FD38" s="138">
        <f>SUMIFS(tbl_task5[S155],tbl_task5[[SubPLOs]:[SubPLOs]],"&gt;=5",tbl_task5[[SubPLOs]:[SubPLOs]],"&lt;6")</f>
        <v>0</v>
      </c>
      <c r="FE38" s="138">
        <f>SUMIFS(tbl_task5[S156],tbl_task5[[SubPLOs]:[SubPLOs]],"&gt;=5",tbl_task5[[SubPLOs]:[SubPLOs]],"&lt;6")</f>
        <v>0</v>
      </c>
      <c r="FF38" s="138">
        <f>SUMIFS(tbl_task5[S157],tbl_task5[[SubPLOs]:[SubPLOs]],"&gt;=5",tbl_task5[[SubPLOs]:[SubPLOs]],"&lt;6")</f>
        <v>0</v>
      </c>
      <c r="FG38" s="138">
        <f>SUMIFS(tbl_task5[S158],tbl_task5[[SubPLOs]:[SubPLOs]],"&gt;=5",tbl_task5[[SubPLOs]:[SubPLOs]],"&lt;6")</f>
        <v>0</v>
      </c>
      <c r="FH38" s="138">
        <f>SUMIFS(tbl_task5[S159],tbl_task5[[SubPLOs]:[SubPLOs]],"&gt;=5",tbl_task5[[SubPLOs]:[SubPLOs]],"&lt;6")</f>
        <v>0</v>
      </c>
      <c r="FI38" s="138">
        <f>SUMIFS(tbl_task5[S160],tbl_task5[[SubPLOs]:[SubPLOs]],"&gt;=5",tbl_task5[[SubPLOs]:[SubPLOs]],"&lt;6")</f>
        <v>0</v>
      </c>
      <c r="FJ38" s="138">
        <f>SUMIFS(tbl_task5[S161],tbl_task5[[SubPLOs]:[SubPLOs]],"&gt;=5",tbl_task5[[SubPLOs]:[SubPLOs]],"&lt;6")</f>
        <v>0</v>
      </c>
      <c r="FK38" s="138">
        <f>SUMIFS(tbl_task5[S162],tbl_task5[[SubPLOs]:[SubPLOs]],"&gt;=5",tbl_task5[[SubPLOs]:[SubPLOs]],"&lt;6")</f>
        <v>0</v>
      </c>
      <c r="FL38" s="138">
        <f>SUMIFS(tbl_task5[S163],tbl_task5[[SubPLOs]:[SubPLOs]],"&gt;=5",tbl_task5[[SubPLOs]:[SubPLOs]],"&lt;6")</f>
        <v>0</v>
      </c>
      <c r="FM38" s="138">
        <f>SUMIFS(tbl_task5[S164],tbl_task5[[SubPLOs]:[SubPLOs]],"&gt;=5",tbl_task5[[SubPLOs]:[SubPLOs]],"&lt;6")</f>
        <v>0</v>
      </c>
      <c r="FN38" s="138">
        <f>SUMIFS(tbl_task5[S165],tbl_task5[[SubPLOs]:[SubPLOs]],"&gt;=5",tbl_task5[[SubPLOs]:[SubPLOs]],"&lt;6")</f>
        <v>0</v>
      </c>
    </row>
    <row r="39" spans="1:170" ht="42" x14ac:dyDescent="0.25">
      <c r="A39" s="135">
        <v>6</v>
      </c>
      <c r="B39" s="5" t="s">
        <v>439</v>
      </c>
      <c r="C39" s="136">
        <f>COUNTIFS(tbl_task5[SubPLOs],"&gt;=6",tbl_task5[SubPLOs],"&lt;7")</f>
        <v>0</v>
      </c>
      <c r="D39" s="136">
        <f>SUMIFS(tbl_task5[คะแนนเต็ม],tbl_task5[SubPLOs],"&gt;=6",tbl_task5[SubPLOs],"&lt;7")</f>
        <v>0</v>
      </c>
      <c r="E39" s="137">
        <f>SUMIFS(tbl_task5[%],tbl_task5[SubPLOs],"&gt;=6",tbl_task5[SubPLOs],"&lt;7")</f>
        <v>0</v>
      </c>
      <c r="F39" s="138">
        <f>SUMIFS(tbl_task5[S1],tbl_task5[[SubPLOs]:[SubPLOs]],"&gt;=6",tbl_task5[[SubPLOs]:[SubPLOs]],"&lt;7")</f>
        <v>0</v>
      </c>
      <c r="G39" s="138">
        <f>SUMIFS(tbl_task5[S2],tbl_task5[[SubPLOs]:[SubPLOs]],"&gt;=6",tbl_task5[[SubPLOs]:[SubPLOs]],"&lt;7")</f>
        <v>0</v>
      </c>
      <c r="H39" s="138">
        <f>SUMIFS(tbl_task5[S3],tbl_task5[[SubPLOs]:[SubPLOs]],"&gt;=6",tbl_task5[[SubPLOs]:[SubPLOs]],"&lt;7")</f>
        <v>0</v>
      </c>
      <c r="I39" s="138">
        <f>SUMIFS(tbl_task5[S4],tbl_task5[[SubPLOs]:[SubPLOs]],"&gt;=6",tbl_task5[[SubPLOs]:[SubPLOs]],"&lt;7")</f>
        <v>0</v>
      </c>
      <c r="J39" s="138">
        <f>SUMIFS(tbl_task5[S5],tbl_task5[[SubPLOs]:[SubPLOs]],"&gt;=6",tbl_task5[[SubPLOs]:[SubPLOs]],"&lt;7")</f>
        <v>0</v>
      </c>
      <c r="K39" s="138">
        <f>SUMIFS(tbl_task5[S6],tbl_task5[[SubPLOs]:[SubPLOs]],"&gt;=6",tbl_task5[[SubPLOs]:[SubPLOs]],"&lt;7")</f>
        <v>0</v>
      </c>
      <c r="L39" s="138">
        <f>SUMIFS(tbl_task5[S7],tbl_task5[[SubPLOs]:[SubPLOs]],"&gt;=6",tbl_task5[[SubPLOs]:[SubPLOs]],"&lt;7")</f>
        <v>0</v>
      </c>
      <c r="M39" s="138">
        <f>SUMIFS(tbl_task5[S8],tbl_task5[[SubPLOs]:[SubPLOs]],"&gt;=6",tbl_task5[[SubPLOs]:[SubPLOs]],"&lt;7")</f>
        <v>0</v>
      </c>
      <c r="N39" s="138">
        <f>SUMIFS(tbl_task5[S9],tbl_task5[[SubPLOs]:[SubPLOs]],"&gt;=6",tbl_task5[[SubPLOs]:[SubPLOs]],"&lt;7")</f>
        <v>0</v>
      </c>
      <c r="O39" s="138">
        <f>SUMIFS(tbl_task5[S10],tbl_task5[[SubPLOs]:[SubPLOs]],"&gt;=6",tbl_task5[[SubPLOs]:[SubPLOs]],"&lt;7")</f>
        <v>0</v>
      </c>
      <c r="P39" s="138">
        <f>SUMIFS(tbl_task5[S11],tbl_task5[[SubPLOs]:[SubPLOs]],"&gt;=6",tbl_task5[[SubPLOs]:[SubPLOs]],"&lt;7")</f>
        <v>0</v>
      </c>
      <c r="Q39" s="138">
        <f>SUMIFS(tbl_task5[S12],tbl_task5[[SubPLOs]:[SubPLOs]],"&gt;=6",tbl_task5[[SubPLOs]:[SubPLOs]],"&lt;7")</f>
        <v>0</v>
      </c>
      <c r="R39" s="138">
        <f>SUMIFS(tbl_task5[S13],tbl_task5[[SubPLOs]:[SubPLOs]],"&gt;=6",tbl_task5[[SubPLOs]:[SubPLOs]],"&lt;7")</f>
        <v>0</v>
      </c>
      <c r="S39" s="138">
        <f>SUMIFS(tbl_task5[S14],tbl_task5[[SubPLOs]:[SubPLOs]],"&gt;=6",tbl_task5[[SubPLOs]:[SubPLOs]],"&lt;7")</f>
        <v>0</v>
      </c>
      <c r="T39" s="138">
        <f>SUMIFS(tbl_task5[S15],tbl_task5[[SubPLOs]:[SubPLOs]],"&gt;=6",tbl_task5[[SubPLOs]:[SubPLOs]],"&lt;7")</f>
        <v>0</v>
      </c>
      <c r="U39" s="138">
        <f>SUMIFS(tbl_task5[S16],tbl_task5[[SubPLOs]:[SubPLOs]],"&gt;=6",tbl_task5[[SubPLOs]:[SubPLOs]],"&lt;7")</f>
        <v>0</v>
      </c>
      <c r="V39" s="138">
        <f>SUMIFS(tbl_task5[S17],tbl_task5[[SubPLOs]:[SubPLOs]],"&gt;=6",tbl_task5[[SubPLOs]:[SubPLOs]],"&lt;7")</f>
        <v>0</v>
      </c>
      <c r="W39" s="138">
        <f>SUMIFS(tbl_task5[S18],tbl_task5[[SubPLOs]:[SubPLOs]],"&gt;=6",tbl_task5[[SubPLOs]:[SubPLOs]],"&lt;7")</f>
        <v>0</v>
      </c>
      <c r="X39" s="138">
        <f>SUMIFS(tbl_task5[S19],tbl_task5[[SubPLOs]:[SubPLOs]],"&gt;=6",tbl_task5[[SubPLOs]:[SubPLOs]],"&lt;7")</f>
        <v>0</v>
      </c>
      <c r="Y39" s="138">
        <f>SUMIFS(tbl_task5[S20],tbl_task5[[SubPLOs]:[SubPLOs]],"&gt;=6",tbl_task5[[SubPLOs]:[SubPLOs]],"&lt;7")</f>
        <v>0</v>
      </c>
      <c r="Z39" s="138">
        <f>SUMIFS(tbl_task5[S21],tbl_task5[[SubPLOs]:[SubPLOs]],"&gt;=6",tbl_task5[[SubPLOs]:[SubPLOs]],"&lt;7")</f>
        <v>0</v>
      </c>
      <c r="AA39" s="138">
        <f>SUMIFS(tbl_task5[S22],tbl_task5[[SubPLOs]:[SubPLOs]],"&gt;=6",tbl_task5[[SubPLOs]:[SubPLOs]],"&lt;7")</f>
        <v>0</v>
      </c>
      <c r="AB39" s="138">
        <f>SUMIFS(tbl_task5[S23],tbl_task5[[SubPLOs]:[SubPLOs]],"&gt;=6",tbl_task5[[SubPLOs]:[SubPLOs]],"&lt;7")</f>
        <v>0</v>
      </c>
      <c r="AC39" s="138">
        <f>SUMIFS(tbl_task5[S24],tbl_task5[[SubPLOs]:[SubPLOs]],"&gt;=6",tbl_task5[[SubPLOs]:[SubPLOs]],"&lt;7")</f>
        <v>0</v>
      </c>
      <c r="AD39" s="138">
        <f>SUMIFS(tbl_task5[S25],tbl_task5[[SubPLOs]:[SubPLOs]],"&gt;=6",tbl_task5[[SubPLOs]:[SubPLOs]],"&lt;7")</f>
        <v>0</v>
      </c>
      <c r="AE39" s="138">
        <f>SUMIFS(tbl_task5[S26],tbl_task5[[SubPLOs]:[SubPLOs]],"&gt;=6",tbl_task5[[SubPLOs]:[SubPLOs]],"&lt;7")</f>
        <v>0</v>
      </c>
      <c r="AF39" s="138">
        <f>SUMIFS(tbl_task5[S27],tbl_task5[[SubPLOs]:[SubPLOs]],"&gt;=6",tbl_task5[[SubPLOs]:[SubPLOs]],"&lt;7")</f>
        <v>0</v>
      </c>
      <c r="AG39" s="138">
        <f>SUMIFS(tbl_task5[S28],tbl_task5[[SubPLOs]:[SubPLOs]],"&gt;=6",tbl_task5[[SubPLOs]:[SubPLOs]],"&lt;7")</f>
        <v>0</v>
      </c>
      <c r="AH39" s="138">
        <f>SUMIFS(tbl_task5[S29],tbl_task5[[SubPLOs]:[SubPLOs]],"&gt;=6",tbl_task5[[SubPLOs]:[SubPLOs]],"&lt;7")</f>
        <v>0</v>
      </c>
      <c r="AI39" s="138">
        <f>SUMIFS(tbl_task5[S30],tbl_task5[[SubPLOs]:[SubPLOs]],"&gt;=6",tbl_task5[[SubPLOs]:[SubPLOs]],"&lt;7")</f>
        <v>0</v>
      </c>
      <c r="AJ39" s="138">
        <f>SUMIFS(tbl_task5[S31],tbl_task5[[SubPLOs]:[SubPLOs]],"&gt;=6",tbl_task5[[SubPLOs]:[SubPLOs]],"&lt;7")</f>
        <v>0</v>
      </c>
      <c r="AK39" s="138">
        <f>SUMIFS(tbl_task5[S32],tbl_task5[[SubPLOs]:[SubPLOs]],"&gt;=6",tbl_task5[[SubPLOs]:[SubPLOs]],"&lt;7")</f>
        <v>0</v>
      </c>
      <c r="AL39" s="138">
        <f>SUMIFS(tbl_task5[S33],tbl_task5[[SubPLOs]:[SubPLOs]],"&gt;=6",tbl_task5[[SubPLOs]:[SubPLOs]],"&lt;7")</f>
        <v>0</v>
      </c>
      <c r="AM39" s="138">
        <f>SUMIFS(tbl_task5[S34],tbl_task5[[SubPLOs]:[SubPLOs]],"&gt;=6",tbl_task5[[SubPLOs]:[SubPLOs]],"&lt;7")</f>
        <v>0</v>
      </c>
      <c r="AN39" s="138">
        <f>SUMIFS(tbl_task5[S35],tbl_task5[[SubPLOs]:[SubPLOs]],"&gt;=6",tbl_task5[[SubPLOs]:[SubPLOs]],"&lt;7")</f>
        <v>0</v>
      </c>
      <c r="AO39" s="138">
        <f>SUMIFS(tbl_task5[S36],tbl_task5[[SubPLOs]:[SubPLOs]],"&gt;=6",tbl_task5[[SubPLOs]:[SubPLOs]],"&lt;7")</f>
        <v>0</v>
      </c>
      <c r="AP39" s="138">
        <f>SUMIFS(tbl_task5[S37],tbl_task5[[SubPLOs]:[SubPLOs]],"&gt;=6",tbl_task5[[SubPLOs]:[SubPLOs]],"&lt;7")</f>
        <v>0</v>
      </c>
      <c r="AQ39" s="138">
        <f>SUMIFS(tbl_task5[S38],tbl_task5[[SubPLOs]:[SubPLOs]],"&gt;=6",tbl_task5[[SubPLOs]:[SubPLOs]],"&lt;7")</f>
        <v>0</v>
      </c>
      <c r="AR39" s="138">
        <f>SUMIFS(tbl_task5[S39],tbl_task5[[SubPLOs]:[SubPLOs]],"&gt;=6",tbl_task5[[SubPLOs]:[SubPLOs]],"&lt;7")</f>
        <v>0</v>
      </c>
      <c r="AS39" s="138">
        <f>SUMIFS(tbl_task5[S40],tbl_task5[[SubPLOs]:[SubPLOs]],"&gt;=6",tbl_task5[[SubPLOs]:[SubPLOs]],"&lt;7")</f>
        <v>0</v>
      </c>
      <c r="AT39" s="138">
        <f>SUMIFS(tbl_task5[S41],tbl_task5[[SubPLOs]:[SubPLOs]],"&gt;=6",tbl_task5[[SubPLOs]:[SubPLOs]],"&lt;7")</f>
        <v>0</v>
      </c>
      <c r="AU39" s="138">
        <f>SUMIFS(tbl_task5[S42],tbl_task5[[SubPLOs]:[SubPLOs]],"&gt;=6",tbl_task5[[SubPLOs]:[SubPLOs]],"&lt;7")</f>
        <v>0</v>
      </c>
      <c r="AV39" s="138">
        <f>SUMIFS(tbl_task5[S43],tbl_task5[[SubPLOs]:[SubPLOs]],"&gt;=6",tbl_task5[[SubPLOs]:[SubPLOs]],"&lt;7")</f>
        <v>0</v>
      </c>
      <c r="AW39" s="138">
        <f>SUMIFS(tbl_task5[S44],tbl_task5[[SubPLOs]:[SubPLOs]],"&gt;=6",tbl_task5[[SubPLOs]:[SubPLOs]],"&lt;7")</f>
        <v>0</v>
      </c>
      <c r="AX39" s="138">
        <f>SUMIFS(tbl_task5[S45],tbl_task5[[SubPLOs]:[SubPLOs]],"&gt;=6",tbl_task5[[SubPLOs]:[SubPLOs]],"&lt;7")</f>
        <v>0</v>
      </c>
      <c r="AY39" s="138">
        <f>SUMIFS(tbl_task5[S46],tbl_task5[[SubPLOs]:[SubPLOs]],"&gt;=6",tbl_task5[[SubPLOs]:[SubPLOs]],"&lt;7")</f>
        <v>0</v>
      </c>
      <c r="AZ39" s="138">
        <f>SUMIFS(tbl_task5[S47],tbl_task5[[SubPLOs]:[SubPLOs]],"&gt;=6",tbl_task5[[SubPLOs]:[SubPLOs]],"&lt;7")</f>
        <v>0</v>
      </c>
      <c r="BA39" s="138">
        <f>SUMIFS(tbl_task5[S48],tbl_task5[[SubPLOs]:[SubPLOs]],"&gt;=6",tbl_task5[[SubPLOs]:[SubPLOs]],"&lt;7")</f>
        <v>0</v>
      </c>
      <c r="BB39" s="138">
        <f>SUMIFS(tbl_task5[S49],tbl_task5[[SubPLOs]:[SubPLOs]],"&gt;=6",tbl_task5[[SubPLOs]:[SubPLOs]],"&lt;7")</f>
        <v>0</v>
      </c>
      <c r="BC39" s="138">
        <f>SUMIFS(tbl_task5[S50],tbl_task5[[SubPLOs]:[SubPLOs]],"&gt;=6",tbl_task5[[SubPLOs]:[SubPLOs]],"&lt;7")</f>
        <v>0</v>
      </c>
      <c r="BD39" s="138">
        <f>SUMIFS(tbl_task5[S51],tbl_task5[[SubPLOs]:[SubPLOs]],"&gt;=6",tbl_task5[[SubPLOs]:[SubPLOs]],"&lt;7")</f>
        <v>0</v>
      </c>
      <c r="BE39" s="138">
        <f>SUMIFS(tbl_task5[S52],tbl_task5[[SubPLOs]:[SubPLOs]],"&gt;=6",tbl_task5[[SubPLOs]:[SubPLOs]],"&lt;7")</f>
        <v>0</v>
      </c>
      <c r="BF39" s="138">
        <f>SUMIFS(tbl_task5[S53],tbl_task5[[SubPLOs]:[SubPLOs]],"&gt;=6",tbl_task5[[SubPLOs]:[SubPLOs]],"&lt;7")</f>
        <v>0</v>
      </c>
      <c r="BG39" s="138">
        <f>SUMIFS(tbl_task5[S54],tbl_task5[[SubPLOs]:[SubPLOs]],"&gt;=6",tbl_task5[[SubPLOs]:[SubPLOs]],"&lt;7")</f>
        <v>0</v>
      </c>
      <c r="BH39" s="138">
        <f>SUMIFS(tbl_task5[S55],tbl_task5[[SubPLOs]:[SubPLOs]],"&gt;=6",tbl_task5[[SubPLOs]:[SubPLOs]],"&lt;7")</f>
        <v>0</v>
      </c>
      <c r="BI39" s="138">
        <f>SUMIFS(tbl_task5[S56],tbl_task5[[SubPLOs]:[SubPLOs]],"&gt;=6",tbl_task5[[SubPLOs]:[SubPLOs]],"&lt;7")</f>
        <v>0</v>
      </c>
      <c r="BJ39" s="138">
        <f>SUMIFS(tbl_task5[S57],tbl_task5[[SubPLOs]:[SubPLOs]],"&gt;=6",tbl_task5[[SubPLOs]:[SubPLOs]],"&lt;7")</f>
        <v>0</v>
      </c>
      <c r="BK39" s="138">
        <f>SUMIFS(tbl_task5[S58],tbl_task5[[SubPLOs]:[SubPLOs]],"&gt;=6",tbl_task5[[SubPLOs]:[SubPLOs]],"&lt;7")</f>
        <v>0</v>
      </c>
      <c r="BL39" s="138">
        <f>SUMIFS(tbl_task5[S59],tbl_task5[[SubPLOs]:[SubPLOs]],"&gt;=6",tbl_task5[[SubPLOs]:[SubPLOs]],"&lt;7")</f>
        <v>0</v>
      </c>
      <c r="BM39" s="138">
        <f>SUMIFS(tbl_task5[S60],tbl_task5[[SubPLOs]:[SubPLOs]],"&gt;=6",tbl_task5[[SubPLOs]:[SubPLOs]],"&lt;7")</f>
        <v>0</v>
      </c>
      <c r="BN39" s="138">
        <f>SUMIFS(tbl_task5[S61],tbl_task5[[SubPLOs]:[SubPLOs]],"&gt;=6",tbl_task5[[SubPLOs]:[SubPLOs]],"&lt;7")</f>
        <v>0</v>
      </c>
      <c r="BO39" s="138">
        <f>SUMIFS(tbl_task5[S62],tbl_task5[[SubPLOs]:[SubPLOs]],"&gt;=6",tbl_task5[[SubPLOs]:[SubPLOs]],"&lt;7")</f>
        <v>0</v>
      </c>
      <c r="BP39" s="138">
        <f>SUMIFS(tbl_task5[S63],tbl_task5[[SubPLOs]:[SubPLOs]],"&gt;=6",tbl_task5[[SubPLOs]:[SubPLOs]],"&lt;7")</f>
        <v>0</v>
      </c>
      <c r="BQ39" s="138">
        <f>SUMIFS(tbl_task5[S64],tbl_task5[[SubPLOs]:[SubPLOs]],"&gt;=6",tbl_task5[[SubPLOs]:[SubPLOs]],"&lt;7")</f>
        <v>0</v>
      </c>
      <c r="BR39" s="138">
        <f>SUMIFS(tbl_task5[S65],tbl_task5[[SubPLOs]:[SubPLOs]],"&gt;=6",tbl_task5[[SubPLOs]:[SubPLOs]],"&lt;7")</f>
        <v>0</v>
      </c>
      <c r="BS39" s="138">
        <f>SUMIFS(tbl_task5[S66],tbl_task5[[SubPLOs]:[SubPLOs]],"&gt;=6",tbl_task5[[SubPLOs]:[SubPLOs]],"&lt;7")</f>
        <v>0</v>
      </c>
      <c r="BT39" s="138">
        <f>SUMIFS(tbl_task5[S67],tbl_task5[[SubPLOs]:[SubPLOs]],"&gt;=6",tbl_task5[[SubPLOs]:[SubPLOs]],"&lt;7")</f>
        <v>0</v>
      </c>
      <c r="BU39" s="138">
        <f>SUMIFS(tbl_task5[S68],tbl_task5[[SubPLOs]:[SubPLOs]],"&gt;=6",tbl_task5[[SubPLOs]:[SubPLOs]],"&lt;7")</f>
        <v>0</v>
      </c>
      <c r="BV39" s="138">
        <f>SUMIFS(tbl_task5[S69],tbl_task5[[SubPLOs]:[SubPLOs]],"&gt;=6",tbl_task5[[SubPLOs]:[SubPLOs]],"&lt;7")</f>
        <v>0</v>
      </c>
      <c r="BW39" s="138">
        <f>SUMIFS(tbl_task5[S70],tbl_task5[[SubPLOs]:[SubPLOs]],"&gt;=6",tbl_task5[[SubPLOs]:[SubPLOs]],"&lt;7")</f>
        <v>0</v>
      </c>
      <c r="BX39" s="138">
        <f>SUMIFS(tbl_task5[S71],tbl_task5[[SubPLOs]:[SubPLOs]],"&gt;=6",tbl_task5[[SubPLOs]:[SubPLOs]],"&lt;7")</f>
        <v>0</v>
      </c>
      <c r="BY39" s="138">
        <f>SUMIFS(tbl_task5[S72],tbl_task5[[SubPLOs]:[SubPLOs]],"&gt;=6",tbl_task5[[SubPLOs]:[SubPLOs]],"&lt;7")</f>
        <v>0</v>
      </c>
      <c r="BZ39" s="138">
        <f>SUMIFS(tbl_task5[S73],tbl_task5[[SubPLOs]:[SubPLOs]],"&gt;=6",tbl_task5[[SubPLOs]:[SubPLOs]],"&lt;7")</f>
        <v>0</v>
      </c>
      <c r="CA39" s="138">
        <f>SUMIFS(tbl_task5[S74],tbl_task5[[SubPLOs]:[SubPLOs]],"&gt;=6",tbl_task5[[SubPLOs]:[SubPLOs]],"&lt;7")</f>
        <v>0</v>
      </c>
      <c r="CB39" s="138">
        <f>SUMIFS(tbl_task5[S75],tbl_task5[[SubPLOs]:[SubPLOs]],"&gt;=6",tbl_task5[[SubPLOs]:[SubPLOs]],"&lt;7")</f>
        <v>0</v>
      </c>
      <c r="CC39" s="138">
        <f>SUMIFS(tbl_task5[S76],tbl_task5[[SubPLOs]:[SubPLOs]],"&gt;=6",tbl_task5[[SubPLOs]:[SubPLOs]],"&lt;7")</f>
        <v>0</v>
      </c>
      <c r="CD39" s="138">
        <f>SUMIFS(tbl_task5[S77],tbl_task5[[SubPLOs]:[SubPLOs]],"&gt;=6",tbl_task5[[SubPLOs]:[SubPLOs]],"&lt;7")</f>
        <v>0</v>
      </c>
      <c r="CE39" s="138">
        <f>SUMIFS(tbl_task5[S78],tbl_task5[[SubPLOs]:[SubPLOs]],"&gt;=6",tbl_task5[[SubPLOs]:[SubPLOs]],"&lt;7")</f>
        <v>0</v>
      </c>
      <c r="CF39" s="138">
        <f>SUMIFS(tbl_task5[S79],tbl_task5[[SubPLOs]:[SubPLOs]],"&gt;=6",tbl_task5[[SubPLOs]:[SubPLOs]],"&lt;7")</f>
        <v>0</v>
      </c>
      <c r="CG39" s="138">
        <f>SUMIFS(tbl_task5[S80],tbl_task5[[SubPLOs]:[SubPLOs]],"&gt;=6",tbl_task5[[SubPLOs]:[SubPLOs]],"&lt;7")</f>
        <v>0</v>
      </c>
      <c r="CH39" s="138">
        <f>SUMIFS(tbl_task5[S81],tbl_task5[[SubPLOs]:[SubPLOs]],"&gt;=6",tbl_task5[[SubPLOs]:[SubPLOs]],"&lt;7")</f>
        <v>0</v>
      </c>
      <c r="CI39" s="138">
        <f>SUMIFS(tbl_task5[S82],tbl_task5[[SubPLOs]:[SubPLOs]],"&gt;=6",tbl_task5[[SubPLOs]:[SubPLOs]],"&lt;7")</f>
        <v>0</v>
      </c>
      <c r="CJ39" s="138">
        <f>SUMIFS(tbl_task5[S83],tbl_task5[[SubPLOs]:[SubPLOs]],"&gt;=6",tbl_task5[[SubPLOs]:[SubPLOs]],"&lt;7")</f>
        <v>0</v>
      </c>
      <c r="CK39" s="138">
        <f>SUMIFS(tbl_task5[S84],tbl_task5[[SubPLOs]:[SubPLOs]],"&gt;=6",tbl_task5[[SubPLOs]:[SubPLOs]],"&lt;7")</f>
        <v>0</v>
      </c>
      <c r="CL39" s="138">
        <f>SUMIFS(tbl_task5[S85],tbl_task5[[SubPLOs]:[SubPLOs]],"&gt;=6",tbl_task5[[SubPLOs]:[SubPLOs]],"&lt;7")</f>
        <v>0</v>
      </c>
      <c r="CM39" s="138">
        <f>SUMIFS(tbl_task5[S86],tbl_task5[[SubPLOs]:[SubPLOs]],"&gt;=6",tbl_task5[[SubPLOs]:[SubPLOs]],"&lt;7")</f>
        <v>0</v>
      </c>
      <c r="CN39" s="138">
        <f>SUMIFS(tbl_task5[S87],tbl_task5[[SubPLOs]:[SubPLOs]],"&gt;=6",tbl_task5[[SubPLOs]:[SubPLOs]],"&lt;7")</f>
        <v>0</v>
      </c>
      <c r="CO39" s="138">
        <f>SUMIFS(tbl_task5[S88],tbl_task5[[SubPLOs]:[SubPLOs]],"&gt;=6",tbl_task5[[SubPLOs]:[SubPLOs]],"&lt;7")</f>
        <v>0</v>
      </c>
      <c r="CP39" s="138">
        <f>SUMIFS(tbl_task5[S89],tbl_task5[[SubPLOs]:[SubPLOs]],"&gt;=6",tbl_task5[[SubPLOs]:[SubPLOs]],"&lt;7")</f>
        <v>0</v>
      </c>
      <c r="CQ39" s="138">
        <f>SUMIFS(tbl_task5[S90],tbl_task5[[SubPLOs]:[SubPLOs]],"&gt;=6",tbl_task5[[SubPLOs]:[SubPLOs]],"&lt;7")</f>
        <v>0</v>
      </c>
      <c r="CR39" s="138">
        <f>SUMIFS(tbl_task5[S91],tbl_task5[[SubPLOs]:[SubPLOs]],"&gt;=6",tbl_task5[[SubPLOs]:[SubPLOs]],"&lt;7")</f>
        <v>0</v>
      </c>
      <c r="CS39" s="138">
        <f>SUMIFS(tbl_task5[S92],tbl_task5[[SubPLOs]:[SubPLOs]],"&gt;=6",tbl_task5[[SubPLOs]:[SubPLOs]],"&lt;7")</f>
        <v>0</v>
      </c>
      <c r="CT39" s="138">
        <f>SUMIFS(tbl_task5[S93],tbl_task5[[SubPLOs]:[SubPLOs]],"&gt;=6",tbl_task5[[SubPLOs]:[SubPLOs]],"&lt;7")</f>
        <v>0</v>
      </c>
      <c r="CU39" s="138">
        <f>SUMIFS(tbl_task5[S94],tbl_task5[[SubPLOs]:[SubPLOs]],"&gt;=6",tbl_task5[[SubPLOs]:[SubPLOs]],"&lt;7")</f>
        <v>0</v>
      </c>
      <c r="CV39" s="138">
        <f>SUMIFS(tbl_task5[S95],tbl_task5[[SubPLOs]:[SubPLOs]],"&gt;=6",tbl_task5[[SubPLOs]:[SubPLOs]],"&lt;7")</f>
        <v>0</v>
      </c>
      <c r="CW39" s="138">
        <f>SUMIFS(tbl_task5[S96],tbl_task5[[SubPLOs]:[SubPLOs]],"&gt;=6",tbl_task5[[SubPLOs]:[SubPLOs]],"&lt;7")</f>
        <v>0</v>
      </c>
      <c r="CX39" s="138">
        <f>SUMIFS(tbl_task5[S97],tbl_task5[[SubPLOs]:[SubPLOs]],"&gt;=6",tbl_task5[[SubPLOs]:[SubPLOs]],"&lt;7")</f>
        <v>0</v>
      </c>
      <c r="CY39" s="138">
        <f>SUMIFS(tbl_task5[S98],tbl_task5[[SubPLOs]:[SubPLOs]],"&gt;=6",tbl_task5[[SubPLOs]:[SubPLOs]],"&lt;7")</f>
        <v>0</v>
      </c>
      <c r="CZ39" s="138">
        <f>SUMIFS(tbl_task5[S99],tbl_task5[[SubPLOs]:[SubPLOs]],"&gt;=6",tbl_task5[[SubPLOs]:[SubPLOs]],"&lt;7")</f>
        <v>0</v>
      </c>
      <c r="DA39" s="138">
        <f>SUMIFS(tbl_task5[S100],tbl_task5[[SubPLOs]:[SubPLOs]],"&gt;=6",tbl_task5[[SubPLOs]:[SubPLOs]],"&lt;7")</f>
        <v>0</v>
      </c>
      <c r="DB39" s="138">
        <f>SUMIFS(tbl_task5[S101],tbl_task5[[SubPLOs]:[SubPLOs]],"&gt;=6",tbl_task5[[SubPLOs]:[SubPLOs]],"&lt;7")</f>
        <v>0</v>
      </c>
      <c r="DC39" s="138">
        <f>SUMIFS(tbl_task5[S102],tbl_task5[[SubPLOs]:[SubPLOs]],"&gt;=6",tbl_task5[[SubPLOs]:[SubPLOs]],"&lt;7")</f>
        <v>0</v>
      </c>
      <c r="DD39" s="138">
        <f>SUMIFS(tbl_task5[S103],tbl_task5[[SubPLOs]:[SubPLOs]],"&gt;=6",tbl_task5[[SubPLOs]:[SubPLOs]],"&lt;7")</f>
        <v>0</v>
      </c>
      <c r="DE39" s="138">
        <f>SUMIFS(tbl_task5[S104],tbl_task5[[SubPLOs]:[SubPLOs]],"&gt;=6",tbl_task5[[SubPLOs]:[SubPLOs]],"&lt;7")</f>
        <v>0</v>
      </c>
      <c r="DF39" s="138">
        <f>SUMIFS(tbl_task5[S105],tbl_task5[[SubPLOs]:[SubPLOs]],"&gt;=6",tbl_task5[[SubPLOs]:[SubPLOs]],"&lt;7")</f>
        <v>0</v>
      </c>
      <c r="DG39" s="138">
        <f>SUMIFS(tbl_task5[S106],tbl_task5[[SubPLOs]:[SubPLOs]],"&gt;=6",tbl_task5[[SubPLOs]:[SubPLOs]],"&lt;7")</f>
        <v>0</v>
      </c>
      <c r="DH39" s="138">
        <f>SUMIFS(tbl_task5[S106],tbl_task5[[SubPLOs]:[SubPLOs]],"&gt;=6",tbl_task5[[SubPLOs]:[SubPLOs]],"&lt;7")</f>
        <v>0</v>
      </c>
      <c r="DI39" s="138">
        <f>SUMIFS(tbl_task5[S108],tbl_task5[[SubPLOs]:[SubPLOs]],"&gt;=6",tbl_task5[[SubPLOs]:[SubPLOs]],"&lt;7")</f>
        <v>0</v>
      </c>
      <c r="DJ39" s="138">
        <f>SUMIFS(tbl_task5[S109],tbl_task5[[SubPLOs]:[SubPLOs]],"&gt;=6",tbl_task5[[SubPLOs]:[SubPLOs]],"&lt;7")</f>
        <v>0</v>
      </c>
      <c r="DK39" s="138">
        <f>SUMIFS(tbl_task5[S110],tbl_task5[[SubPLOs]:[SubPLOs]],"&gt;=6",tbl_task5[[SubPLOs]:[SubPLOs]],"&lt;7")</f>
        <v>0</v>
      </c>
      <c r="DL39" s="138">
        <f>SUMIFS(tbl_task5[S111],tbl_task5[[SubPLOs]:[SubPLOs]],"&gt;=6",tbl_task5[[SubPLOs]:[SubPLOs]],"&lt;7")</f>
        <v>0</v>
      </c>
      <c r="DM39" s="138">
        <f>SUMIFS(tbl_task5[S112],tbl_task5[[SubPLOs]:[SubPLOs]],"&gt;=6",tbl_task5[[SubPLOs]:[SubPLOs]],"&lt;7")</f>
        <v>0</v>
      </c>
      <c r="DN39" s="138">
        <f>SUMIFS(tbl_task5[S113],tbl_task5[[SubPLOs]:[SubPLOs]],"&gt;=6",tbl_task5[[SubPLOs]:[SubPLOs]],"&lt;7")</f>
        <v>0</v>
      </c>
      <c r="DO39" s="138">
        <f>SUMIFS(tbl_task5[S114],tbl_task5[[SubPLOs]:[SubPLOs]],"&gt;=6",tbl_task5[[SubPLOs]:[SubPLOs]],"&lt;7")</f>
        <v>0</v>
      </c>
      <c r="DP39" s="138">
        <f>SUMIFS(tbl_task5[S115],tbl_task5[[SubPLOs]:[SubPLOs]],"&gt;=6",tbl_task5[[SubPLOs]:[SubPLOs]],"&lt;7")</f>
        <v>0</v>
      </c>
      <c r="DQ39" s="138">
        <f>SUMIFS(tbl_task5[S116],tbl_task5[[SubPLOs]:[SubPLOs]],"&gt;=6",tbl_task5[[SubPLOs]:[SubPLOs]],"&lt;7")</f>
        <v>0</v>
      </c>
      <c r="DR39" s="138">
        <f>SUMIFS(tbl_task5[S117],tbl_task5[[SubPLOs]:[SubPLOs]],"&gt;=6",tbl_task5[[SubPLOs]:[SubPLOs]],"&lt;7")</f>
        <v>0</v>
      </c>
      <c r="DS39" s="138">
        <f>SUMIFS(tbl_task5[S118],tbl_task5[[SubPLOs]:[SubPLOs]],"&gt;=6",tbl_task5[[SubPLOs]:[SubPLOs]],"&lt;7")</f>
        <v>0</v>
      </c>
      <c r="DT39" s="138">
        <f>SUMIFS(tbl_task5[S119],tbl_task5[[SubPLOs]:[SubPLOs]],"&gt;=6",tbl_task5[[SubPLOs]:[SubPLOs]],"&lt;7")</f>
        <v>0</v>
      </c>
      <c r="DU39" s="138">
        <f>SUMIFS(tbl_task5[S120],tbl_task5[[SubPLOs]:[SubPLOs]],"&gt;=6",tbl_task5[[SubPLOs]:[SubPLOs]],"&lt;7")</f>
        <v>0</v>
      </c>
      <c r="DV39" s="138">
        <f>SUMIFS(tbl_task5[S121],tbl_task5[[SubPLOs]:[SubPLOs]],"&gt;=6",tbl_task5[[SubPLOs]:[SubPLOs]],"&lt;7")</f>
        <v>0</v>
      </c>
      <c r="DW39" s="138">
        <f>SUMIFS(tbl_task5[S122],tbl_task5[[SubPLOs]:[SubPLOs]],"&gt;=6",tbl_task5[[SubPLOs]:[SubPLOs]],"&lt;7")</f>
        <v>0</v>
      </c>
      <c r="DX39" s="138">
        <f>SUMIFS(tbl_task5[S123],tbl_task5[[SubPLOs]:[SubPLOs]],"&gt;=6",tbl_task5[[SubPLOs]:[SubPLOs]],"&lt;7")</f>
        <v>0</v>
      </c>
      <c r="DY39" s="138">
        <f>SUMIFS(tbl_task5[S124],tbl_task5[[SubPLOs]:[SubPLOs]],"&gt;=6",tbl_task5[[SubPLOs]:[SubPLOs]],"&lt;7")</f>
        <v>0</v>
      </c>
      <c r="DZ39" s="138">
        <f>SUMIFS(tbl_task5[S125],tbl_task5[[SubPLOs]:[SubPLOs]],"&gt;=6",tbl_task5[[SubPLOs]:[SubPLOs]],"&lt;7")</f>
        <v>0</v>
      </c>
      <c r="EA39" s="138">
        <f>SUMIFS(tbl_task5[S126],tbl_task5[[SubPLOs]:[SubPLOs]],"&gt;=6",tbl_task5[[SubPLOs]:[SubPLOs]],"&lt;7")</f>
        <v>0</v>
      </c>
      <c r="EB39" s="138">
        <f>SUMIFS(tbl_task5[S127],tbl_task5[[SubPLOs]:[SubPLOs]],"&gt;=6",tbl_task5[[SubPLOs]:[SubPLOs]],"&lt;7")</f>
        <v>0</v>
      </c>
      <c r="EC39" s="138">
        <f>SUMIFS(tbl_task5[S128],tbl_task5[[SubPLOs]:[SubPLOs]],"&gt;=6",tbl_task5[[SubPLOs]:[SubPLOs]],"&lt;7")</f>
        <v>0</v>
      </c>
      <c r="ED39" s="138">
        <f>SUMIFS(tbl_task5[S129],tbl_task5[[SubPLOs]:[SubPLOs]],"&gt;=6",tbl_task5[[SubPLOs]:[SubPLOs]],"&lt;7")</f>
        <v>0</v>
      </c>
      <c r="EE39" s="138">
        <f>SUMIFS(tbl_task5[S130],tbl_task5[[SubPLOs]:[SubPLOs]],"&gt;=6",tbl_task5[[SubPLOs]:[SubPLOs]],"&lt;7")</f>
        <v>0</v>
      </c>
      <c r="EF39" s="138">
        <f>SUMIFS(tbl_task5[S131],tbl_task5[[SubPLOs]:[SubPLOs]],"&gt;=6",tbl_task5[[SubPLOs]:[SubPLOs]],"&lt;7")</f>
        <v>0</v>
      </c>
      <c r="EG39" s="138">
        <f>SUMIFS(tbl_task5[S132],tbl_task5[[SubPLOs]:[SubPLOs]],"&gt;=6",tbl_task5[[SubPLOs]:[SubPLOs]],"&lt;7")</f>
        <v>0</v>
      </c>
      <c r="EH39" s="138">
        <f>SUMIFS(tbl_task5[S133],tbl_task5[[SubPLOs]:[SubPLOs]],"&gt;=6",tbl_task5[[SubPLOs]:[SubPLOs]],"&lt;7")</f>
        <v>0</v>
      </c>
      <c r="EI39" s="138">
        <f>SUMIFS(tbl_task5[S134],tbl_task5[[SubPLOs]:[SubPLOs]],"&gt;=6",tbl_task5[[SubPLOs]:[SubPLOs]],"&lt;7")</f>
        <v>0</v>
      </c>
      <c r="EJ39" s="138">
        <f>SUMIFS(tbl_task5[S135],tbl_task5[[SubPLOs]:[SubPLOs]],"&gt;=6",tbl_task5[[SubPLOs]:[SubPLOs]],"&lt;7")</f>
        <v>0</v>
      </c>
      <c r="EK39" s="138">
        <f>SUMIFS(tbl_task5[S136],tbl_task5[[SubPLOs]:[SubPLOs]],"&gt;=6",tbl_task5[[SubPLOs]:[SubPLOs]],"&lt;7")</f>
        <v>0</v>
      </c>
      <c r="EL39" s="138">
        <f>SUMIFS(tbl_task5[S137],tbl_task5[[SubPLOs]:[SubPLOs]],"&gt;=6",tbl_task5[[SubPLOs]:[SubPLOs]],"&lt;7")</f>
        <v>0</v>
      </c>
      <c r="EM39" s="138">
        <f>SUMIFS(tbl_task5[S138],tbl_task5[[SubPLOs]:[SubPLOs]],"&gt;=6",tbl_task5[[SubPLOs]:[SubPLOs]],"&lt;7")</f>
        <v>0</v>
      </c>
      <c r="EN39" s="138">
        <f>SUMIFS(tbl_task5[S139],tbl_task5[[SubPLOs]:[SubPLOs]],"&gt;=6",tbl_task5[[SubPLOs]:[SubPLOs]],"&lt;7")</f>
        <v>0</v>
      </c>
      <c r="EO39" s="138">
        <f>SUMIFS(tbl_task5[S140],tbl_task5[[SubPLOs]:[SubPLOs]],"&gt;=6",tbl_task5[[SubPLOs]:[SubPLOs]],"&lt;7")</f>
        <v>0</v>
      </c>
      <c r="EP39" s="138">
        <f>SUMIFS(tbl_task5[S141],tbl_task5[[SubPLOs]:[SubPLOs]],"&gt;=6",tbl_task5[[SubPLOs]:[SubPLOs]],"&lt;7")</f>
        <v>0</v>
      </c>
      <c r="EQ39" s="138">
        <f>SUMIFS(tbl_task5[S142],tbl_task5[[SubPLOs]:[SubPLOs]],"&gt;=6",tbl_task5[[SubPLOs]:[SubPLOs]],"&lt;7")</f>
        <v>0</v>
      </c>
      <c r="ER39" s="138">
        <f>SUMIFS(tbl_task5[S143],tbl_task5[[SubPLOs]:[SubPLOs]],"&gt;=6",tbl_task5[[SubPLOs]:[SubPLOs]],"&lt;7")</f>
        <v>0</v>
      </c>
      <c r="ES39" s="138">
        <f>SUMIFS(tbl_task5[S144],tbl_task5[[SubPLOs]:[SubPLOs]],"&gt;=6",tbl_task5[[SubPLOs]:[SubPLOs]],"&lt;7")</f>
        <v>0</v>
      </c>
      <c r="ET39" s="138">
        <f>SUMIFS(tbl_task5[S145],tbl_task5[[SubPLOs]:[SubPLOs]],"&gt;=6",tbl_task5[[SubPLOs]:[SubPLOs]],"&lt;7")</f>
        <v>0</v>
      </c>
      <c r="EU39" s="138">
        <f>SUMIFS(tbl_task5[S146],tbl_task5[[SubPLOs]:[SubPLOs]],"&gt;=6",tbl_task5[[SubPLOs]:[SubPLOs]],"&lt;7")</f>
        <v>0</v>
      </c>
      <c r="EV39" s="138">
        <f>SUMIFS(tbl_task5[S147],tbl_task5[[SubPLOs]:[SubPLOs]],"&gt;=6",tbl_task5[[SubPLOs]:[SubPLOs]],"&lt;7")</f>
        <v>0</v>
      </c>
      <c r="EW39" s="138">
        <f>SUMIFS(tbl_task5[S148],tbl_task5[[SubPLOs]:[SubPLOs]],"&gt;=6",tbl_task5[[SubPLOs]:[SubPLOs]],"&lt;7")</f>
        <v>0</v>
      </c>
      <c r="EX39" s="138">
        <f>SUMIFS(tbl_task5[S149],tbl_task5[[SubPLOs]:[SubPLOs]],"&gt;=6",tbl_task5[[SubPLOs]:[SubPLOs]],"&lt;7")</f>
        <v>0</v>
      </c>
      <c r="EY39" s="138">
        <f>SUMIFS(tbl_task5[S150],tbl_task5[[SubPLOs]:[SubPLOs]],"&gt;=6",tbl_task5[[SubPLOs]:[SubPLOs]],"&lt;7")</f>
        <v>0</v>
      </c>
      <c r="EZ39" s="138">
        <f>SUMIFS(tbl_task5[S151],tbl_task5[[SubPLOs]:[SubPLOs]],"&gt;=6",tbl_task5[[SubPLOs]:[SubPLOs]],"&lt;7")</f>
        <v>0</v>
      </c>
      <c r="FA39" s="138">
        <f>SUMIFS(tbl_task5[S152],tbl_task5[[SubPLOs]:[SubPLOs]],"&gt;=6",tbl_task5[[SubPLOs]:[SubPLOs]],"&lt;7")</f>
        <v>0</v>
      </c>
      <c r="FB39" s="138">
        <f>SUMIFS(tbl_task5[S153],tbl_task5[[SubPLOs]:[SubPLOs]],"&gt;=6",tbl_task5[[SubPLOs]:[SubPLOs]],"&lt;7")</f>
        <v>0</v>
      </c>
      <c r="FC39" s="138">
        <f>SUMIFS(tbl_task5[S154],tbl_task5[[SubPLOs]:[SubPLOs]],"&gt;=6",tbl_task5[[SubPLOs]:[SubPLOs]],"&lt;7")</f>
        <v>0</v>
      </c>
      <c r="FD39" s="138">
        <f>SUMIFS(tbl_task5[S155],tbl_task5[[SubPLOs]:[SubPLOs]],"&gt;=6",tbl_task5[[SubPLOs]:[SubPLOs]],"&lt;7")</f>
        <v>0</v>
      </c>
      <c r="FE39" s="138">
        <f>SUMIFS(tbl_task5[S156],tbl_task5[[SubPLOs]:[SubPLOs]],"&gt;=6",tbl_task5[[SubPLOs]:[SubPLOs]],"&lt;7")</f>
        <v>0</v>
      </c>
      <c r="FF39" s="138">
        <f>SUMIFS(tbl_task5[S157],tbl_task5[[SubPLOs]:[SubPLOs]],"&gt;=6",tbl_task5[[SubPLOs]:[SubPLOs]],"&lt;7")</f>
        <v>0</v>
      </c>
      <c r="FG39" s="138">
        <f>SUMIFS(tbl_task5[S158],tbl_task5[[SubPLOs]:[SubPLOs]],"&gt;=6",tbl_task5[[SubPLOs]:[SubPLOs]],"&lt;7")</f>
        <v>0</v>
      </c>
      <c r="FH39" s="138">
        <f>SUMIFS(tbl_task5[S159],tbl_task5[[SubPLOs]:[SubPLOs]],"&gt;=6",tbl_task5[[SubPLOs]:[SubPLOs]],"&lt;7")</f>
        <v>0</v>
      </c>
      <c r="FI39" s="138">
        <f>SUMIFS(tbl_task5[S160],tbl_task5[[SubPLOs]:[SubPLOs]],"&gt;=6",tbl_task5[[SubPLOs]:[SubPLOs]],"&lt;7")</f>
        <v>0</v>
      </c>
      <c r="FJ39" s="138">
        <f>SUMIFS(tbl_task5[S161],tbl_task5[[SubPLOs]:[SubPLOs]],"&gt;=6",tbl_task5[[SubPLOs]:[SubPLOs]],"&lt;7")</f>
        <v>0</v>
      </c>
      <c r="FK39" s="138">
        <f>SUMIFS(tbl_task5[S162],tbl_task5[[SubPLOs]:[SubPLOs]],"&gt;=6",tbl_task5[[SubPLOs]:[SubPLOs]],"&lt;7")</f>
        <v>0</v>
      </c>
      <c r="FL39" s="138">
        <f>SUMIFS(tbl_task5[S163],tbl_task5[[SubPLOs]:[SubPLOs]],"&gt;=6",tbl_task5[[SubPLOs]:[SubPLOs]],"&lt;7")</f>
        <v>0</v>
      </c>
      <c r="FM39" s="138">
        <f>SUMIFS(tbl_task5[S164],tbl_task5[[SubPLOs]:[SubPLOs]],"&gt;=6",tbl_task5[[SubPLOs]:[SubPLOs]],"&lt;7")</f>
        <v>0</v>
      </c>
      <c r="FN39" s="138">
        <f>SUMIFS(tbl_task5[S165],tbl_task5[[SubPLOs]:[SubPLOs]],"&gt;=6",tbl_task5[[SubPLOs]:[SubPLOs]],"&lt;7")</f>
        <v>0</v>
      </c>
    </row>
    <row r="40" spans="1:170" ht="42" x14ac:dyDescent="0.25">
      <c r="A40" s="135">
        <v>7</v>
      </c>
      <c r="B40" s="5" t="s">
        <v>440</v>
      </c>
      <c r="C40" s="136">
        <f>COUNTIFS(tbl_task5[SubPLOs],"&gt;=7",tbl_task5[SubPLOs],"&lt;8")</f>
        <v>0</v>
      </c>
      <c r="D40" s="136">
        <f>SUMIFS(tbl_task5[คะแนนเต็ม],tbl_task5[SubPLOs],"&gt;=7",tbl_task5[SubPLOs],"&lt;8")</f>
        <v>0</v>
      </c>
      <c r="E40" s="137">
        <f>SUMIFS(tbl_task5[%],tbl_task5[SubPLOs],"&gt;=7",tbl_task5[SubPLOs],"&lt;8")</f>
        <v>0</v>
      </c>
      <c r="F40" s="138">
        <f>SUMIFS(tbl_task5[S1],tbl_task5[[SubPLOs]:[SubPLOs]],"&gt;=7",tbl_task5[[SubPLOs]:[SubPLOs]],"&lt;8")</f>
        <v>0</v>
      </c>
      <c r="G40" s="138">
        <f>SUMIFS(tbl_task5[S2],tbl_task5[[SubPLOs]:[SubPLOs]],"&gt;=7",tbl_task5[[SubPLOs]:[SubPLOs]],"&lt;8")</f>
        <v>0</v>
      </c>
      <c r="H40" s="138">
        <f>SUMIFS(tbl_task5[S3],tbl_task5[[SubPLOs]:[SubPLOs]],"&gt;=7",tbl_task5[[SubPLOs]:[SubPLOs]],"&lt;8")</f>
        <v>0</v>
      </c>
      <c r="I40" s="138">
        <f>SUMIFS(tbl_task5[S4],tbl_task5[[SubPLOs]:[SubPLOs]],"&gt;=7",tbl_task5[[SubPLOs]:[SubPLOs]],"&lt;8")</f>
        <v>0</v>
      </c>
      <c r="J40" s="138">
        <f>SUMIFS(tbl_task5[S5],tbl_task5[[SubPLOs]:[SubPLOs]],"&gt;=7",tbl_task5[[SubPLOs]:[SubPLOs]],"&lt;8")</f>
        <v>0</v>
      </c>
      <c r="K40" s="138">
        <f>SUMIFS(tbl_task5[S6],tbl_task5[[SubPLOs]:[SubPLOs]],"&gt;=7",tbl_task5[[SubPLOs]:[SubPLOs]],"&lt;8")</f>
        <v>0</v>
      </c>
      <c r="L40" s="138">
        <f>SUMIFS(tbl_task5[S7],tbl_task5[[SubPLOs]:[SubPLOs]],"&gt;=7",tbl_task5[[SubPLOs]:[SubPLOs]],"&lt;8")</f>
        <v>0</v>
      </c>
      <c r="M40" s="138">
        <f>SUMIFS(tbl_task5[S8],tbl_task5[[SubPLOs]:[SubPLOs]],"&gt;=7",tbl_task5[[SubPLOs]:[SubPLOs]],"&lt;8")</f>
        <v>0</v>
      </c>
      <c r="N40" s="138">
        <f>SUMIFS(tbl_task5[S9],tbl_task5[[SubPLOs]:[SubPLOs]],"&gt;=7",tbl_task5[[SubPLOs]:[SubPLOs]],"&lt;8")</f>
        <v>0</v>
      </c>
      <c r="O40" s="138">
        <f>SUMIFS(tbl_task5[S10],tbl_task5[[SubPLOs]:[SubPLOs]],"&gt;=7",tbl_task5[[SubPLOs]:[SubPLOs]],"&lt;8")</f>
        <v>0</v>
      </c>
      <c r="P40" s="138">
        <f>SUMIFS(tbl_task5[S11],tbl_task5[[SubPLOs]:[SubPLOs]],"&gt;=7",tbl_task5[[SubPLOs]:[SubPLOs]],"&lt;8")</f>
        <v>0</v>
      </c>
      <c r="Q40" s="138">
        <f>SUMIFS(tbl_task5[S12],tbl_task5[[SubPLOs]:[SubPLOs]],"&gt;=7",tbl_task5[[SubPLOs]:[SubPLOs]],"&lt;8")</f>
        <v>0</v>
      </c>
      <c r="R40" s="138">
        <f>SUMIFS(tbl_task5[S13],tbl_task5[[SubPLOs]:[SubPLOs]],"&gt;=7",tbl_task5[[SubPLOs]:[SubPLOs]],"&lt;8")</f>
        <v>0</v>
      </c>
      <c r="S40" s="138">
        <f>SUMIFS(tbl_task5[S14],tbl_task5[[SubPLOs]:[SubPLOs]],"&gt;=7",tbl_task5[[SubPLOs]:[SubPLOs]],"&lt;8")</f>
        <v>0</v>
      </c>
      <c r="T40" s="138">
        <f>SUMIFS(tbl_task5[S15],tbl_task5[[SubPLOs]:[SubPLOs]],"&gt;=7",tbl_task5[[SubPLOs]:[SubPLOs]],"&lt;8")</f>
        <v>0</v>
      </c>
      <c r="U40" s="138">
        <f>SUMIFS(tbl_task5[S16],tbl_task5[[SubPLOs]:[SubPLOs]],"&gt;=7",tbl_task5[[SubPLOs]:[SubPLOs]],"&lt;8")</f>
        <v>0</v>
      </c>
      <c r="V40" s="138">
        <f>SUMIFS(tbl_task5[S17],tbl_task5[[SubPLOs]:[SubPLOs]],"&gt;=7",tbl_task5[[SubPLOs]:[SubPLOs]],"&lt;8")</f>
        <v>0</v>
      </c>
      <c r="W40" s="138">
        <f>SUMIFS(tbl_task5[S18],tbl_task5[[SubPLOs]:[SubPLOs]],"&gt;=7",tbl_task5[[SubPLOs]:[SubPLOs]],"&lt;8")</f>
        <v>0</v>
      </c>
      <c r="X40" s="138">
        <f>SUMIFS(tbl_task5[S19],tbl_task5[[SubPLOs]:[SubPLOs]],"&gt;=7",tbl_task5[[SubPLOs]:[SubPLOs]],"&lt;8")</f>
        <v>0</v>
      </c>
      <c r="Y40" s="138">
        <f>SUMIFS(tbl_task5[S20],tbl_task5[[SubPLOs]:[SubPLOs]],"&gt;=7",tbl_task5[[SubPLOs]:[SubPLOs]],"&lt;8")</f>
        <v>0</v>
      </c>
      <c r="Z40" s="138">
        <f>SUMIFS(tbl_task5[S21],tbl_task5[[SubPLOs]:[SubPLOs]],"&gt;=7",tbl_task5[[SubPLOs]:[SubPLOs]],"&lt;8")</f>
        <v>0</v>
      </c>
      <c r="AA40" s="138">
        <f>SUMIFS(tbl_task5[S22],tbl_task5[[SubPLOs]:[SubPLOs]],"&gt;=7",tbl_task5[[SubPLOs]:[SubPLOs]],"&lt;8")</f>
        <v>0</v>
      </c>
      <c r="AB40" s="138">
        <f>SUMIFS(tbl_task5[S23],tbl_task5[[SubPLOs]:[SubPLOs]],"&gt;=7",tbl_task5[[SubPLOs]:[SubPLOs]],"&lt;8")</f>
        <v>0</v>
      </c>
      <c r="AC40" s="138">
        <f>SUMIFS(tbl_task5[S24],tbl_task5[[SubPLOs]:[SubPLOs]],"&gt;=7",tbl_task5[[SubPLOs]:[SubPLOs]],"&lt;8")</f>
        <v>0</v>
      </c>
      <c r="AD40" s="138">
        <f>SUMIFS(tbl_task5[S25],tbl_task5[[SubPLOs]:[SubPLOs]],"&gt;=7",tbl_task5[[SubPLOs]:[SubPLOs]],"&lt;8")</f>
        <v>0</v>
      </c>
      <c r="AE40" s="138">
        <f>SUMIFS(tbl_task5[S26],tbl_task5[[SubPLOs]:[SubPLOs]],"&gt;=7",tbl_task5[[SubPLOs]:[SubPLOs]],"&lt;8")</f>
        <v>0</v>
      </c>
      <c r="AF40" s="138">
        <f>SUMIFS(tbl_task5[S27],tbl_task5[[SubPLOs]:[SubPLOs]],"&gt;=7",tbl_task5[[SubPLOs]:[SubPLOs]],"&lt;8")</f>
        <v>0</v>
      </c>
      <c r="AG40" s="138">
        <f>SUMIFS(tbl_task5[S28],tbl_task5[[SubPLOs]:[SubPLOs]],"&gt;=7",tbl_task5[[SubPLOs]:[SubPLOs]],"&lt;8")</f>
        <v>0</v>
      </c>
      <c r="AH40" s="138">
        <f>SUMIFS(tbl_task5[S29],tbl_task5[[SubPLOs]:[SubPLOs]],"&gt;=7",tbl_task5[[SubPLOs]:[SubPLOs]],"&lt;8")</f>
        <v>0</v>
      </c>
      <c r="AI40" s="138">
        <f>SUMIFS(tbl_task5[S30],tbl_task5[[SubPLOs]:[SubPLOs]],"&gt;=7",tbl_task5[[SubPLOs]:[SubPLOs]],"&lt;8")</f>
        <v>0</v>
      </c>
      <c r="AJ40" s="138">
        <f>SUMIFS(tbl_task5[S31],tbl_task5[[SubPLOs]:[SubPLOs]],"&gt;=7",tbl_task5[[SubPLOs]:[SubPLOs]],"&lt;8")</f>
        <v>0</v>
      </c>
      <c r="AK40" s="138">
        <f>SUMIFS(tbl_task5[S32],tbl_task5[[SubPLOs]:[SubPLOs]],"&gt;=7",tbl_task5[[SubPLOs]:[SubPLOs]],"&lt;8")</f>
        <v>0</v>
      </c>
      <c r="AL40" s="138">
        <f>SUMIFS(tbl_task5[S33],tbl_task5[[SubPLOs]:[SubPLOs]],"&gt;=7",tbl_task5[[SubPLOs]:[SubPLOs]],"&lt;8")</f>
        <v>0</v>
      </c>
      <c r="AM40" s="138">
        <f>SUMIFS(tbl_task5[S34],tbl_task5[[SubPLOs]:[SubPLOs]],"&gt;=7",tbl_task5[[SubPLOs]:[SubPLOs]],"&lt;8")</f>
        <v>0</v>
      </c>
      <c r="AN40" s="138">
        <f>SUMIFS(tbl_task5[S35],tbl_task5[[SubPLOs]:[SubPLOs]],"&gt;=7",tbl_task5[[SubPLOs]:[SubPLOs]],"&lt;8")</f>
        <v>0</v>
      </c>
      <c r="AO40" s="138">
        <f>SUMIFS(tbl_task5[S36],tbl_task5[[SubPLOs]:[SubPLOs]],"&gt;=7",tbl_task5[[SubPLOs]:[SubPLOs]],"&lt;8")</f>
        <v>0</v>
      </c>
      <c r="AP40" s="138">
        <f>SUMIFS(tbl_task5[S37],tbl_task5[[SubPLOs]:[SubPLOs]],"&gt;=7",tbl_task5[[SubPLOs]:[SubPLOs]],"&lt;8")</f>
        <v>0</v>
      </c>
      <c r="AQ40" s="138">
        <f>SUMIFS(tbl_task5[S38],tbl_task5[[SubPLOs]:[SubPLOs]],"&gt;=7",tbl_task5[[SubPLOs]:[SubPLOs]],"&lt;8")</f>
        <v>0</v>
      </c>
      <c r="AR40" s="138">
        <f>SUMIFS(tbl_task5[S39],tbl_task5[[SubPLOs]:[SubPLOs]],"&gt;=7",tbl_task5[[SubPLOs]:[SubPLOs]],"&lt;8")</f>
        <v>0</v>
      </c>
      <c r="AS40" s="138">
        <f>SUMIFS(tbl_task5[S40],tbl_task5[[SubPLOs]:[SubPLOs]],"&gt;=7",tbl_task5[[SubPLOs]:[SubPLOs]],"&lt;8")</f>
        <v>0</v>
      </c>
      <c r="AT40" s="138">
        <f>SUMIFS(tbl_task5[S41],tbl_task5[[SubPLOs]:[SubPLOs]],"&gt;=7",tbl_task5[[SubPLOs]:[SubPLOs]],"&lt;8")</f>
        <v>0</v>
      </c>
      <c r="AU40" s="138">
        <f>SUMIFS(tbl_task5[S42],tbl_task5[[SubPLOs]:[SubPLOs]],"&gt;=7",tbl_task5[[SubPLOs]:[SubPLOs]],"&lt;8")</f>
        <v>0</v>
      </c>
      <c r="AV40" s="138">
        <f>SUMIFS(tbl_task5[S43],tbl_task5[[SubPLOs]:[SubPLOs]],"&gt;=7",tbl_task5[[SubPLOs]:[SubPLOs]],"&lt;8")</f>
        <v>0</v>
      </c>
      <c r="AW40" s="138">
        <f>SUMIFS(tbl_task5[S44],tbl_task5[[SubPLOs]:[SubPLOs]],"&gt;=7",tbl_task5[[SubPLOs]:[SubPLOs]],"&lt;8")</f>
        <v>0</v>
      </c>
      <c r="AX40" s="138">
        <f>SUMIFS(tbl_task5[S45],tbl_task5[[SubPLOs]:[SubPLOs]],"&gt;=7",tbl_task5[[SubPLOs]:[SubPLOs]],"&lt;8")</f>
        <v>0</v>
      </c>
      <c r="AY40" s="138">
        <f>SUMIFS(tbl_task5[S46],tbl_task5[[SubPLOs]:[SubPLOs]],"&gt;=7",tbl_task5[[SubPLOs]:[SubPLOs]],"&lt;8")</f>
        <v>0</v>
      </c>
      <c r="AZ40" s="138">
        <f>SUMIFS(tbl_task5[S47],tbl_task5[[SubPLOs]:[SubPLOs]],"&gt;=7",tbl_task5[[SubPLOs]:[SubPLOs]],"&lt;8")</f>
        <v>0</v>
      </c>
      <c r="BA40" s="138">
        <f>SUMIFS(tbl_task5[S48],tbl_task5[[SubPLOs]:[SubPLOs]],"&gt;=7",tbl_task5[[SubPLOs]:[SubPLOs]],"&lt;8")</f>
        <v>0</v>
      </c>
      <c r="BB40" s="138">
        <f>SUMIFS(tbl_task5[S49],tbl_task5[[SubPLOs]:[SubPLOs]],"&gt;=7",tbl_task5[[SubPLOs]:[SubPLOs]],"&lt;8")</f>
        <v>0</v>
      </c>
      <c r="BC40" s="138">
        <f>SUMIFS(tbl_task5[S50],tbl_task5[[SubPLOs]:[SubPLOs]],"&gt;=7",tbl_task5[[SubPLOs]:[SubPLOs]],"&lt;8")</f>
        <v>0</v>
      </c>
      <c r="BD40" s="138">
        <f>SUMIFS(tbl_task5[S51],tbl_task5[[SubPLOs]:[SubPLOs]],"&gt;=7",tbl_task5[[SubPLOs]:[SubPLOs]],"&lt;8")</f>
        <v>0</v>
      </c>
      <c r="BE40" s="138">
        <f>SUMIFS(tbl_task5[S52],tbl_task5[[SubPLOs]:[SubPLOs]],"&gt;=7",tbl_task5[[SubPLOs]:[SubPLOs]],"&lt;8")</f>
        <v>0</v>
      </c>
      <c r="BF40" s="138">
        <f>SUMIFS(tbl_task5[S53],tbl_task5[[SubPLOs]:[SubPLOs]],"&gt;=7",tbl_task5[[SubPLOs]:[SubPLOs]],"&lt;8")</f>
        <v>0</v>
      </c>
      <c r="BG40" s="138">
        <f>SUMIFS(tbl_task5[S54],tbl_task5[[SubPLOs]:[SubPLOs]],"&gt;=7",tbl_task5[[SubPLOs]:[SubPLOs]],"&lt;8")</f>
        <v>0</v>
      </c>
      <c r="BH40" s="138">
        <f>SUMIFS(tbl_task5[S55],tbl_task5[[SubPLOs]:[SubPLOs]],"&gt;=7",tbl_task5[[SubPLOs]:[SubPLOs]],"&lt;8")</f>
        <v>0</v>
      </c>
      <c r="BI40" s="138">
        <f>SUMIFS(tbl_task5[S56],tbl_task5[[SubPLOs]:[SubPLOs]],"&gt;=7",tbl_task5[[SubPLOs]:[SubPLOs]],"&lt;8")</f>
        <v>0</v>
      </c>
      <c r="BJ40" s="138">
        <f>SUMIFS(tbl_task5[S57],tbl_task5[[SubPLOs]:[SubPLOs]],"&gt;=7",tbl_task5[[SubPLOs]:[SubPLOs]],"&lt;8")</f>
        <v>0</v>
      </c>
      <c r="BK40" s="138">
        <f>SUMIFS(tbl_task5[S58],tbl_task5[[SubPLOs]:[SubPLOs]],"&gt;=7",tbl_task5[[SubPLOs]:[SubPLOs]],"&lt;8")</f>
        <v>0</v>
      </c>
      <c r="BL40" s="138">
        <f>SUMIFS(tbl_task5[S59],tbl_task5[[SubPLOs]:[SubPLOs]],"&gt;=7",tbl_task5[[SubPLOs]:[SubPLOs]],"&lt;8")</f>
        <v>0</v>
      </c>
      <c r="BM40" s="138">
        <f>SUMIFS(tbl_task5[S60],tbl_task5[[SubPLOs]:[SubPLOs]],"&gt;=7",tbl_task5[[SubPLOs]:[SubPLOs]],"&lt;8")</f>
        <v>0</v>
      </c>
      <c r="BN40" s="138">
        <f>SUMIFS(tbl_task5[S61],tbl_task5[[SubPLOs]:[SubPLOs]],"&gt;=7",tbl_task5[[SubPLOs]:[SubPLOs]],"&lt;8")</f>
        <v>0</v>
      </c>
      <c r="BO40" s="138">
        <f>SUMIFS(tbl_task5[S62],tbl_task5[[SubPLOs]:[SubPLOs]],"&gt;=7",tbl_task5[[SubPLOs]:[SubPLOs]],"&lt;8")</f>
        <v>0</v>
      </c>
      <c r="BP40" s="138">
        <f>SUMIFS(tbl_task5[S63],tbl_task5[[SubPLOs]:[SubPLOs]],"&gt;=7",tbl_task5[[SubPLOs]:[SubPLOs]],"&lt;8")</f>
        <v>0</v>
      </c>
      <c r="BQ40" s="138">
        <f>SUMIFS(tbl_task5[S64],tbl_task5[[SubPLOs]:[SubPLOs]],"&gt;=7",tbl_task5[[SubPLOs]:[SubPLOs]],"&lt;8")</f>
        <v>0</v>
      </c>
      <c r="BR40" s="138">
        <f>SUMIFS(tbl_task5[S65],tbl_task5[[SubPLOs]:[SubPLOs]],"&gt;=7",tbl_task5[[SubPLOs]:[SubPLOs]],"&lt;8")</f>
        <v>0</v>
      </c>
      <c r="BS40" s="138">
        <f>SUMIFS(tbl_task5[S66],tbl_task5[[SubPLOs]:[SubPLOs]],"&gt;=7",tbl_task5[[SubPLOs]:[SubPLOs]],"&lt;8")</f>
        <v>0</v>
      </c>
      <c r="BT40" s="138">
        <f>SUMIFS(tbl_task5[S67],tbl_task5[[SubPLOs]:[SubPLOs]],"&gt;=7",tbl_task5[[SubPLOs]:[SubPLOs]],"&lt;8")</f>
        <v>0</v>
      </c>
      <c r="BU40" s="138">
        <f>SUMIFS(tbl_task5[S68],tbl_task5[[SubPLOs]:[SubPLOs]],"&gt;=7",tbl_task5[[SubPLOs]:[SubPLOs]],"&lt;8")</f>
        <v>0</v>
      </c>
      <c r="BV40" s="138">
        <f>SUMIFS(tbl_task5[S69],tbl_task5[[SubPLOs]:[SubPLOs]],"&gt;=7",tbl_task5[[SubPLOs]:[SubPLOs]],"&lt;8")</f>
        <v>0</v>
      </c>
      <c r="BW40" s="138">
        <f>SUMIFS(tbl_task5[S70],tbl_task5[[SubPLOs]:[SubPLOs]],"&gt;=7",tbl_task5[[SubPLOs]:[SubPLOs]],"&lt;8")</f>
        <v>0</v>
      </c>
      <c r="BX40" s="138">
        <f>SUMIFS(tbl_task5[S71],tbl_task5[[SubPLOs]:[SubPLOs]],"&gt;=7",tbl_task5[[SubPLOs]:[SubPLOs]],"&lt;8")</f>
        <v>0</v>
      </c>
      <c r="BY40" s="138">
        <f>SUMIFS(tbl_task5[S72],tbl_task5[[SubPLOs]:[SubPLOs]],"&gt;=7",tbl_task5[[SubPLOs]:[SubPLOs]],"&lt;8")</f>
        <v>0</v>
      </c>
      <c r="BZ40" s="138">
        <f>SUMIFS(tbl_task5[S73],tbl_task5[[SubPLOs]:[SubPLOs]],"&gt;=7",tbl_task5[[SubPLOs]:[SubPLOs]],"&lt;8")</f>
        <v>0</v>
      </c>
      <c r="CA40" s="138">
        <f>SUMIFS(tbl_task5[S74],tbl_task5[[SubPLOs]:[SubPLOs]],"&gt;=7",tbl_task5[[SubPLOs]:[SubPLOs]],"&lt;8")</f>
        <v>0</v>
      </c>
      <c r="CB40" s="138">
        <f>SUMIFS(tbl_task5[S75],tbl_task5[[SubPLOs]:[SubPLOs]],"&gt;=7",tbl_task5[[SubPLOs]:[SubPLOs]],"&lt;8")</f>
        <v>0</v>
      </c>
      <c r="CC40" s="138">
        <f>SUMIFS(tbl_task5[S76],tbl_task5[[SubPLOs]:[SubPLOs]],"&gt;=7",tbl_task5[[SubPLOs]:[SubPLOs]],"&lt;8")</f>
        <v>0</v>
      </c>
      <c r="CD40" s="138">
        <f>SUMIFS(tbl_task5[S77],tbl_task5[[SubPLOs]:[SubPLOs]],"&gt;=7",tbl_task5[[SubPLOs]:[SubPLOs]],"&lt;8")</f>
        <v>0</v>
      </c>
      <c r="CE40" s="138">
        <f>SUMIFS(tbl_task5[S78],tbl_task5[[SubPLOs]:[SubPLOs]],"&gt;=7",tbl_task5[[SubPLOs]:[SubPLOs]],"&lt;8")</f>
        <v>0</v>
      </c>
      <c r="CF40" s="138">
        <f>SUMIFS(tbl_task5[S79],tbl_task5[[SubPLOs]:[SubPLOs]],"&gt;=7",tbl_task5[[SubPLOs]:[SubPLOs]],"&lt;8")</f>
        <v>0</v>
      </c>
      <c r="CG40" s="138">
        <f>SUMIFS(tbl_task5[S80],tbl_task5[[SubPLOs]:[SubPLOs]],"&gt;=7",tbl_task5[[SubPLOs]:[SubPLOs]],"&lt;8")</f>
        <v>0</v>
      </c>
      <c r="CH40" s="138">
        <f>SUMIFS(tbl_task5[S81],tbl_task5[[SubPLOs]:[SubPLOs]],"&gt;=7",tbl_task5[[SubPLOs]:[SubPLOs]],"&lt;8")</f>
        <v>0</v>
      </c>
      <c r="CI40" s="138">
        <f>SUMIFS(tbl_task5[S82],tbl_task5[[SubPLOs]:[SubPLOs]],"&gt;=7",tbl_task5[[SubPLOs]:[SubPLOs]],"&lt;8")</f>
        <v>0</v>
      </c>
      <c r="CJ40" s="138">
        <f>SUMIFS(tbl_task5[S83],tbl_task5[[SubPLOs]:[SubPLOs]],"&gt;=7",tbl_task5[[SubPLOs]:[SubPLOs]],"&lt;8")</f>
        <v>0</v>
      </c>
      <c r="CK40" s="138">
        <f>SUMIFS(tbl_task5[S84],tbl_task5[[SubPLOs]:[SubPLOs]],"&gt;=7",tbl_task5[[SubPLOs]:[SubPLOs]],"&lt;8")</f>
        <v>0</v>
      </c>
      <c r="CL40" s="138">
        <f>SUMIFS(tbl_task5[S85],tbl_task5[[SubPLOs]:[SubPLOs]],"&gt;=7",tbl_task5[[SubPLOs]:[SubPLOs]],"&lt;8")</f>
        <v>0</v>
      </c>
      <c r="CM40" s="138">
        <f>SUMIFS(tbl_task5[S86],tbl_task5[[SubPLOs]:[SubPLOs]],"&gt;=7",tbl_task5[[SubPLOs]:[SubPLOs]],"&lt;8")</f>
        <v>0</v>
      </c>
      <c r="CN40" s="138">
        <f>SUMIFS(tbl_task5[S87],tbl_task5[[SubPLOs]:[SubPLOs]],"&gt;=7",tbl_task5[[SubPLOs]:[SubPLOs]],"&lt;8")</f>
        <v>0</v>
      </c>
      <c r="CO40" s="138">
        <f>SUMIFS(tbl_task5[S88],tbl_task5[[SubPLOs]:[SubPLOs]],"&gt;=7",tbl_task5[[SubPLOs]:[SubPLOs]],"&lt;8")</f>
        <v>0</v>
      </c>
      <c r="CP40" s="138">
        <f>SUMIFS(tbl_task5[S89],tbl_task5[[SubPLOs]:[SubPLOs]],"&gt;=7",tbl_task5[[SubPLOs]:[SubPLOs]],"&lt;8")</f>
        <v>0</v>
      </c>
      <c r="CQ40" s="138">
        <f>SUMIFS(tbl_task5[S90],tbl_task5[[SubPLOs]:[SubPLOs]],"&gt;=7",tbl_task5[[SubPLOs]:[SubPLOs]],"&lt;8")</f>
        <v>0</v>
      </c>
      <c r="CR40" s="138">
        <f>SUMIFS(tbl_task5[S91],tbl_task5[[SubPLOs]:[SubPLOs]],"&gt;=7",tbl_task5[[SubPLOs]:[SubPLOs]],"&lt;8")</f>
        <v>0</v>
      </c>
      <c r="CS40" s="138">
        <f>SUMIFS(tbl_task5[S92],tbl_task5[[SubPLOs]:[SubPLOs]],"&gt;=7",tbl_task5[[SubPLOs]:[SubPLOs]],"&lt;8")</f>
        <v>0</v>
      </c>
      <c r="CT40" s="138">
        <f>SUMIFS(tbl_task5[S93],tbl_task5[[SubPLOs]:[SubPLOs]],"&gt;=7",tbl_task5[[SubPLOs]:[SubPLOs]],"&lt;8")</f>
        <v>0</v>
      </c>
      <c r="CU40" s="138">
        <f>SUMIFS(tbl_task5[S94],tbl_task5[[SubPLOs]:[SubPLOs]],"&gt;=7",tbl_task5[[SubPLOs]:[SubPLOs]],"&lt;8")</f>
        <v>0</v>
      </c>
      <c r="CV40" s="138">
        <f>SUMIFS(tbl_task5[S95],tbl_task5[[SubPLOs]:[SubPLOs]],"&gt;=7",tbl_task5[[SubPLOs]:[SubPLOs]],"&lt;8")</f>
        <v>0</v>
      </c>
      <c r="CW40" s="138">
        <f>SUMIFS(tbl_task5[S96],tbl_task5[[SubPLOs]:[SubPLOs]],"&gt;=7",tbl_task5[[SubPLOs]:[SubPLOs]],"&lt;8")</f>
        <v>0</v>
      </c>
      <c r="CX40" s="138">
        <f>SUMIFS(tbl_task5[S97],tbl_task5[[SubPLOs]:[SubPLOs]],"&gt;=7",tbl_task5[[SubPLOs]:[SubPLOs]],"&lt;8")</f>
        <v>0</v>
      </c>
      <c r="CY40" s="138">
        <f>SUMIFS(tbl_task5[S98],tbl_task5[[SubPLOs]:[SubPLOs]],"&gt;=7",tbl_task5[[SubPLOs]:[SubPLOs]],"&lt;8")</f>
        <v>0</v>
      </c>
      <c r="CZ40" s="138">
        <f>SUMIFS(tbl_task5[S99],tbl_task5[[SubPLOs]:[SubPLOs]],"&gt;=7",tbl_task5[[SubPLOs]:[SubPLOs]],"&lt;8")</f>
        <v>0</v>
      </c>
      <c r="DA40" s="138">
        <f>SUMIFS(tbl_task5[S100],tbl_task5[[SubPLOs]:[SubPLOs]],"&gt;=7",tbl_task5[[SubPLOs]:[SubPLOs]],"&lt;8")</f>
        <v>0</v>
      </c>
      <c r="DB40" s="138">
        <f>SUMIFS(tbl_task5[S101],tbl_task5[[SubPLOs]:[SubPLOs]],"&gt;=7",tbl_task5[[SubPLOs]:[SubPLOs]],"&lt;8")</f>
        <v>0</v>
      </c>
      <c r="DC40" s="138">
        <f>SUMIFS(tbl_task5[S102],tbl_task5[[SubPLOs]:[SubPLOs]],"&gt;=7",tbl_task5[[SubPLOs]:[SubPLOs]],"&lt;8")</f>
        <v>0</v>
      </c>
      <c r="DD40" s="138">
        <f>SUMIFS(tbl_task5[S103],tbl_task5[[SubPLOs]:[SubPLOs]],"&gt;=7",tbl_task5[[SubPLOs]:[SubPLOs]],"&lt;8")</f>
        <v>0</v>
      </c>
      <c r="DE40" s="138">
        <f>SUMIFS(tbl_task5[S104],tbl_task5[[SubPLOs]:[SubPLOs]],"&gt;=7",tbl_task5[[SubPLOs]:[SubPLOs]],"&lt;8")</f>
        <v>0</v>
      </c>
      <c r="DF40" s="138">
        <f>SUMIFS(tbl_task5[S105],tbl_task5[[SubPLOs]:[SubPLOs]],"&gt;=7",tbl_task5[[SubPLOs]:[SubPLOs]],"&lt;8")</f>
        <v>0</v>
      </c>
      <c r="DG40" s="138">
        <f>SUMIFS(tbl_task5[S106],tbl_task5[[SubPLOs]:[SubPLOs]],"&gt;=7",tbl_task5[[SubPLOs]:[SubPLOs]],"&lt;8")</f>
        <v>0</v>
      </c>
      <c r="DH40" s="138">
        <f>SUMIFS(tbl_task5[S106],tbl_task5[[SubPLOs]:[SubPLOs]],"&gt;=7",tbl_task5[[SubPLOs]:[SubPLOs]],"&lt;8")</f>
        <v>0</v>
      </c>
      <c r="DI40" s="138">
        <f>SUMIFS(tbl_task5[S108],tbl_task5[[SubPLOs]:[SubPLOs]],"&gt;=7",tbl_task5[[SubPLOs]:[SubPLOs]],"&lt;8")</f>
        <v>0</v>
      </c>
      <c r="DJ40" s="138">
        <f>SUMIFS(tbl_task5[S109],tbl_task5[[SubPLOs]:[SubPLOs]],"&gt;=7",tbl_task5[[SubPLOs]:[SubPLOs]],"&lt;8")</f>
        <v>0</v>
      </c>
      <c r="DK40" s="138">
        <f>SUMIFS(tbl_task5[S110],tbl_task5[[SubPLOs]:[SubPLOs]],"&gt;=7",tbl_task5[[SubPLOs]:[SubPLOs]],"&lt;8")</f>
        <v>0</v>
      </c>
      <c r="DL40" s="138">
        <f>SUMIFS(tbl_task5[S111],tbl_task5[[SubPLOs]:[SubPLOs]],"&gt;=7",tbl_task5[[SubPLOs]:[SubPLOs]],"&lt;8")</f>
        <v>0</v>
      </c>
      <c r="DM40" s="138">
        <f>SUMIFS(tbl_task5[S112],tbl_task5[[SubPLOs]:[SubPLOs]],"&gt;=7",tbl_task5[[SubPLOs]:[SubPLOs]],"&lt;8")</f>
        <v>0</v>
      </c>
      <c r="DN40" s="138">
        <f>SUMIFS(tbl_task5[S113],tbl_task5[[SubPLOs]:[SubPLOs]],"&gt;=7",tbl_task5[[SubPLOs]:[SubPLOs]],"&lt;8")</f>
        <v>0</v>
      </c>
      <c r="DO40" s="138">
        <f>SUMIFS(tbl_task5[S114],tbl_task5[[SubPLOs]:[SubPLOs]],"&gt;=7",tbl_task5[[SubPLOs]:[SubPLOs]],"&lt;8")</f>
        <v>0</v>
      </c>
      <c r="DP40" s="138">
        <f>SUMIFS(tbl_task5[S115],tbl_task5[[SubPLOs]:[SubPLOs]],"&gt;=7",tbl_task5[[SubPLOs]:[SubPLOs]],"&lt;8")</f>
        <v>0</v>
      </c>
      <c r="DQ40" s="138">
        <f>SUMIFS(tbl_task5[S116],tbl_task5[[SubPLOs]:[SubPLOs]],"&gt;=7",tbl_task5[[SubPLOs]:[SubPLOs]],"&lt;8")</f>
        <v>0</v>
      </c>
      <c r="DR40" s="138">
        <f>SUMIFS(tbl_task5[S117],tbl_task5[[SubPLOs]:[SubPLOs]],"&gt;=7",tbl_task5[[SubPLOs]:[SubPLOs]],"&lt;8")</f>
        <v>0</v>
      </c>
      <c r="DS40" s="138">
        <f>SUMIFS(tbl_task5[S118],tbl_task5[[SubPLOs]:[SubPLOs]],"&gt;=7",tbl_task5[[SubPLOs]:[SubPLOs]],"&lt;8")</f>
        <v>0</v>
      </c>
      <c r="DT40" s="138">
        <f>SUMIFS(tbl_task5[S119],tbl_task5[[SubPLOs]:[SubPLOs]],"&gt;=7",tbl_task5[[SubPLOs]:[SubPLOs]],"&lt;8")</f>
        <v>0</v>
      </c>
      <c r="DU40" s="138">
        <f>SUMIFS(tbl_task5[S120],tbl_task5[[SubPLOs]:[SubPLOs]],"&gt;=7",tbl_task5[[SubPLOs]:[SubPLOs]],"&lt;8")</f>
        <v>0</v>
      </c>
      <c r="DV40" s="138">
        <f>SUMIFS(tbl_task5[S121],tbl_task5[[SubPLOs]:[SubPLOs]],"&gt;=7",tbl_task5[[SubPLOs]:[SubPLOs]],"&lt;8")</f>
        <v>0</v>
      </c>
      <c r="DW40" s="138">
        <f>SUMIFS(tbl_task5[S122],tbl_task5[[SubPLOs]:[SubPLOs]],"&gt;=7",tbl_task5[[SubPLOs]:[SubPLOs]],"&lt;8")</f>
        <v>0</v>
      </c>
      <c r="DX40" s="138">
        <f>SUMIFS(tbl_task5[S123],tbl_task5[[SubPLOs]:[SubPLOs]],"&gt;=7",tbl_task5[[SubPLOs]:[SubPLOs]],"&lt;8")</f>
        <v>0</v>
      </c>
      <c r="DY40" s="138">
        <f>SUMIFS(tbl_task5[S124],tbl_task5[[SubPLOs]:[SubPLOs]],"&gt;=7",tbl_task5[[SubPLOs]:[SubPLOs]],"&lt;8")</f>
        <v>0</v>
      </c>
      <c r="DZ40" s="138">
        <f>SUMIFS(tbl_task5[S125],tbl_task5[[SubPLOs]:[SubPLOs]],"&gt;=7",tbl_task5[[SubPLOs]:[SubPLOs]],"&lt;8")</f>
        <v>0</v>
      </c>
      <c r="EA40" s="138">
        <f>SUMIFS(tbl_task5[S126],tbl_task5[[SubPLOs]:[SubPLOs]],"&gt;=7",tbl_task5[[SubPLOs]:[SubPLOs]],"&lt;8")</f>
        <v>0</v>
      </c>
      <c r="EB40" s="138">
        <f>SUMIFS(tbl_task5[S127],tbl_task5[[SubPLOs]:[SubPLOs]],"&gt;=7",tbl_task5[[SubPLOs]:[SubPLOs]],"&lt;8")</f>
        <v>0</v>
      </c>
      <c r="EC40" s="138">
        <f>SUMIFS(tbl_task5[S128],tbl_task5[[SubPLOs]:[SubPLOs]],"&gt;=7",tbl_task5[[SubPLOs]:[SubPLOs]],"&lt;8")</f>
        <v>0</v>
      </c>
      <c r="ED40" s="138">
        <f>SUMIFS(tbl_task5[S129],tbl_task5[[SubPLOs]:[SubPLOs]],"&gt;=7",tbl_task5[[SubPLOs]:[SubPLOs]],"&lt;8")</f>
        <v>0</v>
      </c>
      <c r="EE40" s="138">
        <f>SUMIFS(tbl_task5[S130],tbl_task5[[SubPLOs]:[SubPLOs]],"&gt;=7",tbl_task5[[SubPLOs]:[SubPLOs]],"&lt;8")</f>
        <v>0</v>
      </c>
      <c r="EF40" s="138">
        <f>SUMIFS(tbl_task5[S131],tbl_task5[[SubPLOs]:[SubPLOs]],"&gt;=7",tbl_task5[[SubPLOs]:[SubPLOs]],"&lt;8")</f>
        <v>0</v>
      </c>
      <c r="EG40" s="138">
        <f>SUMIFS(tbl_task5[S132],tbl_task5[[SubPLOs]:[SubPLOs]],"&gt;=7",tbl_task5[[SubPLOs]:[SubPLOs]],"&lt;8")</f>
        <v>0</v>
      </c>
      <c r="EH40" s="138">
        <f>SUMIFS(tbl_task5[S133],tbl_task5[[SubPLOs]:[SubPLOs]],"&gt;=7",tbl_task5[[SubPLOs]:[SubPLOs]],"&lt;8")</f>
        <v>0</v>
      </c>
      <c r="EI40" s="138">
        <f>SUMIFS(tbl_task5[S134],tbl_task5[[SubPLOs]:[SubPLOs]],"&gt;=7",tbl_task5[[SubPLOs]:[SubPLOs]],"&lt;8")</f>
        <v>0</v>
      </c>
      <c r="EJ40" s="138">
        <f>SUMIFS(tbl_task5[S135],tbl_task5[[SubPLOs]:[SubPLOs]],"&gt;=7",tbl_task5[[SubPLOs]:[SubPLOs]],"&lt;8")</f>
        <v>0</v>
      </c>
      <c r="EK40" s="138">
        <f>SUMIFS(tbl_task5[S136],tbl_task5[[SubPLOs]:[SubPLOs]],"&gt;=7",tbl_task5[[SubPLOs]:[SubPLOs]],"&lt;8")</f>
        <v>0</v>
      </c>
      <c r="EL40" s="138">
        <f>SUMIFS(tbl_task5[S137],tbl_task5[[SubPLOs]:[SubPLOs]],"&gt;=7",tbl_task5[[SubPLOs]:[SubPLOs]],"&lt;8")</f>
        <v>0</v>
      </c>
      <c r="EM40" s="138">
        <f>SUMIFS(tbl_task5[S138],tbl_task5[[SubPLOs]:[SubPLOs]],"&gt;=7",tbl_task5[[SubPLOs]:[SubPLOs]],"&lt;8")</f>
        <v>0</v>
      </c>
      <c r="EN40" s="138">
        <f>SUMIFS(tbl_task5[S139],tbl_task5[[SubPLOs]:[SubPLOs]],"&gt;=7",tbl_task5[[SubPLOs]:[SubPLOs]],"&lt;8")</f>
        <v>0</v>
      </c>
      <c r="EO40" s="138">
        <f>SUMIFS(tbl_task5[S140],tbl_task5[[SubPLOs]:[SubPLOs]],"&gt;=7",tbl_task5[[SubPLOs]:[SubPLOs]],"&lt;8")</f>
        <v>0</v>
      </c>
      <c r="EP40" s="138">
        <f>SUMIFS(tbl_task5[S141],tbl_task5[[SubPLOs]:[SubPLOs]],"&gt;=7",tbl_task5[[SubPLOs]:[SubPLOs]],"&lt;8")</f>
        <v>0</v>
      </c>
      <c r="EQ40" s="138">
        <f>SUMIFS(tbl_task5[S142],tbl_task5[[SubPLOs]:[SubPLOs]],"&gt;=7",tbl_task5[[SubPLOs]:[SubPLOs]],"&lt;8")</f>
        <v>0</v>
      </c>
      <c r="ER40" s="138">
        <f>SUMIFS(tbl_task5[S143],tbl_task5[[SubPLOs]:[SubPLOs]],"&gt;=7",tbl_task5[[SubPLOs]:[SubPLOs]],"&lt;8")</f>
        <v>0</v>
      </c>
      <c r="ES40" s="138">
        <f>SUMIFS(tbl_task5[S144],tbl_task5[[SubPLOs]:[SubPLOs]],"&gt;=7",tbl_task5[[SubPLOs]:[SubPLOs]],"&lt;8")</f>
        <v>0</v>
      </c>
      <c r="ET40" s="138">
        <f>SUMIFS(tbl_task5[S145],tbl_task5[[SubPLOs]:[SubPLOs]],"&gt;=7",tbl_task5[[SubPLOs]:[SubPLOs]],"&lt;8")</f>
        <v>0</v>
      </c>
      <c r="EU40" s="138">
        <f>SUMIFS(tbl_task5[S146],tbl_task5[[SubPLOs]:[SubPLOs]],"&gt;=7",tbl_task5[[SubPLOs]:[SubPLOs]],"&lt;8")</f>
        <v>0</v>
      </c>
      <c r="EV40" s="138">
        <f>SUMIFS(tbl_task5[S147],tbl_task5[[SubPLOs]:[SubPLOs]],"&gt;=7",tbl_task5[[SubPLOs]:[SubPLOs]],"&lt;8")</f>
        <v>0</v>
      </c>
      <c r="EW40" s="138">
        <f>SUMIFS(tbl_task5[S148],tbl_task5[[SubPLOs]:[SubPLOs]],"&gt;=7",tbl_task5[[SubPLOs]:[SubPLOs]],"&lt;8")</f>
        <v>0</v>
      </c>
      <c r="EX40" s="138">
        <f>SUMIFS(tbl_task5[S149],tbl_task5[[SubPLOs]:[SubPLOs]],"&gt;=7",tbl_task5[[SubPLOs]:[SubPLOs]],"&lt;8")</f>
        <v>0</v>
      </c>
      <c r="EY40" s="138">
        <f>SUMIFS(tbl_task5[S150],tbl_task5[[SubPLOs]:[SubPLOs]],"&gt;=7",tbl_task5[[SubPLOs]:[SubPLOs]],"&lt;8")</f>
        <v>0</v>
      </c>
      <c r="EZ40" s="138">
        <f>SUMIFS(tbl_task5[S151],tbl_task5[[SubPLOs]:[SubPLOs]],"&gt;=7",tbl_task5[[SubPLOs]:[SubPLOs]],"&lt;8")</f>
        <v>0</v>
      </c>
      <c r="FA40" s="138">
        <f>SUMIFS(tbl_task5[S152],tbl_task5[[SubPLOs]:[SubPLOs]],"&gt;=7",tbl_task5[[SubPLOs]:[SubPLOs]],"&lt;8")</f>
        <v>0</v>
      </c>
      <c r="FB40" s="138">
        <f>SUMIFS(tbl_task5[S153],tbl_task5[[SubPLOs]:[SubPLOs]],"&gt;=7",tbl_task5[[SubPLOs]:[SubPLOs]],"&lt;8")</f>
        <v>0</v>
      </c>
      <c r="FC40" s="138">
        <f>SUMIFS(tbl_task5[S154],tbl_task5[[SubPLOs]:[SubPLOs]],"&gt;=7",tbl_task5[[SubPLOs]:[SubPLOs]],"&lt;8")</f>
        <v>0</v>
      </c>
      <c r="FD40" s="138">
        <f>SUMIFS(tbl_task5[S155],tbl_task5[[SubPLOs]:[SubPLOs]],"&gt;=7",tbl_task5[[SubPLOs]:[SubPLOs]],"&lt;8")</f>
        <v>0</v>
      </c>
      <c r="FE40" s="138">
        <f>SUMIFS(tbl_task5[S156],tbl_task5[[SubPLOs]:[SubPLOs]],"&gt;=7",tbl_task5[[SubPLOs]:[SubPLOs]],"&lt;8")</f>
        <v>0</v>
      </c>
      <c r="FF40" s="138">
        <f>SUMIFS(tbl_task5[S157],tbl_task5[[SubPLOs]:[SubPLOs]],"&gt;=7",tbl_task5[[SubPLOs]:[SubPLOs]],"&lt;8")</f>
        <v>0</v>
      </c>
      <c r="FG40" s="138">
        <f>SUMIFS(tbl_task5[S158],tbl_task5[[SubPLOs]:[SubPLOs]],"&gt;=7",tbl_task5[[SubPLOs]:[SubPLOs]],"&lt;8")</f>
        <v>0</v>
      </c>
      <c r="FH40" s="138">
        <f>SUMIFS(tbl_task5[S159],tbl_task5[[SubPLOs]:[SubPLOs]],"&gt;=7",tbl_task5[[SubPLOs]:[SubPLOs]],"&lt;8")</f>
        <v>0</v>
      </c>
      <c r="FI40" s="138">
        <f>SUMIFS(tbl_task5[S160],tbl_task5[[SubPLOs]:[SubPLOs]],"&gt;=7",tbl_task5[[SubPLOs]:[SubPLOs]],"&lt;8")</f>
        <v>0</v>
      </c>
      <c r="FJ40" s="138">
        <f>SUMIFS(tbl_task5[S161],tbl_task5[[SubPLOs]:[SubPLOs]],"&gt;=7",tbl_task5[[SubPLOs]:[SubPLOs]],"&lt;8")</f>
        <v>0</v>
      </c>
      <c r="FK40" s="138">
        <f>SUMIFS(tbl_task5[S162],tbl_task5[[SubPLOs]:[SubPLOs]],"&gt;=7",tbl_task5[[SubPLOs]:[SubPLOs]],"&lt;8")</f>
        <v>0</v>
      </c>
      <c r="FL40" s="138">
        <f>SUMIFS(tbl_task5[S163],tbl_task5[[SubPLOs]:[SubPLOs]],"&gt;=7",tbl_task5[[SubPLOs]:[SubPLOs]],"&lt;8")</f>
        <v>0</v>
      </c>
      <c r="FM40" s="138">
        <f>SUMIFS(tbl_task5[S164],tbl_task5[[SubPLOs]:[SubPLOs]],"&gt;=7",tbl_task5[[SubPLOs]:[SubPLOs]],"&lt;8")</f>
        <v>0</v>
      </c>
      <c r="FN40" s="138">
        <f>SUMIFS(tbl_task5[S165],tbl_task5[[SubPLOs]:[SubPLOs]],"&gt;=7",tbl_task5[[SubPLOs]:[SubPLOs]],"&lt;8")</f>
        <v>0</v>
      </c>
    </row>
    <row r="41" spans="1:170" ht="63" x14ac:dyDescent="0.25">
      <c r="A41" s="135">
        <v>8</v>
      </c>
      <c r="B41" s="5" t="s">
        <v>441</v>
      </c>
      <c r="C41" s="136">
        <f>COUNTIFS(tbl_task5[SubPLOs],"&gt;=8",tbl_task5[SubPLOs],"&lt;9")</f>
        <v>0</v>
      </c>
      <c r="D41" s="136">
        <f>SUMIFS(tbl_task5[คะแนนเต็ม],tbl_task5[SubPLOs],"&gt;=8",tbl_task5[SubPLOs],"&lt;9")</f>
        <v>0</v>
      </c>
      <c r="E41" s="137">
        <f>SUMIFS(tbl_task5[%],tbl_task5[SubPLOs],"&gt;=8",tbl_task5[SubPLOs],"&lt;9")</f>
        <v>0</v>
      </c>
      <c r="F41" s="138">
        <f>SUMIFS(tbl_task5[S1],tbl_task5[[SubPLOs]:[SubPLOs]],"&gt;=8",tbl_task5[[SubPLOs]:[SubPLOs]],"&lt;9")</f>
        <v>0</v>
      </c>
      <c r="G41" s="138">
        <f>SUMIFS(tbl_task5[S2],tbl_task5[[SubPLOs]:[SubPLOs]],"&gt;=8",tbl_task5[[SubPLOs]:[SubPLOs]],"&lt;9")</f>
        <v>0</v>
      </c>
      <c r="H41" s="138">
        <f>SUMIFS(tbl_task5[S3],tbl_task5[[SubPLOs]:[SubPLOs]],"&gt;=8",tbl_task5[[SubPLOs]:[SubPLOs]],"&lt;9")</f>
        <v>0</v>
      </c>
      <c r="I41" s="138">
        <f>SUMIFS(tbl_task5[S4],tbl_task5[[SubPLOs]:[SubPLOs]],"&gt;=8",tbl_task5[[SubPLOs]:[SubPLOs]],"&lt;9")</f>
        <v>0</v>
      </c>
      <c r="J41" s="138">
        <f>SUMIFS(tbl_task5[S5],tbl_task5[[SubPLOs]:[SubPLOs]],"&gt;=8",tbl_task5[[SubPLOs]:[SubPLOs]],"&lt;9")</f>
        <v>0</v>
      </c>
      <c r="K41" s="138">
        <f>SUMIFS(tbl_task5[S6],tbl_task5[[SubPLOs]:[SubPLOs]],"&gt;=8",tbl_task5[[SubPLOs]:[SubPLOs]],"&lt;9")</f>
        <v>0</v>
      </c>
      <c r="L41" s="138">
        <f>SUMIFS(tbl_task5[S7],tbl_task5[[SubPLOs]:[SubPLOs]],"&gt;=8",tbl_task5[[SubPLOs]:[SubPLOs]],"&lt;9")</f>
        <v>0</v>
      </c>
      <c r="M41" s="138">
        <f>SUMIFS(tbl_task5[S8],tbl_task5[[SubPLOs]:[SubPLOs]],"&gt;=8",tbl_task5[[SubPLOs]:[SubPLOs]],"&lt;9")</f>
        <v>0</v>
      </c>
      <c r="N41" s="138">
        <f>SUMIFS(tbl_task5[S9],tbl_task5[[SubPLOs]:[SubPLOs]],"&gt;=8",tbl_task5[[SubPLOs]:[SubPLOs]],"&lt;9")</f>
        <v>0</v>
      </c>
      <c r="O41" s="138">
        <f>SUMIFS(tbl_task5[S10],tbl_task5[[SubPLOs]:[SubPLOs]],"&gt;=8",tbl_task5[[SubPLOs]:[SubPLOs]],"&lt;9")</f>
        <v>0</v>
      </c>
      <c r="P41" s="138">
        <f>SUMIFS(tbl_task5[S11],tbl_task5[[SubPLOs]:[SubPLOs]],"&gt;=8",tbl_task5[[SubPLOs]:[SubPLOs]],"&lt;9")</f>
        <v>0</v>
      </c>
      <c r="Q41" s="138">
        <f>SUMIFS(tbl_task5[S12],tbl_task5[[SubPLOs]:[SubPLOs]],"&gt;=8",tbl_task5[[SubPLOs]:[SubPLOs]],"&lt;9")</f>
        <v>0</v>
      </c>
      <c r="R41" s="138">
        <f>SUMIFS(tbl_task5[S13],tbl_task5[[SubPLOs]:[SubPLOs]],"&gt;=8",tbl_task5[[SubPLOs]:[SubPLOs]],"&lt;9")</f>
        <v>0</v>
      </c>
      <c r="S41" s="138">
        <f>SUMIFS(tbl_task5[S14],tbl_task5[[SubPLOs]:[SubPLOs]],"&gt;=8",tbl_task5[[SubPLOs]:[SubPLOs]],"&lt;9")</f>
        <v>0</v>
      </c>
      <c r="T41" s="138">
        <f>SUMIFS(tbl_task5[S15],tbl_task5[[SubPLOs]:[SubPLOs]],"&gt;=8",tbl_task5[[SubPLOs]:[SubPLOs]],"&lt;9")</f>
        <v>0</v>
      </c>
      <c r="U41" s="138">
        <f>SUMIFS(tbl_task5[S16],tbl_task5[[SubPLOs]:[SubPLOs]],"&gt;=8",tbl_task5[[SubPLOs]:[SubPLOs]],"&lt;9")</f>
        <v>0</v>
      </c>
      <c r="V41" s="138">
        <f>SUMIFS(tbl_task5[S17],tbl_task5[[SubPLOs]:[SubPLOs]],"&gt;=8",tbl_task5[[SubPLOs]:[SubPLOs]],"&lt;9")</f>
        <v>0</v>
      </c>
      <c r="W41" s="138">
        <f>SUMIFS(tbl_task5[S18],tbl_task5[[SubPLOs]:[SubPLOs]],"&gt;=8",tbl_task5[[SubPLOs]:[SubPLOs]],"&lt;9")</f>
        <v>0</v>
      </c>
      <c r="X41" s="138">
        <f>SUMIFS(tbl_task5[S19],tbl_task5[[SubPLOs]:[SubPLOs]],"&gt;=8",tbl_task5[[SubPLOs]:[SubPLOs]],"&lt;9")</f>
        <v>0</v>
      </c>
      <c r="Y41" s="138">
        <f>SUMIFS(tbl_task5[S20],tbl_task5[[SubPLOs]:[SubPLOs]],"&gt;=8",tbl_task5[[SubPLOs]:[SubPLOs]],"&lt;9")</f>
        <v>0</v>
      </c>
      <c r="Z41" s="138">
        <f>SUMIFS(tbl_task5[S21],tbl_task5[[SubPLOs]:[SubPLOs]],"&gt;=8",tbl_task5[[SubPLOs]:[SubPLOs]],"&lt;9")</f>
        <v>0</v>
      </c>
      <c r="AA41" s="138">
        <f>SUMIFS(tbl_task5[S22],tbl_task5[[SubPLOs]:[SubPLOs]],"&gt;=8",tbl_task5[[SubPLOs]:[SubPLOs]],"&lt;9")</f>
        <v>0</v>
      </c>
      <c r="AB41" s="138">
        <f>SUMIFS(tbl_task5[S23],tbl_task5[[SubPLOs]:[SubPLOs]],"&gt;=8",tbl_task5[[SubPLOs]:[SubPLOs]],"&lt;9")</f>
        <v>0</v>
      </c>
      <c r="AC41" s="138">
        <f>SUMIFS(tbl_task5[S24],tbl_task5[[SubPLOs]:[SubPLOs]],"&gt;=8",tbl_task5[[SubPLOs]:[SubPLOs]],"&lt;9")</f>
        <v>0</v>
      </c>
      <c r="AD41" s="138">
        <f>SUMIFS(tbl_task5[S25],tbl_task5[[SubPLOs]:[SubPLOs]],"&gt;=8",tbl_task5[[SubPLOs]:[SubPLOs]],"&lt;9")</f>
        <v>0</v>
      </c>
      <c r="AE41" s="138">
        <f>SUMIFS(tbl_task5[S26],tbl_task5[[SubPLOs]:[SubPLOs]],"&gt;=8",tbl_task5[[SubPLOs]:[SubPLOs]],"&lt;9")</f>
        <v>0</v>
      </c>
      <c r="AF41" s="138">
        <f>SUMIFS(tbl_task5[S27],tbl_task5[[SubPLOs]:[SubPLOs]],"&gt;=8",tbl_task5[[SubPLOs]:[SubPLOs]],"&lt;9")</f>
        <v>0</v>
      </c>
      <c r="AG41" s="138">
        <f>SUMIFS(tbl_task5[S28],tbl_task5[[SubPLOs]:[SubPLOs]],"&gt;=8",tbl_task5[[SubPLOs]:[SubPLOs]],"&lt;9")</f>
        <v>0</v>
      </c>
      <c r="AH41" s="138">
        <f>SUMIFS(tbl_task5[S29],tbl_task5[[SubPLOs]:[SubPLOs]],"&gt;=8",tbl_task5[[SubPLOs]:[SubPLOs]],"&lt;9")</f>
        <v>0</v>
      </c>
      <c r="AI41" s="138">
        <f>SUMIFS(tbl_task5[S30],tbl_task5[[SubPLOs]:[SubPLOs]],"&gt;=8",tbl_task5[[SubPLOs]:[SubPLOs]],"&lt;9")</f>
        <v>0</v>
      </c>
      <c r="AJ41" s="138">
        <f>SUMIFS(tbl_task5[S31],tbl_task5[[SubPLOs]:[SubPLOs]],"&gt;=8",tbl_task5[[SubPLOs]:[SubPLOs]],"&lt;9")</f>
        <v>0</v>
      </c>
      <c r="AK41" s="138">
        <f>SUMIFS(tbl_task5[S32],tbl_task5[[SubPLOs]:[SubPLOs]],"&gt;=8",tbl_task5[[SubPLOs]:[SubPLOs]],"&lt;9")</f>
        <v>0</v>
      </c>
      <c r="AL41" s="138">
        <f>SUMIFS(tbl_task5[S33],tbl_task5[[SubPLOs]:[SubPLOs]],"&gt;=8",tbl_task5[[SubPLOs]:[SubPLOs]],"&lt;9")</f>
        <v>0</v>
      </c>
      <c r="AM41" s="138">
        <f>SUMIFS(tbl_task5[S34],tbl_task5[[SubPLOs]:[SubPLOs]],"&gt;=8",tbl_task5[[SubPLOs]:[SubPLOs]],"&lt;9")</f>
        <v>0</v>
      </c>
      <c r="AN41" s="138">
        <f>SUMIFS(tbl_task5[S35],tbl_task5[[SubPLOs]:[SubPLOs]],"&gt;=8",tbl_task5[[SubPLOs]:[SubPLOs]],"&lt;9")</f>
        <v>0</v>
      </c>
      <c r="AO41" s="138">
        <f>SUMIFS(tbl_task5[S36],tbl_task5[[SubPLOs]:[SubPLOs]],"&gt;=8",tbl_task5[[SubPLOs]:[SubPLOs]],"&lt;9")</f>
        <v>0</v>
      </c>
      <c r="AP41" s="138">
        <f>SUMIFS(tbl_task5[S37],tbl_task5[[SubPLOs]:[SubPLOs]],"&gt;=8",tbl_task5[[SubPLOs]:[SubPLOs]],"&lt;9")</f>
        <v>0</v>
      </c>
      <c r="AQ41" s="138">
        <f>SUMIFS(tbl_task5[S38],tbl_task5[[SubPLOs]:[SubPLOs]],"&gt;=8",tbl_task5[[SubPLOs]:[SubPLOs]],"&lt;9")</f>
        <v>0</v>
      </c>
      <c r="AR41" s="138">
        <f>SUMIFS(tbl_task5[S39],tbl_task5[[SubPLOs]:[SubPLOs]],"&gt;=8",tbl_task5[[SubPLOs]:[SubPLOs]],"&lt;9")</f>
        <v>0</v>
      </c>
      <c r="AS41" s="138">
        <f>SUMIFS(tbl_task5[S40],tbl_task5[[SubPLOs]:[SubPLOs]],"&gt;=8",tbl_task5[[SubPLOs]:[SubPLOs]],"&lt;9")</f>
        <v>0</v>
      </c>
      <c r="AT41" s="138">
        <f>SUMIFS(tbl_task5[S41],tbl_task5[[SubPLOs]:[SubPLOs]],"&gt;=8",tbl_task5[[SubPLOs]:[SubPLOs]],"&lt;9")</f>
        <v>0</v>
      </c>
      <c r="AU41" s="138">
        <f>SUMIFS(tbl_task5[S42],tbl_task5[[SubPLOs]:[SubPLOs]],"&gt;=8",tbl_task5[[SubPLOs]:[SubPLOs]],"&lt;9")</f>
        <v>0</v>
      </c>
      <c r="AV41" s="138">
        <f>SUMIFS(tbl_task5[S43],tbl_task5[[SubPLOs]:[SubPLOs]],"&gt;=8",tbl_task5[[SubPLOs]:[SubPLOs]],"&lt;9")</f>
        <v>0</v>
      </c>
      <c r="AW41" s="138">
        <f>SUMIFS(tbl_task5[S44],tbl_task5[[SubPLOs]:[SubPLOs]],"&gt;=8",tbl_task5[[SubPLOs]:[SubPLOs]],"&lt;9")</f>
        <v>0</v>
      </c>
      <c r="AX41" s="138">
        <f>SUMIFS(tbl_task5[S45],tbl_task5[[SubPLOs]:[SubPLOs]],"&gt;=8",tbl_task5[[SubPLOs]:[SubPLOs]],"&lt;9")</f>
        <v>0</v>
      </c>
      <c r="AY41" s="138">
        <f>SUMIFS(tbl_task5[S46],tbl_task5[[SubPLOs]:[SubPLOs]],"&gt;=8",tbl_task5[[SubPLOs]:[SubPLOs]],"&lt;9")</f>
        <v>0</v>
      </c>
      <c r="AZ41" s="138">
        <f>SUMIFS(tbl_task5[S47],tbl_task5[[SubPLOs]:[SubPLOs]],"&gt;=8",tbl_task5[[SubPLOs]:[SubPLOs]],"&lt;9")</f>
        <v>0</v>
      </c>
      <c r="BA41" s="138">
        <f>SUMIFS(tbl_task5[S48],tbl_task5[[SubPLOs]:[SubPLOs]],"&gt;=8",tbl_task5[[SubPLOs]:[SubPLOs]],"&lt;9")</f>
        <v>0</v>
      </c>
      <c r="BB41" s="138">
        <f>SUMIFS(tbl_task5[S49],tbl_task5[[SubPLOs]:[SubPLOs]],"&gt;=8",tbl_task5[[SubPLOs]:[SubPLOs]],"&lt;9")</f>
        <v>0</v>
      </c>
      <c r="BC41" s="138">
        <f>SUMIFS(tbl_task5[S50],tbl_task5[[SubPLOs]:[SubPLOs]],"&gt;=8",tbl_task5[[SubPLOs]:[SubPLOs]],"&lt;9")</f>
        <v>0</v>
      </c>
      <c r="BD41" s="138">
        <f>SUMIFS(tbl_task5[S51],tbl_task5[[SubPLOs]:[SubPLOs]],"&gt;=8",tbl_task5[[SubPLOs]:[SubPLOs]],"&lt;9")</f>
        <v>0</v>
      </c>
      <c r="BE41" s="138">
        <f>SUMIFS(tbl_task5[S52],tbl_task5[[SubPLOs]:[SubPLOs]],"&gt;=8",tbl_task5[[SubPLOs]:[SubPLOs]],"&lt;9")</f>
        <v>0</v>
      </c>
      <c r="BF41" s="138">
        <f>SUMIFS(tbl_task5[S53],tbl_task5[[SubPLOs]:[SubPLOs]],"&gt;=8",tbl_task5[[SubPLOs]:[SubPLOs]],"&lt;9")</f>
        <v>0</v>
      </c>
      <c r="BG41" s="138">
        <f>SUMIFS(tbl_task5[S54],tbl_task5[[SubPLOs]:[SubPLOs]],"&gt;=8",tbl_task5[[SubPLOs]:[SubPLOs]],"&lt;9")</f>
        <v>0</v>
      </c>
      <c r="BH41" s="138">
        <f>SUMIFS(tbl_task5[S55],tbl_task5[[SubPLOs]:[SubPLOs]],"&gt;=8",tbl_task5[[SubPLOs]:[SubPLOs]],"&lt;9")</f>
        <v>0</v>
      </c>
      <c r="BI41" s="138">
        <f>SUMIFS(tbl_task5[S56],tbl_task5[[SubPLOs]:[SubPLOs]],"&gt;=8",tbl_task5[[SubPLOs]:[SubPLOs]],"&lt;9")</f>
        <v>0</v>
      </c>
      <c r="BJ41" s="138">
        <f>SUMIFS(tbl_task5[S57],tbl_task5[[SubPLOs]:[SubPLOs]],"&gt;=8",tbl_task5[[SubPLOs]:[SubPLOs]],"&lt;9")</f>
        <v>0</v>
      </c>
      <c r="BK41" s="138">
        <f>SUMIFS(tbl_task5[S58],tbl_task5[[SubPLOs]:[SubPLOs]],"&gt;=8",tbl_task5[[SubPLOs]:[SubPLOs]],"&lt;9")</f>
        <v>0</v>
      </c>
      <c r="BL41" s="138">
        <f>SUMIFS(tbl_task5[S59],tbl_task5[[SubPLOs]:[SubPLOs]],"&gt;=8",tbl_task5[[SubPLOs]:[SubPLOs]],"&lt;9")</f>
        <v>0</v>
      </c>
      <c r="BM41" s="138">
        <f>SUMIFS(tbl_task5[S60],tbl_task5[[SubPLOs]:[SubPLOs]],"&gt;=8",tbl_task5[[SubPLOs]:[SubPLOs]],"&lt;9")</f>
        <v>0</v>
      </c>
      <c r="BN41" s="138">
        <f>SUMIFS(tbl_task5[S61],tbl_task5[[SubPLOs]:[SubPLOs]],"&gt;=8",tbl_task5[[SubPLOs]:[SubPLOs]],"&lt;9")</f>
        <v>0</v>
      </c>
      <c r="BO41" s="138">
        <f>SUMIFS(tbl_task5[S62],tbl_task5[[SubPLOs]:[SubPLOs]],"&gt;=8",tbl_task5[[SubPLOs]:[SubPLOs]],"&lt;9")</f>
        <v>0</v>
      </c>
      <c r="BP41" s="138">
        <f>SUMIFS(tbl_task5[S63],tbl_task5[[SubPLOs]:[SubPLOs]],"&gt;=8",tbl_task5[[SubPLOs]:[SubPLOs]],"&lt;9")</f>
        <v>0</v>
      </c>
      <c r="BQ41" s="138">
        <f>SUMIFS(tbl_task5[S64],tbl_task5[[SubPLOs]:[SubPLOs]],"&gt;=8",tbl_task5[[SubPLOs]:[SubPLOs]],"&lt;9")</f>
        <v>0</v>
      </c>
      <c r="BR41" s="138">
        <f>SUMIFS(tbl_task5[S65],tbl_task5[[SubPLOs]:[SubPLOs]],"&gt;=8",tbl_task5[[SubPLOs]:[SubPLOs]],"&lt;9")</f>
        <v>0</v>
      </c>
      <c r="BS41" s="138">
        <f>SUMIFS(tbl_task5[S66],tbl_task5[[SubPLOs]:[SubPLOs]],"&gt;=8",tbl_task5[[SubPLOs]:[SubPLOs]],"&lt;9")</f>
        <v>0</v>
      </c>
      <c r="BT41" s="138">
        <f>SUMIFS(tbl_task5[S67],tbl_task5[[SubPLOs]:[SubPLOs]],"&gt;=8",tbl_task5[[SubPLOs]:[SubPLOs]],"&lt;9")</f>
        <v>0</v>
      </c>
      <c r="BU41" s="138">
        <f>SUMIFS(tbl_task5[S68],tbl_task5[[SubPLOs]:[SubPLOs]],"&gt;=8",tbl_task5[[SubPLOs]:[SubPLOs]],"&lt;9")</f>
        <v>0</v>
      </c>
      <c r="BV41" s="138">
        <f>SUMIFS(tbl_task5[S69],tbl_task5[[SubPLOs]:[SubPLOs]],"&gt;=8",tbl_task5[[SubPLOs]:[SubPLOs]],"&lt;9")</f>
        <v>0</v>
      </c>
      <c r="BW41" s="138">
        <f>SUMIFS(tbl_task5[S70],tbl_task5[[SubPLOs]:[SubPLOs]],"&gt;=8",tbl_task5[[SubPLOs]:[SubPLOs]],"&lt;9")</f>
        <v>0</v>
      </c>
      <c r="BX41" s="138">
        <f>SUMIFS(tbl_task5[S71],tbl_task5[[SubPLOs]:[SubPLOs]],"&gt;=8",tbl_task5[[SubPLOs]:[SubPLOs]],"&lt;9")</f>
        <v>0</v>
      </c>
      <c r="BY41" s="138">
        <f>SUMIFS(tbl_task5[S72],tbl_task5[[SubPLOs]:[SubPLOs]],"&gt;=8",tbl_task5[[SubPLOs]:[SubPLOs]],"&lt;9")</f>
        <v>0</v>
      </c>
      <c r="BZ41" s="138">
        <f>SUMIFS(tbl_task5[S73],tbl_task5[[SubPLOs]:[SubPLOs]],"&gt;=8",tbl_task5[[SubPLOs]:[SubPLOs]],"&lt;9")</f>
        <v>0</v>
      </c>
      <c r="CA41" s="138">
        <f>SUMIFS(tbl_task5[S74],tbl_task5[[SubPLOs]:[SubPLOs]],"&gt;=8",tbl_task5[[SubPLOs]:[SubPLOs]],"&lt;9")</f>
        <v>0</v>
      </c>
      <c r="CB41" s="138">
        <f>SUMIFS(tbl_task5[S75],tbl_task5[[SubPLOs]:[SubPLOs]],"&gt;=8",tbl_task5[[SubPLOs]:[SubPLOs]],"&lt;9")</f>
        <v>0</v>
      </c>
      <c r="CC41" s="138">
        <f>SUMIFS(tbl_task5[S76],tbl_task5[[SubPLOs]:[SubPLOs]],"&gt;=8",tbl_task5[[SubPLOs]:[SubPLOs]],"&lt;9")</f>
        <v>0</v>
      </c>
      <c r="CD41" s="138">
        <f>SUMIFS(tbl_task5[S77],tbl_task5[[SubPLOs]:[SubPLOs]],"&gt;=8",tbl_task5[[SubPLOs]:[SubPLOs]],"&lt;9")</f>
        <v>0</v>
      </c>
      <c r="CE41" s="138">
        <f>SUMIFS(tbl_task5[S78],tbl_task5[[SubPLOs]:[SubPLOs]],"&gt;=8",tbl_task5[[SubPLOs]:[SubPLOs]],"&lt;9")</f>
        <v>0</v>
      </c>
      <c r="CF41" s="138">
        <f>SUMIFS(tbl_task5[S79],tbl_task5[[SubPLOs]:[SubPLOs]],"&gt;=8",tbl_task5[[SubPLOs]:[SubPLOs]],"&lt;9")</f>
        <v>0</v>
      </c>
      <c r="CG41" s="138">
        <f>SUMIFS(tbl_task5[S80],tbl_task5[[SubPLOs]:[SubPLOs]],"&gt;=8",tbl_task5[[SubPLOs]:[SubPLOs]],"&lt;9")</f>
        <v>0</v>
      </c>
      <c r="CH41" s="138">
        <f>SUMIFS(tbl_task5[S81],tbl_task5[[SubPLOs]:[SubPLOs]],"&gt;=8",tbl_task5[[SubPLOs]:[SubPLOs]],"&lt;9")</f>
        <v>0</v>
      </c>
      <c r="CI41" s="138">
        <f>SUMIFS(tbl_task5[S82],tbl_task5[[SubPLOs]:[SubPLOs]],"&gt;=8",tbl_task5[[SubPLOs]:[SubPLOs]],"&lt;9")</f>
        <v>0</v>
      </c>
      <c r="CJ41" s="138">
        <f>SUMIFS(tbl_task5[S83],tbl_task5[[SubPLOs]:[SubPLOs]],"&gt;=8",tbl_task5[[SubPLOs]:[SubPLOs]],"&lt;9")</f>
        <v>0</v>
      </c>
      <c r="CK41" s="138">
        <f>SUMIFS(tbl_task5[S84],tbl_task5[[SubPLOs]:[SubPLOs]],"&gt;=8",tbl_task5[[SubPLOs]:[SubPLOs]],"&lt;9")</f>
        <v>0</v>
      </c>
      <c r="CL41" s="138">
        <f>SUMIFS(tbl_task5[S85],tbl_task5[[SubPLOs]:[SubPLOs]],"&gt;=8",tbl_task5[[SubPLOs]:[SubPLOs]],"&lt;9")</f>
        <v>0</v>
      </c>
      <c r="CM41" s="138">
        <f>SUMIFS(tbl_task5[S86],tbl_task5[[SubPLOs]:[SubPLOs]],"&gt;=8",tbl_task5[[SubPLOs]:[SubPLOs]],"&lt;9")</f>
        <v>0</v>
      </c>
      <c r="CN41" s="138">
        <f>SUMIFS(tbl_task5[S87],tbl_task5[[SubPLOs]:[SubPLOs]],"&gt;=8",tbl_task5[[SubPLOs]:[SubPLOs]],"&lt;9")</f>
        <v>0</v>
      </c>
      <c r="CO41" s="138">
        <f>SUMIFS(tbl_task5[S88],tbl_task5[[SubPLOs]:[SubPLOs]],"&gt;=8",tbl_task5[[SubPLOs]:[SubPLOs]],"&lt;9")</f>
        <v>0</v>
      </c>
      <c r="CP41" s="138">
        <f>SUMIFS(tbl_task5[S89],tbl_task5[[SubPLOs]:[SubPLOs]],"&gt;=8",tbl_task5[[SubPLOs]:[SubPLOs]],"&lt;9")</f>
        <v>0</v>
      </c>
      <c r="CQ41" s="138">
        <f>SUMIFS(tbl_task5[S90],tbl_task5[[SubPLOs]:[SubPLOs]],"&gt;=8",tbl_task5[[SubPLOs]:[SubPLOs]],"&lt;9")</f>
        <v>0</v>
      </c>
      <c r="CR41" s="138">
        <f>SUMIFS(tbl_task5[S91],tbl_task5[[SubPLOs]:[SubPLOs]],"&gt;=8",tbl_task5[[SubPLOs]:[SubPLOs]],"&lt;9")</f>
        <v>0</v>
      </c>
      <c r="CS41" s="138">
        <f>SUMIFS(tbl_task5[S92],tbl_task5[[SubPLOs]:[SubPLOs]],"&gt;=8",tbl_task5[[SubPLOs]:[SubPLOs]],"&lt;9")</f>
        <v>0</v>
      </c>
      <c r="CT41" s="138">
        <f>SUMIFS(tbl_task5[S93],tbl_task5[[SubPLOs]:[SubPLOs]],"&gt;=8",tbl_task5[[SubPLOs]:[SubPLOs]],"&lt;9")</f>
        <v>0</v>
      </c>
      <c r="CU41" s="138">
        <f>SUMIFS(tbl_task5[S94],tbl_task5[[SubPLOs]:[SubPLOs]],"&gt;=8",tbl_task5[[SubPLOs]:[SubPLOs]],"&lt;9")</f>
        <v>0</v>
      </c>
      <c r="CV41" s="138">
        <f>SUMIFS(tbl_task5[S95],tbl_task5[[SubPLOs]:[SubPLOs]],"&gt;=8",tbl_task5[[SubPLOs]:[SubPLOs]],"&lt;9")</f>
        <v>0</v>
      </c>
      <c r="CW41" s="138">
        <f>SUMIFS(tbl_task5[S96],tbl_task5[[SubPLOs]:[SubPLOs]],"&gt;=8",tbl_task5[[SubPLOs]:[SubPLOs]],"&lt;9")</f>
        <v>0</v>
      </c>
      <c r="CX41" s="138">
        <f>SUMIFS(tbl_task5[S97],tbl_task5[[SubPLOs]:[SubPLOs]],"&gt;=8",tbl_task5[[SubPLOs]:[SubPLOs]],"&lt;9")</f>
        <v>0</v>
      </c>
      <c r="CY41" s="138">
        <f>SUMIFS(tbl_task5[S98],tbl_task5[[SubPLOs]:[SubPLOs]],"&gt;=8",tbl_task5[[SubPLOs]:[SubPLOs]],"&lt;9")</f>
        <v>0</v>
      </c>
      <c r="CZ41" s="138">
        <f>SUMIFS(tbl_task5[S99],tbl_task5[[SubPLOs]:[SubPLOs]],"&gt;=8",tbl_task5[[SubPLOs]:[SubPLOs]],"&lt;9")</f>
        <v>0</v>
      </c>
      <c r="DA41" s="138">
        <f>SUMIFS(tbl_task5[S100],tbl_task5[[SubPLOs]:[SubPLOs]],"&gt;=8",tbl_task5[[SubPLOs]:[SubPLOs]],"&lt;9")</f>
        <v>0</v>
      </c>
      <c r="DB41" s="138">
        <f>SUMIFS(tbl_task5[S101],tbl_task5[[SubPLOs]:[SubPLOs]],"&gt;=8",tbl_task5[[SubPLOs]:[SubPLOs]],"&lt;9")</f>
        <v>0</v>
      </c>
      <c r="DC41" s="138">
        <f>SUMIFS(tbl_task5[S102],tbl_task5[[SubPLOs]:[SubPLOs]],"&gt;=8",tbl_task5[[SubPLOs]:[SubPLOs]],"&lt;9")</f>
        <v>0</v>
      </c>
      <c r="DD41" s="138">
        <f>SUMIFS(tbl_task5[S103],tbl_task5[[SubPLOs]:[SubPLOs]],"&gt;=8",tbl_task5[[SubPLOs]:[SubPLOs]],"&lt;9")</f>
        <v>0</v>
      </c>
      <c r="DE41" s="138">
        <f>SUMIFS(tbl_task5[S104],tbl_task5[[SubPLOs]:[SubPLOs]],"&gt;=8",tbl_task5[[SubPLOs]:[SubPLOs]],"&lt;9")</f>
        <v>0</v>
      </c>
      <c r="DF41" s="138">
        <f>SUMIFS(tbl_task5[S105],tbl_task5[[SubPLOs]:[SubPLOs]],"&gt;=8",tbl_task5[[SubPLOs]:[SubPLOs]],"&lt;9")</f>
        <v>0</v>
      </c>
      <c r="DG41" s="138">
        <f>SUMIFS(tbl_task5[S106],tbl_task5[[SubPLOs]:[SubPLOs]],"&gt;=8",tbl_task5[[SubPLOs]:[SubPLOs]],"&lt;9")</f>
        <v>0</v>
      </c>
      <c r="DH41" s="138">
        <f>SUMIFS(tbl_task5[S106],tbl_task5[[SubPLOs]:[SubPLOs]],"&gt;=8",tbl_task5[[SubPLOs]:[SubPLOs]],"&lt;9")</f>
        <v>0</v>
      </c>
      <c r="DI41" s="138">
        <f>SUMIFS(tbl_task5[S108],tbl_task5[[SubPLOs]:[SubPLOs]],"&gt;=8",tbl_task5[[SubPLOs]:[SubPLOs]],"&lt;9")</f>
        <v>0</v>
      </c>
      <c r="DJ41" s="138">
        <f>SUMIFS(tbl_task5[S109],tbl_task5[[SubPLOs]:[SubPLOs]],"&gt;=8",tbl_task5[[SubPLOs]:[SubPLOs]],"&lt;9")</f>
        <v>0</v>
      </c>
      <c r="DK41" s="138">
        <f>SUMIFS(tbl_task5[S110],tbl_task5[[SubPLOs]:[SubPLOs]],"&gt;=8",tbl_task5[[SubPLOs]:[SubPLOs]],"&lt;9")</f>
        <v>0</v>
      </c>
      <c r="DL41" s="138">
        <f>SUMIFS(tbl_task5[S111],tbl_task5[[SubPLOs]:[SubPLOs]],"&gt;=8",tbl_task5[[SubPLOs]:[SubPLOs]],"&lt;9")</f>
        <v>0</v>
      </c>
      <c r="DM41" s="138">
        <f>SUMIFS(tbl_task5[S112],tbl_task5[[SubPLOs]:[SubPLOs]],"&gt;=8",tbl_task5[[SubPLOs]:[SubPLOs]],"&lt;9")</f>
        <v>0</v>
      </c>
      <c r="DN41" s="138">
        <f>SUMIFS(tbl_task5[S113],tbl_task5[[SubPLOs]:[SubPLOs]],"&gt;=8",tbl_task5[[SubPLOs]:[SubPLOs]],"&lt;9")</f>
        <v>0</v>
      </c>
      <c r="DO41" s="138">
        <f>SUMIFS(tbl_task5[S114],tbl_task5[[SubPLOs]:[SubPLOs]],"&gt;=8",tbl_task5[[SubPLOs]:[SubPLOs]],"&lt;9")</f>
        <v>0</v>
      </c>
      <c r="DP41" s="138">
        <f>SUMIFS(tbl_task5[S115],tbl_task5[[SubPLOs]:[SubPLOs]],"&gt;=8",tbl_task5[[SubPLOs]:[SubPLOs]],"&lt;9")</f>
        <v>0</v>
      </c>
      <c r="DQ41" s="138">
        <f>SUMIFS(tbl_task5[S116],tbl_task5[[SubPLOs]:[SubPLOs]],"&gt;=8",tbl_task5[[SubPLOs]:[SubPLOs]],"&lt;9")</f>
        <v>0</v>
      </c>
      <c r="DR41" s="138">
        <f>SUMIFS(tbl_task5[S117],tbl_task5[[SubPLOs]:[SubPLOs]],"&gt;=8",tbl_task5[[SubPLOs]:[SubPLOs]],"&lt;9")</f>
        <v>0</v>
      </c>
      <c r="DS41" s="138">
        <f>SUMIFS(tbl_task5[S118],tbl_task5[[SubPLOs]:[SubPLOs]],"&gt;=8",tbl_task5[[SubPLOs]:[SubPLOs]],"&lt;9")</f>
        <v>0</v>
      </c>
      <c r="DT41" s="138">
        <f>SUMIFS(tbl_task5[S119],tbl_task5[[SubPLOs]:[SubPLOs]],"&gt;=8",tbl_task5[[SubPLOs]:[SubPLOs]],"&lt;9")</f>
        <v>0</v>
      </c>
      <c r="DU41" s="138">
        <f>SUMIFS(tbl_task5[S120],tbl_task5[[SubPLOs]:[SubPLOs]],"&gt;=8",tbl_task5[[SubPLOs]:[SubPLOs]],"&lt;9")</f>
        <v>0</v>
      </c>
      <c r="DV41" s="138">
        <f>SUMIFS(tbl_task5[S121],tbl_task5[[SubPLOs]:[SubPLOs]],"&gt;=8",tbl_task5[[SubPLOs]:[SubPLOs]],"&lt;9")</f>
        <v>0</v>
      </c>
      <c r="DW41" s="138">
        <f>SUMIFS(tbl_task5[S122],tbl_task5[[SubPLOs]:[SubPLOs]],"&gt;=8",tbl_task5[[SubPLOs]:[SubPLOs]],"&lt;9")</f>
        <v>0</v>
      </c>
      <c r="DX41" s="138">
        <f>SUMIFS(tbl_task5[S123],tbl_task5[[SubPLOs]:[SubPLOs]],"&gt;=8",tbl_task5[[SubPLOs]:[SubPLOs]],"&lt;9")</f>
        <v>0</v>
      </c>
      <c r="DY41" s="138">
        <f>SUMIFS(tbl_task5[S124],tbl_task5[[SubPLOs]:[SubPLOs]],"&gt;=8",tbl_task5[[SubPLOs]:[SubPLOs]],"&lt;9")</f>
        <v>0</v>
      </c>
      <c r="DZ41" s="138">
        <f>SUMIFS(tbl_task5[S125],tbl_task5[[SubPLOs]:[SubPLOs]],"&gt;=8",tbl_task5[[SubPLOs]:[SubPLOs]],"&lt;9")</f>
        <v>0</v>
      </c>
      <c r="EA41" s="138">
        <f>SUMIFS(tbl_task5[S126],tbl_task5[[SubPLOs]:[SubPLOs]],"&gt;=8",tbl_task5[[SubPLOs]:[SubPLOs]],"&lt;9")</f>
        <v>0</v>
      </c>
      <c r="EB41" s="138">
        <f>SUMIFS(tbl_task5[S127],tbl_task5[[SubPLOs]:[SubPLOs]],"&gt;=8",tbl_task5[[SubPLOs]:[SubPLOs]],"&lt;9")</f>
        <v>0</v>
      </c>
      <c r="EC41" s="138">
        <f>SUMIFS(tbl_task5[S128],tbl_task5[[SubPLOs]:[SubPLOs]],"&gt;=8",tbl_task5[[SubPLOs]:[SubPLOs]],"&lt;9")</f>
        <v>0</v>
      </c>
      <c r="ED41" s="138">
        <f>SUMIFS(tbl_task5[S129],tbl_task5[[SubPLOs]:[SubPLOs]],"&gt;=8",tbl_task5[[SubPLOs]:[SubPLOs]],"&lt;9")</f>
        <v>0</v>
      </c>
      <c r="EE41" s="138">
        <f>SUMIFS(tbl_task5[S130],tbl_task5[[SubPLOs]:[SubPLOs]],"&gt;=8",tbl_task5[[SubPLOs]:[SubPLOs]],"&lt;9")</f>
        <v>0</v>
      </c>
      <c r="EF41" s="138">
        <f>SUMIFS(tbl_task5[S131],tbl_task5[[SubPLOs]:[SubPLOs]],"&gt;=8",tbl_task5[[SubPLOs]:[SubPLOs]],"&lt;9")</f>
        <v>0</v>
      </c>
      <c r="EG41" s="138">
        <f>SUMIFS(tbl_task5[S132],tbl_task5[[SubPLOs]:[SubPLOs]],"&gt;=8",tbl_task5[[SubPLOs]:[SubPLOs]],"&lt;9")</f>
        <v>0</v>
      </c>
      <c r="EH41" s="138">
        <f>SUMIFS(tbl_task5[S133],tbl_task5[[SubPLOs]:[SubPLOs]],"&gt;=8",tbl_task5[[SubPLOs]:[SubPLOs]],"&lt;9")</f>
        <v>0</v>
      </c>
      <c r="EI41" s="138">
        <f>SUMIFS(tbl_task5[S134],tbl_task5[[SubPLOs]:[SubPLOs]],"&gt;=8",tbl_task5[[SubPLOs]:[SubPLOs]],"&lt;9")</f>
        <v>0</v>
      </c>
      <c r="EJ41" s="138">
        <f>SUMIFS(tbl_task5[S135],tbl_task5[[SubPLOs]:[SubPLOs]],"&gt;=8",tbl_task5[[SubPLOs]:[SubPLOs]],"&lt;9")</f>
        <v>0</v>
      </c>
      <c r="EK41" s="138">
        <f>SUMIFS(tbl_task5[S136],tbl_task5[[SubPLOs]:[SubPLOs]],"&gt;=8",tbl_task5[[SubPLOs]:[SubPLOs]],"&lt;9")</f>
        <v>0</v>
      </c>
      <c r="EL41" s="138">
        <f>SUMIFS(tbl_task5[S137],tbl_task5[[SubPLOs]:[SubPLOs]],"&gt;=8",tbl_task5[[SubPLOs]:[SubPLOs]],"&lt;9")</f>
        <v>0</v>
      </c>
      <c r="EM41" s="138">
        <f>SUMIFS(tbl_task5[S138],tbl_task5[[SubPLOs]:[SubPLOs]],"&gt;=8",tbl_task5[[SubPLOs]:[SubPLOs]],"&lt;9")</f>
        <v>0</v>
      </c>
      <c r="EN41" s="138">
        <f>SUMIFS(tbl_task5[S139],tbl_task5[[SubPLOs]:[SubPLOs]],"&gt;=8",tbl_task5[[SubPLOs]:[SubPLOs]],"&lt;9")</f>
        <v>0</v>
      </c>
      <c r="EO41" s="138">
        <f>SUMIFS(tbl_task5[S140],tbl_task5[[SubPLOs]:[SubPLOs]],"&gt;=8",tbl_task5[[SubPLOs]:[SubPLOs]],"&lt;9")</f>
        <v>0</v>
      </c>
      <c r="EP41" s="138">
        <f>SUMIFS(tbl_task5[S141],tbl_task5[[SubPLOs]:[SubPLOs]],"&gt;=8",tbl_task5[[SubPLOs]:[SubPLOs]],"&lt;9")</f>
        <v>0</v>
      </c>
      <c r="EQ41" s="138">
        <f>SUMIFS(tbl_task5[S142],tbl_task5[[SubPLOs]:[SubPLOs]],"&gt;=8",tbl_task5[[SubPLOs]:[SubPLOs]],"&lt;9")</f>
        <v>0</v>
      </c>
      <c r="ER41" s="138">
        <f>SUMIFS(tbl_task5[S143],tbl_task5[[SubPLOs]:[SubPLOs]],"&gt;=8",tbl_task5[[SubPLOs]:[SubPLOs]],"&lt;9")</f>
        <v>0</v>
      </c>
      <c r="ES41" s="138">
        <f>SUMIFS(tbl_task5[S144],tbl_task5[[SubPLOs]:[SubPLOs]],"&gt;=8",tbl_task5[[SubPLOs]:[SubPLOs]],"&lt;9")</f>
        <v>0</v>
      </c>
      <c r="ET41" s="138">
        <f>SUMIFS(tbl_task5[S145],tbl_task5[[SubPLOs]:[SubPLOs]],"&gt;=8",tbl_task5[[SubPLOs]:[SubPLOs]],"&lt;9")</f>
        <v>0</v>
      </c>
      <c r="EU41" s="138">
        <f>SUMIFS(tbl_task5[S146],tbl_task5[[SubPLOs]:[SubPLOs]],"&gt;=8",tbl_task5[[SubPLOs]:[SubPLOs]],"&lt;9")</f>
        <v>0</v>
      </c>
      <c r="EV41" s="138">
        <f>SUMIFS(tbl_task5[S147],tbl_task5[[SubPLOs]:[SubPLOs]],"&gt;=8",tbl_task5[[SubPLOs]:[SubPLOs]],"&lt;9")</f>
        <v>0</v>
      </c>
      <c r="EW41" s="138">
        <f>SUMIFS(tbl_task5[S148],tbl_task5[[SubPLOs]:[SubPLOs]],"&gt;=8",tbl_task5[[SubPLOs]:[SubPLOs]],"&lt;9")</f>
        <v>0</v>
      </c>
      <c r="EX41" s="138">
        <f>SUMIFS(tbl_task5[S149],tbl_task5[[SubPLOs]:[SubPLOs]],"&gt;=8",tbl_task5[[SubPLOs]:[SubPLOs]],"&lt;9")</f>
        <v>0</v>
      </c>
      <c r="EY41" s="138">
        <f>SUMIFS(tbl_task5[S150],tbl_task5[[SubPLOs]:[SubPLOs]],"&gt;=8",tbl_task5[[SubPLOs]:[SubPLOs]],"&lt;9")</f>
        <v>0</v>
      </c>
      <c r="EZ41" s="138">
        <f>SUMIFS(tbl_task5[S151],tbl_task5[[SubPLOs]:[SubPLOs]],"&gt;=8",tbl_task5[[SubPLOs]:[SubPLOs]],"&lt;9")</f>
        <v>0</v>
      </c>
      <c r="FA41" s="138">
        <f>SUMIFS(tbl_task5[S152],tbl_task5[[SubPLOs]:[SubPLOs]],"&gt;=8",tbl_task5[[SubPLOs]:[SubPLOs]],"&lt;9")</f>
        <v>0</v>
      </c>
      <c r="FB41" s="138">
        <f>SUMIFS(tbl_task5[S153],tbl_task5[[SubPLOs]:[SubPLOs]],"&gt;=8",tbl_task5[[SubPLOs]:[SubPLOs]],"&lt;9")</f>
        <v>0</v>
      </c>
      <c r="FC41" s="138">
        <f>SUMIFS(tbl_task5[S154],tbl_task5[[SubPLOs]:[SubPLOs]],"&gt;=8",tbl_task5[[SubPLOs]:[SubPLOs]],"&lt;9")</f>
        <v>0</v>
      </c>
      <c r="FD41" s="138">
        <f>SUMIFS(tbl_task5[S155],tbl_task5[[SubPLOs]:[SubPLOs]],"&gt;=8",tbl_task5[[SubPLOs]:[SubPLOs]],"&lt;9")</f>
        <v>0</v>
      </c>
      <c r="FE41" s="138">
        <f>SUMIFS(tbl_task5[S156],tbl_task5[[SubPLOs]:[SubPLOs]],"&gt;=8",tbl_task5[[SubPLOs]:[SubPLOs]],"&lt;9")</f>
        <v>0</v>
      </c>
      <c r="FF41" s="138">
        <f>SUMIFS(tbl_task5[S157],tbl_task5[[SubPLOs]:[SubPLOs]],"&gt;=8",tbl_task5[[SubPLOs]:[SubPLOs]],"&lt;9")</f>
        <v>0</v>
      </c>
      <c r="FG41" s="138">
        <f>SUMIFS(tbl_task5[S158],tbl_task5[[SubPLOs]:[SubPLOs]],"&gt;=8",tbl_task5[[SubPLOs]:[SubPLOs]],"&lt;9")</f>
        <v>0</v>
      </c>
      <c r="FH41" s="138">
        <f>SUMIFS(tbl_task5[S159],tbl_task5[[SubPLOs]:[SubPLOs]],"&gt;=8",tbl_task5[[SubPLOs]:[SubPLOs]],"&lt;9")</f>
        <v>0</v>
      </c>
      <c r="FI41" s="138">
        <f>SUMIFS(tbl_task5[S160],tbl_task5[[SubPLOs]:[SubPLOs]],"&gt;=8",tbl_task5[[SubPLOs]:[SubPLOs]],"&lt;9")</f>
        <v>0</v>
      </c>
      <c r="FJ41" s="138">
        <f>SUMIFS(tbl_task5[S161],tbl_task5[[SubPLOs]:[SubPLOs]],"&gt;=8",tbl_task5[[SubPLOs]:[SubPLOs]],"&lt;9")</f>
        <v>0</v>
      </c>
      <c r="FK41" s="138">
        <f>SUMIFS(tbl_task5[S162],tbl_task5[[SubPLOs]:[SubPLOs]],"&gt;=8",tbl_task5[[SubPLOs]:[SubPLOs]],"&lt;9")</f>
        <v>0</v>
      </c>
      <c r="FL41" s="138">
        <f>SUMIFS(tbl_task5[S163],tbl_task5[[SubPLOs]:[SubPLOs]],"&gt;=8",tbl_task5[[SubPLOs]:[SubPLOs]],"&lt;9")</f>
        <v>0</v>
      </c>
      <c r="FM41" s="138">
        <f>SUMIFS(tbl_task5[S164],tbl_task5[[SubPLOs]:[SubPLOs]],"&gt;=8",tbl_task5[[SubPLOs]:[SubPLOs]],"&lt;9")</f>
        <v>0</v>
      </c>
      <c r="FN41" s="138">
        <f>SUMIFS(tbl_task5[S165],tbl_task5[[SubPLOs]:[SubPLOs]],"&gt;=8",tbl_task5[[SubPLOs]:[SubPLOs]],"&lt;9")</f>
        <v>0</v>
      </c>
    </row>
    <row r="42" spans="1:170" ht="63" x14ac:dyDescent="0.25">
      <c r="A42" s="135">
        <v>9</v>
      </c>
      <c r="B42" s="5" t="s">
        <v>442</v>
      </c>
      <c r="C42" s="136">
        <f>COUNTIFS(tbl_task5[SubPLOs],"&gt;=9",tbl_task5[SubPLOs],"&lt;10")</f>
        <v>0</v>
      </c>
      <c r="D42" s="136">
        <f>SUMIFS(tbl_task5[คะแนนเต็ม],tbl_task5[SubPLOs],"&gt;=9",tbl_task5[SubPLOs],"&lt;10")</f>
        <v>0</v>
      </c>
      <c r="E42" s="137">
        <f>SUMIFS(tbl_task5[%],tbl_task5[SubPLOs],"&gt;=9",tbl_task5[SubPLOs],"&lt;10")</f>
        <v>0</v>
      </c>
      <c r="F42" s="138">
        <f>SUMIFS(tbl_task5[S1],tbl_task5[[SubPLOs]:[SubPLOs]],"&gt;=9",tbl_task5[[SubPLOs]:[SubPLOs]],"&lt;10")</f>
        <v>0</v>
      </c>
      <c r="G42" s="138">
        <f>SUMIFS(tbl_task5[S2],tbl_task5[[SubPLOs]:[SubPLOs]],"&gt;=9",tbl_task5[[SubPLOs]:[SubPLOs]],"&lt;10")</f>
        <v>0</v>
      </c>
      <c r="H42" s="138">
        <f>SUMIFS(tbl_task5[S3],tbl_task5[[SubPLOs]:[SubPLOs]],"&gt;=9",tbl_task5[[SubPLOs]:[SubPLOs]],"&lt;10")</f>
        <v>0</v>
      </c>
      <c r="I42" s="138">
        <f>SUMIFS(tbl_task5[S4],tbl_task5[[SubPLOs]:[SubPLOs]],"&gt;=9",tbl_task5[[SubPLOs]:[SubPLOs]],"&lt;10")</f>
        <v>0</v>
      </c>
      <c r="J42" s="138">
        <f>SUMIFS(tbl_task5[S5],tbl_task5[[SubPLOs]:[SubPLOs]],"&gt;=9",tbl_task5[[SubPLOs]:[SubPLOs]],"&lt;10")</f>
        <v>0</v>
      </c>
      <c r="K42" s="138">
        <f>SUMIFS(tbl_task5[S6],tbl_task5[[SubPLOs]:[SubPLOs]],"&gt;=9",tbl_task5[[SubPLOs]:[SubPLOs]],"&lt;10")</f>
        <v>0</v>
      </c>
      <c r="L42" s="138">
        <f>SUMIFS(tbl_task5[S7],tbl_task5[[SubPLOs]:[SubPLOs]],"&gt;=9",tbl_task5[[SubPLOs]:[SubPLOs]],"&lt;10")</f>
        <v>0</v>
      </c>
      <c r="M42" s="138">
        <f>SUMIFS(tbl_task5[S8],tbl_task5[[SubPLOs]:[SubPLOs]],"&gt;=9",tbl_task5[[SubPLOs]:[SubPLOs]],"&lt;10")</f>
        <v>0</v>
      </c>
      <c r="N42" s="138">
        <f>SUMIFS(tbl_task5[S9],tbl_task5[[SubPLOs]:[SubPLOs]],"&gt;=9",tbl_task5[[SubPLOs]:[SubPLOs]],"&lt;10")</f>
        <v>0</v>
      </c>
      <c r="O42" s="138">
        <f>SUMIFS(tbl_task5[S10],tbl_task5[[SubPLOs]:[SubPLOs]],"&gt;=9",tbl_task5[[SubPLOs]:[SubPLOs]],"&lt;10")</f>
        <v>0</v>
      </c>
      <c r="P42" s="138">
        <f>SUMIFS(tbl_task5[S11],tbl_task5[[SubPLOs]:[SubPLOs]],"&gt;=9",tbl_task5[[SubPLOs]:[SubPLOs]],"&lt;10")</f>
        <v>0</v>
      </c>
      <c r="Q42" s="138">
        <f>SUMIFS(tbl_task5[S12],tbl_task5[[SubPLOs]:[SubPLOs]],"&gt;=9",tbl_task5[[SubPLOs]:[SubPLOs]],"&lt;10")</f>
        <v>0</v>
      </c>
      <c r="R42" s="138">
        <f>SUMIFS(tbl_task5[S13],tbl_task5[[SubPLOs]:[SubPLOs]],"&gt;=9",tbl_task5[[SubPLOs]:[SubPLOs]],"&lt;10")</f>
        <v>0</v>
      </c>
      <c r="S42" s="138">
        <f>SUMIFS(tbl_task5[S14],tbl_task5[[SubPLOs]:[SubPLOs]],"&gt;=9",tbl_task5[[SubPLOs]:[SubPLOs]],"&lt;10")</f>
        <v>0</v>
      </c>
      <c r="T42" s="138">
        <f>SUMIFS(tbl_task5[S15],tbl_task5[[SubPLOs]:[SubPLOs]],"&gt;=9",tbl_task5[[SubPLOs]:[SubPLOs]],"&lt;10")</f>
        <v>0</v>
      </c>
      <c r="U42" s="138">
        <f>SUMIFS(tbl_task5[S16],tbl_task5[[SubPLOs]:[SubPLOs]],"&gt;=9",tbl_task5[[SubPLOs]:[SubPLOs]],"&lt;10")</f>
        <v>0</v>
      </c>
      <c r="V42" s="138">
        <f>SUMIFS(tbl_task5[S17],tbl_task5[[SubPLOs]:[SubPLOs]],"&gt;=9",tbl_task5[[SubPLOs]:[SubPLOs]],"&lt;10")</f>
        <v>0</v>
      </c>
      <c r="W42" s="138">
        <f>SUMIFS(tbl_task5[S18],tbl_task5[[SubPLOs]:[SubPLOs]],"&gt;=9",tbl_task5[[SubPLOs]:[SubPLOs]],"&lt;10")</f>
        <v>0</v>
      </c>
      <c r="X42" s="138">
        <f>SUMIFS(tbl_task5[S19],tbl_task5[[SubPLOs]:[SubPLOs]],"&gt;=9",tbl_task5[[SubPLOs]:[SubPLOs]],"&lt;10")</f>
        <v>0</v>
      </c>
      <c r="Y42" s="138">
        <f>SUMIFS(tbl_task5[S20],tbl_task5[[SubPLOs]:[SubPLOs]],"&gt;=9",tbl_task5[[SubPLOs]:[SubPLOs]],"&lt;10")</f>
        <v>0</v>
      </c>
      <c r="Z42" s="138">
        <f>SUMIFS(tbl_task5[S21],tbl_task5[[SubPLOs]:[SubPLOs]],"&gt;=9",tbl_task5[[SubPLOs]:[SubPLOs]],"&lt;10")</f>
        <v>0</v>
      </c>
      <c r="AA42" s="138">
        <f>SUMIFS(tbl_task5[S22],tbl_task5[[SubPLOs]:[SubPLOs]],"&gt;=9",tbl_task5[[SubPLOs]:[SubPLOs]],"&lt;10")</f>
        <v>0</v>
      </c>
      <c r="AB42" s="138">
        <f>SUMIFS(tbl_task5[S23],tbl_task5[[SubPLOs]:[SubPLOs]],"&gt;=9",tbl_task5[[SubPLOs]:[SubPLOs]],"&lt;10")</f>
        <v>0</v>
      </c>
      <c r="AC42" s="138">
        <f>SUMIFS(tbl_task5[S24],tbl_task5[[SubPLOs]:[SubPLOs]],"&gt;=9",tbl_task5[[SubPLOs]:[SubPLOs]],"&lt;10")</f>
        <v>0</v>
      </c>
      <c r="AD42" s="138">
        <f>SUMIFS(tbl_task5[S25],tbl_task5[[SubPLOs]:[SubPLOs]],"&gt;=9",tbl_task5[[SubPLOs]:[SubPLOs]],"&lt;10")</f>
        <v>0</v>
      </c>
      <c r="AE42" s="138">
        <f>SUMIFS(tbl_task5[S26],tbl_task5[[SubPLOs]:[SubPLOs]],"&gt;=9",tbl_task5[[SubPLOs]:[SubPLOs]],"&lt;10")</f>
        <v>0</v>
      </c>
      <c r="AF42" s="138">
        <f>SUMIFS(tbl_task5[S27],tbl_task5[[SubPLOs]:[SubPLOs]],"&gt;=9",tbl_task5[[SubPLOs]:[SubPLOs]],"&lt;10")</f>
        <v>0</v>
      </c>
      <c r="AG42" s="138">
        <f>SUMIFS(tbl_task5[S28],tbl_task5[[SubPLOs]:[SubPLOs]],"&gt;=9",tbl_task5[[SubPLOs]:[SubPLOs]],"&lt;10")</f>
        <v>0</v>
      </c>
      <c r="AH42" s="138">
        <f>SUMIFS(tbl_task5[S29],tbl_task5[[SubPLOs]:[SubPLOs]],"&gt;=9",tbl_task5[[SubPLOs]:[SubPLOs]],"&lt;10")</f>
        <v>0</v>
      </c>
      <c r="AI42" s="138">
        <f>SUMIFS(tbl_task5[S30],tbl_task5[[SubPLOs]:[SubPLOs]],"&gt;=9",tbl_task5[[SubPLOs]:[SubPLOs]],"&lt;10")</f>
        <v>0</v>
      </c>
      <c r="AJ42" s="138">
        <f>SUMIFS(tbl_task5[S31],tbl_task5[[SubPLOs]:[SubPLOs]],"&gt;=9",tbl_task5[[SubPLOs]:[SubPLOs]],"&lt;10")</f>
        <v>0</v>
      </c>
      <c r="AK42" s="138">
        <f>SUMIFS(tbl_task5[S32],tbl_task5[[SubPLOs]:[SubPLOs]],"&gt;=9",tbl_task5[[SubPLOs]:[SubPLOs]],"&lt;10")</f>
        <v>0</v>
      </c>
      <c r="AL42" s="138">
        <f>SUMIFS(tbl_task5[S33],tbl_task5[[SubPLOs]:[SubPLOs]],"&gt;=9",tbl_task5[[SubPLOs]:[SubPLOs]],"&lt;10")</f>
        <v>0</v>
      </c>
      <c r="AM42" s="138">
        <f>SUMIFS(tbl_task5[S34],tbl_task5[[SubPLOs]:[SubPLOs]],"&gt;=9",tbl_task5[[SubPLOs]:[SubPLOs]],"&lt;10")</f>
        <v>0</v>
      </c>
      <c r="AN42" s="138">
        <f>SUMIFS(tbl_task5[S35],tbl_task5[[SubPLOs]:[SubPLOs]],"&gt;=9",tbl_task5[[SubPLOs]:[SubPLOs]],"&lt;10")</f>
        <v>0</v>
      </c>
      <c r="AO42" s="138">
        <f>SUMIFS(tbl_task5[S36],tbl_task5[[SubPLOs]:[SubPLOs]],"&gt;=9",tbl_task5[[SubPLOs]:[SubPLOs]],"&lt;10")</f>
        <v>0</v>
      </c>
      <c r="AP42" s="138">
        <f>SUMIFS(tbl_task5[S37],tbl_task5[[SubPLOs]:[SubPLOs]],"&gt;=9",tbl_task5[[SubPLOs]:[SubPLOs]],"&lt;10")</f>
        <v>0</v>
      </c>
      <c r="AQ42" s="138">
        <f>SUMIFS(tbl_task5[S38],tbl_task5[[SubPLOs]:[SubPLOs]],"&gt;=9",tbl_task5[[SubPLOs]:[SubPLOs]],"&lt;10")</f>
        <v>0</v>
      </c>
      <c r="AR42" s="138">
        <f>SUMIFS(tbl_task5[S39],tbl_task5[[SubPLOs]:[SubPLOs]],"&gt;=9",tbl_task5[[SubPLOs]:[SubPLOs]],"&lt;10")</f>
        <v>0</v>
      </c>
      <c r="AS42" s="138">
        <f>SUMIFS(tbl_task5[S40],tbl_task5[[SubPLOs]:[SubPLOs]],"&gt;=9",tbl_task5[[SubPLOs]:[SubPLOs]],"&lt;10")</f>
        <v>0</v>
      </c>
      <c r="AT42" s="138">
        <f>SUMIFS(tbl_task5[S41],tbl_task5[[SubPLOs]:[SubPLOs]],"&gt;=9",tbl_task5[[SubPLOs]:[SubPLOs]],"&lt;10")</f>
        <v>0</v>
      </c>
      <c r="AU42" s="138">
        <f>SUMIFS(tbl_task5[S42],tbl_task5[[SubPLOs]:[SubPLOs]],"&gt;=9",tbl_task5[[SubPLOs]:[SubPLOs]],"&lt;10")</f>
        <v>0</v>
      </c>
      <c r="AV42" s="138">
        <f>SUMIFS(tbl_task5[S43],tbl_task5[[SubPLOs]:[SubPLOs]],"&gt;=9",tbl_task5[[SubPLOs]:[SubPLOs]],"&lt;10")</f>
        <v>0</v>
      </c>
      <c r="AW42" s="138">
        <f>SUMIFS(tbl_task5[S44],tbl_task5[[SubPLOs]:[SubPLOs]],"&gt;=9",tbl_task5[[SubPLOs]:[SubPLOs]],"&lt;10")</f>
        <v>0</v>
      </c>
      <c r="AX42" s="138">
        <f>SUMIFS(tbl_task5[S45],tbl_task5[[SubPLOs]:[SubPLOs]],"&gt;=9",tbl_task5[[SubPLOs]:[SubPLOs]],"&lt;10")</f>
        <v>0</v>
      </c>
      <c r="AY42" s="138">
        <f>SUMIFS(tbl_task5[S46],tbl_task5[[SubPLOs]:[SubPLOs]],"&gt;=9",tbl_task5[[SubPLOs]:[SubPLOs]],"&lt;10")</f>
        <v>0</v>
      </c>
      <c r="AZ42" s="138">
        <f>SUMIFS(tbl_task5[S47],tbl_task5[[SubPLOs]:[SubPLOs]],"&gt;=9",tbl_task5[[SubPLOs]:[SubPLOs]],"&lt;10")</f>
        <v>0</v>
      </c>
      <c r="BA42" s="138">
        <f>SUMIFS(tbl_task5[S48],tbl_task5[[SubPLOs]:[SubPLOs]],"&gt;=9",tbl_task5[[SubPLOs]:[SubPLOs]],"&lt;10")</f>
        <v>0</v>
      </c>
      <c r="BB42" s="138">
        <f>SUMIFS(tbl_task5[S49],tbl_task5[[SubPLOs]:[SubPLOs]],"&gt;=9",tbl_task5[[SubPLOs]:[SubPLOs]],"&lt;10")</f>
        <v>0</v>
      </c>
      <c r="BC42" s="138">
        <f>SUMIFS(tbl_task5[S50],tbl_task5[[SubPLOs]:[SubPLOs]],"&gt;=9",tbl_task5[[SubPLOs]:[SubPLOs]],"&lt;10")</f>
        <v>0</v>
      </c>
      <c r="BD42" s="138">
        <f>SUMIFS(tbl_task5[S51],tbl_task5[[SubPLOs]:[SubPLOs]],"&gt;=9",tbl_task5[[SubPLOs]:[SubPLOs]],"&lt;10")</f>
        <v>0</v>
      </c>
      <c r="BE42" s="138">
        <f>SUMIFS(tbl_task5[S52],tbl_task5[[SubPLOs]:[SubPLOs]],"&gt;=9",tbl_task5[[SubPLOs]:[SubPLOs]],"&lt;10")</f>
        <v>0</v>
      </c>
      <c r="BF42" s="138">
        <f>SUMIFS(tbl_task5[S53],tbl_task5[[SubPLOs]:[SubPLOs]],"&gt;=9",tbl_task5[[SubPLOs]:[SubPLOs]],"&lt;10")</f>
        <v>0</v>
      </c>
      <c r="BG42" s="138">
        <f>SUMIFS(tbl_task5[S54],tbl_task5[[SubPLOs]:[SubPLOs]],"&gt;=9",tbl_task5[[SubPLOs]:[SubPLOs]],"&lt;10")</f>
        <v>0</v>
      </c>
      <c r="BH42" s="138">
        <f>SUMIFS(tbl_task5[S55],tbl_task5[[SubPLOs]:[SubPLOs]],"&gt;=9",tbl_task5[[SubPLOs]:[SubPLOs]],"&lt;10")</f>
        <v>0</v>
      </c>
      <c r="BI42" s="138">
        <f>SUMIFS(tbl_task5[S56],tbl_task5[[SubPLOs]:[SubPLOs]],"&gt;=9",tbl_task5[[SubPLOs]:[SubPLOs]],"&lt;10")</f>
        <v>0</v>
      </c>
      <c r="BJ42" s="138">
        <f>SUMIFS(tbl_task5[S57],tbl_task5[[SubPLOs]:[SubPLOs]],"&gt;=9",tbl_task5[[SubPLOs]:[SubPLOs]],"&lt;10")</f>
        <v>0</v>
      </c>
      <c r="BK42" s="138">
        <f>SUMIFS(tbl_task5[S58],tbl_task5[[SubPLOs]:[SubPLOs]],"&gt;=9",tbl_task5[[SubPLOs]:[SubPLOs]],"&lt;10")</f>
        <v>0</v>
      </c>
      <c r="BL42" s="138">
        <f>SUMIFS(tbl_task5[S59],tbl_task5[[SubPLOs]:[SubPLOs]],"&gt;=9",tbl_task5[[SubPLOs]:[SubPLOs]],"&lt;10")</f>
        <v>0</v>
      </c>
      <c r="BM42" s="138">
        <f>SUMIFS(tbl_task5[S60],tbl_task5[[SubPLOs]:[SubPLOs]],"&gt;=9",tbl_task5[[SubPLOs]:[SubPLOs]],"&lt;10")</f>
        <v>0</v>
      </c>
      <c r="BN42" s="138">
        <f>SUMIFS(tbl_task5[S61],tbl_task5[[SubPLOs]:[SubPLOs]],"&gt;=9",tbl_task5[[SubPLOs]:[SubPLOs]],"&lt;10")</f>
        <v>0</v>
      </c>
      <c r="BO42" s="138">
        <f>SUMIFS(tbl_task5[S62],tbl_task5[[SubPLOs]:[SubPLOs]],"&gt;=9",tbl_task5[[SubPLOs]:[SubPLOs]],"&lt;10")</f>
        <v>0</v>
      </c>
      <c r="BP42" s="138">
        <f>SUMIFS(tbl_task5[S63],tbl_task5[[SubPLOs]:[SubPLOs]],"&gt;=9",tbl_task5[[SubPLOs]:[SubPLOs]],"&lt;10")</f>
        <v>0</v>
      </c>
      <c r="BQ42" s="138">
        <f>SUMIFS(tbl_task5[S64],tbl_task5[[SubPLOs]:[SubPLOs]],"&gt;=9",tbl_task5[[SubPLOs]:[SubPLOs]],"&lt;10")</f>
        <v>0</v>
      </c>
      <c r="BR42" s="138">
        <f>SUMIFS(tbl_task5[S65],tbl_task5[[SubPLOs]:[SubPLOs]],"&gt;=9",tbl_task5[[SubPLOs]:[SubPLOs]],"&lt;10")</f>
        <v>0</v>
      </c>
      <c r="BS42" s="138">
        <f>SUMIFS(tbl_task5[S66],tbl_task5[[SubPLOs]:[SubPLOs]],"&gt;=9",tbl_task5[[SubPLOs]:[SubPLOs]],"&lt;10")</f>
        <v>0</v>
      </c>
      <c r="BT42" s="138">
        <f>SUMIFS(tbl_task5[S67],tbl_task5[[SubPLOs]:[SubPLOs]],"&gt;=9",tbl_task5[[SubPLOs]:[SubPLOs]],"&lt;10")</f>
        <v>0</v>
      </c>
      <c r="BU42" s="138">
        <f>SUMIFS(tbl_task5[S68],tbl_task5[[SubPLOs]:[SubPLOs]],"&gt;=9",tbl_task5[[SubPLOs]:[SubPLOs]],"&lt;10")</f>
        <v>0</v>
      </c>
      <c r="BV42" s="138">
        <f>SUMIFS(tbl_task5[S69],tbl_task5[[SubPLOs]:[SubPLOs]],"&gt;=9",tbl_task5[[SubPLOs]:[SubPLOs]],"&lt;10")</f>
        <v>0</v>
      </c>
      <c r="BW42" s="138">
        <f>SUMIFS(tbl_task5[S70],tbl_task5[[SubPLOs]:[SubPLOs]],"&gt;=9",tbl_task5[[SubPLOs]:[SubPLOs]],"&lt;10")</f>
        <v>0</v>
      </c>
      <c r="BX42" s="138">
        <f>SUMIFS(tbl_task5[S71],tbl_task5[[SubPLOs]:[SubPLOs]],"&gt;=9",tbl_task5[[SubPLOs]:[SubPLOs]],"&lt;10")</f>
        <v>0</v>
      </c>
      <c r="BY42" s="138">
        <f>SUMIFS(tbl_task5[S72],tbl_task5[[SubPLOs]:[SubPLOs]],"&gt;=9",tbl_task5[[SubPLOs]:[SubPLOs]],"&lt;10")</f>
        <v>0</v>
      </c>
      <c r="BZ42" s="138">
        <f>SUMIFS(tbl_task5[S73],tbl_task5[[SubPLOs]:[SubPLOs]],"&gt;=9",tbl_task5[[SubPLOs]:[SubPLOs]],"&lt;10")</f>
        <v>0</v>
      </c>
      <c r="CA42" s="138">
        <f>SUMIFS(tbl_task5[S74],tbl_task5[[SubPLOs]:[SubPLOs]],"&gt;=9",tbl_task5[[SubPLOs]:[SubPLOs]],"&lt;10")</f>
        <v>0</v>
      </c>
      <c r="CB42" s="138">
        <f>SUMIFS(tbl_task5[S75],tbl_task5[[SubPLOs]:[SubPLOs]],"&gt;=9",tbl_task5[[SubPLOs]:[SubPLOs]],"&lt;10")</f>
        <v>0</v>
      </c>
      <c r="CC42" s="138">
        <f>SUMIFS(tbl_task5[S76],tbl_task5[[SubPLOs]:[SubPLOs]],"&gt;=9",tbl_task5[[SubPLOs]:[SubPLOs]],"&lt;10")</f>
        <v>0</v>
      </c>
      <c r="CD42" s="138">
        <f>SUMIFS(tbl_task5[S77],tbl_task5[[SubPLOs]:[SubPLOs]],"&gt;=9",tbl_task5[[SubPLOs]:[SubPLOs]],"&lt;10")</f>
        <v>0</v>
      </c>
      <c r="CE42" s="138">
        <f>SUMIFS(tbl_task5[S78],tbl_task5[[SubPLOs]:[SubPLOs]],"&gt;=9",tbl_task5[[SubPLOs]:[SubPLOs]],"&lt;10")</f>
        <v>0</v>
      </c>
      <c r="CF42" s="138">
        <f>SUMIFS(tbl_task5[S79],tbl_task5[[SubPLOs]:[SubPLOs]],"&gt;=9",tbl_task5[[SubPLOs]:[SubPLOs]],"&lt;10")</f>
        <v>0</v>
      </c>
      <c r="CG42" s="138">
        <f>SUMIFS(tbl_task5[S80],tbl_task5[[SubPLOs]:[SubPLOs]],"&gt;=9",tbl_task5[[SubPLOs]:[SubPLOs]],"&lt;10")</f>
        <v>0</v>
      </c>
      <c r="CH42" s="138">
        <f>SUMIFS(tbl_task5[S81],tbl_task5[[SubPLOs]:[SubPLOs]],"&gt;=9",tbl_task5[[SubPLOs]:[SubPLOs]],"&lt;10")</f>
        <v>0</v>
      </c>
      <c r="CI42" s="138">
        <f>SUMIFS(tbl_task5[S82],tbl_task5[[SubPLOs]:[SubPLOs]],"&gt;=9",tbl_task5[[SubPLOs]:[SubPLOs]],"&lt;10")</f>
        <v>0</v>
      </c>
      <c r="CJ42" s="138">
        <f>SUMIFS(tbl_task5[S83],tbl_task5[[SubPLOs]:[SubPLOs]],"&gt;=9",tbl_task5[[SubPLOs]:[SubPLOs]],"&lt;10")</f>
        <v>0</v>
      </c>
      <c r="CK42" s="138">
        <f>SUMIFS(tbl_task5[S84],tbl_task5[[SubPLOs]:[SubPLOs]],"&gt;=9",tbl_task5[[SubPLOs]:[SubPLOs]],"&lt;10")</f>
        <v>0</v>
      </c>
      <c r="CL42" s="138">
        <f>SUMIFS(tbl_task5[S85],tbl_task5[[SubPLOs]:[SubPLOs]],"&gt;=9",tbl_task5[[SubPLOs]:[SubPLOs]],"&lt;10")</f>
        <v>0</v>
      </c>
      <c r="CM42" s="138">
        <f>SUMIFS(tbl_task5[S86],tbl_task5[[SubPLOs]:[SubPLOs]],"&gt;=9",tbl_task5[[SubPLOs]:[SubPLOs]],"&lt;10")</f>
        <v>0</v>
      </c>
      <c r="CN42" s="138">
        <f>SUMIFS(tbl_task5[S87],tbl_task5[[SubPLOs]:[SubPLOs]],"&gt;=9",tbl_task5[[SubPLOs]:[SubPLOs]],"&lt;10")</f>
        <v>0</v>
      </c>
      <c r="CO42" s="138">
        <f>SUMIFS(tbl_task5[S88],tbl_task5[[SubPLOs]:[SubPLOs]],"&gt;=9",tbl_task5[[SubPLOs]:[SubPLOs]],"&lt;10")</f>
        <v>0</v>
      </c>
      <c r="CP42" s="138">
        <f>SUMIFS(tbl_task5[S89],tbl_task5[[SubPLOs]:[SubPLOs]],"&gt;=9",tbl_task5[[SubPLOs]:[SubPLOs]],"&lt;10")</f>
        <v>0</v>
      </c>
      <c r="CQ42" s="138">
        <f>SUMIFS(tbl_task5[S90],tbl_task5[[SubPLOs]:[SubPLOs]],"&gt;=9",tbl_task5[[SubPLOs]:[SubPLOs]],"&lt;10")</f>
        <v>0</v>
      </c>
      <c r="CR42" s="138">
        <f>SUMIFS(tbl_task5[S91],tbl_task5[[SubPLOs]:[SubPLOs]],"&gt;=9",tbl_task5[[SubPLOs]:[SubPLOs]],"&lt;10")</f>
        <v>0</v>
      </c>
      <c r="CS42" s="138">
        <f>SUMIFS(tbl_task5[S92],tbl_task5[[SubPLOs]:[SubPLOs]],"&gt;=9",tbl_task5[[SubPLOs]:[SubPLOs]],"&lt;10")</f>
        <v>0</v>
      </c>
      <c r="CT42" s="138">
        <f>SUMIFS(tbl_task5[S93],tbl_task5[[SubPLOs]:[SubPLOs]],"&gt;=9",tbl_task5[[SubPLOs]:[SubPLOs]],"&lt;10")</f>
        <v>0</v>
      </c>
      <c r="CU42" s="138">
        <f>SUMIFS(tbl_task5[S94],tbl_task5[[SubPLOs]:[SubPLOs]],"&gt;=9",tbl_task5[[SubPLOs]:[SubPLOs]],"&lt;10")</f>
        <v>0</v>
      </c>
      <c r="CV42" s="138">
        <f>SUMIFS(tbl_task5[S95],tbl_task5[[SubPLOs]:[SubPLOs]],"&gt;=9",tbl_task5[[SubPLOs]:[SubPLOs]],"&lt;10")</f>
        <v>0</v>
      </c>
      <c r="CW42" s="138">
        <f>SUMIFS(tbl_task5[S96],tbl_task5[[SubPLOs]:[SubPLOs]],"&gt;=9",tbl_task5[[SubPLOs]:[SubPLOs]],"&lt;10")</f>
        <v>0</v>
      </c>
      <c r="CX42" s="138">
        <f>SUMIFS(tbl_task5[S97],tbl_task5[[SubPLOs]:[SubPLOs]],"&gt;=9",tbl_task5[[SubPLOs]:[SubPLOs]],"&lt;10")</f>
        <v>0</v>
      </c>
      <c r="CY42" s="138">
        <f>SUMIFS(tbl_task5[S98],tbl_task5[[SubPLOs]:[SubPLOs]],"&gt;=9",tbl_task5[[SubPLOs]:[SubPLOs]],"&lt;10")</f>
        <v>0</v>
      </c>
      <c r="CZ42" s="138">
        <f>SUMIFS(tbl_task5[S99],tbl_task5[[SubPLOs]:[SubPLOs]],"&gt;=9",tbl_task5[[SubPLOs]:[SubPLOs]],"&lt;10")</f>
        <v>0</v>
      </c>
      <c r="DA42" s="138">
        <f>SUMIFS(tbl_task5[S100],tbl_task5[[SubPLOs]:[SubPLOs]],"&gt;=9",tbl_task5[[SubPLOs]:[SubPLOs]],"&lt;10")</f>
        <v>0</v>
      </c>
      <c r="DB42" s="138">
        <f>SUMIFS(tbl_task5[S101],tbl_task5[[SubPLOs]:[SubPLOs]],"&gt;=9",tbl_task5[[SubPLOs]:[SubPLOs]],"&lt;10")</f>
        <v>0</v>
      </c>
      <c r="DC42" s="138">
        <f>SUMIFS(tbl_task5[S102],tbl_task5[[SubPLOs]:[SubPLOs]],"&gt;=9",tbl_task5[[SubPLOs]:[SubPLOs]],"&lt;10")</f>
        <v>0</v>
      </c>
      <c r="DD42" s="138">
        <f>SUMIFS(tbl_task5[S103],tbl_task5[[SubPLOs]:[SubPLOs]],"&gt;=9",tbl_task5[[SubPLOs]:[SubPLOs]],"&lt;10")</f>
        <v>0</v>
      </c>
      <c r="DE42" s="138">
        <f>SUMIFS(tbl_task5[S104],tbl_task5[[SubPLOs]:[SubPLOs]],"&gt;=9",tbl_task5[[SubPLOs]:[SubPLOs]],"&lt;10")</f>
        <v>0</v>
      </c>
      <c r="DF42" s="138">
        <f>SUMIFS(tbl_task5[S105],tbl_task5[[SubPLOs]:[SubPLOs]],"&gt;=9",tbl_task5[[SubPLOs]:[SubPLOs]],"&lt;10")</f>
        <v>0</v>
      </c>
      <c r="DG42" s="138">
        <f>SUMIFS(tbl_task5[S106],tbl_task5[[SubPLOs]:[SubPLOs]],"&gt;=9",tbl_task5[[SubPLOs]:[SubPLOs]],"&lt;10")</f>
        <v>0</v>
      </c>
      <c r="DH42" s="138">
        <f>SUMIFS(tbl_task5[S106],tbl_task5[[SubPLOs]:[SubPLOs]],"&gt;=9",tbl_task5[[SubPLOs]:[SubPLOs]],"&lt;10")</f>
        <v>0</v>
      </c>
      <c r="DI42" s="138">
        <f>SUMIFS(tbl_task5[S108],tbl_task5[[SubPLOs]:[SubPLOs]],"&gt;=9",tbl_task5[[SubPLOs]:[SubPLOs]],"&lt;10")</f>
        <v>0</v>
      </c>
      <c r="DJ42" s="138">
        <f>SUMIFS(tbl_task5[S109],tbl_task5[[SubPLOs]:[SubPLOs]],"&gt;=9",tbl_task5[[SubPLOs]:[SubPLOs]],"&lt;10")</f>
        <v>0</v>
      </c>
      <c r="DK42" s="138">
        <f>SUMIFS(tbl_task5[S110],tbl_task5[[SubPLOs]:[SubPLOs]],"&gt;=9",tbl_task5[[SubPLOs]:[SubPLOs]],"&lt;10")</f>
        <v>0</v>
      </c>
      <c r="DL42" s="138">
        <f>SUMIFS(tbl_task5[S111],tbl_task5[[SubPLOs]:[SubPLOs]],"&gt;=9",tbl_task5[[SubPLOs]:[SubPLOs]],"&lt;10")</f>
        <v>0</v>
      </c>
      <c r="DM42" s="138">
        <f>SUMIFS(tbl_task5[S112],tbl_task5[[SubPLOs]:[SubPLOs]],"&gt;=9",tbl_task5[[SubPLOs]:[SubPLOs]],"&lt;10")</f>
        <v>0</v>
      </c>
      <c r="DN42" s="138">
        <f>SUMIFS(tbl_task5[S113],tbl_task5[[SubPLOs]:[SubPLOs]],"&gt;=9",tbl_task5[[SubPLOs]:[SubPLOs]],"&lt;10")</f>
        <v>0</v>
      </c>
      <c r="DO42" s="138">
        <f>SUMIFS(tbl_task5[S114],tbl_task5[[SubPLOs]:[SubPLOs]],"&gt;=9",tbl_task5[[SubPLOs]:[SubPLOs]],"&lt;10")</f>
        <v>0</v>
      </c>
      <c r="DP42" s="138">
        <f>SUMIFS(tbl_task5[S115],tbl_task5[[SubPLOs]:[SubPLOs]],"&gt;=9",tbl_task5[[SubPLOs]:[SubPLOs]],"&lt;10")</f>
        <v>0</v>
      </c>
      <c r="DQ42" s="138">
        <f>SUMIFS(tbl_task5[S116],tbl_task5[[SubPLOs]:[SubPLOs]],"&gt;=9",tbl_task5[[SubPLOs]:[SubPLOs]],"&lt;10")</f>
        <v>0</v>
      </c>
      <c r="DR42" s="138">
        <f>SUMIFS(tbl_task5[S117],tbl_task5[[SubPLOs]:[SubPLOs]],"&gt;=9",tbl_task5[[SubPLOs]:[SubPLOs]],"&lt;10")</f>
        <v>0</v>
      </c>
      <c r="DS42" s="138">
        <f>SUMIFS(tbl_task5[S118],tbl_task5[[SubPLOs]:[SubPLOs]],"&gt;=9",tbl_task5[[SubPLOs]:[SubPLOs]],"&lt;10")</f>
        <v>0</v>
      </c>
      <c r="DT42" s="138">
        <f>SUMIFS(tbl_task5[S119],tbl_task5[[SubPLOs]:[SubPLOs]],"&gt;=9",tbl_task5[[SubPLOs]:[SubPLOs]],"&lt;10")</f>
        <v>0</v>
      </c>
      <c r="DU42" s="138">
        <f>SUMIFS(tbl_task5[S120],tbl_task5[[SubPLOs]:[SubPLOs]],"&gt;=9",tbl_task5[[SubPLOs]:[SubPLOs]],"&lt;10")</f>
        <v>0</v>
      </c>
      <c r="DV42" s="138">
        <f>SUMIFS(tbl_task5[S121],tbl_task5[[SubPLOs]:[SubPLOs]],"&gt;=9",tbl_task5[[SubPLOs]:[SubPLOs]],"&lt;10")</f>
        <v>0</v>
      </c>
      <c r="DW42" s="138">
        <f>SUMIFS(tbl_task5[S122],tbl_task5[[SubPLOs]:[SubPLOs]],"&gt;=9",tbl_task5[[SubPLOs]:[SubPLOs]],"&lt;10")</f>
        <v>0</v>
      </c>
      <c r="DX42" s="138">
        <f>SUMIFS(tbl_task5[S123],tbl_task5[[SubPLOs]:[SubPLOs]],"&gt;=9",tbl_task5[[SubPLOs]:[SubPLOs]],"&lt;10")</f>
        <v>0</v>
      </c>
      <c r="DY42" s="138">
        <f>SUMIFS(tbl_task5[S124],tbl_task5[[SubPLOs]:[SubPLOs]],"&gt;=9",tbl_task5[[SubPLOs]:[SubPLOs]],"&lt;10")</f>
        <v>0</v>
      </c>
      <c r="DZ42" s="138">
        <f>SUMIFS(tbl_task5[S125],tbl_task5[[SubPLOs]:[SubPLOs]],"&gt;=9",tbl_task5[[SubPLOs]:[SubPLOs]],"&lt;10")</f>
        <v>0</v>
      </c>
      <c r="EA42" s="138">
        <f>SUMIFS(tbl_task5[S126],tbl_task5[[SubPLOs]:[SubPLOs]],"&gt;=9",tbl_task5[[SubPLOs]:[SubPLOs]],"&lt;10")</f>
        <v>0</v>
      </c>
      <c r="EB42" s="138">
        <f>SUMIFS(tbl_task5[S127],tbl_task5[[SubPLOs]:[SubPLOs]],"&gt;=9",tbl_task5[[SubPLOs]:[SubPLOs]],"&lt;10")</f>
        <v>0</v>
      </c>
      <c r="EC42" s="138">
        <f>SUMIFS(tbl_task5[S128],tbl_task5[[SubPLOs]:[SubPLOs]],"&gt;=9",tbl_task5[[SubPLOs]:[SubPLOs]],"&lt;10")</f>
        <v>0</v>
      </c>
      <c r="ED42" s="138">
        <f>SUMIFS(tbl_task5[S129],tbl_task5[[SubPLOs]:[SubPLOs]],"&gt;=9",tbl_task5[[SubPLOs]:[SubPLOs]],"&lt;10")</f>
        <v>0</v>
      </c>
      <c r="EE42" s="138">
        <f>SUMIFS(tbl_task5[S130],tbl_task5[[SubPLOs]:[SubPLOs]],"&gt;=9",tbl_task5[[SubPLOs]:[SubPLOs]],"&lt;10")</f>
        <v>0</v>
      </c>
      <c r="EF42" s="138">
        <f>SUMIFS(tbl_task5[S131],tbl_task5[[SubPLOs]:[SubPLOs]],"&gt;=9",tbl_task5[[SubPLOs]:[SubPLOs]],"&lt;10")</f>
        <v>0</v>
      </c>
      <c r="EG42" s="138">
        <f>SUMIFS(tbl_task5[S132],tbl_task5[[SubPLOs]:[SubPLOs]],"&gt;=9",tbl_task5[[SubPLOs]:[SubPLOs]],"&lt;10")</f>
        <v>0</v>
      </c>
      <c r="EH42" s="138">
        <f>SUMIFS(tbl_task5[S133],tbl_task5[[SubPLOs]:[SubPLOs]],"&gt;=9",tbl_task5[[SubPLOs]:[SubPLOs]],"&lt;10")</f>
        <v>0</v>
      </c>
      <c r="EI42" s="138">
        <f>SUMIFS(tbl_task5[S134],tbl_task5[[SubPLOs]:[SubPLOs]],"&gt;=9",tbl_task5[[SubPLOs]:[SubPLOs]],"&lt;10")</f>
        <v>0</v>
      </c>
      <c r="EJ42" s="138">
        <f>SUMIFS(tbl_task5[S135],tbl_task5[[SubPLOs]:[SubPLOs]],"&gt;=9",tbl_task5[[SubPLOs]:[SubPLOs]],"&lt;10")</f>
        <v>0</v>
      </c>
      <c r="EK42" s="138">
        <f>SUMIFS(tbl_task5[S136],tbl_task5[[SubPLOs]:[SubPLOs]],"&gt;=9",tbl_task5[[SubPLOs]:[SubPLOs]],"&lt;10")</f>
        <v>0</v>
      </c>
      <c r="EL42" s="138">
        <f>SUMIFS(tbl_task5[S137],tbl_task5[[SubPLOs]:[SubPLOs]],"&gt;=9",tbl_task5[[SubPLOs]:[SubPLOs]],"&lt;10")</f>
        <v>0</v>
      </c>
      <c r="EM42" s="138">
        <f>SUMIFS(tbl_task5[S138],tbl_task5[[SubPLOs]:[SubPLOs]],"&gt;=9",tbl_task5[[SubPLOs]:[SubPLOs]],"&lt;10")</f>
        <v>0</v>
      </c>
      <c r="EN42" s="138">
        <f>SUMIFS(tbl_task5[S139],tbl_task5[[SubPLOs]:[SubPLOs]],"&gt;=9",tbl_task5[[SubPLOs]:[SubPLOs]],"&lt;10")</f>
        <v>0</v>
      </c>
      <c r="EO42" s="138">
        <f>SUMIFS(tbl_task5[S140],tbl_task5[[SubPLOs]:[SubPLOs]],"&gt;=9",tbl_task5[[SubPLOs]:[SubPLOs]],"&lt;10")</f>
        <v>0</v>
      </c>
      <c r="EP42" s="138">
        <f>SUMIFS(tbl_task5[S141],tbl_task5[[SubPLOs]:[SubPLOs]],"&gt;=9",tbl_task5[[SubPLOs]:[SubPLOs]],"&lt;10")</f>
        <v>0</v>
      </c>
      <c r="EQ42" s="138">
        <f>SUMIFS(tbl_task5[S142],tbl_task5[[SubPLOs]:[SubPLOs]],"&gt;=9",tbl_task5[[SubPLOs]:[SubPLOs]],"&lt;10")</f>
        <v>0</v>
      </c>
      <c r="ER42" s="138">
        <f>SUMIFS(tbl_task5[S143],tbl_task5[[SubPLOs]:[SubPLOs]],"&gt;=9",tbl_task5[[SubPLOs]:[SubPLOs]],"&lt;10")</f>
        <v>0</v>
      </c>
      <c r="ES42" s="138">
        <f>SUMIFS(tbl_task5[S144],tbl_task5[[SubPLOs]:[SubPLOs]],"&gt;=9",tbl_task5[[SubPLOs]:[SubPLOs]],"&lt;10")</f>
        <v>0</v>
      </c>
      <c r="ET42" s="138">
        <f>SUMIFS(tbl_task5[S145],tbl_task5[[SubPLOs]:[SubPLOs]],"&gt;=9",tbl_task5[[SubPLOs]:[SubPLOs]],"&lt;10")</f>
        <v>0</v>
      </c>
      <c r="EU42" s="138">
        <f>SUMIFS(tbl_task5[S146],tbl_task5[[SubPLOs]:[SubPLOs]],"&gt;=9",tbl_task5[[SubPLOs]:[SubPLOs]],"&lt;10")</f>
        <v>0</v>
      </c>
      <c r="EV42" s="138">
        <f>SUMIFS(tbl_task5[S147],tbl_task5[[SubPLOs]:[SubPLOs]],"&gt;=9",tbl_task5[[SubPLOs]:[SubPLOs]],"&lt;10")</f>
        <v>0</v>
      </c>
      <c r="EW42" s="138">
        <f>SUMIFS(tbl_task5[S148],tbl_task5[[SubPLOs]:[SubPLOs]],"&gt;=9",tbl_task5[[SubPLOs]:[SubPLOs]],"&lt;10")</f>
        <v>0</v>
      </c>
      <c r="EX42" s="138">
        <f>SUMIFS(tbl_task5[S149],tbl_task5[[SubPLOs]:[SubPLOs]],"&gt;=9",tbl_task5[[SubPLOs]:[SubPLOs]],"&lt;10")</f>
        <v>0</v>
      </c>
      <c r="EY42" s="138">
        <f>SUMIFS(tbl_task5[S150],tbl_task5[[SubPLOs]:[SubPLOs]],"&gt;=9",tbl_task5[[SubPLOs]:[SubPLOs]],"&lt;10")</f>
        <v>0</v>
      </c>
      <c r="EZ42" s="138">
        <f>SUMIFS(tbl_task5[S151],tbl_task5[[SubPLOs]:[SubPLOs]],"&gt;=9",tbl_task5[[SubPLOs]:[SubPLOs]],"&lt;10")</f>
        <v>0</v>
      </c>
      <c r="FA42" s="138">
        <f>SUMIFS(tbl_task5[S152],tbl_task5[[SubPLOs]:[SubPLOs]],"&gt;=9",tbl_task5[[SubPLOs]:[SubPLOs]],"&lt;10")</f>
        <v>0</v>
      </c>
      <c r="FB42" s="138">
        <f>SUMIFS(tbl_task5[S153],tbl_task5[[SubPLOs]:[SubPLOs]],"&gt;=9",tbl_task5[[SubPLOs]:[SubPLOs]],"&lt;10")</f>
        <v>0</v>
      </c>
      <c r="FC42" s="138">
        <f>SUMIFS(tbl_task5[S154],tbl_task5[[SubPLOs]:[SubPLOs]],"&gt;=9",tbl_task5[[SubPLOs]:[SubPLOs]],"&lt;10")</f>
        <v>0</v>
      </c>
      <c r="FD42" s="138">
        <f>SUMIFS(tbl_task5[S155],tbl_task5[[SubPLOs]:[SubPLOs]],"&gt;=9",tbl_task5[[SubPLOs]:[SubPLOs]],"&lt;10")</f>
        <v>0</v>
      </c>
      <c r="FE42" s="138">
        <f>SUMIFS(tbl_task5[S156],tbl_task5[[SubPLOs]:[SubPLOs]],"&gt;=9",tbl_task5[[SubPLOs]:[SubPLOs]],"&lt;10")</f>
        <v>0</v>
      </c>
      <c r="FF42" s="138">
        <f>SUMIFS(tbl_task5[S157],tbl_task5[[SubPLOs]:[SubPLOs]],"&gt;=9",tbl_task5[[SubPLOs]:[SubPLOs]],"&lt;10")</f>
        <v>0</v>
      </c>
      <c r="FG42" s="138">
        <f>SUMIFS(tbl_task5[S158],tbl_task5[[SubPLOs]:[SubPLOs]],"&gt;=9",tbl_task5[[SubPLOs]:[SubPLOs]],"&lt;10")</f>
        <v>0</v>
      </c>
      <c r="FH42" s="138">
        <f>SUMIFS(tbl_task5[S159],tbl_task5[[SubPLOs]:[SubPLOs]],"&gt;=9",tbl_task5[[SubPLOs]:[SubPLOs]],"&lt;10")</f>
        <v>0</v>
      </c>
      <c r="FI42" s="138">
        <f>SUMIFS(tbl_task5[S160],tbl_task5[[SubPLOs]:[SubPLOs]],"&gt;=9",tbl_task5[[SubPLOs]:[SubPLOs]],"&lt;10")</f>
        <v>0</v>
      </c>
      <c r="FJ42" s="138">
        <f>SUMIFS(tbl_task5[S161],tbl_task5[[SubPLOs]:[SubPLOs]],"&gt;=9",tbl_task5[[SubPLOs]:[SubPLOs]],"&lt;10")</f>
        <v>0</v>
      </c>
      <c r="FK42" s="138">
        <f>SUMIFS(tbl_task5[S162],tbl_task5[[SubPLOs]:[SubPLOs]],"&gt;=9",tbl_task5[[SubPLOs]:[SubPLOs]],"&lt;10")</f>
        <v>0</v>
      </c>
      <c r="FL42" s="138">
        <f>SUMIFS(tbl_task5[S163],tbl_task5[[SubPLOs]:[SubPLOs]],"&gt;=9",tbl_task5[[SubPLOs]:[SubPLOs]],"&lt;10")</f>
        <v>0</v>
      </c>
      <c r="FM42" s="138">
        <f>SUMIFS(tbl_task5[S164],tbl_task5[[SubPLOs]:[SubPLOs]],"&gt;=9",tbl_task5[[SubPLOs]:[SubPLOs]],"&lt;10")</f>
        <v>0</v>
      </c>
      <c r="FN42" s="138">
        <f>SUMIFS(tbl_task5[S165],tbl_task5[[SubPLOs]:[SubPLOs]],"&gt;=9",tbl_task5[[SubPLOs]:[SubPLOs]],"&lt;10")</f>
        <v>0</v>
      </c>
    </row>
    <row r="43" spans="1:170" ht="63" x14ac:dyDescent="0.25">
      <c r="A43" s="135">
        <v>10</v>
      </c>
      <c r="B43" s="5" t="s">
        <v>443</v>
      </c>
      <c r="C43" s="136">
        <f>COUNTIFS(tbl_task5[SubPLOs],"&gt;=10",tbl_task5[SubPLOs],"&lt;11")</f>
        <v>0</v>
      </c>
      <c r="D43" s="136">
        <f>SUMIFS(tbl_task5[คะแนนเต็ม],tbl_task5[SubPLOs],"&gt;=10",tbl_task5[SubPLOs],"&lt;11")</f>
        <v>0</v>
      </c>
      <c r="E43" s="137">
        <f>SUMIFS(tbl_task5[%],tbl_task5[SubPLOs],"&gt;=10",tbl_task5[SubPLOs],"&lt;11")</f>
        <v>0</v>
      </c>
      <c r="F43" s="138">
        <f>SUMIFS(tbl_task5[S1],tbl_task5[[SubPLOs]:[SubPLOs]],"&gt;=10",tbl_task5[[SubPLOs]:[SubPLOs]],"&lt;11")</f>
        <v>0</v>
      </c>
      <c r="G43" s="138">
        <f>SUMIFS(tbl_task5[S2],tbl_task5[[SubPLOs]:[SubPLOs]],"&gt;=10",tbl_task5[[SubPLOs]:[SubPLOs]],"&lt;11")</f>
        <v>0</v>
      </c>
      <c r="H43" s="138">
        <f>SUMIFS(tbl_task5[S3],tbl_task5[[SubPLOs]:[SubPLOs]],"&gt;=10",tbl_task5[[SubPLOs]:[SubPLOs]],"&lt;11")</f>
        <v>0</v>
      </c>
      <c r="I43" s="138">
        <f>SUMIFS(tbl_task5[S4],tbl_task5[[SubPLOs]:[SubPLOs]],"&gt;=10",tbl_task5[[SubPLOs]:[SubPLOs]],"&lt;11")</f>
        <v>0</v>
      </c>
      <c r="J43" s="138">
        <f>SUMIFS(tbl_task5[S5],tbl_task5[[SubPLOs]:[SubPLOs]],"&gt;=10",tbl_task5[[SubPLOs]:[SubPLOs]],"&lt;11")</f>
        <v>0</v>
      </c>
      <c r="K43" s="138">
        <f>SUMIFS(tbl_task5[S6],tbl_task5[[SubPLOs]:[SubPLOs]],"&gt;=10",tbl_task5[[SubPLOs]:[SubPLOs]],"&lt;11")</f>
        <v>0</v>
      </c>
      <c r="L43" s="138">
        <f>SUMIFS(tbl_task5[S7],tbl_task5[[SubPLOs]:[SubPLOs]],"&gt;=10",tbl_task5[[SubPLOs]:[SubPLOs]],"&lt;11")</f>
        <v>0</v>
      </c>
      <c r="M43" s="138">
        <f>SUMIFS(tbl_task5[S8],tbl_task5[[SubPLOs]:[SubPLOs]],"&gt;=10",tbl_task5[[SubPLOs]:[SubPLOs]],"&lt;11")</f>
        <v>0</v>
      </c>
      <c r="N43" s="138">
        <f>SUMIFS(tbl_task5[S9],tbl_task5[[SubPLOs]:[SubPLOs]],"&gt;=10",tbl_task5[[SubPLOs]:[SubPLOs]],"&lt;11")</f>
        <v>0</v>
      </c>
      <c r="O43" s="138">
        <f>SUMIFS(tbl_task5[S10],tbl_task5[[SubPLOs]:[SubPLOs]],"&gt;=10",tbl_task5[[SubPLOs]:[SubPLOs]],"&lt;11")</f>
        <v>0</v>
      </c>
      <c r="P43" s="138">
        <f>SUMIFS(tbl_task5[S11],tbl_task5[[SubPLOs]:[SubPLOs]],"&gt;=10",tbl_task5[[SubPLOs]:[SubPLOs]],"&lt;11")</f>
        <v>0</v>
      </c>
      <c r="Q43" s="138">
        <f>SUMIFS(tbl_task5[S12],tbl_task5[[SubPLOs]:[SubPLOs]],"&gt;=10",tbl_task5[[SubPLOs]:[SubPLOs]],"&lt;11")</f>
        <v>0</v>
      </c>
      <c r="R43" s="138">
        <f>SUMIFS(tbl_task5[S13],tbl_task5[[SubPLOs]:[SubPLOs]],"&gt;=10",tbl_task5[[SubPLOs]:[SubPLOs]],"&lt;11")</f>
        <v>0</v>
      </c>
      <c r="S43" s="138">
        <f>SUMIFS(tbl_task5[S14],tbl_task5[[SubPLOs]:[SubPLOs]],"&gt;=10",tbl_task5[[SubPLOs]:[SubPLOs]],"&lt;11")</f>
        <v>0</v>
      </c>
      <c r="T43" s="138">
        <f>SUMIFS(tbl_task5[S15],tbl_task5[[SubPLOs]:[SubPLOs]],"&gt;=10",tbl_task5[[SubPLOs]:[SubPLOs]],"&lt;11")</f>
        <v>0</v>
      </c>
      <c r="U43" s="138">
        <f>SUMIFS(tbl_task5[S16],tbl_task5[[SubPLOs]:[SubPLOs]],"&gt;=10",tbl_task5[[SubPLOs]:[SubPLOs]],"&lt;11")</f>
        <v>0</v>
      </c>
      <c r="V43" s="138">
        <f>SUMIFS(tbl_task5[S17],tbl_task5[[SubPLOs]:[SubPLOs]],"&gt;=10",tbl_task5[[SubPLOs]:[SubPLOs]],"&lt;11")</f>
        <v>0</v>
      </c>
      <c r="W43" s="138">
        <f>SUMIFS(tbl_task5[S18],tbl_task5[[SubPLOs]:[SubPLOs]],"&gt;=10",tbl_task5[[SubPLOs]:[SubPLOs]],"&lt;11")</f>
        <v>0</v>
      </c>
      <c r="X43" s="138">
        <f>SUMIFS(tbl_task5[S19],tbl_task5[[SubPLOs]:[SubPLOs]],"&gt;=10",tbl_task5[[SubPLOs]:[SubPLOs]],"&lt;11")</f>
        <v>0</v>
      </c>
      <c r="Y43" s="138">
        <f>SUMIFS(tbl_task5[S20],tbl_task5[[SubPLOs]:[SubPLOs]],"&gt;=10",tbl_task5[[SubPLOs]:[SubPLOs]],"&lt;11")</f>
        <v>0</v>
      </c>
      <c r="Z43" s="138">
        <f>SUMIFS(tbl_task5[S21],tbl_task5[[SubPLOs]:[SubPLOs]],"&gt;=10",tbl_task5[[SubPLOs]:[SubPLOs]],"&lt;11")</f>
        <v>0</v>
      </c>
      <c r="AA43" s="138">
        <f>SUMIFS(tbl_task5[S22],tbl_task5[[SubPLOs]:[SubPLOs]],"&gt;=10",tbl_task5[[SubPLOs]:[SubPLOs]],"&lt;11")</f>
        <v>0</v>
      </c>
      <c r="AB43" s="138">
        <f>SUMIFS(tbl_task5[S23],tbl_task5[[SubPLOs]:[SubPLOs]],"&gt;=10",tbl_task5[[SubPLOs]:[SubPLOs]],"&lt;11")</f>
        <v>0</v>
      </c>
      <c r="AC43" s="138">
        <f>SUMIFS(tbl_task5[S24],tbl_task5[[SubPLOs]:[SubPLOs]],"&gt;=10",tbl_task5[[SubPLOs]:[SubPLOs]],"&lt;11")</f>
        <v>0</v>
      </c>
      <c r="AD43" s="138">
        <f>SUMIFS(tbl_task5[S25],tbl_task5[[SubPLOs]:[SubPLOs]],"&gt;=10",tbl_task5[[SubPLOs]:[SubPLOs]],"&lt;11")</f>
        <v>0</v>
      </c>
      <c r="AE43" s="138">
        <f>SUMIFS(tbl_task5[S26],tbl_task5[[SubPLOs]:[SubPLOs]],"&gt;=10",tbl_task5[[SubPLOs]:[SubPLOs]],"&lt;11")</f>
        <v>0</v>
      </c>
      <c r="AF43" s="138">
        <f>SUMIFS(tbl_task5[S27],tbl_task5[[SubPLOs]:[SubPLOs]],"&gt;=10",tbl_task5[[SubPLOs]:[SubPLOs]],"&lt;11")</f>
        <v>0</v>
      </c>
      <c r="AG43" s="138">
        <f>SUMIFS(tbl_task5[S28],tbl_task5[[SubPLOs]:[SubPLOs]],"&gt;=10",tbl_task5[[SubPLOs]:[SubPLOs]],"&lt;11")</f>
        <v>0</v>
      </c>
      <c r="AH43" s="138">
        <f>SUMIFS(tbl_task5[S29],tbl_task5[[SubPLOs]:[SubPLOs]],"&gt;=10",tbl_task5[[SubPLOs]:[SubPLOs]],"&lt;11")</f>
        <v>0</v>
      </c>
      <c r="AI43" s="138">
        <f>SUMIFS(tbl_task5[S30],tbl_task5[[SubPLOs]:[SubPLOs]],"&gt;=10",tbl_task5[[SubPLOs]:[SubPLOs]],"&lt;11")</f>
        <v>0</v>
      </c>
      <c r="AJ43" s="138">
        <f>SUMIFS(tbl_task5[S31],tbl_task5[[SubPLOs]:[SubPLOs]],"&gt;=10",tbl_task5[[SubPLOs]:[SubPLOs]],"&lt;11")</f>
        <v>0</v>
      </c>
      <c r="AK43" s="138">
        <f>SUMIFS(tbl_task5[S32],tbl_task5[[SubPLOs]:[SubPLOs]],"&gt;=10",tbl_task5[[SubPLOs]:[SubPLOs]],"&lt;11")</f>
        <v>0</v>
      </c>
      <c r="AL43" s="138">
        <f>SUMIFS(tbl_task5[S33],tbl_task5[[SubPLOs]:[SubPLOs]],"&gt;=10",tbl_task5[[SubPLOs]:[SubPLOs]],"&lt;11")</f>
        <v>0</v>
      </c>
      <c r="AM43" s="138">
        <f>SUMIFS(tbl_task5[S34],tbl_task5[[SubPLOs]:[SubPLOs]],"&gt;=10",tbl_task5[[SubPLOs]:[SubPLOs]],"&lt;11")</f>
        <v>0</v>
      </c>
      <c r="AN43" s="138">
        <f>SUMIFS(tbl_task5[S35],tbl_task5[[SubPLOs]:[SubPLOs]],"&gt;=10",tbl_task5[[SubPLOs]:[SubPLOs]],"&lt;11")</f>
        <v>0</v>
      </c>
      <c r="AO43" s="138">
        <f>SUMIFS(tbl_task5[S36],tbl_task5[[SubPLOs]:[SubPLOs]],"&gt;=10",tbl_task5[[SubPLOs]:[SubPLOs]],"&lt;11")</f>
        <v>0</v>
      </c>
      <c r="AP43" s="138">
        <f>SUMIFS(tbl_task5[S37],tbl_task5[[SubPLOs]:[SubPLOs]],"&gt;=10",tbl_task5[[SubPLOs]:[SubPLOs]],"&lt;11")</f>
        <v>0</v>
      </c>
      <c r="AQ43" s="138">
        <f>SUMIFS(tbl_task5[S38],tbl_task5[[SubPLOs]:[SubPLOs]],"&gt;=10",tbl_task5[[SubPLOs]:[SubPLOs]],"&lt;11")</f>
        <v>0</v>
      </c>
      <c r="AR43" s="138">
        <f>SUMIFS(tbl_task5[S39],tbl_task5[[SubPLOs]:[SubPLOs]],"&gt;=10",tbl_task5[[SubPLOs]:[SubPLOs]],"&lt;11")</f>
        <v>0</v>
      </c>
      <c r="AS43" s="138">
        <f>SUMIFS(tbl_task5[S40],tbl_task5[[SubPLOs]:[SubPLOs]],"&gt;=10",tbl_task5[[SubPLOs]:[SubPLOs]],"&lt;11")</f>
        <v>0</v>
      </c>
      <c r="AT43" s="138">
        <f>SUMIFS(tbl_task5[S41],tbl_task5[[SubPLOs]:[SubPLOs]],"&gt;=10",tbl_task5[[SubPLOs]:[SubPLOs]],"&lt;11")</f>
        <v>0</v>
      </c>
      <c r="AU43" s="138">
        <f>SUMIFS(tbl_task5[S42],tbl_task5[[SubPLOs]:[SubPLOs]],"&gt;=10",tbl_task5[[SubPLOs]:[SubPLOs]],"&lt;11")</f>
        <v>0</v>
      </c>
      <c r="AV43" s="138">
        <f>SUMIFS(tbl_task5[S43],tbl_task5[[SubPLOs]:[SubPLOs]],"&gt;=10",tbl_task5[[SubPLOs]:[SubPLOs]],"&lt;11")</f>
        <v>0</v>
      </c>
      <c r="AW43" s="138">
        <f>SUMIFS(tbl_task5[S44],tbl_task5[[SubPLOs]:[SubPLOs]],"&gt;=10",tbl_task5[[SubPLOs]:[SubPLOs]],"&lt;11")</f>
        <v>0</v>
      </c>
      <c r="AX43" s="138">
        <f>SUMIFS(tbl_task5[S45],tbl_task5[[SubPLOs]:[SubPLOs]],"&gt;=10",tbl_task5[[SubPLOs]:[SubPLOs]],"&lt;11")</f>
        <v>0</v>
      </c>
      <c r="AY43" s="138">
        <f>SUMIFS(tbl_task5[S46],tbl_task5[[SubPLOs]:[SubPLOs]],"&gt;=10",tbl_task5[[SubPLOs]:[SubPLOs]],"&lt;11")</f>
        <v>0</v>
      </c>
      <c r="AZ43" s="138">
        <f>SUMIFS(tbl_task5[S47],tbl_task5[[SubPLOs]:[SubPLOs]],"&gt;=10",tbl_task5[[SubPLOs]:[SubPLOs]],"&lt;11")</f>
        <v>0</v>
      </c>
      <c r="BA43" s="138">
        <f>SUMIFS(tbl_task5[S48],tbl_task5[[SubPLOs]:[SubPLOs]],"&gt;=10",tbl_task5[[SubPLOs]:[SubPLOs]],"&lt;11")</f>
        <v>0</v>
      </c>
      <c r="BB43" s="138">
        <f>SUMIFS(tbl_task5[S49],tbl_task5[[SubPLOs]:[SubPLOs]],"&gt;=10",tbl_task5[[SubPLOs]:[SubPLOs]],"&lt;11")</f>
        <v>0</v>
      </c>
      <c r="BC43" s="138">
        <f>SUMIFS(tbl_task5[S50],tbl_task5[[SubPLOs]:[SubPLOs]],"&gt;=10",tbl_task5[[SubPLOs]:[SubPLOs]],"&lt;11")</f>
        <v>0</v>
      </c>
      <c r="BD43" s="138">
        <f>SUMIFS(tbl_task5[S51],tbl_task5[[SubPLOs]:[SubPLOs]],"&gt;=10",tbl_task5[[SubPLOs]:[SubPLOs]],"&lt;11")</f>
        <v>0</v>
      </c>
      <c r="BE43" s="138">
        <f>SUMIFS(tbl_task5[S52],tbl_task5[[SubPLOs]:[SubPLOs]],"&gt;=10",tbl_task5[[SubPLOs]:[SubPLOs]],"&lt;11")</f>
        <v>0</v>
      </c>
      <c r="BF43" s="138">
        <f>SUMIFS(tbl_task5[S53],tbl_task5[[SubPLOs]:[SubPLOs]],"&gt;=10",tbl_task5[[SubPLOs]:[SubPLOs]],"&lt;11")</f>
        <v>0</v>
      </c>
      <c r="BG43" s="138">
        <f>SUMIFS(tbl_task5[S54],tbl_task5[[SubPLOs]:[SubPLOs]],"&gt;=10",tbl_task5[[SubPLOs]:[SubPLOs]],"&lt;11")</f>
        <v>0</v>
      </c>
      <c r="BH43" s="138">
        <f>SUMIFS(tbl_task5[S55],tbl_task5[[SubPLOs]:[SubPLOs]],"&gt;=10",tbl_task5[[SubPLOs]:[SubPLOs]],"&lt;11")</f>
        <v>0</v>
      </c>
      <c r="BI43" s="138">
        <f>SUMIFS(tbl_task5[S56],tbl_task5[[SubPLOs]:[SubPLOs]],"&gt;=10",tbl_task5[[SubPLOs]:[SubPLOs]],"&lt;11")</f>
        <v>0</v>
      </c>
      <c r="BJ43" s="138">
        <f>SUMIFS(tbl_task5[S57],tbl_task5[[SubPLOs]:[SubPLOs]],"&gt;=10",tbl_task5[[SubPLOs]:[SubPLOs]],"&lt;11")</f>
        <v>0</v>
      </c>
      <c r="BK43" s="138">
        <f>SUMIFS(tbl_task5[S58],tbl_task5[[SubPLOs]:[SubPLOs]],"&gt;=10",tbl_task5[[SubPLOs]:[SubPLOs]],"&lt;11")</f>
        <v>0</v>
      </c>
      <c r="BL43" s="138">
        <f>SUMIFS(tbl_task5[S59],tbl_task5[[SubPLOs]:[SubPLOs]],"&gt;=10",tbl_task5[[SubPLOs]:[SubPLOs]],"&lt;11")</f>
        <v>0</v>
      </c>
      <c r="BM43" s="138">
        <f>SUMIFS(tbl_task5[S60],tbl_task5[[SubPLOs]:[SubPLOs]],"&gt;=10",tbl_task5[[SubPLOs]:[SubPLOs]],"&lt;11")</f>
        <v>0</v>
      </c>
      <c r="BN43" s="138">
        <f>SUMIFS(tbl_task5[S61],tbl_task5[[SubPLOs]:[SubPLOs]],"&gt;=10",tbl_task5[[SubPLOs]:[SubPLOs]],"&lt;11")</f>
        <v>0</v>
      </c>
      <c r="BO43" s="138">
        <f>SUMIFS(tbl_task5[S62],tbl_task5[[SubPLOs]:[SubPLOs]],"&gt;=10",tbl_task5[[SubPLOs]:[SubPLOs]],"&lt;11")</f>
        <v>0</v>
      </c>
      <c r="BP43" s="138">
        <f>SUMIFS(tbl_task5[S63],tbl_task5[[SubPLOs]:[SubPLOs]],"&gt;=10",tbl_task5[[SubPLOs]:[SubPLOs]],"&lt;11")</f>
        <v>0</v>
      </c>
      <c r="BQ43" s="138">
        <f>SUMIFS(tbl_task5[S64],tbl_task5[[SubPLOs]:[SubPLOs]],"&gt;=10",tbl_task5[[SubPLOs]:[SubPLOs]],"&lt;11")</f>
        <v>0</v>
      </c>
      <c r="BR43" s="138">
        <f>SUMIFS(tbl_task5[S65],tbl_task5[[SubPLOs]:[SubPLOs]],"&gt;=10",tbl_task5[[SubPLOs]:[SubPLOs]],"&lt;11")</f>
        <v>0</v>
      </c>
      <c r="BS43" s="138">
        <f>SUMIFS(tbl_task5[S66],tbl_task5[[SubPLOs]:[SubPLOs]],"&gt;=10",tbl_task5[[SubPLOs]:[SubPLOs]],"&lt;11")</f>
        <v>0</v>
      </c>
      <c r="BT43" s="138">
        <f>SUMIFS(tbl_task5[S67],tbl_task5[[SubPLOs]:[SubPLOs]],"&gt;=10",tbl_task5[[SubPLOs]:[SubPLOs]],"&lt;11")</f>
        <v>0</v>
      </c>
      <c r="BU43" s="138">
        <f>SUMIFS(tbl_task5[S68],tbl_task5[[SubPLOs]:[SubPLOs]],"&gt;=10",tbl_task5[[SubPLOs]:[SubPLOs]],"&lt;11")</f>
        <v>0</v>
      </c>
      <c r="BV43" s="138">
        <f>SUMIFS(tbl_task5[S69],tbl_task5[[SubPLOs]:[SubPLOs]],"&gt;=10",tbl_task5[[SubPLOs]:[SubPLOs]],"&lt;11")</f>
        <v>0</v>
      </c>
      <c r="BW43" s="138">
        <f>SUMIFS(tbl_task5[S70],tbl_task5[[SubPLOs]:[SubPLOs]],"&gt;=10",tbl_task5[[SubPLOs]:[SubPLOs]],"&lt;11")</f>
        <v>0</v>
      </c>
      <c r="BX43" s="138">
        <f>SUMIFS(tbl_task5[S71],tbl_task5[[SubPLOs]:[SubPLOs]],"&gt;=10",tbl_task5[[SubPLOs]:[SubPLOs]],"&lt;11")</f>
        <v>0</v>
      </c>
      <c r="BY43" s="138">
        <f>SUMIFS(tbl_task5[S72],tbl_task5[[SubPLOs]:[SubPLOs]],"&gt;=10",tbl_task5[[SubPLOs]:[SubPLOs]],"&lt;11")</f>
        <v>0</v>
      </c>
      <c r="BZ43" s="138">
        <f>SUMIFS(tbl_task5[S73],tbl_task5[[SubPLOs]:[SubPLOs]],"&gt;=10",tbl_task5[[SubPLOs]:[SubPLOs]],"&lt;11")</f>
        <v>0</v>
      </c>
      <c r="CA43" s="138">
        <f>SUMIFS(tbl_task5[S74],tbl_task5[[SubPLOs]:[SubPLOs]],"&gt;=10",tbl_task5[[SubPLOs]:[SubPLOs]],"&lt;11")</f>
        <v>0</v>
      </c>
      <c r="CB43" s="138">
        <f>SUMIFS(tbl_task5[S75],tbl_task5[[SubPLOs]:[SubPLOs]],"&gt;=10",tbl_task5[[SubPLOs]:[SubPLOs]],"&lt;11")</f>
        <v>0</v>
      </c>
      <c r="CC43" s="138">
        <f>SUMIFS(tbl_task5[S76],tbl_task5[[SubPLOs]:[SubPLOs]],"&gt;=10",tbl_task5[[SubPLOs]:[SubPLOs]],"&lt;11")</f>
        <v>0</v>
      </c>
      <c r="CD43" s="138">
        <f>SUMIFS(tbl_task5[S77],tbl_task5[[SubPLOs]:[SubPLOs]],"&gt;=10",tbl_task5[[SubPLOs]:[SubPLOs]],"&lt;11")</f>
        <v>0</v>
      </c>
      <c r="CE43" s="138">
        <f>SUMIFS(tbl_task5[S78],tbl_task5[[SubPLOs]:[SubPLOs]],"&gt;=10",tbl_task5[[SubPLOs]:[SubPLOs]],"&lt;11")</f>
        <v>0</v>
      </c>
      <c r="CF43" s="138">
        <f>SUMIFS(tbl_task5[S79],tbl_task5[[SubPLOs]:[SubPLOs]],"&gt;=10",tbl_task5[[SubPLOs]:[SubPLOs]],"&lt;11")</f>
        <v>0</v>
      </c>
      <c r="CG43" s="138">
        <f>SUMIFS(tbl_task5[S80],tbl_task5[[SubPLOs]:[SubPLOs]],"&gt;=10",tbl_task5[[SubPLOs]:[SubPLOs]],"&lt;11")</f>
        <v>0</v>
      </c>
      <c r="CH43" s="138">
        <f>SUMIFS(tbl_task5[S81],tbl_task5[[SubPLOs]:[SubPLOs]],"&gt;=10",tbl_task5[[SubPLOs]:[SubPLOs]],"&lt;11")</f>
        <v>0</v>
      </c>
      <c r="CI43" s="138">
        <f>SUMIFS(tbl_task5[S82],tbl_task5[[SubPLOs]:[SubPLOs]],"&gt;=10",tbl_task5[[SubPLOs]:[SubPLOs]],"&lt;11")</f>
        <v>0</v>
      </c>
      <c r="CJ43" s="138">
        <f>SUMIFS(tbl_task5[S83],tbl_task5[[SubPLOs]:[SubPLOs]],"&gt;=10",tbl_task5[[SubPLOs]:[SubPLOs]],"&lt;11")</f>
        <v>0</v>
      </c>
      <c r="CK43" s="138">
        <f>SUMIFS(tbl_task5[S84],tbl_task5[[SubPLOs]:[SubPLOs]],"&gt;=10",tbl_task5[[SubPLOs]:[SubPLOs]],"&lt;11")</f>
        <v>0</v>
      </c>
      <c r="CL43" s="138">
        <f>SUMIFS(tbl_task5[S85],tbl_task5[[SubPLOs]:[SubPLOs]],"&gt;=10",tbl_task5[[SubPLOs]:[SubPLOs]],"&lt;11")</f>
        <v>0</v>
      </c>
      <c r="CM43" s="138">
        <f>SUMIFS(tbl_task5[S86],tbl_task5[[SubPLOs]:[SubPLOs]],"&gt;=10",tbl_task5[[SubPLOs]:[SubPLOs]],"&lt;11")</f>
        <v>0</v>
      </c>
      <c r="CN43" s="138">
        <f>SUMIFS(tbl_task5[S87],tbl_task5[[SubPLOs]:[SubPLOs]],"&gt;=10",tbl_task5[[SubPLOs]:[SubPLOs]],"&lt;11")</f>
        <v>0</v>
      </c>
      <c r="CO43" s="138">
        <f>SUMIFS(tbl_task5[S88],tbl_task5[[SubPLOs]:[SubPLOs]],"&gt;=10",tbl_task5[[SubPLOs]:[SubPLOs]],"&lt;11")</f>
        <v>0</v>
      </c>
      <c r="CP43" s="138">
        <f>SUMIFS(tbl_task5[S89],tbl_task5[[SubPLOs]:[SubPLOs]],"&gt;=10",tbl_task5[[SubPLOs]:[SubPLOs]],"&lt;11")</f>
        <v>0</v>
      </c>
      <c r="CQ43" s="138">
        <f>SUMIFS(tbl_task5[S90],tbl_task5[[SubPLOs]:[SubPLOs]],"&gt;=10",tbl_task5[[SubPLOs]:[SubPLOs]],"&lt;11")</f>
        <v>0</v>
      </c>
      <c r="CR43" s="138">
        <f>SUMIFS(tbl_task5[S91],tbl_task5[[SubPLOs]:[SubPLOs]],"&gt;=10",tbl_task5[[SubPLOs]:[SubPLOs]],"&lt;11")</f>
        <v>0</v>
      </c>
      <c r="CS43" s="138">
        <f>SUMIFS(tbl_task5[S92],tbl_task5[[SubPLOs]:[SubPLOs]],"&gt;=10",tbl_task5[[SubPLOs]:[SubPLOs]],"&lt;11")</f>
        <v>0</v>
      </c>
      <c r="CT43" s="138">
        <f>SUMIFS(tbl_task5[S93],tbl_task5[[SubPLOs]:[SubPLOs]],"&gt;=10",tbl_task5[[SubPLOs]:[SubPLOs]],"&lt;11")</f>
        <v>0</v>
      </c>
      <c r="CU43" s="138">
        <f>SUMIFS(tbl_task5[S94],tbl_task5[[SubPLOs]:[SubPLOs]],"&gt;=10",tbl_task5[[SubPLOs]:[SubPLOs]],"&lt;11")</f>
        <v>0</v>
      </c>
      <c r="CV43" s="138">
        <f>SUMIFS(tbl_task5[S95],tbl_task5[[SubPLOs]:[SubPLOs]],"&gt;=10",tbl_task5[[SubPLOs]:[SubPLOs]],"&lt;11")</f>
        <v>0</v>
      </c>
      <c r="CW43" s="138">
        <f>SUMIFS(tbl_task5[S96],tbl_task5[[SubPLOs]:[SubPLOs]],"&gt;=10",tbl_task5[[SubPLOs]:[SubPLOs]],"&lt;11")</f>
        <v>0</v>
      </c>
      <c r="CX43" s="138">
        <f>SUMIFS(tbl_task5[S97],tbl_task5[[SubPLOs]:[SubPLOs]],"&gt;=10",tbl_task5[[SubPLOs]:[SubPLOs]],"&lt;11")</f>
        <v>0</v>
      </c>
      <c r="CY43" s="138">
        <f>SUMIFS(tbl_task5[S98],tbl_task5[[SubPLOs]:[SubPLOs]],"&gt;=10",tbl_task5[[SubPLOs]:[SubPLOs]],"&lt;11")</f>
        <v>0</v>
      </c>
      <c r="CZ43" s="138">
        <f>SUMIFS(tbl_task5[S99],tbl_task5[[SubPLOs]:[SubPLOs]],"&gt;=10",tbl_task5[[SubPLOs]:[SubPLOs]],"&lt;11")</f>
        <v>0</v>
      </c>
      <c r="DA43" s="138">
        <f>SUMIFS(tbl_task5[S100],tbl_task5[[SubPLOs]:[SubPLOs]],"&gt;=10",tbl_task5[[SubPLOs]:[SubPLOs]],"&lt;11")</f>
        <v>0</v>
      </c>
      <c r="DB43" s="138">
        <f>SUMIFS(tbl_task5[S101],tbl_task5[[SubPLOs]:[SubPLOs]],"&gt;=10",tbl_task5[[SubPLOs]:[SubPLOs]],"&lt;11")</f>
        <v>0</v>
      </c>
      <c r="DC43" s="138">
        <f>SUMIFS(tbl_task5[S102],tbl_task5[[SubPLOs]:[SubPLOs]],"&gt;=10",tbl_task5[[SubPLOs]:[SubPLOs]],"&lt;11")</f>
        <v>0</v>
      </c>
      <c r="DD43" s="138">
        <f>SUMIFS(tbl_task5[S103],tbl_task5[[SubPLOs]:[SubPLOs]],"&gt;=10",tbl_task5[[SubPLOs]:[SubPLOs]],"&lt;11")</f>
        <v>0</v>
      </c>
      <c r="DE43" s="138">
        <f>SUMIFS(tbl_task5[S104],tbl_task5[[SubPLOs]:[SubPLOs]],"&gt;=10",tbl_task5[[SubPLOs]:[SubPLOs]],"&lt;11")</f>
        <v>0</v>
      </c>
      <c r="DF43" s="138">
        <f>SUMIFS(tbl_task5[S105],tbl_task5[[SubPLOs]:[SubPLOs]],"&gt;=10",tbl_task5[[SubPLOs]:[SubPLOs]],"&lt;11")</f>
        <v>0</v>
      </c>
      <c r="DG43" s="138">
        <f>SUMIFS(tbl_task5[S106],tbl_task5[[SubPLOs]:[SubPLOs]],"&gt;=10",tbl_task5[[SubPLOs]:[SubPLOs]],"&lt;11")</f>
        <v>0</v>
      </c>
      <c r="DH43" s="138">
        <f>SUMIFS(tbl_task5[S106],tbl_task5[[SubPLOs]:[SubPLOs]],"&gt;=10",tbl_task5[[SubPLOs]:[SubPLOs]],"&lt;11")</f>
        <v>0</v>
      </c>
      <c r="DI43" s="138">
        <f>SUMIFS(tbl_task5[S108],tbl_task5[[SubPLOs]:[SubPLOs]],"&gt;=10",tbl_task5[[SubPLOs]:[SubPLOs]],"&lt;11")</f>
        <v>0</v>
      </c>
      <c r="DJ43" s="138">
        <f>SUMIFS(tbl_task5[S109],tbl_task5[[SubPLOs]:[SubPLOs]],"&gt;=10",tbl_task5[[SubPLOs]:[SubPLOs]],"&lt;11")</f>
        <v>0</v>
      </c>
      <c r="DK43" s="138">
        <f>SUMIFS(tbl_task5[S110],tbl_task5[[SubPLOs]:[SubPLOs]],"&gt;=10",tbl_task5[[SubPLOs]:[SubPLOs]],"&lt;11")</f>
        <v>0</v>
      </c>
      <c r="DL43" s="138">
        <f>SUMIFS(tbl_task5[S111],tbl_task5[[SubPLOs]:[SubPLOs]],"&gt;=10",tbl_task5[[SubPLOs]:[SubPLOs]],"&lt;11")</f>
        <v>0</v>
      </c>
      <c r="DM43" s="138">
        <f>SUMIFS(tbl_task5[S112],tbl_task5[[SubPLOs]:[SubPLOs]],"&gt;=10",tbl_task5[[SubPLOs]:[SubPLOs]],"&lt;11")</f>
        <v>0</v>
      </c>
      <c r="DN43" s="138">
        <f>SUMIFS(tbl_task5[S113],tbl_task5[[SubPLOs]:[SubPLOs]],"&gt;=10",tbl_task5[[SubPLOs]:[SubPLOs]],"&lt;11")</f>
        <v>0</v>
      </c>
      <c r="DO43" s="138">
        <f>SUMIFS(tbl_task5[S114],tbl_task5[[SubPLOs]:[SubPLOs]],"&gt;=10",tbl_task5[[SubPLOs]:[SubPLOs]],"&lt;11")</f>
        <v>0</v>
      </c>
      <c r="DP43" s="138">
        <f>SUMIFS(tbl_task5[S115],tbl_task5[[SubPLOs]:[SubPLOs]],"&gt;=10",tbl_task5[[SubPLOs]:[SubPLOs]],"&lt;11")</f>
        <v>0</v>
      </c>
      <c r="DQ43" s="138">
        <f>SUMIFS(tbl_task5[S116],tbl_task5[[SubPLOs]:[SubPLOs]],"&gt;=10",tbl_task5[[SubPLOs]:[SubPLOs]],"&lt;11")</f>
        <v>0</v>
      </c>
      <c r="DR43" s="138">
        <f>SUMIFS(tbl_task5[S117],tbl_task5[[SubPLOs]:[SubPLOs]],"&gt;=10",tbl_task5[[SubPLOs]:[SubPLOs]],"&lt;11")</f>
        <v>0</v>
      </c>
      <c r="DS43" s="138">
        <f>SUMIFS(tbl_task5[S118],tbl_task5[[SubPLOs]:[SubPLOs]],"&gt;=10",tbl_task5[[SubPLOs]:[SubPLOs]],"&lt;11")</f>
        <v>0</v>
      </c>
      <c r="DT43" s="138">
        <f>SUMIFS(tbl_task5[S119],tbl_task5[[SubPLOs]:[SubPLOs]],"&gt;=10",tbl_task5[[SubPLOs]:[SubPLOs]],"&lt;11")</f>
        <v>0</v>
      </c>
      <c r="DU43" s="138">
        <f>SUMIFS(tbl_task5[S120],tbl_task5[[SubPLOs]:[SubPLOs]],"&gt;=10",tbl_task5[[SubPLOs]:[SubPLOs]],"&lt;11")</f>
        <v>0</v>
      </c>
      <c r="DV43" s="138">
        <f>SUMIFS(tbl_task5[S121],tbl_task5[[SubPLOs]:[SubPLOs]],"&gt;=10",tbl_task5[[SubPLOs]:[SubPLOs]],"&lt;11")</f>
        <v>0</v>
      </c>
      <c r="DW43" s="138">
        <f>SUMIFS(tbl_task5[S122],tbl_task5[[SubPLOs]:[SubPLOs]],"&gt;=10",tbl_task5[[SubPLOs]:[SubPLOs]],"&lt;11")</f>
        <v>0</v>
      </c>
      <c r="DX43" s="138">
        <f>SUMIFS(tbl_task5[S123],tbl_task5[[SubPLOs]:[SubPLOs]],"&gt;=10",tbl_task5[[SubPLOs]:[SubPLOs]],"&lt;11")</f>
        <v>0</v>
      </c>
      <c r="DY43" s="138">
        <f>SUMIFS(tbl_task5[S124],tbl_task5[[SubPLOs]:[SubPLOs]],"&gt;=10",tbl_task5[[SubPLOs]:[SubPLOs]],"&lt;11")</f>
        <v>0</v>
      </c>
      <c r="DZ43" s="138">
        <f>SUMIFS(tbl_task5[S125],tbl_task5[[SubPLOs]:[SubPLOs]],"&gt;=10",tbl_task5[[SubPLOs]:[SubPLOs]],"&lt;11")</f>
        <v>0</v>
      </c>
      <c r="EA43" s="138">
        <f>SUMIFS(tbl_task5[S126],tbl_task5[[SubPLOs]:[SubPLOs]],"&gt;=10",tbl_task5[[SubPLOs]:[SubPLOs]],"&lt;11")</f>
        <v>0</v>
      </c>
      <c r="EB43" s="138">
        <f>SUMIFS(tbl_task5[S127],tbl_task5[[SubPLOs]:[SubPLOs]],"&gt;=10",tbl_task5[[SubPLOs]:[SubPLOs]],"&lt;11")</f>
        <v>0</v>
      </c>
      <c r="EC43" s="138">
        <f>SUMIFS(tbl_task5[S128],tbl_task5[[SubPLOs]:[SubPLOs]],"&gt;=10",tbl_task5[[SubPLOs]:[SubPLOs]],"&lt;11")</f>
        <v>0</v>
      </c>
      <c r="ED43" s="138">
        <f>SUMIFS(tbl_task5[S129],tbl_task5[[SubPLOs]:[SubPLOs]],"&gt;=10",tbl_task5[[SubPLOs]:[SubPLOs]],"&lt;11")</f>
        <v>0</v>
      </c>
      <c r="EE43" s="138">
        <f>SUMIFS(tbl_task5[S130],tbl_task5[[SubPLOs]:[SubPLOs]],"&gt;=10",tbl_task5[[SubPLOs]:[SubPLOs]],"&lt;11")</f>
        <v>0</v>
      </c>
      <c r="EF43" s="138">
        <f>SUMIFS(tbl_task5[S131],tbl_task5[[SubPLOs]:[SubPLOs]],"&gt;=10",tbl_task5[[SubPLOs]:[SubPLOs]],"&lt;11")</f>
        <v>0</v>
      </c>
      <c r="EG43" s="138">
        <f>SUMIFS(tbl_task5[S132],tbl_task5[[SubPLOs]:[SubPLOs]],"&gt;=10",tbl_task5[[SubPLOs]:[SubPLOs]],"&lt;11")</f>
        <v>0</v>
      </c>
      <c r="EH43" s="138">
        <f>SUMIFS(tbl_task5[S133],tbl_task5[[SubPLOs]:[SubPLOs]],"&gt;=10",tbl_task5[[SubPLOs]:[SubPLOs]],"&lt;11")</f>
        <v>0</v>
      </c>
      <c r="EI43" s="138">
        <f>SUMIFS(tbl_task5[S134],tbl_task5[[SubPLOs]:[SubPLOs]],"&gt;=10",tbl_task5[[SubPLOs]:[SubPLOs]],"&lt;11")</f>
        <v>0</v>
      </c>
      <c r="EJ43" s="138">
        <f>SUMIFS(tbl_task5[S135],tbl_task5[[SubPLOs]:[SubPLOs]],"&gt;=10",tbl_task5[[SubPLOs]:[SubPLOs]],"&lt;11")</f>
        <v>0</v>
      </c>
      <c r="EK43" s="138">
        <f>SUMIFS(tbl_task5[S136],tbl_task5[[SubPLOs]:[SubPLOs]],"&gt;=10",tbl_task5[[SubPLOs]:[SubPLOs]],"&lt;11")</f>
        <v>0</v>
      </c>
      <c r="EL43" s="138">
        <f>SUMIFS(tbl_task5[S137],tbl_task5[[SubPLOs]:[SubPLOs]],"&gt;=10",tbl_task5[[SubPLOs]:[SubPLOs]],"&lt;11")</f>
        <v>0</v>
      </c>
      <c r="EM43" s="138">
        <f>SUMIFS(tbl_task5[S138],tbl_task5[[SubPLOs]:[SubPLOs]],"&gt;=10",tbl_task5[[SubPLOs]:[SubPLOs]],"&lt;11")</f>
        <v>0</v>
      </c>
      <c r="EN43" s="138">
        <f>SUMIFS(tbl_task5[S139],tbl_task5[[SubPLOs]:[SubPLOs]],"&gt;=10",tbl_task5[[SubPLOs]:[SubPLOs]],"&lt;11")</f>
        <v>0</v>
      </c>
      <c r="EO43" s="138">
        <f>SUMIFS(tbl_task5[S140],tbl_task5[[SubPLOs]:[SubPLOs]],"&gt;=10",tbl_task5[[SubPLOs]:[SubPLOs]],"&lt;11")</f>
        <v>0</v>
      </c>
      <c r="EP43" s="138">
        <f>SUMIFS(tbl_task5[S141],tbl_task5[[SubPLOs]:[SubPLOs]],"&gt;=10",tbl_task5[[SubPLOs]:[SubPLOs]],"&lt;11")</f>
        <v>0</v>
      </c>
      <c r="EQ43" s="138">
        <f>SUMIFS(tbl_task5[S142],tbl_task5[[SubPLOs]:[SubPLOs]],"&gt;=10",tbl_task5[[SubPLOs]:[SubPLOs]],"&lt;11")</f>
        <v>0</v>
      </c>
      <c r="ER43" s="138">
        <f>SUMIFS(tbl_task5[S143],tbl_task5[[SubPLOs]:[SubPLOs]],"&gt;=10",tbl_task5[[SubPLOs]:[SubPLOs]],"&lt;11")</f>
        <v>0</v>
      </c>
      <c r="ES43" s="138">
        <f>SUMIFS(tbl_task5[S144],tbl_task5[[SubPLOs]:[SubPLOs]],"&gt;=10",tbl_task5[[SubPLOs]:[SubPLOs]],"&lt;11")</f>
        <v>0</v>
      </c>
      <c r="ET43" s="138">
        <f>SUMIFS(tbl_task5[S145],tbl_task5[[SubPLOs]:[SubPLOs]],"&gt;=10",tbl_task5[[SubPLOs]:[SubPLOs]],"&lt;11")</f>
        <v>0</v>
      </c>
      <c r="EU43" s="138">
        <f>SUMIFS(tbl_task5[S146],tbl_task5[[SubPLOs]:[SubPLOs]],"&gt;=10",tbl_task5[[SubPLOs]:[SubPLOs]],"&lt;11")</f>
        <v>0</v>
      </c>
      <c r="EV43" s="138">
        <f>SUMIFS(tbl_task5[S147],tbl_task5[[SubPLOs]:[SubPLOs]],"&gt;=10",tbl_task5[[SubPLOs]:[SubPLOs]],"&lt;11")</f>
        <v>0</v>
      </c>
      <c r="EW43" s="138">
        <f>SUMIFS(tbl_task5[S148],tbl_task5[[SubPLOs]:[SubPLOs]],"&gt;=10",tbl_task5[[SubPLOs]:[SubPLOs]],"&lt;11")</f>
        <v>0</v>
      </c>
      <c r="EX43" s="138">
        <f>SUMIFS(tbl_task5[S149],tbl_task5[[SubPLOs]:[SubPLOs]],"&gt;=10",tbl_task5[[SubPLOs]:[SubPLOs]],"&lt;11")</f>
        <v>0</v>
      </c>
      <c r="EY43" s="138">
        <f>SUMIFS(tbl_task5[S150],tbl_task5[[SubPLOs]:[SubPLOs]],"&gt;=10",tbl_task5[[SubPLOs]:[SubPLOs]],"&lt;11")</f>
        <v>0</v>
      </c>
      <c r="EZ43" s="138">
        <f>SUMIFS(tbl_task5[S151],tbl_task5[[SubPLOs]:[SubPLOs]],"&gt;=10",tbl_task5[[SubPLOs]:[SubPLOs]],"&lt;11")</f>
        <v>0</v>
      </c>
      <c r="FA43" s="138">
        <f>SUMIFS(tbl_task5[S152],tbl_task5[[SubPLOs]:[SubPLOs]],"&gt;=10",tbl_task5[[SubPLOs]:[SubPLOs]],"&lt;11")</f>
        <v>0</v>
      </c>
      <c r="FB43" s="138">
        <f>SUMIFS(tbl_task5[S153],tbl_task5[[SubPLOs]:[SubPLOs]],"&gt;=10",tbl_task5[[SubPLOs]:[SubPLOs]],"&lt;11")</f>
        <v>0</v>
      </c>
      <c r="FC43" s="138">
        <f>SUMIFS(tbl_task5[S154],tbl_task5[[SubPLOs]:[SubPLOs]],"&gt;=10",tbl_task5[[SubPLOs]:[SubPLOs]],"&lt;11")</f>
        <v>0</v>
      </c>
      <c r="FD43" s="138">
        <f>SUMIFS(tbl_task5[S155],tbl_task5[[SubPLOs]:[SubPLOs]],"&gt;=10",tbl_task5[[SubPLOs]:[SubPLOs]],"&lt;11")</f>
        <v>0</v>
      </c>
      <c r="FE43" s="138">
        <f>SUMIFS(tbl_task5[S156],tbl_task5[[SubPLOs]:[SubPLOs]],"&gt;=10",tbl_task5[[SubPLOs]:[SubPLOs]],"&lt;11")</f>
        <v>0</v>
      </c>
      <c r="FF43" s="138">
        <f>SUMIFS(tbl_task5[S157],tbl_task5[[SubPLOs]:[SubPLOs]],"&gt;=10",tbl_task5[[SubPLOs]:[SubPLOs]],"&lt;11")</f>
        <v>0</v>
      </c>
      <c r="FG43" s="138">
        <f>SUMIFS(tbl_task5[S158],tbl_task5[[SubPLOs]:[SubPLOs]],"&gt;=10",tbl_task5[[SubPLOs]:[SubPLOs]],"&lt;11")</f>
        <v>0</v>
      </c>
      <c r="FH43" s="138">
        <f>SUMIFS(tbl_task5[S159],tbl_task5[[SubPLOs]:[SubPLOs]],"&gt;=10",tbl_task5[[SubPLOs]:[SubPLOs]],"&lt;11")</f>
        <v>0</v>
      </c>
      <c r="FI43" s="138">
        <f>SUMIFS(tbl_task5[S160],tbl_task5[[SubPLOs]:[SubPLOs]],"&gt;=10",tbl_task5[[SubPLOs]:[SubPLOs]],"&lt;11")</f>
        <v>0</v>
      </c>
      <c r="FJ43" s="138">
        <f>SUMIFS(tbl_task5[S161],tbl_task5[[SubPLOs]:[SubPLOs]],"&gt;=10",tbl_task5[[SubPLOs]:[SubPLOs]],"&lt;11")</f>
        <v>0</v>
      </c>
      <c r="FK43" s="138">
        <f>SUMIFS(tbl_task5[S162],tbl_task5[[SubPLOs]:[SubPLOs]],"&gt;=10",tbl_task5[[SubPLOs]:[SubPLOs]],"&lt;11")</f>
        <v>0</v>
      </c>
      <c r="FL43" s="138">
        <f>SUMIFS(tbl_task5[S163],tbl_task5[[SubPLOs]:[SubPLOs]],"&gt;=10",tbl_task5[[SubPLOs]:[SubPLOs]],"&lt;11")</f>
        <v>0</v>
      </c>
      <c r="FM43" s="138">
        <f>SUMIFS(tbl_task5[S164],tbl_task5[[SubPLOs]:[SubPLOs]],"&gt;=10",tbl_task5[[SubPLOs]:[SubPLOs]],"&lt;11")</f>
        <v>0</v>
      </c>
      <c r="FN43" s="138">
        <f>SUMIFS(tbl_task5[S165],tbl_task5[[SubPLOs]:[SubPLOs]],"&gt;=10",tbl_task5[[SubPLOs]:[SubPLOs]],"&lt;11")</f>
        <v>0</v>
      </c>
    </row>
    <row r="44" spans="1:170" s="34" customFormat="1" x14ac:dyDescent="0.25">
      <c r="A44" s="125"/>
      <c r="B44" s="126" t="s">
        <v>11</v>
      </c>
      <c r="C44" s="127">
        <f>SUM(C34:C43)</f>
        <v>0</v>
      </c>
      <c r="D44" s="128">
        <f>SUM(D34:D43)</f>
        <v>0</v>
      </c>
      <c r="E44" s="128">
        <f>SUM(E34:E43)</f>
        <v>0</v>
      </c>
      <c r="F44" s="128">
        <f t="shared" ref="F44:BQ44" si="0">SUM(F34:F43)</f>
        <v>0</v>
      </c>
      <c r="G44" s="128">
        <f t="shared" si="0"/>
        <v>0</v>
      </c>
      <c r="H44" s="128">
        <f t="shared" si="0"/>
        <v>0</v>
      </c>
      <c r="I44" s="128">
        <f t="shared" si="0"/>
        <v>0</v>
      </c>
      <c r="J44" s="128">
        <f t="shared" si="0"/>
        <v>0</v>
      </c>
      <c r="K44" s="128">
        <f t="shared" si="0"/>
        <v>0</v>
      </c>
      <c r="L44" s="128">
        <f t="shared" si="0"/>
        <v>0</v>
      </c>
      <c r="M44" s="128">
        <f t="shared" si="0"/>
        <v>0</v>
      </c>
      <c r="N44" s="128">
        <f t="shared" si="0"/>
        <v>0</v>
      </c>
      <c r="O44" s="128">
        <f t="shared" si="0"/>
        <v>0</v>
      </c>
      <c r="P44" s="128">
        <f t="shared" si="0"/>
        <v>0</v>
      </c>
      <c r="Q44" s="128">
        <f t="shared" si="0"/>
        <v>0</v>
      </c>
      <c r="R44" s="128">
        <f t="shared" si="0"/>
        <v>0</v>
      </c>
      <c r="S44" s="128">
        <f t="shared" si="0"/>
        <v>0</v>
      </c>
      <c r="T44" s="128">
        <f t="shared" si="0"/>
        <v>0</v>
      </c>
      <c r="U44" s="128">
        <f t="shared" si="0"/>
        <v>0</v>
      </c>
      <c r="V44" s="128">
        <f t="shared" si="0"/>
        <v>0</v>
      </c>
      <c r="W44" s="128">
        <f t="shared" si="0"/>
        <v>0</v>
      </c>
      <c r="X44" s="128">
        <f t="shared" si="0"/>
        <v>0</v>
      </c>
      <c r="Y44" s="128">
        <f t="shared" si="0"/>
        <v>0</v>
      </c>
      <c r="Z44" s="128">
        <f t="shared" si="0"/>
        <v>0</v>
      </c>
      <c r="AA44" s="128">
        <f t="shared" si="0"/>
        <v>0</v>
      </c>
      <c r="AB44" s="128">
        <f t="shared" si="0"/>
        <v>0</v>
      </c>
      <c r="AC44" s="128">
        <f t="shared" si="0"/>
        <v>0</v>
      </c>
      <c r="AD44" s="128">
        <f t="shared" si="0"/>
        <v>0</v>
      </c>
      <c r="AE44" s="128">
        <f t="shared" si="0"/>
        <v>0</v>
      </c>
      <c r="AF44" s="128">
        <f t="shared" si="0"/>
        <v>0</v>
      </c>
      <c r="AG44" s="128">
        <f t="shared" si="0"/>
        <v>0</v>
      </c>
      <c r="AH44" s="128">
        <f t="shared" si="0"/>
        <v>0</v>
      </c>
      <c r="AI44" s="128">
        <f t="shared" si="0"/>
        <v>0</v>
      </c>
      <c r="AJ44" s="128">
        <f t="shared" si="0"/>
        <v>0</v>
      </c>
      <c r="AK44" s="128">
        <f t="shared" si="0"/>
        <v>0</v>
      </c>
      <c r="AL44" s="128">
        <f t="shared" si="0"/>
        <v>0</v>
      </c>
      <c r="AM44" s="128">
        <f t="shared" si="0"/>
        <v>0</v>
      </c>
      <c r="AN44" s="128">
        <f t="shared" si="0"/>
        <v>0</v>
      </c>
      <c r="AO44" s="128">
        <f t="shared" si="0"/>
        <v>0</v>
      </c>
      <c r="AP44" s="128">
        <f t="shared" si="0"/>
        <v>0</v>
      </c>
      <c r="AQ44" s="128">
        <f t="shared" si="0"/>
        <v>0</v>
      </c>
      <c r="AR44" s="128">
        <f t="shared" si="0"/>
        <v>0</v>
      </c>
      <c r="AS44" s="128">
        <f t="shared" si="0"/>
        <v>0</v>
      </c>
      <c r="AT44" s="128">
        <f t="shared" si="0"/>
        <v>0</v>
      </c>
      <c r="AU44" s="128">
        <f t="shared" si="0"/>
        <v>0</v>
      </c>
      <c r="AV44" s="128">
        <f t="shared" si="0"/>
        <v>0</v>
      </c>
      <c r="AW44" s="128">
        <f t="shared" si="0"/>
        <v>0</v>
      </c>
      <c r="AX44" s="128">
        <f t="shared" si="0"/>
        <v>0</v>
      </c>
      <c r="AY44" s="128">
        <f t="shared" si="0"/>
        <v>0</v>
      </c>
      <c r="AZ44" s="128">
        <f t="shared" si="0"/>
        <v>0</v>
      </c>
      <c r="BA44" s="128">
        <f t="shared" si="0"/>
        <v>0</v>
      </c>
      <c r="BB44" s="128">
        <f t="shared" si="0"/>
        <v>0</v>
      </c>
      <c r="BC44" s="128">
        <f t="shared" si="0"/>
        <v>0</v>
      </c>
      <c r="BD44" s="128">
        <f t="shared" si="0"/>
        <v>0</v>
      </c>
      <c r="BE44" s="128">
        <f t="shared" si="0"/>
        <v>0</v>
      </c>
      <c r="BF44" s="128">
        <f t="shared" si="0"/>
        <v>0</v>
      </c>
      <c r="BG44" s="128">
        <f t="shared" si="0"/>
        <v>0</v>
      </c>
      <c r="BH44" s="128">
        <f t="shared" si="0"/>
        <v>0</v>
      </c>
      <c r="BI44" s="128">
        <f t="shared" si="0"/>
        <v>0</v>
      </c>
      <c r="BJ44" s="128">
        <f t="shared" si="0"/>
        <v>0</v>
      </c>
      <c r="BK44" s="128">
        <f t="shared" si="0"/>
        <v>0</v>
      </c>
      <c r="BL44" s="128">
        <f t="shared" si="0"/>
        <v>0</v>
      </c>
      <c r="BM44" s="128">
        <f t="shared" si="0"/>
        <v>0</v>
      </c>
      <c r="BN44" s="128">
        <f t="shared" si="0"/>
        <v>0</v>
      </c>
      <c r="BO44" s="128">
        <f t="shared" si="0"/>
        <v>0</v>
      </c>
      <c r="BP44" s="128">
        <f t="shared" si="0"/>
        <v>0</v>
      </c>
      <c r="BQ44" s="128">
        <f t="shared" si="0"/>
        <v>0</v>
      </c>
      <c r="BR44" s="128">
        <f t="shared" ref="BR44:EC44" si="1">SUM(BR34:BR43)</f>
        <v>0</v>
      </c>
      <c r="BS44" s="128">
        <f t="shared" si="1"/>
        <v>0</v>
      </c>
      <c r="BT44" s="128">
        <f t="shared" si="1"/>
        <v>0</v>
      </c>
      <c r="BU44" s="128">
        <f t="shared" si="1"/>
        <v>0</v>
      </c>
      <c r="BV44" s="128">
        <f t="shared" si="1"/>
        <v>0</v>
      </c>
      <c r="BW44" s="128">
        <f t="shared" si="1"/>
        <v>0</v>
      </c>
      <c r="BX44" s="128">
        <f t="shared" si="1"/>
        <v>0</v>
      </c>
      <c r="BY44" s="128">
        <f t="shared" si="1"/>
        <v>0</v>
      </c>
      <c r="BZ44" s="128">
        <f t="shared" si="1"/>
        <v>0</v>
      </c>
      <c r="CA44" s="128">
        <f t="shared" si="1"/>
        <v>0</v>
      </c>
      <c r="CB44" s="128">
        <f t="shared" si="1"/>
        <v>0</v>
      </c>
      <c r="CC44" s="128">
        <f t="shared" si="1"/>
        <v>0</v>
      </c>
      <c r="CD44" s="128">
        <f t="shared" si="1"/>
        <v>0</v>
      </c>
      <c r="CE44" s="128">
        <f t="shared" si="1"/>
        <v>0</v>
      </c>
      <c r="CF44" s="128">
        <f t="shared" si="1"/>
        <v>0</v>
      </c>
      <c r="CG44" s="128">
        <f t="shared" si="1"/>
        <v>0</v>
      </c>
      <c r="CH44" s="128">
        <f t="shared" si="1"/>
        <v>0</v>
      </c>
      <c r="CI44" s="128">
        <f t="shared" si="1"/>
        <v>0</v>
      </c>
      <c r="CJ44" s="128">
        <f t="shared" si="1"/>
        <v>0</v>
      </c>
      <c r="CK44" s="128">
        <f t="shared" si="1"/>
        <v>0</v>
      </c>
      <c r="CL44" s="128">
        <f t="shared" si="1"/>
        <v>0</v>
      </c>
      <c r="CM44" s="128">
        <f t="shared" si="1"/>
        <v>0</v>
      </c>
      <c r="CN44" s="128">
        <f t="shared" si="1"/>
        <v>0</v>
      </c>
      <c r="CO44" s="128">
        <f t="shared" si="1"/>
        <v>0</v>
      </c>
      <c r="CP44" s="128">
        <f t="shared" si="1"/>
        <v>0</v>
      </c>
      <c r="CQ44" s="128">
        <f t="shared" si="1"/>
        <v>0</v>
      </c>
      <c r="CR44" s="128">
        <f t="shared" si="1"/>
        <v>0</v>
      </c>
      <c r="CS44" s="128">
        <f t="shared" si="1"/>
        <v>0</v>
      </c>
      <c r="CT44" s="128">
        <f t="shared" si="1"/>
        <v>0</v>
      </c>
      <c r="CU44" s="128">
        <f t="shared" si="1"/>
        <v>0</v>
      </c>
      <c r="CV44" s="128">
        <f t="shared" si="1"/>
        <v>0</v>
      </c>
      <c r="CW44" s="128">
        <f t="shared" si="1"/>
        <v>0</v>
      </c>
      <c r="CX44" s="128">
        <f t="shared" si="1"/>
        <v>0</v>
      </c>
      <c r="CY44" s="128">
        <f t="shared" si="1"/>
        <v>0</v>
      </c>
      <c r="CZ44" s="128">
        <f t="shared" si="1"/>
        <v>0</v>
      </c>
      <c r="DA44" s="128">
        <f t="shared" si="1"/>
        <v>0</v>
      </c>
      <c r="DB44" s="128">
        <f t="shared" si="1"/>
        <v>0</v>
      </c>
      <c r="DC44" s="128">
        <f t="shared" si="1"/>
        <v>0</v>
      </c>
      <c r="DD44" s="128">
        <f t="shared" si="1"/>
        <v>0</v>
      </c>
      <c r="DE44" s="128">
        <f t="shared" si="1"/>
        <v>0</v>
      </c>
      <c r="DF44" s="128">
        <f t="shared" si="1"/>
        <v>0</v>
      </c>
      <c r="DG44" s="128">
        <f t="shared" si="1"/>
        <v>0</v>
      </c>
      <c r="DH44" s="128">
        <f t="shared" si="1"/>
        <v>0</v>
      </c>
      <c r="DI44" s="128">
        <f t="shared" si="1"/>
        <v>0</v>
      </c>
      <c r="DJ44" s="128">
        <f t="shared" si="1"/>
        <v>0</v>
      </c>
      <c r="DK44" s="128">
        <f t="shared" si="1"/>
        <v>0</v>
      </c>
      <c r="DL44" s="128">
        <f t="shared" si="1"/>
        <v>0</v>
      </c>
      <c r="DM44" s="128">
        <f t="shared" si="1"/>
        <v>0</v>
      </c>
      <c r="DN44" s="128">
        <f t="shared" si="1"/>
        <v>0</v>
      </c>
      <c r="DO44" s="128">
        <f t="shared" si="1"/>
        <v>0</v>
      </c>
      <c r="DP44" s="128">
        <f t="shared" si="1"/>
        <v>0</v>
      </c>
      <c r="DQ44" s="128">
        <f t="shared" si="1"/>
        <v>0</v>
      </c>
      <c r="DR44" s="128">
        <f t="shared" si="1"/>
        <v>0</v>
      </c>
      <c r="DS44" s="128">
        <f t="shared" si="1"/>
        <v>0</v>
      </c>
      <c r="DT44" s="128">
        <f t="shared" si="1"/>
        <v>0</v>
      </c>
      <c r="DU44" s="128">
        <f t="shared" si="1"/>
        <v>0</v>
      </c>
      <c r="DV44" s="128">
        <f t="shared" si="1"/>
        <v>0</v>
      </c>
      <c r="DW44" s="128">
        <f t="shared" si="1"/>
        <v>0</v>
      </c>
      <c r="DX44" s="128">
        <f t="shared" si="1"/>
        <v>0</v>
      </c>
      <c r="DY44" s="128">
        <f t="shared" si="1"/>
        <v>0</v>
      </c>
      <c r="DZ44" s="128">
        <f t="shared" si="1"/>
        <v>0</v>
      </c>
      <c r="EA44" s="128">
        <f t="shared" si="1"/>
        <v>0</v>
      </c>
      <c r="EB44" s="128">
        <f t="shared" si="1"/>
        <v>0</v>
      </c>
      <c r="EC44" s="128">
        <f t="shared" si="1"/>
        <v>0</v>
      </c>
      <c r="ED44" s="128">
        <f t="shared" ref="ED44:FN44" si="2">SUM(ED34:ED43)</f>
        <v>0</v>
      </c>
      <c r="EE44" s="128">
        <f t="shared" si="2"/>
        <v>0</v>
      </c>
      <c r="EF44" s="128">
        <f t="shared" si="2"/>
        <v>0</v>
      </c>
      <c r="EG44" s="128">
        <f t="shared" si="2"/>
        <v>0</v>
      </c>
      <c r="EH44" s="128">
        <f t="shared" si="2"/>
        <v>0</v>
      </c>
      <c r="EI44" s="128">
        <f t="shared" si="2"/>
        <v>0</v>
      </c>
      <c r="EJ44" s="128">
        <f t="shared" si="2"/>
        <v>0</v>
      </c>
      <c r="EK44" s="128">
        <f t="shared" si="2"/>
        <v>0</v>
      </c>
      <c r="EL44" s="128">
        <f t="shared" si="2"/>
        <v>0</v>
      </c>
      <c r="EM44" s="128">
        <f t="shared" si="2"/>
        <v>0</v>
      </c>
      <c r="EN44" s="128">
        <f t="shared" si="2"/>
        <v>0</v>
      </c>
      <c r="EO44" s="128">
        <f t="shared" si="2"/>
        <v>0</v>
      </c>
      <c r="EP44" s="128">
        <f t="shared" si="2"/>
        <v>0</v>
      </c>
      <c r="EQ44" s="128">
        <f t="shared" si="2"/>
        <v>0</v>
      </c>
      <c r="ER44" s="128">
        <f t="shared" si="2"/>
        <v>0</v>
      </c>
      <c r="ES44" s="128">
        <f t="shared" si="2"/>
        <v>0</v>
      </c>
      <c r="ET44" s="128">
        <f t="shared" si="2"/>
        <v>0</v>
      </c>
      <c r="EU44" s="128">
        <f t="shared" si="2"/>
        <v>0</v>
      </c>
      <c r="EV44" s="128">
        <f t="shared" si="2"/>
        <v>0</v>
      </c>
      <c r="EW44" s="128">
        <f t="shared" si="2"/>
        <v>0</v>
      </c>
      <c r="EX44" s="128">
        <f t="shared" si="2"/>
        <v>0</v>
      </c>
      <c r="EY44" s="128">
        <f t="shared" si="2"/>
        <v>0</v>
      </c>
      <c r="EZ44" s="128">
        <f t="shared" si="2"/>
        <v>0</v>
      </c>
      <c r="FA44" s="128">
        <f t="shared" si="2"/>
        <v>0</v>
      </c>
      <c r="FB44" s="128">
        <f t="shared" si="2"/>
        <v>0</v>
      </c>
      <c r="FC44" s="128">
        <f t="shared" si="2"/>
        <v>0</v>
      </c>
      <c r="FD44" s="128">
        <f t="shared" si="2"/>
        <v>0</v>
      </c>
      <c r="FE44" s="128">
        <f t="shared" si="2"/>
        <v>0</v>
      </c>
      <c r="FF44" s="128">
        <f t="shared" si="2"/>
        <v>0</v>
      </c>
      <c r="FG44" s="128">
        <f t="shared" si="2"/>
        <v>0</v>
      </c>
      <c r="FH44" s="128">
        <f t="shared" si="2"/>
        <v>0</v>
      </c>
      <c r="FI44" s="128">
        <f t="shared" si="2"/>
        <v>0</v>
      </c>
      <c r="FJ44" s="128">
        <f t="shared" si="2"/>
        <v>0</v>
      </c>
      <c r="FK44" s="128">
        <f t="shared" si="2"/>
        <v>0</v>
      </c>
      <c r="FL44" s="128">
        <f t="shared" si="2"/>
        <v>0</v>
      </c>
      <c r="FM44" s="128">
        <f t="shared" si="2"/>
        <v>0</v>
      </c>
      <c r="FN44" s="128">
        <f t="shared" si="2"/>
        <v>0</v>
      </c>
    </row>
  </sheetData>
  <mergeCells count="1">
    <mergeCell ref="C1:P1"/>
  </mergeCells>
  <dataValidations count="2">
    <dataValidation type="whole" allowBlank="1" showInputMessage="1" showErrorMessage="1" sqref="F30:FN31">
      <formula1>1</formula1>
      <formula2>4</formula2>
    </dataValidation>
    <dataValidation type="decimal" operator="greaterThanOrEqual" allowBlank="1" showInputMessage="1" showErrorMessage="1" sqref="F4:FN28">
      <formula1>0</formula1>
    </dataValidation>
  </dataValidations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52" fitToHeight="0" orientation="landscape" r:id="rId1"/>
  <legacy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W44"/>
  <sheetViews>
    <sheetView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B34" sqref="B34"/>
    </sheetView>
  </sheetViews>
  <sheetFormatPr defaultColWidth="9.09765625" defaultRowHeight="21" x14ac:dyDescent="0.25"/>
  <cols>
    <col min="1" max="1" width="5.69921875" style="3" customWidth="1"/>
    <col min="2" max="2" width="27.09765625" style="1" customWidth="1"/>
    <col min="3" max="3" width="28.3984375" style="2" customWidth="1"/>
    <col min="4" max="4" width="10.09765625" style="101" customWidth="1"/>
    <col min="5" max="5" width="11" style="3" customWidth="1"/>
    <col min="6" max="335" width="6.69921875" style="3" customWidth="1"/>
    <col min="336" max="16384" width="9.09765625" style="3"/>
  </cols>
  <sheetData>
    <row r="1" spans="1:335" s="110" customFormat="1" ht="27.75" customHeight="1" x14ac:dyDescent="0.25">
      <c r="A1" s="120" t="s">
        <v>269</v>
      </c>
      <c r="B1" s="119" t="s">
        <v>308</v>
      </c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</row>
    <row r="2" spans="1:335" s="111" customFormat="1" ht="13.5" customHeight="1" x14ac:dyDescent="0.25">
      <c r="A2" s="112"/>
      <c r="B2" s="112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4"/>
    </row>
    <row r="3" spans="1:335" s="32" customFormat="1" x14ac:dyDescent="0.6">
      <c r="A3" s="28" t="s">
        <v>137</v>
      </c>
      <c r="B3" s="29" t="s">
        <v>452</v>
      </c>
      <c r="C3" s="30" t="s">
        <v>453</v>
      </c>
      <c r="D3" s="104" t="s">
        <v>306</v>
      </c>
      <c r="E3" s="105" t="s">
        <v>307</v>
      </c>
      <c r="F3" s="31" t="s">
        <v>2</v>
      </c>
      <c r="G3" s="31" t="s">
        <v>0</v>
      </c>
      <c r="H3" s="31" t="s">
        <v>1</v>
      </c>
      <c r="I3" s="31" t="s">
        <v>4</v>
      </c>
      <c r="J3" s="31" t="s">
        <v>138</v>
      </c>
      <c r="K3" s="31" t="s">
        <v>139</v>
      </c>
      <c r="L3" s="31" t="s">
        <v>140</v>
      </c>
      <c r="M3" s="31" t="s">
        <v>141</v>
      </c>
      <c r="N3" s="31" t="s">
        <v>142</v>
      </c>
      <c r="O3" s="31" t="s">
        <v>143</v>
      </c>
      <c r="P3" s="31" t="s">
        <v>144</v>
      </c>
      <c r="Q3" s="31" t="s">
        <v>145</v>
      </c>
      <c r="R3" s="31" t="s">
        <v>146</v>
      </c>
      <c r="S3" s="31" t="s">
        <v>147</v>
      </c>
      <c r="T3" s="31" t="s">
        <v>148</v>
      </c>
      <c r="U3" s="31" t="s">
        <v>149</v>
      </c>
      <c r="V3" s="31" t="s">
        <v>150</v>
      </c>
      <c r="W3" s="31" t="s">
        <v>151</v>
      </c>
      <c r="X3" s="31" t="s">
        <v>152</v>
      </c>
      <c r="Y3" s="31" t="s">
        <v>153</v>
      </c>
      <c r="Z3" s="31" t="s">
        <v>154</v>
      </c>
      <c r="AA3" s="31" t="s">
        <v>155</v>
      </c>
      <c r="AB3" s="31" t="s">
        <v>156</v>
      </c>
      <c r="AC3" s="31" t="s">
        <v>157</v>
      </c>
      <c r="AD3" s="31" t="s">
        <v>158</v>
      </c>
      <c r="AE3" s="31" t="s">
        <v>159</v>
      </c>
      <c r="AF3" s="31" t="s">
        <v>160</v>
      </c>
      <c r="AG3" s="31" t="s">
        <v>161</v>
      </c>
      <c r="AH3" s="31" t="s">
        <v>162</v>
      </c>
      <c r="AI3" s="31" t="s">
        <v>163</v>
      </c>
      <c r="AJ3" s="31" t="s">
        <v>164</v>
      </c>
      <c r="AK3" s="31" t="s">
        <v>165</v>
      </c>
      <c r="AL3" s="31" t="s">
        <v>166</v>
      </c>
      <c r="AM3" s="31" t="s">
        <v>167</v>
      </c>
      <c r="AN3" s="31" t="s">
        <v>168</v>
      </c>
      <c r="AO3" s="31" t="s">
        <v>169</v>
      </c>
      <c r="AP3" s="31" t="s">
        <v>170</v>
      </c>
      <c r="AQ3" s="31" t="s">
        <v>171</v>
      </c>
      <c r="AR3" s="31" t="s">
        <v>172</v>
      </c>
      <c r="AS3" s="31" t="s">
        <v>173</v>
      </c>
      <c r="AT3" s="31" t="s">
        <v>174</v>
      </c>
      <c r="AU3" s="31" t="s">
        <v>175</v>
      </c>
      <c r="AV3" s="31" t="s">
        <v>176</v>
      </c>
      <c r="AW3" s="31" t="s">
        <v>177</v>
      </c>
      <c r="AX3" s="31" t="s">
        <v>178</v>
      </c>
      <c r="AY3" s="31" t="s">
        <v>179</v>
      </c>
      <c r="AZ3" s="31" t="s">
        <v>180</v>
      </c>
      <c r="BA3" s="31" t="s">
        <v>181</v>
      </c>
      <c r="BB3" s="31" t="s">
        <v>182</v>
      </c>
      <c r="BC3" s="31" t="s">
        <v>183</v>
      </c>
      <c r="BD3" s="31" t="s">
        <v>184</v>
      </c>
      <c r="BE3" s="31" t="s">
        <v>185</v>
      </c>
      <c r="BF3" s="31" t="s">
        <v>186</v>
      </c>
      <c r="BG3" s="31" t="s">
        <v>187</v>
      </c>
      <c r="BH3" s="31" t="s">
        <v>188</v>
      </c>
      <c r="BI3" s="31" t="s">
        <v>189</v>
      </c>
      <c r="BJ3" s="31" t="s">
        <v>190</v>
      </c>
      <c r="BK3" s="31" t="s">
        <v>191</v>
      </c>
      <c r="BL3" s="31" t="s">
        <v>192</v>
      </c>
      <c r="BM3" s="31" t="s">
        <v>193</v>
      </c>
      <c r="BN3" s="31" t="s">
        <v>194</v>
      </c>
      <c r="BO3" s="31" t="s">
        <v>195</v>
      </c>
      <c r="BP3" s="31" t="s">
        <v>196</v>
      </c>
      <c r="BQ3" s="31" t="s">
        <v>197</v>
      </c>
      <c r="BR3" s="31" t="s">
        <v>198</v>
      </c>
      <c r="BS3" s="31" t="s">
        <v>199</v>
      </c>
      <c r="BT3" s="31" t="s">
        <v>200</v>
      </c>
      <c r="BU3" s="31" t="s">
        <v>201</v>
      </c>
      <c r="BV3" s="31" t="s">
        <v>202</v>
      </c>
      <c r="BW3" s="31" t="s">
        <v>203</v>
      </c>
      <c r="BX3" s="31" t="s">
        <v>204</v>
      </c>
      <c r="BY3" s="31" t="s">
        <v>205</v>
      </c>
      <c r="BZ3" s="31" t="s">
        <v>206</v>
      </c>
      <c r="CA3" s="31" t="s">
        <v>207</v>
      </c>
      <c r="CB3" s="31" t="s">
        <v>208</v>
      </c>
      <c r="CC3" s="31" t="s">
        <v>209</v>
      </c>
      <c r="CD3" s="31" t="s">
        <v>210</v>
      </c>
      <c r="CE3" s="31" t="s">
        <v>211</v>
      </c>
      <c r="CF3" s="31" t="s">
        <v>212</v>
      </c>
      <c r="CG3" s="31" t="s">
        <v>213</v>
      </c>
      <c r="CH3" s="31" t="s">
        <v>214</v>
      </c>
      <c r="CI3" s="31" t="s">
        <v>215</v>
      </c>
      <c r="CJ3" s="31" t="s">
        <v>216</v>
      </c>
      <c r="CK3" s="31" t="s">
        <v>217</v>
      </c>
      <c r="CL3" s="31" t="s">
        <v>218</v>
      </c>
      <c r="CM3" s="31" t="s">
        <v>219</v>
      </c>
      <c r="CN3" s="31" t="s">
        <v>220</v>
      </c>
      <c r="CO3" s="31" t="s">
        <v>221</v>
      </c>
      <c r="CP3" s="31" t="s">
        <v>222</v>
      </c>
      <c r="CQ3" s="31" t="s">
        <v>223</v>
      </c>
      <c r="CR3" s="31" t="s">
        <v>224</v>
      </c>
      <c r="CS3" s="31" t="s">
        <v>225</v>
      </c>
      <c r="CT3" s="31" t="s">
        <v>226</v>
      </c>
      <c r="CU3" s="31" t="s">
        <v>227</v>
      </c>
      <c r="CV3" s="31" t="s">
        <v>228</v>
      </c>
      <c r="CW3" s="31" t="s">
        <v>229</v>
      </c>
      <c r="CX3" s="31" t="s">
        <v>230</v>
      </c>
      <c r="CY3" s="31" t="s">
        <v>231</v>
      </c>
      <c r="CZ3" s="31" t="s">
        <v>232</v>
      </c>
      <c r="DA3" s="31" t="s">
        <v>233</v>
      </c>
      <c r="DB3" s="31" t="s">
        <v>234</v>
      </c>
      <c r="DC3" s="31" t="s">
        <v>235</v>
      </c>
      <c r="DD3" s="31" t="s">
        <v>236</v>
      </c>
      <c r="DE3" s="31" t="s">
        <v>237</v>
      </c>
      <c r="DF3" s="31" t="s">
        <v>238</v>
      </c>
      <c r="DG3" s="31" t="s">
        <v>239</v>
      </c>
      <c r="DH3" s="31" t="s">
        <v>240</v>
      </c>
      <c r="DI3" s="31" t="s">
        <v>241</v>
      </c>
      <c r="DJ3" s="31" t="s">
        <v>242</v>
      </c>
      <c r="DK3" s="31" t="s">
        <v>243</v>
      </c>
      <c r="DL3" s="31" t="s">
        <v>244</v>
      </c>
      <c r="DM3" s="31" t="s">
        <v>245</v>
      </c>
      <c r="DN3" s="31" t="s">
        <v>246</v>
      </c>
      <c r="DO3" s="31" t="s">
        <v>247</v>
      </c>
      <c r="DP3" s="31" t="s">
        <v>248</v>
      </c>
      <c r="DQ3" s="31" t="s">
        <v>309</v>
      </c>
      <c r="DR3" s="31" t="s">
        <v>310</v>
      </c>
      <c r="DS3" s="31" t="s">
        <v>311</v>
      </c>
      <c r="DT3" s="31" t="s">
        <v>312</v>
      </c>
      <c r="DU3" s="31" t="s">
        <v>313</v>
      </c>
      <c r="DV3" s="31" t="s">
        <v>314</v>
      </c>
      <c r="DW3" s="31" t="s">
        <v>315</v>
      </c>
      <c r="DX3" s="31" t="s">
        <v>316</v>
      </c>
      <c r="DY3" s="31" t="s">
        <v>317</v>
      </c>
      <c r="DZ3" s="31" t="s">
        <v>318</v>
      </c>
      <c r="EA3" s="31" t="s">
        <v>319</v>
      </c>
      <c r="EB3" s="31" t="s">
        <v>320</v>
      </c>
      <c r="EC3" s="31" t="s">
        <v>321</v>
      </c>
      <c r="ED3" s="31" t="s">
        <v>322</v>
      </c>
      <c r="EE3" s="31" t="s">
        <v>323</v>
      </c>
      <c r="EF3" s="31" t="s">
        <v>324</v>
      </c>
      <c r="EG3" s="31" t="s">
        <v>325</v>
      </c>
      <c r="EH3" s="31" t="s">
        <v>326</v>
      </c>
      <c r="EI3" s="31" t="s">
        <v>327</v>
      </c>
      <c r="EJ3" s="31" t="s">
        <v>328</v>
      </c>
      <c r="EK3" s="31" t="s">
        <v>329</v>
      </c>
      <c r="EL3" s="31" t="s">
        <v>330</v>
      </c>
      <c r="EM3" s="31" t="s">
        <v>331</v>
      </c>
      <c r="EN3" s="31" t="s">
        <v>332</v>
      </c>
      <c r="EO3" s="31" t="s">
        <v>333</v>
      </c>
      <c r="EP3" s="31" t="s">
        <v>334</v>
      </c>
      <c r="EQ3" s="31" t="s">
        <v>335</v>
      </c>
      <c r="ER3" s="31" t="s">
        <v>336</v>
      </c>
      <c r="ES3" s="31" t="s">
        <v>337</v>
      </c>
      <c r="ET3" s="31" t="s">
        <v>338</v>
      </c>
      <c r="EU3" s="31" t="s">
        <v>339</v>
      </c>
      <c r="EV3" s="31" t="s">
        <v>340</v>
      </c>
      <c r="EW3" s="31" t="s">
        <v>341</v>
      </c>
      <c r="EX3" s="31" t="s">
        <v>342</v>
      </c>
      <c r="EY3" s="31" t="s">
        <v>343</v>
      </c>
      <c r="EZ3" s="31" t="s">
        <v>344</v>
      </c>
      <c r="FA3" s="31" t="s">
        <v>345</v>
      </c>
      <c r="FB3" s="31" t="s">
        <v>346</v>
      </c>
      <c r="FC3" s="31" t="s">
        <v>347</v>
      </c>
      <c r="FD3" s="31" t="s">
        <v>348</v>
      </c>
      <c r="FE3" s="31" t="s">
        <v>349</v>
      </c>
      <c r="FF3" s="31" t="s">
        <v>350</v>
      </c>
      <c r="FG3" s="31" t="s">
        <v>351</v>
      </c>
      <c r="FH3" s="31" t="s">
        <v>352</v>
      </c>
      <c r="FI3" s="31" t="s">
        <v>353</v>
      </c>
      <c r="FJ3" s="31" t="s">
        <v>354</v>
      </c>
      <c r="FK3" s="31" t="s">
        <v>355</v>
      </c>
      <c r="FL3" s="31" t="s">
        <v>356</v>
      </c>
      <c r="FM3" s="31" t="s">
        <v>357</v>
      </c>
      <c r="FN3" s="31" t="s">
        <v>358</v>
      </c>
      <c r="FO3" s="123" t="s">
        <v>22</v>
      </c>
      <c r="FP3" s="123" t="s">
        <v>23</v>
      </c>
      <c r="FQ3" s="123" t="s">
        <v>24</v>
      </c>
      <c r="FR3" s="123" t="s">
        <v>25</v>
      </c>
      <c r="FS3" s="123" t="s">
        <v>26</v>
      </c>
      <c r="FT3" s="123" t="s">
        <v>27</v>
      </c>
      <c r="FU3" s="123" t="s">
        <v>28</v>
      </c>
      <c r="FV3" s="123" t="s">
        <v>29</v>
      </c>
      <c r="FW3" s="123" t="s">
        <v>30</v>
      </c>
      <c r="FX3" s="123" t="s">
        <v>31</v>
      </c>
      <c r="FY3" s="123" t="s">
        <v>32</v>
      </c>
      <c r="FZ3" s="123" t="s">
        <v>33</v>
      </c>
      <c r="GA3" s="123" t="s">
        <v>34</v>
      </c>
      <c r="GB3" s="123" t="s">
        <v>35</v>
      </c>
      <c r="GC3" s="123" t="s">
        <v>36</v>
      </c>
      <c r="GD3" s="123" t="s">
        <v>37</v>
      </c>
      <c r="GE3" s="123" t="s">
        <v>38</v>
      </c>
      <c r="GF3" s="123" t="s">
        <v>39</v>
      </c>
      <c r="GG3" s="123" t="s">
        <v>40</v>
      </c>
      <c r="GH3" s="123" t="s">
        <v>41</v>
      </c>
      <c r="GI3" s="123" t="s">
        <v>42</v>
      </c>
      <c r="GJ3" s="123" t="s">
        <v>43</v>
      </c>
      <c r="GK3" s="123" t="s">
        <v>44</v>
      </c>
      <c r="GL3" s="123" t="s">
        <v>45</v>
      </c>
      <c r="GM3" s="123" t="s">
        <v>46</v>
      </c>
      <c r="GN3" s="123" t="s">
        <v>47</v>
      </c>
      <c r="GO3" s="123" t="s">
        <v>48</v>
      </c>
      <c r="GP3" s="123" t="s">
        <v>49</v>
      </c>
      <c r="GQ3" s="123" t="s">
        <v>50</v>
      </c>
      <c r="GR3" s="123" t="s">
        <v>51</v>
      </c>
      <c r="GS3" s="123" t="s">
        <v>52</v>
      </c>
      <c r="GT3" s="123" t="s">
        <v>53</v>
      </c>
      <c r="GU3" s="123" t="s">
        <v>54</v>
      </c>
      <c r="GV3" s="123" t="s">
        <v>55</v>
      </c>
      <c r="GW3" s="123" t="s">
        <v>56</v>
      </c>
      <c r="GX3" s="123" t="s">
        <v>57</v>
      </c>
      <c r="GY3" s="123" t="s">
        <v>58</v>
      </c>
      <c r="GZ3" s="123" t="s">
        <v>59</v>
      </c>
      <c r="HA3" s="123" t="s">
        <v>60</v>
      </c>
      <c r="HB3" s="123" t="s">
        <v>61</v>
      </c>
      <c r="HC3" s="123" t="s">
        <v>62</v>
      </c>
      <c r="HD3" s="123" t="s">
        <v>63</v>
      </c>
      <c r="HE3" s="123" t="s">
        <v>64</v>
      </c>
      <c r="HF3" s="123" t="s">
        <v>65</v>
      </c>
      <c r="HG3" s="123" t="s">
        <v>66</v>
      </c>
      <c r="HH3" s="123" t="s">
        <v>67</v>
      </c>
      <c r="HI3" s="123" t="s">
        <v>68</v>
      </c>
      <c r="HJ3" s="123" t="s">
        <v>69</v>
      </c>
      <c r="HK3" s="123" t="s">
        <v>70</v>
      </c>
      <c r="HL3" s="123" t="s">
        <v>71</v>
      </c>
      <c r="HM3" s="123" t="s">
        <v>72</v>
      </c>
      <c r="HN3" s="123" t="s">
        <v>73</v>
      </c>
      <c r="HO3" s="123" t="s">
        <v>74</v>
      </c>
      <c r="HP3" s="123" t="s">
        <v>75</v>
      </c>
      <c r="HQ3" s="123" t="s">
        <v>76</v>
      </c>
      <c r="HR3" s="123" t="s">
        <v>77</v>
      </c>
      <c r="HS3" s="123" t="s">
        <v>78</v>
      </c>
      <c r="HT3" s="123" t="s">
        <v>79</v>
      </c>
      <c r="HU3" s="123" t="s">
        <v>80</v>
      </c>
      <c r="HV3" s="123" t="s">
        <v>81</v>
      </c>
      <c r="HW3" s="123" t="s">
        <v>82</v>
      </c>
      <c r="HX3" s="123" t="s">
        <v>83</v>
      </c>
      <c r="HY3" s="123" t="s">
        <v>84</v>
      </c>
      <c r="HZ3" s="123" t="s">
        <v>85</v>
      </c>
      <c r="IA3" s="123" t="s">
        <v>86</v>
      </c>
      <c r="IB3" s="123" t="s">
        <v>87</v>
      </c>
      <c r="IC3" s="123" t="s">
        <v>88</v>
      </c>
      <c r="ID3" s="123" t="s">
        <v>89</v>
      </c>
      <c r="IE3" s="123" t="s">
        <v>90</v>
      </c>
      <c r="IF3" s="123" t="s">
        <v>91</v>
      </c>
      <c r="IG3" s="123" t="s">
        <v>92</v>
      </c>
      <c r="IH3" s="123" t="s">
        <v>93</v>
      </c>
      <c r="II3" s="123" t="s">
        <v>94</v>
      </c>
      <c r="IJ3" s="123" t="s">
        <v>95</v>
      </c>
      <c r="IK3" s="123" t="s">
        <v>96</v>
      </c>
      <c r="IL3" s="123" t="s">
        <v>97</v>
      </c>
      <c r="IM3" s="123" t="s">
        <v>98</v>
      </c>
      <c r="IN3" s="123" t="s">
        <v>99</v>
      </c>
      <c r="IO3" s="123" t="s">
        <v>100</v>
      </c>
      <c r="IP3" s="123" t="s">
        <v>101</v>
      </c>
      <c r="IQ3" s="123" t="s">
        <v>102</v>
      </c>
      <c r="IR3" s="123" t="s">
        <v>103</v>
      </c>
      <c r="IS3" s="123" t="s">
        <v>104</v>
      </c>
      <c r="IT3" s="123" t="s">
        <v>105</v>
      </c>
      <c r="IU3" s="123" t="s">
        <v>106</v>
      </c>
      <c r="IV3" s="123" t="s">
        <v>107</v>
      </c>
      <c r="IW3" s="123" t="s">
        <v>108</v>
      </c>
      <c r="IX3" s="123" t="s">
        <v>109</v>
      </c>
      <c r="IY3" s="123" t="s">
        <v>110</v>
      </c>
      <c r="IZ3" s="123" t="s">
        <v>111</v>
      </c>
      <c r="JA3" s="123" t="s">
        <v>112</v>
      </c>
      <c r="JB3" s="123" t="s">
        <v>113</v>
      </c>
      <c r="JC3" s="123" t="s">
        <v>114</v>
      </c>
      <c r="JD3" s="123" t="s">
        <v>115</v>
      </c>
      <c r="JE3" s="123" t="s">
        <v>116</v>
      </c>
      <c r="JF3" s="123" t="s">
        <v>117</v>
      </c>
      <c r="JG3" s="123" t="s">
        <v>118</v>
      </c>
      <c r="JH3" s="123" t="s">
        <v>119</v>
      </c>
      <c r="JI3" s="123" t="s">
        <v>120</v>
      </c>
      <c r="JJ3" s="123" t="s">
        <v>121</v>
      </c>
      <c r="JK3" s="123" t="s">
        <v>122</v>
      </c>
      <c r="JL3" s="123" t="s">
        <v>123</v>
      </c>
      <c r="JM3" s="123" t="s">
        <v>124</v>
      </c>
      <c r="JN3" s="123" t="s">
        <v>125</v>
      </c>
      <c r="JO3" s="123" t="s">
        <v>126</v>
      </c>
      <c r="JP3" s="123" t="s">
        <v>127</v>
      </c>
      <c r="JQ3" s="123" t="s">
        <v>128</v>
      </c>
      <c r="JR3" s="123" t="s">
        <v>129</v>
      </c>
      <c r="JS3" s="123" t="s">
        <v>130</v>
      </c>
      <c r="JT3" s="123" t="s">
        <v>131</v>
      </c>
      <c r="JU3" s="123" t="s">
        <v>132</v>
      </c>
      <c r="JV3" s="123" t="s">
        <v>133</v>
      </c>
      <c r="JW3" s="123" t="s">
        <v>134</v>
      </c>
      <c r="JX3" s="123" t="s">
        <v>135</v>
      </c>
      <c r="JY3" s="123" t="s">
        <v>136</v>
      </c>
      <c r="JZ3" s="123" t="s">
        <v>359</v>
      </c>
      <c r="KA3" s="123" t="s">
        <v>360</v>
      </c>
      <c r="KB3" s="123" t="s">
        <v>361</v>
      </c>
      <c r="KC3" s="123" t="s">
        <v>362</v>
      </c>
      <c r="KD3" s="123" t="s">
        <v>363</v>
      </c>
      <c r="KE3" s="123" t="s">
        <v>364</v>
      </c>
      <c r="KF3" s="123" t="s">
        <v>365</v>
      </c>
      <c r="KG3" s="123" t="s">
        <v>366</v>
      </c>
      <c r="KH3" s="123" t="s">
        <v>367</v>
      </c>
      <c r="KI3" s="123" t="s">
        <v>368</v>
      </c>
      <c r="KJ3" s="123" t="s">
        <v>369</v>
      </c>
      <c r="KK3" s="123" t="s">
        <v>370</v>
      </c>
      <c r="KL3" s="123" t="s">
        <v>371</v>
      </c>
      <c r="KM3" s="123" t="s">
        <v>372</v>
      </c>
      <c r="KN3" s="123" t="s">
        <v>373</v>
      </c>
      <c r="KO3" s="123" t="s">
        <v>374</v>
      </c>
      <c r="KP3" s="123" t="s">
        <v>375</v>
      </c>
      <c r="KQ3" s="123" t="s">
        <v>376</v>
      </c>
      <c r="KR3" s="123" t="s">
        <v>377</v>
      </c>
      <c r="KS3" s="123" t="s">
        <v>378</v>
      </c>
      <c r="KT3" s="123" t="s">
        <v>379</v>
      </c>
      <c r="KU3" s="123" t="s">
        <v>380</v>
      </c>
      <c r="KV3" s="123" t="s">
        <v>381</v>
      </c>
      <c r="KW3" s="123" t="s">
        <v>382</v>
      </c>
      <c r="KX3" s="123" t="s">
        <v>383</v>
      </c>
      <c r="KY3" s="123" t="s">
        <v>384</v>
      </c>
      <c r="KZ3" s="123" t="s">
        <v>385</v>
      </c>
      <c r="LA3" s="123" t="s">
        <v>386</v>
      </c>
      <c r="LB3" s="123" t="s">
        <v>387</v>
      </c>
      <c r="LC3" s="123" t="s">
        <v>388</v>
      </c>
      <c r="LD3" s="123" t="s">
        <v>389</v>
      </c>
      <c r="LE3" s="123" t="s">
        <v>390</v>
      </c>
      <c r="LF3" s="123" t="s">
        <v>391</v>
      </c>
      <c r="LG3" s="123" t="s">
        <v>392</v>
      </c>
      <c r="LH3" s="123" t="s">
        <v>393</v>
      </c>
      <c r="LI3" s="123" t="s">
        <v>394</v>
      </c>
      <c r="LJ3" s="123" t="s">
        <v>395</v>
      </c>
      <c r="LK3" s="123" t="s">
        <v>396</v>
      </c>
      <c r="LL3" s="123" t="s">
        <v>397</v>
      </c>
      <c r="LM3" s="123" t="s">
        <v>398</v>
      </c>
      <c r="LN3" s="123" t="s">
        <v>399</v>
      </c>
      <c r="LO3" s="123" t="s">
        <v>400</v>
      </c>
      <c r="LP3" s="123" t="s">
        <v>401</v>
      </c>
      <c r="LQ3" s="123" t="s">
        <v>402</v>
      </c>
      <c r="LR3" s="123" t="s">
        <v>403</v>
      </c>
      <c r="LS3" s="123" t="s">
        <v>404</v>
      </c>
      <c r="LT3" s="123" t="s">
        <v>405</v>
      </c>
      <c r="LU3" s="123" t="s">
        <v>406</v>
      </c>
      <c r="LV3" s="123" t="s">
        <v>407</v>
      </c>
      <c r="LW3" s="123" t="s">
        <v>408</v>
      </c>
    </row>
    <row r="4" spans="1:335" ht="23.25" customHeight="1" x14ac:dyDescent="0.25">
      <c r="A4" s="24">
        <v>1</v>
      </c>
      <c r="B4" s="20"/>
      <c r="C4" s="5" t="str">
        <f>IF(ISBLANK(B4),"",VLOOKUP(B4,tbl_PLOs[],2,0))</f>
        <v/>
      </c>
      <c r="D4" s="102"/>
      <c r="E4" s="10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22"/>
      <c r="FO4" s="121" t="str">
        <f>IF(ISBLANK(tbl_task6[[คะแนนเต็ม]:[คะแนนเต็ม]]),"",(tbl_task6[1]/tbl_task6[[คะแนนเต็ม]:[คะแนนเต็ม]])*tbl_task6[[%]:[%]])</f>
        <v/>
      </c>
      <c r="FP4" s="121" t="str">
        <f>IF(ISBLANK(tbl_task6[[คะแนนเต็ม]:[คะแนนเต็ม]]),"",(tbl_task6[2]/tbl_task6[[คะแนนเต็ม]:[คะแนนเต็ม]])*tbl_task6[[%]:[%]])</f>
        <v/>
      </c>
      <c r="FQ4" s="121" t="str">
        <f>IF(ISBLANK(tbl_task6[[คะแนนเต็ม]:[คะแนนเต็ม]]),"",(tbl_task6[3]/tbl_task6[[คะแนนเต็ม]:[คะแนนเต็ม]])*tbl_task6[[%]:[%]])</f>
        <v/>
      </c>
      <c r="FR4" s="121" t="str">
        <f>IF(ISBLANK(tbl_task6[[คะแนนเต็ม]:[คะแนนเต็ม]]),"",(tbl_task6[4]/tbl_task6[[คะแนนเต็ม]:[คะแนนเต็ม]])*tbl_task6[[%]:[%]])</f>
        <v/>
      </c>
      <c r="FS4" s="121" t="str">
        <f>IF(ISBLANK(tbl_task6[[คะแนนเต็ม]:[คะแนนเต็ม]]),"",(tbl_task6[5]/tbl_task6[[คะแนนเต็ม]:[คะแนนเต็ม]])*tbl_task6[[%]:[%]])</f>
        <v/>
      </c>
      <c r="FT4" s="121" t="str">
        <f>IF(ISBLANK(tbl_task6[[คะแนนเต็ม]:[คะแนนเต็ม]]),"",(tbl_task6[6]/tbl_task6[[คะแนนเต็ม]:[คะแนนเต็ม]])*tbl_task6[[%]:[%]])</f>
        <v/>
      </c>
      <c r="FU4" s="121" t="str">
        <f>IF(ISBLANK(tbl_task6[[คะแนนเต็ม]:[คะแนนเต็ม]]),"",(tbl_task6[7]/tbl_task6[[คะแนนเต็ม]:[คะแนนเต็ม]])*tbl_task6[[%]:[%]])</f>
        <v/>
      </c>
      <c r="FV4" s="121" t="str">
        <f>IF(ISBLANK(tbl_task6[[คะแนนเต็ม]:[คะแนนเต็ม]]),"",(tbl_task6[8]/tbl_task6[[คะแนนเต็ม]:[คะแนนเต็ม]])*tbl_task6[[%]:[%]])</f>
        <v/>
      </c>
      <c r="FW4" s="121" t="str">
        <f>IF(ISBLANK(tbl_task6[[คะแนนเต็ม]:[คะแนนเต็ม]]),"",(tbl_task6[9]/tbl_task6[[คะแนนเต็ม]:[คะแนนเต็ม]])*tbl_task6[[%]:[%]])</f>
        <v/>
      </c>
      <c r="FX4" s="121" t="str">
        <f>IF(ISBLANK(tbl_task6[[คะแนนเต็ม]:[คะแนนเต็ม]]),"",(tbl_task6[10]/tbl_task6[[คะแนนเต็ม]:[คะแนนเต็ม]])*tbl_task6[[%]:[%]])</f>
        <v/>
      </c>
      <c r="FY4" s="121" t="str">
        <f>IF(ISBLANK(tbl_task6[[คะแนนเต็ม]:[คะแนนเต็ม]]),"",(tbl_task6[11]/tbl_task6[[คะแนนเต็ม]:[คะแนนเต็ม]])*tbl_task6[[%]:[%]])</f>
        <v/>
      </c>
      <c r="FZ4" s="121" t="str">
        <f>IF(ISBLANK(tbl_task6[[คะแนนเต็ม]:[คะแนนเต็ม]]),"",(tbl_task6[12]/tbl_task6[[คะแนนเต็ม]:[คะแนนเต็ม]])*tbl_task6[[%]:[%]])</f>
        <v/>
      </c>
      <c r="GA4" s="121" t="str">
        <f>IF(ISBLANK(tbl_task6[[คะแนนเต็ม]:[คะแนนเต็ม]]),"",(tbl_task6[13]/tbl_task6[[คะแนนเต็ม]:[คะแนนเต็ม]])*tbl_task6[[%]:[%]])</f>
        <v/>
      </c>
      <c r="GB4" s="121" t="str">
        <f>IF(ISBLANK(tbl_task6[[คะแนนเต็ม]:[คะแนนเต็ม]]),"",(tbl_task6[14]/tbl_task6[[คะแนนเต็ม]:[คะแนนเต็ม]])*tbl_task6[[%]:[%]])</f>
        <v/>
      </c>
      <c r="GC4" s="121" t="str">
        <f>IF(ISBLANK(tbl_task6[[คะแนนเต็ม]:[คะแนนเต็ม]]),"",(tbl_task6[15]/tbl_task6[[คะแนนเต็ม]:[คะแนนเต็ม]])*tbl_task6[[%]:[%]])</f>
        <v/>
      </c>
      <c r="GD4" s="121" t="str">
        <f>IF(ISBLANK(tbl_task6[[คะแนนเต็ม]:[คะแนนเต็ม]]),"",(tbl_task6[16]/tbl_task6[[คะแนนเต็ม]:[คะแนนเต็ม]])*tbl_task6[[%]:[%]])</f>
        <v/>
      </c>
      <c r="GE4" s="121" t="str">
        <f>IF(ISBLANK(tbl_task6[[คะแนนเต็ม]:[คะแนนเต็ม]]),"",(tbl_task6[17]/tbl_task6[[คะแนนเต็ม]:[คะแนนเต็ม]])*tbl_task6[[%]:[%]])</f>
        <v/>
      </c>
      <c r="GF4" s="121" t="str">
        <f>IF(ISBLANK(tbl_task6[[คะแนนเต็ม]:[คะแนนเต็ม]]),"",(tbl_task6[18]/tbl_task6[[คะแนนเต็ม]:[คะแนนเต็ม]])*tbl_task6[[%]:[%]])</f>
        <v/>
      </c>
      <c r="GG4" s="121" t="str">
        <f>IF(ISBLANK(tbl_task6[[คะแนนเต็ม]:[คะแนนเต็ม]]),"",(tbl_task6[19]/tbl_task6[[คะแนนเต็ม]:[คะแนนเต็ม]])*tbl_task6[[%]:[%]])</f>
        <v/>
      </c>
      <c r="GH4" s="121" t="str">
        <f>IF(ISBLANK(tbl_task6[[คะแนนเต็ม]:[คะแนนเต็ม]]),"",(tbl_task6[20]/tbl_task6[[คะแนนเต็ม]:[คะแนนเต็ม]])*tbl_task6[[%]:[%]])</f>
        <v/>
      </c>
      <c r="GI4" s="121" t="str">
        <f>IF(ISBLANK(tbl_task6[[คะแนนเต็ม]:[คะแนนเต็ม]]),"",(tbl_task6[21]/tbl_task6[[คะแนนเต็ม]:[คะแนนเต็ม]])*tbl_task6[[%]:[%]])</f>
        <v/>
      </c>
      <c r="GJ4" s="121" t="str">
        <f>IF(ISBLANK(tbl_task6[[คะแนนเต็ม]:[คะแนนเต็ม]]),"",(tbl_task6[22]/tbl_task6[[คะแนนเต็ม]:[คะแนนเต็ม]])*tbl_task6[[%]:[%]])</f>
        <v/>
      </c>
      <c r="GK4" s="121" t="str">
        <f>IF(ISBLANK(tbl_task6[[คะแนนเต็ม]:[คะแนนเต็ม]]),"",(tbl_task6[23]/tbl_task6[[คะแนนเต็ม]:[คะแนนเต็ม]])*tbl_task6[[%]:[%]])</f>
        <v/>
      </c>
      <c r="GL4" s="121" t="str">
        <f>IF(ISBLANK(tbl_task6[[คะแนนเต็ม]:[คะแนนเต็ม]]),"",(tbl_task6[24]/tbl_task6[[คะแนนเต็ม]:[คะแนนเต็ม]])*tbl_task6[[%]:[%]])</f>
        <v/>
      </c>
      <c r="GM4" s="121" t="str">
        <f>IF(ISBLANK(tbl_task6[[คะแนนเต็ม]:[คะแนนเต็ม]]),"",(tbl_task6[25]/tbl_task6[[คะแนนเต็ม]:[คะแนนเต็ม]])*tbl_task6[[%]:[%]])</f>
        <v/>
      </c>
      <c r="GN4" s="121" t="str">
        <f>IF(ISBLANK(tbl_task6[[คะแนนเต็ม]:[คะแนนเต็ม]]),"",(tbl_task6[26]/tbl_task6[[คะแนนเต็ม]:[คะแนนเต็ม]])*tbl_task6[[%]:[%]])</f>
        <v/>
      </c>
      <c r="GO4" s="121" t="str">
        <f>IF(ISBLANK(tbl_task6[[คะแนนเต็ม]:[คะแนนเต็ม]]),"",(tbl_task6[27]/tbl_task6[[คะแนนเต็ม]:[คะแนนเต็ม]])*tbl_task6[[%]:[%]])</f>
        <v/>
      </c>
      <c r="GP4" s="121" t="str">
        <f>IF(ISBLANK(tbl_task6[[คะแนนเต็ม]:[คะแนนเต็ม]]),"",(tbl_task6[28]/tbl_task6[[คะแนนเต็ม]:[คะแนนเต็ม]])*tbl_task6[[%]:[%]])</f>
        <v/>
      </c>
      <c r="GQ4" s="121" t="str">
        <f>IF(ISBLANK(tbl_task6[[คะแนนเต็ม]:[คะแนนเต็ม]]),"",(tbl_task6[29]/tbl_task6[[คะแนนเต็ม]:[คะแนนเต็ม]])*tbl_task6[[%]:[%]])</f>
        <v/>
      </c>
      <c r="GR4" s="121" t="str">
        <f>IF(ISBLANK(tbl_task6[[คะแนนเต็ม]:[คะแนนเต็ม]]),"",(tbl_task6[30]/tbl_task6[[คะแนนเต็ม]:[คะแนนเต็ม]])*tbl_task6[[%]:[%]])</f>
        <v/>
      </c>
      <c r="GS4" s="121" t="str">
        <f>IF(ISBLANK(tbl_task6[[คะแนนเต็ม]:[คะแนนเต็ม]]),"",(tbl_task6[31]/tbl_task6[[คะแนนเต็ม]:[คะแนนเต็ม]])*tbl_task6[[%]:[%]])</f>
        <v/>
      </c>
      <c r="GT4" s="121" t="str">
        <f>IF(ISBLANK(tbl_task6[[คะแนนเต็ม]:[คะแนนเต็ม]]),"",(tbl_task6[32]/tbl_task6[[คะแนนเต็ม]:[คะแนนเต็ม]])*tbl_task6[[%]:[%]])</f>
        <v/>
      </c>
      <c r="GU4" s="121" t="str">
        <f>IF(ISBLANK(tbl_task6[[คะแนนเต็ม]:[คะแนนเต็ม]]),"",(tbl_task6[33]/tbl_task6[[คะแนนเต็ม]:[คะแนนเต็ม]])*tbl_task6[[%]:[%]])</f>
        <v/>
      </c>
      <c r="GV4" s="121" t="str">
        <f>IF(ISBLANK(tbl_task6[[คะแนนเต็ม]:[คะแนนเต็ม]]),"",(tbl_task6[34]/tbl_task6[[คะแนนเต็ม]:[คะแนนเต็ม]])*tbl_task6[[%]:[%]])</f>
        <v/>
      </c>
      <c r="GW4" s="121" t="str">
        <f>IF(ISBLANK(tbl_task6[[คะแนนเต็ม]:[คะแนนเต็ม]]),"",(tbl_task6[35]/tbl_task6[[คะแนนเต็ม]:[คะแนนเต็ม]])*tbl_task6[[%]:[%]])</f>
        <v/>
      </c>
      <c r="GX4" s="121" t="str">
        <f>IF(ISBLANK(tbl_task6[[คะแนนเต็ม]:[คะแนนเต็ม]]),"",(tbl_task6[36]/tbl_task6[[คะแนนเต็ม]:[คะแนนเต็ม]])*tbl_task6[[%]:[%]])</f>
        <v/>
      </c>
      <c r="GY4" s="121" t="str">
        <f>IF(ISBLANK(tbl_task6[[คะแนนเต็ม]:[คะแนนเต็ม]]),"",(tbl_task6[37]/tbl_task6[[คะแนนเต็ม]:[คะแนนเต็ม]])*tbl_task6[[%]:[%]])</f>
        <v/>
      </c>
      <c r="GZ4" s="121" t="str">
        <f>IF(ISBLANK(tbl_task6[[คะแนนเต็ม]:[คะแนนเต็ม]]),"",(tbl_task6[38]/tbl_task6[[คะแนนเต็ม]:[คะแนนเต็ม]])*tbl_task6[[%]:[%]])</f>
        <v/>
      </c>
      <c r="HA4" s="121" t="str">
        <f>IF(ISBLANK(tbl_task6[[คะแนนเต็ม]:[คะแนนเต็ม]]),"",(tbl_task6[39]/tbl_task6[[คะแนนเต็ม]:[คะแนนเต็ม]])*tbl_task6[[%]:[%]])</f>
        <v/>
      </c>
      <c r="HB4" s="121" t="str">
        <f>IF(ISBLANK(tbl_task6[[คะแนนเต็ม]:[คะแนนเต็ม]]),"",(tbl_task6[40]/tbl_task6[[คะแนนเต็ม]:[คะแนนเต็ม]])*tbl_task6[[%]:[%]])</f>
        <v/>
      </c>
      <c r="HC4" s="121" t="str">
        <f>IF(ISBLANK(tbl_task6[[คะแนนเต็ม]:[คะแนนเต็ม]]),"",(tbl_task6[41]/tbl_task6[[คะแนนเต็ม]:[คะแนนเต็ม]])*tbl_task6[[%]:[%]])</f>
        <v/>
      </c>
      <c r="HD4" s="121" t="str">
        <f>IF(ISBLANK(tbl_task6[[คะแนนเต็ม]:[คะแนนเต็ม]]),"",(tbl_task6[42]/tbl_task6[[คะแนนเต็ม]:[คะแนนเต็ม]])*tbl_task6[[%]:[%]])</f>
        <v/>
      </c>
      <c r="HE4" s="121" t="str">
        <f>IF(ISBLANK(tbl_task6[[คะแนนเต็ม]:[คะแนนเต็ม]]),"",(tbl_task6[43]/tbl_task6[[คะแนนเต็ม]:[คะแนนเต็ม]])*tbl_task6[[%]:[%]])</f>
        <v/>
      </c>
      <c r="HF4" s="121" t="str">
        <f>IF(ISBLANK(tbl_task6[[คะแนนเต็ม]:[คะแนนเต็ม]]),"",(tbl_task6[44]/tbl_task6[[คะแนนเต็ม]:[คะแนนเต็ม]])*tbl_task6[[%]:[%]])</f>
        <v/>
      </c>
      <c r="HG4" s="121" t="str">
        <f>IF(ISBLANK(tbl_task6[[คะแนนเต็ม]:[คะแนนเต็ม]]),"",(tbl_task6[45]/tbl_task6[[คะแนนเต็ม]:[คะแนนเต็ม]])*tbl_task6[[%]:[%]])</f>
        <v/>
      </c>
      <c r="HH4" s="121" t="str">
        <f>IF(ISBLANK(tbl_task6[[คะแนนเต็ม]:[คะแนนเต็ม]]),"",(tbl_task6[46]/tbl_task6[[คะแนนเต็ม]:[คะแนนเต็ม]])*tbl_task6[[%]:[%]])</f>
        <v/>
      </c>
      <c r="HI4" s="121" t="str">
        <f>IF(ISBLANK(tbl_task6[[คะแนนเต็ม]:[คะแนนเต็ม]]),"",(tbl_task6[47]/tbl_task6[[คะแนนเต็ม]:[คะแนนเต็ม]])*tbl_task6[[%]:[%]])</f>
        <v/>
      </c>
      <c r="HJ4" s="121" t="str">
        <f>IF(ISBLANK(tbl_task6[[คะแนนเต็ม]:[คะแนนเต็ม]]),"",(tbl_task6[48]/tbl_task6[[คะแนนเต็ม]:[คะแนนเต็ม]])*tbl_task6[[%]:[%]])</f>
        <v/>
      </c>
      <c r="HK4" s="121" t="str">
        <f>IF(ISBLANK(tbl_task6[[คะแนนเต็ม]:[คะแนนเต็ม]]),"",(tbl_task6[49]/tbl_task6[[คะแนนเต็ม]:[คะแนนเต็ม]])*tbl_task6[[%]:[%]])</f>
        <v/>
      </c>
      <c r="HL4" s="121" t="str">
        <f>IF(ISBLANK(tbl_task6[[คะแนนเต็ม]:[คะแนนเต็ม]]),"",(tbl_task6[50]/tbl_task6[[คะแนนเต็ม]:[คะแนนเต็ม]])*tbl_task6[[%]:[%]])</f>
        <v/>
      </c>
      <c r="HM4" s="121" t="str">
        <f>IF(ISBLANK(tbl_task6[[คะแนนเต็ม]:[คะแนนเต็ม]]),"",(tbl_task6[51]/tbl_task6[[คะแนนเต็ม]:[คะแนนเต็ม]])*tbl_task6[[%]:[%]])</f>
        <v/>
      </c>
      <c r="HN4" s="121" t="str">
        <f>IF(ISBLANK(tbl_task6[[คะแนนเต็ม]:[คะแนนเต็ม]]),"",(tbl_task6[52]/tbl_task6[[คะแนนเต็ม]:[คะแนนเต็ม]])*tbl_task6[[%]:[%]])</f>
        <v/>
      </c>
      <c r="HO4" s="121" t="str">
        <f>IF(ISBLANK(tbl_task6[[คะแนนเต็ม]:[คะแนนเต็ม]]),"",(tbl_task6[53]/tbl_task6[[คะแนนเต็ม]:[คะแนนเต็ม]])*tbl_task6[[%]:[%]])</f>
        <v/>
      </c>
      <c r="HP4" s="121" t="str">
        <f>IF(ISBLANK(tbl_task6[[คะแนนเต็ม]:[คะแนนเต็ม]]),"",(tbl_task6[54]/tbl_task6[[คะแนนเต็ม]:[คะแนนเต็ม]])*tbl_task6[[%]:[%]])</f>
        <v/>
      </c>
      <c r="HQ4" s="121" t="str">
        <f>IF(ISBLANK(tbl_task6[[คะแนนเต็ม]:[คะแนนเต็ม]]),"",(tbl_task6[55]/tbl_task6[[คะแนนเต็ม]:[คะแนนเต็ม]])*tbl_task6[[%]:[%]])</f>
        <v/>
      </c>
      <c r="HR4" s="121" t="str">
        <f>IF(ISBLANK(tbl_task6[[คะแนนเต็ม]:[คะแนนเต็ม]]),"",(tbl_task6[56]/tbl_task6[[คะแนนเต็ม]:[คะแนนเต็ม]])*tbl_task6[[%]:[%]])</f>
        <v/>
      </c>
      <c r="HS4" s="121" t="str">
        <f>IF(ISBLANK(tbl_task6[[คะแนนเต็ม]:[คะแนนเต็ม]]),"",(tbl_task6[57]/tbl_task6[[คะแนนเต็ม]:[คะแนนเต็ม]])*tbl_task6[[%]:[%]])</f>
        <v/>
      </c>
      <c r="HT4" s="121" t="str">
        <f>IF(ISBLANK(tbl_task6[[คะแนนเต็ม]:[คะแนนเต็ม]]),"",(tbl_task6[58]/tbl_task6[[คะแนนเต็ม]:[คะแนนเต็ม]])*tbl_task6[[%]:[%]])</f>
        <v/>
      </c>
      <c r="HU4" s="121" t="str">
        <f>IF(ISBLANK(tbl_task6[[คะแนนเต็ม]:[คะแนนเต็ม]]),"",(tbl_task6[59]/tbl_task6[[คะแนนเต็ม]:[คะแนนเต็ม]])*tbl_task6[[%]:[%]])</f>
        <v/>
      </c>
      <c r="HV4" s="121" t="str">
        <f>IF(ISBLANK(tbl_task6[[คะแนนเต็ม]:[คะแนนเต็ม]]),"",(tbl_task6[60]/tbl_task6[[คะแนนเต็ม]:[คะแนนเต็ม]])*tbl_task6[[%]:[%]])</f>
        <v/>
      </c>
      <c r="HW4" s="121" t="str">
        <f>IF(ISBLANK(tbl_task6[[คะแนนเต็ม]:[คะแนนเต็ม]]),"",(tbl_task6[61]/tbl_task6[[คะแนนเต็ม]:[คะแนนเต็ม]])*tbl_task6[[%]:[%]])</f>
        <v/>
      </c>
      <c r="HX4" s="121" t="str">
        <f>IF(ISBLANK(tbl_task6[[คะแนนเต็ม]:[คะแนนเต็ม]]),"",(tbl_task6[62]/tbl_task6[[คะแนนเต็ม]:[คะแนนเต็ม]])*tbl_task6[[%]:[%]])</f>
        <v/>
      </c>
      <c r="HY4" s="121" t="str">
        <f>IF(ISBLANK(tbl_task6[[คะแนนเต็ม]:[คะแนนเต็ม]]),"",(tbl_task6[63]/tbl_task6[[คะแนนเต็ม]:[คะแนนเต็ม]])*tbl_task6[[%]:[%]])</f>
        <v/>
      </c>
      <c r="HZ4" s="121" t="str">
        <f>IF(ISBLANK(tbl_task6[[คะแนนเต็ม]:[คะแนนเต็ม]]),"",(tbl_task6[64]/tbl_task6[[คะแนนเต็ม]:[คะแนนเต็ม]])*tbl_task6[[%]:[%]])</f>
        <v/>
      </c>
      <c r="IA4" s="121" t="str">
        <f>IF(ISBLANK(tbl_task6[[คะแนนเต็ม]:[คะแนนเต็ม]]),"",(tbl_task6[65]/tbl_task6[[คะแนนเต็ม]:[คะแนนเต็ม]])*tbl_task6[[%]:[%]])</f>
        <v/>
      </c>
      <c r="IB4" s="121" t="str">
        <f>IF(ISBLANK(tbl_task6[[คะแนนเต็ม]:[คะแนนเต็ม]]),"",(tbl_task6[66]/tbl_task6[[คะแนนเต็ม]:[คะแนนเต็ม]])*tbl_task6[[%]:[%]])</f>
        <v/>
      </c>
      <c r="IC4" s="121" t="str">
        <f>IF(ISBLANK(tbl_task6[[คะแนนเต็ม]:[คะแนนเต็ม]]),"",(tbl_task6[67]/tbl_task6[[คะแนนเต็ม]:[คะแนนเต็ม]])*tbl_task6[[%]:[%]])</f>
        <v/>
      </c>
      <c r="ID4" s="121" t="str">
        <f>IF(ISBLANK(tbl_task6[[คะแนนเต็ม]:[คะแนนเต็ม]]),"",(tbl_task6[68]/tbl_task6[[คะแนนเต็ม]:[คะแนนเต็ม]])*tbl_task6[[%]:[%]])</f>
        <v/>
      </c>
      <c r="IE4" s="121" t="str">
        <f>IF(ISBLANK(tbl_task6[[คะแนนเต็ม]:[คะแนนเต็ม]]),"",(tbl_task6[69]/tbl_task6[[คะแนนเต็ม]:[คะแนนเต็ม]])*tbl_task6[[%]:[%]])</f>
        <v/>
      </c>
      <c r="IF4" s="121" t="str">
        <f>IF(ISBLANK(tbl_task6[[คะแนนเต็ม]:[คะแนนเต็ม]]),"",(tbl_task6[70]/tbl_task6[[คะแนนเต็ม]:[คะแนนเต็ม]])*tbl_task6[[%]:[%]])</f>
        <v/>
      </c>
      <c r="IG4" s="121" t="str">
        <f>IF(ISBLANK(tbl_task6[[คะแนนเต็ม]:[คะแนนเต็ม]]),"",(tbl_task6[71]/tbl_task6[[คะแนนเต็ม]:[คะแนนเต็ม]])*tbl_task6[[%]:[%]])</f>
        <v/>
      </c>
      <c r="IH4" s="121" t="str">
        <f>IF(ISBLANK(tbl_task6[[คะแนนเต็ม]:[คะแนนเต็ม]]),"",(tbl_task6[72]/tbl_task6[[คะแนนเต็ม]:[คะแนนเต็ม]])*tbl_task6[[%]:[%]])</f>
        <v/>
      </c>
      <c r="II4" s="121" t="str">
        <f>IF(ISBLANK(tbl_task6[[คะแนนเต็ม]:[คะแนนเต็ม]]),"",(tbl_task6[73]/tbl_task6[[คะแนนเต็ม]:[คะแนนเต็ม]])*tbl_task6[[%]:[%]])</f>
        <v/>
      </c>
      <c r="IJ4" s="121" t="str">
        <f>IF(ISBLANK(tbl_task6[[คะแนนเต็ม]:[คะแนนเต็ม]]),"",(tbl_task6[74]/tbl_task6[[คะแนนเต็ม]:[คะแนนเต็ม]])*tbl_task6[[%]:[%]])</f>
        <v/>
      </c>
      <c r="IK4" s="121" t="str">
        <f>IF(ISBLANK(tbl_task6[[คะแนนเต็ม]:[คะแนนเต็ม]]),"",(tbl_task6[75]/tbl_task6[[คะแนนเต็ม]:[คะแนนเต็ม]])*tbl_task6[[%]:[%]])</f>
        <v/>
      </c>
      <c r="IL4" s="121" t="str">
        <f>IF(ISBLANK(tbl_task6[[คะแนนเต็ม]:[คะแนนเต็ม]]),"",(tbl_task6[76]/tbl_task6[[คะแนนเต็ม]:[คะแนนเต็ม]])*tbl_task6[[%]:[%]])</f>
        <v/>
      </c>
      <c r="IM4" s="121" t="str">
        <f>IF(ISBLANK(tbl_task6[[คะแนนเต็ม]:[คะแนนเต็ม]]),"",(tbl_task6[77]/tbl_task6[[คะแนนเต็ม]:[คะแนนเต็ม]])*tbl_task6[[%]:[%]])</f>
        <v/>
      </c>
      <c r="IN4" s="121" t="str">
        <f>IF(ISBLANK(tbl_task6[[คะแนนเต็ม]:[คะแนนเต็ม]]),"",(tbl_task6[78]/tbl_task6[[คะแนนเต็ม]:[คะแนนเต็ม]])*tbl_task6[[%]:[%]])</f>
        <v/>
      </c>
      <c r="IO4" s="121" t="str">
        <f>IF(ISBLANK(tbl_task6[[คะแนนเต็ม]:[คะแนนเต็ม]]),"",(tbl_task6[79]/tbl_task6[[คะแนนเต็ม]:[คะแนนเต็ม]])*tbl_task6[[%]:[%]])</f>
        <v/>
      </c>
      <c r="IP4" s="121" t="str">
        <f>IF(ISBLANK(tbl_task6[[คะแนนเต็ม]:[คะแนนเต็ม]]),"",(tbl_task6[80]/tbl_task6[[คะแนนเต็ม]:[คะแนนเต็ม]])*tbl_task6[[%]:[%]])</f>
        <v/>
      </c>
      <c r="IQ4" s="121" t="str">
        <f>IF(ISBLANK(tbl_task6[[คะแนนเต็ม]:[คะแนนเต็ม]]),"",(tbl_task6[81]/tbl_task6[[คะแนนเต็ม]:[คะแนนเต็ม]])*tbl_task6[[%]:[%]])</f>
        <v/>
      </c>
      <c r="IR4" s="121" t="str">
        <f>IF(ISBLANK(tbl_task6[[คะแนนเต็ม]:[คะแนนเต็ม]]),"",(tbl_task6[82]/tbl_task6[[คะแนนเต็ม]:[คะแนนเต็ม]])*tbl_task6[[%]:[%]])</f>
        <v/>
      </c>
      <c r="IS4" s="121" t="str">
        <f>IF(ISBLANK(tbl_task6[[คะแนนเต็ม]:[คะแนนเต็ม]]),"",(tbl_task6[83]/tbl_task6[[คะแนนเต็ม]:[คะแนนเต็ม]])*tbl_task6[[%]:[%]])</f>
        <v/>
      </c>
      <c r="IT4" s="121" t="str">
        <f>IF(ISBLANK(tbl_task6[[คะแนนเต็ม]:[คะแนนเต็ม]]),"",(tbl_task6[84]/tbl_task6[[คะแนนเต็ม]:[คะแนนเต็ม]])*tbl_task6[[%]:[%]])</f>
        <v/>
      </c>
      <c r="IU4" s="121" t="str">
        <f>IF(ISBLANK(tbl_task6[[คะแนนเต็ม]:[คะแนนเต็ม]]),"",(tbl_task6[85]/tbl_task6[[คะแนนเต็ม]:[คะแนนเต็ม]])*tbl_task6[[%]:[%]])</f>
        <v/>
      </c>
      <c r="IV4" s="121" t="str">
        <f>IF(ISBLANK(tbl_task6[[คะแนนเต็ม]:[คะแนนเต็ม]]),"",(tbl_task6[86]/tbl_task6[[คะแนนเต็ม]:[คะแนนเต็ม]])*tbl_task6[[%]:[%]])</f>
        <v/>
      </c>
      <c r="IW4" s="121" t="str">
        <f>IF(ISBLANK(tbl_task6[[คะแนนเต็ม]:[คะแนนเต็ม]]),"",(tbl_task6[87]/tbl_task6[[คะแนนเต็ม]:[คะแนนเต็ม]])*tbl_task6[[%]:[%]])</f>
        <v/>
      </c>
      <c r="IX4" s="121" t="str">
        <f>IF(ISBLANK(tbl_task6[[คะแนนเต็ม]:[คะแนนเต็ม]]),"",(tbl_task6[88]/tbl_task6[[คะแนนเต็ม]:[คะแนนเต็ม]])*tbl_task6[[%]:[%]])</f>
        <v/>
      </c>
      <c r="IY4" s="121" t="str">
        <f>IF(ISBLANK(tbl_task6[[คะแนนเต็ม]:[คะแนนเต็ม]]),"",(tbl_task6[89]/tbl_task6[[คะแนนเต็ม]:[คะแนนเต็ม]])*tbl_task6[[%]:[%]])</f>
        <v/>
      </c>
      <c r="IZ4" s="121" t="str">
        <f>IF(ISBLANK(tbl_task6[[คะแนนเต็ม]:[คะแนนเต็ม]]),"",(tbl_task6[90]/tbl_task6[[คะแนนเต็ม]:[คะแนนเต็ม]])*tbl_task6[[%]:[%]])</f>
        <v/>
      </c>
      <c r="JA4" s="121" t="str">
        <f>IF(ISBLANK(tbl_task6[[คะแนนเต็ม]:[คะแนนเต็ม]]),"",(tbl_task6[91]/tbl_task6[[คะแนนเต็ม]:[คะแนนเต็ม]])*tbl_task6[[%]:[%]])</f>
        <v/>
      </c>
      <c r="JB4" s="121" t="str">
        <f>IF(ISBLANK(tbl_task6[[คะแนนเต็ม]:[คะแนนเต็ม]]),"",(tbl_task6[92]/tbl_task6[[คะแนนเต็ม]:[คะแนนเต็ม]])*tbl_task6[[%]:[%]])</f>
        <v/>
      </c>
      <c r="JC4" s="121" t="str">
        <f>IF(ISBLANK(tbl_task6[[คะแนนเต็ม]:[คะแนนเต็ม]]),"",(tbl_task6[93]/tbl_task6[[คะแนนเต็ม]:[คะแนนเต็ม]])*tbl_task6[[%]:[%]])</f>
        <v/>
      </c>
      <c r="JD4" s="121" t="str">
        <f>IF(ISBLANK(tbl_task6[[คะแนนเต็ม]:[คะแนนเต็ม]]),"",(tbl_task6[94]/tbl_task6[[คะแนนเต็ม]:[คะแนนเต็ม]])*tbl_task6[[%]:[%]])</f>
        <v/>
      </c>
      <c r="JE4" s="121" t="str">
        <f>IF(ISBLANK(tbl_task6[[คะแนนเต็ม]:[คะแนนเต็ม]]),"",(tbl_task6[95]/tbl_task6[[คะแนนเต็ม]:[คะแนนเต็ม]])*tbl_task6[[%]:[%]])</f>
        <v/>
      </c>
      <c r="JF4" s="121" t="str">
        <f>IF(ISBLANK(tbl_task6[[คะแนนเต็ม]:[คะแนนเต็ม]]),"",(tbl_task6[96]/tbl_task6[[คะแนนเต็ม]:[คะแนนเต็ม]])*tbl_task6[[%]:[%]])</f>
        <v/>
      </c>
      <c r="JG4" s="121" t="str">
        <f>IF(ISBLANK(tbl_task6[[คะแนนเต็ม]:[คะแนนเต็ม]]),"",(tbl_task6[97]/tbl_task6[[คะแนนเต็ม]:[คะแนนเต็ม]])*tbl_task6[[%]:[%]])</f>
        <v/>
      </c>
      <c r="JH4" s="121" t="str">
        <f>IF(ISBLANK(tbl_task6[[คะแนนเต็ม]:[คะแนนเต็ม]]),"",(tbl_task6[98]/tbl_task6[[คะแนนเต็ม]:[คะแนนเต็ม]])*tbl_task6[[%]:[%]])</f>
        <v/>
      </c>
      <c r="JI4" s="121" t="str">
        <f>IF(ISBLANK(tbl_task6[[คะแนนเต็ม]:[คะแนนเต็ม]]),"",(tbl_task6[99]/tbl_task6[[คะแนนเต็ม]:[คะแนนเต็ม]])*tbl_task6[[%]:[%]])</f>
        <v/>
      </c>
      <c r="JJ4" s="121" t="str">
        <f>IF(ISBLANK(tbl_task6[[คะแนนเต็ม]:[คะแนนเต็ม]]),"",(tbl_task6[100]/tbl_task6[[คะแนนเต็ม]:[คะแนนเต็ม]])*tbl_task6[[%]:[%]])</f>
        <v/>
      </c>
      <c r="JK4" s="121" t="str">
        <f>IF(ISBLANK(tbl_task6[[คะแนนเต็ม]:[คะแนนเต็ม]]),"",(tbl_task6[101]/tbl_task6[[คะแนนเต็ม]:[คะแนนเต็ม]])*tbl_task6[[%]:[%]])</f>
        <v/>
      </c>
      <c r="JL4" s="121" t="str">
        <f>IF(ISBLANK(tbl_task6[[คะแนนเต็ม]:[คะแนนเต็ม]]),"",(tbl_task6[102]/tbl_task6[[คะแนนเต็ม]:[คะแนนเต็ม]])*tbl_task6[[%]:[%]])</f>
        <v/>
      </c>
      <c r="JM4" s="121" t="str">
        <f>IF(ISBLANK(tbl_task6[[คะแนนเต็ม]:[คะแนนเต็ม]]),"",(tbl_task6[103]/tbl_task6[[คะแนนเต็ม]:[คะแนนเต็ม]])*tbl_task6[[%]:[%]])</f>
        <v/>
      </c>
      <c r="JN4" s="121" t="str">
        <f>IF(ISBLANK(tbl_task6[[คะแนนเต็ม]:[คะแนนเต็ม]]),"",(tbl_task6[104]/tbl_task6[[คะแนนเต็ม]:[คะแนนเต็ม]])*tbl_task6[[%]:[%]])</f>
        <v/>
      </c>
      <c r="JO4" s="121" t="str">
        <f>IF(ISBLANK(tbl_task6[[คะแนนเต็ม]:[คะแนนเต็ม]]),"",(tbl_task6[105]/tbl_task6[[คะแนนเต็ม]:[คะแนนเต็ม]])*tbl_task6[[%]:[%]])</f>
        <v/>
      </c>
      <c r="JP4" s="121" t="str">
        <f>IF(ISBLANK(tbl_task6[[คะแนนเต็ม]:[คะแนนเต็ม]]),"",(tbl_task6[106]/tbl_task6[[คะแนนเต็ม]:[คะแนนเต็ม]])*tbl_task6[[%]:[%]])</f>
        <v/>
      </c>
      <c r="JQ4" s="121" t="str">
        <f>IF(ISBLANK(tbl_task6[[คะแนนเต็ม]:[คะแนนเต็ม]]),"",(tbl_task6[107]/tbl_task6[[คะแนนเต็ม]:[คะแนนเต็ม]])*tbl_task6[[%]:[%]])</f>
        <v/>
      </c>
      <c r="JR4" s="121" t="str">
        <f>IF(ISBLANK(tbl_task6[[คะแนนเต็ม]:[คะแนนเต็ม]]),"",(tbl_task6[108]/tbl_task6[[คะแนนเต็ม]:[คะแนนเต็ม]])*tbl_task6[[%]:[%]])</f>
        <v/>
      </c>
      <c r="JS4" s="121" t="str">
        <f>IF(ISBLANK(tbl_task6[[คะแนนเต็ม]:[คะแนนเต็ม]]),"",(tbl_task6[109]/tbl_task6[[คะแนนเต็ม]:[คะแนนเต็ม]])*tbl_task6[[%]:[%]])</f>
        <v/>
      </c>
      <c r="JT4" s="121" t="str">
        <f>IF(ISBLANK(tbl_task6[[คะแนนเต็ม]:[คะแนนเต็ม]]),"",(tbl_task6[110]/tbl_task6[[คะแนนเต็ม]:[คะแนนเต็ม]])*tbl_task6[[%]:[%]])</f>
        <v/>
      </c>
      <c r="JU4" s="121" t="str">
        <f>IF(ISBLANK(tbl_task6[[คะแนนเต็ม]:[คะแนนเต็ม]]),"",(tbl_task6[111]/tbl_task6[[คะแนนเต็ม]:[คะแนนเต็ม]])*tbl_task6[[%]:[%]])</f>
        <v/>
      </c>
      <c r="JV4" s="121" t="str">
        <f>IF(ISBLANK(tbl_task6[[คะแนนเต็ม]:[คะแนนเต็ม]]),"",(tbl_task6[112]/tbl_task6[[คะแนนเต็ม]:[คะแนนเต็ม]])*tbl_task6[[%]:[%]])</f>
        <v/>
      </c>
      <c r="JW4" s="121" t="str">
        <f>IF(ISBLANK(tbl_task6[[คะแนนเต็ม]:[คะแนนเต็ม]]),"",(tbl_task6[113]/tbl_task6[[คะแนนเต็ม]:[คะแนนเต็ม]])*tbl_task6[[%]:[%]])</f>
        <v/>
      </c>
      <c r="JX4" s="121" t="str">
        <f>IF(ISBLANK(tbl_task6[[คะแนนเต็ม]:[คะแนนเต็ม]]),"",(tbl_task6[114]/tbl_task6[[คะแนนเต็ม]:[คะแนนเต็ม]])*tbl_task6[[%]:[%]])</f>
        <v/>
      </c>
      <c r="JY4" s="121" t="str">
        <f>IF(ISBLANK(tbl_task6[[คะแนนเต็ม]:[คะแนนเต็ม]]),"",(tbl_task6[115]/tbl_task6[[คะแนนเต็ม]:[คะแนนเต็ม]])*tbl_task6[[%]:[%]])</f>
        <v/>
      </c>
      <c r="JZ4" s="121" t="str">
        <f>IF(ISBLANK(tbl_task6[[คะแนนเต็ม]:[คะแนนเต็ม]]),"",(tbl_task6[116]/tbl_task6[[คะแนนเต็ม]:[คะแนนเต็ม]])*tbl_task6[[%]:[%]])</f>
        <v/>
      </c>
      <c r="KA4" s="121" t="str">
        <f>IF(ISBLANK(tbl_task6[[คะแนนเต็ม]:[คะแนนเต็ม]]),"",(tbl_task6[117]/tbl_task6[[คะแนนเต็ม]:[คะแนนเต็ม]])*tbl_task6[[%]:[%]])</f>
        <v/>
      </c>
      <c r="KB4" s="121" t="str">
        <f>IF(ISBLANK(tbl_task6[[คะแนนเต็ม]:[คะแนนเต็ม]]),"",(tbl_task6[118]/tbl_task6[[คะแนนเต็ม]:[คะแนนเต็ม]])*tbl_task6[[%]:[%]])</f>
        <v/>
      </c>
      <c r="KC4" s="121" t="str">
        <f>IF(ISBLANK(tbl_task6[[คะแนนเต็ม]:[คะแนนเต็ม]]),"",(tbl_task6[119]/tbl_task6[[คะแนนเต็ม]:[คะแนนเต็ม]])*tbl_task6[[%]:[%]])</f>
        <v/>
      </c>
      <c r="KD4" s="121" t="str">
        <f>IF(ISBLANK(tbl_task6[[คะแนนเต็ม]:[คะแนนเต็ม]]),"",(tbl_task6[120]/tbl_task6[[คะแนนเต็ม]:[คะแนนเต็ม]])*tbl_task6[[%]:[%]])</f>
        <v/>
      </c>
      <c r="KE4" s="121" t="str">
        <f>IF(ISBLANK(tbl_task6[[คะแนนเต็ม]:[คะแนนเต็ม]]),"",(tbl_task6[121]/tbl_task6[[คะแนนเต็ม]:[คะแนนเต็ม]])*tbl_task6[[%]:[%]])</f>
        <v/>
      </c>
      <c r="KF4" s="121" t="str">
        <f>IF(ISBLANK(tbl_task6[[คะแนนเต็ม]:[คะแนนเต็ม]]),"",(tbl_task6[122]/tbl_task6[[คะแนนเต็ม]:[คะแนนเต็ม]])*tbl_task6[[%]:[%]])</f>
        <v/>
      </c>
      <c r="KG4" s="121" t="str">
        <f>IF(ISBLANK(tbl_task6[[คะแนนเต็ม]:[คะแนนเต็ม]]),"",(tbl_task6[123]/tbl_task6[[คะแนนเต็ม]:[คะแนนเต็ม]])*tbl_task6[[%]:[%]])</f>
        <v/>
      </c>
      <c r="KH4" s="121" t="str">
        <f>IF(ISBLANK(tbl_task6[[คะแนนเต็ม]:[คะแนนเต็ม]]),"",(tbl_task6[124]/tbl_task6[[คะแนนเต็ม]:[คะแนนเต็ม]])*tbl_task6[[%]:[%]])</f>
        <v/>
      </c>
      <c r="KI4" s="121" t="str">
        <f>IF(ISBLANK(tbl_task6[[คะแนนเต็ม]:[คะแนนเต็ม]]),"",(tbl_task6[125]/tbl_task6[[คะแนนเต็ม]:[คะแนนเต็ม]])*tbl_task6[[%]:[%]])</f>
        <v/>
      </c>
      <c r="KJ4" s="121" t="str">
        <f>IF(ISBLANK(tbl_task6[[คะแนนเต็ม]:[คะแนนเต็ม]]),"",(tbl_task6[126]/tbl_task6[[คะแนนเต็ม]:[คะแนนเต็ม]])*tbl_task6[[%]:[%]])</f>
        <v/>
      </c>
      <c r="KK4" s="121" t="str">
        <f>IF(ISBLANK(tbl_task6[[คะแนนเต็ม]:[คะแนนเต็ม]]),"",(tbl_task6[127]/tbl_task6[[คะแนนเต็ม]:[คะแนนเต็ม]])*tbl_task6[[%]:[%]])</f>
        <v/>
      </c>
      <c r="KL4" s="121" t="str">
        <f>IF(ISBLANK(tbl_task6[[คะแนนเต็ม]:[คะแนนเต็ม]]),"",(tbl_task6[128]/tbl_task6[[คะแนนเต็ม]:[คะแนนเต็ม]])*tbl_task6[[%]:[%]])</f>
        <v/>
      </c>
      <c r="KM4" s="121" t="str">
        <f>IF(ISBLANK(tbl_task6[[คะแนนเต็ม]:[คะแนนเต็ม]]),"",(tbl_task6[129]/tbl_task6[[คะแนนเต็ม]:[คะแนนเต็ม]])*tbl_task6[[%]:[%]])</f>
        <v/>
      </c>
      <c r="KN4" s="121" t="str">
        <f>IF(ISBLANK(tbl_task6[[คะแนนเต็ม]:[คะแนนเต็ม]]),"",(tbl_task6[130]/tbl_task6[[คะแนนเต็ม]:[คะแนนเต็ม]])*tbl_task6[[%]:[%]])</f>
        <v/>
      </c>
      <c r="KO4" s="121" t="str">
        <f>IF(ISBLANK(tbl_task6[[คะแนนเต็ม]:[คะแนนเต็ม]]),"",(tbl_task6[131]/tbl_task6[[คะแนนเต็ม]:[คะแนนเต็ม]])*tbl_task6[[%]:[%]])</f>
        <v/>
      </c>
      <c r="KP4" s="121" t="str">
        <f>IF(ISBLANK(tbl_task6[[คะแนนเต็ม]:[คะแนนเต็ม]]),"",(tbl_task6[132]/tbl_task6[[คะแนนเต็ม]:[คะแนนเต็ม]])*tbl_task6[[%]:[%]])</f>
        <v/>
      </c>
      <c r="KQ4" s="121" t="str">
        <f>IF(ISBLANK(tbl_task6[[คะแนนเต็ม]:[คะแนนเต็ม]]),"",(tbl_task6[133]/tbl_task6[[คะแนนเต็ม]:[คะแนนเต็ม]])*tbl_task6[[%]:[%]])</f>
        <v/>
      </c>
      <c r="KR4" s="121" t="str">
        <f>IF(ISBLANK(tbl_task6[[คะแนนเต็ม]:[คะแนนเต็ม]]),"",(tbl_task6[134]/tbl_task6[[คะแนนเต็ม]:[คะแนนเต็ม]])*tbl_task6[[%]:[%]])</f>
        <v/>
      </c>
      <c r="KS4" s="121" t="str">
        <f>IF(ISBLANK(tbl_task6[[คะแนนเต็ม]:[คะแนนเต็ม]]),"",(tbl_task6[135]/tbl_task6[[คะแนนเต็ม]:[คะแนนเต็ม]])*tbl_task6[[%]:[%]])</f>
        <v/>
      </c>
      <c r="KT4" s="121" t="str">
        <f>IF(ISBLANK(tbl_task6[[คะแนนเต็ม]:[คะแนนเต็ม]]),"",(tbl_task6[136]/tbl_task6[[คะแนนเต็ม]:[คะแนนเต็ม]])*tbl_task6[[%]:[%]])</f>
        <v/>
      </c>
      <c r="KU4" s="121" t="str">
        <f>IF(ISBLANK(tbl_task6[[คะแนนเต็ม]:[คะแนนเต็ม]]),"",(tbl_task6[137]/tbl_task6[[คะแนนเต็ม]:[คะแนนเต็ม]])*tbl_task6[[%]:[%]])</f>
        <v/>
      </c>
      <c r="KV4" s="121" t="str">
        <f>IF(ISBLANK(tbl_task6[[คะแนนเต็ม]:[คะแนนเต็ม]]),"",(tbl_task6[138]/tbl_task6[[คะแนนเต็ม]:[คะแนนเต็ม]])*tbl_task6[[%]:[%]])</f>
        <v/>
      </c>
      <c r="KW4" s="121" t="str">
        <f>IF(ISBLANK(tbl_task6[[คะแนนเต็ม]:[คะแนนเต็ม]]),"",(tbl_task6[139]/tbl_task6[[คะแนนเต็ม]:[คะแนนเต็ม]])*tbl_task6[[%]:[%]])</f>
        <v/>
      </c>
      <c r="KX4" s="121" t="str">
        <f>IF(ISBLANK(tbl_task6[[คะแนนเต็ม]:[คะแนนเต็ม]]),"",(tbl_task6[140]/tbl_task6[[คะแนนเต็ม]:[คะแนนเต็ม]])*tbl_task6[[%]:[%]])</f>
        <v/>
      </c>
      <c r="KY4" s="121" t="str">
        <f>IF(ISBLANK(tbl_task6[[คะแนนเต็ม]:[คะแนนเต็ม]]),"",(tbl_task6[141]/tbl_task6[[คะแนนเต็ม]:[คะแนนเต็ม]])*tbl_task6[[%]:[%]])</f>
        <v/>
      </c>
      <c r="KZ4" s="121" t="str">
        <f>IF(ISBLANK(tbl_task6[[คะแนนเต็ม]:[คะแนนเต็ม]]),"",(tbl_task6[142]/tbl_task6[[คะแนนเต็ม]:[คะแนนเต็ม]])*tbl_task6[[%]:[%]])</f>
        <v/>
      </c>
      <c r="LA4" s="121" t="str">
        <f>IF(ISBLANK(tbl_task6[[คะแนนเต็ม]:[คะแนนเต็ม]]),"",(tbl_task6[143]/tbl_task6[[คะแนนเต็ม]:[คะแนนเต็ม]])*tbl_task6[[%]:[%]])</f>
        <v/>
      </c>
      <c r="LB4" s="121" t="str">
        <f>IF(ISBLANK(tbl_task6[[คะแนนเต็ม]:[คะแนนเต็ม]]),"",(tbl_task6[144]/tbl_task6[[คะแนนเต็ม]:[คะแนนเต็ม]])*tbl_task6[[%]:[%]])</f>
        <v/>
      </c>
      <c r="LC4" s="121" t="str">
        <f>IF(ISBLANK(tbl_task6[[คะแนนเต็ม]:[คะแนนเต็ม]]),"",(tbl_task6[145]/tbl_task6[[คะแนนเต็ม]:[คะแนนเต็ม]])*tbl_task6[[%]:[%]])</f>
        <v/>
      </c>
      <c r="LD4" s="121" t="str">
        <f>IF(ISBLANK(tbl_task6[[คะแนนเต็ม]:[คะแนนเต็ม]]),"",(tbl_task6[146]/tbl_task6[[คะแนนเต็ม]:[คะแนนเต็ม]])*tbl_task6[[%]:[%]])</f>
        <v/>
      </c>
      <c r="LE4" s="121" t="str">
        <f>IF(ISBLANK(tbl_task6[[คะแนนเต็ม]:[คะแนนเต็ม]]),"",(tbl_task6[147]/tbl_task6[[คะแนนเต็ม]:[คะแนนเต็ม]])*tbl_task6[[%]:[%]])</f>
        <v/>
      </c>
      <c r="LF4" s="121" t="str">
        <f>IF(ISBLANK(tbl_task6[[คะแนนเต็ม]:[คะแนนเต็ม]]),"",(tbl_task6[148]/tbl_task6[[คะแนนเต็ม]:[คะแนนเต็ม]])*tbl_task6[[%]:[%]])</f>
        <v/>
      </c>
      <c r="LG4" s="121" t="str">
        <f>IF(ISBLANK(tbl_task6[[คะแนนเต็ม]:[คะแนนเต็ม]]),"",(tbl_task6[149]/tbl_task6[[คะแนนเต็ม]:[คะแนนเต็ม]])*tbl_task6[[%]:[%]])</f>
        <v/>
      </c>
      <c r="LH4" s="121" t="str">
        <f>IF(ISBLANK(tbl_task6[[คะแนนเต็ม]:[คะแนนเต็ม]]),"",(tbl_task6[150]/tbl_task6[[คะแนนเต็ม]:[คะแนนเต็ม]])*tbl_task6[[%]:[%]])</f>
        <v/>
      </c>
      <c r="LI4" s="121" t="str">
        <f>IF(ISBLANK(tbl_task6[[คะแนนเต็ม]:[คะแนนเต็ม]]),"",(tbl_task6[151]/tbl_task6[[คะแนนเต็ม]:[คะแนนเต็ม]])*tbl_task6[[%]:[%]])</f>
        <v/>
      </c>
      <c r="LJ4" s="121" t="str">
        <f>IF(ISBLANK(tbl_task6[[คะแนนเต็ม]:[คะแนนเต็ม]]),"",(tbl_task6[152]/tbl_task6[[คะแนนเต็ม]:[คะแนนเต็ม]])*tbl_task6[[%]:[%]])</f>
        <v/>
      </c>
      <c r="LK4" s="121" t="str">
        <f>IF(ISBLANK(tbl_task6[[คะแนนเต็ม]:[คะแนนเต็ม]]),"",(tbl_task6[153]/tbl_task6[[คะแนนเต็ม]:[คะแนนเต็ม]])*tbl_task6[[%]:[%]])</f>
        <v/>
      </c>
      <c r="LL4" s="121" t="str">
        <f>IF(ISBLANK(tbl_task6[[คะแนนเต็ม]:[คะแนนเต็ม]]),"",(tbl_task6[154]/tbl_task6[[คะแนนเต็ม]:[คะแนนเต็ม]])*tbl_task6[[%]:[%]])</f>
        <v/>
      </c>
      <c r="LM4" s="121" t="str">
        <f>IF(ISBLANK(tbl_task6[[คะแนนเต็ม]:[คะแนนเต็ม]]),"",(tbl_task6[155]/tbl_task6[[คะแนนเต็ม]:[คะแนนเต็ม]])*tbl_task6[[%]:[%]])</f>
        <v/>
      </c>
      <c r="LN4" s="121" t="str">
        <f>IF(ISBLANK(tbl_task6[[คะแนนเต็ม]:[คะแนนเต็ม]]),"",(tbl_task6[156]/tbl_task6[[คะแนนเต็ม]:[คะแนนเต็ม]])*tbl_task6[[%]:[%]])</f>
        <v/>
      </c>
      <c r="LO4" s="121" t="str">
        <f>IF(ISBLANK(tbl_task6[[คะแนนเต็ม]:[คะแนนเต็ม]]),"",(tbl_task6[157]/tbl_task6[[คะแนนเต็ม]:[คะแนนเต็ม]])*tbl_task6[[%]:[%]])</f>
        <v/>
      </c>
      <c r="LP4" s="121" t="str">
        <f>IF(ISBLANK(tbl_task6[[คะแนนเต็ม]:[คะแนนเต็ม]]),"",(tbl_task6[158]/tbl_task6[[คะแนนเต็ม]:[คะแนนเต็ม]])*tbl_task6[[%]:[%]])</f>
        <v/>
      </c>
      <c r="LQ4" s="121" t="str">
        <f>IF(ISBLANK(tbl_task6[[คะแนนเต็ม]:[คะแนนเต็ม]]),"",(tbl_task6[159]/tbl_task6[[คะแนนเต็ม]:[คะแนนเต็ม]])*tbl_task6[[%]:[%]])</f>
        <v/>
      </c>
      <c r="LR4" s="121" t="str">
        <f>IF(ISBLANK(tbl_task6[[คะแนนเต็ม]:[คะแนนเต็ม]]),"",(tbl_task6[160]/tbl_task6[[คะแนนเต็ม]:[คะแนนเต็ม]])*tbl_task6[[%]:[%]])</f>
        <v/>
      </c>
      <c r="LS4" s="121" t="str">
        <f>IF(ISBLANK(tbl_task6[[คะแนนเต็ม]:[คะแนนเต็ม]]),"",(tbl_task6[161]/tbl_task6[[คะแนนเต็ม]:[คะแนนเต็ม]])*tbl_task6[[%]:[%]])</f>
        <v/>
      </c>
      <c r="LT4" s="121" t="str">
        <f>IF(ISBLANK(tbl_task6[[คะแนนเต็ม]:[คะแนนเต็ม]]),"",(tbl_task6[162]/tbl_task6[[คะแนนเต็ม]:[คะแนนเต็ม]])*tbl_task6[[%]:[%]])</f>
        <v/>
      </c>
      <c r="LU4" s="121" t="str">
        <f>IF(ISBLANK(tbl_task6[[คะแนนเต็ม]:[คะแนนเต็ม]]),"",(tbl_task6[163]/tbl_task6[[คะแนนเต็ม]:[คะแนนเต็ม]])*tbl_task6[[%]:[%]])</f>
        <v/>
      </c>
      <c r="LV4" s="121" t="str">
        <f>IF(ISBLANK(tbl_task6[[คะแนนเต็ม]:[คะแนนเต็ม]]),"",(tbl_task6[164]/tbl_task6[[คะแนนเต็ม]:[คะแนนเต็ม]])*tbl_task6[[%]:[%]])</f>
        <v/>
      </c>
      <c r="LW4" s="121" t="str">
        <f>IF(ISBLANK(tbl_task6[[คะแนนเต็ม]:[คะแนนเต็ม]]),"",(tbl_task6[165]/tbl_task6[[คะแนนเต็ม]:[คะแนนเต็ม]])*tbl_task6[[%]:[%]])</f>
        <v/>
      </c>
    </row>
    <row r="5" spans="1:335" ht="23.25" customHeight="1" x14ac:dyDescent="0.25">
      <c r="A5" s="24">
        <v>2</v>
      </c>
      <c r="B5" s="20"/>
      <c r="C5" s="5" t="str">
        <f>IF(ISBLANK(B5),"",VLOOKUP(B5,tbl_PLOs[],2,0))</f>
        <v/>
      </c>
      <c r="D5" s="102"/>
      <c r="E5" s="10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22"/>
      <c r="FO5" s="121" t="str">
        <f>IF(ISBLANK(tbl_task6[[คะแนนเต็ม]:[คะแนนเต็ม]]),"",(tbl_task6[1]/tbl_task6[[คะแนนเต็ม]:[คะแนนเต็ม]])*tbl_task6[[%]:[%]])</f>
        <v/>
      </c>
      <c r="FP5" s="121" t="str">
        <f>IF(ISBLANK(tbl_task6[[คะแนนเต็ม]:[คะแนนเต็ม]]),"",(tbl_task6[2]/tbl_task6[[คะแนนเต็ม]:[คะแนนเต็ม]])*tbl_task6[[%]:[%]])</f>
        <v/>
      </c>
      <c r="FQ5" s="121" t="str">
        <f>IF(ISBLANK(tbl_task6[[คะแนนเต็ม]:[คะแนนเต็ม]]),"",(tbl_task6[3]/tbl_task6[[คะแนนเต็ม]:[คะแนนเต็ม]])*tbl_task6[[%]:[%]])</f>
        <v/>
      </c>
      <c r="FR5" s="121" t="str">
        <f>IF(ISBLANK(tbl_task6[[คะแนนเต็ม]:[คะแนนเต็ม]]),"",(tbl_task6[4]/tbl_task6[[คะแนนเต็ม]:[คะแนนเต็ม]])*tbl_task6[[%]:[%]])</f>
        <v/>
      </c>
      <c r="FS5" s="121" t="str">
        <f>IF(ISBLANK(tbl_task6[[คะแนนเต็ม]:[คะแนนเต็ม]]),"",(tbl_task6[5]/tbl_task6[[คะแนนเต็ม]:[คะแนนเต็ม]])*tbl_task6[[%]:[%]])</f>
        <v/>
      </c>
      <c r="FT5" s="121" t="str">
        <f>IF(ISBLANK(tbl_task6[[คะแนนเต็ม]:[คะแนนเต็ม]]),"",(tbl_task6[6]/tbl_task6[[คะแนนเต็ม]:[คะแนนเต็ม]])*tbl_task6[[%]:[%]])</f>
        <v/>
      </c>
      <c r="FU5" s="121" t="str">
        <f>IF(ISBLANK(tbl_task6[[คะแนนเต็ม]:[คะแนนเต็ม]]),"",(tbl_task6[7]/tbl_task6[[คะแนนเต็ม]:[คะแนนเต็ม]])*tbl_task6[[%]:[%]])</f>
        <v/>
      </c>
      <c r="FV5" s="121" t="str">
        <f>IF(ISBLANK(tbl_task6[[คะแนนเต็ม]:[คะแนนเต็ม]]),"",(tbl_task6[8]/tbl_task6[[คะแนนเต็ม]:[คะแนนเต็ม]])*tbl_task6[[%]:[%]])</f>
        <v/>
      </c>
      <c r="FW5" s="121" t="str">
        <f>IF(ISBLANK(tbl_task6[[คะแนนเต็ม]:[คะแนนเต็ม]]),"",(tbl_task6[9]/tbl_task6[[คะแนนเต็ม]:[คะแนนเต็ม]])*tbl_task6[[%]:[%]])</f>
        <v/>
      </c>
      <c r="FX5" s="121" t="str">
        <f>IF(ISBLANK(tbl_task6[[คะแนนเต็ม]:[คะแนนเต็ม]]),"",(tbl_task6[10]/tbl_task6[[คะแนนเต็ม]:[คะแนนเต็ม]])*tbl_task6[[%]:[%]])</f>
        <v/>
      </c>
      <c r="FY5" s="121" t="str">
        <f>IF(ISBLANK(tbl_task6[[คะแนนเต็ม]:[คะแนนเต็ม]]),"",(tbl_task6[11]/tbl_task6[[คะแนนเต็ม]:[คะแนนเต็ม]])*tbl_task6[[%]:[%]])</f>
        <v/>
      </c>
      <c r="FZ5" s="121" t="str">
        <f>IF(ISBLANK(tbl_task6[[คะแนนเต็ม]:[คะแนนเต็ม]]),"",(tbl_task6[12]/tbl_task6[[คะแนนเต็ม]:[คะแนนเต็ม]])*tbl_task6[[%]:[%]])</f>
        <v/>
      </c>
      <c r="GA5" s="121" t="str">
        <f>IF(ISBLANK(tbl_task6[[คะแนนเต็ม]:[คะแนนเต็ม]]),"",(tbl_task6[13]/tbl_task6[[คะแนนเต็ม]:[คะแนนเต็ม]])*tbl_task6[[%]:[%]])</f>
        <v/>
      </c>
      <c r="GB5" s="121" t="str">
        <f>IF(ISBLANK(tbl_task6[[คะแนนเต็ม]:[คะแนนเต็ม]]),"",(tbl_task6[14]/tbl_task6[[คะแนนเต็ม]:[คะแนนเต็ม]])*tbl_task6[[%]:[%]])</f>
        <v/>
      </c>
      <c r="GC5" s="121" t="str">
        <f>IF(ISBLANK(tbl_task6[[คะแนนเต็ม]:[คะแนนเต็ม]]),"",(tbl_task6[15]/tbl_task6[[คะแนนเต็ม]:[คะแนนเต็ม]])*tbl_task6[[%]:[%]])</f>
        <v/>
      </c>
      <c r="GD5" s="121" t="str">
        <f>IF(ISBLANK(tbl_task6[[คะแนนเต็ม]:[คะแนนเต็ม]]),"",(tbl_task6[16]/tbl_task6[[คะแนนเต็ม]:[คะแนนเต็ม]])*tbl_task6[[%]:[%]])</f>
        <v/>
      </c>
      <c r="GE5" s="121" t="str">
        <f>IF(ISBLANK(tbl_task6[[คะแนนเต็ม]:[คะแนนเต็ม]]),"",(tbl_task6[17]/tbl_task6[[คะแนนเต็ม]:[คะแนนเต็ม]])*tbl_task6[[%]:[%]])</f>
        <v/>
      </c>
      <c r="GF5" s="121" t="str">
        <f>IF(ISBLANK(tbl_task6[[คะแนนเต็ม]:[คะแนนเต็ม]]),"",(tbl_task6[18]/tbl_task6[[คะแนนเต็ม]:[คะแนนเต็ม]])*tbl_task6[[%]:[%]])</f>
        <v/>
      </c>
      <c r="GG5" s="121" t="str">
        <f>IF(ISBLANK(tbl_task6[[คะแนนเต็ม]:[คะแนนเต็ม]]),"",(tbl_task6[19]/tbl_task6[[คะแนนเต็ม]:[คะแนนเต็ม]])*tbl_task6[[%]:[%]])</f>
        <v/>
      </c>
      <c r="GH5" s="121" t="str">
        <f>IF(ISBLANK(tbl_task6[[คะแนนเต็ม]:[คะแนนเต็ม]]),"",(tbl_task6[20]/tbl_task6[[คะแนนเต็ม]:[คะแนนเต็ม]])*tbl_task6[[%]:[%]])</f>
        <v/>
      </c>
      <c r="GI5" s="121" t="str">
        <f>IF(ISBLANK(tbl_task6[[คะแนนเต็ม]:[คะแนนเต็ม]]),"",(tbl_task6[21]/tbl_task6[[คะแนนเต็ม]:[คะแนนเต็ม]])*tbl_task6[[%]:[%]])</f>
        <v/>
      </c>
      <c r="GJ5" s="121" t="str">
        <f>IF(ISBLANK(tbl_task6[[คะแนนเต็ม]:[คะแนนเต็ม]]),"",(tbl_task6[22]/tbl_task6[[คะแนนเต็ม]:[คะแนนเต็ม]])*tbl_task6[[%]:[%]])</f>
        <v/>
      </c>
      <c r="GK5" s="121" t="str">
        <f>IF(ISBLANK(tbl_task6[[คะแนนเต็ม]:[คะแนนเต็ม]]),"",(tbl_task6[23]/tbl_task6[[คะแนนเต็ม]:[คะแนนเต็ม]])*tbl_task6[[%]:[%]])</f>
        <v/>
      </c>
      <c r="GL5" s="121" t="str">
        <f>IF(ISBLANK(tbl_task6[[คะแนนเต็ม]:[คะแนนเต็ม]]),"",(tbl_task6[24]/tbl_task6[[คะแนนเต็ม]:[คะแนนเต็ม]])*tbl_task6[[%]:[%]])</f>
        <v/>
      </c>
      <c r="GM5" s="121" t="str">
        <f>IF(ISBLANK(tbl_task6[[คะแนนเต็ม]:[คะแนนเต็ม]]),"",(tbl_task6[25]/tbl_task6[[คะแนนเต็ม]:[คะแนนเต็ม]])*tbl_task6[[%]:[%]])</f>
        <v/>
      </c>
      <c r="GN5" s="121" t="str">
        <f>IF(ISBLANK(tbl_task6[[คะแนนเต็ม]:[คะแนนเต็ม]]),"",(tbl_task6[26]/tbl_task6[[คะแนนเต็ม]:[คะแนนเต็ม]])*tbl_task6[[%]:[%]])</f>
        <v/>
      </c>
      <c r="GO5" s="121" t="str">
        <f>IF(ISBLANK(tbl_task6[[คะแนนเต็ม]:[คะแนนเต็ม]]),"",(tbl_task6[27]/tbl_task6[[คะแนนเต็ม]:[คะแนนเต็ม]])*tbl_task6[[%]:[%]])</f>
        <v/>
      </c>
      <c r="GP5" s="121" t="str">
        <f>IF(ISBLANK(tbl_task6[[คะแนนเต็ม]:[คะแนนเต็ม]]),"",(tbl_task6[28]/tbl_task6[[คะแนนเต็ม]:[คะแนนเต็ม]])*tbl_task6[[%]:[%]])</f>
        <v/>
      </c>
      <c r="GQ5" s="121" t="str">
        <f>IF(ISBLANK(tbl_task6[[คะแนนเต็ม]:[คะแนนเต็ม]]),"",(tbl_task6[29]/tbl_task6[[คะแนนเต็ม]:[คะแนนเต็ม]])*tbl_task6[[%]:[%]])</f>
        <v/>
      </c>
      <c r="GR5" s="121" t="str">
        <f>IF(ISBLANK(tbl_task6[[คะแนนเต็ม]:[คะแนนเต็ม]]),"",(tbl_task6[30]/tbl_task6[[คะแนนเต็ม]:[คะแนนเต็ม]])*tbl_task6[[%]:[%]])</f>
        <v/>
      </c>
      <c r="GS5" s="121" t="str">
        <f>IF(ISBLANK(tbl_task6[[คะแนนเต็ม]:[คะแนนเต็ม]]),"",(tbl_task6[31]/tbl_task6[[คะแนนเต็ม]:[คะแนนเต็ม]])*tbl_task6[[%]:[%]])</f>
        <v/>
      </c>
      <c r="GT5" s="121" t="str">
        <f>IF(ISBLANK(tbl_task6[[คะแนนเต็ม]:[คะแนนเต็ม]]),"",(tbl_task6[32]/tbl_task6[[คะแนนเต็ม]:[คะแนนเต็ม]])*tbl_task6[[%]:[%]])</f>
        <v/>
      </c>
      <c r="GU5" s="121" t="str">
        <f>IF(ISBLANK(tbl_task6[[คะแนนเต็ม]:[คะแนนเต็ม]]),"",(tbl_task6[33]/tbl_task6[[คะแนนเต็ม]:[คะแนนเต็ม]])*tbl_task6[[%]:[%]])</f>
        <v/>
      </c>
      <c r="GV5" s="121" t="str">
        <f>IF(ISBLANK(tbl_task6[[คะแนนเต็ม]:[คะแนนเต็ม]]),"",(tbl_task6[34]/tbl_task6[[คะแนนเต็ม]:[คะแนนเต็ม]])*tbl_task6[[%]:[%]])</f>
        <v/>
      </c>
      <c r="GW5" s="121" t="str">
        <f>IF(ISBLANK(tbl_task6[[คะแนนเต็ม]:[คะแนนเต็ม]]),"",(tbl_task6[35]/tbl_task6[[คะแนนเต็ม]:[คะแนนเต็ม]])*tbl_task6[[%]:[%]])</f>
        <v/>
      </c>
      <c r="GX5" s="121" t="str">
        <f>IF(ISBLANK(tbl_task6[[คะแนนเต็ม]:[คะแนนเต็ม]]),"",(tbl_task6[36]/tbl_task6[[คะแนนเต็ม]:[คะแนนเต็ม]])*tbl_task6[[%]:[%]])</f>
        <v/>
      </c>
      <c r="GY5" s="121" t="str">
        <f>IF(ISBLANK(tbl_task6[[คะแนนเต็ม]:[คะแนนเต็ม]]),"",(tbl_task6[37]/tbl_task6[[คะแนนเต็ม]:[คะแนนเต็ม]])*tbl_task6[[%]:[%]])</f>
        <v/>
      </c>
      <c r="GZ5" s="121" t="str">
        <f>IF(ISBLANK(tbl_task6[[คะแนนเต็ม]:[คะแนนเต็ม]]),"",(tbl_task6[38]/tbl_task6[[คะแนนเต็ม]:[คะแนนเต็ม]])*tbl_task6[[%]:[%]])</f>
        <v/>
      </c>
      <c r="HA5" s="121" t="str">
        <f>IF(ISBLANK(tbl_task6[[คะแนนเต็ม]:[คะแนนเต็ม]]),"",(tbl_task6[39]/tbl_task6[[คะแนนเต็ม]:[คะแนนเต็ม]])*tbl_task6[[%]:[%]])</f>
        <v/>
      </c>
      <c r="HB5" s="121" t="str">
        <f>IF(ISBLANK(tbl_task6[[คะแนนเต็ม]:[คะแนนเต็ม]]),"",(tbl_task6[40]/tbl_task6[[คะแนนเต็ม]:[คะแนนเต็ม]])*tbl_task6[[%]:[%]])</f>
        <v/>
      </c>
      <c r="HC5" s="121" t="str">
        <f>IF(ISBLANK(tbl_task6[[คะแนนเต็ม]:[คะแนนเต็ม]]),"",(tbl_task6[41]/tbl_task6[[คะแนนเต็ม]:[คะแนนเต็ม]])*tbl_task6[[%]:[%]])</f>
        <v/>
      </c>
      <c r="HD5" s="121" t="str">
        <f>IF(ISBLANK(tbl_task6[[คะแนนเต็ม]:[คะแนนเต็ม]]),"",(tbl_task6[42]/tbl_task6[[คะแนนเต็ม]:[คะแนนเต็ม]])*tbl_task6[[%]:[%]])</f>
        <v/>
      </c>
      <c r="HE5" s="121" t="str">
        <f>IF(ISBLANK(tbl_task6[[คะแนนเต็ม]:[คะแนนเต็ม]]),"",(tbl_task6[43]/tbl_task6[[คะแนนเต็ม]:[คะแนนเต็ม]])*tbl_task6[[%]:[%]])</f>
        <v/>
      </c>
      <c r="HF5" s="121" t="str">
        <f>IF(ISBLANK(tbl_task6[[คะแนนเต็ม]:[คะแนนเต็ม]]),"",(tbl_task6[44]/tbl_task6[[คะแนนเต็ม]:[คะแนนเต็ม]])*tbl_task6[[%]:[%]])</f>
        <v/>
      </c>
      <c r="HG5" s="121" t="str">
        <f>IF(ISBLANK(tbl_task6[[คะแนนเต็ม]:[คะแนนเต็ม]]),"",(tbl_task6[45]/tbl_task6[[คะแนนเต็ม]:[คะแนนเต็ม]])*tbl_task6[[%]:[%]])</f>
        <v/>
      </c>
      <c r="HH5" s="121" t="str">
        <f>IF(ISBLANK(tbl_task6[[คะแนนเต็ม]:[คะแนนเต็ม]]),"",(tbl_task6[46]/tbl_task6[[คะแนนเต็ม]:[คะแนนเต็ม]])*tbl_task6[[%]:[%]])</f>
        <v/>
      </c>
      <c r="HI5" s="121" t="str">
        <f>IF(ISBLANK(tbl_task6[[คะแนนเต็ม]:[คะแนนเต็ม]]),"",(tbl_task6[47]/tbl_task6[[คะแนนเต็ม]:[คะแนนเต็ม]])*tbl_task6[[%]:[%]])</f>
        <v/>
      </c>
      <c r="HJ5" s="121" t="str">
        <f>IF(ISBLANK(tbl_task6[[คะแนนเต็ม]:[คะแนนเต็ม]]),"",(tbl_task6[48]/tbl_task6[[คะแนนเต็ม]:[คะแนนเต็ม]])*tbl_task6[[%]:[%]])</f>
        <v/>
      </c>
      <c r="HK5" s="121" t="str">
        <f>IF(ISBLANK(tbl_task6[[คะแนนเต็ม]:[คะแนนเต็ม]]),"",(tbl_task6[49]/tbl_task6[[คะแนนเต็ม]:[คะแนนเต็ม]])*tbl_task6[[%]:[%]])</f>
        <v/>
      </c>
      <c r="HL5" s="121" t="str">
        <f>IF(ISBLANK(tbl_task6[[คะแนนเต็ม]:[คะแนนเต็ม]]),"",(tbl_task6[50]/tbl_task6[[คะแนนเต็ม]:[คะแนนเต็ม]])*tbl_task6[[%]:[%]])</f>
        <v/>
      </c>
      <c r="HM5" s="121" t="str">
        <f>IF(ISBLANK(tbl_task6[[คะแนนเต็ม]:[คะแนนเต็ม]]),"",(tbl_task6[51]/tbl_task6[[คะแนนเต็ม]:[คะแนนเต็ม]])*tbl_task6[[%]:[%]])</f>
        <v/>
      </c>
      <c r="HN5" s="121" t="str">
        <f>IF(ISBLANK(tbl_task6[[คะแนนเต็ม]:[คะแนนเต็ม]]),"",(tbl_task6[52]/tbl_task6[[คะแนนเต็ม]:[คะแนนเต็ม]])*tbl_task6[[%]:[%]])</f>
        <v/>
      </c>
      <c r="HO5" s="121" t="str">
        <f>IF(ISBLANK(tbl_task6[[คะแนนเต็ม]:[คะแนนเต็ม]]),"",(tbl_task6[53]/tbl_task6[[คะแนนเต็ม]:[คะแนนเต็ม]])*tbl_task6[[%]:[%]])</f>
        <v/>
      </c>
      <c r="HP5" s="121" t="str">
        <f>IF(ISBLANK(tbl_task6[[คะแนนเต็ม]:[คะแนนเต็ม]]),"",(tbl_task6[54]/tbl_task6[[คะแนนเต็ม]:[คะแนนเต็ม]])*tbl_task6[[%]:[%]])</f>
        <v/>
      </c>
      <c r="HQ5" s="121" t="str">
        <f>IF(ISBLANK(tbl_task6[[คะแนนเต็ม]:[คะแนนเต็ม]]),"",(tbl_task6[55]/tbl_task6[[คะแนนเต็ม]:[คะแนนเต็ม]])*tbl_task6[[%]:[%]])</f>
        <v/>
      </c>
      <c r="HR5" s="121" t="str">
        <f>IF(ISBLANK(tbl_task6[[คะแนนเต็ม]:[คะแนนเต็ม]]),"",(tbl_task6[56]/tbl_task6[[คะแนนเต็ม]:[คะแนนเต็ม]])*tbl_task6[[%]:[%]])</f>
        <v/>
      </c>
      <c r="HS5" s="121" t="str">
        <f>IF(ISBLANK(tbl_task6[[คะแนนเต็ม]:[คะแนนเต็ม]]),"",(tbl_task6[57]/tbl_task6[[คะแนนเต็ม]:[คะแนนเต็ม]])*tbl_task6[[%]:[%]])</f>
        <v/>
      </c>
      <c r="HT5" s="121" t="str">
        <f>IF(ISBLANK(tbl_task6[[คะแนนเต็ม]:[คะแนนเต็ม]]),"",(tbl_task6[58]/tbl_task6[[คะแนนเต็ม]:[คะแนนเต็ม]])*tbl_task6[[%]:[%]])</f>
        <v/>
      </c>
      <c r="HU5" s="121" t="str">
        <f>IF(ISBLANK(tbl_task6[[คะแนนเต็ม]:[คะแนนเต็ม]]),"",(tbl_task6[59]/tbl_task6[[คะแนนเต็ม]:[คะแนนเต็ม]])*tbl_task6[[%]:[%]])</f>
        <v/>
      </c>
      <c r="HV5" s="121" t="str">
        <f>IF(ISBLANK(tbl_task6[[คะแนนเต็ม]:[คะแนนเต็ม]]),"",(tbl_task6[60]/tbl_task6[[คะแนนเต็ม]:[คะแนนเต็ม]])*tbl_task6[[%]:[%]])</f>
        <v/>
      </c>
      <c r="HW5" s="121" t="str">
        <f>IF(ISBLANK(tbl_task6[[คะแนนเต็ม]:[คะแนนเต็ม]]),"",(tbl_task6[61]/tbl_task6[[คะแนนเต็ม]:[คะแนนเต็ม]])*tbl_task6[[%]:[%]])</f>
        <v/>
      </c>
      <c r="HX5" s="121" t="str">
        <f>IF(ISBLANK(tbl_task6[[คะแนนเต็ม]:[คะแนนเต็ม]]),"",(tbl_task6[62]/tbl_task6[[คะแนนเต็ม]:[คะแนนเต็ม]])*tbl_task6[[%]:[%]])</f>
        <v/>
      </c>
      <c r="HY5" s="121" t="str">
        <f>IF(ISBLANK(tbl_task6[[คะแนนเต็ม]:[คะแนนเต็ม]]),"",(tbl_task6[63]/tbl_task6[[คะแนนเต็ม]:[คะแนนเต็ม]])*tbl_task6[[%]:[%]])</f>
        <v/>
      </c>
      <c r="HZ5" s="121" t="str">
        <f>IF(ISBLANK(tbl_task6[[คะแนนเต็ม]:[คะแนนเต็ม]]),"",(tbl_task6[64]/tbl_task6[[คะแนนเต็ม]:[คะแนนเต็ม]])*tbl_task6[[%]:[%]])</f>
        <v/>
      </c>
      <c r="IA5" s="121" t="str">
        <f>IF(ISBLANK(tbl_task6[[คะแนนเต็ม]:[คะแนนเต็ม]]),"",(tbl_task6[65]/tbl_task6[[คะแนนเต็ม]:[คะแนนเต็ม]])*tbl_task6[[%]:[%]])</f>
        <v/>
      </c>
      <c r="IB5" s="121" t="str">
        <f>IF(ISBLANK(tbl_task6[[คะแนนเต็ม]:[คะแนนเต็ม]]),"",(tbl_task6[66]/tbl_task6[[คะแนนเต็ม]:[คะแนนเต็ม]])*tbl_task6[[%]:[%]])</f>
        <v/>
      </c>
      <c r="IC5" s="121" t="str">
        <f>IF(ISBLANK(tbl_task6[[คะแนนเต็ม]:[คะแนนเต็ม]]),"",(tbl_task6[67]/tbl_task6[[คะแนนเต็ม]:[คะแนนเต็ม]])*tbl_task6[[%]:[%]])</f>
        <v/>
      </c>
      <c r="ID5" s="121" t="str">
        <f>IF(ISBLANK(tbl_task6[[คะแนนเต็ม]:[คะแนนเต็ม]]),"",(tbl_task6[68]/tbl_task6[[คะแนนเต็ม]:[คะแนนเต็ม]])*tbl_task6[[%]:[%]])</f>
        <v/>
      </c>
      <c r="IE5" s="121" t="str">
        <f>IF(ISBLANK(tbl_task6[[คะแนนเต็ม]:[คะแนนเต็ม]]),"",(tbl_task6[69]/tbl_task6[[คะแนนเต็ม]:[คะแนนเต็ม]])*tbl_task6[[%]:[%]])</f>
        <v/>
      </c>
      <c r="IF5" s="121" t="str">
        <f>IF(ISBLANK(tbl_task6[[คะแนนเต็ม]:[คะแนนเต็ม]]),"",(tbl_task6[70]/tbl_task6[[คะแนนเต็ม]:[คะแนนเต็ม]])*tbl_task6[[%]:[%]])</f>
        <v/>
      </c>
      <c r="IG5" s="121" t="str">
        <f>IF(ISBLANK(tbl_task6[[คะแนนเต็ม]:[คะแนนเต็ม]]),"",(tbl_task6[71]/tbl_task6[[คะแนนเต็ม]:[คะแนนเต็ม]])*tbl_task6[[%]:[%]])</f>
        <v/>
      </c>
      <c r="IH5" s="121" t="str">
        <f>IF(ISBLANK(tbl_task6[[คะแนนเต็ม]:[คะแนนเต็ม]]),"",(tbl_task6[72]/tbl_task6[[คะแนนเต็ม]:[คะแนนเต็ม]])*tbl_task6[[%]:[%]])</f>
        <v/>
      </c>
      <c r="II5" s="121" t="str">
        <f>IF(ISBLANK(tbl_task6[[คะแนนเต็ม]:[คะแนนเต็ม]]),"",(tbl_task6[73]/tbl_task6[[คะแนนเต็ม]:[คะแนนเต็ม]])*tbl_task6[[%]:[%]])</f>
        <v/>
      </c>
      <c r="IJ5" s="121" t="str">
        <f>IF(ISBLANK(tbl_task6[[คะแนนเต็ม]:[คะแนนเต็ม]]),"",(tbl_task6[74]/tbl_task6[[คะแนนเต็ม]:[คะแนนเต็ม]])*tbl_task6[[%]:[%]])</f>
        <v/>
      </c>
      <c r="IK5" s="121" t="str">
        <f>IF(ISBLANK(tbl_task6[[คะแนนเต็ม]:[คะแนนเต็ม]]),"",(tbl_task6[75]/tbl_task6[[คะแนนเต็ม]:[คะแนนเต็ม]])*tbl_task6[[%]:[%]])</f>
        <v/>
      </c>
      <c r="IL5" s="121" t="str">
        <f>IF(ISBLANK(tbl_task6[[คะแนนเต็ม]:[คะแนนเต็ม]]),"",(tbl_task6[76]/tbl_task6[[คะแนนเต็ม]:[คะแนนเต็ม]])*tbl_task6[[%]:[%]])</f>
        <v/>
      </c>
      <c r="IM5" s="121" t="str">
        <f>IF(ISBLANK(tbl_task6[[คะแนนเต็ม]:[คะแนนเต็ม]]),"",(tbl_task6[77]/tbl_task6[[คะแนนเต็ม]:[คะแนนเต็ม]])*tbl_task6[[%]:[%]])</f>
        <v/>
      </c>
      <c r="IN5" s="121" t="str">
        <f>IF(ISBLANK(tbl_task6[[คะแนนเต็ม]:[คะแนนเต็ม]]),"",(tbl_task6[78]/tbl_task6[[คะแนนเต็ม]:[คะแนนเต็ม]])*tbl_task6[[%]:[%]])</f>
        <v/>
      </c>
      <c r="IO5" s="121" t="str">
        <f>IF(ISBLANK(tbl_task6[[คะแนนเต็ม]:[คะแนนเต็ม]]),"",(tbl_task6[79]/tbl_task6[[คะแนนเต็ม]:[คะแนนเต็ม]])*tbl_task6[[%]:[%]])</f>
        <v/>
      </c>
      <c r="IP5" s="121" t="str">
        <f>IF(ISBLANK(tbl_task6[[คะแนนเต็ม]:[คะแนนเต็ม]]),"",(tbl_task6[80]/tbl_task6[[คะแนนเต็ม]:[คะแนนเต็ม]])*tbl_task6[[%]:[%]])</f>
        <v/>
      </c>
      <c r="IQ5" s="121" t="str">
        <f>IF(ISBLANK(tbl_task6[[คะแนนเต็ม]:[คะแนนเต็ม]]),"",(tbl_task6[81]/tbl_task6[[คะแนนเต็ม]:[คะแนนเต็ม]])*tbl_task6[[%]:[%]])</f>
        <v/>
      </c>
      <c r="IR5" s="121" t="str">
        <f>IF(ISBLANK(tbl_task6[[คะแนนเต็ม]:[คะแนนเต็ม]]),"",(tbl_task6[82]/tbl_task6[[คะแนนเต็ม]:[คะแนนเต็ม]])*tbl_task6[[%]:[%]])</f>
        <v/>
      </c>
      <c r="IS5" s="121" t="str">
        <f>IF(ISBLANK(tbl_task6[[คะแนนเต็ม]:[คะแนนเต็ม]]),"",(tbl_task6[83]/tbl_task6[[คะแนนเต็ม]:[คะแนนเต็ม]])*tbl_task6[[%]:[%]])</f>
        <v/>
      </c>
      <c r="IT5" s="121" t="str">
        <f>IF(ISBLANK(tbl_task6[[คะแนนเต็ม]:[คะแนนเต็ม]]),"",(tbl_task6[84]/tbl_task6[[คะแนนเต็ม]:[คะแนนเต็ม]])*tbl_task6[[%]:[%]])</f>
        <v/>
      </c>
      <c r="IU5" s="121" t="str">
        <f>IF(ISBLANK(tbl_task6[[คะแนนเต็ม]:[คะแนนเต็ม]]),"",(tbl_task6[85]/tbl_task6[[คะแนนเต็ม]:[คะแนนเต็ม]])*tbl_task6[[%]:[%]])</f>
        <v/>
      </c>
      <c r="IV5" s="121" t="str">
        <f>IF(ISBLANK(tbl_task6[[คะแนนเต็ม]:[คะแนนเต็ม]]),"",(tbl_task6[86]/tbl_task6[[คะแนนเต็ม]:[คะแนนเต็ม]])*tbl_task6[[%]:[%]])</f>
        <v/>
      </c>
      <c r="IW5" s="121" t="str">
        <f>IF(ISBLANK(tbl_task6[[คะแนนเต็ม]:[คะแนนเต็ม]]),"",(tbl_task6[87]/tbl_task6[[คะแนนเต็ม]:[คะแนนเต็ม]])*tbl_task6[[%]:[%]])</f>
        <v/>
      </c>
      <c r="IX5" s="121" t="str">
        <f>IF(ISBLANK(tbl_task6[[คะแนนเต็ม]:[คะแนนเต็ม]]),"",(tbl_task6[88]/tbl_task6[[คะแนนเต็ม]:[คะแนนเต็ม]])*tbl_task6[[%]:[%]])</f>
        <v/>
      </c>
      <c r="IY5" s="121" t="str">
        <f>IF(ISBLANK(tbl_task6[[คะแนนเต็ม]:[คะแนนเต็ม]]),"",(tbl_task6[89]/tbl_task6[[คะแนนเต็ม]:[คะแนนเต็ม]])*tbl_task6[[%]:[%]])</f>
        <v/>
      </c>
      <c r="IZ5" s="121" t="str">
        <f>IF(ISBLANK(tbl_task6[[คะแนนเต็ม]:[คะแนนเต็ม]]),"",(tbl_task6[90]/tbl_task6[[คะแนนเต็ม]:[คะแนนเต็ม]])*tbl_task6[[%]:[%]])</f>
        <v/>
      </c>
      <c r="JA5" s="121" t="str">
        <f>IF(ISBLANK(tbl_task6[[คะแนนเต็ม]:[คะแนนเต็ม]]),"",(tbl_task6[91]/tbl_task6[[คะแนนเต็ม]:[คะแนนเต็ม]])*tbl_task6[[%]:[%]])</f>
        <v/>
      </c>
      <c r="JB5" s="121" t="str">
        <f>IF(ISBLANK(tbl_task6[[คะแนนเต็ม]:[คะแนนเต็ม]]),"",(tbl_task6[92]/tbl_task6[[คะแนนเต็ม]:[คะแนนเต็ม]])*tbl_task6[[%]:[%]])</f>
        <v/>
      </c>
      <c r="JC5" s="121" t="str">
        <f>IF(ISBLANK(tbl_task6[[คะแนนเต็ม]:[คะแนนเต็ม]]),"",(tbl_task6[93]/tbl_task6[[คะแนนเต็ม]:[คะแนนเต็ม]])*tbl_task6[[%]:[%]])</f>
        <v/>
      </c>
      <c r="JD5" s="121" t="str">
        <f>IF(ISBLANK(tbl_task6[[คะแนนเต็ม]:[คะแนนเต็ม]]),"",(tbl_task6[94]/tbl_task6[[คะแนนเต็ม]:[คะแนนเต็ม]])*tbl_task6[[%]:[%]])</f>
        <v/>
      </c>
      <c r="JE5" s="121" t="str">
        <f>IF(ISBLANK(tbl_task6[[คะแนนเต็ม]:[คะแนนเต็ม]]),"",(tbl_task6[95]/tbl_task6[[คะแนนเต็ม]:[คะแนนเต็ม]])*tbl_task6[[%]:[%]])</f>
        <v/>
      </c>
      <c r="JF5" s="121" t="str">
        <f>IF(ISBLANK(tbl_task6[[คะแนนเต็ม]:[คะแนนเต็ม]]),"",(tbl_task6[96]/tbl_task6[[คะแนนเต็ม]:[คะแนนเต็ม]])*tbl_task6[[%]:[%]])</f>
        <v/>
      </c>
      <c r="JG5" s="121" t="str">
        <f>IF(ISBLANK(tbl_task6[[คะแนนเต็ม]:[คะแนนเต็ม]]),"",(tbl_task6[97]/tbl_task6[[คะแนนเต็ม]:[คะแนนเต็ม]])*tbl_task6[[%]:[%]])</f>
        <v/>
      </c>
      <c r="JH5" s="121" t="str">
        <f>IF(ISBLANK(tbl_task6[[คะแนนเต็ม]:[คะแนนเต็ม]]),"",(tbl_task6[98]/tbl_task6[[คะแนนเต็ม]:[คะแนนเต็ม]])*tbl_task6[[%]:[%]])</f>
        <v/>
      </c>
      <c r="JI5" s="121" t="str">
        <f>IF(ISBLANK(tbl_task6[[คะแนนเต็ม]:[คะแนนเต็ม]]),"",(tbl_task6[99]/tbl_task6[[คะแนนเต็ม]:[คะแนนเต็ม]])*tbl_task6[[%]:[%]])</f>
        <v/>
      </c>
      <c r="JJ5" s="121" t="str">
        <f>IF(ISBLANK(tbl_task6[[คะแนนเต็ม]:[คะแนนเต็ม]]),"",(tbl_task6[100]/tbl_task6[[คะแนนเต็ม]:[คะแนนเต็ม]])*tbl_task6[[%]:[%]])</f>
        <v/>
      </c>
      <c r="JK5" s="121" t="str">
        <f>IF(ISBLANK(tbl_task6[[คะแนนเต็ม]:[คะแนนเต็ม]]),"",(tbl_task6[101]/tbl_task6[[คะแนนเต็ม]:[คะแนนเต็ม]])*tbl_task6[[%]:[%]])</f>
        <v/>
      </c>
      <c r="JL5" s="121" t="str">
        <f>IF(ISBLANK(tbl_task6[[คะแนนเต็ม]:[คะแนนเต็ม]]),"",(tbl_task6[102]/tbl_task6[[คะแนนเต็ม]:[คะแนนเต็ม]])*tbl_task6[[%]:[%]])</f>
        <v/>
      </c>
      <c r="JM5" s="121" t="str">
        <f>IF(ISBLANK(tbl_task6[[คะแนนเต็ม]:[คะแนนเต็ม]]),"",(tbl_task6[103]/tbl_task6[[คะแนนเต็ม]:[คะแนนเต็ม]])*tbl_task6[[%]:[%]])</f>
        <v/>
      </c>
      <c r="JN5" s="121" t="str">
        <f>IF(ISBLANK(tbl_task6[[คะแนนเต็ม]:[คะแนนเต็ม]]),"",(tbl_task6[104]/tbl_task6[[คะแนนเต็ม]:[คะแนนเต็ม]])*tbl_task6[[%]:[%]])</f>
        <v/>
      </c>
      <c r="JO5" s="121" t="str">
        <f>IF(ISBLANK(tbl_task6[[คะแนนเต็ม]:[คะแนนเต็ม]]),"",(tbl_task6[105]/tbl_task6[[คะแนนเต็ม]:[คะแนนเต็ม]])*tbl_task6[[%]:[%]])</f>
        <v/>
      </c>
      <c r="JP5" s="121" t="str">
        <f>IF(ISBLANK(tbl_task6[[คะแนนเต็ม]:[คะแนนเต็ม]]),"",(tbl_task6[106]/tbl_task6[[คะแนนเต็ม]:[คะแนนเต็ม]])*tbl_task6[[%]:[%]])</f>
        <v/>
      </c>
      <c r="JQ5" s="121" t="str">
        <f>IF(ISBLANK(tbl_task6[[คะแนนเต็ม]:[คะแนนเต็ม]]),"",(tbl_task6[107]/tbl_task6[[คะแนนเต็ม]:[คะแนนเต็ม]])*tbl_task6[[%]:[%]])</f>
        <v/>
      </c>
      <c r="JR5" s="121" t="str">
        <f>IF(ISBLANK(tbl_task6[[คะแนนเต็ม]:[คะแนนเต็ม]]),"",(tbl_task6[108]/tbl_task6[[คะแนนเต็ม]:[คะแนนเต็ม]])*tbl_task6[[%]:[%]])</f>
        <v/>
      </c>
      <c r="JS5" s="121" t="str">
        <f>IF(ISBLANK(tbl_task6[[คะแนนเต็ม]:[คะแนนเต็ม]]),"",(tbl_task6[109]/tbl_task6[[คะแนนเต็ม]:[คะแนนเต็ม]])*tbl_task6[[%]:[%]])</f>
        <v/>
      </c>
      <c r="JT5" s="121" t="str">
        <f>IF(ISBLANK(tbl_task6[[คะแนนเต็ม]:[คะแนนเต็ม]]),"",(tbl_task6[110]/tbl_task6[[คะแนนเต็ม]:[คะแนนเต็ม]])*tbl_task6[[%]:[%]])</f>
        <v/>
      </c>
      <c r="JU5" s="121" t="str">
        <f>IF(ISBLANK(tbl_task6[[คะแนนเต็ม]:[คะแนนเต็ม]]),"",(tbl_task6[111]/tbl_task6[[คะแนนเต็ม]:[คะแนนเต็ม]])*tbl_task6[[%]:[%]])</f>
        <v/>
      </c>
      <c r="JV5" s="121" t="str">
        <f>IF(ISBLANK(tbl_task6[[คะแนนเต็ม]:[คะแนนเต็ม]]),"",(tbl_task6[112]/tbl_task6[[คะแนนเต็ม]:[คะแนนเต็ม]])*tbl_task6[[%]:[%]])</f>
        <v/>
      </c>
      <c r="JW5" s="121" t="str">
        <f>IF(ISBLANK(tbl_task6[[คะแนนเต็ม]:[คะแนนเต็ม]]),"",(tbl_task6[113]/tbl_task6[[คะแนนเต็ม]:[คะแนนเต็ม]])*tbl_task6[[%]:[%]])</f>
        <v/>
      </c>
      <c r="JX5" s="121" t="str">
        <f>IF(ISBLANK(tbl_task6[[คะแนนเต็ม]:[คะแนนเต็ม]]),"",(tbl_task6[114]/tbl_task6[[คะแนนเต็ม]:[คะแนนเต็ม]])*tbl_task6[[%]:[%]])</f>
        <v/>
      </c>
      <c r="JY5" s="121" t="str">
        <f>IF(ISBLANK(tbl_task6[[คะแนนเต็ม]:[คะแนนเต็ม]]),"",(tbl_task6[115]/tbl_task6[[คะแนนเต็ม]:[คะแนนเต็ม]])*tbl_task6[[%]:[%]])</f>
        <v/>
      </c>
      <c r="JZ5" s="121" t="str">
        <f>IF(ISBLANK(tbl_task6[[คะแนนเต็ม]:[คะแนนเต็ม]]),"",(tbl_task6[116]/tbl_task6[[คะแนนเต็ม]:[คะแนนเต็ม]])*tbl_task6[[%]:[%]])</f>
        <v/>
      </c>
      <c r="KA5" s="121" t="str">
        <f>IF(ISBLANK(tbl_task6[[คะแนนเต็ม]:[คะแนนเต็ม]]),"",(tbl_task6[117]/tbl_task6[[คะแนนเต็ม]:[คะแนนเต็ม]])*tbl_task6[[%]:[%]])</f>
        <v/>
      </c>
      <c r="KB5" s="121" t="str">
        <f>IF(ISBLANK(tbl_task6[[คะแนนเต็ม]:[คะแนนเต็ม]]),"",(tbl_task6[118]/tbl_task6[[คะแนนเต็ม]:[คะแนนเต็ม]])*tbl_task6[[%]:[%]])</f>
        <v/>
      </c>
      <c r="KC5" s="121" t="str">
        <f>IF(ISBLANK(tbl_task6[[คะแนนเต็ม]:[คะแนนเต็ม]]),"",(tbl_task6[119]/tbl_task6[[คะแนนเต็ม]:[คะแนนเต็ม]])*tbl_task6[[%]:[%]])</f>
        <v/>
      </c>
      <c r="KD5" s="121" t="str">
        <f>IF(ISBLANK(tbl_task6[[คะแนนเต็ม]:[คะแนนเต็ม]]),"",(tbl_task6[120]/tbl_task6[[คะแนนเต็ม]:[คะแนนเต็ม]])*tbl_task6[[%]:[%]])</f>
        <v/>
      </c>
      <c r="KE5" s="121" t="str">
        <f>IF(ISBLANK(tbl_task6[[คะแนนเต็ม]:[คะแนนเต็ม]]),"",(tbl_task6[121]/tbl_task6[[คะแนนเต็ม]:[คะแนนเต็ม]])*tbl_task6[[%]:[%]])</f>
        <v/>
      </c>
      <c r="KF5" s="121" t="str">
        <f>IF(ISBLANK(tbl_task6[[คะแนนเต็ม]:[คะแนนเต็ม]]),"",(tbl_task6[122]/tbl_task6[[คะแนนเต็ม]:[คะแนนเต็ม]])*tbl_task6[[%]:[%]])</f>
        <v/>
      </c>
      <c r="KG5" s="121" t="str">
        <f>IF(ISBLANK(tbl_task6[[คะแนนเต็ม]:[คะแนนเต็ม]]),"",(tbl_task6[123]/tbl_task6[[คะแนนเต็ม]:[คะแนนเต็ม]])*tbl_task6[[%]:[%]])</f>
        <v/>
      </c>
      <c r="KH5" s="121" t="str">
        <f>IF(ISBLANK(tbl_task6[[คะแนนเต็ม]:[คะแนนเต็ม]]),"",(tbl_task6[124]/tbl_task6[[คะแนนเต็ม]:[คะแนนเต็ม]])*tbl_task6[[%]:[%]])</f>
        <v/>
      </c>
      <c r="KI5" s="121" t="str">
        <f>IF(ISBLANK(tbl_task6[[คะแนนเต็ม]:[คะแนนเต็ม]]),"",(tbl_task6[125]/tbl_task6[[คะแนนเต็ม]:[คะแนนเต็ม]])*tbl_task6[[%]:[%]])</f>
        <v/>
      </c>
      <c r="KJ5" s="121" t="str">
        <f>IF(ISBLANK(tbl_task6[[คะแนนเต็ม]:[คะแนนเต็ม]]),"",(tbl_task6[126]/tbl_task6[[คะแนนเต็ม]:[คะแนนเต็ม]])*tbl_task6[[%]:[%]])</f>
        <v/>
      </c>
      <c r="KK5" s="121" t="str">
        <f>IF(ISBLANK(tbl_task6[[คะแนนเต็ม]:[คะแนนเต็ม]]),"",(tbl_task6[127]/tbl_task6[[คะแนนเต็ม]:[คะแนนเต็ม]])*tbl_task6[[%]:[%]])</f>
        <v/>
      </c>
      <c r="KL5" s="121" t="str">
        <f>IF(ISBLANK(tbl_task6[[คะแนนเต็ม]:[คะแนนเต็ม]]),"",(tbl_task6[128]/tbl_task6[[คะแนนเต็ม]:[คะแนนเต็ม]])*tbl_task6[[%]:[%]])</f>
        <v/>
      </c>
      <c r="KM5" s="121" t="str">
        <f>IF(ISBLANK(tbl_task6[[คะแนนเต็ม]:[คะแนนเต็ม]]),"",(tbl_task6[129]/tbl_task6[[คะแนนเต็ม]:[คะแนนเต็ม]])*tbl_task6[[%]:[%]])</f>
        <v/>
      </c>
      <c r="KN5" s="121" t="str">
        <f>IF(ISBLANK(tbl_task6[[คะแนนเต็ม]:[คะแนนเต็ม]]),"",(tbl_task6[130]/tbl_task6[[คะแนนเต็ม]:[คะแนนเต็ม]])*tbl_task6[[%]:[%]])</f>
        <v/>
      </c>
      <c r="KO5" s="121" t="str">
        <f>IF(ISBLANK(tbl_task6[[คะแนนเต็ม]:[คะแนนเต็ม]]),"",(tbl_task6[131]/tbl_task6[[คะแนนเต็ม]:[คะแนนเต็ม]])*tbl_task6[[%]:[%]])</f>
        <v/>
      </c>
      <c r="KP5" s="121" t="str">
        <f>IF(ISBLANK(tbl_task6[[คะแนนเต็ม]:[คะแนนเต็ม]]),"",(tbl_task6[132]/tbl_task6[[คะแนนเต็ม]:[คะแนนเต็ม]])*tbl_task6[[%]:[%]])</f>
        <v/>
      </c>
      <c r="KQ5" s="121" t="str">
        <f>IF(ISBLANK(tbl_task6[[คะแนนเต็ม]:[คะแนนเต็ม]]),"",(tbl_task6[133]/tbl_task6[[คะแนนเต็ม]:[คะแนนเต็ม]])*tbl_task6[[%]:[%]])</f>
        <v/>
      </c>
      <c r="KR5" s="121" t="str">
        <f>IF(ISBLANK(tbl_task6[[คะแนนเต็ม]:[คะแนนเต็ม]]),"",(tbl_task6[134]/tbl_task6[[คะแนนเต็ม]:[คะแนนเต็ม]])*tbl_task6[[%]:[%]])</f>
        <v/>
      </c>
      <c r="KS5" s="121" t="str">
        <f>IF(ISBLANK(tbl_task6[[คะแนนเต็ม]:[คะแนนเต็ม]]),"",(tbl_task6[135]/tbl_task6[[คะแนนเต็ม]:[คะแนนเต็ม]])*tbl_task6[[%]:[%]])</f>
        <v/>
      </c>
      <c r="KT5" s="121" t="str">
        <f>IF(ISBLANK(tbl_task6[[คะแนนเต็ม]:[คะแนนเต็ม]]),"",(tbl_task6[136]/tbl_task6[[คะแนนเต็ม]:[คะแนนเต็ม]])*tbl_task6[[%]:[%]])</f>
        <v/>
      </c>
      <c r="KU5" s="121" t="str">
        <f>IF(ISBLANK(tbl_task6[[คะแนนเต็ม]:[คะแนนเต็ม]]),"",(tbl_task6[137]/tbl_task6[[คะแนนเต็ม]:[คะแนนเต็ม]])*tbl_task6[[%]:[%]])</f>
        <v/>
      </c>
      <c r="KV5" s="121" t="str">
        <f>IF(ISBLANK(tbl_task6[[คะแนนเต็ม]:[คะแนนเต็ม]]),"",(tbl_task6[138]/tbl_task6[[คะแนนเต็ม]:[คะแนนเต็ม]])*tbl_task6[[%]:[%]])</f>
        <v/>
      </c>
      <c r="KW5" s="121" t="str">
        <f>IF(ISBLANK(tbl_task6[[คะแนนเต็ม]:[คะแนนเต็ม]]),"",(tbl_task6[139]/tbl_task6[[คะแนนเต็ม]:[คะแนนเต็ม]])*tbl_task6[[%]:[%]])</f>
        <v/>
      </c>
      <c r="KX5" s="121" t="str">
        <f>IF(ISBLANK(tbl_task6[[คะแนนเต็ม]:[คะแนนเต็ม]]),"",(tbl_task6[140]/tbl_task6[[คะแนนเต็ม]:[คะแนนเต็ม]])*tbl_task6[[%]:[%]])</f>
        <v/>
      </c>
      <c r="KY5" s="121" t="str">
        <f>IF(ISBLANK(tbl_task6[[คะแนนเต็ม]:[คะแนนเต็ม]]),"",(tbl_task6[141]/tbl_task6[[คะแนนเต็ม]:[คะแนนเต็ม]])*tbl_task6[[%]:[%]])</f>
        <v/>
      </c>
      <c r="KZ5" s="121" t="str">
        <f>IF(ISBLANK(tbl_task6[[คะแนนเต็ม]:[คะแนนเต็ม]]),"",(tbl_task6[142]/tbl_task6[[คะแนนเต็ม]:[คะแนนเต็ม]])*tbl_task6[[%]:[%]])</f>
        <v/>
      </c>
      <c r="LA5" s="121" t="str">
        <f>IF(ISBLANK(tbl_task6[[คะแนนเต็ม]:[คะแนนเต็ม]]),"",(tbl_task6[143]/tbl_task6[[คะแนนเต็ม]:[คะแนนเต็ม]])*tbl_task6[[%]:[%]])</f>
        <v/>
      </c>
      <c r="LB5" s="121" t="str">
        <f>IF(ISBLANK(tbl_task6[[คะแนนเต็ม]:[คะแนนเต็ม]]),"",(tbl_task6[144]/tbl_task6[[คะแนนเต็ม]:[คะแนนเต็ม]])*tbl_task6[[%]:[%]])</f>
        <v/>
      </c>
      <c r="LC5" s="121" t="str">
        <f>IF(ISBLANK(tbl_task6[[คะแนนเต็ม]:[คะแนนเต็ม]]),"",(tbl_task6[145]/tbl_task6[[คะแนนเต็ม]:[คะแนนเต็ม]])*tbl_task6[[%]:[%]])</f>
        <v/>
      </c>
      <c r="LD5" s="121" t="str">
        <f>IF(ISBLANK(tbl_task6[[คะแนนเต็ม]:[คะแนนเต็ม]]),"",(tbl_task6[146]/tbl_task6[[คะแนนเต็ม]:[คะแนนเต็ม]])*tbl_task6[[%]:[%]])</f>
        <v/>
      </c>
      <c r="LE5" s="121" t="str">
        <f>IF(ISBLANK(tbl_task6[[คะแนนเต็ม]:[คะแนนเต็ม]]),"",(tbl_task6[147]/tbl_task6[[คะแนนเต็ม]:[คะแนนเต็ม]])*tbl_task6[[%]:[%]])</f>
        <v/>
      </c>
      <c r="LF5" s="121" t="str">
        <f>IF(ISBLANK(tbl_task6[[คะแนนเต็ม]:[คะแนนเต็ม]]),"",(tbl_task6[148]/tbl_task6[[คะแนนเต็ม]:[คะแนนเต็ม]])*tbl_task6[[%]:[%]])</f>
        <v/>
      </c>
      <c r="LG5" s="121" t="str">
        <f>IF(ISBLANK(tbl_task6[[คะแนนเต็ม]:[คะแนนเต็ม]]),"",(tbl_task6[149]/tbl_task6[[คะแนนเต็ม]:[คะแนนเต็ม]])*tbl_task6[[%]:[%]])</f>
        <v/>
      </c>
      <c r="LH5" s="121" t="str">
        <f>IF(ISBLANK(tbl_task6[[คะแนนเต็ม]:[คะแนนเต็ม]]),"",(tbl_task6[150]/tbl_task6[[คะแนนเต็ม]:[คะแนนเต็ม]])*tbl_task6[[%]:[%]])</f>
        <v/>
      </c>
      <c r="LI5" s="121" t="str">
        <f>IF(ISBLANK(tbl_task6[[คะแนนเต็ม]:[คะแนนเต็ม]]),"",(tbl_task6[151]/tbl_task6[[คะแนนเต็ม]:[คะแนนเต็ม]])*tbl_task6[[%]:[%]])</f>
        <v/>
      </c>
      <c r="LJ5" s="121" t="str">
        <f>IF(ISBLANK(tbl_task6[[คะแนนเต็ม]:[คะแนนเต็ม]]),"",(tbl_task6[152]/tbl_task6[[คะแนนเต็ม]:[คะแนนเต็ม]])*tbl_task6[[%]:[%]])</f>
        <v/>
      </c>
      <c r="LK5" s="121" t="str">
        <f>IF(ISBLANK(tbl_task6[[คะแนนเต็ม]:[คะแนนเต็ม]]),"",(tbl_task6[153]/tbl_task6[[คะแนนเต็ม]:[คะแนนเต็ม]])*tbl_task6[[%]:[%]])</f>
        <v/>
      </c>
      <c r="LL5" s="121" t="str">
        <f>IF(ISBLANK(tbl_task6[[คะแนนเต็ม]:[คะแนนเต็ม]]),"",(tbl_task6[154]/tbl_task6[[คะแนนเต็ม]:[คะแนนเต็ม]])*tbl_task6[[%]:[%]])</f>
        <v/>
      </c>
      <c r="LM5" s="121" t="str">
        <f>IF(ISBLANK(tbl_task6[[คะแนนเต็ม]:[คะแนนเต็ม]]),"",(tbl_task6[155]/tbl_task6[[คะแนนเต็ม]:[คะแนนเต็ม]])*tbl_task6[[%]:[%]])</f>
        <v/>
      </c>
      <c r="LN5" s="121" t="str">
        <f>IF(ISBLANK(tbl_task6[[คะแนนเต็ม]:[คะแนนเต็ม]]),"",(tbl_task6[156]/tbl_task6[[คะแนนเต็ม]:[คะแนนเต็ม]])*tbl_task6[[%]:[%]])</f>
        <v/>
      </c>
      <c r="LO5" s="121" t="str">
        <f>IF(ISBLANK(tbl_task6[[คะแนนเต็ม]:[คะแนนเต็ม]]),"",(tbl_task6[157]/tbl_task6[[คะแนนเต็ม]:[คะแนนเต็ม]])*tbl_task6[[%]:[%]])</f>
        <v/>
      </c>
      <c r="LP5" s="121" t="str">
        <f>IF(ISBLANK(tbl_task6[[คะแนนเต็ม]:[คะแนนเต็ม]]),"",(tbl_task6[158]/tbl_task6[[คะแนนเต็ม]:[คะแนนเต็ม]])*tbl_task6[[%]:[%]])</f>
        <v/>
      </c>
      <c r="LQ5" s="121" t="str">
        <f>IF(ISBLANK(tbl_task6[[คะแนนเต็ม]:[คะแนนเต็ม]]),"",(tbl_task6[159]/tbl_task6[[คะแนนเต็ม]:[คะแนนเต็ม]])*tbl_task6[[%]:[%]])</f>
        <v/>
      </c>
      <c r="LR5" s="121" t="str">
        <f>IF(ISBLANK(tbl_task6[[คะแนนเต็ม]:[คะแนนเต็ม]]),"",(tbl_task6[160]/tbl_task6[[คะแนนเต็ม]:[คะแนนเต็ม]])*tbl_task6[[%]:[%]])</f>
        <v/>
      </c>
      <c r="LS5" s="121" t="str">
        <f>IF(ISBLANK(tbl_task6[[คะแนนเต็ม]:[คะแนนเต็ม]]),"",(tbl_task6[161]/tbl_task6[[คะแนนเต็ม]:[คะแนนเต็ม]])*tbl_task6[[%]:[%]])</f>
        <v/>
      </c>
      <c r="LT5" s="121" t="str">
        <f>IF(ISBLANK(tbl_task6[[คะแนนเต็ม]:[คะแนนเต็ม]]),"",(tbl_task6[162]/tbl_task6[[คะแนนเต็ม]:[คะแนนเต็ม]])*tbl_task6[[%]:[%]])</f>
        <v/>
      </c>
      <c r="LU5" s="121" t="str">
        <f>IF(ISBLANK(tbl_task6[[คะแนนเต็ม]:[คะแนนเต็ม]]),"",(tbl_task6[163]/tbl_task6[[คะแนนเต็ม]:[คะแนนเต็ม]])*tbl_task6[[%]:[%]])</f>
        <v/>
      </c>
      <c r="LV5" s="121" t="str">
        <f>IF(ISBLANK(tbl_task6[[คะแนนเต็ม]:[คะแนนเต็ม]]),"",(tbl_task6[164]/tbl_task6[[คะแนนเต็ม]:[คะแนนเต็ม]])*tbl_task6[[%]:[%]])</f>
        <v/>
      </c>
      <c r="LW5" s="121" t="str">
        <f>IF(ISBLANK(tbl_task6[[คะแนนเต็ม]:[คะแนนเต็ม]]),"",(tbl_task6[165]/tbl_task6[[คะแนนเต็ม]:[คะแนนเต็ม]])*tbl_task6[[%]:[%]])</f>
        <v/>
      </c>
    </row>
    <row r="6" spans="1:335" ht="24.75" customHeight="1" x14ac:dyDescent="0.25">
      <c r="A6" s="24">
        <v>3</v>
      </c>
      <c r="B6" s="20"/>
      <c r="C6" s="5" t="str">
        <f>IF(ISBLANK(B6),"",VLOOKUP(B6,tbl_PLOs[],2,0))</f>
        <v/>
      </c>
      <c r="D6" s="102"/>
      <c r="E6" s="10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22"/>
      <c r="FO6" s="121" t="str">
        <f>IF(ISBLANK(tbl_task6[[คะแนนเต็ม]:[คะแนนเต็ม]]),"",(tbl_task6[1]/tbl_task6[[คะแนนเต็ม]:[คะแนนเต็ม]])*tbl_task6[[%]:[%]])</f>
        <v/>
      </c>
      <c r="FP6" s="121" t="str">
        <f>IF(ISBLANK(tbl_task6[[คะแนนเต็ม]:[คะแนนเต็ม]]),"",(tbl_task6[2]/tbl_task6[[คะแนนเต็ม]:[คะแนนเต็ม]])*tbl_task6[[%]:[%]])</f>
        <v/>
      </c>
      <c r="FQ6" s="121" t="str">
        <f>IF(ISBLANK(tbl_task6[[คะแนนเต็ม]:[คะแนนเต็ม]]),"",(tbl_task6[3]/tbl_task6[[คะแนนเต็ม]:[คะแนนเต็ม]])*tbl_task6[[%]:[%]])</f>
        <v/>
      </c>
      <c r="FR6" s="121" t="str">
        <f>IF(ISBLANK(tbl_task6[[คะแนนเต็ม]:[คะแนนเต็ม]]),"",(tbl_task6[4]/tbl_task6[[คะแนนเต็ม]:[คะแนนเต็ม]])*tbl_task6[[%]:[%]])</f>
        <v/>
      </c>
      <c r="FS6" s="121" t="str">
        <f>IF(ISBLANK(tbl_task6[[คะแนนเต็ม]:[คะแนนเต็ม]]),"",(tbl_task6[5]/tbl_task6[[คะแนนเต็ม]:[คะแนนเต็ม]])*tbl_task6[[%]:[%]])</f>
        <v/>
      </c>
      <c r="FT6" s="121" t="str">
        <f>IF(ISBLANK(tbl_task6[[คะแนนเต็ม]:[คะแนนเต็ม]]),"",(tbl_task6[6]/tbl_task6[[คะแนนเต็ม]:[คะแนนเต็ม]])*tbl_task6[[%]:[%]])</f>
        <v/>
      </c>
      <c r="FU6" s="121" t="str">
        <f>IF(ISBLANK(tbl_task6[[คะแนนเต็ม]:[คะแนนเต็ม]]),"",(tbl_task6[7]/tbl_task6[[คะแนนเต็ม]:[คะแนนเต็ม]])*tbl_task6[[%]:[%]])</f>
        <v/>
      </c>
      <c r="FV6" s="121" t="str">
        <f>IF(ISBLANK(tbl_task6[[คะแนนเต็ม]:[คะแนนเต็ม]]),"",(tbl_task6[8]/tbl_task6[[คะแนนเต็ม]:[คะแนนเต็ม]])*tbl_task6[[%]:[%]])</f>
        <v/>
      </c>
      <c r="FW6" s="121" t="str">
        <f>IF(ISBLANK(tbl_task6[[คะแนนเต็ม]:[คะแนนเต็ม]]),"",(tbl_task6[9]/tbl_task6[[คะแนนเต็ม]:[คะแนนเต็ม]])*tbl_task6[[%]:[%]])</f>
        <v/>
      </c>
      <c r="FX6" s="121" t="str">
        <f>IF(ISBLANK(tbl_task6[[คะแนนเต็ม]:[คะแนนเต็ม]]),"",(tbl_task6[10]/tbl_task6[[คะแนนเต็ม]:[คะแนนเต็ม]])*tbl_task6[[%]:[%]])</f>
        <v/>
      </c>
      <c r="FY6" s="121" t="str">
        <f>IF(ISBLANK(tbl_task6[[คะแนนเต็ม]:[คะแนนเต็ม]]),"",(tbl_task6[11]/tbl_task6[[คะแนนเต็ม]:[คะแนนเต็ม]])*tbl_task6[[%]:[%]])</f>
        <v/>
      </c>
      <c r="FZ6" s="121" t="str">
        <f>IF(ISBLANK(tbl_task6[[คะแนนเต็ม]:[คะแนนเต็ม]]),"",(tbl_task6[12]/tbl_task6[[คะแนนเต็ม]:[คะแนนเต็ม]])*tbl_task6[[%]:[%]])</f>
        <v/>
      </c>
      <c r="GA6" s="121" t="str">
        <f>IF(ISBLANK(tbl_task6[[คะแนนเต็ม]:[คะแนนเต็ม]]),"",(tbl_task6[13]/tbl_task6[[คะแนนเต็ม]:[คะแนนเต็ม]])*tbl_task6[[%]:[%]])</f>
        <v/>
      </c>
      <c r="GB6" s="121" t="str">
        <f>IF(ISBLANK(tbl_task6[[คะแนนเต็ม]:[คะแนนเต็ม]]),"",(tbl_task6[14]/tbl_task6[[คะแนนเต็ม]:[คะแนนเต็ม]])*tbl_task6[[%]:[%]])</f>
        <v/>
      </c>
      <c r="GC6" s="121" t="str">
        <f>IF(ISBLANK(tbl_task6[[คะแนนเต็ม]:[คะแนนเต็ม]]),"",(tbl_task6[15]/tbl_task6[[คะแนนเต็ม]:[คะแนนเต็ม]])*tbl_task6[[%]:[%]])</f>
        <v/>
      </c>
      <c r="GD6" s="121" t="str">
        <f>IF(ISBLANK(tbl_task6[[คะแนนเต็ม]:[คะแนนเต็ม]]),"",(tbl_task6[16]/tbl_task6[[คะแนนเต็ม]:[คะแนนเต็ม]])*tbl_task6[[%]:[%]])</f>
        <v/>
      </c>
      <c r="GE6" s="121" t="str">
        <f>IF(ISBLANK(tbl_task6[[คะแนนเต็ม]:[คะแนนเต็ม]]),"",(tbl_task6[17]/tbl_task6[[คะแนนเต็ม]:[คะแนนเต็ม]])*tbl_task6[[%]:[%]])</f>
        <v/>
      </c>
      <c r="GF6" s="121" t="str">
        <f>IF(ISBLANK(tbl_task6[[คะแนนเต็ม]:[คะแนนเต็ม]]),"",(tbl_task6[18]/tbl_task6[[คะแนนเต็ม]:[คะแนนเต็ม]])*tbl_task6[[%]:[%]])</f>
        <v/>
      </c>
      <c r="GG6" s="121" t="str">
        <f>IF(ISBLANK(tbl_task6[[คะแนนเต็ม]:[คะแนนเต็ม]]),"",(tbl_task6[19]/tbl_task6[[คะแนนเต็ม]:[คะแนนเต็ม]])*tbl_task6[[%]:[%]])</f>
        <v/>
      </c>
      <c r="GH6" s="121" t="str">
        <f>IF(ISBLANK(tbl_task6[[คะแนนเต็ม]:[คะแนนเต็ม]]),"",(tbl_task6[20]/tbl_task6[[คะแนนเต็ม]:[คะแนนเต็ม]])*tbl_task6[[%]:[%]])</f>
        <v/>
      </c>
      <c r="GI6" s="121" t="str">
        <f>IF(ISBLANK(tbl_task6[[คะแนนเต็ม]:[คะแนนเต็ม]]),"",(tbl_task6[21]/tbl_task6[[คะแนนเต็ม]:[คะแนนเต็ม]])*tbl_task6[[%]:[%]])</f>
        <v/>
      </c>
      <c r="GJ6" s="121" t="str">
        <f>IF(ISBLANK(tbl_task6[[คะแนนเต็ม]:[คะแนนเต็ม]]),"",(tbl_task6[22]/tbl_task6[[คะแนนเต็ม]:[คะแนนเต็ม]])*tbl_task6[[%]:[%]])</f>
        <v/>
      </c>
      <c r="GK6" s="121" t="str">
        <f>IF(ISBLANK(tbl_task6[[คะแนนเต็ม]:[คะแนนเต็ม]]),"",(tbl_task6[23]/tbl_task6[[คะแนนเต็ม]:[คะแนนเต็ม]])*tbl_task6[[%]:[%]])</f>
        <v/>
      </c>
      <c r="GL6" s="121" t="str">
        <f>IF(ISBLANK(tbl_task6[[คะแนนเต็ม]:[คะแนนเต็ม]]),"",(tbl_task6[24]/tbl_task6[[คะแนนเต็ม]:[คะแนนเต็ม]])*tbl_task6[[%]:[%]])</f>
        <v/>
      </c>
      <c r="GM6" s="121" t="str">
        <f>IF(ISBLANK(tbl_task6[[คะแนนเต็ม]:[คะแนนเต็ม]]),"",(tbl_task6[25]/tbl_task6[[คะแนนเต็ม]:[คะแนนเต็ม]])*tbl_task6[[%]:[%]])</f>
        <v/>
      </c>
      <c r="GN6" s="121" t="str">
        <f>IF(ISBLANK(tbl_task6[[คะแนนเต็ม]:[คะแนนเต็ม]]),"",(tbl_task6[26]/tbl_task6[[คะแนนเต็ม]:[คะแนนเต็ม]])*tbl_task6[[%]:[%]])</f>
        <v/>
      </c>
      <c r="GO6" s="121" t="str">
        <f>IF(ISBLANK(tbl_task6[[คะแนนเต็ม]:[คะแนนเต็ม]]),"",(tbl_task6[27]/tbl_task6[[คะแนนเต็ม]:[คะแนนเต็ม]])*tbl_task6[[%]:[%]])</f>
        <v/>
      </c>
      <c r="GP6" s="121" t="str">
        <f>IF(ISBLANK(tbl_task6[[คะแนนเต็ม]:[คะแนนเต็ม]]),"",(tbl_task6[28]/tbl_task6[[คะแนนเต็ม]:[คะแนนเต็ม]])*tbl_task6[[%]:[%]])</f>
        <v/>
      </c>
      <c r="GQ6" s="121" t="str">
        <f>IF(ISBLANK(tbl_task6[[คะแนนเต็ม]:[คะแนนเต็ม]]),"",(tbl_task6[29]/tbl_task6[[คะแนนเต็ม]:[คะแนนเต็ม]])*tbl_task6[[%]:[%]])</f>
        <v/>
      </c>
      <c r="GR6" s="121" t="str">
        <f>IF(ISBLANK(tbl_task6[[คะแนนเต็ม]:[คะแนนเต็ม]]),"",(tbl_task6[30]/tbl_task6[[คะแนนเต็ม]:[คะแนนเต็ม]])*tbl_task6[[%]:[%]])</f>
        <v/>
      </c>
      <c r="GS6" s="121" t="str">
        <f>IF(ISBLANK(tbl_task6[[คะแนนเต็ม]:[คะแนนเต็ม]]),"",(tbl_task6[31]/tbl_task6[[คะแนนเต็ม]:[คะแนนเต็ม]])*tbl_task6[[%]:[%]])</f>
        <v/>
      </c>
      <c r="GT6" s="121" t="str">
        <f>IF(ISBLANK(tbl_task6[[คะแนนเต็ม]:[คะแนนเต็ม]]),"",(tbl_task6[32]/tbl_task6[[คะแนนเต็ม]:[คะแนนเต็ม]])*tbl_task6[[%]:[%]])</f>
        <v/>
      </c>
      <c r="GU6" s="121" t="str">
        <f>IF(ISBLANK(tbl_task6[[คะแนนเต็ม]:[คะแนนเต็ม]]),"",(tbl_task6[33]/tbl_task6[[คะแนนเต็ม]:[คะแนนเต็ม]])*tbl_task6[[%]:[%]])</f>
        <v/>
      </c>
      <c r="GV6" s="121" t="str">
        <f>IF(ISBLANK(tbl_task6[[คะแนนเต็ม]:[คะแนนเต็ม]]),"",(tbl_task6[34]/tbl_task6[[คะแนนเต็ม]:[คะแนนเต็ม]])*tbl_task6[[%]:[%]])</f>
        <v/>
      </c>
      <c r="GW6" s="121" t="str">
        <f>IF(ISBLANK(tbl_task6[[คะแนนเต็ม]:[คะแนนเต็ม]]),"",(tbl_task6[35]/tbl_task6[[คะแนนเต็ม]:[คะแนนเต็ม]])*tbl_task6[[%]:[%]])</f>
        <v/>
      </c>
      <c r="GX6" s="121" t="str">
        <f>IF(ISBLANK(tbl_task6[[คะแนนเต็ม]:[คะแนนเต็ม]]),"",(tbl_task6[36]/tbl_task6[[คะแนนเต็ม]:[คะแนนเต็ม]])*tbl_task6[[%]:[%]])</f>
        <v/>
      </c>
      <c r="GY6" s="121" t="str">
        <f>IF(ISBLANK(tbl_task6[[คะแนนเต็ม]:[คะแนนเต็ม]]),"",(tbl_task6[37]/tbl_task6[[คะแนนเต็ม]:[คะแนนเต็ม]])*tbl_task6[[%]:[%]])</f>
        <v/>
      </c>
      <c r="GZ6" s="121" t="str">
        <f>IF(ISBLANK(tbl_task6[[คะแนนเต็ม]:[คะแนนเต็ม]]),"",(tbl_task6[38]/tbl_task6[[คะแนนเต็ม]:[คะแนนเต็ม]])*tbl_task6[[%]:[%]])</f>
        <v/>
      </c>
      <c r="HA6" s="121" t="str">
        <f>IF(ISBLANK(tbl_task6[[คะแนนเต็ม]:[คะแนนเต็ม]]),"",(tbl_task6[39]/tbl_task6[[คะแนนเต็ม]:[คะแนนเต็ม]])*tbl_task6[[%]:[%]])</f>
        <v/>
      </c>
      <c r="HB6" s="121" t="str">
        <f>IF(ISBLANK(tbl_task6[[คะแนนเต็ม]:[คะแนนเต็ม]]),"",(tbl_task6[40]/tbl_task6[[คะแนนเต็ม]:[คะแนนเต็ม]])*tbl_task6[[%]:[%]])</f>
        <v/>
      </c>
      <c r="HC6" s="121" t="str">
        <f>IF(ISBLANK(tbl_task6[[คะแนนเต็ม]:[คะแนนเต็ม]]),"",(tbl_task6[41]/tbl_task6[[คะแนนเต็ม]:[คะแนนเต็ม]])*tbl_task6[[%]:[%]])</f>
        <v/>
      </c>
      <c r="HD6" s="121" t="str">
        <f>IF(ISBLANK(tbl_task6[[คะแนนเต็ม]:[คะแนนเต็ม]]),"",(tbl_task6[42]/tbl_task6[[คะแนนเต็ม]:[คะแนนเต็ม]])*tbl_task6[[%]:[%]])</f>
        <v/>
      </c>
      <c r="HE6" s="121" t="str">
        <f>IF(ISBLANK(tbl_task6[[คะแนนเต็ม]:[คะแนนเต็ม]]),"",(tbl_task6[43]/tbl_task6[[คะแนนเต็ม]:[คะแนนเต็ม]])*tbl_task6[[%]:[%]])</f>
        <v/>
      </c>
      <c r="HF6" s="121" t="str">
        <f>IF(ISBLANK(tbl_task6[[คะแนนเต็ม]:[คะแนนเต็ม]]),"",(tbl_task6[44]/tbl_task6[[คะแนนเต็ม]:[คะแนนเต็ม]])*tbl_task6[[%]:[%]])</f>
        <v/>
      </c>
      <c r="HG6" s="121" t="str">
        <f>IF(ISBLANK(tbl_task6[[คะแนนเต็ม]:[คะแนนเต็ม]]),"",(tbl_task6[45]/tbl_task6[[คะแนนเต็ม]:[คะแนนเต็ม]])*tbl_task6[[%]:[%]])</f>
        <v/>
      </c>
      <c r="HH6" s="121" t="str">
        <f>IF(ISBLANK(tbl_task6[[คะแนนเต็ม]:[คะแนนเต็ม]]),"",(tbl_task6[46]/tbl_task6[[คะแนนเต็ม]:[คะแนนเต็ม]])*tbl_task6[[%]:[%]])</f>
        <v/>
      </c>
      <c r="HI6" s="121" t="str">
        <f>IF(ISBLANK(tbl_task6[[คะแนนเต็ม]:[คะแนนเต็ม]]),"",(tbl_task6[47]/tbl_task6[[คะแนนเต็ม]:[คะแนนเต็ม]])*tbl_task6[[%]:[%]])</f>
        <v/>
      </c>
      <c r="HJ6" s="121" t="str">
        <f>IF(ISBLANK(tbl_task6[[คะแนนเต็ม]:[คะแนนเต็ม]]),"",(tbl_task6[48]/tbl_task6[[คะแนนเต็ม]:[คะแนนเต็ม]])*tbl_task6[[%]:[%]])</f>
        <v/>
      </c>
      <c r="HK6" s="121" t="str">
        <f>IF(ISBLANK(tbl_task6[[คะแนนเต็ม]:[คะแนนเต็ม]]),"",(tbl_task6[49]/tbl_task6[[คะแนนเต็ม]:[คะแนนเต็ม]])*tbl_task6[[%]:[%]])</f>
        <v/>
      </c>
      <c r="HL6" s="121" t="str">
        <f>IF(ISBLANK(tbl_task6[[คะแนนเต็ม]:[คะแนนเต็ม]]),"",(tbl_task6[50]/tbl_task6[[คะแนนเต็ม]:[คะแนนเต็ม]])*tbl_task6[[%]:[%]])</f>
        <v/>
      </c>
      <c r="HM6" s="121" t="str">
        <f>IF(ISBLANK(tbl_task6[[คะแนนเต็ม]:[คะแนนเต็ม]]),"",(tbl_task6[51]/tbl_task6[[คะแนนเต็ม]:[คะแนนเต็ม]])*tbl_task6[[%]:[%]])</f>
        <v/>
      </c>
      <c r="HN6" s="121" t="str">
        <f>IF(ISBLANK(tbl_task6[[คะแนนเต็ม]:[คะแนนเต็ม]]),"",(tbl_task6[52]/tbl_task6[[คะแนนเต็ม]:[คะแนนเต็ม]])*tbl_task6[[%]:[%]])</f>
        <v/>
      </c>
      <c r="HO6" s="121" t="str">
        <f>IF(ISBLANK(tbl_task6[[คะแนนเต็ม]:[คะแนนเต็ม]]),"",(tbl_task6[53]/tbl_task6[[คะแนนเต็ม]:[คะแนนเต็ม]])*tbl_task6[[%]:[%]])</f>
        <v/>
      </c>
      <c r="HP6" s="121" t="str">
        <f>IF(ISBLANK(tbl_task6[[คะแนนเต็ม]:[คะแนนเต็ม]]),"",(tbl_task6[54]/tbl_task6[[คะแนนเต็ม]:[คะแนนเต็ม]])*tbl_task6[[%]:[%]])</f>
        <v/>
      </c>
      <c r="HQ6" s="121" t="str">
        <f>IF(ISBLANK(tbl_task6[[คะแนนเต็ม]:[คะแนนเต็ม]]),"",(tbl_task6[55]/tbl_task6[[คะแนนเต็ม]:[คะแนนเต็ม]])*tbl_task6[[%]:[%]])</f>
        <v/>
      </c>
      <c r="HR6" s="121" t="str">
        <f>IF(ISBLANK(tbl_task6[[คะแนนเต็ม]:[คะแนนเต็ม]]),"",(tbl_task6[56]/tbl_task6[[คะแนนเต็ม]:[คะแนนเต็ม]])*tbl_task6[[%]:[%]])</f>
        <v/>
      </c>
      <c r="HS6" s="121" t="str">
        <f>IF(ISBLANK(tbl_task6[[คะแนนเต็ม]:[คะแนนเต็ม]]),"",(tbl_task6[57]/tbl_task6[[คะแนนเต็ม]:[คะแนนเต็ม]])*tbl_task6[[%]:[%]])</f>
        <v/>
      </c>
      <c r="HT6" s="121" t="str">
        <f>IF(ISBLANK(tbl_task6[[คะแนนเต็ม]:[คะแนนเต็ม]]),"",(tbl_task6[58]/tbl_task6[[คะแนนเต็ม]:[คะแนนเต็ม]])*tbl_task6[[%]:[%]])</f>
        <v/>
      </c>
      <c r="HU6" s="121" t="str">
        <f>IF(ISBLANK(tbl_task6[[คะแนนเต็ม]:[คะแนนเต็ม]]),"",(tbl_task6[59]/tbl_task6[[คะแนนเต็ม]:[คะแนนเต็ม]])*tbl_task6[[%]:[%]])</f>
        <v/>
      </c>
      <c r="HV6" s="121" t="str">
        <f>IF(ISBLANK(tbl_task6[[คะแนนเต็ม]:[คะแนนเต็ม]]),"",(tbl_task6[60]/tbl_task6[[คะแนนเต็ม]:[คะแนนเต็ม]])*tbl_task6[[%]:[%]])</f>
        <v/>
      </c>
      <c r="HW6" s="121" t="str">
        <f>IF(ISBLANK(tbl_task6[[คะแนนเต็ม]:[คะแนนเต็ม]]),"",(tbl_task6[61]/tbl_task6[[คะแนนเต็ม]:[คะแนนเต็ม]])*tbl_task6[[%]:[%]])</f>
        <v/>
      </c>
      <c r="HX6" s="121" t="str">
        <f>IF(ISBLANK(tbl_task6[[คะแนนเต็ม]:[คะแนนเต็ม]]),"",(tbl_task6[62]/tbl_task6[[คะแนนเต็ม]:[คะแนนเต็ม]])*tbl_task6[[%]:[%]])</f>
        <v/>
      </c>
      <c r="HY6" s="121" t="str">
        <f>IF(ISBLANK(tbl_task6[[คะแนนเต็ม]:[คะแนนเต็ม]]),"",(tbl_task6[63]/tbl_task6[[คะแนนเต็ม]:[คะแนนเต็ม]])*tbl_task6[[%]:[%]])</f>
        <v/>
      </c>
      <c r="HZ6" s="121" t="str">
        <f>IF(ISBLANK(tbl_task6[[คะแนนเต็ม]:[คะแนนเต็ม]]),"",(tbl_task6[64]/tbl_task6[[คะแนนเต็ม]:[คะแนนเต็ม]])*tbl_task6[[%]:[%]])</f>
        <v/>
      </c>
      <c r="IA6" s="121" t="str">
        <f>IF(ISBLANK(tbl_task6[[คะแนนเต็ม]:[คะแนนเต็ม]]),"",(tbl_task6[65]/tbl_task6[[คะแนนเต็ม]:[คะแนนเต็ม]])*tbl_task6[[%]:[%]])</f>
        <v/>
      </c>
      <c r="IB6" s="121" t="str">
        <f>IF(ISBLANK(tbl_task6[[คะแนนเต็ม]:[คะแนนเต็ม]]),"",(tbl_task6[66]/tbl_task6[[คะแนนเต็ม]:[คะแนนเต็ม]])*tbl_task6[[%]:[%]])</f>
        <v/>
      </c>
      <c r="IC6" s="121" t="str">
        <f>IF(ISBLANK(tbl_task6[[คะแนนเต็ม]:[คะแนนเต็ม]]),"",(tbl_task6[67]/tbl_task6[[คะแนนเต็ม]:[คะแนนเต็ม]])*tbl_task6[[%]:[%]])</f>
        <v/>
      </c>
      <c r="ID6" s="121" t="str">
        <f>IF(ISBLANK(tbl_task6[[คะแนนเต็ม]:[คะแนนเต็ม]]),"",(tbl_task6[68]/tbl_task6[[คะแนนเต็ม]:[คะแนนเต็ม]])*tbl_task6[[%]:[%]])</f>
        <v/>
      </c>
      <c r="IE6" s="121" t="str">
        <f>IF(ISBLANK(tbl_task6[[คะแนนเต็ม]:[คะแนนเต็ม]]),"",(tbl_task6[69]/tbl_task6[[คะแนนเต็ม]:[คะแนนเต็ม]])*tbl_task6[[%]:[%]])</f>
        <v/>
      </c>
      <c r="IF6" s="121" t="str">
        <f>IF(ISBLANK(tbl_task6[[คะแนนเต็ม]:[คะแนนเต็ม]]),"",(tbl_task6[70]/tbl_task6[[คะแนนเต็ม]:[คะแนนเต็ม]])*tbl_task6[[%]:[%]])</f>
        <v/>
      </c>
      <c r="IG6" s="121" t="str">
        <f>IF(ISBLANK(tbl_task6[[คะแนนเต็ม]:[คะแนนเต็ม]]),"",(tbl_task6[71]/tbl_task6[[คะแนนเต็ม]:[คะแนนเต็ม]])*tbl_task6[[%]:[%]])</f>
        <v/>
      </c>
      <c r="IH6" s="121" t="str">
        <f>IF(ISBLANK(tbl_task6[[คะแนนเต็ม]:[คะแนนเต็ม]]),"",(tbl_task6[72]/tbl_task6[[คะแนนเต็ม]:[คะแนนเต็ม]])*tbl_task6[[%]:[%]])</f>
        <v/>
      </c>
      <c r="II6" s="121" t="str">
        <f>IF(ISBLANK(tbl_task6[[คะแนนเต็ม]:[คะแนนเต็ม]]),"",(tbl_task6[73]/tbl_task6[[คะแนนเต็ม]:[คะแนนเต็ม]])*tbl_task6[[%]:[%]])</f>
        <v/>
      </c>
      <c r="IJ6" s="121" t="str">
        <f>IF(ISBLANK(tbl_task6[[คะแนนเต็ม]:[คะแนนเต็ม]]),"",(tbl_task6[74]/tbl_task6[[คะแนนเต็ม]:[คะแนนเต็ม]])*tbl_task6[[%]:[%]])</f>
        <v/>
      </c>
      <c r="IK6" s="121" t="str">
        <f>IF(ISBLANK(tbl_task6[[คะแนนเต็ม]:[คะแนนเต็ม]]),"",(tbl_task6[75]/tbl_task6[[คะแนนเต็ม]:[คะแนนเต็ม]])*tbl_task6[[%]:[%]])</f>
        <v/>
      </c>
      <c r="IL6" s="121" t="str">
        <f>IF(ISBLANK(tbl_task6[[คะแนนเต็ม]:[คะแนนเต็ม]]),"",(tbl_task6[76]/tbl_task6[[คะแนนเต็ม]:[คะแนนเต็ม]])*tbl_task6[[%]:[%]])</f>
        <v/>
      </c>
      <c r="IM6" s="121" t="str">
        <f>IF(ISBLANK(tbl_task6[[คะแนนเต็ม]:[คะแนนเต็ม]]),"",(tbl_task6[77]/tbl_task6[[คะแนนเต็ม]:[คะแนนเต็ม]])*tbl_task6[[%]:[%]])</f>
        <v/>
      </c>
      <c r="IN6" s="121" t="str">
        <f>IF(ISBLANK(tbl_task6[[คะแนนเต็ม]:[คะแนนเต็ม]]),"",(tbl_task6[78]/tbl_task6[[คะแนนเต็ม]:[คะแนนเต็ม]])*tbl_task6[[%]:[%]])</f>
        <v/>
      </c>
      <c r="IO6" s="121" t="str">
        <f>IF(ISBLANK(tbl_task6[[คะแนนเต็ม]:[คะแนนเต็ม]]),"",(tbl_task6[79]/tbl_task6[[คะแนนเต็ม]:[คะแนนเต็ม]])*tbl_task6[[%]:[%]])</f>
        <v/>
      </c>
      <c r="IP6" s="121" t="str">
        <f>IF(ISBLANK(tbl_task6[[คะแนนเต็ม]:[คะแนนเต็ม]]),"",(tbl_task6[80]/tbl_task6[[คะแนนเต็ม]:[คะแนนเต็ม]])*tbl_task6[[%]:[%]])</f>
        <v/>
      </c>
      <c r="IQ6" s="121" t="str">
        <f>IF(ISBLANK(tbl_task6[[คะแนนเต็ม]:[คะแนนเต็ม]]),"",(tbl_task6[81]/tbl_task6[[คะแนนเต็ม]:[คะแนนเต็ม]])*tbl_task6[[%]:[%]])</f>
        <v/>
      </c>
      <c r="IR6" s="121" t="str">
        <f>IF(ISBLANK(tbl_task6[[คะแนนเต็ม]:[คะแนนเต็ม]]),"",(tbl_task6[82]/tbl_task6[[คะแนนเต็ม]:[คะแนนเต็ม]])*tbl_task6[[%]:[%]])</f>
        <v/>
      </c>
      <c r="IS6" s="121" t="str">
        <f>IF(ISBLANK(tbl_task6[[คะแนนเต็ม]:[คะแนนเต็ม]]),"",(tbl_task6[83]/tbl_task6[[คะแนนเต็ม]:[คะแนนเต็ม]])*tbl_task6[[%]:[%]])</f>
        <v/>
      </c>
      <c r="IT6" s="121" t="str">
        <f>IF(ISBLANK(tbl_task6[[คะแนนเต็ม]:[คะแนนเต็ม]]),"",(tbl_task6[84]/tbl_task6[[คะแนนเต็ม]:[คะแนนเต็ม]])*tbl_task6[[%]:[%]])</f>
        <v/>
      </c>
      <c r="IU6" s="121" t="str">
        <f>IF(ISBLANK(tbl_task6[[คะแนนเต็ม]:[คะแนนเต็ม]]),"",(tbl_task6[85]/tbl_task6[[คะแนนเต็ม]:[คะแนนเต็ม]])*tbl_task6[[%]:[%]])</f>
        <v/>
      </c>
      <c r="IV6" s="121" t="str">
        <f>IF(ISBLANK(tbl_task6[[คะแนนเต็ม]:[คะแนนเต็ม]]),"",(tbl_task6[86]/tbl_task6[[คะแนนเต็ม]:[คะแนนเต็ม]])*tbl_task6[[%]:[%]])</f>
        <v/>
      </c>
      <c r="IW6" s="121" t="str">
        <f>IF(ISBLANK(tbl_task6[[คะแนนเต็ม]:[คะแนนเต็ม]]),"",(tbl_task6[87]/tbl_task6[[คะแนนเต็ม]:[คะแนนเต็ม]])*tbl_task6[[%]:[%]])</f>
        <v/>
      </c>
      <c r="IX6" s="121" t="str">
        <f>IF(ISBLANK(tbl_task6[[คะแนนเต็ม]:[คะแนนเต็ม]]),"",(tbl_task6[88]/tbl_task6[[คะแนนเต็ม]:[คะแนนเต็ม]])*tbl_task6[[%]:[%]])</f>
        <v/>
      </c>
      <c r="IY6" s="121" t="str">
        <f>IF(ISBLANK(tbl_task6[[คะแนนเต็ม]:[คะแนนเต็ม]]),"",(tbl_task6[89]/tbl_task6[[คะแนนเต็ม]:[คะแนนเต็ม]])*tbl_task6[[%]:[%]])</f>
        <v/>
      </c>
      <c r="IZ6" s="121" t="str">
        <f>IF(ISBLANK(tbl_task6[[คะแนนเต็ม]:[คะแนนเต็ม]]),"",(tbl_task6[90]/tbl_task6[[คะแนนเต็ม]:[คะแนนเต็ม]])*tbl_task6[[%]:[%]])</f>
        <v/>
      </c>
      <c r="JA6" s="121" t="str">
        <f>IF(ISBLANK(tbl_task6[[คะแนนเต็ม]:[คะแนนเต็ม]]),"",(tbl_task6[91]/tbl_task6[[คะแนนเต็ม]:[คะแนนเต็ม]])*tbl_task6[[%]:[%]])</f>
        <v/>
      </c>
      <c r="JB6" s="121" t="str">
        <f>IF(ISBLANK(tbl_task6[[คะแนนเต็ม]:[คะแนนเต็ม]]),"",(tbl_task6[92]/tbl_task6[[คะแนนเต็ม]:[คะแนนเต็ม]])*tbl_task6[[%]:[%]])</f>
        <v/>
      </c>
      <c r="JC6" s="121" t="str">
        <f>IF(ISBLANK(tbl_task6[[คะแนนเต็ม]:[คะแนนเต็ม]]),"",(tbl_task6[93]/tbl_task6[[คะแนนเต็ม]:[คะแนนเต็ม]])*tbl_task6[[%]:[%]])</f>
        <v/>
      </c>
      <c r="JD6" s="121" t="str">
        <f>IF(ISBLANK(tbl_task6[[คะแนนเต็ม]:[คะแนนเต็ม]]),"",(tbl_task6[94]/tbl_task6[[คะแนนเต็ม]:[คะแนนเต็ม]])*tbl_task6[[%]:[%]])</f>
        <v/>
      </c>
      <c r="JE6" s="121" t="str">
        <f>IF(ISBLANK(tbl_task6[[คะแนนเต็ม]:[คะแนนเต็ม]]),"",(tbl_task6[95]/tbl_task6[[คะแนนเต็ม]:[คะแนนเต็ม]])*tbl_task6[[%]:[%]])</f>
        <v/>
      </c>
      <c r="JF6" s="121" t="str">
        <f>IF(ISBLANK(tbl_task6[[คะแนนเต็ม]:[คะแนนเต็ม]]),"",(tbl_task6[96]/tbl_task6[[คะแนนเต็ม]:[คะแนนเต็ม]])*tbl_task6[[%]:[%]])</f>
        <v/>
      </c>
      <c r="JG6" s="121" t="str">
        <f>IF(ISBLANK(tbl_task6[[คะแนนเต็ม]:[คะแนนเต็ม]]),"",(tbl_task6[97]/tbl_task6[[คะแนนเต็ม]:[คะแนนเต็ม]])*tbl_task6[[%]:[%]])</f>
        <v/>
      </c>
      <c r="JH6" s="121" t="str">
        <f>IF(ISBLANK(tbl_task6[[คะแนนเต็ม]:[คะแนนเต็ม]]),"",(tbl_task6[98]/tbl_task6[[คะแนนเต็ม]:[คะแนนเต็ม]])*tbl_task6[[%]:[%]])</f>
        <v/>
      </c>
      <c r="JI6" s="121" t="str">
        <f>IF(ISBLANK(tbl_task6[[คะแนนเต็ม]:[คะแนนเต็ม]]),"",(tbl_task6[99]/tbl_task6[[คะแนนเต็ม]:[คะแนนเต็ม]])*tbl_task6[[%]:[%]])</f>
        <v/>
      </c>
      <c r="JJ6" s="121" t="str">
        <f>IF(ISBLANK(tbl_task6[[คะแนนเต็ม]:[คะแนนเต็ม]]),"",(tbl_task6[100]/tbl_task6[[คะแนนเต็ม]:[คะแนนเต็ม]])*tbl_task6[[%]:[%]])</f>
        <v/>
      </c>
      <c r="JK6" s="121" t="str">
        <f>IF(ISBLANK(tbl_task6[[คะแนนเต็ม]:[คะแนนเต็ม]]),"",(tbl_task6[101]/tbl_task6[[คะแนนเต็ม]:[คะแนนเต็ม]])*tbl_task6[[%]:[%]])</f>
        <v/>
      </c>
      <c r="JL6" s="121" t="str">
        <f>IF(ISBLANK(tbl_task6[[คะแนนเต็ม]:[คะแนนเต็ม]]),"",(tbl_task6[102]/tbl_task6[[คะแนนเต็ม]:[คะแนนเต็ม]])*tbl_task6[[%]:[%]])</f>
        <v/>
      </c>
      <c r="JM6" s="121" t="str">
        <f>IF(ISBLANK(tbl_task6[[คะแนนเต็ม]:[คะแนนเต็ม]]),"",(tbl_task6[103]/tbl_task6[[คะแนนเต็ม]:[คะแนนเต็ม]])*tbl_task6[[%]:[%]])</f>
        <v/>
      </c>
      <c r="JN6" s="121" t="str">
        <f>IF(ISBLANK(tbl_task6[[คะแนนเต็ม]:[คะแนนเต็ม]]),"",(tbl_task6[104]/tbl_task6[[คะแนนเต็ม]:[คะแนนเต็ม]])*tbl_task6[[%]:[%]])</f>
        <v/>
      </c>
      <c r="JO6" s="121" t="str">
        <f>IF(ISBLANK(tbl_task6[[คะแนนเต็ม]:[คะแนนเต็ม]]),"",(tbl_task6[105]/tbl_task6[[คะแนนเต็ม]:[คะแนนเต็ม]])*tbl_task6[[%]:[%]])</f>
        <v/>
      </c>
      <c r="JP6" s="121" t="str">
        <f>IF(ISBLANK(tbl_task6[[คะแนนเต็ม]:[คะแนนเต็ม]]),"",(tbl_task6[106]/tbl_task6[[คะแนนเต็ม]:[คะแนนเต็ม]])*tbl_task6[[%]:[%]])</f>
        <v/>
      </c>
      <c r="JQ6" s="121" t="str">
        <f>IF(ISBLANK(tbl_task6[[คะแนนเต็ม]:[คะแนนเต็ม]]),"",(tbl_task6[107]/tbl_task6[[คะแนนเต็ม]:[คะแนนเต็ม]])*tbl_task6[[%]:[%]])</f>
        <v/>
      </c>
      <c r="JR6" s="121" t="str">
        <f>IF(ISBLANK(tbl_task6[[คะแนนเต็ม]:[คะแนนเต็ม]]),"",(tbl_task6[108]/tbl_task6[[คะแนนเต็ม]:[คะแนนเต็ม]])*tbl_task6[[%]:[%]])</f>
        <v/>
      </c>
      <c r="JS6" s="121" t="str">
        <f>IF(ISBLANK(tbl_task6[[คะแนนเต็ม]:[คะแนนเต็ม]]),"",(tbl_task6[109]/tbl_task6[[คะแนนเต็ม]:[คะแนนเต็ม]])*tbl_task6[[%]:[%]])</f>
        <v/>
      </c>
      <c r="JT6" s="121" t="str">
        <f>IF(ISBLANK(tbl_task6[[คะแนนเต็ม]:[คะแนนเต็ม]]),"",(tbl_task6[110]/tbl_task6[[คะแนนเต็ม]:[คะแนนเต็ม]])*tbl_task6[[%]:[%]])</f>
        <v/>
      </c>
      <c r="JU6" s="121" t="str">
        <f>IF(ISBLANK(tbl_task6[[คะแนนเต็ม]:[คะแนนเต็ม]]),"",(tbl_task6[111]/tbl_task6[[คะแนนเต็ม]:[คะแนนเต็ม]])*tbl_task6[[%]:[%]])</f>
        <v/>
      </c>
      <c r="JV6" s="121" t="str">
        <f>IF(ISBLANK(tbl_task6[[คะแนนเต็ม]:[คะแนนเต็ม]]),"",(tbl_task6[112]/tbl_task6[[คะแนนเต็ม]:[คะแนนเต็ม]])*tbl_task6[[%]:[%]])</f>
        <v/>
      </c>
      <c r="JW6" s="121" t="str">
        <f>IF(ISBLANK(tbl_task6[[คะแนนเต็ม]:[คะแนนเต็ม]]),"",(tbl_task6[113]/tbl_task6[[คะแนนเต็ม]:[คะแนนเต็ม]])*tbl_task6[[%]:[%]])</f>
        <v/>
      </c>
      <c r="JX6" s="121" t="str">
        <f>IF(ISBLANK(tbl_task6[[คะแนนเต็ม]:[คะแนนเต็ม]]),"",(tbl_task6[114]/tbl_task6[[คะแนนเต็ม]:[คะแนนเต็ม]])*tbl_task6[[%]:[%]])</f>
        <v/>
      </c>
      <c r="JY6" s="121" t="str">
        <f>IF(ISBLANK(tbl_task6[[คะแนนเต็ม]:[คะแนนเต็ม]]),"",(tbl_task6[115]/tbl_task6[[คะแนนเต็ม]:[คะแนนเต็ม]])*tbl_task6[[%]:[%]])</f>
        <v/>
      </c>
      <c r="JZ6" s="121" t="str">
        <f>IF(ISBLANK(tbl_task6[[คะแนนเต็ม]:[คะแนนเต็ม]]),"",(tbl_task6[116]/tbl_task6[[คะแนนเต็ม]:[คะแนนเต็ม]])*tbl_task6[[%]:[%]])</f>
        <v/>
      </c>
      <c r="KA6" s="121" t="str">
        <f>IF(ISBLANK(tbl_task6[[คะแนนเต็ม]:[คะแนนเต็ม]]),"",(tbl_task6[117]/tbl_task6[[คะแนนเต็ม]:[คะแนนเต็ม]])*tbl_task6[[%]:[%]])</f>
        <v/>
      </c>
      <c r="KB6" s="121" t="str">
        <f>IF(ISBLANK(tbl_task6[[คะแนนเต็ม]:[คะแนนเต็ม]]),"",(tbl_task6[118]/tbl_task6[[คะแนนเต็ม]:[คะแนนเต็ม]])*tbl_task6[[%]:[%]])</f>
        <v/>
      </c>
      <c r="KC6" s="121" t="str">
        <f>IF(ISBLANK(tbl_task6[[คะแนนเต็ม]:[คะแนนเต็ม]]),"",(tbl_task6[119]/tbl_task6[[คะแนนเต็ม]:[คะแนนเต็ม]])*tbl_task6[[%]:[%]])</f>
        <v/>
      </c>
      <c r="KD6" s="121" t="str">
        <f>IF(ISBLANK(tbl_task6[[คะแนนเต็ม]:[คะแนนเต็ม]]),"",(tbl_task6[120]/tbl_task6[[คะแนนเต็ม]:[คะแนนเต็ม]])*tbl_task6[[%]:[%]])</f>
        <v/>
      </c>
      <c r="KE6" s="121" t="str">
        <f>IF(ISBLANK(tbl_task6[[คะแนนเต็ม]:[คะแนนเต็ม]]),"",(tbl_task6[121]/tbl_task6[[คะแนนเต็ม]:[คะแนนเต็ม]])*tbl_task6[[%]:[%]])</f>
        <v/>
      </c>
      <c r="KF6" s="121" t="str">
        <f>IF(ISBLANK(tbl_task6[[คะแนนเต็ม]:[คะแนนเต็ม]]),"",(tbl_task6[122]/tbl_task6[[คะแนนเต็ม]:[คะแนนเต็ม]])*tbl_task6[[%]:[%]])</f>
        <v/>
      </c>
      <c r="KG6" s="121" t="str">
        <f>IF(ISBLANK(tbl_task6[[คะแนนเต็ม]:[คะแนนเต็ม]]),"",(tbl_task6[123]/tbl_task6[[คะแนนเต็ม]:[คะแนนเต็ม]])*tbl_task6[[%]:[%]])</f>
        <v/>
      </c>
      <c r="KH6" s="121" t="str">
        <f>IF(ISBLANK(tbl_task6[[คะแนนเต็ม]:[คะแนนเต็ม]]),"",(tbl_task6[124]/tbl_task6[[คะแนนเต็ม]:[คะแนนเต็ม]])*tbl_task6[[%]:[%]])</f>
        <v/>
      </c>
      <c r="KI6" s="121" t="str">
        <f>IF(ISBLANK(tbl_task6[[คะแนนเต็ม]:[คะแนนเต็ม]]),"",(tbl_task6[125]/tbl_task6[[คะแนนเต็ม]:[คะแนนเต็ม]])*tbl_task6[[%]:[%]])</f>
        <v/>
      </c>
      <c r="KJ6" s="121" t="str">
        <f>IF(ISBLANK(tbl_task6[[คะแนนเต็ม]:[คะแนนเต็ม]]),"",(tbl_task6[126]/tbl_task6[[คะแนนเต็ม]:[คะแนนเต็ม]])*tbl_task6[[%]:[%]])</f>
        <v/>
      </c>
      <c r="KK6" s="121" t="str">
        <f>IF(ISBLANK(tbl_task6[[คะแนนเต็ม]:[คะแนนเต็ม]]),"",(tbl_task6[127]/tbl_task6[[คะแนนเต็ม]:[คะแนนเต็ม]])*tbl_task6[[%]:[%]])</f>
        <v/>
      </c>
      <c r="KL6" s="121" t="str">
        <f>IF(ISBLANK(tbl_task6[[คะแนนเต็ม]:[คะแนนเต็ม]]),"",(tbl_task6[128]/tbl_task6[[คะแนนเต็ม]:[คะแนนเต็ม]])*tbl_task6[[%]:[%]])</f>
        <v/>
      </c>
      <c r="KM6" s="121" t="str">
        <f>IF(ISBLANK(tbl_task6[[คะแนนเต็ม]:[คะแนนเต็ม]]),"",(tbl_task6[129]/tbl_task6[[คะแนนเต็ม]:[คะแนนเต็ม]])*tbl_task6[[%]:[%]])</f>
        <v/>
      </c>
      <c r="KN6" s="121" t="str">
        <f>IF(ISBLANK(tbl_task6[[คะแนนเต็ม]:[คะแนนเต็ม]]),"",(tbl_task6[130]/tbl_task6[[คะแนนเต็ม]:[คะแนนเต็ม]])*tbl_task6[[%]:[%]])</f>
        <v/>
      </c>
      <c r="KO6" s="121" t="str">
        <f>IF(ISBLANK(tbl_task6[[คะแนนเต็ม]:[คะแนนเต็ม]]),"",(tbl_task6[131]/tbl_task6[[คะแนนเต็ม]:[คะแนนเต็ม]])*tbl_task6[[%]:[%]])</f>
        <v/>
      </c>
      <c r="KP6" s="121" t="str">
        <f>IF(ISBLANK(tbl_task6[[คะแนนเต็ม]:[คะแนนเต็ม]]),"",(tbl_task6[132]/tbl_task6[[คะแนนเต็ม]:[คะแนนเต็ม]])*tbl_task6[[%]:[%]])</f>
        <v/>
      </c>
      <c r="KQ6" s="121" t="str">
        <f>IF(ISBLANK(tbl_task6[[คะแนนเต็ม]:[คะแนนเต็ม]]),"",(tbl_task6[133]/tbl_task6[[คะแนนเต็ม]:[คะแนนเต็ม]])*tbl_task6[[%]:[%]])</f>
        <v/>
      </c>
      <c r="KR6" s="121" t="str">
        <f>IF(ISBLANK(tbl_task6[[คะแนนเต็ม]:[คะแนนเต็ม]]),"",(tbl_task6[134]/tbl_task6[[คะแนนเต็ม]:[คะแนนเต็ม]])*tbl_task6[[%]:[%]])</f>
        <v/>
      </c>
      <c r="KS6" s="121" t="str">
        <f>IF(ISBLANK(tbl_task6[[คะแนนเต็ม]:[คะแนนเต็ม]]),"",(tbl_task6[135]/tbl_task6[[คะแนนเต็ม]:[คะแนนเต็ม]])*tbl_task6[[%]:[%]])</f>
        <v/>
      </c>
      <c r="KT6" s="121" t="str">
        <f>IF(ISBLANK(tbl_task6[[คะแนนเต็ม]:[คะแนนเต็ม]]),"",(tbl_task6[136]/tbl_task6[[คะแนนเต็ม]:[คะแนนเต็ม]])*tbl_task6[[%]:[%]])</f>
        <v/>
      </c>
      <c r="KU6" s="121" t="str">
        <f>IF(ISBLANK(tbl_task6[[คะแนนเต็ม]:[คะแนนเต็ม]]),"",(tbl_task6[137]/tbl_task6[[คะแนนเต็ม]:[คะแนนเต็ม]])*tbl_task6[[%]:[%]])</f>
        <v/>
      </c>
      <c r="KV6" s="121" t="str">
        <f>IF(ISBLANK(tbl_task6[[คะแนนเต็ม]:[คะแนนเต็ม]]),"",(tbl_task6[138]/tbl_task6[[คะแนนเต็ม]:[คะแนนเต็ม]])*tbl_task6[[%]:[%]])</f>
        <v/>
      </c>
      <c r="KW6" s="121" t="str">
        <f>IF(ISBLANK(tbl_task6[[คะแนนเต็ม]:[คะแนนเต็ม]]),"",(tbl_task6[139]/tbl_task6[[คะแนนเต็ม]:[คะแนนเต็ม]])*tbl_task6[[%]:[%]])</f>
        <v/>
      </c>
      <c r="KX6" s="121" t="str">
        <f>IF(ISBLANK(tbl_task6[[คะแนนเต็ม]:[คะแนนเต็ม]]),"",(tbl_task6[140]/tbl_task6[[คะแนนเต็ม]:[คะแนนเต็ม]])*tbl_task6[[%]:[%]])</f>
        <v/>
      </c>
      <c r="KY6" s="121" t="str">
        <f>IF(ISBLANK(tbl_task6[[คะแนนเต็ม]:[คะแนนเต็ม]]),"",(tbl_task6[141]/tbl_task6[[คะแนนเต็ม]:[คะแนนเต็ม]])*tbl_task6[[%]:[%]])</f>
        <v/>
      </c>
      <c r="KZ6" s="121" t="str">
        <f>IF(ISBLANK(tbl_task6[[คะแนนเต็ม]:[คะแนนเต็ม]]),"",(tbl_task6[142]/tbl_task6[[คะแนนเต็ม]:[คะแนนเต็ม]])*tbl_task6[[%]:[%]])</f>
        <v/>
      </c>
      <c r="LA6" s="121" t="str">
        <f>IF(ISBLANK(tbl_task6[[คะแนนเต็ม]:[คะแนนเต็ม]]),"",(tbl_task6[143]/tbl_task6[[คะแนนเต็ม]:[คะแนนเต็ม]])*tbl_task6[[%]:[%]])</f>
        <v/>
      </c>
      <c r="LB6" s="121" t="str">
        <f>IF(ISBLANK(tbl_task6[[คะแนนเต็ม]:[คะแนนเต็ม]]),"",(tbl_task6[144]/tbl_task6[[คะแนนเต็ม]:[คะแนนเต็ม]])*tbl_task6[[%]:[%]])</f>
        <v/>
      </c>
      <c r="LC6" s="121" t="str">
        <f>IF(ISBLANK(tbl_task6[[คะแนนเต็ม]:[คะแนนเต็ม]]),"",(tbl_task6[145]/tbl_task6[[คะแนนเต็ม]:[คะแนนเต็ม]])*tbl_task6[[%]:[%]])</f>
        <v/>
      </c>
      <c r="LD6" s="121" t="str">
        <f>IF(ISBLANK(tbl_task6[[คะแนนเต็ม]:[คะแนนเต็ม]]),"",(tbl_task6[146]/tbl_task6[[คะแนนเต็ม]:[คะแนนเต็ม]])*tbl_task6[[%]:[%]])</f>
        <v/>
      </c>
      <c r="LE6" s="121" t="str">
        <f>IF(ISBLANK(tbl_task6[[คะแนนเต็ม]:[คะแนนเต็ม]]),"",(tbl_task6[147]/tbl_task6[[คะแนนเต็ม]:[คะแนนเต็ม]])*tbl_task6[[%]:[%]])</f>
        <v/>
      </c>
      <c r="LF6" s="121" t="str">
        <f>IF(ISBLANK(tbl_task6[[คะแนนเต็ม]:[คะแนนเต็ม]]),"",(tbl_task6[148]/tbl_task6[[คะแนนเต็ม]:[คะแนนเต็ม]])*tbl_task6[[%]:[%]])</f>
        <v/>
      </c>
      <c r="LG6" s="121" t="str">
        <f>IF(ISBLANK(tbl_task6[[คะแนนเต็ม]:[คะแนนเต็ม]]),"",(tbl_task6[149]/tbl_task6[[คะแนนเต็ม]:[คะแนนเต็ม]])*tbl_task6[[%]:[%]])</f>
        <v/>
      </c>
      <c r="LH6" s="121" t="str">
        <f>IF(ISBLANK(tbl_task6[[คะแนนเต็ม]:[คะแนนเต็ม]]),"",(tbl_task6[150]/tbl_task6[[คะแนนเต็ม]:[คะแนนเต็ม]])*tbl_task6[[%]:[%]])</f>
        <v/>
      </c>
      <c r="LI6" s="121" t="str">
        <f>IF(ISBLANK(tbl_task6[[คะแนนเต็ม]:[คะแนนเต็ม]]),"",(tbl_task6[151]/tbl_task6[[คะแนนเต็ม]:[คะแนนเต็ม]])*tbl_task6[[%]:[%]])</f>
        <v/>
      </c>
      <c r="LJ6" s="121" t="str">
        <f>IF(ISBLANK(tbl_task6[[คะแนนเต็ม]:[คะแนนเต็ม]]),"",(tbl_task6[152]/tbl_task6[[คะแนนเต็ม]:[คะแนนเต็ม]])*tbl_task6[[%]:[%]])</f>
        <v/>
      </c>
      <c r="LK6" s="121" t="str">
        <f>IF(ISBLANK(tbl_task6[[คะแนนเต็ม]:[คะแนนเต็ม]]),"",(tbl_task6[153]/tbl_task6[[คะแนนเต็ม]:[คะแนนเต็ม]])*tbl_task6[[%]:[%]])</f>
        <v/>
      </c>
      <c r="LL6" s="121" t="str">
        <f>IF(ISBLANK(tbl_task6[[คะแนนเต็ม]:[คะแนนเต็ม]]),"",(tbl_task6[154]/tbl_task6[[คะแนนเต็ม]:[คะแนนเต็ม]])*tbl_task6[[%]:[%]])</f>
        <v/>
      </c>
      <c r="LM6" s="121" t="str">
        <f>IF(ISBLANK(tbl_task6[[คะแนนเต็ม]:[คะแนนเต็ม]]),"",(tbl_task6[155]/tbl_task6[[คะแนนเต็ม]:[คะแนนเต็ม]])*tbl_task6[[%]:[%]])</f>
        <v/>
      </c>
      <c r="LN6" s="121" t="str">
        <f>IF(ISBLANK(tbl_task6[[คะแนนเต็ม]:[คะแนนเต็ม]]),"",(tbl_task6[156]/tbl_task6[[คะแนนเต็ม]:[คะแนนเต็ม]])*tbl_task6[[%]:[%]])</f>
        <v/>
      </c>
      <c r="LO6" s="121" t="str">
        <f>IF(ISBLANK(tbl_task6[[คะแนนเต็ม]:[คะแนนเต็ม]]),"",(tbl_task6[157]/tbl_task6[[คะแนนเต็ม]:[คะแนนเต็ม]])*tbl_task6[[%]:[%]])</f>
        <v/>
      </c>
      <c r="LP6" s="121" t="str">
        <f>IF(ISBLANK(tbl_task6[[คะแนนเต็ม]:[คะแนนเต็ม]]),"",(tbl_task6[158]/tbl_task6[[คะแนนเต็ม]:[คะแนนเต็ม]])*tbl_task6[[%]:[%]])</f>
        <v/>
      </c>
      <c r="LQ6" s="121" t="str">
        <f>IF(ISBLANK(tbl_task6[[คะแนนเต็ม]:[คะแนนเต็ม]]),"",(tbl_task6[159]/tbl_task6[[คะแนนเต็ม]:[คะแนนเต็ม]])*tbl_task6[[%]:[%]])</f>
        <v/>
      </c>
      <c r="LR6" s="121" t="str">
        <f>IF(ISBLANK(tbl_task6[[คะแนนเต็ม]:[คะแนนเต็ม]]),"",(tbl_task6[160]/tbl_task6[[คะแนนเต็ม]:[คะแนนเต็ม]])*tbl_task6[[%]:[%]])</f>
        <v/>
      </c>
      <c r="LS6" s="121" t="str">
        <f>IF(ISBLANK(tbl_task6[[คะแนนเต็ม]:[คะแนนเต็ม]]),"",(tbl_task6[161]/tbl_task6[[คะแนนเต็ม]:[คะแนนเต็ม]])*tbl_task6[[%]:[%]])</f>
        <v/>
      </c>
      <c r="LT6" s="121" t="str">
        <f>IF(ISBLANK(tbl_task6[[คะแนนเต็ม]:[คะแนนเต็ม]]),"",(tbl_task6[162]/tbl_task6[[คะแนนเต็ม]:[คะแนนเต็ม]])*tbl_task6[[%]:[%]])</f>
        <v/>
      </c>
      <c r="LU6" s="121" t="str">
        <f>IF(ISBLANK(tbl_task6[[คะแนนเต็ม]:[คะแนนเต็ม]]),"",(tbl_task6[163]/tbl_task6[[คะแนนเต็ม]:[คะแนนเต็ม]])*tbl_task6[[%]:[%]])</f>
        <v/>
      </c>
      <c r="LV6" s="121" t="str">
        <f>IF(ISBLANK(tbl_task6[[คะแนนเต็ม]:[คะแนนเต็ม]]),"",(tbl_task6[164]/tbl_task6[[คะแนนเต็ม]:[คะแนนเต็ม]])*tbl_task6[[%]:[%]])</f>
        <v/>
      </c>
      <c r="LW6" s="121" t="str">
        <f>IF(ISBLANK(tbl_task6[[คะแนนเต็ม]:[คะแนนเต็ม]]),"",(tbl_task6[165]/tbl_task6[[คะแนนเต็ม]:[คะแนนเต็ม]])*tbl_task6[[%]:[%]])</f>
        <v/>
      </c>
    </row>
    <row r="7" spans="1:335" ht="22.5" customHeight="1" x14ac:dyDescent="0.25">
      <c r="A7" s="24">
        <v>4</v>
      </c>
      <c r="B7" s="33"/>
      <c r="C7" s="5" t="str">
        <f>IF(ISBLANK(B7),"",VLOOKUP(B7,tbl_PLOs[],2,0))</f>
        <v/>
      </c>
      <c r="D7" s="102"/>
      <c r="E7" s="10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22"/>
      <c r="FO7" s="121" t="str">
        <f>IF(ISBLANK(tbl_task6[[คะแนนเต็ม]:[คะแนนเต็ม]]),"",(tbl_task6[1]/tbl_task6[[คะแนนเต็ม]:[คะแนนเต็ม]])*tbl_task6[[%]:[%]])</f>
        <v/>
      </c>
      <c r="FP7" s="121" t="str">
        <f>IF(ISBLANK(tbl_task6[[คะแนนเต็ม]:[คะแนนเต็ม]]),"",(tbl_task6[2]/tbl_task6[[คะแนนเต็ม]:[คะแนนเต็ม]])*tbl_task6[[%]:[%]])</f>
        <v/>
      </c>
      <c r="FQ7" s="121" t="str">
        <f>IF(ISBLANK(tbl_task6[[คะแนนเต็ม]:[คะแนนเต็ม]]),"",(tbl_task6[3]/tbl_task6[[คะแนนเต็ม]:[คะแนนเต็ม]])*tbl_task6[[%]:[%]])</f>
        <v/>
      </c>
      <c r="FR7" s="121" t="str">
        <f>IF(ISBLANK(tbl_task6[[คะแนนเต็ม]:[คะแนนเต็ม]]),"",(tbl_task6[4]/tbl_task6[[คะแนนเต็ม]:[คะแนนเต็ม]])*tbl_task6[[%]:[%]])</f>
        <v/>
      </c>
      <c r="FS7" s="121" t="str">
        <f>IF(ISBLANK(tbl_task6[[คะแนนเต็ม]:[คะแนนเต็ม]]),"",(tbl_task6[5]/tbl_task6[[คะแนนเต็ม]:[คะแนนเต็ม]])*tbl_task6[[%]:[%]])</f>
        <v/>
      </c>
      <c r="FT7" s="121" t="str">
        <f>IF(ISBLANK(tbl_task6[[คะแนนเต็ม]:[คะแนนเต็ม]]),"",(tbl_task6[6]/tbl_task6[[คะแนนเต็ม]:[คะแนนเต็ม]])*tbl_task6[[%]:[%]])</f>
        <v/>
      </c>
      <c r="FU7" s="121" t="str">
        <f>IF(ISBLANK(tbl_task6[[คะแนนเต็ม]:[คะแนนเต็ม]]),"",(tbl_task6[7]/tbl_task6[[คะแนนเต็ม]:[คะแนนเต็ม]])*tbl_task6[[%]:[%]])</f>
        <v/>
      </c>
      <c r="FV7" s="121" t="str">
        <f>IF(ISBLANK(tbl_task6[[คะแนนเต็ม]:[คะแนนเต็ม]]),"",(tbl_task6[8]/tbl_task6[[คะแนนเต็ม]:[คะแนนเต็ม]])*tbl_task6[[%]:[%]])</f>
        <v/>
      </c>
      <c r="FW7" s="121" t="str">
        <f>IF(ISBLANK(tbl_task6[[คะแนนเต็ม]:[คะแนนเต็ม]]),"",(tbl_task6[9]/tbl_task6[[คะแนนเต็ม]:[คะแนนเต็ม]])*tbl_task6[[%]:[%]])</f>
        <v/>
      </c>
      <c r="FX7" s="121" t="str">
        <f>IF(ISBLANK(tbl_task6[[คะแนนเต็ม]:[คะแนนเต็ม]]),"",(tbl_task6[10]/tbl_task6[[คะแนนเต็ม]:[คะแนนเต็ม]])*tbl_task6[[%]:[%]])</f>
        <v/>
      </c>
      <c r="FY7" s="121" t="str">
        <f>IF(ISBLANK(tbl_task6[[คะแนนเต็ม]:[คะแนนเต็ม]]),"",(tbl_task6[11]/tbl_task6[[คะแนนเต็ม]:[คะแนนเต็ม]])*tbl_task6[[%]:[%]])</f>
        <v/>
      </c>
      <c r="FZ7" s="121" t="str">
        <f>IF(ISBLANK(tbl_task6[[คะแนนเต็ม]:[คะแนนเต็ม]]),"",(tbl_task6[12]/tbl_task6[[คะแนนเต็ม]:[คะแนนเต็ม]])*tbl_task6[[%]:[%]])</f>
        <v/>
      </c>
      <c r="GA7" s="121" t="str">
        <f>IF(ISBLANK(tbl_task6[[คะแนนเต็ม]:[คะแนนเต็ม]]),"",(tbl_task6[13]/tbl_task6[[คะแนนเต็ม]:[คะแนนเต็ม]])*tbl_task6[[%]:[%]])</f>
        <v/>
      </c>
      <c r="GB7" s="121" t="str">
        <f>IF(ISBLANK(tbl_task6[[คะแนนเต็ม]:[คะแนนเต็ม]]),"",(tbl_task6[14]/tbl_task6[[คะแนนเต็ม]:[คะแนนเต็ม]])*tbl_task6[[%]:[%]])</f>
        <v/>
      </c>
      <c r="GC7" s="121" t="str">
        <f>IF(ISBLANK(tbl_task6[[คะแนนเต็ม]:[คะแนนเต็ม]]),"",(tbl_task6[15]/tbl_task6[[คะแนนเต็ม]:[คะแนนเต็ม]])*tbl_task6[[%]:[%]])</f>
        <v/>
      </c>
      <c r="GD7" s="121" t="str">
        <f>IF(ISBLANK(tbl_task6[[คะแนนเต็ม]:[คะแนนเต็ม]]),"",(tbl_task6[16]/tbl_task6[[คะแนนเต็ม]:[คะแนนเต็ม]])*tbl_task6[[%]:[%]])</f>
        <v/>
      </c>
      <c r="GE7" s="121" t="str">
        <f>IF(ISBLANK(tbl_task6[[คะแนนเต็ม]:[คะแนนเต็ม]]),"",(tbl_task6[17]/tbl_task6[[คะแนนเต็ม]:[คะแนนเต็ม]])*tbl_task6[[%]:[%]])</f>
        <v/>
      </c>
      <c r="GF7" s="121" t="str">
        <f>IF(ISBLANK(tbl_task6[[คะแนนเต็ม]:[คะแนนเต็ม]]),"",(tbl_task6[18]/tbl_task6[[คะแนนเต็ม]:[คะแนนเต็ม]])*tbl_task6[[%]:[%]])</f>
        <v/>
      </c>
      <c r="GG7" s="121" t="str">
        <f>IF(ISBLANK(tbl_task6[[คะแนนเต็ม]:[คะแนนเต็ม]]),"",(tbl_task6[19]/tbl_task6[[คะแนนเต็ม]:[คะแนนเต็ม]])*tbl_task6[[%]:[%]])</f>
        <v/>
      </c>
      <c r="GH7" s="121" t="str">
        <f>IF(ISBLANK(tbl_task6[[คะแนนเต็ม]:[คะแนนเต็ม]]),"",(tbl_task6[20]/tbl_task6[[คะแนนเต็ม]:[คะแนนเต็ม]])*tbl_task6[[%]:[%]])</f>
        <v/>
      </c>
      <c r="GI7" s="121" t="str">
        <f>IF(ISBLANK(tbl_task6[[คะแนนเต็ม]:[คะแนนเต็ม]]),"",(tbl_task6[21]/tbl_task6[[คะแนนเต็ม]:[คะแนนเต็ม]])*tbl_task6[[%]:[%]])</f>
        <v/>
      </c>
      <c r="GJ7" s="121" t="str">
        <f>IF(ISBLANK(tbl_task6[[คะแนนเต็ม]:[คะแนนเต็ม]]),"",(tbl_task6[22]/tbl_task6[[คะแนนเต็ม]:[คะแนนเต็ม]])*tbl_task6[[%]:[%]])</f>
        <v/>
      </c>
      <c r="GK7" s="121" t="str">
        <f>IF(ISBLANK(tbl_task6[[คะแนนเต็ม]:[คะแนนเต็ม]]),"",(tbl_task6[23]/tbl_task6[[คะแนนเต็ม]:[คะแนนเต็ม]])*tbl_task6[[%]:[%]])</f>
        <v/>
      </c>
      <c r="GL7" s="121" t="str">
        <f>IF(ISBLANK(tbl_task6[[คะแนนเต็ม]:[คะแนนเต็ม]]),"",(tbl_task6[24]/tbl_task6[[คะแนนเต็ม]:[คะแนนเต็ม]])*tbl_task6[[%]:[%]])</f>
        <v/>
      </c>
      <c r="GM7" s="121" t="str">
        <f>IF(ISBLANK(tbl_task6[[คะแนนเต็ม]:[คะแนนเต็ม]]),"",(tbl_task6[25]/tbl_task6[[คะแนนเต็ม]:[คะแนนเต็ม]])*tbl_task6[[%]:[%]])</f>
        <v/>
      </c>
      <c r="GN7" s="121" t="str">
        <f>IF(ISBLANK(tbl_task6[[คะแนนเต็ม]:[คะแนนเต็ม]]),"",(tbl_task6[26]/tbl_task6[[คะแนนเต็ม]:[คะแนนเต็ม]])*tbl_task6[[%]:[%]])</f>
        <v/>
      </c>
      <c r="GO7" s="121" t="str">
        <f>IF(ISBLANK(tbl_task6[[คะแนนเต็ม]:[คะแนนเต็ม]]),"",(tbl_task6[27]/tbl_task6[[คะแนนเต็ม]:[คะแนนเต็ม]])*tbl_task6[[%]:[%]])</f>
        <v/>
      </c>
      <c r="GP7" s="121" t="str">
        <f>IF(ISBLANK(tbl_task6[[คะแนนเต็ม]:[คะแนนเต็ม]]),"",(tbl_task6[28]/tbl_task6[[คะแนนเต็ม]:[คะแนนเต็ม]])*tbl_task6[[%]:[%]])</f>
        <v/>
      </c>
      <c r="GQ7" s="121" t="str">
        <f>IF(ISBLANK(tbl_task6[[คะแนนเต็ม]:[คะแนนเต็ม]]),"",(tbl_task6[29]/tbl_task6[[คะแนนเต็ม]:[คะแนนเต็ม]])*tbl_task6[[%]:[%]])</f>
        <v/>
      </c>
      <c r="GR7" s="121" t="str">
        <f>IF(ISBLANK(tbl_task6[[คะแนนเต็ม]:[คะแนนเต็ม]]),"",(tbl_task6[30]/tbl_task6[[คะแนนเต็ม]:[คะแนนเต็ม]])*tbl_task6[[%]:[%]])</f>
        <v/>
      </c>
      <c r="GS7" s="121" t="str">
        <f>IF(ISBLANK(tbl_task6[[คะแนนเต็ม]:[คะแนนเต็ม]]),"",(tbl_task6[31]/tbl_task6[[คะแนนเต็ม]:[คะแนนเต็ม]])*tbl_task6[[%]:[%]])</f>
        <v/>
      </c>
      <c r="GT7" s="121" t="str">
        <f>IF(ISBLANK(tbl_task6[[คะแนนเต็ม]:[คะแนนเต็ม]]),"",(tbl_task6[32]/tbl_task6[[คะแนนเต็ม]:[คะแนนเต็ม]])*tbl_task6[[%]:[%]])</f>
        <v/>
      </c>
      <c r="GU7" s="121" t="str">
        <f>IF(ISBLANK(tbl_task6[[คะแนนเต็ม]:[คะแนนเต็ม]]),"",(tbl_task6[33]/tbl_task6[[คะแนนเต็ม]:[คะแนนเต็ม]])*tbl_task6[[%]:[%]])</f>
        <v/>
      </c>
      <c r="GV7" s="121" t="str">
        <f>IF(ISBLANK(tbl_task6[[คะแนนเต็ม]:[คะแนนเต็ม]]),"",(tbl_task6[34]/tbl_task6[[คะแนนเต็ม]:[คะแนนเต็ม]])*tbl_task6[[%]:[%]])</f>
        <v/>
      </c>
      <c r="GW7" s="121" t="str">
        <f>IF(ISBLANK(tbl_task6[[คะแนนเต็ม]:[คะแนนเต็ม]]),"",(tbl_task6[35]/tbl_task6[[คะแนนเต็ม]:[คะแนนเต็ม]])*tbl_task6[[%]:[%]])</f>
        <v/>
      </c>
      <c r="GX7" s="121" t="str">
        <f>IF(ISBLANK(tbl_task6[[คะแนนเต็ม]:[คะแนนเต็ม]]),"",(tbl_task6[36]/tbl_task6[[คะแนนเต็ม]:[คะแนนเต็ม]])*tbl_task6[[%]:[%]])</f>
        <v/>
      </c>
      <c r="GY7" s="121" t="str">
        <f>IF(ISBLANK(tbl_task6[[คะแนนเต็ม]:[คะแนนเต็ม]]),"",(tbl_task6[37]/tbl_task6[[คะแนนเต็ม]:[คะแนนเต็ม]])*tbl_task6[[%]:[%]])</f>
        <v/>
      </c>
      <c r="GZ7" s="121" t="str">
        <f>IF(ISBLANK(tbl_task6[[คะแนนเต็ม]:[คะแนนเต็ม]]),"",(tbl_task6[38]/tbl_task6[[คะแนนเต็ม]:[คะแนนเต็ม]])*tbl_task6[[%]:[%]])</f>
        <v/>
      </c>
      <c r="HA7" s="121" t="str">
        <f>IF(ISBLANK(tbl_task6[[คะแนนเต็ม]:[คะแนนเต็ม]]),"",(tbl_task6[39]/tbl_task6[[คะแนนเต็ม]:[คะแนนเต็ม]])*tbl_task6[[%]:[%]])</f>
        <v/>
      </c>
      <c r="HB7" s="121" t="str">
        <f>IF(ISBLANK(tbl_task6[[คะแนนเต็ม]:[คะแนนเต็ม]]),"",(tbl_task6[40]/tbl_task6[[คะแนนเต็ม]:[คะแนนเต็ม]])*tbl_task6[[%]:[%]])</f>
        <v/>
      </c>
      <c r="HC7" s="121" t="str">
        <f>IF(ISBLANK(tbl_task6[[คะแนนเต็ม]:[คะแนนเต็ม]]),"",(tbl_task6[41]/tbl_task6[[คะแนนเต็ม]:[คะแนนเต็ม]])*tbl_task6[[%]:[%]])</f>
        <v/>
      </c>
      <c r="HD7" s="121" t="str">
        <f>IF(ISBLANK(tbl_task6[[คะแนนเต็ม]:[คะแนนเต็ม]]),"",(tbl_task6[42]/tbl_task6[[คะแนนเต็ม]:[คะแนนเต็ม]])*tbl_task6[[%]:[%]])</f>
        <v/>
      </c>
      <c r="HE7" s="121" t="str">
        <f>IF(ISBLANK(tbl_task6[[คะแนนเต็ม]:[คะแนนเต็ม]]),"",(tbl_task6[43]/tbl_task6[[คะแนนเต็ม]:[คะแนนเต็ม]])*tbl_task6[[%]:[%]])</f>
        <v/>
      </c>
      <c r="HF7" s="121" t="str">
        <f>IF(ISBLANK(tbl_task6[[คะแนนเต็ม]:[คะแนนเต็ม]]),"",(tbl_task6[44]/tbl_task6[[คะแนนเต็ม]:[คะแนนเต็ม]])*tbl_task6[[%]:[%]])</f>
        <v/>
      </c>
      <c r="HG7" s="121" t="str">
        <f>IF(ISBLANK(tbl_task6[[คะแนนเต็ม]:[คะแนนเต็ม]]),"",(tbl_task6[45]/tbl_task6[[คะแนนเต็ม]:[คะแนนเต็ม]])*tbl_task6[[%]:[%]])</f>
        <v/>
      </c>
      <c r="HH7" s="121" t="str">
        <f>IF(ISBLANK(tbl_task6[[คะแนนเต็ม]:[คะแนนเต็ม]]),"",(tbl_task6[46]/tbl_task6[[คะแนนเต็ม]:[คะแนนเต็ม]])*tbl_task6[[%]:[%]])</f>
        <v/>
      </c>
      <c r="HI7" s="121" t="str">
        <f>IF(ISBLANK(tbl_task6[[คะแนนเต็ม]:[คะแนนเต็ม]]),"",(tbl_task6[47]/tbl_task6[[คะแนนเต็ม]:[คะแนนเต็ม]])*tbl_task6[[%]:[%]])</f>
        <v/>
      </c>
      <c r="HJ7" s="121" t="str">
        <f>IF(ISBLANK(tbl_task6[[คะแนนเต็ม]:[คะแนนเต็ม]]),"",(tbl_task6[48]/tbl_task6[[คะแนนเต็ม]:[คะแนนเต็ม]])*tbl_task6[[%]:[%]])</f>
        <v/>
      </c>
      <c r="HK7" s="121" t="str">
        <f>IF(ISBLANK(tbl_task6[[คะแนนเต็ม]:[คะแนนเต็ม]]),"",(tbl_task6[49]/tbl_task6[[คะแนนเต็ม]:[คะแนนเต็ม]])*tbl_task6[[%]:[%]])</f>
        <v/>
      </c>
      <c r="HL7" s="121" t="str">
        <f>IF(ISBLANK(tbl_task6[[คะแนนเต็ม]:[คะแนนเต็ม]]),"",(tbl_task6[50]/tbl_task6[[คะแนนเต็ม]:[คะแนนเต็ม]])*tbl_task6[[%]:[%]])</f>
        <v/>
      </c>
      <c r="HM7" s="121" t="str">
        <f>IF(ISBLANK(tbl_task6[[คะแนนเต็ม]:[คะแนนเต็ม]]),"",(tbl_task6[51]/tbl_task6[[คะแนนเต็ม]:[คะแนนเต็ม]])*tbl_task6[[%]:[%]])</f>
        <v/>
      </c>
      <c r="HN7" s="121" t="str">
        <f>IF(ISBLANK(tbl_task6[[คะแนนเต็ม]:[คะแนนเต็ม]]),"",(tbl_task6[52]/tbl_task6[[คะแนนเต็ม]:[คะแนนเต็ม]])*tbl_task6[[%]:[%]])</f>
        <v/>
      </c>
      <c r="HO7" s="121" t="str">
        <f>IF(ISBLANK(tbl_task6[[คะแนนเต็ม]:[คะแนนเต็ม]]),"",(tbl_task6[53]/tbl_task6[[คะแนนเต็ม]:[คะแนนเต็ม]])*tbl_task6[[%]:[%]])</f>
        <v/>
      </c>
      <c r="HP7" s="121" t="str">
        <f>IF(ISBLANK(tbl_task6[[คะแนนเต็ม]:[คะแนนเต็ม]]),"",(tbl_task6[54]/tbl_task6[[คะแนนเต็ม]:[คะแนนเต็ม]])*tbl_task6[[%]:[%]])</f>
        <v/>
      </c>
      <c r="HQ7" s="121" t="str">
        <f>IF(ISBLANK(tbl_task6[[คะแนนเต็ม]:[คะแนนเต็ม]]),"",(tbl_task6[55]/tbl_task6[[คะแนนเต็ม]:[คะแนนเต็ม]])*tbl_task6[[%]:[%]])</f>
        <v/>
      </c>
      <c r="HR7" s="121" t="str">
        <f>IF(ISBLANK(tbl_task6[[คะแนนเต็ม]:[คะแนนเต็ม]]),"",(tbl_task6[56]/tbl_task6[[คะแนนเต็ม]:[คะแนนเต็ม]])*tbl_task6[[%]:[%]])</f>
        <v/>
      </c>
      <c r="HS7" s="121" t="str">
        <f>IF(ISBLANK(tbl_task6[[คะแนนเต็ม]:[คะแนนเต็ม]]),"",(tbl_task6[57]/tbl_task6[[คะแนนเต็ม]:[คะแนนเต็ม]])*tbl_task6[[%]:[%]])</f>
        <v/>
      </c>
      <c r="HT7" s="121" t="str">
        <f>IF(ISBLANK(tbl_task6[[คะแนนเต็ม]:[คะแนนเต็ม]]),"",(tbl_task6[58]/tbl_task6[[คะแนนเต็ม]:[คะแนนเต็ม]])*tbl_task6[[%]:[%]])</f>
        <v/>
      </c>
      <c r="HU7" s="121" t="str">
        <f>IF(ISBLANK(tbl_task6[[คะแนนเต็ม]:[คะแนนเต็ม]]),"",(tbl_task6[59]/tbl_task6[[คะแนนเต็ม]:[คะแนนเต็ม]])*tbl_task6[[%]:[%]])</f>
        <v/>
      </c>
      <c r="HV7" s="121" t="str">
        <f>IF(ISBLANK(tbl_task6[[คะแนนเต็ม]:[คะแนนเต็ม]]),"",(tbl_task6[60]/tbl_task6[[คะแนนเต็ม]:[คะแนนเต็ม]])*tbl_task6[[%]:[%]])</f>
        <v/>
      </c>
      <c r="HW7" s="121" t="str">
        <f>IF(ISBLANK(tbl_task6[[คะแนนเต็ม]:[คะแนนเต็ม]]),"",(tbl_task6[61]/tbl_task6[[คะแนนเต็ม]:[คะแนนเต็ม]])*tbl_task6[[%]:[%]])</f>
        <v/>
      </c>
      <c r="HX7" s="121" t="str">
        <f>IF(ISBLANK(tbl_task6[[คะแนนเต็ม]:[คะแนนเต็ม]]),"",(tbl_task6[62]/tbl_task6[[คะแนนเต็ม]:[คะแนนเต็ม]])*tbl_task6[[%]:[%]])</f>
        <v/>
      </c>
      <c r="HY7" s="121" t="str">
        <f>IF(ISBLANK(tbl_task6[[คะแนนเต็ม]:[คะแนนเต็ม]]),"",(tbl_task6[63]/tbl_task6[[คะแนนเต็ม]:[คะแนนเต็ม]])*tbl_task6[[%]:[%]])</f>
        <v/>
      </c>
      <c r="HZ7" s="121" t="str">
        <f>IF(ISBLANK(tbl_task6[[คะแนนเต็ม]:[คะแนนเต็ม]]),"",(tbl_task6[64]/tbl_task6[[คะแนนเต็ม]:[คะแนนเต็ม]])*tbl_task6[[%]:[%]])</f>
        <v/>
      </c>
      <c r="IA7" s="121" t="str">
        <f>IF(ISBLANK(tbl_task6[[คะแนนเต็ม]:[คะแนนเต็ม]]),"",(tbl_task6[65]/tbl_task6[[คะแนนเต็ม]:[คะแนนเต็ม]])*tbl_task6[[%]:[%]])</f>
        <v/>
      </c>
      <c r="IB7" s="121" t="str">
        <f>IF(ISBLANK(tbl_task6[[คะแนนเต็ม]:[คะแนนเต็ม]]),"",(tbl_task6[66]/tbl_task6[[คะแนนเต็ม]:[คะแนนเต็ม]])*tbl_task6[[%]:[%]])</f>
        <v/>
      </c>
      <c r="IC7" s="121" t="str">
        <f>IF(ISBLANK(tbl_task6[[คะแนนเต็ม]:[คะแนนเต็ม]]),"",(tbl_task6[67]/tbl_task6[[คะแนนเต็ม]:[คะแนนเต็ม]])*tbl_task6[[%]:[%]])</f>
        <v/>
      </c>
      <c r="ID7" s="121" t="str">
        <f>IF(ISBLANK(tbl_task6[[คะแนนเต็ม]:[คะแนนเต็ม]]),"",(tbl_task6[68]/tbl_task6[[คะแนนเต็ม]:[คะแนนเต็ม]])*tbl_task6[[%]:[%]])</f>
        <v/>
      </c>
      <c r="IE7" s="121" t="str">
        <f>IF(ISBLANK(tbl_task6[[คะแนนเต็ม]:[คะแนนเต็ม]]),"",(tbl_task6[69]/tbl_task6[[คะแนนเต็ม]:[คะแนนเต็ม]])*tbl_task6[[%]:[%]])</f>
        <v/>
      </c>
      <c r="IF7" s="121" t="str">
        <f>IF(ISBLANK(tbl_task6[[คะแนนเต็ม]:[คะแนนเต็ม]]),"",(tbl_task6[70]/tbl_task6[[คะแนนเต็ม]:[คะแนนเต็ม]])*tbl_task6[[%]:[%]])</f>
        <v/>
      </c>
      <c r="IG7" s="121" t="str">
        <f>IF(ISBLANK(tbl_task6[[คะแนนเต็ม]:[คะแนนเต็ม]]),"",(tbl_task6[71]/tbl_task6[[คะแนนเต็ม]:[คะแนนเต็ม]])*tbl_task6[[%]:[%]])</f>
        <v/>
      </c>
      <c r="IH7" s="121" t="str">
        <f>IF(ISBLANK(tbl_task6[[คะแนนเต็ม]:[คะแนนเต็ม]]),"",(tbl_task6[72]/tbl_task6[[คะแนนเต็ม]:[คะแนนเต็ม]])*tbl_task6[[%]:[%]])</f>
        <v/>
      </c>
      <c r="II7" s="121" t="str">
        <f>IF(ISBLANK(tbl_task6[[คะแนนเต็ม]:[คะแนนเต็ม]]),"",(tbl_task6[73]/tbl_task6[[คะแนนเต็ม]:[คะแนนเต็ม]])*tbl_task6[[%]:[%]])</f>
        <v/>
      </c>
      <c r="IJ7" s="121" t="str">
        <f>IF(ISBLANK(tbl_task6[[คะแนนเต็ม]:[คะแนนเต็ม]]),"",(tbl_task6[74]/tbl_task6[[คะแนนเต็ม]:[คะแนนเต็ม]])*tbl_task6[[%]:[%]])</f>
        <v/>
      </c>
      <c r="IK7" s="121" t="str">
        <f>IF(ISBLANK(tbl_task6[[คะแนนเต็ม]:[คะแนนเต็ม]]),"",(tbl_task6[75]/tbl_task6[[คะแนนเต็ม]:[คะแนนเต็ม]])*tbl_task6[[%]:[%]])</f>
        <v/>
      </c>
      <c r="IL7" s="121" t="str">
        <f>IF(ISBLANK(tbl_task6[[คะแนนเต็ม]:[คะแนนเต็ม]]),"",(tbl_task6[76]/tbl_task6[[คะแนนเต็ม]:[คะแนนเต็ม]])*tbl_task6[[%]:[%]])</f>
        <v/>
      </c>
      <c r="IM7" s="121" t="str">
        <f>IF(ISBLANK(tbl_task6[[คะแนนเต็ม]:[คะแนนเต็ม]]),"",(tbl_task6[77]/tbl_task6[[คะแนนเต็ม]:[คะแนนเต็ม]])*tbl_task6[[%]:[%]])</f>
        <v/>
      </c>
      <c r="IN7" s="121" t="str">
        <f>IF(ISBLANK(tbl_task6[[คะแนนเต็ม]:[คะแนนเต็ม]]),"",(tbl_task6[78]/tbl_task6[[คะแนนเต็ม]:[คะแนนเต็ม]])*tbl_task6[[%]:[%]])</f>
        <v/>
      </c>
      <c r="IO7" s="121" t="str">
        <f>IF(ISBLANK(tbl_task6[[คะแนนเต็ม]:[คะแนนเต็ม]]),"",(tbl_task6[79]/tbl_task6[[คะแนนเต็ม]:[คะแนนเต็ม]])*tbl_task6[[%]:[%]])</f>
        <v/>
      </c>
      <c r="IP7" s="121" t="str">
        <f>IF(ISBLANK(tbl_task6[[คะแนนเต็ม]:[คะแนนเต็ม]]),"",(tbl_task6[80]/tbl_task6[[คะแนนเต็ม]:[คะแนนเต็ม]])*tbl_task6[[%]:[%]])</f>
        <v/>
      </c>
      <c r="IQ7" s="121" t="str">
        <f>IF(ISBLANK(tbl_task6[[คะแนนเต็ม]:[คะแนนเต็ม]]),"",(tbl_task6[81]/tbl_task6[[คะแนนเต็ม]:[คะแนนเต็ม]])*tbl_task6[[%]:[%]])</f>
        <v/>
      </c>
      <c r="IR7" s="121" t="str">
        <f>IF(ISBLANK(tbl_task6[[คะแนนเต็ม]:[คะแนนเต็ม]]),"",(tbl_task6[82]/tbl_task6[[คะแนนเต็ม]:[คะแนนเต็ม]])*tbl_task6[[%]:[%]])</f>
        <v/>
      </c>
      <c r="IS7" s="121" t="str">
        <f>IF(ISBLANK(tbl_task6[[คะแนนเต็ม]:[คะแนนเต็ม]]),"",(tbl_task6[83]/tbl_task6[[คะแนนเต็ม]:[คะแนนเต็ม]])*tbl_task6[[%]:[%]])</f>
        <v/>
      </c>
      <c r="IT7" s="121" t="str">
        <f>IF(ISBLANK(tbl_task6[[คะแนนเต็ม]:[คะแนนเต็ม]]),"",(tbl_task6[84]/tbl_task6[[คะแนนเต็ม]:[คะแนนเต็ม]])*tbl_task6[[%]:[%]])</f>
        <v/>
      </c>
      <c r="IU7" s="121" t="str">
        <f>IF(ISBLANK(tbl_task6[[คะแนนเต็ม]:[คะแนนเต็ม]]),"",(tbl_task6[85]/tbl_task6[[คะแนนเต็ม]:[คะแนนเต็ม]])*tbl_task6[[%]:[%]])</f>
        <v/>
      </c>
      <c r="IV7" s="121" t="str">
        <f>IF(ISBLANK(tbl_task6[[คะแนนเต็ม]:[คะแนนเต็ม]]),"",(tbl_task6[86]/tbl_task6[[คะแนนเต็ม]:[คะแนนเต็ม]])*tbl_task6[[%]:[%]])</f>
        <v/>
      </c>
      <c r="IW7" s="121" t="str">
        <f>IF(ISBLANK(tbl_task6[[คะแนนเต็ม]:[คะแนนเต็ม]]),"",(tbl_task6[87]/tbl_task6[[คะแนนเต็ม]:[คะแนนเต็ม]])*tbl_task6[[%]:[%]])</f>
        <v/>
      </c>
      <c r="IX7" s="121" t="str">
        <f>IF(ISBLANK(tbl_task6[[คะแนนเต็ม]:[คะแนนเต็ม]]),"",(tbl_task6[88]/tbl_task6[[คะแนนเต็ม]:[คะแนนเต็ม]])*tbl_task6[[%]:[%]])</f>
        <v/>
      </c>
      <c r="IY7" s="121" t="str">
        <f>IF(ISBLANK(tbl_task6[[คะแนนเต็ม]:[คะแนนเต็ม]]),"",(tbl_task6[89]/tbl_task6[[คะแนนเต็ม]:[คะแนนเต็ม]])*tbl_task6[[%]:[%]])</f>
        <v/>
      </c>
      <c r="IZ7" s="121" t="str">
        <f>IF(ISBLANK(tbl_task6[[คะแนนเต็ม]:[คะแนนเต็ม]]),"",(tbl_task6[90]/tbl_task6[[คะแนนเต็ม]:[คะแนนเต็ม]])*tbl_task6[[%]:[%]])</f>
        <v/>
      </c>
      <c r="JA7" s="121" t="str">
        <f>IF(ISBLANK(tbl_task6[[คะแนนเต็ม]:[คะแนนเต็ม]]),"",(tbl_task6[91]/tbl_task6[[คะแนนเต็ม]:[คะแนนเต็ม]])*tbl_task6[[%]:[%]])</f>
        <v/>
      </c>
      <c r="JB7" s="121" t="str">
        <f>IF(ISBLANK(tbl_task6[[คะแนนเต็ม]:[คะแนนเต็ม]]),"",(tbl_task6[92]/tbl_task6[[คะแนนเต็ม]:[คะแนนเต็ม]])*tbl_task6[[%]:[%]])</f>
        <v/>
      </c>
      <c r="JC7" s="121" t="str">
        <f>IF(ISBLANK(tbl_task6[[คะแนนเต็ม]:[คะแนนเต็ม]]),"",(tbl_task6[93]/tbl_task6[[คะแนนเต็ม]:[คะแนนเต็ม]])*tbl_task6[[%]:[%]])</f>
        <v/>
      </c>
      <c r="JD7" s="121" t="str">
        <f>IF(ISBLANK(tbl_task6[[คะแนนเต็ม]:[คะแนนเต็ม]]),"",(tbl_task6[94]/tbl_task6[[คะแนนเต็ม]:[คะแนนเต็ม]])*tbl_task6[[%]:[%]])</f>
        <v/>
      </c>
      <c r="JE7" s="121" t="str">
        <f>IF(ISBLANK(tbl_task6[[คะแนนเต็ม]:[คะแนนเต็ม]]),"",(tbl_task6[95]/tbl_task6[[คะแนนเต็ม]:[คะแนนเต็ม]])*tbl_task6[[%]:[%]])</f>
        <v/>
      </c>
      <c r="JF7" s="121" t="str">
        <f>IF(ISBLANK(tbl_task6[[คะแนนเต็ม]:[คะแนนเต็ม]]),"",(tbl_task6[96]/tbl_task6[[คะแนนเต็ม]:[คะแนนเต็ม]])*tbl_task6[[%]:[%]])</f>
        <v/>
      </c>
      <c r="JG7" s="121" t="str">
        <f>IF(ISBLANK(tbl_task6[[คะแนนเต็ม]:[คะแนนเต็ม]]),"",(tbl_task6[97]/tbl_task6[[คะแนนเต็ม]:[คะแนนเต็ม]])*tbl_task6[[%]:[%]])</f>
        <v/>
      </c>
      <c r="JH7" s="121" t="str">
        <f>IF(ISBLANK(tbl_task6[[คะแนนเต็ม]:[คะแนนเต็ม]]),"",(tbl_task6[98]/tbl_task6[[คะแนนเต็ม]:[คะแนนเต็ม]])*tbl_task6[[%]:[%]])</f>
        <v/>
      </c>
      <c r="JI7" s="121" t="str">
        <f>IF(ISBLANK(tbl_task6[[คะแนนเต็ม]:[คะแนนเต็ม]]),"",(tbl_task6[99]/tbl_task6[[คะแนนเต็ม]:[คะแนนเต็ม]])*tbl_task6[[%]:[%]])</f>
        <v/>
      </c>
      <c r="JJ7" s="121" t="str">
        <f>IF(ISBLANK(tbl_task6[[คะแนนเต็ม]:[คะแนนเต็ม]]),"",(tbl_task6[100]/tbl_task6[[คะแนนเต็ม]:[คะแนนเต็ม]])*tbl_task6[[%]:[%]])</f>
        <v/>
      </c>
      <c r="JK7" s="121" t="str">
        <f>IF(ISBLANK(tbl_task6[[คะแนนเต็ม]:[คะแนนเต็ม]]),"",(tbl_task6[101]/tbl_task6[[คะแนนเต็ม]:[คะแนนเต็ม]])*tbl_task6[[%]:[%]])</f>
        <v/>
      </c>
      <c r="JL7" s="121" t="str">
        <f>IF(ISBLANK(tbl_task6[[คะแนนเต็ม]:[คะแนนเต็ม]]),"",(tbl_task6[102]/tbl_task6[[คะแนนเต็ม]:[คะแนนเต็ม]])*tbl_task6[[%]:[%]])</f>
        <v/>
      </c>
      <c r="JM7" s="121" t="str">
        <f>IF(ISBLANK(tbl_task6[[คะแนนเต็ม]:[คะแนนเต็ม]]),"",(tbl_task6[103]/tbl_task6[[คะแนนเต็ม]:[คะแนนเต็ม]])*tbl_task6[[%]:[%]])</f>
        <v/>
      </c>
      <c r="JN7" s="121" t="str">
        <f>IF(ISBLANK(tbl_task6[[คะแนนเต็ม]:[คะแนนเต็ม]]),"",(tbl_task6[104]/tbl_task6[[คะแนนเต็ม]:[คะแนนเต็ม]])*tbl_task6[[%]:[%]])</f>
        <v/>
      </c>
      <c r="JO7" s="121" t="str">
        <f>IF(ISBLANK(tbl_task6[[คะแนนเต็ม]:[คะแนนเต็ม]]),"",(tbl_task6[105]/tbl_task6[[คะแนนเต็ม]:[คะแนนเต็ม]])*tbl_task6[[%]:[%]])</f>
        <v/>
      </c>
      <c r="JP7" s="121" t="str">
        <f>IF(ISBLANK(tbl_task6[[คะแนนเต็ม]:[คะแนนเต็ม]]),"",(tbl_task6[106]/tbl_task6[[คะแนนเต็ม]:[คะแนนเต็ม]])*tbl_task6[[%]:[%]])</f>
        <v/>
      </c>
      <c r="JQ7" s="121" t="str">
        <f>IF(ISBLANK(tbl_task6[[คะแนนเต็ม]:[คะแนนเต็ม]]),"",(tbl_task6[107]/tbl_task6[[คะแนนเต็ม]:[คะแนนเต็ม]])*tbl_task6[[%]:[%]])</f>
        <v/>
      </c>
      <c r="JR7" s="121" t="str">
        <f>IF(ISBLANK(tbl_task6[[คะแนนเต็ม]:[คะแนนเต็ม]]),"",(tbl_task6[108]/tbl_task6[[คะแนนเต็ม]:[คะแนนเต็ม]])*tbl_task6[[%]:[%]])</f>
        <v/>
      </c>
      <c r="JS7" s="121" t="str">
        <f>IF(ISBLANK(tbl_task6[[คะแนนเต็ม]:[คะแนนเต็ม]]),"",(tbl_task6[109]/tbl_task6[[คะแนนเต็ม]:[คะแนนเต็ม]])*tbl_task6[[%]:[%]])</f>
        <v/>
      </c>
      <c r="JT7" s="121" t="str">
        <f>IF(ISBLANK(tbl_task6[[คะแนนเต็ม]:[คะแนนเต็ม]]),"",(tbl_task6[110]/tbl_task6[[คะแนนเต็ม]:[คะแนนเต็ม]])*tbl_task6[[%]:[%]])</f>
        <v/>
      </c>
      <c r="JU7" s="121" t="str">
        <f>IF(ISBLANK(tbl_task6[[คะแนนเต็ม]:[คะแนนเต็ม]]),"",(tbl_task6[111]/tbl_task6[[คะแนนเต็ม]:[คะแนนเต็ม]])*tbl_task6[[%]:[%]])</f>
        <v/>
      </c>
      <c r="JV7" s="121" t="str">
        <f>IF(ISBLANK(tbl_task6[[คะแนนเต็ม]:[คะแนนเต็ม]]),"",(tbl_task6[112]/tbl_task6[[คะแนนเต็ม]:[คะแนนเต็ม]])*tbl_task6[[%]:[%]])</f>
        <v/>
      </c>
      <c r="JW7" s="121" t="str">
        <f>IF(ISBLANK(tbl_task6[[คะแนนเต็ม]:[คะแนนเต็ม]]),"",(tbl_task6[113]/tbl_task6[[คะแนนเต็ม]:[คะแนนเต็ม]])*tbl_task6[[%]:[%]])</f>
        <v/>
      </c>
      <c r="JX7" s="121" t="str">
        <f>IF(ISBLANK(tbl_task6[[คะแนนเต็ม]:[คะแนนเต็ม]]),"",(tbl_task6[114]/tbl_task6[[คะแนนเต็ม]:[คะแนนเต็ม]])*tbl_task6[[%]:[%]])</f>
        <v/>
      </c>
      <c r="JY7" s="121" t="str">
        <f>IF(ISBLANK(tbl_task6[[คะแนนเต็ม]:[คะแนนเต็ม]]),"",(tbl_task6[115]/tbl_task6[[คะแนนเต็ม]:[คะแนนเต็ม]])*tbl_task6[[%]:[%]])</f>
        <v/>
      </c>
      <c r="JZ7" s="121" t="str">
        <f>IF(ISBLANK(tbl_task6[[คะแนนเต็ม]:[คะแนนเต็ม]]),"",(tbl_task6[116]/tbl_task6[[คะแนนเต็ม]:[คะแนนเต็ม]])*tbl_task6[[%]:[%]])</f>
        <v/>
      </c>
      <c r="KA7" s="121" t="str">
        <f>IF(ISBLANK(tbl_task6[[คะแนนเต็ม]:[คะแนนเต็ม]]),"",(tbl_task6[117]/tbl_task6[[คะแนนเต็ม]:[คะแนนเต็ม]])*tbl_task6[[%]:[%]])</f>
        <v/>
      </c>
      <c r="KB7" s="121" t="str">
        <f>IF(ISBLANK(tbl_task6[[คะแนนเต็ม]:[คะแนนเต็ม]]),"",(tbl_task6[118]/tbl_task6[[คะแนนเต็ม]:[คะแนนเต็ม]])*tbl_task6[[%]:[%]])</f>
        <v/>
      </c>
      <c r="KC7" s="121" t="str">
        <f>IF(ISBLANK(tbl_task6[[คะแนนเต็ม]:[คะแนนเต็ม]]),"",(tbl_task6[119]/tbl_task6[[คะแนนเต็ม]:[คะแนนเต็ม]])*tbl_task6[[%]:[%]])</f>
        <v/>
      </c>
      <c r="KD7" s="121" t="str">
        <f>IF(ISBLANK(tbl_task6[[คะแนนเต็ม]:[คะแนนเต็ม]]),"",(tbl_task6[120]/tbl_task6[[คะแนนเต็ม]:[คะแนนเต็ม]])*tbl_task6[[%]:[%]])</f>
        <v/>
      </c>
      <c r="KE7" s="121" t="str">
        <f>IF(ISBLANK(tbl_task6[[คะแนนเต็ม]:[คะแนนเต็ม]]),"",(tbl_task6[121]/tbl_task6[[คะแนนเต็ม]:[คะแนนเต็ม]])*tbl_task6[[%]:[%]])</f>
        <v/>
      </c>
      <c r="KF7" s="121" t="str">
        <f>IF(ISBLANK(tbl_task6[[คะแนนเต็ม]:[คะแนนเต็ม]]),"",(tbl_task6[122]/tbl_task6[[คะแนนเต็ม]:[คะแนนเต็ม]])*tbl_task6[[%]:[%]])</f>
        <v/>
      </c>
      <c r="KG7" s="121" t="str">
        <f>IF(ISBLANK(tbl_task6[[คะแนนเต็ม]:[คะแนนเต็ม]]),"",(tbl_task6[123]/tbl_task6[[คะแนนเต็ม]:[คะแนนเต็ม]])*tbl_task6[[%]:[%]])</f>
        <v/>
      </c>
      <c r="KH7" s="121" t="str">
        <f>IF(ISBLANK(tbl_task6[[คะแนนเต็ม]:[คะแนนเต็ม]]),"",(tbl_task6[124]/tbl_task6[[คะแนนเต็ม]:[คะแนนเต็ม]])*tbl_task6[[%]:[%]])</f>
        <v/>
      </c>
      <c r="KI7" s="121" t="str">
        <f>IF(ISBLANK(tbl_task6[[คะแนนเต็ม]:[คะแนนเต็ม]]),"",(tbl_task6[125]/tbl_task6[[คะแนนเต็ม]:[คะแนนเต็ม]])*tbl_task6[[%]:[%]])</f>
        <v/>
      </c>
      <c r="KJ7" s="121" t="str">
        <f>IF(ISBLANK(tbl_task6[[คะแนนเต็ม]:[คะแนนเต็ม]]),"",(tbl_task6[126]/tbl_task6[[คะแนนเต็ม]:[คะแนนเต็ม]])*tbl_task6[[%]:[%]])</f>
        <v/>
      </c>
      <c r="KK7" s="121" t="str">
        <f>IF(ISBLANK(tbl_task6[[คะแนนเต็ม]:[คะแนนเต็ม]]),"",(tbl_task6[127]/tbl_task6[[คะแนนเต็ม]:[คะแนนเต็ม]])*tbl_task6[[%]:[%]])</f>
        <v/>
      </c>
      <c r="KL7" s="121" t="str">
        <f>IF(ISBLANK(tbl_task6[[คะแนนเต็ม]:[คะแนนเต็ม]]),"",(tbl_task6[128]/tbl_task6[[คะแนนเต็ม]:[คะแนนเต็ม]])*tbl_task6[[%]:[%]])</f>
        <v/>
      </c>
      <c r="KM7" s="121" t="str">
        <f>IF(ISBLANK(tbl_task6[[คะแนนเต็ม]:[คะแนนเต็ม]]),"",(tbl_task6[129]/tbl_task6[[คะแนนเต็ม]:[คะแนนเต็ม]])*tbl_task6[[%]:[%]])</f>
        <v/>
      </c>
      <c r="KN7" s="121" t="str">
        <f>IF(ISBLANK(tbl_task6[[คะแนนเต็ม]:[คะแนนเต็ม]]),"",(tbl_task6[130]/tbl_task6[[คะแนนเต็ม]:[คะแนนเต็ม]])*tbl_task6[[%]:[%]])</f>
        <v/>
      </c>
      <c r="KO7" s="121" t="str">
        <f>IF(ISBLANK(tbl_task6[[คะแนนเต็ม]:[คะแนนเต็ม]]),"",(tbl_task6[131]/tbl_task6[[คะแนนเต็ม]:[คะแนนเต็ม]])*tbl_task6[[%]:[%]])</f>
        <v/>
      </c>
      <c r="KP7" s="121" t="str">
        <f>IF(ISBLANK(tbl_task6[[คะแนนเต็ม]:[คะแนนเต็ม]]),"",(tbl_task6[132]/tbl_task6[[คะแนนเต็ม]:[คะแนนเต็ม]])*tbl_task6[[%]:[%]])</f>
        <v/>
      </c>
      <c r="KQ7" s="121" t="str">
        <f>IF(ISBLANK(tbl_task6[[คะแนนเต็ม]:[คะแนนเต็ม]]),"",(tbl_task6[133]/tbl_task6[[คะแนนเต็ม]:[คะแนนเต็ม]])*tbl_task6[[%]:[%]])</f>
        <v/>
      </c>
      <c r="KR7" s="121" t="str">
        <f>IF(ISBLANK(tbl_task6[[คะแนนเต็ม]:[คะแนนเต็ม]]),"",(tbl_task6[134]/tbl_task6[[คะแนนเต็ม]:[คะแนนเต็ม]])*tbl_task6[[%]:[%]])</f>
        <v/>
      </c>
      <c r="KS7" s="121" t="str">
        <f>IF(ISBLANK(tbl_task6[[คะแนนเต็ม]:[คะแนนเต็ม]]),"",(tbl_task6[135]/tbl_task6[[คะแนนเต็ม]:[คะแนนเต็ม]])*tbl_task6[[%]:[%]])</f>
        <v/>
      </c>
      <c r="KT7" s="121" t="str">
        <f>IF(ISBLANK(tbl_task6[[คะแนนเต็ม]:[คะแนนเต็ม]]),"",(tbl_task6[136]/tbl_task6[[คะแนนเต็ม]:[คะแนนเต็ม]])*tbl_task6[[%]:[%]])</f>
        <v/>
      </c>
      <c r="KU7" s="121" t="str">
        <f>IF(ISBLANK(tbl_task6[[คะแนนเต็ม]:[คะแนนเต็ม]]),"",(tbl_task6[137]/tbl_task6[[คะแนนเต็ม]:[คะแนนเต็ม]])*tbl_task6[[%]:[%]])</f>
        <v/>
      </c>
      <c r="KV7" s="121" t="str">
        <f>IF(ISBLANK(tbl_task6[[คะแนนเต็ม]:[คะแนนเต็ม]]),"",(tbl_task6[138]/tbl_task6[[คะแนนเต็ม]:[คะแนนเต็ม]])*tbl_task6[[%]:[%]])</f>
        <v/>
      </c>
      <c r="KW7" s="121" t="str">
        <f>IF(ISBLANK(tbl_task6[[คะแนนเต็ม]:[คะแนนเต็ม]]),"",(tbl_task6[139]/tbl_task6[[คะแนนเต็ม]:[คะแนนเต็ม]])*tbl_task6[[%]:[%]])</f>
        <v/>
      </c>
      <c r="KX7" s="121" t="str">
        <f>IF(ISBLANK(tbl_task6[[คะแนนเต็ม]:[คะแนนเต็ม]]),"",(tbl_task6[140]/tbl_task6[[คะแนนเต็ม]:[คะแนนเต็ม]])*tbl_task6[[%]:[%]])</f>
        <v/>
      </c>
      <c r="KY7" s="121" t="str">
        <f>IF(ISBLANK(tbl_task6[[คะแนนเต็ม]:[คะแนนเต็ม]]),"",(tbl_task6[141]/tbl_task6[[คะแนนเต็ม]:[คะแนนเต็ม]])*tbl_task6[[%]:[%]])</f>
        <v/>
      </c>
      <c r="KZ7" s="121" t="str">
        <f>IF(ISBLANK(tbl_task6[[คะแนนเต็ม]:[คะแนนเต็ม]]),"",(tbl_task6[142]/tbl_task6[[คะแนนเต็ม]:[คะแนนเต็ม]])*tbl_task6[[%]:[%]])</f>
        <v/>
      </c>
      <c r="LA7" s="121" t="str">
        <f>IF(ISBLANK(tbl_task6[[คะแนนเต็ม]:[คะแนนเต็ม]]),"",(tbl_task6[143]/tbl_task6[[คะแนนเต็ม]:[คะแนนเต็ม]])*tbl_task6[[%]:[%]])</f>
        <v/>
      </c>
      <c r="LB7" s="121" t="str">
        <f>IF(ISBLANK(tbl_task6[[คะแนนเต็ม]:[คะแนนเต็ม]]),"",(tbl_task6[144]/tbl_task6[[คะแนนเต็ม]:[คะแนนเต็ม]])*tbl_task6[[%]:[%]])</f>
        <v/>
      </c>
      <c r="LC7" s="121" t="str">
        <f>IF(ISBLANK(tbl_task6[[คะแนนเต็ม]:[คะแนนเต็ม]]),"",(tbl_task6[145]/tbl_task6[[คะแนนเต็ม]:[คะแนนเต็ม]])*tbl_task6[[%]:[%]])</f>
        <v/>
      </c>
      <c r="LD7" s="121" t="str">
        <f>IF(ISBLANK(tbl_task6[[คะแนนเต็ม]:[คะแนนเต็ม]]),"",(tbl_task6[146]/tbl_task6[[คะแนนเต็ม]:[คะแนนเต็ม]])*tbl_task6[[%]:[%]])</f>
        <v/>
      </c>
      <c r="LE7" s="121" t="str">
        <f>IF(ISBLANK(tbl_task6[[คะแนนเต็ม]:[คะแนนเต็ม]]),"",(tbl_task6[147]/tbl_task6[[คะแนนเต็ม]:[คะแนนเต็ม]])*tbl_task6[[%]:[%]])</f>
        <v/>
      </c>
      <c r="LF7" s="121" t="str">
        <f>IF(ISBLANK(tbl_task6[[คะแนนเต็ม]:[คะแนนเต็ม]]),"",(tbl_task6[148]/tbl_task6[[คะแนนเต็ม]:[คะแนนเต็ม]])*tbl_task6[[%]:[%]])</f>
        <v/>
      </c>
      <c r="LG7" s="121" t="str">
        <f>IF(ISBLANK(tbl_task6[[คะแนนเต็ม]:[คะแนนเต็ม]]),"",(tbl_task6[149]/tbl_task6[[คะแนนเต็ม]:[คะแนนเต็ม]])*tbl_task6[[%]:[%]])</f>
        <v/>
      </c>
      <c r="LH7" s="121" t="str">
        <f>IF(ISBLANK(tbl_task6[[คะแนนเต็ม]:[คะแนนเต็ม]]),"",(tbl_task6[150]/tbl_task6[[คะแนนเต็ม]:[คะแนนเต็ม]])*tbl_task6[[%]:[%]])</f>
        <v/>
      </c>
      <c r="LI7" s="121" t="str">
        <f>IF(ISBLANK(tbl_task6[[คะแนนเต็ม]:[คะแนนเต็ม]]),"",(tbl_task6[151]/tbl_task6[[คะแนนเต็ม]:[คะแนนเต็ม]])*tbl_task6[[%]:[%]])</f>
        <v/>
      </c>
      <c r="LJ7" s="121" t="str">
        <f>IF(ISBLANK(tbl_task6[[คะแนนเต็ม]:[คะแนนเต็ม]]),"",(tbl_task6[152]/tbl_task6[[คะแนนเต็ม]:[คะแนนเต็ม]])*tbl_task6[[%]:[%]])</f>
        <v/>
      </c>
      <c r="LK7" s="121" t="str">
        <f>IF(ISBLANK(tbl_task6[[คะแนนเต็ม]:[คะแนนเต็ม]]),"",(tbl_task6[153]/tbl_task6[[คะแนนเต็ม]:[คะแนนเต็ม]])*tbl_task6[[%]:[%]])</f>
        <v/>
      </c>
      <c r="LL7" s="121" t="str">
        <f>IF(ISBLANK(tbl_task6[[คะแนนเต็ม]:[คะแนนเต็ม]]),"",(tbl_task6[154]/tbl_task6[[คะแนนเต็ม]:[คะแนนเต็ม]])*tbl_task6[[%]:[%]])</f>
        <v/>
      </c>
      <c r="LM7" s="121" t="str">
        <f>IF(ISBLANK(tbl_task6[[คะแนนเต็ม]:[คะแนนเต็ม]]),"",(tbl_task6[155]/tbl_task6[[คะแนนเต็ม]:[คะแนนเต็ม]])*tbl_task6[[%]:[%]])</f>
        <v/>
      </c>
      <c r="LN7" s="121" t="str">
        <f>IF(ISBLANK(tbl_task6[[คะแนนเต็ม]:[คะแนนเต็ม]]),"",(tbl_task6[156]/tbl_task6[[คะแนนเต็ม]:[คะแนนเต็ม]])*tbl_task6[[%]:[%]])</f>
        <v/>
      </c>
      <c r="LO7" s="121" t="str">
        <f>IF(ISBLANK(tbl_task6[[คะแนนเต็ม]:[คะแนนเต็ม]]),"",(tbl_task6[157]/tbl_task6[[คะแนนเต็ม]:[คะแนนเต็ม]])*tbl_task6[[%]:[%]])</f>
        <v/>
      </c>
      <c r="LP7" s="121" t="str">
        <f>IF(ISBLANK(tbl_task6[[คะแนนเต็ม]:[คะแนนเต็ม]]),"",(tbl_task6[158]/tbl_task6[[คะแนนเต็ม]:[คะแนนเต็ม]])*tbl_task6[[%]:[%]])</f>
        <v/>
      </c>
      <c r="LQ7" s="121" t="str">
        <f>IF(ISBLANK(tbl_task6[[คะแนนเต็ม]:[คะแนนเต็ม]]),"",(tbl_task6[159]/tbl_task6[[คะแนนเต็ม]:[คะแนนเต็ม]])*tbl_task6[[%]:[%]])</f>
        <v/>
      </c>
      <c r="LR7" s="121" t="str">
        <f>IF(ISBLANK(tbl_task6[[คะแนนเต็ม]:[คะแนนเต็ม]]),"",(tbl_task6[160]/tbl_task6[[คะแนนเต็ม]:[คะแนนเต็ม]])*tbl_task6[[%]:[%]])</f>
        <v/>
      </c>
      <c r="LS7" s="121" t="str">
        <f>IF(ISBLANK(tbl_task6[[คะแนนเต็ม]:[คะแนนเต็ม]]),"",(tbl_task6[161]/tbl_task6[[คะแนนเต็ม]:[คะแนนเต็ม]])*tbl_task6[[%]:[%]])</f>
        <v/>
      </c>
      <c r="LT7" s="121" t="str">
        <f>IF(ISBLANK(tbl_task6[[คะแนนเต็ม]:[คะแนนเต็ม]]),"",(tbl_task6[162]/tbl_task6[[คะแนนเต็ม]:[คะแนนเต็ม]])*tbl_task6[[%]:[%]])</f>
        <v/>
      </c>
      <c r="LU7" s="121" t="str">
        <f>IF(ISBLANK(tbl_task6[[คะแนนเต็ม]:[คะแนนเต็ม]]),"",(tbl_task6[163]/tbl_task6[[คะแนนเต็ม]:[คะแนนเต็ม]])*tbl_task6[[%]:[%]])</f>
        <v/>
      </c>
      <c r="LV7" s="121" t="str">
        <f>IF(ISBLANK(tbl_task6[[คะแนนเต็ม]:[คะแนนเต็ม]]),"",(tbl_task6[164]/tbl_task6[[คะแนนเต็ม]:[คะแนนเต็ม]])*tbl_task6[[%]:[%]])</f>
        <v/>
      </c>
      <c r="LW7" s="121" t="str">
        <f>IF(ISBLANK(tbl_task6[[คะแนนเต็ม]:[คะแนนเต็ม]]),"",(tbl_task6[165]/tbl_task6[[คะแนนเต็ม]:[คะแนนเต็ม]])*tbl_task6[[%]:[%]])</f>
        <v/>
      </c>
    </row>
    <row r="8" spans="1:335" ht="24.75" customHeight="1" x14ac:dyDescent="0.25">
      <c r="A8" s="24">
        <v>5</v>
      </c>
      <c r="B8" s="33"/>
      <c r="C8" s="5" t="str">
        <f>IF(ISBLANK(B8),"",VLOOKUP(B8,tbl_PLOs[],2,0))</f>
        <v/>
      </c>
      <c r="D8" s="102"/>
      <c r="E8" s="10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22"/>
      <c r="FO8" s="121" t="str">
        <f>IF(ISBLANK(tbl_task6[[คะแนนเต็ม]:[คะแนนเต็ม]]),"",(tbl_task6[1]/tbl_task6[[คะแนนเต็ม]:[คะแนนเต็ม]])*tbl_task6[[%]:[%]])</f>
        <v/>
      </c>
      <c r="FP8" s="121" t="str">
        <f>IF(ISBLANK(tbl_task6[[คะแนนเต็ม]:[คะแนนเต็ม]]),"",(tbl_task6[2]/tbl_task6[[คะแนนเต็ม]:[คะแนนเต็ม]])*tbl_task6[[%]:[%]])</f>
        <v/>
      </c>
      <c r="FQ8" s="121" t="str">
        <f>IF(ISBLANK(tbl_task6[[คะแนนเต็ม]:[คะแนนเต็ม]]),"",(tbl_task6[3]/tbl_task6[[คะแนนเต็ม]:[คะแนนเต็ม]])*tbl_task6[[%]:[%]])</f>
        <v/>
      </c>
      <c r="FR8" s="121" t="str">
        <f>IF(ISBLANK(tbl_task6[[คะแนนเต็ม]:[คะแนนเต็ม]]),"",(tbl_task6[4]/tbl_task6[[คะแนนเต็ม]:[คะแนนเต็ม]])*tbl_task6[[%]:[%]])</f>
        <v/>
      </c>
      <c r="FS8" s="121" t="str">
        <f>IF(ISBLANK(tbl_task6[[คะแนนเต็ม]:[คะแนนเต็ม]]),"",(tbl_task6[5]/tbl_task6[[คะแนนเต็ม]:[คะแนนเต็ม]])*tbl_task6[[%]:[%]])</f>
        <v/>
      </c>
      <c r="FT8" s="121" t="str">
        <f>IF(ISBLANK(tbl_task6[[คะแนนเต็ม]:[คะแนนเต็ม]]),"",(tbl_task6[6]/tbl_task6[[คะแนนเต็ม]:[คะแนนเต็ม]])*tbl_task6[[%]:[%]])</f>
        <v/>
      </c>
      <c r="FU8" s="121" t="str">
        <f>IF(ISBLANK(tbl_task6[[คะแนนเต็ม]:[คะแนนเต็ม]]),"",(tbl_task6[7]/tbl_task6[[คะแนนเต็ม]:[คะแนนเต็ม]])*tbl_task6[[%]:[%]])</f>
        <v/>
      </c>
      <c r="FV8" s="121" t="str">
        <f>IF(ISBLANK(tbl_task6[[คะแนนเต็ม]:[คะแนนเต็ม]]),"",(tbl_task6[8]/tbl_task6[[คะแนนเต็ม]:[คะแนนเต็ม]])*tbl_task6[[%]:[%]])</f>
        <v/>
      </c>
      <c r="FW8" s="121" t="str">
        <f>IF(ISBLANK(tbl_task6[[คะแนนเต็ม]:[คะแนนเต็ม]]),"",(tbl_task6[9]/tbl_task6[[คะแนนเต็ม]:[คะแนนเต็ม]])*tbl_task6[[%]:[%]])</f>
        <v/>
      </c>
      <c r="FX8" s="121" t="str">
        <f>IF(ISBLANK(tbl_task6[[คะแนนเต็ม]:[คะแนนเต็ม]]),"",(tbl_task6[10]/tbl_task6[[คะแนนเต็ม]:[คะแนนเต็ม]])*tbl_task6[[%]:[%]])</f>
        <v/>
      </c>
      <c r="FY8" s="121" t="str">
        <f>IF(ISBLANK(tbl_task6[[คะแนนเต็ม]:[คะแนนเต็ม]]),"",(tbl_task6[11]/tbl_task6[[คะแนนเต็ม]:[คะแนนเต็ม]])*tbl_task6[[%]:[%]])</f>
        <v/>
      </c>
      <c r="FZ8" s="121" t="str">
        <f>IF(ISBLANK(tbl_task6[[คะแนนเต็ม]:[คะแนนเต็ม]]),"",(tbl_task6[12]/tbl_task6[[คะแนนเต็ม]:[คะแนนเต็ม]])*tbl_task6[[%]:[%]])</f>
        <v/>
      </c>
      <c r="GA8" s="121" t="str">
        <f>IF(ISBLANK(tbl_task6[[คะแนนเต็ม]:[คะแนนเต็ม]]),"",(tbl_task6[13]/tbl_task6[[คะแนนเต็ม]:[คะแนนเต็ม]])*tbl_task6[[%]:[%]])</f>
        <v/>
      </c>
      <c r="GB8" s="121" t="str">
        <f>IF(ISBLANK(tbl_task6[[คะแนนเต็ม]:[คะแนนเต็ม]]),"",(tbl_task6[14]/tbl_task6[[คะแนนเต็ม]:[คะแนนเต็ม]])*tbl_task6[[%]:[%]])</f>
        <v/>
      </c>
      <c r="GC8" s="121" t="str">
        <f>IF(ISBLANK(tbl_task6[[คะแนนเต็ม]:[คะแนนเต็ม]]),"",(tbl_task6[15]/tbl_task6[[คะแนนเต็ม]:[คะแนนเต็ม]])*tbl_task6[[%]:[%]])</f>
        <v/>
      </c>
      <c r="GD8" s="121" t="str">
        <f>IF(ISBLANK(tbl_task6[[คะแนนเต็ม]:[คะแนนเต็ม]]),"",(tbl_task6[16]/tbl_task6[[คะแนนเต็ม]:[คะแนนเต็ม]])*tbl_task6[[%]:[%]])</f>
        <v/>
      </c>
      <c r="GE8" s="121" t="str">
        <f>IF(ISBLANK(tbl_task6[[คะแนนเต็ม]:[คะแนนเต็ม]]),"",(tbl_task6[17]/tbl_task6[[คะแนนเต็ม]:[คะแนนเต็ม]])*tbl_task6[[%]:[%]])</f>
        <v/>
      </c>
      <c r="GF8" s="121" t="str">
        <f>IF(ISBLANK(tbl_task6[[คะแนนเต็ม]:[คะแนนเต็ม]]),"",(tbl_task6[18]/tbl_task6[[คะแนนเต็ม]:[คะแนนเต็ม]])*tbl_task6[[%]:[%]])</f>
        <v/>
      </c>
      <c r="GG8" s="121" t="str">
        <f>IF(ISBLANK(tbl_task6[[คะแนนเต็ม]:[คะแนนเต็ม]]),"",(tbl_task6[19]/tbl_task6[[คะแนนเต็ม]:[คะแนนเต็ม]])*tbl_task6[[%]:[%]])</f>
        <v/>
      </c>
      <c r="GH8" s="121" t="str">
        <f>IF(ISBLANK(tbl_task6[[คะแนนเต็ม]:[คะแนนเต็ม]]),"",(tbl_task6[20]/tbl_task6[[คะแนนเต็ม]:[คะแนนเต็ม]])*tbl_task6[[%]:[%]])</f>
        <v/>
      </c>
      <c r="GI8" s="121" t="str">
        <f>IF(ISBLANK(tbl_task6[[คะแนนเต็ม]:[คะแนนเต็ม]]),"",(tbl_task6[21]/tbl_task6[[คะแนนเต็ม]:[คะแนนเต็ม]])*tbl_task6[[%]:[%]])</f>
        <v/>
      </c>
      <c r="GJ8" s="121" t="str">
        <f>IF(ISBLANK(tbl_task6[[คะแนนเต็ม]:[คะแนนเต็ม]]),"",(tbl_task6[22]/tbl_task6[[คะแนนเต็ม]:[คะแนนเต็ม]])*tbl_task6[[%]:[%]])</f>
        <v/>
      </c>
      <c r="GK8" s="121" t="str">
        <f>IF(ISBLANK(tbl_task6[[คะแนนเต็ม]:[คะแนนเต็ม]]),"",(tbl_task6[23]/tbl_task6[[คะแนนเต็ม]:[คะแนนเต็ม]])*tbl_task6[[%]:[%]])</f>
        <v/>
      </c>
      <c r="GL8" s="121" t="str">
        <f>IF(ISBLANK(tbl_task6[[คะแนนเต็ม]:[คะแนนเต็ม]]),"",(tbl_task6[24]/tbl_task6[[คะแนนเต็ม]:[คะแนนเต็ม]])*tbl_task6[[%]:[%]])</f>
        <v/>
      </c>
      <c r="GM8" s="121" t="str">
        <f>IF(ISBLANK(tbl_task6[[คะแนนเต็ม]:[คะแนนเต็ม]]),"",(tbl_task6[25]/tbl_task6[[คะแนนเต็ม]:[คะแนนเต็ม]])*tbl_task6[[%]:[%]])</f>
        <v/>
      </c>
      <c r="GN8" s="121" t="str">
        <f>IF(ISBLANK(tbl_task6[[คะแนนเต็ม]:[คะแนนเต็ม]]),"",(tbl_task6[26]/tbl_task6[[คะแนนเต็ม]:[คะแนนเต็ม]])*tbl_task6[[%]:[%]])</f>
        <v/>
      </c>
      <c r="GO8" s="121" t="str">
        <f>IF(ISBLANK(tbl_task6[[คะแนนเต็ม]:[คะแนนเต็ม]]),"",(tbl_task6[27]/tbl_task6[[คะแนนเต็ม]:[คะแนนเต็ม]])*tbl_task6[[%]:[%]])</f>
        <v/>
      </c>
      <c r="GP8" s="121" t="str">
        <f>IF(ISBLANK(tbl_task6[[คะแนนเต็ม]:[คะแนนเต็ม]]),"",(tbl_task6[28]/tbl_task6[[คะแนนเต็ม]:[คะแนนเต็ม]])*tbl_task6[[%]:[%]])</f>
        <v/>
      </c>
      <c r="GQ8" s="121" t="str">
        <f>IF(ISBLANK(tbl_task6[[คะแนนเต็ม]:[คะแนนเต็ม]]),"",(tbl_task6[29]/tbl_task6[[คะแนนเต็ม]:[คะแนนเต็ม]])*tbl_task6[[%]:[%]])</f>
        <v/>
      </c>
      <c r="GR8" s="121" t="str">
        <f>IF(ISBLANK(tbl_task6[[คะแนนเต็ม]:[คะแนนเต็ม]]),"",(tbl_task6[30]/tbl_task6[[คะแนนเต็ม]:[คะแนนเต็ม]])*tbl_task6[[%]:[%]])</f>
        <v/>
      </c>
      <c r="GS8" s="121" t="str">
        <f>IF(ISBLANK(tbl_task6[[คะแนนเต็ม]:[คะแนนเต็ม]]),"",(tbl_task6[31]/tbl_task6[[คะแนนเต็ม]:[คะแนนเต็ม]])*tbl_task6[[%]:[%]])</f>
        <v/>
      </c>
      <c r="GT8" s="121" t="str">
        <f>IF(ISBLANK(tbl_task6[[คะแนนเต็ม]:[คะแนนเต็ม]]),"",(tbl_task6[32]/tbl_task6[[คะแนนเต็ม]:[คะแนนเต็ม]])*tbl_task6[[%]:[%]])</f>
        <v/>
      </c>
      <c r="GU8" s="121" t="str">
        <f>IF(ISBLANK(tbl_task6[[คะแนนเต็ม]:[คะแนนเต็ม]]),"",(tbl_task6[33]/tbl_task6[[คะแนนเต็ม]:[คะแนนเต็ม]])*tbl_task6[[%]:[%]])</f>
        <v/>
      </c>
      <c r="GV8" s="121" t="str">
        <f>IF(ISBLANK(tbl_task6[[คะแนนเต็ม]:[คะแนนเต็ม]]),"",(tbl_task6[34]/tbl_task6[[คะแนนเต็ม]:[คะแนนเต็ม]])*tbl_task6[[%]:[%]])</f>
        <v/>
      </c>
      <c r="GW8" s="121" t="str">
        <f>IF(ISBLANK(tbl_task6[[คะแนนเต็ม]:[คะแนนเต็ม]]),"",(tbl_task6[35]/tbl_task6[[คะแนนเต็ม]:[คะแนนเต็ม]])*tbl_task6[[%]:[%]])</f>
        <v/>
      </c>
      <c r="GX8" s="121" t="str">
        <f>IF(ISBLANK(tbl_task6[[คะแนนเต็ม]:[คะแนนเต็ม]]),"",(tbl_task6[36]/tbl_task6[[คะแนนเต็ม]:[คะแนนเต็ม]])*tbl_task6[[%]:[%]])</f>
        <v/>
      </c>
      <c r="GY8" s="121" t="str">
        <f>IF(ISBLANK(tbl_task6[[คะแนนเต็ม]:[คะแนนเต็ม]]),"",(tbl_task6[37]/tbl_task6[[คะแนนเต็ม]:[คะแนนเต็ม]])*tbl_task6[[%]:[%]])</f>
        <v/>
      </c>
      <c r="GZ8" s="121" t="str">
        <f>IF(ISBLANK(tbl_task6[[คะแนนเต็ม]:[คะแนนเต็ม]]),"",(tbl_task6[38]/tbl_task6[[คะแนนเต็ม]:[คะแนนเต็ม]])*tbl_task6[[%]:[%]])</f>
        <v/>
      </c>
      <c r="HA8" s="121" t="str">
        <f>IF(ISBLANK(tbl_task6[[คะแนนเต็ม]:[คะแนนเต็ม]]),"",(tbl_task6[39]/tbl_task6[[คะแนนเต็ม]:[คะแนนเต็ม]])*tbl_task6[[%]:[%]])</f>
        <v/>
      </c>
      <c r="HB8" s="121" t="str">
        <f>IF(ISBLANK(tbl_task6[[คะแนนเต็ม]:[คะแนนเต็ม]]),"",(tbl_task6[40]/tbl_task6[[คะแนนเต็ม]:[คะแนนเต็ม]])*tbl_task6[[%]:[%]])</f>
        <v/>
      </c>
      <c r="HC8" s="121" t="str">
        <f>IF(ISBLANK(tbl_task6[[คะแนนเต็ม]:[คะแนนเต็ม]]),"",(tbl_task6[41]/tbl_task6[[คะแนนเต็ม]:[คะแนนเต็ม]])*tbl_task6[[%]:[%]])</f>
        <v/>
      </c>
      <c r="HD8" s="121" t="str">
        <f>IF(ISBLANK(tbl_task6[[คะแนนเต็ม]:[คะแนนเต็ม]]),"",(tbl_task6[42]/tbl_task6[[คะแนนเต็ม]:[คะแนนเต็ม]])*tbl_task6[[%]:[%]])</f>
        <v/>
      </c>
      <c r="HE8" s="121" t="str">
        <f>IF(ISBLANK(tbl_task6[[คะแนนเต็ม]:[คะแนนเต็ม]]),"",(tbl_task6[43]/tbl_task6[[คะแนนเต็ม]:[คะแนนเต็ม]])*tbl_task6[[%]:[%]])</f>
        <v/>
      </c>
      <c r="HF8" s="121" t="str">
        <f>IF(ISBLANK(tbl_task6[[คะแนนเต็ม]:[คะแนนเต็ม]]),"",(tbl_task6[44]/tbl_task6[[คะแนนเต็ม]:[คะแนนเต็ม]])*tbl_task6[[%]:[%]])</f>
        <v/>
      </c>
      <c r="HG8" s="121" t="str">
        <f>IF(ISBLANK(tbl_task6[[คะแนนเต็ม]:[คะแนนเต็ม]]),"",(tbl_task6[45]/tbl_task6[[คะแนนเต็ม]:[คะแนนเต็ม]])*tbl_task6[[%]:[%]])</f>
        <v/>
      </c>
      <c r="HH8" s="121" t="str">
        <f>IF(ISBLANK(tbl_task6[[คะแนนเต็ม]:[คะแนนเต็ม]]),"",(tbl_task6[46]/tbl_task6[[คะแนนเต็ม]:[คะแนนเต็ม]])*tbl_task6[[%]:[%]])</f>
        <v/>
      </c>
      <c r="HI8" s="121" t="str">
        <f>IF(ISBLANK(tbl_task6[[คะแนนเต็ม]:[คะแนนเต็ม]]),"",(tbl_task6[47]/tbl_task6[[คะแนนเต็ม]:[คะแนนเต็ม]])*tbl_task6[[%]:[%]])</f>
        <v/>
      </c>
      <c r="HJ8" s="121" t="str">
        <f>IF(ISBLANK(tbl_task6[[คะแนนเต็ม]:[คะแนนเต็ม]]),"",(tbl_task6[48]/tbl_task6[[คะแนนเต็ม]:[คะแนนเต็ม]])*tbl_task6[[%]:[%]])</f>
        <v/>
      </c>
      <c r="HK8" s="121" t="str">
        <f>IF(ISBLANK(tbl_task6[[คะแนนเต็ม]:[คะแนนเต็ม]]),"",(tbl_task6[49]/tbl_task6[[คะแนนเต็ม]:[คะแนนเต็ม]])*tbl_task6[[%]:[%]])</f>
        <v/>
      </c>
      <c r="HL8" s="121" t="str">
        <f>IF(ISBLANK(tbl_task6[[คะแนนเต็ม]:[คะแนนเต็ม]]),"",(tbl_task6[50]/tbl_task6[[คะแนนเต็ม]:[คะแนนเต็ม]])*tbl_task6[[%]:[%]])</f>
        <v/>
      </c>
      <c r="HM8" s="121" t="str">
        <f>IF(ISBLANK(tbl_task6[[คะแนนเต็ม]:[คะแนนเต็ม]]),"",(tbl_task6[51]/tbl_task6[[คะแนนเต็ม]:[คะแนนเต็ม]])*tbl_task6[[%]:[%]])</f>
        <v/>
      </c>
      <c r="HN8" s="121" t="str">
        <f>IF(ISBLANK(tbl_task6[[คะแนนเต็ม]:[คะแนนเต็ม]]),"",(tbl_task6[52]/tbl_task6[[คะแนนเต็ม]:[คะแนนเต็ม]])*tbl_task6[[%]:[%]])</f>
        <v/>
      </c>
      <c r="HO8" s="121" t="str">
        <f>IF(ISBLANK(tbl_task6[[คะแนนเต็ม]:[คะแนนเต็ม]]),"",(tbl_task6[53]/tbl_task6[[คะแนนเต็ม]:[คะแนนเต็ม]])*tbl_task6[[%]:[%]])</f>
        <v/>
      </c>
      <c r="HP8" s="121" t="str">
        <f>IF(ISBLANK(tbl_task6[[คะแนนเต็ม]:[คะแนนเต็ม]]),"",(tbl_task6[54]/tbl_task6[[คะแนนเต็ม]:[คะแนนเต็ม]])*tbl_task6[[%]:[%]])</f>
        <v/>
      </c>
      <c r="HQ8" s="121" t="str">
        <f>IF(ISBLANK(tbl_task6[[คะแนนเต็ม]:[คะแนนเต็ม]]),"",(tbl_task6[55]/tbl_task6[[คะแนนเต็ม]:[คะแนนเต็ม]])*tbl_task6[[%]:[%]])</f>
        <v/>
      </c>
      <c r="HR8" s="121" t="str">
        <f>IF(ISBLANK(tbl_task6[[คะแนนเต็ม]:[คะแนนเต็ม]]),"",(tbl_task6[56]/tbl_task6[[คะแนนเต็ม]:[คะแนนเต็ม]])*tbl_task6[[%]:[%]])</f>
        <v/>
      </c>
      <c r="HS8" s="121" t="str">
        <f>IF(ISBLANK(tbl_task6[[คะแนนเต็ม]:[คะแนนเต็ม]]),"",(tbl_task6[57]/tbl_task6[[คะแนนเต็ม]:[คะแนนเต็ม]])*tbl_task6[[%]:[%]])</f>
        <v/>
      </c>
      <c r="HT8" s="121" t="str">
        <f>IF(ISBLANK(tbl_task6[[คะแนนเต็ม]:[คะแนนเต็ม]]),"",(tbl_task6[58]/tbl_task6[[คะแนนเต็ม]:[คะแนนเต็ม]])*tbl_task6[[%]:[%]])</f>
        <v/>
      </c>
      <c r="HU8" s="121" t="str">
        <f>IF(ISBLANK(tbl_task6[[คะแนนเต็ม]:[คะแนนเต็ม]]),"",(tbl_task6[59]/tbl_task6[[คะแนนเต็ม]:[คะแนนเต็ม]])*tbl_task6[[%]:[%]])</f>
        <v/>
      </c>
      <c r="HV8" s="121" t="str">
        <f>IF(ISBLANK(tbl_task6[[คะแนนเต็ม]:[คะแนนเต็ม]]),"",(tbl_task6[60]/tbl_task6[[คะแนนเต็ม]:[คะแนนเต็ม]])*tbl_task6[[%]:[%]])</f>
        <v/>
      </c>
      <c r="HW8" s="121" t="str">
        <f>IF(ISBLANK(tbl_task6[[คะแนนเต็ม]:[คะแนนเต็ม]]),"",(tbl_task6[61]/tbl_task6[[คะแนนเต็ม]:[คะแนนเต็ม]])*tbl_task6[[%]:[%]])</f>
        <v/>
      </c>
      <c r="HX8" s="121" t="str">
        <f>IF(ISBLANK(tbl_task6[[คะแนนเต็ม]:[คะแนนเต็ม]]),"",(tbl_task6[62]/tbl_task6[[คะแนนเต็ม]:[คะแนนเต็ม]])*tbl_task6[[%]:[%]])</f>
        <v/>
      </c>
      <c r="HY8" s="121" t="str">
        <f>IF(ISBLANK(tbl_task6[[คะแนนเต็ม]:[คะแนนเต็ม]]),"",(tbl_task6[63]/tbl_task6[[คะแนนเต็ม]:[คะแนนเต็ม]])*tbl_task6[[%]:[%]])</f>
        <v/>
      </c>
      <c r="HZ8" s="121" t="str">
        <f>IF(ISBLANK(tbl_task6[[คะแนนเต็ม]:[คะแนนเต็ม]]),"",(tbl_task6[64]/tbl_task6[[คะแนนเต็ม]:[คะแนนเต็ม]])*tbl_task6[[%]:[%]])</f>
        <v/>
      </c>
      <c r="IA8" s="121" t="str">
        <f>IF(ISBLANK(tbl_task6[[คะแนนเต็ม]:[คะแนนเต็ม]]),"",(tbl_task6[65]/tbl_task6[[คะแนนเต็ม]:[คะแนนเต็ม]])*tbl_task6[[%]:[%]])</f>
        <v/>
      </c>
      <c r="IB8" s="121" t="str">
        <f>IF(ISBLANK(tbl_task6[[คะแนนเต็ม]:[คะแนนเต็ม]]),"",(tbl_task6[66]/tbl_task6[[คะแนนเต็ม]:[คะแนนเต็ม]])*tbl_task6[[%]:[%]])</f>
        <v/>
      </c>
      <c r="IC8" s="121" t="str">
        <f>IF(ISBLANK(tbl_task6[[คะแนนเต็ม]:[คะแนนเต็ม]]),"",(tbl_task6[67]/tbl_task6[[คะแนนเต็ม]:[คะแนนเต็ม]])*tbl_task6[[%]:[%]])</f>
        <v/>
      </c>
      <c r="ID8" s="121" t="str">
        <f>IF(ISBLANK(tbl_task6[[คะแนนเต็ม]:[คะแนนเต็ม]]),"",(tbl_task6[68]/tbl_task6[[คะแนนเต็ม]:[คะแนนเต็ม]])*tbl_task6[[%]:[%]])</f>
        <v/>
      </c>
      <c r="IE8" s="121" t="str">
        <f>IF(ISBLANK(tbl_task6[[คะแนนเต็ม]:[คะแนนเต็ม]]),"",(tbl_task6[69]/tbl_task6[[คะแนนเต็ม]:[คะแนนเต็ม]])*tbl_task6[[%]:[%]])</f>
        <v/>
      </c>
      <c r="IF8" s="121" t="str">
        <f>IF(ISBLANK(tbl_task6[[คะแนนเต็ม]:[คะแนนเต็ม]]),"",(tbl_task6[70]/tbl_task6[[คะแนนเต็ม]:[คะแนนเต็ม]])*tbl_task6[[%]:[%]])</f>
        <v/>
      </c>
      <c r="IG8" s="121" t="str">
        <f>IF(ISBLANK(tbl_task6[[คะแนนเต็ม]:[คะแนนเต็ม]]),"",(tbl_task6[71]/tbl_task6[[คะแนนเต็ม]:[คะแนนเต็ม]])*tbl_task6[[%]:[%]])</f>
        <v/>
      </c>
      <c r="IH8" s="121" t="str">
        <f>IF(ISBLANK(tbl_task6[[คะแนนเต็ม]:[คะแนนเต็ม]]),"",(tbl_task6[72]/tbl_task6[[คะแนนเต็ม]:[คะแนนเต็ม]])*tbl_task6[[%]:[%]])</f>
        <v/>
      </c>
      <c r="II8" s="121" t="str">
        <f>IF(ISBLANK(tbl_task6[[คะแนนเต็ม]:[คะแนนเต็ม]]),"",(tbl_task6[73]/tbl_task6[[คะแนนเต็ม]:[คะแนนเต็ม]])*tbl_task6[[%]:[%]])</f>
        <v/>
      </c>
      <c r="IJ8" s="121" t="str">
        <f>IF(ISBLANK(tbl_task6[[คะแนนเต็ม]:[คะแนนเต็ม]]),"",(tbl_task6[74]/tbl_task6[[คะแนนเต็ม]:[คะแนนเต็ม]])*tbl_task6[[%]:[%]])</f>
        <v/>
      </c>
      <c r="IK8" s="121" t="str">
        <f>IF(ISBLANK(tbl_task6[[คะแนนเต็ม]:[คะแนนเต็ม]]),"",(tbl_task6[75]/tbl_task6[[คะแนนเต็ม]:[คะแนนเต็ม]])*tbl_task6[[%]:[%]])</f>
        <v/>
      </c>
      <c r="IL8" s="121" t="str">
        <f>IF(ISBLANK(tbl_task6[[คะแนนเต็ม]:[คะแนนเต็ม]]),"",(tbl_task6[76]/tbl_task6[[คะแนนเต็ม]:[คะแนนเต็ม]])*tbl_task6[[%]:[%]])</f>
        <v/>
      </c>
      <c r="IM8" s="121" t="str">
        <f>IF(ISBLANK(tbl_task6[[คะแนนเต็ม]:[คะแนนเต็ม]]),"",(tbl_task6[77]/tbl_task6[[คะแนนเต็ม]:[คะแนนเต็ม]])*tbl_task6[[%]:[%]])</f>
        <v/>
      </c>
      <c r="IN8" s="121" t="str">
        <f>IF(ISBLANK(tbl_task6[[คะแนนเต็ม]:[คะแนนเต็ม]]),"",(tbl_task6[78]/tbl_task6[[คะแนนเต็ม]:[คะแนนเต็ม]])*tbl_task6[[%]:[%]])</f>
        <v/>
      </c>
      <c r="IO8" s="121" t="str">
        <f>IF(ISBLANK(tbl_task6[[คะแนนเต็ม]:[คะแนนเต็ม]]),"",(tbl_task6[79]/tbl_task6[[คะแนนเต็ม]:[คะแนนเต็ม]])*tbl_task6[[%]:[%]])</f>
        <v/>
      </c>
      <c r="IP8" s="121" t="str">
        <f>IF(ISBLANK(tbl_task6[[คะแนนเต็ม]:[คะแนนเต็ม]]),"",(tbl_task6[80]/tbl_task6[[คะแนนเต็ม]:[คะแนนเต็ม]])*tbl_task6[[%]:[%]])</f>
        <v/>
      </c>
      <c r="IQ8" s="121" t="str">
        <f>IF(ISBLANK(tbl_task6[[คะแนนเต็ม]:[คะแนนเต็ม]]),"",(tbl_task6[81]/tbl_task6[[คะแนนเต็ม]:[คะแนนเต็ม]])*tbl_task6[[%]:[%]])</f>
        <v/>
      </c>
      <c r="IR8" s="121" t="str">
        <f>IF(ISBLANK(tbl_task6[[คะแนนเต็ม]:[คะแนนเต็ม]]),"",(tbl_task6[82]/tbl_task6[[คะแนนเต็ม]:[คะแนนเต็ม]])*tbl_task6[[%]:[%]])</f>
        <v/>
      </c>
      <c r="IS8" s="121" t="str">
        <f>IF(ISBLANK(tbl_task6[[คะแนนเต็ม]:[คะแนนเต็ม]]),"",(tbl_task6[83]/tbl_task6[[คะแนนเต็ม]:[คะแนนเต็ม]])*tbl_task6[[%]:[%]])</f>
        <v/>
      </c>
      <c r="IT8" s="121" t="str">
        <f>IF(ISBLANK(tbl_task6[[คะแนนเต็ม]:[คะแนนเต็ม]]),"",(tbl_task6[84]/tbl_task6[[คะแนนเต็ม]:[คะแนนเต็ม]])*tbl_task6[[%]:[%]])</f>
        <v/>
      </c>
      <c r="IU8" s="121" t="str">
        <f>IF(ISBLANK(tbl_task6[[คะแนนเต็ม]:[คะแนนเต็ม]]),"",(tbl_task6[85]/tbl_task6[[คะแนนเต็ม]:[คะแนนเต็ม]])*tbl_task6[[%]:[%]])</f>
        <v/>
      </c>
      <c r="IV8" s="121" t="str">
        <f>IF(ISBLANK(tbl_task6[[คะแนนเต็ม]:[คะแนนเต็ม]]),"",(tbl_task6[86]/tbl_task6[[คะแนนเต็ม]:[คะแนนเต็ม]])*tbl_task6[[%]:[%]])</f>
        <v/>
      </c>
      <c r="IW8" s="121" t="str">
        <f>IF(ISBLANK(tbl_task6[[คะแนนเต็ม]:[คะแนนเต็ม]]),"",(tbl_task6[87]/tbl_task6[[คะแนนเต็ม]:[คะแนนเต็ม]])*tbl_task6[[%]:[%]])</f>
        <v/>
      </c>
      <c r="IX8" s="121" t="str">
        <f>IF(ISBLANK(tbl_task6[[คะแนนเต็ม]:[คะแนนเต็ม]]),"",(tbl_task6[88]/tbl_task6[[คะแนนเต็ม]:[คะแนนเต็ม]])*tbl_task6[[%]:[%]])</f>
        <v/>
      </c>
      <c r="IY8" s="121" t="str">
        <f>IF(ISBLANK(tbl_task6[[คะแนนเต็ม]:[คะแนนเต็ม]]),"",(tbl_task6[89]/tbl_task6[[คะแนนเต็ม]:[คะแนนเต็ม]])*tbl_task6[[%]:[%]])</f>
        <v/>
      </c>
      <c r="IZ8" s="121" t="str">
        <f>IF(ISBLANK(tbl_task6[[คะแนนเต็ม]:[คะแนนเต็ม]]),"",(tbl_task6[90]/tbl_task6[[คะแนนเต็ม]:[คะแนนเต็ม]])*tbl_task6[[%]:[%]])</f>
        <v/>
      </c>
      <c r="JA8" s="121" t="str">
        <f>IF(ISBLANK(tbl_task6[[คะแนนเต็ม]:[คะแนนเต็ม]]),"",(tbl_task6[91]/tbl_task6[[คะแนนเต็ม]:[คะแนนเต็ม]])*tbl_task6[[%]:[%]])</f>
        <v/>
      </c>
      <c r="JB8" s="121" t="str">
        <f>IF(ISBLANK(tbl_task6[[คะแนนเต็ม]:[คะแนนเต็ม]]),"",(tbl_task6[92]/tbl_task6[[คะแนนเต็ม]:[คะแนนเต็ม]])*tbl_task6[[%]:[%]])</f>
        <v/>
      </c>
      <c r="JC8" s="121" t="str">
        <f>IF(ISBLANK(tbl_task6[[คะแนนเต็ม]:[คะแนนเต็ม]]),"",(tbl_task6[93]/tbl_task6[[คะแนนเต็ม]:[คะแนนเต็ม]])*tbl_task6[[%]:[%]])</f>
        <v/>
      </c>
      <c r="JD8" s="121" t="str">
        <f>IF(ISBLANK(tbl_task6[[คะแนนเต็ม]:[คะแนนเต็ม]]),"",(tbl_task6[94]/tbl_task6[[คะแนนเต็ม]:[คะแนนเต็ม]])*tbl_task6[[%]:[%]])</f>
        <v/>
      </c>
      <c r="JE8" s="121" t="str">
        <f>IF(ISBLANK(tbl_task6[[คะแนนเต็ม]:[คะแนนเต็ม]]),"",(tbl_task6[95]/tbl_task6[[คะแนนเต็ม]:[คะแนนเต็ม]])*tbl_task6[[%]:[%]])</f>
        <v/>
      </c>
      <c r="JF8" s="121" t="str">
        <f>IF(ISBLANK(tbl_task6[[คะแนนเต็ม]:[คะแนนเต็ม]]),"",(tbl_task6[96]/tbl_task6[[คะแนนเต็ม]:[คะแนนเต็ม]])*tbl_task6[[%]:[%]])</f>
        <v/>
      </c>
      <c r="JG8" s="121" t="str">
        <f>IF(ISBLANK(tbl_task6[[คะแนนเต็ม]:[คะแนนเต็ม]]),"",(tbl_task6[97]/tbl_task6[[คะแนนเต็ม]:[คะแนนเต็ม]])*tbl_task6[[%]:[%]])</f>
        <v/>
      </c>
      <c r="JH8" s="121" t="str">
        <f>IF(ISBLANK(tbl_task6[[คะแนนเต็ม]:[คะแนนเต็ม]]),"",(tbl_task6[98]/tbl_task6[[คะแนนเต็ม]:[คะแนนเต็ม]])*tbl_task6[[%]:[%]])</f>
        <v/>
      </c>
      <c r="JI8" s="121" t="str">
        <f>IF(ISBLANK(tbl_task6[[คะแนนเต็ม]:[คะแนนเต็ม]]),"",(tbl_task6[99]/tbl_task6[[คะแนนเต็ม]:[คะแนนเต็ม]])*tbl_task6[[%]:[%]])</f>
        <v/>
      </c>
      <c r="JJ8" s="121" t="str">
        <f>IF(ISBLANK(tbl_task6[[คะแนนเต็ม]:[คะแนนเต็ม]]),"",(tbl_task6[100]/tbl_task6[[คะแนนเต็ม]:[คะแนนเต็ม]])*tbl_task6[[%]:[%]])</f>
        <v/>
      </c>
      <c r="JK8" s="121" t="str">
        <f>IF(ISBLANK(tbl_task6[[คะแนนเต็ม]:[คะแนนเต็ม]]),"",(tbl_task6[101]/tbl_task6[[คะแนนเต็ม]:[คะแนนเต็ม]])*tbl_task6[[%]:[%]])</f>
        <v/>
      </c>
      <c r="JL8" s="121" t="str">
        <f>IF(ISBLANK(tbl_task6[[คะแนนเต็ม]:[คะแนนเต็ม]]),"",(tbl_task6[102]/tbl_task6[[คะแนนเต็ม]:[คะแนนเต็ม]])*tbl_task6[[%]:[%]])</f>
        <v/>
      </c>
      <c r="JM8" s="121" t="str">
        <f>IF(ISBLANK(tbl_task6[[คะแนนเต็ม]:[คะแนนเต็ม]]),"",(tbl_task6[103]/tbl_task6[[คะแนนเต็ม]:[คะแนนเต็ม]])*tbl_task6[[%]:[%]])</f>
        <v/>
      </c>
      <c r="JN8" s="121" t="str">
        <f>IF(ISBLANK(tbl_task6[[คะแนนเต็ม]:[คะแนนเต็ม]]),"",(tbl_task6[104]/tbl_task6[[คะแนนเต็ม]:[คะแนนเต็ม]])*tbl_task6[[%]:[%]])</f>
        <v/>
      </c>
      <c r="JO8" s="121" t="str">
        <f>IF(ISBLANK(tbl_task6[[คะแนนเต็ม]:[คะแนนเต็ม]]),"",(tbl_task6[105]/tbl_task6[[คะแนนเต็ม]:[คะแนนเต็ม]])*tbl_task6[[%]:[%]])</f>
        <v/>
      </c>
      <c r="JP8" s="121" t="str">
        <f>IF(ISBLANK(tbl_task6[[คะแนนเต็ม]:[คะแนนเต็ม]]),"",(tbl_task6[106]/tbl_task6[[คะแนนเต็ม]:[คะแนนเต็ม]])*tbl_task6[[%]:[%]])</f>
        <v/>
      </c>
      <c r="JQ8" s="121" t="str">
        <f>IF(ISBLANK(tbl_task6[[คะแนนเต็ม]:[คะแนนเต็ม]]),"",(tbl_task6[107]/tbl_task6[[คะแนนเต็ม]:[คะแนนเต็ม]])*tbl_task6[[%]:[%]])</f>
        <v/>
      </c>
      <c r="JR8" s="121" t="str">
        <f>IF(ISBLANK(tbl_task6[[คะแนนเต็ม]:[คะแนนเต็ม]]),"",(tbl_task6[108]/tbl_task6[[คะแนนเต็ม]:[คะแนนเต็ม]])*tbl_task6[[%]:[%]])</f>
        <v/>
      </c>
      <c r="JS8" s="121" t="str">
        <f>IF(ISBLANK(tbl_task6[[คะแนนเต็ม]:[คะแนนเต็ม]]),"",(tbl_task6[109]/tbl_task6[[คะแนนเต็ม]:[คะแนนเต็ม]])*tbl_task6[[%]:[%]])</f>
        <v/>
      </c>
      <c r="JT8" s="121" t="str">
        <f>IF(ISBLANK(tbl_task6[[คะแนนเต็ม]:[คะแนนเต็ม]]),"",(tbl_task6[110]/tbl_task6[[คะแนนเต็ม]:[คะแนนเต็ม]])*tbl_task6[[%]:[%]])</f>
        <v/>
      </c>
      <c r="JU8" s="121" t="str">
        <f>IF(ISBLANK(tbl_task6[[คะแนนเต็ม]:[คะแนนเต็ม]]),"",(tbl_task6[111]/tbl_task6[[คะแนนเต็ม]:[คะแนนเต็ม]])*tbl_task6[[%]:[%]])</f>
        <v/>
      </c>
      <c r="JV8" s="121" t="str">
        <f>IF(ISBLANK(tbl_task6[[คะแนนเต็ม]:[คะแนนเต็ม]]),"",(tbl_task6[112]/tbl_task6[[คะแนนเต็ม]:[คะแนนเต็ม]])*tbl_task6[[%]:[%]])</f>
        <v/>
      </c>
      <c r="JW8" s="121" t="str">
        <f>IF(ISBLANK(tbl_task6[[คะแนนเต็ม]:[คะแนนเต็ม]]),"",(tbl_task6[113]/tbl_task6[[คะแนนเต็ม]:[คะแนนเต็ม]])*tbl_task6[[%]:[%]])</f>
        <v/>
      </c>
      <c r="JX8" s="121" t="str">
        <f>IF(ISBLANK(tbl_task6[[คะแนนเต็ม]:[คะแนนเต็ม]]),"",(tbl_task6[114]/tbl_task6[[คะแนนเต็ม]:[คะแนนเต็ม]])*tbl_task6[[%]:[%]])</f>
        <v/>
      </c>
      <c r="JY8" s="121" t="str">
        <f>IF(ISBLANK(tbl_task6[[คะแนนเต็ม]:[คะแนนเต็ม]]),"",(tbl_task6[115]/tbl_task6[[คะแนนเต็ม]:[คะแนนเต็ม]])*tbl_task6[[%]:[%]])</f>
        <v/>
      </c>
      <c r="JZ8" s="121" t="str">
        <f>IF(ISBLANK(tbl_task6[[คะแนนเต็ม]:[คะแนนเต็ม]]),"",(tbl_task6[116]/tbl_task6[[คะแนนเต็ม]:[คะแนนเต็ม]])*tbl_task6[[%]:[%]])</f>
        <v/>
      </c>
      <c r="KA8" s="121" t="str">
        <f>IF(ISBLANK(tbl_task6[[คะแนนเต็ม]:[คะแนนเต็ม]]),"",(tbl_task6[117]/tbl_task6[[คะแนนเต็ม]:[คะแนนเต็ม]])*tbl_task6[[%]:[%]])</f>
        <v/>
      </c>
      <c r="KB8" s="121" t="str">
        <f>IF(ISBLANK(tbl_task6[[คะแนนเต็ม]:[คะแนนเต็ม]]),"",(tbl_task6[118]/tbl_task6[[คะแนนเต็ม]:[คะแนนเต็ม]])*tbl_task6[[%]:[%]])</f>
        <v/>
      </c>
      <c r="KC8" s="121" t="str">
        <f>IF(ISBLANK(tbl_task6[[คะแนนเต็ม]:[คะแนนเต็ม]]),"",(tbl_task6[119]/tbl_task6[[คะแนนเต็ม]:[คะแนนเต็ม]])*tbl_task6[[%]:[%]])</f>
        <v/>
      </c>
      <c r="KD8" s="121" t="str">
        <f>IF(ISBLANK(tbl_task6[[คะแนนเต็ม]:[คะแนนเต็ม]]),"",(tbl_task6[120]/tbl_task6[[คะแนนเต็ม]:[คะแนนเต็ม]])*tbl_task6[[%]:[%]])</f>
        <v/>
      </c>
      <c r="KE8" s="121" t="str">
        <f>IF(ISBLANK(tbl_task6[[คะแนนเต็ม]:[คะแนนเต็ม]]),"",(tbl_task6[121]/tbl_task6[[คะแนนเต็ม]:[คะแนนเต็ม]])*tbl_task6[[%]:[%]])</f>
        <v/>
      </c>
      <c r="KF8" s="121" t="str">
        <f>IF(ISBLANK(tbl_task6[[คะแนนเต็ม]:[คะแนนเต็ม]]),"",(tbl_task6[122]/tbl_task6[[คะแนนเต็ม]:[คะแนนเต็ม]])*tbl_task6[[%]:[%]])</f>
        <v/>
      </c>
      <c r="KG8" s="121" t="str">
        <f>IF(ISBLANK(tbl_task6[[คะแนนเต็ม]:[คะแนนเต็ม]]),"",(tbl_task6[123]/tbl_task6[[คะแนนเต็ม]:[คะแนนเต็ม]])*tbl_task6[[%]:[%]])</f>
        <v/>
      </c>
      <c r="KH8" s="121" t="str">
        <f>IF(ISBLANK(tbl_task6[[คะแนนเต็ม]:[คะแนนเต็ม]]),"",(tbl_task6[124]/tbl_task6[[คะแนนเต็ม]:[คะแนนเต็ม]])*tbl_task6[[%]:[%]])</f>
        <v/>
      </c>
      <c r="KI8" s="121" t="str">
        <f>IF(ISBLANK(tbl_task6[[คะแนนเต็ม]:[คะแนนเต็ม]]),"",(tbl_task6[125]/tbl_task6[[คะแนนเต็ม]:[คะแนนเต็ม]])*tbl_task6[[%]:[%]])</f>
        <v/>
      </c>
      <c r="KJ8" s="121" t="str">
        <f>IF(ISBLANK(tbl_task6[[คะแนนเต็ม]:[คะแนนเต็ม]]),"",(tbl_task6[126]/tbl_task6[[คะแนนเต็ม]:[คะแนนเต็ม]])*tbl_task6[[%]:[%]])</f>
        <v/>
      </c>
      <c r="KK8" s="121" t="str">
        <f>IF(ISBLANK(tbl_task6[[คะแนนเต็ม]:[คะแนนเต็ม]]),"",(tbl_task6[127]/tbl_task6[[คะแนนเต็ม]:[คะแนนเต็ม]])*tbl_task6[[%]:[%]])</f>
        <v/>
      </c>
      <c r="KL8" s="121" t="str">
        <f>IF(ISBLANK(tbl_task6[[คะแนนเต็ม]:[คะแนนเต็ม]]),"",(tbl_task6[128]/tbl_task6[[คะแนนเต็ม]:[คะแนนเต็ม]])*tbl_task6[[%]:[%]])</f>
        <v/>
      </c>
      <c r="KM8" s="121" t="str">
        <f>IF(ISBLANK(tbl_task6[[คะแนนเต็ม]:[คะแนนเต็ม]]),"",(tbl_task6[129]/tbl_task6[[คะแนนเต็ม]:[คะแนนเต็ม]])*tbl_task6[[%]:[%]])</f>
        <v/>
      </c>
      <c r="KN8" s="121" t="str">
        <f>IF(ISBLANK(tbl_task6[[คะแนนเต็ม]:[คะแนนเต็ม]]),"",(tbl_task6[130]/tbl_task6[[คะแนนเต็ม]:[คะแนนเต็ม]])*tbl_task6[[%]:[%]])</f>
        <v/>
      </c>
      <c r="KO8" s="121" t="str">
        <f>IF(ISBLANK(tbl_task6[[คะแนนเต็ม]:[คะแนนเต็ม]]),"",(tbl_task6[131]/tbl_task6[[คะแนนเต็ม]:[คะแนนเต็ม]])*tbl_task6[[%]:[%]])</f>
        <v/>
      </c>
      <c r="KP8" s="121" t="str">
        <f>IF(ISBLANK(tbl_task6[[คะแนนเต็ม]:[คะแนนเต็ม]]),"",(tbl_task6[132]/tbl_task6[[คะแนนเต็ม]:[คะแนนเต็ม]])*tbl_task6[[%]:[%]])</f>
        <v/>
      </c>
      <c r="KQ8" s="121" t="str">
        <f>IF(ISBLANK(tbl_task6[[คะแนนเต็ม]:[คะแนนเต็ม]]),"",(tbl_task6[133]/tbl_task6[[คะแนนเต็ม]:[คะแนนเต็ม]])*tbl_task6[[%]:[%]])</f>
        <v/>
      </c>
      <c r="KR8" s="121" t="str">
        <f>IF(ISBLANK(tbl_task6[[คะแนนเต็ม]:[คะแนนเต็ม]]),"",(tbl_task6[134]/tbl_task6[[คะแนนเต็ม]:[คะแนนเต็ม]])*tbl_task6[[%]:[%]])</f>
        <v/>
      </c>
      <c r="KS8" s="121" t="str">
        <f>IF(ISBLANK(tbl_task6[[คะแนนเต็ม]:[คะแนนเต็ม]]),"",(tbl_task6[135]/tbl_task6[[คะแนนเต็ม]:[คะแนนเต็ม]])*tbl_task6[[%]:[%]])</f>
        <v/>
      </c>
      <c r="KT8" s="121" t="str">
        <f>IF(ISBLANK(tbl_task6[[คะแนนเต็ม]:[คะแนนเต็ม]]),"",(tbl_task6[136]/tbl_task6[[คะแนนเต็ม]:[คะแนนเต็ม]])*tbl_task6[[%]:[%]])</f>
        <v/>
      </c>
      <c r="KU8" s="121" t="str">
        <f>IF(ISBLANK(tbl_task6[[คะแนนเต็ม]:[คะแนนเต็ม]]),"",(tbl_task6[137]/tbl_task6[[คะแนนเต็ม]:[คะแนนเต็ม]])*tbl_task6[[%]:[%]])</f>
        <v/>
      </c>
      <c r="KV8" s="121" t="str">
        <f>IF(ISBLANK(tbl_task6[[คะแนนเต็ม]:[คะแนนเต็ม]]),"",(tbl_task6[138]/tbl_task6[[คะแนนเต็ม]:[คะแนนเต็ม]])*tbl_task6[[%]:[%]])</f>
        <v/>
      </c>
      <c r="KW8" s="121" t="str">
        <f>IF(ISBLANK(tbl_task6[[คะแนนเต็ม]:[คะแนนเต็ม]]),"",(tbl_task6[139]/tbl_task6[[คะแนนเต็ม]:[คะแนนเต็ม]])*tbl_task6[[%]:[%]])</f>
        <v/>
      </c>
      <c r="KX8" s="121" t="str">
        <f>IF(ISBLANK(tbl_task6[[คะแนนเต็ม]:[คะแนนเต็ม]]),"",(tbl_task6[140]/tbl_task6[[คะแนนเต็ม]:[คะแนนเต็ม]])*tbl_task6[[%]:[%]])</f>
        <v/>
      </c>
      <c r="KY8" s="121" t="str">
        <f>IF(ISBLANK(tbl_task6[[คะแนนเต็ม]:[คะแนนเต็ม]]),"",(tbl_task6[141]/tbl_task6[[คะแนนเต็ม]:[คะแนนเต็ม]])*tbl_task6[[%]:[%]])</f>
        <v/>
      </c>
      <c r="KZ8" s="121" t="str">
        <f>IF(ISBLANK(tbl_task6[[คะแนนเต็ม]:[คะแนนเต็ม]]),"",(tbl_task6[142]/tbl_task6[[คะแนนเต็ม]:[คะแนนเต็ม]])*tbl_task6[[%]:[%]])</f>
        <v/>
      </c>
      <c r="LA8" s="121" t="str">
        <f>IF(ISBLANK(tbl_task6[[คะแนนเต็ม]:[คะแนนเต็ม]]),"",(tbl_task6[143]/tbl_task6[[คะแนนเต็ม]:[คะแนนเต็ม]])*tbl_task6[[%]:[%]])</f>
        <v/>
      </c>
      <c r="LB8" s="121" t="str">
        <f>IF(ISBLANK(tbl_task6[[คะแนนเต็ม]:[คะแนนเต็ม]]),"",(tbl_task6[144]/tbl_task6[[คะแนนเต็ม]:[คะแนนเต็ม]])*tbl_task6[[%]:[%]])</f>
        <v/>
      </c>
      <c r="LC8" s="121" t="str">
        <f>IF(ISBLANK(tbl_task6[[คะแนนเต็ม]:[คะแนนเต็ม]]),"",(tbl_task6[145]/tbl_task6[[คะแนนเต็ม]:[คะแนนเต็ม]])*tbl_task6[[%]:[%]])</f>
        <v/>
      </c>
      <c r="LD8" s="121" t="str">
        <f>IF(ISBLANK(tbl_task6[[คะแนนเต็ม]:[คะแนนเต็ม]]),"",(tbl_task6[146]/tbl_task6[[คะแนนเต็ม]:[คะแนนเต็ม]])*tbl_task6[[%]:[%]])</f>
        <v/>
      </c>
      <c r="LE8" s="121" t="str">
        <f>IF(ISBLANK(tbl_task6[[คะแนนเต็ม]:[คะแนนเต็ม]]),"",(tbl_task6[147]/tbl_task6[[คะแนนเต็ม]:[คะแนนเต็ม]])*tbl_task6[[%]:[%]])</f>
        <v/>
      </c>
      <c r="LF8" s="121" t="str">
        <f>IF(ISBLANK(tbl_task6[[คะแนนเต็ม]:[คะแนนเต็ม]]),"",(tbl_task6[148]/tbl_task6[[คะแนนเต็ม]:[คะแนนเต็ม]])*tbl_task6[[%]:[%]])</f>
        <v/>
      </c>
      <c r="LG8" s="121" t="str">
        <f>IF(ISBLANK(tbl_task6[[คะแนนเต็ม]:[คะแนนเต็ม]]),"",(tbl_task6[149]/tbl_task6[[คะแนนเต็ม]:[คะแนนเต็ม]])*tbl_task6[[%]:[%]])</f>
        <v/>
      </c>
      <c r="LH8" s="121" t="str">
        <f>IF(ISBLANK(tbl_task6[[คะแนนเต็ม]:[คะแนนเต็ม]]),"",(tbl_task6[150]/tbl_task6[[คะแนนเต็ม]:[คะแนนเต็ม]])*tbl_task6[[%]:[%]])</f>
        <v/>
      </c>
      <c r="LI8" s="121" t="str">
        <f>IF(ISBLANK(tbl_task6[[คะแนนเต็ม]:[คะแนนเต็ม]]),"",(tbl_task6[151]/tbl_task6[[คะแนนเต็ม]:[คะแนนเต็ม]])*tbl_task6[[%]:[%]])</f>
        <v/>
      </c>
      <c r="LJ8" s="121" t="str">
        <f>IF(ISBLANK(tbl_task6[[คะแนนเต็ม]:[คะแนนเต็ม]]),"",(tbl_task6[152]/tbl_task6[[คะแนนเต็ม]:[คะแนนเต็ม]])*tbl_task6[[%]:[%]])</f>
        <v/>
      </c>
      <c r="LK8" s="121" t="str">
        <f>IF(ISBLANK(tbl_task6[[คะแนนเต็ม]:[คะแนนเต็ม]]),"",(tbl_task6[153]/tbl_task6[[คะแนนเต็ม]:[คะแนนเต็ม]])*tbl_task6[[%]:[%]])</f>
        <v/>
      </c>
      <c r="LL8" s="121" t="str">
        <f>IF(ISBLANK(tbl_task6[[คะแนนเต็ม]:[คะแนนเต็ม]]),"",(tbl_task6[154]/tbl_task6[[คะแนนเต็ม]:[คะแนนเต็ม]])*tbl_task6[[%]:[%]])</f>
        <v/>
      </c>
      <c r="LM8" s="121" t="str">
        <f>IF(ISBLANK(tbl_task6[[คะแนนเต็ม]:[คะแนนเต็ม]]),"",(tbl_task6[155]/tbl_task6[[คะแนนเต็ม]:[คะแนนเต็ม]])*tbl_task6[[%]:[%]])</f>
        <v/>
      </c>
      <c r="LN8" s="121" t="str">
        <f>IF(ISBLANK(tbl_task6[[คะแนนเต็ม]:[คะแนนเต็ม]]),"",(tbl_task6[156]/tbl_task6[[คะแนนเต็ม]:[คะแนนเต็ม]])*tbl_task6[[%]:[%]])</f>
        <v/>
      </c>
      <c r="LO8" s="121" t="str">
        <f>IF(ISBLANK(tbl_task6[[คะแนนเต็ม]:[คะแนนเต็ม]]),"",(tbl_task6[157]/tbl_task6[[คะแนนเต็ม]:[คะแนนเต็ม]])*tbl_task6[[%]:[%]])</f>
        <v/>
      </c>
      <c r="LP8" s="121" t="str">
        <f>IF(ISBLANK(tbl_task6[[คะแนนเต็ม]:[คะแนนเต็ม]]),"",(tbl_task6[158]/tbl_task6[[คะแนนเต็ม]:[คะแนนเต็ม]])*tbl_task6[[%]:[%]])</f>
        <v/>
      </c>
      <c r="LQ8" s="121" t="str">
        <f>IF(ISBLANK(tbl_task6[[คะแนนเต็ม]:[คะแนนเต็ม]]),"",(tbl_task6[159]/tbl_task6[[คะแนนเต็ม]:[คะแนนเต็ม]])*tbl_task6[[%]:[%]])</f>
        <v/>
      </c>
      <c r="LR8" s="121" t="str">
        <f>IF(ISBLANK(tbl_task6[[คะแนนเต็ม]:[คะแนนเต็ม]]),"",(tbl_task6[160]/tbl_task6[[คะแนนเต็ม]:[คะแนนเต็ม]])*tbl_task6[[%]:[%]])</f>
        <v/>
      </c>
      <c r="LS8" s="121" t="str">
        <f>IF(ISBLANK(tbl_task6[[คะแนนเต็ม]:[คะแนนเต็ม]]),"",(tbl_task6[161]/tbl_task6[[คะแนนเต็ม]:[คะแนนเต็ม]])*tbl_task6[[%]:[%]])</f>
        <v/>
      </c>
      <c r="LT8" s="121" t="str">
        <f>IF(ISBLANK(tbl_task6[[คะแนนเต็ม]:[คะแนนเต็ม]]),"",(tbl_task6[162]/tbl_task6[[คะแนนเต็ม]:[คะแนนเต็ม]])*tbl_task6[[%]:[%]])</f>
        <v/>
      </c>
      <c r="LU8" s="121" t="str">
        <f>IF(ISBLANK(tbl_task6[[คะแนนเต็ม]:[คะแนนเต็ม]]),"",(tbl_task6[163]/tbl_task6[[คะแนนเต็ม]:[คะแนนเต็ม]])*tbl_task6[[%]:[%]])</f>
        <v/>
      </c>
      <c r="LV8" s="121" t="str">
        <f>IF(ISBLANK(tbl_task6[[คะแนนเต็ม]:[คะแนนเต็ม]]),"",(tbl_task6[164]/tbl_task6[[คะแนนเต็ม]:[คะแนนเต็ม]])*tbl_task6[[%]:[%]])</f>
        <v/>
      </c>
      <c r="LW8" s="121" t="str">
        <f>IF(ISBLANK(tbl_task6[[คะแนนเต็ม]:[คะแนนเต็ม]]),"",(tbl_task6[165]/tbl_task6[[คะแนนเต็ม]:[คะแนนเต็ม]])*tbl_task6[[%]:[%]])</f>
        <v/>
      </c>
    </row>
    <row r="9" spans="1:335" x14ac:dyDescent="0.25">
      <c r="A9" s="24">
        <v>6</v>
      </c>
      <c r="B9" s="20"/>
      <c r="C9" s="5" t="str">
        <f>IF(ISBLANK(B9),"",VLOOKUP(B9,tbl_PLOs[],2,0))</f>
        <v/>
      </c>
      <c r="D9" s="102"/>
      <c r="E9" s="106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22"/>
      <c r="FO9" s="121" t="str">
        <f>IF(ISBLANK(tbl_task6[[คะแนนเต็ม]:[คะแนนเต็ม]]),"",(tbl_task6[1]/tbl_task6[[คะแนนเต็ม]:[คะแนนเต็ม]])*tbl_task6[[%]:[%]])</f>
        <v/>
      </c>
      <c r="FP9" s="121" t="str">
        <f>IF(ISBLANK(tbl_task6[[คะแนนเต็ม]:[คะแนนเต็ม]]),"",(tbl_task6[2]/tbl_task6[[คะแนนเต็ม]:[คะแนนเต็ม]])*tbl_task6[[%]:[%]])</f>
        <v/>
      </c>
      <c r="FQ9" s="121" t="str">
        <f>IF(ISBLANK(tbl_task6[[คะแนนเต็ม]:[คะแนนเต็ม]]),"",(tbl_task6[3]/tbl_task6[[คะแนนเต็ม]:[คะแนนเต็ม]])*tbl_task6[[%]:[%]])</f>
        <v/>
      </c>
      <c r="FR9" s="121" t="str">
        <f>IF(ISBLANK(tbl_task6[[คะแนนเต็ม]:[คะแนนเต็ม]]),"",(tbl_task6[4]/tbl_task6[[คะแนนเต็ม]:[คะแนนเต็ม]])*tbl_task6[[%]:[%]])</f>
        <v/>
      </c>
      <c r="FS9" s="121" t="str">
        <f>IF(ISBLANK(tbl_task6[[คะแนนเต็ม]:[คะแนนเต็ม]]),"",(tbl_task6[5]/tbl_task6[[คะแนนเต็ม]:[คะแนนเต็ม]])*tbl_task6[[%]:[%]])</f>
        <v/>
      </c>
      <c r="FT9" s="121" t="str">
        <f>IF(ISBLANK(tbl_task6[[คะแนนเต็ม]:[คะแนนเต็ม]]),"",(tbl_task6[6]/tbl_task6[[คะแนนเต็ม]:[คะแนนเต็ม]])*tbl_task6[[%]:[%]])</f>
        <v/>
      </c>
      <c r="FU9" s="121" t="str">
        <f>IF(ISBLANK(tbl_task6[[คะแนนเต็ม]:[คะแนนเต็ม]]),"",(tbl_task6[7]/tbl_task6[[คะแนนเต็ม]:[คะแนนเต็ม]])*tbl_task6[[%]:[%]])</f>
        <v/>
      </c>
      <c r="FV9" s="121" t="str">
        <f>IF(ISBLANK(tbl_task6[[คะแนนเต็ม]:[คะแนนเต็ม]]),"",(tbl_task6[8]/tbl_task6[[คะแนนเต็ม]:[คะแนนเต็ม]])*tbl_task6[[%]:[%]])</f>
        <v/>
      </c>
      <c r="FW9" s="121" t="str">
        <f>IF(ISBLANK(tbl_task6[[คะแนนเต็ม]:[คะแนนเต็ม]]),"",(tbl_task6[9]/tbl_task6[[คะแนนเต็ม]:[คะแนนเต็ม]])*tbl_task6[[%]:[%]])</f>
        <v/>
      </c>
      <c r="FX9" s="121" t="str">
        <f>IF(ISBLANK(tbl_task6[[คะแนนเต็ม]:[คะแนนเต็ม]]),"",(tbl_task6[10]/tbl_task6[[คะแนนเต็ม]:[คะแนนเต็ม]])*tbl_task6[[%]:[%]])</f>
        <v/>
      </c>
      <c r="FY9" s="121" t="str">
        <f>IF(ISBLANK(tbl_task6[[คะแนนเต็ม]:[คะแนนเต็ม]]),"",(tbl_task6[11]/tbl_task6[[คะแนนเต็ม]:[คะแนนเต็ม]])*tbl_task6[[%]:[%]])</f>
        <v/>
      </c>
      <c r="FZ9" s="121" t="str">
        <f>IF(ISBLANK(tbl_task6[[คะแนนเต็ม]:[คะแนนเต็ม]]),"",(tbl_task6[12]/tbl_task6[[คะแนนเต็ม]:[คะแนนเต็ม]])*tbl_task6[[%]:[%]])</f>
        <v/>
      </c>
      <c r="GA9" s="121" t="str">
        <f>IF(ISBLANK(tbl_task6[[คะแนนเต็ม]:[คะแนนเต็ม]]),"",(tbl_task6[13]/tbl_task6[[คะแนนเต็ม]:[คะแนนเต็ม]])*tbl_task6[[%]:[%]])</f>
        <v/>
      </c>
      <c r="GB9" s="121" t="str">
        <f>IF(ISBLANK(tbl_task6[[คะแนนเต็ม]:[คะแนนเต็ม]]),"",(tbl_task6[14]/tbl_task6[[คะแนนเต็ม]:[คะแนนเต็ม]])*tbl_task6[[%]:[%]])</f>
        <v/>
      </c>
      <c r="GC9" s="121" t="str">
        <f>IF(ISBLANK(tbl_task6[[คะแนนเต็ม]:[คะแนนเต็ม]]),"",(tbl_task6[15]/tbl_task6[[คะแนนเต็ม]:[คะแนนเต็ม]])*tbl_task6[[%]:[%]])</f>
        <v/>
      </c>
      <c r="GD9" s="121" t="str">
        <f>IF(ISBLANK(tbl_task6[[คะแนนเต็ม]:[คะแนนเต็ม]]),"",(tbl_task6[16]/tbl_task6[[คะแนนเต็ม]:[คะแนนเต็ม]])*tbl_task6[[%]:[%]])</f>
        <v/>
      </c>
      <c r="GE9" s="121" t="str">
        <f>IF(ISBLANK(tbl_task6[[คะแนนเต็ม]:[คะแนนเต็ม]]),"",(tbl_task6[17]/tbl_task6[[คะแนนเต็ม]:[คะแนนเต็ม]])*tbl_task6[[%]:[%]])</f>
        <v/>
      </c>
      <c r="GF9" s="121" t="str">
        <f>IF(ISBLANK(tbl_task6[[คะแนนเต็ม]:[คะแนนเต็ม]]),"",(tbl_task6[18]/tbl_task6[[คะแนนเต็ม]:[คะแนนเต็ม]])*tbl_task6[[%]:[%]])</f>
        <v/>
      </c>
      <c r="GG9" s="121" t="str">
        <f>IF(ISBLANK(tbl_task6[[คะแนนเต็ม]:[คะแนนเต็ม]]),"",(tbl_task6[19]/tbl_task6[[คะแนนเต็ม]:[คะแนนเต็ม]])*tbl_task6[[%]:[%]])</f>
        <v/>
      </c>
      <c r="GH9" s="121" t="str">
        <f>IF(ISBLANK(tbl_task6[[คะแนนเต็ม]:[คะแนนเต็ม]]),"",(tbl_task6[20]/tbl_task6[[คะแนนเต็ม]:[คะแนนเต็ม]])*tbl_task6[[%]:[%]])</f>
        <v/>
      </c>
      <c r="GI9" s="121" t="str">
        <f>IF(ISBLANK(tbl_task6[[คะแนนเต็ม]:[คะแนนเต็ม]]),"",(tbl_task6[21]/tbl_task6[[คะแนนเต็ม]:[คะแนนเต็ม]])*tbl_task6[[%]:[%]])</f>
        <v/>
      </c>
      <c r="GJ9" s="121" t="str">
        <f>IF(ISBLANK(tbl_task6[[คะแนนเต็ม]:[คะแนนเต็ม]]),"",(tbl_task6[22]/tbl_task6[[คะแนนเต็ม]:[คะแนนเต็ม]])*tbl_task6[[%]:[%]])</f>
        <v/>
      </c>
      <c r="GK9" s="121" t="str">
        <f>IF(ISBLANK(tbl_task6[[คะแนนเต็ม]:[คะแนนเต็ม]]),"",(tbl_task6[23]/tbl_task6[[คะแนนเต็ม]:[คะแนนเต็ม]])*tbl_task6[[%]:[%]])</f>
        <v/>
      </c>
      <c r="GL9" s="121" t="str">
        <f>IF(ISBLANK(tbl_task6[[คะแนนเต็ม]:[คะแนนเต็ม]]),"",(tbl_task6[24]/tbl_task6[[คะแนนเต็ม]:[คะแนนเต็ม]])*tbl_task6[[%]:[%]])</f>
        <v/>
      </c>
      <c r="GM9" s="121" t="str">
        <f>IF(ISBLANK(tbl_task6[[คะแนนเต็ม]:[คะแนนเต็ม]]),"",(tbl_task6[25]/tbl_task6[[คะแนนเต็ม]:[คะแนนเต็ม]])*tbl_task6[[%]:[%]])</f>
        <v/>
      </c>
      <c r="GN9" s="121" t="str">
        <f>IF(ISBLANK(tbl_task6[[คะแนนเต็ม]:[คะแนนเต็ม]]),"",(tbl_task6[26]/tbl_task6[[คะแนนเต็ม]:[คะแนนเต็ม]])*tbl_task6[[%]:[%]])</f>
        <v/>
      </c>
      <c r="GO9" s="121" t="str">
        <f>IF(ISBLANK(tbl_task6[[คะแนนเต็ม]:[คะแนนเต็ม]]),"",(tbl_task6[27]/tbl_task6[[คะแนนเต็ม]:[คะแนนเต็ม]])*tbl_task6[[%]:[%]])</f>
        <v/>
      </c>
      <c r="GP9" s="121" t="str">
        <f>IF(ISBLANK(tbl_task6[[คะแนนเต็ม]:[คะแนนเต็ม]]),"",(tbl_task6[28]/tbl_task6[[คะแนนเต็ม]:[คะแนนเต็ม]])*tbl_task6[[%]:[%]])</f>
        <v/>
      </c>
      <c r="GQ9" s="121" t="str">
        <f>IF(ISBLANK(tbl_task6[[คะแนนเต็ม]:[คะแนนเต็ม]]),"",(tbl_task6[29]/tbl_task6[[คะแนนเต็ม]:[คะแนนเต็ม]])*tbl_task6[[%]:[%]])</f>
        <v/>
      </c>
      <c r="GR9" s="121" t="str">
        <f>IF(ISBLANK(tbl_task6[[คะแนนเต็ม]:[คะแนนเต็ม]]),"",(tbl_task6[30]/tbl_task6[[คะแนนเต็ม]:[คะแนนเต็ม]])*tbl_task6[[%]:[%]])</f>
        <v/>
      </c>
      <c r="GS9" s="121" t="str">
        <f>IF(ISBLANK(tbl_task6[[คะแนนเต็ม]:[คะแนนเต็ม]]),"",(tbl_task6[31]/tbl_task6[[คะแนนเต็ม]:[คะแนนเต็ม]])*tbl_task6[[%]:[%]])</f>
        <v/>
      </c>
      <c r="GT9" s="121" t="str">
        <f>IF(ISBLANK(tbl_task6[[คะแนนเต็ม]:[คะแนนเต็ม]]),"",(tbl_task6[32]/tbl_task6[[คะแนนเต็ม]:[คะแนนเต็ม]])*tbl_task6[[%]:[%]])</f>
        <v/>
      </c>
      <c r="GU9" s="121" t="str">
        <f>IF(ISBLANK(tbl_task6[[คะแนนเต็ม]:[คะแนนเต็ม]]),"",(tbl_task6[33]/tbl_task6[[คะแนนเต็ม]:[คะแนนเต็ม]])*tbl_task6[[%]:[%]])</f>
        <v/>
      </c>
      <c r="GV9" s="121" t="str">
        <f>IF(ISBLANK(tbl_task6[[คะแนนเต็ม]:[คะแนนเต็ม]]),"",(tbl_task6[34]/tbl_task6[[คะแนนเต็ม]:[คะแนนเต็ม]])*tbl_task6[[%]:[%]])</f>
        <v/>
      </c>
      <c r="GW9" s="121" t="str">
        <f>IF(ISBLANK(tbl_task6[[คะแนนเต็ม]:[คะแนนเต็ม]]),"",(tbl_task6[35]/tbl_task6[[คะแนนเต็ม]:[คะแนนเต็ม]])*tbl_task6[[%]:[%]])</f>
        <v/>
      </c>
      <c r="GX9" s="121" t="str">
        <f>IF(ISBLANK(tbl_task6[[คะแนนเต็ม]:[คะแนนเต็ม]]),"",(tbl_task6[36]/tbl_task6[[คะแนนเต็ม]:[คะแนนเต็ม]])*tbl_task6[[%]:[%]])</f>
        <v/>
      </c>
      <c r="GY9" s="121" t="str">
        <f>IF(ISBLANK(tbl_task6[[คะแนนเต็ม]:[คะแนนเต็ม]]),"",(tbl_task6[37]/tbl_task6[[คะแนนเต็ม]:[คะแนนเต็ม]])*tbl_task6[[%]:[%]])</f>
        <v/>
      </c>
      <c r="GZ9" s="121" t="str">
        <f>IF(ISBLANK(tbl_task6[[คะแนนเต็ม]:[คะแนนเต็ม]]),"",(tbl_task6[38]/tbl_task6[[คะแนนเต็ม]:[คะแนนเต็ม]])*tbl_task6[[%]:[%]])</f>
        <v/>
      </c>
      <c r="HA9" s="121" t="str">
        <f>IF(ISBLANK(tbl_task6[[คะแนนเต็ม]:[คะแนนเต็ม]]),"",(tbl_task6[39]/tbl_task6[[คะแนนเต็ม]:[คะแนนเต็ม]])*tbl_task6[[%]:[%]])</f>
        <v/>
      </c>
      <c r="HB9" s="121" t="str">
        <f>IF(ISBLANK(tbl_task6[[คะแนนเต็ม]:[คะแนนเต็ม]]),"",(tbl_task6[40]/tbl_task6[[คะแนนเต็ม]:[คะแนนเต็ม]])*tbl_task6[[%]:[%]])</f>
        <v/>
      </c>
      <c r="HC9" s="121" t="str">
        <f>IF(ISBLANK(tbl_task6[[คะแนนเต็ม]:[คะแนนเต็ม]]),"",(tbl_task6[41]/tbl_task6[[คะแนนเต็ม]:[คะแนนเต็ม]])*tbl_task6[[%]:[%]])</f>
        <v/>
      </c>
      <c r="HD9" s="121" t="str">
        <f>IF(ISBLANK(tbl_task6[[คะแนนเต็ม]:[คะแนนเต็ม]]),"",(tbl_task6[42]/tbl_task6[[คะแนนเต็ม]:[คะแนนเต็ม]])*tbl_task6[[%]:[%]])</f>
        <v/>
      </c>
      <c r="HE9" s="121" t="str">
        <f>IF(ISBLANK(tbl_task6[[คะแนนเต็ม]:[คะแนนเต็ม]]),"",(tbl_task6[43]/tbl_task6[[คะแนนเต็ม]:[คะแนนเต็ม]])*tbl_task6[[%]:[%]])</f>
        <v/>
      </c>
      <c r="HF9" s="121" t="str">
        <f>IF(ISBLANK(tbl_task6[[คะแนนเต็ม]:[คะแนนเต็ม]]),"",(tbl_task6[44]/tbl_task6[[คะแนนเต็ม]:[คะแนนเต็ม]])*tbl_task6[[%]:[%]])</f>
        <v/>
      </c>
      <c r="HG9" s="121" t="str">
        <f>IF(ISBLANK(tbl_task6[[คะแนนเต็ม]:[คะแนนเต็ม]]),"",(tbl_task6[45]/tbl_task6[[คะแนนเต็ม]:[คะแนนเต็ม]])*tbl_task6[[%]:[%]])</f>
        <v/>
      </c>
      <c r="HH9" s="121" t="str">
        <f>IF(ISBLANK(tbl_task6[[คะแนนเต็ม]:[คะแนนเต็ม]]),"",(tbl_task6[46]/tbl_task6[[คะแนนเต็ม]:[คะแนนเต็ม]])*tbl_task6[[%]:[%]])</f>
        <v/>
      </c>
      <c r="HI9" s="121" t="str">
        <f>IF(ISBLANK(tbl_task6[[คะแนนเต็ม]:[คะแนนเต็ม]]),"",(tbl_task6[47]/tbl_task6[[คะแนนเต็ม]:[คะแนนเต็ม]])*tbl_task6[[%]:[%]])</f>
        <v/>
      </c>
      <c r="HJ9" s="121" t="str">
        <f>IF(ISBLANK(tbl_task6[[คะแนนเต็ม]:[คะแนนเต็ม]]),"",(tbl_task6[48]/tbl_task6[[คะแนนเต็ม]:[คะแนนเต็ม]])*tbl_task6[[%]:[%]])</f>
        <v/>
      </c>
      <c r="HK9" s="121" t="str">
        <f>IF(ISBLANK(tbl_task6[[คะแนนเต็ม]:[คะแนนเต็ม]]),"",(tbl_task6[49]/tbl_task6[[คะแนนเต็ม]:[คะแนนเต็ม]])*tbl_task6[[%]:[%]])</f>
        <v/>
      </c>
      <c r="HL9" s="121" t="str">
        <f>IF(ISBLANK(tbl_task6[[คะแนนเต็ม]:[คะแนนเต็ม]]),"",(tbl_task6[50]/tbl_task6[[คะแนนเต็ม]:[คะแนนเต็ม]])*tbl_task6[[%]:[%]])</f>
        <v/>
      </c>
      <c r="HM9" s="121" t="str">
        <f>IF(ISBLANK(tbl_task6[[คะแนนเต็ม]:[คะแนนเต็ม]]),"",(tbl_task6[51]/tbl_task6[[คะแนนเต็ม]:[คะแนนเต็ม]])*tbl_task6[[%]:[%]])</f>
        <v/>
      </c>
      <c r="HN9" s="121" t="str">
        <f>IF(ISBLANK(tbl_task6[[คะแนนเต็ม]:[คะแนนเต็ม]]),"",(tbl_task6[52]/tbl_task6[[คะแนนเต็ม]:[คะแนนเต็ม]])*tbl_task6[[%]:[%]])</f>
        <v/>
      </c>
      <c r="HO9" s="121" t="str">
        <f>IF(ISBLANK(tbl_task6[[คะแนนเต็ม]:[คะแนนเต็ม]]),"",(tbl_task6[53]/tbl_task6[[คะแนนเต็ม]:[คะแนนเต็ม]])*tbl_task6[[%]:[%]])</f>
        <v/>
      </c>
      <c r="HP9" s="121" t="str">
        <f>IF(ISBLANK(tbl_task6[[คะแนนเต็ม]:[คะแนนเต็ม]]),"",(tbl_task6[54]/tbl_task6[[คะแนนเต็ม]:[คะแนนเต็ม]])*tbl_task6[[%]:[%]])</f>
        <v/>
      </c>
      <c r="HQ9" s="121" t="str">
        <f>IF(ISBLANK(tbl_task6[[คะแนนเต็ม]:[คะแนนเต็ม]]),"",(tbl_task6[55]/tbl_task6[[คะแนนเต็ม]:[คะแนนเต็ม]])*tbl_task6[[%]:[%]])</f>
        <v/>
      </c>
      <c r="HR9" s="121" t="str">
        <f>IF(ISBLANK(tbl_task6[[คะแนนเต็ม]:[คะแนนเต็ม]]),"",(tbl_task6[56]/tbl_task6[[คะแนนเต็ม]:[คะแนนเต็ม]])*tbl_task6[[%]:[%]])</f>
        <v/>
      </c>
      <c r="HS9" s="121" t="str">
        <f>IF(ISBLANK(tbl_task6[[คะแนนเต็ม]:[คะแนนเต็ม]]),"",(tbl_task6[57]/tbl_task6[[คะแนนเต็ม]:[คะแนนเต็ม]])*tbl_task6[[%]:[%]])</f>
        <v/>
      </c>
      <c r="HT9" s="121" t="str">
        <f>IF(ISBLANK(tbl_task6[[คะแนนเต็ม]:[คะแนนเต็ม]]),"",(tbl_task6[58]/tbl_task6[[คะแนนเต็ม]:[คะแนนเต็ม]])*tbl_task6[[%]:[%]])</f>
        <v/>
      </c>
      <c r="HU9" s="121" t="str">
        <f>IF(ISBLANK(tbl_task6[[คะแนนเต็ม]:[คะแนนเต็ม]]),"",(tbl_task6[59]/tbl_task6[[คะแนนเต็ม]:[คะแนนเต็ม]])*tbl_task6[[%]:[%]])</f>
        <v/>
      </c>
      <c r="HV9" s="121" t="str">
        <f>IF(ISBLANK(tbl_task6[[คะแนนเต็ม]:[คะแนนเต็ม]]),"",(tbl_task6[60]/tbl_task6[[คะแนนเต็ม]:[คะแนนเต็ม]])*tbl_task6[[%]:[%]])</f>
        <v/>
      </c>
      <c r="HW9" s="121" t="str">
        <f>IF(ISBLANK(tbl_task6[[คะแนนเต็ม]:[คะแนนเต็ม]]),"",(tbl_task6[61]/tbl_task6[[คะแนนเต็ม]:[คะแนนเต็ม]])*tbl_task6[[%]:[%]])</f>
        <v/>
      </c>
      <c r="HX9" s="121" t="str">
        <f>IF(ISBLANK(tbl_task6[[คะแนนเต็ม]:[คะแนนเต็ม]]),"",(tbl_task6[62]/tbl_task6[[คะแนนเต็ม]:[คะแนนเต็ม]])*tbl_task6[[%]:[%]])</f>
        <v/>
      </c>
      <c r="HY9" s="121" t="str">
        <f>IF(ISBLANK(tbl_task6[[คะแนนเต็ม]:[คะแนนเต็ม]]),"",(tbl_task6[63]/tbl_task6[[คะแนนเต็ม]:[คะแนนเต็ม]])*tbl_task6[[%]:[%]])</f>
        <v/>
      </c>
      <c r="HZ9" s="121" t="str">
        <f>IF(ISBLANK(tbl_task6[[คะแนนเต็ม]:[คะแนนเต็ม]]),"",(tbl_task6[64]/tbl_task6[[คะแนนเต็ม]:[คะแนนเต็ม]])*tbl_task6[[%]:[%]])</f>
        <v/>
      </c>
      <c r="IA9" s="121" t="str">
        <f>IF(ISBLANK(tbl_task6[[คะแนนเต็ม]:[คะแนนเต็ม]]),"",(tbl_task6[65]/tbl_task6[[คะแนนเต็ม]:[คะแนนเต็ม]])*tbl_task6[[%]:[%]])</f>
        <v/>
      </c>
      <c r="IB9" s="121" t="str">
        <f>IF(ISBLANK(tbl_task6[[คะแนนเต็ม]:[คะแนนเต็ม]]),"",(tbl_task6[66]/tbl_task6[[คะแนนเต็ม]:[คะแนนเต็ม]])*tbl_task6[[%]:[%]])</f>
        <v/>
      </c>
      <c r="IC9" s="121" t="str">
        <f>IF(ISBLANK(tbl_task6[[คะแนนเต็ม]:[คะแนนเต็ม]]),"",(tbl_task6[67]/tbl_task6[[คะแนนเต็ม]:[คะแนนเต็ม]])*tbl_task6[[%]:[%]])</f>
        <v/>
      </c>
      <c r="ID9" s="121" t="str">
        <f>IF(ISBLANK(tbl_task6[[คะแนนเต็ม]:[คะแนนเต็ม]]),"",(tbl_task6[68]/tbl_task6[[คะแนนเต็ม]:[คะแนนเต็ม]])*tbl_task6[[%]:[%]])</f>
        <v/>
      </c>
      <c r="IE9" s="121" t="str">
        <f>IF(ISBLANK(tbl_task6[[คะแนนเต็ม]:[คะแนนเต็ม]]),"",(tbl_task6[69]/tbl_task6[[คะแนนเต็ม]:[คะแนนเต็ม]])*tbl_task6[[%]:[%]])</f>
        <v/>
      </c>
      <c r="IF9" s="121" t="str">
        <f>IF(ISBLANK(tbl_task6[[คะแนนเต็ม]:[คะแนนเต็ม]]),"",(tbl_task6[70]/tbl_task6[[คะแนนเต็ม]:[คะแนนเต็ม]])*tbl_task6[[%]:[%]])</f>
        <v/>
      </c>
      <c r="IG9" s="121" t="str">
        <f>IF(ISBLANK(tbl_task6[[คะแนนเต็ม]:[คะแนนเต็ม]]),"",(tbl_task6[71]/tbl_task6[[คะแนนเต็ม]:[คะแนนเต็ม]])*tbl_task6[[%]:[%]])</f>
        <v/>
      </c>
      <c r="IH9" s="121" t="str">
        <f>IF(ISBLANK(tbl_task6[[คะแนนเต็ม]:[คะแนนเต็ม]]),"",(tbl_task6[72]/tbl_task6[[คะแนนเต็ม]:[คะแนนเต็ม]])*tbl_task6[[%]:[%]])</f>
        <v/>
      </c>
      <c r="II9" s="121" t="str">
        <f>IF(ISBLANK(tbl_task6[[คะแนนเต็ม]:[คะแนนเต็ม]]),"",(tbl_task6[73]/tbl_task6[[คะแนนเต็ม]:[คะแนนเต็ม]])*tbl_task6[[%]:[%]])</f>
        <v/>
      </c>
      <c r="IJ9" s="121" t="str">
        <f>IF(ISBLANK(tbl_task6[[คะแนนเต็ม]:[คะแนนเต็ม]]),"",(tbl_task6[74]/tbl_task6[[คะแนนเต็ม]:[คะแนนเต็ม]])*tbl_task6[[%]:[%]])</f>
        <v/>
      </c>
      <c r="IK9" s="121" t="str">
        <f>IF(ISBLANK(tbl_task6[[คะแนนเต็ม]:[คะแนนเต็ม]]),"",(tbl_task6[75]/tbl_task6[[คะแนนเต็ม]:[คะแนนเต็ม]])*tbl_task6[[%]:[%]])</f>
        <v/>
      </c>
      <c r="IL9" s="121" t="str">
        <f>IF(ISBLANK(tbl_task6[[คะแนนเต็ม]:[คะแนนเต็ม]]),"",(tbl_task6[76]/tbl_task6[[คะแนนเต็ม]:[คะแนนเต็ม]])*tbl_task6[[%]:[%]])</f>
        <v/>
      </c>
      <c r="IM9" s="121" t="str">
        <f>IF(ISBLANK(tbl_task6[[คะแนนเต็ม]:[คะแนนเต็ม]]),"",(tbl_task6[77]/tbl_task6[[คะแนนเต็ม]:[คะแนนเต็ม]])*tbl_task6[[%]:[%]])</f>
        <v/>
      </c>
      <c r="IN9" s="121" t="str">
        <f>IF(ISBLANK(tbl_task6[[คะแนนเต็ม]:[คะแนนเต็ม]]),"",(tbl_task6[78]/tbl_task6[[คะแนนเต็ม]:[คะแนนเต็ม]])*tbl_task6[[%]:[%]])</f>
        <v/>
      </c>
      <c r="IO9" s="121" t="str">
        <f>IF(ISBLANK(tbl_task6[[คะแนนเต็ม]:[คะแนนเต็ม]]),"",(tbl_task6[79]/tbl_task6[[คะแนนเต็ม]:[คะแนนเต็ม]])*tbl_task6[[%]:[%]])</f>
        <v/>
      </c>
      <c r="IP9" s="121" t="str">
        <f>IF(ISBLANK(tbl_task6[[คะแนนเต็ม]:[คะแนนเต็ม]]),"",(tbl_task6[80]/tbl_task6[[คะแนนเต็ม]:[คะแนนเต็ม]])*tbl_task6[[%]:[%]])</f>
        <v/>
      </c>
      <c r="IQ9" s="121" t="str">
        <f>IF(ISBLANK(tbl_task6[[คะแนนเต็ม]:[คะแนนเต็ม]]),"",(tbl_task6[81]/tbl_task6[[คะแนนเต็ม]:[คะแนนเต็ม]])*tbl_task6[[%]:[%]])</f>
        <v/>
      </c>
      <c r="IR9" s="121" t="str">
        <f>IF(ISBLANK(tbl_task6[[คะแนนเต็ม]:[คะแนนเต็ม]]),"",(tbl_task6[82]/tbl_task6[[คะแนนเต็ม]:[คะแนนเต็ม]])*tbl_task6[[%]:[%]])</f>
        <v/>
      </c>
      <c r="IS9" s="121" t="str">
        <f>IF(ISBLANK(tbl_task6[[คะแนนเต็ม]:[คะแนนเต็ม]]),"",(tbl_task6[83]/tbl_task6[[คะแนนเต็ม]:[คะแนนเต็ม]])*tbl_task6[[%]:[%]])</f>
        <v/>
      </c>
      <c r="IT9" s="121" t="str">
        <f>IF(ISBLANK(tbl_task6[[คะแนนเต็ม]:[คะแนนเต็ม]]),"",(tbl_task6[84]/tbl_task6[[คะแนนเต็ม]:[คะแนนเต็ม]])*tbl_task6[[%]:[%]])</f>
        <v/>
      </c>
      <c r="IU9" s="121" t="str">
        <f>IF(ISBLANK(tbl_task6[[คะแนนเต็ม]:[คะแนนเต็ม]]),"",(tbl_task6[85]/tbl_task6[[คะแนนเต็ม]:[คะแนนเต็ม]])*tbl_task6[[%]:[%]])</f>
        <v/>
      </c>
      <c r="IV9" s="121" t="str">
        <f>IF(ISBLANK(tbl_task6[[คะแนนเต็ม]:[คะแนนเต็ม]]),"",(tbl_task6[86]/tbl_task6[[คะแนนเต็ม]:[คะแนนเต็ม]])*tbl_task6[[%]:[%]])</f>
        <v/>
      </c>
      <c r="IW9" s="121" t="str">
        <f>IF(ISBLANK(tbl_task6[[คะแนนเต็ม]:[คะแนนเต็ม]]),"",(tbl_task6[87]/tbl_task6[[คะแนนเต็ม]:[คะแนนเต็ม]])*tbl_task6[[%]:[%]])</f>
        <v/>
      </c>
      <c r="IX9" s="121" t="str">
        <f>IF(ISBLANK(tbl_task6[[คะแนนเต็ม]:[คะแนนเต็ม]]),"",(tbl_task6[88]/tbl_task6[[คะแนนเต็ม]:[คะแนนเต็ม]])*tbl_task6[[%]:[%]])</f>
        <v/>
      </c>
      <c r="IY9" s="121" t="str">
        <f>IF(ISBLANK(tbl_task6[[คะแนนเต็ม]:[คะแนนเต็ม]]),"",(tbl_task6[89]/tbl_task6[[คะแนนเต็ม]:[คะแนนเต็ม]])*tbl_task6[[%]:[%]])</f>
        <v/>
      </c>
      <c r="IZ9" s="121" t="str">
        <f>IF(ISBLANK(tbl_task6[[คะแนนเต็ม]:[คะแนนเต็ม]]),"",(tbl_task6[90]/tbl_task6[[คะแนนเต็ม]:[คะแนนเต็ม]])*tbl_task6[[%]:[%]])</f>
        <v/>
      </c>
      <c r="JA9" s="121" t="str">
        <f>IF(ISBLANK(tbl_task6[[คะแนนเต็ม]:[คะแนนเต็ม]]),"",(tbl_task6[91]/tbl_task6[[คะแนนเต็ม]:[คะแนนเต็ม]])*tbl_task6[[%]:[%]])</f>
        <v/>
      </c>
      <c r="JB9" s="121" t="str">
        <f>IF(ISBLANK(tbl_task6[[คะแนนเต็ม]:[คะแนนเต็ม]]),"",(tbl_task6[92]/tbl_task6[[คะแนนเต็ม]:[คะแนนเต็ม]])*tbl_task6[[%]:[%]])</f>
        <v/>
      </c>
      <c r="JC9" s="121" t="str">
        <f>IF(ISBLANK(tbl_task6[[คะแนนเต็ม]:[คะแนนเต็ม]]),"",(tbl_task6[93]/tbl_task6[[คะแนนเต็ม]:[คะแนนเต็ม]])*tbl_task6[[%]:[%]])</f>
        <v/>
      </c>
      <c r="JD9" s="121" t="str">
        <f>IF(ISBLANK(tbl_task6[[คะแนนเต็ม]:[คะแนนเต็ม]]),"",(tbl_task6[94]/tbl_task6[[คะแนนเต็ม]:[คะแนนเต็ม]])*tbl_task6[[%]:[%]])</f>
        <v/>
      </c>
      <c r="JE9" s="121" t="str">
        <f>IF(ISBLANK(tbl_task6[[คะแนนเต็ม]:[คะแนนเต็ม]]),"",(tbl_task6[95]/tbl_task6[[คะแนนเต็ม]:[คะแนนเต็ม]])*tbl_task6[[%]:[%]])</f>
        <v/>
      </c>
      <c r="JF9" s="121" t="str">
        <f>IF(ISBLANK(tbl_task6[[คะแนนเต็ม]:[คะแนนเต็ม]]),"",(tbl_task6[96]/tbl_task6[[คะแนนเต็ม]:[คะแนนเต็ม]])*tbl_task6[[%]:[%]])</f>
        <v/>
      </c>
      <c r="JG9" s="121" t="str">
        <f>IF(ISBLANK(tbl_task6[[คะแนนเต็ม]:[คะแนนเต็ม]]),"",(tbl_task6[97]/tbl_task6[[คะแนนเต็ม]:[คะแนนเต็ม]])*tbl_task6[[%]:[%]])</f>
        <v/>
      </c>
      <c r="JH9" s="121" t="str">
        <f>IF(ISBLANK(tbl_task6[[คะแนนเต็ม]:[คะแนนเต็ม]]),"",(tbl_task6[98]/tbl_task6[[คะแนนเต็ม]:[คะแนนเต็ม]])*tbl_task6[[%]:[%]])</f>
        <v/>
      </c>
      <c r="JI9" s="121" t="str">
        <f>IF(ISBLANK(tbl_task6[[คะแนนเต็ม]:[คะแนนเต็ม]]),"",(tbl_task6[99]/tbl_task6[[คะแนนเต็ม]:[คะแนนเต็ม]])*tbl_task6[[%]:[%]])</f>
        <v/>
      </c>
      <c r="JJ9" s="121" t="str">
        <f>IF(ISBLANK(tbl_task6[[คะแนนเต็ม]:[คะแนนเต็ม]]),"",(tbl_task6[100]/tbl_task6[[คะแนนเต็ม]:[คะแนนเต็ม]])*tbl_task6[[%]:[%]])</f>
        <v/>
      </c>
      <c r="JK9" s="121" t="str">
        <f>IF(ISBLANK(tbl_task6[[คะแนนเต็ม]:[คะแนนเต็ม]]),"",(tbl_task6[101]/tbl_task6[[คะแนนเต็ม]:[คะแนนเต็ม]])*tbl_task6[[%]:[%]])</f>
        <v/>
      </c>
      <c r="JL9" s="121" t="str">
        <f>IF(ISBLANK(tbl_task6[[คะแนนเต็ม]:[คะแนนเต็ม]]),"",(tbl_task6[102]/tbl_task6[[คะแนนเต็ม]:[คะแนนเต็ม]])*tbl_task6[[%]:[%]])</f>
        <v/>
      </c>
      <c r="JM9" s="121" t="str">
        <f>IF(ISBLANK(tbl_task6[[คะแนนเต็ม]:[คะแนนเต็ม]]),"",(tbl_task6[103]/tbl_task6[[คะแนนเต็ม]:[คะแนนเต็ม]])*tbl_task6[[%]:[%]])</f>
        <v/>
      </c>
      <c r="JN9" s="121" t="str">
        <f>IF(ISBLANK(tbl_task6[[คะแนนเต็ม]:[คะแนนเต็ม]]),"",(tbl_task6[104]/tbl_task6[[คะแนนเต็ม]:[คะแนนเต็ม]])*tbl_task6[[%]:[%]])</f>
        <v/>
      </c>
      <c r="JO9" s="121" t="str">
        <f>IF(ISBLANK(tbl_task6[[คะแนนเต็ม]:[คะแนนเต็ม]]),"",(tbl_task6[105]/tbl_task6[[คะแนนเต็ม]:[คะแนนเต็ม]])*tbl_task6[[%]:[%]])</f>
        <v/>
      </c>
      <c r="JP9" s="121" t="str">
        <f>IF(ISBLANK(tbl_task6[[คะแนนเต็ม]:[คะแนนเต็ม]]),"",(tbl_task6[106]/tbl_task6[[คะแนนเต็ม]:[คะแนนเต็ม]])*tbl_task6[[%]:[%]])</f>
        <v/>
      </c>
      <c r="JQ9" s="121" t="str">
        <f>IF(ISBLANK(tbl_task6[[คะแนนเต็ม]:[คะแนนเต็ม]]),"",(tbl_task6[107]/tbl_task6[[คะแนนเต็ม]:[คะแนนเต็ม]])*tbl_task6[[%]:[%]])</f>
        <v/>
      </c>
      <c r="JR9" s="121" t="str">
        <f>IF(ISBLANK(tbl_task6[[คะแนนเต็ม]:[คะแนนเต็ม]]),"",(tbl_task6[108]/tbl_task6[[คะแนนเต็ม]:[คะแนนเต็ม]])*tbl_task6[[%]:[%]])</f>
        <v/>
      </c>
      <c r="JS9" s="121" t="str">
        <f>IF(ISBLANK(tbl_task6[[คะแนนเต็ม]:[คะแนนเต็ม]]),"",(tbl_task6[109]/tbl_task6[[คะแนนเต็ม]:[คะแนนเต็ม]])*tbl_task6[[%]:[%]])</f>
        <v/>
      </c>
      <c r="JT9" s="121" t="str">
        <f>IF(ISBLANK(tbl_task6[[คะแนนเต็ม]:[คะแนนเต็ม]]),"",(tbl_task6[110]/tbl_task6[[คะแนนเต็ม]:[คะแนนเต็ม]])*tbl_task6[[%]:[%]])</f>
        <v/>
      </c>
      <c r="JU9" s="121" t="str">
        <f>IF(ISBLANK(tbl_task6[[คะแนนเต็ม]:[คะแนนเต็ม]]),"",(tbl_task6[111]/tbl_task6[[คะแนนเต็ม]:[คะแนนเต็ม]])*tbl_task6[[%]:[%]])</f>
        <v/>
      </c>
      <c r="JV9" s="121" t="str">
        <f>IF(ISBLANK(tbl_task6[[คะแนนเต็ม]:[คะแนนเต็ม]]),"",(tbl_task6[112]/tbl_task6[[คะแนนเต็ม]:[คะแนนเต็ม]])*tbl_task6[[%]:[%]])</f>
        <v/>
      </c>
      <c r="JW9" s="121" t="str">
        <f>IF(ISBLANK(tbl_task6[[คะแนนเต็ม]:[คะแนนเต็ม]]),"",(tbl_task6[113]/tbl_task6[[คะแนนเต็ม]:[คะแนนเต็ม]])*tbl_task6[[%]:[%]])</f>
        <v/>
      </c>
      <c r="JX9" s="121" t="str">
        <f>IF(ISBLANK(tbl_task6[[คะแนนเต็ม]:[คะแนนเต็ม]]),"",(tbl_task6[114]/tbl_task6[[คะแนนเต็ม]:[คะแนนเต็ม]])*tbl_task6[[%]:[%]])</f>
        <v/>
      </c>
      <c r="JY9" s="121" t="str">
        <f>IF(ISBLANK(tbl_task6[[คะแนนเต็ม]:[คะแนนเต็ม]]),"",(tbl_task6[115]/tbl_task6[[คะแนนเต็ม]:[คะแนนเต็ม]])*tbl_task6[[%]:[%]])</f>
        <v/>
      </c>
      <c r="JZ9" s="121" t="str">
        <f>IF(ISBLANK(tbl_task6[[คะแนนเต็ม]:[คะแนนเต็ม]]),"",(tbl_task6[116]/tbl_task6[[คะแนนเต็ม]:[คะแนนเต็ม]])*tbl_task6[[%]:[%]])</f>
        <v/>
      </c>
      <c r="KA9" s="121" t="str">
        <f>IF(ISBLANK(tbl_task6[[คะแนนเต็ม]:[คะแนนเต็ม]]),"",(tbl_task6[117]/tbl_task6[[คะแนนเต็ม]:[คะแนนเต็ม]])*tbl_task6[[%]:[%]])</f>
        <v/>
      </c>
      <c r="KB9" s="121" t="str">
        <f>IF(ISBLANK(tbl_task6[[คะแนนเต็ม]:[คะแนนเต็ม]]),"",(tbl_task6[118]/tbl_task6[[คะแนนเต็ม]:[คะแนนเต็ม]])*tbl_task6[[%]:[%]])</f>
        <v/>
      </c>
      <c r="KC9" s="121" t="str">
        <f>IF(ISBLANK(tbl_task6[[คะแนนเต็ม]:[คะแนนเต็ม]]),"",(tbl_task6[119]/tbl_task6[[คะแนนเต็ม]:[คะแนนเต็ม]])*tbl_task6[[%]:[%]])</f>
        <v/>
      </c>
      <c r="KD9" s="121" t="str">
        <f>IF(ISBLANK(tbl_task6[[คะแนนเต็ม]:[คะแนนเต็ม]]),"",(tbl_task6[120]/tbl_task6[[คะแนนเต็ม]:[คะแนนเต็ม]])*tbl_task6[[%]:[%]])</f>
        <v/>
      </c>
      <c r="KE9" s="121" t="str">
        <f>IF(ISBLANK(tbl_task6[[คะแนนเต็ม]:[คะแนนเต็ม]]),"",(tbl_task6[121]/tbl_task6[[คะแนนเต็ม]:[คะแนนเต็ม]])*tbl_task6[[%]:[%]])</f>
        <v/>
      </c>
      <c r="KF9" s="121" t="str">
        <f>IF(ISBLANK(tbl_task6[[คะแนนเต็ม]:[คะแนนเต็ม]]),"",(tbl_task6[122]/tbl_task6[[คะแนนเต็ม]:[คะแนนเต็ม]])*tbl_task6[[%]:[%]])</f>
        <v/>
      </c>
      <c r="KG9" s="121" t="str">
        <f>IF(ISBLANK(tbl_task6[[คะแนนเต็ม]:[คะแนนเต็ม]]),"",(tbl_task6[123]/tbl_task6[[คะแนนเต็ม]:[คะแนนเต็ม]])*tbl_task6[[%]:[%]])</f>
        <v/>
      </c>
      <c r="KH9" s="121" t="str">
        <f>IF(ISBLANK(tbl_task6[[คะแนนเต็ม]:[คะแนนเต็ม]]),"",(tbl_task6[124]/tbl_task6[[คะแนนเต็ม]:[คะแนนเต็ม]])*tbl_task6[[%]:[%]])</f>
        <v/>
      </c>
      <c r="KI9" s="121" t="str">
        <f>IF(ISBLANK(tbl_task6[[คะแนนเต็ม]:[คะแนนเต็ม]]),"",(tbl_task6[125]/tbl_task6[[คะแนนเต็ม]:[คะแนนเต็ม]])*tbl_task6[[%]:[%]])</f>
        <v/>
      </c>
      <c r="KJ9" s="121" t="str">
        <f>IF(ISBLANK(tbl_task6[[คะแนนเต็ม]:[คะแนนเต็ม]]),"",(tbl_task6[126]/tbl_task6[[คะแนนเต็ม]:[คะแนนเต็ม]])*tbl_task6[[%]:[%]])</f>
        <v/>
      </c>
      <c r="KK9" s="121" t="str">
        <f>IF(ISBLANK(tbl_task6[[คะแนนเต็ม]:[คะแนนเต็ม]]),"",(tbl_task6[127]/tbl_task6[[คะแนนเต็ม]:[คะแนนเต็ม]])*tbl_task6[[%]:[%]])</f>
        <v/>
      </c>
      <c r="KL9" s="121" t="str">
        <f>IF(ISBLANK(tbl_task6[[คะแนนเต็ม]:[คะแนนเต็ม]]),"",(tbl_task6[128]/tbl_task6[[คะแนนเต็ม]:[คะแนนเต็ม]])*tbl_task6[[%]:[%]])</f>
        <v/>
      </c>
      <c r="KM9" s="121" t="str">
        <f>IF(ISBLANK(tbl_task6[[คะแนนเต็ม]:[คะแนนเต็ม]]),"",(tbl_task6[129]/tbl_task6[[คะแนนเต็ม]:[คะแนนเต็ม]])*tbl_task6[[%]:[%]])</f>
        <v/>
      </c>
      <c r="KN9" s="121" t="str">
        <f>IF(ISBLANK(tbl_task6[[คะแนนเต็ม]:[คะแนนเต็ม]]),"",(tbl_task6[130]/tbl_task6[[คะแนนเต็ม]:[คะแนนเต็ม]])*tbl_task6[[%]:[%]])</f>
        <v/>
      </c>
      <c r="KO9" s="121" t="str">
        <f>IF(ISBLANK(tbl_task6[[คะแนนเต็ม]:[คะแนนเต็ม]]),"",(tbl_task6[131]/tbl_task6[[คะแนนเต็ม]:[คะแนนเต็ม]])*tbl_task6[[%]:[%]])</f>
        <v/>
      </c>
      <c r="KP9" s="121" t="str">
        <f>IF(ISBLANK(tbl_task6[[คะแนนเต็ม]:[คะแนนเต็ม]]),"",(tbl_task6[132]/tbl_task6[[คะแนนเต็ม]:[คะแนนเต็ม]])*tbl_task6[[%]:[%]])</f>
        <v/>
      </c>
      <c r="KQ9" s="121" t="str">
        <f>IF(ISBLANK(tbl_task6[[คะแนนเต็ม]:[คะแนนเต็ม]]),"",(tbl_task6[133]/tbl_task6[[คะแนนเต็ม]:[คะแนนเต็ม]])*tbl_task6[[%]:[%]])</f>
        <v/>
      </c>
      <c r="KR9" s="121" t="str">
        <f>IF(ISBLANK(tbl_task6[[คะแนนเต็ม]:[คะแนนเต็ม]]),"",(tbl_task6[134]/tbl_task6[[คะแนนเต็ม]:[คะแนนเต็ม]])*tbl_task6[[%]:[%]])</f>
        <v/>
      </c>
      <c r="KS9" s="121" t="str">
        <f>IF(ISBLANK(tbl_task6[[คะแนนเต็ม]:[คะแนนเต็ม]]),"",(tbl_task6[135]/tbl_task6[[คะแนนเต็ม]:[คะแนนเต็ม]])*tbl_task6[[%]:[%]])</f>
        <v/>
      </c>
      <c r="KT9" s="121" t="str">
        <f>IF(ISBLANK(tbl_task6[[คะแนนเต็ม]:[คะแนนเต็ม]]),"",(tbl_task6[136]/tbl_task6[[คะแนนเต็ม]:[คะแนนเต็ม]])*tbl_task6[[%]:[%]])</f>
        <v/>
      </c>
      <c r="KU9" s="121" t="str">
        <f>IF(ISBLANK(tbl_task6[[คะแนนเต็ม]:[คะแนนเต็ม]]),"",(tbl_task6[137]/tbl_task6[[คะแนนเต็ม]:[คะแนนเต็ม]])*tbl_task6[[%]:[%]])</f>
        <v/>
      </c>
      <c r="KV9" s="121" t="str">
        <f>IF(ISBLANK(tbl_task6[[คะแนนเต็ม]:[คะแนนเต็ม]]),"",(tbl_task6[138]/tbl_task6[[คะแนนเต็ม]:[คะแนนเต็ม]])*tbl_task6[[%]:[%]])</f>
        <v/>
      </c>
      <c r="KW9" s="121" t="str">
        <f>IF(ISBLANK(tbl_task6[[คะแนนเต็ม]:[คะแนนเต็ม]]),"",(tbl_task6[139]/tbl_task6[[คะแนนเต็ม]:[คะแนนเต็ม]])*tbl_task6[[%]:[%]])</f>
        <v/>
      </c>
      <c r="KX9" s="121" t="str">
        <f>IF(ISBLANK(tbl_task6[[คะแนนเต็ม]:[คะแนนเต็ม]]),"",(tbl_task6[140]/tbl_task6[[คะแนนเต็ม]:[คะแนนเต็ม]])*tbl_task6[[%]:[%]])</f>
        <v/>
      </c>
      <c r="KY9" s="121" t="str">
        <f>IF(ISBLANK(tbl_task6[[คะแนนเต็ม]:[คะแนนเต็ม]]),"",(tbl_task6[141]/tbl_task6[[คะแนนเต็ม]:[คะแนนเต็ม]])*tbl_task6[[%]:[%]])</f>
        <v/>
      </c>
      <c r="KZ9" s="121" t="str">
        <f>IF(ISBLANK(tbl_task6[[คะแนนเต็ม]:[คะแนนเต็ม]]),"",(tbl_task6[142]/tbl_task6[[คะแนนเต็ม]:[คะแนนเต็ม]])*tbl_task6[[%]:[%]])</f>
        <v/>
      </c>
      <c r="LA9" s="121" t="str">
        <f>IF(ISBLANK(tbl_task6[[คะแนนเต็ม]:[คะแนนเต็ม]]),"",(tbl_task6[143]/tbl_task6[[คะแนนเต็ม]:[คะแนนเต็ม]])*tbl_task6[[%]:[%]])</f>
        <v/>
      </c>
      <c r="LB9" s="121" t="str">
        <f>IF(ISBLANK(tbl_task6[[คะแนนเต็ม]:[คะแนนเต็ม]]),"",(tbl_task6[144]/tbl_task6[[คะแนนเต็ม]:[คะแนนเต็ม]])*tbl_task6[[%]:[%]])</f>
        <v/>
      </c>
      <c r="LC9" s="121" t="str">
        <f>IF(ISBLANK(tbl_task6[[คะแนนเต็ม]:[คะแนนเต็ม]]),"",(tbl_task6[145]/tbl_task6[[คะแนนเต็ม]:[คะแนนเต็ม]])*tbl_task6[[%]:[%]])</f>
        <v/>
      </c>
      <c r="LD9" s="121" t="str">
        <f>IF(ISBLANK(tbl_task6[[คะแนนเต็ม]:[คะแนนเต็ม]]),"",(tbl_task6[146]/tbl_task6[[คะแนนเต็ม]:[คะแนนเต็ม]])*tbl_task6[[%]:[%]])</f>
        <v/>
      </c>
      <c r="LE9" s="121" t="str">
        <f>IF(ISBLANK(tbl_task6[[คะแนนเต็ม]:[คะแนนเต็ม]]),"",(tbl_task6[147]/tbl_task6[[คะแนนเต็ม]:[คะแนนเต็ม]])*tbl_task6[[%]:[%]])</f>
        <v/>
      </c>
      <c r="LF9" s="121" t="str">
        <f>IF(ISBLANK(tbl_task6[[คะแนนเต็ม]:[คะแนนเต็ม]]),"",(tbl_task6[148]/tbl_task6[[คะแนนเต็ม]:[คะแนนเต็ม]])*tbl_task6[[%]:[%]])</f>
        <v/>
      </c>
      <c r="LG9" s="121" t="str">
        <f>IF(ISBLANK(tbl_task6[[คะแนนเต็ม]:[คะแนนเต็ม]]),"",(tbl_task6[149]/tbl_task6[[คะแนนเต็ม]:[คะแนนเต็ม]])*tbl_task6[[%]:[%]])</f>
        <v/>
      </c>
      <c r="LH9" s="121" t="str">
        <f>IF(ISBLANK(tbl_task6[[คะแนนเต็ม]:[คะแนนเต็ม]]),"",(tbl_task6[150]/tbl_task6[[คะแนนเต็ม]:[คะแนนเต็ม]])*tbl_task6[[%]:[%]])</f>
        <v/>
      </c>
      <c r="LI9" s="121" t="str">
        <f>IF(ISBLANK(tbl_task6[[คะแนนเต็ม]:[คะแนนเต็ม]]),"",(tbl_task6[151]/tbl_task6[[คะแนนเต็ม]:[คะแนนเต็ม]])*tbl_task6[[%]:[%]])</f>
        <v/>
      </c>
      <c r="LJ9" s="121" t="str">
        <f>IF(ISBLANK(tbl_task6[[คะแนนเต็ม]:[คะแนนเต็ม]]),"",(tbl_task6[152]/tbl_task6[[คะแนนเต็ม]:[คะแนนเต็ม]])*tbl_task6[[%]:[%]])</f>
        <v/>
      </c>
      <c r="LK9" s="121" t="str">
        <f>IF(ISBLANK(tbl_task6[[คะแนนเต็ม]:[คะแนนเต็ม]]),"",(tbl_task6[153]/tbl_task6[[คะแนนเต็ม]:[คะแนนเต็ม]])*tbl_task6[[%]:[%]])</f>
        <v/>
      </c>
      <c r="LL9" s="121" t="str">
        <f>IF(ISBLANK(tbl_task6[[คะแนนเต็ม]:[คะแนนเต็ม]]),"",(tbl_task6[154]/tbl_task6[[คะแนนเต็ม]:[คะแนนเต็ม]])*tbl_task6[[%]:[%]])</f>
        <v/>
      </c>
      <c r="LM9" s="121" t="str">
        <f>IF(ISBLANK(tbl_task6[[คะแนนเต็ม]:[คะแนนเต็ม]]),"",(tbl_task6[155]/tbl_task6[[คะแนนเต็ม]:[คะแนนเต็ม]])*tbl_task6[[%]:[%]])</f>
        <v/>
      </c>
      <c r="LN9" s="121" t="str">
        <f>IF(ISBLANK(tbl_task6[[คะแนนเต็ม]:[คะแนนเต็ม]]),"",(tbl_task6[156]/tbl_task6[[คะแนนเต็ม]:[คะแนนเต็ม]])*tbl_task6[[%]:[%]])</f>
        <v/>
      </c>
      <c r="LO9" s="121" t="str">
        <f>IF(ISBLANK(tbl_task6[[คะแนนเต็ม]:[คะแนนเต็ม]]),"",(tbl_task6[157]/tbl_task6[[คะแนนเต็ม]:[คะแนนเต็ม]])*tbl_task6[[%]:[%]])</f>
        <v/>
      </c>
      <c r="LP9" s="121" t="str">
        <f>IF(ISBLANK(tbl_task6[[คะแนนเต็ม]:[คะแนนเต็ม]]),"",(tbl_task6[158]/tbl_task6[[คะแนนเต็ม]:[คะแนนเต็ม]])*tbl_task6[[%]:[%]])</f>
        <v/>
      </c>
      <c r="LQ9" s="121" t="str">
        <f>IF(ISBLANK(tbl_task6[[คะแนนเต็ม]:[คะแนนเต็ม]]),"",(tbl_task6[159]/tbl_task6[[คะแนนเต็ม]:[คะแนนเต็ม]])*tbl_task6[[%]:[%]])</f>
        <v/>
      </c>
      <c r="LR9" s="121" t="str">
        <f>IF(ISBLANK(tbl_task6[[คะแนนเต็ม]:[คะแนนเต็ม]]),"",(tbl_task6[160]/tbl_task6[[คะแนนเต็ม]:[คะแนนเต็ม]])*tbl_task6[[%]:[%]])</f>
        <v/>
      </c>
      <c r="LS9" s="121" t="str">
        <f>IF(ISBLANK(tbl_task6[[คะแนนเต็ม]:[คะแนนเต็ม]]),"",(tbl_task6[161]/tbl_task6[[คะแนนเต็ม]:[คะแนนเต็ม]])*tbl_task6[[%]:[%]])</f>
        <v/>
      </c>
      <c r="LT9" s="121" t="str">
        <f>IF(ISBLANK(tbl_task6[[คะแนนเต็ม]:[คะแนนเต็ม]]),"",(tbl_task6[162]/tbl_task6[[คะแนนเต็ม]:[คะแนนเต็ม]])*tbl_task6[[%]:[%]])</f>
        <v/>
      </c>
      <c r="LU9" s="121" t="str">
        <f>IF(ISBLANK(tbl_task6[[คะแนนเต็ม]:[คะแนนเต็ม]]),"",(tbl_task6[163]/tbl_task6[[คะแนนเต็ม]:[คะแนนเต็ม]])*tbl_task6[[%]:[%]])</f>
        <v/>
      </c>
      <c r="LV9" s="121" t="str">
        <f>IF(ISBLANK(tbl_task6[[คะแนนเต็ม]:[คะแนนเต็ม]]),"",(tbl_task6[164]/tbl_task6[[คะแนนเต็ม]:[คะแนนเต็ม]])*tbl_task6[[%]:[%]])</f>
        <v/>
      </c>
      <c r="LW9" s="121" t="str">
        <f>IF(ISBLANK(tbl_task6[[คะแนนเต็ม]:[คะแนนเต็ม]]),"",(tbl_task6[165]/tbl_task6[[คะแนนเต็ม]:[คะแนนเต็ม]])*tbl_task6[[%]:[%]])</f>
        <v/>
      </c>
    </row>
    <row r="10" spans="1:335" ht="24" customHeight="1" x14ac:dyDescent="0.25">
      <c r="A10" s="24">
        <v>7</v>
      </c>
      <c r="B10" s="20"/>
      <c r="C10" s="5" t="str">
        <f>IF(ISBLANK(B10),"",VLOOKUP(B10,tbl_PLOs[],2,0))</f>
        <v/>
      </c>
      <c r="D10" s="102"/>
      <c r="E10" s="106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22"/>
      <c r="FO10" s="121" t="str">
        <f>IF(ISBLANK(tbl_task6[[คะแนนเต็ม]:[คะแนนเต็ม]]),"",(tbl_task6[1]/tbl_task6[[คะแนนเต็ม]:[คะแนนเต็ม]])*tbl_task6[[%]:[%]])</f>
        <v/>
      </c>
      <c r="FP10" s="121" t="str">
        <f>IF(ISBLANK(tbl_task6[[คะแนนเต็ม]:[คะแนนเต็ม]]),"",(tbl_task6[2]/tbl_task6[[คะแนนเต็ม]:[คะแนนเต็ม]])*tbl_task6[[%]:[%]])</f>
        <v/>
      </c>
      <c r="FQ10" s="121" t="str">
        <f>IF(ISBLANK(tbl_task6[[คะแนนเต็ม]:[คะแนนเต็ม]]),"",(tbl_task6[3]/tbl_task6[[คะแนนเต็ม]:[คะแนนเต็ม]])*tbl_task6[[%]:[%]])</f>
        <v/>
      </c>
      <c r="FR10" s="121" t="str">
        <f>IF(ISBLANK(tbl_task6[[คะแนนเต็ม]:[คะแนนเต็ม]]),"",(tbl_task6[4]/tbl_task6[[คะแนนเต็ม]:[คะแนนเต็ม]])*tbl_task6[[%]:[%]])</f>
        <v/>
      </c>
      <c r="FS10" s="121" t="str">
        <f>IF(ISBLANK(tbl_task6[[คะแนนเต็ม]:[คะแนนเต็ม]]),"",(tbl_task6[5]/tbl_task6[[คะแนนเต็ม]:[คะแนนเต็ม]])*tbl_task6[[%]:[%]])</f>
        <v/>
      </c>
      <c r="FT10" s="121" t="str">
        <f>IF(ISBLANK(tbl_task6[[คะแนนเต็ม]:[คะแนนเต็ม]]),"",(tbl_task6[6]/tbl_task6[[คะแนนเต็ม]:[คะแนนเต็ม]])*tbl_task6[[%]:[%]])</f>
        <v/>
      </c>
      <c r="FU10" s="121" t="str">
        <f>IF(ISBLANK(tbl_task6[[คะแนนเต็ม]:[คะแนนเต็ม]]),"",(tbl_task6[7]/tbl_task6[[คะแนนเต็ม]:[คะแนนเต็ม]])*tbl_task6[[%]:[%]])</f>
        <v/>
      </c>
      <c r="FV10" s="121" t="str">
        <f>IF(ISBLANK(tbl_task6[[คะแนนเต็ม]:[คะแนนเต็ม]]),"",(tbl_task6[8]/tbl_task6[[คะแนนเต็ม]:[คะแนนเต็ม]])*tbl_task6[[%]:[%]])</f>
        <v/>
      </c>
      <c r="FW10" s="121" t="str">
        <f>IF(ISBLANK(tbl_task6[[คะแนนเต็ม]:[คะแนนเต็ม]]),"",(tbl_task6[9]/tbl_task6[[คะแนนเต็ม]:[คะแนนเต็ม]])*tbl_task6[[%]:[%]])</f>
        <v/>
      </c>
      <c r="FX10" s="121" t="str">
        <f>IF(ISBLANK(tbl_task6[[คะแนนเต็ม]:[คะแนนเต็ม]]),"",(tbl_task6[10]/tbl_task6[[คะแนนเต็ม]:[คะแนนเต็ม]])*tbl_task6[[%]:[%]])</f>
        <v/>
      </c>
      <c r="FY10" s="121" t="str">
        <f>IF(ISBLANK(tbl_task6[[คะแนนเต็ม]:[คะแนนเต็ม]]),"",(tbl_task6[11]/tbl_task6[[คะแนนเต็ม]:[คะแนนเต็ม]])*tbl_task6[[%]:[%]])</f>
        <v/>
      </c>
      <c r="FZ10" s="121" t="str">
        <f>IF(ISBLANK(tbl_task6[[คะแนนเต็ม]:[คะแนนเต็ม]]),"",(tbl_task6[12]/tbl_task6[[คะแนนเต็ม]:[คะแนนเต็ม]])*tbl_task6[[%]:[%]])</f>
        <v/>
      </c>
      <c r="GA10" s="121" t="str">
        <f>IF(ISBLANK(tbl_task6[[คะแนนเต็ม]:[คะแนนเต็ม]]),"",(tbl_task6[13]/tbl_task6[[คะแนนเต็ม]:[คะแนนเต็ม]])*tbl_task6[[%]:[%]])</f>
        <v/>
      </c>
      <c r="GB10" s="121" t="str">
        <f>IF(ISBLANK(tbl_task6[[คะแนนเต็ม]:[คะแนนเต็ม]]),"",(tbl_task6[14]/tbl_task6[[คะแนนเต็ม]:[คะแนนเต็ม]])*tbl_task6[[%]:[%]])</f>
        <v/>
      </c>
      <c r="GC10" s="121" t="str">
        <f>IF(ISBLANK(tbl_task6[[คะแนนเต็ม]:[คะแนนเต็ม]]),"",(tbl_task6[15]/tbl_task6[[คะแนนเต็ม]:[คะแนนเต็ม]])*tbl_task6[[%]:[%]])</f>
        <v/>
      </c>
      <c r="GD10" s="121" t="str">
        <f>IF(ISBLANK(tbl_task6[[คะแนนเต็ม]:[คะแนนเต็ม]]),"",(tbl_task6[16]/tbl_task6[[คะแนนเต็ม]:[คะแนนเต็ม]])*tbl_task6[[%]:[%]])</f>
        <v/>
      </c>
      <c r="GE10" s="121" t="str">
        <f>IF(ISBLANK(tbl_task6[[คะแนนเต็ม]:[คะแนนเต็ม]]),"",(tbl_task6[17]/tbl_task6[[คะแนนเต็ม]:[คะแนนเต็ม]])*tbl_task6[[%]:[%]])</f>
        <v/>
      </c>
      <c r="GF10" s="121" t="str">
        <f>IF(ISBLANK(tbl_task6[[คะแนนเต็ม]:[คะแนนเต็ม]]),"",(tbl_task6[18]/tbl_task6[[คะแนนเต็ม]:[คะแนนเต็ม]])*tbl_task6[[%]:[%]])</f>
        <v/>
      </c>
      <c r="GG10" s="121" t="str">
        <f>IF(ISBLANK(tbl_task6[[คะแนนเต็ม]:[คะแนนเต็ม]]),"",(tbl_task6[19]/tbl_task6[[คะแนนเต็ม]:[คะแนนเต็ม]])*tbl_task6[[%]:[%]])</f>
        <v/>
      </c>
      <c r="GH10" s="121" t="str">
        <f>IF(ISBLANK(tbl_task6[[คะแนนเต็ม]:[คะแนนเต็ม]]),"",(tbl_task6[20]/tbl_task6[[คะแนนเต็ม]:[คะแนนเต็ม]])*tbl_task6[[%]:[%]])</f>
        <v/>
      </c>
      <c r="GI10" s="121" t="str">
        <f>IF(ISBLANK(tbl_task6[[คะแนนเต็ม]:[คะแนนเต็ม]]),"",(tbl_task6[21]/tbl_task6[[คะแนนเต็ม]:[คะแนนเต็ม]])*tbl_task6[[%]:[%]])</f>
        <v/>
      </c>
      <c r="GJ10" s="121" t="str">
        <f>IF(ISBLANK(tbl_task6[[คะแนนเต็ม]:[คะแนนเต็ม]]),"",(tbl_task6[22]/tbl_task6[[คะแนนเต็ม]:[คะแนนเต็ม]])*tbl_task6[[%]:[%]])</f>
        <v/>
      </c>
      <c r="GK10" s="121" t="str">
        <f>IF(ISBLANK(tbl_task6[[คะแนนเต็ม]:[คะแนนเต็ม]]),"",(tbl_task6[23]/tbl_task6[[คะแนนเต็ม]:[คะแนนเต็ม]])*tbl_task6[[%]:[%]])</f>
        <v/>
      </c>
      <c r="GL10" s="121" t="str">
        <f>IF(ISBLANK(tbl_task6[[คะแนนเต็ม]:[คะแนนเต็ม]]),"",(tbl_task6[24]/tbl_task6[[คะแนนเต็ม]:[คะแนนเต็ม]])*tbl_task6[[%]:[%]])</f>
        <v/>
      </c>
      <c r="GM10" s="121" t="str">
        <f>IF(ISBLANK(tbl_task6[[คะแนนเต็ม]:[คะแนนเต็ม]]),"",(tbl_task6[25]/tbl_task6[[คะแนนเต็ม]:[คะแนนเต็ม]])*tbl_task6[[%]:[%]])</f>
        <v/>
      </c>
      <c r="GN10" s="121" t="str">
        <f>IF(ISBLANK(tbl_task6[[คะแนนเต็ม]:[คะแนนเต็ม]]),"",(tbl_task6[26]/tbl_task6[[คะแนนเต็ม]:[คะแนนเต็ม]])*tbl_task6[[%]:[%]])</f>
        <v/>
      </c>
      <c r="GO10" s="121" t="str">
        <f>IF(ISBLANK(tbl_task6[[คะแนนเต็ม]:[คะแนนเต็ม]]),"",(tbl_task6[27]/tbl_task6[[คะแนนเต็ม]:[คะแนนเต็ม]])*tbl_task6[[%]:[%]])</f>
        <v/>
      </c>
      <c r="GP10" s="121" t="str">
        <f>IF(ISBLANK(tbl_task6[[คะแนนเต็ม]:[คะแนนเต็ม]]),"",(tbl_task6[28]/tbl_task6[[คะแนนเต็ม]:[คะแนนเต็ม]])*tbl_task6[[%]:[%]])</f>
        <v/>
      </c>
      <c r="GQ10" s="121" t="str">
        <f>IF(ISBLANK(tbl_task6[[คะแนนเต็ม]:[คะแนนเต็ม]]),"",(tbl_task6[29]/tbl_task6[[คะแนนเต็ม]:[คะแนนเต็ม]])*tbl_task6[[%]:[%]])</f>
        <v/>
      </c>
      <c r="GR10" s="121" t="str">
        <f>IF(ISBLANK(tbl_task6[[คะแนนเต็ม]:[คะแนนเต็ม]]),"",(tbl_task6[30]/tbl_task6[[คะแนนเต็ม]:[คะแนนเต็ม]])*tbl_task6[[%]:[%]])</f>
        <v/>
      </c>
      <c r="GS10" s="121" t="str">
        <f>IF(ISBLANK(tbl_task6[[คะแนนเต็ม]:[คะแนนเต็ม]]),"",(tbl_task6[31]/tbl_task6[[คะแนนเต็ม]:[คะแนนเต็ม]])*tbl_task6[[%]:[%]])</f>
        <v/>
      </c>
      <c r="GT10" s="121" t="str">
        <f>IF(ISBLANK(tbl_task6[[คะแนนเต็ม]:[คะแนนเต็ม]]),"",(tbl_task6[32]/tbl_task6[[คะแนนเต็ม]:[คะแนนเต็ม]])*tbl_task6[[%]:[%]])</f>
        <v/>
      </c>
      <c r="GU10" s="121" t="str">
        <f>IF(ISBLANK(tbl_task6[[คะแนนเต็ม]:[คะแนนเต็ม]]),"",(tbl_task6[33]/tbl_task6[[คะแนนเต็ม]:[คะแนนเต็ม]])*tbl_task6[[%]:[%]])</f>
        <v/>
      </c>
      <c r="GV10" s="121" t="str">
        <f>IF(ISBLANK(tbl_task6[[คะแนนเต็ม]:[คะแนนเต็ม]]),"",(tbl_task6[34]/tbl_task6[[คะแนนเต็ม]:[คะแนนเต็ม]])*tbl_task6[[%]:[%]])</f>
        <v/>
      </c>
      <c r="GW10" s="121" t="str">
        <f>IF(ISBLANK(tbl_task6[[คะแนนเต็ม]:[คะแนนเต็ม]]),"",(tbl_task6[35]/tbl_task6[[คะแนนเต็ม]:[คะแนนเต็ม]])*tbl_task6[[%]:[%]])</f>
        <v/>
      </c>
      <c r="GX10" s="121" t="str">
        <f>IF(ISBLANK(tbl_task6[[คะแนนเต็ม]:[คะแนนเต็ม]]),"",(tbl_task6[36]/tbl_task6[[คะแนนเต็ม]:[คะแนนเต็ม]])*tbl_task6[[%]:[%]])</f>
        <v/>
      </c>
      <c r="GY10" s="121" t="str">
        <f>IF(ISBLANK(tbl_task6[[คะแนนเต็ม]:[คะแนนเต็ม]]),"",(tbl_task6[37]/tbl_task6[[คะแนนเต็ม]:[คะแนนเต็ม]])*tbl_task6[[%]:[%]])</f>
        <v/>
      </c>
      <c r="GZ10" s="121" t="str">
        <f>IF(ISBLANK(tbl_task6[[คะแนนเต็ม]:[คะแนนเต็ม]]),"",(tbl_task6[38]/tbl_task6[[คะแนนเต็ม]:[คะแนนเต็ม]])*tbl_task6[[%]:[%]])</f>
        <v/>
      </c>
      <c r="HA10" s="121" t="str">
        <f>IF(ISBLANK(tbl_task6[[คะแนนเต็ม]:[คะแนนเต็ม]]),"",(tbl_task6[39]/tbl_task6[[คะแนนเต็ม]:[คะแนนเต็ม]])*tbl_task6[[%]:[%]])</f>
        <v/>
      </c>
      <c r="HB10" s="121" t="str">
        <f>IF(ISBLANK(tbl_task6[[คะแนนเต็ม]:[คะแนนเต็ม]]),"",(tbl_task6[40]/tbl_task6[[คะแนนเต็ม]:[คะแนนเต็ม]])*tbl_task6[[%]:[%]])</f>
        <v/>
      </c>
      <c r="HC10" s="121" t="str">
        <f>IF(ISBLANK(tbl_task6[[คะแนนเต็ม]:[คะแนนเต็ม]]),"",(tbl_task6[41]/tbl_task6[[คะแนนเต็ม]:[คะแนนเต็ม]])*tbl_task6[[%]:[%]])</f>
        <v/>
      </c>
      <c r="HD10" s="121" t="str">
        <f>IF(ISBLANK(tbl_task6[[คะแนนเต็ม]:[คะแนนเต็ม]]),"",(tbl_task6[42]/tbl_task6[[คะแนนเต็ม]:[คะแนนเต็ม]])*tbl_task6[[%]:[%]])</f>
        <v/>
      </c>
      <c r="HE10" s="121" t="str">
        <f>IF(ISBLANK(tbl_task6[[คะแนนเต็ม]:[คะแนนเต็ม]]),"",(tbl_task6[43]/tbl_task6[[คะแนนเต็ม]:[คะแนนเต็ม]])*tbl_task6[[%]:[%]])</f>
        <v/>
      </c>
      <c r="HF10" s="121" t="str">
        <f>IF(ISBLANK(tbl_task6[[คะแนนเต็ม]:[คะแนนเต็ม]]),"",(tbl_task6[44]/tbl_task6[[คะแนนเต็ม]:[คะแนนเต็ม]])*tbl_task6[[%]:[%]])</f>
        <v/>
      </c>
      <c r="HG10" s="121" t="str">
        <f>IF(ISBLANK(tbl_task6[[คะแนนเต็ม]:[คะแนนเต็ม]]),"",(tbl_task6[45]/tbl_task6[[คะแนนเต็ม]:[คะแนนเต็ม]])*tbl_task6[[%]:[%]])</f>
        <v/>
      </c>
      <c r="HH10" s="121" t="str">
        <f>IF(ISBLANK(tbl_task6[[คะแนนเต็ม]:[คะแนนเต็ม]]),"",(tbl_task6[46]/tbl_task6[[คะแนนเต็ม]:[คะแนนเต็ม]])*tbl_task6[[%]:[%]])</f>
        <v/>
      </c>
      <c r="HI10" s="121" t="str">
        <f>IF(ISBLANK(tbl_task6[[คะแนนเต็ม]:[คะแนนเต็ม]]),"",(tbl_task6[47]/tbl_task6[[คะแนนเต็ม]:[คะแนนเต็ม]])*tbl_task6[[%]:[%]])</f>
        <v/>
      </c>
      <c r="HJ10" s="121" t="str">
        <f>IF(ISBLANK(tbl_task6[[คะแนนเต็ม]:[คะแนนเต็ม]]),"",(tbl_task6[48]/tbl_task6[[คะแนนเต็ม]:[คะแนนเต็ม]])*tbl_task6[[%]:[%]])</f>
        <v/>
      </c>
      <c r="HK10" s="121" t="str">
        <f>IF(ISBLANK(tbl_task6[[คะแนนเต็ม]:[คะแนนเต็ม]]),"",(tbl_task6[49]/tbl_task6[[คะแนนเต็ม]:[คะแนนเต็ม]])*tbl_task6[[%]:[%]])</f>
        <v/>
      </c>
      <c r="HL10" s="121" t="str">
        <f>IF(ISBLANK(tbl_task6[[คะแนนเต็ม]:[คะแนนเต็ม]]),"",(tbl_task6[50]/tbl_task6[[คะแนนเต็ม]:[คะแนนเต็ม]])*tbl_task6[[%]:[%]])</f>
        <v/>
      </c>
      <c r="HM10" s="121" t="str">
        <f>IF(ISBLANK(tbl_task6[[คะแนนเต็ม]:[คะแนนเต็ม]]),"",(tbl_task6[51]/tbl_task6[[คะแนนเต็ม]:[คะแนนเต็ม]])*tbl_task6[[%]:[%]])</f>
        <v/>
      </c>
      <c r="HN10" s="121" t="str">
        <f>IF(ISBLANK(tbl_task6[[คะแนนเต็ม]:[คะแนนเต็ม]]),"",(tbl_task6[52]/tbl_task6[[คะแนนเต็ม]:[คะแนนเต็ม]])*tbl_task6[[%]:[%]])</f>
        <v/>
      </c>
      <c r="HO10" s="121" t="str">
        <f>IF(ISBLANK(tbl_task6[[คะแนนเต็ม]:[คะแนนเต็ม]]),"",(tbl_task6[53]/tbl_task6[[คะแนนเต็ม]:[คะแนนเต็ม]])*tbl_task6[[%]:[%]])</f>
        <v/>
      </c>
      <c r="HP10" s="121" t="str">
        <f>IF(ISBLANK(tbl_task6[[คะแนนเต็ม]:[คะแนนเต็ม]]),"",(tbl_task6[54]/tbl_task6[[คะแนนเต็ม]:[คะแนนเต็ม]])*tbl_task6[[%]:[%]])</f>
        <v/>
      </c>
      <c r="HQ10" s="121" t="str">
        <f>IF(ISBLANK(tbl_task6[[คะแนนเต็ม]:[คะแนนเต็ม]]),"",(tbl_task6[55]/tbl_task6[[คะแนนเต็ม]:[คะแนนเต็ม]])*tbl_task6[[%]:[%]])</f>
        <v/>
      </c>
      <c r="HR10" s="121" t="str">
        <f>IF(ISBLANK(tbl_task6[[คะแนนเต็ม]:[คะแนนเต็ม]]),"",(tbl_task6[56]/tbl_task6[[คะแนนเต็ม]:[คะแนนเต็ม]])*tbl_task6[[%]:[%]])</f>
        <v/>
      </c>
      <c r="HS10" s="121" t="str">
        <f>IF(ISBLANK(tbl_task6[[คะแนนเต็ม]:[คะแนนเต็ม]]),"",(tbl_task6[57]/tbl_task6[[คะแนนเต็ม]:[คะแนนเต็ม]])*tbl_task6[[%]:[%]])</f>
        <v/>
      </c>
      <c r="HT10" s="121" t="str">
        <f>IF(ISBLANK(tbl_task6[[คะแนนเต็ม]:[คะแนนเต็ม]]),"",(tbl_task6[58]/tbl_task6[[คะแนนเต็ม]:[คะแนนเต็ม]])*tbl_task6[[%]:[%]])</f>
        <v/>
      </c>
      <c r="HU10" s="121" t="str">
        <f>IF(ISBLANK(tbl_task6[[คะแนนเต็ม]:[คะแนนเต็ม]]),"",(tbl_task6[59]/tbl_task6[[คะแนนเต็ม]:[คะแนนเต็ม]])*tbl_task6[[%]:[%]])</f>
        <v/>
      </c>
      <c r="HV10" s="121" t="str">
        <f>IF(ISBLANK(tbl_task6[[คะแนนเต็ม]:[คะแนนเต็ม]]),"",(tbl_task6[60]/tbl_task6[[คะแนนเต็ม]:[คะแนนเต็ม]])*tbl_task6[[%]:[%]])</f>
        <v/>
      </c>
      <c r="HW10" s="121" t="str">
        <f>IF(ISBLANK(tbl_task6[[คะแนนเต็ม]:[คะแนนเต็ม]]),"",(tbl_task6[61]/tbl_task6[[คะแนนเต็ม]:[คะแนนเต็ม]])*tbl_task6[[%]:[%]])</f>
        <v/>
      </c>
      <c r="HX10" s="121" t="str">
        <f>IF(ISBLANK(tbl_task6[[คะแนนเต็ม]:[คะแนนเต็ม]]),"",(tbl_task6[62]/tbl_task6[[คะแนนเต็ม]:[คะแนนเต็ม]])*tbl_task6[[%]:[%]])</f>
        <v/>
      </c>
      <c r="HY10" s="121" t="str">
        <f>IF(ISBLANK(tbl_task6[[คะแนนเต็ม]:[คะแนนเต็ม]]),"",(tbl_task6[63]/tbl_task6[[คะแนนเต็ม]:[คะแนนเต็ม]])*tbl_task6[[%]:[%]])</f>
        <v/>
      </c>
      <c r="HZ10" s="121" t="str">
        <f>IF(ISBLANK(tbl_task6[[คะแนนเต็ม]:[คะแนนเต็ม]]),"",(tbl_task6[64]/tbl_task6[[คะแนนเต็ม]:[คะแนนเต็ม]])*tbl_task6[[%]:[%]])</f>
        <v/>
      </c>
      <c r="IA10" s="121" t="str">
        <f>IF(ISBLANK(tbl_task6[[คะแนนเต็ม]:[คะแนนเต็ม]]),"",(tbl_task6[65]/tbl_task6[[คะแนนเต็ม]:[คะแนนเต็ม]])*tbl_task6[[%]:[%]])</f>
        <v/>
      </c>
      <c r="IB10" s="121" t="str">
        <f>IF(ISBLANK(tbl_task6[[คะแนนเต็ม]:[คะแนนเต็ม]]),"",(tbl_task6[66]/tbl_task6[[คะแนนเต็ม]:[คะแนนเต็ม]])*tbl_task6[[%]:[%]])</f>
        <v/>
      </c>
      <c r="IC10" s="121" t="str">
        <f>IF(ISBLANK(tbl_task6[[คะแนนเต็ม]:[คะแนนเต็ม]]),"",(tbl_task6[67]/tbl_task6[[คะแนนเต็ม]:[คะแนนเต็ม]])*tbl_task6[[%]:[%]])</f>
        <v/>
      </c>
      <c r="ID10" s="121" t="str">
        <f>IF(ISBLANK(tbl_task6[[คะแนนเต็ม]:[คะแนนเต็ม]]),"",(tbl_task6[68]/tbl_task6[[คะแนนเต็ม]:[คะแนนเต็ม]])*tbl_task6[[%]:[%]])</f>
        <v/>
      </c>
      <c r="IE10" s="121" t="str">
        <f>IF(ISBLANK(tbl_task6[[คะแนนเต็ม]:[คะแนนเต็ม]]),"",(tbl_task6[69]/tbl_task6[[คะแนนเต็ม]:[คะแนนเต็ม]])*tbl_task6[[%]:[%]])</f>
        <v/>
      </c>
      <c r="IF10" s="121" t="str">
        <f>IF(ISBLANK(tbl_task6[[คะแนนเต็ม]:[คะแนนเต็ม]]),"",(tbl_task6[70]/tbl_task6[[คะแนนเต็ม]:[คะแนนเต็ม]])*tbl_task6[[%]:[%]])</f>
        <v/>
      </c>
      <c r="IG10" s="121" t="str">
        <f>IF(ISBLANK(tbl_task6[[คะแนนเต็ม]:[คะแนนเต็ม]]),"",(tbl_task6[71]/tbl_task6[[คะแนนเต็ม]:[คะแนนเต็ม]])*tbl_task6[[%]:[%]])</f>
        <v/>
      </c>
      <c r="IH10" s="121" t="str">
        <f>IF(ISBLANK(tbl_task6[[คะแนนเต็ม]:[คะแนนเต็ม]]),"",(tbl_task6[72]/tbl_task6[[คะแนนเต็ม]:[คะแนนเต็ม]])*tbl_task6[[%]:[%]])</f>
        <v/>
      </c>
      <c r="II10" s="121" t="str">
        <f>IF(ISBLANK(tbl_task6[[คะแนนเต็ม]:[คะแนนเต็ม]]),"",(tbl_task6[73]/tbl_task6[[คะแนนเต็ม]:[คะแนนเต็ม]])*tbl_task6[[%]:[%]])</f>
        <v/>
      </c>
      <c r="IJ10" s="121" t="str">
        <f>IF(ISBLANK(tbl_task6[[คะแนนเต็ม]:[คะแนนเต็ม]]),"",(tbl_task6[74]/tbl_task6[[คะแนนเต็ม]:[คะแนนเต็ม]])*tbl_task6[[%]:[%]])</f>
        <v/>
      </c>
      <c r="IK10" s="121" t="str">
        <f>IF(ISBLANK(tbl_task6[[คะแนนเต็ม]:[คะแนนเต็ม]]),"",(tbl_task6[75]/tbl_task6[[คะแนนเต็ม]:[คะแนนเต็ม]])*tbl_task6[[%]:[%]])</f>
        <v/>
      </c>
      <c r="IL10" s="121" t="str">
        <f>IF(ISBLANK(tbl_task6[[คะแนนเต็ม]:[คะแนนเต็ม]]),"",(tbl_task6[76]/tbl_task6[[คะแนนเต็ม]:[คะแนนเต็ม]])*tbl_task6[[%]:[%]])</f>
        <v/>
      </c>
      <c r="IM10" s="121" t="str">
        <f>IF(ISBLANK(tbl_task6[[คะแนนเต็ม]:[คะแนนเต็ม]]),"",(tbl_task6[77]/tbl_task6[[คะแนนเต็ม]:[คะแนนเต็ม]])*tbl_task6[[%]:[%]])</f>
        <v/>
      </c>
      <c r="IN10" s="121" t="str">
        <f>IF(ISBLANK(tbl_task6[[คะแนนเต็ม]:[คะแนนเต็ม]]),"",(tbl_task6[78]/tbl_task6[[คะแนนเต็ม]:[คะแนนเต็ม]])*tbl_task6[[%]:[%]])</f>
        <v/>
      </c>
      <c r="IO10" s="121" t="str">
        <f>IF(ISBLANK(tbl_task6[[คะแนนเต็ม]:[คะแนนเต็ม]]),"",(tbl_task6[79]/tbl_task6[[คะแนนเต็ม]:[คะแนนเต็ม]])*tbl_task6[[%]:[%]])</f>
        <v/>
      </c>
      <c r="IP10" s="121" t="str">
        <f>IF(ISBLANK(tbl_task6[[คะแนนเต็ม]:[คะแนนเต็ม]]),"",(tbl_task6[80]/tbl_task6[[คะแนนเต็ม]:[คะแนนเต็ม]])*tbl_task6[[%]:[%]])</f>
        <v/>
      </c>
      <c r="IQ10" s="121" t="str">
        <f>IF(ISBLANK(tbl_task6[[คะแนนเต็ม]:[คะแนนเต็ม]]),"",(tbl_task6[81]/tbl_task6[[คะแนนเต็ม]:[คะแนนเต็ม]])*tbl_task6[[%]:[%]])</f>
        <v/>
      </c>
      <c r="IR10" s="121" t="str">
        <f>IF(ISBLANK(tbl_task6[[คะแนนเต็ม]:[คะแนนเต็ม]]),"",(tbl_task6[82]/tbl_task6[[คะแนนเต็ม]:[คะแนนเต็ม]])*tbl_task6[[%]:[%]])</f>
        <v/>
      </c>
      <c r="IS10" s="121" t="str">
        <f>IF(ISBLANK(tbl_task6[[คะแนนเต็ม]:[คะแนนเต็ม]]),"",(tbl_task6[83]/tbl_task6[[คะแนนเต็ม]:[คะแนนเต็ม]])*tbl_task6[[%]:[%]])</f>
        <v/>
      </c>
      <c r="IT10" s="121" t="str">
        <f>IF(ISBLANK(tbl_task6[[คะแนนเต็ม]:[คะแนนเต็ม]]),"",(tbl_task6[84]/tbl_task6[[คะแนนเต็ม]:[คะแนนเต็ม]])*tbl_task6[[%]:[%]])</f>
        <v/>
      </c>
      <c r="IU10" s="121" t="str">
        <f>IF(ISBLANK(tbl_task6[[คะแนนเต็ม]:[คะแนนเต็ม]]),"",(tbl_task6[85]/tbl_task6[[คะแนนเต็ม]:[คะแนนเต็ม]])*tbl_task6[[%]:[%]])</f>
        <v/>
      </c>
      <c r="IV10" s="121" t="str">
        <f>IF(ISBLANK(tbl_task6[[คะแนนเต็ม]:[คะแนนเต็ม]]),"",(tbl_task6[86]/tbl_task6[[คะแนนเต็ม]:[คะแนนเต็ม]])*tbl_task6[[%]:[%]])</f>
        <v/>
      </c>
      <c r="IW10" s="121" t="str">
        <f>IF(ISBLANK(tbl_task6[[คะแนนเต็ม]:[คะแนนเต็ม]]),"",(tbl_task6[87]/tbl_task6[[คะแนนเต็ม]:[คะแนนเต็ม]])*tbl_task6[[%]:[%]])</f>
        <v/>
      </c>
      <c r="IX10" s="121" t="str">
        <f>IF(ISBLANK(tbl_task6[[คะแนนเต็ม]:[คะแนนเต็ม]]),"",(tbl_task6[88]/tbl_task6[[คะแนนเต็ม]:[คะแนนเต็ม]])*tbl_task6[[%]:[%]])</f>
        <v/>
      </c>
      <c r="IY10" s="121" t="str">
        <f>IF(ISBLANK(tbl_task6[[คะแนนเต็ม]:[คะแนนเต็ม]]),"",(tbl_task6[89]/tbl_task6[[คะแนนเต็ม]:[คะแนนเต็ม]])*tbl_task6[[%]:[%]])</f>
        <v/>
      </c>
      <c r="IZ10" s="121" t="str">
        <f>IF(ISBLANK(tbl_task6[[คะแนนเต็ม]:[คะแนนเต็ม]]),"",(tbl_task6[90]/tbl_task6[[คะแนนเต็ม]:[คะแนนเต็ม]])*tbl_task6[[%]:[%]])</f>
        <v/>
      </c>
      <c r="JA10" s="121" t="str">
        <f>IF(ISBLANK(tbl_task6[[คะแนนเต็ม]:[คะแนนเต็ม]]),"",(tbl_task6[91]/tbl_task6[[คะแนนเต็ม]:[คะแนนเต็ม]])*tbl_task6[[%]:[%]])</f>
        <v/>
      </c>
      <c r="JB10" s="121" t="str">
        <f>IF(ISBLANK(tbl_task6[[คะแนนเต็ม]:[คะแนนเต็ม]]),"",(tbl_task6[92]/tbl_task6[[คะแนนเต็ม]:[คะแนนเต็ม]])*tbl_task6[[%]:[%]])</f>
        <v/>
      </c>
      <c r="JC10" s="121" t="str">
        <f>IF(ISBLANK(tbl_task6[[คะแนนเต็ม]:[คะแนนเต็ม]]),"",(tbl_task6[93]/tbl_task6[[คะแนนเต็ม]:[คะแนนเต็ม]])*tbl_task6[[%]:[%]])</f>
        <v/>
      </c>
      <c r="JD10" s="121" t="str">
        <f>IF(ISBLANK(tbl_task6[[คะแนนเต็ม]:[คะแนนเต็ม]]),"",(tbl_task6[94]/tbl_task6[[คะแนนเต็ม]:[คะแนนเต็ม]])*tbl_task6[[%]:[%]])</f>
        <v/>
      </c>
      <c r="JE10" s="121" t="str">
        <f>IF(ISBLANK(tbl_task6[[คะแนนเต็ม]:[คะแนนเต็ม]]),"",(tbl_task6[95]/tbl_task6[[คะแนนเต็ม]:[คะแนนเต็ม]])*tbl_task6[[%]:[%]])</f>
        <v/>
      </c>
      <c r="JF10" s="121" t="str">
        <f>IF(ISBLANK(tbl_task6[[คะแนนเต็ม]:[คะแนนเต็ม]]),"",(tbl_task6[96]/tbl_task6[[คะแนนเต็ม]:[คะแนนเต็ม]])*tbl_task6[[%]:[%]])</f>
        <v/>
      </c>
      <c r="JG10" s="121" t="str">
        <f>IF(ISBLANK(tbl_task6[[คะแนนเต็ม]:[คะแนนเต็ม]]),"",(tbl_task6[97]/tbl_task6[[คะแนนเต็ม]:[คะแนนเต็ม]])*tbl_task6[[%]:[%]])</f>
        <v/>
      </c>
      <c r="JH10" s="121" t="str">
        <f>IF(ISBLANK(tbl_task6[[คะแนนเต็ม]:[คะแนนเต็ม]]),"",(tbl_task6[98]/tbl_task6[[คะแนนเต็ม]:[คะแนนเต็ม]])*tbl_task6[[%]:[%]])</f>
        <v/>
      </c>
      <c r="JI10" s="121" t="str">
        <f>IF(ISBLANK(tbl_task6[[คะแนนเต็ม]:[คะแนนเต็ม]]),"",(tbl_task6[99]/tbl_task6[[คะแนนเต็ม]:[คะแนนเต็ม]])*tbl_task6[[%]:[%]])</f>
        <v/>
      </c>
      <c r="JJ10" s="121" t="str">
        <f>IF(ISBLANK(tbl_task6[[คะแนนเต็ม]:[คะแนนเต็ม]]),"",(tbl_task6[100]/tbl_task6[[คะแนนเต็ม]:[คะแนนเต็ม]])*tbl_task6[[%]:[%]])</f>
        <v/>
      </c>
      <c r="JK10" s="121" t="str">
        <f>IF(ISBLANK(tbl_task6[[คะแนนเต็ม]:[คะแนนเต็ม]]),"",(tbl_task6[101]/tbl_task6[[คะแนนเต็ม]:[คะแนนเต็ม]])*tbl_task6[[%]:[%]])</f>
        <v/>
      </c>
      <c r="JL10" s="121" t="str">
        <f>IF(ISBLANK(tbl_task6[[คะแนนเต็ม]:[คะแนนเต็ม]]),"",(tbl_task6[102]/tbl_task6[[คะแนนเต็ม]:[คะแนนเต็ม]])*tbl_task6[[%]:[%]])</f>
        <v/>
      </c>
      <c r="JM10" s="121" t="str">
        <f>IF(ISBLANK(tbl_task6[[คะแนนเต็ม]:[คะแนนเต็ม]]),"",(tbl_task6[103]/tbl_task6[[คะแนนเต็ม]:[คะแนนเต็ม]])*tbl_task6[[%]:[%]])</f>
        <v/>
      </c>
      <c r="JN10" s="121" t="str">
        <f>IF(ISBLANK(tbl_task6[[คะแนนเต็ม]:[คะแนนเต็ม]]),"",(tbl_task6[104]/tbl_task6[[คะแนนเต็ม]:[คะแนนเต็ม]])*tbl_task6[[%]:[%]])</f>
        <v/>
      </c>
      <c r="JO10" s="121" t="str">
        <f>IF(ISBLANK(tbl_task6[[คะแนนเต็ม]:[คะแนนเต็ม]]),"",(tbl_task6[105]/tbl_task6[[คะแนนเต็ม]:[คะแนนเต็ม]])*tbl_task6[[%]:[%]])</f>
        <v/>
      </c>
      <c r="JP10" s="121" t="str">
        <f>IF(ISBLANK(tbl_task6[[คะแนนเต็ม]:[คะแนนเต็ม]]),"",(tbl_task6[106]/tbl_task6[[คะแนนเต็ม]:[คะแนนเต็ม]])*tbl_task6[[%]:[%]])</f>
        <v/>
      </c>
      <c r="JQ10" s="121" t="str">
        <f>IF(ISBLANK(tbl_task6[[คะแนนเต็ม]:[คะแนนเต็ม]]),"",(tbl_task6[107]/tbl_task6[[คะแนนเต็ม]:[คะแนนเต็ม]])*tbl_task6[[%]:[%]])</f>
        <v/>
      </c>
      <c r="JR10" s="121" t="str">
        <f>IF(ISBLANK(tbl_task6[[คะแนนเต็ม]:[คะแนนเต็ม]]),"",(tbl_task6[108]/tbl_task6[[คะแนนเต็ม]:[คะแนนเต็ม]])*tbl_task6[[%]:[%]])</f>
        <v/>
      </c>
      <c r="JS10" s="121" t="str">
        <f>IF(ISBLANK(tbl_task6[[คะแนนเต็ม]:[คะแนนเต็ม]]),"",(tbl_task6[109]/tbl_task6[[คะแนนเต็ม]:[คะแนนเต็ม]])*tbl_task6[[%]:[%]])</f>
        <v/>
      </c>
      <c r="JT10" s="121" t="str">
        <f>IF(ISBLANK(tbl_task6[[คะแนนเต็ม]:[คะแนนเต็ม]]),"",(tbl_task6[110]/tbl_task6[[คะแนนเต็ม]:[คะแนนเต็ม]])*tbl_task6[[%]:[%]])</f>
        <v/>
      </c>
      <c r="JU10" s="121" t="str">
        <f>IF(ISBLANK(tbl_task6[[คะแนนเต็ม]:[คะแนนเต็ม]]),"",(tbl_task6[111]/tbl_task6[[คะแนนเต็ม]:[คะแนนเต็ม]])*tbl_task6[[%]:[%]])</f>
        <v/>
      </c>
      <c r="JV10" s="121" t="str">
        <f>IF(ISBLANK(tbl_task6[[คะแนนเต็ม]:[คะแนนเต็ม]]),"",(tbl_task6[112]/tbl_task6[[คะแนนเต็ม]:[คะแนนเต็ม]])*tbl_task6[[%]:[%]])</f>
        <v/>
      </c>
      <c r="JW10" s="121" t="str">
        <f>IF(ISBLANK(tbl_task6[[คะแนนเต็ม]:[คะแนนเต็ม]]),"",(tbl_task6[113]/tbl_task6[[คะแนนเต็ม]:[คะแนนเต็ม]])*tbl_task6[[%]:[%]])</f>
        <v/>
      </c>
      <c r="JX10" s="121" t="str">
        <f>IF(ISBLANK(tbl_task6[[คะแนนเต็ม]:[คะแนนเต็ม]]),"",(tbl_task6[114]/tbl_task6[[คะแนนเต็ม]:[คะแนนเต็ม]])*tbl_task6[[%]:[%]])</f>
        <v/>
      </c>
      <c r="JY10" s="121" t="str">
        <f>IF(ISBLANK(tbl_task6[[คะแนนเต็ม]:[คะแนนเต็ม]]),"",(tbl_task6[115]/tbl_task6[[คะแนนเต็ม]:[คะแนนเต็ม]])*tbl_task6[[%]:[%]])</f>
        <v/>
      </c>
      <c r="JZ10" s="121" t="str">
        <f>IF(ISBLANK(tbl_task6[[คะแนนเต็ม]:[คะแนนเต็ม]]),"",(tbl_task6[116]/tbl_task6[[คะแนนเต็ม]:[คะแนนเต็ม]])*tbl_task6[[%]:[%]])</f>
        <v/>
      </c>
      <c r="KA10" s="121" t="str">
        <f>IF(ISBLANK(tbl_task6[[คะแนนเต็ม]:[คะแนนเต็ม]]),"",(tbl_task6[117]/tbl_task6[[คะแนนเต็ม]:[คะแนนเต็ม]])*tbl_task6[[%]:[%]])</f>
        <v/>
      </c>
      <c r="KB10" s="121" t="str">
        <f>IF(ISBLANK(tbl_task6[[คะแนนเต็ม]:[คะแนนเต็ม]]),"",(tbl_task6[118]/tbl_task6[[คะแนนเต็ม]:[คะแนนเต็ม]])*tbl_task6[[%]:[%]])</f>
        <v/>
      </c>
      <c r="KC10" s="121" t="str">
        <f>IF(ISBLANK(tbl_task6[[คะแนนเต็ม]:[คะแนนเต็ม]]),"",(tbl_task6[119]/tbl_task6[[คะแนนเต็ม]:[คะแนนเต็ม]])*tbl_task6[[%]:[%]])</f>
        <v/>
      </c>
      <c r="KD10" s="121" t="str">
        <f>IF(ISBLANK(tbl_task6[[คะแนนเต็ม]:[คะแนนเต็ม]]),"",(tbl_task6[120]/tbl_task6[[คะแนนเต็ม]:[คะแนนเต็ม]])*tbl_task6[[%]:[%]])</f>
        <v/>
      </c>
      <c r="KE10" s="121" t="str">
        <f>IF(ISBLANK(tbl_task6[[คะแนนเต็ม]:[คะแนนเต็ม]]),"",(tbl_task6[121]/tbl_task6[[คะแนนเต็ม]:[คะแนนเต็ม]])*tbl_task6[[%]:[%]])</f>
        <v/>
      </c>
      <c r="KF10" s="121" t="str">
        <f>IF(ISBLANK(tbl_task6[[คะแนนเต็ม]:[คะแนนเต็ม]]),"",(tbl_task6[122]/tbl_task6[[คะแนนเต็ม]:[คะแนนเต็ม]])*tbl_task6[[%]:[%]])</f>
        <v/>
      </c>
      <c r="KG10" s="121" t="str">
        <f>IF(ISBLANK(tbl_task6[[คะแนนเต็ม]:[คะแนนเต็ม]]),"",(tbl_task6[123]/tbl_task6[[คะแนนเต็ม]:[คะแนนเต็ม]])*tbl_task6[[%]:[%]])</f>
        <v/>
      </c>
      <c r="KH10" s="121" t="str">
        <f>IF(ISBLANK(tbl_task6[[คะแนนเต็ม]:[คะแนนเต็ม]]),"",(tbl_task6[124]/tbl_task6[[คะแนนเต็ม]:[คะแนนเต็ม]])*tbl_task6[[%]:[%]])</f>
        <v/>
      </c>
      <c r="KI10" s="121" t="str">
        <f>IF(ISBLANK(tbl_task6[[คะแนนเต็ม]:[คะแนนเต็ม]]),"",(tbl_task6[125]/tbl_task6[[คะแนนเต็ม]:[คะแนนเต็ม]])*tbl_task6[[%]:[%]])</f>
        <v/>
      </c>
      <c r="KJ10" s="121" t="str">
        <f>IF(ISBLANK(tbl_task6[[คะแนนเต็ม]:[คะแนนเต็ม]]),"",(tbl_task6[126]/tbl_task6[[คะแนนเต็ม]:[คะแนนเต็ม]])*tbl_task6[[%]:[%]])</f>
        <v/>
      </c>
      <c r="KK10" s="121" t="str">
        <f>IF(ISBLANK(tbl_task6[[คะแนนเต็ม]:[คะแนนเต็ม]]),"",(tbl_task6[127]/tbl_task6[[คะแนนเต็ม]:[คะแนนเต็ม]])*tbl_task6[[%]:[%]])</f>
        <v/>
      </c>
      <c r="KL10" s="121" t="str">
        <f>IF(ISBLANK(tbl_task6[[คะแนนเต็ม]:[คะแนนเต็ม]]),"",(tbl_task6[128]/tbl_task6[[คะแนนเต็ม]:[คะแนนเต็ม]])*tbl_task6[[%]:[%]])</f>
        <v/>
      </c>
      <c r="KM10" s="121" t="str">
        <f>IF(ISBLANK(tbl_task6[[คะแนนเต็ม]:[คะแนนเต็ม]]),"",(tbl_task6[129]/tbl_task6[[คะแนนเต็ม]:[คะแนนเต็ม]])*tbl_task6[[%]:[%]])</f>
        <v/>
      </c>
      <c r="KN10" s="121" t="str">
        <f>IF(ISBLANK(tbl_task6[[คะแนนเต็ม]:[คะแนนเต็ม]]),"",(tbl_task6[130]/tbl_task6[[คะแนนเต็ม]:[คะแนนเต็ม]])*tbl_task6[[%]:[%]])</f>
        <v/>
      </c>
      <c r="KO10" s="121" t="str">
        <f>IF(ISBLANK(tbl_task6[[คะแนนเต็ม]:[คะแนนเต็ม]]),"",(tbl_task6[131]/tbl_task6[[คะแนนเต็ม]:[คะแนนเต็ม]])*tbl_task6[[%]:[%]])</f>
        <v/>
      </c>
      <c r="KP10" s="121" t="str">
        <f>IF(ISBLANK(tbl_task6[[คะแนนเต็ม]:[คะแนนเต็ม]]),"",(tbl_task6[132]/tbl_task6[[คะแนนเต็ม]:[คะแนนเต็ม]])*tbl_task6[[%]:[%]])</f>
        <v/>
      </c>
      <c r="KQ10" s="121" t="str">
        <f>IF(ISBLANK(tbl_task6[[คะแนนเต็ม]:[คะแนนเต็ม]]),"",(tbl_task6[133]/tbl_task6[[คะแนนเต็ม]:[คะแนนเต็ม]])*tbl_task6[[%]:[%]])</f>
        <v/>
      </c>
      <c r="KR10" s="121" t="str">
        <f>IF(ISBLANK(tbl_task6[[คะแนนเต็ม]:[คะแนนเต็ม]]),"",(tbl_task6[134]/tbl_task6[[คะแนนเต็ม]:[คะแนนเต็ม]])*tbl_task6[[%]:[%]])</f>
        <v/>
      </c>
      <c r="KS10" s="121" t="str">
        <f>IF(ISBLANK(tbl_task6[[คะแนนเต็ม]:[คะแนนเต็ม]]),"",(tbl_task6[135]/tbl_task6[[คะแนนเต็ม]:[คะแนนเต็ม]])*tbl_task6[[%]:[%]])</f>
        <v/>
      </c>
      <c r="KT10" s="121" t="str">
        <f>IF(ISBLANK(tbl_task6[[คะแนนเต็ม]:[คะแนนเต็ม]]),"",(tbl_task6[136]/tbl_task6[[คะแนนเต็ม]:[คะแนนเต็ม]])*tbl_task6[[%]:[%]])</f>
        <v/>
      </c>
      <c r="KU10" s="121" t="str">
        <f>IF(ISBLANK(tbl_task6[[คะแนนเต็ม]:[คะแนนเต็ม]]),"",(tbl_task6[137]/tbl_task6[[คะแนนเต็ม]:[คะแนนเต็ม]])*tbl_task6[[%]:[%]])</f>
        <v/>
      </c>
      <c r="KV10" s="121" t="str">
        <f>IF(ISBLANK(tbl_task6[[คะแนนเต็ม]:[คะแนนเต็ม]]),"",(tbl_task6[138]/tbl_task6[[คะแนนเต็ม]:[คะแนนเต็ม]])*tbl_task6[[%]:[%]])</f>
        <v/>
      </c>
      <c r="KW10" s="121" t="str">
        <f>IF(ISBLANK(tbl_task6[[คะแนนเต็ม]:[คะแนนเต็ม]]),"",(tbl_task6[139]/tbl_task6[[คะแนนเต็ม]:[คะแนนเต็ม]])*tbl_task6[[%]:[%]])</f>
        <v/>
      </c>
      <c r="KX10" s="121" t="str">
        <f>IF(ISBLANK(tbl_task6[[คะแนนเต็ม]:[คะแนนเต็ม]]),"",(tbl_task6[140]/tbl_task6[[คะแนนเต็ม]:[คะแนนเต็ม]])*tbl_task6[[%]:[%]])</f>
        <v/>
      </c>
      <c r="KY10" s="121" t="str">
        <f>IF(ISBLANK(tbl_task6[[คะแนนเต็ม]:[คะแนนเต็ม]]),"",(tbl_task6[141]/tbl_task6[[คะแนนเต็ม]:[คะแนนเต็ม]])*tbl_task6[[%]:[%]])</f>
        <v/>
      </c>
      <c r="KZ10" s="121" t="str">
        <f>IF(ISBLANK(tbl_task6[[คะแนนเต็ม]:[คะแนนเต็ม]]),"",(tbl_task6[142]/tbl_task6[[คะแนนเต็ม]:[คะแนนเต็ม]])*tbl_task6[[%]:[%]])</f>
        <v/>
      </c>
      <c r="LA10" s="121" t="str">
        <f>IF(ISBLANK(tbl_task6[[คะแนนเต็ม]:[คะแนนเต็ม]]),"",(tbl_task6[143]/tbl_task6[[คะแนนเต็ม]:[คะแนนเต็ม]])*tbl_task6[[%]:[%]])</f>
        <v/>
      </c>
      <c r="LB10" s="121" t="str">
        <f>IF(ISBLANK(tbl_task6[[คะแนนเต็ม]:[คะแนนเต็ม]]),"",(tbl_task6[144]/tbl_task6[[คะแนนเต็ม]:[คะแนนเต็ม]])*tbl_task6[[%]:[%]])</f>
        <v/>
      </c>
      <c r="LC10" s="121" t="str">
        <f>IF(ISBLANK(tbl_task6[[คะแนนเต็ม]:[คะแนนเต็ม]]),"",(tbl_task6[145]/tbl_task6[[คะแนนเต็ม]:[คะแนนเต็ม]])*tbl_task6[[%]:[%]])</f>
        <v/>
      </c>
      <c r="LD10" s="121" t="str">
        <f>IF(ISBLANK(tbl_task6[[คะแนนเต็ม]:[คะแนนเต็ม]]),"",(tbl_task6[146]/tbl_task6[[คะแนนเต็ม]:[คะแนนเต็ม]])*tbl_task6[[%]:[%]])</f>
        <v/>
      </c>
      <c r="LE10" s="121" t="str">
        <f>IF(ISBLANK(tbl_task6[[คะแนนเต็ม]:[คะแนนเต็ม]]),"",(tbl_task6[147]/tbl_task6[[คะแนนเต็ม]:[คะแนนเต็ม]])*tbl_task6[[%]:[%]])</f>
        <v/>
      </c>
      <c r="LF10" s="121" t="str">
        <f>IF(ISBLANK(tbl_task6[[คะแนนเต็ม]:[คะแนนเต็ม]]),"",(tbl_task6[148]/tbl_task6[[คะแนนเต็ม]:[คะแนนเต็ม]])*tbl_task6[[%]:[%]])</f>
        <v/>
      </c>
      <c r="LG10" s="121" t="str">
        <f>IF(ISBLANK(tbl_task6[[คะแนนเต็ม]:[คะแนนเต็ม]]),"",(tbl_task6[149]/tbl_task6[[คะแนนเต็ม]:[คะแนนเต็ม]])*tbl_task6[[%]:[%]])</f>
        <v/>
      </c>
      <c r="LH10" s="121" t="str">
        <f>IF(ISBLANK(tbl_task6[[คะแนนเต็ม]:[คะแนนเต็ม]]),"",(tbl_task6[150]/tbl_task6[[คะแนนเต็ม]:[คะแนนเต็ม]])*tbl_task6[[%]:[%]])</f>
        <v/>
      </c>
      <c r="LI10" s="121" t="str">
        <f>IF(ISBLANK(tbl_task6[[คะแนนเต็ม]:[คะแนนเต็ม]]),"",(tbl_task6[151]/tbl_task6[[คะแนนเต็ม]:[คะแนนเต็ม]])*tbl_task6[[%]:[%]])</f>
        <v/>
      </c>
      <c r="LJ10" s="121" t="str">
        <f>IF(ISBLANK(tbl_task6[[คะแนนเต็ม]:[คะแนนเต็ม]]),"",(tbl_task6[152]/tbl_task6[[คะแนนเต็ม]:[คะแนนเต็ม]])*tbl_task6[[%]:[%]])</f>
        <v/>
      </c>
      <c r="LK10" s="121" t="str">
        <f>IF(ISBLANK(tbl_task6[[คะแนนเต็ม]:[คะแนนเต็ม]]),"",(tbl_task6[153]/tbl_task6[[คะแนนเต็ม]:[คะแนนเต็ม]])*tbl_task6[[%]:[%]])</f>
        <v/>
      </c>
      <c r="LL10" s="121" t="str">
        <f>IF(ISBLANK(tbl_task6[[คะแนนเต็ม]:[คะแนนเต็ม]]),"",(tbl_task6[154]/tbl_task6[[คะแนนเต็ม]:[คะแนนเต็ม]])*tbl_task6[[%]:[%]])</f>
        <v/>
      </c>
      <c r="LM10" s="121" t="str">
        <f>IF(ISBLANK(tbl_task6[[คะแนนเต็ม]:[คะแนนเต็ม]]),"",(tbl_task6[155]/tbl_task6[[คะแนนเต็ม]:[คะแนนเต็ม]])*tbl_task6[[%]:[%]])</f>
        <v/>
      </c>
      <c r="LN10" s="121" t="str">
        <f>IF(ISBLANK(tbl_task6[[คะแนนเต็ม]:[คะแนนเต็ม]]),"",(tbl_task6[156]/tbl_task6[[คะแนนเต็ม]:[คะแนนเต็ม]])*tbl_task6[[%]:[%]])</f>
        <v/>
      </c>
      <c r="LO10" s="121" t="str">
        <f>IF(ISBLANK(tbl_task6[[คะแนนเต็ม]:[คะแนนเต็ม]]),"",(tbl_task6[157]/tbl_task6[[คะแนนเต็ม]:[คะแนนเต็ม]])*tbl_task6[[%]:[%]])</f>
        <v/>
      </c>
      <c r="LP10" s="121" t="str">
        <f>IF(ISBLANK(tbl_task6[[คะแนนเต็ม]:[คะแนนเต็ม]]),"",(tbl_task6[158]/tbl_task6[[คะแนนเต็ม]:[คะแนนเต็ม]])*tbl_task6[[%]:[%]])</f>
        <v/>
      </c>
      <c r="LQ10" s="121" t="str">
        <f>IF(ISBLANK(tbl_task6[[คะแนนเต็ม]:[คะแนนเต็ม]]),"",(tbl_task6[159]/tbl_task6[[คะแนนเต็ม]:[คะแนนเต็ม]])*tbl_task6[[%]:[%]])</f>
        <v/>
      </c>
      <c r="LR10" s="121" t="str">
        <f>IF(ISBLANK(tbl_task6[[คะแนนเต็ม]:[คะแนนเต็ม]]),"",(tbl_task6[160]/tbl_task6[[คะแนนเต็ม]:[คะแนนเต็ม]])*tbl_task6[[%]:[%]])</f>
        <v/>
      </c>
      <c r="LS10" s="121" t="str">
        <f>IF(ISBLANK(tbl_task6[[คะแนนเต็ม]:[คะแนนเต็ม]]),"",(tbl_task6[161]/tbl_task6[[คะแนนเต็ม]:[คะแนนเต็ม]])*tbl_task6[[%]:[%]])</f>
        <v/>
      </c>
      <c r="LT10" s="121" t="str">
        <f>IF(ISBLANK(tbl_task6[[คะแนนเต็ม]:[คะแนนเต็ม]]),"",(tbl_task6[162]/tbl_task6[[คะแนนเต็ม]:[คะแนนเต็ม]])*tbl_task6[[%]:[%]])</f>
        <v/>
      </c>
      <c r="LU10" s="121" t="str">
        <f>IF(ISBLANK(tbl_task6[[คะแนนเต็ม]:[คะแนนเต็ม]]),"",(tbl_task6[163]/tbl_task6[[คะแนนเต็ม]:[คะแนนเต็ม]])*tbl_task6[[%]:[%]])</f>
        <v/>
      </c>
      <c r="LV10" s="121" t="str">
        <f>IF(ISBLANK(tbl_task6[[คะแนนเต็ม]:[คะแนนเต็ม]]),"",(tbl_task6[164]/tbl_task6[[คะแนนเต็ม]:[คะแนนเต็ม]])*tbl_task6[[%]:[%]])</f>
        <v/>
      </c>
      <c r="LW10" s="121" t="str">
        <f>IF(ISBLANK(tbl_task6[[คะแนนเต็ม]:[คะแนนเต็ม]]),"",(tbl_task6[165]/tbl_task6[[คะแนนเต็ม]:[คะแนนเต็ม]])*tbl_task6[[%]:[%]])</f>
        <v/>
      </c>
    </row>
    <row r="11" spans="1:335" ht="24" customHeight="1" x14ac:dyDescent="0.25">
      <c r="A11" s="24">
        <v>8</v>
      </c>
      <c r="B11" s="20"/>
      <c r="C11" s="5" t="str">
        <f>IF(ISBLANK(B11),"",VLOOKUP(B11,tbl_PLOs[],2,0))</f>
        <v/>
      </c>
      <c r="D11" s="102"/>
      <c r="E11" s="106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22"/>
      <c r="FO11" s="121" t="str">
        <f>IF(ISBLANK(tbl_task6[[คะแนนเต็ม]:[คะแนนเต็ม]]),"",(tbl_task6[1]/tbl_task6[[คะแนนเต็ม]:[คะแนนเต็ม]])*tbl_task6[[%]:[%]])</f>
        <v/>
      </c>
      <c r="FP11" s="121" t="str">
        <f>IF(ISBLANK(tbl_task6[[คะแนนเต็ม]:[คะแนนเต็ม]]),"",(tbl_task6[2]/tbl_task6[[คะแนนเต็ม]:[คะแนนเต็ม]])*tbl_task6[[%]:[%]])</f>
        <v/>
      </c>
      <c r="FQ11" s="121" t="str">
        <f>IF(ISBLANK(tbl_task6[[คะแนนเต็ม]:[คะแนนเต็ม]]),"",(tbl_task6[3]/tbl_task6[[คะแนนเต็ม]:[คะแนนเต็ม]])*tbl_task6[[%]:[%]])</f>
        <v/>
      </c>
      <c r="FR11" s="121" t="str">
        <f>IF(ISBLANK(tbl_task6[[คะแนนเต็ม]:[คะแนนเต็ม]]),"",(tbl_task6[4]/tbl_task6[[คะแนนเต็ม]:[คะแนนเต็ม]])*tbl_task6[[%]:[%]])</f>
        <v/>
      </c>
      <c r="FS11" s="121" t="str">
        <f>IF(ISBLANK(tbl_task6[[คะแนนเต็ม]:[คะแนนเต็ม]]),"",(tbl_task6[5]/tbl_task6[[คะแนนเต็ม]:[คะแนนเต็ม]])*tbl_task6[[%]:[%]])</f>
        <v/>
      </c>
      <c r="FT11" s="121" t="str">
        <f>IF(ISBLANK(tbl_task6[[คะแนนเต็ม]:[คะแนนเต็ม]]),"",(tbl_task6[6]/tbl_task6[[คะแนนเต็ม]:[คะแนนเต็ม]])*tbl_task6[[%]:[%]])</f>
        <v/>
      </c>
      <c r="FU11" s="121" t="str">
        <f>IF(ISBLANK(tbl_task6[[คะแนนเต็ม]:[คะแนนเต็ม]]),"",(tbl_task6[7]/tbl_task6[[คะแนนเต็ม]:[คะแนนเต็ม]])*tbl_task6[[%]:[%]])</f>
        <v/>
      </c>
      <c r="FV11" s="121" t="str">
        <f>IF(ISBLANK(tbl_task6[[คะแนนเต็ม]:[คะแนนเต็ม]]),"",(tbl_task6[8]/tbl_task6[[คะแนนเต็ม]:[คะแนนเต็ม]])*tbl_task6[[%]:[%]])</f>
        <v/>
      </c>
      <c r="FW11" s="121" t="str">
        <f>IF(ISBLANK(tbl_task6[[คะแนนเต็ม]:[คะแนนเต็ม]]),"",(tbl_task6[9]/tbl_task6[[คะแนนเต็ม]:[คะแนนเต็ม]])*tbl_task6[[%]:[%]])</f>
        <v/>
      </c>
      <c r="FX11" s="121" t="str">
        <f>IF(ISBLANK(tbl_task6[[คะแนนเต็ม]:[คะแนนเต็ม]]),"",(tbl_task6[10]/tbl_task6[[คะแนนเต็ม]:[คะแนนเต็ม]])*tbl_task6[[%]:[%]])</f>
        <v/>
      </c>
      <c r="FY11" s="121" t="str">
        <f>IF(ISBLANK(tbl_task6[[คะแนนเต็ม]:[คะแนนเต็ม]]),"",(tbl_task6[11]/tbl_task6[[คะแนนเต็ม]:[คะแนนเต็ม]])*tbl_task6[[%]:[%]])</f>
        <v/>
      </c>
      <c r="FZ11" s="121" t="str">
        <f>IF(ISBLANK(tbl_task6[[คะแนนเต็ม]:[คะแนนเต็ม]]),"",(tbl_task6[12]/tbl_task6[[คะแนนเต็ม]:[คะแนนเต็ม]])*tbl_task6[[%]:[%]])</f>
        <v/>
      </c>
      <c r="GA11" s="121" t="str">
        <f>IF(ISBLANK(tbl_task6[[คะแนนเต็ม]:[คะแนนเต็ม]]),"",(tbl_task6[13]/tbl_task6[[คะแนนเต็ม]:[คะแนนเต็ม]])*tbl_task6[[%]:[%]])</f>
        <v/>
      </c>
      <c r="GB11" s="121" t="str">
        <f>IF(ISBLANK(tbl_task6[[คะแนนเต็ม]:[คะแนนเต็ม]]),"",(tbl_task6[14]/tbl_task6[[คะแนนเต็ม]:[คะแนนเต็ม]])*tbl_task6[[%]:[%]])</f>
        <v/>
      </c>
      <c r="GC11" s="121" t="str">
        <f>IF(ISBLANK(tbl_task6[[คะแนนเต็ม]:[คะแนนเต็ม]]),"",(tbl_task6[15]/tbl_task6[[คะแนนเต็ม]:[คะแนนเต็ม]])*tbl_task6[[%]:[%]])</f>
        <v/>
      </c>
      <c r="GD11" s="121" t="str">
        <f>IF(ISBLANK(tbl_task6[[คะแนนเต็ม]:[คะแนนเต็ม]]),"",(tbl_task6[16]/tbl_task6[[คะแนนเต็ม]:[คะแนนเต็ม]])*tbl_task6[[%]:[%]])</f>
        <v/>
      </c>
      <c r="GE11" s="121" t="str">
        <f>IF(ISBLANK(tbl_task6[[คะแนนเต็ม]:[คะแนนเต็ม]]),"",(tbl_task6[17]/tbl_task6[[คะแนนเต็ม]:[คะแนนเต็ม]])*tbl_task6[[%]:[%]])</f>
        <v/>
      </c>
      <c r="GF11" s="121" t="str">
        <f>IF(ISBLANK(tbl_task6[[คะแนนเต็ม]:[คะแนนเต็ม]]),"",(tbl_task6[18]/tbl_task6[[คะแนนเต็ม]:[คะแนนเต็ม]])*tbl_task6[[%]:[%]])</f>
        <v/>
      </c>
      <c r="GG11" s="121" t="str">
        <f>IF(ISBLANK(tbl_task6[[คะแนนเต็ม]:[คะแนนเต็ม]]),"",(tbl_task6[19]/tbl_task6[[คะแนนเต็ม]:[คะแนนเต็ม]])*tbl_task6[[%]:[%]])</f>
        <v/>
      </c>
      <c r="GH11" s="121" t="str">
        <f>IF(ISBLANK(tbl_task6[[คะแนนเต็ม]:[คะแนนเต็ม]]),"",(tbl_task6[20]/tbl_task6[[คะแนนเต็ม]:[คะแนนเต็ม]])*tbl_task6[[%]:[%]])</f>
        <v/>
      </c>
      <c r="GI11" s="121" t="str">
        <f>IF(ISBLANK(tbl_task6[[คะแนนเต็ม]:[คะแนนเต็ม]]),"",(tbl_task6[21]/tbl_task6[[คะแนนเต็ม]:[คะแนนเต็ม]])*tbl_task6[[%]:[%]])</f>
        <v/>
      </c>
      <c r="GJ11" s="121" t="str">
        <f>IF(ISBLANK(tbl_task6[[คะแนนเต็ม]:[คะแนนเต็ม]]),"",(tbl_task6[22]/tbl_task6[[คะแนนเต็ม]:[คะแนนเต็ม]])*tbl_task6[[%]:[%]])</f>
        <v/>
      </c>
      <c r="GK11" s="121" t="str">
        <f>IF(ISBLANK(tbl_task6[[คะแนนเต็ม]:[คะแนนเต็ม]]),"",(tbl_task6[23]/tbl_task6[[คะแนนเต็ม]:[คะแนนเต็ม]])*tbl_task6[[%]:[%]])</f>
        <v/>
      </c>
      <c r="GL11" s="121" t="str">
        <f>IF(ISBLANK(tbl_task6[[คะแนนเต็ม]:[คะแนนเต็ม]]),"",(tbl_task6[24]/tbl_task6[[คะแนนเต็ม]:[คะแนนเต็ม]])*tbl_task6[[%]:[%]])</f>
        <v/>
      </c>
      <c r="GM11" s="121" t="str">
        <f>IF(ISBLANK(tbl_task6[[คะแนนเต็ม]:[คะแนนเต็ม]]),"",(tbl_task6[25]/tbl_task6[[คะแนนเต็ม]:[คะแนนเต็ม]])*tbl_task6[[%]:[%]])</f>
        <v/>
      </c>
      <c r="GN11" s="121" t="str">
        <f>IF(ISBLANK(tbl_task6[[คะแนนเต็ม]:[คะแนนเต็ม]]),"",(tbl_task6[26]/tbl_task6[[คะแนนเต็ม]:[คะแนนเต็ม]])*tbl_task6[[%]:[%]])</f>
        <v/>
      </c>
      <c r="GO11" s="121" t="str">
        <f>IF(ISBLANK(tbl_task6[[คะแนนเต็ม]:[คะแนนเต็ม]]),"",(tbl_task6[27]/tbl_task6[[คะแนนเต็ม]:[คะแนนเต็ม]])*tbl_task6[[%]:[%]])</f>
        <v/>
      </c>
      <c r="GP11" s="121" t="str">
        <f>IF(ISBLANK(tbl_task6[[คะแนนเต็ม]:[คะแนนเต็ม]]),"",(tbl_task6[28]/tbl_task6[[คะแนนเต็ม]:[คะแนนเต็ม]])*tbl_task6[[%]:[%]])</f>
        <v/>
      </c>
      <c r="GQ11" s="121" t="str">
        <f>IF(ISBLANK(tbl_task6[[คะแนนเต็ม]:[คะแนนเต็ม]]),"",(tbl_task6[29]/tbl_task6[[คะแนนเต็ม]:[คะแนนเต็ม]])*tbl_task6[[%]:[%]])</f>
        <v/>
      </c>
      <c r="GR11" s="121" t="str">
        <f>IF(ISBLANK(tbl_task6[[คะแนนเต็ม]:[คะแนนเต็ม]]),"",(tbl_task6[30]/tbl_task6[[คะแนนเต็ม]:[คะแนนเต็ม]])*tbl_task6[[%]:[%]])</f>
        <v/>
      </c>
      <c r="GS11" s="121" t="str">
        <f>IF(ISBLANK(tbl_task6[[คะแนนเต็ม]:[คะแนนเต็ม]]),"",(tbl_task6[31]/tbl_task6[[คะแนนเต็ม]:[คะแนนเต็ม]])*tbl_task6[[%]:[%]])</f>
        <v/>
      </c>
      <c r="GT11" s="121" t="str">
        <f>IF(ISBLANK(tbl_task6[[คะแนนเต็ม]:[คะแนนเต็ม]]),"",(tbl_task6[32]/tbl_task6[[คะแนนเต็ม]:[คะแนนเต็ม]])*tbl_task6[[%]:[%]])</f>
        <v/>
      </c>
      <c r="GU11" s="121" t="str">
        <f>IF(ISBLANK(tbl_task6[[คะแนนเต็ม]:[คะแนนเต็ม]]),"",(tbl_task6[33]/tbl_task6[[คะแนนเต็ม]:[คะแนนเต็ม]])*tbl_task6[[%]:[%]])</f>
        <v/>
      </c>
      <c r="GV11" s="121" t="str">
        <f>IF(ISBLANK(tbl_task6[[คะแนนเต็ม]:[คะแนนเต็ม]]),"",(tbl_task6[34]/tbl_task6[[คะแนนเต็ม]:[คะแนนเต็ม]])*tbl_task6[[%]:[%]])</f>
        <v/>
      </c>
      <c r="GW11" s="121" t="str">
        <f>IF(ISBLANK(tbl_task6[[คะแนนเต็ม]:[คะแนนเต็ม]]),"",(tbl_task6[35]/tbl_task6[[คะแนนเต็ม]:[คะแนนเต็ม]])*tbl_task6[[%]:[%]])</f>
        <v/>
      </c>
      <c r="GX11" s="121" t="str">
        <f>IF(ISBLANK(tbl_task6[[คะแนนเต็ม]:[คะแนนเต็ม]]),"",(tbl_task6[36]/tbl_task6[[คะแนนเต็ม]:[คะแนนเต็ม]])*tbl_task6[[%]:[%]])</f>
        <v/>
      </c>
      <c r="GY11" s="121" t="str">
        <f>IF(ISBLANK(tbl_task6[[คะแนนเต็ม]:[คะแนนเต็ม]]),"",(tbl_task6[37]/tbl_task6[[คะแนนเต็ม]:[คะแนนเต็ม]])*tbl_task6[[%]:[%]])</f>
        <v/>
      </c>
      <c r="GZ11" s="121" t="str">
        <f>IF(ISBLANK(tbl_task6[[คะแนนเต็ม]:[คะแนนเต็ม]]),"",(tbl_task6[38]/tbl_task6[[คะแนนเต็ม]:[คะแนนเต็ม]])*tbl_task6[[%]:[%]])</f>
        <v/>
      </c>
      <c r="HA11" s="121" t="str">
        <f>IF(ISBLANK(tbl_task6[[คะแนนเต็ม]:[คะแนนเต็ม]]),"",(tbl_task6[39]/tbl_task6[[คะแนนเต็ม]:[คะแนนเต็ม]])*tbl_task6[[%]:[%]])</f>
        <v/>
      </c>
      <c r="HB11" s="121" t="str">
        <f>IF(ISBLANK(tbl_task6[[คะแนนเต็ม]:[คะแนนเต็ม]]),"",(tbl_task6[40]/tbl_task6[[คะแนนเต็ม]:[คะแนนเต็ม]])*tbl_task6[[%]:[%]])</f>
        <v/>
      </c>
      <c r="HC11" s="121" t="str">
        <f>IF(ISBLANK(tbl_task6[[คะแนนเต็ม]:[คะแนนเต็ม]]),"",(tbl_task6[41]/tbl_task6[[คะแนนเต็ม]:[คะแนนเต็ม]])*tbl_task6[[%]:[%]])</f>
        <v/>
      </c>
      <c r="HD11" s="121" t="str">
        <f>IF(ISBLANK(tbl_task6[[คะแนนเต็ม]:[คะแนนเต็ม]]),"",(tbl_task6[42]/tbl_task6[[คะแนนเต็ม]:[คะแนนเต็ม]])*tbl_task6[[%]:[%]])</f>
        <v/>
      </c>
      <c r="HE11" s="121" t="str">
        <f>IF(ISBLANK(tbl_task6[[คะแนนเต็ม]:[คะแนนเต็ม]]),"",(tbl_task6[43]/tbl_task6[[คะแนนเต็ม]:[คะแนนเต็ม]])*tbl_task6[[%]:[%]])</f>
        <v/>
      </c>
      <c r="HF11" s="121" t="str">
        <f>IF(ISBLANK(tbl_task6[[คะแนนเต็ม]:[คะแนนเต็ม]]),"",(tbl_task6[44]/tbl_task6[[คะแนนเต็ม]:[คะแนนเต็ม]])*tbl_task6[[%]:[%]])</f>
        <v/>
      </c>
      <c r="HG11" s="121" t="str">
        <f>IF(ISBLANK(tbl_task6[[คะแนนเต็ม]:[คะแนนเต็ม]]),"",(tbl_task6[45]/tbl_task6[[คะแนนเต็ม]:[คะแนนเต็ม]])*tbl_task6[[%]:[%]])</f>
        <v/>
      </c>
      <c r="HH11" s="121" t="str">
        <f>IF(ISBLANK(tbl_task6[[คะแนนเต็ม]:[คะแนนเต็ม]]),"",(tbl_task6[46]/tbl_task6[[คะแนนเต็ม]:[คะแนนเต็ม]])*tbl_task6[[%]:[%]])</f>
        <v/>
      </c>
      <c r="HI11" s="121" t="str">
        <f>IF(ISBLANK(tbl_task6[[คะแนนเต็ม]:[คะแนนเต็ม]]),"",(tbl_task6[47]/tbl_task6[[คะแนนเต็ม]:[คะแนนเต็ม]])*tbl_task6[[%]:[%]])</f>
        <v/>
      </c>
      <c r="HJ11" s="121" t="str">
        <f>IF(ISBLANK(tbl_task6[[คะแนนเต็ม]:[คะแนนเต็ม]]),"",(tbl_task6[48]/tbl_task6[[คะแนนเต็ม]:[คะแนนเต็ม]])*tbl_task6[[%]:[%]])</f>
        <v/>
      </c>
      <c r="HK11" s="121" t="str">
        <f>IF(ISBLANK(tbl_task6[[คะแนนเต็ม]:[คะแนนเต็ม]]),"",(tbl_task6[49]/tbl_task6[[คะแนนเต็ม]:[คะแนนเต็ม]])*tbl_task6[[%]:[%]])</f>
        <v/>
      </c>
      <c r="HL11" s="121" t="str">
        <f>IF(ISBLANK(tbl_task6[[คะแนนเต็ม]:[คะแนนเต็ม]]),"",(tbl_task6[50]/tbl_task6[[คะแนนเต็ม]:[คะแนนเต็ม]])*tbl_task6[[%]:[%]])</f>
        <v/>
      </c>
      <c r="HM11" s="121" t="str">
        <f>IF(ISBLANK(tbl_task6[[คะแนนเต็ม]:[คะแนนเต็ม]]),"",(tbl_task6[51]/tbl_task6[[คะแนนเต็ม]:[คะแนนเต็ม]])*tbl_task6[[%]:[%]])</f>
        <v/>
      </c>
      <c r="HN11" s="121" t="str">
        <f>IF(ISBLANK(tbl_task6[[คะแนนเต็ม]:[คะแนนเต็ม]]),"",(tbl_task6[52]/tbl_task6[[คะแนนเต็ม]:[คะแนนเต็ม]])*tbl_task6[[%]:[%]])</f>
        <v/>
      </c>
      <c r="HO11" s="121" t="str">
        <f>IF(ISBLANK(tbl_task6[[คะแนนเต็ม]:[คะแนนเต็ม]]),"",(tbl_task6[53]/tbl_task6[[คะแนนเต็ม]:[คะแนนเต็ม]])*tbl_task6[[%]:[%]])</f>
        <v/>
      </c>
      <c r="HP11" s="121" t="str">
        <f>IF(ISBLANK(tbl_task6[[คะแนนเต็ม]:[คะแนนเต็ม]]),"",(tbl_task6[54]/tbl_task6[[คะแนนเต็ม]:[คะแนนเต็ม]])*tbl_task6[[%]:[%]])</f>
        <v/>
      </c>
      <c r="HQ11" s="121" t="str">
        <f>IF(ISBLANK(tbl_task6[[คะแนนเต็ม]:[คะแนนเต็ม]]),"",(tbl_task6[55]/tbl_task6[[คะแนนเต็ม]:[คะแนนเต็ม]])*tbl_task6[[%]:[%]])</f>
        <v/>
      </c>
      <c r="HR11" s="121" t="str">
        <f>IF(ISBLANK(tbl_task6[[คะแนนเต็ม]:[คะแนนเต็ม]]),"",(tbl_task6[56]/tbl_task6[[คะแนนเต็ม]:[คะแนนเต็ม]])*tbl_task6[[%]:[%]])</f>
        <v/>
      </c>
      <c r="HS11" s="121" t="str">
        <f>IF(ISBLANK(tbl_task6[[คะแนนเต็ม]:[คะแนนเต็ม]]),"",(tbl_task6[57]/tbl_task6[[คะแนนเต็ม]:[คะแนนเต็ม]])*tbl_task6[[%]:[%]])</f>
        <v/>
      </c>
      <c r="HT11" s="121" t="str">
        <f>IF(ISBLANK(tbl_task6[[คะแนนเต็ม]:[คะแนนเต็ม]]),"",(tbl_task6[58]/tbl_task6[[คะแนนเต็ม]:[คะแนนเต็ม]])*tbl_task6[[%]:[%]])</f>
        <v/>
      </c>
      <c r="HU11" s="121" t="str">
        <f>IF(ISBLANK(tbl_task6[[คะแนนเต็ม]:[คะแนนเต็ม]]),"",(tbl_task6[59]/tbl_task6[[คะแนนเต็ม]:[คะแนนเต็ม]])*tbl_task6[[%]:[%]])</f>
        <v/>
      </c>
      <c r="HV11" s="121" t="str">
        <f>IF(ISBLANK(tbl_task6[[คะแนนเต็ม]:[คะแนนเต็ม]]),"",(tbl_task6[60]/tbl_task6[[คะแนนเต็ม]:[คะแนนเต็ม]])*tbl_task6[[%]:[%]])</f>
        <v/>
      </c>
      <c r="HW11" s="121" t="str">
        <f>IF(ISBLANK(tbl_task6[[คะแนนเต็ม]:[คะแนนเต็ม]]),"",(tbl_task6[61]/tbl_task6[[คะแนนเต็ม]:[คะแนนเต็ม]])*tbl_task6[[%]:[%]])</f>
        <v/>
      </c>
      <c r="HX11" s="121" t="str">
        <f>IF(ISBLANK(tbl_task6[[คะแนนเต็ม]:[คะแนนเต็ม]]),"",(tbl_task6[62]/tbl_task6[[คะแนนเต็ม]:[คะแนนเต็ม]])*tbl_task6[[%]:[%]])</f>
        <v/>
      </c>
      <c r="HY11" s="121" t="str">
        <f>IF(ISBLANK(tbl_task6[[คะแนนเต็ม]:[คะแนนเต็ม]]),"",(tbl_task6[63]/tbl_task6[[คะแนนเต็ม]:[คะแนนเต็ม]])*tbl_task6[[%]:[%]])</f>
        <v/>
      </c>
      <c r="HZ11" s="121" t="str">
        <f>IF(ISBLANK(tbl_task6[[คะแนนเต็ม]:[คะแนนเต็ม]]),"",(tbl_task6[64]/tbl_task6[[คะแนนเต็ม]:[คะแนนเต็ม]])*tbl_task6[[%]:[%]])</f>
        <v/>
      </c>
      <c r="IA11" s="121" t="str">
        <f>IF(ISBLANK(tbl_task6[[คะแนนเต็ม]:[คะแนนเต็ม]]),"",(tbl_task6[65]/tbl_task6[[คะแนนเต็ม]:[คะแนนเต็ม]])*tbl_task6[[%]:[%]])</f>
        <v/>
      </c>
      <c r="IB11" s="121" t="str">
        <f>IF(ISBLANK(tbl_task6[[คะแนนเต็ม]:[คะแนนเต็ม]]),"",(tbl_task6[66]/tbl_task6[[คะแนนเต็ม]:[คะแนนเต็ม]])*tbl_task6[[%]:[%]])</f>
        <v/>
      </c>
      <c r="IC11" s="121" t="str">
        <f>IF(ISBLANK(tbl_task6[[คะแนนเต็ม]:[คะแนนเต็ม]]),"",(tbl_task6[67]/tbl_task6[[คะแนนเต็ม]:[คะแนนเต็ม]])*tbl_task6[[%]:[%]])</f>
        <v/>
      </c>
      <c r="ID11" s="121" t="str">
        <f>IF(ISBLANK(tbl_task6[[คะแนนเต็ม]:[คะแนนเต็ม]]),"",(tbl_task6[68]/tbl_task6[[คะแนนเต็ม]:[คะแนนเต็ม]])*tbl_task6[[%]:[%]])</f>
        <v/>
      </c>
      <c r="IE11" s="121" t="str">
        <f>IF(ISBLANK(tbl_task6[[คะแนนเต็ม]:[คะแนนเต็ม]]),"",(tbl_task6[69]/tbl_task6[[คะแนนเต็ม]:[คะแนนเต็ม]])*tbl_task6[[%]:[%]])</f>
        <v/>
      </c>
      <c r="IF11" s="121" t="str">
        <f>IF(ISBLANK(tbl_task6[[คะแนนเต็ม]:[คะแนนเต็ม]]),"",(tbl_task6[70]/tbl_task6[[คะแนนเต็ม]:[คะแนนเต็ม]])*tbl_task6[[%]:[%]])</f>
        <v/>
      </c>
      <c r="IG11" s="121" t="str">
        <f>IF(ISBLANK(tbl_task6[[คะแนนเต็ม]:[คะแนนเต็ม]]),"",(tbl_task6[71]/tbl_task6[[คะแนนเต็ม]:[คะแนนเต็ม]])*tbl_task6[[%]:[%]])</f>
        <v/>
      </c>
      <c r="IH11" s="121" t="str">
        <f>IF(ISBLANK(tbl_task6[[คะแนนเต็ม]:[คะแนนเต็ม]]),"",(tbl_task6[72]/tbl_task6[[คะแนนเต็ม]:[คะแนนเต็ม]])*tbl_task6[[%]:[%]])</f>
        <v/>
      </c>
      <c r="II11" s="121" t="str">
        <f>IF(ISBLANK(tbl_task6[[คะแนนเต็ม]:[คะแนนเต็ม]]),"",(tbl_task6[73]/tbl_task6[[คะแนนเต็ม]:[คะแนนเต็ม]])*tbl_task6[[%]:[%]])</f>
        <v/>
      </c>
      <c r="IJ11" s="121" t="str">
        <f>IF(ISBLANK(tbl_task6[[คะแนนเต็ม]:[คะแนนเต็ม]]),"",(tbl_task6[74]/tbl_task6[[คะแนนเต็ม]:[คะแนนเต็ม]])*tbl_task6[[%]:[%]])</f>
        <v/>
      </c>
      <c r="IK11" s="121" t="str">
        <f>IF(ISBLANK(tbl_task6[[คะแนนเต็ม]:[คะแนนเต็ม]]),"",(tbl_task6[75]/tbl_task6[[คะแนนเต็ม]:[คะแนนเต็ม]])*tbl_task6[[%]:[%]])</f>
        <v/>
      </c>
      <c r="IL11" s="121" t="str">
        <f>IF(ISBLANK(tbl_task6[[คะแนนเต็ม]:[คะแนนเต็ม]]),"",(tbl_task6[76]/tbl_task6[[คะแนนเต็ม]:[คะแนนเต็ม]])*tbl_task6[[%]:[%]])</f>
        <v/>
      </c>
      <c r="IM11" s="121" t="str">
        <f>IF(ISBLANK(tbl_task6[[คะแนนเต็ม]:[คะแนนเต็ม]]),"",(tbl_task6[77]/tbl_task6[[คะแนนเต็ม]:[คะแนนเต็ม]])*tbl_task6[[%]:[%]])</f>
        <v/>
      </c>
      <c r="IN11" s="121" t="str">
        <f>IF(ISBLANK(tbl_task6[[คะแนนเต็ม]:[คะแนนเต็ม]]),"",(tbl_task6[78]/tbl_task6[[คะแนนเต็ม]:[คะแนนเต็ม]])*tbl_task6[[%]:[%]])</f>
        <v/>
      </c>
      <c r="IO11" s="121" t="str">
        <f>IF(ISBLANK(tbl_task6[[คะแนนเต็ม]:[คะแนนเต็ม]]),"",(tbl_task6[79]/tbl_task6[[คะแนนเต็ม]:[คะแนนเต็ม]])*tbl_task6[[%]:[%]])</f>
        <v/>
      </c>
      <c r="IP11" s="121" t="str">
        <f>IF(ISBLANK(tbl_task6[[คะแนนเต็ม]:[คะแนนเต็ม]]),"",(tbl_task6[80]/tbl_task6[[คะแนนเต็ม]:[คะแนนเต็ม]])*tbl_task6[[%]:[%]])</f>
        <v/>
      </c>
      <c r="IQ11" s="121" t="str">
        <f>IF(ISBLANK(tbl_task6[[คะแนนเต็ม]:[คะแนนเต็ม]]),"",(tbl_task6[81]/tbl_task6[[คะแนนเต็ม]:[คะแนนเต็ม]])*tbl_task6[[%]:[%]])</f>
        <v/>
      </c>
      <c r="IR11" s="121" t="str">
        <f>IF(ISBLANK(tbl_task6[[คะแนนเต็ม]:[คะแนนเต็ม]]),"",(tbl_task6[82]/tbl_task6[[คะแนนเต็ม]:[คะแนนเต็ม]])*tbl_task6[[%]:[%]])</f>
        <v/>
      </c>
      <c r="IS11" s="121" t="str">
        <f>IF(ISBLANK(tbl_task6[[คะแนนเต็ม]:[คะแนนเต็ม]]),"",(tbl_task6[83]/tbl_task6[[คะแนนเต็ม]:[คะแนนเต็ม]])*tbl_task6[[%]:[%]])</f>
        <v/>
      </c>
      <c r="IT11" s="121" t="str">
        <f>IF(ISBLANK(tbl_task6[[คะแนนเต็ม]:[คะแนนเต็ม]]),"",(tbl_task6[84]/tbl_task6[[คะแนนเต็ม]:[คะแนนเต็ม]])*tbl_task6[[%]:[%]])</f>
        <v/>
      </c>
      <c r="IU11" s="121" t="str">
        <f>IF(ISBLANK(tbl_task6[[คะแนนเต็ม]:[คะแนนเต็ม]]),"",(tbl_task6[85]/tbl_task6[[คะแนนเต็ม]:[คะแนนเต็ม]])*tbl_task6[[%]:[%]])</f>
        <v/>
      </c>
      <c r="IV11" s="121" t="str">
        <f>IF(ISBLANK(tbl_task6[[คะแนนเต็ม]:[คะแนนเต็ม]]),"",(tbl_task6[86]/tbl_task6[[คะแนนเต็ม]:[คะแนนเต็ม]])*tbl_task6[[%]:[%]])</f>
        <v/>
      </c>
      <c r="IW11" s="121" t="str">
        <f>IF(ISBLANK(tbl_task6[[คะแนนเต็ม]:[คะแนนเต็ม]]),"",(tbl_task6[87]/tbl_task6[[คะแนนเต็ม]:[คะแนนเต็ม]])*tbl_task6[[%]:[%]])</f>
        <v/>
      </c>
      <c r="IX11" s="121" t="str">
        <f>IF(ISBLANK(tbl_task6[[คะแนนเต็ม]:[คะแนนเต็ม]]),"",(tbl_task6[88]/tbl_task6[[คะแนนเต็ม]:[คะแนนเต็ม]])*tbl_task6[[%]:[%]])</f>
        <v/>
      </c>
      <c r="IY11" s="121" t="str">
        <f>IF(ISBLANK(tbl_task6[[คะแนนเต็ม]:[คะแนนเต็ม]]),"",(tbl_task6[89]/tbl_task6[[คะแนนเต็ม]:[คะแนนเต็ม]])*tbl_task6[[%]:[%]])</f>
        <v/>
      </c>
      <c r="IZ11" s="121" t="str">
        <f>IF(ISBLANK(tbl_task6[[คะแนนเต็ม]:[คะแนนเต็ม]]),"",(tbl_task6[90]/tbl_task6[[คะแนนเต็ม]:[คะแนนเต็ม]])*tbl_task6[[%]:[%]])</f>
        <v/>
      </c>
      <c r="JA11" s="121" t="str">
        <f>IF(ISBLANK(tbl_task6[[คะแนนเต็ม]:[คะแนนเต็ม]]),"",(tbl_task6[91]/tbl_task6[[คะแนนเต็ม]:[คะแนนเต็ม]])*tbl_task6[[%]:[%]])</f>
        <v/>
      </c>
      <c r="JB11" s="121" t="str">
        <f>IF(ISBLANK(tbl_task6[[คะแนนเต็ม]:[คะแนนเต็ม]]),"",(tbl_task6[92]/tbl_task6[[คะแนนเต็ม]:[คะแนนเต็ม]])*tbl_task6[[%]:[%]])</f>
        <v/>
      </c>
      <c r="JC11" s="121" t="str">
        <f>IF(ISBLANK(tbl_task6[[คะแนนเต็ม]:[คะแนนเต็ม]]),"",(tbl_task6[93]/tbl_task6[[คะแนนเต็ม]:[คะแนนเต็ม]])*tbl_task6[[%]:[%]])</f>
        <v/>
      </c>
      <c r="JD11" s="121" t="str">
        <f>IF(ISBLANK(tbl_task6[[คะแนนเต็ม]:[คะแนนเต็ม]]),"",(tbl_task6[94]/tbl_task6[[คะแนนเต็ม]:[คะแนนเต็ม]])*tbl_task6[[%]:[%]])</f>
        <v/>
      </c>
      <c r="JE11" s="121" t="str">
        <f>IF(ISBLANK(tbl_task6[[คะแนนเต็ม]:[คะแนนเต็ม]]),"",(tbl_task6[95]/tbl_task6[[คะแนนเต็ม]:[คะแนนเต็ม]])*tbl_task6[[%]:[%]])</f>
        <v/>
      </c>
      <c r="JF11" s="121" t="str">
        <f>IF(ISBLANK(tbl_task6[[คะแนนเต็ม]:[คะแนนเต็ม]]),"",(tbl_task6[96]/tbl_task6[[คะแนนเต็ม]:[คะแนนเต็ม]])*tbl_task6[[%]:[%]])</f>
        <v/>
      </c>
      <c r="JG11" s="121" t="str">
        <f>IF(ISBLANK(tbl_task6[[คะแนนเต็ม]:[คะแนนเต็ม]]),"",(tbl_task6[97]/tbl_task6[[คะแนนเต็ม]:[คะแนนเต็ม]])*tbl_task6[[%]:[%]])</f>
        <v/>
      </c>
      <c r="JH11" s="121" t="str">
        <f>IF(ISBLANK(tbl_task6[[คะแนนเต็ม]:[คะแนนเต็ม]]),"",(tbl_task6[98]/tbl_task6[[คะแนนเต็ม]:[คะแนนเต็ม]])*tbl_task6[[%]:[%]])</f>
        <v/>
      </c>
      <c r="JI11" s="121" t="str">
        <f>IF(ISBLANK(tbl_task6[[คะแนนเต็ม]:[คะแนนเต็ม]]),"",(tbl_task6[99]/tbl_task6[[คะแนนเต็ม]:[คะแนนเต็ม]])*tbl_task6[[%]:[%]])</f>
        <v/>
      </c>
      <c r="JJ11" s="121" t="str">
        <f>IF(ISBLANK(tbl_task6[[คะแนนเต็ม]:[คะแนนเต็ม]]),"",(tbl_task6[100]/tbl_task6[[คะแนนเต็ม]:[คะแนนเต็ม]])*tbl_task6[[%]:[%]])</f>
        <v/>
      </c>
      <c r="JK11" s="121" t="str">
        <f>IF(ISBLANK(tbl_task6[[คะแนนเต็ม]:[คะแนนเต็ม]]),"",(tbl_task6[101]/tbl_task6[[คะแนนเต็ม]:[คะแนนเต็ม]])*tbl_task6[[%]:[%]])</f>
        <v/>
      </c>
      <c r="JL11" s="121" t="str">
        <f>IF(ISBLANK(tbl_task6[[คะแนนเต็ม]:[คะแนนเต็ม]]),"",(tbl_task6[102]/tbl_task6[[คะแนนเต็ม]:[คะแนนเต็ม]])*tbl_task6[[%]:[%]])</f>
        <v/>
      </c>
      <c r="JM11" s="121" t="str">
        <f>IF(ISBLANK(tbl_task6[[คะแนนเต็ม]:[คะแนนเต็ม]]),"",(tbl_task6[103]/tbl_task6[[คะแนนเต็ม]:[คะแนนเต็ม]])*tbl_task6[[%]:[%]])</f>
        <v/>
      </c>
      <c r="JN11" s="121" t="str">
        <f>IF(ISBLANK(tbl_task6[[คะแนนเต็ม]:[คะแนนเต็ม]]),"",(tbl_task6[104]/tbl_task6[[คะแนนเต็ม]:[คะแนนเต็ม]])*tbl_task6[[%]:[%]])</f>
        <v/>
      </c>
      <c r="JO11" s="121" t="str">
        <f>IF(ISBLANK(tbl_task6[[คะแนนเต็ม]:[คะแนนเต็ม]]),"",(tbl_task6[105]/tbl_task6[[คะแนนเต็ม]:[คะแนนเต็ม]])*tbl_task6[[%]:[%]])</f>
        <v/>
      </c>
      <c r="JP11" s="121" t="str">
        <f>IF(ISBLANK(tbl_task6[[คะแนนเต็ม]:[คะแนนเต็ม]]),"",(tbl_task6[106]/tbl_task6[[คะแนนเต็ม]:[คะแนนเต็ม]])*tbl_task6[[%]:[%]])</f>
        <v/>
      </c>
      <c r="JQ11" s="121" t="str">
        <f>IF(ISBLANK(tbl_task6[[คะแนนเต็ม]:[คะแนนเต็ม]]),"",(tbl_task6[107]/tbl_task6[[คะแนนเต็ม]:[คะแนนเต็ม]])*tbl_task6[[%]:[%]])</f>
        <v/>
      </c>
      <c r="JR11" s="121" t="str">
        <f>IF(ISBLANK(tbl_task6[[คะแนนเต็ม]:[คะแนนเต็ม]]),"",(tbl_task6[108]/tbl_task6[[คะแนนเต็ม]:[คะแนนเต็ม]])*tbl_task6[[%]:[%]])</f>
        <v/>
      </c>
      <c r="JS11" s="121" t="str">
        <f>IF(ISBLANK(tbl_task6[[คะแนนเต็ม]:[คะแนนเต็ม]]),"",(tbl_task6[109]/tbl_task6[[คะแนนเต็ม]:[คะแนนเต็ม]])*tbl_task6[[%]:[%]])</f>
        <v/>
      </c>
      <c r="JT11" s="121" t="str">
        <f>IF(ISBLANK(tbl_task6[[คะแนนเต็ม]:[คะแนนเต็ม]]),"",(tbl_task6[110]/tbl_task6[[คะแนนเต็ม]:[คะแนนเต็ม]])*tbl_task6[[%]:[%]])</f>
        <v/>
      </c>
      <c r="JU11" s="121" t="str">
        <f>IF(ISBLANK(tbl_task6[[คะแนนเต็ม]:[คะแนนเต็ม]]),"",(tbl_task6[111]/tbl_task6[[คะแนนเต็ม]:[คะแนนเต็ม]])*tbl_task6[[%]:[%]])</f>
        <v/>
      </c>
      <c r="JV11" s="121" t="str">
        <f>IF(ISBLANK(tbl_task6[[คะแนนเต็ม]:[คะแนนเต็ม]]),"",(tbl_task6[112]/tbl_task6[[คะแนนเต็ม]:[คะแนนเต็ม]])*tbl_task6[[%]:[%]])</f>
        <v/>
      </c>
      <c r="JW11" s="121" t="str">
        <f>IF(ISBLANK(tbl_task6[[คะแนนเต็ม]:[คะแนนเต็ม]]),"",(tbl_task6[113]/tbl_task6[[คะแนนเต็ม]:[คะแนนเต็ม]])*tbl_task6[[%]:[%]])</f>
        <v/>
      </c>
      <c r="JX11" s="121" t="str">
        <f>IF(ISBLANK(tbl_task6[[คะแนนเต็ม]:[คะแนนเต็ม]]),"",(tbl_task6[114]/tbl_task6[[คะแนนเต็ม]:[คะแนนเต็ม]])*tbl_task6[[%]:[%]])</f>
        <v/>
      </c>
      <c r="JY11" s="121" t="str">
        <f>IF(ISBLANK(tbl_task6[[คะแนนเต็ม]:[คะแนนเต็ม]]),"",(tbl_task6[115]/tbl_task6[[คะแนนเต็ม]:[คะแนนเต็ม]])*tbl_task6[[%]:[%]])</f>
        <v/>
      </c>
      <c r="JZ11" s="121" t="str">
        <f>IF(ISBLANK(tbl_task6[[คะแนนเต็ม]:[คะแนนเต็ม]]),"",(tbl_task6[116]/tbl_task6[[คะแนนเต็ม]:[คะแนนเต็ม]])*tbl_task6[[%]:[%]])</f>
        <v/>
      </c>
      <c r="KA11" s="121" t="str">
        <f>IF(ISBLANK(tbl_task6[[คะแนนเต็ม]:[คะแนนเต็ม]]),"",(tbl_task6[117]/tbl_task6[[คะแนนเต็ม]:[คะแนนเต็ม]])*tbl_task6[[%]:[%]])</f>
        <v/>
      </c>
      <c r="KB11" s="121" t="str">
        <f>IF(ISBLANK(tbl_task6[[คะแนนเต็ม]:[คะแนนเต็ม]]),"",(tbl_task6[118]/tbl_task6[[คะแนนเต็ม]:[คะแนนเต็ม]])*tbl_task6[[%]:[%]])</f>
        <v/>
      </c>
      <c r="KC11" s="121" t="str">
        <f>IF(ISBLANK(tbl_task6[[คะแนนเต็ม]:[คะแนนเต็ม]]),"",(tbl_task6[119]/tbl_task6[[คะแนนเต็ม]:[คะแนนเต็ม]])*tbl_task6[[%]:[%]])</f>
        <v/>
      </c>
      <c r="KD11" s="121" t="str">
        <f>IF(ISBLANK(tbl_task6[[คะแนนเต็ม]:[คะแนนเต็ม]]),"",(tbl_task6[120]/tbl_task6[[คะแนนเต็ม]:[คะแนนเต็ม]])*tbl_task6[[%]:[%]])</f>
        <v/>
      </c>
      <c r="KE11" s="121" t="str">
        <f>IF(ISBLANK(tbl_task6[[คะแนนเต็ม]:[คะแนนเต็ม]]),"",(tbl_task6[121]/tbl_task6[[คะแนนเต็ม]:[คะแนนเต็ม]])*tbl_task6[[%]:[%]])</f>
        <v/>
      </c>
      <c r="KF11" s="121" t="str">
        <f>IF(ISBLANK(tbl_task6[[คะแนนเต็ม]:[คะแนนเต็ม]]),"",(tbl_task6[122]/tbl_task6[[คะแนนเต็ม]:[คะแนนเต็ม]])*tbl_task6[[%]:[%]])</f>
        <v/>
      </c>
      <c r="KG11" s="121" t="str">
        <f>IF(ISBLANK(tbl_task6[[คะแนนเต็ม]:[คะแนนเต็ม]]),"",(tbl_task6[123]/tbl_task6[[คะแนนเต็ม]:[คะแนนเต็ม]])*tbl_task6[[%]:[%]])</f>
        <v/>
      </c>
      <c r="KH11" s="121" t="str">
        <f>IF(ISBLANK(tbl_task6[[คะแนนเต็ม]:[คะแนนเต็ม]]),"",(tbl_task6[124]/tbl_task6[[คะแนนเต็ม]:[คะแนนเต็ม]])*tbl_task6[[%]:[%]])</f>
        <v/>
      </c>
      <c r="KI11" s="121" t="str">
        <f>IF(ISBLANK(tbl_task6[[คะแนนเต็ม]:[คะแนนเต็ม]]),"",(tbl_task6[125]/tbl_task6[[คะแนนเต็ม]:[คะแนนเต็ม]])*tbl_task6[[%]:[%]])</f>
        <v/>
      </c>
      <c r="KJ11" s="121" t="str">
        <f>IF(ISBLANK(tbl_task6[[คะแนนเต็ม]:[คะแนนเต็ม]]),"",(tbl_task6[126]/tbl_task6[[คะแนนเต็ม]:[คะแนนเต็ม]])*tbl_task6[[%]:[%]])</f>
        <v/>
      </c>
      <c r="KK11" s="121" t="str">
        <f>IF(ISBLANK(tbl_task6[[คะแนนเต็ม]:[คะแนนเต็ม]]),"",(tbl_task6[127]/tbl_task6[[คะแนนเต็ม]:[คะแนนเต็ม]])*tbl_task6[[%]:[%]])</f>
        <v/>
      </c>
      <c r="KL11" s="121" t="str">
        <f>IF(ISBLANK(tbl_task6[[คะแนนเต็ม]:[คะแนนเต็ม]]),"",(tbl_task6[128]/tbl_task6[[คะแนนเต็ม]:[คะแนนเต็ม]])*tbl_task6[[%]:[%]])</f>
        <v/>
      </c>
      <c r="KM11" s="121" t="str">
        <f>IF(ISBLANK(tbl_task6[[คะแนนเต็ม]:[คะแนนเต็ม]]),"",(tbl_task6[129]/tbl_task6[[คะแนนเต็ม]:[คะแนนเต็ม]])*tbl_task6[[%]:[%]])</f>
        <v/>
      </c>
      <c r="KN11" s="121" t="str">
        <f>IF(ISBLANK(tbl_task6[[คะแนนเต็ม]:[คะแนนเต็ม]]),"",(tbl_task6[130]/tbl_task6[[คะแนนเต็ม]:[คะแนนเต็ม]])*tbl_task6[[%]:[%]])</f>
        <v/>
      </c>
      <c r="KO11" s="121" t="str">
        <f>IF(ISBLANK(tbl_task6[[คะแนนเต็ม]:[คะแนนเต็ม]]),"",(tbl_task6[131]/tbl_task6[[คะแนนเต็ม]:[คะแนนเต็ม]])*tbl_task6[[%]:[%]])</f>
        <v/>
      </c>
      <c r="KP11" s="121" t="str">
        <f>IF(ISBLANK(tbl_task6[[คะแนนเต็ม]:[คะแนนเต็ม]]),"",(tbl_task6[132]/tbl_task6[[คะแนนเต็ม]:[คะแนนเต็ม]])*tbl_task6[[%]:[%]])</f>
        <v/>
      </c>
      <c r="KQ11" s="121" t="str">
        <f>IF(ISBLANK(tbl_task6[[คะแนนเต็ม]:[คะแนนเต็ม]]),"",(tbl_task6[133]/tbl_task6[[คะแนนเต็ม]:[คะแนนเต็ม]])*tbl_task6[[%]:[%]])</f>
        <v/>
      </c>
      <c r="KR11" s="121" t="str">
        <f>IF(ISBLANK(tbl_task6[[คะแนนเต็ม]:[คะแนนเต็ม]]),"",(tbl_task6[134]/tbl_task6[[คะแนนเต็ม]:[คะแนนเต็ม]])*tbl_task6[[%]:[%]])</f>
        <v/>
      </c>
      <c r="KS11" s="121" t="str">
        <f>IF(ISBLANK(tbl_task6[[คะแนนเต็ม]:[คะแนนเต็ม]]),"",(tbl_task6[135]/tbl_task6[[คะแนนเต็ม]:[คะแนนเต็ม]])*tbl_task6[[%]:[%]])</f>
        <v/>
      </c>
      <c r="KT11" s="121" t="str">
        <f>IF(ISBLANK(tbl_task6[[คะแนนเต็ม]:[คะแนนเต็ม]]),"",(tbl_task6[136]/tbl_task6[[คะแนนเต็ม]:[คะแนนเต็ม]])*tbl_task6[[%]:[%]])</f>
        <v/>
      </c>
      <c r="KU11" s="121" t="str">
        <f>IF(ISBLANK(tbl_task6[[คะแนนเต็ม]:[คะแนนเต็ม]]),"",(tbl_task6[137]/tbl_task6[[คะแนนเต็ม]:[คะแนนเต็ม]])*tbl_task6[[%]:[%]])</f>
        <v/>
      </c>
      <c r="KV11" s="121" t="str">
        <f>IF(ISBLANK(tbl_task6[[คะแนนเต็ม]:[คะแนนเต็ม]]),"",(tbl_task6[138]/tbl_task6[[คะแนนเต็ม]:[คะแนนเต็ม]])*tbl_task6[[%]:[%]])</f>
        <v/>
      </c>
      <c r="KW11" s="121" t="str">
        <f>IF(ISBLANK(tbl_task6[[คะแนนเต็ม]:[คะแนนเต็ม]]),"",(tbl_task6[139]/tbl_task6[[คะแนนเต็ม]:[คะแนนเต็ม]])*tbl_task6[[%]:[%]])</f>
        <v/>
      </c>
      <c r="KX11" s="121" t="str">
        <f>IF(ISBLANK(tbl_task6[[คะแนนเต็ม]:[คะแนนเต็ม]]),"",(tbl_task6[140]/tbl_task6[[คะแนนเต็ม]:[คะแนนเต็ม]])*tbl_task6[[%]:[%]])</f>
        <v/>
      </c>
      <c r="KY11" s="121" t="str">
        <f>IF(ISBLANK(tbl_task6[[คะแนนเต็ม]:[คะแนนเต็ม]]),"",(tbl_task6[141]/tbl_task6[[คะแนนเต็ม]:[คะแนนเต็ม]])*tbl_task6[[%]:[%]])</f>
        <v/>
      </c>
      <c r="KZ11" s="121" t="str">
        <f>IF(ISBLANK(tbl_task6[[คะแนนเต็ม]:[คะแนนเต็ม]]),"",(tbl_task6[142]/tbl_task6[[คะแนนเต็ม]:[คะแนนเต็ม]])*tbl_task6[[%]:[%]])</f>
        <v/>
      </c>
      <c r="LA11" s="121" t="str">
        <f>IF(ISBLANK(tbl_task6[[คะแนนเต็ม]:[คะแนนเต็ม]]),"",(tbl_task6[143]/tbl_task6[[คะแนนเต็ม]:[คะแนนเต็ม]])*tbl_task6[[%]:[%]])</f>
        <v/>
      </c>
      <c r="LB11" s="121" t="str">
        <f>IF(ISBLANK(tbl_task6[[คะแนนเต็ม]:[คะแนนเต็ม]]),"",(tbl_task6[144]/tbl_task6[[คะแนนเต็ม]:[คะแนนเต็ม]])*tbl_task6[[%]:[%]])</f>
        <v/>
      </c>
      <c r="LC11" s="121" t="str">
        <f>IF(ISBLANK(tbl_task6[[คะแนนเต็ม]:[คะแนนเต็ม]]),"",(tbl_task6[145]/tbl_task6[[คะแนนเต็ม]:[คะแนนเต็ม]])*tbl_task6[[%]:[%]])</f>
        <v/>
      </c>
      <c r="LD11" s="121" t="str">
        <f>IF(ISBLANK(tbl_task6[[คะแนนเต็ม]:[คะแนนเต็ม]]),"",(tbl_task6[146]/tbl_task6[[คะแนนเต็ม]:[คะแนนเต็ม]])*tbl_task6[[%]:[%]])</f>
        <v/>
      </c>
      <c r="LE11" s="121" t="str">
        <f>IF(ISBLANK(tbl_task6[[คะแนนเต็ม]:[คะแนนเต็ม]]),"",(tbl_task6[147]/tbl_task6[[คะแนนเต็ม]:[คะแนนเต็ม]])*tbl_task6[[%]:[%]])</f>
        <v/>
      </c>
      <c r="LF11" s="121" t="str">
        <f>IF(ISBLANK(tbl_task6[[คะแนนเต็ม]:[คะแนนเต็ม]]),"",(tbl_task6[148]/tbl_task6[[คะแนนเต็ม]:[คะแนนเต็ม]])*tbl_task6[[%]:[%]])</f>
        <v/>
      </c>
      <c r="LG11" s="121" t="str">
        <f>IF(ISBLANK(tbl_task6[[คะแนนเต็ม]:[คะแนนเต็ม]]),"",(tbl_task6[149]/tbl_task6[[คะแนนเต็ม]:[คะแนนเต็ม]])*tbl_task6[[%]:[%]])</f>
        <v/>
      </c>
      <c r="LH11" s="121" t="str">
        <f>IF(ISBLANK(tbl_task6[[คะแนนเต็ม]:[คะแนนเต็ม]]),"",(tbl_task6[150]/tbl_task6[[คะแนนเต็ม]:[คะแนนเต็ม]])*tbl_task6[[%]:[%]])</f>
        <v/>
      </c>
      <c r="LI11" s="121" t="str">
        <f>IF(ISBLANK(tbl_task6[[คะแนนเต็ม]:[คะแนนเต็ม]]),"",(tbl_task6[151]/tbl_task6[[คะแนนเต็ม]:[คะแนนเต็ม]])*tbl_task6[[%]:[%]])</f>
        <v/>
      </c>
      <c r="LJ11" s="121" t="str">
        <f>IF(ISBLANK(tbl_task6[[คะแนนเต็ม]:[คะแนนเต็ม]]),"",(tbl_task6[152]/tbl_task6[[คะแนนเต็ม]:[คะแนนเต็ม]])*tbl_task6[[%]:[%]])</f>
        <v/>
      </c>
      <c r="LK11" s="121" t="str">
        <f>IF(ISBLANK(tbl_task6[[คะแนนเต็ม]:[คะแนนเต็ม]]),"",(tbl_task6[153]/tbl_task6[[คะแนนเต็ม]:[คะแนนเต็ม]])*tbl_task6[[%]:[%]])</f>
        <v/>
      </c>
      <c r="LL11" s="121" t="str">
        <f>IF(ISBLANK(tbl_task6[[คะแนนเต็ม]:[คะแนนเต็ม]]),"",(tbl_task6[154]/tbl_task6[[คะแนนเต็ม]:[คะแนนเต็ม]])*tbl_task6[[%]:[%]])</f>
        <v/>
      </c>
      <c r="LM11" s="121" t="str">
        <f>IF(ISBLANK(tbl_task6[[คะแนนเต็ม]:[คะแนนเต็ม]]),"",(tbl_task6[155]/tbl_task6[[คะแนนเต็ม]:[คะแนนเต็ม]])*tbl_task6[[%]:[%]])</f>
        <v/>
      </c>
      <c r="LN11" s="121" t="str">
        <f>IF(ISBLANK(tbl_task6[[คะแนนเต็ม]:[คะแนนเต็ม]]),"",(tbl_task6[156]/tbl_task6[[คะแนนเต็ม]:[คะแนนเต็ม]])*tbl_task6[[%]:[%]])</f>
        <v/>
      </c>
      <c r="LO11" s="121" t="str">
        <f>IF(ISBLANK(tbl_task6[[คะแนนเต็ม]:[คะแนนเต็ม]]),"",(tbl_task6[157]/tbl_task6[[คะแนนเต็ม]:[คะแนนเต็ม]])*tbl_task6[[%]:[%]])</f>
        <v/>
      </c>
      <c r="LP11" s="121" t="str">
        <f>IF(ISBLANK(tbl_task6[[คะแนนเต็ม]:[คะแนนเต็ม]]),"",(tbl_task6[158]/tbl_task6[[คะแนนเต็ม]:[คะแนนเต็ม]])*tbl_task6[[%]:[%]])</f>
        <v/>
      </c>
      <c r="LQ11" s="121" t="str">
        <f>IF(ISBLANK(tbl_task6[[คะแนนเต็ม]:[คะแนนเต็ม]]),"",(tbl_task6[159]/tbl_task6[[คะแนนเต็ม]:[คะแนนเต็ม]])*tbl_task6[[%]:[%]])</f>
        <v/>
      </c>
      <c r="LR11" s="121" t="str">
        <f>IF(ISBLANK(tbl_task6[[คะแนนเต็ม]:[คะแนนเต็ม]]),"",(tbl_task6[160]/tbl_task6[[คะแนนเต็ม]:[คะแนนเต็ม]])*tbl_task6[[%]:[%]])</f>
        <v/>
      </c>
      <c r="LS11" s="121" t="str">
        <f>IF(ISBLANK(tbl_task6[[คะแนนเต็ม]:[คะแนนเต็ม]]),"",(tbl_task6[161]/tbl_task6[[คะแนนเต็ม]:[คะแนนเต็ม]])*tbl_task6[[%]:[%]])</f>
        <v/>
      </c>
      <c r="LT11" s="121" t="str">
        <f>IF(ISBLANK(tbl_task6[[คะแนนเต็ม]:[คะแนนเต็ม]]),"",(tbl_task6[162]/tbl_task6[[คะแนนเต็ม]:[คะแนนเต็ม]])*tbl_task6[[%]:[%]])</f>
        <v/>
      </c>
      <c r="LU11" s="121" t="str">
        <f>IF(ISBLANK(tbl_task6[[คะแนนเต็ม]:[คะแนนเต็ม]]),"",(tbl_task6[163]/tbl_task6[[คะแนนเต็ม]:[คะแนนเต็ม]])*tbl_task6[[%]:[%]])</f>
        <v/>
      </c>
      <c r="LV11" s="121" t="str">
        <f>IF(ISBLANK(tbl_task6[[คะแนนเต็ม]:[คะแนนเต็ม]]),"",(tbl_task6[164]/tbl_task6[[คะแนนเต็ม]:[คะแนนเต็ม]])*tbl_task6[[%]:[%]])</f>
        <v/>
      </c>
      <c r="LW11" s="121" t="str">
        <f>IF(ISBLANK(tbl_task6[[คะแนนเต็ม]:[คะแนนเต็ม]]),"",(tbl_task6[165]/tbl_task6[[คะแนนเต็ม]:[คะแนนเต็ม]])*tbl_task6[[%]:[%]])</f>
        <v/>
      </c>
    </row>
    <row r="12" spans="1:335" ht="24" customHeight="1" x14ac:dyDescent="0.25">
      <c r="A12" s="24">
        <v>9</v>
      </c>
      <c r="B12" s="20"/>
      <c r="C12" s="5" t="str">
        <f>IF(ISBLANK(B12),"",VLOOKUP(B12,tbl_PLOs[],2,0))</f>
        <v/>
      </c>
      <c r="D12" s="102"/>
      <c r="E12" s="106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22"/>
      <c r="FO12" s="121" t="str">
        <f>IF(ISBLANK(tbl_task6[[คะแนนเต็ม]:[คะแนนเต็ม]]),"",(tbl_task6[1]/tbl_task6[[คะแนนเต็ม]:[คะแนนเต็ม]])*tbl_task6[[%]:[%]])</f>
        <v/>
      </c>
      <c r="FP12" s="121" t="str">
        <f>IF(ISBLANK(tbl_task6[[คะแนนเต็ม]:[คะแนนเต็ม]]),"",(tbl_task6[2]/tbl_task6[[คะแนนเต็ม]:[คะแนนเต็ม]])*tbl_task6[[%]:[%]])</f>
        <v/>
      </c>
      <c r="FQ12" s="121" t="str">
        <f>IF(ISBLANK(tbl_task6[[คะแนนเต็ม]:[คะแนนเต็ม]]),"",(tbl_task6[3]/tbl_task6[[คะแนนเต็ม]:[คะแนนเต็ม]])*tbl_task6[[%]:[%]])</f>
        <v/>
      </c>
      <c r="FR12" s="121" t="str">
        <f>IF(ISBLANK(tbl_task6[[คะแนนเต็ม]:[คะแนนเต็ม]]),"",(tbl_task6[4]/tbl_task6[[คะแนนเต็ม]:[คะแนนเต็ม]])*tbl_task6[[%]:[%]])</f>
        <v/>
      </c>
      <c r="FS12" s="121" t="str">
        <f>IF(ISBLANK(tbl_task6[[คะแนนเต็ม]:[คะแนนเต็ม]]),"",(tbl_task6[5]/tbl_task6[[คะแนนเต็ม]:[คะแนนเต็ม]])*tbl_task6[[%]:[%]])</f>
        <v/>
      </c>
      <c r="FT12" s="121" t="str">
        <f>IF(ISBLANK(tbl_task6[[คะแนนเต็ม]:[คะแนนเต็ม]]),"",(tbl_task6[6]/tbl_task6[[คะแนนเต็ม]:[คะแนนเต็ม]])*tbl_task6[[%]:[%]])</f>
        <v/>
      </c>
      <c r="FU12" s="121" t="str">
        <f>IF(ISBLANK(tbl_task6[[คะแนนเต็ม]:[คะแนนเต็ม]]),"",(tbl_task6[7]/tbl_task6[[คะแนนเต็ม]:[คะแนนเต็ม]])*tbl_task6[[%]:[%]])</f>
        <v/>
      </c>
      <c r="FV12" s="121" t="str">
        <f>IF(ISBLANK(tbl_task6[[คะแนนเต็ม]:[คะแนนเต็ม]]),"",(tbl_task6[8]/tbl_task6[[คะแนนเต็ม]:[คะแนนเต็ม]])*tbl_task6[[%]:[%]])</f>
        <v/>
      </c>
      <c r="FW12" s="121" t="str">
        <f>IF(ISBLANK(tbl_task6[[คะแนนเต็ม]:[คะแนนเต็ม]]),"",(tbl_task6[9]/tbl_task6[[คะแนนเต็ม]:[คะแนนเต็ม]])*tbl_task6[[%]:[%]])</f>
        <v/>
      </c>
      <c r="FX12" s="121" t="str">
        <f>IF(ISBLANK(tbl_task6[[คะแนนเต็ม]:[คะแนนเต็ม]]),"",(tbl_task6[10]/tbl_task6[[คะแนนเต็ม]:[คะแนนเต็ม]])*tbl_task6[[%]:[%]])</f>
        <v/>
      </c>
      <c r="FY12" s="121" t="str">
        <f>IF(ISBLANK(tbl_task6[[คะแนนเต็ม]:[คะแนนเต็ม]]),"",(tbl_task6[11]/tbl_task6[[คะแนนเต็ม]:[คะแนนเต็ม]])*tbl_task6[[%]:[%]])</f>
        <v/>
      </c>
      <c r="FZ12" s="121" t="str">
        <f>IF(ISBLANK(tbl_task6[[คะแนนเต็ม]:[คะแนนเต็ม]]),"",(tbl_task6[12]/tbl_task6[[คะแนนเต็ม]:[คะแนนเต็ม]])*tbl_task6[[%]:[%]])</f>
        <v/>
      </c>
      <c r="GA12" s="121" t="str">
        <f>IF(ISBLANK(tbl_task6[[คะแนนเต็ม]:[คะแนนเต็ม]]),"",(tbl_task6[13]/tbl_task6[[คะแนนเต็ม]:[คะแนนเต็ม]])*tbl_task6[[%]:[%]])</f>
        <v/>
      </c>
      <c r="GB12" s="121" t="str">
        <f>IF(ISBLANK(tbl_task6[[คะแนนเต็ม]:[คะแนนเต็ม]]),"",(tbl_task6[14]/tbl_task6[[คะแนนเต็ม]:[คะแนนเต็ม]])*tbl_task6[[%]:[%]])</f>
        <v/>
      </c>
      <c r="GC12" s="121" t="str">
        <f>IF(ISBLANK(tbl_task6[[คะแนนเต็ม]:[คะแนนเต็ม]]),"",(tbl_task6[15]/tbl_task6[[คะแนนเต็ม]:[คะแนนเต็ม]])*tbl_task6[[%]:[%]])</f>
        <v/>
      </c>
      <c r="GD12" s="121" t="str">
        <f>IF(ISBLANK(tbl_task6[[คะแนนเต็ม]:[คะแนนเต็ม]]),"",(tbl_task6[16]/tbl_task6[[คะแนนเต็ม]:[คะแนนเต็ม]])*tbl_task6[[%]:[%]])</f>
        <v/>
      </c>
      <c r="GE12" s="121" t="str">
        <f>IF(ISBLANK(tbl_task6[[คะแนนเต็ม]:[คะแนนเต็ม]]),"",(tbl_task6[17]/tbl_task6[[คะแนนเต็ม]:[คะแนนเต็ม]])*tbl_task6[[%]:[%]])</f>
        <v/>
      </c>
      <c r="GF12" s="121" t="str">
        <f>IF(ISBLANK(tbl_task6[[คะแนนเต็ม]:[คะแนนเต็ม]]),"",(tbl_task6[18]/tbl_task6[[คะแนนเต็ม]:[คะแนนเต็ม]])*tbl_task6[[%]:[%]])</f>
        <v/>
      </c>
      <c r="GG12" s="121" t="str">
        <f>IF(ISBLANK(tbl_task6[[คะแนนเต็ม]:[คะแนนเต็ม]]),"",(tbl_task6[19]/tbl_task6[[คะแนนเต็ม]:[คะแนนเต็ม]])*tbl_task6[[%]:[%]])</f>
        <v/>
      </c>
      <c r="GH12" s="121" t="str">
        <f>IF(ISBLANK(tbl_task6[[คะแนนเต็ม]:[คะแนนเต็ม]]),"",(tbl_task6[20]/tbl_task6[[คะแนนเต็ม]:[คะแนนเต็ม]])*tbl_task6[[%]:[%]])</f>
        <v/>
      </c>
      <c r="GI12" s="121" t="str">
        <f>IF(ISBLANK(tbl_task6[[คะแนนเต็ม]:[คะแนนเต็ม]]),"",(tbl_task6[21]/tbl_task6[[คะแนนเต็ม]:[คะแนนเต็ม]])*tbl_task6[[%]:[%]])</f>
        <v/>
      </c>
      <c r="GJ12" s="121" t="str">
        <f>IF(ISBLANK(tbl_task6[[คะแนนเต็ม]:[คะแนนเต็ม]]),"",(tbl_task6[22]/tbl_task6[[คะแนนเต็ม]:[คะแนนเต็ม]])*tbl_task6[[%]:[%]])</f>
        <v/>
      </c>
      <c r="GK12" s="121" t="str">
        <f>IF(ISBLANK(tbl_task6[[คะแนนเต็ม]:[คะแนนเต็ม]]),"",(tbl_task6[23]/tbl_task6[[คะแนนเต็ม]:[คะแนนเต็ม]])*tbl_task6[[%]:[%]])</f>
        <v/>
      </c>
      <c r="GL12" s="121" t="str">
        <f>IF(ISBLANK(tbl_task6[[คะแนนเต็ม]:[คะแนนเต็ม]]),"",(tbl_task6[24]/tbl_task6[[คะแนนเต็ม]:[คะแนนเต็ม]])*tbl_task6[[%]:[%]])</f>
        <v/>
      </c>
      <c r="GM12" s="121" t="str">
        <f>IF(ISBLANK(tbl_task6[[คะแนนเต็ม]:[คะแนนเต็ม]]),"",(tbl_task6[25]/tbl_task6[[คะแนนเต็ม]:[คะแนนเต็ม]])*tbl_task6[[%]:[%]])</f>
        <v/>
      </c>
      <c r="GN12" s="121" t="str">
        <f>IF(ISBLANK(tbl_task6[[คะแนนเต็ม]:[คะแนนเต็ม]]),"",(tbl_task6[26]/tbl_task6[[คะแนนเต็ม]:[คะแนนเต็ม]])*tbl_task6[[%]:[%]])</f>
        <v/>
      </c>
      <c r="GO12" s="121" t="str">
        <f>IF(ISBLANK(tbl_task6[[คะแนนเต็ม]:[คะแนนเต็ม]]),"",(tbl_task6[27]/tbl_task6[[คะแนนเต็ม]:[คะแนนเต็ม]])*tbl_task6[[%]:[%]])</f>
        <v/>
      </c>
      <c r="GP12" s="121" t="str">
        <f>IF(ISBLANK(tbl_task6[[คะแนนเต็ม]:[คะแนนเต็ม]]),"",(tbl_task6[28]/tbl_task6[[คะแนนเต็ม]:[คะแนนเต็ม]])*tbl_task6[[%]:[%]])</f>
        <v/>
      </c>
      <c r="GQ12" s="121" t="str">
        <f>IF(ISBLANK(tbl_task6[[คะแนนเต็ม]:[คะแนนเต็ม]]),"",(tbl_task6[29]/tbl_task6[[คะแนนเต็ม]:[คะแนนเต็ม]])*tbl_task6[[%]:[%]])</f>
        <v/>
      </c>
      <c r="GR12" s="121" t="str">
        <f>IF(ISBLANK(tbl_task6[[คะแนนเต็ม]:[คะแนนเต็ม]]),"",(tbl_task6[30]/tbl_task6[[คะแนนเต็ม]:[คะแนนเต็ม]])*tbl_task6[[%]:[%]])</f>
        <v/>
      </c>
      <c r="GS12" s="121" t="str">
        <f>IF(ISBLANK(tbl_task6[[คะแนนเต็ม]:[คะแนนเต็ม]]),"",(tbl_task6[31]/tbl_task6[[คะแนนเต็ม]:[คะแนนเต็ม]])*tbl_task6[[%]:[%]])</f>
        <v/>
      </c>
      <c r="GT12" s="121" t="str">
        <f>IF(ISBLANK(tbl_task6[[คะแนนเต็ม]:[คะแนนเต็ม]]),"",(tbl_task6[32]/tbl_task6[[คะแนนเต็ม]:[คะแนนเต็ม]])*tbl_task6[[%]:[%]])</f>
        <v/>
      </c>
      <c r="GU12" s="121" t="str">
        <f>IF(ISBLANK(tbl_task6[[คะแนนเต็ม]:[คะแนนเต็ม]]),"",(tbl_task6[33]/tbl_task6[[คะแนนเต็ม]:[คะแนนเต็ม]])*tbl_task6[[%]:[%]])</f>
        <v/>
      </c>
      <c r="GV12" s="121" t="str">
        <f>IF(ISBLANK(tbl_task6[[คะแนนเต็ม]:[คะแนนเต็ม]]),"",(tbl_task6[34]/tbl_task6[[คะแนนเต็ม]:[คะแนนเต็ม]])*tbl_task6[[%]:[%]])</f>
        <v/>
      </c>
      <c r="GW12" s="121" t="str">
        <f>IF(ISBLANK(tbl_task6[[คะแนนเต็ม]:[คะแนนเต็ม]]),"",(tbl_task6[35]/tbl_task6[[คะแนนเต็ม]:[คะแนนเต็ม]])*tbl_task6[[%]:[%]])</f>
        <v/>
      </c>
      <c r="GX12" s="121" t="str">
        <f>IF(ISBLANK(tbl_task6[[คะแนนเต็ม]:[คะแนนเต็ม]]),"",(tbl_task6[36]/tbl_task6[[คะแนนเต็ม]:[คะแนนเต็ม]])*tbl_task6[[%]:[%]])</f>
        <v/>
      </c>
      <c r="GY12" s="121" t="str">
        <f>IF(ISBLANK(tbl_task6[[คะแนนเต็ม]:[คะแนนเต็ม]]),"",(tbl_task6[37]/tbl_task6[[คะแนนเต็ม]:[คะแนนเต็ม]])*tbl_task6[[%]:[%]])</f>
        <v/>
      </c>
      <c r="GZ12" s="121" t="str">
        <f>IF(ISBLANK(tbl_task6[[คะแนนเต็ม]:[คะแนนเต็ม]]),"",(tbl_task6[38]/tbl_task6[[คะแนนเต็ม]:[คะแนนเต็ม]])*tbl_task6[[%]:[%]])</f>
        <v/>
      </c>
      <c r="HA12" s="121" t="str">
        <f>IF(ISBLANK(tbl_task6[[คะแนนเต็ม]:[คะแนนเต็ม]]),"",(tbl_task6[39]/tbl_task6[[คะแนนเต็ม]:[คะแนนเต็ม]])*tbl_task6[[%]:[%]])</f>
        <v/>
      </c>
      <c r="HB12" s="121" t="str">
        <f>IF(ISBLANK(tbl_task6[[คะแนนเต็ม]:[คะแนนเต็ม]]),"",(tbl_task6[40]/tbl_task6[[คะแนนเต็ม]:[คะแนนเต็ม]])*tbl_task6[[%]:[%]])</f>
        <v/>
      </c>
      <c r="HC12" s="121" t="str">
        <f>IF(ISBLANK(tbl_task6[[คะแนนเต็ม]:[คะแนนเต็ม]]),"",(tbl_task6[41]/tbl_task6[[คะแนนเต็ม]:[คะแนนเต็ม]])*tbl_task6[[%]:[%]])</f>
        <v/>
      </c>
      <c r="HD12" s="121" t="str">
        <f>IF(ISBLANK(tbl_task6[[คะแนนเต็ม]:[คะแนนเต็ม]]),"",(tbl_task6[42]/tbl_task6[[คะแนนเต็ม]:[คะแนนเต็ม]])*tbl_task6[[%]:[%]])</f>
        <v/>
      </c>
      <c r="HE12" s="121" t="str">
        <f>IF(ISBLANK(tbl_task6[[คะแนนเต็ม]:[คะแนนเต็ม]]),"",(tbl_task6[43]/tbl_task6[[คะแนนเต็ม]:[คะแนนเต็ม]])*tbl_task6[[%]:[%]])</f>
        <v/>
      </c>
      <c r="HF12" s="121" t="str">
        <f>IF(ISBLANK(tbl_task6[[คะแนนเต็ม]:[คะแนนเต็ม]]),"",(tbl_task6[44]/tbl_task6[[คะแนนเต็ม]:[คะแนนเต็ม]])*tbl_task6[[%]:[%]])</f>
        <v/>
      </c>
      <c r="HG12" s="121" t="str">
        <f>IF(ISBLANK(tbl_task6[[คะแนนเต็ม]:[คะแนนเต็ม]]),"",(tbl_task6[45]/tbl_task6[[คะแนนเต็ม]:[คะแนนเต็ม]])*tbl_task6[[%]:[%]])</f>
        <v/>
      </c>
      <c r="HH12" s="121" t="str">
        <f>IF(ISBLANK(tbl_task6[[คะแนนเต็ม]:[คะแนนเต็ม]]),"",(tbl_task6[46]/tbl_task6[[คะแนนเต็ม]:[คะแนนเต็ม]])*tbl_task6[[%]:[%]])</f>
        <v/>
      </c>
      <c r="HI12" s="121" t="str">
        <f>IF(ISBLANK(tbl_task6[[คะแนนเต็ม]:[คะแนนเต็ม]]),"",(tbl_task6[47]/tbl_task6[[คะแนนเต็ม]:[คะแนนเต็ม]])*tbl_task6[[%]:[%]])</f>
        <v/>
      </c>
      <c r="HJ12" s="121" t="str">
        <f>IF(ISBLANK(tbl_task6[[คะแนนเต็ม]:[คะแนนเต็ม]]),"",(tbl_task6[48]/tbl_task6[[คะแนนเต็ม]:[คะแนนเต็ม]])*tbl_task6[[%]:[%]])</f>
        <v/>
      </c>
      <c r="HK12" s="121" t="str">
        <f>IF(ISBLANK(tbl_task6[[คะแนนเต็ม]:[คะแนนเต็ม]]),"",(tbl_task6[49]/tbl_task6[[คะแนนเต็ม]:[คะแนนเต็ม]])*tbl_task6[[%]:[%]])</f>
        <v/>
      </c>
      <c r="HL12" s="121" t="str">
        <f>IF(ISBLANK(tbl_task6[[คะแนนเต็ม]:[คะแนนเต็ม]]),"",(tbl_task6[50]/tbl_task6[[คะแนนเต็ม]:[คะแนนเต็ม]])*tbl_task6[[%]:[%]])</f>
        <v/>
      </c>
      <c r="HM12" s="121" t="str">
        <f>IF(ISBLANK(tbl_task6[[คะแนนเต็ม]:[คะแนนเต็ม]]),"",(tbl_task6[51]/tbl_task6[[คะแนนเต็ม]:[คะแนนเต็ม]])*tbl_task6[[%]:[%]])</f>
        <v/>
      </c>
      <c r="HN12" s="121" t="str">
        <f>IF(ISBLANK(tbl_task6[[คะแนนเต็ม]:[คะแนนเต็ม]]),"",(tbl_task6[52]/tbl_task6[[คะแนนเต็ม]:[คะแนนเต็ม]])*tbl_task6[[%]:[%]])</f>
        <v/>
      </c>
      <c r="HO12" s="121" t="str">
        <f>IF(ISBLANK(tbl_task6[[คะแนนเต็ม]:[คะแนนเต็ม]]),"",(tbl_task6[53]/tbl_task6[[คะแนนเต็ม]:[คะแนนเต็ม]])*tbl_task6[[%]:[%]])</f>
        <v/>
      </c>
      <c r="HP12" s="121" t="str">
        <f>IF(ISBLANK(tbl_task6[[คะแนนเต็ม]:[คะแนนเต็ม]]),"",(tbl_task6[54]/tbl_task6[[คะแนนเต็ม]:[คะแนนเต็ม]])*tbl_task6[[%]:[%]])</f>
        <v/>
      </c>
      <c r="HQ12" s="121" t="str">
        <f>IF(ISBLANK(tbl_task6[[คะแนนเต็ม]:[คะแนนเต็ม]]),"",(tbl_task6[55]/tbl_task6[[คะแนนเต็ม]:[คะแนนเต็ม]])*tbl_task6[[%]:[%]])</f>
        <v/>
      </c>
      <c r="HR12" s="121" t="str">
        <f>IF(ISBLANK(tbl_task6[[คะแนนเต็ม]:[คะแนนเต็ม]]),"",(tbl_task6[56]/tbl_task6[[คะแนนเต็ม]:[คะแนนเต็ม]])*tbl_task6[[%]:[%]])</f>
        <v/>
      </c>
      <c r="HS12" s="121" t="str">
        <f>IF(ISBLANK(tbl_task6[[คะแนนเต็ม]:[คะแนนเต็ม]]),"",(tbl_task6[57]/tbl_task6[[คะแนนเต็ม]:[คะแนนเต็ม]])*tbl_task6[[%]:[%]])</f>
        <v/>
      </c>
      <c r="HT12" s="121" t="str">
        <f>IF(ISBLANK(tbl_task6[[คะแนนเต็ม]:[คะแนนเต็ม]]),"",(tbl_task6[58]/tbl_task6[[คะแนนเต็ม]:[คะแนนเต็ม]])*tbl_task6[[%]:[%]])</f>
        <v/>
      </c>
      <c r="HU12" s="121" t="str">
        <f>IF(ISBLANK(tbl_task6[[คะแนนเต็ม]:[คะแนนเต็ม]]),"",(tbl_task6[59]/tbl_task6[[คะแนนเต็ม]:[คะแนนเต็ม]])*tbl_task6[[%]:[%]])</f>
        <v/>
      </c>
      <c r="HV12" s="121" t="str">
        <f>IF(ISBLANK(tbl_task6[[คะแนนเต็ม]:[คะแนนเต็ม]]),"",(tbl_task6[60]/tbl_task6[[คะแนนเต็ม]:[คะแนนเต็ม]])*tbl_task6[[%]:[%]])</f>
        <v/>
      </c>
      <c r="HW12" s="121" t="str">
        <f>IF(ISBLANK(tbl_task6[[คะแนนเต็ม]:[คะแนนเต็ม]]),"",(tbl_task6[61]/tbl_task6[[คะแนนเต็ม]:[คะแนนเต็ม]])*tbl_task6[[%]:[%]])</f>
        <v/>
      </c>
      <c r="HX12" s="121" t="str">
        <f>IF(ISBLANK(tbl_task6[[คะแนนเต็ม]:[คะแนนเต็ม]]),"",(tbl_task6[62]/tbl_task6[[คะแนนเต็ม]:[คะแนนเต็ม]])*tbl_task6[[%]:[%]])</f>
        <v/>
      </c>
      <c r="HY12" s="121" t="str">
        <f>IF(ISBLANK(tbl_task6[[คะแนนเต็ม]:[คะแนนเต็ม]]),"",(tbl_task6[63]/tbl_task6[[คะแนนเต็ม]:[คะแนนเต็ม]])*tbl_task6[[%]:[%]])</f>
        <v/>
      </c>
      <c r="HZ12" s="121" t="str">
        <f>IF(ISBLANK(tbl_task6[[คะแนนเต็ม]:[คะแนนเต็ม]]),"",(tbl_task6[64]/tbl_task6[[คะแนนเต็ม]:[คะแนนเต็ม]])*tbl_task6[[%]:[%]])</f>
        <v/>
      </c>
      <c r="IA12" s="121" t="str">
        <f>IF(ISBLANK(tbl_task6[[คะแนนเต็ม]:[คะแนนเต็ม]]),"",(tbl_task6[65]/tbl_task6[[คะแนนเต็ม]:[คะแนนเต็ม]])*tbl_task6[[%]:[%]])</f>
        <v/>
      </c>
      <c r="IB12" s="121" t="str">
        <f>IF(ISBLANK(tbl_task6[[คะแนนเต็ม]:[คะแนนเต็ม]]),"",(tbl_task6[66]/tbl_task6[[คะแนนเต็ม]:[คะแนนเต็ม]])*tbl_task6[[%]:[%]])</f>
        <v/>
      </c>
      <c r="IC12" s="121" t="str">
        <f>IF(ISBLANK(tbl_task6[[คะแนนเต็ม]:[คะแนนเต็ม]]),"",(tbl_task6[67]/tbl_task6[[คะแนนเต็ม]:[คะแนนเต็ม]])*tbl_task6[[%]:[%]])</f>
        <v/>
      </c>
      <c r="ID12" s="121" t="str">
        <f>IF(ISBLANK(tbl_task6[[คะแนนเต็ม]:[คะแนนเต็ม]]),"",(tbl_task6[68]/tbl_task6[[คะแนนเต็ม]:[คะแนนเต็ม]])*tbl_task6[[%]:[%]])</f>
        <v/>
      </c>
      <c r="IE12" s="121" t="str">
        <f>IF(ISBLANK(tbl_task6[[คะแนนเต็ม]:[คะแนนเต็ม]]),"",(tbl_task6[69]/tbl_task6[[คะแนนเต็ม]:[คะแนนเต็ม]])*tbl_task6[[%]:[%]])</f>
        <v/>
      </c>
      <c r="IF12" s="121" t="str">
        <f>IF(ISBLANK(tbl_task6[[คะแนนเต็ม]:[คะแนนเต็ม]]),"",(tbl_task6[70]/tbl_task6[[คะแนนเต็ม]:[คะแนนเต็ม]])*tbl_task6[[%]:[%]])</f>
        <v/>
      </c>
      <c r="IG12" s="121" t="str">
        <f>IF(ISBLANK(tbl_task6[[คะแนนเต็ม]:[คะแนนเต็ม]]),"",(tbl_task6[71]/tbl_task6[[คะแนนเต็ม]:[คะแนนเต็ม]])*tbl_task6[[%]:[%]])</f>
        <v/>
      </c>
      <c r="IH12" s="121" t="str">
        <f>IF(ISBLANK(tbl_task6[[คะแนนเต็ม]:[คะแนนเต็ม]]),"",(tbl_task6[72]/tbl_task6[[คะแนนเต็ม]:[คะแนนเต็ม]])*tbl_task6[[%]:[%]])</f>
        <v/>
      </c>
      <c r="II12" s="121" t="str">
        <f>IF(ISBLANK(tbl_task6[[คะแนนเต็ม]:[คะแนนเต็ม]]),"",(tbl_task6[73]/tbl_task6[[คะแนนเต็ม]:[คะแนนเต็ม]])*tbl_task6[[%]:[%]])</f>
        <v/>
      </c>
      <c r="IJ12" s="121" t="str">
        <f>IF(ISBLANK(tbl_task6[[คะแนนเต็ม]:[คะแนนเต็ม]]),"",(tbl_task6[74]/tbl_task6[[คะแนนเต็ม]:[คะแนนเต็ม]])*tbl_task6[[%]:[%]])</f>
        <v/>
      </c>
      <c r="IK12" s="121" t="str">
        <f>IF(ISBLANK(tbl_task6[[คะแนนเต็ม]:[คะแนนเต็ม]]),"",(tbl_task6[75]/tbl_task6[[คะแนนเต็ม]:[คะแนนเต็ม]])*tbl_task6[[%]:[%]])</f>
        <v/>
      </c>
      <c r="IL12" s="121" t="str">
        <f>IF(ISBLANK(tbl_task6[[คะแนนเต็ม]:[คะแนนเต็ม]]),"",(tbl_task6[76]/tbl_task6[[คะแนนเต็ม]:[คะแนนเต็ม]])*tbl_task6[[%]:[%]])</f>
        <v/>
      </c>
      <c r="IM12" s="121" t="str">
        <f>IF(ISBLANK(tbl_task6[[คะแนนเต็ม]:[คะแนนเต็ม]]),"",(tbl_task6[77]/tbl_task6[[คะแนนเต็ม]:[คะแนนเต็ม]])*tbl_task6[[%]:[%]])</f>
        <v/>
      </c>
      <c r="IN12" s="121" t="str">
        <f>IF(ISBLANK(tbl_task6[[คะแนนเต็ม]:[คะแนนเต็ม]]),"",(tbl_task6[78]/tbl_task6[[คะแนนเต็ม]:[คะแนนเต็ม]])*tbl_task6[[%]:[%]])</f>
        <v/>
      </c>
      <c r="IO12" s="121" t="str">
        <f>IF(ISBLANK(tbl_task6[[คะแนนเต็ม]:[คะแนนเต็ม]]),"",(tbl_task6[79]/tbl_task6[[คะแนนเต็ม]:[คะแนนเต็ม]])*tbl_task6[[%]:[%]])</f>
        <v/>
      </c>
      <c r="IP12" s="121" t="str">
        <f>IF(ISBLANK(tbl_task6[[คะแนนเต็ม]:[คะแนนเต็ม]]),"",(tbl_task6[80]/tbl_task6[[คะแนนเต็ม]:[คะแนนเต็ม]])*tbl_task6[[%]:[%]])</f>
        <v/>
      </c>
      <c r="IQ12" s="121" t="str">
        <f>IF(ISBLANK(tbl_task6[[คะแนนเต็ม]:[คะแนนเต็ม]]),"",(tbl_task6[81]/tbl_task6[[คะแนนเต็ม]:[คะแนนเต็ม]])*tbl_task6[[%]:[%]])</f>
        <v/>
      </c>
      <c r="IR12" s="121" t="str">
        <f>IF(ISBLANK(tbl_task6[[คะแนนเต็ม]:[คะแนนเต็ม]]),"",(tbl_task6[82]/tbl_task6[[คะแนนเต็ม]:[คะแนนเต็ม]])*tbl_task6[[%]:[%]])</f>
        <v/>
      </c>
      <c r="IS12" s="121" t="str">
        <f>IF(ISBLANK(tbl_task6[[คะแนนเต็ม]:[คะแนนเต็ม]]),"",(tbl_task6[83]/tbl_task6[[คะแนนเต็ม]:[คะแนนเต็ม]])*tbl_task6[[%]:[%]])</f>
        <v/>
      </c>
      <c r="IT12" s="121" t="str">
        <f>IF(ISBLANK(tbl_task6[[คะแนนเต็ม]:[คะแนนเต็ม]]),"",(tbl_task6[84]/tbl_task6[[คะแนนเต็ม]:[คะแนนเต็ม]])*tbl_task6[[%]:[%]])</f>
        <v/>
      </c>
      <c r="IU12" s="121" t="str">
        <f>IF(ISBLANK(tbl_task6[[คะแนนเต็ม]:[คะแนนเต็ม]]),"",(tbl_task6[85]/tbl_task6[[คะแนนเต็ม]:[คะแนนเต็ม]])*tbl_task6[[%]:[%]])</f>
        <v/>
      </c>
      <c r="IV12" s="121" t="str">
        <f>IF(ISBLANK(tbl_task6[[คะแนนเต็ม]:[คะแนนเต็ม]]),"",(tbl_task6[86]/tbl_task6[[คะแนนเต็ม]:[คะแนนเต็ม]])*tbl_task6[[%]:[%]])</f>
        <v/>
      </c>
      <c r="IW12" s="121" t="str">
        <f>IF(ISBLANK(tbl_task6[[คะแนนเต็ม]:[คะแนนเต็ม]]),"",(tbl_task6[87]/tbl_task6[[คะแนนเต็ม]:[คะแนนเต็ม]])*tbl_task6[[%]:[%]])</f>
        <v/>
      </c>
      <c r="IX12" s="121" t="str">
        <f>IF(ISBLANK(tbl_task6[[คะแนนเต็ม]:[คะแนนเต็ม]]),"",(tbl_task6[88]/tbl_task6[[คะแนนเต็ม]:[คะแนนเต็ม]])*tbl_task6[[%]:[%]])</f>
        <v/>
      </c>
      <c r="IY12" s="121" t="str">
        <f>IF(ISBLANK(tbl_task6[[คะแนนเต็ม]:[คะแนนเต็ม]]),"",(tbl_task6[89]/tbl_task6[[คะแนนเต็ม]:[คะแนนเต็ม]])*tbl_task6[[%]:[%]])</f>
        <v/>
      </c>
      <c r="IZ12" s="121" t="str">
        <f>IF(ISBLANK(tbl_task6[[คะแนนเต็ม]:[คะแนนเต็ม]]),"",(tbl_task6[90]/tbl_task6[[คะแนนเต็ม]:[คะแนนเต็ม]])*tbl_task6[[%]:[%]])</f>
        <v/>
      </c>
      <c r="JA12" s="121" t="str">
        <f>IF(ISBLANK(tbl_task6[[คะแนนเต็ม]:[คะแนนเต็ม]]),"",(tbl_task6[91]/tbl_task6[[คะแนนเต็ม]:[คะแนนเต็ม]])*tbl_task6[[%]:[%]])</f>
        <v/>
      </c>
      <c r="JB12" s="121" t="str">
        <f>IF(ISBLANK(tbl_task6[[คะแนนเต็ม]:[คะแนนเต็ม]]),"",(tbl_task6[92]/tbl_task6[[คะแนนเต็ม]:[คะแนนเต็ม]])*tbl_task6[[%]:[%]])</f>
        <v/>
      </c>
      <c r="JC12" s="121" t="str">
        <f>IF(ISBLANK(tbl_task6[[คะแนนเต็ม]:[คะแนนเต็ม]]),"",(tbl_task6[93]/tbl_task6[[คะแนนเต็ม]:[คะแนนเต็ม]])*tbl_task6[[%]:[%]])</f>
        <v/>
      </c>
      <c r="JD12" s="121" t="str">
        <f>IF(ISBLANK(tbl_task6[[คะแนนเต็ม]:[คะแนนเต็ม]]),"",(tbl_task6[94]/tbl_task6[[คะแนนเต็ม]:[คะแนนเต็ม]])*tbl_task6[[%]:[%]])</f>
        <v/>
      </c>
      <c r="JE12" s="121" t="str">
        <f>IF(ISBLANK(tbl_task6[[คะแนนเต็ม]:[คะแนนเต็ม]]),"",(tbl_task6[95]/tbl_task6[[คะแนนเต็ม]:[คะแนนเต็ม]])*tbl_task6[[%]:[%]])</f>
        <v/>
      </c>
      <c r="JF12" s="121" t="str">
        <f>IF(ISBLANK(tbl_task6[[คะแนนเต็ม]:[คะแนนเต็ม]]),"",(tbl_task6[96]/tbl_task6[[คะแนนเต็ม]:[คะแนนเต็ม]])*tbl_task6[[%]:[%]])</f>
        <v/>
      </c>
      <c r="JG12" s="121" t="str">
        <f>IF(ISBLANK(tbl_task6[[คะแนนเต็ม]:[คะแนนเต็ม]]),"",(tbl_task6[97]/tbl_task6[[คะแนนเต็ม]:[คะแนนเต็ม]])*tbl_task6[[%]:[%]])</f>
        <v/>
      </c>
      <c r="JH12" s="121" t="str">
        <f>IF(ISBLANK(tbl_task6[[คะแนนเต็ม]:[คะแนนเต็ม]]),"",(tbl_task6[98]/tbl_task6[[คะแนนเต็ม]:[คะแนนเต็ม]])*tbl_task6[[%]:[%]])</f>
        <v/>
      </c>
      <c r="JI12" s="121" t="str">
        <f>IF(ISBLANK(tbl_task6[[คะแนนเต็ม]:[คะแนนเต็ม]]),"",(tbl_task6[99]/tbl_task6[[คะแนนเต็ม]:[คะแนนเต็ม]])*tbl_task6[[%]:[%]])</f>
        <v/>
      </c>
      <c r="JJ12" s="121" t="str">
        <f>IF(ISBLANK(tbl_task6[[คะแนนเต็ม]:[คะแนนเต็ม]]),"",(tbl_task6[100]/tbl_task6[[คะแนนเต็ม]:[คะแนนเต็ม]])*tbl_task6[[%]:[%]])</f>
        <v/>
      </c>
      <c r="JK12" s="121" t="str">
        <f>IF(ISBLANK(tbl_task6[[คะแนนเต็ม]:[คะแนนเต็ม]]),"",(tbl_task6[101]/tbl_task6[[คะแนนเต็ม]:[คะแนนเต็ม]])*tbl_task6[[%]:[%]])</f>
        <v/>
      </c>
      <c r="JL12" s="121" t="str">
        <f>IF(ISBLANK(tbl_task6[[คะแนนเต็ม]:[คะแนนเต็ม]]),"",(tbl_task6[102]/tbl_task6[[คะแนนเต็ม]:[คะแนนเต็ม]])*tbl_task6[[%]:[%]])</f>
        <v/>
      </c>
      <c r="JM12" s="121" t="str">
        <f>IF(ISBLANK(tbl_task6[[คะแนนเต็ม]:[คะแนนเต็ม]]),"",(tbl_task6[103]/tbl_task6[[คะแนนเต็ม]:[คะแนนเต็ม]])*tbl_task6[[%]:[%]])</f>
        <v/>
      </c>
      <c r="JN12" s="121" t="str">
        <f>IF(ISBLANK(tbl_task6[[คะแนนเต็ม]:[คะแนนเต็ม]]),"",(tbl_task6[104]/tbl_task6[[คะแนนเต็ม]:[คะแนนเต็ม]])*tbl_task6[[%]:[%]])</f>
        <v/>
      </c>
      <c r="JO12" s="121" t="str">
        <f>IF(ISBLANK(tbl_task6[[คะแนนเต็ม]:[คะแนนเต็ม]]),"",(tbl_task6[105]/tbl_task6[[คะแนนเต็ม]:[คะแนนเต็ม]])*tbl_task6[[%]:[%]])</f>
        <v/>
      </c>
      <c r="JP12" s="121" t="str">
        <f>IF(ISBLANK(tbl_task6[[คะแนนเต็ม]:[คะแนนเต็ม]]),"",(tbl_task6[106]/tbl_task6[[คะแนนเต็ม]:[คะแนนเต็ม]])*tbl_task6[[%]:[%]])</f>
        <v/>
      </c>
      <c r="JQ12" s="121" t="str">
        <f>IF(ISBLANK(tbl_task6[[คะแนนเต็ม]:[คะแนนเต็ม]]),"",(tbl_task6[107]/tbl_task6[[คะแนนเต็ม]:[คะแนนเต็ม]])*tbl_task6[[%]:[%]])</f>
        <v/>
      </c>
      <c r="JR12" s="121" t="str">
        <f>IF(ISBLANK(tbl_task6[[คะแนนเต็ม]:[คะแนนเต็ม]]),"",(tbl_task6[108]/tbl_task6[[คะแนนเต็ม]:[คะแนนเต็ม]])*tbl_task6[[%]:[%]])</f>
        <v/>
      </c>
      <c r="JS12" s="121" t="str">
        <f>IF(ISBLANK(tbl_task6[[คะแนนเต็ม]:[คะแนนเต็ม]]),"",(tbl_task6[109]/tbl_task6[[คะแนนเต็ม]:[คะแนนเต็ม]])*tbl_task6[[%]:[%]])</f>
        <v/>
      </c>
      <c r="JT12" s="121" t="str">
        <f>IF(ISBLANK(tbl_task6[[คะแนนเต็ม]:[คะแนนเต็ม]]),"",(tbl_task6[110]/tbl_task6[[คะแนนเต็ม]:[คะแนนเต็ม]])*tbl_task6[[%]:[%]])</f>
        <v/>
      </c>
      <c r="JU12" s="121" t="str">
        <f>IF(ISBLANK(tbl_task6[[คะแนนเต็ม]:[คะแนนเต็ม]]),"",(tbl_task6[111]/tbl_task6[[คะแนนเต็ม]:[คะแนนเต็ม]])*tbl_task6[[%]:[%]])</f>
        <v/>
      </c>
      <c r="JV12" s="121" t="str">
        <f>IF(ISBLANK(tbl_task6[[คะแนนเต็ม]:[คะแนนเต็ม]]),"",(tbl_task6[112]/tbl_task6[[คะแนนเต็ม]:[คะแนนเต็ม]])*tbl_task6[[%]:[%]])</f>
        <v/>
      </c>
      <c r="JW12" s="121" t="str">
        <f>IF(ISBLANK(tbl_task6[[คะแนนเต็ม]:[คะแนนเต็ม]]),"",(tbl_task6[113]/tbl_task6[[คะแนนเต็ม]:[คะแนนเต็ม]])*tbl_task6[[%]:[%]])</f>
        <v/>
      </c>
      <c r="JX12" s="121" t="str">
        <f>IF(ISBLANK(tbl_task6[[คะแนนเต็ม]:[คะแนนเต็ม]]),"",(tbl_task6[114]/tbl_task6[[คะแนนเต็ม]:[คะแนนเต็ม]])*tbl_task6[[%]:[%]])</f>
        <v/>
      </c>
      <c r="JY12" s="121" t="str">
        <f>IF(ISBLANK(tbl_task6[[คะแนนเต็ม]:[คะแนนเต็ม]]),"",(tbl_task6[115]/tbl_task6[[คะแนนเต็ม]:[คะแนนเต็ม]])*tbl_task6[[%]:[%]])</f>
        <v/>
      </c>
      <c r="JZ12" s="121" t="str">
        <f>IF(ISBLANK(tbl_task6[[คะแนนเต็ม]:[คะแนนเต็ม]]),"",(tbl_task6[116]/tbl_task6[[คะแนนเต็ม]:[คะแนนเต็ม]])*tbl_task6[[%]:[%]])</f>
        <v/>
      </c>
      <c r="KA12" s="121" t="str">
        <f>IF(ISBLANK(tbl_task6[[คะแนนเต็ม]:[คะแนนเต็ม]]),"",(tbl_task6[117]/tbl_task6[[คะแนนเต็ม]:[คะแนนเต็ม]])*tbl_task6[[%]:[%]])</f>
        <v/>
      </c>
      <c r="KB12" s="121" t="str">
        <f>IF(ISBLANK(tbl_task6[[คะแนนเต็ม]:[คะแนนเต็ม]]),"",(tbl_task6[118]/tbl_task6[[คะแนนเต็ม]:[คะแนนเต็ม]])*tbl_task6[[%]:[%]])</f>
        <v/>
      </c>
      <c r="KC12" s="121" t="str">
        <f>IF(ISBLANK(tbl_task6[[คะแนนเต็ม]:[คะแนนเต็ม]]),"",(tbl_task6[119]/tbl_task6[[คะแนนเต็ม]:[คะแนนเต็ม]])*tbl_task6[[%]:[%]])</f>
        <v/>
      </c>
      <c r="KD12" s="121" t="str">
        <f>IF(ISBLANK(tbl_task6[[คะแนนเต็ม]:[คะแนนเต็ม]]),"",(tbl_task6[120]/tbl_task6[[คะแนนเต็ม]:[คะแนนเต็ม]])*tbl_task6[[%]:[%]])</f>
        <v/>
      </c>
      <c r="KE12" s="121" t="str">
        <f>IF(ISBLANK(tbl_task6[[คะแนนเต็ม]:[คะแนนเต็ม]]),"",(tbl_task6[121]/tbl_task6[[คะแนนเต็ม]:[คะแนนเต็ม]])*tbl_task6[[%]:[%]])</f>
        <v/>
      </c>
      <c r="KF12" s="121" t="str">
        <f>IF(ISBLANK(tbl_task6[[คะแนนเต็ม]:[คะแนนเต็ม]]),"",(tbl_task6[122]/tbl_task6[[คะแนนเต็ม]:[คะแนนเต็ม]])*tbl_task6[[%]:[%]])</f>
        <v/>
      </c>
      <c r="KG12" s="121" t="str">
        <f>IF(ISBLANK(tbl_task6[[คะแนนเต็ม]:[คะแนนเต็ม]]),"",(tbl_task6[123]/tbl_task6[[คะแนนเต็ม]:[คะแนนเต็ม]])*tbl_task6[[%]:[%]])</f>
        <v/>
      </c>
      <c r="KH12" s="121" t="str">
        <f>IF(ISBLANK(tbl_task6[[คะแนนเต็ม]:[คะแนนเต็ม]]),"",(tbl_task6[124]/tbl_task6[[คะแนนเต็ม]:[คะแนนเต็ม]])*tbl_task6[[%]:[%]])</f>
        <v/>
      </c>
      <c r="KI12" s="121" t="str">
        <f>IF(ISBLANK(tbl_task6[[คะแนนเต็ม]:[คะแนนเต็ม]]),"",(tbl_task6[125]/tbl_task6[[คะแนนเต็ม]:[คะแนนเต็ม]])*tbl_task6[[%]:[%]])</f>
        <v/>
      </c>
      <c r="KJ12" s="121" t="str">
        <f>IF(ISBLANK(tbl_task6[[คะแนนเต็ม]:[คะแนนเต็ม]]),"",(tbl_task6[126]/tbl_task6[[คะแนนเต็ม]:[คะแนนเต็ม]])*tbl_task6[[%]:[%]])</f>
        <v/>
      </c>
      <c r="KK12" s="121" t="str">
        <f>IF(ISBLANK(tbl_task6[[คะแนนเต็ม]:[คะแนนเต็ม]]),"",(tbl_task6[127]/tbl_task6[[คะแนนเต็ม]:[คะแนนเต็ม]])*tbl_task6[[%]:[%]])</f>
        <v/>
      </c>
      <c r="KL12" s="121" t="str">
        <f>IF(ISBLANK(tbl_task6[[คะแนนเต็ม]:[คะแนนเต็ม]]),"",(tbl_task6[128]/tbl_task6[[คะแนนเต็ม]:[คะแนนเต็ม]])*tbl_task6[[%]:[%]])</f>
        <v/>
      </c>
      <c r="KM12" s="121" t="str">
        <f>IF(ISBLANK(tbl_task6[[คะแนนเต็ม]:[คะแนนเต็ม]]),"",(tbl_task6[129]/tbl_task6[[คะแนนเต็ม]:[คะแนนเต็ม]])*tbl_task6[[%]:[%]])</f>
        <v/>
      </c>
      <c r="KN12" s="121" t="str">
        <f>IF(ISBLANK(tbl_task6[[คะแนนเต็ม]:[คะแนนเต็ม]]),"",(tbl_task6[130]/tbl_task6[[คะแนนเต็ม]:[คะแนนเต็ม]])*tbl_task6[[%]:[%]])</f>
        <v/>
      </c>
      <c r="KO12" s="121" t="str">
        <f>IF(ISBLANK(tbl_task6[[คะแนนเต็ม]:[คะแนนเต็ม]]),"",(tbl_task6[131]/tbl_task6[[คะแนนเต็ม]:[คะแนนเต็ม]])*tbl_task6[[%]:[%]])</f>
        <v/>
      </c>
      <c r="KP12" s="121" t="str">
        <f>IF(ISBLANK(tbl_task6[[คะแนนเต็ม]:[คะแนนเต็ม]]),"",(tbl_task6[132]/tbl_task6[[คะแนนเต็ม]:[คะแนนเต็ม]])*tbl_task6[[%]:[%]])</f>
        <v/>
      </c>
      <c r="KQ12" s="121" t="str">
        <f>IF(ISBLANK(tbl_task6[[คะแนนเต็ม]:[คะแนนเต็ม]]),"",(tbl_task6[133]/tbl_task6[[คะแนนเต็ม]:[คะแนนเต็ม]])*tbl_task6[[%]:[%]])</f>
        <v/>
      </c>
      <c r="KR12" s="121" t="str">
        <f>IF(ISBLANK(tbl_task6[[คะแนนเต็ม]:[คะแนนเต็ม]]),"",(tbl_task6[134]/tbl_task6[[คะแนนเต็ม]:[คะแนนเต็ม]])*tbl_task6[[%]:[%]])</f>
        <v/>
      </c>
      <c r="KS12" s="121" t="str">
        <f>IF(ISBLANK(tbl_task6[[คะแนนเต็ม]:[คะแนนเต็ม]]),"",(tbl_task6[135]/tbl_task6[[คะแนนเต็ม]:[คะแนนเต็ม]])*tbl_task6[[%]:[%]])</f>
        <v/>
      </c>
      <c r="KT12" s="121" t="str">
        <f>IF(ISBLANK(tbl_task6[[คะแนนเต็ม]:[คะแนนเต็ม]]),"",(tbl_task6[136]/tbl_task6[[คะแนนเต็ม]:[คะแนนเต็ม]])*tbl_task6[[%]:[%]])</f>
        <v/>
      </c>
      <c r="KU12" s="121" t="str">
        <f>IF(ISBLANK(tbl_task6[[คะแนนเต็ม]:[คะแนนเต็ม]]),"",(tbl_task6[137]/tbl_task6[[คะแนนเต็ม]:[คะแนนเต็ม]])*tbl_task6[[%]:[%]])</f>
        <v/>
      </c>
      <c r="KV12" s="121" t="str">
        <f>IF(ISBLANK(tbl_task6[[คะแนนเต็ม]:[คะแนนเต็ม]]),"",(tbl_task6[138]/tbl_task6[[คะแนนเต็ม]:[คะแนนเต็ม]])*tbl_task6[[%]:[%]])</f>
        <v/>
      </c>
      <c r="KW12" s="121" t="str">
        <f>IF(ISBLANK(tbl_task6[[คะแนนเต็ม]:[คะแนนเต็ม]]),"",(tbl_task6[139]/tbl_task6[[คะแนนเต็ม]:[คะแนนเต็ม]])*tbl_task6[[%]:[%]])</f>
        <v/>
      </c>
      <c r="KX12" s="121" t="str">
        <f>IF(ISBLANK(tbl_task6[[คะแนนเต็ม]:[คะแนนเต็ม]]),"",(tbl_task6[140]/tbl_task6[[คะแนนเต็ม]:[คะแนนเต็ม]])*tbl_task6[[%]:[%]])</f>
        <v/>
      </c>
      <c r="KY12" s="121" t="str">
        <f>IF(ISBLANK(tbl_task6[[คะแนนเต็ม]:[คะแนนเต็ม]]),"",(tbl_task6[141]/tbl_task6[[คะแนนเต็ม]:[คะแนนเต็ม]])*tbl_task6[[%]:[%]])</f>
        <v/>
      </c>
      <c r="KZ12" s="121" t="str">
        <f>IF(ISBLANK(tbl_task6[[คะแนนเต็ม]:[คะแนนเต็ม]]),"",(tbl_task6[142]/tbl_task6[[คะแนนเต็ม]:[คะแนนเต็ม]])*tbl_task6[[%]:[%]])</f>
        <v/>
      </c>
      <c r="LA12" s="121" t="str">
        <f>IF(ISBLANK(tbl_task6[[คะแนนเต็ม]:[คะแนนเต็ม]]),"",(tbl_task6[143]/tbl_task6[[คะแนนเต็ม]:[คะแนนเต็ม]])*tbl_task6[[%]:[%]])</f>
        <v/>
      </c>
      <c r="LB12" s="121" t="str">
        <f>IF(ISBLANK(tbl_task6[[คะแนนเต็ม]:[คะแนนเต็ม]]),"",(tbl_task6[144]/tbl_task6[[คะแนนเต็ม]:[คะแนนเต็ม]])*tbl_task6[[%]:[%]])</f>
        <v/>
      </c>
      <c r="LC12" s="121" t="str">
        <f>IF(ISBLANK(tbl_task6[[คะแนนเต็ม]:[คะแนนเต็ม]]),"",(tbl_task6[145]/tbl_task6[[คะแนนเต็ม]:[คะแนนเต็ม]])*tbl_task6[[%]:[%]])</f>
        <v/>
      </c>
      <c r="LD12" s="121" t="str">
        <f>IF(ISBLANK(tbl_task6[[คะแนนเต็ม]:[คะแนนเต็ม]]),"",(tbl_task6[146]/tbl_task6[[คะแนนเต็ม]:[คะแนนเต็ม]])*tbl_task6[[%]:[%]])</f>
        <v/>
      </c>
      <c r="LE12" s="121" t="str">
        <f>IF(ISBLANK(tbl_task6[[คะแนนเต็ม]:[คะแนนเต็ม]]),"",(tbl_task6[147]/tbl_task6[[คะแนนเต็ม]:[คะแนนเต็ม]])*tbl_task6[[%]:[%]])</f>
        <v/>
      </c>
      <c r="LF12" s="121" t="str">
        <f>IF(ISBLANK(tbl_task6[[คะแนนเต็ม]:[คะแนนเต็ม]]),"",(tbl_task6[148]/tbl_task6[[คะแนนเต็ม]:[คะแนนเต็ม]])*tbl_task6[[%]:[%]])</f>
        <v/>
      </c>
      <c r="LG12" s="121" t="str">
        <f>IF(ISBLANK(tbl_task6[[คะแนนเต็ม]:[คะแนนเต็ม]]),"",(tbl_task6[149]/tbl_task6[[คะแนนเต็ม]:[คะแนนเต็ม]])*tbl_task6[[%]:[%]])</f>
        <v/>
      </c>
      <c r="LH12" s="121" t="str">
        <f>IF(ISBLANK(tbl_task6[[คะแนนเต็ม]:[คะแนนเต็ม]]),"",(tbl_task6[150]/tbl_task6[[คะแนนเต็ม]:[คะแนนเต็ม]])*tbl_task6[[%]:[%]])</f>
        <v/>
      </c>
      <c r="LI12" s="121" t="str">
        <f>IF(ISBLANK(tbl_task6[[คะแนนเต็ม]:[คะแนนเต็ม]]),"",(tbl_task6[151]/tbl_task6[[คะแนนเต็ม]:[คะแนนเต็ม]])*tbl_task6[[%]:[%]])</f>
        <v/>
      </c>
      <c r="LJ12" s="121" t="str">
        <f>IF(ISBLANK(tbl_task6[[คะแนนเต็ม]:[คะแนนเต็ม]]),"",(tbl_task6[152]/tbl_task6[[คะแนนเต็ม]:[คะแนนเต็ม]])*tbl_task6[[%]:[%]])</f>
        <v/>
      </c>
      <c r="LK12" s="121" t="str">
        <f>IF(ISBLANK(tbl_task6[[คะแนนเต็ม]:[คะแนนเต็ม]]),"",(tbl_task6[153]/tbl_task6[[คะแนนเต็ม]:[คะแนนเต็ม]])*tbl_task6[[%]:[%]])</f>
        <v/>
      </c>
      <c r="LL12" s="121" t="str">
        <f>IF(ISBLANK(tbl_task6[[คะแนนเต็ม]:[คะแนนเต็ม]]),"",(tbl_task6[154]/tbl_task6[[คะแนนเต็ม]:[คะแนนเต็ม]])*tbl_task6[[%]:[%]])</f>
        <v/>
      </c>
      <c r="LM12" s="121" t="str">
        <f>IF(ISBLANK(tbl_task6[[คะแนนเต็ม]:[คะแนนเต็ม]]),"",(tbl_task6[155]/tbl_task6[[คะแนนเต็ม]:[คะแนนเต็ม]])*tbl_task6[[%]:[%]])</f>
        <v/>
      </c>
      <c r="LN12" s="121" t="str">
        <f>IF(ISBLANK(tbl_task6[[คะแนนเต็ม]:[คะแนนเต็ม]]),"",(tbl_task6[156]/tbl_task6[[คะแนนเต็ม]:[คะแนนเต็ม]])*tbl_task6[[%]:[%]])</f>
        <v/>
      </c>
      <c r="LO12" s="121" t="str">
        <f>IF(ISBLANK(tbl_task6[[คะแนนเต็ม]:[คะแนนเต็ม]]),"",(tbl_task6[157]/tbl_task6[[คะแนนเต็ม]:[คะแนนเต็ม]])*tbl_task6[[%]:[%]])</f>
        <v/>
      </c>
      <c r="LP12" s="121" t="str">
        <f>IF(ISBLANK(tbl_task6[[คะแนนเต็ม]:[คะแนนเต็ม]]),"",(tbl_task6[158]/tbl_task6[[คะแนนเต็ม]:[คะแนนเต็ม]])*tbl_task6[[%]:[%]])</f>
        <v/>
      </c>
      <c r="LQ12" s="121" t="str">
        <f>IF(ISBLANK(tbl_task6[[คะแนนเต็ม]:[คะแนนเต็ม]]),"",(tbl_task6[159]/tbl_task6[[คะแนนเต็ม]:[คะแนนเต็ม]])*tbl_task6[[%]:[%]])</f>
        <v/>
      </c>
      <c r="LR12" s="121" t="str">
        <f>IF(ISBLANK(tbl_task6[[คะแนนเต็ม]:[คะแนนเต็ม]]),"",(tbl_task6[160]/tbl_task6[[คะแนนเต็ม]:[คะแนนเต็ม]])*tbl_task6[[%]:[%]])</f>
        <v/>
      </c>
      <c r="LS12" s="121" t="str">
        <f>IF(ISBLANK(tbl_task6[[คะแนนเต็ม]:[คะแนนเต็ม]]),"",(tbl_task6[161]/tbl_task6[[คะแนนเต็ม]:[คะแนนเต็ม]])*tbl_task6[[%]:[%]])</f>
        <v/>
      </c>
      <c r="LT12" s="121" t="str">
        <f>IF(ISBLANK(tbl_task6[[คะแนนเต็ม]:[คะแนนเต็ม]]),"",(tbl_task6[162]/tbl_task6[[คะแนนเต็ม]:[คะแนนเต็ม]])*tbl_task6[[%]:[%]])</f>
        <v/>
      </c>
      <c r="LU12" s="121" t="str">
        <f>IF(ISBLANK(tbl_task6[[คะแนนเต็ม]:[คะแนนเต็ม]]),"",(tbl_task6[163]/tbl_task6[[คะแนนเต็ม]:[คะแนนเต็ม]])*tbl_task6[[%]:[%]])</f>
        <v/>
      </c>
      <c r="LV12" s="121" t="str">
        <f>IF(ISBLANK(tbl_task6[[คะแนนเต็ม]:[คะแนนเต็ม]]),"",(tbl_task6[164]/tbl_task6[[คะแนนเต็ม]:[คะแนนเต็ม]])*tbl_task6[[%]:[%]])</f>
        <v/>
      </c>
      <c r="LW12" s="121" t="str">
        <f>IF(ISBLANK(tbl_task6[[คะแนนเต็ม]:[คะแนนเต็ม]]),"",(tbl_task6[165]/tbl_task6[[คะแนนเต็ม]:[คะแนนเต็ม]])*tbl_task6[[%]:[%]])</f>
        <v/>
      </c>
    </row>
    <row r="13" spans="1:335" ht="24" customHeight="1" x14ac:dyDescent="0.25">
      <c r="A13" s="24">
        <v>10</v>
      </c>
      <c r="B13" s="20"/>
      <c r="C13" s="5" t="str">
        <f>IF(ISBLANK(B13),"",VLOOKUP(B13,tbl_PLOs[],2,0))</f>
        <v/>
      </c>
      <c r="D13" s="102"/>
      <c r="E13" s="106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22"/>
      <c r="FO13" s="121" t="str">
        <f>IF(ISBLANK(tbl_task6[[คะแนนเต็ม]:[คะแนนเต็ม]]),"",(tbl_task6[1]/tbl_task6[[คะแนนเต็ม]:[คะแนนเต็ม]])*tbl_task6[[%]:[%]])</f>
        <v/>
      </c>
      <c r="FP13" s="121" t="str">
        <f>IF(ISBLANK(tbl_task6[[คะแนนเต็ม]:[คะแนนเต็ม]]),"",(tbl_task6[2]/tbl_task6[[คะแนนเต็ม]:[คะแนนเต็ม]])*tbl_task6[[%]:[%]])</f>
        <v/>
      </c>
      <c r="FQ13" s="121" t="str">
        <f>IF(ISBLANK(tbl_task6[[คะแนนเต็ม]:[คะแนนเต็ม]]),"",(tbl_task6[3]/tbl_task6[[คะแนนเต็ม]:[คะแนนเต็ม]])*tbl_task6[[%]:[%]])</f>
        <v/>
      </c>
      <c r="FR13" s="121" t="str">
        <f>IF(ISBLANK(tbl_task6[[คะแนนเต็ม]:[คะแนนเต็ม]]),"",(tbl_task6[4]/tbl_task6[[คะแนนเต็ม]:[คะแนนเต็ม]])*tbl_task6[[%]:[%]])</f>
        <v/>
      </c>
      <c r="FS13" s="121" t="str">
        <f>IF(ISBLANK(tbl_task6[[คะแนนเต็ม]:[คะแนนเต็ม]]),"",(tbl_task6[5]/tbl_task6[[คะแนนเต็ม]:[คะแนนเต็ม]])*tbl_task6[[%]:[%]])</f>
        <v/>
      </c>
      <c r="FT13" s="121" t="str">
        <f>IF(ISBLANK(tbl_task6[[คะแนนเต็ม]:[คะแนนเต็ม]]),"",(tbl_task6[6]/tbl_task6[[คะแนนเต็ม]:[คะแนนเต็ม]])*tbl_task6[[%]:[%]])</f>
        <v/>
      </c>
      <c r="FU13" s="121" t="str">
        <f>IF(ISBLANK(tbl_task6[[คะแนนเต็ม]:[คะแนนเต็ม]]),"",(tbl_task6[7]/tbl_task6[[คะแนนเต็ม]:[คะแนนเต็ม]])*tbl_task6[[%]:[%]])</f>
        <v/>
      </c>
      <c r="FV13" s="121" t="str">
        <f>IF(ISBLANK(tbl_task6[[คะแนนเต็ม]:[คะแนนเต็ม]]),"",(tbl_task6[8]/tbl_task6[[คะแนนเต็ม]:[คะแนนเต็ม]])*tbl_task6[[%]:[%]])</f>
        <v/>
      </c>
      <c r="FW13" s="121" t="str">
        <f>IF(ISBLANK(tbl_task6[[คะแนนเต็ม]:[คะแนนเต็ม]]),"",(tbl_task6[9]/tbl_task6[[คะแนนเต็ม]:[คะแนนเต็ม]])*tbl_task6[[%]:[%]])</f>
        <v/>
      </c>
      <c r="FX13" s="121" t="str">
        <f>IF(ISBLANK(tbl_task6[[คะแนนเต็ม]:[คะแนนเต็ม]]),"",(tbl_task6[10]/tbl_task6[[คะแนนเต็ม]:[คะแนนเต็ม]])*tbl_task6[[%]:[%]])</f>
        <v/>
      </c>
      <c r="FY13" s="121" t="str">
        <f>IF(ISBLANK(tbl_task6[[คะแนนเต็ม]:[คะแนนเต็ม]]),"",(tbl_task6[11]/tbl_task6[[คะแนนเต็ม]:[คะแนนเต็ม]])*tbl_task6[[%]:[%]])</f>
        <v/>
      </c>
      <c r="FZ13" s="121" t="str">
        <f>IF(ISBLANK(tbl_task6[[คะแนนเต็ม]:[คะแนนเต็ม]]),"",(tbl_task6[12]/tbl_task6[[คะแนนเต็ม]:[คะแนนเต็ม]])*tbl_task6[[%]:[%]])</f>
        <v/>
      </c>
      <c r="GA13" s="121" t="str">
        <f>IF(ISBLANK(tbl_task6[[คะแนนเต็ม]:[คะแนนเต็ม]]),"",(tbl_task6[13]/tbl_task6[[คะแนนเต็ม]:[คะแนนเต็ม]])*tbl_task6[[%]:[%]])</f>
        <v/>
      </c>
      <c r="GB13" s="121" t="str">
        <f>IF(ISBLANK(tbl_task6[[คะแนนเต็ม]:[คะแนนเต็ม]]),"",(tbl_task6[14]/tbl_task6[[คะแนนเต็ม]:[คะแนนเต็ม]])*tbl_task6[[%]:[%]])</f>
        <v/>
      </c>
      <c r="GC13" s="121" t="str">
        <f>IF(ISBLANK(tbl_task6[[คะแนนเต็ม]:[คะแนนเต็ม]]),"",(tbl_task6[15]/tbl_task6[[คะแนนเต็ม]:[คะแนนเต็ม]])*tbl_task6[[%]:[%]])</f>
        <v/>
      </c>
      <c r="GD13" s="121" t="str">
        <f>IF(ISBLANK(tbl_task6[[คะแนนเต็ม]:[คะแนนเต็ม]]),"",(tbl_task6[16]/tbl_task6[[คะแนนเต็ม]:[คะแนนเต็ม]])*tbl_task6[[%]:[%]])</f>
        <v/>
      </c>
      <c r="GE13" s="121" t="str">
        <f>IF(ISBLANK(tbl_task6[[คะแนนเต็ม]:[คะแนนเต็ม]]),"",(tbl_task6[17]/tbl_task6[[คะแนนเต็ม]:[คะแนนเต็ม]])*tbl_task6[[%]:[%]])</f>
        <v/>
      </c>
      <c r="GF13" s="121" t="str">
        <f>IF(ISBLANK(tbl_task6[[คะแนนเต็ม]:[คะแนนเต็ม]]),"",(tbl_task6[18]/tbl_task6[[คะแนนเต็ม]:[คะแนนเต็ม]])*tbl_task6[[%]:[%]])</f>
        <v/>
      </c>
      <c r="GG13" s="121" t="str">
        <f>IF(ISBLANK(tbl_task6[[คะแนนเต็ม]:[คะแนนเต็ม]]),"",(tbl_task6[19]/tbl_task6[[คะแนนเต็ม]:[คะแนนเต็ม]])*tbl_task6[[%]:[%]])</f>
        <v/>
      </c>
      <c r="GH13" s="121" t="str">
        <f>IF(ISBLANK(tbl_task6[[คะแนนเต็ม]:[คะแนนเต็ม]]),"",(tbl_task6[20]/tbl_task6[[คะแนนเต็ม]:[คะแนนเต็ม]])*tbl_task6[[%]:[%]])</f>
        <v/>
      </c>
      <c r="GI13" s="121" t="str">
        <f>IF(ISBLANK(tbl_task6[[คะแนนเต็ม]:[คะแนนเต็ม]]),"",(tbl_task6[21]/tbl_task6[[คะแนนเต็ม]:[คะแนนเต็ม]])*tbl_task6[[%]:[%]])</f>
        <v/>
      </c>
      <c r="GJ13" s="121" t="str">
        <f>IF(ISBLANK(tbl_task6[[คะแนนเต็ม]:[คะแนนเต็ม]]),"",(tbl_task6[22]/tbl_task6[[คะแนนเต็ม]:[คะแนนเต็ม]])*tbl_task6[[%]:[%]])</f>
        <v/>
      </c>
      <c r="GK13" s="121" t="str">
        <f>IF(ISBLANK(tbl_task6[[คะแนนเต็ม]:[คะแนนเต็ม]]),"",(tbl_task6[23]/tbl_task6[[คะแนนเต็ม]:[คะแนนเต็ม]])*tbl_task6[[%]:[%]])</f>
        <v/>
      </c>
      <c r="GL13" s="121" t="str">
        <f>IF(ISBLANK(tbl_task6[[คะแนนเต็ม]:[คะแนนเต็ม]]),"",(tbl_task6[24]/tbl_task6[[คะแนนเต็ม]:[คะแนนเต็ม]])*tbl_task6[[%]:[%]])</f>
        <v/>
      </c>
      <c r="GM13" s="121" t="str">
        <f>IF(ISBLANK(tbl_task6[[คะแนนเต็ม]:[คะแนนเต็ม]]),"",(tbl_task6[25]/tbl_task6[[คะแนนเต็ม]:[คะแนนเต็ม]])*tbl_task6[[%]:[%]])</f>
        <v/>
      </c>
      <c r="GN13" s="121" t="str">
        <f>IF(ISBLANK(tbl_task6[[คะแนนเต็ม]:[คะแนนเต็ม]]),"",(tbl_task6[26]/tbl_task6[[คะแนนเต็ม]:[คะแนนเต็ม]])*tbl_task6[[%]:[%]])</f>
        <v/>
      </c>
      <c r="GO13" s="121" t="str">
        <f>IF(ISBLANK(tbl_task6[[คะแนนเต็ม]:[คะแนนเต็ม]]),"",(tbl_task6[27]/tbl_task6[[คะแนนเต็ม]:[คะแนนเต็ม]])*tbl_task6[[%]:[%]])</f>
        <v/>
      </c>
      <c r="GP13" s="121" t="str">
        <f>IF(ISBLANK(tbl_task6[[คะแนนเต็ม]:[คะแนนเต็ม]]),"",(tbl_task6[28]/tbl_task6[[คะแนนเต็ม]:[คะแนนเต็ม]])*tbl_task6[[%]:[%]])</f>
        <v/>
      </c>
      <c r="GQ13" s="121" t="str">
        <f>IF(ISBLANK(tbl_task6[[คะแนนเต็ม]:[คะแนนเต็ม]]),"",(tbl_task6[29]/tbl_task6[[คะแนนเต็ม]:[คะแนนเต็ม]])*tbl_task6[[%]:[%]])</f>
        <v/>
      </c>
      <c r="GR13" s="121" t="str">
        <f>IF(ISBLANK(tbl_task6[[คะแนนเต็ม]:[คะแนนเต็ม]]),"",(tbl_task6[30]/tbl_task6[[คะแนนเต็ม]:[คะแนนเต็ม]])*tbl_task6[[%]:[%]])</f>
        <v/>
      </c>
      <c r="GS13" s="121" t="str">
        <f>IF(ISBLANK(tbl_task6[[คะแนนเต็ม]:[คะแนนเต็ม]]),"",(tbl_task6[31]/tbl_task6[[คะแนนเต็ม]:[คะแนนเต็ม]])*tbl_task6[[%]:[%]])</f>
        <v/>
      </c>
      <c r="GT13" s="121" t="str">
        <f>IF(ISBLANK(tbl_task6[[คะแนนเต็ม]:[คะแนนเต็ม]]),"",(tbl_task6[32]/tbl_task6[[คะแนนเต็ม]:[คะแนนเต็ม]])*tbl_task6[[%]:[%]])</f>
        <v/>
      </c>
      <c r="GU13" s="121" t="str">
        <f>IF(ISBLANK(tbl_task6[[คะแนนเต็ม]:[คะแนนเต็ม]]),"",(tbl_task6[33]/tbl_task6[[คะแนนเต็ม]:[คะแนนเต็ม]])*tbl_task6[[%]:[%]])</f>
        <v/>
      </c>
      <c r="GV13" s="121" t="str">
        <f>IF(ISBLANK(tbl_task6[[คะแนนเต็ม]:[คะแนนเต็ม]]),"",(tbl_task6[34]/tbl_task6[[คะแนนเต็ม]:[คะแนนเต็ม]])*tbl_task6[[%]:[%]])</f>
        <v/>
      </c>
      <c r="GW13" s="121" t="str">
        <f>IF(ISBLANK(tbl_task6[[คะแนนเต็ม]:[คะแนนเต็ม]]),"",(tbl_task6[35]/tbl_task6[[คะแนนเต็ม]:[คะแนนเต็ม]])*tbl_task6[[%]:[%]])</f>
        <v/>
      </c>
      <c r="GX13" s="121" t="str">
        <f>IF(ISBLANK(tbl_task6[[คะแนนเต็ม]:[คะแนนเต็ม]]),"",(tbl_task6[36]/tbl_task6[[คะแนนเต็ม]:[คะแนนเต็ม]])*tbl_task6[[%]:[%]])</f>
        <v/>
      </c>
      <c r="GY13" s="121" t="str">
        <f>IF(ISBLANK(tbl_task6[[คะแนนเต็ม]:[คะแนนเต็ม]]),"",(tbl_task6[37]/tbl_task6[[คะแนนเต็ม]:[คะแนนเต็ม]])*tbl_task6[[%]:[%]])</f>
        <v/>
      </c>
      <c r="GZ13" s="121" t="str">
        <f>IF(ISBLANK(tbl_task6[[คะแนนเต็ม]:[คะแนนเต็ม]]),"",(tbl_task6[38]/tbl_task6[[คะแนนเต็ม]:[คะแนนเต็ม]])*tbl_task6[[%]:[%]])</f>
        <v/>
      </c>
      <c r="HA13" s="121" t="str">
        <f>IF(ISBLANK(tbl_task6[[คะแนนเต็ม]:[คะแนนเต็ม]]),"",(tbl_task6[39]/tbl_task6[[คะแนนเต็ม]:[คะแนนเต็ม]])*tbl_task6[[%]:[%]])</f>
        <v/>
      </c>
      <c r="HB13" s="121" t="str">
        <f>IF(ISBLANK(tbl_task6[[คะแนนเต็ม]:[คะแนนเต็ม]]),"",(tbl_task6[40]/tbl_task6[[คะแนนเต็ม]:[คะแนนเต็ม]])*tbl_task6[[%]:[%]])</f>
        <v/>
      </c>
      <c r="HC13" s="121" t="str">
        <f>IF(ISBLANK(tbl_task6[[คะแนนเต็ม]:[คะแนนเต็ม]]),"",(tbl_task6[41]/tbl_task6[[คะแนนเต็ม]:[คะแนนเต็ม]])*tbl_task6[[%]:[%]])</f>
        <v/>
      </c>
      <c r="HD13" s="121" t="str">
        <f>IF(ISBLANK(tbl_task6[[คะแนนเต็ม]:[คะแนนเต็ม]]),"",(tbl_task6[42]/tbl_task6[[คะแนนเต็ม]:[คะแนนเต็ม]])*tbl_task6[[%]:[%]])</f>
        <v/>
      </c>
      <c r="HE13" s="121" t="str">
        <f>IF(ISBLANK(tbl_task6[[คะแนนเต็ม]:[คะแนนเต็ม]]),"",(tbl_task6[43]/tbl_task6[[คะแนนเต็ม]:[คะแนนเต็ม]])*tbl_task6[[%]:[%]])</f>
        <v/>
      </c>
      <c r="HF13" s="121" t="str">
        <f>IF(ISBLANK(tbl_task6[[คะแนนเต็ม]:[คะแนนเต็ม]]),"",(tbl_task6[44]/tbl_task6[[คะแนนเต็ม]:[คะแนนเต็ม]])*tbl_task6[[%]:[%]])</f>
        <v/>
      </c>
      <c r="HG13" s="121" t="str">
        <f>IF(ISBLANK(tbl_task6[[คะแนนเต็ม]:[คะแนนเต็ม]]),"",(tbl_task6[45]/tbl_task6[[คะแนนเต็ม]:[คะแนนเต็ม]])*tbl_task6[[%]:[%]])</f>
        <v/>
      </c>
      <c r="HH13" s="121" t="str">
        <f>IF(ISBLANK(tbl_task6[[คะแนนเต็ม]:[คะแนนเต็ม]]),"",(tbl_task6[46]/tbl_task6[[คะแนนเต็ม]:[คะแนนเต็ม]])*tbl_task6[[%]:[%]])</f>
        <v/>
      </c>
      <c r="HI13" s="121" t="str">
        <f>IF(ISBLANK(tbl_task6[[คะแนนเต็ม]:[คะแนนเต็ม]]),"",(tbl_task6[47]/tbl_task6[[คะแนนเต็ม]:[คะแนนเต็ม]])*tbl_task6[[%]:[%]])</f>
        <v/>
      </c>
      <c r="HJ13" s="121" t="str">
        <f>IF(ISBLANK(tbl_task6[[คะแนนเต็ม]:[คะแนนเต็ม]]),"",(tbl_task6[48]/tbl_task6[[คะแนนเต็ม]:[คะแนนเต็ม]])*tbl_task6[[%]:[%]])</f>
        <v/>
      </c>
      <c r="HK13" s="121" t="str">
        <f>IF(ISBLANK(tbl_task6[[คะแนนเต็ม]:[คะแนนเต็ม]]),"",(tbl_task6[49]/tbl_task6[[คะแนนเต็ม]:[คะแนนเต็ม]])*tbl_task6[[%]:[%]])</f>
        <v/>
      </c>
      <c r="HL13" s="121" t="str">
        <f>IF(ISBLANK(tbl_task6[[คะแนนเต็ม]:[คะแนนเต็ม]]),"",(tbl_task6[50]/tbl_task6[[คะแนนเต็ม]:[คะแนนเต็ม]])*tbl_task6[[%]:[%]])</f>
        <v/>
      </c>
      <c r="HM13" s="121" t="str">
        <f>IF(ISBLANK(tbl_task6[[คะแนนเต็ม]:[คะแนนเต็ม]]),"",(tbl_task6[51]/tbl_task6[[คะแนนเต็ม]:[คะแนนเต็ม]])*tbl_task6[[%]:[%]])</f>
        <v/>
      </c>
      <c r="HN13" s="121" t="str">
        <f>IF(ISBLANK(tbl_task6[[คะแนนเต็ม]:[คะแนนเต็ม]]),"",(tbl_task6[52]/tbl_task6[[คะแนนเต็ม]:[คะแนนเต็ม]])*tbl_task6[[%]:[%]])</f>
        <v/>
      </c>
      <c r="HO13" s="121" t="str">
        <f>IF(ISBLANK(tbl_task6[[คะแนนเต็ม]:[คะแนนเต็ม]]),"",(tbl_task6[53]/tbl_task6[[คะแนนเต็ม]:[คะแนนเต็ม]])*tbl_task6[[%]:[%]])</f>
        <v/>
      </c>
      <c r="HP13" s="121" t="str">
        <f>IF(ISBLANK(tbl_task6[[คะแนนเต็ม]:[คะแนนเต็ม]]),"",(tbl_task6[54]/tbl_task6[[คะแนนเต็ม]:[คะแนนเต็ม]])*tbl_task6[[%]:[%]])</f>
        <v/>
      </c>
      <c r="HQ13" s="121" t="str">
        <f>IF(ISBLANK(tbl_task6[[คะแนนเต็ม]:[คะแนนเต็ม]]),"",(tbl_task6[55]/tbl_task6[[คะแนนเต็ม]:[คะแนนเต็ม]])*tbl_task6[[%]:[%]])</f>
        <v/>
      </c>
      <c r="HR13" s="121" t="str">
        <f>IF(ISBLANK(tbl_task6[[คะแนนเต็ม]:[คะแนนเต็ม]]),"",(tbl_task6[56]/tbl_task6[[คะแนนเต็ม]:[คะแนนเต็ม]])*tbl_task6[[%]:[%]])</f>
        <v/>
      </c>
      <c r="HS13" s="121" t="str">
        <f>IF(ISBLANK(tbl_task6[[คะแนนเต็ม]:[คะแนนเต็ม]]),"",(tbl_task6[57]/tbl_task6[[คะแนนเต็ม]:[คะแนนเต็ม]])*tbl_task6[[%]:[%]])</f>
        <v/>
      </c>
      <c r="HT13" s="121" t="str">
        <f>IF(ISBLANK(tbl_task6[[คะแนนเต็ม]:[คะแนนเต็ม]]),"",(tbl_task6[58]/tbl_task6[[คะแนนเต็ม]:[คะแนนเต็ม]])*tbl_task6[[%]:[%]])</f>
        <v/>
      </c>
      <c r="HU13" s="121" t="str">
        <f>IF(ISBLANK(tbl_task6[[คะแนนเต็ม]:[คะแนนเต็ม]]),"",(tbl_task6[59]/tbl_task6[[คะแนนเต็ม]:[คะแนนเต็ม]])*tbl_task6[[%]:[%]])</f>
        <v/>
      </c>
      <c r="HV13" s="121" t="str">
        <f>IF(ISBLANK(tbl_task6[[คะแนนเต็ม]:[คะแนนเต็ม]]),"",(tbl_task6[60]/tbl_task6[[คะแนนเต็ม]:[คะแนนเต็ม]])*tbl_task6[[%]:[%]])</f>
        <v/>
      </c>
      <c r="HW13" s="121" t="str">
        <f>IF(ISBLANK(tbl_task6[[คะแนนเต็ม]:[คะแนนเต็ม]]),"",(tbl_task6[61]/tbl_task6[[คะแนนเต็ม]:[คะแนนเต็ม]])*tbl_task6[[%]:[%]])</f>
        <v/>
      </c>
      <c r="HX13" s="121" t="str">
        <f>IF(ISBLANK(tbl_task6[[คะแนนเต็ม]:[คะแนนเต็ม]]),"",(tbl_task6[62]/tbl_task6[[คะแนนเต็ม]:[คะแนนเต็ม]])*tbl_task6[[%]:[%]])</f>
        <v/>
      </c>
      <c r="HY13" s="121" t="str">
        <f>IF(ISBLANK(tbl_task6[[คะแนนเต็ม]:[คะแนนเต็ม]]),"",(tbl_task6[63]/tbl_task6[[คะแนนเต็ม]:[คะแนนเต็ม]])*tbl_task6[[%]:[%]])</f>
        <v/>
      </c>
      <c r="HZ13" s="121" t="str">
        <f>IF(ISBLANK(tbl_task6[[คะแนนเต็ม]:[คะแนนเต็ม]]),"",(tbl_task6[64]/tbl_task6[[คะแนนเต็ม]:[คะแนนเต็ม]])*tbl_task6[[%]:[%]])</f>
        <v/>
      </c>
      <c r="IA13" s="121" t="str">
        <f>IF(ISBLANK(tbl_task6[[คะแนนเต็ม]:[คะแนนเต็ม]]),"",(tbl_task6[65]/tbl_task6[[คะแนนเต็ม]:[คะแนนเต็ม]])*tbl_task6[[%]:[%]])</f>
        <v/>
      </c>
      <c r="IB13" s="121" t="str">
        <f>IF(ISBLANK(tbl_task6[[คะแนนเต็ม]:[คะแนนเต็ม]]),"",(tbl_task6[66]/tbl_task6[[คะแนนเต็ม]:[คะแนนเต็ม]])*tbl_task6[[%]:[%]])</f>
        <v/>
      </c>
      <c r="IC13" s="121" t="str">
        <f>IF(ISBLANK(tbl_task6[[คะแนนเต็ม]:[คะแนนเต็ม]]),"",(tbl_task6[67]/tbl_task6[[คะแนนเต็ม]:[คะแนนเต็ม]])*tbl_task6[[%]:[%]])</f>
        <v/>
      </c>
      <c r="ID13" s="121" t="str">
        <f>IF(ISBLANK(tbl_task6[[คะแนนเต็ม]:[คะแนนเต็ม]]),"",(tbl_task6[68]/tbl_task6[[คะแนนเต็ม]:[คะแนนเต็ม]])*tbl_task6[[%]:[%]])</f>
        <v/>
      </c>
      <c r="IE13" s="121" t="str">
        <f>IF(ISBLANK(tbl_task6[[คะแนนเต็ม]:[คะแนนเต็ม]]),"",(tbl_task6[69]/tbl_task6[[คะแนนเต็ม]:[คะแนนเต็ม]])*tbl_task6[[%]:[%]])</f>
        <v/>
      </c>
      <c r="IF13" s="121" t="str">
        <f>IF(ISBLANK(tbl_task6[[คะแนนเต็ม]:[คะแนนเต็ม]]),"",(tbl_task6[70]/tbl_task6[[คะแนนเต็ม]:[คะแนนเต็ม]])*tbl_task6[[%]:[%]])</f>
        <v/>
      </c>
      <c r="IG13" s="121" t="str">
        <f>IF(ISBLANK(tbl_task6[[คะแนนเต็ม]:[คะแนนเต็ม]]),"",(tbl_task6[71]/tbl_task6[[คะแนนเต็ม]:[คะแนนเต็ม]])*tbl_task6[[%]:[%]])</f>
        <v/>
      </c>
      <c r="IH13" s="121" t="str">
        <f>IF(ISBLANK(tbl_task6[[คะแนนเต็ม]:[คะแนนเต็ม]]),"",(tbl_task6[72]/tbl_task6[[คะแนนเต็ม]:[คะแนนเต็ม]])*tbl_task6[[%]:[%]])</f>
        <v/>
      </c>
      <c r="II13" s="121" t="str">
        <f>IF(ISBLANK(tbl_task6[[คะแนนเต็ม]:[คะแนนเต็ม]]),"",(tbl_task6[73]/tbl_task6[[คะแนนเต็ม]:[คะแนนเต็ม]])*tbl_task6[[%]:[%]])</f>
        <v/>
      </c>
      <c r="IJ13" s="121" t="str">
        <f>IF(ISBLANK(tbl_task6[[คะแนนเต็ม]:[คะแนนเต็ม]]),"",(tbl_task6[74]/tbl_task6[[คะแนนเต็ม]:[คะแนนเต็ม]])*tbl_task6[[%]:[%]])</f>
        <v/>
      </c>
      <c r="IK13" s="121" t="str">
        <f>IF(ISBLANK(tbl_task6[[คะแนนเต็ม]:[คะแนนเต็ม]]),"",(tbl_task6[75]/tbl_task6[[คะแนนเต็ม]:[คะแนนเต็ม]])*tbl_task6[[%]:[%]])</f>
        <v/>
      </c>
      <c r="IL13" s="121" t="str">
        <f>IF(ISBLANK(tbl_task6[[คะแนนเต็ม]:[คะแนนเต็ม]]),"",(tbl_task6[76]/tbl_task6[[คะแนนเต็ม]:[คะแนนเต็ม]])*tbl_task6[[%]:[%]])</f>
        <v/>
      </c>
      <c r="IM13" s="121" t="str">
        <f>IF(ISBLANK(tbl_task6[[คะแนนเต็ม]:[คะแนนเต็ม]]),"",(tbl_task6[77]/tbl_task6[[คะแนนเต็ม]:[คะแนนเต็ม]])*tbl_task6[[%]:[%]])</f>
        <v/>
      </c>
      <c r="IN13" s="121" t="str">
        <f>IF(ISBLANK(tbl_task6[[คะแนนเต็ม]:[คะแนนเต็ม]]),"",(tbl_task6[78]/tbl_task6[[คะแนนเต็ม]:[คะแนนเต็ม]])*tbl_task6[[%]:[%]])</f>
        <v/>
      </c>
      <c r="IO13" s="121" t="str">
        <f>IF(ISBLANK(tbl_task6[[คะแนนเต็ม]:[คะแนนเต็ม]]),"",(tbl_task6[79]/tbl_task6[[คะแนนเต็ม]:[คะแนนเต็ม]])*tbl_task6[[%]:[%]])</f>
        <v/>
      </c>
      <c r="IP13" s="121" t="str">
        <f>IF(ISBLANK(tbl_task6[[คะแนนเต็ม]:[คะแนนเต็ม]]),"",(tbl_task6[80]/tbl_task6[[คะแนนเต็ม]:[คะแนนเต็ม]])*tbl_task6[[%]:[%]])</f>
        <v/>
      </c>
      <c r="IQ13" s="121" t="str">
        <f>IF(ISBLANK(tbl_task6[[คะแนนเต็ม]:[คะแนนเต็ม]]),"",(tbl_task6[81]/tbl_task6[[คะแนนเต็ม]:[คะแนนเต็ม]])*tbl_task6[[%]:[%]])</f>
        <v/>
      </c>
      <c r="IR13" s="121" t="str">
        <f>IF(ISBLANK(tbl_task6[[คะแนนเต็ม]:[คะแนนเต็ม]]),"",(tbl_task6[82]/tbl_task6[[คะแนนเต็ม]:[คะแนนเต็ม]])*tbl_task6[[%]:[%]])</f>
        <v/>
      </c>
      <c r="IS13" s="121" t="str">
        <f>IF(ISBLANK(tbl_task6[[คะแนนเต็ม]:[คะแนนเต็ม]]),"",(tbl_task6[83]/tbl_task6[[คะแนนเต็ม]:[คะแนนเต็ม]])*tbl_task6[[%]:[%]])</f>
        <v/>
      </c>
      <c r="IT13" s="121" t="str">
        <f>IF(ISBLANK(tbl_task6[[คะแนนเต็ม]:[คะแนนเต็ม]]),"",(tbl_task6[84]/tbl_task6[[คะแนนเต็ม]:[คะแนนเต็ม]])*tbl_task6[[%]:[%]])</f>
        <v/>
      </c>
      <c r="IU13" s="121" t="str">
        <f>IF(ISBLANK(tbl_task6[[คะแนนเต็ม]:[คะแนนเต็ม]]),"",(tbl_task6[85]/tbl_task6[[คะแนนเต็ม]:[คะแนนเต็ม]])*tbl_task6[[%]:[%]])</f>
        <v/>
      </c>
      <c r="IV13" s="121" t="str">
        <f>IF(ISBLANK(tbl_task6[[คะแนนเต็ม]:[คะแนนเต็ม]]),"",(tbl_task6[86]/tbl_task6[[คะแนนเต็ม]:[คะแนนเต็ม]])*tbl_task6[[%]:[%]])</f>
        <v/>
      </c>
      <c r="IW13" s="121" t="str">
        <f>IF(ISBLANK(tbl_task6[[คะแนนเต็ม]:[คะแนนเต็ม]]),"",(tbl_task6[87]/tbl_task6[[คะแนนเต็ม]:[คะแนนเต็ม]])*tbl_task6[[%]:[%]])</f>
        <v/>
      </c>
      <c r="IX13" s="121" t="str">
        <f>IF(ISBLANK(tbl_task6[[คะแนนเต็ม]:[คะแนนเต็ม]]),"",(tbl_task6[88]/tbl_task6[[คะแนนเต็ม]:[คะแนนเต็ม]])*tbl_task6[[%]:[%]])</f>
        <v/>
      </c>
      <c r="IY13" s="121" t="str">
        <f>IF(ISBLANK(tbl_task6[[คะแนนเต็ม]:[คะแนนเต็ม]]),"",(tbl_task6[89]/tbl_task6[[คะแนนเต็ม]:[คะแนนเต็ม]])*tbl_task6[[%]:[%]])</f>
        <v/>
      </c>
      <c r="IZ13" s="121" t="str">
        <f>IF(ISBLANK(tbl_task6[[คะแนนเต็ม]:[คะแนนเต็ม]]),"",(tbl_task6[90]/tbl_task6[[คะแนนเต็ม]:[คะแนนเต็ม]])*tbl_task6[[%]:[%]])</f>
        <v/>
      </c>
      <c r="JA13" s="121" t="str">
        <f>IF(ISBLANK(tbl_task6[[คะแนนเต็ม]:[คะแนนเต็ม]]),"",(tbl_task6[91]/tbl_task6[[คะแนนเต็ม]:[คะแนนเต็ม]])*tbl_task6[[%]:[%]])</f>
        <v/>
      </c>
      <c r="JB13" s="121" t="str">
        <f>IF(ISBLANK(tbl_task6[[คะแนนเต็ม]:[คะแนนเต็ม]]),"",(tbl_task6[92]/tbl_task6[[คะแนนเต็ม]:[คะแนนเต็ม]])*tbl_task6[[%]:[%]])</f>
        <v/>
      </c>
      <c r="JC13" s="121" t="str">
        <f>IF(ISBLANK(tbl_task6[[คะแนนเต็ม]:[คะแนนเต็ม]]),"",(tbl_task6[93]/tbl_task6[[คะแนนเต็ม]:[คะแนนเต็ม]])*tbl_task6[[%]:[%]])</f>
        <v/>
      </c>
      <c r="JD13" s="121" t="str">
        <f>IF(ISBLANK(tbl_task6[[คะแนนเต็ม]:[คะแนนเต็ม]]),"",(tbl_task6[94]/tbl_task6[[คะแนนเต็ม]:[คะแนนเต็ม]])*tbl_task6[[%]:[%]])</f>
        <v/>
      </c>
      <c r="JE13" s="121" t="str">
        <f>IF(ISBLANK(tbl_task6[[คะแนนเต็ม]:[คะแนนเต็ม]]),"",(tbl_task6[95]/tbl_task6[[คะแนนเต็ม]:[คะแนนเต็ม]])*tbl_task6[[%]:[%]])</f>
        <v/>
      </c>
      <c r="JF13" s="121" t="str">
        <f>IF(ISBLANK(tbl_task6[[คะแนนเต็ม]:[คะแนนเต็ม]]),"",(tbl_task6[96]/tbl_task6[[คะแนนเต็ม]:[คะแนนเต็ม]])*tbl_task6[[%]:[%]])</f>
        <v/>
      </c>
      <c r="JG13" s="121" t="str">
        <f>IF(ISBLANK(tbl_task6[[คะแนนเต็ม]:[คะแนนเต็ม]]),"",(tbl_task6[97]/tbl_task6[[คะแนนเต็ม]:[คะแนนเต็ม]])*tbl_task6[[%]:[%]])</f>
        <v/>
      </c>
      <c r="JH13" s="121" t="str">
        <f>IF(ISBLANK(tbl_task6[[คะแนนเต็ม]:[คะแนนเต็ม]]),"",(tbl_task6[98]/tbl_task6[[คะแนนเต็ม]:[คะแนนเต็ม]])*tbl_task6[[%]:[%]])</f>
        <v/>
      </c>
      <c r="JI13" s="121" t="str">
        <f>IF(ISBLANK(tbl_task6[[คะแนนเต็ม]:[คะแนนเต็ม]]),"",(tbl_task6[99]/tbl_task6[[คะแนนเต็ม]:[คะแนนเต็ม]])*tbl_task6[[%]:[%]])</f>
        <v/>
      </c>
      <c r="JJ13" s="121" t="str">
        <f>IF(ISBLANK(tbl_task6[[คะแนนเต็ม]:[คะแนนเต็ม]]),"",(tbl_task6[100]/tbl_task6[[คะแนนเต็ม]:[คะแนนเต็ม]])*tbl_task6[[%]:[%]])</f>
        <v/>
      </c>
      <c r="JK13" s="121" t="str">
        <f>IF(ISBLANK(tbl_task6[[คะแนนเต็ม]:[คะแนนเต็ม]]),"",(tbl_task6[101]/tbl_task6[[คะแนนเต็ม]:[คะแนนเต็ม]])*tbl_task6[[%]:[%]])</f>
        <v/>
      </c>
      <c r="JL13" s="121" t="str">
        <f>IF(ISBLANK(tbl_task6[[คะแนนเต็ม]:[คะแนนเต็ม]]),"",(tbl_task6[102]/tbl_task6[[คะแนนเต็ม]:[คะแนนเต็ม]])*tbl_task6[[%]:[%]])</f>
        <v/>
      </c>
      <c r="JM13" s="121" t="str">
        <f>IF(ISBLANK(tbl_task6[[คะแนนเต็ม]:[คะแนนเต็ม]]),"",(tbl_task6[103]/tbl_task6[[คะแนนเต็ม]:[คะแนนเต็ม]])*tbl_task6[[%]:[%]])</f>
        <v/>
      </c>
      <c r="JN13" s="121" t="str">
        <f>IF(ISBLANK(tbl_task6[[คะแนนเต็ม]:[คะแนนเต็ม]]),"",(tbl_task6[104]/tbl_task6[[คะแนนเต็ม]:[คะแนนเต็ม]])*tbl_task6[[%]:[%]])</f>
        <v/>
      </c>
      <c r="JO13" s="121" t="str">
        <f>IF(ISBLANK(tbl_task6[[คะแนนเต็ม]:[คะแนนเต็ม]]),"",(tbl_task6[105]/tbl_task6[[คะแนนเต็ม]:[คะแนนเต็ม]])*tbl_task6[[%]:[%]])</f>
        <v/>
      </c>
      <c r="JP13" s="121" t="str">
        <f>IF(ISBLANK(tbl_task6[[คะแนนเต็ม]:[คะแนนเต็ม]]),"",(tbl_task6[106]/tbl_task6[[คะแนนเต็ม]:[คะแนนเต็ม]])*tbl_task6[[%]:[%]])</f>
        <v/>
      </c>
      <c r="JQ13" s="121" t="str">
        <f>IF(ISBLANK(tbl_task6[[คะแนนเต็ม]:[คะแนนเต็ม]]),"",(tbl_task6[107]/tbl_task6[[คะแนนเต็ม]:[คะแนนเต็ม]])*tbl_task6[[%]:[%]])</f>
        <v/>
      </c>
      <c r="JR13" s="121" t="str">
        <f>IF(ISBLANK(tbl_task6[[คะแนนเต็ม]:[คะแนนเต็ม]]),"",(tbl_task6[108]/tbl_task6[[คะแนนเต็ม]:[คะแนนเต็ม]])*tbl_task6[[%]:[%]])</f>
        <v/>
      </c>
      <c r="JS13" s="121" t="str">
        <f>IF(ISBLANK(tbl_task6[[คะแนนเต็ม]:[คะแนนเต็ม]]),"",(tbl_task6[109]/tbl_task6[[คะแนนเต็ม]:[คะแนนเต็ม]])*tbl_task6[[%]:[%]])</f>
        <v/>
      </c>
      <c r="JT13" s="121" t="str">
        <f>IF(ISBLANK(tbl_task6[[คะแนนเต็ม]:[คะแนนเต็ม]]),"",(tbl_task6[110]/tbl_task6[[คะแนนเต็ม]:[คะแนนเต็ม]])*tbl_task6[[%]:[%]])</f>
        <v/>
      </c>
      <c r="JU13" s="121" t="str">
        <f>IF(ISBLANK(tbl_task6[[คะแนนเต็ม]:[คะแนนเต็ม]]),"",(tbl_task6[111]/tbl_task6[[คะแนนเต็ม]:[คะแนนเต็ม]])*tbl_task6[[%]:[%]])</f>
        <v/>
      </c>
      <c r="JV13" s="121" t="str">
        <f>IF(ISBLANK(tbl_task6[[คะแนนเต็ม]:[คะแนนเต็ม]]),"",(tbl_task6[112]/tbl_task6[[คะแนนเต็ม]:[คะแนนเต็ม]])*tbl_task6[[%]:[%]])</f>
        <v/>
      </c>
      <c r="JW13" s="121" t="str">
        <f>IF(ISBLANK(tbl_task6[[คะแนนเต็ม]:[คะแนนเต็ม]]),"",(tbl_task6[113]/tbl_task6[[คะแนนเต็ม]:[คะแนนเต็ม]])*tbl_task6[[%]:[%]])</f>
        <v/>
      </c>
      <c r="JX13" s="121" t="str">
        <f>IF(ISBLANK(tbl_task6[[คะแนนเต็ม]:[คะแนนเต็ม]]),"",(tbl_task6[114]/tbl_task6[[คะแนนเต็ม]:[คะแนนเต็ม]])*tbl_task6[[%]:[%]])</f>
        <v/>
      </c>
      <c r="JY13" s="121" t="str">
        <f>IF(ISBLANK(tbl_task6[[คะแนนเต็ม]:[คะแนนเต็ม]]),"",(tbl_task6[115]/tbl_task6[[คะแนนเต็ม]:[คะแนนเต็ม]])*tbl_task6[[%]:[%]])</f>
        <v/>
      </c>
      <c r="JZ13" s="121" t="str">
        <f>IF(ISBLANK(tbl_task6[[คะแนนเต็ม]:[คะแนนเต็ม]]),"",(tbl_task6[116]/tbl_task6[[คะแนนเต็ม]:[คะแนนเต็ม]])*tbl_task6[[%]:[%]])</f>
        <v/>
      </c>
      <c r="KA13" s="121" t="str">
        <f>IF(ISBLANK(tbl_task6[[คะแนนเต็ม]:[คะแนนเต็ม]]),"",(tbl_task6[117]/tbl_task6[[คะแนนเต็ม]:[คะแนนเต็ม]])*tbl_task6[[%]:[%]])</f>
        <v/>
      </c>
      <c r="KB13" s="121" t="str">
        <f>IF(ISBLANK(tbl_task6[[คะแนนเต็ม]:[คะแนนเต็ม]]),"",(tbl_task6[118]/tbl_task6[[คะแนนเต็ม]:[คะแนนเต็ม]])*tbl_task6[[%]:[%]])</f>
        <v/>
      </c>
      <c r="KC13" s="121" t="str">
        <f>IF(ISBLANK(tbl_task6[[คะแนนเต็ม]:[คะแนนเต็ม]]),"",(tbl_task6[119]/tbl_task6[[คะแนนเต็ม]:[คะแนนเต็ม]])*tbl_task6[[%]:[%]])</f>
        <v/>
      </c>
      <c r="KD13" s="121" t="str">
        <f>IF(ISBLANK(tbl_task6[[คะแนนเต็ม]:[คะแนนเต็ม]]),"",(tbl_task6[120]/tbl_task6[[คะแนนเต็ม]:[คะแนนเต็ม]])*tbl_task6[[%]:[%]])</f>
        <v/>
      </c>
      <c r="KE13" s="121" t="str">
        <f>IF(ISBLANK(tbl_task6[[คะแนนเต็ม]:[คะแนนเต็ม]]),"",(tbl_task6[121]/tbl_task6[[คะแนนเต็ม]:[คะแนนเต็ม]])*tbl_task6[[%]:[%]])</f>
        <v/>
      </c>
      <c r="KF13" s="121" t="str">
        <f>IF(ISBLANK(tbl_task6[[คะแนนเต็ม]:[คะแนนเต็ม]]),"",(tbl_task6[122]/tbl_task6[[คะแนนเต็ม]:[คะแนนเต็ม]])*tbl_task6[[%]:[%]])</f>
        <v/>
      </c>
      <c r="KG13" s="121" t="str">
        <f>IF(ISBLANK(tbl_task6[[คะแนนเต็ม]:[คะแนนเต็ม]]),"",(tbl_task6[123]/tbl_task6[[คะแนนเต็ม]:[คะแนนเต็ม]])*tbl_task6[[%]:[%]])</f>
        <v/>
      </c>
      <c r="KH13" s="121" t="str">
        <f>IF(ISBLANK(tbl_task6[[คะแนนเต็ม]:[คะแนนเต็ม]]),"",(tbl_task6[124]/tbl_task6[[คะแนนเต็ม]:[คะแนนเต็ม]])*tbl_task6[[%]:[%]])</f>
        <v/>
      </c>
      <c r="KI13" s="121" t="str">
        <f>IF(ISBLANK(tbl_task6[[คะแนนเต็ม]:[คะแนนเต็ม]]),"",(tbl_task6[125]/tbl_task6[[คะแนนเต็ม]:[คะแนนเต็ม]])*tbl_task6[[%]:[%]])</f>
        <v/>
      </c>
      <c r="KJ13" s="121" t="str">
        <f>IF(ISBLANK(tbl_task6[[คะแนนเต็ม]:[คะแนนเต็ม]]),"",(tbl_task6[126]/tbl_task6[[คะแนนเต็ม]:[คะแนนเต็ม]])*tbl_task6[[%]:[%]])</f>
        <v/>
      </c>
      <c r="KK13" s="121" t="str">
        <f>IF(ISBLANK(tbl_task6[[คะแนนเต็ม]:[คะแนนเต็ม]]),"",(tbl_task6[127]/tbl_task6[[คะแนนเต็ม]:[คะแนนเต็ม]])*tbl_task6[[%]:[%]])</f>
        <v/>
      </c>
      <c r="KL13" s="121" t="str">
        <f>IF(ISBLANK(tbl_task6[[คะแนนเต็ม]:[คะแนนเต็ม]]),"",(tbl_task6[128]/tbl_task6[[คะแนนเต็ม]:[คะแนนเต็ม]])*tbl_task6[[%]:[%]])</f>
        <v/>
      </c>
      <c r="KM13" s="121" t="str">
        <f>IF(ISBLANK(tbl_task6[[คะแนนเต็ม]:[คะแนนเต็ม]]),"",(tbl_task6[129]/tbl_task6[[คะแนนเต็ม]:[คะแนนเต็ม]])*tbl_task6[[%]:[%]])</f>
        <v/>
      </c>
      <c r="KN13" s="121" t="str">
        <f>IF(ISBLANK(tbl_task6[[คะแนนเต็ม]:[คะแนนเต็ม]]),"",(tbl_task6[130]/tbl_task6[[คะแนนเต็ม]:[คะแนนเต็ม]])*tbl_task6[[%]:[%]])</f>
        <v/>
      </c>
      <c r="KO13" s="121" t="str">
        <f>IF(ISBLANK(tbl_task6[[คะแนนเต็ม]:[คะแนนเต็ม]]),"",(tbl_task6[131]/tbl_task6[[คะแนนเต็ม]:[คะแนนเต็ม]])*tbl_task6[[%]:[%]])</f>
        <v/>
      </c>
      <c r="KP13" s="121" t="str">
        <f>IF(ISBLANK(tbl_task6[[คะแนนเต็ม]:[คะแนนเต็ม]]),"",(tbl_task6[132]/tbl_task6[[คะแนนเต็ม]:[คะแนนเต็ม]])*tbl_task6[[%]:[%]])</f>
        <v/>
      </c>
      <c r="KQ13" s="121" t="str">
        <f>IF(ISBLANK(tbl_task6[[คะแนนเต็ม]:[คะแนนเต็ม]]),"",(tbl_task6[133]/tbl_task6[[คะแนนเต็ม]:[คะแนนเต็ม]])*tbl_task6[[%]:[%]])</f>
        <v/>
      </c>
      <c r="KR13" s="121" t="str">
        <f>IF(ISBLANK(tbl_task6[[คะแนนเต็ม]:[คะแนนเต็ม]]),"",(tbl_task6[134]/tbl_task6[[คะแนนเต็ม]:[คะแนนเต็ม]])*tbl_task6[[%]:[%]])</f>
        <v/>
      </c>
      <c r="KS13" s="121" t="str">
        <f>IF(ISBLANK(tbl_task6[[คะแนนเต็ม]:[คะแนนเต็ม]]),"",(tbl_task6[135]/tbl_task6[[คะแนนเต็ม]:[คะแนนเต็ม]])*tbl_task6[[%]:[%]])</f>
        <v/>
      </c>
      <c r="KT13" s="121" t="str">
        <f>IF(ISBLANK(tbl_task6[[คะแนนเต็ม]:[คะแนนเต็ม]]),"",(tbl_task6[136]/tbl_task6[[คะแนนเต็ม]:[คะแนนเต็ม]])*tbl_task6[[%]:[%]])</f>
        <v/>
      </c>
      <c r="KU13" s="121" t="str">
        <f>IF(ISBLANK(tbl_task6[[คะแนนเต็ม]:[คะแนนเต็ม]]),"",(tbl_task6[137]/tbl_task6[[คะแนนเต็ม]:[คะแนนเต็ม]])*tbl_task6[[%]:[%]])</f>
        <v/>
      </c>
      <c r="KV13" s="121" t="str">
        <f>IF(ISBLANK(tbl_task6[[คะแนนเต็ม]:[คะแนนเต็ม]]),"",(tbl_task6[138]/tbl_task6[[คะแนนเต็ม]:[คะแนนเต็ม]])*tbl_task6[[%]:[%]])</f>
        <v/>
      </c>
      <c r="KW13" s="121" t="str">
        <f>IF(ISBLANK(tbl_task6[[คะแนนเต็ม]:[คะแนนเต็ม]]),"",(tbl_task6[139]/tbl_task6[[คะแนนเต็ม]:[คะแนนเต็ม]])*tbl_task6[[%]:[%]])</f>
        <v/>
      </c>
      <c r="KX13" s="121" t="str">
        <f>IF(ISBLANK(tbl_task6[[คะแนนเต็ม]:[คะแนนเต็ม]]),"",(tbl_task6[140]/tbl_task6[[คะแนนเต็ม]:[คะแนนเต็ม]])*tbl_task6[[%]:[%]])</f>
        <v/>
      </c>
      <c r="KY13" s="121" t="str">
        <f>IF(ISBLANK(tbl_task6[[คะแนนเต็ม]:[คะแนนเต็ม]]),"",(tbl_task6[141]/tbl_task6[[คะแนนเต็ม]:[คะแนนเต็ม]])*tbl_task6[[%]:[%]])</f>
        <v/>
      </c>
      <c r="KZ13" s="121" t="str">
        <f>IF(ISBLANK(tbl_task6[[คะแนนเต็ม]:[คะแนนเต็ม]]),"",(tbl_task6[142]/tbl_task6[[คะแนนเต็ม]:[คะแนนเต็ม]])*tbl_task6[[%]:[%]])</f>
        <v/>
      </c>
      <c r="LA13" s="121" t="str">
        <f>IF(ISBLANK(tbl_task6[[คะแนนเต็ม]:[คะแนนเต็ม]]),"",(tbl_task6[143]/tbl_task6[[คะแนนเต็ม]:[คะแนนเต็ม]])*tbl_task6[[%]:[%]])</f>
        <v/>
      </c>
      <c r="LB13" s="121" t="str">
        <f>IF(ISBLANK(tbl_task6[[คะแนนเต็ม]:[คะแนนเต็ม]]),"",(tbl_task6[144]/tbl_task6[[คะแนนเต็ม]:[คะแนนเต็ม]])*tbl_task6[[%]:[%]])</f>
        <v/>
      </c>
      <c r="LC13" s="121" t="str">
        <f>IF(ISBLANK(tbl_task6[[คะแนนเต็ม]:[คะแนนเต็ม]]),"",(tbl_task6[145]/tbl_task6[[คะแนนเต็ม]:[คะแนนเต็ม]])*tbl_task6[[%]:[%]])</f>
        <v/>
      </c>
      <c r="LD13" s="121" t="str">
        <f>IF(ISBLANK(tbl_task6[[คะแนนเต็ม]:[คะแนนเต็ม]]),"",(tbl_task6[146]/tbl_task6[[คะแนนเต็ม]:[คะแนนเต็ม]])*tbl_task6[[%]:[%]])</f>
        <v/>
      </c>
      <c r="LE13" s="121" t="str">
        <f>IF(ISBLANK(tbl_task6[[คะแนนเต็ม]:[คะแนนเต็ม]]),"",(tbl_task6[147]/tbl_task6[[คะแนนเต็ม]:[คะแนนเต็ม]])*tbl_task6[[%]:[%]])</f>
        <v/>
      </c>
      <c r="LF13" s="121" t="str">
        <f>IF(ISBLANK(tbl_task6[[คะแนนเต็ม]:[คะแนนเต็ม]]),"",(tbl_task6[148]/tbl_task6[[คะแนนเต็ม]:[คะแนนเต็ม]])*tbl_task6[[%]:[%]])</f>
        <v/>
      </c>
      <c r="LG13" s="121" t="str">
        <f>IF(ISBLANK(tbl_task6[[คะแนนเต็ม]:[คะแนนเต็ม]]),"",(tbl_task6[149]/tbl_task6[[คะแนนเต็ม]:[คะแนนเต็ม]])*tbl_task6[[%]:[%]])</f>
        <v/>
      </c>
      <c r="LH13" s="121" t="str">
        <f>IF(ISBLANK(tbl_task6[[คะแนนเต็ม]:[คะแนนเต็ม]]),"",(tbl_task6[150]/tbl_task6[[คะแนนเต็ม]:[คะแนนเต็ม]])*tbl_task6[[%]:[%]])</f>
        <v/>
      </c>
      <c r="LI13" s="121" t="str">
        <f>IF(ISBLANK(tbl_task6[[คะแนนเต็ม]:[คะแนนเต็ม]]),"",(tbl_task6[151]/tbl_task6[[คะแนนเต็ม]:[คะแนนเต็ม]])*tbl_task6[[%]:[%]])</f>
        <v/>
      </c>
      <c r="LJ13" s="121" t="str">
        <f>IF(ISBLANK(tbl_task6[[คะแนนเต็ม]:[คะแนนเต็ม]]),"",(tbl_task6[152]/tbl_task6[[คะแนนเต็ม]:[คะแนนเต็ม]])*tbl_task6[[%]:[%]])</f>
        <v/>
      </c>
      <c r="LK13" s="121" t="str">
        <f>IF(ISBLANK(tbl_task6[[คะแนนเต็ม]:[คะแนนเต็ม]]),"",(tbl_task6[153]/tbl_task6[[คะแนนเต็ม]:[คะแนนเต็ม]])*tbl_task6[[%]:[%]])</f>
        <v/>
      </c>
      <c r="LL13" s="121" t="str">
        <f>IF(ISBLANK(tbl_task6[[คะแนนเต็ม]:[คะแนนเต็ม]]),"",(tbl_task6[154]/tbl_task6[[คะแนนเต็ม]:[คะแนนเต็ม]])*tbl_task6[[%]:[%]])</f>
        <v/>
      </c>
      <c r="LM13" s="121" t="str">
        <f>IF(ISBLANK(tbl_task6[[คะแนนเต็ม]:[คะแนนเต็ม]]),"",(tbl_task6[155]/tbl_task6[[คะแนนเต็ม]:[คะแนนเต็ม]])*tbl_task6[[%]:[%]])</f>
        <v/>
      </c>
      <c r="LN13" s="121" t="str">
        <f>IF(ISBLANK(tbl_task6[[คะแนนเต็ม]:[คะแนนเต็ม]]),"",(tbl_task6[156]/tbl_task6[[คะแนนเต็ม]:[คะแนนเต็ม]])*tbl_task6[[%]:[%]])</f>
        <v/>
      </c>
      <c r="LO13" s="121" t="str">
        <f>IF(ISBLANK(tbl_task6[[คะแนนเต็ม]:[คะแนนเต็ม]]),"",(tbl_task6[157]/tbl_task6[[คะแนนเต็ม]:[คะแนนเต็ม]])*tbl_task6[[%]:[%]])</f>
        <v/>
      </c>
      <c r="LP13" s="121" t="str">
        <f>IF(ISBLANK(tbl_task6[[คะแนนเต็ม]:[คะแนนเต็ม]]),"",(tbl_task6[158]/tbl_task6[[คะแนนเต็ม]:[คะแนนเต็ม]])*tbl_task6[[%]:[%]])</f>
        <v/>
      </c>
      <c r="LQ13" s="121" t="str">
        <f>IF(ISBLANK(tbl_task6[[คะแนนเต็ม]:[คะแนนเต็ม]]),"",(tbl_task6[159]/tbl_task6[[คะแนนเต็ม]:[คะแนนเต็ม]])*tbl_task6[[%]:[%]])</f>
        <v/>
      </c>
      <c r="LR13" s="121" t="str">
        <f>IF(ISBLANK(tbl_task6[[คะแนนเต็ม]:[คะแนนเต็ม]]),"",(tbl_task6[160]/tbl_task6[[คะแนนเต็ม]:[คะแนนเต็ม]])*tbl_task6[[%]:[%]])</f>
        <v/>
      </c>
      <c r="LS13" s="121" t="str">
        <f>IF(ISBLANK(tbl_task6[[คะแนนเต็ม]:[คะแนนเต็ม]]),"",(tbl_task6[161]/tbl_task6[[คะแนนเต็ม]:[คะแนนเต็ม]])*tbl_task6[[%]:[%]])</f>
        <v/>
      </c>
      <c r="LT13" s="121" t="str">
        <f>IF(ISBLANK(tbl_task6[[คะแนนเต็ม]:[คะแนนเต็ม]]),"",(tbl_task6[162]/tbl_task6[[คะแนนเต็ม]:[คะแนนเต็ม]])*tbl_task6[[%]:[%]])</f>
        <v/>
      </c>
      <c r="LU13" s="121" t="str">
        <f>IF(ISBLANK(tbl_task6[[คะแนนเต็ม]:[คะแนนเต็ม]]),"",(tbl_task6[163]/tbl_task6[[คะแนนเต็ม]:[คะแนนเต็ม]])*tbl_task6[[%]:[%]])</f>
        <v/>
      </c>
      <c r="LV13" s="121" t="str">
        <f>IF(ISBLANK(tbl_task6[[คะแนนเต็ม]:[คะแนนเต็ม]]),"",(tbl_task6[164]/tbl_task6[[คะแนนเต็ม]:[คะแนนเต็ม]])*tbl_task6[[%]:[%]])</f>
        <v/>
      </c>
      <c r="LW13" s="121" t="str">
        <f>IF(ISBLANK(tbl_task6[[คะแนนเต็ม]:[คะแนนเต็ม]]),"",(tbl_task6[165]/tbl_task6[[คะแนนเต็ม]:[คะแนนเต็ม]])*tbl_task6[[%]:[%]])</f>
        <v/>
      </c>
    </row>
    <row r="14" spans="1:335" ht="24" customHeight="1" x14ac:dyDescent="0.25">
      <c r="A14" s="24">
        <v>11</v>
      </c>
      <c r="B14" s="20"/>
      <c r="C14" s="5" t="str">
        <f>IF(ISBLANK(B14),"",VLOOKUP(B14,tbl_PLOs[],2,0))</f>
        <v/>
      </c>
      <c r="D14" s="102"/>
      <c r="E14" s="106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21" t="str">
        <f>IF(ISBLANK(tbl_task6[[คะแนนเต็ม]:[คะแนนเต็ม]]),"",(tbl_task6[1]/tbl_task6[[คะแนนเต็ม]:[คะแนนเต็ม]])*tbl_task6[[%]:[%]])</f>
        <v/>
      </c>
      <c r="FP14" s="121" t="str">
        <f>IF(ISBLANK(tbl_task6[[คะแนนเต็ม]:[คะแนนเต็ม]]),"",(tbl_task6[2]/tbl_task6[[คะแนนเต็ม]:[คะแนนเต็ม]])*tbl_task6[[%]:[%]])</f>
        <v/>
      </c>
      <c r="FQ14" s="121" t="str">
        <f>IF(ISBLANK(tbl_task6[[คะแนนเต็ม]:[คะแนนเต็ม]]),"",(tbl_task6[3]/tbl_task6[[คะแนนเต็ม]:[คะแนนเต็ม]])*tbl_task6[[%]:[%]])</f>
        <v/>
      </c>
      <c r="FR14" s="121" t="str">
        <f>IF(ISBLANK(tbl_task6[[คะแนนเต็ม]:[คะแนนเต็ม]]),"",(tbl_task6[4]/tbl_task6[[คะแนนเต็ม]:[คะแนนเต็ม]])*tbl_task6[[%]:[%]])</f>
        <v/>
      </c>
      <c r="FS14" s="121" t="str">
        <f>IF(ISBLANK(tbl_task6[[คะแนนเต็ม]:[คะแนนเต็ม]]),"",(tbl_task6[5]/tbl_task6[[คะแนนเต็ม]:[คะแนนเต็ม]])*tbl_task6[[%]:[%]])</f>
        <v/>
      </c>
      <c r="FT14" s="121" t="str">
        <f>IF(ISBLANK(tbl_task6[[คะแนนเต็ม]:[คะแนนเต็ม]]),"",(tbl_task6[6]/tbl_task6[[คะแนนเต็ม]:[คะแนนเต็ม]])*tbl_task6[[%]:[%]])</f>
        <v/>
      </c>
      <c r="FU14" s="121" t="str">
        <f>IF(ISBLANK(tbl_task6[[คะแนนเต็ม]:[คะแนนเต็ม]]),"",(tbl_task6[7]/tbl_task6[[คะแนนเต็ม]:[คะแนนเต็ม]])*tbl_task6[[%]:[%]])</f>
        <v/>
      </c>
      <c r="FV14" s="121" t="str">
        <f>IF(ISBLANK(tbl_task6[[คะแนนเต็ม]:[คะแนนเต็ม]]),"",(tbl_task6[8]/tbl_task6[[คะแนนเต็ม]:[คะแนนเต็ม]])*tbl_task6[[%]:[%]])</f>
        <v/>
      </c>
      <c r="FW14" s="121" t="str">
        <f>IF(ISBLANK(tbl_task6[[คะแนนเต็ม]:[คะแนนเต็ม]]),"",(tbl_task6[9]/tbl_task6[[คะแนนเต็ม]:[คะแนนเต็ม]])*tbl_task6[[%]:[%]])</f>
        <v/>
      </c>
      <c r="FX14" s="121" t="str">
        <f>IF(ISBLANK(tbl_task6[[คะแนนเต็ม]:[คะแนนเต็ม]]),"",(tbl_task6[10]/tbl_task6[[คะแนนเต็ม]:[คะแนนเต็ม]])*tbl_task6[[%]:[%]])</f>
        <v/>
      </c>
      <c r="FY14" s="121" t="str">
        <f>IF(ISBLANK(tbl_task6[[คะแนนเต็ม]:[คะแนนเต็ม]]),"",(tbl_task6[11]/tbl_task6[[คะแนนเต็ม]:[คะแนนเต็ม]])*tbl_task6[[%]:[%]])</f>
        <v/>
      </c>
      <c r="FZ14" s="121" t="str">
        <f>IF(ISBLANK(tbl_task6[[คะแนนเต็ม]:[คะแนนเต็ม]]),"",(tbl_task6[12]/tbl_task6[[คะแนนเต็ม]:[คะแนนเต็ม]])*tbl_task6[[%]:[%]])</f>
        <v/>
      </c>
      <c r="GA14" s="121" t="str">
        <f>IF(ISBLANK(tbl_task6[[คะแนนเต็ม]:[คะแนนเต็ม]]),"",(tbl_task6[13]/tbl_task6[[คะแนนเต็ม]:[คะแนนเต็ม]])*tbl_task6[[%]:[%]])</f>
        <v/>
      </c>
      <c r="GB14" s="121" t="str">
        <f>IF(ISBLANK(tbl_task6[[คะแนนเต็ม]:[คะแนนเต็ม]]),"",(tbl_task6[14]/tbl_task6[[คะแนนเต็ม]:[คะแนนเต็ม]])*tbl_task6[[%]:[%]])</f>
        <v/>
      </c>
      <c r="GC14" s="121" t="str">
        <f>IF(ISBLANK(tbl_task6[[คะแนนเต็ม]:[คะแนนเต็ม]]),"",(tbl_task6[15]/tbl_task6[[คะแนนเต็ม]:[คะแนนเต็ม]])*tbl_task6[[%]:[%]])</f>
        <v/>
      </c>
      <c r="GD14" s="121" t="str">
        <f>IF(ISBLANK(tbl_task6[[คะแนนเต็ม]:[คะแนนเต็ม]]),"",(tbl_task6[16]/tbl_task6[[คะแนนเต็ม]:[คะแนนเต็ม]])*tbl_task6[[%]:[%]])</f>
        <v/>
      </c>
      <c r="GE14" s="121" t="str">
        <f>IF(ISBLANK(tbl_task6[[คะแนนเต็ม]:[คะแนนเต็ม]]),"",(tbl_task6[17]/tbl_task6[[คะแนนเต็ม]:[คะแนนเต็ม]])*tbl_task6[[%]:[%]])</f>
        <v/>
      </c>
      <c r="GF14" s="121" t="str">
        <f>IF(ISBLANK(tbl_task6[[คะแนนเต็ม]:[คะแนนเต็ม]]),"",(tbl_task6[18]/tbl_task6[[คะแนนเต็ม]:[คะแนนเต็ม]])*tbl_task6[[%]:[%]])</f>
        <v/>
      </c>
      <c r="GG14" s="121" t="str">
        <f>IF(ISBLANK(tbl_task6[[คะแนนเต็ม]:[คะแนนเต็ม]]),"",(tbl_task6[19]/tbl_task6[[คะแนนเต็ม]:[คะแนนเต็ม]])*tbl_task6[[%]:[%]])</f>
        <v/>
      </c>
      <c r="GH14" s="121" t="str">
        <f>IF(ISBLANK(tbl_task6[[คะแนนเต็ม]:[คะแนนเต็ม]]),"",(tbl_task6[20]/tbl_task6[[คะแนนเต็ม]:[คะแนนเต็ม]])*tbl_task6[[%]:[%]])</f>
        <v/>
      </c>
      <c r="GI14" s="121" t="str">
        <f>IF(ISBLANK(tbl_task6[[คะแนนเต็ม]:[คะแนนเต็ม]]),"",(tbl_task6[21]/tbl_task6[[คะแนนเต็ม]:[คะแนนเต็ม]])*tbl_task6[[%]:[%]])</f>
        <v/>
      </c>
      <c r="GJ14" s="121" t="str">
        <f>IF(ISBLANK(tbl_task6[[คะแนนเต็ม]:[คะแนนเต็ม]]),"",(tbl_task6[22]/tbl_task6[[คะแนนเต็ม]:[คะแนนเต็ม]])*tbl_task6[[%]:[%]])</f>
        <v/>
      </c>
      <c r="GK14" s="121" t="str">
        <f>IF(ISBLANK(tbl_task6[[คะแนนเต็ม]:[คะแนนเต็ม]]),"",(tbl_task6[23]/tbl_task6[[คะแนนเต็ม]:[คะแนนเต็ม]])*tbl_task6[[%]:[%]])</f>
        <v/>
      </c>
      <c r="GL14" s="121" t="str">
        <f>IF(ISBLANK(tbl_task6[[คะแนนเต็ม]:[คะแนนเต็ม]]),"",(tbl_task6[24]/tbl_task6[[คะแนนเต็ม]:[คะแนนเต็ม]])*tbl_task6[[%]:[%]])</f>
        <v/>
      </c>
      <c r="GM14" s="121" t="str">
        <f>IF(ISBLANK(tbl_task6[[คะแนนเต็ม]:[คะแนนเต็ม]]),"",(tbl_task6[25]/tbl_task6[[คะแนนเต็ม]:[คะแนนเต็ม]])*tbl_task6[[%]:[%]])</f>
        <v/>
      </c>
      <c r="GN14" s="121" t="str">
        <f>IF(ISBLANK(tbl_task6[[คะแนนเต็ม]:[คะแนนเต็ม]]),"",(tbl_task6[26]/tbl_task6[[คะแนนเต็ม]:[คะแนนเต็ม]])*tbl_task6[[%]:[%]])</f>
        <v/>
      </c>
      <c r="GO14" s="121" t="str">
        <f>IF(ISBLANK(tbl_task6[[คะแนนเต็ม]:[คะแนนเต็ม]]),"",(tbl_task6[27]/tbl_task6[[คะแนนเต็ม]:[คะแนนเต็ม]])*tbl_task6[[%]:[%]])</f>
        <v/>
      </c>
      <c r="GP14" s="121" t="str">
        <f>IF(ISBLANK(tbl_task6[[คะแนนเต็ม]:[คะแนนเต็ม]]),"",(tbl_task6[28]/tbl_task6[[คะแนนเต็ม]:[คะแนนเต็ม]])*tbl_task6[[%]:[%]])</f>
        <v/>
      </c>
      <c r="GQ14" s="121" t="str">
        <f>IF(ISBLANK(tbl_task6[[คะแนนเต็ม]:[คะแนนเต็ม]]),"",(tbl_task6[29]/tbl_task6[[คะแนนเต็ม]:[คะแนนเต็ม]])*tbl_task6[[%]:[%]])</f>
        <v/>
      </c>
      <c r="GR14" s="121" t="str">
        <f>IF(ISBLANK(tbl_task6[[คะแนนเต็ม]:[คะแนนเต็ม]]),"",(tbl_task6[30]/tbl_task6[[คะแนนเต็ม]:[คะแนนเต็ม]])*tbl_task6[[%]:[%]])</f>
        <v/>
      </c>
      <c r="GS14" s="121" t="str">
        <f>IF(ISBLANK(tbl_task6[[คะแนนเต็ม]:[คะแนนเต็ม]]),"",(tbl_task6[31]/tbl_task6[[คะแนนเต็ม]:[คะแนนเต็ม]])*tbl_task6[[%]:[%]])</f>
        <v/>
      </c>
      <c r="GT14" s="121" t="str">
        <f>IF(ISBLANK(tbl_task6[[คะแนนเต็ม]:[คะแนนเต็ม]]),"",(tbl_task6[32]/tbl_task6[[คะแนนเต็ม]:[คะแนนเต็ม]])*tbl_task6[[%]:[%]])</f>
        <v/>
      </c>
      <c r="GU14" s="121" t="str">
        <f>IF(ISBLANK(tbl_task6[[คะแนนเต็ม]:[คะแนนเต็ม]]),"",(tbl_task6[33]/tbl_task6[[คะแนนเต็ม]:[คะแนนเต็ม]])*tbl_task6[[%]:[%]])</f>
        <v/>
      </c>
      <c r="GV14" s="121" t="str">
        <f>IF(ISBLANK(tbl_task6[[คะแนนเต็ม]:[คะแนนเต็ม]]),"",(tbl_task6[34]/tbl_task6[[คะแนนเต็ม]:[คะแนนเต็ม]])*tbl_task6[[%]:[%]])</f>
        <v/>
      </c>
      <c r="GW14" s="121" t="str">
        <f>IF(ISBLANK(tbl_task6[[คะแนนเต็ม]:[คะแนนเต็ม]]),"",(tbl_task6[35]/tbl_task6[[คะแนนเต็ม]:[คะแนนเต็ม]])*tbl_task6[[%]:[%]])</f>
        <v/>
      </c>
      <c r="GX14" s="121" t="str">
        <f>IF(ISBLANK(tbl_task6[[คะแนนเต็ม]:[คะแนนเต็ม]]),"",(tbl_task6[36]/tbl_task6[[คะแนนเต็ม]:[คะแนนเต็ม]])*tbl_task6[[%]:[%]])</f>
        <v/>
      </c>
      <c r="GY14" s="121" t="str">
        <f>IF(ISBLANK(tbl_task6[[คะแนนเต็ม]:[คะแนนเต็ม]]),"",(tbl_task6[37]/tbl_task6[[คะแนนเต็ม]:[คะแนนเต็ม]])*tbl_task6[[%]:[%]])</f>
        <v/>
      </c>
      <c r="GZ14" s="121" t="str">
        <f>IF(ISBLANK(tbl_task6[[คะแนนเต็ม]:[คะแนนเต็ม]]),"",(tbl_task6[38]/tbl_task6[[คะแนนเต็ม]:[คะแนนเต็ม]])*tbl_task6[[%]:[%]])</f>
        <v/>
      </c>
      <c r="HA14" s="121" t="str">
        <f>IF(ISBLANK(tbl_task6[[คะแนนเต็ม]:[คะแนนเต็ม]]),"",(tbl_task6[39]/tbl_task6[[คะแนนเต็ม]:[คะแนนเต็ม]])*tbl_task6[[%]:[%]])</f>
        <v/>
      </c>
      <c r="HB14" s="121" t="str">
        <f>IF(ISBLANK(tbl_task6[[คะแนนเต็ม]:[คะแนนเต็ม]]),"",(tbl_task6[40]/tbl_task6[[คะแนนเต็ม]:[คะแนนเต็ม]])*tbl_task6[[%]:[%]])</f>
        <v/>
      </c>
      <c r="HC14" s="121" t="str">
        <f>IF(ISBLANK(tbl_task6[[คะแนนเต็ม]:[คะแนนเต็ม]]),"",(tbl_task6[41]/tbl_task6[[คะแนนเต็ม]:[คะแนนเต็ม]])*tbl_task6[[%]:[%]])</f>
        <v/>
      </c>
      <c r="HD14" s="121" t="str">
        <f>IF(ISBLANK(tbl_task6[[คะแนนเต็ม]:[คะแนนเต็ม]]),"",(tbl_task6[42]/tbl_task6[[คะแนนเต็ม]:[คะแนนเต็ม]])*tbl_task6[[%]:[%]])</f>
        <v/>
      </c>
      <c r="HE14" s="121" t="str">
        <f>IF(ISBLANK(tbl_task6[[คะแนนเต็ม]:[คะแนนเต็ม]]),"",(tbl_task6[43]/tbl_task6[[คะแนนเต็ม]:[คะแนนเต็ม]])*tbl_task6[[%]:[%]])</f>
        <v/>
      </c>
      <c r="HF14" s="121" t="str">
        <f>IF(ISBLANK(tbl_task6[[คะแนนเต็ม]:[คะแนนเต็ม]]),"",(tbl_task6[44]/tbl_task6[[คะแนนเต็ม]:[คะแนนเต็ม]])*tbl_task6[[%]:[%]])</f>
        <v/>
      </c>
      <c r="HG14" s="121" t="str">
        <f>IF(ISBLANK(tbl_task6[[คะแนนเต็ม]:[คะแนนเต็ม]]),"",(tbl_task6[45]/tbl_task6[[คะแนนเต็ม]:[คะแนนเต็ม]])*tbl_task6[[%]:[%]])</f>
        <v/>
      </c>
      <c r="HH14" s="121" t="str">
        <f>IF(ISBLANK(tbl_task6[[คะแนนเต็ม]:[คะแนนเต็ม]]),"",(tbl_task6[46]/tbl_task6[[คะแนนเต็ม]:[คะแนนเต็ม]])*tbl_task6[[%]:[%]])</f>
        <v/>
      </c>
      <c r="HI14" s="121" t="str">
        <f>IF(ISBLANK(tbl_task6[[คะแนนเต็ม]:[คะแนนเต็ม]]),"",(tbl_task6[47]/tbl_task6[[คะแนนเต็ม]:[คะแนนเต็ม]])*tbl_task6[[%]:[%]])</f>
        <v/>
      </c>
      <c r="HJ14" s="121" t="str">
        <f>IF(ISBLANK(tbl_task6[[คะแนนเต็ม]:[คะแนนเต็ม]]),"",(tbl_task6[48]/tbl_task6[[คะแนนเต็ม]:[คะแนนเต็ม]])*tbl_task6[[%]:[%]])</f>
        <v/>
      </c>
      <c r="HK14" s="121" t="str">
        <f>IF(ISBLANK(tbl_task6[[คะแนนเต็ม]:[คะแนนเต็ม]]),"",(tbl_task6[49]/tbl_task6[[คะแนนเต็ม]:[คะแนนเต็ม]])*tbl_task6[[%]:[%]])</f>
        <v/>
      </c>
      <c r="HL14" s="121" t="str">
        <f>IF(ISBLANK(tbl_task6[[คะแนนเต็ม]:[คะแนนเต็ม]]),"",(tbl_task6[50]/tbl_task6[[คะแนนเต็ม]:[คะแนนเต็ม]])*tbl_task6[[%]:[%]])</f>
        <v/>
      </c>
      <c r="HM14" s="121" t="str">
        <f>IF(ISBLANK(tbl_task6[[คะแนนเต็ม]:[คะแนนเต็ม]]),"",(tbl_task6[51]/tbl_task6[[คะแนนเต็ม]:[คะแนนเต็ม]])*tbl_task6[[%]:[%]])</f>
        <v/>
      </c>
      <c r="HN14" s="121" t="str">
        <f>IF(ISBLANK(tbl_task6[[คะแนนเต็ม]:[คะแนนเต็ม]]),"",(tbl_task6[52]/tbl_task6[[คะแนนเต็ม]:[คะแนนเต็ม]])*tbl_task6[[%]:[%]])</f>
        <v/>
      </c>
      <c r="HO14" s="121" t="str">
        <f>IF(ISBLANK(tbl_task6[[คะแนนเต็ม]:[คะแนนเต็ม]]),"",(tbl_task6[53]/tbl_task6[[คะแนนเต็ม]:[คะแนนเต็ม]])*tbl_task6[[%]:[%]])</f>
        <v/>
      </c>
      <c r="HP14" s="121" t="str">
        <f>IF(ISBLANK(tbl_task6[[คะแนนเต็ม]:[คะแนนเต็ม]]),"",(tbl_task6[54]/tbl_task6[[คะแนนเต็ม]:[คะแนนเต็ม]])*tbl_task6[[%]:[%]])</f>
        <v/>
      </c>
      <c r="HQ14" s="121" t="str">
        <f>IF(ISBLANK(tbl_task6[[คะแนนเต็ม]:[คะแนนเต็ม]]),"",(tbl_task6[55]/tbl_task6[[คะแนนเต็ม]:[คะแนนเต็ม]])*tbl_task6[[%]:[%]])</f>
        <v/>
      </c>
      <c r="HR14" s="121" t="str">
        <f>IF(ISBLANK(tbl_task6[[คะแนนเต็ม]:[คะแนนเต็ม]]),"",(tbl_task6[56]/tbl_task6[[คะแนนเต็ม]:[คะแนนเต็ม]])*tbl_task6[[%]:[%]])</f>
        <v/>
      </c>
      <c r="HS14" s="121" t="str">
        <f>IF(ISBLANK(tbl_task6[[คะแนนเต็ม]:[คะแนนเต็ม]]),"",(tbl_task6[57]/tbl_task6[[คะแนนเต็ม]:[คะแนนเต็ม]])*tbl_task6[[%]:[%]])</f>
        <v/>
      </c>
      <c r="HT14" s="121" t="str">
        <f>IF(ISBLANK(tbl_task6[[คะแนนเต็ม]:[คะแนนเต็ม]]),"",(tbl_task6[58]/tbl_task6[[คะแนนเต็ม]:[คะแนนเต็ม]])*tbl_task6[[%]:[%]])</f>
        <v/>
      </c>
      <c r="HU14" s="121" t="str">
        <f>IF(ISBLANK(tbl_task6[[คะแนนเต็ม]:[คะแนนเต็ม]]),"",(tbl_task6[59]/tbl_task6[[คะแนนเต็ม]:[คะแนนเต็ม]])*tbl_task6[[%]:[%]])</f>
        <v/>
      </c>
      <c r="HV14" s="121" t="str">
        <f>IF(ISBLANK(tbl_task6[[คะแนนเต็ม]:[คะแนนเต็ม]]),"",(tbl_task6[60]/tbl_task6[[คะแนนเต็ม]:[คะแนนเต็ม]])*tbl_task6[[%]:[%]])</f>
        <v/>
      </c>
      <c r="HW14" s="121" t="str">
        <f>IF(ISBLANK(tbl_task6[[คะแนนเต็ม]:[คะแนนเต็ม]]),"",(tbl_task6[61]/tbl_task6[[คะแนนเต็ม]:[คะแนนเต็ม]])*tbl_task6[[%]:[%]])</f>
        <v/>
      </c>
      <c r="HX14" s="121" t="str">
        <f>IF(ISBLANK(tbl_task6[[คะแนนเต็ม]:[คะแนนเต็ม]]),"",(tbl_task6[62]/tbl_task6[[คะแนนเต็ม]:[คะแนนเต็ม]])*tbl_task6[[%]:[%]])</f>
        <v/>
      </c>
      <c r="HY14" s="121" t="str">
        <f>IF(ISBLANK(tbl_task6[[คะแนนเต็ม]:[คะแนนเต็ม]]),"",(tbl_task6[63]/tbl_task6[[คะแนนเต็ม]:[คะแนนเต็ม]])*tbl_task6[[%]:[%]])</f>
        <v/>
      </c>
      <c r="HZ14" s="121" t="str">
        <f>IF(ISBLANK(tbl_task6[[คะแนนเต็ม]:[คะแนนเต็ม]]),"",(tbl_task6[64]/tbl_task6[[คะแนนเต็ม]:[คะแนนเต็ม]])*tbl_task6[[%]:[%]])</f>
        <v/>
      </c>
      <c r="IA14" s="121" t="str">
        <f>IF(ISBLANK(tbl_task6[[คะแนนเต็ม]:[คะแนนเต็ม]]),"",(tbl_task6[65]/tbl_task6[[คะแนนเต็ม]:[คะแนนเต็ม]])*tbl_task6[[%]:[%]])</f>
        <v/>
      </c>
      <c r="IB14" s="121" t="str">
        <f>IF(ISBLANK(tbl_task6[[คะแนนเต็ม]:[คะแนนเต็ม]]),"",(tbl_task6[66]/tbl_task6[[คะแนนเต็ม]:[คะแนนเต็ม]])*tbl_task6[[%]:[%]])</f>
        <v/>
      </c>
      <c r="IC14" s="121" t="str">
        <f>IF(ISBLANK(tbl_task6[[คะแนนเต็ม]:[คะแนนเต็ม]]),"",(tbl_task6[67]/tbl_task6[[คะแนนเต็ม]:[คะแนนเต็ม]])*tbl_task6[[%]:[%]])</f>
        <v/>
      </c>
      <c r="ID14" s="121" t="str">
        <f>IF(ISBLANK(tbl_task6[[คะแนนเต็ม]:[คะแนนเต็ม]]),"",(tbl_task6[68]/tbl_task6[[คะแนนเต็ม]:[คะแนนเต็ม]])*tbl_task6[[%]:[%]])</f>
        <v/>
      </c>
      <c r="IE14" s="121" t="str">
        <f>IF(ISBLANK(tbl_task6[[คะแนนเต็ม]:[คะแนนเต็ม]]),"",(tbl_task6[69]/tbl_task6[[คะแนนเต็ม]:[คะแนนเต็ม]])*tbl_task6[[%]:[%]])</f>
        <v/>
      </c>
      <c r="IF14" s="121" t="str">
        <f>IF(ISBLANK(tbl_task6[[คะแนนเต็ม]:[คะแนนเต็ม]]),"",(tbl_task6[70]/tbl_task6[[คะแนนเต็ม]:[คะแนนเต็ม]])*tbl_task6[[%]:[%]])</f>
        <v/>
      </c>
      <c r="IG14" s="121" t="str">
        <f>IF(ISBLANK(tbl_task6[[คะแนนเต็ม]:[คะแนนเต็ม]]),"",(tbl_task6[71]/tbl_task6[[คะแนนเต็ม]:[คะแนนเต็ม]])*tbl_task6[[%]:[%]])</f>
        <v/>
      </c>
      <c r="IH14" s="121" t="str">
        <f>IF(ISBLANK(tbl_task6[[คะแนนเต็ม]:[คะแนนเต็ม]]),"",(tbl_task6[72]/tbl_task6[[คะแนนเต็ม]:[คะแนนเต็ม]])*tbl_task6[[%]:[%]])</f>
        <v/>
      </c>
      <c r="II14" s="121" t="str">
        <f>IF(ISBLANK(tbl_task6[[คะแนนเต็ม]:[คะแนนเต็ม]]),"",(tbl_task6[73]/tbl_task6[[คะแนนเต็ม]:[คะแนนเต็ม]])*tbl_task6[[%]:[%]])</f>
        <v/>
      </c>
      <c r="IJ14" s="121" t="str">
        <f>IF(ISBLANK(tbl_task6[[คะแนนเต็ม]:[คะแนนเต็ม]]),"",(tbl_task6[74]/tbl_task6[[คะแนนเต็ม]:[คะแนนเต็ม]])*tbl_task6[[%]:[%]])</f>
        <v/>
      </c>
      <c r="IK14" s="121" t="str">
        <f>IF(ISBLANK(tbl_task6[[คะแนนเต็ม]:[คะแนนเต็ม]]),"",(tbl_task6[75]/tbl_task6[[คะแนนเต็ม]:[คะแนนเต็ม]])*tbl_task6[[%]:[%]])</f>
        <v/>
      </c>
      <c r="IL14" s="121" t="str">
        <f>IF(ISBLANK(tbl_task6[[คะแนนเต็ม]:[คะแนนเต็ม]]),"",(tbl_task6[76]/tbl_task6[[คะแนนเต็ม]:[คะแนนเต็ม]])*tbl_task6[[%]:[%]])</f>
        <v/>
      </c>
      <c r="IM14" s="121" t="str">
        <f>IF(ISBLANK(tbl_task6[[คะแนนเต็ม]:[คะแนนเต็ม]]),"",(tbl_task6[77]/tbl_task6[[คะแนนเต็ม]:[คะแนนเต็ม]])*tbl_task6[[%]:[%]])</f>
        <v/>
      </c>
      <c r="IN14" s="121" t="str">
        <f>IF(ISBLANK(tbl_task6[[คะแนนเต็ม]:[คะแนนเต็ม]]),"",(tbl_task6[78]/tbl_task6[[คะแนนเต็ม]:[คะแนนเต็ม]])*tbl_task6[[%]:[%]])</f>
        <v/>
      </c>
      <c r="IO14" s="121" t="str">
        <f>IF(ISBLANK(tbl_task6[[คะแนนเต็ม]:[คะแนนเต็ม]]),"",(tbl_task6[79]/tbl_task6[[คะแนนเต็ม]:[คะแนนเต็ม]])*tbl_task6[[%]:[%]])</f>
        <v/>
      </c>
      <c r="IP14" s="121" t="str">
        <f>IF(ISBLANK(tbl_task6[[คะแนนเต็ม]:[คะแนนเต็ม]]),"",(tbl_task6[80]/tbl_task6[[คะแนนเต็ม]:[คะแนนเต็ม]])*tbl_task6[[%]:[%]])</f>
        <v/>
      </c>
      <c r="IQ14" s="121" t="str">
        <f>IF(ISBLANK(tbl_task6[[คะแนนเต็ม]:[คะแนนเต็ม]]),"",(tbl_task6[81]/tbl_task6[[คะแนนเต็ม]:[คะแนนเต็ม]])*tbl_task6[[%]:[%]])</f>
        <v/>
      </c>
      <c r="IR14" s="121" t="str">
        <f>IF(ISBLANK(tbl_task6[[คะแนนเต็ม]:[คะแนนเต็ม]]),"",(tbl_task6[82]/tbl_task6[[คะแนนเต็ม]:[คะแนนเต็ม]])*tbl_task6[[%]:[%]])</f>
        <v/>
      </c>
      <c r="IS14" s="121" t="str">
        <f>IF(ISBLANK(tbl_task6[[คะแนนเต็ม]:[คะแนนเต็ม]]),"",(tbl_task6[83]/tbl_task6[[คะแนนเต็ม]:[คะแนนเต็ม]])*tbl_task6[[%]:[%]])</f>
        <v/>
      </c>
      <c r="IT14" s="121" t="str">
        <f>IF(ISBLANK(tbl_task6[[คะแนนเต็ม]:[คะแนนเต็ม]]),"",(tbl_task6[84]/tbl_task6[[คะแนนเต็ม]:[คะแนนเต็ม]])*tbl_task6[[%]:[%]])</f>
        <v/>
      </c>
      <c r="IU14" s="121" t="str">
        <f>IF(ISBLANK(tbl_task6[[คะแนนเต็ม]:[คะแนนเต็ม]]),"",(tbl_task6[85]/tbl_task6[[คะแนนเต็ม]:[คะแนนเต็ม]])*tbl_task6[[%]:[%]])</f>
        <v/>
      </c>
      <c r="IV14" s="121" t="str">
        <f>IF(ISBLANK(tbl_task6[[คะแนนเต็ม]:[คะแนนเต็ม]]),"",(tbl_task6[86]/tbl_task6[[คะแนนเต็ม]:[คะแนนเต็ม]])*tbl_task6[[%]:[%]])</f>
        <v/>
      </c>
      <c r="IW14" s="121" t="str">
        <f>IF(ISBLANK(tbl_task6[[คะแนนเต็ม]:[คะแนนเต็ม]]),"",(tbl_task6[87]/tbl_task6[[คะแนนเต็ม]:[คะแนนเต็ม]])*tbl_task6[[%]:[%]])</f>
        <v/>
      </c>
      <c r="IX14" s="121" t="str">
        <f>IF(ISBLANK(tbl_task6[[คะแนนเต็ม]:[คะแนนเต็ม]]),"",(tbl_task6[88]/tbl_task6[[คะแนนเต็ม]:[คะแนนเต็ม]])*tbl_task6[[%]:[%]])</f>
        <v/>
      </c>
      <c r="IY14" s="121" t="str">
        <f>IF(ISBLANK(tbl_task6[[คะแนนเต็ม]:[คะแนนเต็ม]]),"",(tbl_task6[89]/tbl_task6[[คะแนนเต็ม]:[คะแนนเต็ม]])*tbl_task6[[%]:[%]])</f>
        <v/>
      </c>
      <c r="IZ14" s="121" t="str">
        <f>IF(ISBLANK(tbl_task6[[คะแนนเต็ม]:[คะแนนเต็ม]]),"",(tbl_task6[90]/tbl_task6[[คะแนนเต็ม]:[คะแนนเต็ม]])*tbl_task6[[%]:[%]])</f>
        <v/>
      </c>
      <c r="JA14" s="121" t="str">
        <f>IF(ISBLANK(tbl_task6[[คะแนนเต็ม]:[คะแนนเต็ม]]),"",(tbl_task6[91]/tbl_task6[[คะแนนเต็ม]:[คะแนนเต็ม]])*tbl_task6[[%]:[%]])</f>
        <v/>
      </c>
      <c r="JB14" s="121" t="str">
        <f>IF(ISBLANK(tbl_task6[[คะแนนเต็ม]:[คะแนนเต็ม]]),"",(tbl_task6[92]/tbl_task6[[คะแนนเต็ม]:[คะแนนเต็ม]])*tbl_task6[[%]:[%]])</f>
        <v/>
      </c>
      <c r="JC14" s="121" t="str">
        <f>IF(ISBLANK(tbl_task6[[คะแนนเต็ม]:[คะแนนเต็ม]]),"",(tbl_task6[93]/tbl_task6[[คะแนนเต็ม]:[คะแนนเต็ม]])*tbl_task6[[%]:[%]])</f>
        <v/>
      </c>
      <c r="JD14" s="121" t="str">
        <f>IF(ISBLANK(tbl_task6[[คะแนนเต็ม]:[คะแนนเต็ม]]),"",(tbl_task6[94]/tbl_task6[[คะแนนเต็ม]:[คะแนนเต็ม]])*tbl_task6[[%]:[%]])</f>
        <v/>
      </c>
      <c r="JE14" s="121" t="str">
        <f>IF(ISBLANK(tbl_task6[[คะแนนเต็ม]:[คะแนนเต็ม]]),"",(tbl_task6[95]/tbl_task6[[คะแนนเต็ม]:[คะแนนเต็ม]])*tbl_task6[[%]:[%]])</f>
        <v/>
      </c>
      <c r="JF14" s="121" t="str">
        <f>IF(ISBLANK(tbl_task6[[คะแนนเต็ม]:[คะแนนเต็ม]]),"",(tbl_task6[96]/tbl_task6[[คะแนนเต็ม]:[คะแนนเต็ม]])*tbl_task6[[%]:[%]])</f>
        <v/>
      </c>
      <c r="JG14" s="121" t="str">
        <f>IF(ISBLANK(tbl_task6[[คะแนนเต็ม]:[คะแนนเต็ม]]),"",(tbl_task6[97]/tbl_task6[[คะแนนเต็ม]:[คะแนนเต็ม]])*tbl_task6[[%]:[%]])</f>
        <v/>
      </c>
      <c r="JH14" s="121" t="str">
        <f>IF(ISBLANK(tbl_task6[[คะแนนเต็ม]:[คะแนนเต็ม]]),"",(tbl_task6[98]/tbl_task6[[คะแนนเต็ม]:[คะแนนเต็ม]])*tbl_task6[[%]:[%]])</f>
        <v/>
      </c>
      <c r="JI14" s="121" t="str">
        <f>IF(ISBLANK(tbl_task6[[คะแนนเต็ม]:[คะแนนเต็ม]]),"",(tbl_task6[99]/tbl_task6[[คะแนนเต็ม]:[คะแนนเต็ม]])*tbl_task6[[%]:[%]])</f>
        <v/>
      </c>
      <c r="JJ14" s="121" t="str">
        <f>IF(ISBLANK(tbl_task6[[คะแนนเต็ม]:[คะแนนเต็ม]]),"",(tbl_task6[100]/tbl_task6[[คะแนนเต็ม]:[คะแนนเต็ม]])*tbl_task6[[%]:[%]])</f>
        <v/>
      </c>
      <c r="JK14" s="121" t="str">
        <f>IF(ISBLANK(tbl_task6[[คะแนนเต็ม]:[คะแนนเต็ม]]),"",(tbl_task6[101]/tbl_task6[[คะแนนเต็ม]:[คะแนนเต็ม]])*tbl_task6[[%]:[%]])</f>
        <v/>
      </c>
      <c r="JL14" s="121" t="str">
        <f>IF(ISBLANK(tbl_task6[[คะแนนเต็ม]:[คะแนนเต็ม]]),"",(tbl_task6[102]/tbl_task6[[คะแนนเต็ม]:[คะแนนเต็ม]])*tbl_task6[[%]:[%]])</f>
        <v/>
      </c>
      <c r="JM14" s="121" t="str">
        <f>IF(ISBLANK(tbl_task6[[คะแนนเต็ม]:[คะแนนเต็ม]]),"",(tbl_task6[103]/tbl_task6[[คะแนนเต็ม]:[คะแนนเต็ม]])*tbl_task6[[%]:[%]])</f>
        <v/>
      </c>
      <c r="JN14" s="121" t="str">
        <f>IF(ISBLANK(tbl_task6[[คะแนนเต็ม]:[คะแนนเต็ม]]),"",(tbl_task6[104]/tbl_task6[[คะแนนเต็ม]:[คะแนนเต็ม]])*tbl_task6[[%]:[%]])</f>
        <v/>
      </c>
      <c r="JO14" s="121" t="str">
        <f>IF(ISBLANK(tbl_task6[[คะแนนเต็ม]:[คะแนนเต็ม]]),"",(tbl_task6[105]/tbl_task6[[คะแนนเต็ม]:[คะแนนเต็ม]])*tbl_task6[[%]:[%]])</f>
        <v/>
      </c>
      <c r="JP14" s="121" t="str">
        <f>IF(ISBLANK(tbl_task6[[คะแนนเต็ม]:[คะแนนเต็ม]]),"",(tbl_task6[106]/tbl_task6[[คะแนนเต็ม]:[คะแนนเต็ม]])*tbl_task6[[%]:[%]])</f>
        <v/>
      </c>
      <c r="JQ14" s="121" t="str">
        <f>IF(ISBLANK(tbl_task6[[คะแนนเต็ม]:[คะแนนเต็ม]]),"",(tbl_task6[107]/tbl_task6[[คะแนนเต็ม]:[คะแนนเต็ม]])*tbl_task6[[%]:[%]])</f>
        <v/>
      </c>
      <c r="JR14" s="121" t="str">
        <f>IF(ISBLANK(tbl_task6[[คะแนนเต็ม]:[คะแนนเต็ม]]),"",(tbl_task6[108]/tbl_task6[[คะแนนเต็ม]:[คะแนนเต็ม]])*tbl_task6[[%]:[%]])</f>
        <v/>
      </c>
      <c r="JS14" s="121" t="str">
        <f>IF(ISBLANK(tbl_task6[[คะแนนเต็ม]:[คะแนนเต็ม]]),"",(tbl_task6[109]/tbl_task6[[คะแนนเต็ม]:[คะแนนเต็ม]])*tbl_task6[[%]:[%]])</f>
        <v/>
      </c>
      <c r="JT14" s="121" t="str">
        <f>IF(ISBLANK(tbl_task6[[คะแนนเต็ม]:[คะแนนเต็ม]]),"",(tbl_task6[110]/tbl_task6[[คะแนนเต็ม]:[คะแนนเต็ม]])*tbl_task6[[%]:[%]])</f>
        <v/>
      </c>
      <c r="JU14" s="121" t="str">
        <f>IF(ISBLANK(tbl_task6[[คะแนนเต็ม]:[คะแนนเต็ม]]),"",(tbl_task6[111]/tbl_task6[[คะแนนเต็ม]:[คะแนนเต็ม]])*tbl_task6[[%]:[%]])</f>
        <v/>
      </c>
      <c r="JV14" s="121" t="str">
        <f>IF(ISBLANK(tbl_task6[[คะแนนเต็ม]:[คะแนนเต็ม]]),"",(tbl_task6[112]/tbl_task6[[คะแนนเต็ม]:[คะแนนเต็ม]])*tbl_task6[[%]:[%]])</f>
        <v/>
      </c>
      <c r="JW14" s="121" t="str">
        <f>IF(ISBLANK(tbl_task6[[คะแนนเต็ม]:[คะแนนเต็ม]]),"",(tbl_task6[113]/tbl_task6[[คะแนนเต็ม]:[คะแนนเต็ม]])*tbl_task6[[%]:[%]])</f>
        <v/>
      </c>
      <c r="JX14" s="121" t="str">
        <f>IF(ISBLANK(tbl_task6[[คะแนนเต็ม]:[คะแนนเต็ม]]),"",(tbl_task6[114]/tbl_task6[[คะแนนเต็ม]:[คะแนนเต็ม]])*tbl_task6[[%]:[%]])</f>
        <v/>
      </c>
      <c r="JY14" s="121" t="str">
        <f>IF(ISBLANK(tbl_task6[[คะแนนเต็ม]:[คะแนนเต็ม]]),"",(tbl_task6[115]/tbl_task6[[คะแนนเต็ม]:[คะแนนเต็ม]])*tbl_task6[[%]:[%]])</f>
        <v/>
      </c>
      <c r="JZ14" s="121" t="str">
        <f>IF(ISBLANK(tbl_task6[[คะแนนเต็ม]:[คะแนนเต็ม]]),"",(tbl_task6[116]/tbl_task6[[คะแนนเต็ม]:[คะแนนเต็ม]])*tbl_task6[[%]:[%]])</f>
        <v/>
      </c>
      <c r="KA14" s="121" t="str">
        <f>IF(ISBLANK(tbl_task6[[คะแนนเต็ม]:[คะแนนเต็ม]]),"",(tbl_task6[117]/tbl_task6[[คะแนนเต็ม]:[คะแนนเต็ม]])*tbl_task6[[%]:[%]])</f>
        <v/>
      </c>
      <c r="KB14" s="121" t="str">
        <f>IF(ISBLANK(tbl_task6[[คะแนนเต็ม]:[คะแนนเต็ม]]),"",(tbl_task6[118]/tbl_task6[[คะแนนเต็ม]:[คะแนนเต็ม]])*tbl_task6[[%]:[%]])</f>
        <v/>
      </c>
      <c r="KC14" s="121" t="str">
        <f>IF(ISBLANK(tbl_task6[[คะแนนเต็ม]:[คะแนนเต็ม]]),"",(tbl_task6[119]/tbl_task6[[คะแนนเต็ม]:[คะแนนเต็ม]])*tbl_task6[[%]:[%]])</f>
        <v/>
      </c>
      <c r="KD14" s="121" t="str">
        <f>IF(ISBLANK(tbl_task6[[คะแนนเต็ม]:[คะแนนเต็ม]]),"",(tbl_task6[120]/tbl_task6[[คะแนนเต็ม]:[คะแนนเต็ม]])*tbl_task6[[%]:[%]])</f>
        <v/>
      </c>
      <c r="KE14" s="121" t="str">
        <f>IF(ISBLANK(tbl_task6[[คะแนนเต็ม]:[คะแนนเต็ม]]),"",(tbl_task6[121]/tbl_task6[[คะแนนเต็ม]:[คะแนนเต็ม]])*tbl_task6[[%]:[%]])</f>
        <v/>
      </c>
      <c r="KF14" s="121" t="str">
        <f>IF(ISBLANK(tbl_task6[[คะแนนเต็ม]:[คะแนนเต็ม]]),"",(tbl_task6[122]/tbl_task6[[คะแนนเต็ม]:[คะแนนเต็ม]])*tbl_task6[[%]:[%]])</f>
        <v/>
      </c>
      <c r="KG14" s="121" t="str">
        <f>IF(ISBLANK(tbl_task6[[คะแนนเต็ม]:[คะแนนเต็ม]]),"",(tbl_task6[123]/tbl_task6[[คะแนนเต็ม]:[คะแนนเต็ม]])*tbl_task6[[%]:[%]])</f>
        <v/>
      </c>
      <c r="KH14" s="121" t="str">
        <f>IF(ISBLANK(tbl_task6[[คะแนนเต็ม]:[คะแนนเต็ม]]),"",(tbl_task6[124]/tbl_task6[[คะแนนเต็ม]:[คะแนนเต็ม]])*tbl_task6[[%]:[%]])</f>
        <v/>
      </c>
      <c r="KI14" s="121" t="str">
        <f>IF(ISBLANK(tbl_task6[[คะแนนเต็ม]:[คะแนนเต็ม]]),"",(tbl_task6[125]/tbl_task6[[คะแนนเต็ม]:[คะแนนเต็ม]])*tbl_task6[[%]:[%]])</f>
        <v/>
      </c>
      <c r="KJ14" s="121" t="str">
        <f>IF(ISBLANK(tbl_task6[[คะแนนเต็ม]:[คะแนนเต็ม]]),"",(tbl_task6[126]/tbl_task6[[คะแนนเต็ม]:[คะแนนเต็ม]])*tbl_task6[[%]:[%]])</f>
        <v/>
      </c>
      <c r="KK14" s="121" t="str">
        <f>IF(ISBLANK(tbl_task6[[คะแนนเต็ม]:[คะแนนเต็ม]]),"",(tbl_task6[127]/tbl_task6[[คะแนนเต็ม]:[คะแนนเต็ม]])*tbl_task6[[%]:[%]])</f>
        <v/>
      </c>
      <c r="KL14" s="121" t="str">
        <f>IF(ISBLANK(tbl_task6[[คะแนนเต็ม]:[คะแนนเต็ม]]),"",(tbl_task6[128]/tbl_task6[[คะแนนเต็ม]:[คะแนนเต็ม]])*tbl_task6[[%]:[%]])</f>
        <v/>
      </c>
      <c r="KM14" s="121" t="str">
        <f>IF(ISBLANK(tbl_task6[[คะแนนเต็ม]:[คะแนนเต็ม]]),"",(tbl_task6[129]/tbl_task6[[คะแนนเต็ม]:[คะแนนเต็ม]])*tbl_task6[[%]:[%]])</f>
        <v/>
      </c>
      <c r="KN14" s="121" t="str">
        <f>IF(ISBLANK(tbl_task6[[คะแนนเต็ม]:[คะแนนเต็ม]]),"",(tbl_task6[130]/tbl_task6[[คะแนนเต็ม]:[คะแนนเต็ม]])*tbl_task6[[%]:[%]])</f>
        <v/>
      </c>
      <c r="KO14" s="121" t="str">
        <f>IF(ISBLANK(tbl_task6[[คะแนนเต็ม]:[คะแนนเต็ม]]),"",(tbl_task6[131]/tbl_task6[[คะแนนเต็ม]:[คะแนนเต็ม]])*tbl_task6[[%]:[%]])</f>
        <v/>
      </c>
      <c r="KP14" s="121" t="str">
        <f>IF(ISBLANK(tbl_task6[[คะแนนเต็ม]:[คะแนนเต็ม]]),"",(tbl_task6[132]/tbl_task6[[คะแนนเต็ม]:[คะแนนเต็ม]])*tbl_task6[[%]:[%]])</f>
        <v/>
      </c>
      <c r="KQ14" s="121" t="str">
        <f>IF(ISBLANK(tbl_task6[[คะแนนเต็ม]:[คะแนนเต็ม]]),"",(tbl_task6[133]/tbl_task6[[คะแนนเต็ม]:[คะแนนเต็ม]])*tbl_task6[[%]:[%]])</f>
        <v/>
      </c>
      <c r="KR14" s="121" t="str">
        <f>IF(ISBLANK(tbl_task6[[คะแนนเต็ม]:[คะแนนเต็ม]]),"",(tbl_task6[134]/tbl_task6[[คะแนนเต็ม]:[คะแนนเต็ม]])*tbl_task6[[%]:[%]])</f>
        <v/>
      </c>
      <c r="KS14" s="121" t="str">
        <f>IF(ISBLANK(tbl_task6[[คะแนนเต็ม]:[คะแนนเต็ม]]),"",(tbl_task6[135]/tbl_task6[[คะแนนเต็ม]:[คะแนนเต็ม]])*tbl_task6[[%]:[%]])</f>
        <v/>
      </c>
      <c r="KT14" s="121" t="str">
        <f>IF(ISBLANK(tbl_task6[[คะแนนเต็ม]:[คะแนนเต็ม]]),"",(tbl_task6[136]/tbl_task6[[คะแนนเต็ม]:[คะแนนเต็ม]])*tbl_task6[[%]:[%]])</f>
        <v/>
      </c>
      <c r="KU14" s="121" t="str">
        <f>IF(ISBLANK(tbl_task6[[คะแนนเต็ม]:[คะแนนเต็ม]]),"",(tbl_task6[137]/tbl_task6[[คะแนนเต็ม]:[คะแนนเต็ม]])*tbl_task6[[%]:[%]])</f>
        <v/>
      </c>
      <c r="KV14" s="121" t="str">
        <f>IF(ISBLANK(tbl_task6[[คะแนนเต็ม]:[คะแนนเต็ม]]),"",(tbl_task6[138]/tbl_task6[[คะแนนเต็ม]:[คะแนนเต็ม]])*tbl_task6[[%]:[%]])</f>
        <v/>
      </c>
      <c r="KW14" s="121" t="str">
        <f>IF(ISBLANK(tbl_task6[[คะแนนเต็ม]:[คะแนนเต็ม]]),"",(tbl_task6[139]/tbl_task6[[คะแนนเต็ม]:[คะแนนเต็ม]])*tbl_task6[[%]:[%]])</f>
        <v/>
      </c>
      <c r="KX14" s="121" t="str">
        <f>IF(ISBLANK(tbl_task6[[คะแนนเต็ม]:[คะแนนเต็ม]]),"",(tbl_task6[140]/tbl_task6[[คะแนนเต็ม]:[คะแนนเต็ม]])*tbl_task6[[%]:[%]])</f>
        <v/>
      </c>
      <c r="KY14" s="121" t="str">
        <f>IF(ISBLANK(tbl_task6[[คะแนนเต็ม]:[คะแนนเต็ม]]),"",(tbl_task6[141]/tbl_task6[[คะแนนเต็ม]:[คะแนนเต็ม]])*tbl_task6[[%]:[%]])</f>
        <v/>
      </c>
      <c r="KZ14" s="121" t="str">
        <f>IF(ISBLANK(tbl_task6[[คะแนนเต็ม]:[คะแนนเต็ม]]),"",(tbl_task6[142]/tbl_task6[[คะแนนเต็ม]:[คะแนนเต็ม]])*tbl_task6[[%]:[%]])</f>
        <v/>
      </c>
      <c r="LA14" s="121" t="str">
        <f>IF(ISBLANK(tbl_task6[[คะแนนเต็ม]:[คะแนนเต็ม]]),"",(tbl_task6[143]/tbl_task6[[คะแนนเต็ม]:[คะแนนเต็ม]])*tbl_task6[[%]:[%]])</f>
        <v/>
      </c>
      <c r="LB14" s="121" t="str">
        <f>IF(ISBLANK(tbl_task6[[คะแนนเต็ม]:[คะแนนเต็ม]]),"",(tbl_task6[144]/tbl_task6[[คะแนนเต็ม]:[คะแนนเต็ม]])*tbl_task6[[%]:[%]])</f>
        <v/>
      </c>
      <c r="LC14" s="121" t="str">
        <f>IF(ISBLANK(tbl_task6[[คะแนนเต็ม]:[คะแนนเต็ม]]),"",(tbl_task6[145]/tbl_task6[[คะแนนเต็ม]:[คะแนนเต็ม]])*tbl_task6[[%]:[%]])</f>
        <v/>
      </c>
      <c r="LD14" s="121" t="str">
        <f>IF(ISBLANK(tbl_task6[[คะแนนเต็ม]:[คะแนนเต็ม]]),"",(tbl_task6[146]/tbl_task6[[คะแนนเต็ม]:[คะแนนเต็ม]])*tbl_task6[[%]:[%]])</f>
        <v/>
      </c>
      <c r="LE14" s="121" t="str">
        <f>IF(ISBLANK(tbl_task6[[คะแนนเต็ม]:[คะแนนเต็ม]]),"",(tbl_task6[147]/tbl_task6[[คะแนนเต็ม]:[คะแนนเต็ม]])*tbl_task6[[%]:[%]])</f>
        <v/>
      </c>
      <c r="LF14" s="121" t="str">
        <f>IF(ISBLANK(tbl_task6[[คะแนนเต็ม]:[คะแนนเต็ม]]),"",(tbl_task6[148]/tbl_task6[[คะแนนเต็ม]:[คะแนนเต็ม]])*tbl_task6[[%]:[%]])</f>
        <v/>
      </c>
      <c r="LG14" s="121" t="str">
        <f>IF(ISBLANK(tbl_task6[[คะแนนเต็ม]:[คะแนนเต็ม]]),"",(tbl_task6[149]/tbl_task6[[คะแนนเต็ม]:[คะแนนเต็ม]])*tbl_task6[[%]:[%]])</f>
        <v/>
      </c>
      <c r="LH14" s="121" t="str">
        <f>IF(ISBLANK(tbl_task6[[คะแนนเต็ม]:[คะแนนเต็ม]]),"",(tbl_task6[150]/tbl_task6[[คะแนนเต็ม]:[คะแนนเต็ม]])*tbl_task6[[%]:[%]])</f>
        <v/>
      </c>
      <c r="LI14" s="121" t="str">
        <f>IF(ISBLANK(tbl_task6[[คะแนนเต็ม]:[คะแนนเต็ม]]),"",(tbl_task6[151]/tbl_task6[[คะแนนเต็ม]:[คะแนนเต็ม]])*tbl_task6[[%]:[%]])</f>
        <v/>
      </c>
      <c r="LJ14" s="121" t="str">
        <f>IF(ISBLANK(tbl_task6[[คะแนนเต็ม]:[คะแนนเต็ม]]),"",(tbl_task6[152]/tbl_task6[[คะแนนเต็ม]:[คะแนนเต็ม]])*tbl_task6[[%]:[%]])</f>
        <v/>
      </c>
      <c r="LK14" s="121" t="str">
        <f>IF(ISBLANK(tbl_task6[[คะแนนเต็ม]:[คะแนนเต็ม]]),"",(tbl_task6[153]/tbl_task6[[คะแนนเต็ม]:[คะแนนเต็ม]])*tbl_task6[[%]:[%]])</f>
        <v/>
      </c>
      <c r="LL14" s="121" t="str">
        <f>IF(ISBLANK(tbl_task6[[คะแนนเต็ม]:[คะแนนเต็ม]]),"",(tbl_task6[154]/tbl_task6[[คะแนนเต็ม]:[คะแนนเต็ม]])*tbl_task6[[%]:[%]])</f>
        <v/>
      </c>
      <c r="LM14" s="121" t="str">
        <f>IF(ISBLANK(tbl_task6[[คะแนนเต็ม]:[คะแนนเต็ม]]),"",(tbl_task6[155]/tbl_task6[[คะแนนเต็ม]:[คะแนนเต็ม]])*tbl_task6[[%]:[%]])</f>
        <v/>
      </c>
      <c r="LN14" s="121" t="str">
        <f>IF(ISBLANK(tbl_task6[[คะแนนเต็ม]:[คะแนนเต็ม]]),"",(tbl_task6[156]/tbl_task6[[คะแนนเต็ม]:[คะแนนเต็ม]])*tbl_task6[[%]:[%]])</f>
        <v/>
      </c>
      <c r="LO14" s="121" t="str">
        <f>IF(ISBLANK(tbl_task6[[คะแนนเต็ม]:[คะแนนเต็ม]]),"",(tbl_task6[157]/tbl_task6[[คะแนนเต็ม]:[คะแนนเต็ม]])*tbl_task6[[%]:[%]])</f>
        <v/>
      </c>
      <c r="LP14" s="121" t="str">
        <f>IF(ISBLANK(tbl_task6[[คะแนนเต็ม]:[คะแนนเต็ม]]),"",(tbl_task6[158]/tbl_task6[[คะแนนเต็ม]:[คะแนนเต็ม]])*tbl_task6[[%]:[%]])</f>
        <v/>
      </c>
      <c r="LQ14" s="121" t="str">
        <f>IF(ISBLANK(tbl_task6[[คะแนนเต็ม]:[คะแนนเต็ม]]),"",(tbl_task6[159]/tbl_task6[[คะแนนเต็ม]:[คะแนนเต็ม]])*tbl_task6[[%]:[%]])</f>
        <v/>
      </c>
      <c r="LR14" s="121" t="str">
        <f>IF(ISBLANK(tbl_task6[[คะแนนเต็ม]:[คะแนนเต็ม]]),"",(tbl_task6[160]/tbl_task6[[คะแนนเต็ม]:[คะแนนเต็ม]])*tbl_task6[[%]:[%]])</f>
        <v/>
      </c>
      <c r="LS14" s="121" t="str">
        <f>IF(ISBLANK(tbl_task6[[คะแนนเต็ม]:[คะแนนเต็ม]]),"",(tbl_task6[161]/tbl_task6[[คะแนนเต็ม]:[คะแนนเต็ม]])*tbl_task6[[%]:[%]])</f>
        <v/>
      </c>
      <c r="LT14" s="121" t="str">
        <f>IF(ISBLANK(tbl_task6[[คะแนนเต็ม]:[คะแนนเต็ม]]),"",(tbl_task6[162]/tbl_task6[[คะแนนเต็ม]:[คะแนนเต็ม]])*tbl_task6[[%]:[%]])</f>
        <v/>
      </c>
      <c r="LU14" s="121" t="str">
        <f>IF(ISBLANK(tbl_task6[[คะแนนเต็ม]:[คะแนนเต็ม]]),"",(tbl_task6[163]/tbl_task6[[คะแนนเต็ม]:[คะแนนเต็ม]])*tbl_task6[[%]:[%]])</f>
        <v/>
      </c>
      <c r="LV14" s="121" t="str">
        <f>IF(ISBLANK(tbl_task6[[คะแนนเต็ม]:[คะแนนเต็ม]]),"",(tbl_task6[164]/tbl_task6[[คะแนนเต็ม]:[คะแนนเต็ม]])*tbl_task6[[%]:[%]])</f>
        <v/>
      </c>
      <c r="LW14" s="121" t="str">
        <f>IF(ISBLANK(tbl_task6[[คะแนนเต็ม]:[คะแนนเต็ม]]),"",(tbl_task6[165]/tbl_task6[[คะแนนเต็ม]:[คะแนนเต็ม]])*tbl_task6[[%]:[%]])</f>
        <v/>
      </c>
    </row>
    <row r="15" spans="1:335" ht="24" customHeight="1" x14ac:dyDescent="0.25">
      <c r="A15" s="24">
        <v>12</v>
      </c>
      <c r="B15" s="20"/>
      <c r="C15" s="5" t="str">
        <f>IF(ISBLANK(B15),"",VLOOKUP(B15,tbl_PLOs[],2,0))</f>
        <v/>
      </c>
      <c r="D15" s="102"/>
      <c r="E15" s="106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121" t="str">
        <f>IF(ISBLANK(tbl_task6[[คะแนนเต็ม]:[คะแนนเต็ม]]),"",(tbl_task6[1]/tbl_task6[[คะแนนเต็ม]:[คะแนนเต็ม]])*tbl_task6[[%]:[%]])</f>
        <v/>
      </c>
      <c r="FP15" s="121" t="str">
        <f>IF(ISBLANK(tbl_task6[[คะแนนเต็ม]:[คะแนนเต็ม]]),"",(tbl_task6[2]/tbl_task6[[คะแนนเต็ม]:[คะแนนเต็ม]])*tbl_task6[[%]:[%]])</f>
        <v/>
      </c>
      <c r="FQ15" s="121" t="str">
        <f>IF(ISBLANK(tbl_task6[[คะแนนเต็ม]:[คะแนนเต็ม]]),"",(tbl_task6[3]/tbl_task6[[คะแนนเต็ม]:[คะแนนเต็ม]])*tbl_task6[[%]:[%]])</f>
        <v/>
      </c>
      <c r="FR15" s="121" t="str">
        <f>IF(ISBLANK(tbl_task6[[คะแนนเต็ม]:[คะแนนเต็ม]]),"",(tbl_task6[4]/tbl_task6[[คะแนนเต็ม]:[คะแนนเต็ม]])*tbl_task6[[%]:[%]])</f>
        <v/>
      </c>
      <c r="FS15" s="121" t="str">
        <f>IF(ISBLANK(tbl_task6[[คะแนนเต็ม]:[คะแนนเต็ม]]),"",(tbl_task6[5]/tbl_task6[[คะแนนเต็ม]:[คะแนนเต็ม]])*tbl_task6[[%]:[%]])</f>
        <v/>
      </c>
      <c r="FT15" s="121" t="str">
        <f>IF(ISBLANK(tbl_task6[[คะแนนเต็ม]:[คะแนนเต็ม]]),"",(tbl_task6[6]/tbl_task6[[คะแนนเต็ม]:[คะแนนเต็ม]])*tbl_task6[[%]:[%]])</f>
        <v/>
      </c>
      <c r="FU15" s="121" t="str">
        <f>IF(ISBLANK(tbl_task6[[คะแนนเต็ม]:[คะแนนเต็ม]]),"",(tbl_task6[7]/tbl_task6[[คะแนนเต็ม]:[คะแนนเต็ม]])*tbl_task6[[%]:[%]])</f>
        <v/>
      </c>
      <c r="FV15" s="121" t="str">
        <f>IF(ISBLANK(tbl_task6[[คะแนนเต็ม]:[คะแนนเต็ม]]),"",(tbl_task6[8]/tbl_task6[[คะแนนเต็ม]:[คะแนนเต็ม]])*tbl_task6[[%]:[%]])</f>
        <v/>
      </c>
      <c r="FW15" s="121" t="str">
        <f>IF(ISBLANK(tbl_task6[[คะแนนเต็ม]:[คะแนนเต็ม]]),"",(tbl_task6[9]/tbl_task6[[คะแนนเต็ม]:[คะแนนเต็ม]])*tbl_task6[[%]:[%]])</f>
        <v/>
      </c>
      <c r="FX15" s="121" t="str">
        <f>IF(ISBLANK(tbl_task6[[คะแนนเต็ม]:[คะแนนเต็ม]]),"",(tbl_task6[10]/tbl_task6[[คะแนนเต็ม]:[คะแนนเต็ม]])*tbl_task6[[%]:[%]])</f>
        <v/>
      </c>
      <c r="FY15" s="121" t="str">
        <f>IF(ISBLANK(tbl_task6[[คะแนนเต็ม]:[คะแนนเต็ม]]),"",(tbl_task6[11]/tbl_task6[[คะแนนเต็ม]:[คะแนนเต็ม]])*tbl_task6[[%]:[%]])</f>
        <v/>
      </c>
      <c r="FZ15" s="121" t="str">
        <f>IF(ISBLANK(tbl_task6[[คะแนนเต็ม]:[คะแนนเต็ม]]),"",(tbl_task6[12]/tbl_task6[[คะแนนเต็ม]:[คะแนนเต็ม]])*tbl_task6[[%]:[%]])</f>
        <v/>
      </c>
      <c r="GA15" s="121" t="str">
        <f>IF(ISBLANK(tbl_task6[[คะแนนเต็ม]:[คะแนนเต็ม]]),"",(tbl_task6[13]/tbl_task6[[คะแนนเต็ม]:[คะแนนเต็ม]])*tbl_task6[[%]:[%]])</f>
        <v/>
      </c>
      <c r="GB15" s="121" t="str">
        <f>IF(ISBLANK(tbl_task6[[คะแนนเต็ม]:[คะแนนเต็ม]]),"",(tbl_task6[14]/tbl_task6[[คะแนนเต็ม]:[คะแนนเต็ม]])*tbl_task6[[%]:[%]])</f>
        <v/>
      </c>
      <c r="GC15" s="121" t="str">
        <f>IF(ISBLANK(tbl_task6[[คะแนนเต็ม]:[คะแนนเต็ม]]),"",(tbl_task6[15]/tbl_task6[[คะแนนเต็ม]:[คะแนนเต็ม]])*tbl_task6[[%]:[%]])</f>
        <v/>
      </c>
      <c r="GD15" s="121" t="str">
        <f>IF(ISBLANK(tbl_task6[[คะแนนเต็ม]:[คะแนนเต็ม]]),"",(tbl_task6[16]/tbl_task6[[คะแนนเต็ม]:[คะแนนเต็ม]])*tbl_task6[[%]:[%]])</f>
        <v/>
      </c>
      <c r="GE15" s="121" t="str">
        <f>IF(ISBLANK(tbl_task6[[คะแนนเต็ม]:[คะแนนเต็ม]]),"",(tbl_task6[17]/tbl_task6[[คะแนนเต็ม]:[คะแนนเต็ม]])*tbl_task6[[%]:[%]])</f>
        <v/>
      </c>
      <c r="GF15" s="121" t="str">
        <f>IF(ISBLANK(tbl_task6[[คะแนนเต็ม]:[คะแนนเต็ม]]),"",(tbl_task6[18]/tbl_task6[[คะแนนเต็ม]:[คะแนนเต็ม]])*tbl_task6[[%]:[%]])</f>
        <v/>
      </c>
      <c r="GG15" s="121" t="str">
        <f>IF(ISBLANK(tbl_task6[[คะแนนเต็ม]:[คะแนนเต็ม]]),"",(tbl_task6[19]/tbl_task6[[คะแนนเต็ม]:[คะแนนเต็ม]])*tbl_task6[[%]:[%]])</f>
        <v/>
      </c>
      <c r="GH15" s="121" t="str">
        <f>IF(ISBLANK(tbl_task6[[คะแนนเต็ม]:[คะแนนเต็ม]]),"",(tbl_task6[20]/tbl_task6[[คะแนนเต็ม]:[คะแนนเต็ม]])*tbl_task6[[%]:[%]])</f>
        <v/>
      </c>
      <c r="GI15" s="121" t="str">
        <f>IF(ISBLANK(tbl_task6[[คะแนนเต็ม]:[คะแนนเต็ม]]),"",(tbl_task6[21]/tbl_task6[[คะแนนเต็ม]:[คะแนนเต็ม]])*tbl_task6[[%]:[%]])</f>
        <v/>
      </c>
      <c r="GJ15" s="121" t="str">
        <f>IF(ISBLANK(tbl_task6[[คะแนนเต็ม]:[คะแนนเต็ม]]),"",(tbl_task6[22]/tbl_task6[[คะแนนเต็ม]:[คะแนนเต็ม]])*tbl_task6[[%]:[%]])</f>
        <v/>
      </c>
      <c r="GK15" s="121" t="str">
        <f>IF(ISBLANK(tbl_task6[[คะแนนเต็ม]:[คะแนนเต็ม]]),"",(tbl_task6[23]/tbl_task6[[คะแนนเต็ม]:[คะแนนเต็ม]])*tbl_task6[[%]:[%]])</f>
        <v/>
      </c>
      <c r="GL15" s="121" t="str">
        <f>IF(ISBLANK(tbl_task6[[คะแนนเต็ม]:[คะแนนเต็ม]]),"",(tbl_task6[24]/tbl_task6[[คะแนนเต็ม]:[คะแนนเต็ม]])*tbl_task6[[%]:[%]])</f>
        <v/>
      </c>
      <c r="GM15" s="121" t="str">
        <f>IF(ISBLANK(tbl_task6[[คะแนนเต็ม]:[คะแนนเต็ม]]),"",(tbl_task6[25]/tbl_task6[[คะแนนเต็ม]:[คะแนนเต็ม]])*tbl_task6[[%]:[%]])</f>
        <v/>
      </c>
      <c r="GN15" s="121" t="str">
        <f>IF(ISBLANK(tbl_task6[[คะแนนเต็ม]:[คะแนนเต็ม]]),"",(tbl_task6[26]/tbl_task6[[คะแนนเต็ม]:[คะแนนเต็ม]])*tbl_task6[[%]:[%]])</f>
        <v/>
      </c>
      <c r="GO15" s="121" t="str">
        <f>IF(ISBLANK(tbl_task6[[คะแนนเต็ม]:[คะแนนเต็ม]]),"",(tbl_task6[27]/tbl_task6[[คะแนนเต็ม]:[คะแนนเต็ม]])*tbl_task6[[%]:[%]])</f>
        <v/>
      </c>
      <c r="GP15" s="121" t="str">
        <f>IF(ISBLANK(tbl_task6[[คะแนนเต็ม]:[คะแนนเต็ม]]),"",(tbl_task6[28]/tbl_task6[[คะแนนเต็ม]:[คะแนนเต็ม]])*tbl_task6[[%]:[%]])</f>
        <v/>
      </c>
      <c r="GQ15" s="121" t="str">
        <f>IF(ISBLANK(tbl_task6[[คะแนนเต็ม]:[คะแนนเต็ม]]),"",(tbl_task6[29]/tbl_task6[[คะแนนเต็ม]:[คะแนนเต็ม]])*tbl_task6[[%]:[%]])</f>
        <v/>
      </c>
      <c r="GR15" s="121" t="str">
        <f>IF(ISBLANK(tbl_task6[[คะแนนเต็ม]:[คะแนนเต็ม]]),"",(tbl_task6[30]/tbl_task6[[คะแนนเต็ม]:[คะแนนเต็ม]])*tbl_task6[[%]:[%]])</f>
        <v/>
      </c>
      <c r="GS15" s="121" t="str">
        <f>IF(ISBLANK(tbl_task6[[คะแนนเต็ม]:[คะแนนเต็ม]]),"",(tbl_task6[31]/tbl_task6[[คะแนนเต็ม]:[คะแนนเต็ม]])*tbl_task6[[%]:[%]])</f>
        <v/>
      </c>
      <c r="GT15" s="121" t="str">
        <f>IF(ISBLANK(tbl_task6[[คะแนนเต็ม]:[คะแนนเต็ม]]),"",(tbl_task6[32]/tbl_task6[[คะแนนเต็ม]:[คะแนนเต็ม]])*tbl_task6[[%]:[%]])</f>
        <v/>
      </c>
      <c r="GU15" s="121" t="str">
        <f>IF(ISBLANK(tbl_task6[[คะแนนเต็ม]:[คะแนนเต็ม]]),"",(tbl_task6[33]/tbl_task6[[คะแนนเต็ม]:[คะแนนเต็ม]])*tbl_task6[[%]:[%]])</f>
        <v/>
      </c>
      <c r="GV15" s="121" t="str">
        <f>IF(ISBLANK(tbl_task6[[คะแนนเต็ม]:[คะแนนเต็ม]]),"",(tbl_task6[34]/tbl_task6[[คะแนนเต็ม]:[คะแนนเต็ม]])*tbl_task6[[%]:[%]])</f>
        <v/>
      </c>
      <c r="GW15" s="121" t="str">
        <f>IF(ISBLANK(tbl_task6[[คะแนนเต็ม]:[คะแนนเต็ม]]),"",(tbl_task6[35]/tbl_task6[[คะแนนเต็ม]:[คะแนนเต็ม]])*tbl_task6[[%]:[%]])</f>
        <v/>
      </c>
      <c r="GX15" s="121" t="str">
        <f>IF(ISBLANK(tbl_task6[[คะแนนเต็ม]:[คะแนนเต็ม]]),"",(tbl_task6[36]/tbl_task6[[คะแนนเต็ม]:[คะแนนเต็ม]])*tbl_task6[[%]:[%]])</f>
        <v/>
      </c>
      <c r="GY15" s="121" t="str">
        <f>IF(ISBLANK(tbl_task6[[คะแนนเต็ม]:[คะแนนเต็ม]]),"",(tbl_task6[37]/tbl_task6[[คะแนนเต็ม]:[คะแนนเต็ม]])*tbl_task6[[%]:[%]])</f>
        <v/>
      </c>
      <c r="GZ15" s="121" t="str">
        <f>IF(ISBLANK(tbl_task6[[คะแนนเต็ม]:[คะแนนเต็ม]]),"",(tbl_task6[38]/tbl_task6[[คะแนนเต็ม]:[คะแนนเต็ม]])*tbl_task6[[%]:[%]])</f>
        <v/>
      </c>
      <c r="HA15" s="121" t="str">
        <f>IF(ISBLANK(tbl_task6[[คะแนนเต็ม]:[คะแนนเต็ม]]),"",(tbl_task6[39]/tbl_task6[[คะแนนเต็ม]:[คะแนนเต็ม]])*tbl_task6[[%]:[%]])</f>
        <v/>
      </c>
      <c r="HB15" s="121" t="str">
        <f>IF(ISBLANK(tbl_task6[[คะแนนเต็ม]:[คะแนนเต็ม]]),"",(tbl_task6[40]/tbl_task6[[คะแนนเต็ม]:[คะแนนเต็ม]])*tbl_task6[[%]:[%]])</f>
        <v/>
      </c>
      <c r="HC15" s="121" t="str">
        <f>IF(ISBLANK(tbl_task6[[คะแนนเต็ม]:[คะแนนเต็ม]]),"",(tbl_task6[41]/tbl_task6[[คะแนนเต็ม]:[คะแนนเต็ม]])*tbl_task6[[%]:[%]])</f>
        <v/>
      </c>
      <c r="HD15" s="121" t="str">
        <f>IF(ISBLANK(tbl_task6[[คะแนนเต็ม]:[คะแนนเต็ม]]),"",(tbl_task6[42]/tbl_task6[[คะแนนเต็ม]:[คะแนนเต็ม]])*tbl_task6[[%]:[%]])</f>
        <v/>
      </c>
      <c r="HE15" s="121" t="str">
        <f>IF(ISBLANK(tbl_task6[[คะแนนเต็ม]:[คะแนนเต็ม]]),"",(tbl_task6[43]/tbl_task6[[คะแนนเต็ม]:[คะแนนเต็ม]])*tbl_task6[[%]:[%]])</f>
        <v/>
      </c>
      <c r="HF15" s="121" t="str">
        <f>IF(ISBLANK(tbl_task6[[คะแนนเต็ม]:[คะแนนเต็ม]]),"",(tbl_task6[44]/tbl_task6[[คะแนนเต็ม]:[คะแนนเต็ม]])*tbl_task6[[%]:[%]])</f>
        <v/>
      </c>
      <c r="HG15" s="121" t="str">
        <f>IF(ISBLANK(tbl_task6[[คะแนนเต็ม]:[คะแนนเต็ม]]),"",(tbl_task6[45]/tbl_task6[[คะแนนเต็ม]:[คะแนนเต็ม]])*tbl_task6[[%]:[%]])</f>
        <v/>
      </c>
      <c r="HH15" s="121" t="str">
        <f>IF(ISBLANK(tbl_task6[[คะแนนเต็ม]:[คะแนนเต็ม]]),"",(tbl_task6[46]/tbl_task6[[คะแนนเต็ม]:[คะแนนเต็ม]])*tbl_task6[[%]:[%]])</f>
        <v/>
      </c>
      <c r="HI15" s="121" t="str">
        <f>IF(ISBLANK(tbl_task6[[คะแนนเต็ม]:[คะแนนเต็ม]]),"",(tbl_task6[47]/tbl_task6[[คะแนนเต็ม]:[คะแนนเต็ม]])*tbl_task6[[%]:[%]])</f>
        <v/>
      </c>
      <c r="HJ15" s="121" t="str">
        <f>IF(ISBLANK(tbl_task6[[คะแนนเต็ม]:[คะแนนเต็ม]]),"",(tbl_task6[48]/tbl_task6[[คะแนนเต็ม]:[คะแนนเต็ม]])*tbl_task6[[%]:[%]])</f>
        <v/>
      </c>
      <c r="HK15" s="121" t="str">
        <f>IF(ISBLANK(tbl_task6[[คะแนนเต็ม]:[คะแนนเต็ม]]),"",(tbl_task6[49]/tbl_task6[[คะแนนเต็ม]:[คะแนนเต็ม]])*tbl_task6[[%]:[%]])</f>
        <v/>
      </c>
      <c r="HL15" s="121" t="str">
        <f>IF(ISBLANK(tbl_task6[[คะแนนเต็ม]:[คะแนนเต็ม]]),"",(tbl_task6[50]/tbl_task6[[คะแนนเต็ม]:[คะแนนเต็ม]])*tbl_task6[[%]:[%]])</f>
        <v/>
      </c>
      <c r="HM15" s="121" t="str">
        <f>IF(ISBLANK(tbl_task6[[คะแนนเต็ม]:[คะแนนเต็ม]]),"",(tbl_task6[51]/tbl_task6[[คะแนนเต็ม]:[คะแนนเต็ม]])*tbl_task6[[%]:[%]])</f>
        <v/>
      </c>
      <c r="HN15" s="121" t="str">
        <f>IF(ISBLANK(tbl_task6[[คะแนนเต็ม]:[คะแนนเต็ม]]),"",(tbl_task6[52]/tbl_task6[[คะแนนเต็ม]:[คะแนนเต็ม]])*tbl_task6[[%]:[%]])</f>
        <v/>
      </c>
      <c r="HO15" s="121" t="str">
        <f>IF(ISBLANK(tbl_task6[[คะแนนเต็ม]:[คะแนนเต็ม]]),"",(tbl_task6[53]/tbl_task6[[คะแนนเต็ม]:[คะแนนเต็ม]])*tbl_task6[[%]:[%]])</f>
        <v/>
      </c>
      <c r="HP15" s="121" t="str">
        <f>IF(ISBLANK(tbl_task6[[คะแนนเต็ม]:[คะแนนเต็ม]]),"",(tbl_task6[54]/tbl_task6[[คะแนนเต็ม]:[คะแนนเต็ม]])*tbl_task6[[%]:[%]])</f>
        <v/>
      </c>
      <c r="HQ15" s="121" t="str">
        <f>IF(ISBLANK(tbl_task6[[คะแนนเต็ม]:[คะแนนเต็ม]]),"",(tbl_task6[55]/tbl_task6[[คะแนนเต็ม]:[คะแนนเต็ม]])*tbl_task6[[%]:[%]])</f>
        <v/>
      </c>
      <c r="HR15" s="121" t="str">
        <f>IF(ISBLANK(tbl_task6[[คะแนนเต็ม]:[คะแนนเต็ม]]),"",(tbl_task6[56]/tbl_task6[[คะแนนเต็ม]:[คะแนนเต็ม]])*tbl_task6[[%]:[%]])</f>
        <v/>
      </c>
      <c r="HS15" s="121" t="str">
        <f>IF(ISBLANK(tbl_task6[[คะแนนเต็ม]:[คะแนนเต็ม]]),"",(tbl_task6[57]/tbl_task6[[คะแนนเต็ม]:[คะแนนเต็ม]])*tbl_task6[[%]:[%]])</f>
        <v/>
      </c>
      <c r="HT15" s="121" t="str">
        <f>IF(ISBLANK(tbl_task6[[คะแนนเต็ม]:[คะแนนเต็ม]]),"",(tbl_task6[58]/tbl_task6[[คะแนนเต็ม]:[คะแนนเต็ม]])*tbl_task6[[%]:[%]])</f>
        <v/>
      </c>
      <c r="HU15" s="121" t="str">
        <f>IF(ISBLANK(tbl_task6[[คะแนนเต็ม]:[คะแนนเต็ม]]),"",(tbl_task6[59]/tbl_task6[[คะแนนเต็ม]:[คะแนนเต็ม]])*tbl_task6[[%]:[%]])</f>
        <v/>
      </c>
      <c r="HV15" s="121" t="str">
        <f>IF(ISBLANK(tbl_task6[[คะแนนเต็ม]:[คะแนนเต็ม]]),"",(tbl_task6[60]/tbl_task6[[คะแนนเต็ม]:[คะแนนเต็ม]])*tbl_task6[[%]:[%]])</f>
        <v/>
      </c>
      <c r="HW15" s="121" t="str">
        <f>IF(ISBLANK(tbl_task6[[คะแนนเต็ม]:[คะแนนเต็ม]]),"",(tbl_task6[61]/tbl_task6[[คะแนนเต็ม]:[คะแนนเต็ม]])*tbl_task6[[%]:[%]])</f>
        <v/>
      </c>
      <c r="HX15" s="121" t="str">
        <f>IF(ISBLANK(tbl_task6[[คะแนนเต็ม]:[คะแนนเต็ม]]),"",(tbl_task6[62]/tbl_task6[[คะแนนเต็ม]:[คะแนนเต็ม]])*tbl_task6[[%]:[%]])</f>
        <v/>
      </c>
      <c r="HY15" s="121" t="str">
        <f>IF(ISBLANK(tbl_task6[[คะแนนเต็ม]:[คะแนนเต็ม]]),"",(tbl_task6[63]/tbl_task6[[คะแนนเต็ม]:[คะแนนเต็ม]])*tbl_task6[[%]:[%]])</f>
        <v/>
      </c>
      <c r="HZ15" s="121" t="str">
        <f>IF(ISBLANK(tbl_task6[[คะแนนเต็ม]:[คะแนนเต็ม]]),"",(tbl_task6[64]/tbl_task6[[คะแนนเต็ม]:[คะแนนเต็ม]])*tbl_task6[[%]:[%]])</f>
        <v/>
      </c>
      <c r="IA15" s="121" t="str">
        <f>IF(ISBLANK(tbl_task6[[คะแนนเต็ม]:[คะแนนเต็ม]]),"",(tbl_task6[65]/tbl_task6[[คะแนนเต็ม]:[คะแนนเต็ม]])*tbl_task6[[%]:[%]])</f>
        <v/>
      </c>
      <c r="IB15" s="121" t="str">
        <f>IF(ISBLANK(tbl_task6[[คะแนนเต็ม]:[คะแนนเต็ม]]),"",(tbl_task6[66]/tbl_task6[[คะแนนเต็ม]:[คะแนนเต็ม]])*tbl_task6[[%]:[%]])</f>
        <v/>
      </c>
      <c r="IC15" s="121" t="str">
        <f>IF(ISBLANK(tbl_task6[[คะแนนเต็ม]:[คะแนนเต็ม]]),"",(tbl_task6[67]/tbl_task6[[คะแนนเต็ม]:[คะแนนเต็ม]])*tbl_task6[[%]:[%]])</f>
        <v/>
      </c>
      <c r="ID15" s="121" t="str">
        <f>IF(ISBLANK(tbl_task6[[คะแนนเต็ม]:[คะแนนเต็ม]]),"",(tbl_task6[68]/tbl_task6[[คะแนนเต็ม]:[คะแนนเต็ม]])*tbl_task6[[%]:[%]])</f>
        <v/>
      </c>
      <c r="IE15" s="121" t="str">
        <f>IF(ISBLANK(tbl_task6[[คะแนนเต็ม]:[คะแนนเต็ม]]),"",(tbl_task6[69]/tbl_task6[[คะแนนเต็ม]:[คะแนนเต็ม]])*tbl_task6[[%]:[%]])</f>
        <v/>
      </c>
      <c r="IF15" s="121" t="str">
        <f>IF(ISBLANK(tbl_task6[[คะแนนเต็ม]:[คะแนนเต็ม]]),"",(tbl_task6[70]/tbl_task6[[คะแนนเต็ม]:[คะแนนเต็ม]])*tbl_task6[[%]:[%]])</f>
        <v/>
      </c>
      <c r="IG15" s="121" t="str">
        <f>IF(ISBLANK(tbl_task6[[คะแนนเต็ม]:[คะแนนเต็ม]]),"",(tbl_task6[71]/tbl_task6[[คะแนนเต็ม]:[คะแนนเต็ม]])*tbl_task6[[%]:[%]])</f>
        <v/>
      </c>
      <c r="IH15" s="121" t="str">
        <f>IF(ISBLANK(tbl_task6[[คะแนนเต็ม]:[คะแนนเต็ม]]),"",(tbl_task6[72]/tbl_task6[[คะแนนเต็ม]:[คะแนนเต็ม]])*tbl_task6[[%]:[%]])</f>
        <v/>
      </c>
      <c r="II15" s="121" t="str">
        <f>IF(ISBLANK(tbl_task6[[คะแนนเต็ม]:[คะแนนเต็ม]]),"",(tbl_task6[73]/tbl_task6[[คะแนนเต็ม]:[คะแนนเต็ม]])*tbl_task6[[%]:[%]])</f>
        <v/>
      </c>
      <c r="IJ15" s="121" t="str">
        <f>IF(ISBLANK(tbl_task6[[คะแนนเต็ม]:[คะแนนเต็ม]]),"",(tbl_task6[74]/tbl_task6[[คะแนนเต็ม]:[คะแนนเต็ม]])*tbl_task6[[%]:[%]])</f>
        <v/>
      </c>
      <c r="IK15" s="121" t="str">
        <f>IF(ISBLANK(tbl_task6[[คะแนนเต็ม]:[คะแนนเต็ม]]),"",(tbl_task6[75]/tbl_task6[[คะแนนเต็ม]:[คะแนนเต็ม]])*tbl_task6[[%]:[%]])</f>
        <v/>
      </c>
      <c r="IL15" s="121" t="str">
        <f>IF(ISBLANK(tbl_task6[[คะแนนเต็ม]:[คะแนนเต็ม]]),"",(tbl_task6[76]/tbl_task6[[คะแนนเต็ม]:[คะแนนเต็ม]])*tbl_task6[[%]:[%]])</f>
        <v/>
      </c>
      <c r="IM15" s="121" t="str">
        <f>IF(ISBLANK(tbl_task6[[คะแนนเต็ม]:[คะแนนเต็ม]]),"",(tbl_task6[77]/tbl_task6[[คะแนนเต็ม]:[คะแนนเต็ม]])*tbl_task6[[%]:[%]])</f>
        <v/>
      </c>
      <c r="IN15" s="121" t="str">
        <f>IF(ISBLANK(tbl_task6[[คะแนนเต็ม]:[คะแนนเต็ม]]),"",(tbl_task6[78]/tbl_task6[[คะแนนเต็ม]:[คะแนนเต็ม]])*tbl_task6[[%]:[%]])</f>
        <v/>
      </c>
      <c r="IO15" s="121" t="str">
        <f>IF(ISBLANK(tbl_task6[[คะแนนเต็ม]:[คะแนนเต็ม]]),"",(tbl_task6[79]/tbl_task6[[คะแนนเต็ม]:[คะแนนเต็ม]])*tbl_task6[[%]:[%]])</f>
        <v/>
      </c>
      <c r="IP15" s="121" t="str">
        <f>IF(ISBLANK(tbl_task6[[คะแนนเต็ม]:[คะแนนเต็ม]]),"",(tbl_task6[80]/tbl_task6[[คะแนนเต็ม]:[คะแนนเต็ม]])*tbl_task6[[%]:[%]])</f>
        <v/>
      </c>
      <c r="IQ15" s="121" t="str">
        <f>IF(ISBLANK(tbl_task6[[คะแนนเต็ม]:[คะแนนเต็ม]]),"",(tbl_task6[81]/tbl_task6[[คะแนนเต็ม]:[คะแนนเต็ม]])*tbl_task6[[%]:[%]])</f>
        <v/>
      </c>
      <c r="IR15" s="121" t="str">
        <f>IF(ISBLANK(tbl_task6[[คะแนนเต็ม]:[คะแนนเต็ม]]),"",(tbl_task6[82]/tbl_task6[[คะแนนเต็ม]:[คะแนนเต็ม]])*tbl_task6[[%]:[%]])</f>
        <v/>
      </c>
      <c r="IS15" s="121" t="str">
        <f>IF(ISBLANK(tbl_task6[[คะแนนเต็ม]:[คะแนนเต็ม]]),"",(tbl_task6[83]/tbl_task6[[คะแนนเต็ม]:[คะแนนเต็ม]])*tbl_task6[[%]:[%]])</f>
        <v/>
      </c>
      <c r="IT15" s="121" t="str">
        <f>IF(ISBLANK(tbl_task6[[คะแนนเต็ม]:[คะแนนเต็ม]]),"",(tbl_task6[84]/tbl_task6[[คะแนนเต็ม]:[คะแนนเต็ม]])*tbl_task6[[%]:[%]])</f>
        <v/>
      </c>
      <c r="IU15" s="121" t="str">
        <f>IF(ISBLANK(tbl_task6[[คะแนนเต็ม]:[คะแนนเต็ม]]),"",(tbl_task6[85]/tbl_task6[[คะแนนเต็ม]:[คะแนนเต็ม]])*tbl_task6[[%]:[%]])</f>
        <v/>
      </c>
      <c r="IV15" s="121" t="str">
        <f>IF(ISBLANK(tbl_task6[[คะแนนเต็ม]:[คะแนนเต็ม]]),"",(tbl_task6[86]/tbl_task6[[คะแนนเต็ม]:[คะแนนเต็ม]])*tbl_task6[[%]:[%]])</f>
        <v/>
      </c>
      <c r="IW15" s="121" t="str">
        <f>IF(ISBLANK(tbl_task6[[คะแนนเต็ม]:[คะแนนเต็ม]]),"",(tbl_task6[87]/tbl_task6[[คะแนนเต็ม]:[คะแนนเต็ม]])*tbl_task6[[%]:[%]])</f>
        <v/>
      </c>
      <c r="IX15" s="121" t="str">
        <f>IF(ISBLANK(tbl_task6[[คะแนนเต็ม]:[คะแนนเต็ม]]),"",(tbl_task6[88]/tbl_task6[[คะแนนเต็ม]:[คะแนนเต็ม]])*tbl_task6[[%]:[%]])</f>
        <v/>
      </c>
      <c r="IY15" s="121" t="str">
        <f>IF(ISBLANK(tbl_task6[[คะแนนเต็ม]:[คะแนนเต็ม]]),"",(tbl_task6[89]/tbl_task6[[คะแนนเต็ม]:[คะแนนเต็ม]])*tbl_task6[[%]:[%]])</f>
        <v/>
      </c>
      <c r="IZ15" s="121" t="str">
        <f>IF(ISBLANK(tbl_task6[[คะแนนเต็ม]:[คะแนนเต็ม]]),"",(tbl_task6[90]/tbl_task6[[คะแนนเต็ม]:[คะแนนเต็ม]])*tbl_task6[[%]:[%]])</f>
        <v/>
      </c>
      <c r="JA15" s="121" t="str">
        <f>IF(ISBLANK(tbl_task6[[คะแนนเต็ม]:[คะแนนเต็ม]]),"",(tbl_task6[91]/tbl_task6[[คะแนนเต็ม]:[คะแนนเต็ม]])*tbl_task6[[%]:[%]])</f>
        <v/>
      </c>
      <c r="JB15" s="121" t="str">
        <f>IF(ISBLANK(tbl_task6[[คะแนนเต็ม]:[คะแนนเต็ม]]),"",(tbl_task6[92]/tbl_task6[[คะแนนเต็ม]:[คะแนนเต็ม]])*tbl_task6[[%]:[%]])</f>
        <v/>
      </c>
      <c r="JC15" s="121" t="str">
        <f>IF(ISBLANK(tbl_task6[[คะแนนเต็ม]:[คะแนนเต็ม]]),"",(tbl_task6[93]/tbl_task6[[คะแนนเต็ม]:[คะแนนเต็ม]])*tbl_task6[[%]:[%]])</f>
        <v/>
      </c>
      <c r="JD15" s="121" t="str">
        <f>IF(ISBLANK(tbl_task6[[คะแนนเต็ม]:[คะแนนเต็ม]]),"",(tbl_task6[94]/tbl_task6[[คะแนนเต็ม]:[คะแนนเต็ม]])*tbl_task6[[%]:[%]])</f>
        <v/>
      </c>
      <c r="JE15" s="121" t="str">
        <f>IF(ISBLANK(tbl_task6[[คะแนนเต็ม]:[คะแนนเต็ม]]),"",(tbl_task6[95]/tbl_task6[[คะแนนเต็ม]:[คะแนนเต็ม]])*tbl_task6[[%]:[%]])</f>
        <v/>
      </c>
      <c r="JF15" s="121" t="str">
        <f>IF(ISBLANK(tbl_task6[[คะแนนเต็ม]:[คะแนนเต็ม]]),"",(tbl_task6[96]/tbl_task6[[คะแนนเต็ม]:[คะแนนเต็ม]])*tbl_task6[[%]:[%]])</f>
        <v/>
      </c>
      <c r="JG15" s="121" t="str">
        <f>IF(ISBLANK(tbl_task6[[คะแนนเต็ม]:[คะแนนเต็ม]]),"",(tbl_task6[97]/tbl_task6[[คะแนนเต็ม]:[คะแนนเต็ม]])*tbl_task6[[%]:[%]])</f>
        <v/>
      </c>
      <c r="JH15" s="121" t="str">
        <f>IF(ISBLANK(tbl_task6[[คะแนนเต็ม]:[คะแนนเต็ม]]),"",(tbl_task6[98]/tbl_task6[[คะแนนเต็ม]:[คะแนนเต็ม]])*tbl_task6[[%]:[%]])</f>
        <v/>
      </c>
      <c r="JI15" s="121" t="str">
        <f>IF(ISBLANK(tbl_task6[[คะแนนเต็ม]:[คะแนนเต็ม]]),"",(tbl_task6[99]/tbl_task6[[คะแนนเต็ม]:[คะแนนเต็ม]])*tbl_task6[[%]:[%]])</f>
        <v/>
      </c>
      <c r="JJ15" s="121" t="str">
        <f>IF(ISBLANK(tbl_task6[[คะแนนเต็ม]:[คะแนนเต็ม]]),"",(tbl_task6[100]/tbl_task6[[คะแนนเต็ม]:[คะแนนเต็ม]])*tbl_task6[[%]:[%]])</f>
        <v/>
      </c>
      <c r="JK15" s="121" t="str">
        <f>IF(ISBLANK(tbl_task6[[คะแนนเต็ม]:[คะแนนเต็ม]]),"",(tbl_task6[101]/tbl_task6[[คะแนนเต็ม]:[คะแนนเต็ม]])*tbl_task6[[%]:[%]])</f>
        <v/>
      </c>
      <c r="JL15" s="121" t="str">
        <f>IF(ISBLANK(tbl_task6[[คะแนนเต็ม]:[คะแนนเต็ม]]),"",(tbl_task6[102]/tbl_task6[[คะแนนเต็ม]:[คะแนนเต็ม]])*tbl_task6[[%]:[%]])</f>
        <v/>
      </c>
      <c r="JM15" s="121" t="str">
        <f>IF(ISBLANK(tbl_task6[[คะแนนเต็ม]:[คะแนนเต็ม]]),"",(tbl_task6[103]/tbl_task6[[คะแนนเต็ม]:[คะแนนเต็ม]])*tbl_task6[[%]:[%]])</f>
        <v/>
      </c>
      <c r="JN15" s="121" t="str">
        <f>IF(ISBLANK(tbl_task6[[คะแนนเต็ม]:[คะแนนเต็ม]]),"",(tbl_task6[104]/tbl_task6[[คะแนนเต็ม]:[คะแนนเต็ม]])*tbl_task6[[%]:[%]])</f>
        <v/>
      </c>
      <c r="JO15" s="121" t="str">
        <f>IF(ISBLANK(tbl_task6[[คะแนนเต็ม]:[คะแนนเต็ม]]),"",(tbl_task6[105]/tbl_task6[[คะแนนเต็ม]:[คะแนนเต็ม]])*tbl_task6[[%]:[%]])</f>
        <v/>
      </c>
      <c r="JP15" s="121" t="str">
        <f>IF(ISBLANK(tbl_task6[[คะแนนเต็ม]:[คะแนนเต็ม]]),"",(tbl_task6[106]/tbl_task6[[คะแนนเต็ม]:[คะแนนเต็ม]])*tbl_task6[[%]:[%]])</f>
        <v/>
      </c>
      <c r="JQ15" s="121" t="str">
        <f>IF(ISBLANK(tbl_task6[[คะแนนเต็ม]:[คะแนนเต็ม]]),"",(tbl_task6[107]/tbl_task6[[คะแนนเต็ม]:[คะแนนเต็ม]])*tbl_task6[[%]:[%]])</f>
        <v/>
      </c>
      <c r="JR15" s="121" t="str">
        <f>IF(ISBLANK(tbl_task6[[คะแนนเต็ม]:[คะแนนเต็ม]]),"",(tbl_task6[108]/tbl_task6[[คะแนนเต็ม]:[คะแนนเต็ม]])*tbl_task6[[%]:[%]])</f>
        <v/>
      </c>
      <c r="JS15" s="121" t="str">
        <f>IF(ISBLANK(tbl_task6[[คะแนนเต็ม]:[คะแนนเต็ม]]),"",(tbl_task6[109]/tbl_task6[[คะแนนเต็ม]:[คะแนนเต็ม]])*tbl_task6[[%]:[%]])</f>
        <v/>
      </c>
      <c r="JT15" s="121" t="str">
        <f>IF(ISBLANK(tbl_task6[[คะแนนเต็ม]:[คะแนนเต็ม]]),"",(tbl_task6[110]/tbl_task6[[คะแนนเต็ม]:[คะแนนเต็ม]])*tbl_task6[[%]:[%]])</f>
        <v/>
      </c>
      <c r="JU15" s="121" t="str">
        <f>IF(ISBLANK(tbl_task6[[คะแนนเต็ม]:[คะแนนเต็ม]]),"",(tbl_task6[111]/tbl_task6[[คะแนนเต็ม]:[คะแนนเต็ม]])*tbl_task6[[%]:[%]])</f>
        <v/>
      </c>
      <c r="JV15" s="121" t="str">
        <f>IF(ISBLANK(tbl_task6[[คะแนนเต็ม]:[คะแนนเต็ม]]),"",(tbl_task6[112]/tbl_task6[[คะแนนเต็ม]:[คะแนนเต็ม]])*tbl_task6[[%]:[%]])</f>
        <v/>
      </c>
      <c r="JW15" s="121" t="str">
        <f>IF(ISBLANK(tbl_task6[[คะแนนเต็ม]:[คะแนนเต็ม]]),"",(tbl_task6[113]/tbl_task6[[คะแนนเต็ม]:[คะแนนเต็ม]])*tbl_task6[[%]:[%]])</f>
        <v/>
      </c>
      <c r="JX15" s="121" t="str">
        <f>IF(ISBLANK(tbl_task6[[คะแนนเต็ม]:[คะแนนเต็ม]]),"",(tbl_task6[114]/tbl_task6[[คะแนนเต็ม]:[คะแนนเต็ม]])*tbl_task6[[%]:[%]])</f>
        <v/>
      </c>
      <c r="JY15" s="121" t="str">
        <f>IF(ISBLANK(tbl_task6[[คะแนนเต็ม]:[คะแนนเต็ม]]),"",(tbl_task6[115]/tbl_task6[[คะแนนเต็ม]:[คะแนนเต็ม]])*tbl_task6[[%]:[%]])</f>
        <v/>
      </c>
      <c r="JZ15" s="121" t="str">
        <f>IF(ISBLANK(tbl_task6[[คะแนนเต็ม]:[คะแนนเต็ม]]),"",(tbl_task6[116]/tbl_task6[[คะแนนเต็ม]:[คะแนนเต็ม]])*tbl_task6[[%]:[%]])</f>
        <v/>
      </c>
      <c r="KA15" s="121" t="str">
        <f>IF(ISBLANK(tbl_task6[[คะแนนเต็ม]:[คะแนนเต็ม]]),"",(tbl_task6[117]/tbl_task6[[คะแนนเต็ม]:[คะแนนเต็ม]])*tbl_task6[[%]:[%]])</f>
        <v/>
      </c>
      <c r="KB15" s="121" t="str">
        <f>IF(ISBLANK(tbl_task6[[คะแนนเต็ม]:[คะแนนเต็ม]]),"",(tbl_task6[118]/tbl_task6[[คะแนนเต็ม]:[คะแนนเต็ม]])*tbl_task6[[%]:[%]])</f>
        <v/>
      </c>
      <c r="KC15" s="121" t="str">
        <f>IF(ISBLANK(tbl_task6[[คะแนนเต็ม]:[คะแนนเต็ม]]),"",(tbl_task6[119]/tbl_task6[[คะแนนเต็ม]:[คะแนนเต็ม]])*tbl_task6[[%]:[%]])</f>
        <v/>
      </c>
      <c r="KD15" s="121" t="str">
        <f>IF(ISBLANK(tbl_task6[[คะแนนเต็ม]:[คะแนนเต็ม]]),"",(tbl_task6[120]/tbl_task6[[คะแนนเต็ม]:[คะแนนเต็ม]])*tbl_task6[[%]:[%]])</f>
        <v/>
      </c>
      <c r="KE15" s="121" t="str">
        <f>IF(ISBLANK(tbl_task6[[คะแนนเต็ม]:[คะแนนเต็ม]]),"",(tbl_task6[121]/tbl_task6[[คะแนนเต็ม]:[คะแนนเต็ม]])*tbl_task6[[%]:[%]])</f>
        <v/>
      </c>
      <c r="KF15" s="121" t="str">
        <f>IF(ISBLANK(tbl_task6[[คะแนนเต็ม]:[คะแนนเต็ม]]),"",(tbl_task6[122]/tbl_task6[[คะแนนเต็ม]:[คะแนนเต็ม]])*tbl_task6[[%]:[%]])</f>
        <v/>
      </c>
      <c r="KG15" s="121" t="str">
        <f>IF(ISBLANK(tbl_task6[[คะแนนเต็ม]:[คะแนนเต็ม]]),"",(tbl_task6[123]/tbl_task6[[คะแนนเต็ม]:[คะแนนเต็ม]])*tbl_task6[[%]:[%]])</f>
        <v/>
      </c>
      <c r="KH15" s="121" t="str">
        <f>IF(ISBLANK(tbl_task6[[คะแนนเต็ม]:[คะแนนเต็ม]]),"",(tbl_task6[124]/tbl_task6[[คะแนนเต็ม]:[คะแนนเต็ม]])*tbl_task6[[%]:[%]])</f>
        <v/>
      </c>
      <c r="KI15" s="121" t="str">
        <f>IF(ISBLANK(tbl_task6[[คะแนนเต็ม]:[คะแนนเต็ม]]),"",(tbl_task6[125]/tbl_task6[[คะแนนเต็ม]:[คะแนนเต็ม]])*tbl_task6[[%]:[%]])</f>
        <v/>
      </c>
      <c r="KJ15" s="121" t="str">
        <f>IF(ISBLANK(tbl_task6[[คะแนนเต็ม]:[คะแนนเต็ม]]),"",(tbl_task6[126]/tbl_task6[[คะแนนเต็ม]:[คะแนนเต็ม]])*tbl_task6[[%]:[%]])</f>
        <v/>
      </c>
      <c r="KK15" s="121" t="str">
        <f>IF(ISBLANK(tbl_task6[[คะแนนเต็ม]:[คะแนนเต็ม]]),"",(tbl_task6[127]/tbl_task6[[คะแนนเต็ม]:[คะแนนเต็ม]])*tbl_task6[[%]:[%]])</f>
        <v/>
      </c>
      <c r="KL15" s="121" t="str">
        <f>IF(ISBLANK(tbl_task6[[คะแนนเต็ม]:[คะแนนเต็ม]]),"",(tbl_task6[128]/tbl_task6[[คะแนนเต็ม]:[คะแนนเต็ม]])*tbl_task6[[%]:[%]])</f>
        <v/>
      </c>
      <c r="KM15" s="121" t="str">
        <f>IF(ISBLANK(tbl_task6[[คะแนนเต็ม]:[คะแนนเต็ม]]),"",(tbl_task6[129]/tbl_task6[[คะแนนเต็ม]:[คะแนนเต็ม]])*tbl_task6[[%]:[%]])</f>
        <v/>
      </c>
      <c r="KN15" s="121" t="str">
        <f>IF(ISBLANK(tbl_task6[[คะแนนเต็ม]:[คะแนนเต็ม]]),"",(tbl_task6[130]/tbl_task6[[คะแนนเต็ม]:[คะแนนเต็ม]])*tbl_task6[[%]:[%]])</f>
        <v/>
      </c>
      <c r="KO15" s="121" t="str">
        <f>IF(ISBLANK(tbl_task6[[คะแนนเต็ม]:[คะแนนเต็ม]]),"",(tbl_task6[131]/tbl_task6[[คะแนนเต็ม]:[คะแนนเต็ม]])*tbl_task6[[%]:[%]])</f>
        <v/>
      </c>
      <c r="KP15" s="121" t="str">
        <f>IF(ISBLANK(tbl_task6[[คะแนนเต็ม]:[คะแนนเต็ม]]),"",(tbl_task6[132]/tbl_task6[[คะแนนเต็ม]:[คะแนนเต็ม]])*tbl_task6[[%]:[%]])</f>
        <v/>
      </c>
      <c r="KQ15" s="121" t="str">
        <f>IF(ISBLANK(tbl_task6[[คะแนนเต็ม]:[คะแนนเต็ม]]),"",(tbl_task6[133]/tbl_task6[[คะแนนเต็ม]:[คะแนนเต็ม]])*tbl_task6[[%]:[%]])</f>
        <v/>
      </c>
      <c r="KR15" s="121" t="str">
        <f>IF(ISBLANK(tbl_task6[[คะแนนเต็ม]:[คะแนนเต็ม]]),"",(tbl_task6[134]/tbl_task6[[คะแนนเต็ม]:[คะแนนเต็ม]])*tbl_task6[[%]:[%]])</f>
        <v/>
      </c>
      <c r="KS15" s="121" t="str">
        <f>IF(ISBLANK(tbl_task6[[คะแนนเต็ม]:[คะแนนเต็ม]]),"",(tbl_task6[135]/tbl_task6[[คะแนนเต็ม]:[คะแนนเต็ม]])*tbl_task6[[%]:[%]])</f>
        <v/>
      </c>
      <c r="KT15" s="121" t="str">
        <f>IF(ISBLANK(tbl_task6[[คะแนนเต็ม]:[คะแนนเต็ม]]),"",(tbl_task6[136]/tbl_task6[[คะแนนเต็ม]:[คะแนนเต็ม]])*tbl_task6[[%]:[%]])</f>
        <v/>
      </c>
      <c r="KU15" s="121" t="str">
        <f>IF(ISBLANK(tbl_task6[[คะแนนเต็ม]:[คะแนนเต็ม]]),"",(tbl_task6[137]/tbl_task6[[คะแนนเต็ม]:[คะแนนเต็ม]])*tbl_task6[[%]:[%]])</f>
        <v/>
      </c>
      <c r="KV15" s="121" t="str">
        <f>IF(ISBLANK(tbl_task6[[คะแนนเต็ม]:[คะแนนเต็ม]]),"",(tbl_task6[138]/tbl_task6[[คะแนนเต็ม]:[คะแนนเต็ม]])*tbl_task6[[%]:[%]])</f>
        <v/>
      </c>
      <c r="KW15" s="121" t="str">
        <f>IF(ISBLANK(tbl_task6[[คะแนนเต็ม]:[คะแนนเต็ม]]),"",(tbl_task6[139]/tbl_task6[[คะแนนเต็ม]:[คะแนนเต็ม]])*tbl_task6[[%]:[%]])</f>
        <v/>
      </c>
      <c r="KX15" s="121" t="str">
        <f>IF(ISBLANK(tbl_task6[[คะแนนเต็ม]:[คะแนนเต็ม]]),"",(tbl_task6[140]/tbl_task6[[คะแนนเต็ม]:[คะแนนเต็ม]])*tbl_task6[[%]:[%]])</f>
        <v/>
      </c>
      <c r="KY15" s="121" t="str">
        <f>IF(ISBLANK(tbl_task6[[คะแนนเต็ม]:[คะแนนเต็ม]]),"",(tbl_task6[141]/tbl_task6[[คะแนนเต็ม]:[คะแนนเต็ม]])*tbl_task6[[%]:[%]])</f>
        <v/>
      </c>
      <c r="KZ15" s="121" t="str">
        <f>IF(ISBLANK(tbl_task6[[คะแนนเต็ม]:[คะแนนเต็ม]]),"",(tbl_task6[142]/tbl_task6[[คะแนนเต็ม]:[คะแนนเต็ม]])*tbl_task6[[%]:[%]])</f>
        <v/>
      </c>
      <c r="LA15" s="121" t="str">
        <f>IF(ISBLANK(tbl_task6[[คะแนนเต็ม]:[คะแนนเต็ม]]),"",(tbl_task6[143]/tbl_task6[[คะแนนเต็ม]:[คะแนนเต็ม]])*tbl_task6[[%]:[%]])</f>
        <v/>
      </c>
      <c r="LB15" s="121" t="str">
        <f>IF(ISBLANK(tbl_task6[[คะแนนเต็ม]:[คะแนนเต็ม]]),"",(tbl_task6[144]/tbl_task6[[คะแนนเต็ม]:[คะแนนเต็ม]])*tbl_task6[[%]:[%]])</f>
        <v/>
      </c>
      <c r="LC15" s="121" t="str">
        <f>IF(ISBLANK(tbl_task6[[คะแนนเต็ม]:[คะแนนเต็ม]]),"",(tbl_task6[145]/tbl_task6[[คะแนนเต็ม]:[คะแนนเต็ม]])*tbl_task6[[%]:[%]])</f>
        <v/>
      </c>
      <c r="LD15" s="121" t="str">
        <f>IF(ISBLANK(tbl_task6[[คะแนนเต็ม]:[คะแนนเต็ม]]),"",(tbl_task6[146]/tbl_task6[[คะแนนเต็ม]:[คะแนนเต็ม]])*tbl_task6[[%]:[%]])</f>
        <v/>
      </c>
      <c r="LE15" s="121" t="str">
        <f>IF(ISBLANK(tbl_task6[[คะแนนเต็ม]:[คะแนนเต็ม]]),"",(tbl_task6[147]/tbl_task6[[คะแนนเต็ม]:[คะแนนเต็ม]])*tbl_task6[[%]:[%]])</f>
        <v/>
      </c>
      <c r="LF15" s="121" t="str">
        <f>IF(ISBLANK(tbl_task6[[คะแนนเต็ม]:[คะแนนเต็ม]]),"",(tbl_task6[148]/tbl_task6[[คะแนนเต็ม]:[คะแนนเต็ม]])*tbl_task6[[%]:[%]])</f>
        <v/>
      </c>
      <c r="LG15" s="121" t="str">
        <f>IF(ISBLANK(tbl_task6[[คะแนนเต็ม]:[คะแนนเต็ม]]),"",(tbl_task6[149]/tbl_task6[[คะแนนเต็ม]:[คะแนนเต็ม]])*tbl_task6[[%]:[%]])</f>
        <v/>
      </c>
      <c r="LH15" s="121" t="str">
        <f>IF(ISBLANK(tbl_task6[[คะแนนเต็ม]:[คะแนนเต็ม]]),"",(tbl_task6[150]/tbl_task6[[คะแนนเต็ม]:[คะแนนเต็ม]])*tbl_task6[[%]:[%]])</f>
        <v/>
      </c>
      <c r="LI15" s="121" t="str">
        <f>IF(ISBLANK(tbl_task6[[คะแนนเต็ม]:[คะแนนเต็ม]]),"",(tbl_task6[151]/tbl_task6[[คะแนนเต็ม]:[คะแนนเต็ม]])*tbl_task6[[%]:[%]])</f>
        <v/>
      </c>
      <c r="LJ15" s="121" t="str">
        <f>IF(ISBLANK(tbl_task6[[คะแนนเต็ม]:[คะแนนเต็ม]]),"",(tbl_task6[152]/tbl_task6[[คะแนนเต็ม]:[คะแนนเต็ม]])*tbl_task6[[%]:[%]])</f>
        <v/>
      </c>
      <c r="LK15" s="121" t="str">
        <f>IF(ISBLANK(tbl_task6[[คะแนนเต็ม]:[คะแนนเต็ม]]),"",(tbl_task6[153]/tbl_task6[[คะแนนเต็ม]:[คะแนนเต็ม]])*tbl_task6[[%]:[%]])</f>
        <v/>
      </c>
      <c r="LL15" s="121" t="str">
        <f>IF(ISBLANK(tbl_task6[[คะแนนเต็ม]:[คะแนนเต็ม]]),"",(tbl_task6[154]/tbl_task6[[คะแนนเต็ม]:[คะแนนเต็ม]])*tbl_task6[[%]:[%]])</f>
        <v/>
      </c>
      <c r="LM15" s="121" t="str">
        <f>IF(ISBLANK(tbl_task6[[คะแนนเต็ม]:[คะแนนเต็ม]]),"",(tbl_task6[155]/tbl_task6[[คะแนนเต็ม]:[คะแนนเต็ม]])*tbl_task6[[%]:[%]])</f>
        <v/>
      </c>
      <c r="LN15" s="121" t="str">
        <f>IF(ISBLANK(tbl_task6[[คะแนนเต็ม]:[คะแนนเต็ม]]),"",(tbl_task6[156]/tbl_task6[[คะแนนเต็ม]:[คะแนนเต็ม]])*tbl_task6[[%]:[%]])</f>
        <v/>
      </c>
      <c r="LO15" s="121" t="str">
        <f>IF(ISBLANK(tbl_task6[[คะแนนเต็ม]:[คะแนนเต็ม]]),"",(tbl_task6[157]/tbl_task6[[คะแนนเต็ม]:[คะแนนเต็ม]])*tbl_task6[[%]:[%]])</f>
        <v/>
      </c>
      <c r="LP15" s="121" t="str">
        <f>IF(ISBLANK(tbl_task6[[คะแนนเต็ม]:[คะแนนเต็ม]]),"",(tbl_task6[158]/tbl_task6[[คะแนนเต็ม]:[คะแนนเต็ม]])*tbl_task6[[%]:[%]])</f>
        <v/>
      </c>
      <c r="LQ15" s="121" t="str">
        <f>IF(ISBLANK(tbl_task6[[คะแนนเต็ม]:[คะแนนเต็ม]]),"",(tbl_task6[159]/tbl_task6[[คะแนนเต็ม]:[คะแนนเต็ม]])*tbl_task6[[%]:[%]])</f>
        <v/>
      </c>
      <c r="LR15" s="121" t="str">
        <f>IF(ISBLANK(tbl_task6[[คะแนนเต็ม]:[คะแนนเต็ม]]),"",(tbl_task6[160]/tbl_task6[[คะแนนเต็ม]:[คะแนนเต็ม]])*tbl_task6[[%]:[%]])</f>
        <v/>
      </c>
      <c r="LS15" s="121" t="str">
        <f>IF(ISBLANK(tbl_task6[[คะแนนเต็ม]:[คะแนนเต็ม]]),"",(tbl_task6[161]/tbl_task6[[คะแนนเต็ม]:[คะแนนเต็ม]])*tbl_task6[[%]:[%]])</f>
        <v/>
      </c>
      <c r="LT15" s="121" t="str">
        <f>IF(ISBLANK(tbl_task6[[คะแนนเต็ม]:[คะแนนเต็ม]]),"",(tbl_task6[162]/tbl_task6[[คะแนนเต็ม]:[คะแนนเต็ม]])*tbl_task6[[%]:[%]])</f>
        <v/>
      </c>
      <c r="LU15" s="121" t="str">
        <f>IF(ISBLANK(tbl_task6[[คะแนนเต็ม]:[คะแนนเต็ม]]),"",(tbl_task6[163]/tbl_task6[[คะแนนเต็ม]:[คะแนนเต็ม]])*tbl_task6[[%]:[%]])</f>
        <v/>
      </c>
      <c r="LV15" s="121" t="str">
        <f>IF(ISBLANK(tbl_task6[[คะแนนเต็ม]:[คะแนนเต็ม]]),"",(tbl_task6[164]/tbl_task6[[คะแนนเต็ม]:[คะแนนเต็ม]])*tbl_task6[[%]:[%]])</f>
        <v/>
      </c>
      <c r="LW15" s="121" t="str">
        <f>IF(ISBLANK(tbl_task6[[คะแนนเต็ม]:[คะแนนเต็ม]]),"",(tbl_task6[165]/tbl_task6[[คะแนนเต็ม]:[คะแนนเต็ม]])*tbl_task6[[%]:[%]])</f>
        <v/>
      </c>
    </row>
    <row r="16" spans="1:335" ht="24" customHeight="1" x14ac:dyDescent="0.25">
      <c r="A16" s="24">
        <v>13</v>
      </c>
      <c r="B16" s="20"/>
      <c r="C16" s="5" t="str">
        <f>IF(ISBLANK(B16),"",VLOOKUP(B16,tbl_PLOs[],2,0))</f>
        <v/>
      </c>
      <c r="D16" s="102"/>
      <c r="E16" s="106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121" t="str">
        <f>IF(ISBLANK(tbl_task6[[คะแนนเต็ม]:[คะแนนเต็ม]]),"",(tbl_task6[1]/tbl_task6[[คะแนนเต็ม]:[คะแนนเต็ม]])*tbl_task6[[%]:[%]])</f>
        <v/>
      </c>
      <c r="FP16" s="121" t="str">
        <f>IF(ISBLANK(tbl_task6[[คะแนนเต็ม]:[คะแนนเต็ม]]),"",(tbl_task6[2]/tbl_task6[[คะแนนเต็ม]:[คะแนนเต็ม]])*tbl_task6[[%]:[%]])</f>
        <v/>
      </c>
      <c r="FQ16" s="121" t="str">
        <f>IF(ISBLANK(tbl_task6[[คะแนนเต็ม]:[คะแนนเต็ม]]),"",(tbl_task6[3]/tbl_task6[[คะแนนเต็ม]:[คะแนนเต็ม]])*tbl_task6[[%]:[%]])</f>
        <v/>
      </c>
      <c r="FR16" s="121" t="str">
        <f>IF(ISBLANK(tbl_task6[[คะแนนเต็ม]:[คะแนนเต็ม]]),"",(tbl_task6[4]/tbl_task6[[คะแนนเต็ม]:[คะแนนเต็ม]])*tbl_task6[[%]:[%]])</f>
        <v/>
      </c>
      <c r="FS16" s="121" t="str">
        <f>IF(ISBLANK(tbl_task6[[คะแนนเต็ม]:[คะแนนเต็ม]]),"",(tbl_task6[5]/tbl_task6[[คะแนนเต็ม]:[คะแนนเต็ม]])*tbl_task6[[%]:[%]])</f>
        <v/>
      </c>
      <c r="FT16" s="121" t="str">
        <f>IF(ISBLANK(tbl_task6[[คะแนนเต็ม]:[คะแนนเต็ม]]),"",(tbl_task6[6]/tbl_task6[[คะแนนเต็ม]:[คะแนนเต็ม]])*tbl_task6[[%]:[%]])</f>
        <v/>
      </c>
      <c r="FU16" s="121" t="str">
        <f>IF(ISBLANK(tbl_task6[[คะแนนเต็ม]:[คะแนนเต็ม]]),"",(tbl_task6[7]/tbl_task6[[คะแนนเต็ม]:[คะแนนเต็ม]])*tbl_task6[[%]:[%]])</f>
        <v/>
      </c>
      <c r="FV16" s="121" t="str">
        <f>IF(ISBLANK(tbl_task6[[คะแนนเต็ม]:[คะแนนเต็ม]]),"",(tbl_task6[8]/tbl_task6[[คะแนนเต็ม]:[คะแนนเต็ม]])*tbl_task6[[%]:[%]])</f>
        <v/>
      </c>
      <c r="FW16" s="121" t="str">
        <f>IF(ISBLANK(tbl_task6[[คะแนนเต็ม]:[คะแนนเต็ม]]),"",(tbl_task6[9]/tbl_task6[[คะแนนเต็ม]:[คะแนนเต็ม]])*tbl_task6[[%]:[%]])</f>
        <v/>
      </c>
      <c r="FX16" s="121" t="str">
        <f>IF(ISBLANK(tbl_task6[[คะแนนเต็ม]:[คะแนนเต็ม]]),"",(tbl_task6[10]/tbl_task6[[คะแนนเต็ม]:[คะแนนเต็ม]])*tbl_task6[[%]:[%]])</f>
        <v/>
      </c>
      <c r="FY16" s="121" t="str">
        <f>IF(ISBLANK(tbl_task6[[คะแนนเต็ม]:[คะแนนเต็ม]]),"",(tbl_task6[11]/tbl_task6[[คะแนนเต็ม]:[คะแนนเต็ม]])*tbl_task6[[%]:[%]])</f>
        <v/>
      </c>
      <c r="FZ16" s="121" t="str">
        <f>IF(ISBLANK(tbl_task6[[คะแนนเต็ม]:[คะแนนเต็ม]]),"",(tbl_task6[12]/tbl_task6[[คะแนนเต็ม]:[คะแนนเต็ม]])*tbl_task6[[%]:[%]])</f>
        <v/>
      </c>
      <c r="GA16" s="121" t="str">
        <f>IF(ISBLANK(tbl_task6[[คะแนนเต็ม]:[คะแนนเต็ม]]),"",(tbl_task6[13]/tbl_task6[[คะแนนเต็ม]:[คะแนนเต็ม]])*tbl_task6[[%]:[%]])</f>
        <v/>
      </c>
      <c r="GB16" s="121" t="str">
        <f>IF(ISBLANK(tbl_task6[[คะแนนเต็ม]:[คะแนนเต็ม]]),"",(tbl_task6[14]/tbl_task6[[คะแนนเต็ม]:[คะแนนเต็ม]])*tbl_task6[[%]:[%]])</f>
        <v/>
      </c>
      <c r="GC16" s="121" t="str">
        <f>IF(ISBLANK(tbl_task6[[คะแนนเต็ม]:[คะแนนเต็ม]]),"",(tbl_task6[15]/tbl_task6[[คะแนนเต็ม]:[คะแนนเต็ม]])*tbl_task6[[%]:[%]])</f>
        <v/>
      </c>
      <c r="GD16" s="121" t="str">
        <f>IF(ISBLANK(tbl_task6[[คะแนนเต็ม]:[คะแนนเต็ม]]),"",(tbl_task6[16]/tbl_task6[[คะแนนเต็ม]:[คะแนนเต็ม]])*tbl_task6[[%]:[%]])</f>
        <v/>
      </c>
      <c r="GE16" s="121" t="str">
        <f>IF(ISBLANK(tbl_task6[[คะแนนเต็ม]:[คะแนนเต็ม]]),"",(tbl_task6[17]/tbl_task6[[คะแนนเต็ม]:[คะแนนเต็ม]])*tbl_task6[[%]:[%]])</f>
        <v/>
      </c>
      <c r="GF16" s="121" t="str">
        <f>IF(ISBLANK(tbl_task6[[คะแนนเต็ม]:[คะแนนเต็ม]]),"",(tbl_task6[18]/tbl_task6[[คะแนนเต็ม]:[คะแนนเต็ม]])*tbl_task6[[%]:[%]])</f>
        <v/>
      </c>
      <c r="GG16" s="121" t="str">
        <f>IF(ISBLANK(tbl_task6[[คะแนนเต็ม]:[คะแนนเต็ม]]),"",(tbl_task6[19]/tbl_task6[[คะแนนเต็ม]:[คะแนนเต็ม]])*tbl_task6[[%]:[%]])</f>
        <v/>
      </c>
      <c r="GH16" s="121" t="str">
        <f>IF(ISBLANK(tbl_task6[[คะแนนเต็ม]:[คะแนนเต็ม]]),"",(tbl_task6[20]/tbl_task6[[คะแนนเต็ม]:[คะแนนเต็ม]])*tbl_task6[[%]:[%]])</f>
        <v/>
      </c>
      <c r="GI16" s="121" t="str">
        <f>IF(ISBLANK(tbl_task6[[คะแนนเต็ม]:[คะแนนเต็ม]]),"",(tbl_task6[21]/tbl_task6[[คะแนนเต็ม]:[คะแนนเต็ม]])*tbl_task6[[%]:[%]])</f>
        <v/>
      </c>
      <c r="GJ16" s="121" t="str">
        <f>IF(ISBLANK(tbl_task6[[คะแนนเต็ม]:[คะแนนเต็ม]]),"",(tbl_task6[22]/tbl_task6[[คะแนนเต็ม]:[คะแนนเต็ม]])*tbl_task6[[%]:[%]])</f>
        <v/>
      </c>
      <c r="GK16" s="121" t="str">
        <f>IF(ISBLANK(tbl_task6[[คะแนนเต็ม]:[คะแนนเต็ม]]),"",(tbl_task6[23]/tbl_task6[[คะแนนเต็ม]:[คะแนนเต็ม]])*tbl_task6[[%]:[%]])</f>
        <v/>
      </c>
      <c r="GL16" s="121" t="str">
        <f>IF(ISBLANK(tbl_task6[[คะแนนเต็ม]:[คะแนนเต็ม]]),"",(tbl_task6[24]/tbl_task6[[คะแนนเต็ม]:[คะแนนเต็ม]])*tbl_task6[[%]:[%]])</f>
        <v/>
      </c>
      <c r="GM16" s="121" t="str">
        <f>IF(ISBLANK(tbl_task6[[คะแนนเต็ม]:[คะแนนเต็ม]]),"",(tbl_task6[25]/tbl_task6[[คะแนนเต็ม]:[คะแนนเต็ม]])*tbl_task6[[%]:[%]])</f>
        <v/>
      </c>
      <c r="GN16" s="121" t="str">
        <f>IF(ISBLANK(tbl_task6[[คะแนนเต็ม]:[คะแนนเต็ม]]),"",(tbl_task6[26]/tbl_task6[[คะแนนเต็ม]:[คะแนนเต็ม]])*tbl_task6[[%]:[%]])</f>
        <v/>
      </c>
      <c r="GO16" s="121" t="str">
        <f>IF(ISBLANK(tbl_task6[[คะแนนเต็ม]:[คะแนนเต็ม]]),"",(tbl_task6[27]/tbl_task6[[คะแนนเต็ม]:[คะแนนเต็ม]])*tbl_task6[[%]:[%]])</f>
        <v/>
      </c>
      <c r="GP16" s="121" t="str">
        <f>IF(ISBLANK(tbl_task6[[คะแนนเต็ม]:[คะแนนเต็ม]]),"",(tbl_task6[28]/tbl_task6[[คะแนนเต็ม]:[คะแนนเต็ม]])*tbl_task6[[%]:[%]])</f>
        <v/>
      </c>
      <c r="GQ16" s="121" t="str">
        <f>IF(ISBLANK(tbl_task6[[คะแนนเต็ม]:[คะแนนเต็ม]]),"",(tbl_task6[29]/tbl_task6[[คะแนนเต็ม]:[คะแนนเต็ม]])*tbl_task6[[%]:[%]])</f>
        <v/>
      </c>
      <c r="GR16" s="121" t="str">
        <f>IF(ISBLANK(tbl_task6[[คะแนนเต็ม]:[คะแนนเต็ม]]),"",(tbl_task6[30]/tbl_task6[[คะแนนเต็ม]:[คะแนนเต็ม]])*tbl_task6[[%]:[%]])</f>
        <v/>
      </c>
      <c r="GS16" s="121" t="str">
        <f>IF(ISBLANK(tbl_task6[[คะแนนเต็ม]:[คะแนนเต็ม]]),"",(tbl_task6[31]/tbl_task6[[คะแนนเต็ม]:[คะแนนเต็ม]])*tbl_task6[[%]:[%]])</f>
        <v/>
      </c>
      <c r="GT16" s="121" t="str">
        <f>IF(ISBLANK(tbl_task6[[คะแนนเต็ม]:[คะแนนเต็ม]]),"",(tbl_task6[32]/tbl_task6[[คะแนนเต็ม]:[คะแนนเต็ม]])*tbl_task6[[%]:[%]])</f>
        <v/>
      </c>
      <c r="GU16" s="121" t="str">
        <f>IF(ISBLANK(tbl_task6[[คะแนนเต็ม]:[คะแนนเต็ม]]),"",(tbl_task6[33]/tbl_task6[[คะแนนเต็ม]:[คะแนนเต็ม]])*tbl_task6[[%]:[%]])</f>
        <v/>
      </c>
      <c r="GV16" s="121" t="str">
        <f>IF(ISBLANK(tbl_task6[[คะแนนเต็ม]:[คะแนนเต็ม]]),"",(tbl_task6[34]/tbl_task6[[คะแนนเต็ม]:[คะแนนเต็ม]])*tbl_task6[[%]:[%]])</f>
        <v/>
      </c>
      <c r="GW16" s="121" t="str">
        <f>IF(ISBLANK(tbl_task6[[คะแนนเต็ม]:[คะแนนเต็ม]]),"",(tbl_task6[35]/tbl_task6[[คะแนนเต็ม]:[คะแนนเต็ม]])*tbl_task6[[%]:[%]])</f>
        <v/>
      </c>
      <c r="GX16" s="121" t="str">
        <f>IF(ISBLANK(tbl_task6[[คะแนนเต็ม]:[คะแนนเต็ม]]),"",(tbl_task6[36]/tbl_task6[[คะแนนเต็ม]:[คะแนนเต็ม]])*tbl_task6[[%]:[%]])</f>
        <v/>
      </c>
      <c r="GY16" s="121" t="str">
        <f>IF(ISBLANK(tbl_task6[[คะแนนเต็ม]:[คะแนนเต็ม]]),"",(tbl_task6[37]/tbl_task6[[คะแนนเต็ม]:[คะแนนเต็ม]])*tbl_task6[[%]:[%]])</f>
        <v/>
      </c>
      <c r="GZ16" s="121" t="str">
        <f>IF(ISBLANK(tbl_task6[[คะแนนเต็ม]:[คะแนนเต็ม]]),"",(tbl_task6[38]/tbl_task6[[คะแนนเต็ม]:[คะแนนเต็ม]])*tbl_task6[[%]:[%]])</f>
        <v/>
      </c>
      <c r="HA16" s="121" t="str">
        <f>IF(ISBLANK(tbl_task6[[คะแนนเต็ม]:[คะแนนเต็ม]]),"",(tbl_task6[39]/tbl_task6[[คะแนนเต็ม]:[คะแนนเต็ม]])*tbl_task6[[%]:[%]])</f>
        <v/>
      </c>
      <c r="HB16" s="121" t="str">
        <f>IF(ISBLANK(tbl_task6[[คะแนนเต็ม]:[คะแนนเต็ม]]),"",(tbl_task6[40]/tbl_task6[[คะแนนเต็ม]:[คะแนนเต็ม]])*tbl_task6[[%]:[%]])</f>
        <v/>
      </c>
      <c r="HC16" s="121" t="str">
        <f>IF(ISBLANK(tbl_task6[[คะแนนเต็ม]:[คะแนนเต็ม]]),"",(tbl_task6[41]/tbl_task6[[คะแนนเต็ม]:[คะแนนเต็ม]])*tbl_task6[[%]:[%]])</f>
        <v/>
      </c>
      <c r="HD16" s="121" t="str">
        <f>IF(ISBLANK(tbl_task6[[คะแนนเต็ม]:[คะแนนเต็ม]]),"",(tbl_task6[42]/tbl_task6[[คะแนนเต็ม]:[คะแนนเต็ม]])*tbl_task6[[%]:[%]])</f>
        <v/>
      </c>
      <c r="HE16" s="121" t="str">
        <f>IF(ISBLANK(tbl_task6[[คะแนนเต็ม]:[คะแนนเต็ม]]),"",(tbl_task6[43]/tbl_task6[[คะแนนเต็ม]:[คะแนนเต็ม]])*tbl_task6[[%]:[%]])</f>
        <v/>
      </c>
      <c r="HF16" s="121" t="str">
        <f>IF(ISBLANK(tbl_task6[[คะแนนเต็ม]:[คะแนนเต็ม]]),"",(tbl_task6[44]/tbl_task6[[คะแนนเต็ม]:[คะแนนเต็ม]])*tbl_task6[[%]:[%]])</f>
        <v/>
      </c>
      <c r="HG16" s="121" t="str">
        <f>IF(ISBLANK(tbl_task6[[คะแนนเต็ม]:[คะแนนเต็ม]]),"",(tbl_task6[45]/tbl_task6[[คะแนนเต็ม]:[คะแนนเต็ม]])*tbl_task6[[%]:[%]])</f>
        <v/>
      </c>
      <c r="HH16" s="121" t="str">
        <f>IF(ISBLANK(tbl_task6[[คะแนนเต็ม]:[คะแนนเต็ม]]),"",(tbl_task6[46]/tbl_task6[[คะแนนเต็ม]:[คะแนนเต็ม]])*tbl_task6[[%]:[%]])</f>
        <v/>
      </c>
      <c r="HI16" s="121" t="str">
        <f>IF(ISBLANK(tbl_task6[[คะแนนเต็ม]:[คะแนนเต็ม]]),"",(tbl_task6[47]/tbl_task6[[คะแนนเต็ม]:[คะแนนเต็ม]])*tbl_task6[[%]:[%]])</f>
        <v/>
      </c>
      <c r="HJ16" s="121" t="str">
        <f>IF(ISBLANK(tbl_task6[[คะแนนเต็ม]:[คะแนนเต็ม]]),"",(tbl_task6[48]/tbl_task6[[คะแนนเต็ม]:[คะแนนเต็ม]])*tbl_task6[[%]:[%]])</f>
        <v/>
      </c>
      <c r="HK16" s="121" t="str">
        <f>IF(ISBLANK(tbl_task6[[คะแนนเต็ม]:[คะแนนเต็ม]]),"",(tbl_task6[49]/tbl_task6[[คะแนนเต็ม]:[คะแนนเต็ม]])*tbl_task6[[%]:[%]])</f>
        <v/>
      </c>
      <c r="HL16" s="121" t="str">
        <f>IF(ISBLANK(tbl_task6[[คะแนนเต็ม]:[คะแนนเต็ม]]),"",(tbl_task6[50]/tbl_task6[[คะแนนเต็ม]:[คะแนนเต็ม]])*tbl_task6[[%]:[%]])</f>
        <v/>
      </c>
      <c r="HM16" s="121" t="str">
        <f>IF(ISBLANK(tbl_task6[[คะแนนเต็ม]:[คะแนนเต็ม]]),"",(tbl_task6[51]/tbl_task6[[คะแนนเต็ม]:[คะแนนเต็ม]])*tbl_task6[[%]:[%]])</f>
        <v/>
      </c>
      <c r="HN16" s="121" t="str">
        <f>IF(ISBLANK(tbl_task6[[คะแนนเต็ม]:[คะแนนเต็ม]]),"",(tbl_task6[52]/tbl_task6[[คะแนนเต็ม]:[คะแนนเต็ม]])*tbl_task6[[%]:[%]])</f>
        <v/>
      </c>
      <c r="HO16" s="121" t="str">
        <f>IF(ISBLANK(tbl_task6[[คะแนนเต็ม]:[คะแนนเต็ม]]),"",(tbl_task6[53]/tbl_task6[[คะแนนเต็ม]:[คะแนนเต็ม]])*tbl_task6[[%]:[%]])</f>
        <v/>
      </c>
      <c r="HP16" s="121" t="str">
        <f>IF(ISBLANK(tbl_task6[[คะแนนเต็ม]:[คะแนนเต็ม]]),"",(tbl_task6[54]/tbl_task6[[คะแนนเต็ม]:[คะแนนเต็ม]])*tbl_task6[[%]:[%]])</f>
        <v/>
      </c>
      <c r="HQ16" s="121" t="str">
        <f>IF(ISBLANK(tbl_task6[[คะแนนเต็ม]:[คะแนนเต็ม]]),"",(tbl_task6[55]/tbl_task6[[คะแนนเต็ม]:[คะแนนเต็ม]])*tbl_task6[[%]:[%]])</f>
        <v/>
      </c>
      <c r="HR16" s="121" t="str">
        <f>IF(ISBLANK(tbl_task6[[คะแนนเต็ม]:[คะแนนเต็ม]]),"",(tbl_task6[56]/tbl_task6[[คะแนนเต็ม]:[คะแนนเต็ม]])*tbl_task6[[%]:[%]])</f>
        <v/>
      </c>
      <c r="HS16" s="121" t="str">
        <f>IF(ISBLANK(tbl_task6[[คะแนนเต็ม]:[คะแนนเต็ม]]),"",(tbl_task6[57]/tbl_task6[[คะแนนเต็ม]:[คะแนนเต็ม]])*tbl_task6[[%]:[%]])</f>
        <v/>
      </c>
      <c r="HT16" s="121" t="str">
        <f>IF(ISBLANK(tbl_task6[[คะแนนเต็ม]:[คะแนนเต็ม]]),"",(tbl_task6[58]/tbl_task6[[คะแนนเต็ม]:[คะแนนเต็ม]])*tbl_task6[[%]:[%]])</f>
        <v/>
      </c>
      <c r="HU16" s="121" t="str">
        <f>IF(ISBLANK(tbl_task6[[คะแนนเต็ม]:[คะแนนเต็ม]]),"",(tbl_task6[59]/tbl_task6[[คะแนนเต็ม]:[คะแนนเต็ม]])*tbl_task6[[%]:[%]])</f>
        <v/>
      </c>
      <c r="HV16" s="121" t="str">
        <f>IF(ISBLANK(tbl_task6[[คะแนนเต็ม]:[คะแนนเต็ม]]),"",(tbl_task6[60]/tbl_task6[[คะแนนเต็ม]:[คะแนนเต็ม]])*tbl_task6[[%]:[%]])</f>
        <v/>
      </c>
      <c r="HW16" s="121" t="str">
        <f>IF(ISBLANK(tbl_task6[[คะแนนเต็ม]:[คะแนนเต็ม]]),"",(tbl_task6[61]/tbl_task6[[คะแนนเต็ม]:[คะแนนเต็ม]])*tbl_task6[[%]:[%]])</f>
        <v/>
      </c>
      <c r="HX16" s="121" t="str">
        <f>IF(ISBLANK(tbl_task6[[คะแนนเต็ม]:[คะแนนเต็ม]]),"",(tbl_task6[62]/tbl_task6[[คะแนนเต็ม]:[คะแนนเต็ม]])*tbl_task6[[%]:[%]])</f>
        <v/>
      </c>
      <c r="HY16" s="121" t="str">
        <f>IF(ISBLANK(tbl_task6[[คะแนนเต็ม]:[คะแนนเต็ม]]),"",(tbl_task6[63]/tbl_task6[[คะแนนเต็ม]:[คะแนนเต็ม]])*tbl_task6[[%]:[%]])</f>
        <v/>
      </c>
      <c r="HZ16" s="121" t="str">
        <f>IF(ISBLANK(tbl_task6[[คะแนนเต็ม]:[คะแนนเต็ม]]),"",(tbl_task6[64]/tbl_task6[[คะแนนเต็ม]:[คะแนนเต็ม]])*tbl_task6[[%]:[%]])</f>
        <v/>
      </c>
      <c r="IA16" s="121" t="str">
        <f>IF(ISBLANK(tbl_task6[[คะแนนเต็ม]:[คะแนนเต็ม]]),"",(tbl_task6[65]/tbl_task6[[คะแนนเต็ม]:[คะแนนเต็ม]])*tbl_task6[[%]:[%]])</f>
        <v/>
      </c>
      <c r="IB16" s="121" t="str">
        <f>IF(ISBLANK(tbl_task6[[คะแนนเต็ม]:[คะแนนเต็ม]]),"",(tbl_task6[66]/tbl_task6[[คะแนนเต็ม]:[คะแนนเต็ม]])*tbl_task6[[%]:[%]])</f>
        <v/>
      </c>
      <c r="IC16" s="121" t="str">
        <f>IF(ISBLANK(tbl_task6[[คะแนนเต็ม]:[คะแนนเต็ม]]),"",(tbl_task6[67]/tbl_task6[[คะแนนเต็ม]:[คะแนนเต็ม]])*tbl_task6[[%]:[%]])</f>
        <v/>
      </c>
      <c r="ID16" s="121" t="str">
        <f>IF(ISBLANK(tbl_task6[[คะแนนเต็ม]:[คะแนนเต็ม]]),"",(tbl_task6[68]/tbl_task6[[คะแนนเต็ม]:[คะแนนเต็ม]])*tbl_task6[[%]:[%]])</f>
        <v/>
      </c>
      <c r="IE16" s="121" t="str">
        <f>IF(ISBLANK(tbl_task6[[คะแนนเต็ม]:[คะแนนเต็ม]]),"",(tbl_task6[69]/tbl_task6[[คะแนนเต็ม]:[คะแนนเต็ม]])*tbl_task6[[%]:[%]])</f>
        <v/>
      </c>
      <c r="IF16" s="121" t="str">
        <f>IF(ISBLANK(tbl_task6[[คะแนนเต็ม]:[คะแนนเต็ม]]),"",(tbl_task6[70]/tbl_task6[[คะแนนเต็ม]:[คะแนนเต็ม]])*tbl_task6[[%]:[%]])</f>
        <v/>
      </c>
      <c r="IG16" s="121" t="str">
        <f>IF(ISBLANK(tbl_task6[[คะแนนเต็ม]:[คะแนนเต็ม]]),"",(tbl_task6[71]/tbl_task6[[คะแนนเต็ม]:[คะแนนเต็ม]])*tbl_task6[[%]:[%]])</f>
        <v/>
      </c>
      <c r="IH16" s="121" t="str">
        <f>IF(ISBLANK(tbl_task6[[คะแนนเต็ม]:[คะแนนเต็ม]]),"",(tbl_task6[72]/tbl_task6[[คะแนนเต็ม]:[คะแนนเต็ม]])*tbl_task6[[%]:[%]])</f>
        <v/>
      </c>
      <c r="II16" s="121" t="str">
        <f>IF(ISBLANK(tbl_task6[[คะแนนเต็ม]:[คะแนนเต็ม]]),"",(tbl_task6[73]/tbl_task6[[คะแนนเต็ม]:[คะแนนเต็ม]])*tbl_task6[[%]:[%]])</f>
        <v/>
      </c>
      <c r="IJ16" s="121" t="str">
        <f>IF(ISBLANK(tbl_task6[[คะแนนเต็ม]:[คะแนนเต็ม]]),"",(tbl_task6[74]/tbl_task6[[คะแนนเต็ม]:[คะแนนเต็ม]])*tbl_task6[[%]:[%]])</f>
        <v/>
      </c>
      <c r="IK16" s="121" t="str">
        <f>IF(ISBLANK(tbl_task6[[คะแนนเต็ม]:[คะแนนเต็ม]]),"",(tbl_task6[75]/tbl_task6[[คะแนนเต็ม]:[คะแนนเต็ม]])*tbl_task6[[%]:[%]])</f>
        <v/>
      </c>
      <c r="IL16" s="121" t="str">
        <f>IF(ISBLANK(tbl_task6[[คะแนนเต็ม]:[คะแนนเต็ม]]),"",(tbl_task6[76]/tbl_task6[[คะแนนเต็ม]:[คะแนนเต็ม]])*tbl_task6[[%]:[%]])</f>
        <v/>
      </c>
      <c r="IM16" s="121" t="str">
        <f>IF(ISBLANK(tbl_task6[[คะแนนเต็ม]:[คะแนนเต็ม]]),"",(tbl_task6[77]/tbl_task6[[คะแนนเต็ม]:[คะแนนเต็ม]])*tbl_task6[[%]:[%]])</f>
        <v/>
      </c>
      <c r="IN16" s="121" t="str">
        <f>IF(ISBLANK(tbl_task6[[คะแนนเต็ม]:[คะแนนเต็ม]]),"",(tbl_task6[78]/tbl_task6[[คะแนนเต็ม]:[คะแนนเต็ม]])*tbl_task6[[%]:[%]])</f>
        <v/>
      </c>
      <c r="IO16" s="121" t="str">
        <f>IF(ISBLANK(tbl_task6[[คะแนนเต็ม]:[คะแนนเต็ม]]),"",(tbl_task6[79]/tbl_task6[[คะแนนเต็ม]:[คะแนนเต็ม]])*tbl_task6[[%]:[%]])</f>
        <v/>
      </c>
      <c r="IP16" s="121" t="str">
        <f>IF(ISBLANK(tbl_task6[[คะแนนเต็ม]:[คะแนนเต็ม]]),"",(tbl_task6[80]/tbl_task6[[คะแนนเต็ม]:[คะแนนเต็ม]])*tbl_task6[[%]:[%]])</f>
        <v/>
      </c>
      <c r="IQ16" s="121" t="str">
        <f>IF(ISBLANK(tbl_task6[[คะแนนเต็ม]:[คะแนนเต็ม]]),"",(tbl_task6[81]/tbl_task6[[คะแนนเต็ม]:[คะแนนเต็ม]])*tbl_task6[[%]:[%]])</f>
        <v/>
      </c>
      <c r="IR16" s="121" t="str">
        <f>IF(ISBLANK(tbl_task6[[คะแนนเต็ม]:[คะแนนเต็ม]]),"",(tbl_task6[82]/tbl_task6[[คะแนนเต็ม]:[คะแนนเต็ม]])*tbl_task6[[%]:[%]])</f>
        <v/>
      </c>
      <c r="IS16" s="121" t="str">
        <f>IF(ISBLANK(tbl_task6[[คะแนนเต็ม]:[คะแนนเต็ม]]),"",(tbl_task6[83]/tbl_task6[[คะแนนเต็ม]:[คะแนนเต็ม]])*tbl_task6[[%]:[%]])</f>
        <v/>
      </c>
      <c r="IT16" s="121" t="str">
        <f>IF(ISBLANK(tbl_task6[[คะแนนเต็ม]:[คะแนนเต็ม]]),"",(tbl_task6[84]/tbl_task6[[คะแนนเต็ม]:[คะแนนเต็ม]])*tbl_task6[[%]:[%]])</f>
        <v/>
      </c>
      <c r="IU16" s="121" t="str">
        <f>IF(ISBLANK(tbl_task6[[คะแนนเต็ม]:[คะแนนเต็ม]]),"",(tbl_task6[85]/tbl_task6[[คะแนนเต็ม]:[คะแนนเต็ม]])*tbl_task6[[%]:[%]])</f>
        <v/>
      </c>
      <c r="IV16" s="121" t="str">
        <f>IF(ISBLANK(tbl_task6[[คะแนนเต็ม]:[คะแนนเต็ม]]),"",(tbl_task6[86]/tbl_task6[[คะแนนเต็ม]:[คะแนนเต็ม]])*tbl_task6[[%]:[%]])</f>
        <v/>
      </c>
      <c r="IW16" s="121" t="str">
        <f>IF(ISBLANK(tbl_task6[[คะแนนเต็ม]:[คะแนนเต็ม]]),"",(tbl_task6[87]/tbl_task6[[คะแนนเต็ม]:[คะแนนเต็ม]])*tbl_task6[[%]:[%]])</f>
        <v/>
      </c>
      <c r="IX16" s="121" t="str">
        <f>IF(ISBLANK(tbl_task6[[คะแนนเต็ม]:[คะแนนเต็ม]]),"",(tbl_task6[88]/tbl_task6[[คะแนนเต็ม]:[คะแนนเต็ม]])*tbl_task6[[%]:[%]])</f>
        <v/>
      </c>
      <c r="IY16" s="121" t="str">
        <f>IF(ISBLANK(tbl_task6[[คะแนนเต็ม]:[คะแนนเต็ม]]),"",(tbl_task6[89]/tbl_task6[[คะแนนเต็ม]:[คะแนนเต็ม]])*tbl_task6[[%]:[%]])</f>
        <v/>
      </c>
      <c r="IZ16" s="121" t="str">
        <f>IF(ISBLANK(tbl_task6[[คะแนนเต็ม]:[คะแนนเต็ม]]),"",(tbl_task6[90]/tbl_task6[[คะแนนเต็ม]:[คะแนนเต็ม]])*tbl_task6[[%]:[%]])</f>
        <v/>
      </c>
      <c r="JA16" s="121" t="str">
        <f>IF(ISBLANK(tbl_task6[[คะแนนเต็ม]:[คะแนนเต็ม]]),"",(tbl_task6[91]/tbl_task6[[คะแนนเต็ม]:[คะแนนเต็ม]])*tbl_task6[[%]:[%]])</f>
        <v/>
      </c>
      <c r="JB16" s="121" t="str">
        <f>IF(ISBLANK(tbl_task6[[คะแนนเต็ม]:[คะแนนเต็ม]]),"",(tbl_task6[92]/tbl_task6[[คะแนนเต็ม]:[คะแนนเต็ม]])*tbl_task6[[%]:[%]])</f>
        <v/>
      </c>
      <c r="JC16" s="121" t="str">
        <f>IF(ISBLANK(tbl_task6[[คะแนนเต็ม]:[คะแนนเต็ม]]),"",(tbl_task6[93]/tbl_task6[[คะแนนเต็ม]:[คะแนนเต็ม]])*tbl_task6[[%]:[%]])</f>
        <v/>
      </c>
      <c r="JD16" s="121" t="str">
        <f>IF(ISBLANK(tbl_task6[[คะแนนเต็ม]:[คะแนนเต็ม]]),"",(tbl_task6[94]/tbl_task6[[คะแนนเต็ม]:[คะแนนเต็ม]])*tbl_task6[[%]:[%]])</f>
        <v/>
      </c>
      <c r="JE16" s="121" t="str">
        <f>IF(ISBLANK(tbl_task6[[คะแนนเต็ม]:[คะแนนเต็ม]]),"",(tbl_task6[95]/tbl_task6[[คะแนนเต็ม]:[คะแนนเต็ม]])*tbl_task6[[%]:[%]])</f>
        <v/>
      </c>
      <c r="JF16" s="121" t="str">
        <f>IF(ISBLANK(tbl_task6[[คะแนนเต็ม]:[คะแนนเต็ม]]),"",(tbl_task6[96]/tbl_task6[[คะแนนเต็ม]:[คะแนนเต็ม]])*tbl_task6[[%]:[%]])</f>
        <v/>
      </c>
      <c r="JG16" s="121" t="str">
        <f>IF(ISBLANK(tbl_task6[[คะแนนเต็ม]:[คะแนนเต็ม]]),"",(tbl_task6[97]/tbl_task6[[คะแนนเต็ม]:[คะแนนเต็ม]])*tbl_task6[[%]:[%]])</f>
        <v/>
      </c>
      <c r="JH16" s="121" t="str">
        <f>IF(ISBLANK(tbl_task6[[คะแนนเต็ม]:[คะแนนเต็ม]]),"",(tbl_task6[98]/tbl_task6[[คะแนนเต็ม]:[คะแนนเต็ม]])*tbl_task6[[%]:[%]])</f>
        <v/>
      </c>
      <c r="JI16" s="121" t="str">
        <f>IF(ISBLANK(tbl_task6[[คะแนนเต็ม]:[คะแนนเต็ม]]),"",(tbl_task6[99]/tbl_task6[[คะแนนเต็ม]:[คะแนนเต็ม]])*tbl_task6[[%]:[%]])</f>
        <v/>
      </c>
      <c r="JJ16" s="121" t="str">
        <f>IF(ISBLANK(tbl_task6[[คะแนนเต็ม]:[คะแนนเต็ม]]),"",(tbl_task6[100]/tbl_task6[[คะแนนเต็ม]:[คะแนนเต็ม]])*tbl_task6[[%]:[%]])</f>
        <v/>
      </c>
      <c r="JK16" s="121" t="str">
        <f>IF(ISBLANK(tbl_task6[[คะแนนเต็ม]:[คะแนนเต็ม]]),"",(tbl_task6[101]/tbl_task6[[คะแนนเต็ม]:[คะแนนเต็ม]])*tbl_task6[[%]:[%]])</f>
        <v/>
      </c>
      <c r="JL16" s="121" t="str">
        <f>IF(ISBLANK(tbl_task6[[คะแนนเต็ม]:[คะแนนเต็ม]]),"",(tbl_task6[102]/tbl_task6[[คะแนนเต็ม]:[คะแนนเต็ม]])*tbl_task6[[%]:[%]])</f>
        <v/>
      </c>
      <c r="JM16" s="121" t="str">
        <f>IF(ISBLANK(tbl_task6[[คะแนนเต็ม]:[คะแนนเต็ม]]),"",(tbl_task6[103]/tbl_task6[[คะแนนเต็ม]:[คะแนนเต็ม]])*tbl_task6[[%]:[%]])</f>
        <v/>
      </c>
      <c r="JN16" s="121" t="str">
        <f>IF(ISBLANK(tbl_task6[[คะแนนเต็ม]:[คะแนนเต็ม]]),"",(tbl_task6[104]/tbl_task6[[คะแนนเต็ม]:[คะแนนเต็ม]])*tbl_task6[[%]:[%]])</f>
        <v/>
      </c>
      <c r="JO16" s="121" t="str">
        <f>IF(ISBLANK(tbl_task6[[คะแนนเต็ม]:[คะแนนเต็ม]]),"",(tbl_task6[105]/tbl_task6[[คะแนนเต็ม]:[คะแนนเต็ม]])*tbl_task6[[%]:[%]])</f>
        <v/>
      </c>
      <c r="JP16" s="121" t="str">
        <f>IF(ISBLANK(tbl_task6[[คะแนนเต็ม]:[คะแนนเต็ม]]),"",(tbl_task6[106]/tbl_task6[[คะแนนเต็ม]:[คะแนนเต็ม]])*tbl_task6[[%]:[%]])</f>
        <v/>
      </c>
      <c r="JQ16" s="121" t="str">
        <f>IF(ISBLANK(tbl_task6[[คะแนนเต็ม]:[คะแนนเต็ม]]),"",(tbl_task6[107]/tbl_task6[[คะแนนเต็ม]:[คะแนนเต็ม]])*tbl_task6[[%]:[%]])</f>
        <v/>
      </c>
      <c r="JR16" s="121" t="str">
        <f>IF(ISBLANK(tbl_task6[[คะแนนเต็ม]:[คะแนนเต็ม]]),"",(tbl_task6[108]/tbl_task6[[คะแนนเต็ม]:[คะแนนเต็ม]])*tbl_task6[[%]:[%]])</f>
        <v/>
      </c>
      <c r="JS16" s="121" t="str">
        <f>IF(ISBLANK(tbl_task6[[คะแนนเต็ม]:[คะแนนเต็ม]]),"",(tbl_task6[109]/tbl_task6[[คะแนนเต็ม]:[คะแนนเต็ม]])*tbl_task6[[%]:[%]])</f>
        <v/>
      </c>
      <c r="JT16" s="121" t="str">
        <f>IF(ISBLANK(tbl_task6[[คะแนนเต็ม]:[คะแนนเต็ม]]),"",(tbl_task6[110]/tbl_task6[[คะแนนเต็ม]:[คะแนนเต็ม]])*tbl_task6[[%]:[%]])</f>
        <v/>
      </c>
      <c r="JU16" s="121" t="str">
        <f>IF(ISBLANK(tbl_task6[[คะแนนเต็ม]:[คะแนนเต็ม]]),"",(tbl_task6[111]/tbl_task6[[คะแนนเต็ม]:[คะแนนเต็ม]])*tbl_task6[[%]:[%]])</f>
        <v/>
      </c>
      <c r="JV16" s="121" t="str">
        <f>IF(ISBLANK(tbl_task6[[คะแนนเต็ม]:[คะแนนเต็ม]]),"",(tbl_task6[112]/tbl_task6[[คะแนนเต็ม]:[คะแนนเต็ม]])*tbl_task6[[%]:[%]])</f>
        <v/>
      </c>
      <c r="JW16" s="121" t="str">
        <f>IF(ISBLANK(tbl_task6[[คะแนนเต็ม]:[คะแนนเต็ม]]),"",(tbl_task6[113]/tbl_task6[[คะแนนเต็ม]:[คะแนนเต็ม]])*tbl_task6[[%]:[%]])</f>
        <v/>
      </c>
      <c r="JX16" s="121" t="str">
        <f>IF(ISBLANK(tbl_task6[[คะแนนเต็ม]:[คะแนนเต็ม]]),"",(tbl_task6[114]/tbl_task6[[คะแนนเต็ม]:[คะแนนเต็ม]])*tbl_task6[[%]:[%]])</f>
        <v/>
      </c>
      <c r="JY16" s="121" t="str">
        <f>IF(ISBLANK(tbl_task6[[คะแนนเต็ม]:[คะแนนเต็ม]]),"",(tbl_task6[115]/tbl_task6[[คะแนนเต็ม]:[คะแนนเต็ม]])*tbl_task6[[%]:[%]])</f>
        <v/>
      </c>
      <c r="JZ16" s="121" t="str">
        <f>IF(ISBLANK(tbl_task6[[คะแนนเต็ม]:[คะแนนเต็ม]]),"",(tbl_task6[116]/tbl_task6[[คะแนนเต็ม]:[คะแนนเต็ม]])*tbl_task6[[%]:[%]])</f>
        <v/>
      </c>
      <c r="KA16" s="121" t="str">
        <f>IF(ISBLANK(tbl_task6[[คะแนนเต็ม]:[คะแนนเต็ม]]),"",(tbl_task6[117]/tbl_task6[[คะแนนเต็ม]:[คะแนนเต็ม]])*tbl_task6[[%]:[%]])</f>
        <v/>
      </c>
      <c r="KB16" s="121" t="str">
        <f>IF(ISBLANK(tbl_task6[[คะแนนเต็ม]:[คะแนนเต็ม]]),"",(tbl_task6[118]/tbl_task6[[คะแนนเต็ม]:[คะแนนเต็ม]])*tbl_task6[[%]:[%]])</f>
        <v/>
      </c>
      <c r="KC16" s="121" t="str">
        <f>IF(ISBLANK(tbl_task6[[คะแนนเต็ม]:[คะแนนเต็ม]]),"",(tbl_task6[119]/tbl_task6[[คะแนนเต็ม]:[คะแนนเต็ม]])*tbl_task6[[%]:[%]])</f>
        <v/>
      </c>
      <c r="KD16" s="121" t="str">
        <f>IF(ISBLANK(tbl_task6[[คะแนนเต็ม]:[คะแนนเต็ม]]),"",(tbl_task6[120]/tbl_task6[[คะแนนเต็ม]:[คะแนนเต็ม]])*tbl_task6[[%]:[%]])</f>
        <v/>
      </c>
      <c r="KE16" s="121" t="str">
        <f>IF(ISBLANK(tbl_task6[[คะแนนเต็ม]:[คะแนนเต็ม]]),"",(tbl_task6[121]/tbl_task6[[คะแนนเต็ม]:[คะแนนเต็ม]])*tbl_task6[[%]:[%]])</f>
        <v/>
      </c>
      <c r="KF16" s="121" t="str">
        <f>IF(ISBLANK(tbl_task6[[คะแนนเต็ม]:[คะแนนเต็ม]]),"",(tbl_task6[122]/tbl_task6[[คะแนนเต็ม]:[คะแนนเต็ม]])*tbl_task6[[%]:[%]])</f>
        <v/>
      </c>
      <c r="KG16" s="121" t="str">
        <f>IF(ISBLANK(tbl_task6[[คะแนนเต็ม]:[คะแนนเต็ม]]),"",(tbl_task6[123]/tbl_task6[[คะแนนเต็ม]:[คะแนนเต็ม]])*tbl_task6[[%]:[%]])</f>
        <v/>
      </c>
      <c r="KH16" s="121" t="str">
        <f>IF(ISBLANK(tbl_task6[[คะแนนเต็ม]:[คะแนนเต็ม]]),"",(tbl_task6[124]/tbl_task6[[คะแนนเต็ม]:[คะแนนเต็ม]])*tbl_task6[[%]:[%]])</f>
        <v/>
      </c>
      <c r="KI16" s="121" t="str">
        <f>IF(ISBLANK(tbl_task6[[คะแนนเต็ม]:[คะแนนเต็ม]]),"",(tbl_task6[125]/tbl_task6[[คะแนนเต็ม]:[คะแนนเต็ม]])*tbl_task6[[%]:[%]])</f>
        <v/>
      </c>
      <c r="KJ16" s="121" t="str">
        <f>IF(ISBLANK(tbl_task6[[คะแนนเต็ม]:[คะแนนเต็ม]]),"",(tbl_task6[126]/tbl_task6[[คะแนนเต็ม]:[คะแนนเต็ม]])*tbl_task6[[%]:[%]])</f>
        <v/>
      </c>
      <c r="KK16" s="121" t="str">
        <f>IF(ISBLANK(tbl_task6[[คะแนนเต็ม]:[คะแนนเต็ม]]),"",(tbl_task6[127]/tbl_task6[[คะแนนเต็ม]:[คะแนนเต็ม]])*tbl_task6[[%]:[%]])</f>
        <v/>
      </c>
      <c r="KL16" s="121" t="str">
        <f>IF(ISBLANK(tbl_task6[[คะแนนเต็ม]:[คะแนนเต็ม]]),"",(tbl_task6[128]/tbl_task6[[คะแนนเต็ม]:[คะแนนเต็ม]])*tbl_task6[[%]:[%]])</f>
        <v/>
      </c>
      <c r="KM16" s="121" t="str">
        <f>IF(ISBLANK(tbl_task6[[คะแนนเต็ม]:[คะแนนเต็ม]]),"",(tbl_task6[129]/tbl_task6[[คะแนนเต็ม]:[คะแนนเต็ม]])*tbl_task6[[%]:[%]])</f>
        <v/>
      </c>
      <c r="KN16" s="121" t="str">
        <f>IF(ISBLANK(tbl_task6[[คะแนนเต็ม]:[คะแนนเต็ม]]),"",(tbl_task6[130]/tbl_task6[[คะแนนเต็ม]:[คะแนนเต็ม]])*tbl_task6[[%]:[%]])</f>
        <v/>
      </c>
      <c r="KO16" s="121" t="str">
        <f>IF(ISBLANK(tbl_task6[[คะแนนเต็ม]:[คะแนนเต็ม]]),"",(tbl_task6[131]/tbl_task6[[คะแนนเต็ม]:[คะแนนเต็ม]])*tbl_task6[[%]:[%]])</f>
        <v/>
      </c>
      <c r="KP16" s="121" t="str">
        <f>IF(ISBLANK(tbl_task6[[คะแนนเต็ม]:[คะแนนเต็ม]]),"",(tbl_task6[132]/tbl_task6[[คะแนนเต็ม]:[คะแนนเต็ม]])*tbl_task6[[%]:[%]])</f>
        <v/>
      </c>
      <c r="KQ16" s="121" t="str">
        <f>IF(ISBLANK(tbl_task6[[คะแนนเต็ม]:[คะแนนเต็ม]]),"",(tbl_task6[133]/tbl_task6[[คะแนนเต็ม]:[คะแนนเต็ม]])*tbl_task6[[%]:[%]])</f>
        <v/>
      </c>
      <c r="KR16" s="121" t="str">
        <f>IF(ISBLANK(tbl_task6[[คะแนนเต็ม]:[คะแนนเต็ม]]),"",(tbl_task6[134]/tbl_task6[[คะแนนเต็ม]:[คะแนนเต็ม]])*tbl_task6[[%]:[%]])</f>
        <v/>
      </c>
      <c r="KS16" s="121" t="str">
        <f>IF(ISBLANK(tbl_task6[[คะแนนเต็ม]:[คะแนนเต็ม]]),"",(tbl_task6[135]/tbl_task6[[คะแนนเต็ม]:[คะแนนเต็ม]])*tbl_task6[[%]:[%]])</f>
        <v/>
      </c>
      <c r="KT16" s="121" t="str">
        <f>IF(ISBLANK(tbl_task6[[คะแนนเต็ม]:[คะแนนเต็ม]]),"",(tbl_task6[136]/tbl_task6[[คะแนนเต็ม]:[คะแนนเต็ม]])*tbl_task6[[%]:[%]])</f>
        <v/>
      </c>
      <c r="KU16" s="121" t="str">
        <f>IF(ISBLANK(tbl_task6[[คะแนนเต็ม]:[คะแนนเต็ม]]),"",(tbl_task6[137]/tbl_task6[[คะแนนเต็ม]:[คะแนนเต็ม]])*tbl_task6[[%]:[%]])</f>
        <v/>
      </c>
      <c r="KV16" s="121" t="str">
        <f>IF(ISBLANK(tbl_task6[[คะแนนเต็ม]:[คะแนนเต็ม]]),"",(tbl_task6[138]/tbl_task6[[คะแนนเต็ม]:[คะแนนเต็ม]])*tbl_task6[[%]:[%]])</f>
        <v/>
      </c>
      <c r="KW16" s="121" t="str">
        <f>IF(ISBLANK(tbl_task6[[คะแนนเต็ม]:[คะแนนเต็ม]]),"",(tbl_task6[139]/tbl_task6[[คะแนนเต็ม]:[คะแนนเต็ม]])*tbl_task6[[%]:[%]])</f>
        <v/>
      </c>
      <c r="KX16" s="121" t="str">
        <f>IF(ISBLANK(tbl_task6[[คะแนนเต็ม]:[คะแนนเต็ม]]),"",(tbl_task6[140]/tbl_task6[[คะแนนเต็ม]:[คะแนนเต็ม]])*tbl_task6[[%]:[%]])</f>
        <v/>
      </c>
      <c r="KY16" s="121" t="str">
        <f>IF(ISBLANK(tbl_task6[[คะแนนเต็ม]:[คะแนนเต็ม]]),"",(tbl_task6[141]/tbl_task6[[คะแนนเต็ม]:[คะแนนเต็ม]])*tbl_task6[[%]:[%]])</f>
        <v/>
      </c>
      <c r="KZ16" s="121" t="str">
        <f>IF(ISBLANK(tbl_task6[[คะแนนเต็ม]:[คะแนนเต็ม]]),"",(tbl_task6[142]/tbl_task6[[คะแนนเต็ม]:[คะแนนเต็ม]])*tbl_task6[[%]:[%]])</f>
        <v/>
      </c>
      <c r="LA16" s="121" t="str">
        <f>IF(ISBLANK(tbl_task6[[คะแนนเต็ม]:[คะแนนเต็ม]]),"",(tbl_task6[143]/tbl_task6[[คะแนนเต็ม]:[คะแนนเต็ม]])*tbl_task6[[%]:[%]])</f>
        <v/>
      </c>
      <c r="LB16" s="121" t="str">
        <f>IF(ISBLANK(tbl_task6[[คะแนนเต็ม]:[คะแนนเต็ม]]),"",(tbl_task6[144]/tbl_task6[[คะแนนเต็ม]:[คะแนนเต็ม]])*tbl_task6[[%]:[%]])</f>
        <v/>
      </c>
      <c r="LC16" s="121" t="str">
        <f>IF(ISBLANK(tbl_task6[[คะแนนเต็ม]:[คะแนนเต็ม]]),"",(tbl_task6[145]/tbl_task6[[คะแนนเต็ม]:[คะแนนเต็ม]])*tbl_task6[[%]:[%]])</f>
        <v/>
      </c>
      <c r="LD16" s="121" t="str">
        <f>IF(ISBLANK(tbl_task6[[คะแนนเต็ม]:[คะแนนเต็ม]]),"",(tbl_task6[146]/tbl_task6[[คะแนนเต็ม]:[คะแนนเต็ม]])*tbl_task6[[%]:[%]])</f>
        <v/>
      </c>
      <c r="LE16" s="121" t="str">
        <f>IF(ISBLANK(tbl_task6[[คะแนนเต็ม]:[คะแนนเต็ม]]),"",(tbl_task6[147]/tbl_task6[[คะแนนเต็ม]:[คะแนนเต็ม]])*tbl_task6[[%]:[%]])</f>
        <v/>
      </c>
      <c r="LF16" s="121" t="str">
        <f>IF(ISBLANK(tbl_task6[[คะแนนเต็ม]:[คะแนนเต็ม]]),"",(tbl_task6[148]/tbl_task6[[คะแนนเต็ม]:[คะแนนเต็ม]])*tbl_task6[[%]:[%]])</f>
        <v/>
      </c>
      <c r="LG16" s="121" t="str">
        <f>IF(ISBLANK(tbl_task6[[คะแนนเต็ม]:[คะแนนเต็ม]]),"",(tbl_task6[149]/tbl_task6[[คะแนนเต็ม]:[คะแนนเต็ม]])*tbl_task6[[%]:[%]])</f>
        <v/>
      </c>
      <c r="LH16" s="121" t="str">
        <f>IF(ISBLANK(tbl_task6[[คะแนนเต็ม]:[คะแนนเต็ม]]),"",(tbl_task6[150]/tbl_task6[[คะแนนเต็ม]:[คะแนนเต็ม]])*tbl_task6[[%]:[%]])</f>
        <v/>
      </c>
      <c r="LI16" s="121" t="str">
        <f>IF(ISBLANK(tbl_task6[[คะแนนเต็ม]:[คะแนนเต็ม]]),"",(tbl_task6[151]/tbl_task6[[คะแนนเต็ม]:[คะแนนเต็ม]])*tbl_task6[[%]:[%]])</f>
        <v/>
      </c>
      <c r="LJ16" s="121" t="str">
        <f>IF(ISBLANK(tbl_task6[[คะแนนเต็ม]:[คะแนนเต็ม]]),"",(tbl_task6[152]/tbl_task6[[คะแนนเต็ม]:[คะแนนเต็ม]])*tbl_task6[[%]:[%]])</f>
        <v/>
      </c>
      <c r="LK16" s="121" t="str">
        <f>IF(ISBLANK(tbl_task6[[คะแนนเต็ม]:[คะแนนเต็ม]]),"",(tbl_task6[153]/tbl_task6[[คะแนนเต็ม]:[คะแนนเต็ม]])*tbl_task6[[%]:[%]])</f>
        <v/>
      </c>
      <c r="LL16" s="121" t="str">
        <f>IF(ISBLANK(tbl_task6[[คะแนนเต็ม]:[คะแนนเต็ม]]),"",(tbl_task6[154]/tbl_task6[[คะแนนเต็ม]:[คะแนนเต็ม]])*tbl_task6[[%]:[%]])</f>
        <v/>
      </c>
      <c r="LM16" s="121" t="str">
        <f>IF(ISBLANK(tbl_task6[[คะแนนเต็ม]:[คะแนนเต็ม]]),"",(tbl_task6[155]/tbl_task6[[คะแนนเต็ม]:[คะแนนเต็ม]])*tbl_task6[[%]:[%]])</f>
        <v/>
      </c>
      <c r="LN16" s="121" t="str">
        <f>IF(ISBLANK(tbl_task6[[คะแนนเต็ม]:[คะแนนเต็ม]]),"",(tbl_task6[156]/tbl_task6[[คะแนนเต็ม]:[คะแนนเต็ม]])*tbl_task6[[%]:[%]])</f>
        <v/>
      </c>
      <c r="LO16" s="121" t="str">
        <f>IF(ISBLANK(tbl_task6[[คะแนนเต็ม]:[คะแนนเต็ม]]),"",(tbl_task6[157]/tbl_task6[[คะแนนเต็ม]:[คะแนนเต็ม]])*tbl_task6[[%]:[%]])</f>
        <v/>
      </c>
      <c r="LP16" s="121" t="str">
        <f>IF(ISBLANK(tbl_task6[[คะแนนเต็ม]:[คะแนนเต็ม]]),"",(tbl_task6[158]/tbl_task6[[คะแนนเต็ม]:[คะแนนเต็ม]])*tbl_task6[[%]:[%]])</f>
        <v/>
      </c>
      <c r="LQ16" s="121" t="str">
        <f>IF(ISBLANK(tbl_task6[[คะแนนเต็ม]:[คะแนนเต็ม]]),"",(tbl_task6[159]/tbl_task6[[คะแนนเต็ม]:[คะแนนเต็ม]])*tbl_task6[[%]:[%]])</f>
        <v/>
      </c>
      <c r="LR16" s="121" t="str">
        <f>IF(ISBLANK(tbl_task6[[คะแนนเต็ม]:[คะแนนเต็ม]]),"",(tbl_task6[160]/tbl_task6[[คะแนนเต็ม]:[คะแนนเต็ม]])*tbl_task6[[%]:[%]])</f>
        <v/>
      </c>
      <c r="LS16" s="121" t="str">
        <f>IF(ISBLANK(tbl_task6[[คะแนนเต็ม]:[คะแนนเต็ม]]),"",(tbl_task6[161]/tbl_task6[[คะแนนเต็ม]:[คะแนนเต็ม]])*tbl_task6[[%]:[%]])</f>
        <v/>
      </c>
      <c r="LT16" s="121" t="str">
        <f>IF(ISBLANK(tbl_task6[[คะแนนเต็ม]:[คะแนนเต็ม]]),"",(tbl_task6[162]/tbl_task6[[คะแนนเต็ม]:[คะแนนเต็ม]])*tbl_task6[[%]:[%]])</f>
        <v/>
      </c>
      <c r="LU16" s="121" t="str">
        <f>IF(ISBLANK(tbl_task6[[คะแนนเต็ม]:[คะแนนเต็ม]]),"",(tbl_task6[163]/tbl_task6[[คะแนนเต็ม]:[คะแนนเต็ม]])*tbl_task6[[%]:[%]])</f>
        <v/>
      </c>
      <c r="LV16" s="121" t="str">
        <f>IF(ISBLANK(tbl_task6[[คะแนนเต็ม]:[คะแนนเต็ม]]),"",(tbl_task6[164]/tbl_task6[[คะแนนเต็ม]:[คะแนนเต็ม]])*tbl_task6[[%]:[%]])</f>
        <v/>
      </c>
      <c r="LW16" s="121" t="str">
        <f>IF(ISBLANK(tbl_task6[[คะแนนเต็ม]:[คะแนนเต็ม]]),"",(tbl_task6[165]/tbl_task6[[คะแนนเต็ม]:[คะแนนเต็ม]])*tbl_task6[[%]:[%]])</f>
        <v/>
      </c>
    </row>
    <row r="17" spans="1:335" ht="24" customHeight="1" x14ac:dyDescent="0.25">
      <c r="A17" s="24">
        <v>14</v>
      </c>
      <c r="B17" s="20"/>
      <c r="C17" s="5" t="str">
        <f>IF(ISBLANK(B17),"",VLOOKUP(B17,tbl_PLOs[],2,0))</f>
        <v/>
      </c>
      <c r="D17" s="102"/>
      <c r="E17" s="10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121" t="str">
        <f>IF(ISBLANK(tbl_task6[[คะแนนเต็ม]:[คะแนนเต็ม]]),"",(tbl_task6[1]/tbl_task6[[คะแนนเต็ม]:[คะแนนเต็ม]])*tbl_task6[[%]:[%]])</f>
        <v/>
      </c>
      <c r="FP17" s="121" t="str">
        <f>IF(ISBLANK(tbl_task6[[คะแนนเต็ม]:[คะแนนเต็ม]]),"",(tbl_task6[2]/tbl_task6[[คะแนนเต็ม]:[คะแนนเต็ม]])*tbl_task6[[%]:[%]])</f>
        <v/>
      </c>
      <c r="FQ17" s="121" t="str">
        <f>IF(ISBLANK(tbl_task6[[คะแนนเต็ม]:[คะแนนเต็ม]]),"",(tbl_task6[3]/tbl_task6[[คะแนนเต็ม]:[คะแนนเต็ม]])*tbl_task6[[%]:[%]])</f>
        <v/>
      </c>
      <c r="FR17" s="121" t="str">
        <f>IF(ISBLANK(tbl_task6[[คะแนนเต็ม]:[คะแนนเต็ม]]),"",(tbl_task6[4]/tbl_task6[[คะแนนเต็ม]:[คะแนนเต็ม]])*tbl_task6[[%]:[%]])</f>
        <v/>
      </c>
      <c r="FS17" s="121" t="str">
        <f>IF(ISBLANK(tbl_task6[[คะแนนเต็ม]:[คะแนนเต็ม]]),"",(tbl_task6[5]/tbl_task6[[คะแนนเต็ม]:[คะแนนเต็ม]])*tbl_task6[[%]:[%]])</f>
        <v/>
      </c>
      <c r="FT17" s="121" t="str">
        <f>IF(ISBLANK(tbl_task6[[คะแนนเต็ม]:[คะแนนเต็ม]]),"",(tbl_task6[6]/tbl_task6[[คะแนนเต็ม]:[คะแนนเต็ม]])*tbl_task6[[%]:[%]])</f>
        <v/>
      </c>
      <c r="FU17" s="121" t="str">
        <f>IF(ISBLANK(tbl_task6[[คะแนนเต็ม]:[คะแนนเต็ม]]),"",(tbl_task6[7]/tbl_task6[[คะแนนเต็ม]:[คะแนนเต็ม]])*tbl_task6[[%]:[%]])</f>
        <v/>
      </c>
      <c r="FV17" s="121" t="str">
        <f>IF(ISBLANK(tbl_task6[[คะแนนเต็ม]:[คะแนนเต็ม]]),"",(tbl_task6[8]/tbl_task6[[คะแนนเต็ม]:[คะแนนเต็ม]])*tbl_task6[[%]:[%]])</f>
        <v/>
      </c>
      <c r="FW17" s="121" t="str">
        <f>IF(ISBLANK(tbl_task6[[คะแนนเต็ม]:[คะแนนเต็ม]]),"",(tbl_task6[9]/tbl_task6[[คะแนนเต็ม]:[คะแนนเต็ม]])*tbl_task6[[%]:[%]])</f>
        <v/>
      </c>
      <c r="FX17" s="121" t="str">
        <f>IF(ISBLANK(tbl_task6[[คะแนนเต็ม]:[คะแนนเต็ม]]),"",(tbl_task6[10]/tbl_task6[[คะแนนเต็ม]:[คะแนนเต็ม]])*tbl_task6[[%]:[%]])</f>
        <v/>
      </c>
      <c r="FY17" s="121" t="str">
        <f>IF(ISBLANK(tbl_task6[[คะแนนเต็ม]:[คะแนนเต็ม]]),"",(tbl_task6[11]/tbl_task6[[คะแนนเต็ม]:[คะแนนเต็ม]])*tbl_task6[[%]:[%]])</f>
        <v/>
      </c>
      <c r="FZ17" s="121" t="str">
        <f>IF(ISBLANK(tbl_task6[[คะแนนเต็ม]:[คะแนนเต็ม]]),"",(tbl_task6[12]/tbl_task6[[คะแนนเต็ม]:[คะแนนเต็ม]])*tbl_task6[[%]:[%]])</f>
        <v/>
      </c>
      <c r="GA17" s="121" t="str">
        <f>IF(ISBLANK(tbl_task6[[คะแนนเต็ม]:[คะแนนเต็ม]]),"",(tbl_task6[13]/tbl_task6[[คะแนนเต็ม]:[คะแนนเต็ม]])*tbl_task6[[%]:[%]])</f>
        <v/>
      </c>
      <c r="GB17" s="121" t="str">
        <f>IF(ISBLANK(tbl_task6[[คะแนนเต็ม]:[คะแนนเต็ม]]),"",(tbl_task6[14]/tbl_task6[[คะแนนเต็ม]:[คะแนนเต็ม]])*tbl_task6[[%]:[%]])</f>
        <v/>
      </c>
      <c r="GC17" s="121" t="str">
        <f>IF(ISBLANK(tbl_task6[[คะแนนเต็ม]:[คะแนนเต็ม]]),"",(tbl_task6[15]/tbl_task6[[คะแนนเต็ม]:[คะแนนเต็ม]])*tbl_task6[[%]:[%]])</f>
        <v/>
      </c>
      <c r="GD17" s="121" t="str">
        <f>IF(ISBLANK(tbl_task6[[คะแนนเต็ม]:[คะแนนเต็ม]]),"",(tbl_task6[16]/tbl_task6[[คะแนนเต็ม]:[คะแนนเต็ม]])*tbl_task6[[%]:[%]])</f>
        <v/>
      </c>
      <c r="GE17" s="121" t="str">
        <f>IF(ISBLANK(tbl_task6[[คะแนนเต็ม]:[คะแนนเต็ม]]),"",(tbl_task6[17]/tbl_task6[[คะแนนเต็ม]:[คะแนนเต็ม]])*tbl_task6[[%]:[%]])</f>
        <v/>
      </c>
      <c r="GF17" s="121" t="str">
        <f>IF(ISBLANK(tbl_task6[[คะแนนเต็ม]:[คะแนนเต็ม]]),"",(tbl_task6[18]/tbl_task6[[คะแนนเต็ม]:[คะแนนเต็ม]])*tbl_task6[[%]:[%]])</f>
        <v/>
      </c>
      <c r="GG17" s="121" t="str">
        <f>IF(ISBLANK(tbl_task6[[คะแนนเต็ม]:[คะแนนเต็ม]]),"",(tbl_task6[19]/tbl_task6[[คะแนนเต็ม]:[คะแนนเต็ม]])*tbl_task6[[%]:[%]])</f>
        <v/>
      </c>
      <c r="GH17" s="121" t="str">
        <f>IF(ISBLANK(tbl_task6[[คะแนนเต็ม]:[คะแนนเต็ม]]),"",(tbl_task6[20]/tbl_task6[[คะแนนเต็ม]:[คะแนนเต็ม]])*tbl_task6[[%]:[%]])</f>
        <v/>
      </c>
      <c r="GI17" s="121" t="str">
        <f>IF(ISBLANK(tbl_task6[[คะแนนเต็ม]:[คะแนนเต็ม]]),"",(tbl_task6[21]/tbl_task6[[คะแนนเต็ม]:[คะแนนเต็ม]])*tbl_task6[[%]:[%]])</f>
        <v/>
      </c>
      <c r="GJ17" s="121" t="str">
        <f>IF(ISBLANK(tbl_task6[[คะแนนเต็ม]:[คะแนนเต็ม]]),"",(tbl_task6[22]/tbl_task6[[คะแนนเต็ม]:[คะแนนเต็ม]])*tbl_task6[[%]:[%]])</f>
        <v/>
      </c>
      <c r="GK17" s="121" t="str">
        <f>IF(ISBLANK(tbl_task6[[คะแนนเต็ม]:[คะแนนเต็ม]]),"",(tbl_task6[23]/tbl_task6[[คะแนนเต็ม]:[คะแนนเต็ม]])*tbl_task6[[%]:[%]])</f>
        <v/>
      </c>
      <c r="GL17" s="121" t="str">
        <f>IF(ISBLANK(tbl_task6[[คะแนนเต็ม]:[คะแนนเต็ม]]),"",(tbl_task6[24]/tbl_task6[[คะแนนเต็ม]:[คะแนนเต็ม]])*tbl_task6[[%]:[%]])</f>
        <v/>
      </c>
      <c r="GM17" s="121" t="str">
        <f>IF(ISBLANK(tbl_task6[[คะแนนเต็ม]:[คะแนนเต็ม]]),"",(tbl_task6[25]/tbl_task6[[คะแนนเต็ม]:[คะแนนเต็ม]])*tbl_task6[[%]:[%]])</f>
        <v/>
      </c>
      <c r="GN17" s="121" t="str">
        <f>IF(ISBLANK(tbl_task6[[คะแนนเต็ม]:[คะแนนเต็ม]]),"",(tbl_task6[26]/tbl_task6[[คะแนนเต็ม]:[คะแนนเต็ม]])*tbl_task6[[%]:[%]])</f>
        <v/>
      </c>
      <c r="GO17" s="121" t="str">
        <f>IF(ISBLANK(tbl_task6[[คะแนนเต็ม]:[คะแนนเต็ม]]),"",(tbl_task6[27]/tbl_task6[[คะแนนเต็ม]:[คะแนนเต็ม]])*tbl_task6[[%]:[%]])</f>
        <v/>
      </c>
      <c r="GP17" s="121" t="str">
        <f>IF(ISBLANK(tbl_task6[[คะแนนเต็ม]:[คะแนนเต็ม]]),"",(tbl_task6[28]/tbl_task6[[คะแนนเต็ม]:[คะแนนเต็ม]])*tbl_task6[[%]:[%]])</f>
        <v/>
      </c>
      <c r="GQ17" s="121" t="str">
        <f>IF(ISBLANK(tbl_task6[[คะแนนเต็ม]:[คะแนนเต็ม]]),"",(tbl_task6[29]/tbl_task6[[คะแนนเต็ม]:[คะแนนเต็ม]])*tbl_task6[[%]:[%]])</f>
        <v/>
      </c>
      <c r="GR17" s="121" t="str">
        <f>IF(ISBLANK(tbl_task6[[คะแนนเต็ม]:[คะแนนเต็ม]]),"",(tbl_task6[30]/tbl_task6[[คะแนนเต็ม]:[คะแนนเต็ม]])*tbl_task6[[%]:[%]])</f>
        <v/>
      </c>
      <c r="GS17" s="121" t="str">
        <f>IF(ISBLANK(tbl_task6[[คะแนนเต็ม]:[คะแนนเต็ม]]),"",(tbl_task6[31]/tbl_task6[[คะแนนเต็ม]:[คะแนนเต็ม]])*tbl_task6[[%]:[%]])</f>
        <v/>
      </c>
      <c r="GT17" s="121" t="str">
        <f>IF(ISBLANK(tbl_task6[[คะแนนเต็ม]:[คะแนนเต็ม]]),"",(tbl_task6[32]/tbl_task6[[คะแนนเต็ม]:[คะแนนเต็ม]])*tbl_task6[[%]:[%]])</f>
        <v/>
      </c>
      <c r="GU17" s="121" t="str">
        <f>IF(ISBLANK(tbl_task6[[คะแนนเต็ม]:[คะแนนเต็ม]]),"",(tbl_task6[33]/tbl_task6[[คะแนนเต็ม]:[คะแนนเต็ม]])*tbl_task6[[%]:[%]])</f>
        <v/>
      </c>
      <c r="GV17" s="121" t="str">
        <f>IF(ISBLANK(tbl_task6[[คะแนนเต็ม]:[คะแนนเต็ม]]),"",(tbl_task6[34]/tbl_task6[[คะแนนเต็ม]:[คะแนนเต็ม]])*tbl_task6[[%]:[%]])</f>
        <v/>
      </c>
      <c r="GW17" s="121" t="str">
        <f>IF(ISBLANK(tbl_task6[[คะแนนเต็ม]:[คะแนนเต็ม]]),"",(tbl_task6[35]/tbl_task6[[คะแนนเต็ม]:[คะแนนเต็ม]])*tbl_task6[[%]:[%]])</f>
        <v/>
      </c>
      <c r="GX17" s="121" t="str">
        <f>IF(ISBLANK(tbl_task6[[คะแนนเต็ม]:[คะแนนเต็ม]]),"",(tbl_task6[36]/tbl_task6[[คะแนนเต็ม]:[คะแนนเต็ม]])*tbl_task6[[%]:[%]])</f>
        <v/>
      </c>
      <c r="GY17" s="121" t="str">
        <f>IF(ISBLANK(tbl_task6[[คะแนนเต็ม]:[คะแนนเต็ม]]),"",(tbl_task6[37]/tbl_task6[[คะแนนเต็ม]:[คะแนนเต็ม]])*tbl_task6[[%]:[%]])</f>
        <v/>
      </c>
      <c r="GZ17" s="121" t="str">
        <f>IF(ISBLANK(tbl_task6[[คะแนนเต็ม]:[คะแนนเต็ม]]),"",(tbl_task6[38]/tbl_task6[[คะแนนเต็ม]:[คะแนนเต็ม]])*tbl_task6[[%]:[%]])</f>
        <v/>
      </c>
      <c r="HA17" s="121" t="str">
        <f>IF(ISBLANK(tbl_task6[[คะแนนเต็ม]:[คะแนนเต็ม]]),"",(tbl_task6[39]/tbl_task6[[คะแนนเต็ม]:[คะแนนเต็ม]])*tbl_task6[[%]:[%]])</f>
        <v/>
      </c>
      <c r="HB17" s="121" t="str">
        <f>IF(ISBLANK(tbl_task6[[คะแนนเต็ม]:[คะแนนเต็ม]]),"",(tbl_task6[40]/tbl_task6[[คะแนนเต็ม]:[คะแนนเต็ม]])*tbl_task6[[%]:[%]])</f>
        <v/>
      </c>
      <c r="HC17" s="121" t="str">
        <f>IF(ISBLANK(tbl_task6[[คะแนนเต็ม]:[คะแนนเต็ม]]),"",(tbl_task6[41]/tbl_task6[[คะแนนเต็ม]:[คะแนนเต็ม]])*tbl_task6[[%]:[%]])</f>
        <v/>
      </c>
      <c r="HD17" s="121" t="str">
        <f>IF(ISBLANK(tbl_task6[[คะแนนเต็ม]:[คะแนนเต็ม]]),"",(tbl_task6[42]/tbl_task6[[คะแนนเต็ม]:[คะแนนเต็ม]])*tbl_task6[[%]:[%]])</f>
        <v/>
      </c>
      <c r="HE17" s="121" t="str">
        <f>IF(ISBLANK(tbl_task6[[คะแนนเต็ม]:[คะแนนเต็ม]]),"",(tbl_task6[43]/tbl_task6[[คะแนนเต็ม]:[คะแนนเต็ม]])*tbl_task6[[%]:[%]])</f>
        <v/>
      </c>
      <c r="HF17" s="121" t="str">
        <f>IF(ISBLANK(tbl_task6[[คะแนนเต็ม]:[คะแนนเต็ม]]),"",(tbl_task6[44]/tbl_task6[[คะแนนเต็ม]:[คะแนนเต็ม]])*tbl_task6[[%]:[%]])</f>
        <v/>
      </c>
      <c r="HG17" s="121" t="str">
        <f>IF(ISBLANK(tbl_task6[[คะแนนเต็ม]:[คะแนนเต็ม]]),"",(tbl_task6[45]/tbl_task6[[คะแนนเต็ม]:[คะแนนเต็ม]])*tbl_task6[[%]:[%]])</f>
        <v/>
      </c>
      <c r="HH17" s="121" t="str">
        <f>IF(ISBLANK(tbl_task6[[คะแนนเต็ม]:[คะแนนเต็ม]]),"",(tbl_task6[46]/tbl_task6[[คะแนนเต็ม]:[คะแนนเต็ม]])*tbl_task6[[%]:[%]])</f>
        <v/>
      </c>
      <c r="HI17" s="121" t="str">
        <f>IF(ISBLANK(tbl_task6[[คะแนนเต็ม]:[คะแนนเต็ม]]),"",(tbl_task6[47]/tbl_task6[[คะแนนเต็ม]:[คะแนนเต็ม]])*tbl_task6[[%]:[%]])</f>
        <v/>
      </c>
      <c r="HJ17" s="121" t="str">
        <f>IF(ISBLANK(tbl_task6[[คะแนนเต็ม]:[คะแนนเต็ม]]),"",(tbl_task6[48]/tbl_task6[[คะแนนเต็ม]:[คะแนนเต็ม]])*tbl_task6[[%]:[%]])</f>
        <v/>
      </c>
      <c r="HK17" s="121" t="str">
        <f>IF(ISBLANK(tbl_task6[[คะแนนเต็ม]:[คะแนนเต็ม]]),"",(tbl_task6[49]/tbl_task6[[คะแนนเต็ม]:[คะแนนเต็ม]])*tbl_task6[[%]:[%]])</f>
        <v/>
      </c>
      <c r="HL17" s="121" t="str">
        <f>IF(ISBLANK(tbl_task6[[คะแนนเต็ม]:[คะแนนเต็ม]]),"",(tbl_task6[50]/tbl_task6[[คะแนนเต็ม]:[คะแนนเต็ม]])*tbl_task6[[%]:[%]])</f>
        <v/>
      </c>
      <c r="HM17" s="121" t="str">
        <f>IF(ISBLANK(tbl_task6[[คะแนนเต็ม]:[คะแนนเต็ม]]),"",(tbl_task6[51]/tbl_task6[[คะแนนเต็ม]:[คะแนนเต็ม]])*tbl_task6[[%]:[%]])</f>
        <v/>
      </c>
      <c r="HN17" s="121" t="str">
        <f>IF(ISBLANK(tbl_task6[[คะแนนเต็ม]:[คะแนนเต็ม]]),"",(tbl_task6[52]/tbl_task6[[คะแนนเต็ม]:[คะแนนเต็ม]])*tbl_task6[[%]:[%]])</f>
        <v/>
      </c>
      <c r="HO17" s="121" t="str">
        <f>IF(ISBLANK(tbl_task6[[คะแนนเต็ม]:[คะแนนเต็ม]]),"",(tbl_task6[53]/tbl_task6[[คะแนนเต็ม]:[คะแนนเต็ม]])*tbl_task6[[%]:[%]])</f>
        <v/>
      </c>
      <c r="HP17" s="121" t="str">
        <f>IF(ISBLANK(tbl_task6[[คะแนนเต็ม]:[คะแนนเต็ม]]),"",(tbl_task6[54]/tbl_task6[[คะแนนเต็ม]:[คะแนนเต็ม]])*tbl_task6[[%]:[%]])</f>
        <v/>
      </c>
      <c r="HQ17" s="121" t="str">
        <f>IF(ISBLANK(tbl_task6[[คะแนนเต็ม]:[คะแนนเต็ม]]),"",(tbl_task6[55]/tbl_task6[[คะแนนเต็ม]:[คะแนนเต็ม]])*tbl_task6[[%]:[%]])</f>
        <v/>
      </c>
      <c r="HR17" s="121" t="str">
        <f>IF(ISBLANK(tbl_task6[[คะแนนเต็ม]:[คะแนนเต็ม]]),"",(tbl_task6[56]/tbl_task6[[คะแนนเต็ม]:[คะแนนเต็ม]])*tbl_task6[[%]:[%]])</f>
        <v/>
      </c>
      <c r="HS17" s="121" t="str">
        <f>IF(ISBLANK(tbl_task6[[คะแนนเต็ม]:[คะแนนเต็ม]]),"",(tbl_task6[57]/tbl_task6[[คะแนนเต็ม]:[คะแนนเต็ม]])*tbl_task6[[%]:[%]])</f>
        <v/>
      </c>
      <c r="HT17" s="121" t="str">
        <f>IF(ISBLANK(tbl_task6[[คะแนนเต็ม]:[คะแนนเต็ม]]),"",(tbl_task6[58]/tbl_task6[[คะแนนเต็ม]:[คะแนนเต็ม]])*tbl_task6[[%]:[%]])</f>
        <v/>
      </c>
      <c r="HU17" s="121" t="str">
        <f>IF(ISBLANK(tbl_task6[[คะแนนเต็ม]:[คะแนนเต็ม]]),"",(tbl_task6[59]/tbl_task6[[คะแนนเต็ม]:[คะแนนเต็ม]])*tbl_task6[[%]:[%]])</f>
        <v/>
      </c>
      <c r="HV17" s="121" t="str">
        <f>IF(ISBLANK(tbl_task6[[คะแนนเต็ม]:[คะแนนเต็ม]]),"",(tbl_task6[60]/tbl_task6[[คะแนนเต็ม]:[คะแนนเต็ม]])*tbl_task6[[%]:[%]])</f>
        <v/>
      </c>
      <c r="HW17" s="121" t="str">
        <f>IF(ISBLANK(tbl_task6[[คะแนนเต็ม]:[คะแนนเต็ม]]),"",(tbl_task6[61]/tbl_task6[[คะแนนเต็ม]:[คะแนนเต็ม]])*tbl_task6[[%]:[%]])</f>
        <v/>
      </c>
      <c r="HX17" s="121" t="str">
        <f>IF(ISBLANK(tbl_task6[[คะแนนเต็ม]:[คะแนนเต็ม]]),"",(tbl_task6[62]/tbl_task6[[คะแนนเต็ม]:[คะแนนเต็ม]])*tbl_task6[[%]:[%]])</f>
        <v/>
      </c>
      <c r="HY17" s="121" t="str">
        <f>IF(ISBLANK(tbl_task6[[คะแนนเต็ม]:[คะแนนเต็ม]]),"",(tbl_task6[63]/tbl_task6[[คะแนนเต็ม]:[คะแนนเต็ม]])*tbl_task6[[%]:[%]])</f>
        <v/>
      </c>
      <c r="HZ17" s="121" t="str">
        <f>IF(ISBLANK(tbl_task6[[คะแนนเต็ม]:[คะแนนเต็ม]]),"",(tbl_task6[64]/tbl_task6[[คะแนนเต็ม]:[คะแนนเต็ม]])*tbl_task6[[%]:[%]])</f>
        <v/>
      </c>
      <c r="IA17" s="121" t="str">
        <f>IF(ISBLANK(tbl_task6[[คะแนนเต็ม]:[คะแนนเต็ม]]),"",(tbl_task6[65]/tbl_task6[[คะแนนเต็ม]:[คะแนนเต็ม]])*tbl_task6[[%]:[%]])</f>
        <v/>
      </c>
      <c r="IB17" s="121" t="str">
        <f>IF(ISBLANK(tbl_task6[[คะแนนเต็ม]:[คะแนนเต็ม]]),"",(tbl_task6[66]/tbl_task6[[คะแนนเต็ม]:[คะแนนเต็ม]])*tbl_task6[[%]:[%]])</f>
        <v/>
      </c>
      <c r="IC17" s="121" t="str">
        <f>IF(ISBLANK(tbl_task6[[คะแนนเต็ม]:[คะแนนเต็ม]]),"",(tbl_task6[67]/tbl_task6[[คะแนนเต็ม]:[คะแนนเต็ม]])*tbl_task6[[%]:[%]])</f>
        <v/>
      </c>
      <c r="ID17" s="121" t="str">
        <f>IF(ISBLANK(tbl_task6[[คะแนนเต็ม]:[คะแนนเต็ม]]),"",(tbl_task6[68]/tbl_task6[[คะแนนเต็ม]:[คะแนนเต็ม]])*tbl_task6[[%]:[%]])</f>
        <v/>
      </c>
      <c r="IE17" s="121" t="str">
        <f>IF(ISBLANK(tbl_task6[[คะแนนเต็ม]:[คะแนนเต็ม]]),"",(tbl_task6[69]/tbl_task6[[คะแนนเต็ม]:[คะแนนเต็ม]])*tbl_task6[[%]:[%]])</f>
        <v/>
      </c>
      <c r="IF17" s="121" t="str">
        <f>IF(ISBLANK(tbl_task6[[คะแนนเต็ม]:[คะแนนเต็ม]]),"",(tbl_task6[70]/tbl_task6[[คะแนนเต็ม]:[คะแนนเต็ม]])*tbl_task6[[%]:[%]])</f>
        <v/>
      </c>
      <c r="IG17" s="121" t="str">
        <f>IF(ISBLANK(tbl_task6[[คะแนนเต็ม]:[คะแนนเต็ม]]),"",(tbl_task6[71]/tbl_task6[[คะแนนเต็ม]:[คะแนนเต็ม]])*tbl_task6[[%]:[%]])</f>
        <v/>
      </c>
      <c r="IH17" s="121" t="str">
        <f>IF(ISBLANK(tbl_task6[[คะแนนเต็ม]:[คะแนนเต็ม]]),"",(tbl_task6[72]/tbl_task6[[คะแนนเต็ม]:[คะแนนเต็ม]])*tbl_task6[[%]:[%]])</f>
        <v/>
      </c>
      <c r="II17" s="121" t="str">
        <f>IF(ISBLANK(tbl_task6[[คะแนนเต็ม]:[คะแนนเต็ม]]),"",(tbl_task6[73]/tbl_task6[[คะแนนเต็ม]:[คะแนนเต็ม]])*tbl_task6[[%]:[%]])</f>
        <v/>
      </c>
      <c r="IJ17" s="121" t="str">
        <f>IF(ISBLANK(tbl_task6[[คะแนนเต็ม]:[คะแนนเต็ม]]),"",(tbl_task6[74]/tbl_task6[[คะแนนเต็ม]:[คะแนนเต็ม]])*tbl_task6[[%]:[%]])</f>
        <v/>
      </c>
      <c r="IK17" s="121" t="str">
        <f>IF(ISBLANK(tbl_task6[[คะแนนเต็ม]:[คะแนนเต็ม]]),"",(tbl_task6[75]/tbl_task6[[คะแนนเต็ม]:[คะแนนเต็ม]])*tbl_task6[[%]:[%]])</f>
        <v/>
      </c>
      <c r="IL17" s="121" t="str">
        <f>IF(ISBLANK(tbl_task6[[คะแนนเต็ม]:[คะแนนเต็ม]]),"",(tbl_task6[76]/tbl_task6[[คะแนนเต็ม]:[คะแนนเต็ม]])*tbl_task6[[%]:[%]])</f>
        <v/>
      </c>
      <c r="IM17" s="121" t="str">
        <f>IF(ISBLANK(tbl_task6[[คะแนนเต็ม]:[คะแนนเต็ม]]),"",(tbl_task6[77]/tbl_task6[[คะแนนเต็ม]:[คะแนนเต็ม]])*tbl_task6[[%]:[%]])</f>
        <v/>
      </c>
      <c r="IN17" s="121" t="str">
        <f>IF(ISBLANK(tbl_task6[[คะแนนเต็ม]:[คะแนนเต็ม]]),"",(tbl_task6[78]/tbl_task6[[คะแนนเต็ม]:[คะแนนเต็ม]])*tbl_task6[[%]:[%]])</f>
        <v/>
      </c>
      <c r="IO17" s="121" t="str">
        <f>IF(ISBLANK(tbl_task6[[คะแนนเต็ม]:[คะแนนเต็ม]]),"",(tbl_task6[79]/tbl_task6[[คะแนนเต็ม]:[คะแนนเต็ม]])*tbl_task6[[%]:[%]])</f>
        <v/>
      </c>
      <c r="IP17" s="121" t="str">
        <f>IF(ISBLANK(tbl_task6[[คะแนนเต็ม]:[คะแนนเต็ม]]),"",(tbl_task6[80]/tbl_task6[[คะแนนเต็ม]:[คะแนนเต็ม]])*tbl_task6[[%]:[%]])</f>
        <v/>
      </c>
      <c r="IQ17" s="121" t="str">
        <f>IF(ISBLANK(tbl_task6[[คะแนนเต็ม]:[คะแนนเต็ม]]),"",(tbl_task6[81]/tbl_task6[[คะแนนเต็ม]:[คะแนนเต็ม]])*tbl_task6[[%]:[%]])</f>
        <v/>
      </c>
      <c r="IR17" s="121" t="str">
        <f>IF(ISBLANK(tbl_task6[[คะแนนเต็ม]:[คะแนนเต็ม]]),"",(tbl_task6[82]/tbl_task6[[คะแนนเต็ม]:[คะแนนเต็ม]])*tbl_task6[[%]:[%]])</f>
        <v/>
      </c>
      <c r="IS17" s="121" t="str">
        <f>IF(ISBLANK(tbl_task6[[คะแนนเต็ม]:[คะแนนเต็ม]]),"",(tbl_task6[83]/tbl_task6[[คะแนนเต็ม]:[คะแนนเต็ม]])*tbl_task6[[%]:[%]])</f>
        <v/>
      </c>
      <c r="IT17" s="121" t="str">
        <f>IF(ISBLANK(tbl_task6[[คะแนนเต็ม]:[คะแนนเต็ม]]),"",(tbl_task6[84]/tbl_task6[[คะแนนเต็ม]:[คะแนนเต็ม]])*tbl_task6[[%]:[%]])</f>
        <v/>
      </c>
      <c r="IU17" s="121" t="str">
        <f>IF(ISBLANK(tbl_task6[[คะแนนเต็ม]:[คะแนนเต็ม]]),"",(tbl_task6[85]/tbl_task6[[คะแนนเต็ม]:[คะแนนเต็ม]])*tbl_task6[[%]:[%]])</f>
        <v/>
      </c>
      <c r="IV17" s="121" t="str">
        <f>IF(ISBLANK(tbl_task6[[คะแนนเต็ม]:[คะแนนเต็ม]]),"",(tbl_task6[86]/tbl_task6[[คะแนนเต็ม]:[คะแนนเต็ม]])*tbl_task6[[%]:[%]])</f>
        <v/>
      </c>
      <c r="IW17" s="121" t="str">
        <f>IF(ISBLANK(tbl_task6[[คะแนนเต็ม]:[คะแนนเต็ม]]),"",(tbl_task6[87]/tbl_task6[[คะแนนเต็ม]:[คะแนนเต็ม]])*tbl_task6[[%]:[%]])</f>
        <v/>
      </c>
      <c r="IX17" s="121" t="str">
        <f>IF(ISBLANK(tbl_task6[[คะแนนเต็ม]:[คะแนนเต็ม]]),"",(tbl_task6[88]/tbl_task6[[คะแนนเต็ม]:[คะแนนเต็ม]])*tbl_task6[[%]:[%]])</f>
        <v/>
      </c>
      <c r="IY17" s="121" t="str">
        <f>IF(ISBLANK(tbl_task6[[คะแนนเต็ม]:[คะแนนเต็ม]]),"",(tbl_task6[89]/tbl_task6[[คะแนนเต็ม]:[คะแนนเต็ม]])*tbl_task6[[%]:[%]])</f>
        <v/>
      </c>
      <c r="IZ17" s="121" t="str">
        <f>IF(ISBLANK(tbl_task6[[คะแนนเต็ม]:[คะแนนเต็ม]]),"",(tbl_task6[90]/tbl_task6[[คะแนนเต็ม]:[คะแนนเต็ม]])*tbl_task6[[%]:[%]])</f>
        <v/>
      </c>
      <c r="JA17" s="121" t="str">
        <f>IF(ISBLANK(tbl_task6[[คะแนนเต็ม]:[คะแนนเต็ม]]),"",(tbl_task6[91]/tbl_task6[[คะแนนเต็ม]:[คะแนนเต็ม]])*tbl_task6[[%]:[%]])</f>
        <v/>
      </c>
      <c r="JB17" s="121" t="str">
        <f>IF(ISBLANK(tbl_task6[[คะแนนเต็ม]:[คะแนนเต็ม]]),"",(tbl_task6[92]/tbl_task6[[คะแนนเต็ม]:[คะแนนเต็ม]])*tbl_task6[[%]:[%]])</f>
        <v/>
      </c>
      <c r="JC17" s="121" t="str">
        <f>IF(ISBLANK(tbl_task6[[คะแนนเต็ม]:[คะแนนเต็ม]]),"",(tbl_task6[93]/tbl_task6[[คะแนนเต็ม]:[คะแนนเต็ม]])*tbl_task6[[%]:[%]])</f>
        <v/>
      </c>
      <c r="JD17" s="121" t="str">
        <f>IF(ISBLANK(tbl_task6[[คะแนนเต็ม]:[คะแนนเต็ม]]),"",(tbl_task6[94]/tbl_task6[[คะแนนเต็ม]:[คะแนนเต็ม]])*tbl_task6[[%]:[%]])</f>
        <v/>
      </c>
      <c r="JE17" s="121" t="str">
        <f>IF(ISBLANK(tbl_task6[[คะแนนเต็ม]:[คะแนนเต็ม]]),"",(tbl_task6[95]/tbl_task6[[คะแนนเต็ม]:[คะแนนเต็ม]])*tbl_task6[[%]:[%]])</f>
        <v/>
      </c>
      <c r="JF17" s="121" t="str">
        <f>IF(ISBLANK(tbl_task6[[คะแนนเต็ม]:[คะแนนเต็ม]]),"",(tbl_task6[96]/tbl_task6[[คะแนนเต็ม]:[คะแนนเต็ม]])*tbl_task6[[%]:[%]])</f>
        <v/>
      </c>
      <c r="JG17" s="121" t="str">
        <f>IF(ISBLANK(tbl_task6[[คะแนนเต็ม]:[คะแนนเต็ม]]),"",(tbl_task6[97]/tbl_task6[[คะแนนเต็ม]:[คะแนนเต็ม]])*tbl_task6[[%]:[%]])</f>
        <v/>
      </c>
      <c r="JH17" s="121" t="str">
        <f>IF(ISBLANK(tbl_task6[[คะแนนเต็ม]:[คะแนนเต็ม]]),"",(tbl_task6[98]/tbl_task6[[คะแนนเต็ม]:[คะแนนเต็ม]])*tbl_task6[[%]:[%]])</f>
        <v/>
      </c>
      <c r="JI17" s="121" t="str">
        <f>IF(ISBLANK(tbl_task6[[คะแนนเต็ม]:[คะแนนเต็ม]]),"",(tbl_task6[99]/tbl_task6[[คะแนนเต็ม]:[คะแนนเต็ม]])*tbl_task6[[%]:[%]])</f>
        <v/>
      </c>
      <c r="JJ17" s="121" t="str">
        <f>IF(ISBLANK(tbl_task6[[คะแนนเต็ม]:[คะแนนเต็ม]]),"",(tbl_task6[100]/tbl_task6[[คะแนนเต็ม]:[คะแนนเต็ม]])*tbl_task6[[%]:[%]])</f>
        <v/>
      </c>
      <c r="JK17" s="121" t="str">
        <f>IF(ISBLANK(tbl_task6[[คะแนนเต็ม]:[คะแนนเต็ม]]),"",(tbl_task6[101]/tbl_task6[[คะแนนเต็ม]:[คะแนนเต็ม]])*tbl_task6[[%]:[%]])</f>
        <v/>
      </c>
      <c r="JL17" s="121" t="str">
        <f>IF(ISBLANK(tbl_task6[[คะแนนเต็ม]:[คะแนนเต็ม]]),"",(tbl_task6[102]/tbl_task6[[คะแนนเต็ม]:[คะแนนเต็ม]])*tbl_task6[[%]:[%]])</f>
        <v/>
      </c>
      <c r="JM17" s="121" t="str">
        <f>IF(ISBLANK(tbl_task6[[คะแนนเต็ม]:[คะแนนเต็ม]]),"",(tbl_task6[103]/tbl_task6[[คะแนนเต็ม]:[คะแนนเต็ม]])*tbl_task6[[%]:[%]])</f>
        <v/>
      </c>
      <c r="JN17" s="121" t="str">
        <f>IF(ISBLANK(tbl_task6[[คะแนนเต็ม]:[คะแนนเต็ม]]),"",(tbl_task6[104]/tbl_task6[[คะแนนเต็ม]:[คะแนนเต็ม]])*tbl_task6[[%]:[%]])</f>
        <v/>
      </c>
      <c r="JO17" s="121" t="str">
        <f>IF(ISBLANK(tbl_task6[[คะแนนเต็ม]:[คะแนนเต็ม]]),"",(tbl_task6[105]/tbl_task6[[คะแนนเต็ม]:[คะแนนเต็ม]])*tbl_task6[[%]:[%]])</f>
        <v/>
      </c>
      <c r="JP17" s="121" t="str">
        <f>IF(ISBLANK(tbl_task6[[คะแนนเต็ม]:[คะแนนเต็ม]]),"",(tbl_task6[106]/tbl_task6[[คะแนนเต็ม]:[คะแนนเต็ม]])*tbl_task6[[%]:[%]])</f>
        <v/>
      </c>
      <c r="JQ17" s="121" t="str">
        <f>IF(ISBLANK(tbl_task6[[คะแนนเต็ม]:[คะแนนเต็ม]]),"",(tbl_task6[107]/tbl_task6[[คะแนนเต็ม]:[คะแนนเต็ม]])*tbl_task6[[%]:[%]])</f>
        <v/>
      </c>
      <c r="JR17" s="121" t="str">
        <f>IF(ISBLANK(tbl_task6[[คะแนนเต็ม]:[คะแนนเต็ม]]),"",(tbl_task6[108]/tbl_task6[[คะแนนเต็ม]:[คะแนนเต็ม]])*tbl_task6[[%]:[%]])</f>
        <v/>
      </c>
      <c r="JS17" s="121" t="str">
        <f>IF(ISBLANK(tbl_task6[[คะแนนเต็ม]:[คะแนนเต็ม]]),"",(tbl_task6[109]/tbl_task6[[คะแนนเต็ม]:[คะแนนเต็ม]])*tbl_task6[[%]:[%]])</f>
        <v/>
      </c>
      <c r="JT17" s="121" t="str">
        <f>IF(ISBLANK(tbl_task6[[คะแนนเต็ม]:[คะแนนเต็ม]]),"",(tbl_task6[110]/tbl_task6[[คะแนนเต็ม]:[คะแนนเต็ม]])*tbl_task6[[%]:[%]])</f>
        <v/>
      </c>
      <c r="JU17" s="121" t="str">
        <f>IF(ISBLANK(tbl_task6[[คะแนนเต็ม]:[คะแนนเต็ม]]),"",(tbl_task6[111]/tbl_task6[[คะแนนเต็ม]:[คะแนนเต็ม]])*tbl_task6[[%]:[%]])</f>
        <v/>
      </c>
      <c r="JV17" s="121" t="str">
        <f>IF(ISBLANK(tbl_task6[[คะแนนเต็ม]:[คะแนนเต็ม]]),"",(tbl_task6[112]/tbl_task6[[คะแนนเต็ม]:[คะแนนเต็ม]])*tbl_task6[[%]:[%]])</f>
        <v/>
      </c>
      <c r="JW17" s="121" t="str">
        <f>IF(ISBLANK(tbl_task6[[คะแนนเต็ม]:[คะแนนเต็ม]]),"",(tbl_task6[113]/tbl_task6[[คะแนนเต็ม]:[คะแนนเต็ม]])*tbl_task6[[%]:[%]])</f>
        <v/>
      </c>
      <c r="JX17" s="121" t="str">
        <f>IF(ISBLANK(tbl_task6[[คะแนนเต็ม]:[คะแนนเต็ม]]),"",(tbl_task6[114]/tbl_task6[[คะแนนเต็ม]:[คะแนนเต็ม]])*tbl_task6[[%]:[%]])</f>
        <v/>
      </c>
      <c r="JY17" s="121" t="str">
        <f>IF(ISBLANK(tbl_task6[[คะแนนเต็ม]:[คะแนนเต็ม]]),"",(tbl_task6[115]/tbl_task6[[คะแนนเต็ม]:[คะแนนเต็ม]])*tbl_task6[[%]:[%]])</f>
        <v/>
      </c>
      <c r="JZ17" s="121" t="str">
        <f>IF(ISBLANK(tbl_task6[[คะแนนเต็ม]:[คะแนนเต็ม]]),"",(tbl_task6[116]/tbl_task6[[คะแนนเต็ม]:[คะแนนเต็ม]])*tbl_task6[[%]:[%]])</f>
        <v/>
      </c>
      <c r="KA17" s="121" t="str">
        <f>IF(ISBLANK(tbl_task6[[คะแนนเต็ม]:[คะแนนเต็ม]]),"",(tbl_task6[117]/tbl_task6[[คะแนนเต็ม]:[คะแนนเต็ม]])*tbl_task6[[%]:[%]])</f>
        <v/>
      </c>
      <c r="KB17" s="121" t="str">
        <f>IF(ISBLANK(tbl_task6[[คะแนนเต็ม]:[คะแนนเต็ม]]),"",(tbl_task6[118]/tbl_task6[[คะแนนเต็ม]:[คะแนนเต็ม]])*tbl_task6[[%]:[%]])</f>
        <v/>
      </c>
      <c r="KC17" s="121" t="str">
        <f>IF(ISBLANK(tbl_task6[[คะแนนเต็ม]:[คะแนนเต็ม]]),"",(tbl_task6[119]/tbl_task6[[คะแนนเต็ม]:[คะแนนเต็ม]])*tbl_task6[[%]:[%]])</f>
        <v/>
      </c>
      <c r="KD17" s="121" t="str">
        <f>IF(ISBLANK(tbl_task6[[คะแนนเต็ม]:[คะแนนเต็ม]]),"",(tbl_task6[120]/tbl_task6[[คะแนนเต็ม]:[คะแนนเต็ม]])*tbl_task6[[%]:[%]])</f>
        <v/>
      </c>
      <c r="KE17" s="121" t="str">
        <f>IF(ISBLANK(tbl_task6[[คะแนนเต็ม]:[คะแนนเต็ม]]),"",(tbl_task6[121]/tbl_task6[[คะแนนเต็ม]:[คะแนนเต็ม]])*tbl_task6[[%]:[%]])</f>
        <v/>
      </c>
      <c r="KF17" s="121" t="str">
        <f>IF(ISBLANK(tbl_task6[[คะแนนเต็ม]:[คะแนนเต็ม]]),"",(tbl_task6[122]/tbl_task6[[คะแนนเต็ม]:[คะแนนเต็ม]])*tbl_task6[[%]:[%]])</f>
        <v/>
      </c>
      <c r="KG17" s="121" t="str">
        <f>IF(ISBLANK(tbl_task6[[คะแนนเต็ม]:[คะแนนเต็ม]]),"",(tbl_task6[123]/tbl_task6[[คะแนนเต็ม]:[คะแนนเต็ม]])*tbl_task6[[%]:[%]])</f>
        <v/>
      </c>
      <c r="KH17" s="121" t="str">
        <f>IF(ISBLANK(tbl_task6[[คะแนนเต็ม]:[คะแนนเต็ม]]),"",(tbl_task6[124]/tbl_task6[[คะแนนเต็ม]:[คะแนนเต็ม]])*tbl_task6[[%]:[%]])</f>
        <v/>
      </c>
      <c r="KI17" s="121" t="str">
        <f>IF(ISBLANK(tbl_task6[[คะแนนเต็ม]:[คะแนนเต็ม]]),"",(tbl_task6[125]/tbl_task6[[คะแนนเต็ม]:[คะแนนเต็ม]])*tbl_task6[[%]:[%]])</f>
        <v/>
      </c>
      <c r="KJ17" s="121" t="str">
        <f>IF(ISBLANK(tbl_task6[[คะแนนเต็ม]:[คะแนนเต็ม]]),"",(tbl_task6[126]/tbl_task6[[คะแนนเต็ม]:[คะแนนเต็ม]])*tbl_task6[[%]:[%]])</f>
        <v/>
      </c>
      <c r="KK17" s="121" t="str">
        <f>IF(ISBLANK(tbl_task6[[คะแนนเต็ม]:[คะแนนเต็ม]]),"",(tbl_task6[127]/tbl_task6[[คะแนนเต็ม]:[คะแนนเต็ม]])*tbl_task6[[%]:[%]])</f>
        <v/>
      </c>
      <c r="KL17" s="121" t="str">
        <f>IF(ISBLANK(tbl_task6[[คะแนนเต็ม]:[คะแนนเต็ม]]),"",(tbl_task6[128]/tbl_task6[[คะแนนเต็ม]:[คะแนนเต็ม]])*tbl_task6[[%]:[%]])</f>
        <v/>
      </c>
      <c r="KM17" s="121" t="str">
        <f>IF(ISBLANK(tbl_task6[[คะแนนเต็ม]:[คะแนนเต็ม]]),"",(tbl_task6[129]/tbl_task6[[คะแนนเต็ม]:[คะแนนเต็ม]])*tbl_task6[[%]:[%]])</f>
        <v/>
      </c>
      <c r="KN17" s="121" t="str">
        <f>IF(ISBLANK(tbl_task6[[คะแนนเต็ม]:[คะแนนเต็ม]]),"",(tbl_task6[130]/tbl_task6[[คะแนนเต็ม]:[คะแนนเต็ม]])*tbl_task6[[%]:[%]])</f>
        <v/>
      </c>
      <c r="KO17" s="121" t="str">
        <f>IF(ISBLANK(tbl_task6[[คะแนนเต็ม]:[คะแนนเต็ม]]),"",(tbl_task6[131]/tbl_task6[[คะแนนเต็ม]:[คะแนนเต็ม]])*tbl_task6[[%]:[%]])</f>
        <v/>
      </c>
      <c r="KP17" s="121" t="str">
        <f>IF(ISBLANK(tbl_task6[[คะแนนเต็ม]:[คะแนนเต็ม]]),"",(tbl_task6[132]/tbl_task6[[คะแนนเต็ม]:[คะแนนเต็ม]])*tbl_task6[[%]:[%]])</f>
        <v/>
      </c>
      <c r="KQ17" s="121" t="str">
        <f>IF(ISBLANK(tbl_task6[[คะแนนเต็ม]:[คะแนนเต็ม]]),"",(tbl_task6[133]/tbl_task6[[คะแนนเต็ม]:[คะแนนเต็ม]])*tbl_task6[[%]:[%]])</f>
        <v/>
      </c>
      <c r="KR17" s="121" t="str">
        <f>IF(ISBLANK(tbl_task6[[คะแนนเต็ม]:[คะแนนเต็ม]]),"",(tbl_task6[134]/tbl_task6[[คะแนนเต็ม]:[คะแนนเต็ม]])*tbl_task6[[%]:[%]])</f>
        <v/>
      </c>
      <c r="KS17" s="121" t="str">
        <f>IF(ISBLANK(tbl_task6[[คะแนนเต็ม]:[คะแนนเต็ม]]),"",(tbl_task6[135]/tbl_task6[[คะแนนเต็ม]:[คะแนนเต็ม]])*tbl_task6[[%]:[%]])</f>
        <v/>
      </c>
      <c r="KT17" s="121" t="str">
        <f>IF(ISBLANK(tbl_task6[[คะแนนเต็ม]:[คะแนนเต็ม]]),"",(tbl_task6[136]/tbl_task6[[คะแนนเต็ม]:[คะแนนเต็ม]])*tbl_task6[[%]:[%]])</f>
        <v/>
      </c>
      <c r="KU17" s="121" t="str">
        <f>IF(ISBLANK(tbl_task6[[คะแนนเต็ม]:[คะแนนเต็ม]]),"",(tbl_task6[137]/tbl_task6[[คะแนนเต็ม]:[คะแนนเต็ม]])*tbl_task6[[%]:[%]])</f>
        <v/>
      </c>
      <c r="KV17" s="121" t="str">
        <f>IF(ISBLANK(tbl_task6[[คะแนนเต็ม]:[คะแนนเต็ม]]),"",(tbl_task6[138]/tbl_task6[[คะแนนเต็ม]:[คะแนนเต็ม]])*tbl_task6[[%]:[%]])</f>
        <v/>
      </c>
      <c r="KW17" s="121" t="str">
        <f>IF(ISBLANK(tbl_task6[[คะแนนเต็ม]:[คะแนนเต็ม]]),"",(tbl_task6[139]/tbl_task6[[คะแนนเต็ม]:[คะแนนเต็ม]])*tbl_task6[[%]:[%]])</f>
        <v/>
      </c>
      <c r="KX17" s="121" t="str">
        <f>IF(ISBLANK(tbl_task6[[คะแนนเต็ม]:[คะแนนเต็ม]]),"",(tbl_task6[140]/tbl_task6[[คะแนนเต็ม]:[คะแนนเต็ม]])*tbl_task6[[%]:[%]])</f>
        <v/>
      </c>
      <c r="KY17" s="121" t="str">
        <f>IF(ISBLANK(tbl_task6[[คะแนนเต็ม]:[คะแนนเต็ม]]),"",(tbl_task6[141]/tbl_task6[[คะแนนเต็ม]:[คะแนนเต็ม]])*tbl_task6[[%]:[%]])</f>
        <v/>
      </c>
      <c r="KZ17" s="121" t="str">
        <f>IF(ISBLANK(tbl_task6[[คะแนนเต็ม]:[คะแนนเต็ม]]),"",(tbl_task6[142]/tbl_task6[[คะแนนเต็ม]:[คะแนนเต็ม]])*tbl_task6[[%]:[%]])</f>
        <v/>
      </c>
      <c r="LA17" s="121" t="str">
        <f>IF(ISBLANK(tbl_task6[[คะแนนเต็ม]:[คะแนนเต็ม]]),"",(tbl_task6[143]/tbl_task6[[คะแนนเต็ม]:[คะแนนเต็ม]])*tbl_task6[[%]:[%]])</f>
        <v/>
      </c>
      <c r="LB17" s="121" t="str">
        <f>IF(ISBLANK(tbl_task6[[คะแนนเต็ม]:[คะแนนเต็ม]]),"",(tbl_task6[144]/tbl_task6[[คะแนนเต็ม]:[คะแนนเต็ม]])*tbl_task6[[%]:[%]])</f>
        <v/>
      </c>
      <c r="LC17" s="121" t="str">
        <f>IF(ISBLANK(tbl_task6[[คะแนนเต็ม]:[คะแนนเต็ม]]),"",(tbl_task6[145]/tbl_task6[[คะแนนเต็ม]:[คะแนนเต็ม]])*tbl_task6[[%]:[%]])</f>
        <v/>
      </c>
      <c r="LD17" s="121" t="str">
        <f>IF(ISBLANK(tbl_task6[[คะแนนเต็ม]:[คะแนนเต็ม]]),"",(tbl_task6[146]/tbl_task6[[คะแนนเต็ม]:[คะแนนเต็ม]])*tbl_task6[[%]:[%]])</f>
        <v/>
      </c>
      <c r="LE17" s="121" t="str">
        <f>IF(ISBLANK(tbl_task6[[คะแนนเต็ม]:[คะแนนเต็ม]]),"",(tbl_task6[147]/tbl_task6[[คะแนนเต็ม]:[คะแนนเต็ม]])*tbl_task6[[%]:[%]])</f>
        <v/>
      </c>
      <c r="LF17" s="121" t="str">
        <f>IF(ISBLANK(tbl_task6[[คะแนนเต็ม]:[คะแนนเต็ม]]),"",(tbl_task6[148]/tbl_task6[[คะแนนเต็ม]:[คะแนนเต็ม]])*tbl_task6[[%]:[%]])</f>
        <v/>
      </c>
      <c r="LG17" s="121" t="str">
        <f>IF(ISBLANK(tbl_task6[[คะแนนเต็ม]:[คะแนนเต็ม]]),"",(tbl_task6[149]/tbl_task6[[คะแนนเต็ม]:[คะแนนเต็ม]])*tbl_task6[[%]:[%]])</f>
        <v/>
      </c>
      <c r="LH17" s="121" t="str">
        <f>IF(ISBLANK(tbl_task6[[คะแนนเต็ม]:[คะแนนเต็ม]]),"",(tbl_task6[150]/tbl_task6[[คะแนนเต็ม]:[คะแนนเต็ม]])*tbl_task6[[%]:[%]])</f>
        <v/>
      </c>
      <c r="LI17" s="121" t="str">
        <f>IF(ISBLANK(tbl_task6[[คะแนนเต็ม]:[คะแนนเต็ม]]),"",(tbl_task6[151]/tbl_task6[[คะแนนเต็ม]:[คะแนนเต็ม]])*tbl_task6[[%]:[%]])</f>
        <v/>
      </c>
      <c r="LJ17" s="121" t="str">
        <f>IF(ISBLANK(tbl_task6[[คะแนนเต็ม]:[คะแนนเต็ม]]),"",(tbl_task6[152]/tbl_task6[[คะแนนเต็ม]:[คะแนนเต็ม]])*tbl_task6[[%]:[%]])</f>
        <v/>
      </c>
      <c r="LK17" s="121" t="str">
        <f>IF(ISBLANK(tbl_task6[[คะแนนเต็ม]:[คะแนนเต็ม]]),"",(tbl_task6[153]/tbl_task6[[คะแนนเต็ม]:[คะแนนเต็ม]])*tbl_task6[[%]:[%]])</f>
        <v/>
      </c>
      <c r="LL17" s="121" t="str">
        <f>IF(ISBLANK(tbl_task6[[คะแนนเต็ม]:[คะแนนเต็ม]]),"",(tbl_task6[154]/tbl_task6[[คะแนนเต็ม]:[คะแนนเต็ม]])*tbl_task6[[%]:[%]])</f>
        <v/>
      </c>
      <c r="LM17" s="121" t="str">
        <f>IF(ISBLANK(tbl_task6[[คะแนนเต็ม]:[คะแนนเต็ม]]),"",(tbl_task6[155]/tbl_task6[[คะแนนเต็ม]:[คะแนนเต็ม]])*tbl_task6[[%]:[%]])</f>
        <v/>
      </c>
      <c r="LN17" s="121" t="str">
        <f>IF(ISBLANK(tbl_task6[[คะแนนเต็ม]:[คะแนนเต็ม]]),"",(tbl_task6[156]/tbl_task6[[คะแนนเต็ม]:[คะแนนเต็ม]])*tbl_task6[[%]:[%]])</f>
        <v/>
      </c>
      <c r="LO17" s="121" t="str">
        <f>IF(ISBLANK(tbl_task6[[คะแนนเต็ม]:[คะแนนเต็ม]]),"",(tbl_task6[157]/tbl_task6[[คะแนนเต็ม]:[คะแนนเต็ม]])*tbl_task6[[%]:[%]])</f>
        <v/>
      </c>
      <c r="LP17" s="121" t="str">
        <f>IF(ISBLANK(tbl_task6[[คะแนนเต็ม]:[คะแนนเต็ม]]),"",(tbl_task6[158]/tbl_task6[[คะแนนเต็ม]:[คะแนนเต็ม]])*tbl_task6[[%]:[%]])</f>
        <v/>
      </c>
      <c r="LQ17" s="121" t="str">
        <f>IF(ISBLANK(tbl_task6[[คะแนนเต็ม]:[คะแนนเต็ม]]),"",(tbl_task6[159]/tbl_task6[[คะแนนเต็ม]:[คะแนนเต็ม]])*tbl_task6[[%]:[%]])</f>
        <v/>
      </c>
      <c r="LR17" s="121" t="str">
        <f>IF(ISBLANK(tbl_task6[[คะแนนเต็ม]:[คะแนนเต็ม]]),"",(tbl_task6[160]/tbl_task6[[คะแนนเต็ม]:[คะแนนเต็ม]])*tbl_task6[[%]:[%]])</f>
        <v/>
      </c>
      <c r="LS17" s="121" t="str">
        <f>IF(ISBLANK(tbl_task6[[คะแนนเต็ม]:[คะแนนเต็ม]]),"",(tbl_task6[161]/tbl_task6[[คะแนนเต็ม]:[คะแนนเต็ม]])*tbl_task6[[%]:[%]])</f>
        <v/>
      </c>
      <c r="LT17" s="121" t="str">
        <f>IF(ISBLANK(tbl_task6[[คะแนนเต็ม]:[คะแนนเต็ม]]),"",(tbl_task6[162]/tbl_task6[[คะแนนเต็ม]:[คะแนนเต็ม]])*tbl_task6[[%]:[%]])</f>
        <v/>
      </c>
      <c r="LU17" s="121" t="str">
        <f>IF(ISBLANK(tbl_task6[[คะแนนเต็ม]:[คะแนนเต็ม]]),"",(tbl_task6[163]/tbl_task6[[คะแนนเต็ม]:[คะแนนเต็ม]])*tbl_task6[[%]:[%]])</f>
        <v/>
      </c>
      <c r="LV17" s="121" t="str">
        <f>IF(ISBLANK(tbl_task6[[คะแนนเต็ม]:[คะแนนเต็ม]]),"",(tbl_task6[164]/tbl_task6[[คะแนนเต็ม]:[คะแนนเต็ม]])*tbl_task6[[%]:[%]])</f>
        <v/>
      </c>
      <c r="LW17" s="121" t="str">
        <f>IF(ISBLANK(tbl_task6[[คะแนนเต็ม]:[คะแนนเต็ม]]),"",(tbl_task6[165]/tbl_task6[[คะแนนเต็ม]:[คะแนนเต็ม]])*tbl_task6[[%]:[%]])</f>
        <v/>
      </c>
    </row>
    <row r="18" spans="1:335" ht="24" customHeight="1" x14ac:dyDescent="0.25">
      <c r="A18" s="24">
        <v>15</v>
      </c>
      <c r="B18" s="20"/>
      <c r="C18" s="5" t="str">
        <f>IF(ISBLANK(B18),"",VLOOKUP(B18,tbl_PLOs[],2,0))</f>
        <v/>
      </c>
      <c r="D18" s="102"/>
      <c r="E18" s="106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121" t="str">
        <f>IF(ISBLANK(tbl_task6[[คะแนนเต็ม]:[คะแนนเต็ม]]),"",(tbl_task6[1]/tbl_task6[[คะแนนเต็ม]:[คะแนนเต็ม]])*tbl_task6[[%]:[%]])</f>
        <v/>
      </c>
      <c r="FP18" s="121" t="str">
        <f>IF(ISBLANK(tbl_task6[[คะแนนเต็ม]:[คะแนนเต็ม]]),"",(tbl_task6[2]/tbl_task6[[คะแนนเต็ม]:[คะแนนเต็ม]])*tbl_task6[[%]:[%]])</f>
        <v/>
      </c>
      <c r="FQ18" s="121" t="str">
        <f>IF(ISBLANK(tbl_task6[[คะแนนเต็ม]:[คะแนนเต็ม]]),"",(tbl_task6[3]/tbl_task6[[คะแนนเต็ม]:[คะแนนเต็ม]])*tbl_task6[[%]:[%]])</f>
        <v/>
      </c>
      <c r="FR18" s="121" t="str">
        <f>IF(ISBLANK(tbl_task6[[คะแนนเต็ม]:[คะแนนเต็ม]]),"",(tbl_task6[4]/tbl_task6[[คะแนนเต็ม]:[คะแนนเต็ม]])*tbl_task6[[%]:[%]])</f>
        <v/>
      </c>
      <c r="FS18" s="121" t="str">
        <f>IF(ISBLANK(tbl_task6[[คะแนนเต็ม]:[คะแนนเต็ม]]),"",(tbl_task6[5]/tbl_task6[[คะแนนเต็ม]:[คะแนนเต็ม]])*tbl_task6[[%]:[%]])</f>
        <v/>
      </c>
      <c r="FT18" s="121" t="str">
        <f>IF(ISBLANK(tbl_task6[[คะแนนเต็ม]:[คะแนนเต็ม]]),"",(tbl_task6[6]/tbl_task6[[คะแนนเต็ม]:[คะแนนเต็ม]])*tbl_task6[[%]:[%]])</f>
        <v/>
      </c>
      <c r="FU18" s="121" t="str">
        <f>IF(ISBLANK(tbl_task6[[คะแนนเต็ม]:[คะแนนเต็ม]]),"",(tbl_task6[7]/tbl_task6[[คะแนนเต็ม]:[คะแนนเต็ม]])*tbl_task6[[%]:[%]])</f>
        <v/>
      </c>
      <c r="FV18" s="121" t="str">
        <f>IF(ISBLANK(tbl_task6[[คะแนนเต็ม]:[คะแนนเต็ม]]),"",(tbl_task6[8]/tbl_task6[[คะแนนเต็ม]:[คะแนนเต็ม]])*tbl_task6[[%]:[%]])</f>
        <v/>
      </c>
      <c r="FW18" s="121" t="str">
        <f>IF(ISBLANK(tbl_task6[[คะแนนเต็ม]:[คะแนนเต็ม]]),"",(tbl_task6[9]/tbl_task6[[คะแนนเต็ม]:[คะแนนเต็ม]])*tbl_task6[[%]:[%]])</f>
        <v/>
      </c>
      <c r="FX18" s="121" t="str">
        <f>IF(ISBLANK(tbl_task6[[คะแนนเต็ม]:[คะแนนเต็ม]]),"",(tbl_task6[10]/tbl_task6[[คะแนนเต็ม]:[คะแนนเต็ม]])*tbl_task6[[%]:[%]])</f>
        <v/>
      </c>
      <c r="FY18" s="121" t="str">
        <f>IF(ISBLANK(tbl_task6[[คะแนนเต็ม]:[คะแนนเต็ม]]),"",(tbl_task6[11]/tbl_task6[[คะแนนเต็ม]:[คะแนนเต็ม]])*tbl_task6[[%]:[%]])</f>
        <v/>
      </c>
      <c r="FZ18" s="121" t="str">
        <f>IF(ISBLANK(tbl_task6[[คะแนนเต็ม]:[คะแนนเต็ม]]),"",(tbl_task6[12]/tbl_task6[[คะแนนเต็ม]:[คะแนนเต็ม]])*tbl_task6[[%]:[%]])</f>
        <v/>
      </c>
      <c r="GA18" s="121" t="str">
        <f>IF(ISBLANK(tbl_task6[[คะแนนเต็ม]:[คะแนนเต็ม]]),"",(tbl_task6[13]/tbl_task6[[คะแนนเต็ม]:[คะแนนเต็ม]])*tbl_task6[[%]:[%]])</f>
        <v/>
      </c>
      <c r="GB18" s="121" t="str">
        <f>IF(ISBLANK(tbl_task6[[คะแนนเต็ม]:[คะแนนเต็ม]]),"",(tbl_task6[14]/tbl_task6[[คะแนนเต็ม]:[คะแนนเต็ม]])*tbl_task6[[%]:[%]])</f>
        <v/>
      </c>
      <c r="GC18" s="121" t="str">
        <f>IF(ISBLANK(tbl_task6[[คะแนนเต็ม]:[คะแนนเต็ม]]),"",(tbl_task6[15]/tbl_task6[[คะแนนเต็ม]:[คะแนนเต็ม]])*tbl_task6[[%]:[%]])</f>
        <v/>
      </c>
      <c r="GD18" s="121" t="str">
        <f>IF(ISBLANK(tbl_task6[[คะแนนเต็ม]:[คะแนนเต็ม]]),"",(tbl_task6[16]/tbl_task6[[คะแนนเต็ม]:[คะแนนเต็ม]])*tbl_task6[[%]:[%]])</f>
        <v/>
      </c>
      <c r="GE18" s="121" t="str">
        <f>IF(ISBLANK(tbl_task6[[คะแนนเต็ม]:[คะแนนเต็ม]]),"",(tbl_task6[17]/tbl_task6[[คะแนนเต็ม]:[คะแนนเต็ม]])*tbl_task6[[%]:[%]])</f>
        <v/>
      </c>
      <c r="GF18" s="121" t="str">
        <f>IF(ISBLANK(tbl_task6[[คะแนนเต็ม]:[คะแนนเต็ม]]),"",(tbl_task6[18]/tbl_task6[[คะแนนเต็ม]:[คะแนนเต็ม]])*tbl_task6[[%]:[%]])</f>
        <v/>
      </c>
      <c r="GG18" s="121" t="str">
        <f>IF(ISBLANK(tbl_task6[[คะแนนเต็ม]:[คะแนนเต็ม]]),"",(tbl_task6[19]/tbl_task6[[คะแนนเต็ม]:[คะแนนเต็ม]])*tbl_task6[[%]:[%]])</f>
        <v/>
      </c>
      <c r="GH18" s="121" t="str">
        <f>IF(ISBLANK(tbl_task6[[คะแนนเต็ม]:[คะแนนเต็ม]]),"",(tbl_task6[20]/tbl_task6[[คะแนนเต็ม]:[คะแนนเต็ม]])*tbl_task6[[%]:[%]])</f>
        <v/>
      </c>
      <c r="GI18" s="121" t="str">
        <f>IF(ISBLANK(tbl_task6[[คะแนนเต็ม]:[คะแนนเต็ม]]),"",(tbl_task6[21]/tbl_task6[[คะแนนเต็ม]:[คะแนนเต็ม]])*tbl_task6[[%]:[%]])</f>
        <v/>
      </c>
      <c r="GJ18" s="121" t="str">
        <f>IF(ISBLANK(tbl_task6[[คะแนนเต็ม]:[คะแนนเต็ม]]),"",(tbl_task6[22]/tbl_task6[[คะแนนเต็ม]:[คะแนนเต็ม]])*tbl_task6[[%]:[%]])</f>
        <v/>
      </c>
      <c r="GK18" s="121" t="str">
        <f>IF(ISBLANK(tbl_task6[[คะแนนเต็ม]:[คะแนนเต็ม]]),"",(tbl_task6[23]/tbl_task6[[คะแนนเต็ม]:[คะแนนเต็ม]])*tbl_task6[[%]:[%]])</f>
        <v/>
      </c>
      <c r="GL18" s="121" t="str">
        <f>IF(ISBLANK(tbl_task6[[คะแนนเต็ม]:[คะแนนเต็ม]]),"",(tbl_task6[24]/tbl_task6[[คะแนนเต็ม]:[คะแนนเต็ม]])*tbl_task6[[%]:[%]])</f>
        <v/>
      </c>
      <c r="GM18" s="121" t="str">
        <f>IF(ISBLANK(tbl_task6[[คะแนนเต็ม]:[คะแนนเต็ม]]),"",(tbl_task6[25]/tbl_task6[[คะแนนเต็ม]:[คะแนนเต็ม]])*tbl_task6[[%]:[%]])</f>
        <v/>
      </c>
      <c r="GN18" s="121" t="str">
        <f>IF(ISBLANK(tbl_task6[[คะแนนเต็ม]:[คะแนนเต็ม]]),"",(tbl_task6[26]/tbl_task6[[คะแนนเต็ม]:[คะแนนเต็ม]])*tbl_task6[[%]:[%]])</f>
        <v/>
      </c>
      <c r="GO18" s="121" t="str">
        <f>IF(ISBLANK(tbl_task6[[คะแนนเต็ม]:[คะแนนเต็ม]]),"",(tbl_task6[27]/tbl_task6[[คะแนนเต็ม]:[คะแนนเต็ม]])*tbl_task6[[%]:[%]])</f>
        <v/>
      </c>
      <c r="GP18" s="121" t="str">
        <f>IF(ISBLANK(tbl_task6[[คะแนนเต็ม]:[คะแนนเต็ม]]),"",(tbl_task6[28]/tbl_task6[[คะแนนเต็ม]:[คะแนนเต็ม]])*tbl_task6[[%]:[%]])</f>
        <v/>
      </c>
      <c r="GQ18" s="121" t="str">
        <f>IF(ISBLANK(tbl_task6[[คะแนนเต็ม]:[คะแนนเต็ม]]),"",(tbl_task6[29]/tbl_task6[[คะแนนเต็ม]:[คะแนนเต็ม]])*tbl_task6[[%]:[%]])</f>
        <v/>
      </c>
      <c r="GR18" s="121" t="str">
        <f>IF(ISBLANK(tbl_task6[[คะแนนเต็ม]:[คะแนนเต็ม]]),"",(tbl_task6[30]/tbl_task6[[คะแนนเต็ม]:[คะแนนเต็ม]])*tbl_task6[[%]:[%]])</f>
        <v/>
      </c>
      <c r="GS18" s="121" t="str">
        <f>IF(ISBLANK(tbl_task6[[คะแนนเต็ม]:[คะแนนเต็ม]]),"",(tbl_task6[31]/tbl_task6[[คะแนนเต็ม]:[คะแนนเต็ม]])*tbl_task6[[%]:[%]])</f>
        <v/>
      </c>
      <c r="GT18" s="121" t="str">
        <f>IF(ISBLANK(tbl_task6[[คะแนนเต็ม]:[คะแนนเต็ม]]),"",(tbl_task6[32]/tbl_task6[[คะแนนเต็ม]:[คะแนนเต็ม]])*tbl_task6[[%]:[%]])</f>
        <v/>
      </c>
      <c r="GU18" s="121" t="str">
        <f>IF(ISBLANK(tbl_task6[[คะแนนเต็ม]:[คะแนนเต็ม]]),"",(tbl_task6[33]/tbl_task6[[คะแนนเต็ม]:[คะแนนเต็ม]])*tbl_task6[[%]:[%]])</f>
        <v/>
      </c>
      <c r="GV18" s="121" t="str">
        <f>IF(ISBLANK(tbl_task6[[คะแนนเต็ม]:[คะแนนเต็ม]]),"",(tbl_task6[34]/tbl_task6[[คะแนนเต็ม]:[คะแนนเต็ม]])*tbl_task6[[%]:[%]])</f>
        <v/>
      </c>
      <c r="GW18" s="121" t="str">
        <f>IF(ISBLANK(tbl_task6[[คะแนนเต็ม]:[คะแนนเต็ม]]),"",(tbl_task6[35]/tbl_task6[[คะแนนเต็ม]:[คะแนนเต็ม]])*tbl_task6[[%]:[%]])</f>
        <v/>
      </c>
      <c r="GX18" s="121" t="str">
        <f>IF(ISBLANK(tbl_task6[[คะแนนเต็ม]:[คะแนนเต็ม]]),"",(tbl_task6[36]/tbl_task6[[คะแนนเต็ม]:[คะแนนเต็ม]])*tbl_task6[[%]:[%]])</f>
        <v/>
      </c>
      <c r="GY18" s="121" t="str">
        <f>IF(ISBLANK(tbl_task6[[คะแนนเต็ม]:[คะแนนเต็ม]]),"",(tbl_task6[37]/tbl_task6[[คะแนนเต็ม]:[คะแนนเต็ม]])*tbl_task6[[%]:[%]])</f>
        <v/>
      </c>
      <c r="GZ18" s="121" t="str">
        <f>IF(ISBLANK(tbl_task6[[คะแนนเต็ม]:[คะแนนเต็ม]]),"",(tbl_task6[38]/tbl_task6[[คะแนนเต็ม]:[คะแนนเต็ม]])*tbl_task6[[%]:[%]])</f>
        <v/>
      </c>
      <c r="HA18" s="121" t="str">
        <f>IF(ISBLANK(tbl_task6[[คะแนนเต็ม]:[คะแนนเต็ม]]),"",(tbl_task6[39]/tbl_task6[[คะแนนเต็ม]:[คะแนนเต็ม]])*tbl_task6[[%]:[%]])</f>
        <v/>
      </c>
      <c r="HB18" s="121" t="str">
        <f>IF(ISBLANK(tbl_task6[[คะแนนเต็ม]:[คะแนนเต็ม]]),"",(tbl_task6[40]/tbl_task6[[คะแนนเต็ม]:[คะแนนเต็ม]])*tbl_task6[[%]:[%]])</f>
        <v/>
      </c>
      <c r="HC18" s="121" t="str">
        <f>IF(ISBLANK(tbl_task6[[คะแนนเต็ม]:[คะแนนเต็ม]]),"",(tbl_task6[41]/tbl_task6[[คะแนนเต็ม]:[คะแนนเต็ม]])*tbl_task6[[%]:[%]])</f>
        <v/>
      </c>
      <c r="HD18" s="121" t="str">
        <f>IF(ISBLANK(tbl_task6[[คะแนนเต็ม]:[คะแนนเต็ม]]),"",(tbl_task6[42]/tbl_task6[[คะแนนเต็ม]:[คะแนนเต็ม]])*tbl_task6[[%]:[%]])</f>
        <v/>
      </c>
      <c r="HE18" s="121" t="str">
        <f>IF(ISBLANK(tbl_task6[[คะแนนเต็ม]:[คะแนนเต็ม]]),"",(tbl_task6[43]/tbl_task6[[คะแนนเต็ม]:[คะแนนเต็ม]])*tbl_task6[[%]:[%]])</f>
        <v/>
      </c>
      <c r="HF18" s="121" t="str">
        <f>IF(ISBLANK(tbl_task6[[คะแนนเต็ม]:[คะแนนเต็ม]]),"",(tbl_task6[44]/tbl_task6[[คะแนนเต็ม]:[คะแนนเต็ม]])*tbl_task6[[%]:[%]])</f>
        <v/>
      </c>
      <c r="HG18" s="121" t="str">
        <f>IF(ISBLANK(tbl_task6[[คะแนนเต็ม]:[คะแนนเต็ม]]),"",(tbl_task6[45]/tbl_task6[[คะแนนเต็ม]:[คะแนนเต็ม]])*tbl_task6[[%]:[%]])</f>
        <v/>
      </c>
      <c r="HH18" s="121" t="str">
        <f>IF(ISBLANK(tbl_task6[[คะแนนเต็ม]:[คะแนนเต็ม]]),"",(tbl_task6[46]/tbl_task6[[คะแนนเต็ม]:[คะแนนเต็ม]])*tbl_task6[[%]:[%]])</f>
        <v/>
      </c>
      <c r="HI18" s="121" t="str">
        <f>IF(ISBLANK(tbl_task6[[คะแนนเต็ม]:[คะแนนเต็ม]]),"",(tbl_task6[47]/tbl_task6[[คะแนนเต็ม]:[คะแนนเต็ม]])*tbl_task6[[%]:[%]])</f>
        <v/>
      </c>
      <c r="HJ18" s="121" t="str">
        <f>IF(ISBLANK(tbl_task6[[คะแนนเต็ม]:[คะแนนเต็ม]]),"",(tbl_task6[48]/tbl_task6[[คะแนนเต็ม]:[คะแนนเต็ม]])*tbl_task6[[%]:[%]])</f>
        <v/>
      </c>
      <c r="HK18" s="121" t="str">
        <f>IF(ISBLANK(tbl_task6[[คะแนนเต็ม]:[คะแนนเต็ม]]),"",(tbl_task6[49]/tbl_task6[[คะแนนเต็ม]:[คะแนนเต็ม]])*tbl_task6[[%]:[%]])</f>
        <v/>
      </c>
      <c r="HL18" s="121" t="str">
        <f>IF(ISBLANK(tbl_task6[[คะแนนเต็ม]:[คะแนนเต็ม]]),"",(tbl_task6[50]/tbl_task6[[คะแนนเต็ม]:[คะแนนเต็ม]])*tbl_task6[[%]:[%]])</f>
        <v/>
      </c>
      <c r="HM18" s="121" t="str">
        <f>IF(ISBLANK(tbl_task6[[คะแนนเต็ม]:[คะแนนเต็ม]]),"",(tbl_task6[51]/tbl_task6[[คะแนนเต็ม]:[คะแนนเต็ม]])*tbl_task6[[%]:[%]])</f>
        <v/>
      </c>
      <c r="HN18" s="121" t="str">
        <f>IF(ISBLANK(tbl_task6[[คะแนนเต็ม]:[คะแนนเต็ม]]),"",(tbl_task6[52]/tbl_task6[[คะแนนเต็ม]:[คะแนนเต็ม]])*tbl_task6[[%]:[%]])</f>
        <v/>
      </c>
      <c r="HO18" s="121" t="str">
        <f>IF(ISBLANK(tbl_task6[[คะแนนเต็ม]:[คะแนนเต็ม]]),"",(tbl_task6[53]/tbl_task6[[คะแนนเต็ม]:[คะแนนเต็ม]])*tbl_task6[[%]:[%]])</f>
        <v/>
      </c>
      <c r="HP18" s="121" t="str">
        <f>IF(ISBLANK(tbl_task6[[คะแนนเต็ม]:[คะแนนเต็ม]]),"",(tbl_task6[54]/tbl_task6[[คะแนนเต็ม]:[คะแนนเต็ม]])*tbl_task6[[%]:[%]])</f>
        <v/>
      </c>
      <c r="HQ18" s="121" t="str">
        <f>IF(ISBLANK(tbl_task6[[คะแนนเต็ม]:[คะแนนเต็ม]]),"",(tbl_task6[55]/tbl_task6[[คะแนนเต็ม]:[คะแนนเต็ม]])*tbl_task6[[%]:[%]])</f>
        <v/>
      </c>
      <c r="HR18" s="121" t="str">
        <f>IF(ISBLANK(tbl_task6[[คะแนนเต็ม]:[คะแนนเต็ม]]),"",(tbl_task6[56]/tbl_task6[[คะแนนเต็ม]:[คะแนนเต็ม]])*tbl_task6[[%]:[%]])</f>
        <v/>
      </c>
      <c r="HS18" s="121" t="str">
        <f>IF(ISBLANK(tbl_task6[[คะแนนเต็ม]:[คะแนนเต็ม]]),"",(tbl_task6[57]/tbl_task6[[คะแนนเต็ม]:[คะแนนเต็ม]])*tbl_task6[[%]:[%]])</f>
        <v/>
      </c>
      <c r="HT18" s="121" t="str">
        <f>IF(ISBLANK(tbl_task6[[คะแนนเต็ม]:[คะแนนเต็ม]]),"",(tbl_task6[58]/tbl_task6[[คะแนนเต็ม]:[คะแนนเต็ม]])*tbl_task6[[%]:[%]])</f>
        <v/>
      </c>
      <c r="HU18" s="121" t="str">
        <f>IF(ISBLANK(tbl_task6[[คะแนนเต็ม]:[คะแนนเต็ม]]),"",(tbl_task6[59]/tbl_task6[[คะแนนเต็ม]:[คะแนนเต็ม]])*tbl_task6[[%]:[%]])</f>
        <v/>
      </c>
      <c r="HV18" s="121" t="str">
        <f>IF(ISBLANK(tbl_task6[[คะแนนเต็ม]:[คะแนนเต็ม]]),"",(tbl_task6[60]/tbl_task6[[คะแนนเต็ม]:[คะแนนเต็ม]])*tbl_task6[[%]:[%]])</f>
        <v/>
      </c>
      <c r="HW18" s="121" t="str">
        <f>IF(ISBLANK(tbl_task6[[คะแนนเต็ม]:[คะแนนเต็ม]]),"",(tbl_task6[61]/tbl_task6[[คะแนนเต็ม]:[คะแนนเต็ม]])*tbl_task6[[%]:[%]])</f>
        <v/>
      </c>
      <c r="HX18" s="121" t="str">
        <f>IF(ISBLANK(tbl_task6[[คะแนนเต็ม]:[คะแนนเต็ม]]),"",(tbl_task6[62]/tbl_task6[[คะแนนเต็ม]:[คะแนนเต็ม]])*tbl_task6[[%]:[%]])</f>
        <v/>
      </c>
      <c r="HY18" s="121" t="str">
        <f>IF(ISBLANK(tbl_task6[[คะแนนเต็ม]:[คะแนนเต็ม]]),"",(tbl_task6[63]/tbl_task6[[คะแนนเต็ม]:[คะแนนเต็ม]])*tbl_task6[[%]:[%]])</f>
        <v/>
      </c>
      <c r="HZ18" s="121" t="str">
        <f>IF(ISBLANK(tbl_task6[[คะแนนเต็ม]:[คะแนนเต็ม]]),"",(tbl_task6[64]/tbl_task6[[คะแนนเต็ม]:[คะแนนเต็ม]])*tbl_task6[[%]:[%]])</f>
        <v/>
      </c>
      <c r="IA18" s="121" t="str">
        <f>IF(ISBLANK(tbl_task6[[คะแนนเต็ม]:[คะแนนเต็ม]]),"",(tbl_task6[65]/tbl_task6[[คะแนนเต็ม]:[คะแนนเต็ม]])*tbl_task6[[%]:[%]])</f>
        <v/>
      </c>
      <c r="IB18" s="121" t="str">
        <f>IF(ISBLANK(tbl_task6[[คะแนนเต็ม]:[คะแนนเต็ม]]),"",(tbl_task6[66]/tbl_task6[[คะแนนเต็ม]:[คะแนนเต็ม]])*tbl_task6[[%]:[%]])</f>
        <v/>
      </c>
      <c r="IC18" s="121" t="str">
        <f>IF(ISBLANK(tbl_task6[[คะแนนเต็ม]:[คะแนนเต็ม]]),"",(tbl_task6[67]/tbl_task6[[คะแนนเต็ม]:[คะแนนเต็ม]])*tbl_task6[[%]:[%]])</f>
        <v/>
      </c>
      <c r="ID18" s="121" t="str">
        <f>IF(ISBLANK(tbl_task6[[คะแนนเต็ม]:[คะแนนเต็ม]]),"",(tbl_task6[68]/tbl_task6[[คะแนนเต็ม]:[คะแนนเต็ม]])*tbl_task6[[%]:[%]])</f>
        <v/>
      </c>
      <c r="IE18" s="121" t="str">
        <f>IF(ISBLANK(tbl_task6[[คะแนนเต็ม]:[คะแนนเต็ม]]),"",(tbl_task6[69]/tbl_task6[[คะแนนเต็ม]:[คะแนนเต็ม]])*tbl_task6[[%]:[%]])</f>
        <v/>
      </c>
      <c r="IF18" s="121" t="str">
        <f>IF(ISBLANK(tbl_task6[[คะแนนเต็ม]:[คะแนนเต็ม]]),"",(tbl_task6[70]/tbl_task6[[คะแนนเต็ม]:[คะแนนเต็ม]])*tbl_task6[[%]:[%]])</f>
        <v/>
      </c>
      <c r="IG18" s="121" t="str">
        <f>IF(ISBLANK(tbl_task6[[คะแนนเต็ม]:[คะแนนเต็ม]]),"",(tbl_task6[71]/tbl_task6[[คะแนนเต็ม]:[คะแนนเต็ม]])*tbl_task6[[%]:[%]])</f>
        <v/>
      </c>
      <c r="IH18" s="121" t="str">
        <f>IF(ISBLANK(tbl_task6[[คะแนนเต็ม]:[คะแนนเต็ม]]),"",(tbl_task6[72]/tbl_task6[[คะแนนเต็ม]:[คะแนนเต็ม]])*tbl_task6[[%]:[%]])</f>
        <v/>
      </c>
      <c r="II18" s="121" t="str">
        <f>IF(ISBLANK(tbl_task6[[คะแนนเต็ม]:[คะแนนเต็ม]]),"",(tbl_task6[73]/tbl_task6[[คะแนนเต็ม]:[คะแนนเต็ม]])*tbl_task6[[%]:[%]])</f>
        <v/>
      </c>
      <c r="IJ18" s="121" t="str">
        <f>IF(ISBLANK(tbl_task6[[คะแนนเต็ม]:[คะแนนเต็ม]]),"",(tbl_task6[74]/tbl_task6[[คะแนนเต็ม]:[คะแนนเต็ม]])*tbl_task6[[%]:[%]])</f>
        <v/>
      </c>
      <c r="IK18" s="121" t="str">
        <f>IF(ISBLANK(tbl_task6[[คะแนนเต็ม]:[คะแนนเต็ม]]),"",(tbl_task6[75]/tbl_task6[[คะแนนเต็ม]:[คะแนนเต็ม]])*tbl_task6[[%]:[%]])</f>
        <v/>
      </c>
      <c r="IL18" s="121" t="str">
        <f>IF(ISBLANK(tbl_task6[[คะแนนเต็ม]:[คะแนนเต็ม]]),"",(tbl_task6[76]/tbl_task6[[คะแนนเต็ม]:[คะแนนเต็ม]])*tbl_task6[[%]:[%]])</f>
        <v/>
      </c>
      <c r="IM18" s="121" t="str">
        <f>IF(ISBLANK(tbl_task6[[คะแนนเต็ม]:[คะแนนเต็ม]]),"",(tbl_task6[77]/tbl_task6[[คะแนนเต็ม]:[คะแนนเต็ม]])*tbl_task6[[%]:[%]])</f>
        <v/>
      </c>
      <c r="IN18" s="121" t="str">
        <f>IF(ISBLANK(tbl_task6[[คะแนนเต็ม]:[คะแนนเต็ม]]),"",(tbl_task6[78]/tbl_task6[[คะแนนเต็ม]:[คะแนนเต็ม]])*tbl_task6[[%]:[%]])</f>
        <v/>
      </c>
      <c r="IO18" s="121" t="str">
        <f>IF(ISBLANK(tbl_task6[[คะแนนเต็ม]:[คะแนนเต็ม]]),"",(tbl_task6[79]/tbl_task6[[คะแนนเต็ม]:[คะแนนเต็ม]])*tbl_task6[[%]:[%]])</f>
        <v/>
      </c>
      <c r="IP18" s="121" t="str">
        <f>IF(ISBLANK(tbl_task6[[คะแนนเต็ม]:[คะแนนเต็ม]]),"",(tbl_task6[80]/tbl_task6[[คะแนนเต็ม]:[คะแนนเต็ม]])*tbl_task6[[%]:[%]])</f>
        <v/>
      </c>
      <c r="IQ18" s="121" t="str">
        <f>IF(ISBLANK(tbl_task6[[คะแนนเต็ม]:[คะแนนเต็ม]]),"",(tbl_task6[81]/tbl_task6[[คะแนนเต็ม]:[คะแนนเต็ม]])*tbl_task6[[%]:[%]])</f>
        <v/>
      </c>
      <c r="IR18" s="121" t="str">
        <f>IF(ISBLANK(tbl_task6[[คะแนนเต็ม]:[คะแนนเต็ม]]),"",(tbl_task6[82]/tbl_task6[[คะแนนเต็ม]:[คะแนนเต็ม]])*tbl_task6[[%]:[%]])</f>
        <v/>
      </c>
      <c r="IS18" s="121" t="str">
        <f>IF(ISBLANK(tbl_task6[[คะแนนเต็ม]:[คะแนนเต็ม]]),"",(tbl_task6[83]/tbl_task6[[คะแนนเต็ม]:[คะแนนเต็ม]])*tbl_task6[[%]:[%]])</f>
        <v/>
      </c>
      <c r="IT18" s="121" t="str">
        <f>IF(ISBLANK(tbl_task6[[คะแนนเต็ม]:[คะแนนเต็ม]]),"",(tbl_task6[84]/tbl_task6[[คะแนนเต็ม]:[คะแนนเต็ม]])*tbl_task6[[%]:[%]])</f>
        <v/>
      </c>
      <c r="IU18" s="121" t="str">
        <f>IF(ISBLANK(tbl_task6[[คะแนนเต็ม]:[คะแนนเต็ม]]),"",(tbl_task6[85]/tbl_task6[[คะแนนเต็ม]:[คะแนนเต็ม]])*tbl_task6[[%]:[%]])</f>
        <v/>
      </c>
      <c r="IV18" s="121" t="str">
        <f>IF(ISBLANK(tbl_task6[[คะแนนเต็ม]:[คะแนนเต็ม]]),"",(tbl_task6[86]/tbl_task6[[คะแนนเต็ม]:[คะแนนเต็ม]])*tbl_task6[[%]:[%]])</f>
        <v/>
      </c>
      <c r="IW18" s="121" t="str">
        <f>IF(ISBLANK(tbl_task6[[คะแนนเต็ม]:[คะแนนเต็ม]]),"",(tbl_task6[87]/tbl_task6[[คะแนนเต็ม]:[คะแนนเต็ม]])*tbl_task6[[%]:[%]])</f>
        <v/>
      </c>
      <c r="IX18" s="121" t="str">
        <f>IF(ISBLANK(tbl_task6[[คะแนนเต็ม]:[คะแนนเต็ม]]),"",(tbl_task6[88]/tbl_task6[[คะแนนเต็ม]:[คะแนนเต็ม]])*tbl_task6[[%]:[%]])</f>
        <v/>
      </c>
      <c r="IY18" s="121" t="str">
        <f>IF(ISBLANK(tbl_task6[[คะแนนเต็ม]:[คะแนนเต็ม]]),"",(tbl_task6[89]/tbl_task6[[คะแนนเต็ม]:[คะแนนเต็ม]])*tbl_task6[[%]:[%]])</f>
        <v/>
      </c>
      <c r="IZ18" s="121" t="str">
        <f>IF(ISBLANK(tbl_task6[[คะแนนเต็ม]:[คะแนนเต็ม]]),"",(tbl_task6[90]/tbl_task6[[คะแนนเต็ม]:[คะแนนเต็ม]])*tbl_task6[[%]:[%]])</f>
        <v/>
      </c>
      <c r="JA18" s="121" t="str">
        <f>IF(ISBLANK(tbl_task6[[คะแนนเต็ม]:[คะแนนเต็ม]]),"",(tbl_task6[91]/tbl_task6[[คะแนนเต็ม]:[คะแนนเต็ม]])*tbl_task6[[%]:[%]])</f>
        <v/>
      </c>
      <c r="JB18" s="121" t="str">
        <f>IF(ISBLANK(tbl_task6[[คะแนนเต็ม]:[คะแนนเต็ม]]),"",(tbl_task6[92]/tbl_task6[[คะแนนเต็ม]:[คะแนนเต็ม]])*tbl_task6[[%]:[%]])</f>
        <v/>
      </c>
      <c r="JC18" s="121" t="str">
        <f>IF(ISBLANK(tbl_task6[[คะแนนเต็ม]:[คะแนนเต็ม]]),"",(tbl_task6[93]/tbl_task6[[คะแนนเต็ม]:[คะแนนเต็ม]])*tbl_task6[[%]:[%]])</f>
        <v/>
      </c>
      <c r="JD18" s="121" t="str">
        <f>IF(ISBLANK(tbl_task6[[คะแนนเต็ม]:[คะแนนเต็ม]]),"",(tbl_task6[94]/tbl_task6[[คะแนนเต็ม]:[คะแนนเต็ม]])*tbl_task6[[%]:[%]])</f>
        <v/>
      </c>
      <c r="JE18" s="121" t="str">
        <f>IF(ISBLANK(tbl_task6[[คะแนนเต็ม]:[คะแนนเต็ม]]),"",(tbl_task6[95]/tbl_task6[[คะแนนเต็ม]:[คะแนนเต็ม]])*tbl_task6[[%]:[%]])</f>
        <v/>
      </c>
      <c r="JF18" s="121" t="str">
        <f>IF(ISBLANK(tbl_task6[[คะแนนเต็ม]:[คะแนนเต็ม]]),"",(tbl_task6[96]/tbl_task6[[คะแนนเต็ม]:[คะแนนเต็ม]])*tbl_task6[[%]:[%]])</f>
        <v/>
      </c>
      <c r="JG18" s="121" t="str">
        <f>IF(ISBLANK(tbl_task6[[คะแนนเต็ม]:[คะแนนเต็ม]]),"",(tbl_task6[97]/tbl_task6[[คะแนนเต็ม]:[คะแนนเต็ม]])*tbl_task6[[%]:[%]])</f>
        <v/>
      </c>
      <c r="JH18" s="121" t="str">
        <f>IF(ISBLANK(tbl_task6[[คะแนนเต็ม]:[คะแนนเต็ม]]),"",(tbl_task6[98]/tbl_task6[[คะแนนเต็ม]:[คะแนนเต็ม]])*tbl_task6[[%]:[%]])</f>
        <v/>
      </c>
      <c r="JI18" s="121" t="str">
        <f>IF(ISBLANK(tbl_task6[[คะแนนเต็ม]:[คะแนนเต็ม]]),"",(tbl_task6[99]/tbl_task6[[คะแนนเต็ม]:[คะแนนเต็ม]])*tbl_task6[[%]:[%]])</f>
        <v/>
      </c>
      <c r="JJ18" s="121" t="str">
        <f>IF(ISBLANK(tbl_task6[[คะแนนเต็ม]:[คะแนนเต็ม]]),"",(tbl_task6[100]/tbl_task6[[คะแนนเต็ม]:[คะแนนเต็ม]])*tbl_task6[[%]:[%]])</f>
        <v/>
      </c>
      <c r="JK18" s="121" t="str">
        <f>IF(ISBLANK(tbl_task6[[คะแนนเต็ม]:[คะแนนเต็ม]]),"",(tbl_task6[101]/tbl_task6[[คะแนนเต็ม]:[คะแนนเต็ม]])*tbl_task6[[%]:[%]])</f>
        <v/>
      </c>
      <c r="JL18" s="121" t="str">
        <f>IF(ISBLANK(tbl_task6[[คะแนนเต็ม]:[คะแนนเต็ม]]),"",(tbl_task6[102]/tbl_task6[[คะแนนเต็ม]:[คะแนนเต็ม]])*tbl_task6[[%]:[%]])</f>
        <v/>
      </c>
      <c r="JM18" s="121" t="str">
        <f>IF(ISBLANK(tbl_task6[[คะแนนเต็ม]:[คะแนนเต็ม]]),"",(tbl_task6[103]/tbl_task6[[คะแนนเต็ม]:[คะแนนเต็ม]])*tbl_task6[[%]:[%]])</f>
        <v/>
      </c>
      <c r="JN18" s="121" t="str">
        <f>IF(ISBLANK(tbl_task6[[คะแนนเต็ม]:[คะแนนเต็ม]]),"",(tbl_task6[104]/tbl_task6[[คะแนนเต็ม]:[คะแนนเต็ม]])*tbl_task6[[%]:[%]])</f>
        <v/>
      </c>
      <c r="JO18" s="121" t="str">
        <f>IF(ISBLANK(tbl_task6[[คะแนนเต็ม]:[คะแนนเต็ม]]),"",(tbl_task6[105]/tbl_task6[[คะแนนเต็ม]:[คะแนนเต็ม]])*tbl_task6[[%]:[%]])</f>
        <v/>
      </c>
      <c r="JP18" s="121" t="str">
        <f>IF(ISBLANK(tbl_task6[[คะแนนเต็ม]:[คะแนนเต็ม]]),"",(tbl_task6[106]/tbl_task6[[คะแนนเต็ม]:[คะแนนเต็ม]])*tbl_task6[[%]:[%]])</f>
        <v/>
      </c>
      <c r="JQ18" s="121" t="str">
        <f>IF(ISBLANK(tbl_task6[[คะแนนเต็ม]:[คะแนนเต็ม]]),"",(tbl_task6[107]/tbl_task6[[คะแนนเต็ม]:[คะแนนเต็ม]])*tbl_task6[[%]:[%]])</f>
        <v/>
      </c>
      <c r="JR18" s="121" t="str">
        <f>IF(ISBLANK(tbl_task6[[คะแนนเต็ม]:[คะแนนเต็ม]]),"",(tbl_task6[108]/tbl_task6[[คะแนนเต็ม]:[คะแนนเต็ม]])*tbl_task6[[%]:[%]])</f>
        <v/>
      </c>
      <c r="JS18" s="121" t="str">
        <f>IF(ISBLANK(tbl_task6[[คะแนนเต็ม]:[คะแนนเต็ม]]),"",(tbl_task6[109]/tbl_task6[[คะแนนเต็ม]:[คะแนนเต็ม]])*tbl_task6[[%]:[%]])</f>
        <v/>
      </c>
      <c r="JT18" s="121" t="str">
        <f>IF(ISBLANK(tbl_task6[[คะแนนเต็ม]:[คะแนนเต็ม]]),"",(tbl_task6[110]/tbl_task6[[คะแนนเต็ม]:[คะแนนเต็ม]])*tbl_task6[[%]:[%]])</f>
        <v/>
      </c>
      <c r="JU18" s="121" t="str">
        <f>IF(ISBLANK(tbl_task6[[คะแนนเต็ม]:[คะแนนเต็ม]]),"",(tbl_task6[111]/tbl_task6[[คะแนนเต็ม]:[คะแนนเต็ม]])*tbl_task6[[%]:[%]])</f>
        <v/>
      </c>
      <c r="JV18" s="121" t="str">
        <f>IF(ISBLANK(tbl_task6[[คะแนนเต็ม]:[คะแนนเต็ม]]),"",(tbl_task6[112]/tbl_task6[[คะแนนเต็ม]:[คะแนนเต็ม]])*tbl_task6[[%]:[%]])</f>
        <v/>
      </c>
      <c r="JW18" s="121" t="str">
        <f>IF(ISBLANK(tbl_task6[[คะแนนเต็ม]:[คะแนนเต็ม]]),"",(tbl_task6[113]/tbl_task6[[คะแนนเต็ม]:[คะแนนเต็ม]])*tbl_task6[[%]:[%]])</f>
        <v/>
      </c>
      <c r="JX18" s="121" t="str">
        <f>IF(ISBLANK(tbl_task6[[คะแนนเต็ม]:[คะแนนเต็ม]]),"",(tbl_task6[114]/tbl_task6[[คะแนนเต็ม]:[คะแนนเต็ม]])*tbl_task6[[%]:[%]])</f>
        <v/>
      </c>
      <c r="JY18" s="121" t="str">
        <f>IF(ISBLANK(tbl_task6[[คะแนนเต็ม]:[คะแนนเต็ม]]),"",(tbl_task6[115]/tbl_task6[[คะแนนเต็ม]:[คะแนนเต็ม]])*tbl_task6[[%]:[%]])</f>
        <v/>
      </c>
      <c r="JZ18" s="121" t="str">
        <f>IF(ISBLANK(tbl_task6[[คะแนนเต็ม]:[คะแนนเต็ม]]),"",(tbl_task6[116]/tbl_task6[[คะแนนเต็ม]:[คะแนนเต็ม]])*tbl_task6[[%]:[%]])</f>
        <v/>
      </c>
      <c r="KA18" s="121" t="str">
        <f>IF(ISBLANK(tbl_task6[[คะแนนเต็ม]:[คะแนนเต็ม]]),"",(tbl_task6[117]/tbl_task6[[คะแนนเต็ม]:[คะแนนเต็ม]])*tbl_task6[[%]:[%]])</f>
        <v/>
      </c>
      <c r="KB18" s="121" t="str">
        <f>IF(ISBLANK(tbl_task6[[คะแนนเต็ม]:[คะแนนเต็ม]]),"",(tbl_task6[118]/tbl_task6[[คะแนนเต็ม]:[คะแนนเต็ม]])*tbl_task6[[%]:[%]])</f>
        <v/>
      </c>
      <c r="KC18" s="121" t="str">
        <f>IF(ISBLANK(tbl_task6[[คะแนนเต็ม]:[คะแนนเต็ม]]),"",(tbl_task6[119]/tbl_task6[[คะแนนเต็ม]:[คะแนนเต็ม]])*tbl_task6[[%]:[%]])</f>
        <v/>
      </c>
      <c r="KD18" s="121" t="str">
        <f>IF(ISBLANK(tbl_task6[[คะแนนเต็ม]:[คะแนนเต็ม]]),"",(tbl_task6[120]/tbl_task6[[คะแนนเต็ม]:[คะแนนเต็ม]])*tbl_task6[[%]:[%]])</f>
        <v/>
      </c>
      <c r="KE18" s="121" t="str">
        <f>IF(ISBLANK(tbl_task6[[คะแนนเต็ม]:[คะแนนเต็ม]]),"",(tbl_task6[121]/tbl_task6[[คะแนนเต็ม]:[คะแนนเต็ม]])*tbl_task6[[%]:[%]])</f>
        <v/>
      </c>
      <c r="KF18" s="121" t="str">
        <f>IF(ISBLANK(tbl_task6[[คะแนนเต็ม]:[คะแนนเต็ม]]),"",(tbl_task6[122]/tbl_task6[[คะแนนเต็ม]:[คะแนนเต็ม]])*tbl_task6[[%]:[%]])</f>
        <v/>
      </c>
      <c r="KG18" s="121" t="str">
        <f>IF(ISBLANK(tbl_task6[[คะแนนเต็ม]:[คะแนนเต็ม]]),"",(tbl_task6[123]/tbl_task6[[คะแนนเต็ม]:[คะแนนเต็ม]])*tbl_task6[[%]:[%]])</f>
        <v/>
      </c>
      <c r="KH18" s="121" t="str">
        <f>IF(ISBLANK(tbl_task6[[คะแนนเต็ม]:[คะแนนเต็ม]]),"",(tbl_task6[124]/tbl_task6[[คะแนนเต็ม]:[คะแนนเต็ม]])*tbl_task6[[%]:[%]])</f>
        <v/>
      </c>
      <c r="KI18" s="121" t="str">
        <f>IF(ISBLANK(tbl_task6[[คะแนนเต็ม]:[คะแนนเต็ม]]),"",(tbl_task6[125]/tbl_task6[[คะแนนเต็ม]:[คะแนนเต็ม]])*tbl_task6[[%]:[%]])</f>
        <v/>
      </c>
      <c r="KJ18" s="121" t="str">
        <f>IF(ISBLANK(tbl_task6[[คะแนนเต็ม]:[คะแนนเต็ม]]),"",(tbl_task6[126]/tbl_task6[[คะแนนเต็ม]:[คะแนนเต็ม]])*tbl_task6[[%]:[%]])</f>
        <v/>
      </c>
      <c r="KK18" s="121" t="str">
        <f>IF(ISBLANK(tbl_task6[[คะแนนเต็ม]:[คะแนนเต็ม]]),"",(tbl_task6[127]/tbl_task6[[คะแนนเต็ม]:[คะแนนเต็ม]])*tbl_task6[[%]:[%]])</f>
        <v/>
      </c>
      <c r="KL18" s="121" t="str">
        <f>IF(ISBLANK(tbl_task6[[คะแนนเต็ม]:[คะแนนเต็ม]]),"",(tbl_task6[128]/tbl_task6[[คะแนนเต็ม]:[คะแนนเต็ม]])*tbl_task6[[%]:[%]])</f>
        <v/>
      </c>
      <c r="KM18" s="121" t="str">
        <f>IF(ISBLANK(tbl_task6[[คะแนนเต็ม]:[คะแนนเต็ม]]),"",(tbl_task6[129]/tbl_task6[[คะแนนเต็ม]:[คะแนนเต็ม]])*tbl_task6[[%]:[%]])</f>
        <v/>
      </c>
      <c r="KN18" s="121" t="str">
        <f>IF(ISBLANK(tbl_task6[[คะแนนเต็ม]:[คะแนนเต็ม]]),"",(tbl_task6[130]/tbl_task6[[คะแนนเต็ม]:[คะแนนเต็ม]])*tbl_task6[[%]:[%]])</f>
        <v/>
      </c>
      <c r="KO18" s="121" t="str">
        <f>IF(ISBLANK(tbl_task6[[คะแนนเต็ม]:[คะแนนเต็ม]]),"",(tbl_task6[131]/tbl_task6[[คะแนนเต็ม]:[คะแนนเต็ม]])*tbl_task6[[%]:[%]])</f>
        <v/>
      </c>
      <c r="KP18" s="121" t="str">
        <f>IF(ISBLANK(tbl_task6[[คะแนนเต็ม]:[คะแนนเต็ม]]),"",(tbl_task6[132]/tbl_task6[[คะแนนเต็ม]:[คะแนนเต็ม]])*tbl_task6[[%]:[%]])</f>
        <v/>
      </c>
      <c r="KQ18" s="121" t="str">
        <f>IF(ISBLANK(tbl_task6[[คะแนนเต็ม]:[คะแนนเต็ม]]),"",(tbl_task6[133]/tbl_task6[[คะแนนเต็ม]:[คะแนนเต็ม]])*tbl_task6[[%]:[%]])</f>
        <v/>
      </c>
      <c r="KR18" s="121" t="str">
        <f>IF(ISBLANK(tbl_task6[[คะแนนเต็ม]:[คะแนนเต็ม]]),"",(tbl_task6[134]/tbl_task6[[คะแนนเต็ม]:[คะแนนเต็ม]])*tbl_task6[[%]:[%]])</f>
        <v/>
      </c>
      <c r="KS18" s="121" t="str">
        <f>IF(ISBLANK(tbl_task6[[คะแนนเต็ม]:[คะแนนเต็ม]]),"",(tbl_task6[135]/tbl_task6[[คะแนนเต็ม]:[คะแนนเต็ม]])*tbl_task6[[%]:[%]])</f>
        <v/>
      </c>
      <c r="KT18" s="121" t="str">
        <f>IF(ISBLANK(tbl_task6[[คะแนนเต็ม]:[คะแนนเต็ม]]),"",(tbl_task6[136]/tbl_task6[[คะแนนเต็ม]:[คะแนนเต็ม]])*tbl_task6[[%]:[%]])</f>
        <v/>
      </c>
      <c r="KU18" s="121" t="str">
        <f>IF(ISBLANK(tbl_task6[[คะแนนเต็ม]:[คะแนนเต็ม]]),"",(tbl_task6[137]/tbl_task6[[คะแนนเต็ม]:[คะแนนเต็ม]])*tbl_task6[[%]:[%]])</f>
        <v/>
      </c>
      <c r="KV18" s="121" t="str">
        <f>IF(ISBLANK(tbl_task6[[คะแนนเต็ม]:[คะแนนเต็ม]]),"",(tbl_task6[138]/tbl_task6[[คะแนนเต็ม]:[คะแนนเต็ม]])*tbl_task6[[%]:[%]])</f>
        <v/>
      </c>
      <c r="KW18" s="121" t="str">
        <f>IF(ISBLANK(tbl_task6[[คะแนนเต็ม]:[คะแนนเต็ม]]),"",(tbl_task6[139]/tbl_task6[[คะแนนเต็ม]:[คะแนนเต็ม]])*tbl_task6[[%]:[%]])</f>
        <v/>
      </c>
      <c r="KX18" s="121" t="str">
        <f>IF(ISBLANK(tbl_task6[[คะแนนเต็ม]:[คะแนนเต็ม]]),"",(tbl_task6[140]/tbl_task6[[คะแนนเต็ม]:[คะแนนเต็ม]])*tbl_task6[[%]:[%]])</f>
        <v/>
      </c>
      <c r="KY18" s="121" t="str">
        <f>IF(ISBLANK(tbl_task6[[คะแนนเต็ม]:[คะแนนเต็ม]]),"",(tbl_task6[141]/tbl_task6[[คะแนนเต็ม]:[คะแนนเต็ม]])*tbl_task6[[%]:[%]])</f>
        <v/>
      </c>
      <c r="KZ18" s="121" t="str">
        <f>IF(ISBLANK(tbl_task6[[คะแนนเต็ม]:[คะแนนเต็ม]]),"",(tbl_task6[142]/tbl_task6[[คะแนนเต็ม]:[คะแนนเต็ม]])*tbl_task6[[%]:[%]])</f>
        <v/>
      </c>
      <c r="LA18" s="121" t="str">
        <f>IF(ISBLANK(tbl_task6[[คะแนนเต็ม]:[คะแนนเต็ม]]),"",(tbl_task6[143]/tbl_task6[[คะแนนเต็ม]:[คะแนนเต็ม]])*tbl_task6[[%]:[%]])</f>
        <v/>
      </c>
      <c r="LB18" s="121" t="str">
        <f>IF(ISBLANK(tbl_task6[[คะแนนเต็ม]:[คะแนนเต็ม]]),"",(tbl_task6[144]/tbl_task6[[คะแนนเต็ม]:[คะแนนเต็ม]])*tbl_task6[[%]:[%]])</f>
        <v/>
      </c>
      <c r="LC18" s="121" t="str">
        <f>IF(ISBLANK(tbl_task6[[คะแนนเต็ม]:[คะแนนเต็ม]]),"",(tbl_task6[145]/tbl_task6[[คะแนนเต็ม]:[คะแนนเต็ม]])*tbl_task6[[%]:[%]])</f>
        <v/>
      </c>
      <c r="LD18" s="121" t="str">
        <f>IF(ISBLANK(tbl_task6[[คะแนนเต็ม]:[คะแนนเต็ม]]),"",(tbl_task6[146]/tbl_task6[[คะแนนเต็ม]:[คะแนนเต็ม]])*tbl_task6[[%]:[%]])</f>
        <v/>
      </c>
      <c r="LE18" s="121" t="str">
        <f>IF(ISBLANK(tbl_task6[[คะแนนเต็ม]:[คะแนนเต็ม]]),"",(tbl_task6[147]/tbl_task6[[คะแนนเต็ม]:[คะแนนเต็ม]])*tbl_task6[[%]:[%]])</f>
        <v/>
      </c>
      <c r="LF18" s="121" t="str">
        <f>IF(ISBLANK(tbl_task6[[คะแนนเต็ม]:[คะแนนเต็ม]]),"",(tbl_task6[148]/tbl_task6[[คะแนนเต็ม]:[คะแนนเต็ม]])*tbl_task6[[%]:[%]])</f>
        <v/>
      </c>
      <c r="LG18" s="121" t="str">
        <f>IF(ISBLANK(tbl_task6[[คะแนนเต็ม]:[คะแนนเต็ม]]),"",(tbl_task6[149]/tbl_task6[[คะแนนเต็ม]:[คะแนนเต็ม]])*tbl_task6[[%]:[%]])</f>
        <v/>
      </c>
      <c r="LH18" s="121" t="str">
        <f>IF(ISBLANK(tbl_task6[[คะแนนเต็ม]:[คะแนนเต็ม]]),"",(tbl_task6[150]/tbl_task6[[คะแนนเต็ม]:[คะแนนเต็ม]])*tbl_task6[[%]:[%]])</f>
        <v/>
      </c>
      <c r="LI18" s="121" t="str">
        <f>IF(ISBLANK(tbl_task6[[คะแนนเต็ม]:[คะแนนเต็ม]]),"",(tbl_task6[151]/tbl_task6[[คะแนนเต็ม]:[คะแนนเต็ม]])*tbl_task6[[%]:[%]])</f>
        <v/>
      </c>
      <c r="LJ18" s="121" t="str">
        <f>IF(ISBLANK(tbl_task6[[คะแนนเต็ม]:[คะแนนเต็ม]]),"",(tbl_task6[152]/tbl_task6[[คะแนนเต็ม]:[คะแนนเต็ม]])*tbl_task6[[%]:[%]])</f>
        <v/>
      </c>
      <c r="LK18" s="121" t="str">
        <f>IF(ISBLANK(tbl_task6[[คะแนนเต็ม]:[คะแนนเต็ม]]),"",(tbl_task6[153]/tbl_task6[[คะแนนเต็ม]:[คะแนนเต็ม]])*tbl_task6[[%]:[%]])</f>
        <v/>
      </c>
      <c r="LL18" s="121" t="str">
        <f>IF(ISBLANK(tbl_task6[[คะแนนเต็ม]:[คะแนนเต็ม]]),"",(tbl_task6[154]/tbl_task6[[คะแนนเต็ม]:[คะแนนเต็ม]])*tbl_task6[[%]:[%]])</f>
        <v/>
      </c>
      <c r="LM18" s="121" t="str">
        <f>IF(ISBLANK(tbl_task6[[คะแนนเต็ม]:[คะแนนเต็ม]]),"",(tbl_task6[155]/tbl_task6[[คะแนนเต็ม]:[คะแนนเต็ม]])*tbl_task6[[%]:[%]])</f>
        <v/>
      </c>
      <c r="LN18" s="121" t="str">
        <f>IF(ISBLANK(tbl_task6[[คะแนนเต็ม]:[คะแนนเต็ม]]),"",(tbl_task6[156]/tbl_task6[[คะแนนเต็ม]:[คะแนนเต็ม]])*tbl_task6[[%]:[%]])</f>
        <v/>
      </c>
      <c r="LO18" s="121" t="str">
        <f>IF(ISBLANK(tbl_task6[[คะแนนเต็ม]:[คะแนนเต็ม]]),"",(tbl_task6[157]/tbl_task6[[คะแนนเต็ม]:[คะแนนเต็ม]])*tbl_task6[[%]:[%]])</f>
        <v/>
      </c>
      <c r="LP18" s="121" t="str">
        <f>IF(ISBLANK(tbl_task6[[คะแนนเต็ม]:[คะแนนเต็ม]]),"",(tbl_task6[158]/tbl_task6[[คะแนนเต็ม]:[คะแนนเต็ม]])*tbl_task6[[%]:[%]])</f>
        <v/>
      </c>
      <c r="LQ18" s="121" t="str">
        <f>IF(ISBLANK(tbl_task6[[คะแนนเต็ม]:[คะแนนเต็ม]]),"",(tbl_task6[159]/tbl_task6[[คะแนนเต็ม]:[คะแนนเต็ม]])*tbl_task6[[%]:[%]])</f>
        <v/>
      </c>
      <c r="LR18" s="121" t="str">
        <f>IF(ISBLANK(tbl_task6[[คะแนนเต็ม]:[คะแนนเต็ม]]),"",(tbl_task6[160]/tbl_task6[[คะแนนเต็ม]:[คะแนนเต็ม]])*tbl_task6[[%]:[%]])</f>
        <v/>
      </c>
      <c r="LS18" s="121" t="str">
        <f>IF(ISBLANK(tbl_task6[[คะแนนเต็ม]:[คะแนนเต็ม]]),"",(tbl_task6[161]/tbl_task6[[คะแนนเต็ม]:[คะแนนเต็ม]])*tbl_task6[[%]:[%]])</f>
        <v/>
      </c>
      <c r="LT18" s="121" t="str">
        <f>IF(ISBLANK(tbl_task6[[คะแนนเต็ม]:[คะแนนเต็ม]]),"",(tbl_task6[162]/tbl_task6[[คะแนนเต็ม]:[คะแนนเต็ม]])*tbl_task6[[%]:[%]])</f>
        <v/>
      </c>
      <c r="LU18" s="121" t="str">
        <f>IF(ISBLANK(tbl_task6[[คะแนนเต็ม]:[คะแนนเต็ม]]),"",(tbl_task6[163]/tbl_task6[[คะแนนเต็ม]:[คะแนนเต็ม]])*tbl_task6[[%]:[%]])</f>
        <v/>
      </c>
      <c r="LV18" s="121" t="str">
        <f>IF(ISBLANK(tbl_task6[[คะแนนเต็ม]:[คะแนนเต็ม]]),"",(tbl_task6[164]/tbl_task6[[คะแนนเต็ม]:[คะแนนเต็ม]])*tbl_task6[[%]:[%]])</f>
        <v/>
      </c>
      <c r="LW18" s="121" t="str">
        <f>IF(ISBLANK(tbl_task6[[คะแนนเต็ม]:[คะแนนเต็ม]]),"",(tbl_task6[165]/tbl_task6[[คะแนนเต็ม]:[คะแนนเต็ม]])*tbl_task6[[%]:[%]])</f>
        <v/>
      </c>
    </row>
    <row r="19" spans="1:335" ht="24" customHeight="1" x14ac:dyDescent="0.25">
      <c r="A19" s="24">
        <v>16</v>
      </c>
      <c r="B19" s="20"/>
      <c r="C19" s="5" t="str">
        <f>IF(ISBLANK(B19),"",VLOOKUP(B19,tbl_PLOs[],2,0))</f>
        <v/>
      </c>
      <c r="D19" s="102"/>
      <c r="E19" s="106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121" t="str">
        <f>IF(ISBLANK(tbl_task6[[คะแนนเต็ม]:[คะแนนเต็ม]]),"",(tbl_task6[1]/tbl_task6[[คะแนนเต็ม]:[คะแนนเต็ม]])*tbl_task6[[%]:[%]])</f>
        <v/>
      </c>
      <c r="FP19" s="121" t="str">
        <f>IF(ISBLANK(tbl_task6[[คะแนนเต็ม]:[คะแนนเต็ม]]),"",(tbl_task6[2]/tbl_task6[[คะแนนเต็ม]:[คะแนนเต็ม]])*tbl_task6[[%]:[%]])</f>
        <v/>
      </c>
      <c r="FQ19" s="121" t="str">
        <f>IF(ISBLANK(tbl_task6[[คะแนนเต็ม]:[คะแนนเต็ม]]),"",(tbl_task6[3]/tbl_task6[[คะแนนเต็ม]:[คะแนนเต็ม]])*tbl_task6[[%]:[%]])</f>
        <v/>
      </c>
      <c r="FR19" s="121" t="str">
        <f>IF(ISBLANK(tbl_task6[[คะแนนเต็ม]:[คะแนนเต็ม]]),"",(tbl_task6[4]/tbl_task6[[คะแนนเต็ม]:[คะแนนเต็ม]])*tbl_task6[[%]:[%]])</f>
        <v/>
      </c>
      <c r="FS19" s="121" t="str">
        <f>IF(ISBLANK(tbl_task6[[คะแนนเต็ม]:[คะแนนเต็ม]]),"",(tbl_task6[5]/tbl_task6[[คะแนนเต็ม]:[คะแนนเต็ม]])*tbl_task6[[%]:[%]])</f>
        <v/>
      </c>
      <c r="FT19" s="121" t="str">
        <f>IF(ISBLANK(tbl_task6[[คะแนนเต็ม]:[คะแนนเต็ม]]),"",(tbl_task6[6]/tbl_task6[[คะแนนเต็ม]:[คะแนนเต็ม]])*tbl_task6[[%]:[%]])</f>
        <v/>
      </c>
      <c r="FU19" s="121" t="str">
        <f>IF(ISBLANK(tbl_task6[[คะแนนเต็ม]:[คะแนนเต็ม]]),"",(tbl_task6[7]/tbl_task6[[คะแนนเต็ม]:[คะแนนเต็ม]])*tbl_task6[[%]:[%]])</f>
        <v/>
      </c>
      <c r="FV19" s="121" t="str">
        <f>IF(ISBLANK(tbl_task6[[คะแนนเต็ม]:[คะแนนเต็ม]]),"",(tbl_task6[8]/tbl_task6[[คะแนนเต็ม]:[คะแนนเต็ม]])*tbl_task6[[%]:[%]])</f>
        <v/>
      </c>
      <c r="FW19" s="121" t="str">
        <f>IF(ISBLANK(tbl_task6[[คะแนนเต็ม]:[คะแนนเต็ม]]),"",(tbl_task6[9]/tbl_task6[[คะแนนเต็ม]:[คะแนนเต็ม]])*tbl_task6[[%]:[%]])</f>
        <v/>
      </c>
      <c r="FX19" s="121" t="str">
        <f>IF(ISBLANK(tbl_task6[[คะแนนเต็ม]:[คะแนนเต็ม]]),"",(tbl_task6[10]/tbl_task6[[คะแนนเต็ม]:[คะแนนเต็ม]])*tbl_task6[[%]:[%]])</f>
        <v/>
      </c>
      <c r="FY19" s="121" t="str">
        <f>IF(ISBLANK(tbl_task6[[คะแนนเต็ม]:[คะแนนเต็ม]]),"",(tbl_task6[11]/tbl_task6[[คะแนนเต็ม]:[คะแนนเต็ม]])*tbl_task6[[%]:[%]])</f>
        <v/>
      </c>
      <c r="FZ19" s="121" t="str">
        <f>IF(ISBLANK(tbl_task6[[คะแนนเต็ม]:[คะแนนเต็ม]]),"",(tbl_task6[12]/tbl_task6[[คะแนนเต็ม]:[คะแนนเต็ม]])*tbl_task6[[%]:[%]])</f>
        <v/>
      </c>
      <c r="GA19" s="121" t="str">
        <f>IF(ISBLANK(tbl_task6[[คะแนนเต็ม]:[คะแนนเต็ม]]),"",(tbl_task6[13]/tbl_task6[[คะแนนเต็ม]:[คะแนนเต็ม]])*tbl_task6[[%]:[%]])</f>
        <v/>
      </c>
      <c r="GB19" s="121" t="str">
        <f>IF(ISBLANK(tbl_task6[[คะแนนเต็ม]:[คะแนนเต็ม]]),"",(tbl_task6[14]/tbl_task6[[คะแนนเต็ม]:[คะแนนเต็ม]])*tbl_task6[[%]:[%]])</f>
        <v/>
      </c>
      <c r="GC19" s="121" t="str">
        <f>IF(ISBLANK(tbl_task6[[คะแนนเต็ม]:[คะแนนเต็ม]]),"",(tbl_task6[15]/tbl_task6[[คะแนนเต็ม]:[คะแนนเต็ม]])*tbl_task6[[%]:[%]])</f>
        <v/>
      </c>
      <c r="GD19" s="121" t="str">
        <f>IF(ISBLANK(tbl_task6[[คะแนนเต็ม]:[คะแนนเต็ม]]),"",(tbl_task6[16]/tbl_task6[[คะแนนเต็ม]:[คะแนนเต็ม]])*tbl_task6[[%]:[%]])</f>
        <v/>
      </c>
      <c r="GE19" s="121" t="str">
        <f>IF(ISBLANK(tbl_task6[[คะแนนเต็ม]:[คะแนนเต็ม]]),"",(tbl_task6[17]/tbl_task6[[คะแนนเต็ม]:[คะแนนเต็ม]])*tbl_task6[[%]:[%]])</f>
        <v/>
      </c>
      <c r="GF19" s="121" t="str">
        <f>IF(ISBLANK(tbl_task6[[คะแนนเต็ม]:[คะแนนเต็ม]]),"",(tbl_task6[18]/tbl_task6[[คะแนนเต็ม]:[คะแนนเต็ม]])*tbl_task6[[%]:[%]])</f>
        <v/>
      </c>
      <c r="GG19" s="121" t="str">
        <f>IF(ISBLANK(tbl_task6[[คะแนนเต็ม]:[คะแนนเต็ม]]),"",(tbl_task6[19]/tbl_task6[[คะแนนเต็ม]:[คะแนนเต็ม]])*tbl_task6[[%]:[%]])</f>
        <v/>
      </c>
      <c r="GH19" s="121" t="str">
        <f>IF(ISBLANK(tbl_task6[[คะแนนเต็ม]:[คะแนนเต็ม]]),"",(tbl_task6[20]/tbl_task6[[คะแนนเต็ม]:[คะแนนเต็ม]])*tbl_task6[[%]:[%]])</f>
        <v/>
      </c>
      <c r="GI19" s="121" t="str">
        <f>IF(ISBLANK(tbl_task6[[คะแนนเต็ม]:[คะแนนเต็ม]]),"",(tbl_task6[21]/tbl_task6[[คะแนนเต็ม]:[คะแนนเต็ม]])*tbl_task6[[%]:[%]])</f>
        <v/>
      </c>
      <c r="GJ19" s="121" t="str">
        <f>IF(ISBLANK(tbl_task6[[คะแนนเต็ม]:[คะแนนเต็ม]]),"",(tbl_task6[22]/tbl_task6[[คะแนนเต็ม]:[คะแนนเต็ม]])*tbl_task6[[%]:[%]])</f>
        <v/>
      </c>
      <c r="GK19" s="121" t="str">
        <f>IF(ISBLANK(tbl_task6[[คะแนนเต็ม]:[คะแนนเต็ม]]),"",(tbl_task6[23]/tbl_task6[[คะแนนเต็ม]:[คะแนนเต็ม]])*tbl_task6[[%]:[%]])</f>
        <v/>
      </c>
      <c r="GL19" s="121" t="str">
        <f>IF(ISBLANK(tbl_task6[[คะแนนเต็ม]:[คะแนนเต็ม]]),"",(tbl_task6[24]/tbl_task6[[คะแนนเต็ม]:[คะแนนเต็ม]])*tbl_task6[[%]:[%]])</f>
        <v/>
      </c>
      <c r="GM19" s="121" t="str">
        <f>IF(ISBLANK(tbl_task6[[คะแนนเต็ม]:[คะแนนเต็ม]]),"",(tbl_task6[25]/tbl_task6[[คะแนนเต็ม]:[คะแนนเต็ม]])*tbl_task6[[%]:[%]])</f>
        <v/>
      </c>
      <c r="GN19" s="121" t="str">
        <f>IF(ISBLANK(tbl_task6[[คะแนนเต็ม]:[คะแนนเต็ม]]),"",(tbl_task6[26]/tbl_task6[[คะแนนเต็ม]:[คะแนนเต็ม]])*tbl_task6[[%]:[%]])</f>
        <v/>
      </c>
      <c r="GO19" s="121" t="str">
        <f>IF(ISBLANK(tbl_task6[[คะแนนเต็ม]:[คะแนนเต็ม]]),"",(tbl_task6[27]/tbl_task6[[คะแนนเต็ม]:[คะแนนเต็ม]])*tbl_task6[[%]:[%]])</f>
        <v/>
      </c>
      <c r="GP19" s="121" t="str">
        <f>IF(ISBLANK(tbl_task6[[คะแนนเต็ม]:[คะแนนเต็ม]]),"",(tbl_task6[28]/tbl_task6[[คะแนนเต็ม]:[คะแนนเต็ม]])*tbl_task6[[%]:[%]])</f>
        <v/>
      </c>
      <c r="GQ19" s="121" t="str">
        <f>IF(ISBLANK(tbl_task6[[คะแนนเต็ม]:[คะแนนเต็ม]]),"",(tbl_task6[29]/tbl_task6[[คะแนนเต็ม]:[คะแนนเต็ม]])*tbl_task6[[%]:[%]])</f>
        <v/>
      </c>
      <c r="GR19" s="121" t="str">
        <f>IF(ISBLANK(tbl_task6[[คะแนนเต็ม]:[คะแนนเต็ม]]),"",(tbl_task6[30]/tbl_task6[[คะแนนเต็ม]:[คะแนนเต็ม]])*tbl_task6[[%]:[%]])</f>
        <v/>
      </c>
      <c r="GS19" s="121" t="str">
        <f>IF(ISBLANK(tbl_task6[[คะแนนเต็ม]:[คะแนนเต็ม]]),"",(tbl_task6[31]/tbl_task6[[คะแนนเต็ม]:[คะแนนเต็ม]])*tbl_task6[[%]:[%]])</f>
        <v/>
      </c>
      <c r="GT19" s="121" t="str">
        <f>IF(ISBLANK(tbl_task6[[คะแนนเต็ม]:[คะแนนเต็ม]]),"",(tbl_task6[32]/tbl_task6[[คะแนนเต็ม]:[คะแนนเต็ม]])*tbl_task6[[%]:[%]])</f>
        <v/>
      </c>
      <c r="GU19" s="121" t="str">
        <f>IF(ISBLANK(tbl_task6[[คะแนนเต็ม]:[คะแนนเต็ม]]),"",(tbl_task6[33]/tbl_task6[[คะแนนเต็ม]:[คะแนนเต็ม]])*tbl_task6[[%]:[%]])</f>
        <v/>
      </c>
      <c r="GV19" s="121" t="str">
        <f>IF(ISBLANK(tbl_task6[[คะแนนเต็ม]:[คะแนนเต็ม]]),"",(tbl_task6[34]/tbl_task6[[คะแนนเต็ม]:[คะแนนเต็ม]])*tbl_task6[[%]:[%]])</f>
        <v/>
      </c>
      <c r="GW19" s="121" t="str">
        <f>IF(ISBLANK(tbl_task6[[คะแนนเต็ม]:[คะแนนเต็ม]]),"",(tbl_task6[35]/tbl_task6[[คะแนนเต็ม]:[คะแนนเต็ม]])*tbl_task6[[%]:[%]])</f>
        <v/>
      </c>
      <c r="GX19" s="121" t="str">
        <f>IF(ISBLANK(tbl_task6[[คะแนนเต็ม]:[คะแนนเต็ม]]),"",(tbl_task6[36]/tbl_task6[[คะแนนเต็ม]:[คะแนนเต็ม]])*tbl_task6[[%]:[%]])</f>
        <v/>
      </c>
      <c r="GY19" s="121" t="str">
        <f>IF(ISBLANK(tbl_task6[[คะแนนเต็ม]:[คะแนนเต็ม]]),"",(tbl_task6[37]/tbl_task6[[คะแนนเต็ม]:[คะแนนเต็ม]])*tbl_task6[[%]:[%]])</f>
        <v/>
      </c>
      <c r="GZ19" s="121" t="str">
        <f>IF(ISBLANK(tbl_task6[[คะแนนเต็ม]:[คะแนนเต็ม]]),"",(tbl_task6[38]/tbl_task6[[คะแนนเต็ม]:[คะแนนเต็ม]])*tbl_task6[[%]:[%]])</f>
        <v/>
      </c>
      <c r="HA19" s="121" t="str">
        <f>IF(ISBLANK(tbl_task6[[คะแนนเต็ม]:[คะแนนเต็ม]]),"",(tbl_task6[39]/tbl_task6[[คะแนนเต็ม]:[คะแนนเต็ม]])*tbl_task6[[%]:[%]])</f>
        <v/>
      </c>
      <c r="HB19" s="121" t="str">
        <f>IF(ISBLANK(tbl_task6[[คะแนนเต็ม]:[คะแนนเต็ม]]),"",(tbl_task6[40]/tbl_task6[[คะแนนเต็ม]:[คะแนนเต็ม]])*tbl_task6[[%]:[%]])</f>
        <v/>
      </c>
      <c r="HC19" s="121" t="str">
        <f>IF(ISBLANK(tbl_task6[[คะแนนเต็ม]:[คะแนนเต็ม]]),"",(tbl_task6[41]/tbl_task6[[คะแนนเต็ม]:[คะแนนเต็ม]])*tbl_task6[[%]:[%]])</f>
        <v/>
      </c>
      <c r="HD19" s="121" t="str">
        <f>IF(ISBLANK(tbl_task6[[คะแนนเต็ม]:[คะแนนเต็ม]]),"",(tbl_task6[42]/tbl_task6[[คะแนนเต็ม]:[คะแนนเต็ม]])*tbl_task6[[%]:[%]])</f>
        <v/>
      </c>
      <c r="HE19" s="121" t="str">
        <f>IF(ISBLANK(tbl_task6[[คะแนนเต็ม]:[คะแนนเต็ม]]),"",(tbl_task6[43]/tbl_task6[[คะแนนเต็ม]:[คะแนนเต็ม]])*tbl_task6[[%]:[%]])</f>
        <v/>
      </c>
      <c r="HF19" s="121" t="str">
        <f>IF(ISBLANK(tbl_task6[[คะแนนเต็ม]:[คะแนนเต็ม]]),"",(tbl_task6[44]/tbl_task6[[คะแนนเต็ม]:[คะแนนเต็ม]])*tbl_task6[[%]:[%]])</f>
        <v/>
      </c>
      <c r="HG19" s="121" t="str">
        <f>IF(ISBLANK(tbl_task6[[คะแนนเต็ม]:[คะแนนเต็ม]]),"",(tbl_task6[45]/tbl_task6[[คะแนนเต็ม]:[คะแนนเต็ม]])*tbl_task6[[%]:[%]])</f>
        <v/>
      </c>
      <c r="HH19" s="121" t="str">
        <f>IF(ISBLANK(tbl_task6[[คะแนนเต็ม]:[คะแนนเต็ม]]),"",(tbl_task6[46]/tbl_task6[[คะแนนเต็ม]:[คะแนนเต็ม]])*tbl_task6[[%]:[%]])</f>
        <v/>
      </c>
      <c r="HI19" s="121" t="str">
        <f>IF(ISBLANK(tbl_task6[[คะแนนเต็ม]:[คะแนนเต็ม]]),"",(tbl_task6[47]/tbl_task6[[คะแนนเต็ม]:[คะแนนเต็ม]])*tbl_task6[[%]:[%]])</f>
        <v/>
      </c>
      <c r="HJ19" s="121" t="str">
        <f>IF(ISBLANK(tbl_task6[[คะแนนเต็ม]:[คะแนนเต็ม]]),"",(tbl_task6[48]/tbl_task6[[คะแนนเต็ม]:[คะแนนเต็ม]])*tbl_task6[[%]:[%]])</f>
        <v/>
      </c>
      <c r="HK19" s="121" t="str">
        <f>IF(ISBLANK(tbl_task6[[คะแนนเต็ม]:[คะแนนเต็ม]]),"",(tbl_task6[49]/tbl_task6[[คะแนนเต็ม]:[คะแนนเต็ม]])*tbl_task6[[%]:[%]])</f>
        <v/>
      </c>
      <c r="HL19" s="121" t="str">
        <f>IF(ISBLANK(tbl_task6[[คะแนนเต็ม]:[คะแนนเต็ม]]),"",(tbl_task6[50]/tbl_task6[[คะแนนเต็ม]:[คะแนนเต็ม]])*tbl_task6[[%]:[%]])</f>
        <v/>
      </c>
      <c r="HM19" s="121" t="str">
        <f>IF(ISBLANK(tbl_task6[[คะแนนเต็ม]:[คะแนนเต็ม]]),"",(tbl_task6[51]/tbl_task6[[คะแนนเต็ม]:[คะแนนเต็ม]])*tbl_task6[[%]:[%]])</f>
        <v/>
      </c>
      <c r="HN19" s="121" t="str">
        <f>IF(ISBLANK(tbl_task6[[คะแนนเต็ม]:[คะแนนเต็ม]]),"",(tbl_task6[52]/tbl_task6[[คะแนนเต็ม]:[คะแนนเต็ม]])*tbl_task6[[%]:[%]])</f>
        <v/>
      </c>
      <c r="HO19" s="121" t="str">
        <f>IF(ISBLANK(tbl_task6[[คะแนนเต็ม]:[คะแนนเต็ม]]),"",(tbl_task6[53]/tbl_task6[[คะแนนเต็ม]:[คะแนนเต็ม]])*tbl_task6[[%]:[%]])</f>
        <v/>
      </c>
      <c r="HP19" s="121" t="str">
        <f>IF(ISBLANK(tbl_task6[[คะแนนเต็ม]:[คะแนนเต็ม]]),"",(tbl_task6[54]/tbl_task6[[คะแนนเต็ม]:[คะแนนเต็ม]])*tbl_task6[[%]:[%]])</f>
        <v/>
      </c>
      <c r="HQ19" s="121" t="str">
        <f>IF(ISBLANK(tbl_task6[[คะแนนเต็ม]:[คะแนนเต็ม]]),"",(tbl_task6[55]/tbl_task6[[คะแนนเต็ม]:[คะแนนเต็ม]])*tbl_task6[[%]:[%]])</f>
        <v/>
      </c>
      <c r="HR19" s="121" t="str">
        <f>IF(ISBLANK(tbl_task6[[คะแนนเต็ม]:[คะแนนเต็ม]]),"",(tbl_task6[56]/tbl_task6[[คะแนนเต็ม]:[คะแนนเต็ม]])*tbl_task6[[%]:[%]])</f>
        <v/>
      </c>
      <c r="HS19" s="121" t="str">
        <f>IF(ISBLANK(tbl_task6[[คะแนนเต็ม]:[คะแนนเต็ม]]),"",(tbl_task6[57]/tbl_task6[[คะแนนเต็ม]:[คะแนนเต็ม]])*tbl_task6[[%]:[%]])</f>
        <v/>
      </c>
      <c r="HT19" s="121" t="str">
        <f>IF(ISBLANK(tbl_task6[[คะแนนเต็ม]:[คะแนนเต็ม]]),"",(tbl_task6[58]/tbl_task6[[คะแนนเต็ม]:[คะแนนเต็ม]])*tbl_task6[[%]:[%]])</f>
        <v/>
      </c>
      <c r="HU19" s="121" t="str">
        <f>IF(ISBLANK(tbl_task6[[คะแนนเต็ม]:[คะแนนเต็ม]]),"",(tbl_task6[59]/tbl_task6[[คะแนนเต็ม]:[คะแนนเต็ม]])*tbl_task6[[%]:[%]])</f>
        <v/>
      </c>
      <c r="HV19" s="121" t="str">
        <f>IF(ISBLANK(tbl_task6[[คะแนนเต็ม]:[คะแนนเต็ม]]),"",(tbl_task6[60]/tbl_task6[[คะแนนเต็ม]:[คะแนนเต็ม]])*tbl_task6[[%]:[%]])</f>
        <v/>
      </c>
      <c r="HW19" s="121" t="str">
        <f>IF(ISBLANK(tbl_task6[[คะแนนเต็ม]:[คะแนนเต็ม]]),"",(tbl_task6[61]/tbl_task6[[คะแนนเต็ม]:[คะแนนเต็ม]])*tbl_task6[[%]:[%]])</f>
        <v/>
      </c>
      <c r="HX19" s="121" t="str">
        <f>IF(ISBLANK(tbl_task6[[คะแนนเต็ม]:[คะแนนเต็ม]]),"",(tbl_task6[62]/tbl_task6[[คะแนนเต็ม]:[คะแนนเต็ม]])*tbl_task6[[%]:[%]])</f>
        <v/>
      </c>
      <c r="HY19" s="121" t="str">
        <f>IF(ISBLANK(tbl_task6[[คะแนนเต็ม]:[คะแนนเต็ม]]),"",(tbl_task6[63]/tbl_task6[[คะแนนเต็ม]:[คะแนนเต็ม]])*tbl_task6[[%]:[%]])</f>
        <v/>
      </c>
      <c r="HZ19" s="121" t="str">
        <f>IF(ISBLANK(tbl_task6[[คะแนนเต็ม]:[คะแนนเต็ม]]),"",(tbl_task6[64]/tbl_task6[[คะแนนเต็ม]:[คะแนนเต็ม]])*tbl_task6[[%]:[%]])</f>
        <v/>
      </c>
      <c r="IA19" s="121" t="str">
        <f>IF(ISBLANK(tbl_task6[[คะแนนเต็ม]:[คะแนนเต็ม]]),"",(tbl_task6[65]/tbl_task6[[คะแนนเต็ม]:[คะแนนเต็ม]])*tbl_task6[[%]:[%]])</f>
        <v/>
      </c>
      <c r="IB19" s="121" t="str">
        <f>IF(ISBLANK(tbl_task6[[คะแนนเต็ม]:[คะแนนเต็ม]]),"",(tbl_task6[66]/tbl_task6[[คะแนนเต็ม]:[คะแนนเต็ม]])*tbl_task6[[%]:[%]])</f>
        <v/>
      </c>
      <c r="IC19" s="121" t="str">
        <f>IF(ISBLANK(tbl_task6[[คะแนนเต็ม]:[คะแนนเต็ม]]),"",(tbl_task6[67]/tbl_task6[[คะแนนเต็ม]:[คะแนนเต็ม]])*tbl_task6[[%]:[%]])</f>
        <v/>
      </c>
      <c r="ID19" s="121" t="str">
        <f>IF(ISBLANK(tbl_task6[[คะแนนเต็ม]:[คะแนนเต็ม]]),"",(tbl_task6[68]/tbl_task6[[คะแนนเต็ม]:[คะแนนเต็ม]])*tbl_task6[[%]:[%]])</f>
        <v/>
      </c>
      <c r="IE19" s="121" t="str">
        <f>IF(ISBLANK(tbl_task6[[คะแนนเต็ม]:[คะแนนเต็ม]]),"",(tbl_task6[69]/tbl_task6[[คะแนนเต็ม]:[คะแนนเต็ม]])*tbl_task6[[%]:[%]])</f>
        <v/>
      </c>
      <c r="IF19" s="121" t="str">
        <f>IF(ISBLANK(tbl_task6[[คะแนนเต็ม]:[คะแนนเต็ม]]),"",(tbl_task6[70]/tbl_task6[[คะแนนเต็ม]:[คะแนนเต็ม]])*tbl_task6[[%]:[%]])</f>
        <v/>
      </c>
      <c r="IG19" s="121" t="str">
        <f>IF(ISBLANK(tbl_task6[[คะแนนเต็ม]:[คะแนนเต็ม]]),"",(tbl_task6[71]/tbl_task6[[คะแนนเต็ม]:[คะแนนเต็ม]])*tbl_task6[[%]:[%]])</f>
        <v/>
      </c>
      <c r="IH19" s="121" t="str">
        <f>IF(ISBLANK(tbl_task6[[คะแนนเต็ม]:[คะแนนเต็ม]]),"",(tbl_task6[72]/tbl_task6[[คะแนนเต็ม]:[คะแนนเต็ม]])*tbl_task6[[%]:[%]])</f>
        <v/>
      </c>
      <c r="II19" s="121" t="str">
        <f>IF(ISBLANK(tbl_task6[[คะแนนเต็ม]:[คะแนนเต็ม]]),"",(tbl_task6[73]/tbl_task6[[คะแนนเต็ม]:[คะแนนเต็ม]])*tbl_task6[[%]:[%]])</f>
        <v/>
      </c>
      <c r="IJ19" s="121" t="str">
        <f>IF(ISBLANK(tbl_task6[[คะแนนเต็ม]:[คะแนนเต็ม]]),"",(tbl_task6[74]/tbl_task6[[คะแนนเต็ม]:[คะแนนเต็ม]])*tbl_task6[[%]:[%]])</f>
        <v/>
      </c>
      <c r="IK19" s="121" t="str">
        <f>IF(ISBLANK(tbl_task6[[คะแนนเต็ม]:[คะแนนเต็ม]]),"",(tbl_task6[75]/tbl_task6[[คะแนนเต็ม]:[คะแนนเต็ม]])*tbl_task6[[%]:[%]])</f>
        <v/>
      </c>
      <c r="IL19" s="121" t="str">
        <f>IF(ISBLANK(tbl_task6[[คะแนนเต็ม]:[คะแนนเต็ม]]),"",(tbl_task6[76]/tbl_task6[[คะแนนเต็ม]:[คะแนนเต็ม]])*tbl_task6[[%]:[%]])</f>
        <v/>
      </c>
      <c r="IM19" s="121" t="str">
        <f>IF(ISBLANK(tbl_task6[[คะแนนเต็ม]:[คะแนนเต็ม]]),"",(tbl_task6[77]/tbl_task6[[คะแนนเต็ม]:[คะแนนเต็ม]])*tbl_task6[[%]:[%]])</f>
        <v/>
      </c>
      <c r="IN19" s="121" t="str">
        <f>IF(ISBLANK(tbl_task6[[คะแนนเต็ม]:[คะแนนเต็ม]]),"",(tbl_task6[78]/tbl_task6[[คะแนนเต็ม]:[คะแนนเต็ม]])*tbl_task6[[%]:[%]])</f>
        <v/>
      </c>
      <c r="IO19" s="121" t="str">
        <f>IF(ISBLANK(tbl_task6[[คะแนนเต็ม]:[คะแนนเต็ม]]),"",(tbl_task6[79]/tbl_task6[[คะแนนเต็ม]:[คะแนนเต็ม]])*tbl_task6[[%]:[%]])</f>
        <v/>
      </c>
      <c r="IP19" s="121" t="str">
        <f>IF(ISBLANK(tbl_task6[[คะแนนเต็ม]:[คะแนนเต็ม]]),"",(tbl_task6[80]/tbl_task6[[คะแนนเต็ม]:[คะแนนเต็ม]])*tbl_task6[[%]:[%]])</f>
        <v/>
      </c>
      <c r="IQ19" s="121" t="str">
        <f>IF(ISBLANK(tbl_task6[[คะแนนเต็ม]:[คะแนนเต็ม]]),"",(tbl_task6[81]/tbl_task6[[คะแนนเต็ม]:[คะแนนเต็ม]])*tbl_task6[[%]:[%]])</f>
        <v/>
      </c>
      <c r="IR19" s="121" t="str">
        <f>IF(ISBLANK(tbl_task6[[คะแนนเต็ม]:[คะแนนเต็ม]]),"",(tbl_task6[82]/tbl_task6[[คะแนนเต็ม]:[คะแนนเต็ม]])*tbl_task6[[%]:[%]])</f>
        <v/>
      </c>
      <c r="IS19" s="121" t="str">
        <f>IF(ISBLANK(tbl_task6[[คะแนนเต็ม]:[คะแนนเต็ม]]),"",(tbl_task6[83]/tbl_task6[[คะแนนเต็ม]:[คะแนนเต็ม]])*tbl_task6[[%]:[%]])</f>
        <v/>
      </c>
      <c r="IT19" s="121" t="str">
        <f>IF(ISBLANK(tbl_task6[[คะแนนเต็ม]:[คะแนนเต็ม]]),"",(tbl_task6[84]/tbl_task6[[คะแนนเต็ม]:[คะแนนเต็ม]])*tbl_task6[[%]:[%]])</f>
        <v/>
      </c>
      <c r="IU19" s="121" t="str">
        <f>IF(ISBLANK(tbl_task6[[คะแนนเต็ม]:[คะแนนเต็ม]]),"",(tbl_task6[85]/tbl_task6[[คะแนนเต็ม]:[คะแนนเต็ม]])*tbl_task6[[%]:[%]])</f>
        <v/>
      </c>
      <c r="IV19" s="121" t="str">
        <f>IF(ISBLANK(tbl_task6[[คะแนนเต็ม]:[คะแนนเต็ม]]),"",(tbl_task6[86]/tbl_task6[[คะแนนเต็ม]:[คะแนนเต็ม]])*tbl_task6[[%]:[%]])</f>
        <v/>
      </c>
      <c r="IW19" s="121" t="str">
        <f>IF(ISBLANK(tbl_task6[[คะแนนเต็ม]:[คะแนนเต็ม]]),"",(tbl_task6[87]/tbl_task6[[คะแนนเต็ม]:[คะแนนเต็ม]])*tbl_task6[[%]:[%]])</f>
        <v/>
      </c>
      <c r="IX19" s="121" t="str">
        <f>IF(ISBLANK(tbl_task6[[คะแนนเต็ม]:[คะแนนเต็ม]]),"",(tbl_task6[88]/tbl_task6[[คะแนนเต็ม]:[คะแนนเต็ม]])*tbl_task6[[%]:[%]])</f>
        <v/>
      </c>
      <c r="IY19" s="121" t="str">
        <f>IF(ISBLANK(tbl_task6[[คะแนนเต็ม]:[คะแนนเต็ม]]),"",(tbl_task6[89]/tbl_task6[[คะแนนเต็ม]:[คะแนนเต็ม]])*tbl_task6[[%]:[%]])</f>
        <v/>
      </c>
      <c r="IZ19" s="121" t="str">
        <f>IF(ISBLANK(tbl_task6[[คะแนนเต็ม]:[คะแนนเต็ม]]),"",(tbl_task6[90]/tbl_task6[[คะแนนเต็ม]:[คะแนนเต็ม]])*tbl_task6[[%]:[%]])</f>
        <v/>
      </c>
      <c r="JA19" s="121" t="str">
        <f>IF(ISBLANK(tbl_task6[[คะแนนเต็ม]:[คะแนนเต็ม]]),"",(tbl_task6[91]/tbl_task6[[คะแนนเต็ม]:[คะแนนเต็ม]])*tbl_task6[[%]:[%]])</f>
        <v/>
      </c>
      <c r="JB19" s="121" t="str">
        <f>IF(ISBLANK(tbl_task6[[คะแนนเต็ม]:[คะแนนเต็ม]]),"",(tbl_task6[92]/tbl_task6[[คะแนนเต็ม]:[คะแนนเต็ม]])*tbl_task6[[%]:[%]])</f>
        <v/>
      </c>
      <c r="JC19" s="121" t="str">
        <f>IF(ISBLANK(tbl_task6[[คะแนนเต็ม]:[คะแนนเต็ม]]),"",(tbl_task6[93]/tbl_task6[[คะแนนเต็ม]:[คะแนนเต็ม]])*tbl_task6[[%]:[%]])</f>
        <v/>
      </c>
      <c r="JD19" s="121" t="str">
        <f>IF(ISBLANK(tbl_task6[[คะแนนเต็ม]:[คะแนนเต็ม]]),"",(tbl_task6[94]/tbl_task6[[คะแนนเต็ม]:[คะแนนเต็ม]])*tbl_task6[[%]:[%]])</f>
        <v/>
      </c>
      <c r="JE19" s="121" t="str">
        <f>IF(ISBLANK(tbl_task6[[คะแนนเต็ม]:[คะแนนเต็ม]]),"",(tbl_task6[95]/tbl_task6[[คะแนนเต็ม]:[คะแนนเต็ม]])*tbl_task6[[%]:[%]])</f>
        <v/>
      </c>
      <c r="JF19" s="121" t="str">
        <f>IF(ISBLANK(tbl_task6[[คะแนนเต็ม]:[คะแนนเต็ม]]),"",(tbl_task6[96]/tbl_task6[[คะแนนเต็ม]:[คะแนนเต็ม]])*tbl_task6[[%]:[%]])</f>
        <v/>
      </c>
      <c r="JG19" s="121" t="str">
        <f>IF(ISBLANK(tbl_task6[[คะแนนเต็ม]:[คะแนนเต็ม]]),"",(tbl_task6[97]/tbl_task6[[คะแนนเต็ม]:[คะแนนเต็ม]])*tbl_task6[[%]:[%]])</f>
        <v/>
      </c>
      <c r="JH19" s="121" t="str">
        <f>IF(ISBLANK(tbl_task6[[คะแนนเต็ม]:[คะแนนเต็ม]]),"",(tbl_task6[98]/tbl_task6[[คะแนนเต็ม]:[คะแนนเต็ม]])*tbl_task6[[%]:[%]])</f>
        <v/>
      </c>
      <c r="JI19" s="121" t="str">
        <f>IF(ISBLANK(tbl_task6[[คะแนนเต็ม]:[คะแนนเต็ม]]),"",(tbl_task6[99]/tbl_task6[[คะแนนเต็ม]:[คะแนนเต็ม]])*tbl_task6[[%]:[%]])</f>
        <v/>
      </c>
      <c r="JJ19" s="121" t="str">
        <f>IF(ISBLANK(tbl_task6[[คะแนนเต็ม]:[คะแนนเต็ม]]),"",(tbl_task6[100]/tbl_task6[[คะแนนเต็ม]:[คะแนนเต็ม]])*tbl_task6[[%]:[%]])</f>
        <v/>
      </c>
      <c r="JK19" s="121" t="str">
        <f>IF(ISBLANK(tbl_task6[[คะแนนเต็ม]:[คะแนนเต็ม]]),"",(tbl_task6[101]/tbl_task6[[คะแนนเต็ม]:[คะแนนเต็ม]])*tbl_task6[[%]:[%]])</f>
        <v/>
      </c>
      <c r="JL19" s="121" t="str">
        <f>IF(ISBLANK(tbl_task6[[คะแนนเต็ม]:[คะแนนเต็ม]]),"",(tbl_task6[102]/tbl_task6[[คะแนนเต็ม]:[คะแนนเต็ม]])*tbl_task6[[%]:[%]])</f>
        <v/>
      </c>
      <c r="JM19" s="121" t="str">
        <f>IF(ISBLANK(tbl_task6[[คะแนนเต็ม]:[คะแนนเต็ม]]),"",(tbl_task6[103]/tbl_task6[[คะแนนเต็ม]:[คะแนนเต็ม]])*tbl_task6[[%]:[%]])</f>
        <v/>
      </c>
      <c r="JN19" s="121" t="str">
        <f>IF(ISBLANK(tbl_task6[[คะแนนเต็ม]:[คะแนนเต็ม]]),"",(tbl_task6[104]/tbl_task6[[คะแนนเต็ม]:[คะแนนเต็ม]])*tbl_task6[[%]:[%]])</f>
        <v/>
      </c>
      <c r="JO19" s="121" t="str">
        <f>IF(ISBLANK(tbl_task6[[คะแนนเต็ม]:[คะแนนเต็ม]]),"",(tbl_task6[105]/tbl_task6[[คะแนนเต็ม]:[คะแนนเต็ม]])*tbl_task6[[%]:[%]])</f>
        <v/>
      </c>
      <c r="JP19" s="121" t="str">
        <f>IF(ISBLANK(tbl_task6[[คะแนนเต็ม]:[คะแนนเต็ม]]),"",(tbl_task6[106]/tbl_task6[[คะแนนเต็ม]:[คะแนนเต็ม]])*tbl_task6[[%]:[%]])</f>
        <v/>
      </c>
      <c r="JQ19" s="121" t="str">
        <f>IF(ISBLANK(tbl_task6[[คะแนนเต็ม]:[คะแนนเต็ม]]),"",(tbl_task6[107]/tbl_task6[[คะแนนเต็ม]:[คะแนนเต็ม]])*tbl_task6[[%]:[%]])</f>
        <v/>
      </c>
      <c r="JR19" s="121" t="str">
        <f>IF(ISBLANK(tbl_task6[[คะแนนเต็ม]:[คะแนนเต็ม]]),"",(tbl_task6[108]/tbl_task6[[คะแนนเต็ม]:[คะแนนเต็ม]])*tbl_task6[[%]:[%]])</f>
        <v/>
      </c>
      <c r="JS19" s="121" t="str">
        <f>IF(ISBLANK(tbl_task6[[คะแนนเต็ม]:[คะแนนเต็ม]]),"",(tbl_task6[109]/tbl_task6[[คะแนนเต็ม]:[คะแนนเต็ม]])*tbl_task6[[%]:[%]])</f>
        <v/>
      </c>
      <c r="JT19" s="121" t="str">
        <f>IF(ISBLANK(tbl_task6[[คะแนนเต็ม]:[คะแนนเต็ม]]),"",(tbl_task6[110]/tbl_task6[[คะแนนเต็ม]:[คะแนนเต็ม]])*tbl_task6[[%]:[%]])</f>
        <v/>
      </c>
      <c r="JU19" s="121" t="str">
        <f>IF(ISBLANK(tbl_task6[[คะแนนเต็ม]:[คะแนนเต็ม]]),"",(tbl_task6[111]/tbl_task6[[คะแนนเต็ม]:[คะแนนเต็ม]])*tbl_task6[[%]:[%]])</f>
        <v/>
      </c>
      <c r="JV19" s="121" t="str">
        <f>IF(ISBLANK(tbl_task6[[คะแนนเต็ม]:[คะแนนเต็ม]]),"",(tbl_task6[112]/tbl_task6[[คะแนนเต็ม]:[คะแนนเต็ม]])*tbl_task6[[%]:[%]])</f>
        <v/>
      </c>
      <c r="JW19" s="121" t="str">
        <f>IF(ISBLANK(tbl_task6[[คะแนนเต็ม]:[คะแนนเต็ม]]),"",(tbl_task6[113]/tbl_task6[[คะแนนเต็ม]:[คะแนนเต็ม]])*tbl_task6[[%]:[%]])</f>
        <v/>
      </c>
      <c r="JX19" s="121" t="str">
        <f>IF(ISBLANK(tbl_task6[[คะแนนเต็ม]:[คะแนนเต็ม]]),"",(tbl_task6[114]/tbl_task6[[คะแนนเต็ม]:[คะแนนเต็ม]])*tbl_task6[[%]:[%]])</f>
        <v/>
      </c>
      <c r="JY19" s="121" t="str">
        <f>IF(ISBLANK(tbl_task6[[คะแนนเต็ม]:[คะแนนเต็ม]]),"",(tbl_task6[115]/tbl_task6[[คะแนนเต็ม]:[คะแนนเต็ม]])*tbl_task6[[%]:[%]])</f>
        <v/>
      </c>
      <c r="JZ19" s="121" t="str">
        <f>IF(ISBLANK(tbl_task6[[คะแนนเต็ม]:[คะแนนเต็ม]]),"",(tbl_task6[116]/tbl_task6[[คะแนนเต็ม]:[คะแนนเต็ม]])*tbl_task6[[%]:[%]])</f>
        <v/>
      </c>
      <c r="KA19" s="121" t="str">
        <f>IF(ISBLANK(tbl_task6[[คะแนนเต็ม]:[คะแนนเต็ม]]),"",(tbl_task6[117]/tbl_task6[[คะแนนเต็ม]:[คะแนนเต็ม]])*tbl_task6[[%]:[%]])</f>
        <v/>
      </c>
      <c r="KB19" s="121" t="str">
        <f>IF(ISBLANK(tbl_task6[[คะแนนเต็ม]:[คะแนนเต็ม]]),"",(tbl_task6[118]/tbl_task6[[คะแนนเต็ม]:[คะแนนเต็ม]])*tbl_task6[[%]:[%]])</f>
        <v/>
      </c>
      <c r="KC19" s="121" t="str">
        <f>IF(ISBLANK(tbl_task6[[คะแนนเต็ม]:[คะแนนเต็ม]]),"",(tbl_task6[119]/tbl_task6[[คะแนนเต็ม]:[คะแนนเต็ม]])*tbl_task6[[%]:[%]])</f>
        <v/>
      </c>
      <c r="KD19" s="121" t="str">
        <f>IF(ISBLANK(tbl_task6[[คะแนนเต็ม]:[คะแนนเต็ม]]),"",(tbl_task6[120]/tbl_task6[[คะแนนเต็ม]:[คะแนนเต็ม]])*tbl_task6[[%]:[%]])</f>
        <v/>
      </c>
      <c r="KE19" s="121" t="str">
        <f>IF(ISBLANK(tbl_task6[[คะแนนเต็ม]:[คะแนนเต็ม]]),"",(tbl_task6[121]/tbl_task6[[คะแนนเต็ม]:[คะแนนเต็ม]])*tbl_task6[[%]:[%]])</f>
        <v/>
      </c>
      <c r="KF19" s="121" t="str">
        <f>IF(ISBLANK(tbl_task6[[คะแนนเต็ม]:[คะแนนเต็ม]]),"",(tbl_task6[122]/tbl_task6[[คะแนนเต็ม]:[คะแนนเต็ม]])*tbl_task6[[%]:[%]])</f>
        <v/>
      </c>
      <c r="KG19" s="121" t="str">
        <f>IF(ISBLANK(tbl_task6[[คะแนนเต็ม]:[คะแนนเต็ม]]),"",(tbl_task6[123]/tbl_task6[[คะแนนเต็ม]:[คะแนนเต็ม]])*tbl_task6[[%]:[%]])</f>
        <v/>
      </c>
      <c r="KH19" s="121" t="str">
        <f>IF(ISBLANK(tbl_task6[[คะแนนเต็ม]:[คะแนนเต็ม]]),"",(tbl_task6[124]/tbl_task6[[คะแนนเต็ม]:[คะแนนเต็ม]])*tbl_task6[[%]:[%]])</f>
        <v/>
      </c>
      <c r="KI19" s="121" t="str">
        <f>IF(ISBLANK(tbl_task6[[คะแนนเต็ม]:[คะแนนเต็ม]]),"",(tbl_task6[125]/tbl_task6[[คะแนนเต็ม]:[คะแนนเต็ม]])*tbl_task6[[%]:[%]])</f>
        <v/>
      </c>
      <c r="KJ19" s="121" t="str">
        <f>IF(ISBLANK(tbl_task6[[คะแนนเต็ม]:[คะแนนเต็ม]]),"",(tbl_task6[126]/tbl_task6[[คะแนนเต็ม]:[คะแนนเต็ม]])*tbl_task6[[%]:[%]])</f>
        <v/>
      </c>
      <c r="KK19" s="121" t="str">
        <f>IF(ISBLANK(tbl_task6[[คะแนนเต็ม]:[คะแนนเต็ม]]),"",(tbl_task6[127]/tbl_task6[[คะแนนเต็ม]:[คะแนนเต็ม]])*tbl_task6[[%]:[%]])</f>
        <v/>
      </c>
      <c r="KL19" s="121" t="str">
        <f>IF(ISBLANK(tbl_task6[[คะแนนเต็ม]:[คะแนนเต็ม]]),"",(tbl_task6[128]/tbl_task6[[คะแนนเต็ม]:[คะแนนเต็ม]])*tbl_task6[[%]:[%]])</f>
        <v/>
      </c>
      <c r="KM19" s="121" t="str">
        <f>IF(ISBLANK(tbl_task6[[คะแนนเต็ม]:[คะแนนเต็ม]]),"",(tbl_task6[129]/tbl_task6[[คะแนนเต็ม]:[คะแนนเต็ม]])*tbl_task6[[%]:[%]])</f>
        <v/>
      </c>
      <c r="KN19" s="121" t="str">
        <f>IF(ISBLANK(tbl_task6[[คะแนนเต็ม]:[คะแนนเต็ม]]),"",(tbl_task6[130]/tbl_task6[[คะแนนเต็ม]:[คะแนนเต็ม]])*tbl_task6[[%]:[%]])</f>
        <v/>
      </c>
      <c r="KO19" s="121" t="str">
        <f>IF(ISBLANK(tbl_task6[[คะแนนเต็ม]:[คะแนนเต็ม]]),"",(tbl_task6[131]/tbl_task6[[คะแนนเต็ม]:[คะแนนเต็ม]])*tbl_task6[[%]:[%]])</f>
        <v/>
      </c>
      <c r="KP19" s="121" t="str">
        <f>IF(ISBLANK(tbl_task6[[คะแนนเต็ม]:[คะแนนเต็ม]]),"",(tbl_task6[132]/tbl_task6[[คะแนนเต็ม]:[คะแนนเต็ม]])*tbl_task6[[%]:[%]])</f>
        <v/>
      </c>
      <c r="KQ19" s="121" t="str">
        <f>IF(ISBLANK(tbl_task6[[คะแนนเต็ม]:[คะแนนเต็ม]]),"",(tbl_task6[133]/tbl_task6[[คะแนนเต็ม]:[คะแนนเต็ม]])*tbl_task6[[%]:[%]])</f>
        <v/>
      </c>
      <c r="KR19" s="121" t="str">
        <f>IF(ISBLANK(tbl_task6[[คะแนนเต็ม]:[คะแนนเต็ม]]),"",(tbl_task6[134]/tbl_task6[[คะแนนเต็ม]:[คะแนนเต็ม]])*tbl_task6[[%]:[%]])</f>
        <v/>
      </c>
      <c r="KS19" s="121" t="str">
        <f>IF(ISBLANK(tbl_task6[[คะแนนเต็ม]:[คะแนนเต็ม]]),"",(tbl_task6[135]/tbl_task6[[คะแนนเต็ม]:[คะแนนเต็ม]])*tbl_task6[[%]:[%]])</f>
        <v/>
      </c>
      <c r="KT19" s="121" t="str">
        <f>IF(ISBLANK(tbl_task6[[คะแนนเต็ม]:[คะแนนเต็ม]]),"",(tbl_task6[136]/tbl_task6[[คะแนนเต็ม]:[คะแนนเต็ม]])*tbl_task6[[%]:[%]])</f>
        <v/>
      </c>
      <c r="KU19" s="121" t="str">
        <f>IF(ISBLANK(tbl_task6[[คะแนนเต็ม]:[คะแนนเต็ม]]),"",(tbl_task6[137]/tbl_task6[[คะแนนเต็ม]:[คะแนนเต็ม]])*tbl_task6[[%]:[%]])</f>
        <v/>
      </c>
      <c r="KV19" s="121" t="str">
        <f>IF(ISBLANK(tbl_task6[[คะแนนเต็ม]:[คะแนนเต็ม]]),"",(tbl_task6[138]/tbl_task6[[คะแนนเต็ม]:[คะแนนเต็ม]])*tbl_task6[[%]:[%]])</f>
        <v/>
      </c>
      <c r="KW19" s="121" t="str">
        <f>IF(ISBLANK(tbl_task6[[คะแนนเต็ม]:[คะแนนเต็ม]]),"",(tbl_task6[139]/tbl_task6[[คะแนนเต็ม]:[คะแนนเต็ม]])*tbl_task6[[%]:[%]])</f>
        <v/>
      </c>
      <c r="KX19" s="121" t="str">
        <f>IF(ISBLANK(tbl_task6[[คะแนนเต็ม]:[คะแนนเต็ม]]),"",(tbl_task6[140]/tbl_task6[[คะแนนเต็ม]:[คะแนนเต็ม]])*tbl_task6[[%]:[%]])</f>
        <v/>
      </c>
      <c r="KY19" s="121" t="str">
        <f>IF(ISBLANK(tbl_task6[[คะแนนเต็ม]:[คะแนนเต็ม]]),"",(tbl_task6[141]/tbl_task6[[คะแนนเต็ม]:[คะแนนเต็ม]])*tbl_task6[[%]:[%]])</f>
        <v/>
      </c>
      <c r="KZ19" s="121" t="str">
        <f>IF(ISBLANK(tbl_task6[[คะแนนเต็ม]:[คะแนนเต็ม]]),"",(tbl_task6[142]/tbl_task6[[คะแนนเต็ม]:[คะแนนเต็ม]])*tbl_task6[[%]:[%]])</f>
        <v/>
      </c>
      <c r="LA19" s="121" t="str">
        <f>IF(ISBLANK(tbl_task6[[คะแนนเต็ม]:[คะแนนเต็ม]]),"",(tbl_task6[143]/tbl_task6[[คะแนนเต็ม]:[คะแนนเต็ม]])*tbl_task6[[%]:[%]])</f>
        <v/>
      </c>
      <c r="LB19" s="121" t="str">
        <f>IF(ISBLANK(tbl_task6[[คะแนนเต็ม]:[คะแนนเต็ม]]),"",(tbl_task6[144]/tbl_task6[[คะแนนเต็ม]:[คะแนนเต็ม]])*tbl_task6[[%]:[%]])</f>
        <v/>
      </c>
      <c r="LC19" s="121" t="str">
        <f>IF(ISBLANK(tbl_task6[[คะแนนเต็ม]:[คะแนนเต็ม]]),"",(tbl_task6[145]/tbl_task6[[คะแนนเต็ม]:[คะแนนเต็ม]])*tbl_task6[[%]:[%]])</f>
        <v/>
      </c>
      <c r="LD19" s="121" t="str">
        <f>IF(ISBLANK(tbl_task6[[คะแนนเต็ม]:[คะแนนเต็ม]]),"",(tbl_task6[146]/tbl_task6[[คะแนนเต็ม]:[คะแนนเต็ม]])*tbl_task6[[%]:[%]])</f>
        <v/>
      </c>
      <c r="LE19" s="121" t="str">
        <f>IF(ISBLANK(tbl_task6[[คะแนนเต็ม]:[คะแนนเต็ม]]),"",(tbl_task6[147]/tbl_task6[[คะแนนเต็ม]:[คะแนนเต็ม]])*tbl_task6[[%]:[%]])</f>
        <v/>
      </c>
      <c r="LF19" s="121" t="str">
        <f>IF(ISBLANK(tbl_task6[[คะแนนเต็ม]:[คะแนนเต็ม]]),"",(tbl_task6[148]/tbl_task6[[คะแนนเต็ม]:[คะแนนเต็ม]])*tbl_task6[[%]:[%]])</f>
        <v/>
      </c>
      <c r="LG19" s="121" t="str">
        <f>IF(ISBLANK(tbl_task6[[คะแนนเต็ม]:[คะแนนเต็ม]]),"",(tbl_task6[149]/tbl_task6[[คะแนนเต็ม]:[คะแนนเต็ม]])*tbl_task6[[%]:[%]])</f>
        <v/>
      </c>
      <c r="LH19" s="121" t="str">
        <f>IF(ISBLANK(tbl_task6[[คะแนนเต็ม]:[คะแนนเต็ม]]),"",(tbl_task6[150]/tbl_task6[[คะแนนเต็ม]:[คะแนนเต็ม]])*tbl_task6[[%]:[%]])</f>
        <v/>
      </c>
      <c r="LI19" s="121" t="str">
        <f>IF(ISBLANK(tbl_task6[[คะแนนเต็ม]:[คะแนนเต็ม]]),"",(tbl_task6[151]/tbl_task6[[คะแนนเต็ม]:[คะแนนเต็ม]])*tbl_task6[[%]:[%]])</f>
        <v/>
      </c>
      <c r="LJ19" s="121" t="str">
        <f>IF(ISBLANK(tbl_task6[[คะแนนเต็ม]:[คะแนนเต็ม]]),"",(tbl_task6[152]/tbl_task6[[คะแนนเต็ม]:[คะแนนเต็ม]])*tbl_task6[[%]:[%]])</f>
        <v/>
      </c>
      <c r="LK19" s="121" t="str">
        <f>IF(ISBLANK(tbl_task6[[คะแนนเต็ม]:[คะแนนเต็ม]]),"",(tbl_task6[153]/tbl_task6[[คะแนนเต็ม]:[คะแนนเต็ม]])*tbl_task6[[%]:[%]])</f>
        <v/>
      </c>
      <c r="LL19" s="121" t="str">
        <f>IF(ISBLANK(tbl_task6[[คะแนนเต็ม]:[คะแนนเต็ม]]),"",(tbl_task6[154]/tbl_task6[[คะแนนเต็ม]:[คะแนนเต็ม]])*tbl_task6[[%]:[%]])</f>
        <v/>
      </c>
      <c r="LM19" s="121" t="str">
        <f>IF(ISBLANK(tbl_task6[[คะแนนเต็ม]:[คะแนนเต็ม]]),"",(tbl_task6[155]/tbl_task6[[คะแนนเต็ม]:[คะแนนเต็ม]])*tbl_task6[[%]:[%]])</f>
        <v/>
      </c>
      <c r="LN19" s="121" t="str">
        <f>IF(ISBLANK(tbl_task6[[คะแนนเต็ม]:[คะแนนเต็ม]]),"",(tbl_task6[156]/tbl_task6[[คะแนนเต็ม]:[คะแนนเต็ม]])*tbl_task6[[%]:[%]])</f>
        <v/>
      </c>
      <c r="LO19" s="121" t="str">
        <f>IF(ISBLANK(tbl_task6[[คะแนนเต็ม]:[คะแนนเต็ม]]),"",(tbl_task6[157]/tbl_task6[[คะแนนเต็ม]:[คะแนนเต็ม]])*tbl_task6[[%]:[%]])</f>
        <v/>
      </c>
      <c r="LP19" s="121" t="str">
        <f>IF(ISBLANK(tbl_task6[[คะแนนเต็ม]:[คะแนนเต็ม]]),"",(tbl_task6[158]/tbl_task6[[คะแนนเต็ม]:[คะแนนเต็ม]])*tbl_task6[[%]:[%]])</f>
        <v/>
      </c>
      <c r="LQ19" s="121" t="str">
        <f>IF(ISBLANK(tbl_task6[[คะแนนเต็ม]:[คะแนนเต็ม]]),"",(tbl_task6[159]/tbl_task6[[คะแนนเต็ม]:[คะแนนเต็ม]])*tbl_task6[[%]:[%]])</f>
        <v/>
      </c>
      <c r="LR19" s="121" t="str">
        <f>IF(ISBLANK(tbl_task6[[คะแนนเต็ม]:[คะแนนเต็ม]]),"",(tbl_task6[160]/tbl_task6[[คะแนนเต็ม]:[คะแนนเต็ม]])*tbl_task6[[%]:[%]])</f>
        <v/>
      </c>
      <c r="LS19" s="121" t="str">
        <f>IF(ISBLANK(tbl_task6[[คะแนนเต็ม]:[คะแนนเต็ม]]),"",(tbl_task6[161]/tbl_task6[[คะแนนเต็ม]:[คะแนนเต็ม]])*tbl_task6[[%]:[%]])</f>
        <v/>
      </c>
      <c r="LT19" s="121" t="str">
        <f>IF(ISBLANK(tbl_task6[[คะแนนเต็ม]:[คะแนนเต็ม]]),"",(tbl_task6[162]/tbl_task6[[คะแนนเต็ม]:[คะแนนเต็ม]])*tbl_task6[[%]:[%]])</f>
        <v/>
      </c>
      <c r="LU19" s="121" t="str">
        <f>IF(ISBLANK(tbl_task6[[คะแนนเต็ม]:[คะแนนเต็ม]]),"",(tbl_task6[163]/tbl_task6[[คะแนนเต็ม]:[คะแนนเต็ม]])*tbl_task6[[%]:[%]])</f>
        <v/>
      </c>
      <c r="LV19" s="121" t="str">
        <f>IF(ISBLANK(tbl_task6[[คะแนนเต็ม]:[คะแนนเต็ม]]),"",(tbl_task6[164]/tbl_task6[[คะแนนเต็ม]:[คะแนนเต็ม]])*tbl_task6[[%]:[%]])</f>
        <v/>
      </c>
      <c r="LW19" s="121" t="str">
        <f>IF(ISBLANK(tbl_task6[[คะแนนเต็ม]:[คะแนนเต็ม]]),"",(tbl_task6[165]/tbl_task6[[คะแนนเต็ม]:[คะแนนเต็ม]])*tbl_task6[[%]:[%]])</f>
        <v/>
      </c>
    </row>
    <row r="20" spans="1:335" ht="24" customHeight="1" x14ac:dyDescent="0.25">
      <c r="A20" s="24">
        <v>17</v>
      </c>
      <c r="B20" s="20"/>
      <c r="C20" s="5" t="str">
        <f>IF(ISBLANK(B20),"",VLOOKUP(B20,tbl_PLOs[],2,0))</f>
        <v/>
      </c>
      <c r="D20" s="102"/>
      <c r="E20" s="106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121" t="str">
        <f>IF(ISBLANK(tbl_task6[[คะแนนเต็ม]:[คะแนนเต็ม]]),"",(tbl_task6[1]/tbl_task6[[คะแนนเต็ม]:[คะแนนเต็ม]])*tbl_task6[[%]:[%]])</f>
        <v/>
      </c>
      <c r="FP20" s="121" t="str">
        <f>IF(ISBLANK(tbl_task6[[คะแนนเต็ม]:[คะแนนเต็ม]]),"",(tbl_task6[2]/tbl_task6[[คะแนนเต็ม]:[คะแนนเต็ม]])*tbl_task6[[%]:[%]])</f>
        <v/>
      </c>
      <c r="FQ20" s="121" t="str">
        <f>IF(ISBLANK(tbl_task6[[คะแนนเต็ม]:[คะแนนเต็ม]]),"",(tbl_task6[3]/tbl_task6[[คะแนนเต็ม]:[คะแนนเต็ม]])*tbl_task6[[%]:[%]])</f>
        <v/>
      </c>
      <c r="FR20" s="121" t="str">
        <f>IF(ISBLANK(tbl_task6[[คะแนนเต็ม]:[คะแนนเต็ม]]),"",(tbl_task6[4]/tbl_task6[[คะแนนเต็ม]:[คะแนนเต็ม]])*tbl_task6[[%]:[%]])</f>
        <v/>
      </c>
      <c r="FS20" s="121" t="str">
        <f>IF(ISBLANK(tbl_task6[[คะแนนเต็ม]:[คะแนนเต็ม]]),"",(tbl_task6[5]/tbl_task6[[คะแนนเต็ม]:[คะแนนเต็ม]])*tbl_task6[[%]:[%]])</f>
        <v/>
      </c>
      <c r="FT20" s="121" t="str">
        <f>IF(ISBLANK(tbl_task6[[คะแนนเต็ม]:[คะแนนเต็ม]]),"",(tbl_task6[6]/tbl_task6[[คะแนนเต็ม]:[คะแนนเต็ม]])*tbl_task6[[%]:[%]])</f>
        <v/>
      </c>
      <c r="FU20" s="121" t="str">
        <f>IF(ISBLANK(tbl_task6[[คะแนนเต็ม]:[คะแนนเต็ม]]),"",(tbl_task6[7]/tbl_task6[[คะแนนเต็ม]:[คะแนนเต็ม]])*tbl_task6[[%]:[%]])</f>
        <v/>
      </c>
      <c r="FV20" s="121" t="str">
        <f>IF(ISBLANK(tbl_task6[[คะแนนเต็ม]:[คะแนนเต็ม]]),"",(tbl_task6[8]/tbl_task6[[คะแนนเต็ม]:[คะแนนเต็ม]])*tbl_task6[[%]:[%]])</f>
        <v/>
      </c>
      <c r="FW20" s="121" t="str">
        <f>IF(ISBLANK(tbl_task6[[คะแนนเต็ม]:[คะแนนเต็ม]]),"",(tbl_task6[9]/tbl_task6[[คะแนนเต็ม]:[คะแนนเต็ม]])*tbl_task6[[%]:[%]])</f>
        <v/>
      </c>
      <c r="FX20" s="121" t="str">
        <f>IF(ISBLANK(tbl_task6[[คะแนนเต็ม]:[คะแนนเต็ม]]),"",(tbl_task6[10]/tbl_task6[[คะแนนเต็ม]:[คะแนนเต็ม]])*tbl_task6[[%]:[%]])</f>
        <v/>
      </c>
      <c r="FY20" s="121" t="str">
        <f>IF(ISBLANK(tbl_task6[[คะแนนเต็ม]:[คะแนนเต็ม]]),"",(tbl_task6[11]/tbl_task6[[คะแนนเต็ม]:[คะแนนเต็ม]])*tbl_task6[[%]:[%]])</f>
        <v/>
      </c>
      <c r="FZ20" s="121" t="str">
        <f>IF(ISBLANK(tbl_task6[[คะแนนเต็ม]:[คะแนนเต็ม]]),"",(tbl_task6[12]/tbl_task6[[คะแนนเต็ม]:[คะแนนเต็ม]])*tbl_task6[[%]:[%]])</f>
        <v/>
      </c>
      <c r="GA20" s="121" t="str">
        <f>IF(ISBLANK(tbl_task6[[คะแนนเต็ม]:[คะแนนเต็ม]]),"",(tbl_task6[13]/tbl_task6[[คะแนนเต็ม]:[คะแนนเต็ม]])*tbl_task6[[%]:[%]])</f>
        <v/>
      </c>
      <c r="GB20" s="121" t="str">
        <f>IF(ISBLANK(tbl_task6[[คะแนนเต็ม]:[คะแนนเต็ม]]),"",(tbl_task6[14]/tbl_task6[[คะแนนเต็ม]:[คะแนนเต็ม]])*tbl_task6[[%]:[%]])</f>
        <v/>
      </c>
      <c r="GC20" s="121" t="str">
        <f>IF(ISBLANK(tbl_task6[[คะแนนเต็ม]:[คะแนนเต็ม]]),"",(tbl_task6[15]/tbl_task6[[คะแนนเต็ม]:[คะแนนเต็ม]])*tbl_task6[[%]:[%]])</f>
        <v/>
      </c>
      <c r="GD20" s="121" t="str">
        <f>IF(ISBLANK(tbl_task6[[คะแนนเต็ม]:[คะแนนเต็ม]]),"",(tbl_task6[16]/tbl_task6[[คะแนนเต็ม]:[คะแนนเต็ม]])*tbl_task6[[%]:[%]])</f>
        <v/>
      </c>
      <c r="GE20" s="121" t="str">
        <f>IF(ISBLANK(tbl_task6[[คะแนนเต็ม]:[คะแนนเต็ม]]),"",(tbl_task6[17]/tbl_task6[[คะแนนเต็ม]:[คะแนนเต็ม]])*tbl_task6[[%]:[%]])</f>
        <v/>
      </c>
      <c r="GF20" s="121" t="str">
        <f>IF(ISBLANK(tbl_task6[[คะแนนเต็ม]:[คะแนนเต็ม]]),"",(tbl_task6[18]/tbl_task6[[คะแนนเต็ม]:[คะแนนเต็ม]])*tbl_task6[[%]:[%]])</f>
        <v/>
      </c>
      <c r="GG20" s="121" t="str">
        <f>IF(ISBLANK(tbl_task6[[คะแนนเต็ม]:[คะแนนเต็ม]]),"",(tbl_task6[19]/tbl_task6[[คะแนนเต็ม]:[คะแนนเต็ม]])*tbl_task6[[%]:[%]])</f>
        <v/>
      </c>
      <c r="GH20" s="121" t="str">
        <f>IF(ISBLANK(tbl_task6[[คะแนนเต็ม]:[คะแนนเต็ม]]),"",(tbl_task6[20]/tbl_task6[[คะแนนเต็ม]:[คะแนนเต็ม]])*tbl_task6[[%]:[%]])</f>
        <v/>
      </c>
      <c r="GI20" s="121" t="str">
        <f>IF(ISBLANK(tbl_task6[[คะแนนเต็ม]:[คะแนนเต็ม]]),"",(tbl_task6[21]/tbl_task6[[คะแนนเต็ม]:[คะแนนเต็ม]])*tbl_task6[[%]:[%]])</f>
        <v/>
      </c>
      <c r="GJ20" s="121" t="str">
        <f>IF(ISBLANK(tbl_task6[[คะแนนเต็ม]:[คะแนนเต็ม]]),"",(tbl_task6[22]/tbl_task6[[คะแนนเต็ม]:[คะแนนเต็ม]])*tbl_task6[[%]:[%]])</f>
        <v/>
      </c>
      <c r="GK20" s="121" t="str">
        <f>IF(ISBLANK(tbl_task6[[คะแนนเต็ม]:[คะแนนเต็ม]]),"",(tbl_task6[23]/tbl_task6[[คะแนนเต็ม]:[คะแนนเต็ม]])*tbl_task6[[%]:[%]])</f>
        <v/>
      </c>
      <c r="GL20" s="121" t="str">
        <f>IF(ISBLANK(tbl_task6[[คะแนนเต็ม]:[คะแนนเต็ม]]),"",(tbl_task6[24]/tbl_task6[[คะแนนเต็ม]:[คะแนนเต็ม]])*tbl_task6[[%]:[%]])</f>
        <v/>
      </c>
      <c r="GM20" s="121" t="str">
        <f>IF(ISBLANK(tbl_task6[[คะแนนเต็ม]:[คะแนนเต็ม]]),"",(tbl_task6[25]/tbl_task6[[คะแนนเต็ม]:[คะแนนเต็ม]])*tbl_task6[[%]:[%]])</f>
        <v/>
      </c>
      <c r="GN20" s="121" t="str">
        <f>IF(ISBLANK(tbl_task6[[คะแนนเต็ม]:[คะแนนเต็ม]]),"",(tbl_task6[26]/tbl_task6[[คะแนนเต็ม]:[คะแนนเต็ม]])*tbl_task6[[%]:[%]])</f>
        <v/>
      </c>
      <c r="GO20" s="121" t="str">
        <f>IF(ISBLANK(tbl_task6[[คะแนนเต็ม]:[คะแนนเต็ม]]),"",(tbl_task6[27]/tbl_task6[[คะแนนเต็ม]:[คะแนนเต็ม]])*tbl_task6[[%]:[%]])</f>
        <v/>
      </c>
      <c r="GP20" s="121" t="str">
        <f>IF(ISBLANK(tbl_task6[[คะแนนเต็ม]:[คะแนนเต็ม]]),"",(tbl_task6[28]/tbl_task6[[คะแนนเต็ม]:[คะแนนเต็ม]])*tbl_task6[[%]:[%]])</f>
        <v/>
      </c>
      <c r="GQ20" s="121" t="str">
        <f>IF(ISBLANK(tbl_task6[[คะแนนเต็ม]:[คะแนนเต็ม]]),"",(tbl_task6[29]/tbl_task6[[คะแนนเต็ม]:[คะแนนเต็ม]])*tbl_task6[[%]:[%]])</f>
        <v/>
      </c>
      <c r="GR20" s="121" t="str">
        <f>IF(ISBLANK(tbl_task6[[คะแนนเต็ม]:[คะแนนเต็ม]]),"",(tbl_task6[30]/tbl_task6[[คะแนนเต็ม]:[คะแนนเต็ม]])*tbl_task6[[%]:[%]])</f>
        <v/>
      </c>
      <c r="GS20" s="121" t="str">
        <f>IF(ISBLANK(tbl_task6[[คะแนนเต็ม]:[คะแนนเต็ม]]),"",(tbl_task6[31]/tbl_task6[[คะแนนเต็ม]:[คะแนนเต็ม]])*tbl_task6[[%]:[%]])</f>
        <v/>
      </c>
      <c r="GT20" s="121" t="str">
        <f>IF(ISBLANK(tbl_task6[[คะแนนเต็ม]:[คะแนนเต็ม]]),"",(tbl_task6[32]/tbl_task6[[คะแนนเต็ม]:[คะแนนเต็ม]])*tbl_task6[[%]:[%]])</f>
        <v/>
      </c>
      <c r="GU20" s="121" t="str">
        <f>IF(ISBLANK(tbl_task6[[คะแนนเต็ม]:[คะแนนเต็ม]]),"",(tbl_task6[33]/tbl_task6[[คะแนนเต็ม]:[คะแนนเต็ม]])*tbl_task6[[%]:[%]])</f>
        <v/>
      </c>
      <c r="GV20" s="121" t="str">
        <f>IF(ISBLANK(tbl_task6[[คะแนนเต็ม]:[คะแนนเต็ม]]),"",(tbl_task6[34]/tbl_task6[[คะแนนเต็ม]:[คะแนนเต็ม]])*tbl_task6[[%]:[%]])</f>
        <v/>
      </c>
      <c r="GW20" s="121" t="str">
        <f>IF(ISBLANK(tbl_task6[[คะแนนเต็ม]:[คะแนนเต็ม]]),"",(tbl_task6[35]/tbl_task6[[คะแนนเต็ม]:[คะแนนเต็ม]])*tbl_task6[[%]:[%]])</f>
        <v/>
      </c>
      <c r="GX20" s="121" t="str">
        <f>IF(ISBLANK(tbl_task6[[คะแนนเต็ม]:[คะแนนเต็ม]]),"",(tbl_task6[36]/tbl_task6[[คะแนนเต็ม]:[คะแนนเต็ม]])*tbl_task6[[%]:[%]])</f>
        <v/>
      </c>
      <c r="GY20" s="121" t="str">
        <f>IF(ISBLANK(tbl_task6[[คะแนนเต็ม]:[คะแนนเต็ม]]),"",(tbl_task6[37]/tbl_task6[[คะแนนเต็ม]:[คะแนนเต็ม]])*tbl_task6[[%]:[%]])</f>
        <v/>
      </c>
      <c r="GZ20" s="121" t="str">
        <f>IF(ISBLANK(tbl_task6[[คะแนนเต็ม]:[คะแนนเต็ม]]),"",(tbl_task6[38]/tbl_task6[[คะแนนเต็ม]:[คะแนนเต็ม]])*tbl_task6[[%]:[%]])</f>
        <v/>
      </c>
      <c r="HA20" s="121" t="str">
        <f>IF(ISBLANK(tbl_task6[[คะแนนเต็ม]:[คะแนนเต็ม]]),"",(tbl_task6[39]/tbl_task6[[คะแนนเต็ม]:[คะแนนเต็ม]])*tbl_task6[[%]:[%]])</f>
        <v/>
      </c>
      <c r="HB20" s="121" t="str">
        <f>IF(ISBLANK(tbl_task6[[คะแนนเต็ม]:[คะแนนเต็ม]]),"",(tbl_task6[40]/tbl_task6[[คะแนนเต็ม]:[คะแนนเต็ม]])*tbl_task6[[%]:[%]])</f>
        <v/>
      </c>
      <c r="HC20" s="121" t="str">
        <f>IF(ISBLANK(tbl_task6[[คะแนนเต็ม]:[คะแนนเต็ม]]),"",(tbl_task6[41]/tbl_task6[[คะแนนเต็ม]:[คะแนนเต็ม]])*tbl_task6[[%]:[%]])</f>
        <v/>
      </c>
      <c r="HD20" s="121" t="str">
        <f>IF(ISBLANK(tbl_task6[[คะแนนเต็ม]:[คะแนนเต็ม]]),"",(tbl_task6[42]/tbl_task6[[คะแนนเต็ม]:[คะแนนเต็ม]])*tbl_task6[[%]:[%]])</f>
        <v/>
      </c>
      <c r="HE20" s="121" t="str">
        <f>IF(ISBLANK(tbl_task6[[คะแนนเต็ม]:[คะแนนเต็ม]]),"",(tbl_task6[43]/tbl_task6[[คะแนนเต็ม]:[คะแนนเต็ม]])*tbl_task6[[%]:[%]])</f>
        <v/>
      </c>
      <c r="HF20" s="121" t="str">
        <f>IF(ISBLANK(tbl_task6[[คะแนนเต็ม]:[คะแนนเต็ม]]),"",(tbl_task6[44]/tbl_task6[[คะแนนเต็ม]:[คะแนนเต็ม]])*tbl_task6[[%]:[%]])</f>
        <v/>
      </c>
      <c r="HG20" s="121" t="str">
        <f>IF(ISBLANK(tbl_task6[[คะแนนเต็ม]:[คะแนนเต็ม]]),"",(tbl_task6[45]/tbl_task6[[คะแนนเต็ม]:[คะแนนเต็ม]])*tbl_task6[[%]:[%]])</f>
        <v/>
      </c>
      <c r="HH20" s="121" t="str">
        <f>IF(ISBLANK(tbl_task6[[คะแนนเต็ม]:[คะแนนเต็ม]]),"",(tbl_task6[46]/tbl_task6[[คะแนนเต็ม]:[คะแนนเต็ม]])*tbl_task6[[%]:[%]])</f>
        <v/>
      </c>
      <c r="HI20" s="121" t="str">
        <f>IF(ISBLANK(tbl_task6[[คะแนนเต็ม]:[คะแนนเต็ม]]),"",(tbl_task6[47]/tbl_task6[[คะแนนเต็ม]:[คะแนนเต็ม]])*tbl_task6[[%]:[%]])</f>
        <v/>
      </c>
      <c r="HJ20" s="121" t="str">
        <f>IF(ISBLANK(tbl_task6[[คะแนนเต็ม]:[คะแนนเต็ม]]),"",(tbl_task6[48]/tbl_task6[[คะแนนเต็ม]:[คะแนนเต็ม]])*tbl_task6[[%]:[%]])</f>
        <v/>
      </c>
      <c r="HK20" s="121" t="str">
        <f>IF(ISBLANK(tbl_task6[[คะแนนเต็ม]:[คะแนนเต็ม]]),"",(tbl_task6[49]/tbl_task6[[คะแนนเต็ม]:[คะแนนเต็ม]])*tbl_task6[[%]:[%]])</f>
        <v/>
      </c>
      <c r="HL20" s="121" t="str">
        <f>IF(ISBLANK(tbl_task6[[คะแนนเต็ม]:[คะแนนเต็ม]]),"",(tbl_task6[50]/tbl_task6[[คะแนนเต็ม]:[คะแนนเต็ม]])*tbl_task6[[%]:[%]])</f>
        <v/>
      </c>
      <c r="HM20" s="121" t="str">
        <f>IF(ISBLANK(tbl_task6[[คะแนนเต็ม]:[คะแนนเต็ม]]),"",(tbl_task6[51]/tbl_task6[[คะแนนเต็ม]:[คะแนนเต็ม]])*tbl_task6[[%]:[%]])</f>
        <v/>
      </c>
      <c r="HN20" s="121" t="str">
        <f>IF(ISBLANK(tbl_task6[[คะแนนเต็ม]:[คะแนนเต็ม]]),"",(tbl_task6[52]/tbl_task6[[คะแนนเต็ม]:[คะแนนเต็ม]])*tbl_task6[[%]:[%]])</f>
        <v/>
      </c>
      <c r="HO20" s="121" t="str">
        <f>IF(ISBLANK(tbl_task6[[คะแนนเต็ม]:[คะแนนเต็ม]]),"",(tbl_task6[53]/tbl_task6[[คะแนนเต็ม]:[คะแนนเต็ม]])*tbl_task6[[%]:[%]])</f>
        <v/>
      </c>
      <c r="HP20" s="121" t="str">
        <f>IF(ISBLANK(tbl_task6[[คะแนนเต็ม]:[คะแนนเต็ม]]),"",(tbl_task6[54]/tbl_task6[[คะแนนเต็ม]:[คะแนนเต็ม]])*tbl_task6[[%]:[%]])</f>
        <v/>
      </c>
      <c r="HQ20" s="121" t="str">
        <f>IF(ISBLANK(tbl_task6[[คะแนนเต็ม]:[คะแนนเต็ม]]),"",(tbl_task6[55]/tbl_task6[[คะแนนเต็ม]:[คะแนนเต็ม]])*tbl_task6[[%]:[%]])</f>
        <v/>
      </c>
      <c r="HR20" s="121" t="str">
        <f>IF(ISBLANK(tbl_task6[[คะแนนเต็ม]:[คะแนนเต็ม]]),"",(tbl_task6[56]/tbl_task6[[คะแนนเต็ม]:[คะแนนเต็ม]])*tbl_task6[[%]:[%]])</f>
        <v/>
      </c>
      <c r="HS20" s="121" t="str">
        <f>IF(ISBLANK(tbl_task6[[คะแนนเต็ม]:[คะแนนเต็ม]]),"",(tbl_task6[57]/tbl_task6[[คะแนนเต็ม]:[คะแนนเต็ม]])*tbl_task6[[%]:[%]])</f>
        <v/>
      </c>
      <c r="HT20" s="121" t="str">
        <f>IF(ISBLANK(tbl_task6[[คะแนนเต็ม]:[คะแนนเต็ม]]),"",(tbl_task6[58]/tbl_task6[[คะแนนเต็ม]:[คะแนนเต็ม]])*tbl_task6[[%]:[%]])</f>
        <v/>
      </c>
      <c r="HU20" s="121" t="str">
        <f>IF(ISBLANK(tbl_task6[[คะแนนเต็ม]:[คะแนนเต็ม]]),"",(tbl_task6[59]/tbl_task6[[คะแนนเต็ม]:[คะแนนเต็ม]])*tbl_task6[[%]:[%]])</f>
        <v/>
      </c>
      <c r="HV20" s="121" t="str">
        <f>IF(ISBLANK(tbl_task6[[คะแนนเต็ม]:[คะแนนเต็ม]]),"",(tbl_task6[60]/tbl_task6[[คะแนนเต็ม]:[คะแนนเต็ม]])*tbl_task6[[%]:[%]])</f>
        <v/>
      </c>
      <c r="HW20" s="121" t="str">
        <f>IF(ISBLANK(tbl_task6[[คะแนนเต็ม]:[คะแนนเต็ม]]),"",(tbl_task6[61]/tbl_task6[[คะแนนเต็ม]:[คะแนนเต็ม]])*tbl_task6[[%]:[%]])</f>
        <v/>
      </c>
      <c r="HX20" s="121" t="str">
        <f>IF(ISBLANK(tbl_task6[[คะแนนเต็ม]:[คะแนนเต็ม]]),"",(tbl_task6[62]/tbl_task6[[คะแนนเต็ม]:[คะแนนเต็ม]])*tbl_task6[[%]:[%]])</f>
        <v/>
      </c>
      <c r="HY20" s="121" t="str">
        <f>IF(ISBLANK(tbl_task6[[คะแนนเต็ม]:[คะแนนเต็ม]]),"",(tbl_task6[63]/tbl_task6[[คะแนนเต็ม]:[คะแนนเต็ม]])*tbl_task6[[%]:[%]])</f>
        <v/>
      </c>
      <c r="HZ20" s="121" t="str">
        <f>IF(ISBLANK(tbl_task6[[คะแนนเต็ม]:[คะแนนเต็ม]]),"",(tbl_task6[64]/tbl_task6[[คะแนนเต็ม]:[คะแนนเต็ม]])*tbl_task6[[%]:[%]])</f>
        <v/>
      </c>
      <c r="IA20" s="121" t="str">
        <f>IF(ISBLANK(tbl_task6[[คะแนนเต็ม]:[คะแนนเต็ม]]),"",(tbl_task6[65]/tbl_task6[[คะแนนเต็ม]:[คะแนนเต็ม]])*tbl_task6[[%]:[%]])</f>
        <v/>
      </c>
      <c r="IB20" s="121" t="str">
        <f>IF(ISBLANK(tbl_task6[[คะแนนเต็ม]:[คะแนนเต็ม]]),"",(tbl_task6[66]/tbl_task6[[คะแนนเต็ม]:[คะแนนเต็ม]])*tbl_task6[[%]:[%]])</f>
        <v/>
      </c>
      <c r="IC20" s="121" t="str">
        <f>IF(ISBLANK(tbl_task6[[คะแนนเต็ม]:[คะแนนเต็ม]]),"",(tbl_task6[67]/tbl_task6[[คะแนนเต็ม]:[คะแนนเต็ม]])*tbl_task6[[%]:[%]])</f>
        <v/>
      </c>
      <c r="ID20" s="121" t="str">
        <f>IF(ISBLANK(tbl_task6[[คะแนนเต็ม]:[คะแนนเต็ม]]),"",(tbl_task6[68]/tbl_task6[[คะแนนเต็ม]:[คะแนนเต็ม]])*tbl_task6[[%]:[%]])</f>
        <v/>
      </c>
      <c r="IE20" s="121" t="str">
        <f>IF(ISBLANK(tbl_task6[[คะแนนเต็ม]:[คะแนนเต็ม]]),"",(tbl_task6[69]/tbl_task6[[คะแนนเต็ม]:[คะแนนเต็ม]])*tbl_task6[[%]:[%]])</f>
        <v/>
      </c>
      <c r="IF20" s="121" t="str">
        <f>IF(ISBLANK(tbl_task6[[คะแนนเต็ม]:[คะแนนเต็ม]]),"",(tbl_task6[70]/tbl_task6[[คะแนนเต็ม]:[คะแนนเต็ม]])*tbl_task6[[%]:[%]])</f>
        <v/>
      </c>
      <c r="IG20" s="121" t="str">
        <f>IF(ISBLANK(tbl_task6[[คะแนนเต็ม]:[คะแนนเต็ม]]),"",(tbl_task6[71]/tbl_task6[[คะแนนเต็ม]:[คะแนนเต็ม]])*tbl_task6[[%]:[%]])</f>
        <v/>
      </c>
      <c r="IH20" s="121" t="str">
        <f>IF(ISBLANK(tbl_task6[[คะแนนเต็ม]:[คะแนนเต็ม]]),"",(tbl_task6[72]/tbl_task6[[คะแนนเต็ม]:[คะแนนเต็ม]])*tbl_task6[[%]:[%]])</f>
        <v/>
      </c>
      <c r="II20" s="121" t="str">
        <f>IF(ISBLANK(tbl_task6[[คะแนนเต็ม]:[คะแนนเต็ม]]),"",(tbl_task6[73]/tbl_task6[[คะแนนเต็ม]:[คะแนนเต็ม]])*tbl_task6[[%]:[%]])</f>
        <v/>
      </c>
      <c r="IJ20" s="121" t="str">
        <f>IF(ISBLANK(tbl_task6[[คะแนนเต็ม]:[คะแนนเต็ม]]),"",(tbl_task6[74]/tbl_task6[[คะแนนเต็ม]:[คะแนนเต็ม]])*tbl_task6[[%]:[%]])</f>
        <v/>
      </c>
      <c r="IK20" s="121" t="str">
        <f>IF(ISBLANK(tbl_task6[[คะแนนเต็ม]:[คะแนนเต็ม]]),"",(tbl_task6[75]/tbl_task6[[คะแนนเต็ม]:[คะแนนเต็ม]])*tbl_task6[[%]:[%]])</f>
        <v/>
      </c>
      <c r="IL20" s="121" t="str">
        <f>IF(ISBLANK(tbl_task6[[คะแนนเต็ม]:[คะแนนเต็ม]]),"",(tbl_task6[76]/tbl_task6[[คะแนนเต็ม]:[คะแนนเต็ม]])*tbl_task6[[%]:[%]])</f>
        <v/>
      </c>
      <c r="IM20" s="121" t="str">
        <f>IF(ISBLANK(tbl_task6[[คะแนนเต็ม]:[คะแนนเต็ม]]),"",(tbl_task6[77]/tbl_task6[[คะแนนเต็ม]:[คะแนนเต็ม]])*tbl_task6[[%]:[%]])</f>
        <v/>
      </c>
      <c r="IN20" s="121" t="str">
        <f>IF(ISBLANK(tbl_task6[[คะแนนเต็ม]:[คะแนนเต็ม]]),"",(tbl_task6[78]/tbl_task6[[คะแนนเต็ม]:[คะแนนเต็ม]])*tbl_task6[[%]:[%]])</f>
        <v/>
      </c>
      <c r="IO20" s="121" t="str">
        <f>IF(ISBLANK(tbl_task6[[คะแนนเต็ม]:[คะแนนเต็ม]]),"",(tbl_task6[79]/tbl_task6[[คะแนนเต็ม]:[คะแนนเต็ม]])*tbl_task6[[%]:[%]])</f>
        <v/>
      </c>
      <c r="IP20" s="121" t="str">
        <f>IF(ISBLANK(tbl_task6[[คะแนนเต็ม]:[คะแนนเต็ม]]),"",(tbl_task6[80]/tbl_task6[[คะแนนเต็ม]:[คะแนนเต็ม]])*tbl_task6[[%]:[%]])</f>
        <v/>
      </c>
      <c r="IQ20" s="121" t="str">
        <f>IF(ISBLANK(tbl_task6[[คะแนนเต็ม]:[คะแนนเต็ม]]),"",(tbl_task6[81]/tbl_task6[[คะแนนเต็ม]:[คะแนนเต็ม]])*tbl_task6[[%]:[%]])</f>
        <v/>
      </c>
      <c r="IR20" s="121" t="str">
        <f>IF(ISBLANK(tbl_task6[[คะแนนเต็ม]:[คะแนนเต็ม]]),"",(tbl_task6[82]/tbl_task6[[คะแนนเต็ม]:[คะแนนเต็ม]])*tbl_task6[[%]:[%]])</f>
        <v/>
      </c>
      <c r="IS20" s="121" t="str">
        <f>IF(ISBLANK(tbl_task6[[คะแนนเต็ม]:[คะแนนเต็ม]]),"",(tbl_task6[83]/tbl_task6[[คะแนนเต็ม]:[คะแนนเต็ม]])*tbl_task6[[%]:[%]])</f>
        <v/>
      </c>
      <c r="IT20" s="121" t="str">
        <f>IF(ISBLANK(tbl_task6[[คะแนนเต็ม]:[คะแนนเต็ม]]),"",(tbl_task6[84]/tbl_task6[[คะแนนเต็ม]:[คะแนนเต็ม]])*tbl_task6[[%]:[%]])</f>
        <v/>
      </c>
      <c r="IU20" s="121" t="str">
        <f>IF(ISBLANK(tbl_task6[[คะแนนเต็ม]:[คะแนนเต็ม]]),"",(tbl_task6[85]/tbl_task6[[คะแนนเต็ม]:[คะแนนเต็ม]])*tbl_task6[[%]:[%]])</f>
        <v/>
      </c>
      <c r="IV20" s="121" t="str">
        <f>IF(ISBLANK(tbl_task6[[คะแนนเต็ม]:[คะแนนเต็ม]]),"",(tbl_task6[86]/tbl_task6[[คะแนนเต็ม]:[คะแนนเต็ม]])*tbl_task6[[%]:[%]])</f>
        <v/>
      </c>
      <c r="IW20" s="121" t="str">
        <f>IF(ISBLANK(tbl_task6[[คะแนนเต็ม]:[คะแนนเต็ม]]),"",(tbl_task6[87]/tbl_task6[[คะแนนเต็ม]:[คะแนนเต็ม]])*tbl_task6[[%]:[%]])</f>
        <v/>
      </c>
      <c r="IX20" s="121" t="str">
        <f>IF(ISBLANK(tbl_task6[[คะแนนเต็ม]:[คะแนนเต็ม]]),"",(tbl_task6[88]/tbl_task6[[คะแนนเต็ม]:[คะแนนเต็ม]])*tbl_task6[[%]:[%]])</f>
        <v/>
      </c>
      <c r="IY20" s="121" t="str">
        <f>IF(ISBLANK(tbl_task6[[คะแนนเต็ม]:[คะแนนเต็ม]]),"",(tbl_task6[89]/tbl_task6[[คะแนนเต็ม]:[คะแนนเต็ม]])*tbl_task6[[%]:[%]])</f>
        <v/>
      </c>
      <c r="IZ20" s="121" t="str">
        <f>IF(ISBLANK(tbl_task6[[คะแนนเต็ม]:[คะแนนเต็ม]]),"",(tbl_task6[90]/tbl_task6[[คะแนนเต็ม]:[คะแนนเต็ม]])*tbl_task6[[%]:[%]])</f>
        <v/>
      </c>
      <c r="JA20" s="121" t="str">
        <f>IF(ISBLANK(tbl_task6[[คะแนนเต็ม]:[คะแนนเต็ม]]),"",(tbl_task6[91]/tbl_task6[[คะแนนเต็ม]:[คะแนนเต็ม]])*tbl_task6[[%]:[%]])</f>
        <v/>
      </c>
      <c r="JB20" s="121" t="str">
        <f>IF(ISBLANK(tbl_task6[[คะแนนเต็ม]:[คะแนนเต็ม]]),"",(tbl_task6[92]/tbl_task6[[คะแนนเต็ม]:[คะแนนเต็ม]])*tbl_task6[[%]:[%]])</f>
        <v/>
      </c>
      <c r="JC20" s="121" t="str">
        <f>IF(ISBLANK(tbl_task6[[คะแนนเต็ม]:[คะแนนเต็ม]]),"",(tbl_task6[93]/tbl_task6[[คะแนนเต็ม]:[คะแนนเต็ม]])*tbl_task6[[%]:[%]])</f>
        <v/>
      </c>
      <c r="JD20" s="121" t="str">
        <f>IF(ISBLANK(tbl_task6[[คะแนนเต็ม]:[คะแนนเต็ม]]),"",(tbl_task6[94]/tbl_task6[[คะแนนเต็ม]:[คะแนนเต็ม]])*tbl_task6[[%]:[%]])</f>
        <v/>
      </c>
      <c r="JE20" s="121" t="str">
        <f>IF(ISBLANK(tbl_task6[[คะแนนเต็ม]:[คะแนนเต็ม]]),"",(tbl_task6[95]/tbl_task6[[คะแนนเต็ม]:[คะแนนเต็ม]])*tbl_task6[[%]:[%]])</f>
        <v/>
      </c>
      <c r="JF20" s="121" t="str">
        <f>IF(ISBLANK(tbl_task6[[คะแนนเต็ม]:[คะแนนเต็ม]]),"",(tbl_task6[96]/tbl_task6[[คะแนนเต็ม]:[คะแนนเต็ม]])*tbl_task6[[%]:[%]])</f>
        <v/>
      </c>
      <c r="JG20" s="121" t="str">
        <f>IF(ISBLANK(tbl_task6[[คะแนนเต็ม]:[คะแนนเต็ม]]),"",(tbl_task6[97]/tbl_task6[[คะแนนเต็ม]:[คะแนนเต็ม]])*tbl_task6[[%]:[%]])</f>
        <v/>
      </c>
      <c r="JH20" s="121" t="str">
        <f>IF(ISBLANK(tbl_task6[[คะแนนเต็ม]:[คะแนนเต็ม]]),"",(tbl_task6[98]/tbl_task6[[คะแนนเต็ม]:[คะแนนเต็ม]])*tbl_task6[[%]:[%]])</f>
        <v/>
      </c>
      <c r="JI20" s="121" t="str">
        <f>IF(ISBLANK(tbl_task6[[คะแนนเต็ม]:[คะแนนเต็ม]]),"",(tbl_task6[99]/tbl_task6[[คะแนนเต็ม]:[คะแนนเต็ม]])*tbl_task6[[%]:[%]])</f>
        <v/>
      </c>
      <c r="JJ20" s="121" t="str">
        <f>IF(ISBLANK(tbl_task6[[คะแนนเต็ม]:[คะแนนเต็ม]]),"",(tbl_task6[100]/tbl_task6[[คะแนนเต็ม]:[คะแนนเต็ม]])*tbl_task6[[%]:[%]])</f>
        <v/>
      </c>
      <c r="JK20" s="121" t="str">
        <f>IF(ISBLANK(tbl_task6[[คะแนนเต็ม]:[คะแนนเต็ม]]),"",(tbl_task6[101]/tbl_task6[[คะแนนเต็ม]:[คะแนนเต็ม]])*tbl_task6[[%]:[%]])</f>
        <v/>
      </c>
      <c r="JL20" s="121" t="str">
        <f>IF(ISBLANK(tbl_task6[[คะแนนเต็ม]:[คะแนนเต็ม]]),"",(tbl_task6[102]/tbl_task6[[คะแนนเต็ม]:[คะแนนเต็ม]])*tbl_task6[[%]:[%]])</f>
        <v/>
      </c>
      <c r="JM20" s="121" t="str">
        <f>IF(ISBLANK(tbl_task6[[คะแนนเต็ม]:[คะแนนเต็ม]]),"",(tbl_task6[103]/tbl_task6[[คะแนนเต็ม]:[คะแนนเต็ม]])*tbl_task6[[%]:[%]])</f>
        <v/>
      </c>
      <c r="JN20" s="121" t="str">
        <f>IF(ISBLANK(tbl_task6[[คะแนนเต็ม]:[คะแนนเต็ม]]),"",(tbl_task6[104]/tbl_task6[[คะแนนเต็ม]:[คะแนนเต็ม]])*tbl_task6[[%]:[%]])</f>
        <v/>
      </c>
      <c r="JO20" s="121" t="str">
        <f>IF(ISBLANK(tbl_task6[[คะแนนเต็ม]:[คะแนนเต็ม]]),"",(tbl_task6[105]/tbl_task6[[คะแนนเต็ม]:[คะแนนเต็ม]])*tbl_task6[[%]:[%]])</f>
        <v/>
      </c>
      <c r="JP20" s="121" t="str">
        <f>IF(ISBLANK(tbl_task6[[คะแนนเต็ม]:[คะแนนเต็ม]]),"",(tbl_task6[106]/tbl_task6[[คะแนนเต็ม]:[คะแนนเต็ม]])*tbl_task6[[%]:[%]])</f>
        <v/>
      </c>
      <c r="JQ20" s="121" t="str">
        <f>IF(ISBLANK(tbl_task6[[คะแนนเต็ม]:[คะแนนเต็ม]]),"",(tbl_task6[107]/tbl_task6[[คะแนนเต็ม]:[คะแนนเต็ม]])*tbl_task6[[%]:[%]])</f>
        <v/>
      </c>
      <c r="JR20" s="121" t="str">
        <f>IF(ISBLANK(tbl_task6[[คะแนนเต็ม]:[คะแนนเต็ม]]),"",(tbl_task6[108]/tbl_task6[[คะแนนเต็ม]:[คะแนนเต็ม]])*tbl_task6[[%]:[%]])</f>
        <v/>
      </c>
      <c r="JS20" s="121" t="str">
        <f>IF(ISBLANK(tbl_task6[[คะแนนเต็ม]:[คะแนนเต็ม]]),"",(tbl_task6[109]/tbl_task6[[คะแนนเต็ม]:[คะแนนเต็ม]])*tbl_task6[[%]:[%]])</f>
        <v/>
      </c>
      <c r="JT20" s="121" t="str">
        <f>IF(ISBLANK(tbl_task6[[คะแนนเต็ม]:[คะแนนเต็ม]]),"",(tbl_task6[110]/tbl_task6[[คะแนนเต็ม]:[คะแนนเต็ม]])*tbl_task6[[%]:[%]])</f>
        <v/>
      </c>
      <c r="JU20" s="121" t="str">
        <f>IF(ISBLANK(tbl_task6[[คะแนนเต็ม]:[คะแนนเต็ม]]),"",(tbl_task6[111]/tbl_task6[[คะแนนเต็ม]:[คะแนนเต็ม]])*tbl_task6[[%]:[%]])</f>
        <v/>
      </c>
      <c r="JV20" s="121" t="str">
        <f>IF(ISBLANK(tbl_task6[[คะแนนเต็ม]:[คะแนนเต็ม]]),"",(tbl_task6[112]/tbl_task6[[คะแนนเต็ม]:[คะแนนเต็ม]])*tbl_task6[[%]:[%]])</f>
        <v/>
      </c>
      <c r="JW20" s="121" t="str">
        <f>IF(ISBLANK(tbl_task6[[คะแนนเต็ม]:[คะแนนเต็ม]]),"",(tbl_task6[113]/tbl_task6[[คะแนนเต็ม]:[คะแนนเต็ม]])*tbl_task6[[%]:[%]])</f>
        <v/>
      </c>
      <c r="JX20" s="121" t="str">
        <f>IF(ISBLANK(tbl_task6[[คะแนนเต็ม]:[คะแนนเต็ม]]),"",(tbl_task6[114]/tbl_task6[[คะแนนเต็ม]:[คะแนนเต็ม]])*tbl_task6[[%]:[%]])</f>
        <v/>
      </c>
      <c r="JY20" s="121" t="str">
        <f>IF(ISBLANK(tbl_task6[[คะแนนเต็ม]:[คะแนนเต็ม]]),"",(tbl_task6[115]/tbl_task6[[คะแนนเต็ม]:[คะแนนเต็ม]])*tbl_task6[[%]:[%]])</f>
        <v/>
      </c>
      <c r="JZ20" s="121" t="str">
        <f>IF(ISBLANK(tbl_task6[[คะแนนเต็ม]:[คะแนนเต็ม]]),"",(tbl_task6[116]/tbl_task6[[คะแนนเต็ม]:[คะแนนเต็ม]])*tbl_task6[[%]:[%]])</f>
        <v/>
      </c>
      <c r="KA20" s="121" t="str">
        <f>IF(ISBLANK(tbl_task6[[คะแนนเต็ม]:[คะแนนเต็ม]]),"",(tbl_task6[117]/tbl_task6[[คะแนนเต็ม]:[คะแนนเต็ม]])*tbl_task6[[%]:[%]])</f>
        <v/>
      </c>
      <c r="KB20" s="121" t="str">
        <f>IF(ISBLANK(tbl_task6[[คะแนนเต็ม]:[คะแนนเต็ม]]),"",(tbl_task6[118]/tbl_task6[[คะแนนเต็ม]:[คะแนนเต็ม]])*tbl_task6[[%]:[%]])</f>
        <v/>
      </c>
      <c r="KC20" s="121" t="str">
        <f>IF(ISBLANK(tbl_task6[[คะแนนเต็ม]:[คะแนนเต็ม]]),"",(tbl_task6[119]/tbl_task6[[คะแนนเต็ม]:[คะแนนเต็ม]])*tbl_task6[[%]:[%]])</f>
        <v/>
      </c>
      <c r="KD20" s="121" t="str">
        <f>IF(ISBLANK(tbl_task6[[คะแนนเต็ม]:[คะแนนเต็ม]]),"",(tbl_task6[120]/tbl_task6[[คะแนนเต็ม]:[คะแนนเต็ม]])*tbl_task6[[%]:[%]])</f>
        <v/>
      </c>
      <c r="KE20" s="121" t="str">
        <f>IF(ISBLANK(tbl_task6[[คะแนนเต็ม]:[คะแนนเต็ม]]),"",(tbl_task6[121]/tbl_task6[[คะแนนเต็ม]:[คะแนนเต็ม]])*tbl_task6[[%]:[%]])</f>
        <v/>
      </c>
      <c r="KF20" s="121" t="str">
        <f>IF(ISBLANK(tbl_task6[[คะแนนเต็ม]:[คะแนนเต็ม]]),"",(tbl_task6[122]/tbl_task6[[คะแนนเต็ม]:[คะแนนเต็ม]])*tbl_task6[[%]:[%]])</f>
        <v/>
      </c>
      <c r="KG20" s="121" t="str">
        <f>IF(ISBLANK(tbl_task6[[คะแนนเต็ม]:[คะแนนเต็ม]]),"",(tbl_task6[123]/tbl_task6[[คะแนนเต็ม]:[คะแนนเต็ม]])*tbl_task6[[%]:[%]])</f>
        <v/>
      </c>
      <c r="KH20" s="121" t="str">
        <f>IF(ISBLANK(tbl_task6[[คะแนนเต็ม]:[คะแนนเต็ม]]),"",(tbl_task6[124]/tbl_task6[[คะแนนเต็ม]:[คะแนนเต็ม]])*tbl_task6[[%]:[%]])</f>
        <v/>
      </c>
      <c r="KI20" s="121" t="str">
        <f>IF(ISBLANK(tbl_task6[[คะแนนเต็ม]:[คะแนนเต็ม]]),"",(tbl_task6[125]/tbl_task6[[คะแนนเต็ม]:[คะแนนเต็ม]])*tbl_task6[[%]:[%]])</f>
        <v/>
      </c>
      <c r="KJ20" s="121" t="str">
        <f>IF(ISBLANK(tbl_task6[[คะแนนเต็ม]:[คะแนนเต็ม]]),"",(tbl_task6[126]/tbl_task6[[คะแนนเต็ม]:[คะแนนเต็ม]])*tbl_task6[[%]:[%]])</f>
        <v/>
      </c>
      <c r="KK20" s="121" t="str">
        <f>IF(ISBLANK(tbl_task6[[คะแนนเต็ม]:[คะแนนเต็ม]]),"",(tbl_task6[127]/tbl_task6[[คะแนนเต็ม]:[คะแนนเต็ม]])*tbl_task6[[%]:[%]])</f>
        <v/>
      </c>
      <c r="KL20" s="121" t="str">
        <f>IF(ISBLANK(tbl_task6[[คะแนนเต็ม]:[คะแนนเต็ม]]),"",(tbl_task6[128]/tbl_task6[[คะแนนเต็ม]:[คะแนนเต็ม]])*tbl_task6[[%]:[%]])</f>
        <v/>
      </c>
      <c r="KM20" s="121" t="str">
        <f>IF(ISBLANK(tbl_task6[[คะแนนเต็ม]:[คะแนนเต็ม]]),"",(tbl_task6[129]/tbl_task6[[คะแนนเต็ม]:[คะแนนเต็ม]])*tbl_task6[[%]:[%]])</f>
        <v/>
      </c>
      <c r="KN20" s="121" t="str">
        <f>IF(ISBLANK(tbl_task6[[คะแนนเต็ม]:[คะแนนเต็ม]]),"",(tbl_task6[130]/tbl_task6[[คะแนนเต็ม]:[คะแนนเต็ม]])*tbl_task6[[%]:[%]])</f>
        <v/>
      </c>
      <c r="KO20" s="121" t="str">
        <f>IF(ISBLANK(tbl_task6[[คะแนนเต็ม]:[คะแนนเต็ม]]),"",(tbl_task6[131]/tbl_task6[[คะแนนเต็ม]:[คะแนนเต็ม]])*tbl_task6[[%]:[%]])</f>
        <v/>
      </c>
      <c r="KP20" s="121" t="str">
        <f>IF(ISBLANK(tbl_task6[[คะแนนเต็ม]:[คะแนนเต็ม]]),"",(tbl_task6[132]/tbl_task6[[คะแนนเต็ม]:[คะแนนเต็ม]])*tbl_task6[[%]:[%]])</f>
        <v/>
      </c>
      <c r="KQ20" s="121" t="str">
        <f>IF(ISBLANK(tbl_task6[[คะแนนเต็ม]:[คะแนนเต็ม]]),"",(tbl_task6[133]/tbl_task6[[คะแนนเต็ม]:[คะแนนเต็ม]])*tbl_task6[[%]:[%]])</f>
        <v/>
      </c>
      <c r="KR20" s="121" t="str">
        <f>IF(ISBLANK(tbl_task6[[คะแนนเต็ม]:[คะแนนเต็ม]]),"",(tbl_task6[134]/tbl_task6[[คะแนนเต็ม]:[คะแนนเต็ม]])*tbl_task6[[%]:[%]])</f>
        <v/>
      </c>
      <c r="KS20" s="121" t="str">
        <f>IF(ISBLANK(tbl_task6[[คะแนนเต็ม]:[คะแนนเต็ม]]),"",(tbl_task6[135]/tbl_task6[[คะแนนเต็ม]:[คะแนนเต็ม]])*tbl_task6[[%]:[%]])</f>
        <v/>
      </c>
      <c r="KT20" s="121" t="str">
        <f>IF(ISBLANK(tbl_task6[[คะแนนเต็ม]:[คะแนนเต็ม]]),"",(tbl_task6[136]/tbl_task6[[คะแนนเต็ม]:[คะแนนเต็ม]])*tbl_task6[[%]:[%]])</f>
        <v/>
      </c>
      <c r="KU20" s="121" t="str">
        <f>IF(ISBLANK(tbl_task6[[คะแนนเต็ม]:[คะแนนเต็ม]]),"",(tbl_task6[137]/tbl_task6[[คะแนนเต็ม]:[คะแนนเต็ม]])*tbl_task6[[%]:[%]])</f>
        <v/>
      </c>
      <c r="KV20" s="121" t="str">
        <f>IF(ISBLANK(tbl_task6[[คะแนนเต็ม]:[คะแนนเต็ม]]),"",(tbl_task6[138]/tbl_task6[[คะแนนเต็ม]:[คะแนนเต็ม]])*tbl_task6[[%]:[%]])</f>
        <v/>
      </c>
      <c r="KW20" s="121" t="str">
        <f>IF(ISBLANK(tbl_task6[[คะแนนเต็ม]:[คะแนนเต็ม]]),"",(tbl_task6[139]/tbl_task6[[คะแนนเต็ม]:[คะแนนเต็ม]])*tbl_task6[[%]:[%]])</f>
        <v/>
      </c>
      <c r="KX20" s="121" t="str">
        <f>IF(ISBLANK(tbl_task6[[คะแนนเต็ม]:[คะแนนเต็ม]]),"",(tbl_task6[140]/tbl_task6[[คะแนนเต็ม]:[คะแนนเต็ม]])*tbl_task6[[%]:[%]])</f>
        <v/>
      </c>
      <c r="KY20" s="121" t="str">
        <f>IF(ISBLANK(tbl_task6[[คะแนนเต็ม]:[คะแนนเต็ม]]),"",(tbl_task6[141]/tbl_task6[[คะแนนเต็ม]:[คะแนนเต็ม]])*tbl_task6[[%]:[%]])</f>
        <v/>
      </c>
      <c r="KZ20" s="121" t="str">
        <f>IF(ISBLANK(tbl_task6[[คะแนนเต็ม]:[คะแนนเต็ม]]),"",(tbl_task6[142]/tbl_task6[[คะแนนเต็ม]:[คะแนนเต็ม]])*tbl_task6[[%]:[%]])</f>
        <v/>
      </c>
      <c r="LA20" s="121" t="str">
        <f>IF(ISBLANK(tbl_task6[[คะแนนเต็ม]:[คะแนนเต็ม]]),"",(tbl_task6[143]/tbl_task6[[คะแนนเต็ม]:[คะแนนเต็ม]])*tbl_task6[[%]:[%]])</f>
        <v/>
      </c>
      <c r="LB20" s="121" t="str">
        <f>IF(ISBLANK(tbl_task6[[คะแนนเต็ม]:[คะแนนเต็ม]]),"",(tbl_task6[144]/tbl_task6[[คะแนนเต็ม]:[คะแนนเต็ม]])*tbl_task6[[%]:[%]])</f>
        <v/>
      </c>
      <c r="LC20" s="121" t="str">
        <f>IF(ISBLANK(tbl_task6[[คะแนนเต็ม]:[คะแนนเต็ม]]),"",(tbl_task6[145]/tbl_task6[[คะแนนเต็ม]:[คะแนนเต็ม]])*tbl_task6[[%]:[%]])</f>
        <v/>
      </c>
      <c r="LD20" s="121" t="str">
        <f>IF(ISBLANK(tbl_task6[[คะแนนเต็ม]:[คะแนนเต็ม]]),"",(tbl_task6[146]/tbl_task6[[คะแนนเต็ม]:[คะแนนเต็ม]])*tbl_task6[[%]:[%]])</f>
        <v/>
      </c>
      <c r="LE20" s="121" t="str">
        <f>IF(ISBLANK(tbl_task6[[คะแนนเต็ม]:[คะแนนเต็ม]]),"",(tbl_task6[147]/tbl_task6[[คะแนนเต็ม]:[คะแนนเต็ม]])*tbl_task6[[%]:[%]])</f>
        <v/>
      </c>
      <c r="LF20" s="121" t="str">
        <f>IF(ISBLANK(tbl_task6[[คะแนนเต็ม]:[คะแนนเต็ม]]),"",(tbl_task6[148]/tbl_task6[[คะแนนเต็ม]:[คะแนนเต็ม]])*tbl_task6[[%]:[%]])</f>
        <v/>
      </c>
      <c r="LG20" s="121" t="str">
        <f>IF(ISBLANK(tbl_task6[[คะแนนเต็ม]:[คะแนนเต็ม]]),"",(tbl_task6[149]/tbl_task6[[คะแนนเต็ม]:[คะแนนเต็ม]])*tbl_task6[[%]:[%]])</f>
        <v/>
      </c>
      <c r="LH20" s="121" t="str">
        <f>IF(ISBLANK(tbl_task6[[คะแนนเต็ม]:[คะแนนเต็ม]]),"",(tbl_task6[150]/tbl_task6[[คะแนนเต็ม]:[คะแนนเต็ม]])*tbl_task6[[%]:[%]])</f>
        <v/>
      </c>
      <c r="LI20" s="121" t="str">
        <f>IF(ISBLANK(tbl_task6[[คะแนนเต็ม]:[คะแนนเต็ม]]),"",(tbl_task6[151]/tbl_task6[[คะแนนเต็ม]:[คะแนนเต็ม]])*tbl_task6[[%]:[%]])</f>
        <v/>
      </c>
      <c r="LJ20" s="121" t="str">
        <f>IF(ISBLANK(tbl_task6[[คะแนนเต็ม]:[คะแนนเต็ม]]),"",(tbl_task6[152]/tbl_task6[[คะแนนเต็ม]:[คะแนนเต็ม]])*tbl_task6[[%]:[%]])</f>
        <v/>
      </c>
      <c r="LK20" s="121" t="str">
        <f>IF(ISBLANK(tbl_task6[[คะแนนเต็ม]:[คะแนนเต็ม]]),"",(tbl_task6[153]/tbl_task6[[คะแนนเต็ม]:[คะแนนเต็ม]])*tbl_task6[[%]:[%]])</f>
        <v/>
      </c>
      <c r="LL20" s="121" t="str">
        <f>IF(ISBLANK(tbl_task6[[คะแนนเต็ม]:[คะแนนเต็ม]]),"",(tbl_task6[154]/tbl_task6[[คะแนนเต็ม]:[คะแนนเต็ม]])*tbl_task6[[%]:[%]])</f>
        <v/>
      </c>
      <c r="LM20" s="121" t="str">
        <f>IF(ISBLANK(tbl_task6[[คะแนนเต็ม]:[คะแนนเต็ม]]),"",(tbl_task6[155]/tbl_task6[[คะแนนเต็ม]:[คะแนนเต็ม]])*tbl_task6[[%]:[%]])</f>
        <v/>
      </c>
      <c r="LN20" s="121" t="str">
        <f>IF(ISBLANK(tbl_task6[[คะแนนเต็ม]:[คะแนนเต็ม]]),"",(tbl_task6[156]/tbl_task6[[คะแนนเต็ม]:[คะแนนเต็ม]])*tbl_task6[[%]:[%]])</f>
        <v/>
      </c>
      <c r="LO20" s="121" t="str">
        <f>IF(ISBLANK(tbl_task6[[คะแนนเต็ม]:[คะแนนเต็ม]]),"",(tbl_task6[157]/tbl_task6[[คะแนนเต็ม]:[คะแนนเต็ม]])*tbl_task6[[%]:[%]])</f>
        <v/>
      </c>
      <c r="LP20" s="121" t="str">
        <f>IF(ISBLANK(tbl_task6[[คะแนนเต็ม]:[คะแนนเต็ม]]),"",(tbl_task6[158]/tbl_task6[[คะแนนเต็ม]:[คะแนนเต็ม]])*tbl_task6[[%]:[%]])</f>
        <v/>
      </c>
      <c r="LQ20" s="121" t="str">
        <f>IF(ISBLANK(tbl_task6[[คะแนนเต็ม]:[คะแนนเต็ม]]),"",(tbl_task6[159]/tbl_task6[[คะแนนเต็ม]:[คะแนนเต็ม]])*tbl_task6[[%]:[%]])</f>
        <v/>
      </c>
      <c r="LR20" s="121" t="str">
        <f>IF(ISBLANK(tbl_task6[[คะแนนเต็ม]:[คะแนนเต็ม]]),"",(tbl_task6[160]/tbl_task6[[คะแนนเต็ม]:[คะแนนเต็ม]])*tbl_task6[[%]:[%]])</f>
        <v/>
      </c>
      <c r="LS20" s="121" t="str">
        <f>IF(ISBLANK(tbl_task6[[คะแนนเต็ม]:[คะแนนเต็ม]]),"",(tbl_task6[161]/tbl_task6[[คะแนนเต็ม]:[คะแนนเต็ม]])*tbl_task6[[%]:[%]])</f>
        <v/>
      </c>
      <c r="LT20" s="121" t="str">
        <f>IF(ISBLANK(tbl_task6[[คะแนนเต็ม]:[คะแนนเต็ม]]),"",(tbl_task6[162]/tbl_task6[[คะแนนเต็ม]:[คะแนนเต็ม]])*tbl_task6[[%]:[%]])</f>
        <v/>
      </c>
      <c r="LU20" s="121" t="str">
        <f>IF(ISBLANK(tbl_task6[[คะแนนเต็ม]:[คะแนนเต็ม]]),"",(tbl_task6[163]/tbl_task6[[คะแนนเต็ม]:[คะแนนเต็ม]])*tbl_task6[[%]:[%]])</f>
        <v/>
      </c>
      <c r="LV20" s="121" t="str">
        <f>IF(ISBLANK(tbl_task6[[คะแนนเต็ม]:[คะแนนเต็ม]]),"",(tbl_task6[164]/tbl_task6[[คะแนนเต็ม]:[คะแนนเต็ม]])*tbl_task6[[%]:[%]])</f>
        <v/>
      </c>
      <c r="LW20" s="121" t="str">
        <f>IF(ISBLANK(tbl_task6[[คะแนนเต็ม]:[คะแนนเต็ม]]),"",(tbl_task6[165]/tbl_task6[[คะแนนเต็ม]:[คะแนนเต็ม]])*tbl_task6[[%]:[%]])</f>
        <v/>
      </c>
    </row>
    <row r="21" spans="1:335" ht="24" customHeight="1" x14ac:dyDescent="0.25">
      <c r="A21" s="24">
        <v>18</v>
      </c>
      <c r="B21" s="20"/>
      <c r="C21" s="5" t="str">
        <f>IF(ISBLANK(B21),"",VLOOKUP(B21,tbl_PLOs[],2,0))</f>
        <v/>
      </c>
      <c r="D21" s="102"/>
      <c r="E21" s="106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21" t="str">
        <f>IF(ISBLANK(tbl_task6[[คะแนนเต็ม]:[คะแนนเต็ม]]),"",(tbl_task6[1]/tbl_task6[[คะแนนเต็ม]:[คะแนนเต็ม]])*tbl_task6[[%]:[%]])</f>
        <v/>
      </c>
      <c r="FP21" s="121" t="str">
        <f>IF(ISBLANK(tbl_task6[[คะแนนเต็ม]:[คะแนนเต็ม]]),"",(tbl_task6[2]/tbl_task6[[คะแนนเต็ม]:[คะแนนเต็ม]])*tbl_task6[[%]:[%]])</f>
        <v/>
      </c>
      <c r="FQ21" s="121" t="str">
        <f>IF(ISBLANK(tbl_task6[[คะแนนเต็ม]:[คะแนนเต็ม]]),"",(tbl_task6[3]/tbl_task6[[คะแนนเต็ม]:[คะแนนเต็ม]])*tbl_task6[[%]:[%]])</f>
        <v/>
      </c>
      <c r="FR21" s="121" t="str">
        <f>IF(ISBLANK(tbl_task6[[คะแนนเต็ม]:[คะแนนเต็ม]]),"",(tbl_task6[4]/tbl_task6[[คะแนนเต็ม]:[คะแนนเต็ม]])*tbl_task6[[%]:[%]])</f>
        <v/>
      </c>
      <c r="FS21" s="121" t="str">
        <f>IF(ISBLANK(tbl_task6[[คะแนนเต็ม]:[คะแนนเต็ม]]),"",(tbl_task6[5]/tbl_task6[[คะแนนเต็ม]:[คะแนนเต็ม]])*tbl_task6[[%]:[%]])</f>
        <v/>
      </c>
      <c r="FT21" s="121" t="str">
        <f>IF(ISBLANK(tbl_task6[[คะแนนเต็ม]:[คะแนนเต็ม]]),"",(tbl_task6[6]/tbl_task6[[คะแนนเต็ม]:[คะแนนเต็ม]])*tbl_task6[[%]:[%]])</f>
        <v/>
      </c>
      <c r="FU21" s="121" t="str">
        <f>IF(ISBLANK(tbl_task6[[คะแนนเต็ม]:[คะแนนเต็ม]]),"",(tbl_task6[7]/tbl_task6[[คะแนนเต็ม]:[คะแนนเต็ม]])*tbl_task6[[%]:[%]])</f>
        <v/>
      </c>
      <c r="FV21" s="121" t="str">
        <f>IF(ISBLANK(tbl_task6[[คะแนนเต็ม]:[คะแนนเต็ม]]),"",(tbl_task6[8]/tbl_task6[[คะแนนเต็ม]:[คะแนนเต็ม]])*tbl_task6[[%]:[%]])</f>
        <v/>
      </c>
      <c r="FW21" s="121" t="str">
        <f>IF(ISBLANK(tbl_task6[[คะแนนเต็ม]:[คะแนนเต็ม]]),"",(tbl_task6[9]/tbl_task6[[คะแนนเต็ม]:[คะแนนเต็ม]])*tbl_task6[[%]:[%]])</f>
        <v/>
      </c>
      <c r="FX21" s="121" t="str">
        <f>IF(ISBLANK(tbl_task6[[คะแนนเต็ม]:[คะแนนเต็ม]]),"",(tbl_task6[10]/tbl_task6[[คะแนนเต็ม]:[คะแนนเต็ม]])*tbl_task6[[%]:[%]])</f>
        <v/>
      </c>
      <c r="FY21" s="121" t="str">
        <f>IF(ISBLANK(tbl_task6[[คะแนนเต็ม]:[คะแนนเต็ม]]),"",(tbl_task6[11]/tbl_task6[[คะแนนเต็ม]:[คะแนนเต็ม]])*tbl_task6[[%]:[%]])</f>
        <v/>
      </c>
      <c r="FZ21" s="121" t="str">
        <f>IF(ISBLANK(tbl_task6[[คะแนนเต็ม]:[คะแนนเต็ม]]),"",(tbl_task6[12]/tbl_task6[[คะแนนเต็ม]:[คะแนนเต็ม]])*tbl_task6[[%]:[%]])</f>
        <v/>
      </c>
      <c r="GA21" s="121" t="str">
        <f>IF(ISBLANK(tbl_task6[[คะแนนเต็ม]:[คะแนนเต็ม]]),"",(tbl_task6[13]/tbl_task6[[คะแนนเต็ม]:[คะแนนเต็ม]])*tbl_task6[[%]:[%]])</f>
        <v/>
      </c>
      <c r="GB21" s="121" t="str">
        <f>IF(ISBLANK(tbl_task6[[คะแนนเต็ม]:[คะแนนเต็ม]]),"",(tbl_task6[14]/tbl_task6[[คะแนนเต็ม]:[คะแนนเต็ม]])*tbl_task6[[%]:[%]])</f>
        <v/>
      </c>
      <c r="GC21" s="121" t="str">
        <f>IF(ISBLANK(tbl_task6[[คะแนนเต็ม]:[คะแนนเต็ม]]),"",(tbl_task6[15]/tbl_task6[[คะแนนเต็ม]:[คะแนนเต็ม]])*tbl_task6[[%]:[%]])</f>
        <v/>
      </c>
      <c r="GD21" s="121" t="str">
        <f>IF(ISBLANK(tbl_task6[[คะแนนเต็ม]:[คะแนนเต็ม]]),"",(tbl_task6[16]/tbl_task6[[คะแนนเต็ม]:[คะแนนเต็ม]])*tbl_task6[[%]:[%]])</f>
        <v/>
      </c>
      <c r="GE21" s="121" t="str">
        <f>IF(ISBLANK(tbl_task6[[คะแนนเต็ม]:[คะแนนเต็ม]]),"",(tbl_task6[17]/tbl_task6[[คะแนนเต็ม]:[คะแนนเต็ม]])*tbl_task6[[%]:[%]])</f>
        <v/>
      </c>
      <c r="GF21" s="121" t="str">
        <f>IF(ISBLANK(tbl_task6[[คะแนนเต็ม]:[คะแนนเต็ม]]),"",(tbl_task6[18]/tbl_task6[[คะแนนเต็ม]:[คะแนนเต็ม]])*tbl_task6[[%]:[%]])</f>
        <v/>
      </c>
      <c r="GG21" s="121" t="str">
        <f>IF(ISBLANK(tbl_task6[[คะแนนเต็ม]:[คะแนนเต็ม]]),"",(tbl_task6[19]/tbl_task6[[คะแนนเต็ม]:[คะแนนเต็ม]])*tbl_task6[[%]:[%]])</f>
        <v/>
      </c>
      <c r="GH21" s="121" t="str">
        <f>IF(ISBLANK(tbl_task6[[คะแนนเต็ม]:[คะแนนเต็ม]]),"",(tbl_task6[20]/tbl_task6[[คะแนนเต็ม]:[คะแนนเต็ม]])*tbl_task6[[%]:[%]])</f>
        <v/>
      </c>
      <c r="GI21" s="121" t="str">
        <f>IF(ISBLANK(tbl_task6[[คะแนนเต็ม]:[คะแนนเต็ม]]),"",(tbl_task6[21]/tbl_task6[[คะแนนเต็ม]:[คะแนนเต็ม]])*tbl_task6[[%]:[%]])</f>
        <v/>
      </c>
      <c r="GJ21" s="121" t="str">
        <f>IF(ISBLANK(tbl_task6[[คะแนนเต็ม]:[คะแนนเต็ม]]),"",(tbl_task6[22]/tbl_task6[[คะแนนเต็ม]:[คะแนนเต็ม]])*tbl_task6[[%]:[%]])</f>
        <v/>
      </c>
      <c r="GK21" s="121" t="str">
        <f>IF(ISBLANK(tbl_task6[[คะแนนเต็ม]:[คะแนนเต็ม]]),"",(tbl_task6[23]/tbl_task6[[คะแนนเต็ม]:[คะแนนเต็ม]])*tbl_task6[[%]:[%]])</f>
        <v/>
      </c>
      <c r="GL21" s="121" t="str">
        <f>IF(ISBLANK(tbl_task6[[คะแนนเต็ม]:[คะแนนเต็ม]]),"",(tbl_task6[24]/tbl_task6[[คะแนนเต็ม]:[คะแนนเต็ม]])*tbl_task6[[%]:[%]])</f>
        <v/>
      </c>
      <c r="GM21" s="121" t="str">
        <f>IF(ISBLANK(tbl_task6[[คะแนนเต็ม]:[คะแนนเต็ม]]),"",(tbl_task6[25]/tbl_task6[[คะแนนเต็ม]:[คะแนนเต็ม]])*tbl_task6[[%]:[%]])</f>
        <v/>
      </c>
      <c r="GN21" s="121" t="str">
        <f>IF(ISBLANK(tbl_task6[[คะแนนเต็ม]:[คะแนนเต็ม]]),"",(tbl_task6[26]/tbl_task6[[คะแนนเต็ม]:[คะแนนเต็ม]])*tbl_task6[[%]:[%]])</f>
        <v/>
      </c>
      <c r="GO21" s="121" t="str">
        <f>IF(ISBLANK(tbl_task6[[คะแนนเต็ม]:[คะแนนเต็ม]]),"",(tbl_task6[27]/tbl_task6[[คะแนนเต็ม]:[คะแนนเต็ม]])*tbl_task6[[%]:[%]])</f>
        <v/>
      </c>
      <c r="GP21" s="121" t="str">
        <f>IF(ISBLANK(tbl_task6[[คะแนนเต็ม]:[คะแนนเต็ม]]),"",(tbl_task6[28]/tbl_task6[[คะแนนเต็ม]:[คะแนนเต็ม]])*tbl_task6[[%]:[%]])</f>
        <v/>
      </c>
      <c r="GQ21" s="121" t="str">
        <f>IF(ISBLANK(tbl_task6[[คะแนนเต็ม]:[คะแนนเต็ม]]),"",(tbl_task6[29]/tbl_task6[[คะแนนเต็ม]:[คะแนนเต็ม]])*tbl_task6[[%]:[%]])</f>
        <v/>
      </c>
      <c r="GR21" s="121" t="str">
        <f>IF(ISBLANK(tbl_task6[[คะแนนเต็ม]:[คะแนนเต็ม]]),"",(tbl_task6[30]/tbl_task6[[คะแนนเต็ม]:[คะแนนเต็ม]])*tbl_task6[[%]:[%]])</f>
        <v/>
      </c>
      <c r="GS21" s="121" t="str">
        <f>IF(ISBLANK(tbl_task6[[คะแนนเต็ม]:[คะแนนเต็ม]]),"",(tbl_task6[31]/tbl_task6[[คะแนนเต็ม]:[คะแนนเต็ม]])*tbl_task6[[%]:[%]])</f>
        <v/>
      </c>
      <c r="GT21" s="121" t="str">
        <f>IF(ISBLANK(tbl_task6[[คะแนนเต็ม]:[คะแนนเต็ม]]),"",(tbl_task6[32]/tbl_task6[[คะแนนเต็ม]:[คะแนนเต็ม]])*tbl_task6[[%]:[%]])</f>
        <v/>
      </c>
      <c r="GU21" s="121" t="str">
        <f>IF(ISBLANK(tbl_task6[[คะแนนเต็ม]:[คะแนนเต็ม]]),"",(tbl_task6[33]/tbl_task6[[คะแนนเต็ม]:[คะแนนเต็ม]])*tbl_task6[[%]:[%]])</f>
        <v/>
      </c>
      <c r="GV21" s="121" t="str">
        <f>IF(ISBLANK(tbl_task6[[คะแนนเต็ม]:[คะแนนเต็ม]]),"",(tbl_task6[34]/tbl_task6[[คะแนนเต็ม]:[คะแนนเต็ม]])*tbl_task6[[%]:[%]])</f>
        <v/>
      </c>
      <c r="GW21" s="121" t="str">
        <f>IF(ISBLANK(tbl_task6[[คะแนนเต็ม]:[คะแนนเต็ม]]),"",(tbl_task6[35]/tbl_task6[[คะแนนเต็ม]:[คะแนนเต็ม]])*tbl_task6[[%]:[%]])</f>
        <v/>
      </c>
      <c r="GX21" s="121" t="str">
        <f>IF(ISBLANK(tbl_task6[[คะแนนเต็ม]:[คะแนนเต็ม]]),"",(tbl_task6[36]/tbl_task6[[คะแนนเต็ม]:[คะแนนเต็ม]])*tbl_task6[[%]:[%]])</f>
        <v/>
      </c>
      <c r="GY21" s="121" t="str">
        <f>IF(ISBLANK(tbl_task6[[คะแนนเต็ม]:[คะแนนเต็ม]]),"",(tbl_task6[37]/tbl_task6[[คะแนนเต็ม]:[คะแนนเต็ม]])*tbl_task6[[%]:[%]])</f>
        <v/>
      </c>
      <c r="GZ21" s="121" t="str">
        <f>IF(ISBLANK(tbl_task6[[คะแนนเต็ม]:[คะแนนเต็ม]]),"",(tbl_task6[38]/tbl_task6[[คะแนนเต็ม]:[คะแนนเต็ม]])*tbl_task6[[%]:[%]])</f>
        <v/>
      </c>
      <c r="HA21" s="121" t="str">
        <f>IF(ISBLANK(tbl_task6[[คะแนนเต็ม]:[คะแนนเต็ม]]),"",(tbl_task6[39]/tbl_task6[[คะแนนเต็ม]:[คะแนนเต็ม]])*tbl_task6[[%]:[%]])</f>
        <v/>
      </c>
      <c r="HB21" s="121" t="str">
        <f>IF(ISBLANK(tbl_task6[[คะแนนเต็ม]:[คะแนนเต็ม]]),"",(tbl_task6[40]/tbl_task6[[คะแนนเต็ม]:[คะแนนเต็ม]])*tbl_task6[[%]:[%]])</f>
        <v/>
      </c>
      <c r="HC21" s="121" t="str">
        <f>IF(ISBLANK(tbl_task6[[คะแนนเต็ม]:[คะแนนเต็ม]]),"",(tbl_task6[41]/tbl_task6[[คะแนนเต็ม]:[คะแนนเต็ม]])*tbl_task6[[%]:[%]])</f>
        <v/>
      </c>
      <c r="HD21" s="121" t="str">
        <f>IF(ISBLANK(tbl_task6[[คะแนนเต็ม]:[คะแนนเต็ม]]),"",(tbl_task6[42]/tbl_task6[[คะแนนเต็ม]:[คะแนนเต็ม]])*tbl_task6[[%]:[%]])</f>
        <v/>
      </c>
      <c r="HE21" s="121" t="str">
        <f>IF(ISBLANK(tbl_task6[[คะแนนเต็ม]:[คะแนนเต็ม]]),"",(tbl_task6[43]/tbl_task6[[คะแนนเต็ม]:[คะแนนเต็ม]])*tbl_task6[[%]:[%]])</f>
        <v/>
      </c>
      <c r="HF21" s="121" t="str">
        <f>IF(ISBLANK(tbl_task6[[คะแนนเต็ม]:[คะแนนเต็ม]]),"",(tbl_task6[44]/tbl_task6[[คะแนนเต็ม]:[คะแนนเต็ม]])*tbl_task6[[%]:[%]])</f>
        <v/>
      </c>
      <c r="HG21" s="121" t="str">
        <f>IF(ISBLANK(tbl_task6[[คะแนนเต็ม]:[คะแนนเต็ม]]),"",(tbl_task6[45]/tbl_task6[[คะแนนเต็ม]:[คะแนนเต็ม]])*tbl_task6[[%]:[%]])</f>
        <v/>
      </c>
      <c r="HH21" s="121" t="str">
        <f>IF(ISBLANK(tbl_task6[[คะแนนเต็ม]:[คะแนนเต็ม]]),"",(tbl_task6[46]/tbl_task6[[คะแนนเต็ม]:[คะแนนเต็ม]])*tbl_task6[[%]:[%]])</f>
        <v/>
      </c>
      <c r="HI21" s="121" t="str">
        <f>IF(ISBLANK(tbl_task6[[คะแนนเต็ม]:[คะแนนเต็ม]]),"",(tbl_task6[47]/tbl_task6[[คะแนนเต็ม]:[คะแนนเต็ม]])*tbl_task6[[%]:[%]])</f>
        <v/>
      </c>
      <c r="HJ21" s="121" t="str">
        <f>IF(ISBLANK(tbl_task6[[คะแนนเต็ม]:[คะแนนเต็ม]]),"",(tbl_task6[48]/tbl_task6[[คะแนนเต็ม]:[คะแนนเต็ม]])*tbl_task6[[%]:[%]])</f>
        <v/>
      </c>
      <c r="HK21" s="121" t="str">
        <f>IF(ISBLANK(tbl_task6[[คะแนนเต็ม]:[คะแนนเต็ม]]),"",(tbl_task6[49]/tbl_task6[[คะแนนเต็ม]:[คะแนนเต็ม]])*tbl_task6[[%]:[%]])</f>
        <v/>
      </c>
      <c r="HL21" s="121" t="str">
        <f>IF(ISBLANK(tbl_task6[[คะแนนเต็ม]:[คะแนนเต็ม]]),"",(tbl_task6[50]/tbl_task6[[คะแนนเต็ม]:[คะแนนเต็ม]])*tbl_task6[[%]:[%]])</f>
        <v/>
      </c>
      <c r="HM21" s="121" t="str">
        <f>IF(ISBLANK(tbl_task6[[คะแนนเต็ม]:[คะแนนเต็ม]]),"",(tbl_task6[51]/tbl_task6[[คะแนนเต็ม]:[คะแนนเต็ม]])*tbl_task6[[%]:[%]])</f>
        <v/>
      </c>
      <c r="HN21" s="121" t="str">
        <f>IF(ISBLANK(tbl_task6[[คะแนนเต็ม]:[คะแนนเต็ม]]),"",(tbl_task6[52]/tbl_task6[[คะแนนเต็ม]:[คะแนนเต็ม]])*tbl_task6[[%]:[%]])</f>
        <v/>
      </c>
      <c r="HO21" s="121" t="str">
        <f>IF(ISBLANK(tbl_task6[[คะแนนเต็ม]:[คะแนนเต็ม]]),"",(tbl_task6[53]/tbl_task6[[คะแนนเต็ม]:[คะแนนเต็ม]])*tbl_task6[[%]:[%]])</f>
        <v/>
      </c>
      <c r="HP21" s="121" t="str">
        <f>IF(ISBLANK(tbl_task6[[คะแนนเต็ม]:[คะแนนเต็ม]]),"",(tbl_task6[54]/tbl_task6[[คะแนนเต็ม]:[คะแนนเต็ม]])*tbl_task6[[%]:[%]])</f>
        <v/>
      </c>
      <c r="HQ21" s="121" t="str">
        <f>IF(ISBLANK(tbl_task6[[คะแนนเต็ม]:[คะแนนเต็ม]]),"",(tbl_task6[55]/tbl_task6[[คะแนนเต็ม]:[คะแนนเต็ม]])*tbl_task6[[%]:[%]])</f>
        <v/>
      </c>
      <c r="HR21" s="121" t="str">
        <f>IF(ISBLANK(tbl_task6[[คะแนนเต็ม]:[คะแนนเต็ม]]),"",(tbl_task6[56]/tbl_task6[[คะแนนเต็ม]:[คะแนนเต็ม]])*tbl_task6[[%]:[%]])</f>
        <v/>
      </c>
      <c r="HS21" s="121" t="str">
        <f>IF(ISBLANK(tbl_task6[[คะแนนเต็ม]:[คะแนนเต็ม]]),"",(tbl_task6[57]/tbl_task6[[คะแนนเต็ม]:[คะแนนเต็ม]])*tbl_task6[[%]:[%]])</f>
        <v/>
      </c>
      <c r="HT21" s="121" t="str">
        <f>IF(ISBLANK(tbl_task6[[คะแนนเต็ม]:[คะแนนเต็ม]]),"",(tbl_task6[58]/tbl_task6[[คะแนนเต็ม]:[คะแนนเต็ม]])*tbl_task6[[%]:[%]])</f>
        <v/>
      </c>
      <c r="HU21" s="121" t="str">
        <f>IF(ISBLANK(tbl_task6[[คะแนนเต็ม]:[คะแนนเต็ม]]),"",(tbl_task6[59]/tbl_task6[[คะแนนเต็ม]:[คะแนนเต็ม]])*tbl_task6[[%]:[%]])</f>
        <v/>
      </c>
      <c r="HV21" s="121" t="str">
        <f>IF(ISBLANK(tbl_task6[[คะแนนเต็ม]:[คะแนนเต็ม]]),"",(tbl_task6[60]/tbl_task6[[คะแนนเต็ม]:[คะแนนเต็ม]])*tbl_task6[[%]:[%]])</f>
        <v/>
      </c>
      <c r="HW21" s="121" t="str">
        <f>IF(ISBLANK(tbl_task6[[คะแนนเต็ม]:[คะแนนเต็ม]]),"",(tbl_task6[61]/tbl_task6[[คะแนนเต็ม]:[คะแนนเต็ม]])*tbl_task6[[%]:[%]])</f>
        <v/>
      </c>
      <c r="HX21" s="121" t="str">
        <f>IF(ISBLANK(tbl_task6[[คะแนนเต็ม]:[คะแนนเต็ม]]),"",(tbl_task6[62]/tbl_task6[[คะแนนเต็ม]:[คะแนนเต็ม]])*tbl_task6[[%]:[%]])</f>
        <v/>
      </c>
      <c r="HY21" s="121" t="str">
        <f>IF(ISBLANK(tbl_task6[[คะแนนเต็ม]:[คะแนนเต็ม]]),"",(tbl_task6[63]/tbl_task6[[คะแนนเต็ม]:[คะแนนเต็ม]])*tbl_task6[[%]:[%]])</f>
        <v/>
      </c>
      <c r="HZ21" s="121" t="str">
        <f>IF(ISBLANK(tbl_task6[[คะแนนเต็ม]:[คะแนนเต็ม]]),"",(tbl_task6[64]/tbl_task6[[คะแนนเต็ม]:[คะแนนเต็ม]])*tbl_task6[[%]:[%]])</f>
        <v/>
      </c>
      <c r="IA21" s="121" t="str">
        <f>IF(ISBLANK(tbl_task6[[คะแนนเต็ม]:[คะแนนเต็ม]]),"",(tbl_task6[65]/tbl_task6[[คะแนนเต็ม]:[คะแนนเต็ม]])*tbl_task6[[%]:[%]])</f>
        <v/>
      </c>
      <c r="IB21" s="121" t="str">
        <f>IF(ISBLANK(tbl_task6[[คะแนนเต็ม]:[คะแนนเต็ม]]),"",(tbl_task6[66]/tbl_task6[[คะแนนเต็ม]:[คะแนนเต็ม]])*tbl_task6[[%]:[%]])</f>
        <v/>
      </c>
      <c r="IC21" s="121" t="str">
        <f>IF(ISBLANK(tbl_task6[[คะแนนเต็ม]:[คะแนนเต็ม]]),"",(tbl_task6[67]/tbl_task6[[คะแนนเต็ม]:[คะแนนเต็ม]])*tbl_task6[[%]:[%]])</f>
        <v/>
      </c>
      <c r="ID21" s="121" t="str">
        <f>IF(ISBLANK(tbl_task6[[คะแนนเต็ม]:[คะแนนเต็ม]]),"",(tbl_task6[68]/tbl_task6[[คะแนนเต็ม]:[คะแนนเต็ม]])*tbl_task6[[%]:[%]])</f>
        <v/>
      </c>
      <c r="IE21" s="121" t="str">
        <f>IF(ISBLANK(tbl_task6[[คะแนนเต็ม]:[คะแนนเต็ม]]),"",(tbl_task6[69]/tbl_task6[[คะแนนเต็ม]:[คะแนนเต็ม]])*tbl_task6[[%]:[%]])</f>
        <v/>
      </c>
      <c r="IF21" s="121" t="str">
        <f>IF(ISBLANK(tbl_task6[[คะแนนเต็ม]:[คะแนนเต็ม]]),"",(tbl_task6[70]/tbl_task6[[คะแนนเต็ม]:[คะแนนเต็ม]])*tbl_task6[[%]:[%]])</f>
        <v/>
      </c>
      <c r="IG21" s="121" t="str">
        <f>IF(ISBLANK(tbl_task6[[คะแนนเต็ม]:[คะแนนเต็ม]]),"",(tbl_task6[71]/tbl_task6[[คะแนนเต็ม]:[คะแนนเต็ม]])*tbl_task6[[%]:[%]])</f>
        <v/>
      </c>
      <c r="IH21" s="121" t="str">
        <f>IF(ISBLANK(tbl_task6[[คะแนนเต็ม]:[คะแนนเต็ม]]),"",(tbl_task6[72]/tbl_task6[[คะแนนเต็ม]:[คะแนนเต็ม]])*tbl_task6[[%]:[%]])</f>
        <v/>
      </c>
      <c r="II21" s="121" t="str">
        <f>IF(ISBLANK(tbl_task6[[คะแนนเต็ม]:[คะแนนเต็ม]]),"",(tbl_task6[73]/tbl_task6[[คะแนนเต็ม]:[คะแนนเต็ม]])*tbl_task6[[%]:[%]])</f>
        <v/>
      </c>
      <c r="IJ21" s="121" t="str">
        <f>IF(ISBLANK(tbl_task6[[คะแนนเต็ม]:[คะแนนเต็ม]]),"",(tbl_task6[74]/tbl_task6[[คะแนนเต็ม]:[คะแนนเต็ม]])*tbl_task6[[%]:[%]])</f>
        <v/>
      </c>
      <c r="IK21" s="121" t="str">
        <f>IF(ISBLANK(tbl_task6[[คะแนนเต็ม]:[คะแนนเต็ม]]),"",(tbl_task6[75]/tbl_task6[[คะแนนเต็ม]:[คะแนนเต็ม]])*tbl_task6[[%]:[%]])</f>
        <v/>
      </c>
      <c r="IL21" s="121" t="str">
        <f>IF(ISBLANK(tbl_task6[[คะแนนเต็ม]:[คะแนนเต็ม]]),"",(tbl_task6[76]/tbl_task6[[คะแนนเต็ม]:[คะแนนเต็ม]])*tbl_task6[[%]:[%]])</f>
        <v/>
      </c>
      <c r="IM21" s="121" t="str">
        <f>IF(ISBLANK(tbl_task6[[คะแนนเต็ม]:[คะแนนเต็ม]]),"",(tbl_task6[77]/tbl_task6[[คะแนนเต็ม]:[คะแนนเต็ม]])*tbl_task6[[%]:[%]])</f>
        <v/>
      </c>
      <c r="IN21" s="121" t="str">
        <f>IF(ISBLANK(tbl_task6[[คะแนนเต็ม]:[คะแนนเต็ม]]),"",(tbl_task6[78]/tbl_task6[[คะแนนเต็ม]:[คะแนนเต็ม]])*tbl_task6[[%]:[%]])</f>
        <v/>
      </c>
      <c r="IO21" s="121" t="str">
        <f>IF(ISBLANK(tbl_task6[[คะแนนเต็ม]:[คะแนนเต็ม]]),"",(tbl_task6[79]/tbl_task6[[คะแนนเต็ม]:[คะแนนเต็ม]])*tbl_task6[[%]:[%]])</f>
        <v/>
      </c>
      <c r="IP21" s="121" t="str">
        <f>IF(ISBLANK(tbl_task6[[คะแนนเต็ม]:[คะแนนเต็ม]]),"",(tbl_task6[80]/tbl_task6[[คะแนนเต็ม]:[คะแนนเต็ม]])*tbl_task6[[%]:[%]])</f>
        <v/>
      </c>
      <c r="IQ21" s="121" t="str">
        <f>IF(ISBLANK(tbl_task6[[คะแนนเต็ม]:[คะแนนเต็ม]]),"",(tbl_task6[81]/tbl_task6[[คะแนนเต็ม]:[คะแนนเต็ม]])*tbl_task6[[%]:[%]])</f>
        <v/>
      </c>
      <c r="IR21" s="121" t="str">
        <f>IF(ISBLANK(tbl_task6[[คะแนนเต็ม]:[คะแนนเต็ม]]),"",(tbl_task6[82]/tbl_task6[[คะแนนเต็ม]:[คะแนนเต็ม]])*tbl_task6[[%]:[%]])</f>
        <v/>
      </c>
      <c r="IS21" s="121" t="str">
        <f>IF(ISBLANK(tbl_task6[[คะแนนเต็ม]:[คะแนนเต็ม]]),"",(tbl_task6[83]/tbl_task6[[คะแนนเต็ม]:[คะแนนเต็ม]])*tbl_task6[[%]:[%]])</f>
        <v/>
      </c>
      <c r="IT21" s="121" t="str">
        <f>IF(ISBLANK(tbl_task6[[คะแนนเต็ม]:[คะแนนเต็ม]]),"",(tbl_task6[84]/tbl_task6[[คะแนนเต็ม]:[คะแนนเต็ม]])*tbl_task6[[%]:[%]])</f>
        <v/>
      </c>
      <c r="IU21" s="121" t="str">
        <f>IF(ISBLANK(tbl_task6[[คะแนนเต็ม]:[คะแนนเต็ม]]),"",(tbl_task6[85]/tbl_task6[[คะแนนเต็ม]:[คะแนนเต็ม]])*tbl_task6[[%]:[%]])</f>
        <v/>
      </c>
      <c r="IV21" s="121" t="str">
        <f>IF(ISBLANK(tbl_task6[[คะแนนเต็ม]:[คะแนนเต็ม]]),"",(tbl_task6[86]/tbl_task6[[คะแนนเต็ม]:[คะแนนเต็ม]])*tbl_task6[[%]:[%]])</f>
        <v/>
      </c>
      <c r="IW21" s="121" t="str">
        <f>IF(ISBLANK(tbl_task6[[คะแนนเต็ม]:[คะแนนเต็ม]]),"",(tbl_task6[87]/tbl_task6[[คะแนนเต็ม]:[คะแนนเต็ม]])*tbl_task6[[%]:[%]])</f>
        <v/>
      </c>
      <c r="IX21" s="121" t="str">
        <f>IF(ISBLANK(tbl_task6[[คะแนนเต็ม]:[คะแนนเต็ม]]),"",(tbl_task6[88]/tbl_task6[[คะแนนเต็ม]:[คะแนนเต็ม]])*tbl_task6[[%]:[%]])</f>
        <v/>
      </c>
      <c r="IY21" s="121" t="str">
        <f>IF(ISBLANK(tbl_task6[[คะแนนเต็ม]:[คะแนนเต็ม]]),"",(tbl_task6[89]/tbl_task6[[คะแนนเต็ม]:[คะแนนเต็ม]])*tbl_task6[[%]:[%]])</f>
        <v/>
      </c>
      <c r="IZ21" s="121" t="str">
        <f>IF(ISBLANK(tbl_task6[[คะแนนเต็ม]:[คะแนนเต็ม]]),"",(tbl_task6[90]/tbl_task6[[คะแนนเต็ม]:[คะแนนเต็ม]])*tbl_task6[[%]:[%]])</f>
        <v/>
      </c>
      <c r="JA21" s="121" t="str">
        <f>IF(ISBLANK(tbl_task6[[คะแนนเต็ม]:[คะแนนเต็ม]]),"",(tbl_task6[91]/tbl_task6[[คะแนนเต็ม]:[คะแนนเต็ม]])*tbl_task6[[%]:[%]])</f>
        <v/>
      </c>
      <c r="JB21" s="121" t="str">
        <f>IF(ISBLANK(tbl_task6[[คะแนนเต็ม]:[คะแนนเต็ม]]),"",(tbl_task6[92]/tbl_task6[[คะแนนเต็ม]:[คะแนนเต็ม]])*tbl_task6[[%]:[%]])</f>
        <v/>
      </c>
      <c r="JC21" s="121" t="str">
        <f>IF(ISBLANK(tbl_task6[[คะแนนเต็ม]:[คะแนนเต็ม]]),"",(tbl_task6[93]/tbl_task6[[คะแนนเต็ม]:[คะแนนเต็ม]])*tbl_task6[[%]:[%]])</f>
        <v/>
      </c>
      <c r="JD21" s="121" t="str">
        <f>IF(ISBLANK(tbl_task6[[คะแนนเต็ม]:[คะแนนเต็ม]]),"",(tbl_task6[94]/tbl_task6[[คะแนนเต็ม]:[คะแนนเต็ม]])*tbl_task6[[%]:[%]])</f>
        <v/>
      </c>
      <c r="JE21" s="121" t="str">
        <f>IF(ISBLANK(tbl_task6[[คะแนนเต็ม]:[คะแนนเต็ม]]),"",(tbl_task6[95]/tbl_task6[[คะแนนเต็ม]:[คะแนนเต็ม]])*tbl_task6[[%]:[%]])</f>
        <v/>
      </c>
      <c r="JF21" s="121" t="str">
        <f>IF(ISBLANK(tbl_task6[[คะแนนเต็ม]:[คะแนนเต็ม]]),"",(tbl_task6[96]/tbl_task6[[คะแนนเต็ม]:[คะแนนเต็ม]])*tbl_task6[[%]:[%]])</f>
        <v/>
      </c>
      <c r="JG21" s="121" t="str">
        <f>IF(ISBLANK(tbl_task6[[คะแนนเต็ม]:[คะแนนเต็ม]]),"",(tbl_task6[97]/tbl_task6[[คะแนนเต็ม]:[คะแนนเต็ม]])*tbl_task6[[%]:[%]])</f>
        <v/>
      </c>
      <c r="JH21" s="121" t="str">
        <f>IF(ISBLANK(tbl_task6[[คะแนนเต็ม]:[คะแนนเต็ม]]),"",(tbl_task6[98]/tbl_task6[[คะแนนเต็ม]:[คะแนนเต็ม]])*tbl_task6[[%]:[%]])</f>
        <v/>
      </c>
      <c r="JI21" s="121" t="str">
        <f>IF(ISBLANK(tbl_task6[[คะแนนเต็ม]:[คะแนนเต็ม]]),"",(tbl_task6[99]/tbl_task6[[คะแนนเต็ม]:[คะแนนเต็ม]])*tbl_task6[[%]:[%]])</f>
        <v/>
      </c>
      <c r="JJ21" s="121" t="str">
        <f>IF(ISBLANK(tbl_task6[[คะแนนเต็ม]:[คะแนนเต็ม]]),"",(tbl_task6[100]/tbl_task6[[คะแนนเต็ม]:[คะแนนเต็ม]])*tbl_task6[[%]:[%]])</f>
        <v/>
      </c>
      <c r="JK21" s="121" t="str">
        <f>IF(ISBLANK(tbl_task6[[คะแนนเต็ม]:[คะแนนเต็ม]]),"",(tbl_task6[101]/tbl_task6[[คะแนนเต็ม]:[คะแนนเต็ม]])*tbl_task6[[%]:[%]])</f>
        <v/>
      </c>
      <c r="JL21" s="121" t="str">
        <f>IF(ISBLANK(tbl_task6[[คะแนนเต็ม]:[คะแนนเต็ม]]),"",(tbl_task6[102]/tbl_task6[[คะแนนเต็ม]:[คะแนนเต็ม]])*tbl_task6[[%]:[%]])</f>
        <v/>
      </c>
      <c r="JM21" s="121" t="str">
        <f>IF(ISBLANK(tbl_task6[[คะแนนเต็ม]:[คะแนนเต็ม]]),"",(tbl_task6[103]/tbl_task6[[คะแนนเต็ม]:[คะแนนเต็ม]])*tbl_task6[[%]:[%]])</f>
        <v/>
      </c>
      <c r="JN21" s="121" t="str">
        <f>IF(ISBLANK(tbl_task6[[คะแนนเต็ม]:[คะแนนเต็ม]]),"",(tbl_task6[104]/tbl_task6[[คะแนนเต็ม]:[คะแนนเต็ม]])*tbl_task6[[%]:[%]])</f>
        <v/>
      </c>
      <c r="JO21" s="121" t="str">
        <f>IF(ISBLANK(tbl_task6[[คะแนนเต็ม]:[คะแนนเต็ม]]),"",(tbl_task6[105]/tbl_task6[[คะแนนเต็ม]:[คะแนนเต็ม]])*tbl_task6[[%]:[%]])</f>
        <v/>
      </c>
      <c r="JP21" s="121" t="str">
        <f>IF(ISBLANK(tbl_task6[[คะแนนเต็ม]:[คะแนนเต็ม]]),"",(tbl_task6[106]/tbl_task6[[คะแนนเต็ม]:[คะแนนเต็ม]])*tbl_task6[[%]:[%]])</f>
        <v/>
      </c>
      <c r="JQ21" s="121" t="str">
        <f>IF(ISBLANK(tbl_task6[[คะแนนเต็ม]:[คะแนนเต็ม]]),"",(tbl_task6[107]/tbl_task6[[คะแนนเต็ม]:[คะแนนเต็ม]])*tbl_task6[[%]:[%]])</f>
        <v/>
      </c>
      <c r="JR21" s="121" t="str">
        <f>IF(ISBLANK(tbl_task6[[คะแนนเต็ม]:[คะแนนเต็ม]]),"",(tbl_task6[108]/tbl_task6[[คะแนนเต็ม]:[คะแนนเต็ม]])*tbl_task6[[%]:[%]])</f>
        <v/>
      </c>
      <c r="JS21" s="121" t="str">
        <f>IF(ISBLANK(tbl_task6[[คะแนนเต็ม]:[คะแนนเต็ม]]),"",(tbl_task6[109]/tbl_task6[[คะแนนเต็ม]:[คะแนนเต็ม]])*tbl_task6[[%]:[%]])</f>
        <v/>
      </c>
      <c r="JT21" s="121" t="str">
        <f>IF(ISBLANK(tbl_task6[[คะแนนเต็ม]:[คะแนนเต็ม]]),"",(tbl_task6[110]/tbl_task6[[คะแนนเต็ม]:[คะแนนเต็ม]])*tbl_task6[[%]:[%]])</f>
        <v/>
      </c>
      <c r="JU21" s="121" t="str">
        <f>IF(ISBLANK(tbl_task6[[คะแนนเต็ม]:[คะแนนเต็ม]]),"",(tbl_task6[111]/tbl_task6[[คะแนนเต็ม]:[คะแนนเต็ม]])*tbl_task6[[%]:[%]])</f>
        <v/>
      </c>
      <c r="JV21" s="121" t="str">
        <f>IF(ISBLANK(tbl_task6[[คะแนนเต็ม]:[คะแนนเต็ม]]),"",(tbl_task6[112]/tbl_task6[[คะแนนเต็ม]:[คะแนนเต็ม]])*tbl_task6[[%]:[%]])</f>
        <v/>
      </c>
      <c r="JW21" s="121" t="str">
        <f>IF(ISBLANK(tbl_task6[[คะแนนเต็ม]:[คะแนนเต็ม]]),"",(tbl_task6[113]/tbl_task6[[คะแนนเต็ม]:[คะแนนเต็ม]])*tbl_task6[[%]:[%]])</f>
        <v/>
      </c>
      <c r="JX21" s="121" t="str">
        <f>IF(ISBLANK(tbl_task6[[คะแนนเต็ม]:[คะแนนเต็ม]]),"",(tbl_task6[114]/tbl_task6[[คะแนนเต็ม]:[คะแนนเต็ม]])*tbl_task6[[%]:[%]])</f>
        <v/>
      </c>
      <c r="JY21" s="121" t="str">
        <f>IF(ISBLANK(tbl_task6[[คะแนนเต็ม]:[คะแนนเต็ม]]),"",(tbl_task6[115]/tbl_task6[[คะแนนเต็ม]:[คะแนนเต็ม]])*tbl_task6[[%]:[%]])</f>
        <v/>
      </c>
      <c r="JZ21" s="121" t="str">
        <f>IF(ISBLANK(tbl_task6[[คะแนนเต็ม]:[คะแนนเต็ม]]),"",(tbl_task6[116]/tbl_task6[[คะแนนเต็ม]:[คะแนนเต็ม]])*tbl_task6[[%]:[%]])</f>
        <v/>
      </c>
      <c r="KA21" s="121" t="str">
        <f>IF(ISBLANK(tbl_task6[[คะแนนเต็ม]:[คะแนนเต็ม]]),"",(tbl_task6[117]/tbl_task6[[คะแนนเต็ม]:[คะแนนเต็ม]])*tbl_task6[[%]:[%]])</f>
        <v/>
      </c>
      <c r="KB21" s="121" t="str">
        <f>IF(ISBLANK(tbl_task6[[คะแนนเต็ม]:[คะแนนเต็ม]]),"",(tbl_task6[118]/tbl_task6[[คะแนนเต็ม]:[คะแนนเต็ม]])*tbl_task6[[%]:[%]])</f>
        <v/>
      </c>
      <c r="KC21" s="121" t="str">
        <f>IF(ISBLANK(tbl_task6[[คะแนนเต็ม]:[คะแนนเต็ม]]),"",(tbl_task6[119]/tbl_task6[[คะแนนเต็ม]:[คะแนนเต็ม]])*tbl_task6[[%]:[%]])</f>
        <v/>
      </c>
      <c r="KD21" s="121" t="str">
        <f>IF(ISBLANK(tbl_task6[[คะแนนเต็ม]:[คะแนนเต็ม]]),"",(tbl_task6[120]/tbl_task6[[คะแนนเต็ม]:[คะแนนเต็ม]])*tbl_task6[[%]:[%]])</f>
        <v/>
      </c>
      <c r="KE21" s="121" t="str">
        <f>IF(ISBLANK(tbl_task6[[คะแนนเต็ม]:[คะแนนเต็ม]]),"",(tbl_task6[121]/tbl_task6[[คะแนนเต็ม]:[คะแนนเต็ม]])*tbl_task6[[%]:[%]])</f>
        <v/>
      </c>
      <c r="KF21" s="121" t="str">
        <f>IF(ISBLANK(tbl_task6[[คะแนนเต็ม]:[คะแนนเต็ม]]),"",(tbl_task6[122]/tbl_task6[[คะแนนเต็ม]:[คะแนนเต็ม]])*tbl_task6[[%]:[%]])</f>
        <v/>
      </c>
      <c r="KG21" s="121" t="str">
        <f>IF(ISBLANK(tbl_task6[[คะแนนเต็ม]:[คะแนนเต็ม]]),"",(tbl_task6[123]/tbl_task6[[คะแนนเต็ม]:[คะแนนเต็ม]])*tbl_task6[[%]:[%]])</f>
        <v/>
      </c>
      <c r="KH21" s="121" t="str">
        <f>IF(ISBLANK(tbl_task6[[คะแนนเต็ม]:[คะแนนเต็ม]]),"",(tbl_task6[124]/tbl_task6[[คะแนนเต็ม]:[คะแนนเต็ม]])*tbl_task6[[%]:[%]])</f>
        <v/>
      </c>
      <c r="KI21" s="121" t="str">
        <f>IF(ISBLANK(tbl_task6[[คะแนนเต็ม]:[คะแนนเต็ม]]),"",(tbl_task6[125]/tbl_task6[[คะแนนเต็ม]:[คะแนนเต็ม]])*tbl_task6[[%]:[%]])</f>
        <v/>
      </c>
      <c r="KJ21" s="121" t="str">
        <f>IF(ISBLANK(tbl_task6[[คะแนนเต็ม]:[คะแนนเต็ม]]),"",(tbl_task6[126]/tbl_task6[[คะแนนเต็ม]:[คะแนนเต็ม]])*tbl_task6[[%]:[%]])</f>
        <v/>
      </c>
      <c r="KK21" s="121" t="str">
        <f>IF(ISBLANK(tbl_task6[[คะแนนเต็ม]:[คะแนนเต็ม]]),"",(tbl_task6[127]/tbl_task6[[คะแนนเต็ม]:[คะแนนเต็ม]])*tbl_task6[[%]:[%]])</f>
        <v/>
      </c>
      <c r="KL21" s="121" t="str">
        <f>IF(ISBLANK(tbl_task6[[คะแนนเต็ม]:[คะแนนเต็ม]]),"",(tbl_task6[128]/tbl_task6[[คะแนนเต็ม]:[คะแนนเต็ม]])*tbl_task6[[%]:[%]])</f>
        <v/>
      </c>
      <c r="KM21" s="121" t="str">
        <f>IF(ISBLANK(tbl_task6[[คะแนนเต็ม]:[คะแนนเต็ม]]),"",(tbl_task6[129]/tbl_task6[[คะแนนเต็ม]:[คะแนนเต็ม]])*tbl_task6[[%]:[%]])</f>
        <v/>
      </c>
      <c r="KN21" s="121" t="str">
        <f>IF(ISBLANK(tbl_task6[[คะแนนเต็ม]:[คะแนนเต็ม]]),"",(tbl_task6[130]/tbl_task6[[คะแนนเต็ม]:[คะแนนเต็ม]])*tbl_task6[[%]:[%]])</f>
        <v/>
      </c>
      <c r="KO21" s="121" t="str">
        <f>IF(ISBLANK(tbl_task6[[คะแนนเต็ม]:[คะแนนเต็ม]]),"",(tbl_task6[131]/tbl_task6[[คะแนนเต็ม]:[คะแนนเต็ม]])*tbl_task6[[%]:[%]])</f>
        <v/>
      </c>
      <c r="KP21" s="121" t="str">
        <f>IF(ISBLANK(tbl_task6[[คะแนนเต็ม]:[คะแนนเต็ม]]),"",(tbl_task6[132]/tbl_task6[[คะแนนเต็ม]:[คะแนนเต็ม]])*tbl_task6[[%]:[%]])</f>
        <v/>
      </c>
      <c r="KQ21" s="121" t="str">
        <f>IF(ISBLANK(tbl_task6[[คะแนนเต็ม]:[คะแนนเต็ม]]),"",(tbl_task6[133]/tbl_task6[[คะแนนเต็ม]:[คะแนนเต็ม]])*tbl_task6[[%]:[%]])</f>
        <v/>
      </c>
      <c r="KR21" s="121" t="str">
        <f>IF(ISBLANK(tbl_task6[[คะแนนเต็ม]:[คะแนนเต็ม]]),"",(tbl_task6[134]/tbl_task6[[คะแนนเต็ม]:[คะแนนเต็ม]])*tbl_task6[[%]:[%]])</f>
        <v/>
      </c>
      <c r="KS21" s="121" t="str">
        <f>IF(ISBLANK(tbl_task6[[คะแนนเต็ม]:[คะแนนเต็ม]]),"",(tbl_task6[135]/tbl_task6[[คะแนนเต็ม]:[คะแนนเต็ม]])*tbl_task6[[%]:[%]])</f>
        <v/>
      </c>
      <c r="KT21" s="121" t="str">
        <f>IF(ISBLANK(tbl_task6[[คะแนนเต็ม]:[คะแนนเต็ม]]),"",(tbl_task6[136]/tbl_task6[[คะแนนเต็ม]:[คะแนนเต็ม]])*tbl_task6[[%]:[%]])</f>
        <v/>
      </c>
      <c r="KU21" s="121" t="str">
        <f>IF(ISBLANK(tbl_task6[[คะแนนเต็ม]:[คะแนนเต็ม]]),"",(tbl_task6[137]/tbl_task6[[คะแนนเต็ม]:[คะแนนเต็ม]])*tbl_task6[[%]:[%]])</f>
        <v/>
      </c>
      <c r="KV21" s="121" t="str">
        <f>IF(ISBLANK(tbl_task6[[คะแนนเต็ม]:[คะแนนเต็ม]]),"",(tbl_task6[138]/tbl_task6[[คะแนนเต็ม]:[คะแนนเต็ม]])*tbl_task6[[%]:[%]])</f>
        <v/>
      </c>
      <c r="KW21" s="121" t="str">
        <f>IF(ISBLANK(tbl_task6[[คะแนนเต็ม]:[คะแนนเต็ม]]),"",(tbl_task6[139]/tbl_task6[[คะแนนเต็ม]:[คะแนนเต็ม]])*tbl_task6[[%]:[%]])</f>
        <v/>
      </c>
      <c r="KX21" s="121" t="str">
        <f>IF(ISBLANK(tbl_task6[[คะแนนเต็ม]:[คะแนนเต็ม]]),"",(tbl_task6[140]/tbl_task6[[คะแนนเต็ม]:[คะแนนเต็ม]])*tbl_task6[[%]:[%]])</f>
        <v/>
      </c>
      <c r="KY21" s="121" t="str">
        <f>IF(ISBLANK(tbl_task6[[คะแนนเต็ม]:[คะแนนเต็ม]]),"",(tbl_task6[141]/tbl_task6[[คะแนนเต็ม]:[คะแนนเต็ม]])*tbl_task6[[%]:[%]])</f>
        <v/>
      </c>
      <c r="KZ21" s="121" t="str">
        <f>IF(ISBLANK(tbl_task6[[คะแนนเต็ม]:[คะแนนเต็ม]]),"",(tbl_task6[142]/tbl_task6[[คะแนนเต็ม]:[คะแนนเต็ม]])*tbl_task6[[%]:[%]])</f>
        <v/>
      </c>
      <c r="LA21" s="121" t="str">
        <f>IF(ISBLANK(tbl_task6[[คะแนนเต็ม]:[คะแนนเต็ม]]),"",(tbl_task6[143]/tbl_task6[[คะแนนเต็ม]:[คะแนนเต็ม]])*tbl_task6[[%]:[%]])</f>
        <v/>
      </c>
      <c r="LB21" s="121" t="str">
        <f>IF(ISBLANK(tbl_task6[[คะแนนเต็ม]:[คะแนนเต็ม]]),"",(tbl_task6[144]/tbl_task6[[คะแนนเต็ม]:[คะแนนเต็ม]])*tbl_task6[[%]:[%]])</f>
        <v/>
      </c>
      <c r="LC21" s="121" t="str">
        <f>IF(ISBLANK(tbl_task6[[คะแนนเต็ม]:[คะแนนเต็ม]]),"",(tbl_task6[145]/tbl_task6[[คะแนนเต็ม]:[คะแนนเต็ม]])*tbl_task6[[%]:[%]])</f>
        <v/>
      </c>
      <c r="LD21" s="121" t="str">
        <f>IF(ISBLANK(tbl_task6[[คะแนนเต็ม]:[คะแนนเต็ม]]),"",(tbl_task6[146]/tbl_task6[[คะแนนเต็ม]:[คะแนนเต็ม]])*tbl_task6[[%]:[%]])</f>
        <v/>
      </c>
      <c r="LE21" s="121" t="str">
        <f>IF(ISBLANK(tbl_task6[[คะแนนเต็ม]:[คะแนนเต็ม]]),"",(tbl_task6[147]/tbl_task6[[คะแนนเต็ม]:[คะแนนเต็ม]])*tbl_task6[[%]:[%]])</f>
        <v/>
      </c>
      <c r="LF21" s="121" t="str">
        <f>IF(ISBLANK(tbl_task6[[คะแนนเต็ม]:[คะแนนเต็ม]]),"",(tbl_task6[148]/tbl_task6[[คะแนนเต็ม]:[คะแนนเต็ม]])*tbl_task6[[%]:[%]])</f>
        <v/>
      </c>
      <c r="LG21" s="121" t="str">
        <f>IF(ISBLANK(tbl_task6[[คะแนนเต็ม]:[คะแนนเต็ม]]),"",(tbl_task6[149]/tbl_task6[[คะแนนเต็ม]:[คะแนนเต็ม]])*tbl_task6[[%]:[%]])</f>
        <v/>
      </c>
      <c r="LH21" s="121" t="str">
        <f>IF(ISBLANK(tbl_task6[[คะแนนเต็ม]:[คะแนนเต็ม]]),"",(tbl_task6[150]/tbl_task6[[คะแนนเต็ม]:[คะแนนเต็ม]])*tbl_task6[[%]:[%]])</f>
        <v/>
      </c>
      <c r="LI21" s="121" t="str">
        <f>IF(ISBLANK(tbl_task6[[คะแนนเต็ม]:[คะแนนเต็ม]]),"",(tbl_task6[151]/tbl_task6[[คะแนนเต็ม]:[คะแนนเต็ม]])*tbl_task6[[%]:[%]])</f>
        <v/>
      </c>
      <c r="LJ21" s="121" t="str">
        <f>IF(ISBLANK(tbl_task6[[คะแนนเต็ม]:[คะแนนเต็ม]]),"",(tbl_task6[152]/tbl_task6[[คะแนนเต็ม]:[คะแนนเต็ม]])*tbl_task6[[%]:[%]])</f>
        <v/>
      </c>
      <c r="LK21" s="121" t="str">
        <f>IF(ISBLANK(tbl_task6[[คะแนนเต็ม]:[คะแนนเต็ม]]),"",(tbl_task6[153]/tbl_task6[[คะแนนเต็ม]:[คะแนนเต็ม]])*tbl_task6[[%]:[%]])</f>
        <v/>
      </c>
      <c r="LL21" s="121" t="str">
        <f>IF(ISBLANK(tbl_task6[[คะแนนเต็ม]:[คะแนนเต็ม]]),"",(tbl_task6[154]/tbl_task6[[คะแนนเต็ม]:[คะแนนเต็ม]])*tbl_task6[[%]:[%]])</f>
        <v/>
      </c>
      <c r="LM21" s="121" t="str">
        <f>IF(ISBLANK(tbl_task6[[คะแนนเต็ม]:[คะแนนเต็ม]]),"",(tbl_task6[155]/tbl_task6[[คะแนนเต็ม]:[คะแนนเต็ม]])*tbl_task6[[%]:[%]])</f>
        <v/>
      </c>
      <c r="LN21" s="121" t="str">
        <f>IF(ISBLANK(tbl_task6[[คะแนนเต็ม]:[คะแนนเต็ม]]),"",(tbl_task6[156]/tbl_task6[[คะแนนเต็ม]:[คะแนนเต็ม]])*tbl_task6[[%]:[%]])</f>
        <v/>
      </c>
      <c r="LO21" s="121" t="str">
        <f>IF(ISBLANK(tbl_task6[[คะแนนเต็ม]:[คะแนนเต็ม]]),"",(tbl_task6[157]/tbl_task6[[คะแนนเต็ม]:[คะแนนเต็ม]])*tbl_task6[[%]:[%]])</f>
        <v/>
      </c>
      <c r="LP21" s="121" t="str">
        <f>IF(ISBLANK(tbl_task6[[คะแนนเต็ม]:[คะแนนเต็ม]]),"",(tbl_task6[158]/tbl_task6[[คะแนนเต็ม]:[คะแนนเต็ม]])*tbl_task6[[%]:[%]])</f>
        <v/>
      </c>
      <c r="LQ21" s="121" t="str">
        <f>IF(ISBLANK(tbl_task6[[คะแนนเต็ม]:[คะแนนเต็ม]]),"",(tbl_task6[159]/tbl_task6[[คะแนนเต็ม]:[คะแนนเต็ม]])*tbl_task6[[%]:[%]])</f>
        <v/>
      </c>
      <c r="LR21" s="121" t="str">
        <f>IF(ISBLANK(tbl_task6[[คะแนนเต็ม]:[คะแนนเต็ม]]),"",(tbl_task6[160]/tbl_task6[[คะแนนเต็ม]:[คะแนนเต็ม]])*tbl_task6[[%]:[%]])</f>
        <v/>
      </c>
      <c r="LS21" s="121" t="str">
        <f>IF(ISBLANK(tbl_task6[[คะแนนเต็ม]:[คะแนนเต็ม]]),"",(tbl_task6[161]/tbl_task6[[คะแนนเต็ม]:[คะแนนเต็ม]])*tbl_task6[[%]:[%]])</f>
        <v/>
      </c>
      <c r="LT21" s="121" t="str">
        <f>IF(ISBLANK(tbl_task6[[คะแนนเต็ม]:[คะแนนเต็ม]]),"",(tbl_task6[162]/tbl_task6[[คะแนนเต็ม]:[คะแนนเต็ม]])*tbl_task6[[%]:[%]])</f>
        <v/>
      </c>
      <c r="LU21" s="121" t="str">
        <f>IF(ISBLANK(tbl_task6[[คะแนนเต็ม]:[คะแนนเต็ม]]),"",(tbl_task6[163]/tbl_task6[[คะแนนเต็ม]:[คะแนนเต็ม]])*tbl_task6[[%]:[%]])</f>
        <v/>
      </c>
      <c r="LV21" s="121" t="str">
        <f>IF(ISBLANK(tbl_task6[[คะแนนเต็ม]:[คะแนนเต็ม]]),"",(tbl_task6[164]/tbl_task6[[คะแนนเต็ม]:[คะแนนเต็ม]])*tbl_task6[[%]:[%]])</f>
        <v/>
      </c>
      <c r="LW21" s="121" t="str">
        <f>IF(ISBLANK(tbl_task6[[คะแนนเต็ม]:[คะแนนเต็ม]]),"",(tbl_task6[165]/tbl_task6[[คะแนนเต็ม]:[คะแนนเต็ม]])*tbl_task6[[%]:[%]])</f>
        <v/>
      </c>
    </row>
    <row r="22" spans="1:335" ht="24" customHeight="1" x14ac:dyDescent="0.25">
      <c r="A22" s="24">
        <v>19</v>
      </c>
      <c r="B22" s="20"/>
      <c r="C22" s="5" t="str">
        <f>IF(ISBLANK(B22),"",VLOOKUP(B22,tbl_PLOs[],2,0))</f>
        <v/>
      </c>
      <c r="D22" s="102"/>
      <c r="E22" s="106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121" t="str">
        <f>IF(ISBLANK(tbl_task6[[คะแนนเต็ม]:[คะแนนเต็ม]]),"",(tbl_task6[1]/tbl_task6[[คะแนนเต็ม]:[คะแนนเต็ม]])*tbl_task6[[%]:[%]])</f>
        <v/>
      </c>
      <c r="FP22" s="121" t="str">
        <f>IF(ISBLANK(tbl_task6[[คะแนนเต็ม]:[คะแนนเต็ม]]),"",(tbl_task6[2]/tbl_task6[[คะแนนเต็ม]:[คะแนนเต็ม]])*tbl_task6[[%]:[%]])</f>
        <v/>
      </c>
      <c r="FQ22" s="121" t="str">
        <f>IF(ISBLANK(tbl_task6[[คะแนนเต็ม]:[คะแนนเต็ม]]),"",(tbl_task6[3]/tbl_task6[[คะแนนเต็ม]:[คะแนนเต็ม]])*tbl_task6[[%]:[%]])</f>
        <v/>
      </c>
      <c r="FR22" s="121" t="str">
        <f>IF(ISBLANK(tbl_task6[[คะแนนเต็ม]:[คะแนนเต็ม]]),"",(tbl_task6[4]/tbl_task6[[คะแนนเต็ม]:[คะแนนเต็ม]])*tbl_task6[[%]:[%]])</f>
        <v/>
      </c>
      <c r="FS22" s="121" t="str">
        <f>IF(ISBLANK(tbl_task6[[คะแนนเต็ม]:[คะแนนเต็ม]]),"",(tbl_task6[5]/tbl_task6[[คะแนนเต็ม]:[คะแนนเต็ม]])*tbl_task6[[%]:[%]])</f>
        <v/>
      </c>
      <c r="FT22" s="121" t="str">
        <f>IF(ISBLANK(tbl_task6[[คะแนนเต็ม]:[คะแนนเต็ม]]),"",(tbl_task6[6]/tbl_task6[[คะแนนเต็ม]:[คะแนนเต็ม]])*tbl_task6[[%]:[%]])</f>
        <v/>
      </c>
      <c r="FU22" s="121" t="str">
        <f>IF(ISBLANK(tbl_task6[[คะแนนเต็ม]:[คะแนนเต็ม]]),"",(tbl_task6[7]/tbl_task6[[คะแนนเต็ม]:[คะแนนเต็ม]])*tbl_task6[[%]:[%]])</f>
        <v/>
      </c>
      <c r="FV22" s="121" t="str">
        <f>IF(ISBLANK(tbl_task6[[คะแนนเต็ม]:[คะแนนเต็ม]]),"",(tbl_task6[8]/tbl_task6[[คะแนนเต็ม]:[คะแนนเต็ม]])*tbl_task6[[%]:[%]])</f>
        <v/>
      </c>
      <c r="FW22" s="121" t="str">
        <f>IF(ISBLANK(tbl_task6[[คะแนนเต็ม]:[คะแนนเต็ม]]),"",(tbl_task6[9]/tbl_task6[[คะแนนเต็ม]:[คะแนนเต็ม]])*tbl_task6[[%]:[%]])</f>
        <v/>
      </c>
      <c r="FX22" s="121" t="str">
        <f>IF(ISBLANK(tbl_task6[[คะแนนเต็ม]:[คะแนนเต็ม]]),"",(tbl_task6[10]/tbl_task6[[คะแนนเต็ม]:[คะแนนเต็ม]])*tbl_task6[[%]:[%]])</f>
        <v/>
      </c>
      <c r="FY22" s="121" t="str">
        <f>IF(ISBLANK(tbl_task6[[คะแนนเต็ม]:[คะแนนเต็ม]]),"",(tbl_task6[11]/tbl_task6[[คะแนนเต็ม]:[คะแนนเต็ม]])*tbl_task6[[%]:[%]])</f>
        <v/>
      </c>
      <c r="FZ22" s="121" t="str">
        <f>IF(ISBLANK(tbl_task6[[คะแนนเต็ม]:[คะแนนเต็ม]]),"",(tbl_task6[12]/tbl_task6[[คะแนนเต็ม]:[คะแนนเต็ม]])*tbl_task6[[%]:[%]])</f>
        <v/>
      </c>
      <c r="GA22" s="121" t="str">
        <f>IF(ISBLANK(tbl_task6[[คะแนนเต็ม]:[คะแนนเต็ม]]),"",(tbl_task6[13]/tbl_task6[[คะแนนเต็ม]:[คะแนนเต็ม]])*tbl_task6[[%]:[%]])</f>
        <v/>
      </c>
      <c r="GB22" s="121" t="str">
        <f>IF(ISBLANK(tbl_task6[[คะแนนเต็ม]:[คะแนนเต็ม]]),"",(tbl_task6[14]/tbl_task6[[คะแนนเต็ม]:[คะแนนเต็ม]])*tbl_task6[[%]:[%]])</f>
        <v/>
      </c>
      <c r="GC22" s="121" t="str">
        <f>IF(ISBLANK(tbl_task6[[คะแนนเต็ม]:[คะแนนเต็ม]]),"",(tbl_task6[15]/tbl_task6[[คะแนนเต็ม]:[คะแนนเต็ม]])*tbl_task6[[%]:[%]])</f>
        <v/>
      </c>
      <c r="GD22" s="121" t="str">
        <f>IF(ISBLANK(tbl_task6[[คะแนนเต็ม]:[คะแนนเต็ม]]),"",(tbl_task6[16]/tbl_task6[[คะแนนเต็ม]:[คะแนนเต็ม]])*tbl_task6[[%]:[%]])</f>
        <v/>
      </c>
      <c r="GE22" s="121" t="str">
        <f>IF(ISBLANK(tbl_task6[[คะแนนเต็ม]:[คะแนนเต็ม]]),"",(tbl_task6[17]/tbl_task6[[คะแนนเต็ม]:[คะแนนเต็ม]])*tbl_task6[[%]:[%]])</f>
        <v/>
      </c>
      <c r="GF22" s="121" t="str">
        <f>IF(ISBLANK(tbl_task6[[คะแนนเต็ม]:[คะแนนเต็ม]]),"",(tbl_task6[18]/tbl_task6[[คะแนนเต็ม]:[คะแนนเต็ม]])*tbl_task6[[%]:[%]])</f>
        <v/>
      </c>
      <c r="GG22" s="121" t="str">
        <f>IF(ISBLANK(tbl_task6[[คะแนนเต็ม]:[คะแนนเต็ม]]),"",(tbl_task6[19]/tbl_task6[[คะแนนเต็ม]:[คะแนนเต็ม]])*tbl_task6[[%]:[%]])</f>
        <v/>
      </c>
      <c r="GH22" s="121" t="str">
        <f>IF(ISBLANK(tbl_task6[[คะแนนเต็ม]:[คะแนนเต็ม]]),"",(tbl_task6[20]/tbl_task6[[คะแนนเต็ม]:[คะแนนเต็ม]])*tbl_task6[[%]:[%]])</f>
        <v/>
      </c>
      <c r="GI22" s="121" t="str">
        <f>IF(ISBLANK(tbl_task6[[คะแนนเต็ม]:[คะแนนเต็ม]]),"",(tbl_task6[21]/tbl_task6[[คะแนนเต็ม]:[คะแนนเต็ม]])*tbl_task6[[%]:[%]])</f>
        <v/>
      </c>
      <c r="GJ22" s="121" t="str">
        <f>IF(ISBLANK(tbl_task6[[คะแนนเต็ม]:[คะแนนเต็ม]]),"",(tbl_task6[22]/tbl_task6[[คะแนนเต็ม]:[คะแนนเต็ม]])*tbl_task6[[%]:[%]])</f>
        <v/>
      </c>
      <c r="GK22" s="121" t="str">
        <f>IF(ISBLANK(tbl_task6[[คะแนนเต็ม]:[คะแนนเต็ม]]),"",(tbl_task6[23]/tbl_task6[[คะแนนเต็ม]:[คะแนนเต็ม]])*tbl_task6[[%]:[%]])</f>
        <v/>
      </c>
      <c r="GL22" s="121" t="str">
        <f>IF(ISBLANK(tbl_task6[[คะแนนเต็ม]:[คะแนนเต็ม]]),"",(tbl_task6[24]/tbl_task6[[คะแนนเต็ม]:[คะแนนเต็ม]])*tbl_task6[[%]:[%]])</f>
        <v/>
      </c>
      <c r="GM22" s="121" t="str">
        <f>IF(ISBLANK(tbl_task6[[คะแนนเต็ม]:[คะแนนเต็ม]]),"",(tbl_task6[25]/tbl_task6[[คะแนนเต็ม]:[คะแนนเต็ม]])*tbl_task6[[%]:[%]])</f>
        <v/>
      </c>
      <c r="GN22" s="121" t="str">
        <f>IF(ISBLANK(tbl_task6[[คะแนนเต็ม]:[คะแนนเต็ม]]),"",(tbl_task6[26]/tbl_task6[[คะแนนเต็ม]:[คะแนนเต็ม]])*tbl_task6[[%]:[%]])</f>
        <v/>
      </c>
      <c r="GO22" s="121" t="str">
        <f>IF(ISBLANK(tbl_task6[[คะแนนเต็ม]:[คะแนนเต็ม]]),"",(tbl_task6[27]/tbl_task6[[คะแนนเต็ม]:[คะแนนเต็ม]])*tbl_task6[[%]:[%]])</f>
        <v/>
      </c>
      <c r="GP22" s="121" t="str">
        <f>IF(ISBLANK(tbl_task6[[คะแนนเต็ม]:[คะแนนเต็ม]]),"",(tbl_task6[28]/tbl_task6[[คะแนนเต็ม]:[คะแนนเต็ม]])*tbl_task6[[%]:[%]])</f>
        <v/>
      </c>
      <c r="GQ22" s="121" t="str">
        <f>IF(ISBLANK(tbl_task6[[คะแนนเต็ม]:[คะแนนเต็ม]]),"",(tbl_task6[29]/tbl_task6[[คะแนนเต็ม]:[คะแนนเต็ม]])*tbl_task6[[%]:[%]])</f>
        <v/>
      </c>
      <c r="GR22" s="121" t="str">
        <f>IF(ISBLANK(tbl_task6[[คะแนนเต็ม]:[คะแนนเต็ม]]),"",(tbl_task6[30]/tbl_task6[[คะแนนเต็ม]:[คะแนนเต็ม]])*tbl_task6[[%]:[%]])</f>
        <v/>
      </c>
      <c r="GS22" s="121" t="str">
        <f>IF(ISBLANK(tbl_task6[[คะแนนเต็ม]:[คะแนนเต็ม]]),"",(tbl_task6[31]/tbl_task6[[คะแนนเต็ม]:[คะแนนเต็ม]])*tbl_task6[[%]:[%]])</f>
        <v/>
      </c>
      <c r="GT22" s="121" t="str">
        <f>IF(ISBLANK(tbl_task6[[คะแนนเต็ม]:[คะแนนเต็ม]]),"",(tbl_task6[32]/tbl_task6[[คะแนนเต็ม]:[คะแนนเต็ม]])*tbl_task6[[%]:[%]])</f>
        <v/>
      </c>
      <c r="GU22" s="121" t="str">
        <f>IF(ISBLANK(tbl_task6[[คะแนนเต็ม]:[คะแนนเต็ม]]),"",(tbl_task6[33]/tbl_task6[[คะแนนเต็ม]:[คะแนนเต็ม]])*tbl_task6[[%]:[%]])</f>
        <v/>
      </c>
      <c r="GV22" s="121" t="str">
        <f>IF(ISBLANK(tbl_task6[[คะแนนเต็ม]:[คะแนนเต็ม]]),"",(tbl_task6[34]/tbl_task6[[คะแนนเต็ม]:[คะแนนเต็ม]])*tbl_task6[[%]:[%]])</f>
        <v/>
      </c>
      <c r="GW22" s="121" t="str">
        <f>IF(ISBLANK(tbl_task6[[คะแนนเต็ม]:[คะแนนเต็ม]]),"",(tbl_task6[35]/tbl_task6[[คะแนนเต็ม]:[คะแนนเต็ม]])*tbl_task6[[%]:[%]])</f>
        <v/>
      </c>
      <c r="GX22" s="121" t="str">
        <f>IF(ISBLANK(tbl_task6[[คะแนนเต็ม]:[คะแนนเต็ม]]),"",(tbl_task6[36]/tbl_task6[[คะแนนเต็ม]:[คะแนนเต็ม]])*tbl_task6[[%]:[%]])</f>
        <v/>
      </c>
      <c r="GY22" s="121" t="str">
        <f>IF(ISBLANK(tbl_task6[[คะแนนเต็ม]:[คะแนนเต็ม]]),"",(tbl_task6[37]/tbl_task6[[คะแนนเต็ม]:[คะแนนเต็ม]])*tbl_task6[[%]:[%]])</f>
        <v/>
      </c>
      <c r="GZ22" s="121" t="str">
        <f>IF(ISBLANK(tbl_task6[[คะแนนเต็ม]:[คะแนนเต็ม]]),"",(tbl_task6[38]/tbl_task6[[คะแนนเต็ม]:[คะแนนเต็ม]])*tbl_task6[[%]:[%]])</f>
        <v/>
      </c>
      <c r="HA22" s="121" t="str">
        <f>IF(ISBLANK(tbl_task6[[คะแนนเต็ม]:[คะแนนเต็ม]]),"",(tbl_task6[39]/tbl_task6[[คะแนนเต็ม]:[คะแนนเต็ม]])*tbl_task6[[%]:[%]])</f>
        <v/>
      </c>
      <c r="HB22" s="121" t="str">
        <f>IF(ISBLANK(tbl_task6[[คะแนนเต็ม]:[คะแนนเต็ม]]),"",(tbl_task6[40]/tbl_task6[[คะแนนเต็ม]:[คะแนนเต็ม]])*tbl_task6[[%]:[%]])</f>
        <v/>
      </c>
      <c r="HC22" s="121" t="str">
        <f>IF(ISBLANK(tbl_task6[[คะแนนเต็ม]:[คะแนนเต็ม]]),"",(tbl_task6[41]/tbl_task6[[คะแนนเต็ม]:[คะแนนเต็ม]])*tbl_task6[[%]:[%]])</f>
        <v/>
      </c>
      <c r="HD22" s="121" t="str">
        <f>IF(ISBLANK(tbl_task6[[คะแนนเต็ม]:[คะแนนเต็ม]]),"",(tbl_task6[42]/tbl_task6[[คะแนนเต็ม]:[คะแนนเต็ม]])*tbl_task6[[%]:[%]])</f>
        <v/>
      </c>
      <c r="HE22" s="121" t="str">
        <f>IF(ISBLANK(tbl_task6[[คะแนนเต็ม]:[คะแนนเต็ม]]),"",(tbl_task6[43]/tbl_task6[[คะแนนเต็ม]:[คะแนนเต็ม]])*tbl_task6[[%]:[%]])</f>
        <v/>
      </c>
      <c r="HF22" s="121" t="str">
        <f>IF(ISBLANK(tbl_task6[[คะแนนเต็ม]:[คะแนนเต็ม]]),"",(tbl_task6[44]/tbl_task6[[คะแนนเต็ม]:[คะแนนเต็ม]])*tbl_task6[[%]:[%]])</f>
        <v/>
      </c>
      <c r="HG22" s="121" t="str">
        <f>IF(ISBLANK(tbl_task6[[คะแนนเต็ม]:[คะแนนเต็ม]]),"",(tbl_task6[45]/tbl_task6[[คะแนนเต็ม]:[คะแนนเต็ม]])*tbl_task6[[%]:[%]])</f>
        <v/>
      </c>
      <c r="HH22" s="121" t="str">
        <f>IF(ISBLANK(tbl_task6[[คะแนนเต็ม]:[คะแนนเต็ม]]),"",(tbl_task6[46]/tbl_task6[[คะแนนเต็ม]:[คะแนนเต็ม]])*tbl_task6[[%]:[%]])</f>
        <v/>
      </c>
      <c r="HI22" s="121" t="str">
        <f>IF(ISBLANK(tbl_task6[[คะแนนเต็ม]:[คะแนนเต็ม]]),"",(tbl_task6[47]/tbl_task6[[คะแนนเต็ม]:[คะแนนเต็ม]])*tbl_task6[[%]:[%]])</f>
        <v/>
      </c>
      <c r="HJ22" s="121" t="str">
        <f>IF(ISBLANK(tbl_task6[[คะแนนเต็ม]:[คะแนนเต็ม]]),"",(tbl_task6[48]/tbl_task6[[คะแนนเต็ม]:[คะแนนเต็ม]])*tbl_task6[[%]:[%]])</f>
        <v/>
      </c>
      <c r="HK22" s="121" t="str">
        <f>IF(ISBLANK(tbl_task6[[คะแนนเต็ม]:[คะแนนเต็ม]]),"",(tbl_task6[49]/tbl_task6[[คะแนนเต็ม]:[คะแนนเต็ม]])*tbl_task6[[%]:[%]])</f>
        <v/>
      </c>
      <c r="HL22" s="121" t="str">
        <f>IF(ISBLANK(tbl_task6[[คะแนนเต็ม]:[คะแนนเต็ม]]),"",(tbl_task6[50]/tbl_task6[[คะแนนเต็ม]:[คะแนนเต็ม]])*tbl_task6[[%]:[%]])</f>
        <v/>
      </c>
      <c r="HM22" s="121" t="str">
        <f>IF(ISBLANK(tbl_task6[[คะแนนเต็ม]:[คะแนนเต็ม]]),"",(tbl_task6[51]/tbl_task6[[คะแนนเต็ม]:[คะแนนเต็ม]])*tbl_task6[[%]:[%]])</f>
        <v/>
      </c>
      <c r="HN22" s="121" t="str">
        <f>IF(ISBLANK(tbl_task6[[คะแนนเต็ม]:[คะแนนเต็ม]]),"",(tbl_task6[52]/tbl_task6[[คะแนนเต็ม]:[คะแนนเต็ม]])*tbl_task6[[%]:[%]])</f>
        <v/>
      </c>
      <c r="HO22" s="121" t="str">
        <f>IF(ISBLANK(tbl_task6[[คะแนนเต็ม]:[คะแนนเต็ม]]),"",(tbl_task6[53]/tbl_task6[[คะแนนเต็ม]:[คะแนนเต็ม]])*tbl_task6[[%]:[%]])</f>
        <v/>
      </c>
      <c r="HP22" s="121" t="str">
        <f>IF(ISBLANK(tbl_task6[[คะแนนเต็ม]:[คะแนนเต็ม]]),"",(tbl_task6[54]/tbl_task6[[คะแนนเต็ม]:[คะแนนเต็ม]])*tbl_task6[[%]:[%]])</f>
        <v/>
      </c>
      <c r="HQ22" s="121" t="str">
        <f>IF(ISBLANK(tbl_task6[[คะแนนเต็ม]:[คะแนนเต็ม]]),"",(tbl_task6[55]/tbl_task6[[คะแนนเต็ม]:[คะแนนเต็ม]])*tbl_task6[[%]:[%]])</f>
        <v/>
      </c>
      <c r="HR22" s="121" t="str">
        <f>IF(ISBLANK(tbl_task6[[คะแนนเต็ม]:[คะแนนเต็ม]]),"",(tbl_task6[56]/tbl_task6[[คะแนนเต็ม]:[คะแนนเต็ม]])*tbl_task6[[%]:[%]])</f>
        <v/>
      </c>
      <c r="HS22" s="121" t="str">
        <f>IF(ISBLANK(tbl_task6[[คะแนนเต็ม]:[คะแนนเต็ม]]),"",(tbl_task6[57]/tbl_task6[[คะแนนเต็ม]:[คะแนนเต็ม]])*tbl_task6[[%]:[%]])</f>
        <v/>
      </c>
      <c r="HT22" s="121" t="str">
        <f>IF(ISBLANK(tbl_task6[[คะแนนเต็ม]:[คะแนนเต็ม]]),"",(tbl_task6[58]/tbl_task6[[คะแนนเต็ม]:[คะแนนเต็ม]])*tbl_task6[[%]:[%]])</f>
        <v/>
      </c>
      <c r="HU22" s="121" t="str">
        <f>IF(ISBLANK(tbl_task6[[คะแนนเต็ม]:[คะแนนเต็ม]]),"",(tbl_task6[59]/tbl_task6[[คะแนนเต็ม]:[คะแนนเต็ม]])*tbl_task6[[%]:[%]])</f>
        <v/>
      </c>
      <c r="HV22" s="121" t="str">
        <f>IF(ISBLANK(tbl_task6[[คะแนนเต็ม]:[คะแนนเต็ม]]),"",(tbl_task6[60]/tbl_task6[[คะแนนเต็ม]:[คะแนนเต็ม]])*tbl_task6[[%]:[%]])</f>
        <v/>
      </c>
      <c r="HW22" s="121" t="str">
        <f>IF(ISBLANK(tbl_task6[[คะแนนเต็ม]:[คะแนนเต็ม]]),"",(tbl_task6[61]/tbl_task6[[คะแนนเต็ม]:[คะแนนเต็ม]])*tbl_task6[[%]:[%]])</f>
        <v/>
      </c>
      <c r="HX22" s="121" t="str">
        <f>IF(ISBLANK(tbl_task6[[คะแนนเต็ม]:[คะแนนเต็ม]]),"",(tbl_task6[62]/tbl_task6[[คะแนนเต็ม]:[คะแนนเต็ม]])*tbl_task6[[%]:[%]])</f>
        <v/>
      </c>
      <c r="HY22" s="121" t="str">
        <f>IF(ISBLANK(tbl_task6[[คะแนนเต็ม]:[คะแนนเต็ม]]),"",(tbl_task6[63]/tbl_task6[[คะแนนเต็ม]:[คะแนนเต็ม]])*tbl_task6[[%]:[%]])</f>
        <v/>
      </c>
      <c r="HZ22" s="121" t="str">
        <f>IF(ISBLANK(tbl_task6[[คะแนนเต็ม]:[คะแนนเต็ม]]),"",(tbl_task6[64]/tbl_task6[[คะแนนเต็ม]:[คะแนนเต็ม]])*tbl_task6[[%]:[%]])</f>
        <v/>
      </c>
      <c r="IA22" s="121" t="str">
        <f>IF(ISBLANK(tbl_task6[[คะแนนเต็ม]:[คะแนนเต็ม]]),"",(tbl_task6[65]/tbl_task6[[คะแนนเต็ม]:[คะแนนเต็ม]])*tbl_task6[[%]:[%]])</f>
        <v/>
      </c>
      <c r="IB22" s="121" t="str">
        <f>IF(ISBLANK(tbl_task6[[คะแนนเต็ม]:[คะแนนเต็ม]]),"",(tbl_task6[66]/tbl_task6[[คะแนนเต็ม]:[คะแนนเต็ม]])*tbl_task6[[%]:[%]])</f>
        <v/>
      </c>
      <c r="IC22" s="121" t="str">
        <f>IF(ISBLANK(tbl_task6[[คะแนนเต็ม]:[คะแนนเต็ม]]),"",(tbl_task6[67]/tbl_task6[[คะแนนเต็ม]:[คะแนนเต็ม]])*tbl_task6[[%]:[%]])</f>
        <v/>
      </c>
      <c r="ID22" s="121" t="str">
        <f>IF(ISBLANK(tbl_task6[[คะแนนเต็ม]:[คะแนนเต็ม]]),"",(tbl_task6[68]/tbl_task6[[คะแนนเต็ม]:[คะแนนเต็ม]])*tbl_task6[[%]:[%]])</f>
        <v/>
      </c>
      <c r="IE22" s="121" t="str">
        <f>IF(ISBLANK(tbl_task6[[คะแนนเต็ม]:[คะแนนเต็ม]]),"",(tbl_task6[69]/tbl_task6[[คะแนนเต็ม]:[คะแนนเต็ม]])*tbl_task6[[%]:[%]])</f>
        <v/>
      </c>
      <c r="IF22" s="121" t="str">
        <f>IF(ISBLANK(tbl_task6[[คะแนนเต็ม]:[คะแนนเต็ม]]),"",(tbl_task6[70]/tbl_task6[[คะแนนเต็ม]:[คะแนนเต็ม]])*tbl_task6[[%]:[%]])</f>
        <v/>
      </c>
      <c r="IG22" s="121" t="str">
        <f>IF(ISBLANK(tbl_task6[[คะแนนเต็ม]:[คะแนนเต็ม]]),"",(tbl_task6[71]/tbl_task6[[คะแนนเต็ม]:[คะแนนเต็ม]])*tbl_task6[[%]:[%]])</f>
        <v/>
      </c>
      <c r="IH22" s="121" t="str">
        <f>IF(ISBLANK(tbl_task6[[คะแนนเต็ม]:[คะแนนเต็ม]]),"",(tbl_task6[72]/tbl_task6[[คะแนนเต็ม]:[คะแนนเต็ม]])*tbl_task6[[%]:[%]])</f>
        <v/>
      </c>
      <c r="II22" s="121" t="str">
        <f>IF(ISBLANK(tbl_task6[[คะแนนเต็ม]:[คะแนนเต็ม]]),"",(tbl_task6[73]/tbl_task6[[คะแนนเต็ม]:[คะแนนเต็ม]])*tbl_task6[[%]:[%]])</f>
        <v/>
      </c>
      <c r="IJ22" s="121" t="str">
        <f>IF(ISBLANK(tbl_task6[[คะแนนเต็ม]:[คะแนนเต็ม]]),"",(tbl_task6[74]/tbl_task6[[คะแนนเต็ม]:[คะแนนเต็ม]])*tbl_task6[[%]:[%]])</f>
        <v/>
      </c>
      <c r="IK22" s="121" t="str">
        <f>IF(ISBLANK(tbl_task6[[คะแนนเต็ม]:[คะแนนเต็ม]]),"",(tbl_task6[75]/tbl_task6[[คะแนนเต็ม]:[คะแนนเต็ม]])*tbl_task6[[%]:[%]])</f>
        <v/>
      </c>
      <c r="IL22" s="121" t="str">
        <f>IF(ISBLANK(tbl_task6[[คะแนนเต็ม]:[คะแนนเต็ม]]),"",(tbl_task6[76]/tbl_task6[[คะแนนเต็ม]:[คะแนนเต็ม]])*tbl_task6[[%]:[%]])</f>
        <v/>
      </c>
      <c r="IM22" s="121" t="str">
        <f>IF(ISBLANK(tbl_task6[[คะแนนเต็ม]:[คะแนนเต็ม]]),"",(tbl_task6[77]/tbl_task6[[คะแนนเต็ม]:[คะแนนเต็ม]])*tbl_task6[[%]:[%]])</f>
        <v/>
      </c>
      <c r="IN22" s="121" t="str">
        <f>IF(ISBLANK(tbl_task6[[คะแนนเต็ม]:[คะแนนเต็ม]]),"",(tbl_task6[78]/tbl_task6[[คะแนนเต็ม]:[คะแนนเต็ม]])*tbl_task6[[%]:[%]])</f>
        <v/>
      </c>
      <c r="IO22" s="121" t="str">
        <f>IF(ISBLANK(tbl_task6[[คะแนนเต็ม]:[คะแนนเต็ม]]),"",(tbl_task6[79]/tbl_task6[[คะแนนเต็ม]:[คะแนนเต็ม]])*tbl_task6[[%]:[%]])</f>
        <v/>
      </c>
      <c r="IP22" s="121" t="str">
        <f>IF(ISBLANK(tbl_task6[[คะแนนเต็ม]:[คะแนนเต็ม]]),"",(tbl_task6[80]/tbl_task6[[คะแนนเต็ม]:[คะแนนเต็ม]])*tbl_task6[[%]:[%]])</f>
        <v/>
      </c>
      <c r="IQ22" s="121" t="str">
        <f>IF(ISBLANK(tbl_task6[[คะแนนเต็ม]:[คะแนนเต็ม]]),"",(tbl_task6[81]/tbl_task6[[คะแนนเต็ม]:[คะแนนเต็ม]])*tbl_task6[[%]:[%]])</f>
        <v/>
      </c>
      <c r="IR22" s="121" t="str">
        <f>IF(ISBLANK(tbl_task6[[คะแนนเต็ม]:[คะแนนเต็ม]]),"",(tbl_task6[82]/tbl_task6[[คะแนนเต็ม]:[คะแนนเต็ม]])*tbl_task6[[%]:[%]])</f>
        <v/>
      </c>
      <c r="IS22" s="121" t="str">
        <f>IF(ISBLANK(tbl_task6[[คะแนนเต็ม]:[คะแนนเต็ม]]),"",(tbl_task6[83]/tbl_task6[[คะแนนเต็ม]:[คะแนนเต็ม]])*tbl_task6[[%]:[%]])</f>
        <v/>
      </c>
      <c r="IT22" s="121" t="str">
        <f>IF(ISBLANK(tbl_task6[[คะแนนเต็ม]:[คะแนนเต็ม]]),"",(tbl_task6[84]/tbl_task6[[คะแนนเต็ม]:[คะแนนเต็ม]])*tbl_task6[[%]:[%]])</f>
        <v/>
      </c>
      <c r="IU22" s="121" t="str">
        <f>IF(ISBLANK(tbl_task6[[คะแนนเต็ม]:[คะแนนเต็ม]]),"",(tbl_task6[85]/tbl_task6[[คะแนนเต็ม]:[คะแนนเต็ม]])*tbl_task6[[%]:[%]])</f>
        <v/>
      </c>
      <c r="IV22" s="121" t="str">
        <f>IF(ISBLANK(tbl_task6[[คะแนนเต็ม]:[คะแนนเต็ม]]),"",(tbl_task6[86]/tbl_task6[[คะแนนเต็ม]:[คะแนนเต็ม]])*tbl_task6[[%]:[%]])</f>
        <v/>
      </c>
      <c r="IW22" s="121" t="str">
        <f>IF(ISBLANK(tbl_task6[[คะแนนเต็ม]:[คะแนนเต็ม]]),"",(tbl_task6[87]/tbl_task6[[คะแนนเต็ม]:[คะแนนเต็ม]])*tbl_task6[[%]:[%]])</f>
        <v/>
      </c>
      <c r="IX22" s="121" t="str">
        <f>IF(ISBLANK(tbl_task6[[คะแนนเต็ม]:[คะแนนเต็ม]]),"",(tbl_task6[88]/tbl_task6[[คะแนนเต็ม]:[คะแนนเต็ม]])*tbl_task6[[%]:[%]])</f>
        <v/>
      </c>
      <c r="IY22" s="121" t="str">
        <f>IF(ISBLANK(tbl_task6[[คะแนนเต็ม]:[คะแนนเต็ม]]),"",(tbl_task6[89]/tbl_task6[[คะแนนเต็ม]:[คะแนนเต็ม]])*tbl_task6[[%]:[%]])</f>
        <v/>
      </c>
      <c r="IZ22" s="121" t="str">
        <f>IF(ISBLANK(tbl_task6[[คะแนนเต็ม]:[คะแนนเต็ม]]),"",(tbl_task6[90]/tbl_task6[[คะแนนเต็ม]:[คะแนนเต็ม]])*tbl_task6[[%]:[%]])</f>
        <v/>
      </c>
      <c r="JA22" s="121" t="str">
        <f>IF(ISBLANK(tbl_task6[[คะแนนเต็ม]:[คะแนนเต็ม]]),"",(tbl_task6[91]/tbl_task6[[คะแนนเต็ม]:[คะแนนเต็ม]])*tbl_task6[[%]:[%]])</f>
        <v/>
      </c>
      <c r="JB22" s="121" t="str">
        <f>IF(ISBLANK(tbl_task6[[คะแนนเต็ม]:[คะแนนเต็ม]]),"",(tbl_task6[92]/tbl_task6[[คะแนนเต็ม]:[คะแนนเต็ม]])*tbl_task6[[%]:[%]])</f>
        <v/>
      </c>
      <c r="JC22" s="121" t="str">
        <f>IF(ISBLANK(tbl_task6[[คะแนนเต็ม]:[คะแนนเต็ม]]),"",(tbl_task6[93]/tbl_task6[[คะแนนเต็ม]:[คะแนนเต็ม]])*tbl_task6[[%]:[%]])</f>
        <v/>
      </c>
      <c r="JD22" s="121" t="str">
        <f>IF(ISBLANK(tbl_task6[[คะแนนเต็ม]:[คะแนนเต็ม]]),"",(tbl_task6[94]/tbl_task6[[คะแนนเต็ม]:[คะแนนเต็ม]])*tbl_task6[[%]:[%]])</f>
        <v/>
      </c>
      <c r="JE22" s="121" t="str">
        <f>IF(ISBLANK(tbl_task6[[คะแนนเต็ม]:[คะแนนเต็ม]]),"",(tbl_task6[95]/tbl_task6[[คะแนนเต็ม]:[คะแนนเต็ม]])*tbl_task6[[%]:[%]])</f>
        <v/>
      </c>
      <c r="JF22" s="121" t="str">
        <f>IF(ISBLANK(tbl_task6[[คะแนนเต็ม]:[คะแนนเต็ม]]),"",(tbl_task6[96]/tbl_task6[[คะแนนเต็ม]:[คะแนนเต็ม]])*tbl_task6[[%]:[%]])</f>
        <v/>
      </c>
      <c r="JG22" s="121" t="str">
        <f>IF(ISBLANK(tbl_task6[[คะแนนเต็ม]:[คะแนนเต็ม]]),"",(tbl_task6[97]/tbl_task6[[คะแนนเต็ม]:[คะแนนเต็ม]])*tbl_task6[[%]:[%]])</f>
        <v/>
      </c>
      <c r="JH22" s="121" t="str">
        <f>IF(ISBLANK(tbl_task6[[คะแนนเต็ม]:[คะแนนเต็ม]]),"",(tbl_task6[98]/tbl_task6[[คะแนนเต็ม]:[คะแนนเต็ม]])*tbl_task6[[%]:[%]])</f>
        <v/>
      </c>
      <c r="JI22" s="121" t="str">
        <f>IF(ISBLANK(tbl_task6[[คะแนนเต็ม]:[คะแนนเต็ม]]),"",(tbl_task6[99]/tbl_task6[[คะแนนเต็ม]:[คะแนนเต็ม]])*tbl_task6[[%]:[%]])</f>
        <v/>
      </c>
      <c r="JJ22" s="121" t="str">
        <f>IF(ISBLANK(tbl_task6[[คะแนนเต็ม]:[คะแนนเต็ม]]),"",(tbl_task6[100]/tbl_task6[[คะแนนเต็ม]:[คะแนนเต็ม]])*tbl_task6[[%]:[%]])</f>
        <v/>
      </c>
      <c r="JK22" s="121" t="str">
        <f>IF(ISBLANK(tbl_task6[[คะแนนเต็ม]:[คะแนนเต็ม]]),"",(tbl_task6[101]/tbl_task6[[คะแนนเต็ม]:[คะแนนเต็ม]])*tbl_task6[[%]:[%]])</f>
        <v/>
      </c>
      <c r="JL22" s="121" t="str">
        <f>IF(ISBLANK(tbl_task6[[คะแนนเต็ม]:[คะแนนเต็ม]]),"",(tbl_task6[102]/tbl_task6[[คะแนนเต็ม]:[คะแนนเต็ม]])*tbl_task6[[%]:[%]])</f>
        <v/>
      </c>
      <c r="JM22" s="121" t="str">
        <f>IF(ISBLANK(tbl_task6[[คะแนนเต็ม]:[คะแนนเต็ม]]),"",(tbl_task6[103]/tbl_task6[[คะแนนเต็ม]:[คะแนนเต็ม]])*tbl_task6[[%]:[%]])</f>
        <v/>
      </c>
      <c r="JN22" s="121" t="str">
        <f>IF(ISBLANK(tbl_task6[[คะแนนเต็ม]:[คะแนนเต็ม]]),"",(tbl_task6[104]/tbl_task6[[คะแนนเต็ม]:[คะแนนเต็ม]])*tbl_task6[[%]:[%]])</f>
        <v/>
      </c>
      <c r="JO22" s="121" t="str">
        <f>IF(ISBLANK(tbl_task6[[คะแนนเต็ม]:[คะแนนเต็ม]]),"",(tbl_task6[105]/tbl_task6[[คะแนนเต็ม]:[คะแนนเต็ม]])*tbl_task6[[%]:[%]])</f>
        <v/>
      </c>
      <c r="JP22" s="121" t="str">
        <f>IF(ISBLANK(tbl_task6[[คะแนนเต็ม]:[คะแนนเต็ม]]),"",(tbl_task6[106]/tbl_task6[[คะแนนเต็ม]:[คะแนนเต็ม]])*tbl_task6[[%]:[%]])</f>
        <v/>
      </c>
      <c r="JQ22" s="121" t="str">
        <f>IF(ISBLANK(tbl_task6[[คะแนนเต็ม]:[คะแนนเต็ม]]),"",(tbl_task6[107]/tbl_task6[[คะแนนเต็ม]:[คะแนนเต็ม]])*tbl_task6[[%]:[%]])</f>
        <v/>
      </c>
      <c r="JR22" s="121" t="str">
        <f>IF(ISBLANK(tbl_task6[[คะแนนเต็ม]:[คะแนนเต็ม]]),"",(tbl_task6[108]/tbl_task6[[คะแนนเต็ม]:[คะแนนเต็ม]])*tbl_task6[[%]:[%]])</f>
        <v/>
      </c>
      <c r="JS22" s="121" t="str">
        <f>IF(ISBLANK(tbl_task6[[คะแนนเต็ม]:[คะแนนเต็ม]]),"",(tbl_task6[109]/tbl_task6[[คะแนนเต็ม]:[คะแนนเต็ม]])*tbl_task6[[%]:[%]])</f>
        <v/>
      </c>
      <c r="JT22" s="121" t="str">
        <f>IF(ISBLANK(tbl_task6[[คะแนนเต็ม]:[คะแนนเต็ม]]),"",(tbl_task6[110]/tbl_task6[[คะแนนเต็ม]:[คะแนนเต็ม]])*tbl_task6[[%]:[%]])</f>
        <v/>
      </c>
      <c r="JU22" s="121" t="str">
        <f>IF(ISBLANK(tbl_task6[[คะแนนเต็ม]:[คะแนนเต็ม]]),"",(tbl_task6[111]/tbl_task6[[คะแนนเต็ม]:[คะแนนเต็ม]])*tbl_task6[[%]:[%]])</f>
        <v/>
      </c>
      <c r="JV22" s="121" t="str">
        <f>IF(ISBLANK(tbl_task6[[คะแนนเต็ม]:[คะแนนเต็ม]]),"",(tbl_task6[112]/tbl_task6[[คะแนนเต็ม]:[คะแนนเต็ม]])*tbl_task6[[%]:[%]])</f>
        <v/>
      </c>
      <c r="JW22" s="121" t="str">
        <f>IF(ISBLANK(tbl_task6[[คะแนนเต็ม]:[คะแนนเต็ม]]),"",(tbl_task6[113]/tbl_task6[[คะแนนเต็ม]:[คะแนนเต็ม]])*tbl_task6[[%]:[%]])</f>
        <v/>
      </c>
      <c r="JX22" s="121" t="str">
        <f>IF(ISBLANK(tbl_task6[[คะแนนเต็ม]:[คะแนนเต็ม]]),"",(tbl_task6[114]/tbl_task6[[คะแนนเต็ม]:[คะแนนเต็ม]])*tbl_task6[[%]:[%]])</f>
        <v/>
      </c>
      <c r="JY22" s="121" t="str">
        <f>IF(ISBLANK(tbl_task6[[คะแนนเต็ม]:[คะแนนเต็ม]]),"",(tbl_task6[115]/tbl_task6[[คะแนนเต็ม]:[คะแนนเต็ม]])*tbl_task6[[%]:[%]])</f>
        <v/>
      </c>
      <c r="JZ22" s="121" t="str">
        <f>IF(ISBLANK(tbl_task6[[คะแนนเต็ม]:[คะแนนเต็ม]]),"",(tbl_task6[116]/tbl_task6[[คะแนนเต็ม]:[คะแนนเต็ม]])*tbl_task6[[%]:[%]])</f>
        <v/>
      </c>
      <c r="KA22" s="121" t="str">
        <f>IF(ISBLANK(tbl_task6[[คะแนนเต็ม]:[คะแนนเต็ม]]),"",(tbl_task6[117]/tbl_task6[[คะแนนเต็ม]:[คะแนนเต็ม]])*tbl_task6[[%]:[%]])</f>
        <v/>
      </c>
      <c r="KB22" s="121" t="str">
        <f>IF(ISBLANK(tbl_task6[[คะแนนเต็ม]:[คะแนนเต็ม]]),"",(tbl_task6[118]/tbl_task6[[คะแนนเต็ม]:[คะแนนเต็ม]])*tbl_task6[[%]:[%]])</f>
        <v/>
      </c>
      <c r="KC22" s="121" t="str">
        <f>IF(ISBLANK(tbl_task6[[คะแนนเต็ม]:[คะแนนเต็ม]]),"",(tbl_task6[119]/tbl_task6[[คะแนนเต็ม]:[คะแนนเต็ม]])*tbl_task6[[%]:[%]])</f>
        <v/>
      </c>
      <c r="KD22" s="121" t="str">
        <f>IF(ISBLANK(tbl_task6[[คะแนนเต็ม]:[คะแนนเต็ม]]),"",(tbl_task6[120]/tbl_task6[[คะแนนเต็ม]:[คะแนนเต็ม]])*tbl_task6[[%]:[%]])</f>
        <v/>
      </c>
      <c r="KE22" s="121" t="str">
        <f>IF(ISBLANK(tbl_task6[[คะแนนเต็ม]:[คะแนนเต็ม]]),"",(tbl_task6[121]/tbl_task6[[คะแนนเต็ม]:[คะแนนเต็ม]])*tbl_task6[[%]:[%]])</f>
        <v/>
      </c>
      <c r="KF22" s="121" t="str">
        <f>IF(ISBLANK(tbl_task6[[คะแนนเต็ม]:[คะแนนเต็ม]]),"",(tbl_task6[122]/tbl_task6[[คะแนนเต็ม]:[คะแนนเต็ม]])*tbl_task6[[%]:[%]])</f>
        <v/>
      </c>
      <c r="KG22" s="121" t="str">
        <f>IF(ISBLANK(tbl_task6[[คะแนนเต็ม]:[คะแนนเต็ม]]),"",(tbl_task6[123]/tbl_task6[[คะแนนเต็ม]:[คะแนนเต็ม]])*tbl_task6[[%]:[%]])</f>
        <v/>
      </c>
      <c r="KH22" s="121" t="str">
        <f>IF(ISBLANK(tbl_task6[[คะแนนเต็ม]:[คะแนนเต็ม]]),"",(tbl_task6[124]/tbl_task6[[คะแนนเต็ม]:[คะแนนเต็ม]])*tbl_task6[[%]:[%]])</f>
        <v/>
      </c>
      <c r="KI22" s="121" t="str">
        <f>IF(ISBLANK(tbl_task6[[คะแนนเต็ม]:[คะแนนเต็ม]]),"",(tbl_task6[125]/tbl_task6[[คะแนนเต็ม]:[คะแนนเต็ม]])*tbl_task6[[%]:[%]])</f>
        <v/>
      </c>
      <c r="KJ22" s="121" t="str">
        <f>IF(ISBLANK(tbl_task6[[คะแนนเต็ม]:[คะแนนเต็ม]]),"",(tbl_task6[126]/tbl_task6[[คะแนนเต็ม]:[คะแนนเต็ม]])*tbl_task6[[%]:[%]])</f>
        <v/>
      </c>
      <c r="KK22" s="121" t="str">
        <f>IF(ISBLANK(tbl_task6[[คะแนนเต็ม]:[คะแนนเต็ม]]),"",(tbl_task6[127]/tbl_task6[[คะแนนเต็ม]:[คะแนนเต็ม]])*tbl_task6[[%]:[%]])</f>
        <v/>
      </c>
      <c r="KL22" s="121" t="str">
        <f>IF(ISBLANK(tbl_task6[[คะแนนเต็ม]:[คะแนนเต็ม]]),"",(tbl_task6[128]/tbl_task6[[คะแนนเต็ม]:[คะแนนเต็ม]])*tbl_task6[[%]:[%]])</f>
        <v/>
      </c>
      <c r="KM22" s="121" t="str">
        <f>IF(ISBLANK(tbl_task6[[คะแนนเต็ม]:[คะแนนเต็ม]]),"",(tbl_task6[129]/tbl_task6[[คะแนนเต็ม]:[คะแนนเต็ม]])*tbl_task6[[%]:[%]])</f>
        <v/>
      </c>
      <c r="KN22" s="121" t="str">
        <f>IF(ISBLANK(tbl_task6[[คะแนนเต็ม]:[คะแนนเต็ม]]),"",(tbl_task6[130]/tbl_task6[[คะแนนเต็ม]:[คะแนนเต็ม]])*tbl_task6[[%]:[%]])</f>
        <v/>
      </c>
      <c r="KO22" s="121" t="str">
        <f>IF(ISBLANK(tbl_task6[[คะแนนเต็ม]:[คะแนนเต็ม]]),"",(tbl_task6[131]/tbl_task6[[คะแนนเต็ม]:[คะแนนเต็ม]])*tbl_task6[[%]:[%]])</f>
        <v/>
      </c>
      <c r="KP22" s="121" t="str">
        <f>IF(ISBLANK(tbl_task6[[คะแนนเต็ม]:[คะแนนเต็ม]]),"",(tbl_task6[132]/tbl_task6[[คะแนนเต็ม]:[คะแนนเต็ม]])*tbl_task6[[%]:[%]])</f>
        <v/>
      </c>
      <c r="KQ22" s="121" t="str">
        <f>IF(ISBLANK(tbl_task6[[คะแนนเต็ม]:[คะแนนเต็ม]]),"",(tbl_task6[133]/tbl_task6[[คะแนนเต็ม]:[คะแนนเต็ม]])*tbl_task6[[%]:[%]])</f>
        <v/>
      </c>
      <c r="KR22" s="121" t="str">
        <f>IF(ISBLANK(tbl_task6[[คะแนนเต็ม]:[คะแนนเต็ม]]),"",(tbl_task6[134]/tbl_task6[[คะแนนเต็ม]:[คะแนนเต็ม]])*tbl_task6[[%]:[%]])</f>
        <v/>
      </c>
      <c r="KS22" s="121" t="str">
        <f>IF(ISBLANK(tbl_task6[[คะแนนเต็ม]:[คะแนนเต็ม]]),"",(tbl_task6[135]/tbl_task6[[คะแนนเต็ม]:[คะแนนเต็ม]])*tbl_task6[[%]:[%]])</f>
        <v/>
      </c>
      <c r="KT22" s="121" t="str">
        <f>IF(ISBLANK(tbl_task6[[คะแนนเต็ม]:[คะแนนเต็ม]]),"",(tbl_task6[136]/tbl_task6[[คะแนนเต็ม]:[คะแนนเต็ม]])*tbl_task6[[%]:[%]])</f>
        <v/>
      </c>
      <c r="KU22" s="121" t="str">
        <f>IF(ISBLANK(tbl_task6[[คะแนนเต็ม]:[คะแนนเต็ม]]),"",(tbl_task6[137]/tbl_task6[[คะแนนเต็ม]:[คะแนนเต็ม]])*tbl_task6[[%]:[%]])</f>
        <v/>
      </c>
      <c r="KV22" s="121" t="str">
        <f>IF(ISBLANK(tbl_task6[[คะแนนเต็ม]:[คะแนนเต็ม]]),"",(tbl_task6[138]/tbl_task6[[คะแนนเต็ม]:[คะแนนเต็ม]])*tbl_task6[[%]:[%]])</f>
        <v/>
      </c>
      <c r="KW22" s="121" t="str">
        <f>IF(ISBLANK(tbl_task6[[คะแนนเต็ม]:[คะแนนเต็ม]]),"",(tbl_task6[139]/tbl_task6[[คะแนนเต็ม]:[คะแนนเต็ม]])*tbl_task6[[%]:[%]])</f>
        <v/>
      </c>
      <c r="KX22" s="121" t="str">
        <f>IF(ISBLANK(tbl_task6[[คะแนนเต็ม]:[คะแนนเต็ม]]),"",(tbl_task6[140]/tbl_task6[[คะแนนเต็ม]:[คะแนนเต็ม]])*tbl_task6[[%]:[%]])</f>
        <v/>
      </c>
      <c r="KY22" s="121" t="str">
        <f>IF(ISBLANK(tbl_task6[[คะแนนเต็ม]:[คะแนนเต็ม]]),"",(tbl_task6[141]/tbl_task6[[คะแนนเต็ม]:[คะแนนเต็ม]])*tbl_task6[[%]:[%]])</f>
        <v/>
      </c>
      <c r="KZ22" s="121" t="str">
        <f>IF(ISBLANK(tbl_task6[[คะแนนเต็ม]:[คะแนนเต็ม]]),"",(tbl_task6[142]/tbl_task6[[คะแนนเต็ม]:[คะแนนเต็ม]])*tbl_task6[[%]:[%]])</f>
        <v/>
      </c>
      <c r="LA22" s="121" t="str">
        <f>IF(ISBLANK(tbl_task6[[คะแนนเต็ม]:[คะแนนเต็ม]]),"",(tbl_task6[143]/tbl_task6[[คะแนนเต็ม]:[คะแนนเต็ม]])*tbl_task6[[%]:[%]])</f>
        <v/>
      </c>
      <c r="LB22" s="121" t="str">
        <f>IF(ISBLANK(tbl_task6[[คะแนนเต็ม]:[คะแนนเต็ม]]),"",(tbl_task6[144]/tbl_task6[[คะแนนเต็ม]:[คะแนนเต็ม]])*tbl_task6[[%]:[%]])</f>
        <v/>
      </c>
      <c r="LC22" s="121" t="str">
        <f>IF(ISBLANK(tbl_task6[[คะแนนเต็ม]:[คะแนนเต็ม]]),"",(tbl_task6[145]/tbl_task6[[คะแนนเต็ม]:[คะแนนเต็ม]])*tbl_task6[[%]:[%]])</f>
        <v/>
      </c>
      <c r="LD22" s="121" t="str">
        <f>IF(ISBLANK(tbl_task6[[คะแนนเต็ม]:[คะแนนเต็ม]]),"",(tbl_task6[146]/tbl_task6[[คะแนนเต็ม]:[คะแนนเต็ม]])*tbl_task6[[%]:[%]])</f>
        <v/>
      </c>
      <c r="LE22" s="121" t="str">
        <f>IF(ISBLANK(tbl_task6[[คะแนนเต็ม]:[คะแนนเต็ม]]),"",(tbl_task6[147]/tbl_task6[[คะแนนเต็ม]:[คะแนนเต็ม]])*tbl_task6[[%]:[%]])</f>
        <v/>
      </c>
      <c r="LF22" s="121" t="str">
        <f>IF(ISBLANK(tbl_task6[[คะแนนเต็ม]:[คะแนนเต็ม]]),"",(tbl_task6[148]/tbl_task6[[คะแนนเต็ม]:[คะแนนเต็ม]])*tbl_task6[[%]:[%]])</f>
        <v/>
      </c>
      <c r="LG22" s="121" t="str">
        <f>IF(ISBLANK(tbl_task6[[คะแนนเต็ม]:[คะแนนเต็ม]]),"",(tbl_task6[149]/tbl_task6[[คะแนนเต็ม]:[คะแนนเต็ม]])*tbl_task6[[%]:[%]])</f>
        <v/>
      </c>
      <c r="LH22" s="121" t="str">
        <f>IF(ISBLANK(tbl_task6[[คะแนนเต็ม]:[คะแนนเต็ม]]),"",(tbl_task6[150]/tbl_task6[[คะแนนเต็ม]:[คะแนนเต็ม]])*tbl_task6[[%]:[%]])</f>
        <v/>
      </c>
      <c r="LI22" s="121" t="str">
        <f>IF(ISBLANK(tbl_task6[[คะแนนเต็ม]:[คะแนนเต็ม]]),"",(tbl_task6[151]/tbl_task6[[คะแนนเต็ม]:[คะแนนเต็ม]])*tbl_task6[[%]:[%]])</f>
        <v/>
      </c>
      <c r="LJ22" s="121" t="str">
        <f>IF(ISBLANK(tbl_task6[[คะแนนเต็ม]:[คะแนนเต็ม]]),"",(tbl_task6[152]/tbl_task6[[คะแนนเต็ม]:[คะแนนเต็ม]])*tbl_task6[[%]:[%]])</f>
        <v/>
      </c>
      <c r="LK22" s="121" t="str">
        <f>IF(ISBLANK(tbl_task6[[คะแนนเต็ม]:[คะแนนเต็ม]]),"",(tbl_task6[153]/tbl_task6[[คะแนนเต็ม]:[คะแนนเต็ม]])*tbl_task6[[%]:[%]])</f>
        <v/>
      </c>
      <c r="LL22" s="121" t="str">
        <f>IF(ISBLANK(tbl_task6[[คะแนนเต็ม]:[คะแนนเต็ม]]),"",(tbl_task6[154]/tbl_task6[[คะแนนเต็ม]:[คะแนนเต็ม]])*tbl_task6[[%]:[%]])</f>
        <v/>
      </c>
      <c r="LM22" s="121" t="str">
        <f>IF(ISBLANK(tbl_task6[[คะแนนเต็ม]:[คะแนนเต็ม]]),"",(tbl_task6[155]/tbl_task6[[คะแนนเต็ม]:[คะแนนเต็ม]])*tbl_task6[[%]:[%]])</f>
        <v/>
      </c>
      <c r="LN22" s="121" t="str">
        <f>IF(ISBLANK(tbl_task6[[คะแนนเต็ม]:[คะแนนเต็ม]]),"",(tbl_task6[156]/tbl_task6[[คะแนนเต็ม]:[คะแนนเต็ม]])*tbl_task6[[%]:[%]])</f>
        <v/>
      </c>
      <c r="LO22" s="121" t="str">
        <f>IF(ISBLANK(tbl_task6[[คะแนนเต็ม]:[คะแนนเต็ม]]),"",(tbl_task6[157]/tbl_task6[[คะแนนเต็ม]:[คะแนนเต็ม]])*tbl_task6[[%]:[%]])</f>
        <v/>
      </c>
      <c r="LP22" s="121" t="str">
        <f>IF(ISBLANK(tbl_task6[[คะแนนเต็ม]:[คะแนนเต็ม]]),"",(tbl_task6[158]/tbl_task6[[คะแนนเต็ม]:[คะแนนเต็ม]])*tbl_task6[[%]:[%]])</f>
        <v/>
      </c>
      <c r="LQ22" s="121" t="str">
        <f>IF(ISBLANK(tbl_task6[[คะแนนเต็ม]:[คะแนนเต็ม]]),"",(tbl_task6[159]/tbl_task6[[คะแนนเต็ม]:[คะแนนเต็ม]])*tbl_task6[[%]:[%]])</f>
        <v/>
      </c>
      <c r="LR22" s="121" t="str">
        <f>IF(ISBLANK(tbl_task6[[คะแนนเต็ม]:[คะแนนเต็ม]]),"",(tbl_task6[160]/tbl_task6[[คะแนนเต็ม]:[คะแนนเต็ม]])*tbl_task6[[%]:[%]])</f>
        <v/>
      </c>
      <c r="LS22" s="121" t="str">
        <f>IF(ISBLANK(tbl_task6[[คะแนนเต็ม]:[คะแนนเต็ม]]),"",(tbl_task6[161]/tbl_task6[[คะแนนเต็ม]:[คะแนนเต็ม]])*tbl_task6[[%]:[%]])</f>
        <v/>
      </c>
      <c r="LT22" s="121" t="str">
        <f>IF(ISBLANK(tbl_task6[[คะแนนเต็ม]:[คะแนนเต็ม]]),"",(tbl_task6[162]/tbl_task6[[คะแนนเต็ม]:[คะแนนเต็ม]])*tbl_task6[[%]:[%]])</f>
        <v/>
      </c>
      <c r="LU22" s="121" t="str">
        <f>IF(ISBLANK(tbl_task6[[คะแนนเต็ม]:[คะแนนเต็ม]]),"",(tbl_task6[163]/tbl_task6[[คะแนนเต็ม]:[คะแนนเต็ม]])*tbl_task6[[%]:[%]])</f>
        <v/>
      </c>
      <c r="LV22" s="121" t="str">
        <f>IF(ISBLANK(tbl_task6[[คะแนนเต็ม]:[คะแนนเต็ม]]),"",(tbl_task6[164]/tbl_task6[[คะแนนเต็ม]:[คะแนนเต็ม]])*tbl_task6[[%]:[%]])</f>
        <v/>
      </c>
      <c r="LW22" s="121" t="str">
        <f>IF(ISBLANK(tbl_task6[[คะแนนเต็ม]:[คะแนนเต็ม]]),"",(tbl_task6[165]/tbl_task6[[คะแนนเต็ม]:[คะแนนเต็ม]])*tbl_task6[[%]:[%]])</f>
        <v/>
      </c>
    </row>
    <row r="23" spans="1:335" ht="24" customHeight="1" x14ac:dyDescent="0.25">
      <c r="A23" s="24">
        <v>20</v>
      </c>
      <c r="B23" s="25"/>
      <c r="C23" s="26" t="str">
        <f>IF(ISBLANK(B23),"",VLOOKUP(B23,tbl_PLOs[],2,0))</f>
        <v/>
      </c>
      <c r="D23" s="103"/>
      <c r="E23" s="10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21" t="str">
        <f>IF(ISBLANK(tbl_task6[[คะแนนเต็ม]:[คะแนนเต็ม]]),"",(tbl_task6[1]/tbl_task6[[คะแนนเต็ม]:[คะแนนเต็ม]])*tbl_task6[[%]:[%]])</f>
        <v/>
      </c>
      <c r="FP23" s="121" t="str">
        <f>IF(ISBLANK(tbl_task6[[คะแนนเต็ม]:[คะแนนเต็ม]]),"",(tbl_task6[2]/tbl_task6[[คะแนนเต็ม]:[คะแนนเต็ม]])*tbl_task6[[%]:[%]])</f>
        <v/>
      </c>
      <c r="FQ23" s="121" t="str">
        <f>IF(ISBLANK(tbl_task6[[คะแนนเต็ม]:[คะแนนเต็ม]]),"",(tbl_task6[3]/tbl_task6[[คะแนนเต็ม]:[คะแนนเต็ม]])*tbl_task6[[%]:[%]])</f>
        <v/>
      </c>
      <c r="FR23" s="121" t="str">
        <f>IF(ISBLANK(tbl_task6[[คะแนนเต็ม]:[คะแนนเต็ม]]),"",(tbl_task6[4]/tbl_task6[[คะแนนเต็ม]:[คะแนนเต็ม]])*tbl_task6[[%]:[%]])</f>
        <v/>
      </c>
      <c r="FS23" s="121" t="str">
        <f>IF(ISBLANK(tbl_task6[[คะแนนเต็ม]:[คะแนนเต็ม]]),"",(tbl_task6[5]/tbl_task6[[คะแนนเต็ม]:[คะแนนเต็ม]])*tbl_task6[[%]:[%]])</f>
        <v/>
      </c>
      <c r="FT23" s="121" t="str">
        <f>IF(ISBLANK(tbl_task6[[คะแนนเต็ม]:[คะแนนเต็ม]]),"",(tbl_task6[6]/tbl_task6[[คะแนนเต็ม]:[คะแนนเต็ม]])*tbl_task6[[%]:[%]])</f>
        <v/>
      </c>
      <c r="FU23" s="121" t="str">
        <f>IF(ISBLANK(tbl_task6[[คะแนนเต็ม]:[คะแนนเต็ม]]),"",(tbl_task6[7]/tbl_task6[[คะแนนเต็ม]:[คะแนนเต็ม]])*tbl_task6[[%]:[%]])</f>
        <v/>
      </c>
      <c r="FV23" s="121" t="str">
        <f>IF(ISBLANK(tbl_task6[[คะแนนเต็ม]:[คะแนนเต็ม]]),"",(tbl_task6[8]/tbl_task6[[คะแนนเต็ม]:[คะแนนเต็ม]])*tbl_task6[[%]:[%]])</f>
        <v/>
      </c>
      <c r="FW23" s="121" t="str">
        <f>IF(ISBLANK(tbl_task6[[คะแนนเต็ม]:[คะแนนเต็ม]]),"",(tbl_task6[9]/tbl_task6[[คะแนนเต็ม]:[คะแนนเต็ม]])*tbl_task6[[%]:[%]])</f>
        <v/>
      </c>
      <c r="FX23" s="121" t="str">
        <f>IF(ISBLANK(tbl_task6[[คะแนนเต็ม]:[คะแนนเต็ม]]),"",(tbl_task6[10]/tbl_task6[[คะแนนเต็ม]:[คะแนนเต็ม]])*tbl_task6[[%]:[%]])</f>
        <v/>
      </c>
      <c r="FY23" s="121" t="str">
        <f>IF(ISBLANK(tbl_task6[[คะแนนเต็ม]:[คะแนนเต็ม]]),"",(tbl_task6[11]/tbl_task6[[คะแนนเต็ม]:[คะแนนเต็ม]])*tbl_task6[[%]:[%]])</f>
        <v/>
      </c>
      <c r="FZ23" s="121" t="str">
        <f>IF(ISBLANK(tbl_task6[[คะแนนเต็ม]:[คะแนนเต็ม]]),"",(tbl_task6[12]/tbl_task6[[คะแนนเต็ม]:[คะแนนเต็ม]])*tbl_task6[[%]:[%]])</f>
        <v/>
      </c>
      <c r="GA23" s="121" t="str">
        <f>IF(ISBLANK(tbl_task6[[คะแนนเต็ม]:[คะแนนเต็ม]]),"",(tbl_task6[13]/tbl_task6[[คะแนนเต็ม]:[คะแนนเต็ม]])*tbl_task6[[%]:[%]])</f>
        <v/>
      </c>
      <c r="GB23" s="121" t="str">
        <f>IF(ISBLANK(tbl_task6[[คะแนนเต็ม]:[คะแนนเต็ม]]),"",(tbl_task6[14]/tbl_task6[[คะแนนเต็ม]:[คะแนนเต็ม]])*tbl_task6[[%]:[%]])</f>
        <v/>
      </c>
      <c r="GC23" s="121" t="str">
        <f>IF(ISBLANK(tbl_task6[[คะแนนเต็ม]:[คะแนนเต็ม]]),"",(tbl_task6[15]/tbl_task6[[คะแนนเต็ม]:[คะแนนเต็ม]])*tbl_task6[[%]:[%]])</f>
        <v/>
      </c>
      <c r="GD23" s="121" t="str">
        <f>IF(ISBLANK(tbl_task6[[คะแนนเต็ม]:[คะแนนเต็ม]]),"",(tbl_task6[16]/tbl_task6[[คะแนนเต็ม]:[คะแนนเต็ม]])*tbl_task6[[%]:[%]])</f>
        <v/>
      </c>
      <c r="GE23" s="121" t="str">
        <f>IF(ISBLANK(tbl_task6[[คะแนนเต็ม]:[คะแนนเต็ม]]),"",(tbl_task6[17]/tbl_task6[[คะแนนเต็ม]:[คะแนนเต็ม]])*tbl_task6[[%]:[%]])</f>
        <v/>
      </c>
      <c r="GF23" s="121" t="str">
        <f>IF(ISBLANK(tbl_task6[[คะแนนเต็ม]:[คะแนนเต็ม]]),"",(tbl_task6[18]/tbl_task6[[คะแนนเต็ม]:[คะแนนเต็ม]])*tbl_task6[[%]:[%]])</f>
        <v/>
      </c>
      <c r="GG23" s="121" t="str">
        <f>IF(ISBLANK(tbl_task6[[คะแนนเต็ม]:[คะแนนเต็ม]]),"",(tbl_task6[19]/tbl_task6[[คะแนนเต็ม]:[คะแนนเต็ม]])*tbl_task6[[%]:[%]])</f>
        <v/>
      </c>
      <c r="GH23" s="121" t="str">
        <f>IF(ISBLANK(tbl_task6[[คะแนนเต็ม]:[คะแนนเต็ม]]),"",(tbl_task6[20]/tbl_task6[[คะแนนเต็ม]:[คะแนนเต็ม]])*tbl_task6[[%]:[%]])</f>
        <v/>
      </c>
      <c r="GI23" s="121" t="str">
        <f>IF(ISBLANK(tbl_task6[[คะแนนเต็ม]:[คะแนนเต็ม]]),"",(tbl_task6[21]/tbl_task6[[คะแนนเต็ม]:[คะแนนเต็ม]])*tbl_task6[[%]:[%]])</f>
        <v/>
      </c>
      <c r="GJ23" s="121" t="str">
        <f>IF(ISBLANK(tbl_task6[[คะแนนเต็ม]:[คะแนนเต็ม]]),"",(tbl_task6[22]/tbl_task6[[คะแนนเต็ม]:[คะแนนเต็ม]])*tbl_task6[[%]:[%]])</f>
        <v/>
      </c>
      <c r="GK23" s="121" t="str">
        <f>IF(ISBLANK(tbl_task6[[คะแนนเต็ม]:[คะแนนเต็ม]]),"",(tbl_task6[23]/tbl_task6[[คะแนนเต็ม]:[คะแนนเต็ม]])*tbl_task6[[%]:[%]])</f>
        <v/>
      </c>
      <c r="GL23" s="121" t="str">
        <f>IF(ISBLANK(tbl_task6[[คะแนนเต็ม]:[คะแนนเต็ม]]),"",(tbl_task6[24]/tbl_task6[[คะแนนเต็ม]:[คะแนนเต็ม]])*tbl_task6[[%]:[%]])</f>
        <v/>
      </c>
      <c r="GM23" s="121" t="str">
        <f>IF(ISBLANK(tbl_task6[[คะแนนเต็ม]:[คะแนนเต็ม]]),"",(tbl_task6[25]/tbl_task6[[คะแนนเต็ม]:[คะแนนเต็ม]])*tbl_task6[[%]:[%]])</f>
        <v/>
      </c>
      <c r="GN23" s="121" t="str">
        <f>IF(ISBLANK(tbl_task6[[คะแนนเต็ม]:[คะแนนเต็ม]]),"",(tbl_task6[26]/tbl_task6[[คะแนนเต็ม]:[คะแนนเต็ม]])*tbl_task6[[%]:[%]])</f>
        <v/>
      </c>
      <c r="GO23" s="121" t="str">
        <f>IF(ISBLANK(tbl_task6[[คะแนนเต็ม]:[คะแนนเต็ม]]),"",(tbl_task6[27]/tbl_task6[[คะแนนเต็ม]:[คะแนนเต็ม]])*tbl_task6[[%]:[%]])</f>
        <v/>
      </c>
      <c r="GP23" s="121" t="str">
        <f>IF(ISBLANK(tbl_task6[[คะแนนเต็ม]:[คะแนนเต็ม]]),"",(tbl_task6[28]/tbl_task6[[คะแนนเต็ม]:[คะแนนเต็ม]])*tbl_task6[[%]:[%]])</f>
        <v/>
      </c>
      <c r="GQ23" s="121" t="str">
        <f>IF(ISBLANK(tbl_task6[[คะแนนเต็ม]:[คะแนนเต็ม]]),"",(tbl_task6[29]/tbl_task6[[คะแนนเต็ม]:[คะแนนเต็ม]])*tbl_task6[[%]:[%]])</f>
        <v/>
      </c>
      <c r="GR23" s="121" t="str">
        <f>IF(ISBLANK(tbl_task6[[คะแนนเต็ม]:[คะแนนเต็ม]]),"",(tbl_task6[30]/tbl_task6[[คะแนนเต็ม]:[คะแนนเต็ม]])*tbl_task6[[%]:[%]])</f>
        <v/>
      </c>
      <c r="GS23" s="121" t="str">
        <f>IF(ISBLANK(tbl_task6[[คะแนนเต็ม]:[คะแนนเต็ม]]),"",(tbl_task6[31]/tbl_task6[[คะแนนเต็ม]:[คะแนนเต็ม]])*tbl_task6[[%]:[%]])</f>
        <v/>
      </c>
      <c r="GT23" s="121" t="str">
        <f>IF(ISBLANK(tbl_task6[[คะแนนเต็ม]:[คะแนนเต็ม]]),"",(tbl_task6[32]/tbl_task6[[คะแนนเต็ม]:[คะแนนเต็ม]])*tbl_task6[[%]:[%]])</f>
        <v/>
      </c>
      <c r="GU23" s="121" t="str">
        <f>IF(ISBLANK(tbl_task6[[คะแนนเต็ม]:[คะแนนเต็ม]]),"",(tbl_task6[33]/tbl_task6[[คะแนนเต็ม]:[คะแนนเต็ม]])*tbl_task6[[%]:[%]])</f>
        <v/>
      </c>
      <c r="GV23" s="121" t="str">
        <f>IF(ISBLANK(tbl_task6[[คะแนนเต็ม]:[คะแนนเต็ม]]),"",(tbl_task6[34]/tbl_task6[[คะแนนเต็ม]:[คะแนนเต็ม]])*tbl_task6[[%]:[%]])</f>
        <v/>
      </c>
      <c r="GW23" s="121" t="str">
        <f>IF(ISBLANK(tbl_task6[[คะแนนเต็ม]:[คะแนนเต็ม]]),"",(tbl_task6[35]/tbl_task6[[คะแนนเต็ม]:[คะแนนเต็ม]])*tbl_task6[[%]:[%]])</f>
        <v/>
      </c>
      <c r="GX23" s="121" t="str">
        <f>IF(ISBLANK(tbl_task6[[คะแนนเต็ม]:[คะแนนเต็ม]]),"",(tbl_task6[36]/tbl_task6[[คะแนนเต็ม]:[คะแนนเต็ม]])*tbl_task6[[%]:[%]])</f>
        <v/>
      </c>
      <c r="GY23" s="121" t="str">
        <f>IF(ISBLANK(tbl_task6[[คะแนนเต็ม]:[คะแนนเต็ม]]),"",(tbl_task6[37]/tbl_task6[[คะแนนเต็ม]:[คะแนนเต็ม]])*tbl_task6[[%]:[%]])</f>
        <v/>
      </c>
      <c r="GZ23" s="121" t="str">
        <f>IF(ISBLANK(tbl_task6[[คะแนนเต็ม]:[คะแนนเต็ม]]),"",(tbl_task6[38]/tbl_task6[[คะแนนเต็ม]:[คะแนนเต็ม]])*tbl_task6[[%]:[%]])</f>
        <v/>
      </c>
      <c r="HA23" s="121" t="str">
        <f>IF(ISBLANK(tbl_task6[[คะแนนเต็ม]:[คะแนนเต็ม]]),"",(tbl_task6[39]/tbl_task6[[คะแนนเต็ม]:[คะแนนเต็ม]])*tbl_task6[[%]:[%]])</f>
        <v/>
      </c>
      <c r="HB23" s="121" t="str">
        <f>IF(ISBLANK(tbl_task6[[คะแนนเต็ม]:[คะแนนเต็ม]]),"",(tbl_task6[40]/tbl_task6[[คะแนนเต็ม]:[คะแนนเต็ม]])*tbl_task6[[%]:[%]])</f>
        <v/>
      </c>
      <c r="HC23" s="121" t="str">
        <f>IF(ISBLANK(tbl_task6[[คะแนนเต็ม]:[คะแนนเต็ม]]),"",(tbl_task6[41]/tbl_task6[[คะแนนเต็ม]:[คะแนนเต็ม]])*tbl_task6[[%]:[%]])</f>
        <v/>
      </c>
      <c r="HD23" s="121" t="str">
        <f>IF(ISBLANK(tbl_task6[[คะแนนเต็ม]:[คะแนนเต็ม]]),"",(tbl_task6[42]/tbl_task6[[คะแนนเต็ม]:[คะแนนเต็ม]])*tbl_task6[[%]:[%]])</f>
        <v/>
      </c>
      <c r="HE23" s="121" t="str">
        <f>IF(ISBLANK(tbl_task6[[คะแนนเต็ม]:[คะแนนเต็ม]]),"",(tbl_task6[43]/tbl_task6[[คะแนนเต็ม]:[คะแนนเต็ม]])*tbl_task6[[%]:[%]])</f>
        <v/>
      </c>
      <c r="HF23" s="121" t="str">
        <f>IF(ISBLANK(tbl_task6[[คะแนนเต็ม]:[คะแนนเต็ม]]),"",(tbl_task6[44]/tbl_task6[[คะแนนเต็ม]:[คะแนนเต็ม]])*tbl_task6[[%]:[%]])</f>
        <v/>
      </c>
      <c r="HG23" s="121" t="str">
        <f>IF(ISBLANK(tbl_task6[[คะแนนเต็ม]:[คะแนนเต็ม]]),"",(tbl_task6[45]/tbl_task6[[คะแนนเต็ม]:[คะแนนเต็ม]])*tbl_task6[[%]:[%]])</f>
        <v/>
      </c>
      <c r="HH23" s="121" t="str">
        <f>IF(ISBLANK(tbl_task6[[คะแนนเต็ม]:[คะแนนเต็ม]]),"",(tbl_task6[46]/tbl_task6[[คะแนนเต็ม]:[คะแนนเต็ม]])*tbl_task6[[%]:[%]])</f>
        <v/>
      </c>
      <c r="HI23" s="121" t="str">
        <f>IF(ISBLANK(tbl_task6[[คะแนนเต็ม]:[คะแนนเต็ม]]),"",(tbl_task6[47]/tbl_task6[[คะแนนเต็ม]:[คะแนนเต็ม]])*tbl_task6[[%]:[%]])</f>
        <v/>
      </c>
      <c r="HJ23" s="121" t="str">
        <f>IF(ISBLANK(tbl_task6[[คะแนนเต็ม]:[คะแนนเต็ม]]),"",(tbl_task6[48]/tbl_task6[[คะแนนเต็ม]:[คะแนนเต็ม]])*tbl_task6[[%]:[%]])</f>
        <v/>
      </c>
      <c r="HK23" s="121" t="str">
        <f>IF(ISBLANK(tbl_task6[[คะแนนเต็ม]:[คะแนนเต็ม]]),"",(tbl_task6[49]/tbl_task6[[คะแนนเต็ม]:[คะแนนเต็ม]])*tbl_task6[[%]:[%]])</f>
        <v/>
      </c>
      <c r="HL23" s="121" t="str">
        <f>IF(ISBLANK(tbl_task6[[คะแนนเต็ม]:[คะแนนเต็ม]]),"",(tbl_task6[50]/tbl_task6[[คะแนนเต็ม]:[คะแนนเต็ม]])*tbl_task6[[%]:[%]])</f>
        <v/>
      </c>
      <c r="HM23" s="121" t="str">
        <f>IF(ISBLANK(tbl_task6[[คะแนนเต็ม]:[คะแนนเต็ม]]),"",(tbl_task6[51]/tbl_task6[[คะแนนเต็ม]:[คะแนนเต็ม]])*tbl_task6[[%]:[%]])</f>
        <v/>
      </c>
      <c r="HN23" s="121" t="str">
        <f>IF(ISBLANK(tbl_task6[[คะแนนเต็ม]:[คะแนนเต็ม]]),"",(tbl_task6[52]/tbl_task6[[คะแนนเต็ม]:[คะแนนเต็ม]])*tbl_task6[[%]:[%]])</f>
        <v/>
      </c>
      <c r="HO23" s="121" t="str">
        <f>IF(ISBLANK(tbl_task6[[คะแนนเต็ม]:[คะแนนเต็ม]]),"",(tbl_task6[53]/tbl_task6[[คะแนนเต็ม]:[คะแนนเต็ม]])*tbl_task6[[%]:[%]])</f>
        <v/>
      </c>
      <c r="HP23" s="121" t="str">
        <f>IF(ISBLANK(tbl_task6[[คะแนนเต็ม]:[คะแนนเต็ม]]),"",(tbl_task6[54]/tbl_task6[[คะแนนเต็ม]:[คะแนนเต็ม]])*tbl_task6[[%]:[%]])</f>
        <v/>
      </c>
      <c r="HQ23" s="121" t="str">
        <f>IF(ISBLANK(tbl_task6[[คะแนนเต็ม]:[คะแนนเต็ม]]),"",(tbl_task6[55]/tbl_task6[[คะแนนเต็ม]:[คะแนนเต็ม]])*tbl_task6[[%]:[%]])</f>
        <v/>
      </c>
      <c r="HR23" s="121" t="str">
        <f>IF(ISBLANK(tbl_task6[[คะแนนเต็ม]:[คะแนนเต็ม]]),"",(tbl_task6[56]/tbl_task6[[คะแนนเต็ม]:[คะแนนเต็ม]])*tbl_task6[[%]:[%]])</f>
        <v/>
      </c>
      <c r="HS23" s="121" t="str">
        <f>IF(ISBLANK(tbl_task6[[คะแนนเต็ม]:[คะแนนเต็ม]]),"",(tbl_task6[57]/tbl_task6[[คะแนนเต็ม]:[คะแนนเต็ม]])*tbl_task6[[%]:[%]])</f>
        <v/>
      </c>
      <c r="HT23" s="121" t="str">
        <f>IF(ISBLANK(tbl_task6[[คะแนนเต็ม]:[คะแนนเต็ม]]),"",(tbl_task6[58]/tbl_task6[[คะแนนเต็ม]:[คะแนนเต็ม]])*tbl_task6[[%]:[%]])</f>
        <v/>
      </c>
      <c r="HU23" s="121" t="str">
        <f>IF(ISBLANK(tbl_task6[[คะแนนเต็ม]:[คะแนนเต็ม]]),"",(tbl_task6[59]/tbl_task6[[คะแนนเต็ม]:[คะแนนเต็ม]])*tbl_task6[[%]:[%]])</f>
        <v/>
      </c>
      <c r="HV23" s="121" t="str">
        <f>IF(ISBLANK(tbl_task6[[คะแนนเต็ม]:[คะแนนเต็ม]]),"",(tbl_task6[60]/tbl_task6[[คะแนนเต็ม]:[คะแนนเต็ม]])*tbl_task6[[%]:[%]])</f>
        <v/>
      </c>
      <c r="HW23" s="121" t="str">
        <f>IF(ISBLANK(tbl_task6[[คะแนนเต็ม]:[คะแนนเต็ม]]),"",(tbl_task6[61]/tbl_task6[[คะแนนเต็ม]:[คะแนนเต็ม]])*tbl_task6[[%]:[%]])</f>
        <v/>
      </c>
      <c r="HX23" s="121" t="str">
        <f>IF(ISBLANK(tbl_task6[[คะแนนเต็ม]:[คะแนนเต็ม]]),"",(tbl_task6[62]/tbl_task6[[คะแนนเต็ม]:[คะแนนเต็ม]])*tbl_task6[[%]:[%]])</f>
        <v/>
      </c>
      <c r="HY23" s="121" t="str">
        <f>IF(ISBLANK(tbl_task6[[คะแนนเต็ม]:[คะแนนเต็ม]]),"",(tbl_task6[63]/tbl_task6[[คะแนนเต็ม]:[คะแนนเต็ม]])*tbl_task6[[%]:[%]])</f>
        <v/>
      </c>
      <c r="HZ23" s="121" t="str">
        <f>IF(ISBLANK(tbl_task6[[คะแนนเต็ม]:[คะแนนเต็ม]]),"",(tbl_task6[64]/tbl_task6[[คะแนนเต็ม]:[คะแนนเต็ม]])*tbl_task6[[%]:[%]])</f>
        <v/>
      </c>
      <c r="IA23" s="121" t="str">
        <f>IF(ISBLANK(tbl_task6[[คะแนนเต็ม]:[คะแนนเต็ม]]),"",(tbl_task6[65]/tbl_task6[[คะแนนเต็ม]:[คะแนนเต็ม]])*tbl_task6[[%]:[%]])</f>
        <v/>
      </c>
      <c r="IB23" s="121" t="str">
        <f>IF(ISBLANK(tbl_task6[[คะแนนเต็ม]:[คะแนนเต็ม]]),"",(tbl_task6[66]/tbl_task6[[คะแนนเต็ม]:[คะแนนเต็ม]])*tbl_task6[[%]:[%]])</f>
        <v/>
      </c>
      <c r="IC23" s="121" t="str">
        <f>IF(ISBLANK(tbl_task6[[คะแนนเต็ม]:[คะแนนเต็ม]]),"",(tbl_task6[67]/tbl_task6[[คะแนนเต็ม]:[คะแนนเต็ม]])*tbl_task6[[%]:[%]])</f>
        <v/>
      </c>
      <c r="ID23" s="121" t="str">
        <f>IF(ISBLANK(tbl_task6[[คะแนนเต็ม]:[คะแนนเต็ม]]),"",(tbl_task6[68]/tbl_task6[[คะแนนเต็ม]:[คะแนนเต็ม]])*tbl_task6[[%]:[%]])</f>
        <v/>
      </c>
      <c r="IE23" s="121" t="str">
        <f>IF(ISBLANK(tbl_task6[[คะแนนเต็ม]:[คะแนนเต็ม]]),"",(tbl_task6[69]/tbl_task6[[คะแนนเต็ม]:[คะแนนเต็ม]])*tbl_task6[[%]:[%]])</f>
        <v/>
      </c>
      <c r="IF23" s="121" t="str">
        <f>IF(ISBLANK(tbl_task6[[คะแนนเต็ม]:[คะแนนเต็ม]]),"",(tbl_task6[70]/tbl_task6[[คะแนนเต็ม]:[คะแนนเต็ม]])*tbl_task6[[%]:[%]])</f>
        <v/>
      </c>
      <c r="IG23" s="121" t="str">
        <f>IF(ISBLANK(tbl_task6[[คะแนนเต็ม]:[คะแนนเต็ม]]),"",(tbl_task6[71]/tbl_task6[[คะแนนเต็ม]:[คะแนนเต็ม]])*tbl_task6[[%]:[%]])</f>
        <v/>
      </c>
      <c r="IH23" s="121" t="str">
        <f>IF(ISBLANK(tbl_task6[[คะแนนเต็ม]:[คะแนนเต็ม]]),"",(tbl_task6[72]/tbl_task6[[คะแนนเต็ม]:[คะแนนเต็ม]])*tbl_task6[[%]:[%]])</f>
        <v/>
      </c>
      <c r="II23" s="121" t="str">
        <f>IF(ISBLANK(tbl_task6[[คะแนนเต็ม]:[คะแนนเต็ม]]),"",(tbl_task6[73]/tbl_task6[[คะแนนเต็ม]:[คะแนนเต็ม]])*tbl_task6[[%]:[%]])</f>
        <v/>
      </c>
      <c r="IJ23" s="121" t="str">
        <f>IF(ISBLANK(tbl_task6[[คะแนนเต็ม]:[คะแนนเต็ม]]),"",(tbl_task6[74]/tbl_task6[[คะแนนเต็ม]:[คะแนนเต็ม]])*tbl_task6[[%]:[%]])</f>
        <v/>
      </c>
      <c r="IK23" s="121" t="str">
        <f>IF(ISBLANK(tbl_task6[[คะแนนเต็ม]:[คะแนนเต็ม]]),"",(tbl_task6[75]/tbl_task6[[คะแนนเต็ม]:[คะแนนเต็ม]])*tbl_task6[[%]:[%]])</f>
        <v/>
      </c>
      <c r="IL23" s="121" t="str">
        <f>IF(ISBLANK(tbl_task6[[คะแนนเต็ม]:[คะแนนเต็ม]]),"",(tbl_task6[76]/tbl_task6[[คะแนนเต็ม]:[คะแนนเต็ม]])*tbl_task6[[%]:[%]])</f>
        <v/>
      </c>
      <c r="IM23" s="121" t="str">
        <f>IF(ISBLANK(tbl_task6[[คะแนนเต็ม]:[คะแนนเต็ม]]),"",(tbl_task6[77]/tbl_task6[[คะแนนเต็ม]:[คะแนนเต็ม]])*tbl_task6[[%]:[%]])</f>
        <v/>
      </c>
      <c r="IN23" s="121" t="str">
        <f>IF(ISBLANK(tbl_task6[[คะแนนเต็ม]:[คะแนนเต็ม]]),"",(tbl_task6[78]/tbl_task6[[คะแนนเต็ม]:[คะแนนเต็ม]])*tbl_task6[[%]:[%]])</f>
        <v/>
      </c>
      <c r="IO23" s="121" t="str">
        <f>IF(ISBLANK(tbl_task6[[คะแนนเต็ม]:[คะแนนเต็ม]]),"",(tbl_task6[79]/tbl_task6[[คะแนนเต็ม]:[คะแนนเต็ม]])*tbl_task6[[%]:[%]])</f>
        <v/>
      </c>
      <c r="IP23" s="121" t="str">
        <f>IF(ISBLANK(tbl_task6[[คะแนนเต็ม]:[คะแนนเต็ม]]),"",(tbl_task6[80]/tbl_task6[[คะแนนเต็ม]:[คะแนนเต็ม]])*tbl_task6[[%]:[%]])</f>
        <v/>
      </c>
      <c r="IQ23" s="121" t="str">
        <f>IF(ISBLANK(tbl_task6[[คะแนนเต็ม]:[คะแนนเต็ม]]),"",(tbl_task6[81]/tbl_task6[[คะแนนเต็ม]:[คะแนนเต็ม]])*tbl_task6[[%]:[%]])</f>
        <v/>
      </c>
      <c r="IR23" s="121" t="str">
        <f>IF(ISBLANK(tbl_task6[[คะแนนเต็ม]:[คะแนนเต็ม]]),"",(tbl_task6[82]/tbl_task6[[คะแนนเต็ม]:[คะแนนเต็ม]])*tbl_task6[[%]:[%]])</f>
        <v/>
      </c>
      <c r="IS23" s="121" t="str">
        <f>IF(ISBLANK(tbl_task6[[คะแนนเต็ม]:[คะแนนเต็ม]]),"",(tbl_task6[83]/tbl_task6[[คะแนนเต็ม]:[คะแนนเต็ม]])*tbl_task6[[%]:[%]])</f>
        <v/>
      </c>
      <c r="IT23" s="121" t="str">
        <f>IF(ISBLANK(tbl_task6[[คะแนนเต็ม]:[คะแนนเต็ม]]),"",(tbl_task6[84]/tbl_task6[[คะแนนเต็ม]:[คะแนนเต็ม]])*tbl_task6[[%]:[%]])</f>
        <v/>
      </c>
      <c r="IU23" s="121" t="str">
        <f>IF(ISBLANK(tbl_task6[[คะแนนเต็ม]:[คะแนนเต็ม]]),"",(tbl_task6[85]/tbl_task6[[คะแนนเต็ม]:[คะแนนเต็ม]])*tbl_task6[[%]:[%]])</f>
        <v/>
      </c>
      <c r="IV23" s="121" t="str">
        <f>IF(ISBLANK(tbl_task6[[คะแนนเต็ม]:[คะแนนเต็ม]]),"",(tbl_task6[86]/tbl_task6[[คะแนนเต็ม]:[คะแนนเต็ม]])*tbl_task6[[%]:[%]])</f>
        <v/>
      </c>
      <c r="IW23" s="121" t="str">
        <f>IF(ISBLANK(tbl_task6[[คะแนนเต็ม]:[คะแนนเต็ม]]),"",(tbl_task6[87]/tbl_task6[[คะแนนเต็ม]:[คะแนนเต็ม]])*tbl_task6[[%]:[%]])</f>
        <v/>
      </c>
      <c r="IX23" s="121" t="str">
        <f>IF(ISBLANK(tbl_task6[[คะแนนเต็ม]:[คะแนนเต็ม]]),"",(tbl_task6[88]/tbl_task6[[คะแนนเต็ม]:[คะแนนเต็ม]])*tbl_task6[[%]:[%]])</f>
        <v/>
      </c>
      <c r="IY23" s="121" t="str">
        <f>IF(ISBLANK(tbl_task6[[คะแนนเต็ม]:[คะแนนเต็ม]]),"",(tbl_task6[89]/tbl_task6[[คะแนนเต็ม]:[คะแนนเต็ม]])*tbl_task6[[%]:[%]])</f>
        <v/>
      </c>
      <c r="IZ23" s="121" t="str">
        <f>IF(ISBLANK(tbl_task6[[คะแนนเต็ม]:[คะแนนเต็ม]]),"",(tbl_task6[90]/tbl_task6[[คะแนนเต็ม]:[คะแนนเต็ม]])*tbl_task6[[%]:[%]])</f>
        <v/>
      </c>
      <c r="JA23" s="121" t="str">
        <f>IF(ISBLANK(tbl_task6[[คะแนนเต็ม]:[คะแนนเต็ม]]),"",(tbl_task6[91]/tbl_task6[[คะแนนเต็ม]:[คะแนนเต็ม]])*tbl_task6[[%]:[%]])</f>
        <v/>
      </c>
      <c r="JB23" s="121" t="str">
        <f>IF(ISBLANK(tbl_task6[[คะแนนเต็ม]:[คะแนนเต็ม]]),"",(tbl_task6[92]/tbl_task6[[คะแนนเต็ม]:[คะแนนเต็ม]])*tbl_task6[[%]:[%]])</f>
        <v/>
      </c>
      <c r="JC23" s="121" t="str">
        <f>IF(ISBLANK(tbl_task6[[คะแนนเต็ม]:[คะแนนเต็ม]]),"",(tbl_task6[93]/tbl_task6[[คะแนนเต็ม]:[คะแนนเต็ม]])*tbl_task6[[%]:[%]])</f>
        <v/>
      </c>
      <c r="JD23" s="121" t="str">
        <f>IF(ISBLANK(tbl_task6[[คะแนนเต็ม]:[คะแนนเต็ม]]),"",(tbl_task6[94]/tbl_task6[[คะแนนเต็ม]:[คะแนนเต็ม]])*tbl_task6[[%]:[%]])</f>
        <v/>
      </c>
      <c r="JE23" s="121" t="str">
        <f>IF(ISBLANK(tbl_task6[[คะแนนเต็ม]:[คะแนนเต็ม]]),"",(tbl_task6[95]/tbl_task6[[คะแนนเต็ม]:[คะแนนเต็ม]])*tbl_task6[[%]:[%]])</f>
        <v/>
      </c>
      <c r="JF23" s="121" t="str">
        <f>IF(ISBLANK(tbl_task6[[คะแนนเต็ม]:[คะแนนเต็ม]]),"",(tbl_task6[96]/tbl_task6[[คะแนนเต็ม]:[คะแนนเต็ม]])*tbl_task6[[%]:[%]])</f>
        <v/>
      </c>
      <c r="JG23" s="121" t="str">
        <f>IF(ISBLANK(tbl_task6[[คะแนนเต็ม]:[คะแนนเต็ม]]),"",(tbl_task6[97]/tbl_task6[[คะแนนเต็ม]:[คะแนนเต็ม]])*tbl_task6[[%]:[%]])</f>
        <v/>
      </c>
      <c r="JH23" s="121" t="str">
        <f>IF(ISBLANK(tbl_task6[[คะแนนเต็ม]:[คะแนนเต็ม]]),"",(tbl_task6[98]/tbl_task6[[คะแนนเต็ม]:[คะแนนเต็ม]])*tbl_task6[[%]:[%]])</f>
        <v/>
      </c>
      <c r="JI23" s="121" t="str">
        <f>IF(ISBLANK(tbl_task6[[คะแนนเต็ม]:[คะแนนเต็ม]]),"",(tbl_task6[99]/tbl_task6[[คะแนนเต็ม]:[คะแนนเต็ม]])*tbl_task6[[%]:[%]])</f>
        <v/>
      </c>
      <c r="JJ23" s="121" t="str">
        <f>IF(ISBLANK(tbl_task6[[คะแนนเต็ม]:[คะแนนเต็ม]]),"",(tbl_task6[100]/tbl_task6[[คะแนนเต็ม]:[คะแนนเต็ม]])*tbl_task6[[%]:[%]])</f>
        <v/>
      </c>
      <c r="JK23" s="121" t="str">
        <f>IF(ISBLANK(tbl_task6[[คะแนนเต็ม]:[คะแนนเต็ม]]),"",(tbl_task6[101]/tbl_task6[[คะแนนเต็ม]:[คะแนนเต็ม]])*tbl_task6[[%]:[%]])</f>
        <v/>
      </c>
      <c r="JL23" s="121" t="str">
        <f>IF(ISBLANK(tbl_task6[[คะแนนเต็ม]:[คะแนนเต็ม]]),"",(tbl_task6[102]/tbl_task6[[คะแนนเต็ม]:[คะแนนเต็ม]])*tbl_task6[[%]:[%]])</f>
        <v/>
      </c>
      <c r="JM23" s="121" t="str">
        <f>IF(ISBLANK(tbl_task6[[คะแนนเต็ม]:[คะแนนเต็ม]]),"",(tbl_task6[103]/tbl_task6[[คะแนนเต็ม]:[คะแนนเต็ม]])*tbl_task6[[%]:[%]])</f>
        <v/>
      </c>
      <c r="JN23" s="121" t="str">
        <f>IF(ISBLANK(tbl_task6[[คะแนนเต็ม]:[คะแนนเต็ม]]),"",(tbl_task6[104]/tbl_task6[[คะแนนเต็ม]:[คะแนนเต็ม]])*tbl_task6[[%]:[%]])</f>
        <v/>
      </c>
      <c r="JO23" s="121" t="str">
        <f>IF(ISBLANK(tbl_task6[[คะแนนเต็ม]:[คะแนนเต็ม]]),"",(tbl_task6[105]/tbl_task6[[คะแนนเต็ม]:[คะแนนเต็ม]])*tbl_task6[[%]:[%]])</f>
        <v/>
      </c>
      <c r="JP23" s="121" t="str">
        <f>IF(ISBLANK(tbl_task6[[คะแนนเต็ม]:[คะแนนเต็ม]]),"",(tbl_task6[106]/tbl_task6[[คะแนนเต็ม]:[คะแนนเต็ม]])*tbl_task6[[%]:[%]])</f>
        <v/>
      </c>
      <c r="JQ23" s="121" t="str">
        <f>IF(ISBLANK(tbl_task6[[คะแนนเต็ม]:[คะแนนเต็ม]]),"",(tbl_task6[107]/tbl_task6[[คะแนนเต็ม]:[คะแนนเต็ม]])*tbl_task6[[%]:[%]])</f>
        <v/>
      </c>
      <c r="JR23" s="121" t="str">
        <f>IF(ISBLANK(tbl_task6[[คะแนนเต็ม]:[คะแนนเต็ม]]),"",(tbl_task6[108]/tbl_task6[[คะแนนเต็ม]:[คะแนนเต็ม]])*tbl_task6[[%]:[%]])</f>
        <v/>
      </c>
      <c r="JS23" s="121" t="str">
        <f>IF(ISBLANK(tbl_task6[[คะแนนเต็ม]:[คะแนนเต็ม]]),"",(tbl_task6[109]/tbl_task6[[คะแนนเต็ม]:[คะแนนเต็ม]])*tbl_task6[[%]:[%]])</f>
        <v/>
      </c>
      <c r="JT23" s="121" t="str">
        <f>IF(ISBLANK(tbl_task6[[คะแนนเต็ม]:[คะแนนเต็ม]]),"",(tbl_task6[110]/tbl_task6[[คะแนนเต็ม]:[คะแนนเต็ม]])*tbl_task6[[%]:[%]])</f>
        <v/>
      </c>
      <c r="JU23" s="121" t="str">
        <f>IF(ISBLANK(tbl_task6[[คะแนนเต็ม]:[คะแนนเต็ม]]),"",(tbl_task6[111]/tbl_task6[[คะแนนเต็ม]:[คะแนนเต็ม]])*tbl_task6[[%]:[%]])</f>
        <v/>
      </c>
      <c r="JV23" s="121" t="str">
        <f>IF(ISBLANK(tbl_task6[[คะแนนเต็ม]:[คะแนนเต็ม]]),"",(tbl_task6[112]/tbl_task6[[คะแนนเต็ม]:[คะแนนเต็ม]])*tbl_task6[[%]:[%]])</f>
        <v/>
      </c>
      <c r="JW23" s="121" t="str">
        <f>IF(ISBLANK(tbl_task6[[คะแนนเต็ม]:[คะแนนเต็ม]]),"",(tbl_task6[113]/tbl_task6[[คะแนนเต็ม]:[คะแนนเต็ม]])*tbl_task6[[%]:[%]])</f>
        <v/>
      </c>
      <c r="JX23" s="121" t="str">
        <f>IF(ISBLANK(tbl_task6[[คะแนนเต็ม]:[คะแนนเต็ม]]),"",(tbl_task6[114]/tbl_task6[[คะแนนเต็ม]:[คะแนนเต็ม]])*tbl_task6[[%]:[%]])</f>
        <v/>
      </c>
      <c r="JY23" s="121" t="str">
        <f>IF(ISBLANK(tbl_task6[[คะแนนเต็ม]:[คะแนนเต็ม]]),"",(tbl_task6[115]/tbl_task6[[คะแนนเต็ม]:[คะแนนเต็ม]])*tbl_task6[[%]:[%]])</f>
        <v/>
      </c>
      <c r="JZ23" s="121" t="str">
        <f>IF(ISBLANK(tbl_task6[[คะแนนเต็ม]:[คะแนนเต็ม]]),"",(tbl_task6[116]/tbl_task6[[คะแนนเต็ม]:[คะแนนเต็ม]])*tbl_task6[[%]:[%]])</f>
        <v/>
      </c>
      <c r="KA23" s="121" t="str">
        <f>IF(ISBLANK(tbl_task6[[คะแนนเต็ม]:[คะแนนเต็ม]]),"",(tbl_task6[117]/tbl_task6[[คะแนนเต็ม]:[คะแนนเต็ม]])*tbl_task6[[%]:[%]])</f>
        <v/>
      </c>
      <c r="KB23" s="121" t="str">
        <f>IF(ISBLANK(tbl_task6[[คะแนนเต็ม]:[คะแนนเต็ม]]),"",(tbl_task6[118]/tbl_task6[[คะแนนเต็ม]:[คะแนนเต็ม]])*tbl_task6[[%]:[%]])</f>
        <v/>
      </c>
      <c r="KC23" s="121" t="str">
        <f>IF(ISBLANK(tbl_task6[[คะแนนเต็ม]:[คะแนนเต็ม]]),"",(tbl_task6[119]/tbl_task6[[คะแนนเต็ม]:[คะแนนเต็ม]])*tbl_task6[[%]:[%]])</f>
        <v/>
      </c>
      <c r="KD23" s="121" t="str">
        <f>IF(ISBLANK(tbl_task6[[คะแนนเต็ม]:[คะแนนเต็ม]]),"",(tbl_task6[120]/tbl_task6[[คะแนนเต็ม]:[คะแนนเต็ม]])*tbl_task6[[%]:[%]])</f>
        <v/>
      </c>
      <c r="KE23" s="121" t="str">
        <f>IF(ISBLANK(tbl_task6[[คะแนนเต็ม]:[คะแนนเต็ม]]),"",(tbl_task6[121]/tbl_task6[[คะแนนเต็ม]:[คะแนนเต็ม]])*tbl_task6[[%]:[%]])</f>
        <v/>
      </c>
      <c r="KF23" s="121" t="str">
        <f>IF(ISBLANK(tbl_task6[[คะแนนเต็ม]:[คะแนนเต็ม]]),"",(tbl_task6[122]/tbl_task6[[คะแนนเต็ม]:[คะแนนเต็ม]])*tbl_task6[[%]:[%]])</f>
        <v/>
      </c>
      <c r="KG23" s="121" t="str">
        <f>IF(ISBLANK(tbl_task6[[คะแนนเต็ม]:[คะแนนเต็ม]]),"",(tbl_task6[123]/tbl_task6[[คะแนนเต็ม]:[คะแนนเต็ม]])*tbl_task6[[%]:[%]])</f>
        <v/>
      </c>
      <c r="KH23" s="121" t="str">
        <f>IF(ISBLANK(tbl_task6[[คะแนนเต็ม]:[คะแนนเต็ม]]),"",(tbl_task6[124]/tbl_task6[[คะแนนเต็ม]:[คะแนนเต็ม]])*tbl_task6[[%]:[%]])</f>
        <v/>
      </c>
      <c r="KI23" s="121" t="str">
        <f>IF(ISBLANK(tbl_task6[[คะแนนเต็ม]:[คะแนนเต็ม]]),"",(tbl_task6[125]/tbl_task6[[คะแนนเต็ม]:[คะแนนเต็ม]])*tbl_task6[[%]:[%]])</f>
        <v/>
      </c>
      <c r="KJ23" s="121" t="str">
        <f>IF(ISBLANK(tbl_task6[[คะแนนเต็ม]:[คะแนนเต็ม]]),"",(tbl_task6[126]/tbl_task6[[คะแนนเต็ม]:[คะแนนเต็ม]])*tbl_task6[[%]:[%]])</f>
        <v/>
      </c>
      <c r="KK23" s="121" t="str">
        <f>IF(ISBLANK(tbl_task6[[คะแนนเต็ม]:[คะแนนเต็ม]]),"",(tbl_task6[127]/tbl_task6[[คะแนนเต็ม]:[คะแนนเต็ม]])*tbl_task6[[%]:[%]])</f>
        <v/>
      </c>
      <c r="KL23" s="121" t="str">
        <f>IF(ISBLANK(tbl_task6[[คะแนนเต็ม]:[คะแนนเต็ม]]),"",(tbl_task6[128]/tbl_task6[[คะแนนเต็ม]:[คะแนนเต็ม]])*tbl_task6[[%]:[%]])</f>
        <v/>
      </c>
      <c r="KM23" s="121" t="str">
        <f>IF(ISBLANK(tbl_task6[[คะแนนเต็ม]:[คะแนนเต็ม]]),"",(tbl_task6[129]/tbl_task6[[คะแนนเต็ม]:[คะแนนเต็ม]])*tbl_task6[[%]:[%]])</f>
        <v/>
      </c>
      <c r="KN23" s="121" t="str">
        <f>IF(ISBLANK(tbl_task6[[คะแนนเต็ม]:[คะแนนเต็ม]]),"",(tbl_task6[130]/tbl_task6[[คะแนนเต็ม]:[คะแนนเต็ม]])*tbl_task6[[%]:[%]])</f>
        <v/>
      </c>
      <c r="KO23" s="121" t="str">
        <f>IF(ISBLANK(tbl_task6[[คะแนนเต็ม]:[คะแนนเต็ม]]),"",(tbl_task6[131]/tbl_task6[[คะแนนเต็ม]:[คะแนนเต็ม]])*tbl_task6[[%]:[%]])</f>
        <v/>
      </c>
      <c r="KP23" s="121" t="str">
        <f>IF(ISBLANK(tbl_task6[[คะแนนเต็ม]:[คะแนนเต็ม]]),"",(tbl_task6[132]/tbl_task6[[คะแนนเต็ม]:[คะแนนเต็ม]])*tbl_task6[[%]:[%]])</f>
        <v/>
      </c>
      <c r="KQ23" s="121" t="str">
        <f>IF(ISBLANK(tbl_task6[[คะแนนเต็ม]:[คะแนนเต็ม]]),"",(tbl_task6[133]/tbl_task6[[คะแนนเต็ม]:[คะแนนเต็ม]])*tbl_task6[[%]:[%]])</f>
        <v/>
      </c>
      <c r="KR23" s="121" t="str">
        <f>IF(ISBLANK(tbl_task6[[คะแนนเต็ม]:[คะแนนเต็ม]]),"",(tbl_task6[134]/tbl_task6[[คะแนนเต็ม]:[คะแนนเต็ม]])*tbl_task6[[%]:[%]])</f>
        <v/>
      </c>
      <c r="KS23" s="121" t="str">
        <f>IF(ISBLANK(tbl_task6[[คะแนนเต็ม]:[คะแนนเต็ม]]),"",(tbl_task6[135]/tbl_task6[[คะแนนเต็ม]:[คะแนนเต็ม]])*tbl_task6[[%]:[%]])</f>
        <v/>
      </c>
      <c r="KT23" s="121" t="str">
        <f>IF(ISBLANK(tbl_task6[[คะแนนเต็ม]:[คะแนนเต็ม]]),"",(tbl_task6[136]/tbl_task6[[คะแนนเต็ม]:[คะแนนเต็ม]])*tbl_task6[[%]:[%]])</f>
        <v/>
      </c>
      <c r="KU23" s="121" t="str">
        <f>IF(ISBLANK(tbl_task6[[คะแนนเต็ม]:[คะแนนเต็ม]]),"",(tbl_task6[137]/tbl_task6[[คะแนนเต็ม]:[คะแนนเต็ม]])*tbl_task6[[%]:[%]])</f>
        <v/>
      </c>
      <c r="KV23" s="121" t="str">
        <f>IF(ISBLANK(tbl_task6[[คะแนนเต็ม]:[คะแนนเต็ม]]),"",(tbl_task6[138]/tbl_task6[[คะแนนเต็ม]:[คะแนนเต็ม]])*tbl_task6[[%]:[%]])</f>
        <v/>
      </c>
      <c r="KW23" s="121" t="str">
        <f>IF(ISBLANK(tbl_task6[[คะแนนเต็ม]:[คะแนนเต็ม]]),"",(tbl_task6[139]/tbl_task6[[คะแนนเต็ม]:[คะแนนเต็ม]])*tbl_task6[[%]:[%]])</f>
        <v/>
      </c>
      <c r="KX23" s="121" t="str">
        <f>IF(ISBLANK(tbl_task6[[คะแนนเต็ม]:[คะแนนเต็ม]]),"",(tbl_task6[140]/tbl_task6[[คะแนนเต็ม]:[คะแนนเต็ม]])*tbl_task6[[%]:[%]])</f>
        <v/>
      </c>
      <c r="KY23" s="121" t="str">
        <f>IF(ISBLANK(tbl_task6[[คะแนนเต็ม]:[คะแนนเต็ม]]),"",(tbl_task6[141]/tbl_task6[[คะแนนเต็ม]:[คะแนนเต็ม]])*tbl_task6[[%]:[%]])</f>
        <v/>
      </c>
      <c r="KZ23" s="121" t="str">
        <f>IF(ISBLANK(tbl_task6[[คะแนนเต็ม]:[คะแนนเต็ม]]),"",(tbl_task6[142]/tbl_task6[[คะแนนเต็ม]:[คะแนนเต็ม]])*tbl_task6[[%]:[%]])</f>
        <v/>
      </c>
      <c r="LA23" s="121" t="str">
        <f>IF(ISBLANK(tbl_task6[[คะแนนเต็ม]:[คะแนนเต็ม]]),"",(tbl_task6[143]/tbl_task6[[คะแนนเต็ม]:[คะแนนเต็ม]])*tbl_task6[[%]:[%]])</f>
        <v/>
      </c>
      <c r="LB23" s="121" t="str">
        <f>IF(ISBLANK(tbl_task6[[คะแนนเต็ม]:[คะแนนเต็ม]]),"",(tbl_task6[144]/tbl_task6[[คะแนนเต็ม]:[คะแนนเต็ม]])*tbl_task6[[%]:[%]])</f>
        <v/>
      </c>
      <c r="LC23" s="121" t="str">
        <f>IF(ISBLANK(tbl_task6[[คะแนนเต็ม]:[คะแนนเต็ม]]),"",(tbl_task6[145]/tbl_task6[[คะแนนเต็ม]:[คะแนนเต็ม]])*tbl_task6[[%]:[%]])</f>
        <v/>
      </c>
      <c r="LD23" s="121" t="str">
        <f>IF(ISBLANK(tbl_task6[[คะแนนเต็ม]:[คะแนนเต็ม]]),"",(tbl_task6[146]/tbl_task6[[คะแนนเต็ม]:[คะแนนเต็ม]])*tbl_task6[[%]:[%]])</f>
        <v/>
      </c>
      <c r="LE23" s="121" t="str">
        <f>IF(ISBLANK(tbl_task6[[คะแนนเต็ม]:[คะแนนเต็ม]]),"",(tbl_task6[147]/tbl_task6[[คะแนนเต็ม]:[คะแนนเต็ม]])*tbl_task6[[%]:[%]])</f>
        <v/>
      </c>
      <c r="LF23" s="121" t="str">
        <f>IF(ISBLANK(tbl_task6[[คะแนนเต็ม]:[คะแนนเต็ม]]),"",(tbl_task6[148]/tbl_task6[[คะแนนเต็ม]:[คะแนนเต็ม]])*tbl_task6[[%]:[%]])</f>
        <v/>
      </c>
      <c r="LG23" s="121" t="str">
        <f>IF(ISBLANK(tbl_task6[[คะแนนเต็ม]:[คะแนนเต็ม]]),"",(tbl_task6[149]/tbl_task6[[คะแนนเต็ม]:[คะแนนเต็ม]])*tbl_task6[[%]:[%]])</f>
        <v/>
      </c>
      <c r="LH23" s="121" t="str">
        <f>IF(ISBLANK(tbl_task6[[คะแนนเต็ม]:[คะแนนเต็ม]]),"",(tbl_task6[150]/tbl_task6[[คะแนนเต็ม]:[คะแนนเต็ม]])*tbl_task6[[%]:[%]])</f>
        <v/>
      </c>
      <c r="LI23" s="121" t="str">
        <f>IF(ISBLANK(tbl_task6[[คะแนนเต็ม]:[คะแนนเต็ม]]),"",(tbl_task6[151]/tbl_task6[[คะแนนเต็ม]:[คะแนนเต็ม]])*tbl_task6[[%]:[%]])</f>
        <v/>
      </c>
      <c r="LJ23" s="121" t="str">
        <f>IF(ISBLANK(tbl_task6[[คะแนนเต็ม]:[คะแนนเต็ม]]),"",(tbl_task6[152]/tbl_task6[[คะแนนเต็ม]:[คะแนนเต็ม]])*tbl_task6[[%]:[%]])</f>
        <v/>
      </c>
      <c r="LK23" s="121" t="str">
        <f>IF(ISBLANK(tbl_task6[[คะแนนเต็ม]:[คะแนนเต็ม]]),"",(tbl_task6[153]/tbl_task6[[คะแนนเต็ม]:[คะแนนเต็ม]])*tbl_task6[[%]:[%]])</f>
        <v/>
      </c>
      <c r="LL23" s="121" t="str">
        <f>IF(ISBLANK(tbl_task6[[คะแนนเต็ม]:[คะแนนเต็ม]]),"",(tbl_task6[154]/tbl_task6[[คะแนนเต็ม]:[คะแนนเต็ม]])*tbl_task6[[%]:[%]])</f>
        <v/>
      </c>
      <c r="LM23" s="121" t="str">
        <f>IF(ISBLANK(tbl_task6[[คะแนนเต็ม]:[คะแนนเต็ม]]),"",(tbl_task6[155]/tbl_task6[[คะแนนเต็ม]:[คะแนนเต็ม]])*tbl_task6[[%]:[%]])</f>
        <v/>
      </c>
      <c r="LN23" s="121" t="str">
        <f>IF(ISBLANK(tbl_task6[[คะแนนเต็ม]:[คะแนนเต็ม]]),"",(tbl_task6[156]/tbl_task6[[คะแนนเต็ม]:[คะแนนเต็ม]])*tbl_task6[[%]:[%]])</f>
        <v/>
      </c>
      <c r="LO23" s="121" t="str">
        <f>IF(ISBLANK(tbl_task6[[คะแนนเต็ม]:[คะแนนเต็ม]]),"",(tbl_task6[157]/tbl_task6[[คะแนนเต็ม]:[คะแนนเต็ม]])*tbl_task6[[%]:[%]])</f>
        <v/>
      </c>
      <c r="LP23" s="121" t="str">
        <f>IF(ISBLANK(tbl_task6[[คะแนนเต็ม]:[คะแนนเต็ม]]),"",(tbl_task6[158]/tbl_task6[[คะแนนเต็ม]:[คะแนนเต็ม]])*tbl_task6[[%]:[%]])</f>
        <v/>
      </c>
      <c r="LQ23" s="121" t="str">
        <f>IF(ISBLANK(tbl_task6[[คะแนนเต็ม]:[คะแนนเต็ม]]),"",(tbl_task6[159]/tbl_task6[[คะแนนเต็ม]:[คะแนนเต็ม]])*tbl_task6[[%]:[%]])</f>
        <v/>
      </c>
      <c r="LR23" s="121" t="str">
        <f>IF(ISBLANK(tbl_task6[[คะแนนเต็ม]:[คะแนนเต็ม]]),"",(tbl_task6[160]/tbl_task6[[คะแนนเต็ม]:[คะแนนเต็ม]])*tbl_task6[[%]:[%]])</f>
        <v/>
      </c>
      <c r="LS23" s="121" t="str">
        <f>IF(ISBLANK(tbl_task6[[คะแนนเต็ม]:[คะแนนเต็ม]]),"",(tbl_task6[161]/tbl_task6[[คะแนนเต็ม]:[คะแนนเต็ม]])*tbl_task6[[%]:[%]])</f>
        <v/>
      </c>
      <c r="LT23" s="121" t="str">
        <f>IF(ISBLANK(tbl_task6[[คะแนนเต็ม]:[คะแนนเต็ม]]),"",(tbl_task6[162]/tbl_task6[[คะแนนเต็ม]:[คะแนนเต็ม]])*tbl_task6[[%]:[%]])</f>
        <v/>
      </c>
      <c r="LU23" s="121" t="str">
        <f>IF(ISBLANK(tbl_task6[[คะแนนเต็ม]:[คะแนนเต็ม]]),"",(tbl_task6[163]/tbl_task6[[คะแนนเต็ม]:[คะแนนเต็ม]])*tbl_task6[[%]:[%]])</f>
        <v/>
      </c>
      <c r="LV23" s="121" t="str">
        <f>IF(ISBLANK(tbl_task6[[คะแนนเต็ม]:[คะแนนเต็ม]]),"",(tbl_task6[164]/tbl_task6[[คะแนนเต็ม]:[คะแนนเต็ม]])*tbl_task6[[%]:[%]])</f>
        <v/>
      </c>
      <c r="LW23" s="121" t="str">
        <f>IF(ISBLANK(tbl_task6[[คะแนนเต็ม]:[คะแนนเต็ม]]),"",(tbl_task6[165]/tbl_task6[[คะแนนเต็ม]:[คะแนนเต็ม]])*tbl_task6[[%]:[%]])</f>
        <v/>
      </c>
    </row>
    <row r="24" spans="1:335" ht="24" customHeight="1" x14ac:dyDescent="0.25">
      <c r="A24" s="24">
        <v>21</v>
      </c>
      <c r="B24" s="20"/>
      <c r="C24" s="5" t="str">
        <f>IF(ISBLANK(B24),"",VLOOKUP(B24,tbl_PLOs[],2,0))</f>
        <v/>
      </c>
      <c r="D24" s="102"/>
      <c r="E24" s="106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21" t="str">
        <f>IF(ISBLANK(tbl_task6[[คะแนนเต็ม]:[คะแนนเต็ม]]),"",(tbl_task6[1]/tbl_task6[[คะแนนเต็ม]:[คะแนนเต็ม]])*tbl_task6[[%]:[%]])</f>
        <v/>
      </c>
      <c r="FP24" s="121" t="str">
        <f>IF(ISBLANK(tbl_task6[[คะแนนเต็ม]:[คะแนนเต็ม]]),"",(tbl_task6[2]/tbl_task6[[คะแนนเต็ม]:[คะแนนเต็ม]])*tbl_task6[[%]:[%]])</f>
        <v/>
      </c>
      <c r="FQ24" s="121" t="str">
        <f>IF(ISBLANK(tbl_task6[[คะแนนเต็ม]:[คะแนนเต็ม]]),"",(tbl_task6[3]/tbl_task6[[คะแนนเต็ม]:[คะแนนเต็ม]])*tbl_task6[[%]:[%]])</f>
        <v/>
      </c>
      <c r="FR24" s="121" t="str">
        <f>IF(ISBLANK(tbl_task6[[คะแนนเต็ม]:[คะแนนเต็ม]]),"",(tbl_task6[4]/tbl_task6[[คะแนนเต็ม]:[คะแนนเต็ม]])*tbl_task6[[%]:[%]])</f>
        <v/>
      </c>
      <c r="FS24" s="121" t="str">
        <f>IF(ISBLANK(tbl_task6[[คะแนนเต็ม]:[คะแนนเต็ม]]),"",(tbl_task6[5]/tbl_task6[[คะแนนเต็ม]:[คะแนนเต็ม]])*tbl_task6[[%]:[%]])</f>
        <v/>
      </c>
      <c r="FT24" s="121" t="str">
        <f>IF(ISBLANK(tbl_task6[[คะแนนเต็ม]:[คะแนนเต็ม]]),"",(tbl_task6[6]/tbl_task6[[คะแนนเต็ม]:[คะแนนเต็ม]])*tbl_task6[[%]:[%]])</f>
        <v/>
      </c>
      <c r="FU24" s="121" t="str">
        <f>IF(ISBLANK(tbl_task6[[คะแนนเต็ม]:[คะแนนเต็ม]]),"",(tbl_task6[7]/tbl_task6[[คะแนนเต็ม]:[คะแนนเต็ม]])*tbl_task6[[%]:[%]])</f>
        <v/>
      </c>
      <c r="FV24" s="121" t="str">
        <f>IF(ISBLANK(tbl_task6[[คะแนนเต็ม]:[คะแนนเต็ม]]),"",(tbl_task6[8]/tbl_task6[[คะแนนเต็ม]:[คะแนนเต็ม]])*tbl_task6[[%]:[%]])</f>
        <v/>
      </c>
      <c r="FW24" s="121" t="str">
        <f>IF(ISBLANK(tbl_task6[[คะแนนเต็ม]:[คะแนนเต็ม]]),"",(tbl_task6[9]/tbl_task6[[คะแนนเต็ม]:[คะแนนเต็ม]])*tbl_task6[[%]:[%]])</f>
        <v/>
      </c>
      <c r="FX24" s="121" t="str">
        <f>IF(ISBLANK(tbl_task6[[คะแนนเต็ม]:[คะแนนเต็ม]]),"",(tbl_task6[10]/tbl_task6[[คะแนนเต็ม]:[คะแนนเต็ม]])*tbl_task6[[%]:[%]])</f>
        <v/>
      </c>
      <c r="FY24" s="121" t="str">
        <f>IF(ISBLANK(tbl_task6[[คะแนนเต็ม]:[คะแนนเต็ม]]),"",(tbl_task6[11]/tbl_task6[[คะแนนเต็ม]:[คะแนนเต็ม]])*tbl_task6[[%]:[%]])</f>
        <v/>
      </c>
      <c r="FZ24" s="121" t="str">
        <f>IF(ISBLANK(tbl_task6[[คะแนนเต็ม]:[คะแนนเต็ม]]),"",(tbl_task6[12]/tbl_task6[[คะแนนเต็ม]:[คะแนนเต็ม]])*tbl_task6[[%]:[%]])</f>
        <v/>
      </c>
      <c r="GA24" s="121" t="str">
        <f>IF(ISBLANK(tbl_task6[[คะแนนเต็ม]:[คะแนนเต็ม]]),"",(tbl_task6[13]/tbl_task6[[คะแนนเต็ม]:[คะแนนเต็ม]])*tbl_task6[[%]:[%]])</f>
        <v/>
      </c>
      <c r="GB24" s="121" t="str">
        <f>IF(ISBLANK(tbl_task6[[คะแนนเต็ม]:[คะแนนเต็ม]]),"",(tbl_task6[14]/tbl_task6[[คะแนนเต็ม]:[คะแนนเต็ม]])*tbl_task6[[%]:[%]])</f>
        <v/>
      </c>
      <c r="GC24" s="121" t="str">
        <f>IF(ISBLANK(tbl_task6[[คะแนนเต็ม]:[คะแนนเต็ม]]),"",(tbl_task6[15]/tbl_task6[[คะแนนเต็ม]:[คะแนนเต็ม]])*tbl_task6[[%]:[%]])</f>
        <v/>
      </c>
      <c r="GD24" s="121" t="str">
        <f>IF(ISBLANK(tbl_task6[[คะแนนเต็ม]:[คะแนนเต็ม]]),"",(tbl_task6[16]/tbl_task6[[คะแนนเต็ม]:[คะแนนเต็ม]])*tbl_task6[[%]:[%]])</f>
        <v/>
      </c>
      <c r="GE24" s="121" t="str">
        <f>IF(ISBLANK(tbl_task6[[คะแนนเต็ม]:[คะแนนเต็ม]]),"",(tbl_task6[17]/tbl_task6[[คะแนนเต็ม]:[คะแนนเต็ม]])*tbl_task6[[%]:[%]])</f>
        <v/>
      </c>
      <c r="GF24" s="121" t="str">
        <f>IF(ISBLANK(tbl_task6[[คะแนนเต็ม]:[คะแนนเต็ม]]),"",(tbl_task6[18]/tbl_task6[[คะแนนเต็ม]:[คะแนนเต็ม]])*tbl_task6[[%]:[%]])</f>
        <v/>
      </c>
      <c r="GG24" s="121" t="str">
        <f>IF(ISBLANK(tbl_task6[[คะแนนเต็ม]:[คะแนนเต็ม]]),"",(tbl_task6[19]/tbl_task6[[คะแนนเต็ม]:[คะแนนเต็ม]])*tbl_task6[[%]:[%]])</f>
        <v/>
      </c>
      <c r="GH24" s="121" t="str">
        <f>IF(ISBLANK(tbl_task6[[คะแนนเต็ม]:[คะแนนเต็ม]]),"",(tbl_task6[20]/tbl_task6[[คะแนนเต็ม]:[คะแนนเต็ม]])*tbl_task6[[%]:[%]])</f>
        <v/>
      </c>
      <c r="GI24" s="121" t="str">
        <f>IF(ISBLANK(tbl_task6[[คะแนนเต็ม]:[คะแนนเต็ม]]),"",(tbl_task6[21]/tbl_task6[[คะแนนเต็ม]:[คะแนนเต็ม]])*tbl_task6[[%]:[%]])</f>
        <v/>
      </c>
      <c r="GJ24" s="121" t="str">
        <f>IF(ISBLANK(tbl_task6[[คะแนนเต็ม]:[คะแนนเต็ม]]),"",(tbl_task6[22]/tbl_task6[[คะแนนเต็ม]:[คะแนนเต็ม]])*tbl_task6[[%]:[%]])</f>
        <v/>
      </c>
      <c r="GK24" s="121" t="str">
        <f>IF(ISBLANK(tbl_task6[[คะแนนเต็ม]:[คะแนนเต็ม]]),"",(tbl_task6[23]/tbl_task6[[คะแนนเต็ม]:[คะแนนเต็ม]])*tbl_task6[[%]:[%]])</f>
        <v/>
      </c>
      <c r="GL24" s="121" t="str">
        <f>IF(ISBLANK(tbl_task6[[คะแนนเต็ม]:[คะแนนเต็ม]]),"",(tbl_task6[24]/tbl_task6[[คะแนนเต็ม]:[คะแนนเต็ม]])*tbl_task6[[%]:[%]])</f>
        <v/>
      </c>
      <c r="GM24" s="121" t="str">
        <f>IF(ISBLANK(tbl_task6[[คะแนนเต็ม]:[คะแนนเต็ม]]),"",(tbl_task6[25]/tbl_task6[[คะแนนเต็ม]:[คะแนนเต็ม]])*tbl_task6[[%]:[%]])</f>
        <v/>
      </c>
      <c r="GN24" s="121" t="str">
        <f>IF(ISBLANK(tbl_task6[[คะแนนเต็ม]:[คะแนนเต็ม]]),"",(tbl_task6[26]/tbl_task6[[คะแนนเต็ม]:[คะแนนเต็ม]])*tbl_task6[[%]:[%]])</f>
        <v/>
      </c>
      <c r="GO24" s="121" t="str">
        <f>IF(ISBLANK(tbl_task6[[คะแนนเต็ม]:[คะแนนเต็ม]]),"",(tbl_task6[27]/tbl_task6[[คะแนนเต็ม]:[คะแนนเต็ม]])*tbl_task6[[%]:[%]])</f>
        <v/>
      </c>
      <c r="GP24" s="121" t="str">
        <f>IF(ISBLANK(tbl_task6[[คะแนนเต็ม]:[คะแนนเต็ม]]),"",(tbl_task6[28]/tbl_task6[[คะแนนเต็ม]:[คะแนนเต็ม]])*tbl_task6[[%]:[%]])</f>
        <v/>
      </c>
      <c r="GQ24" s="121" t="str">
        <f>IF(ISBLANK(tbl_task6[[คะแนนเต็ม]:[คะแนนเต็ม]]),"",(tbl_task6[29]/tbl_task6[[คะแนนเต็ม]:[คะแนนเต็ม]])*tbl_task6[[%]:[%]])</f>
        <v/>
      </c>
      <c r="GR24" s="121" t="str">
        <f>IF(ISBLANK(tbl_task6[[คะแนนเต็ม]:[คะแนนเต็ม]]),"",(tbl_task6[30]/tbl_task6[[คะแนนเต็ม]:[คะแนนเต็ม]])*tbl_task6[[%]:[%]])</f>
        <v/>
      </c>
      <c r="GS24" s="121" t="str">
        <f>IF(ISBLANK(tbl_task6[[คะแนนเต็ม]:[คะแนนเต็ม]]),"",(tbl_task6[31]/tbl_task6[[คะแนนเต็ม]:[คะแนนเต็ม]])*tbl_task6[[%]:[%]])</f>
        <v/>
      </c>
      <c r="GT24" s="121" t="str">
        <f>IF(ISBLANK(tbl_task6[[คะแนนเต็ม]:[คะแนนเต็ม]]),"",(tbl_task6[32]/tbl_task6[[คะแนนเต็ม]:[คะแนนเต็ม]])*tbl_task6[[%]:[%]])</f>
        <v/>
      </c>
      <c r="GU24" s="121" t="str">
        <f>IF(ISBLANK(tbl_task6[[คะแนนเต็ม]:[คะแนนเต็ม]]),"",(tbl_task6[33]/tbl_task6[[คะแนนเต็ม]:[คะแนนเต็ม]])*tbl_task6[[%]:[%]])</f>
        <v/>
      </c>
      <c r="GV24" s="121" t="str">
        <f>IF(ISBLANK(tbl_task6[[คะแนนเต็ม]:[คะแนนเต็ม]]),"",(tbl_task6[34]/tbl_task6[[คะแนนเต็ม]:[คะแนนเต็ม]])*tbl_task6[[%]:[%]])</f>
        <v/>
      </c>
      <c r="GW24" s="121" t="str">
        <f>IF(ISBLANK(tbl_task6[[คะแนนเต็ม]:[คะแนนเต็ม]]),"",(tbl_task6[35]/tbl_task6[[คะแนนเต็ม]:[คะแนนเต็ม]])*tbl_task6[[%]:[%]])</f>
        <v/>
      </c>
      <c r="GX24" s="121" t="str">
        <f>IF(ISBLANK(tbl_task6[[คะแนนเต็ม]:[คะแนนเต็ม]]),"",(tbl_task6[36]/tbl_task6[[คะแนนเต็ม]:[คะแนนเต็ม]])*tbl_task6[[%]:[%]])</f>
        <v/>
      </c>
      <c r="GY24" s="121" t="str">
        <f>IF(ISBLANK(tbl_task6[[คะแนนเต็ม]:[คะแนนเต็ม]]),"",(tbl_task6[37]/tbl_task6[[คะแนนเต็ม]:[คะแนนเต็ม]])*tbl_task6[[%]:[%]])</f>
        <v/>
      </c>
      <c r="GZ24" s="121" t="str">
        <f>IF(ISBLANK(tbl_task6[[คะแนนเต็ม]:[คะแนนเต็ม]]),"",(tbl_task6[38]/tbl_task6[[คะแนนเต็ม]:[คะแนนเต็ม]])*tbl_task6[[%]:[%]])</f>
        <v/>
      </c>
      <c r="HA24" s="121" t="str">
        <f>IF(ISBLANK(tbl_task6[[คะแนนเต็ม]:[คะแนนเต็ม]]),"",(tbl_task6[39]/tbl_task6[[คะแนนเต็ม]:[คะแนนเต็ม]])*tbl_task6[[%]:[%]])</f>
        <v/>
      </c>
      <c r="HB24" s="121" t="str">
        <f>IF(ISBLANK(tbl_task6[[คะแนนเต็ม]:[คะแนนเต็ม]]),"",(tbl_task6[40]/tbl_task6[[คะแนนเต็ม]:[คะแนนเต็ม]])*tbl_task6[[%]:[%]])</f>
        <v/>
      </c>
      <c r="HC24" s="121" t="str">
        <f>IF(ISBLANK(tbl_task6[[คะแนนเต็ม]:[คะแนนเต็ม]]),"",(tbl_task6[41]/tbl_task6[[คะแนนเต็ม]:[คะแนนเต็ม]])*tbl_task6[[%]:[%]])</f>
        <v/>
      </c>
      <c r="HD24" s="121" t="str">
        <f>IF(ISBLANK(tbl_task6[[คะแนนเต็ม]:[คะแนนเต็ม]]),"",(tbl_task6[42]/tbl_task6[[คะแนนเต็ม]:[คะแนนเต็ม]])*tbl_task6[[%]:[%]])</f>
        <v/>
      </c>
      <c r="HE24" s="121" t="str">
        <f>IF(ISBLANK(tbl_task6[[คะแนนเต็ม]:[คะแนนเต็ม]]),"",(tbl_task6[43]/tbl_task6[[คะแนนเต็ม]:[คะแนนเต็ม]])*tbl_task6[[%]:[%]])</f>
        <v/>
      </c>
      <c r="HF24" s="121" t="str">
        <f>IF(ISBLANK(tbl_task6[[คะแนนเต็ม]:[คะแนนเต็ม]]),"",(tbl_task6[44]/tbl_task6[[คะแนนเต็ม]:[คะแนนเต็ม]])*tbl_task6[[%]:[%]])</f>
        <v/>
      </c>
      <c r="HG24" s="121" t="str">
        <f>IF(ISBLANK(tbl_task6[[คะแนนเต็ม]:[คะแนนเต็ม]]),"",(tbl_task6[45]/tbl_task6[[คะแนนเต็ม]:[คะแนนเต็ม]])*tbl_task6[[%]:[%]])</f>
        <v/>
      </c>
      <c r="HH24" s="121" t="str">
        <f>IF(ISBLANK(tbl_task6[[คะแนนเต็ม]:[คะแนนเต็ม]]),"",(tbl_task6[46]/tbl_task6[[คะแนนเต็ม]:[คะแนนเต็ม]])*tbl_task6[[%]:[%]])</f>
        <v/>
      </c>
      <c r="HI24" s="121" t="str">
        <f>IF(ISBLANK(tbl_task6[[คะแนนเต็ม]:[คะแนนเต็ม]]),"",(tbl_task6[47]/tbl_task6[[คะแนนเต็ม]:[คะแนนเต็ม]])*tbl_task6[[%]:[%]])</f>
        <v/>
      </c>
      <c r="HJ24" s="121" t="str">
        <f>IF(ISBLANK(tbl_task6[[คะแนนเต็ม]:[คะแนนเต็ม]]),"",(tbl_task6[48]/tbl_task6[[คะแนนเต็ม]:[คะแนนเต็ม]])*tbl_task6[[%]:[%]])</f>
        <v/>
      </c>
      <c r="HK24" s="121" t="str">
        <f>IF(ISBLANK(tbl_task6[[คะแนนเต็ม]:[คะแนนเต็ม]]),"",(tbl_task6[49]/tbl_task6[[คะแนนเต็ม]:[คะแนนเต็ม]])*tbl_task6[[%]:[%]])</f>
        <v/>
      </c>
      <c r="HL24" s="121" t="str">
        <f>IF(ISBLANK(tbl_task6[[คะแนนเต็ม]:[คะแนนเต็ม]]),"",(tbl_task6[50]/tbl_task6[[คะแนนเต็ม]:[คะแนนเต็ม]])*tbl_task6[[%]:[%]])</f>
        <v/>
      </c>
      <c r="HM24" s="121" t="str">
        <f>IF(ISBLANK(tbl_task6[[คะแนนเต็ม]:[คะแนนเต็ม]]),"",(tbl_task6[51]/tbl_task6[[คะแนนเต็ม]:[คะแนนเต็ม]])*tbl_task6[[%]:[%]])</f>
        <v/>
      </c>
      <c r="HN24" s="121" t="str">
        <f>IF(ISBLANK(tbl_task6[[คะแนนเต็ม]:[คะแนนเต็ม]]),"",(tbl_task6[52]/tbl_task6[[คะแนนเต็ม]:[คะแนนเต็ม]])*tbl_task6[[%]:[%]])</f>
        <v/>
      </c>
      <c r="HO24" s="121" t="str">
        <f>IF(ISBLANK(tbl_task6[[คะแนนเต็ม]:[คะแนนเต็ม]]),"",(tbl_task6[53]/tbl_task6[[คะแนนเต็ม]:[คะแนนเต็ม]])*tbl_task6[[%]:[%]])</f>
        <v/>
      </c>
      <c r="HP24" s="121" t="str">
        <f>IF(ISBLANK(tbl_task6[[คะแนนเต็ม]:[คะแนนเต็ม]]),"",(tbl_task6[54]/tbl_task6[[คะแนนเต็ม]:[คะแนนเต็ม]])*tbl_task6[[%]:[%]])</f>
        <v/>
      </c>
      <c r="HQ24" s="121" t="str">
        <f>IF(ISBLANK(tbl_task6[[คะแนนเต็ม]:[คะแนนเต็ม]]),"",(tbl_task6[55]/tbl_task6[[คะแนนเต็ม]:[คะแนนเต็ม]])*tbl_task6[[%]:[%]])</f>
        <v/>
      </c>
      <c r="HR24" s="121" t="str">
        <f>IF(ISBLANK(tbl_task6[[คะแนนเต็ม]:[คะแนนเต็ม]]),"",(tbl_task6[56]/tbl_task6[[คะแนนเต็ม]:[คะแนนเต็ม]])*tbl_task6[[%]:[%]])</f>
        <v/>
      </c>
      <c r="HS24" s="121" t="str">
        <f>IF(ISBLANK(tbl_task6[[คะแนนเต็ม]:[คะแนนเต็ม]]),"",(tbl_task6[57]/tbl_task6[[คะแนนเต็ม]:[คะแนนเต็ม]])*tbl_task6[[%]:[%]])</f>
        <v/>
      </c>
      <c r="HT24" s="121" t="str">
        <f>IF(ISBLANK(tbl_task6[[คะแนนเต็ม]:[คะแนนเต็ม]]),"",(tbl_task6[58]/tbl_task6[[คะแนนเต็ม]:[คะแนนเต็ม]])*tbl_task6[[%]:[%]])</f>
        <v/>
      </c>
      <c r="HU24" s="121" t="str">
        <f>IF(ISBLANK(tbl_task6[[คะแนนเต็ม]:[คะแนนเต็ม]]),"",(tbl_task6[59]/tbl_task6[[คะแนนเต็ม]:[คะแนนเต็ม]])*tbl_task6[[%]:[%]])</f>
        <v/>
      </c>
      <c r="HV24" s="121" t="str">
        <f>IF(ISBLANK(tbl_task6[[คะแนนเต็ม]:[คะแนนเต็ม]]),"",(tbl_task6[60]/tbl_task6[[คะแนนเต็ม]:[คะแนนเต็ม]])*tbl_task6[[%]:[%]])</f>
        <v/>
      </c>
      <c r="HW24" s="121" t="str">
        <f>IF(ISBLANK(tbl_task6[[คะแนนเต็ม]:[คะแนนเต็ม]]),"",(tbl_task6[61]/tbl_task6[[คะแนนเต็ม]:[คะแนนเต็ม]])*tbl_task6[[%]:[%]])</f>
        <v/>
      </c>
      <c r="HX24" s="121" t="str">
        <f>IF(ISBLANK(tbl_task6[[คะแนนเต็ม]:[คะแนนเต็ม]]),"",(tbl_task6[62]/tbl_task6[[คะแนนเต็ม]:[คะแนนเต็ม]])*tbl_task6[[%]:[%]])</f>
        <v/>
      </c>
      <c r="HY24" s="121" t="str">
        <f>IF(ISBLANK(tbl_task6[[คะแนนเต็ม]:[คะแนนเต็ม]]),"",(tbl_task6[63]/tbl_task6[[คะแนนเต็ม]:[คะแนนเต็ม]])*tbl_task6[[%]:[%]])</f>
        <v/>
      </c>
      <c r="HZ24" s="121" t="str">
        <f>IF(ISBLANK(tbl_task6[[คะแนนเต็ม]:[คะแนนเต็ม]]),"",(tbl_task6[64]/tbl_task6[[คะแนนเต็ม]:[คะแนนเต็ม]])*tbl_task6[[%]:[%]])</f>
        <v/>
      </c>
      <c r="IA24" s="121" t="str">
        <f>IF(ISBLANK(tbl_task6[[คะแนนเต็ม]:[คะแนนเต็ม]]),"",(tbl_task6[65]/tbl_task6[[คะแนนเต็ม]:[คะแนนเต็ม]])*tbl_task6[[%]:[%]])</f>
        <v/>
      </c>
      <c r="IB24" s="121" t="str">
        <f>IF(ISBLANK(tbl_task6[[คะแนนเต็ม]:[คะแนนเต็ม]]),"",(tbl_task6[66]/tbl_task6[[คะแนนเต็ม]:[คะแนนเต็ม]])*tbl_task6[[%]:[%]])</f>
        <v/>
      </c>
      <c r="IC24" s="121" t="str">
        <f>IF(ISBLANK(tbl_task6[[คะแนนเต็ม]:[คะแนนเต็ม]]),"",(tbl_task6[67]/tbl_task6[[คะแนนเต็ม]:[คะแนนเต็ม]])*tbl_task6[[%]:[%]])</f>
        <v/>
      </c>
      <c r="ID24" s="121" t="str">
        <f>IF(ISBLANK(tbl_task6[[คะแนนเต็ม]:[คะแนนเต็ม]]),"",(tbl_task6[68]/tbl_task6[[คะแนนเต็ม]:[คะแนนเต็ม]])*tbl_task6[[%]:[%]])</f>
        <v/>
      </c>
      <c r="IE24" s="121" t="str">
        <f>IF(ISBLANK(tbl_task6[[คะแนนเต็ม]:[คะแนนเต็ม]]),"",(tbl_task6[69]/tbl_task6[[คะแนนเต็ม]:[คะแนนเต็ม]])*tbl_task6[[%]:[%]])</f>
        <v/>
      </c>
      <c r="IF24" s="121" t="str">
        <f>IF(ISBLANK(tbl_task6[[คะแนนเต็ม]:[คะแนนเต็ม]]),"",(tbl_task6[70]/tbl_task6[[คะแนนเต็ม]:[คะแนนเต็ม]])*tbl_task6[[%]:[%]])</f>
        <v/>
      </c>
      <c r="IG24" s="121" t="str">
        <f>IF(ISBLANK(tbl_task6[[คะแนนเต็ม]:[คะแนนเต็ม]]),"",(tbl_task6[71]/tbl_task6[[คะแนนเต็ม]:[คะแนนเต็ม]])*tbl_task6[[%]:[%]])</f>
        <v/>
      </c>
      <c r="IH24" s="121" t="str">
        <f>IF(ISBLANK(tbl_task6[[คะแนนเต็ม]:[คะแนนเต็ม]]),"",(tbl_task6[72]/tbl_task6[[คะแนนเต็ม]:[คะแนนเต็ม]])*tbl_task6[[%]:[%]])</f>
        <v/>
      </c>
      <c r="II24" s="121" t="str">
        <f>IF(ISBLANK(tbl_task6[[คะแนนเต็ม]:[คะแนนเต็ม]]),"",(tbl_task6[73]/tbl_task6[[คะแนนเต็ม]:[คะแนนเต็ม]])*tbl_task6[[%]:[%]])</f>
        <v/>
      </c>
      <c r="IJ24" s="121" t="str">
        <f>IF(ISBLANK(tbl_task6[[คะแนนเต็ม]:[คะแนนเต็ม]]),"",(tbl_task6[74]/tbl_task6[[คะแนนเต็ม]:[คะแนนเต็ม]])*tbl_task6[[%]:[%]])</f>
        <v/>
      </c>
      <c r="IK24" s="121" t="str">
        <f>IF(ISBLANK(tbl_task6[[คะแนนเต็ม]:[คะแนนเต็ม]]),"",(tbl_task6[75]/tbl_task6[[คะแนนเต็ม]:[คะแนนเต็ม]])*tbl_task6[[%]:[%]])</f>
        <v/>
      </c>
      <c r="IL24" s="121" t="str">
        <f>IF(ISBLANK(tbl_task6[[คะแนนเต็ม]:[คะแนนเต็ม]]),"",(tbl_task6[76]/tbl_task6[[คะแนนเต็ม]:[คะแนนเต็ม]])*tbl_task6[[%]:[%]])</f>
        <v/>
      </c>
      <c r="IM24" s="121" t="str">
        <f>IF(ISBLANK(tbl_task6[[คะแนนเต็ม]:[คะแนนเต็ม]]),"",(tbl_task6[77]/tbl_task6[[คะแนนเต็ม]:[คะแนนเต็ม]])*tbl_task6[[%]:[%]])</f>
        <v/>
      </c>
      <c r="IN24" s="121" t="str">
        <f>IF(ISBLANK(tbl_task6[[คะแนนเต็ม]:[คะแนนเต็ม]]),"",(tbl_task6[78]/tbl_task6[[คะแนนเต็ม]:[คะแนนเต็ม]])*tbl_task6[[%]:[%]])</f>
        <v/>
      </c>
      <c r="IO24" s="121" t="str">
        <f>IF(ISBLANK(tbl_task6[[คะแนนเต็ม]:[คะแนนเต็ม]]),"",(tbl_task6[79]/tbl_task6[[คะแนนเต็ม]:[คะแนนเต็ม]])*tbl_task6[[%]:[%]])</f>
        <v/>
      </c>
      <c r="IP24" s="121" t="str">
        <f>IF(ISBLANK(tbl_task6[[คะแนนเต็ม]:[คะแนนเต็ม]]),"",(tbl_task6[80]/tbl_task6[[คะแนนเต็ม]:[คะแนนเต็ม]])*tbl_task6[[%]:[%]])</f>
        <v/>
      </c>
      <c r="IQ24" s="121" t="str">
        <f>IF(ISBLANK(tbl_task6[[คะแนนเต็ม]:[คะแนนเต็ม]]),"",(tbl_task6[81]/tbl_task6[[คะแนนเต็ม]:[คะแนนเต็ม]])*tbl_task6[[%]:[%]])</f>
        <v/>
      </c>
      <c r="IR24" s="121" t="str">
        <f>IF(ISBLANK(tbl_task6[[คะแนนเต็ม]:[คะแนนเต็ม]]),"",(tbl_task6[82]/tbl_task6[[คะแนนเต็ม]:[คะแนนเต็ม]])*tbl_task6[[%]:[%]])</f>
        <v/>
      </c>
      <c r="IS24" s="121" t="str">
        <f>IF(ISBLANK(tbl_task6[[คะแนนเต็ม]:[คะแนนเต็ม]]),"",(tbl_task6[83]/tbl_task6[[คะแนนเต็ม]:[คะแนนเต็ม]])*tbl_task6[[%]:[%]])</f>
        <v/>
      </c>
      <c r="IT24" s="121" t="str">
        <f>IF(ISBLANK(tbl_task6[[คะแนนเต็ม]:[คะแนนเต็ม]]),"",(tbl_task6[84]/tbl_task6[[คะแนนเต็ม]:[คะแนนเต็ม]])*tbl_task6[[%]:[%]])</f>
        <v/>
      </c>
      <c r="IU24" s="121" t="str">
        <f>IF(ISBLANK(tbl_task6[[คะแนนเต็ม]:[คะแนนเต็ม]]),"",(tbl_task6[85]/tbl_task6[[คะแนนเต็ม]:[คะแนนเต็ม]])*tbl_task6[[%]:[%]])</f>
        <v/>
      </c>
      <c r="IV24" s="121" t="str">
        <f>IF(ISBLANK(tbl_task6[[คะแนนเต็ม]:[คะแนนเต็ม]]),"",(tbl_task6[86]/tbl_task6[[คะแนนเต็ม]:[คะแนนเต็ม]])*tbl_task6[[%]:[%]])</f>
        <v/>
      </c>
      <c r="IW24" s="121" t="str">
        <f>IF(ISBLANK(tbl_task6[[คะแนนเต็ม]:[คะแนนเต็ม]]),"",(tbl_task6[87]/tbl_task6[[คะแนนเต็ม]:[คะแนนเต็ม]])*tbl_task6[[%]:[%]])</f>
        <v/>
      </c>
      <c r="IX24" s="121" t="str">
        <f>IF(ISBLANK(tbl_task6[[คะแนนเต็ม]:[คะแนนเต็ม]]),"",(tbl_task6[88]/tbl_task6[[คะแนนเต็ม]:[คะแนนเต็ม]])*tbl_task6[[%]:[%]])</f>
        <v/>
      </c>
      <c r="IY24" s="121" t="str">
        <f>IF(ISBLANK(tbl_task6[[คะแนนเต็ม]:[คะแนนเต็ม]]),"",(tbl_task6[89]/tbl_task6[[คะแนนเต็ม]:[คะแนนเต็ม]])*tbl_task6[[%]:[%]])</f>
        <v/>
      </c>
      <c r="IZ24" s="121" t="str">
        <f>IF(ISBLANK(tbl_task6[[คะแนนเต็ม]:[คะแนนเต็ม]]),"",(tbl_task6[90]/tbl_task6[[คะแนนเต็ม]:[คะแนนเต็ม]])*tbl_task6[[%]:[%]])</f>
        <v/>
      </c>
      <c r="JA24" s="121" t="str">
        <f>IF(ISBLANK(tbl_task6[[คะแนนเต็ม]:[คะแนนเต็ม]]),"",(tbl_task6[91]/tbl_task6[[คะแนนเต็ม]:[คะแนนเต็ม]])*tbl_task6[[%]:[%]])</f>
        <v/>
      </c>
      <c r="JB24" s="121" t="str">
        <f>IF(ISBLANK(tbl_task6[[คะแนนเต็ม]:[คะแนนเต็ม]]),"",(tbl_task6[92]/tbl_task6[[คะแนนเต็ม]:[คะแนนเต็ม]])*tbl_task6[[%]:[%]])</f>
        <v/>
      </c>
      <c r="JC24" s="121" t="str">
        <f>IF(ISBLANK(tbl_task6[[คะแนนเต็ม]:[คะแนนเต็ม]]),"",(tbl_task6[93]/tbl_task6[[คะแนนเต็ม]:[คะแนนเต็ม]])*tbl_task6[[%]:[%]])</f>
        <v/>
      </c>
      <c r="JD24" s="121" t="str">
        <f>IF(ISBLANK(tbl_task6[[คะแนนเต็ม]:[คะแนนเต็ม]]),"",(tbl_task6[94]/tbl_task6[[คะแนนเต็ม]:[คะแนนเต็ม]])*tbl_task6[[%]:[%]])</f>
        <v/>
      </c>
      <c r="JE24" s="121" t="str">
        <f>IF(ISBLANK(tbl_task6[[คะแนนเต็ม]:[คะแนนเต็ม]]),"",(tbl_task6[95]/tbl_task6[[คะแนนเต็ม]:[คะแนนเต็ม]])*tbl_task6[[%]:[%]])</f>
        <v/>
      </c>
      <c r="JF24" s="121" t="str">
        <f>IF(ISBLANK(tbl_task6[[คะแนนเต็ม]:[คะแนนเต็ม]]),"",(tbl_task6[96]/tbl_task6[[คะแนนเต็ม]:[คะแนนเต็ม]])*tbl_task6[[%]:[%]])</f>
        <v/>
      </c>
      <c r="JG24" s="121" t="str">
        <f>IF(ISBLANK(tbl_task6[[คะแนนเต็ม]:[คะแนนเต็ม]]),"",(tbl_task6[97]/tbl_task6[[คะแนนเต็ม]:[คะแนนเต็ม]])*tbl_task6[[%]:[%]])</f>
        <v/>
      </c>
      <c r="JH24" s="121" t="str">
        <f>IF(ISBLANK(tbl_task6[[คะแนนเต็ม]:[คะแนนเต็ม]]),"",(tbl_task6[98]/tbl_task6[[คะแนนเต็ม]:[คะแนนเต็ม]])*tbl_task6[[%]:[%]])</f>
        <v/>
      </c>
      <c r="JI24" s="121" t="str">
        <f>IF(ISBLANK(tbl_task6[[คะแนนเต็ม]:[คะแนนเต็ม]]),"",(tbl_task6[99]/tbl_task6[[คะแนนเต็ม]:[คะแนนเต็ม]])*tbl_task6[[%]:[%]])</f>
        <v/>
      </c>
      <c r="JJ24" s="121" t="str">
        <f>IF(ISBLANK(tbl_task6[[คะแนนเต็ม]:[คะแนนเต็ม]]),"",(tbl_task6[100]/tbl_task6[[คะแนนเต็ม]:[คะแนนเต็ม]])*tbl_task6[[%]:[%]])</f>
        <v/>
      </c>
      <c r="JK24" s="121" t="str">
        <f>IF(ISBLANK(tbl_task6[[คะแนนเต็ม]:[คะแนนเต็ม]]),"",(tbl_task6[101]/tbl_task6[[คะแนนเต็ม]:[คะแนนเต็ม]])*tbl_task6[[%]:[%]])</f>
        <v/>
      </c>
      <c r="JL24" s="121" t="str">
        <f>IF(ISBLANK(tbl_task6[[คะแนนเต็ม]:[คะแนนเต็ม]]),"",(tbl_task6[102]/tbl_task6[[คะแนนเต็ม]:[คะแนนเต็ม]])*tbl_task6[[%]:[%]])</f>
        <v/>
      </c>
      <c r="JM24" s="121" t="str">
        <f>IF(ISBLANK(tbl_task6[[คะแนนเต็ม]:[คะแนนเต็ม]]),"",(tbl_task6[103]/tbl_task6[[คะแนนเต็ม]:[คะแนนเต็ม]])*tbl_task6[[%]:[%]])</f>
        <v/>
      </c>
      <c r="JN24" s="121" t="str">
        <f>IF(ISBLANK(tbl_task6[[คะแนนเต็ม]:[คะแนนเต็ม]]),"",(tbl_task6[104]/tbl_task6[[คะแนนเต็ม]:[คะแนนเต็ม]])*tbl_task6[[%]:[%]])</f>
        <v/>
      </c>
      <c r="JO24" s="121" t="str">
        <f>IF(ISBLANK(tbl_task6[[คะแนนเต็ม]:[คะแนนเต็ม]]),"",(tbl_task6[105]/tbl_task6[[คะแนนเต็ม]:[คะแนนเต็ม]])*tbl_task6[[%]:[%]])</f>
        <v/>
      </c>
      <c r="JP24" s="121" t="str">
        <f>IF(ISBLANK(tbl_task6[[คะแนนเต็ม]:[คะแนนเต็ม]]),"",(tbl_task6[106]/tbl_task6[[คะแนนเต็ม]:[คะแนนเต็ม]])*tbl_task6[[%]:[%]])</f>
        <v/>
      </c>
      <c r="JQ24" s="121" t="str">
        <f>IF(ISBLANK(tbl_task6[[คะแนนเต็ม]:[คะแนนเต็ม]]),"",(tbl_task6[107]/tbl_task6[[คะแนนเต็ม]:[คะแนนเต็ม]])*tbl_task6[[%]:[%]])</f>
        <v/>
      </c>
      <c r="JR24" s="121" t="str">
        <f>IF(ISBLANK(tbl_task6[[คะแนนเต็ม]:[คะแนนเต็ม]]),"",(tbl_task6[108]/tbl_task6[[คะแนนเต็ม]:[คะแนนเต็ม]])*tbl_task6[[%]:[%]])</f>
        <v/>
      </c>
      <c r="JS24" s="121" t="str">
        <f>IF(ISBLANK(tbl_task6[[คะแนนเต็ม]:[คะแนนเต็ม]]),"",(tbl_task6[109]/tbl_task6[[คะแนนเต็ม]:[คะแนนเต็ม]])*tbl_task6[[%]:[%]])</f>
        <v/>
      </c>
      <c r="JT24" s="121" t="str">
        <f>IF(ISBLANK(tbl_task6[[คะแนนเต็ม]:[คะแนนเต็ม]]),"",(tbl_task6[110]/tbl_task6[[คะแนนเต็ม]:[คะแนนเต็ม]])*tbl_task6[[%]:[%]])</f>
        <v/>
      </c>
      <c r="JU24" s="121" t="str">
        <f>IF(ISBLANK(tbl_task6[[คะแนนเต็ม]:[คะแนนเต็ม]]),"",(tbl_task6[111]/tbl_task6[[คะแนนเต็ม]:[คะแนนเต็ม]])*tbl_task6[[%]:[%]])</f>
        <v/>
      </c>
      <c r="JV24" s="121" t="str">
        <f>IF(ISBLANK(tbl_task6[[คะแนนเต็ม]:[คะแนนเต็ม]]),"",(tbl_task6[112]/tbl_task6[[คะแนนเต็ม]:[คะแนนเต็ม]])*tbl_task6[[%]:[%]])</f>
        <v/>
      </c>
      <c r="JW24" s="121" t="str">
        <f>IF(ISBLANK(tbl_task6[[คะแนนเต็ม]:[คะแนนเต็ม]]),"",(tbl_task6[113]/tbl_task6[[คะแนนเต็ม]:[คะแนนเต็ม]])*tbl_task6[[%]:[%]])</f>
        <v/>
      </c>
      <c r="JX24" s="121" t="str">
        <f>IF(ISBLANK(tbl_task6[[คะแนนเต็ม]:[คะแนนเต็ม]]),"",(tbl_task6[114]/tbl_task6[[คะแนนเต็ม]:[คะแนนเต็ม]])*tbl_task6[[%]:[%]])</f>
        <v/>
      </c>
      <c r="JY24" s="121" t="str">
        <f>IF(ISBLANK(tbl_task6[[คะแนนเต็ม]:[คะแนนเต็ม]]),"",(tbl_task6[115]/tbl_task6[[คะแนนเต็ม]:[คะแนนเต็ม]])*tbl_task6[[%]:[%]])</f>
        <v/>
      </c>
      <c r="JZ24" s="121" t="str">
        <f>IF(ISBLANK(tbl_task6[[คะแนนเต็ม]:[คะแนนเต็ม]]),"",(tbl_task6[116]/tbl_task6[[คะแนนเต็ม]:[คะแนนเต็ม]])*tbl_task6[[%]:[%]])</f>
        <v/>
      </c>
      <c r="KA24" s="121" t="str">
        <f>IF(ISBLANK(tbl_task6[[คะแนนเต็ม]:[คะแนนเต็ม]]),"",(tbl_task6[117]/tbl_task6[[คะแนนเต็ม]:[คะแนนเต็ม]])*tbl_task6[[%]:[%]])</f>
        <v/>
      </c>
      <c r="KB24" s="121" t="str">
        <f>IF(ISBLANK(tbl_task6[[คะแนนเต็ม]:[คะแนนเต็ม]]),"",(tbl_task6[118]/tbl_task6[[คะแนนเต็ม]:[คะแนนเต็ม]])*tbl_task6[[%]:[%]])</f>
        <v/>
      </c>
      <c r="KC24" s="121" t="str">
        <f>IF(ISBLANK(tbl_task6[[คะแนนเต็ม]:[คะแนนเต็ม]]),"",(tbl_task6[119]/tbl_task6[[คะแนนเต็ม]:[คะแนนเต็ม]])*tbl_task6[[%]:[%]])</f>
        <v/>
      </c>
      <c r="KD24" s="121" t="str">
        <f>IF(ISBLANK(tbl_task6[[คะแนนเต็ม]:[คะแนนเต็ม]]),"",(tbl_task6[120]/tbl_task6[[คะแนนเต็ม]:[คะแนนเต็ม]])*tbl_task6[[%]:[%]])</f>
        <v/>
      </c>
      <c r="KE24" s="121" t="str">
        <f>IF(ISBLANK(tbl_task6[[คะแนนเต็ม]:[คะแนนเต็ม]]),"",(tbl_task6[121]/tbl_task6[[คะแนนเต็ม]:[คะแนนเต็ม]])*tbl_task6[[%]:[%]])</f>
        <v/>
      </c>
      <c r="KF24" s="121" t="str">
        <f>IF(ISBLANK(tbl_task6[[คะแนนเต็ม]:[คะแนนเต็ม]]),"",(tbl_task6[122]/tbl_task6[[คะแนนเต็ม]:[คะแนนเต็ม]])*tbl_task6[[%]:[%]])</f>
        <v/>
      </c>
      <c r="KG24" s="121" t="str">
        <f>IF(ISBLANK(tbl_task6[[คะแนนเต็ม]:[คะแนนเต็ม]]),"",(tbl_task6[123]/tbl_task6[[คะแนนเต็ม]:[คะแนนเต็ม]])*tbl_task6[[%]:[%]])</f>
        <v/>
      </c>
      <c r="KH24" s="121" t="str">
        <f>IF(ISBLANK(tbl_task6[[คะแนนเต็ม]:[คะแนนเต็ม]]),"",(tbl_task6[124]/tbl_task6[[คะแนนเต็ม]:[คะแนนเต็ม]])*tbl_task6[[%]:[%]])</f>
        <v/>
      </c>
      <c r="KI24" s="121" t="str">
        <f>IF(ISBLANK(tbl_task6[[คะแนนเต็ม]:[คะแนนเต็ม]]),"",(tbl_task6[125]/tbl_task6[[คะแนนเต็ม]:[คะแนนเต็ม]])*tbl_task6[[%]:[%]])</f>
        <v/>
      </c>
      <c r="KJ24" s="121" t="str">
        <f>IF(ISBLANK(tbl_task6[[คะแนนเต็ม]:[คะแนนเต็ม]]),"",(tbl_task6[126]/tbl_task6[[คะแนนเต็ม]:[คะแนนเต็ม]])*tbl_task6[[%]:[%]])</f>
        <v/>
      </c>
      <c r="KK24" s="121" t="str">
        <f>IF(ISBLANK(tbl_task6[[คะแนนเต็ม]:[คะแนนเต็ม]]),"",(tbl_task6[127]/tbl_task6[[คะแนนเต็ม]:[คะแนนเต็ม]])*tbl_task6[[%]:[%]])</f>
        <v/>
      </c>
      <c r="KL24" s="121" t="str">
        <f>IF(ISBLANK(tbl_task6[[คะแนนเต็ม]:[คะแนนเต็ม]]),"",(tbl_task6[128]/tbl_task6[[คะแนนเต็ม]:[คะแนนเต็ม]])*tbl_task6[[%]:[%]])</f>
        <v/>
      </c>
      <c r="KM24" s="121" t="str">
        <f>IF(ISBLANK(tbl_task6[[คะแนนเต็ม]:[คะแนนเต็ม]]),"",(tbl_task6[129]/tbl_task6[[คะแนนเต็ม]:[คะแนนเต็ม]])*tbl_task6[[%]:[%]])</f>
        <v/>
      </c>
      <c r="KN24" s="121" t="str">
        <f>IF(ISBLANK(tbl_task6[[คะแนนเต็ม]:[คะแนนเต็ม]]),"",(tbl_task6[130]/tbl_task6[[คะแนนเต็ม]:[คะแนนเต็ม]])*tbl_task6[[%]:[%]])</f>
        <v/>
      </c>
      <c r="KO24" s="121" t="str">
        <f>IF(ISBLANK(tbl_task6[[คะแนนเต็ม]:[คะแนนเต็ม]]),"",(tbl_task6[131]/tbl_task6[[คะแนนเต็ม]:[คะแนนเต็ม]])*tbl_task6[[%]:[%]])</f>
        <v/>
      </c>
      <c r="KP24" s="121" t="str">
        <f>IF(ISBLANK(tbl_task6[[คะแนนเต็ม]:[คะแนนเต็ม]]),"",(tbl_task6[132]/tbl_task6[[คะแนนเต็ม]:[คะแนนเต็ม]])*tbl_task6[[%]:[%]])</f>
        <v/>
      </c>
      <c r="KQ24" s="121" t="str">
        <f>IF(ISBLANK(tbl_task6[[คะแนนเต็ม]:[คะแนนเต็ม]]),"",(tbl_task6[133]/tbl_task6[[คะแนนเต็ม]:[คะแนนเต็ม]])*tbl_task6[[%]:[%]])</f>
        <v/>
      </c>
      <c r="KR24" s="121" t="str">
        <f>IF(ISBLANK(tbl_task6[[คะแนนเต็ม]:[คะแนนเต็ม]]),"",(tbl_task6[134]/tbl_task6[[คะแนนเต็ม]:[คะแนนเต็ม]])*tbl_task6[[%]:[%]])</f>
        <v/>
      </c>
      <c r="KS24" s="121" t="str">
        <f>IF(ISBLANK(tbl_task6[[คะแนนเต็ม]:[คะแนนเต็ม]]),"",(tbl_task6[135]/tbl_task6[[คะแนนเต็ม]:[คะแนนเต็ม]])*tbl_task6[[%]:[%]])</f>
        <v/>
      </c>
      <c r="KT24" s="121" t="str">
        <f>IF(ISBLANK(tbl_task6[[คะแนนเต็ม]:[คะแนนเต็ม]]),"",(tbl_task6[136]/tbl_task6[[คะแนนเต็ม]:[คะแนนเต็ม]])*tbl_task6[[%]:[%]])</f>
        <v/>
      </c>
      <c r="KU24" s="121" t="str">
        <f>IF(ISBLANK(tbl_task6[[คะแนนเต็ม]:[คะแนนเต็ม]]),"",(tbl_task6[137]/tbl_task6[[คะแนนเต็ม]:[คะแนนเต็ม]])*tbl_task6[[%]:[%]])</f>
        <v/>
      </c>
      <c r="KV24" s="121" t="str">
        <f>IF(ISBLANK(tbl_task6[[คะแนนเต็ม]:[คะแนนเต็ม]]),"",(tbl_task6[138]/tbl_task6[[คะแนนเต็ม]:[คะแนนเต็ม]])*tbl_task6[[%]:[%]])</f>
        <v/>
      </c>
      <c r="KW24" s="121" t="str">
        <f>IF(ISBLANK(tbl_task6[[คะแนนเต็ม]:[คะแนนเต็ม]]),"",(tbl_task6[139]/tbl_task6[[คะแนนเต็ม]:[คะแนนเต็ม]])*tbl_task6[[%]:[%]])</f>
        <v/>
      </c>
      <c r="KX24" s="121" t="str">
        <f>IF(ISBLANK(tbl_task6[[คะแนนเต็ม]:[คะแนนเต็ม]]),"",(tbl_task6[140]/tbl_task6[[คะแนนเต็ม]:[คะแนนเต็ม]])*tbl_task6[[%]:[%]])</f>
        <v/>
      </c>
      <c r="KY24" s="121" t="str">
        <f>IF(ISBLANK(tbl_task6[[คะแนนเต็ม]:[คะแนนเต็ม]]),"",(tbl_task6[141]/tbl_task6[[คะแนนเต็ม]:[คะแนนเต็ม]])*tbl_task6[[%]:[%]])</f>
        <v/>
      </c>
      <c r="KZ24" s="121" t="str">
        <f>IF(ISBLANK(tbl_task6[[คะแนนเต็ม]:[คะแนนเต็ม]]),"",(tbl_task6[142]/tbl_task6[[คะแนนเต็ม]:[คะแนนเต็ม]])*tbl_task6[[%]:[%]])</f>
        <v/>
      </c>
      <c r="LA24" s="121" t="str">
        <f>IF(ISBLANK(tbl_task6[[คะแนนเต็ม]:[คะแนนเต็ม]]),"",(tbl_task6[143]/tbl_task6[[คะแนนเต็ม]:[คะแนนเต็ม]])*tbl_task6[[%]:[%]])</f>
        <v/>
      </c>
      <c r="LB24" s="121" t="str">
        <f>IF(ISBLANK(tbl_task6[[คะแนนเต็ม]:[คะแนนเต็ม]]),"",(tbl_task6[144]/tbl_task6[[คะแนนเต็ม]:[คะแนนเต็ม]])*tbl_task6[[%]:[%]])</f>
        <v/>
      </c>
      <c r="LC24" s="121" t="str">
        <f>IF(ISBLANK(tbl_task6[[คะแนนเต็ม]:[คะแนนเต็ม]]),"",(tbl_task6[145]/tbl_task6[[คะแนนเต็ม]:[คะแนนเต็ม]])*tbl_task6[[%]:[%]])</f>
        <v/>
      </c>
      <c r="LD24" s="121" t="str">
        <f>IF(ISBLANK(tbl_task6[[คะแนนเต็ม]:[คะแนนเต็ม]]),"",(tbl_task6[146]/tbl_task6[[คะแนนเต็ม]:[คะแนนเต็ม]])*tbl_task6[[%]:[%]])</f>
        <v/>
      </c>
      <c r="LE24" s="121" t="str">
        <f>IF(ISBLANK(tbl_task6[[คะแนนเต็ม]:[คะแนนเต็ม]]),"",(tbl_task6[147]/tbl_task6[[คะแนนเต็ม]:[คะแนนเต็ม]])*tbl_task6[[%]:[%]])</f>
        <v/>
      </c>
      <c r="LF24" s="121" t="str">
        <f>IF(ISBLANK(tbl_task6[[คะแนนเต็ม]:[คะแนนเต็ม]]),"",(tbl_task6[148]/tbl_task6[[คะแนนเต็ม]:[คะแนนเต็ม]])*tbl_task6[[%]:[%]])</f>
        <v/>
      </c>
      <c r="LG24" s="121" t="str">
        <f>IF(ISBLANK(tbl_task6[[คะแนนเต็ม]:[คะแนนเต็ม]]),"",(tbl_task6[149]/tbl_task6[[คะแนนเต็ม]:[คะแนนเต็ม]])*tbl_task6[[%]:[%]])</f>
        <v/>
      </c>
      <c r="LH24" s="121" t="str">
        <f>IF(ISBLANK(tbl_task6[[คะแนนเต็ม]:[คะแนนเต็ม]]),"",(tbl_task6[150]/tbl_task6[[คะแนนเต็ม]:[คะแนนเต็ม]])*tbl_task6[[%]:[%]])</f>
        <v/>
      </c>
      <c r="LI24" s="121" t="str">
        <f>IF(ISBLANK(tbl_task6[[คะแนนเต็ม]:[คะแนนเต็ม]]),"",(tbl_task6[151]/tbl_task6[[คะแนนเต็ม]:[คะแนนเต็ม]])*tbl_task6[[%]:[%]])</f>
        <v/>
      </c>
      <c r="LJ24" s="121" t="str">
        <f>IF(ISBLANK(tbl_task6[[คะแนนเต็ม]:[คะแนนเต็ม]]),"",(tbl_task6[152]/tbl_task6[[คะแนนเต็ม]:[คะแนนเต็ม]])*tbl_task6[[%]:[%]])</f>
        <v/>
      </c>
      <c r="LK24" s="121" t="str">
        <f>IF(ISBLANK(tbl_task6[[คะแนนเต็ม]:[คะแนนเต็ม]]),"",(tbl_task6[153]/tbl_task6[[คะแนนเต็ม]:[คะแนนเต็ม]])*tbl_task6[[%]:[%]])</f>
        <v/>
      </c>
      <c r="LL24" s="121" t="str">
        <f>IF(ISBLANK(tbl_task6[[คะแนนเต็ม]:[คะแนนเต็ม]]),"",(tbl_task6[154]/tbl_task6[[คะแนนเต็ม]:[คะแนนเต็ม]])*tbl_task6[[%]:[%]])</f>
        <v/>
      </c>
      <c r="LM24" s="121" t="str">
        <f>IF(ISBLANK(tbl_task6[[คะแนนเต็ม]:[คะแนนเต็ม]]),"",(tbl_task6[155]/tbl_task6[[คะแนนเต็ม]:[คะแนนเต็ม]])*tbl_task6[[%]:[%]])</f>
        <v/>
      </c>
      <c r="LN24" s="121" t="str">
        <f>IF(ISBLANK(tbl_task6[[คะแนนเต็ม]:[คะแนนเต็ม]]),"",(tbl_task6[156]/tbl_task6[[คะแนนเต็ม]:[คะแนนเต็ม]])*tbl_task6[[%]:[%]])</f>
        <v/>
      </c>
      <c r="LO24" s="121" t="str">
        <f>IF(ISBLANK(tbl_task6[[คะแนนเต็ม]:[คะแนนเต็ม]]),"",(tbl_task6[157]/tbl_task6[[คะแนนเต็ม]:[คะแนนเต็ม]])*tbl_task6[[%]:[%]])</f>
        <v/>
      </c>
      <c r="LP24" s="121" t="str">
        <f>IF(ISBLANK(tbl_task6[[คะแนนเต็ม]:[คะแนนเต็ม]]),"",(tbl_task6[158]/tbl_task6[[คะแนนเต็ม]:[คะแนนเต็ม]])*tbl_task6[[%]:[%]])</f>
        <v/>
      </c>
      <c r="LQ24" s="121" t="str">
        <f>IF(ISBLANK(tbl_task6[[คะแนนเต็ม]:[คะแนนเต็ม]]),"",(tbl_task6[159]/tbl_task6[[คะแนนเต็ม]:[คะแนนเต็ม]])*tbl_task6[[%]:[%]])</f>
        <v/>
      </c>
      <c r="LR24" s="121" t="str">
        <f>IF(ISBLANK(tbl_task6[[คะแนนเต็ม]:[คะแนนเต็ม]]),"",(tbl_task6[160]/tbl_task6[[คะแนนเต็ม]:[คะแนนเต็ม]])*tbl_task6[[%]:[%]])</f>
        <v/>
      </c>
      <c r="LS24" s="121" t="str">
        <f>IF(ISBLANK(tbl_task6[[คะแนนเต็ม]:[คะแนนเต็ม]]),"",(tbl_task6[161]/tbl_task6[[คะแนนเต็ม]:[คะแนนเต็ม]])*tbl_task6[[%]:[%]])</f>
        <v/>
      </c>
      <c r="LT24" s="121" t="str">
        <f>IF(ISBLANK(tbl_task6[[คะแนนเต็ม]:[คะแนนเต็ม]]),"",(tbl_task6[162]/tbl_task6[[คะแนนเต็ม]:[คะแนนเต็ม]])*tbl_task6[[%]:[%]])</f>
        <v/>
      </c>
      <c r="LU24" s="121" t="str">
        <f>IF(ISBLANK(tbl_task6[[คะแนนเต็ม]:[คะแนนเต็ม]]),"",(tbl_task6[163]/tbl_task6[[คะแนนเต็ม]:[คะแนนเต็ม]])*tbl_task6[[%]:[%]])</f>
        <v/>
      </c>
      <c r="LV24" s="121" t="str">
        <f>IF(ISBLANK(tbl_task6[[คะแนนเต็ม]:[คะแนนเต็ม]]),"",(tbl_task6[164]/tbl_task6[[คะแนนเต็ม]:[คะแนนเต็ม]])*tbl_task6[[%]:[%]])</f>
        <v/>
      </c>
      <c r="LW24" s="121" t="str">
        <f>IF(ISBLANK(tbl_task6[[คะแนนเต็ม]:[คะแนนเต็ม]]),"",(tbl_task6[165]/tbl_task6[[คะแนนเต็ม]:[คะแนนเต็ม]])*tbl_task6[[%]:[%]])</f>
        <v/>
      </c>
    </row>
    <row r="25" spans="1:335" ht="24" customHeight="1" x14ac:dyDescent="0.25">
      <c r="A25" s="24">
        <v>22</v>
      </c>
      <c r="B25" s="20"/>
      <c r="C25" s="5" t="str">
        <f>IF(ISBLANK(B25),"",VLOOKUP(B25,tbl_PLOs[],2,0))</f>
        <v/>
      </c>
      <c r="D25" s="102"/>
      <c r="E25" s="106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21" t="str">
        <f>IF(ISBLANK(tbl_task6[[คะแนนเต็ม]:[คะแนนเต็ม]]),"",(tbl_task6[1]/tbl_task6[[คะแนนเต็ม]:[คะแนนเต็ม]])*tbl_task6[[%]:[%]])</f>
        <v/>
      </c>
      <c r="FP25" s="121" t="str">
        <f>IF(ISBLANK(tbl_task6[[คะแนนเต็ม]:[คะแนนเต็ม]]),"",(tbl_task6[2]/tbl_task6[[คะแนนเต็ม]:[คะแนนเต็ม]])*tbl_task6[[%]:[%]])</f>
        <v/>
      </c>
      <c r="FQ25" s="121" t="str">
        <f>IF(ISBLANK(tbl_task6[[คะแนนเต็ม]:[คะแนนเต็ม]]),"",(tbl_task6[3]/tbl_task6[[คะแนนเต็ม]:[คะแนนเต็ม]])*tbl_task6[[%]:[%]])</f>
        <v/>
      </c>
      <c r="FR25" s="121" t="str">
        <f>IF(ISBLANK(tbl_task6[[คะแนนเต็ม]:[คะแนนเต็ม]]),"",(tbl_task6[4]/tbl_task6[[คะแนนเต็ม]:[คะแนนเต็ม]])*tbl_task6[[%]:[%]])</f>
        <v/>
      </c>
      <c r="FS25" s="121" t="str">
        <f>IF(ISBLANK(tbl_task6[[คะแนนเต็ม]:[คะแนนเต็ม]]),"",(tbl_task6[5]/tbl_task6[[คะแนนเต็ม]:[คะแนนเต็ม]])*tbl_task6[[%]:[%]])</f>
        <v/>
      </c>
      <c r="FT25" s="121" t="str">
        <f>IF(ISBLANK(tbl_task6[[คะแนนเต็ม]:[คะแนนเต็ม]]),"",(tbl_task6[6]/tbl_task6[[คะแนนเต็ม]:[คะแนนเต็ม]])*tbl_task6[[%]:[%]])</f>
        <v/>
      </c>
      <c r="FU25" s="121" t="str">
        <f>IF(ISBLANK(tbl_task6[[คะแนนเต็ม]:[คะแนนเต็ม]]),"",(tbl_task6[7]/tbl_task6[[คะแนนเต็ม]:[คะแนนเต็ม]])*tbl_task6[[%]:[%]])</f>
        <v/>
      </c>
      <c r="FV25" s="121" t="str">
        <f>IF(ISBLANK(tbl_task6[[คะแนนเต็ม]:[คะแนนเต็ม]]),"",(tbl_task6[8]/tbl_task6[[คะแนนเต็ม]:[คะแนนเต็ม]])*tbl_task6[[%]:[%]])</f>
        <v/>
      </c>
      <c r="FW25" s="121" t="str">
        <f>IF(ISBLANK(tbl_task6[[คะแนนเต็ม]:[คะแนนเต็ม]]),"",(tbl_task6[9]/tbl_task6[[คะแนนเต็ม]:[คะแนนเต็ม]])*tbl_task6[[%]:[%]])</f>
        <v/>
      </c>
      <c r="FX25" s="121" t="str">
        <f>IF(ISBLANK(tbl_task6[[คะแนนเต็ม]:[คะแนนเต็ม]]),"",(tbl_task6[10]/tbl_task6[[คะแนนเต็ม]:[คะแนนเต็ม]])*tbl_task6[[%]:[%]])</f>
        <v/>
      </c>
      <c r="FY25" s="121" t="str">
        <f>IF(ISBLANK(tbl_task6[[คะแนนเต็ม]:[คะแนนเต็ม]]),"",(tbl_task6[11]/tbl_task6[[คะแนนเต็ม]:[คะแนนเต็ม]])*tbl_task6[[%]:[%]])</f>
        <v/>
      </c>
      <c r="FZ25" s="121" t="str">
        <f>IF(ISBLANK(tbl_task6[[คะแนนเต็ม]:[คะแนนเต็ม]]),"",(tbl_task6[12]/tbl_task6[[คะแนนเต็ม]:[คะแนนเต็ม]])*tbl_task6[[%]:[%]])</f>
        <v/>
      </c>
      <c r="GA25" s="121" t="str">
        <f>IF(ISBLANK(tbl_task6[[คะแนนเต็ม]:[คะแนนเต็ม]]),"",(tbl_task6[13]/tbl_task6[[คะแนนเต็ม]:[คะแนนเต็ม]])*tbl_task6[[%]:[%]])</f>
        <v/>
      </c>
      <c r="GB25" s="121" t="str">
        <f>IF(ISBLANK(tbl_task6[[คะแนนเต็ม]:[คะแนนเต็ม]]),"",(tbl_task6[14]/tbl_task6[[คะแนนเต็ม]:[คะแนนเต็ม]])*tbl_task6[[%]:[%]])</f>
        <v/>
      </c>
      <c r="GC25" s="121" t="str">
        <f>IF(ISBLANK(tbl_task6[[คะแนนเต็ม]:[คะแนนเต็ม]]),"",(tbl_task6[15]/tbl_task6[[คะแนนเต็ม]:[คะแนนเต็ม]])*tbl_task6[[%]:[%]])</f>
        <v/>
      </c>
      <c r="GD25" s="121" t="str">
        <f>IF(ISBLANK(tbl_task6[[คะแนนเต็ม]:[คะแนนเต็ม]]),"",(tbl_task6[16]/tbl_task6[[คะแนนเต็ม]:[คะแนนเต็ม]])*tbl_task6[[%]:[%]])</f>
        <v/>
      </c>
      <c r="GE25" s="121" t="str">
        <f>IF(ISBLANK(tbl_task6[[คะแนนเต็ม]:[คะแนนเต็ม]]),"",(tbl_task6[17]/tbl_task6[[คะแนนเต็ม]:[คะแนนเต็ม]])*tbl_task6[[%]:[%]])</f>
        <v/>
      </c>
      <c r="GF25" s="121" t="str">
        <f>IF(ISBLANK(tbl_task6[[คะแนนเต็ม]:[คะแนนเต็ม]]),"",(tbl_task6[18]/tbl_task6[[คะแนนเต็ม]:[คะแนนเต็ม]])*tbl_task6[[%]:[%]])</f>
        <v/>
      </c>
      <c r="GG25" s="121" t="str">
        <f>IF(ISBLANK(tbl_task6[[คะแนนเต็ม]:[คะแนนเต็ม]]),"",(tbl_task6[19]/tbl_task6[[คะแนนเต็ม]:[คะแนนเต็ม]])*tbl_task6[[%]:[%]])</f>
        <v/>
      </c>
      <c r="GH25" s="121" t="str">
        <f>IF(ISBLANK(tbl_task6[[คะแนนเต็ม]:[คะแนนเต็ม]]),"",(tbl_task6[20]/tbl_task6[[คะแนนเต็ม]:[คะแนนเต็ม]])*tbl_task6[[%]:[%]])</f>
        <v/>
      </c>
      <c r="GI25" s="121" t="str">
        <f>IF(ISBLANK(tbl_task6[[คะแนนเต็ม]:[คะแนนเต็ม]]),"",(tbl_task6[21]/tbl_task6[[คะแนนเต็ม]:[คะแนนเต็ม]])*tbl_task6[[%]:[%]])</f>
        <v/>
      </c>
      <c r="GJ25" s="121" t="str">
        <f>IF(ISBLANK(tbl_task6[[คะแนนเต็ม]:[คะแนนเต็ม]]),"",(tbl_task6[22]/tbl_task6[[คะแนนเต็ม]:[คะแนนเต็ม]])*tbl_task6[[%]:[%]])</f>
        <v/>
      </c>
      <c r="GK25" s="121" t="str">
        <f>IF(ISBLANK(tbl_task6[[คะแนนเต็ม]:[คะแนนเต็ม]]),"",(tbl_task6[23]/tbl_task6[[คะแนนเต็ม]:[คะแนนเต็ม]])*tbl_task6[[%]:[%]])</f>
        <v/>
      </c>
      <c r="GL25" s="121" t="str">
        <f>IF(ISBLANK(tbl_task6[[คะแนนเต็ม]:[คะแนนเต็ม]]),"",(tbl_task6[24]/tbl_task6[[คะแนนเต็ม]:[คะแนนเต็ม]])*tbl_task6[[%]:[%]])</f>
        <v/>
      </c>
      <c r="GM25" s="121" t="str">
        <f>IF(ISBLANK(tbl_task6[[คะแนนเต็ม]:[คะแนนเต็ม]]),"",(tbl_task6[25]/tbl_task6[[คะแนนเต็ม]:[คะแนนเต็ม]])*tbl_task6[[%]:[%]])</f>
        <v/>
      </c>
      <c r="GN25" s="121" t="str">
        <f>IF(ISBLANK(tbl_task6[[คะแนนเต็ม]:[คะแนนเต็ม]]),"",(tbl_task6[26]/tbl_task6[[คะแนนเต็ม]:[คะแนนเต็ม]])*tbl_task6[[%]:[%]])</f>
        <v/>
      </c>
      <c r="GO25" s="121" t="str">
        <f>IF(ISBLANK(tbl_task6[[คะแนนเต็ม]:[คะแนนเต็ม]]),"",(tbl_task6[27]/tbl_task6[[คะแนนเต็ม]:[คะแนนเต็ม]])*tbl_task6[[%]:[%]])</f>
        <v/>
      </c>
      <c r="GP25" s="121" t="str">
        <f>IF(ISBLANK(tbl_task6[[คะแนนเต็ม]:[คะแนนเต็ม]]),"",(tbl_task6[28]/tbl_task6[[คะแนนเต็ม]:[คะแนนเต็ม]])*tbl_task6[[%]:[%]])</f>
        <v/>
      </c>
      <c r="GQ25" s="121" t="str">
        <f>IF(ISBLANK(tbl_task6[[คะแนนเต็ม]:[คะแนนเต็ม]]),"",(tbl_task6[29]/tbl_task6[[คะแนนเต็ม]:[คะแนนเต็ม]])*tbl_task6[[%]:[%]])</f>
        <v/>
      </c>
      <c r="GR25" s="121" t="str">
        <f>IF(ISBLANK(tbl_task6[[คะแนนเต็ม]:[คะแนนเต็ม]]),"",(tbl_task6[30]/tbl_task6[[คะแนนเต็ม]:[คะแนนเต็ม]])*tbl_task6[[%]:[%]])</f>
        <v/>
      </c>
      <c r="GS25" s="121" t="str">
        <f>IF(ISBLANK(tbl_task6[[คะแนนเต็ม]:[คะแนนเต็ม]]),"",(tbl_task6[31]/tbl_task6[[คะแนนเต็ม]:[คะแนนเต็ม]])*tbl_task6[[%]:[%]])</f>
        <v/>
      </c>
      <c r="GT25" s="121" t="str">
        <f>IF(ISBLANK(tbl_task6[[คะแนนเต็ม]:[คะแนนเต็ม]]),"",(tbl_task6[32]/tbl_task6[[คะแนนเต็ม]:[คะแนนเต็ม]])*tbl_task6[[%]:[%]])</f>
        <v/>
      </c>
      <c r="GU25" s="121" t="str">
        <f>IF(ISBLANK(tbl_task6[[คะแนนเต็ม]:[คะแนนเต็ม]]),"",(tbl_task6[33]/tbl_task6[[คะแนนเต็ม]:[คะแนนเต็ม]])*tbl_task6[[%]:[%]])</f>
        <v/>
      </c>
      <c r="GV25" s="121" t="str">
        <f>IF(ISBLANK(tbl_task6[[คะแนนเต็ม]:[คะแนนเต็ม]]),"",(tbl_task6[34]/tbl_task6[[คะแนนเต็ม]:[คะแนนเต็ม]])*tbl_task6[[%]:[%]])</f>
        <v/>
      </c>
      <c r="GW25" s="121" t="str">
        <f>IF(ISBLANK(tbl_task6[[คะแนนเต็ม]:[คะแนนเต็ม]]),"",(tbl_task6[35]/tbl_task6[[คะแนนเต็ม]:[คะแนนเต็ม]])*tbl_task6[[%]:[%]])</f>
        <v/>
      </c>
      <c r="GX25" s="121" t="str">
        <f>IF(ISBLANK(tbl_task6[[คะแนนเต็ม]:[คะแนนเต็ม]]),"",(tbl_task6[36]/tbl_task6[[คะแนนเต็ม]:[คะแนนเต็ม]])*tbl_task6[[%]:[%]])</f>
        <v/>
      </c>
      <c r="GY25" s="121" t="str">
        <f>IF(ISBLANK(tbl_task6[[คะแนนเต็ม]:[คะแนนเต็ม]]),"",(tbl_task6[37]/tbl_task6[[คะแนนเต็ม]:[คะแนนเต็ม]])*tbl_task6[[%]:[%]])</f>
        <v/>
      </c>
      <c r="GZ25" s="121" t="str">
        <f>IF(ISBLANK(tbl_task6[[คะแนนเต็ม]:[คะแนนเต็ม]]),"",(tbl_task6[38]/tbl_task6[[คะแนนเต็ม]:[คะแนนเต็ม]])*tbl_task6[[%]:[%]])</f>
        <v/>
      </c>
      <c r="HA25" s="121" t="str">
        <f>IF(ISBLANK(tbl_task6[[คะแนนเต็ม]:[คะแนนเต็ม]]),"",(tbl_task6[39]/tbl_task6[[คะแนนเต็ม]:[คะแนนเต็ม]])*tbl_task6[[%]:[%]])</f>
        <v/>
      </c>
      <c r="HB25" s="121" t="str">
        <f>IF(ISBLANK(tbl_task6[[คะแนนเต็ม]:[คะแนนเต็ม]]),"",(tbl_task6[40]/tbl_task6[[คะแนนเต็ม]:[คะแนนเต็ม]])*tbl_task6[[%]:[%]])</f>
        <v/>
      </c>
      <c r="HC25" s="121" t="str">
        <f>IF(ISBLANK(tbl_task6[[คะแนนเต็ม]:[คะแนนเต็ม]]),"",(tbl_task6[41]/tbl_task6[[คะแนนเต็ม]:[คะแนนเต็ม]])*tbl_task6[[%]:[%]])</f>
        <v/>
      </c>
      <c r="HD25" s="121" t="str">
        <f>IF(ISBLANK(tbl_task6[[คะแนนเต็ม]:[คะแนนเต็ม]]),"",(tbl_task6[42]/tbl_task6[[คะแนนเต็ม]:[คะแนนเต็ม]])*tbl_task6[[%]:[%]])</f>
        <v/>
      </c>
      <c r="HE25" s="121" t="str">
        <f>IF(ISBLANK(tbl_task6[[คะแนนเต็ม]:[คะแนนเต็ม]]),"",(tbl_task6[43]/tbl_task6[[คะแนนเต็ม]:[คะแนนเต็ม]])*tbl_task6[[%]:[%]])</f>
        <v/>
      </c>
      <c r="HF25" s="121" t="str">
        <f>IF(ISBLANK(tbl_task6[[คะแนนเต็ม]:[คะแนนเต็ม]]),"",(tbl_task6[44]/tbl_task6[[คะแนนเต็ม]:[คะแนนเต็ม]])*tbl_task6[[%]:[%]])</f>
        <v/>
      </c>
      <c r="HG25" s="121" t="str">
        <f>IF(ISBLANK(tbl_task6[[คะแนนเต็ม]:[คะแนนเต็ม]]),"",(tbl_task6[45]/tbl_task6[[คะแนนเต็ม]:[คะแนนเต็ม]])*tbl_task6[[%]:[%]])</f>
        <v/>
      </c>
      <c r="HH25" s="121" t="str">
        <f>IF(ISBLANK(tbl_task6[[คะแนนเต็ม]:[คะแนนเต็ม]]),"",(tbl_task6[46]/tbl_task6[[คะแนนเต็ม]:[คะแนนเต็ม]])*tbl_task6[[%]:[%]])</f>
        <v/>
      </c>
      <c r="HI25" s="121" t="str">
        <f>IF(ISBLANK(tbl_task6[[คะแนนเต็ม]:[คะแนนเต็ม]]),"",(tbl_task6[47]/tbl_task6[[คะแนนเต็ม]:[คะแนนเต็ม]])*tbl_task6[[%]:[%]])</f>
        <v/>
      </c>
      <c r="HJ25" s="121" t="str">
        <f>IF(ISBLANK(tbl_task6[[คะแนนเต็ม]:[คะแนนเต็ม]]),"",(tbl_task6[48]/tbl_task6[[คะแนนเต็ม]:[คะแนนเต็ม]])*tbl_task6[[%]:[%]])</f>
        <v/>
      </c>
      <c r="HK25" s="121" t="str">
        <f>IF(ISBLANK(tbl_task6[[คะแนนเต็ม]:[คะแนนเต็ม]]),"",(tbl_task6[49]/tbl_task6[[คะแนนเต็ม]:[คะแนนเต็ม]])*tbl_task6[[%]:[%]])</f>
        <v/>
      </c>
      <c r="HL25" s="121" t="str">
        <f>IF(ISBLANK(tbl_task6[[คะแนนเต็ม]:[คะแนนเต็ม]]),"",(tbl_task6[50]/tbl_task6[[คะแนนเต็ม]:[คะแนนเต็ม]])*tbl_task6[[%]:[%]])</f>
        <v/>
      </c>
      <c r="HM25" s="121" t="str">
        <f>IF(ISBLANK(tbl_task6[[คะแนนเต็ม]:[คะแนนเต็ม]]),"",(tbl_task6[51]/tbl_task6[[คะแนนเต็ม]:[คะแนนเต็ม]])*tbl_task6[[%]:[%]])</f>
        <v/>
      </c>
      <c r="HN25" s="121" t="str">
        <f>IF(ISBLANK(tbl_task6[[คะแนนเต็ม]:[คะแนนเต็ม]]),"",(tbl_task6[52]/tbl_task6[[คะแนนเต็ม]:[คะแนนเต็ม]])*tbl_task6[[%]:[%]])</f>
        <v/>
      </c>
      <c r="HO25" s="121" t="str">
        <f>IF(ISBLANK(tbl_task6[[คะแนนเต็ม]:[คะแนนเต็ม]]),"",(tbl_task6[53]/tbl_task6[[คะแนนเต็ม]:[คะแนนเต็ม]])*tbl_task6[[%]:[%]])</f>
        <v/>
      </c>
      <c r="HP25" s="121" t="str">
        <f>IF(ISBLANK(tbl_task6[[คะแนนเต็ม]:[คะแนนเต็ม]]),"",(tbl_task6[54]/tbl_task6[[คะแนนเต็ม]:[คะแนนเต็ม]])*tbl_task6[[%]:[%]])</f>
        <v/>
      </c>
      <c r="HQ25" s="121" t="str">
        <f>IF(ISBLANK(tbl_task6[[คะแนนเต็ม]:[คะแนนเต็ม]]),"",(tbl_task6[55]/tbl_task6[[คะแนนเต็ม]:[คะแนนเต็ม]])*tbl_task6[[%]:[%]])</f>
        <v/>
      </c>
      <c r="HR25" s="121" t="str">
        <f>IF(ISBLANK(tbl_task6[[คะแนนเต็ม]:[คะแนนเต็ม]]),"",(tbl_task6[56]/tbl_task6[[คะแนนเต็ม]:[คะแนนเต็ม]])*tbl_task6[[%]:[%]])</f>
        <v/>
      </c>
      <c r="HS25" s="121" t="str">
        <f>IF(ISBLANK(tbl_task6[[คะแนนเต็ม]:[คะแนนเต็ม]]),"",(tbl_task6[57]/tbl_task6[[คะแนนเต็ม]:[คะแนนเต็ม]])*tbl_task6[[%]:[%]])</f>
        <v/>
      </c>
      <c r="HT25" s="121" t="str">
        <f>IF(ISBLANK(tbl_task6[[คะแนนเต็ม]:[คะแนนเต็ม]]),"",(tbl_task6[58]/tbl_task6[[คะแนนเต็ม]:[คะแนนเต็ม]])*tbl_task6[[%]:[%]])</f>
        <v/>
      </c>
      <c r="HU25" s="121" t="str">
        <f>IF(ISBLANK(tbl_task6[[คะแนนเต็ม]:[คะแนนเต็ม]]),"",(tbl_task6[59]/tbl_task6[[คะแนนเต็ม]:[คะแนนเต็ม]])*tbl_task6[[%]:[%]])</f>
        <v/>
      </c>
      <c r="HV25" s="121" t="str">
        <f>IF(ISBLANK(tbl_task6[[คะแนนเต็ม]:[คะแนนเต็ม]]),"",(tbl_task6[60]/tbl_task6[[คะแนนเต็ม]:[คะแนนเต็ม]])*tbl_task6[[%]:[%]])</f>
        <v/>
      </c>
      <c r="HW25" s="121" t="str">
        <f>IF(ISBLANK(tbl_task6[[คะแนนเต็ม]:[คะแนนเต็ม]]),"",(tbl_task6[61]/tbl_task6[[คะแนนเต็ม]:[คะแนนเต็ม]])*tbl_task6[[%]:[%]])</f>
        <v/>
      </c>
      <c r="HX25" s="121" t="str">
        <f>IF(ISBLANK(tbl_task6[[คะแนนเต็ม]:[คะแนนเต็ม]]),"",(tbl_task6[62]/tbl_task6[[คะแนนเต็ม]:[คะแนนเต็ม]])*tbl_task6[[%]:[%]])</f>
        <v/>
      </c>
      <c r="HY25" s="121" t="str">
        <f>IF(ISBLANK(tbl_task6[[คะแนนเต็ม]:[คะแนนเต็ม]]),"",(tbl_task6[63]/tbl_task6[[คะแนนเต็ม]:[คะแนนเต็ม]])*tbl_task6[[%]:[%]])</f>
        <v/>
      </c>
      <c r="HZ25" s="121" t="str">
        <f>IF(ISBLANK(tbl_task6[[คะแนนเต็ม]:[คะแนนเต็ม]]),"",(tbl_task6[64]/tbl_task6[[คะแนนเต็ม]:[คะแนนเต็ม]])*tbl_task6[[%]:[%]])</f>
        <v/>
      </c>
      <c r="IA25" s="121" t="str">
        <f>IF(ISBLANK(tbl_task6[[คะแนนเต็ม]:[คะแนนเต็ม]]),"",(tbl_task6[65]/tbl_task6[[คะแนนเต็ม]:[คะแนนเต็ม]])*tbl_task6[[%]:[%]])</f>
        <v/>
      </c>
      <c r="IB25" s="121" t="str">
        <f>IF(ISBLANK(tbl_task6[[คะแนนเต็ม]:[คะแนนเต็ม]]),"",(tbl_task6[66]/tbl_task6[[คะแนนเต็ม]:[คะแนนเต็ม]])*tbl_task6[[%]:[%]])</f>
        <v/>
      </c>
      <c r="IC25" s="121" t="str">
        <f>IF(ISBLANK(tbl_task6[[คะแนนเต็ม]:[คะแนนเต็ม]]),"",(tbl_task6[67]/tbl_task6[[คะแนนเต็ม]:[คะแนนเต็ม]])*tbl_task6[[%]:[%]])</f>
        <v/>
      </c>
      <c r="ID25" s="121" t="str">
        <f>IF(ISBLANK(tbl_task6[[คะแนนเต็ม]:[คะแนนเต็ม]]),"",(tbl_task6[68]/tbl_task6[[คะแนนเต็ม]:[คะแนนเต็ม]])*tbl_task6[[%]:[%]])</f>
        <v/>
      </c>
      <c r="IE25" s="121" t="str">
        <f>IF(ISBLANK(tbl_task6[[คะแนนเต็ม]:[คะแนนเต็ม]]),"",(tbl_task6[69]/tbl_task6[[คะแนนเต็ม]:[คะแนนเต็ม]])*tbl_task6[[%]:[%]])</f>
        <v/>
      </c>
      <c r="IF25" s="121" t="str">
        <f>IF(ISBLANK(tbl_task6[[คะแนนเต็ม]:[คะแนนเต็ม]]),"",(tbl_task6[70]/tbl_task6[[คะแนนเต็ม]:[คะแนนเต็ม]])*tbl_task6[[%]:[%]])</f>
        <v/>
      </c>
      <c r="IG25" s="121" t="str">
        <f>IF(ISBLANK(tbl_task6[[คะแนนเต็ม]:[คะแนนเต็ม]]),"",(tbl_task6[71]/tbl_task6[[คะแนนเต็ม]:[คะแนนเต็ม]])*tbl_task6[[%]:[%]])</f>
        <v/>
      </c>
      <c r="IH25" s="121" t="str">
        <f>IF(ISBLANK(tbl_task6[[คะแนนเต็ม]:[คะแนนเต็ม]]),"",(tbl_task6[72]/tbl_task6[[คะแนนเต็ม]:[คะแนนเต็ม]])*tbl_task6[[%]:[%]])</f>
        <v/>
      </c>
      <c r="II25" s="121" t="str">
        <f>IF(ISBLANK(tbl_task6[[คะแนนเต็ม]:[คะแนนเต็ม]]),"",(tbl_task6[73]/tbl_task6[[คะแนนเต็ม]:[คะแนนเต็ม]])*tbl_task6[[%]:[%]])</f>
        <v/>
      </c>
      <c r="IJ25" s="121" t="str">
        <f>IF(ISBLANK(tbl_task6[[คะแนนเต็ม]:[คะแนนเต็ม]]),"",(tbl_task6[74]/tbl_task6[[คะแนนเต็ม]:[คะแนนเต็ม]])*tbl_task6[[%]:[%]])</f>
        <v/>
      </c>
      <c r="IK25" s="121" t="str">
        <f>IF(ISBLANK(tbl_task6[[คะแนนเต็ม]:[คะแนนเต็ม]]),"",(tbl_task6[75]/tbl_task6[[คะแนนเต็ม]:[คะแนนเต็ม]])*tbl_task6[[%]:[%]])</f>
        <v/>
      </c>
      <c r="IL25" s="121" t="str">
        <f>IF(ISBLANK(tbl_task6[[คะแนนเต็ม]:[คะแนนเต็ม]]),"",(tbl_task6[76]/tbl_task6[[คะแนนเต็ม]:[คะแนนเต็ม]])*tbl_task6[[%]:[%]])</f>
        <v/>
      </c>
      <c r="IM25" s="121" t="str">
        <f>IF(ISBLANK(tbl_task6[[คะแนนเต็ม]:[คะแนนเต็ม]]),"",(tbl_task6[77]/tbl_task6[[คะแนนเต็ม]:[คะแนนเต็ม]])*tbl_task6[[%]:[%]])</f>
        <v/>
      </c>
      <c r="IN25" s="121" t="str">
        <f>IF(ISBLANK(tbl_task6[[คะแนนเต็ม]:[คะแนนเต็ม]]),"",(tbl_task6[78]/tbl_task6[[คะแนนเต็ม]:[คะแนนเต็ม]])*tbl_task6[[%]:[%]])</f>
        <v/>
      </c>
      <c r="IO25" s="121" t="str">
        <f>IF(ISBLANK(tbl_task6[[คะแนนเต็ม]:[คะแนนเต็ม]]),"",(tbl_task6[79]/tbl_task6[[คะแนนเต็ม]:[คะแนนเต็ม]])*tbl_task6[[%]:[%]])</f>
        <v/>
      </c>
      <c r="IP25" s="121" t="str">
        <f>IF(ISBLANK(tbl_task6[[คะแนนเต็ม]:[คะแนนเต็ม]]),"",(tbl_task6[80]/tbl_task6[[คะแนนเต็ม]:[คะแนนเต็ม]])*tbl_task6[[%]:[%]])</f>
        <v/>
      </c>
      <c r="IQ25" s="121" t="str">
        <f>IF(ISBLANK(tbl_task6[[คะแนนเต็ม]:[คะแนนเต็ม]]),"",(tbl_task6[81]/tbl_task6[[คะแนนเต็ม]:[คะแนนเต็ม]])*tbl_task6[[%]:[%]])</f>
        <v/>
      </c>
      <c r="IR25" s="121" t="str">
        <f>IF(ISBLANK(tbl_task6[[คะแนนเต็ม]:[คะแนนเต็ม]]),"",(tbl_task6[82]/tbl_task6[[คะแนนเต็ม]:[คะแนนเต็ม]])*tbl_task6[[%]:[%]])</f>
        <v/>
      </c>
      <c r="IS25" s="121" t="str">
        <f>IF(ISBLANK(tbl_task6[[คะแนนเต็ม]:[คะแนนเต็ม]]),"",(tbl_task6[83]/tbl_task6[[คะแนนเต็ม]:[คะแนนเต็ม]])*tbl_task6[[%]:[%]])</f>
        <v/>
      </c>
      <c r="IT25" s="121" t="str">
        <f>IF(ISBLANK(tbl_task6[[คะแนนเต็ม]:[คะแนนเต็ม]]),"",(tbl_task6[84]/tbl_task6[[คะแนนเต็ม]:[คะแนนเต็ม]])*tbl_task6[[%]:[%]])</f>
        <v/>
      </c>
      <c r="IU25" s="121" t="str">
        <f>IF(ISBLANK(tbl_task6[[คะแนนเต็ม]:[คะแนนเต็ม]]),"",(tbl_task6[85]/tbl_task6[[คะแนนเต็ม]:[คะแนนเต็ม]])*tbl_task6[[%]:[%]])</f>
        <v/>
      </c>
      <c r="IV25" s="121" t="str">
        <f>IF(ISBLANK(tbl_task6[[คะแนนเต็ม]:[คะแนนเต็ม]]),"",(tbl_task6[86]/tbl_task6[[คะแนนเต็ม]:[คะแนนเต็ม]])*tbl_task6[[%]:[%]])</f>
        <v/>
      </c>
      <c r="IW25" s="121" t="str">
        <f>IF(ISBLANK(tbl_task6[[คะแนนเต็ม]:[คะแนนเต็ม]]),"",(tbl_task6[87]/tbl_task6[[คะแนนเต็ม]:[คะแนนเต็ม]])*tbl_task6[[%]:[%]])</f>
        <v/>
      </c>
      <c r="IX25" s="121" t="str">
        <f>IF(ISBLANK(tbl_task6[[คะแนนเต็ม]:[คะแนนเต็ม]]),"",(tbl_task6[88]/tbl_task6[[คะแนนเต็ม]:[คะแนนเต็ม]])*tbl_task6[[%]:[%]])</f>
        <v/>
      </c>
      <c r="IY25" s="121" t="str">
        <f>IF(ISBLANK(tbl_task6[[คะแนนเต็ม]:[คะแนนเต็ม]]),"",(tbl_task6[89]/tbl_task6[[คะแนนเต็ม]:[คะแนนเต็ม]])*tbl_task6[[%]:[%]])</f>
        <v/>
      </c>
      <c r="IZ25" s="121" t="str">
        <f>IF(ISBLANK(tbl_task6[[คะแนนเต็ม]:[คะแนนเต็ม]]),"",(tbl_task6[90]/tbl_task6[[คะแนนเต็ม]:[คะแนนเต็ม]])*tbl_task6[[%]:[%]])</f>
        <v/>
      </c>
      <c r="JA25" s="121" t="str">
        <f>IF(ISBLANK(tbl_task6[[คะแนนเต็ม]:[คะแนนเต็ม]]),"",(tbl_task6[91]/tbl_task6[[คะแนนเต็ม]:[คะแนนเต็ม]])*tbl_task6[[%]:[%]])</f>
        <v/>
      </c>
      <c r="JB25" s="121" t="str">
        <f>IF(ISBLANK(tbl_task6[[คะแนนเต็ม]:[คะแนนเต็ม]]),"",(tbl_task6[92]/tbl_task6[[คะแนนเต็ม]:[คะแนนเต็ม]])*tbl_task6[[%]:[%]])</f>
        <v/>
      </c>
      <c r="JC25" s="121" t="str">
        <f>IF(ISBLANK(tbl_task6[[คะแนนเต็ม]:[คะแนนเต็ม]]),"",(tbl_task6[93]/tbl_task6[[คะแนนเต็ม]:[คะแนนเต็ม]])*tbl_task6[[%]:[%]])</f>
        <v/>
      </c>
      <c r="JD25" s="121" t="str">
        <f>IF(ISBLANK(tbl_task6[[คะแนนเต็ม]:[คะแนนเต็ม]]),"",(tbl_task6[94]/tbl_task6[[คะแนนเต็ม]:[คะแนนเต็ม]])*tbl_task6[[%]:[%]])</f>
        <v/>
      </c>
      <c r="JE25" s="121" t="str">
        <f>IF(ISBLANK(tbl_task6[[คะแนนเต็ม]:[คะแนนเต็ม]]),"",(tbl_task6[95]/tbl_task6[[คะแนนเต็ม]:[คะแนนเต็ม]])*tbl_task6[[%]:[%]])</f>
        <v/>
      </c>
      <c r="JF25" s="121" t="str">
        <f>IF(ISBLANK(tbl_task6[[คะแนนเต็ม]:[คะแนนเต็ม]]),"",(tbl_task6[96]/tbl_task6[[คะแนนเต็ม]:[คะแนนเต็ม]])*tbl_task6[[%]:[%]])</f>
        <v/>
      </c>
      <c r="JG25" s="121" t="str">
        <f>IF(ISBLANK(tbl_task6[[คะแนนเต็ม]:[คะแนนเต็ม]]),"",(tbl_task6[97]/tbl_task6[[คะแนนเต็ม]:[คะแนนเต็ม]])*tbl_task6[[%]:[%]])</f>
        <v/>
      </c>
      <c r="JH25" s="121" t="str">
        <f>IF(ISBLANK(tbl_task6[[คะแนนเต็ม]:[คะแนนเต็ม]]),"",(tbl_task6[98]/tbl_task6[[คะแนนเต็ม]:[คะแนนเต็ม]])*tbl_task6[[%]:[%]])</f>
        <v/>
      </c>
      <c r="JI25" s="121" t="str">
        <f>IF(ISBLANK(tbl_task6[[คะแนนเต็ม]:[คะแนนเต็ม]]),"",(tbl_task6[99]/tbl_task6[[คะแนนเต็ม]:[คะแนนเต็ม]])*tbl_task6[[%]:[%]])</f>
        <v/>
      </c>
      <c r="JJ25" s="121" t="str">
        <f>IF(ISBLANK(tbl_task6[[คะแนนเต็ม]:[คะแนนเต็ม]]),"",(tbl_task6[100]/tbl_task6[[คะแนนเต็ม]:[คะแนนเต็ม]])*tbl_task6[[%]:[%]])</f>
        <v/>
      </c>
      <c r="JK25" s="121" t="str">
        <f>IF(ISBLANK(tbl_task6[[คะแนนเต็ม]:[คะแนนเต็ม]]),"",(tbl_task6[101]/tbl_task6[[คะแนนเต็ม]:[คะแนนเต็ม]])*tbl_task6[[%]:[%]])</f>
        <v/>
      </c>
      <c r="JL25" s="121" t="str">
        <f>IF(ISBLANK(tbl_task6[[คะแนนเต็ม]:[คะแนนเต็ม]]),"",(tbl_task6[102]/tbl_task6[[คะแนนเต็ม]:[คะแนนเต็ม]])*tbl_task6[[%]:[%]])</f>
        <v/>
      </c>
      <c r="JM25" s="121" t="str">
        <f>IF(ISBLANK(tbl_task6[[คะแนนเต็ม]:[คะแนนเต็ม]]),"",(tbl_task6[103]/tbl_task6[[คะแนนเต็ม]:[คะแนนเต็ม]])*tbl_task6[[%]:[%]])</f>
        <v/>
      </c>
      <c r="JN25" s="121" t="str">
        <f>IF(ISBLANK(tbl_task6[[คะแนนเต็ม]:[คะแนนเต็ม]]),"",(tbl_task6[104]/tbl_task6[[คะแนนเต็ม]:[คะแนนเต็ม]])*tbl_task6[[%]:[%]])</f>
        <v/>
      </c>
      <c r="JO25" s="121" t="str">
        <f>IF(ISBLANK(tbl_task6[[คะแนนเต็ม]:[คะแนนเต็ม]]),"",(tbl_task6[105]/tbl_task6[[คะแนนเต็ม]:[คะแนนเต็ม]])*tbl_task6[[%]:[%]])</f>
        <v/>
      </c>
      <c r="JP25" s="121" t="str">
        <f>IF(ISBLANK(tbl_task6[[คะแนนเต็ม]:[คะแนนเต็ม]]),"",(tbl_task6[106]/tbl_task6[[คะแนนเต็ม]:[คะแนนเต็ม]])*tbl_task6[[%]:[%]])</f>
        <v/>
      </c>
      <c r="JQ25" s="121" t="str">
        <f>IF(ISBLANK(tbl_task6[[คะแนนเต็ม]:[คะแนนเต็ม]]),"",(tbl_task6[107]/tbl_task6[[คะแนนเต็ม]:[คะแนนเต็ม]])*tbl_task6[[%]:[%]])</f>
        <v/>
      </c>
      <c r="JR25" s="121" t="str">
        <f>IF(ISBLANK(tbl_task6[[คะแนนเต็ม]:[คะแนนเต็ม]]),"",(tbl_task6[108]/tbl_task6[[คะแนนเต็ม]:[คะแนนเต็ม]])*tbl_task6[[%]:[%]])</f>
        <v/>
      </c>
      <c r="JS25" s="121" t="str">
        <f>IF(ISBLANK(tbl_task6[[คะแนนเต็ม]:[คะแนนเต็ม]]),"",(tbl_task6[109]/tbl_task6[[คะแนนเต็ม]:[คะแนนเต็ม]])*tbl_task6[[%]:[%]])</f>
        <v/>
      </c>
      <c r="JT25" s="121" t="str">
        <f>IF(ISBLANK(tbl_task6[[คะแนนเต็ม]:[คะแนนเต็ม]]),"",(tbl_task6[110]/tbl_task6[[คะแนนเต็ม]:[คะแนนเต็ม]])*tbl_task6[[%]:[%]])</f>
        <v/>
      </c>
      <c r="JU25" s="121" t="str">
        <f>IF(ISBLANK(tbl_task6[[คะแนนเต็ม]:[คะแนนเต็ม]]),"",(tbl_task6[111]/tbl_task6[[คะแนนเต็ม]:[คะแนนเต็ม]])*tbl_task6[[%]:[%]])</f>
        <v/>
      </c>
      <c r="JV25" s="121" t="str">
        <f>IF(ISBLANK(tbl_task6[[คะแนนเต็ม]:[คะแนนเต็ม]]),"",(tbl_task6[112]/tbl_task6[[คะแนนเต็ม]:[คะแนนเต็ม]])*tbl_task6[[%]:[%]])</f>
        <v/>
      </c>
      <c r="JW25" s="121" t="str">
        <f>IF(ISBLANK(tbl_task6[[คะแนนเต็ม]:[คะแนนเต็ม]]),"",(tbl_task6[113]/tbl_task6[[คะแนนเต็ม]:[คะแนนเต็ม]])*tbl_task6[[%]:[%]])</f>
        <v/>
      </c>
      <c r="JX25" s="121" t="str">
        <f>IF(ISBLANK(tbl_task6[[คะแนนเต็ม]:[คะแนนเต็ม]]),"",(tbl_task6[114]/tbl_task6[[คะแนนเต็ม]:[คะแนนเต็ม]])*tbl_task6[[%]:[%]])</f>
        <v/>
      </c>
      <c r="JY25" s="121" t="str">
        <f>IF(ISBLANK(tbl_task6[[คะแนนเต็ม]:[คะแนนเต็ม]]),"",(tbl_task6[115]/tbl_task6[[คะแนนเต็ม]:[คะแนนเต็ม]])*tbl_task6[[%]:[%]])</f>
        <v/>
      </c>
      <c r="JZ25" s="121" t="str">
        <f>IF(ISBLANK(tbl_task6[[คะแนนเต็ม]:[คะแนนเต็ม]]),"",(tbl_task6[116]/tbl_task6[[คะแนนเต็ม]:[คะแนนเต็ม]])*tbl_task6[[%]:[%]])</f>
        <v/>
      </c>
      <c r="KA25" s="121" t="str">
        <f>IF(ISBLANK(tbl_task6[[คะแนนเต็ม]:[คะแนนเต็ม]]),"",(tbl_task6[117]/tbl_task6[[คะแนนเต็ม]:[คะแนนเต็ม]])*tbl_task6[[%]:[%]])</f>
        <v/>
      </c>
      <c r="KB25" s="121" t="str">
        <f>IF(ISBLANK(tbl_task6[[คะแนนเต็ม]:[คะแนนเต็ม]]),"",(tbl_task6[118]/tbl_task6[[คะแนนเต็ม]:[คะแนนเต็ม]])*tbl_task6[[%]:[%]])</f>
        <v/>
      </c>
      <c r="KC25" s="121" t="str">
        <f>IF(ISBLANK(tbl_task6[[คะแนนเต็ม]:[คะแนนเต็ม]]),"",(tbl_task6[119]/tbl_task6[[คะแนนเต็ม]:[คะแนนเต็ม]])*tbl_task6[[%]:[%]])</f>
        <v/>
      </c>
      <c r="KD25" s="121" t="str">
        <f>IF(ISBLANK(tbl_task6[[คะแนนเต็ม]:[คะแนนเต็ม]]),"",(tbl_task6[120]/tbl_task6[[คะแนนเต็ม]:[คะแนนเต็ม]])*tbl_task6[[%]:[%]])</f>
        <v/>
      </c>
      <c r="KE25" s="121" t="str">
        <f>IF(ISBLANK(tbl_task6[[คะแนนเต็ม]:[คะแนนเต็ม]]),"",(tbl_task6[121]/tbl_task6[[คะแนนเต็ม]:[คะแนนเต็ม]])*tbl_task6[[%]:[%]])</f>
        <v/>
      </c>
      <c r="KF25" s="121" t="str">
        <f>IF(ISBLANK(tbl_task6[[คะแนนเต็ม]:[คะแนนเต็ม]]),"",(tbl_task6[122]/tbl_task6[[คะแนนเต็ม]:[คะแนนเต็ม]])*tbl_task6[[%]:[%]])</f>
        <v/>
      </c>
      <c r="KG25" s="121" t="str">
        <f>IF(ISBLANK(tbl_task6[[คะแนนเต็ม]:[คะแนนเต็ม]]),"",(tbl_task6[123]/tbl_task6[[คะแนนเต็ม]:[คะแนนเต็ม]])*tbl_task6[[%]:[%]])</f>
        <v/>
      </c>
      <c r="KH25" s="121" t="str">
        <f>IF(ISBLANK(tbl_task6[[คะแนนเต็ม]:[คะแนนเต็ม]]),"",(tbl_task6[124]/tbl_task6[[คะแนนเต็ม]:[คะแนนเต็ม]])*tbl_task6[[%]:[%]])</f>
        <v/>
      </c>
      <c r="KI25" s="121" t="str">
        <f>IF(ISBLANK(tbl_task6[[คะแนนเต็ม]:[คะแนนเต็ม]]),"",(tbl_task6[125]/tbl_task6[[คะแนนเต็ม]:[คะแนนเต็ม]])*tbl_task6[[%]:[%]])</f>
        <v/>
      </c>
      <c r="KJ25" s="121" t="str">
        <f>IF(ISBLANK(tbl_task6[[คะแนนเต็ม]:[คะแนนเต็ม]]),"",(tbl_task6[126]/tbl_task6[[คะแนนเต็ม]:[คะแนนเต็ม]])*tbl_task6[[%]:[%]])</f>
        <v/>
      </c>
      <c r="KK25" s="121" t="str">
        <f>IF(ISBLANK(tbl_task6[[คะแนนเต็ม]:[คะแนนเต็ม]]),"",(tbl_task6[127]/tbl_task6[[คะแนนเต็ม]:[คะแนนเต็ม]])*tbl_task6[[%]:[%]])</f>
        <v/>
      </c>
      <c r="KL25" s="121" t="str">
        <f>IF(ISBLANK(tbl_task6[[คะแนนเต็ม]:[คะแนนเต็ม]]),"",(tbl_task6[128]/tbl_task6[[คะแนนเต็ม]:[คะแนนเต็ม]])*tbl_task6[[%]:[%]])</f>
        <v/>
      </c>
      <c r="KM25" s="121" t="str">
        <f>IF(ISBLANK(tbl_task6[[คะแนนเต็ม]:[คะแนนเต็ม]]),"",(tbl_task6[129]/tbl_task6[[คะแนนเต็ม]:[คะแนนเต็ม]])*tbl_task6[[%]:[%]])</f>
        <v/>
      </c>
      <c r="KN25" s="121" t="str">
        <f>IF(ISBLANK(tbl_task6[[คะแนนเต็ม]:[คะแนนเต็ม]]),"",(tbl_task6[130]/tbl_task6[[คะแนนเต็ม]:[คะแนนเต็ม]])*tbl_task6[[%]:[%]])</f>
        <v/>
      </c>
      <c r="KO25" s="121" t="str">
        <f>IF(ISBLANK(tbl_task6[[คะแนนเต็ม]:[คะแนนเต็ม]]),"",(tbl_task6[131]/tbl_task6[[คะแนนเต็ม]:[คะแนนเต็ม]])*tbl_task6[[%]:[%]])</f>
        <v/>
      </c>
      <c r="KP25" s="121" t="str">
        <f>IF(ISBLANK(tbl_task6[[คะแนนเต็ม]:[คะแนนเต็ม]]),"",(tbl_task6[132]/tbl_task6[[คะแนนเต็ม]:[คะแนนเต็ม]])*tbl_task6[[%]:[%]])</f>
        <v/>
      </c>
      <c r="KQ25" s="121" t="str">
        <f>IF(ISBLANK(tbl_task6[[คะแนนเต็ม]:[คะแนนเต็ม]]),"",(tbl_task6[133]/tbl_task6[[คะแนนเต็ม]:[คะแนนเต็ม]])*tbl_task6[[%]:[%]])</f>
        <v/>
      </c>
      <c r="KR25" s="121" t="str">
        <f>IF(ISBLANK(tbl_task6[[คะแนนเต็ม]:[คะแนนเต็ม]]),"",(tbl_task6[134]/tbl_task6[[คะแนนเต็ม]:[คะแนนเต็ม]])*tbl_task6[[%]:[%]])</f>
        <v/>
      </c>
      <c r="KS25" s="121" t="str">
        <f>IF(ISBLANK(tbl_task6[[คะแนนเต็ม]:[คะแนนเต็ม]]),"",(tbl_task6[135]/tbl_task6[[คะแนนเต็ม]:[คะแนนเต็ม]])*tbl_task6[[%]:[%]])</f>
        <v/>
      </c>
      <c r="KT25" s="121" t="str">
        <f>IF(ISBLANK(tbl_task6[[คะแนนเต็ม]:[คะแนนเต็ม]]),"",(tbl_task6[136]/tbl_task6[[คะแนนเต็ม]:[คะแนนเต็ม]])*tbl_task6[[%]:[%]])</f>
        <v/>
      </c>
      <c r="KU25" s="121" t="str">
        <f>IF(ISBLANK(tbl_task6[[คะแนนเต็ม]:[คะแนนเต็ม]]),"",(tbl_task6[137]/tbl_task6[[คะแนนเต็ม]:[คะแนนเต็ม]])*tbl_task6[[%]:[%]])</f>
        <v/>
      </c>
      <c r="KV25" s="121" t="str">
        <f>IF(ISBLANK(tbl_task6[[คะแนนเต็ม]:[คะแนนเต็ม]]),"",(tbl_task6[138]/tbl_task6[[คะแนนเต็ม]:[คะแนนเต็ม]])*tbl_task6[[%]:[%]])</f>
        <v/>
      </c>
      <c r="KW25" s="121" t="str">
        <f>IF(ISBLANK(tbl_task6[[คะแนนเต็ม]:[คะแนนเต็ม]]),"",(tbl_task6[139]/tbl_task6[[คะแนนเต็ม]:[คะแนนเต็ม]])*tbl_task6[[%]:[%]])</f>
        <v/>
      </c>
      <c r="KX25" s="121" t="str">
        <f>IF(ISBLANK(tbl_task6[[คะแนนเต็ม]:[คะแนนเต็ม]]),"",(tbl_task6[140]/tbl_task6[[คะแนนเต็ม]:[คะแนนเต็ม]])*tbl_task6[[%]:[%]])</f>
        <v/>
      </c>
      <c r="KY25" s="121" t="str">
        <f>IF(ISBLANK(tbl_task6[[คะแนนเต็ม]:[คะแนนเต็ม]]),"",(tbl_task6[141]/tbl_task6[[คะแนนเต็ม]:[คะแนนเต็ม]])*tbl_task6[[%]:[%]])</f>
        <v/>
      </c>
      <c r="KZ25" s="121" t="str">
        <f>IF(ISBLANK(tbl_task6[[คะแนนเต็ม]:[คะแนนเต็ม]]),"",(tbl_task6[142]/tbl_task6[[คะแนนเต็ม]:[คะแนนเต็ม]])*tbl_task6[[%]:[%]])</f>
        <v/>
      </c>
      <c r="LA25" s="121" t="str">
        <f>IF(ISBLANK(tbl_task6[[คะแนนเต็ม]:[คะแนนเต็ม]]),"",(tbl_task6[143]/tbl_task6[[คะแนนเต็ม]:[คะแนนเต็ม]])*tbl_task6[[%]:[%]])</f>
        <v/>
      </c>
      <c r="LB25" s="121" t="str">
        <f>IF(ISBLANK(tbl_task6[[คะแนนเต็ม]:[คะแนนเต็ม]]),"",(tbl_task6[144]/tbl_task6[[คะแนนเต็ม]:[คะแนนเต็ม]])*tbl_task6[[%]:[%]])</f>
        <v/>
      </c>
      <c r="LC25" s="121" t="str">
        <f>IF(ISBLANK(tbl_task6[[คะแนนเต็ม]:[คะแนนเต็ม]]),"",(tbl_task6[145]/tbl_task6[[คะแนนเต็ม]:[คะแนนเต็ม]])*tbl_task6[[%]:[%]])</f>
        <v/>
      </c>
      <c r="LD25" s="121" t="str">
        <f>IF(ISBLANK(tbl_task6[[คะแนนเต็ม]:[คะแนนเต็ม]]),"",(tbl_task6[146]/tbl_task6[[คะแนนเต็ม]:[คะแนนเต็ม]])*tbl_task6[[%]:[%]])</f>
        <v/>
      </c>
      <c r="LE25" s="121" t="str">
        <f>IF(ISBLANK(tbl_task6[[คะแนนเต็ม]:[คะแนนเต็ม]]),"",(tbl_task6[147]/tbl_task6[[คะแนนเต็ม]:[คะแนนเต็ม]])*tbl_task6[[%]:[%]])</f>
        <v/>
      </c>
      <c r="LF25" s="121" t="str">
        <f>IF(ISBLANK(tbl_task6[[คะแนนเต็ม]:[คะแนนเต็ม]]),"",(tbl_task6[148]/tbl_task6[[คะแนนเต็ม]:[คะแนนเต็ม]])*tbl_task6[[%]:[%]])</f>
        <v/>
      </c>
      <c r="LG25" s="121" t="str">
        <f>IF(ISBLANK(tbl_task6[[คะแนนเต็ม]:[คะแนนเต็ม]]),"",(tbl_task6[149]/tbl_task6[[คะแนนเต็ม]:[คะแนนเต็ม]])*tbl_task6[[%]:[%]])</f>
        <v/>
      </c>
      <c r="LH25" s="121" t="str">
        <f>IF(ISBLANK(tbl_task6[[คะแนนเต็ม]:[คะแนนเต็ม]]),"",(tbl_task6[150]/tbl_task6[[คะแนนเต็ม]:[คะแนนเต็ม]])*tbl_task6[[%]:[%]])</f>
        <v/>
      </c>
      <c r="LI25" s="121" t="str">
        <f>IF(ISBLANK(tbl_task6[[คะแนนเต็ม]:[คะแนนเต็ม]]),"",(tbl_task6[151]/tbl_task6[[คะแนนเต็ม]:[คะแนนเต็ม]])*tbl_task6[[%]:[%]])</f>
        <v/>
      </c>
      <c r="LJ25" s="121" t="str">
        <f>IF(ISBLANK(tbl_task6[[คะแนนเต็ม]:[คะแนนเต็ม]]),"",(tbl_task6[152]/tbl_task6[[คะแนนเต็ม]:[คะแนนเต็ม]])*tbl_task6[[%]:[%]])</f>
        <v/>
      </c>
      <c r="LK25" s="121" t="str">
        <f>IF(ISBLANK(tbl_task6[[คะแนนเต็ม]:[คะแนนเต็ม]]),"",(tbl_task6[153]/tbl_task6[[คะแนนเต็ม]:[คะแนนเต็ม]])*tbl_task6[[%]:[%]])</f>
        <v/>
      </c>
      <c r="LL25" s="121" t="str">
        <f>IF(ISBLANK(tbl_task6[[คะแนนเต็ม]:[คะแนนเต็ม]]),"",(tbl_task6[154]/tbl_task6[[คะแนนเต็ม]:[คะแนนเต็ม]])*tbl_task6[[%]:[%]])</f>
        <v/>
      </c>
      <c r="LM25" s="121" t="str">
        <f>IF(ISBLANK(tbl_task6[[คะแนนเต็ม]:[คะแนนเต็ม]]),"",(tbl_task6[155]/tbl_task6[[คะแนนเต็ม]:[คะแนนเต็ม]])*tbl_task6[[%]:[%]])</f>
        <v/>
      </c>
      <c r="LN25" s="121" t="str">
        <f>IF(ISBLANK(tbl_task6[[คะแนนเต็ม]:[คะแนนเต็ม]]),"",(tbl_task6[156]/tbl_task6[[คะแนนเต็ม]:[คะแนนเต็ม]])*tbl_task6[[%]:[%]])</f>
        <v/>
      </c>
      <c r="LO25" s="121" t="str">
        <f>IF(ISBLANK(tbl_task6[[คะแนนเต็ม]:[คะแนนเต็ม]]),"",(tbl_task6[157]/tbl_task6[[คะแนนเต็ม]:[คะแนนเต็ม]])*tbl_task6[[%]:[%]])</f>
        <v/>
      </c>
      <c r="LP25" s="121" t="str">
        <f>IF(ISBLANK(tbl_task6[[คะแนนเต็ม]:[คะแนนเต็ม]]),"",(tbl_task6[158]/tbl_task6[[คะแนนเต็ม]:[คะแนนเต็ม]])*tbl_task6[[%]:[%]])</f>
        <v/>
      </c>
      <c r="LQ25" s="121" t="str">
        <f>IF(ISBLANK(tbl_task6[[คะแนนเต็ม]:[คะแนนเต็ม]]),"",(tbl_task6[159]/tbl_task6[[คะแนนเต็ม]:[คะแนนเต็ม]])*tbl_task6[[%]:[%]])</f>
        <v/>
      </c>
      <c r="LR25" s="121" t="str">
        <f>IF(ISBLANK(tbl_task6[[คะแนนเต็ม]:[คะแนนเต็ม]]),"",(tbl_task6[160]/tbl_task6[[คะแนนเต็ม]:[คะแนนเต็ม]])*tbl_task6[[%]:[%]])</f>
        <v/>
      </c>
      <c r="LS25" s="121" t="str">
        <f>IF(ISBLANK(tbl_task6[[คะแนนเต็ม]:[คะแนนเต็ม]]),"",(tbl_task6[161]/tbl_task6[[คะแนนเต็ม]:[คะแนนเต็ม]])*tbl_task6[[%]:[%]])</f>
        <v/>
      </c>
      <c r="LT25" s="121" t="str">
        <f>IF(ISBLANK(tbl_task6[[คะแนนเต็ม]:[คะแนนเต็ม]]),"",(tbl_task6[162]/tbl_task6[[คะแนนเต็ม]:[คะแนนเต็ม]])*tbl_task6[[%]:[%]])</f>
        <v/>
      </c>
      <c r="LU25" s="121" t="str">
        <f>IF(ISBLANK(tbl_task6[[คะแนนเต็ม]:[คะแนนเต็ม]]),"",(tbl_task6[163]/tbl_task6[[คะแนนเต็ม]:[คะแนนเต็ม]])*tbl_task6[[%]:[%]])</f>
        <v/>
      </c>
      <c r="LV25" s="121" t="str">
        <f>IF(ISBLANK(tbl_task6[[คะแนนเต็ม]:[คะแนนเต็ม]]),"",(tbl_task6[164]/tbl_task6[[คะแนนเต็ม]:[คะแนนเต็ม]])*tbl_task6[[%]:[%]])</f>
        <v/>
      </c>
      <c r="LW25" s="121" t="str">
        <f>IF(ISBLANK(tbl_task6[[คะแนนเต็ม]:[คะแนนเต็ม]]),"",(tbl_task6[165]/tbl_task6[[คะแนนเต็ม]:[คะแนนเต็ม]])*tbl_task6[[%]:[%]])</f>
        <v/>
      </c>
    </row>
    <row r="26" spans="1:335" ht="24" customHeight="1" x14ac:dyDescent="0.25">
      <c r="A26" s="24">
        <v>23</v>
      </c>
      <c r="B26" s="20"/>
      <c r="C26" s="5" t="str">
        <f>IF(ISBLANK(B26),"",VLOOKUP(B26,tbl_PLOs[],2,0))</f>
        <v/>
      </c>
      <c r="D26" s="102"/>
      <c r="E26" s="106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21" t="str">
        <f>IF(ISBLANK(tbl_task6[[คะแนนเต็ม]:[คะแนนเต็ม]]),"",(tbl_task6[1]/tbl_task6[[คะแนนเต็ม]:[คะแนนเต็ม]])*tbl_task6[[%]:[%]])</f>
        <v/>
      </c>
      <c r="FP26" s="121" t="str">
        <f>IF(ISBLANK(tbl_task6[[คะแนนเต็ม]:[คะแนนเต็ม]]),"",(tbl_task6[2]/tbl_task6[[คะแนนเต็ม]:[คะแนนเต็ม]])*tbl_task6[[%]:[%]])</f>
        <v/>
      </c>
      <c r="FQ26" s="121" t="str">
        <f>IF(ISBLANK(tbl_task6[[คะแนนเต็ม]:[คะแนนเต็ม]]),"",(tbl_task6[3]/tbl_task6[[คะแนนเต็ม]:[คะแนนเต็ม]])*tbl_task6[[%]:[%]])</f>
        <v/>
      </c>
      <c r="FR26" s="121" t="str">
        <f>IF(ISBLANK(tbl_task6[[คะแนนเต็ม]:[คะแนนเต็ม]]),"",(tbl_task6[4]/tbl_task6[[คะแนนเต็ม]:[คะแนนเต็ม]])*tbl_task6[[%]:[%]])</f>
        <v/>
      </c>
      <c r="FS26" s="121" t="str">
        <f>IF(ISBLANK(tbl_task6[[คะแนนเต็ม]:[คะแนนเต็ม]]),"",(tbl_task6[5]/tbl_task6[[คะแนนเต็ม]:[คะแนนเต็ม]])*tbl_task6[[%]:[%]])</f>
        <v/>
      </c>
      <c r="FT26" s="121" t="str">
        <f>IF(ISBLANK(tbl_task6[[คะแนนเต็ม]:[คะแนนเต็ม]]),"",(tbl_task6[6]/tbl_task6[[คะแนนเต็ม]:[คะแนนเต็ม]])*tbl_task6[[%]:[%]])</f>
        <v/>
      </c>
      <c r="FU26" s="121" t="str">
        <f>IF(ISBLANK(tbl_task6[[คะแนนเต็ม]:[คะแนนเต็ม]]),"",(tbl_task6[7]/tbl_task6[[คะแนนเต็ม]:[คะแนนเต็ม]])*tbl_task6[[%]:[%]])</f>
        <v/>
      </c>
      <c r="FV26" s="121" t="str">
        <f>IF(ISBLANK(tbl_task6[[คะแนนเต็ม]:[คะแนนเต็ม]]),"",(tbl_task6[8]/tbl_task6[[คะแนนเต็ม]:[คะแนนเต็ม]])*tbl_task6[[%]:[%]])</f>
        <v/>
      </c>
      <c r="FW26" s="121" t="str">
        <f>IF(ISBLANK(tbl_task6[[คะแนนเต็ม]:[คะแนนเต็ม]]),"",(tbl_task6[9]/tbl_task6[[คะแนนเต็ม]:[คะแนนเต็ม]])*tbl_task6[[%]:[%]])</f>
        <v/>
      </c>
      <c r="FX26" s="121" t="str">
        <f>IF(ISBLANK(tbl_task6[[คะแนนเต็ม]:[คะแนนเต็ม]]),"",(tbl_task6[10]/tbl_task6[[คะแนนเต็ม]:[คะแนนเต็ม]])*tbl_task6[[%]:[%]])</f>
        <v/>
      </c>
      <c r="FY26" s="121" t="str">
        <f>IF(ISBLANK(tbl_task6[[คะแนนเต็ม]:[คะแนนเต็ม]]),"",(tbl_task6[11]/tbl_task6[[คะแนนเต็ม]:[คะแนนเต็ม]])*tbl_task6[[%]:[%]])</f>
        <v/>
      </c>
      <c r="FZ26" s="121" t="str">
        <f>IF(ISBLANK(tbl_task6[[คะแนนเต็ม]:[คะแนนเต็ม]]),"",(tbl_task6[12]/tbl_task6[[คะแนนเต็ม]:[คะแนนเต็ม]])*tbl_task6[[%]:[%]])</f>
        <v/>
      </c>
      <c r="GA26" s="121" t="str">
        <f>IF(ISBLANK(tbl_task6[[คะแนนเต็ม]:[คะแนนเต็ม]]),"",(tbl_task6[13]/tbl_task6[[คะแนนเต็ม]:[คะแนนเต็ม]])*tbl_task6[[%]:[%]])</f>
        <v/>
      </c>
      <c r="GB26" s="121" t="str">
        <f>IF(ISBLANK(tbl_task6[[คะแนนเต็ม]:[คะแนนเต็ม]]),"",(tbl_task6[14]/tbl_task6[[คะแนนเต็ม]:[คะแนนเต็ม]])*tbl_task6[[%]:[%]])</f>
        <v/>
      </c>
      <c r="GC26" s="121" t="str">
        <f>IF(ISBLANK(tbl_task6[[คะแนนเต็ม]:[คะแนนเต็ม]]),"",(tbl_task6[15]/tbl_task6[[คะแนนเต็ม]:[คะแนนเต็ม]])*tbl_task6[[%]:[%]])</f>
        <v/>
      </c>
      <c r="GD26" s="121" t="str">
        <f>IF(ISBLANK(tbl_task6[[คะแนนเต็ม]:[คะแนนเต็ม]]),"",(tbl_task6[16]/tbl_task6[[คะแนนเต็ม]:[คะแนนเต็ม]])*tbl_task6[[%]:[%]])</f>
        <v/>
      </c>
      <c r="GE26" s="121" t="str">
        <f>IF(ISBLANK(tbl_task6[[คะแนนเต็ม]:[คะแนนเต็ม]]),"",(tbl_task6[17]/tbl_task6[[คะแนนเต็ม]:[คะแนนเต็ม]])*tbl_task6[[%]:[%]])</f>
        <v/>
      </c>
      <c r="GF26" s="121" t="str">
        <f>IF(ISBLANK(tbl_task6[[คะแนนเต็ม]:[คะแนนเต็ม]]),"",(tbl_task6[18]/tbl_task6[[คะแนนเต็ม]:[คะแนนเต็ม]])*tbl_task6[[%]:[%]])</f>
        <v/>
      </c>
      <c r="GG26" s="121" t="str">
        <f>IF(ISBLANK(tbl_task6[[คะแนนเต็ม]:[คะแนนเต็ม]]),"",(tbl_task6[19]/tbl_task6[[คะแนนเต็ม]:[คะแนนเต็ม]])*tbl_task6[[%]:[%]])</f>
        <v/>
      </c>
      <c r="GH26" s="121" t="str">
        <f>IF(ISBLANK(tbl_task6[[คะแนนเต็ม]:[คะแนนเต็ม]]),"",(tbl_task6[20]/tbl_task6[[คะแนนเต็ม]:[คะแนนเต็ม]])*tbl_task6[[%]:[%]])</f>
        <v/>
      </c>
      <c r="GI26" s="121" t="str">
        <f>IF(ISBLANK(tbl_task6[[คะแนนเต็ม]:[คะแนนเต็ม]]),"",(tbl_task6[21]/tbl_task6[[คะแนนเต็ม]:[คะแนนเต็ม]])*tbl_task6[[%]:[%]])</f>
        <v/>
      </c>
      <c r="GJ26" s="121" t="str">
        <f>IF(ISBLANK(tbl_task6[[คะแนนเต็ม]:[คะแนนเต็ม]]),"",(tbl_task6[22]/tbl_task6[[คะแนนเต็ม]:[คะแนนเต็ม]])*tbl_task6[[%]:[%]])</f>
        <v/>
      </c>
      <c r="GK26" s="121" t="str">
        <f>IF(ISBLANK(tbl_task6[[คะแนนเต็ม]:[คะแนนเต็ม]]),"",(tbl_task6[23]/tbl_task6[[คะแนนเต็ม]:[คะแนนเต็ม]])*tbl_task6[[%]:[%]])</f>
        <v/>
      </c>
      <c r="GL26" s="121" t="str">
        <f>IF(ISBLANK(tbl_task6[[คะแนนเต็ม]:[คะแนนเต็ม]]),"",(tbl_task6[24]/tbl_task6[[คะแนนเต็ม]:[คะแนนเต็ม]])*tbl_task6[[%]:[%]])</f>
        <v/>
      </c>
      <c r="GM26" s="121" t="str">
        <f>IF(ISBLANK(tbl_task6[[คะแนนเต็ม]:[คะแนนเต็ม]]),"",(tbl_task6[25]/tbl_task6[[คะแนนเต็ม]:[คะแนนเต็ม]])*tbl_task6[[%]:[%]])</f>
        <v/>
      </c>
      <c r="GN26" s="121" t="str">
        <f>IF(ISBLANK(tbl_task6[[คะแนนเต็ม]:[คะแนนเต็ม]]),"",(tbl_task6[26]/tbl_task6[[คะแนนเต็ม]:[คะแนนเต็ม]])*tbl_task6[[%]:[%]])</f>
        <v/>
      </c>
      <c r="GO26" s="121" t="str">
        <f>IF(ISBLANK(tbl_task6[[คะแนนเต็ม]:[คะแนนเต็ม]]),"",(tbl_task6[27]/tbl_task6[[คะแนนเต็ม]:[คะแนนเต็ม]])*tbl_task6[[%]:[%]])</f>
        <v/>
      </c>
      <c r="GP26" s="121" t="str">
        <f>IF(ISBLANK(tbl_task6[[คะแนนเต็ม]:[คะแนนเต็ม]]),"",(tbl_task6[28]/tbl_task6[[คะแนนเต็ม]:[คะแนนเต็ม]])*tbl_task6[[%]:[%]])</f>
        <v/>
      </c>
      <c r="GQ26" s="121" t="str">
        <f>IF(ISBLANK(tbl_task6[[คะแนนเต็ม]:[คะแนนเต็ม]]),"",(tbl_task6[29]/tbl_task6[[คะแนนเต็ม]:[คะแนนเต็ม]])*tbl_task6[[%]:[%]])</f>
        <v/>
      </c>
      <c r="GR26" s="121" t="str">
        <f>IF(ISBLANK(tbl_task6[[คะแนนเต็ม]:[คะแนนเต็ม]]),"",(tbl_task6[30]/tbl_task6[[คะแนนเต็ม]:[คะแนนเต็ม]])*tbl_task6[[%]:[%]])</f>
        <v/>
      </c>
      <c r="GS26" s="121" t="str">
        <f>IF(ISBLANK(tbl_task6[[คะแนนเต็ม]:[คะแนนเต็ม]]),"",(tbl_task6[31]/tbl_task6[[คะแนนเต็ม]:[คะแนนเต็ม]])*tbl_task6[[%]:[%]])</f>
        <v/>
      </c>
      <c r="GT26" s="121" t="str">
        <f>IF(ISBLANK(tbl_task6[[คะแนนเต็ม]:[คะแนนเต็ม]]),"",(tbl_task6[32]/tbl_task6[[คะแนนเต็ม]:[คะแนนเต็ม]])*tbl_task6[[%]:[%]])</f>
        <v/>
      </c>
      <c r="GU26" s="121" t="str">
        <f>IF(ISBLANK(tbl_task6[[คะแนนเต็ม]:[คะแนนเต็ม]]),"",(tbl_task6[33]/tbl_task6[[คะแนนเต็ม]:[คะแนนเต็ม]])*tbl_task6[[%]:[%]])</f>
        <v/>
      </c>
      <c r="GV26" s="121" t="str">
        <f>IF(ISBLANK(tbl_task6[[คะแนนเต็ม]:[คะแนนเต็ม]]),"",(tbl_task6[34]/tbl_task6[[คะแนนเต็ม]:[คะแนนเต็ม]])*tbl_task6[[%]:[%]])</f>
        <v/>
      </c>
      <c r="GW26" s="121" t="str">
        <f>IF(ISBLANK(tbl_task6[[คะแนนเต็ม]:[คะแนนเต็ม]]),"",(tbl_task6[35]/tbl_task6[[คะแนนเต็ม]:[คะแนนเต็ม]])*tbl_task6[[%]:[%]])</f>
        <v/>
      </c>
      <c r="GX26" s="121" t="str">
        <f>IF(ISBLANK(tbl_task6[[คะแนนเต็ม]:[คะแนนเต็ม]]),"",(tbl_task6[36]/tbl_task6[[คะแนนเต็ม]:[คะแนนเต็ม]])*tbl_task6[[%]:[%]])</f>
        <v/>
      </c>
      <c r="GY26" s="121" t="str">
        <f>IF(ISBLANK(tbl_task6[[คะแนนเต็ม]:[คะแนนเต็ม]]),"",(tbl_task6[37]/tbl_task6[[คะแนนเต็ม]:[คะแนนเต็ม]])*tbl_task6[[%]:[%]])</f>
        <v/>
      </c>
      <c r="GZ26" s="121" t="str">
        <f>IF(ISBLANK(tbl_task6[[คะแนนเต็ม]:[คะแนนเต็ม]]),"",(tbl_task6[38]/tbl_task6[[คะแนนเต็ม]:[คะแนนเต็ม]])*tbl_task6[[%]:[%]])</f>
        <v/>
      </c>
      <c r="HA26" s="121" t="str">
        <f>IF(ISBLANK(tbl_task6[[คะแนนเต็ม]:[คะแนนเต็ม]]),"",(tbl_task6[39]/tbl_task6[[คะแนนเต็ม]:[คะแนนเต็ม]])*tbl_task6[[%]:[%]])</f>
        <v/>
      </c>
      <c r="HB26" s="121" t="str">
        <f>IF(ISBLANK(tbl_task6[[คะแนนเต็ม]:[คะแนนเต็ม]]),"",(tbl_task6[40]/tbl_task6[[คะแนนเต็ม]:[คะแนนเต็ม]])*tbl_task6[[%]:[%]])</f>
        <v/>
      </c>
      <c r="HC26" s="121" t="str">
        <f>IF(ISBLANK(tbl_task6[[คะแนนเต็ม]:[คะแนนเต็ม]]),"",(tbl_task6[41]/tbl_task6[[คะแนนเต็ม]:[คะแนนเต็ม]])*tbl_task6[[%]:[%]])</f>
        <v/>
      </c>
      <c r="HD26" s="121" t="str">
        <f>IF(ISBLANK(tbl_task6[[คะแนนเต็ม]:[คะแนนเต็ม]]),"",(tbl_task6[42]/tbl_task6[[คะแนนเต็ม]:[คะแนนเต็ม]])*tbl_task6[[%]:[%]])</f>
        <v/>
      </c>
      <c r="HE26" s="121" t="str">
        <f>IF(ISBLANK(tbl_task6[[คะแนนเต็ม]:[คะแนนเต็ม]]),"",(tbl_task6[43]/tbl_task6[[คะแนนเต็ม]:[คะแนนเต็ม]])*tbl_task6[[%]:[%]])</f>
        <v/>
      </c>
      <c r="HF26" s="121" t="str">
        <f>IF(ISBLANK(tbl_task6[[คะแนนเต็ม]:[คะแนนเต็ม]]),"",(tbl_task6[44]/tbl_task6[[คะแนนเต็ม]:[คะแนนเต็ม]])*tbl_task6[[%]:[%]])</f>
        <v/>
      </c>
      <c r="HG26" s="121" t="str">
        <f>IF(ISBLANK(tbl_task6[[คะแนนเต็ม]:[คะแนนเต็ม]]),"",(tbl_task6[45]/tbl_task6[[คะแนนเต็ม]:[คะแนนเต็ม]])*tbl_task6[[%]:[%]])</f>
        <v/>
      </c>
      <c r="HH26" s="121" t="str">
        <f>IF(ISBLANK(tbl_task6[[คะแนนเต็ม]:[คะแนนเต็ม]]),"",(tbl_task6[46]/tbl_task6[[คะแนนเต็ม]:[คะแนนเต็ม]])*tbl_task6[[%]:[%]])</f>
        <v/>
      </c>
      <c r="HI26" s="121" t="str">
        <f>IF(ISBLANK(tbl_task6[[คะแนนเต็ม]:[คะแนนเต็ม]]),"",(tbl_task6[47]/tbl_task6[[คะแนนเต็ม]:[คะแนนเต็ม]])*tbl_task6[[%]:[%]])</f>
        <v/>
      </c>
      <c r="HJ26" s="121" t="str">
        <f>IF(ISBLANK(tbl_task6[[คะแนนเต็ม]:[คะแนนเต็ม]]),"",(tbl_task6[48]/tbl_task6[[คะแนนเต็ม]:[คะแนนเต็ม]])*tbl_task6[[%]:[%]])</f>
        <v/>
      </c>
      <c r="HK26" s="121" t="str">
        <f>IF(ISBLANK(tbl_task6[[คะแนนเต็ม]:[คะแนนเต็ม]]),"",(tbl_task6[49]/tbl_task6[[คะแนนเต็ม]:[คะแนนเต็ม]])*tbl_task6[[%]:[%]])</f>
        <v/>
      </c>
      <c r="HL26" s="121" t="str">
        <f>IF(ISBLANK(tbl_task6[[คะแนนเต็ม]:[คะแนนเต็ม]]),"",(tbl_task6[50]/tbl_task6[[คะแนนเต็ม]:[คะแนนเต็ม]])*tbl_task6[[%]:[%]])</f>
        <v/>
      </c>
      <c r="HM26" s="121" t="str">
        <f>IF(ISBLANK(tbl_task6[[คะแนนเต็ม]:[คะแนนเต็ม]]),"",(tbl_task6[51]/tbl_task6[[คะแนนเต็ม]:[คะแนนเต็ม]])*tbl_task6[[%]:[%]])</f>
        <v/>
      </c>
      <c r="HN26" s="121" t="str">
        <f>IF(ISBLANK(tbl_task6[[คะแนนเต็ม]:[คะแนนเต็ม]]),"",(tbl_task6[52]/tbl_task6[[คะแนนเต็ม]:[คะแนนเต็ม]])*tbl_task6[[%]:[%]])</f>
        <v/>
      </c>
      <c r="HO26" s="121" t="str">
        <f>IF(ISBLANK(tbl_task6[[คะแนนเต็ม]:[คะแนนเต็ม]]),"",(tbl_task6[53]/tbl_task6[[คะแนนเต็ม]:[คะแนนเต็ม]])*tbl_task6[[%]:[%]])</f>
        <v/>
      </c>
      <c r="HP26" s="121" t="str">
        <f>IF(ISBLANK(tbl_task6[[คะแนนเต็ม]:[คะแนนเต็ม]]),"",(tbl_task6[54]/tbl_task6[[คะแนนเต็ม]:[คะแนนเต็ม]])*tbl_task6[[%]:[%]])</f>
        <v/>
      </c>
      <c r="HQ26" s="121" t="str">
        <f>IF(ISBLANK(tbl_task6[[คะแนนเต็ม]:[คะแนนเต็ม]]),"",(tbl_task6[55]/tbl_task6[[คะแนนเต็ม]:[คะแนนเต็ม]])*tbl_task6[[%]:[%]])</f>
        <v/>
      </c>
      <c r="HR26" s="121" t="str">
        <f>IF(ISBLANK(tbl_task6[[คะแนนเต็ม]:[คะแนนเต็ม]]),"",(tbl_task6[56]/tbl_task6[[คะแนนเต็ม]:[คะแนนเต็ม]])*tbl_task6[[%]:[%]])</f>
        <v/>
      </c>
      <c r="HS26" s="121" t="str">
        <f>IF(ISBLANK(tbl_task6[[คะแนนเต็ม]:[คะแนนเต็ม]]),"",(tbl_task6[57]/tbl_task6[[คะแนนเต็ม]:[คะแนนเต็ม]])*tbl_task6[[%]:[%]])</f>
        <v/>
      </c>
      <c r="HT26" s="121" t="str">
        <f>IF(ISBLANK(tbl_task6[[คะแนนเต็ม]:[คะแนนเต็ม]]),"",(tbl_task6[58]/tbl_task6[[คะแนนเต็ม]:[คะแนนเต็ม]])*tbl_task6[[%]:[%]])</f>
        <v/>
      </c>
      <c r="HU26" s="121" t="str">
        <f>IF(ISBLANK(tbl_task6[[คะแนนเต็ม]:[คะแนนเต็ม]]),"",(tbl_task6[59]/tbl_task6[[คะแนนเต็ม]:[คะแนนเต็ม]])*tbl_task6[[%]:[%]])</f>
        <v/>
      </c>
      <c r="HV26" s="121" t="str">
        <f>IF(ISBLANK(tbl_task6[[คะแนนเต็ม]:[คะแนนเต็ม]]),"",(tbl_task6[60]/tbl_task6[[คะแนนเต็ม]:[คะแนนเต็ม]])*tbl_task6[[%]:[%]])</f>
        <v/>
      </c>
      <c r="HW26" s="121" t="str">
        <f>IF(ISBLANK(tbl_task6[[คะแนนเต็ม]:[คะแนนเต็ม]]),"",(tbl_task6[61]/tbl_task6[[คะแนนเต็ม]:[คะแนนเต็ม]])*tbl_task6[[%]:[%]])</f>
        <v/>
      </c>
      <c r="HX26" s="121" t="str">
        <f>IF(ISBLANK(tbl_task6[[คะแนนเต็ม]:[คะแนนเต็ม]]),"",(tbl_task6[62]/tbl_task6[[คะแนนเต็ม]:[คะแนนเต็ม]])*tbl_task6[[%]:[%]])</f>
        <v/>
      </c>
      <c r="HY26" s="121" t="str">
        <f>IF(ISBLANK(tbl_task6[[คะแนนเต็ม]:[คะแนนเต็ม]]),"",(tbl_task6[63]/tbl_task6[[คะแนนเต็ม]:[คะแนนเต็ม]])*tbl_task6[[%]:[%]])</f>
        <v/>
      </c>
      <c r="HZ26" s="121" t="str">
        <f>IF(ISBLANK(tbl_task6[[คะแนนเต็ม]:[คะแนนเต็ม]]),"",(tbl_task6[64]/tbl_task6[[คะแนนเต็ม]:[คะแนนเต็ม]])*tbl_task6[[%]:[%]])</f>
        <v/>
      </c>
      <c r="IA26" s="121" t="str">
        <f>IF(ISBLANK(tbl_task6[[คะแนนเต็ม]:[คะแนนเต็ม]]),"",(tbl_task6[65]/tbl_task6[[คะแนนเต็ม]:[คะแนนเต็ม]])*tbl_task6[[%]:[%]])</f>
        <v/>
      </c>
      <c r="IB26" s="121" t="str">
        <f>IF(ISBLANK(tbl_task6[[คะแนนเต็ม]:[คะแนนเต็ม]]),"",(tbl_task6[66]/tbl_task6[[คะแนนเต็ม]:[คะแนนเต็ม]])*tbl_task6[[%]:[%]])</f>
        <v/>
      </c>
      <c r="IC26" s="121" t="str">
        <f>IF(ISBLANK(tbl_task6[[คะแนนเต็ม]:[คะแนนเต็ม]]),"",(tbl_task6[67]/tbl_task6[[คะแนนเต็ม]:[คะแนนเต็ม]])*tbl_task6[[%]:[%]])</f>
        <v/>
      </c>
      <c r="ID26" s="121" t="str">
        <f>IF(ISBLANK(tbl_task6[[คะแนนเต็ม]:[คะแนนเต็ม]]),"",(tbl_task6[68]/tbl_task6[[คะแนนเต็ม]:[คะแนนเต็ม]])*tbl_task6[[%]:[%]])</f>
        <v/>
      </c>
      <c r="IE26" s="121" t="str">
        <f>IF(ISBLANK(tbl_task6[[คะแนนเต็ม]:[คะแนนเต็ม]]),"",(tbl_task6[69]/tbl_task6[[คะแนนเต็ม]:[คะแนนเต็ม]])*tbl_task6[[%]:[%]])</f>
        <v/>
      </c>
      <c r="IF26" s="121" t="str">
        <f>IF(ISBLANK(tbl_task6[[คะแนนเต็ม]:[คะแนนเต็ม]]),"",(tbl_task6[70]/tbl_task6[[คะแนนเต็ม]:[คะแนนเต็ม]])*tbl_task6[[%]:[%]])</f>
        <v/>
      </c>
      <c r="IG26" s="121" t="str">
        <f>IF(ISBLANK(tbl_task6[[คะแนนเต็ม]:[คะแนนเต็ม]]),"",(tbl_task6[71]/tbl_task6[[คะแนนเต็ม]:[คะแนนเต็ม]])*tbl_task6[[%]:[%]])</f>
        <v/>
      </c>
      <c r="IH26" s="121" t="str">
        <f>IF(ISBLANK(tbl_task6[[คะแนนเต็ม]:[คะแนนเต็ม]]),"",(tbl_task6[72]/tbl_task6[[คะแนนเต็ม]:[คะแนนเต็ม]])*tbl_task6[[%]:[%]])</f>
        <v/>
      </c>
      <c r="II26" s="121" t="str">
        <f>IF(ISBLANK(tbl_task6[[คะแนนเต็ม]:[คะแนนเต็ม]]),"",(tbl_task6[73]/tbl_task6[[คะแนนเต็ม]:[คะแนนเต็ม]])*tbl_task6[[%]:[%]])</f>
        <v/>
      </c>
      <c r="IJ26" s="121" t="str">
        <f>IF(ISBLANK(tbl_task6[[คะแนนเต็ม]:[คะแนนเต็ม]]),"",(tbl_task6[74]/tbl_task6[[คะแนนเต็ม]:[คะแนนเต็ม]])*tbl_task6[[%]:[%]])</f>
        <v/>
      </c>
      <c r="IK26" s="121" t="str">
        <f>IF(ISBLANK(tbl_task6[[คะแนนเต็ม]:[คะแนนเต็ม]]),"",(tbl_task6[75]/tbl_task6[[คะแนนเต็ม]:[คะแนนเต็ม]])*tbl_task6[[%]:[%]])</f>
        <v/>
      </c>
      <c r="IL26" s="121" t="str">
        <f>IF(ISBLANK(tbl_task6[[คะแนนเต็ม]:[คะแนนเต็ม]]),"",(tbl_task6[76]/tbl_task6[[คะแนนเต็ม]:[คะแนนเต็ม]])*tbl_task6[[%]:[%]])</f>
        <v/>
      </c>
      <c r="IM26" s="121" t="str">
        <f>IF(ISBLANK(tbl_task6[[คะแนนเต็ม]:[คะแนนเต็ม]]),"",(tbl_task6[77]/tbl_task6[[คะแนนเต็ม]:[คะแนนเต็ม]])*tbl_task6[[%]:[%]])</f>
        <v/>
      </c>
      <c r="IN26" s="121" t="str">
        <f>IF(ISBLANK(tbl_task6[[คะแนนเต็ม]:[คะแนนเต็ม]]),"",(tbl_task6[78]/tbl_task6[[คะแนนเต็ม]:[คะแนนเต็ม]])*tbl_task6[[%]:[%]])</f>
        <v/>
      </c>
      <c r="IO26" s="121" t="str">
        <f>IF(ISBLANK(tbl_task6[[คะแนนเต็ม]:[คะแนนเต็ม]]),"",(tbl_task6[79]/tbl_task6[[คะแนนเต็ม]:[คะแนนเต็ม]])*tbl_task6[[%]:[%]])</f>
        <v/>
      </c>
      <c r="IP26" s="121" t="str">
        <f>IF(ISBLANK(tbl_task6[[คะแนนเต็ม]:[คะแนนเต็ม]]),"",(tbl_task6[80]/tbl_task6[[คะแนนเต็ม]:[คะแนนเต็ม]])*tbl_task6[[%]:[%]])</f>
        <v/>
      </c>
      <c r="IQ26" s="121" t="str">
        <f>IF(ISBLANK(tbl_task6[[คะแนนเต็ม]:[คะแนนเต็ม]]),"",(tbl_task6[81]/tbl_task6[[คะแนนเต็ม]:[คะแนนเต็ม]])*tbl_task6[[%]:[%]])</f>
        <v/>
      </c>
      <c r="IR26" s="121" t="str">
        <f>IF(ISBLANK(tbl_task6[[คะแนนเต็ม]:[คะแนนเต็ม]]),"",(tbl_task6[82]/tbl_task6[[คะแนนเต็ม]:[คะแนนเต็ม]])*tbl_task6[[%]:[%]])</f>
        <v/>
      </c>
      <c r="IS26" s="121" t="str">
        <f>IF(ISBLANK(tbl_task6[[คะแนนเต็ม]:[คะแนนเต็ม]]),"",(tbl_task6[83]/tbl_task6[[คะแนนเต็ม]:[คะแนนเต็ม]])*tbl_task6[[%]:[%]])</f>
        <v/>
      </c>
      <c r="IT26" s="121" t="str">
        <f>IF(ISBLANK(tbl_task6[[คะแนนเต็ม]:[คะแนนเต็ม]]),"",(tbl_task6[84]/tbl_task6[[คะแนนเต็ม]:[คะแนนเต็ม]])*tbl_task6[[%]:[%]])</f>
        <v/>
      </c>
      <c r="IU26" s="121" t="str">
        <f>IF(ISBLANK(tbl_task6[[คะแนนเต็ม]:[คะแนนเต็ม]]),"",(tbl_task6[85]/tbl_task6[[คะแนนเต็ม]:[คะแนนเต็ม]])*tbl_task6[[%]:[%]])</f>
        <v/>
      </c>
      <c r="IV26" s="121" t="str">
        <f>IF(ISBLANK(tbl_task6[[คะแนนเต็ม]:[คะแนนเต็ม]]),"",(tbl_task6[86]/tbl_task6[[คะแนนเต็ม]:[คะแนนเต็ม]])*tbl_task6[[%]:[%]])</f>
        <v/>
      </c>
      <c r="IW26" s="121" t="str">
        <f>IF(ISBLANK(tbl_task6[[คะแนนเต็ม]:[คะแนนเต็ม]]),"",(tbl_task6[87]/tbl_task6[[คะแนนเต็ม]:[คะแนนเต็ม]])*tbl_task6[[%]:[%]])</f>
        <v/>
      </c>
      <c r="IX26" s="121" t="str">
        <f>IF(ISBLANK(tbl_task6[[คะแนนเต็ม]:[คะแนนเต็ม]]),"",(tbl_task6[88]/tbl_task6[[คะแนนเต็ม]:[คะแนนเต็ม]])*tbl_task6[[%]:[%]])</f>
        <v/>
      </c>
      <c r="IY26" s="121" t="str">
        <f>IF(ISBLANK(tbl_task6[[คะแนนเต็ม]:[คะแนนเต็ม]]),"",(tbl_task6[89]/tbl_task6[[คะแนนเต็ม]:[คะแนนเต็ม]])*tbl_task6[[%]:[%]])</f>
        <v/>
      </c>
      <c r="IZ26" s="121" t="str">
        <f>IF(ISBLANK(tbl_task6[[คะแนนเต็ม]:[คะแนนเต็ม]]),"",(tbl_task6[90]/tbl_task6[[คะแนนเต็ม]:[คะแนนเต็ม]])*tbl_task6[[%]:[%]])</f>
        <v/>
      </c>
      <c r="JA26" s="121" t="str">
        <f>IF(ISBLANK(tbl_task6[[คะแนนเต็ม]:[คะแนนเต็ม]]),"",(tbl_task6[91]/tbl_task6[[คะแนนเต็ม]:[คะแนนเต็ม]])*tbl_task6[[%]:[%]])</f>
        <v/>
      </c>
      <c r="JB26" s="121" t="str">
        <f>IF(ISBLANK(tbl_task6[[คะแนนเต็ม]:[คะแนนเต็ม]]),"",(tbl_task6[92]/tbl_task6[[คะแนนเต็ม]:[คะแนนเต็ม]])*tbl_task6[[%]:[%]])</f>
        <v/>
      </c>
      <c r="JC26" s="121" t="str">
        <f>IF(ISBLANK(tbl_task6[[คะแนนเต็ม]:[คะแนนเต็ม]]),"",(tbl_task6[93]/tbl_task6[[คะแนนเต็ม]:[คะแนนเต็ม]])*tbl_task6[[%]:[%]])</f>
        <v/>
      </c>
      <c r="JD26" s="121" t="str">
        <f>IF(ISBLANK(tbl_task6[[คะแนนเต็ม]:[คะแนนเต็ม]]),"",(tbl_task6[94]/tbl_task6[[คะแนนเต็ม]:[คะแนนเต็ม]])*tbl_task6[[%]:[%]])</f>
        <v/>
      </c>
      <c r="JE26" s="121" t="str">
        <f>IF(ISBLANK(tbl_task6[[คะแนนเต็ม]:[คะแนนเต็ม]]),"",(tbl_task6[95]/tbl_task6[[คะแนนเต็ม]:[คะแนนเต็ม]])*tbl_task6[[%]:[%]])</f>
        <v/>
      </c>
      <c r="JF26" s="121" t="str">
        <f>IF(ISBLANK(tbl_task6[[คะแนนเต็ม]:[คะแนนเต็ม]]),"",(tbl_task6[96]/tbl_task6[[คะแนนเต็ม]:[คะแนนเต็ม]])*tbl_task6[[%]:[%]])</f>
        <v/>
      </c>
      <c r="JG26" s="121" t="str">
        <f>IF(ISBLANK(tbl_task6[[คะแนนเต็ม]:[คะแนนเต็ม]]),"",(tbl_task6[97]/tbl_task6[[คะแนนเต็ม]:[คะแนนเต็ม]])*tbl_task6[[%]:[%]])</f>
        <v/>
      </c>
      <c r="JH26" s="121" t="str">
        <f>IF(ISBLANK(tbl_task6[[คะแนนเต็ม]:[คะแนนเต็ม]]),"",(tbl_task6[98]/tbl_task6[[คะแนนเต็ม]:[คะแนนเต็ม]])*tbl_task6[[%]:[%]])</f>
        <v/>
      </c>
      <c r="JI26" s="121" t="str">
        <f>IF(ISBLANK(tbl_task6[[คะแนนเต็ม]:[คะแนนเต็ม]]),"",(tbl_task6[99]/tbl_task6[[คะแนนเต็ม]:[คะแนนเต็ม]])*tbl_task6[[%]:[%]])</f>
        <v/>
      </c>
      <c r="JJ26" s="121" t="str">
        <f>IF(ISBLANK(tbl_task6[[คะแนนเต็ม]:[คะแนนเต็ม]]),"",(tbl_task6[100]/tbl_task6[[คะแนนเต็ม]:[คะแนนเต็ม]])*tbl_task6[[%]:[%]])</f>
        <v/>
      </c>
      <c r="JK26" s="121" t="str">
        <f>IF(ISBLANK(tbl_task6[[คะแนนเต็ม]:[คะแนนเต็ม]]),"",(tbl_task6[101]/tbl_task6[[คะแนนเต็ม]:[คะแนนเต็ม]])*tbl_task6[[%]:[%]])</f>
        <v/>
      </c>
      <c r="JL26" s="121" t="str">
        <f>IF(ISBLANK(tbl_task6[[คะแนนเต็ม]:[คะแนนเต็ม]]),"",(tbl_task6[102]/tbl_task6[[คะแนนเต็ม]:[คะแนนเต็ม]])*tbl_task6[[%]:[%]])</f>
        <v/>
      </c>
      <c r="JM26" s="121" t="str">
        <f>IF(ISBLANK(tbl_task6[[คะแนนเต็ม]:[คะแนนเต็ม]]),"",(tbl_task6[103]/tbl_task6[[คะแนนเต็ม]:[คะแนนเต็ม]])*tbl_task6[[%]:[%]])</f>
        <v/>
      </c>
      <c r="JN26" s="121" t="str">
        <f>IF(ISBLANK(tbl_task6[[คะแนนเต็ม]:[คะแนนเต็ม]]),"",(tbl_task6[104]/tbl_task6[[คะแนนเต็ม]:[คะแนนเต็ม]])*tbl_task6[[%]:[%]])</f>
        <v/>
      </c>
      <c r="JO26" s="121" t="str">
        <f>IF(ISBLANK(tbl_task6[[คะแนนเต็ม]:[คะแนนเต็ม]]),"",(tbl_task6[105]/tbl_task6[[คะแนนเต็ม]:[คะแนนเต็ม]])*tbl_task6[[%]:[%]])</f>
        <v/>
      </c>
      <c r="JP26" s="121" t="str">
        <f>IF(ISBLANK(tbl_task6[[คะแนนเต็ม]:[คะแนนเต็ม]]),"",(tbl_task6[106]/tbl_task6[[คะแนนเต็ม]:[คะแนนเต็ม]])*tbl_task6[[%]:[%]])</f>
        <v/>
      </c>
      <c r="JQ26" s="121" t="str">
        <f>IF(ISBLANK(tbl_task6[[คะแนนเต็ม]:[คะแนนเต็ม]]),"",(tbl_task6[107]/tbl_task6[[คะแนนเต็ม]:[คะแนนเต็ม]])*tbl_task6[[%]:[%]])</f>
        <v/>
      </c>
      <c r="JR26" s="121" t="str">
        <f>IF(ISBLANK(tbl_task6[[คะแนนเต็ม]:[คะแนนเต็ม]]),"",(tbl_task6[108]/tbl_task6[[คะแนนเต็ม]:[คะแนนเต็ม]])*tbl_task6[[%]:[%]])</f>
        <v/>
      </c>
      <c r="JS26" s="121" t="str">
        <f>IF(ISBLANK(tbl_task6[[คะแนนเต็ม]:[คะแนนเต็ม]]),"",(tbl_task6[109]/tbl_task6[[คะแนนเต็ม]:[คะแนนเต็ม]])*tbl_task6[[%]:[%]])</f>
        <v/>
      </c>
      <c r="JT26" s="121" t="str">
        <f>IF(ISBLANK(tbl_task6[[คะแนนเต็ม]:[คะแนนเต็ม]]),"",(tbl_task6[110]/tbl_task6[[คะแนนเต็ม]:[คะแนนเต็ม]])*tbl_task6[[%]:[%]])</f>
        <v/>
      </c>
      <c r="JU26" s="121" t="str">
        <f>IF(ISBLANK(tbl_task6[[คะแนนเต็ม]:[คะแนนเต็ม]]),"",(tbl_task6[111]/tbl_task6[[คะแนนเต็ม]:[คะแนนเต็ม]])*tbl_task6[[%]:[%]])</f>
        <v/>
      </c>
      <c r="JV26" s="121" t="str">
        <f>IF(ISBLANK(tbl_task6[[คะแนนเต็ม]:[คะแนนเต็ม]]),"",(tbl_task6[112]/tbl_task6[[คะแนนเต็ม]:[คะแนนเต็ม]])*tbl_task6[[%]:[%]])</f>
        <v/>
      </c>
      <c r="JW26" s="121" t="str">
        <f>IF(ISBLANK(tbl_task6[[คะแนนเต็ม]:[คะแนนเต็ม]]),"",(tbl_task6[113]/tbl_task6[[คะแนนเต็ม]:[คะแนนเต็ม]])*tbl_task6[[%]:[%]])</f>
        <v/>
      </c>
      <c r="JX26" s="121" t="str">
        <f>IF(ISBLANK(tbl_task6[[คะแนนเต็ม]:[คะแนนเต็ม]]),"",(tbl_task6[114]/tbl_task6[[คะแนนเต็ม]:[คะแนนเต็ม]])*tbl_task6[[%]:[%]])</f>
        <v/>
      </c>
      <c r="JY26" s="121" t="str">
        <f>IF(ISBLANK(tbl_task6[[คะแนนเต็ม]:[คะแนนเต็ม]]),"",(tbl_task6[115]/tbl_task6[[คะแนนเต็ม]:[คะแนนเต็ม]])*tbl_task6[[%]:[%]])</f>
        <v/>
      </c>
      <c r="JZ26" s="121" t="str">
        <f>IF(ISBLANK(tbl_task6[[คะแนนเต็ม]:[คะแนนเต็ม]]),"",(tbl_task6[116]/tbl_task6[[คะแนนเต็ม]:[คะแนนเต็ม]])*tbl_task6[[%]:[%]])</f>
        <v/>
      </c>
      <c r="KA26" s="121" t="str">
        <f>IF(ISBLANK(tbl_task6[[คะแนนเต็ม]:[คะแนนเต็ม]]),"",(tbl_task6[117]/tbl_task6[[คะแนนเต็ม]:[คะแนนเต็ม]])*tbl_task6[[%]:[%]])</f>
        <v/>
      </c>
      <c r="KB26" s="121" t="str">
        <f>IF(ISBLANK(tbl_task6[[คะแนนเต็ม]:[คะแนนเต็ม]]),"",(tbl_task6[118]/tbl_task6[[คะแนนเต็ม]:[คะแนนเต็ม]])*tbl_task6[[%]:[%]])</f>
        <v/>
      </c>
      <c r="KC26" s="121" t="str">
        <f>IF(ISBLANK(tbl_task6[[คะแนนเต็ม]:[คะแนนเต็ม]]),"",(tbl_task6[119]/tbl_task6[[คะแนนเต็ม]:[คะแนนเต็ม]])*tbl_task6[[%]:[%]])</f>
        <v/>
      </c>
      <c r="KD26" s="121" t="str">
        <f>IF(ISBLANK(tbl_task6[[คะแนนเต็ม]:[คะแนนเต็ม]]),"",(tbl_task6[120]/tbl_task6[[คะแนนเต็ม]:[คะแนนเต็ม]])*tbl_task6[[%]:[%]])</f>
        <v/>
      </c>
      <c r="KE26" s="121" t="str">
        <f>IF(ISBLANK(tbl_task6[[คะแนนเต็ม]:[คะแนนเต็ม]]),"",(tbl_task6[121]/tbl_task6[[คะแนนเต็ม]:[คะแนนเต็ม]])*tbl_task6[[%]:[%]])</f>
        <v/>
      </c>
      <c r="KF26" s="121" t="str">
        <f>IF(ISBLANK(tbl_task6[[คะแนนเต็ม]:[คะแนนเต็ม]]),"",(tbl_task6[122]/tbl_task6[[คะแนนเต็ม]:[คะแนนเต็ม]])*tbl_task6[[%]:[%]])</f>
        <v/>
      </c>
      <c r="KG26" s="121" t="str">
        <f>IF(ISBLANK(tbl_task6[[คะแนนเต็ม]:[คะแนนเต็ม]]),"",(tbl_task6[123]/tbl_task6[[คะแนนเต็ม]:[คะแนนเต็ม]])*tbl_task6[[%]:[%]])</f>
        <v/>
      </c>
      <c r="KH26" s="121" t="str">
        <f>IF(ISBLANK(tbl_task6[[คะแนนเต็ม]:[คะแนนเต็ม]]),"",(tbl_task6[124]/tbl_task6[[คะแนนเต็ม]:[คะแนนเต็ม]])*tbl_task6[[%]:[%]])</f>
        <v/>
      </c>
      <c r="KI26" s="121" t="str">
        <f>IF(ISBLANK(tbl_task6[[คะแนนเต็ม]:[คะแนนเต็ม]]),"",(tbl_task6[125]/tbl_task6[[คะแนนเต็ม]:[คะแนนเต็ม]])*tbl_task6[[%]:[%]])</f>
        <v/>
      </c>
      <c r="KJ26" s="121" t="str">
        <f>IF(ISBLANK(tbl_task6[[คะแนนเต็ม]:[คะแนนเต็ม]]),"",(tbl_task6[126]/tbl_task6[[คะแนนเต็ม]:[คะแนนเต็ม]])*tbl_task6[[%]:[%]])</f>
        <v/>
      </c>
      <c r="KK26" s="121" t="str">
        <f>IF(ISBLANK(tbl_task6[[คะแนนเต็ม]:[คะแนนเต็ม]]),"",(tbl_task6[127]/tbl_task6[[คะแนนเต็ม]:[คะแนนเต็ม]])*tbl_task6[[%]:[%]])</f>
        <v/>
      </c>
      <c r="KL26" s="121" t="str">
        <f>IF(ISBLANK(tbl_task6[[คะแนนเต็ม]:[คะแนนเต็ม]]),"",(tbl_task6[128]/tbl_task6[[คะแนนเต็ม]:[คะแนนเต็ม]])*tbl_task6[[%]:[%]])</f>
        <v/>
      </c>
      <c r="KM26" s="121" t="str">
        <f>IF(ISBLANK(tbl_task6[[คะแนนเต็ม]:[คะแนนเต็ม]]),"",(tbl_task6[129]/tbl_task6[[คะแนนเต็ม]:[คะแนนเต็ม]])*tbl_task6[[%]:[%]])</f>
        <v/>
      </c>
      <c r="KN26" s="121" t="str">
        <f>IF(ISBLANK(tbl_task6[[คะแนนเต็ม]:[คะแนนเต็ม]]),"",(tbl_task6[130]/tbl_task6[[คะแนนเต็ม]:[คะแนนเต็ม]])*tbl_task6[[%]:[%]])</f>
        <v/>
      </c>
      <c r="KO26" s="121" t="str">
        <f>IF(ISBLANK(tbl_task6[[คะแนนเต็ม]:[คะแนนเต็ม]]),"",(tbl_task6[131]/tbl_task6[[คะแนนเต็ม]:[คะแนนเต็ม]])*tbl_task6[[%]:[%]])</f>
        <v/>
      </c>
      <c r="KP26" s="121" t="str">
        <f>IF(ISBLANK(tbl_task6[[คะแนนเต็ม]:[คะแนนเต็ม]]),"",(tbl_task6[132]/tbl_task6[[คะแนนเต็ม]:[คะแนนเต็ม]])*tbl_task6[[%]:[%]])</f>
        <v/>
      </c>
      <c r="KQ26" s="121" t="str">
        <f>IF(ISBLANK(tbl_task6[[คะแนนเต็ม]:[คะแนนเต็ม]]),"",(tbl_task6[133]/tbl_task6[[คะแนนเต็ม]:[คะแนนเต็ม]])*tbl_task6[[%]:[%]])</f>
        <v/>
      </c>
      <c r="KR26" s="121" t="str">
        <f>IF(ISBLANK(tbl_task6[[คะแนนเต็ม]:[คะแนนเต็ม]]),"",(tbl_task6[134]/tbl_task6[[คะแนนเต็ม]:[คะแนนเต็ม]])*tbl_task6[[%]:[%]])</f>
        <v/>
      </c>
      <c r="KS26" s="121" t="str">
        <f>IF(ISBLANK(tbl_task6[[คะแนนเต็ม]:[คะแนนเต็ม]]),"",(tbl_task6[135]/tbl_task6[[คะแนนเต็ม]:[คะแนนเต็ม]])*tbl_task6[[%]:[%]])</f>
        <v/>
      </c>
      <c r="KT26" s="121" t="str">
        <f>IF(ISBLANK(tbl_task6[[คะแนนเต็ม]:[คะแนนเต็ม]]),"",(tbl_task6[136]/tbl_task6[[คะแนนเต็ม]:[คะแนนเต็ม]])*tbl_task6[[%]:[%]])</f>
        <v/>
      </c>
      <c r="KU26" s="121" t="str">
        <f>IF(ISBLANK(tbl_task6[[คะแนนเต็ม]:[คะแนนเต็ม]]),"",(tbl_task6[137]/tbl_task6[[คะแนนเต็ม]:[คะแนนเต็ม]])*tbl_task6[[%]:[%]])</f>
        <v/>
      </c>
      <c r="KV26" s="121" t="str">
        <f>IF(ISBLANK(tbl_task6[[คะแนนเต็ม]:[คะแนนเต็ม]]),"",(tbl_task6[138]/tbl_task6[[คะแนนเต็ม]:[คะแนนเต็ม]])*tbl_task6[[%]:[%]])</f>
        <v/>
      </c>
      <c r="KW26" s="121" t="str">
        <f>IF(ISBLANK(tbl_task6[[คะแนนเต็ม]:[คะแนนเต็ม]]),"",(tbl_task6[139]/tbl_task6[[คะแนนเต็ม]:[คะแนนเต็ม]])*tbl_task6[[%]:[%]])</f>
        <v/>
      </c>
      <c r="KX26" s="121" t="str">
        <f>IF(ISBLANK(tbl_task6[[คะแนนเต็ม]:[คะแนนเต็ม]]),"",(tbl_task6[140]/tbl_task6[[คะแนนเต็ม]:[คะแนนเต็ม]])*tbl_task6[[%]:[%]])</f>
        <v/>
      </c>
      <c r="KY26" s="121" t="str">
        <f>IF(ISBLANK(tbl_task6[[คะแนนเต็ม]:[คะแนนเต็ม]]),"",(tbl_task6[141]/tbl_task6[[คะแนนเต็ม]:[คะแนนเต็ม]])*tbl_task6[[%]:[%]])</f>
        <v/>
      </c>
      <c r="KZ26" s="121" t="str">
        <f>IF(ISBLANK(tbl_task6[[คะแนนเต็ม]:[คะแนนเต็ม]]),"",(tbl_task6[142]/tbl_task6[[คะแนนเต็ม]:[คะแนนเต็ม]])*tbl_task6[[%]:[%]])</f>
        <v/>
      </c>
      <c r="LA26" s="121" t="str">
        <f>IF(ISBLANK(tbl_task6[[คะแนนเต็ม]:[คะแนนเต็ม]]),"",(tbl_task6[143]/tbl_task6[[คะแนนเต็ม]:[คะแนนเต็ม]])*tbl_task6[[%]:[%]])</f>
        <v/>
      </c>
      <c r="LB26" s="121" t="str">
        <f>IF(ISBLANK(tbl_task6[[คะแนนเต็ม]:[คะแนนเต็ม]]),"",(tbl_task6[144]/tbl_task6[[คะแนนเต็ม]:[คะแนนเต็ม]])*tbl_task6[[%]:[%]])</f>
        <v/>
      </c>
      <c r="LC26" s="121" t="str">
        <f>IF(ISBLANK(tbl_task6[[คะแนนเต็ม]:[คะแนนเต็ม]]),"",(tbl_task6[145]/tbl_task6[[คะแนนเต็ม]:[คะแนนเต็ม]])*tbl_task6[[%]:[%]])</f>
        <v/>
      </c>
      <c r="LD26" s="121" t="str">
        <f>IF(ISBLANK(tbl_task6[[คะแนนเต็ม]:[คะแนนเต็ม]]),"",(tbl_task6[146]/tbl_task6[[คะแนนเต็ม]:[คะแนนเต็ม]])*tbl_task6[[%]:[%]])</f>
        <v/>
      </c>
      <c r="LE26" s="121" t="str">
        <f>IF(ISBLANK(tbl_task6[[คะแนนเต็ม]:[คะแนนเต็ม]]),"",(tbl_task6[147]/tbl_task6[[คะแนนเต็ม]:[คะแนนเต็ม]])*tbl_task6[[%]:[%]])</f>
        <v/>
      </c>
      <c r="LF26" s="121" t="str">
        <f>IF(ISBLANK(tbl_task6[[คะแนนเต็ม]:[คะแนนเต็ม]]),"",(tbl_task6[148]/tbl_task6[[คะแนนเต็ม]:[คะแนนเต็ม]])*tbl_task6[[%]:[%]])</f>
        <v/>
      </c>
      <c r="LG26" s="121" t="str">
        <f>IF(ISBLANK(tbl_task6[[คะแนนเต็ม]:[คะแนนเต็ม]]),"",(tbl_task6[149]/tbl_task6[[คะแนนเต็ม]:[คะแนนเต็ม]])*tbl_task6[[%]:[%]])</f>
        <v/>
      </c>
      <c r="LH26" s="121" t="str">
        <f>IF(ISBLANK(tbl_task6[[คะแนนเต็ม]:[คะแนนเต็ม]]),"",(tbl_task6[150]/tbl_task6[[คะแนนเต็ม]:[คะแนนเต็ม]])*tbl_task6[[%]:[%]])</f>
        <v/>
      </c>
      <c r="LI26" s="121" t="str">
        <f>IF(ISBLANK(tbl_task6[[คะแนนเต็ม]:[คะแนนเต็ม]]),"",(tbl_task6[151]/tbl_task6[[คะแนนเต็ม]:[คะแนนเต็ม]])*tbl_task6[[%]:[%]])</f>
        <v/>
      </c>
      <c r="LJ26" s="121" t="str">
        <f>IF(ISBLANK(tbl_task6[[คะแนนเต็ม]:[คะแนนเต็ม]]),"",(tbl_task6[152]/tbl_task6[[คะแนนเต็ม]:[คะแนนเต็ม]])*tbl_task6[[%]:[%]])</f>
        <v/>
      </c>
      <c r="LK26" s="121" t="str">
        <f>IF(ISBLANK(tbl_task6[[คะแนนเต็ม]:[คะแนนเต็ม]]),"",(tbl_task6[153]/tbl_task6[[คะแนนเต็ม]:[คะแนนเต็ม]])*tbl_task6[[%]:[%]])</f>
        <v/>
      </c>
      <c r="LL26" s="121" t="str">
        <f>IF(ISBLANK(tbl_task6[[คะแนนเต็ม]:[คะแนนเต็ม]]),"",(tbl_task6[154]/tbl_task6[[คะแนนเต็ม]:[คะแนนเต็ม]])*tbl_task6[[%]:[%]])</f>
        <v/>
      </c>
      <c r="LM26" s="121" t="str">
        <f>IF(ISBLANK(tbl_task6[[คะแนนเต็ม]:[คะแนนเต็ม]]),"",(tbl_task6[155]/tbl_task6[[คะแนนเต็ม]:[คะแนนเต็ม]])*tbl_task6[[%]:[%]])</f>
        <v/>
      </c>
      <c r="LN26" s="121" t="str">
        <f>IF(ISBLANK(tbl_task6[[คะแนนเต็ม]:[คะแนนเต็ม]]),"",(tbl_task6[156]/tbl_task6[[คะแนนเต็ม]:[คะแนนเต็ม]])*tbl_task6[[%]:[%]])</f>
        <v/>
      </c>
      <c r="LO26" s="121" t="str">
        <f>IF(ISBLANK(tbl_task6[[คะแนนเต็ม]:[คะแนนเต็ม]]),"",(tbl_task6[157]/tbl_task6[[คะแนนเต็ม]:[คะแนนเต็ม]])*tbl_task6[[%]:[%]])</f>
        <v/>
      </c>
      <c r="LP26" s="121" t="str">
        <f>IF(ISBLANK(tbl_task6[[คะแนนเต็ม]:[คะแนนเต็ม]]),"",(tbl_task6[158]/tbl_task6[[คะแนนเต็ม]:[คะแนนเต็ม]])*tbl_task6[[%]:[%]])</f>
        <v/>
      </c>
      <c r="LQ26" s="121" t="str">
        <f>IF(ISBLANK(tbl_task6[[คะแนนเต็ม]:[คะแนนเต็ม]]),"",(tbl_task6[159]/tbl_task6[[คะแนนเต็ม]:[คะแนนเต็ม]])*tbl_task6[[%]:[%]])</f>
        <v/>
      </c>
      <c r="LR26" s="121" t="str">
        <f>IF(ISBLANK(tbl_task6[[คะแนนเต็ม]:[คะแนนเต็ม]]),"",(tbl_task6[160]/tbl_task6[[คะแนนเต็ม]:[คะแนนเต็ม]])*tbl_task6[[%]:[%]])</f>
        <v/>
      </c>
      <c r="LS26" s="121" t="str">
        <f>IF(ISBLANK(tbl_task6[[คะแนนเต็ม]:[คะแนนเต็ม]]),"",(tbl_task6[161]/tbl_task6[[คะแนนเต็ม]:[คะแนนเต็ม]])*tbl_task6[[%]:[%]])</f>
        <v/>
      </c>
      <c r="LT26" s="121" t="str">
        <f>IF(ISBLANK(tbl_task6[[คะแนนเต็ม]:[คะแนนเต็ม]]),"",(tbl_task6[162]/tbl_task6[[คะแนนเต็ม]:[คะแนนเต็ม]])*tbl_task6[[%]:[%]])</f>
        <v/>
      </c>
      <c r="LU26" s="121" t="str">
        <f>IF(ISBLANK(tbl_task6[[คะแนนเต็ม]:[คะแนนเต็ม]]),"",(tbl_task6[163]/tbl_task6[[คะแนนเต็ม]:[คะแนนเต็ม]])*tbl_task6[[%]:[%]])</f>
        <v/>
      </c>
      <c r="LV26" s="121" t="str">
        <f>IF(ISBLANK(tbl_task6[[คะแนนเต็ม]:[คะแนนเต็ม]]),"",(tbl_task6[164]/tbl_task6[[คะแนนเต็ม]:[คะแนนเต็ม]])*tbl_task6[[%]:[%]])</f>
        <v/>
      </c>
      <c r="LW26" s="121" t="str">
        <f>IF(ISBLANK(tbl_task6[[คะแนนเต็ม]:[คะแนนเต็ม]]),"",(tbl_task6[165]/tbl_task6[[คะแนนเต็ม]:[คะแนนเต็ม]])*tbl_task6[[%]:[%]])</f>
        <v/>
      </c>
    </row>
    <row r="27" spans="1:335" ht="24" customHeight="1" x14ac:dyDescent="0.25">
      <c r="A27" s="24">
        <v>24</v>
      </c>
      <c r="B27" s="20"/>
      <c r="C27" s="5" t="str">
        <f>IF(ISBLANK(B27),"",VLOOKUP(B27,tbl_PLOs[],2,0))</f>
        <v/>
      </c>
      <c r="D27" s="102"/>
      <c r="E27" s="106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21" t="str">
        <f>IF(ISBLANK(tbl_task6[[คะแนนเต็ม]:[คะแนนเต็ม]]),"",(tbl_task6[1]/tbl_task6[[คะแนนเต็ม]:[คะแนนเต็ม]])*tbl_task6[[%]:[%]])</f>
        <v/>
      </c>
      <c r="FP27" s="121" t="str">
        <f>IF(ISBLANK(tbl_task6[[คะแนนเต็ม]:[คะแนนเต็ม]]),"",(tbl_task6[2]/tbl_task6[[คะแนนเต็ม]:[คะแนนเต็ม]])*tbl_task6[[%]:[%]])</f>
        <v/>
      </c>
      <c r="FQ27" s="121" t="str">
        <f>IF(ISBLANK(tbl_task6[[คะแนนเต็ม]:[คะแนนเต็ม]]),"",(tbl_task6[3]/tbl_task6[[คะแนนเต็ม]:[คะแนนเต็ม]])*tbl_task6[[%]:[%]])</f>
        <v/>
      </c>
      <c r="FR27" s="121" t="str">
        <f>IF(ISBLANK(tbl_task6[[คะแนนเต็ม]:[คะแนนเต็ม]]),"",(tbl_task6[4]/tbl_task6[[คะแนนเต็ม]:[คะแนนเต็ม]])*tbl_task6[[%]:[%]])</f>
        <v/>
      </c>
      <c r="FS27" s="121" t="str">
        <f>IF(ISBLANK(tbl_task6[[คะแนนเต็ม]:[คะแนนเต็ม]]),"",(tbl_task6[5]/tbl_task6[[คะแนนเต็ม]:[คะแนนเต็ม]])*tbl_task6[[%]:[%]])</f>
        <v/>
      </c>
      <c r="FT27" s="121" t="str">
        <f>IF(ISBLANK(tbl_task6[[คะแนนเต็ม]:[คะแนนเต็ม]]),"",(tbl_task6[6]/tbl_task6[[คะแนนเต็ม]:[คะแนนเต็ม]])*tbl_task6[[%]:[%]])</f>
        <v/>
      </c>
      <c r="FU27" s="121" t="str">
        <f>IF(ISBLANK(tbl_task6[[คะแนนเต็ม]:[คะแนนเต็ม]]),"",(tbl_task6[7]/tbl_task6[[คะแนนเต็ม]:[คะแนนเต็ม]])*tbl_task6[[%]:[%]])</f>
        <v/>
      </c>
      <c r="FV27" s="121" t="str">
        <f>IF(ISBLANK(tbl_task6[[คะแนนเต็ม]:[คะแนนเต็ม]]),"",(tbl_task6[8]/tbl_task6[[คะแนนเต็ม]:[คะแนนเต็ม]])*tbl_task6[[%]:[%]])</f>
        <v/>
      </c>
      <c r="FW27" s="121" t="str">
        <f>IF(ISBLANK(tbl_task6[[คะแนนเต็ม]:[คะแนนเต็ม]]),"",(tbl_task6[9]/tbl_task6[[คะแนนเต็ม]:[คะแนนเต็ม]])*tbl_task6[[%]:[%]])</f>
        <v/>
      </c>
      <c r="FX27" s="121" t="str">
        <f>IF(ISBLANK(tbl_task6[[คะแนนเต็ม]:[คะแนนเต็ม]]),"",(tbl_task6[10]/tbl_task6[[คะแนนเต็ม]:[คะแนนเต็ม]])*tbl_task6[[%]:[%]])</f>
        <v/>
      </c>
      <c r="FY27" s="121" t="str">
        <f>IF(ISBLANK(tbl_task6[[คะแนนเต็ม]:[คะแนนเต็ม]]),"",(tbl_task6[11]/tbl_task6[[คะแนนเต็ม]:[คะแนนเต็ม]])*tbl_task6[[%]:[%]])</f>
        <v/>
      </c>
      <c r="FZ27" s="121" t="str">
        <f>IF(ISBLANK(tbl_task6[[คะแนนเต็ม]:[คะแนนเต็ม]]),"",(tbl_task6[12]/tbl_task6[[คะแนนเต็ม]:[คะแนนเต็ม]])*tbl_task6[[%]:[%]])</f>
        <v/>
      </c>
      <c r="GA27" s="121" t="str">
        <f>IF(ISBLANK(tbl_task6[[คะแนนเต็ม]:[คะแนนเต็ม]]),"",(tbl_task6[13]/tbl_task6[[คะแนนเต็ม]:[คะแนนเต็ม]])*tbl_task6[[%]:[%]])</f>
        <v/>
      </c>
      <c r="GB27" s="121" t="str">
        <f>IF(ISBLANK(tbl_task6[[คะแนนเต็ม]:[คะแนนเต็ม]]),"",(tbl_task6[14]/tbl_task6[[คะแนนเต็ม]:[คะแนนเต็ม]])*tbl_task6[[%]:[%]])</f>
        <v/>
      </c>
      <c r="GC27" s="121" t="str">
        <f>IF(ISBLANK(tbl_task6[[คะแนนเต็ม]:[คะแนนเต็ม]]),"",(tbl_task6[15]/tbl_task6[[คะแนนเต็ม]:[คะแนนเต็ม]])*tbl_task6[[%]:[%]])</f>
        <v/>
      </c>
      <c r="GD27" s="121" t="str">
        <f>IF(ISBLANK(tbl_task6[[คะแนนเต็ม]:[คะแนนเต็ม]]),"",(tbl_task6[16]/tbl_task6[[คะแนนเต็ม]:[คะแนนเต็ม]])*tbl_task6[[%]:[%]])</f>
        <v/>
      </c>
      <c r="GE27" s="121" t="str">
        <f>IF(ISBLANK(tbl_task6[[คะแนนเต็ม]:[คะแนนเต็ม]]),"",(tbl_task6[17]/tbl_task6[[คะแนนเต็ม]:[คะแนนเต็ม]])*tbl_task6[[%]:[%]])</f>
        <v/>
      </c>
      <c r="GF27" s="121" t="str">
        <f>IF(ISBLANK(tbl_task6[[คะแนนเต็ม]:[คะแนนเต็ม]]),"",(tbl_task6[18]/tbl_task6[[คะแนนเต็ม]:[คะแนนเต็ม]])*tbl_task6[[%]:[%]])</f>
        <v/>
      </c>
      <c r="GG27" s="121" t="str">
        <f>IF(ISBLANK(tbl_task6[[คะแนนเต็ม]:[คะแนนเต็ม]]),"",(tbl_task6[19]/tbl_task6[[คะแนนเต็ม]:[คะแนนเต็ม]])*tbl_task6[[%]:[%]])</f>
        <v/>
      </c>
      <c r="GH27" s="121" t="str">
        <f>IF(ISBLANK(tbl_task6[[คะแนนเต็ม]:[คะแนนเต็ม]]),"",(tbl_task6[20]/tbl_task6[[คะแนนเต็ม]:[คะแนนเต็ม]])*tbl_task6[[%]:[%]])</f>
        <v/>
      </c>
      <c r="GI27" s="121" t="str">
        <f>IF(ISBLANK(tbl_task6[[คะแนนเต็ม]:[คะแนนเต็ม]]),"",(tbl_task6[21]/tbl_task6[[คะแนนเต็ม]:[คะแนนเต็ม]])*tbl_task6[[%]:[%]])</f>
        <v/>
      </c>
      <c r="GJ27" s="121" t="str">
        <f>IF(ISBLANK(tbl_task6[[คะแนนเต็ม]:[คะแนนเต็ม]]),"",(tbl_task6[22]/tbl_task6[[คะแนนเต็ม]:[คะแนนเต็ม]])*tbl_task6[[%]:[%]])</f>
        <v/>
      </c>
      <c r="GK27" s="121" t="str">
        <f>IF(ISBLANK(tbl_task6[[คะแนนเต็ม]:[คะแนนเต็ม]]),"",(tbl_task6[23]/tbl_task6[[คะแนนเต็ม]:[คะแนนเต็ม]])*tbl_task6[[%]:[%]])</f>
        <v/>
      </c>
      <c r="GL27" s="121" t="str">
        <f>IF(ISBLANK(tbl_task6[[คะแนนเต็ม]:[คะแนนเต็ม]]),"",(tbl_task6[24]/tbl_task6[[คะแนนเต็ม]:[คะแนนเต็ม]])*tbl_task6[[%]:[%]])</f>
        <v/>
      </c>
      <c r="GM27" s="121" t="str">
        <f>IF(ISBLANK(tbl_task6[[คะแนนเต็ม]:[คะแนนเต็ม]]),"",(tbl_task6[25]/tbl_task6[[คะแนนเต็ม]:[คะแนนเต็ม]])*tbl_task6[[%]:[%]])</f>
        <v/>
      </c>
      <c r="GN27" s="121" t="str">
        <f>IF(ISBLANK(tbl_task6[[คะแนนเต็ม]:[คะแนนเต็ม]]),"",(tbl_task6[26]/tbl_task6[[คะแนนเต็ม]:[คะแนนเต็ม]])*tbl_task6[[%]:[%]])</f>
        <v/>
      </c>
      <c r="GO27" s="121" t="str">
        <f>IF(ISBLANK(tbl_task6[[คะแนนเต็ม]:[คะแนนเต็ม]]),"",(tbl_task6[27]/tbl_task6[[คะแนนเต็ม]:[คะแนนเต็ม]])*tbl_task6[[%]:[%]])</f>
        <v/>
      </c>
      <c r="GP27" s="121" t="str">
        <f>IF(ISBLANK(tbl_task6[[คะแนนเต็ม]:[คะแนนเต็ม]]),"",(tbl_task6[28]/tbl_task6[[คะแนนเต็ม]:[คะแนนเต็ม]])*tbl_task6[[%]:[%]])</f>
        <v/>
      </c>
      <c r="GQ27" s="121" t="str">
        <f>IF(ISBLANK(tbl_task6[[คะแนนเต็ม]:[คะแนนเต็ม]]),"",(tbl_task6[29]/tbl_task6[[คะแนนเต็ม]:[คะแนนเต็ม]])*tbl_task6[[%]:[%]])</f>
        <v/>
      </c>
      <c r="GR27" s="121" t="str">
        <f>IF(ISBLANK(tbl_task6[[คะแนนเต็ม]:[คะแนนเต็ม]]),"",(tbl_task6[30]/tbl_task6[[คะแนนเต็ม]:[คะแนนเต็ม]])*tbl_task6[[%]:[%]])</f>
        <v/>
      </c>
      <c r="GS27" s="121" t="str">
        <f>IF(ISBLANK(tbl_task6[[คะแนนเต็ม]:[คะแนนเต็ม]]),"",(tbl_task6[31]/tbl_task6[[คะแนนเต็ม]:[คะแนนเต็ม]])*tbl_task6[[%]:[%]])</f>
        <v/>
      </c>
      <c r="GT27" s="121" t="str">
        <f>IF(ISBLANK(tbl_task6[[คะแนนเต็ม]:[คะแนนเต็ม]]),"",(tbl_task6[32]/tbl_task6[[คะแนนเต็ม]:[คะแนนเต็ม]])*tbl_task6[[%]:[%]])</f>
        <v/>
      </c>
      <c r="GU27" s="121" t="str">
        <f>IF(ISBLANK(tbl_task6[[คะแนนเต็ม]:[คะแนนเต็ม]]),"",(tbl_task6[33]/tbl_task6[[คะแนนเต็ม]:[คะแนนเต็ม]])*tbl_task6[[%]:[%]])</f>
        <v/>
      </c>
      <c r="GV27" s="121" t="str">
        <f>IF(ISBLANK(tbl_task6[[คะแนนเต็ม]:[คะแนนเต็ม]]),"",(tbl_task6[34]/tbl_task6[[คะแนนเต็ม]:[คะแนนเต็ม]])*tbl_task6[[%]:[%]])</f>
        <v/>
      </c>
      <c r="GW27" s="121" t="str">
        <f>IF(ISBLANK(tbl_task6[[คะแนนเต็ม]:[คะแนนเต็ม]]),"",(tbl_task6[35]/tbl_task6[[คะแนนเต็ม]:[คะแนนเต็ม]])*tbl_task6[[%]:[%]])</f>
        <v/>
      </c>
      <c r="GX27" s="121" t="str">
        <f>IF(ISBLANK(tbl_task6[[คะแนนเต็ม]:[คะแนนเต็ม]]),"",(tbl_task6[36]/tbl_task6[[คะแนนเต็ม]:[คะแนนเต็ม]])*tbl_task6[[%]:[%]])</f>
        <v/>
      </c>
      <c r="GY27" s="121" t="str">
        <f>IF(ISBLANK(tbl_task6[[คะแนนเต็ม]:[คะแนนเต็ม]]),"",(tbl_task6[37]/tbl_task6[[คะแนนเต็ม]:[คะแนนเต็ม]])*tbl_task6[[%]:[%]])</f>
        <v/>
      </c>
      <c r="GZ27" s="121" t="str">
        <f>IF(ISBLANK(tbl_task6[[คะแนนเต็ม]:[คะแนนเต็ม]]),"",(tbl_task6[38]/tbl_task6[[คะแนนเต็ม]:[คะแนนเต็ม]])*tbl_task6[[%]:[%]])</f>
        <v/>
      </c>
      <c r="HA27" s="121" t="str">
        <f>IF(ISBLANK(tbl_task6[[คะแนนเต็ม]:[คะแนนเต็ม]]),"",(tbl_task6[39]/tbl_task6[[คะแนนเต็ม]:[คะแนนเต็ม]])*tbl_task6[[%]:[%]])</f>
        <v/>
      </c>
      <c r="HB27" s="121" t="str">
        <f>IF(ISBLANK(tbl_task6[[คะแนนเต็ม]:[คะแนนเต็ม]]),"",(tbl_task6[40]/tbl_task6[[คะแนนเต็ม]:[คะแนนเต็ม]])*tbl_task6[[%]:[%]])</f>
        <v/>
      </c>
      <c r="HC27" s="121" t="str">
        <f>IF(ISBLANK(tbl_task6[[คะแนนเต็ม]:[คะแนนเต็ม]]),"",(tbl_task6[41]/tbl_task6[[คะแนนเต็ม]:[คะแนนเต็ม]])*tbl_task6[[%]:[%]])</f>
        <v/>
      </c>
      <c r="HD27" s="121" t="str">
        <f>IF(ISBLANK(tbl_task6[[คะแนนเต็ม]:[คะแนนเต็ม]]),"",(tbl_task6[42]/tbl_task6[[คะแนนเต็ม]:[คะแนนเต็ม]])*tbl_task6[[%]:[%]])</f>
        <v/>
      </c>
      <c r="HE27" s="121" t="str">
        <f>IF(ISBLANK(tbl_task6[[คะแนนเต็ม]:[คะแนนเต็ม]]),"",(tbl_task6[43]/tbl_task6[[คะแนนเต็ม]:[คะแนนเต็ม]])*tbl_task6[[%]:[%]])</f>
        <v/>
      </c>
      <c r="HF27" s="121" t="str">
        <f>IF(ISBLANK(tbl_task6[[คะแนนเต็ม]:[คะแนนเต็ม]]),"",(tbl_task6[44]/tbl_task6[[คะแนนเต็ม]:[คะแนนเต็ม]])*tbl_task6[[%]:[%]])</f>
        <v/>
      </c>
      <c r="HG27" s="121" t="str">
        <f>IF(ISBLANK(tbl_task6[[คะแนนเต็ม]:[คะแนนเต็ม]]),"",(tbl_task6[45]/tbl_task6[[คะแนนเต็ม]:[คะแนนเต็ม]])*tbl_task6[[%]:[%]])</f>
        <v/>
      </c>
      <c r="HH27" s="121" t="str">
        <f>IF(ISBLANK(tbl_task6[[คะแนนเต็ม]:[คะแนนเต็ม]]),"",(tbl_task6[46]/tbl_task6[[คะแนนเต็ม]:[คะแนนเต็ม]])*tbl_task6[[%]:[%]])</f>
        <v/>
      </c>
      <c r="HI27" s="121" t="str">
        <f>IF(ISBLANK(tbl_task6[[คะแนนเต็ม]:[คะแนนเต็ม]]),"",(tbl_task6[47]/tbl_task6[[คะแนนเต็ม]:[คะแนนเต็ม]])*tbl_task6[[%]:[%]])</f>
        <v/>
      </c>
      <c r="HJ27" s="121" t="str">
        <f>IF(ISBLANK(tbl_task6[[คะแนนเต็ม]:[คะแนนเต็ม]]),"",(tbl_task6[48]/tbl_task6[[คะแนนเต็ม]:[คะแนนเต็ม]])*tbl_task6[[%]:[%]])</f>
        <v/>
      </c>
      <c r="HK27" s="121" t="str">
        <f>IF(ISBLANK(tbl_task6[[คะแนนเต็ม]:[คะแนนเต็ม]]),"",(tbl_task6[49]/tbl_task6[[คะแนนเต็ม]:[คะแนนเต็ม]])*tbl_task6[[%]:[%]])</f>
        <v/>
      </c>
      <c r="HL27" s="121" t="str">
        <f>IF(ISBLANK(tbl_task6[[คะแนนเต็ม]:[คะแนนเต็ม]]),"",(tbl_task6[50]/tbl_task6[[คะแนนเต็ม]:[คะแนนเต็ม]])*tbl_task6[[%]:[%]])</f>
        <v/>
      </c>
      <c r="HM27" s="121" t="str">
        <f>IF(ISBLANK(tbl_task6[[คะแนนเต็ม]:[คะแนนเต็ม]]),"",(tbl_task6[51]/tbl_task6[[คะแนนเต็ม]:[คะแนนเต็ม]])*tbl_task6[[%]:[%]])</f>
        <v/>
      </c>
      <c r="HN27" s="121" t="str">
        <f>IF(ISBLANK(tbl_task6[[คะแนนเต็ม]:[คะแนนเต็ม]]),"",(tbl_task6[52]/tbl_task6[[คะแนนเต็ม]:[คะแนนเต็ม]])*tbl_task6[[%]:[%]])</f>
        <v/>
      </c>
      <c r="HO27" s="121" t="str">
        <f>IF(ISBLANK(tbl_task6[[คะแนนเต็ม]:[คะแนนเต็ม]]),"",(tbl_task6[53]/tbl_task6[[คะแนนเต็ม]:[คะแนนเต็ม]])*tbl_task6[[%]:[%]])</f>
        <v/>
      </c>
      <c r="HP27" s="121" t="str">
        <f>IF(ISBLANK(tbl_task6[[คะแนนเต็ม]:[คะแนนเต็ม]]),"",(tbl_task6[54]/tbl_task6[[คะแนนเต็ม]:[คะแนนเต็ม]])*tbl_task6[[%]:[%]])</f>
        <v/>
      </c>
      <c r="HQ27" s="121" t="str">
        <f>IF(ISBLANK(tbl_task6[[คะแนนเต็ม]:[คะแนนเต็ม]]),"",(tbl_task6[55]/tbl_task6[[คะแนนเต็ม]:[คะแนนเต็ม]])*tbl_task6[[%]:[%]])</f>
        <v/>
      </c>
      <c r="HR27" s="121" t="str">
        <f>IF(ISBLANK(tbl_task6[[คะแนนเต็ม]:[คะแนนเต็ม]]),"",(tbl_task6[56]/tbl_task6[[คะแนนเต็ม]:[คะแนนเต็ม]])*tbl_task6[[%]:[%]])</f>
        <v/>
      </c>
      <c r="HS27" s="121" t="str">
        <f>IF(ISBLANK(tbl_task6[[คะแนนเต็ม]:[คะแนนเต็ม]]),"",(tbl_task6[57]/tbl_task6[[คะแนนเต็ม]:[คะแนนเต็ม]])*tbl_task6[[%]:[%]])</f>
        <v/>
      </c>
      <c r="HT27" s="121" t="str">
        <f>IF(ISBLANK(tbl_task6[[คะแนนเต็ม]:[คะแนนเต็ม]]),"",(tbl_task6[58]/tbl_task6[[คะแนนเต็ม]:[คะแนนเต็ม]])*tbl_task6[[%]:[%]])</f>
        <v/>
      </c>
      <c r="HU27" s="121" t="str">
        <f>IF(ISBLANK(tbl_task6[[คะแนนเต็ม]:[คะแนนเต็ม]]),"",(tbl_task6[59]/tbl_task6[[คะแนนเต็ม]:[คะแนนเต็ม]])*tbl_task6[[%]:[%]])</f>
        <v/>
      </c>
      <c r="HV27" s="121" t="str">
        <f>IF(ISBLANK(tbl_task6[[คะแนนเต็ม]:[คะแนนเต็ม]]),"",(tbl_task6[60]/tbl_task6[[คะแนนเต็ม]:[คะแนนเต็ม]])*tbl_task6[[%]:[%]])</f>
        <v/>
      </c>
      <c r="HW27" s="121" t="str">
        <f>IF(ISBLANK(tbl_task6[[คะแนนเต็ม]:[คะแนนเต็ม]]),"",(tbl_task6[61]/tbl_task6[[คะแนนเต็ม]:[คะแนนเต็ม]])*tbl_task6[[%]:[%]])</f>
        <v/>
      </c>
      <c r="HX27" s="121" t="str">
        <f>IF(ISBLANK(tbl_task6[[คะแนนเต็ม]:[คะแนนเต็ม]]),"",(tbl_task6[62]/tbl_task6[[คะแนนเต็ม]:[คะแนนเต็ม]])*tbl_task6[[%]:[%]])</f>
        <v/>
      </c>
      <c r="HY27" s="121" t="str">
        <f>IF(ISBLANK(tbl_task6[[คะแนนเต็ม]:[คะแนนเต็ม]]),"",(tbl_task6[63]/tbl_task6[[คะแนนเต็ม]:[คะแนนเต็ม]])*tbl_task6[[%]:[%]])</f>
        <v/>
      </c>
      <c r="HZ27" s="121" t="str">
        <f>IF(ISBLANK(tbl_task6[[คะแนนเต็ม]:[คะแนนเต็ม]]),"",(tbl_task6[64]/tbl_task6[[คะแนนเต็ม]:[คะแนนเต็ม]])*tbl_task6[[%]:[%]])</f>
        <v/>
      </c>
      <c r="IA27" s="121" t="str">
        <f>IF(ISBLANK(tbl_task6[[คะแนนเต็ม]:[คะแนนเต็ม]]),"",(tbl_task6[65]/tbl_task6[[คะแนนเต็ม]:[คะแนนเต็ม]])*tbl_task6[[%]:[%]])</f>
        <v/>
      </c>
      <c r="IB27" s="121" t="str">
        <f>IF(ISBLANK(tbl_task6[[คะแนนเต็ม]:[คะแนนเต็ม]]),"",(tbl_task6[66]/tbl_task6[[คะแนนเต็ม]:[คะแนนเต็ม]])*tbl_task6[[%]:[%]])</f>
        <v/>
      </c>
      <c r="IC27" s="121" t="str">
        <f>IF(ISBLANK(tbl_task6[[คะแนนเต็ม]:[คะแนนเต็ม]]),"",(tbl_task6[67]/tbl_task6[[คะแนนเต็ม]:[คะแนนเต็ม]])*tbl_task6[[%]:[%]])</f>
        <v/>
      </c>
      <c r="ID27" s="121" t="str">
        <f>IF(ISBLANK(tbl_task6[[คะแนนเต็ม]:[คะแนนเต็ม]]),"",(tbl_task6[68]/tbl_task6[[คะแนนเต็ม]:[คะแนนเต็ม]])*tbl_task6[[%]:[%]])</f>
        <v/>
      </c>
      <c r="IE27" s="121" t="str">
        <f>IF(ISBLANK(tbl_task6[[คะแนนเต็ม]:[คะแนนเต็ม]]),"",(tbl_task6[69]/tbl_task6[[คะแนนเต็ม]:[คะแนนเต็ม]])*tbl_task6[[%]:[%]])</f>
        <v/>
      </c>
      <c r="IF27" s="121" t="str">
        <f>IF(ISBLANK(tbl_task6[[คะแนนเต็ม]:[คะแนนเต็ม]]),"",(tbl_task6[70]/tbl_task6[[คะแนนเต็ม]:[คะแนนเต็ม]])*tbl_task6[[%]:[%]])</f>
        <v/>
      </c>
      <c r="IG27" s="121" t="str">
        <f>IF(ISBLANK(tbl_task6[[คะแนนเต็ม]:[คะแนนเต็ม]]),"",(tbl_task6[71]/tbl_task6[[คะแนนเต็ม]:[คะแนนเต็ม]])*tbl_task6[[%]:[%]])</f>
        <v/>
      </c>
      <c r="IH27" s="121" t="str">
        <f>IF(ISBLANK(tbl_task6[[คะแนนเต็ม]:[คะแนนเต็ม]]),"",(tbl_task6[72]/tbl_task6[[คะแนนเต็ม]:[คะแนนเต็ม]])*tbl_task6[[%]:[%]])</f>
        <v/>
      </c>
      <c r="II27" s="121" t="str">
        <f>IF(ISBLANK(tbl_task6[[คะแนนเต็ม]:[คะแนนเต็ม]]),"",(tbl_task6[73]/tbl_task6[[คะแนนเต็ม]:[คะแนนเต็ม]])*tbl_task6[[%]:[%]])</f>
        <v/>
      </c>
      <c r="IJ27" s="121" t="str">
        <f>IF(ISBLANK(tbl_task6[[คะแนนเต็ม]:[คะแนนเต็ม]]),"",(tbl_task6[74]/tbl_task6[[คะแนนเต็ม]:[คะแนนเต็ม]])*tbl_task6[[%]:[%]])</f>
        <v/>
      </c>
      <c r="IK27" s="121" t="str">
        <f>IF(ISBLANK(tbl_task6[[คะแนนเต็ม]:[คะแนนเต็ม]]),"",(tbl_task6[75]/tbl_task6[[คะแนนเต็ม]:[คะแนนเต็ม]])*tbl_task6[[%]:[%]])</f>
        <v/>
      </c>
      <c r="IL27" s="121" t="str">
        <f>IF(ISBLANK(tbl_task6[[คะแนนเต็ม]:[คะแนนเต็ม]]),"",(tbl_task6[76]/tbl_task6[[คะแนนเต็ม]:[คะแนนเต็ม]])*tbl_task6[[%]:[%]])</f>
        <v/>
      </c>
      <c r="IM27" s="121" t="str">
        <f>IF(ISBLANK(tbl_task6[[คะแนนเต็ม]:[คะแนนเต็ม]]),"",(tbl_task6[77]/tbl_task6[[คะแนนเต็ม]:[คะแนนเต็ม]])*tbl_task6[[%]:[%]])</f>
        <v/>
      </c>
      <c r="IN27" s="121" t="str">
        <f>IF(ISBLANK(tbl_task6[[คะแนนเต็ม]:[คะแนนเต็ม]]),"",(tbl_task6[78]/tbl_task6[[คะแนนเต็ม]:[คะแนนเต็ม]])*tbl_task6[[%]:[%]])</f>
        <v/>
      </c>
      <c r="IO27" s="121" t="str">
        <f>IF(ISBLANK(tbl_task6[[คะแนนเต็ม]:[คะแนนเต็ม]]),"",(tbl_task6[79]/tbl_task6[[คะแนนเต็ม]:[คะแนนเต็ม]])*tbl_task6[[%]:[%]])</f>
        <v/>
      </c>
      <c r="IP27" s="121" t="str">
        <f>IF(ISBLANK(tbl_task6[[คะแนนเต็ม]:[คะแนนเต็ม]]),"",(tbl_task6[80]/tbl_task6[[คะแนนเต็ม]:[คะแนนเต็ม]])*tbl_task6[[%]:[%]])</f>
        <v/>
      </c>
      <c r="IQ27" s="121" t="str">
        <f>IF(ISBLANK(tbl_task6[[คะแนนเต็ม]:[คะแนนเต็ม]]),"",(tbl_task6[81]/tbl_task6[[คะแนนเต็ม]:[คะแนนเต็ม]])*tbl_task6[[%]:[%]])</f>
        <v/>
      </c>
      <c r="IR27" s="121" t="str">
        <f>IF(ISBLANK(tbl_task6[[คะแนนเต็ม]:[คะแนนเต็ม]]),"",(tbl_task6[82]/tbl_task6[[คะแนนเต็ม]:[คะแนนเต็ม]])*tbl_task6[[%]:[%]])</f>
        <v/>
      </c>
      <c r="IS27" s="121" t="str">
        <f>IF(ISBLANK(tbl_task6[[คะแนนเต็ม]:[คะแนนเต็ม]]),"",(tbl_task6[83]/tbl_task6[[คะแนนเต็ม]:[คะแนนเต็ม]])*tbl_task6[[%]:[%]])</f>
        <v/>
      </c>
      <c r="IT27" s="121" t="str">
        <f>IF(ISBLANK(tbl_task6[[คะแนนเต็ม]:[คะแนนเต็ม]]),"",(tbl_task6[84]/tbl_task6[[คะแนนเต็ม]:[คะแนนเต็ม]])*tbl_task6[[%]:[%]])</f>
        <v/>
      </c>
      <c r="IU27" s="121" t="str">
        <f>IF(ISBLANK(tbl_task6[[คะแนนเต็ม]:[คะแนนเต็ม]]),"",(tbl_task6[85]/tbl_task6[[คะแนนเต็ม]:[คะแนนเต็ม]])*tbl_task6[[%]:[%]])</f>
        <v/>
      </c>
      <c r="IV27" s="121" t="str">
        <f>IF(ISBLANK(tbl_task6[[คะแนนเต็ม]:[คะแนนเต็ม]]),"",(tbl_task6[86]/tbl_task6[[คะแนนเต็ม]:[คะแนนเต็ม]])*tbl_task6[[%]:[%]])</f>
        <v/>
      </c>
      <c r="IW27" s="121" t="str">
        <f>IF(ISBLANK(tbl_task6[[คะแนนเต็ม]:[คะแนนเต็ม]]),"",(tbl_task6[87]/tbl_task6[[คะแนนเต็ม]:[คะแนนเต็ม]])*tbl_task6[[%]:[%]])</f>
        <v/>
      </c>
      <c r="IX27" s="121" t="str">
        <f>IF(ISBLANK(tbl_task6[[คะแนนเต็ม]:[คะแนนเต็ม]]),"",(tbl_task6[88]/tbl_task6[[คะแนนเต็ม]:[คะแนนเต็ม]])*tbl_task6[[%]:[%]])</f>
        <v/>
      </c>
      <c r="IY27" s="121" t="str">
        <f>IF(ISBLANK(tbl_task6[[คะแนนเต็ม]:[คะแนนเต็ม]]),"",(tbl_task6[89]/tbl_task6[[คะแนนเต็ม]:[คะแนนเต็ม]])*tbl_task6[[%]:[%]])</f>
        <v/>
      </c>
      <c r="IZ27" s="121" t="str">
        <f>IF(ISBLANK(tbl_task6[[คะแนนเต็ม]:[คะแนนเต็ม]]),"",(tbl_task6[90]/tbl_task6[[คะแนนเต็ม]:[คะแนนเต็ม]])*tbl_task6[[%]:[%]])</f>
        <v/>
      </c>
      <c r="JA27" s="121" t="str">
        <f>IF(ISBLANK(tbl_task6[[คะแนนเต็ม]:[คะแนนเต็ม]]),"",(tbl_task6[91]/tbl_task6[[คะแนนเต็ม]:[คะแนนเต็ม]])*tbl_task6[[%]:[%]])</f>
        <v/>
      </c>
      <c r="JB27" s="121" t="str">
        <f>IF(ISBLANK(tbl_task6[[คะแนนเต็ม]:[คะแนนเต็ม]]),"",(tbl_task6[92]/tbl_task6[[คะแนนเต็ม]:[คะแนนเต็ม]])*tbl_task6[[%]:[%]])</f>
        <v/>
      </c>
      <c r="JC27" s="121" t="str">
        <f>IF(ISBLANK(tbl_task6[[คะแนนเต็ม]:[คะแนนเต็ม]]),"",(tbl_task6[93]/tbl_task6[[คะแนนเต็ม]:[คะแนนเต็ม]])*tbl_task6[[%]:[%]])</f>
        <v/>
      </c>
      <c r="JD27" s="121" t="str">
        <f>IF(ISBLANK(tbl_task6[[คะแนนเต็ม]:[คะแนนเต็ม]]),"",(tbl_task6[94]/tbl_task6[[คะแนนเต็ม]:[คะแนนเต็ม]])*tbl_task6[[%]:[%]])</f>
        <v/>
      </c>
      <c r="JE27" s="121" t="str">
        <f>IF(ISBLANK(tbl_task6[[คะแนนเต็ม]:[คะแนนเต็ม]]),"",(tbl_task6[95]/tbl_task6[[คะแนนเต็ม]:[คะแนนเต็ม]])*tbl_task6[[%]:[%]])</f>
        <v/>
      </c>
      <c r="JF27" s="121" t="str">
        <f>IF(ISBLANK(tbl_task6[[คะแนนเต็ม]:[คะแนนเต็ม]]),"",(tbl_task6[96]/tbl_task6[[คะแนนเต็ม]:[คะแนนเต็ม]])*tbl_task6[[%]:[%]])</f>
        <v/>
      </c>
      <c r="JG27" s="121" t="str">
        <f>IF(ISBLANK(tbl_task6[[คะแนนเต็ม]:[คะแนนเต็ม]]),"",(tbl_task6[97]/tbl_task6[[คะแนนเต็ม]:[คะแนนเต็ม]])*tbl_task6[[%]:[%]])</f>
        <v/>
      </c>
      <c r="JH27" s="121" t="str">
        <f>IF(ISBLANK(tbl_task6[[คะแนนเต็ม]:[คะแนนเต็ม]]),"",(tbl_task6[98]/tbl_task6[[คะแนนเต็ม]:[คะแนนเต็ม]])*tbl_task6[[%]:[%]])</f>
        <v/>
      </c>
      <c r="JI27" s="121" t="str">
        <f>IF(ISBLANK(tbl_task6[[คะแนนเต็ม]:[คะแนนเต็ม]]),"",(tbl_task6[99]/tbl_task6[[คะแนนเต็ม]:[คะแนนเต็ม]])*tbl_task6[[%]:[%]])</f>
        <v/>
      </c>
      <c r="JJ27" s="121" t="str">
        <f>IF(ISBLANK(tbl_task6[[คะแนนเต็ม]:[คะแนนเต็ม]]),"",(tbl_task6[100]/tbl_task6[[คะแนนเต็ม]:[คะแนนเต็ม]])*tbl_task6[[%]:[%]])</f>
        <v/>
      </c>
      <c r="JK27" s="121" t="str">
        <f>IF(ISBLANK(tbl_task6[[คะแนนเต็ม]:[คะแนนเต็ม]]),"",(tbl_task6[101]/tbl_task6[[คะแนนเต็ม]:[คะแนนเต็ม]])*tbl_task6[[%]:[%]])</f>
        <v/>
      </c>
      <c r="JL27" s="121" t="str">
        <f>IF(ISBLANK(tbl_task6[[คะแนนเต็ม]:[คะแนนเต็ม]]),"",(tbl_task6[102]/tbl_task6[[คะแนนเต็ม]:[คะแนนเต็ม]])*tbl_task6[[%]:[%]])</f>
        <v/>
      </c>
      <c r="JM27" s="121" t="str">
        <f>IF(ISBLANK(tbl_task6[[คะแนนเต็ม]:[คะแนนเต็ม]]),"",(tbl_task6[103]/tbl_task6[[คะแนนเต็ม]:[คะแนนเต็ม]])*tbl_task6[[%]:[%]])</f>
        <v/>
      </c>
      <c r="JN27" s="121" t="str">
        <f>IF(ISBLANK(tbl_task6[[คะแนนเต็ม]:[คะแนนเต็ม]]),"",(tbl_task6[104]/tbl_task6[[คะแนนเต็ม]:[คะแนนเต็ม]])*tbl_task6[[%]:[%]])</f>
        <v/>
      </c>
      <c r="JO27" s="121" t="str">
        <f>IF(ISBLANK(tbl_task6[[คะแนนเต็ม]:[คะแนนเต็ม]]),"",(tbl_task6[105]/tbl_task6[[คะแนนเต็ม]:[คะแนนเต็ม]])*tbl_task6[[%]:[%]])</f>
        <v/>
      </c>
      <c r="JP27" s="121" t="str">
        <f>IF(ISBLANK(tbl_task6[[คะแนนเต็ม]:[คะแนนเต็ม]]),"",(tbl_task6[106]/tbl_task6[[คะแนนเต็ม]:[คะแนนเต็ม]])*tbl_task6[[%]:[%]])</f>
        <v/>
      </c>
      <c r="JQ27" s="121" t="str">
        <f>IF(ISBLANK(tbl_task6[[คะแนนเต็ม]:[คะแนนเต็ม]]),"",(tbl_task6[107]/tbl_task6[[คะแนนเต็ม]:[คะแนนเต็ม]])*tbl_task6[[%]:[%]])</f>
        <v/>
      </c>
      <c r="JR27" s="121" t="str">
        <f>IF(ISBLANK(tbl_task6[[คะแนนเต็ม]:[คะแนนเต็ม]]),"",(tbl_task6[108]/tbl_task6[[คะแนนเต็ม]:[คะแนนเต็ม]])*tbl_task6[[%]:[%]])</f>
        <v/>
      </c>
      <c r="JS27" s="121" t="str">
        <f>IF(ISBLANK(tbl_task6[[คะแนนเต็ม]:[คะแนนเต็ม]]),"",(tbl_task6[109]/tbl_task6[[คะแนนเต็ม]:[คะแนนเต็ม]])*tbl_task6[[%]:[%]])</f>
        <v/>
      </c>
      <c r="JT27" s="121" t="str">
        <f>IF(ISBLANK(tbl_task6[[คะแนนเต็ม]:[คะแนนเต็ม]]),"",(tbl_task6[110]/tbl_task6[[คะแนนเต็ม]:[คะแนนเต็ม]])*tbl_task6[[%]:[%]])</f>
        <v/>
      </c>
      <c r="JU27" s="121" t="str">
        <f>IF(ISBLANK(tbl_task6[[คะแนนเต็ม]:[คะแนนเต็ม]]),"",(tbl_task6[111]/tbl_task6[[คะแนนเต็ม]:[คะแนนเต็ม]])*tbl_task6[[%]:[%]])</f>
        <v/>
      </c>
      <c r="JV27" s="121" t="str">
        <f>IF(ISBLANK(tbl_task6[[คะแนนเต็ม]:[คะแนนเต็ม]]),"",(tbl_task6[112]/tbl_task6[[คะแนนเต็ม]:[คะแนนเต็ม]])*tbl_task6[[%]:[%]])</f>
        <v/>
      </c>
      <c r="JW27" s="121" t="str">
        <f>IF(ISBLANK(tbl_task6[[คะแนนเต็ม]:[คะแนนเต็ม]]),"",(tbl_task6[113]/tbl_task6[[คะแนนเต็ม]:[คะแนนเต็ม]])*tbl_task6[[%]:[%]])</f>
        <v/>
      </c>
      <c r="JX27" s="121" t="str">
        <f>IF(ISBLANK(tbl_task6[[คะแนนเต็ม]:[คะแนนเต็ม]]),"",(tbl_task6[114]/tbl_task6[[คะแนนเต็ม]:[คะแนนเต็ม]])*tbl_task6[[%]:[%]])</f>
        <v/>
      </c>
      <c r="JY27" s="121" t="str">
        <f>IF(ISBLANK(tbl_task6[[คะแนนเต็ม]:[คะแนนเต็ม]]),"",(tbl_task6[115]/tbl_task6[[คะแนนเต็ม]:[คะแนนเต็ม]])*tbl_task6[[%]:[%]])</f>
        <v/>
      </c>
      <c r="JZ27" s="121" t="str">
        <f>IF(ISBLANK(tbl_task6[[คะแนนเต็ม]:[คะแนนเต็ม]]),"",(tbl_task6[116]/tbl_task6[[คะแนนเต็ม]:[คะแนนเต็ม]])*tbl_task6[[%]:[%]])</f>
        <v/>
      </c>
      <c r="KA27" s="121" t="str">
        <f>IF(ISBLANK(tbl_task6[[คะแนนเต็ม]:[คะแนนเต็ม]]),"",(tbl_task6[117]/tbl_task6[[คะแนนเต็ม]:[คะแนนเต็ม]])*tbl_task6[[%]:[%]])</f>
        <v/>
      </c>
      <c r="KB27" s="121" t="str">
        <f>IF(ISBLANK(tbl_task6[[คะแนนเต็ม]:[คะแนนเต็ม]]),"",(tbl_task6[118]/tbl_task6[[คะแนนเต็ม]:[คะแนนเต็ม]])*tbl_task6[[%]:[%]])</f>
        <v/>
      </c>
      <c r="KC27" s="121" t="str">
        <f>IF(ISBLANK(tbl_task6[[คะแนนเต็ม]:[คะแนนเต็ม]]),"",(tbl_task6[119]/tbl_task6[[คะแนนเต็ม]:[คะแนนเต็ม]])*tbl_task6[[%]:[%]])</f>
        <v/>
      </c>
      <c r="KD27" s="121" t="str">
        <f>IF(ISBLANK(tbl_task6[[คะแนนเต็ม]:[คะแนนเต็ม]]),"",(tbl_task6[120]/tbl_task6[[คะแนนเต็ม]:[คะแนนเต็ม]])*tbl_task6[[%]:[%]])</f>
        <v/>
      </c>
      <c r="KE27" s="121" t="str">
        <f>IF(ISBLANK(tbl_task6[[คะแนนเต็ม]:[คะแนนเต็ม]]),"",(tbl_task6[121]/tbl_task6[[คะแนนเต็ม]:[คะแนนเต็ม]])*tbl_task6[[%]:[%]])</f>
        <v/>
      </c>
      <c r="KF27" s="121" t="str">
        <f>IF(ISBLANK(tbl_task6[[คะแนนเต็ม]:[คะแนนเต็ม]]),"",(tbl_task6[122]/tbl_task6[[คะแนนเต็ม]:[คะแนนเต็ม]])*tbl_task6[[%]:[%]])</f>
        <v/>
      </c>
      <c r="KG27" s="121" t="str">
        <f>IF(ISBLANK(tbl_task6[[คะแนนเต็ม]:[คะแนนเต็ม]]),"",(tbl_task6[123]/tbl_task6[[คะแนนเต็ม]:[คะแนนเต็ม]])*tbl_task6[[%]:[%]])</f>
        <v/>
      </c>
      <c r="KH27" s="121" t="str">
        <f>IF(ISBLANK(tbl_task6[[คะแนนเต็ม]:[คะแนนเต็ม]]),"",(tbl_task6[124]/tbl_task6[[คะแนนเต็ม]:[คะแนนเต็ม]])*tbl_task6[[%]:[%]])</f>
        <v/>
      </c>
      <c r="KI27" s="121" t="str">
        <f>IF(ISBLANK(tbl_task6[[คะแนนเต็ม]:[คะแนนเต็ม]]),"",(tbl_task6[125]/tbl_task6[[คะแนนเต็ม]:[คะแนนเต็ม]])*tbl_task6[[%]:[%]])</f>
        <v/>
      </c>
      <c r="KJ27" s="121" t="str">
        <f>IF(ISBLANK(tbl_task6[[คะแนนเต็ม]:[คะแนนเต็ม]]),"",(tbl_task6[126]/tbl_task6[[คะแนนเต็ม]:[คะแนนเต็ม]])*tbl_task6[[%]:[%]])</f>
        <v/>
      </c>
      <c r="KK27" s="121" t="str">
        <f>IF(ISBLANK(tbl_task6[[คะแนนเต็ม]:[คะแนนเต็ม]]),"",(tbl_task6[127]/tbl_task6[[คะแนนเต็ม]:[คะแนนเต็ม]])*tbl_task6[[%]:[%]])</f>
        <v/>
      </c>
      <c r="KL27" s="121" t="str">
        <f>IF(ISBLANK(tbl_task6[[คะแนนเต็ม]:[คะแนนเต็ม]]),"",(tbl_task6[128]/tbl_task6[[คะแนนเต็ม]:[คะแนนเต็ม]])*tbl_task6[[%]:[%]])</f>
        <v/>
      </c>
      <c r="KM27" s="121" t="str">
        <f>IF(ISBLANK(tbl_task6[[คะแนนเต็ม]:[คะแนนเต็ม]]),"",(tbl_task6[129]/tbl_task6[[คะแนนเต็ม]:[คะแนนเต็ม]])*tbl_task6[[%]:[%]])</f>
        <v/>
      </c>
      <c r="KN27" s="121" t="str">
        <f>IF(ISBLANK(tbl_task6[[คะแนนเต็ม]:[คะแนนเต็ม]]),"",(tbl_task6[130]/tbl_task6[[คะแนนเต็ม]:[คะแนนเต็ม]])*tbl_task6[[%]:[%]])</f>
        <v/>
      </c>
      <c r="KO27" s="121" t="str">
        <f>IF(ISBLANK(tbl_task6[[คะแนนเต็ม]:[คะแนนเต็ม]]),"",(tbl_task6[131]/tbl_task6[[คะแนนเต็ม]:[คะแนนเต็ม]])*tbl_task6[[%]:[%]])</f>
        <v/>
      </c>
      <c r="KP27" s="121" t="str">
        <f>IF(ISBLANK(tbl_task6[[คะแนนเต็ม]:[คะแนนเต็ม]]),"",(tbl_task6[132]/tbl_task6[[คะแนนเต็ม]:[คะแนนเต็ม]])*tbl_task6[[%]:[%]])</f>
        <v/>
      </c>
      <c r="KQ27" s="121" t="str">
        <f>IF(ISBLANK(tbl_task6[[คะแนนเต็ม]:[คะแนนเต็ม]]),"",(tbl_task6[133]/tbl_task6[[คะแนนเต็ม]:[คะแนนเต็ม]])*tbl_task6[[%]:[%]])</f>
        <v/>
      </c>
      <c r="KR27" s="121" t="str">
        <f>IF(ISBLANK(tbl_task6[[คะแนนเต็ม]:[คะแนนเต็ม]]),"",(tbl_task6[134]/tbl_task6[[คะแนนเต็ม]:[คะแนนเต็ม]])*tbl_task6[[%]:[%]])</f>
        <v/>
      </c>
      <c r="KS27" s="121" t="str">
        <f>IF(ISBLANK(tbl_task6[[คะแนนเต็ม]:[คะแนนเต็ม]]),"",(tbl_task6[135]/tbl_task6[[คะแนนเต็ม]:[คะแนนเต็ม]])*tbl_task6[[%]:[%]])</f>
        <v/>
      </c>
      <c r="KT27" s="121" t="str">
        <f>IF(ISBLANK(tbl_task6[[คะแนนเต็ม]:[คะแนนเต็ม]]),"",(tbl_task6[136]/tbl_task6[[คะแนนเต็ม]:[คะแนนเต็ม]])*tbl_task6[[%]:[%]])</f>
        <v/>
      </c>
      <c r="KU27" s="121" t="str">
        <f>IF(ISBLANK(tbl_task6[[คะแนนเต็ม]:[คะแนนเต็ม]]),"",(tbl_task6[137]/tbl_task6[[คะแนนเต็ม]:[คะแนนเต็ม]])*tbl_task6[[%]:[%]])</f>
        <v/>
      </c>
      <c r="KV27" s="121" t="str">
        <f>IF(ISBLANK(tbl_task6[[คะแนนเต็ม]:[คะแนนเต็ม]]),"",(tbl_task6[138]/tbl_task6[[คะแนนเต็ม]:[คะแนนเต็ม]])*tbl_task6[[%]:[%]])</f>
        <v/>
      </c>
      <c r="KW27" s="121" t="str">
        <f>IF(ISBLANK(tbl_task6[[คะแนนเต็ม]:[คะแนนเต็ม]]),"",(tbl_task6[139]/tbl_task6[[คะแนนเต็ม]:[คะแนนเต็ม]])*tbl_task6[[%]:[%]])</f>
        <v/>
      </c>
      <c r="KX27" s="121" t="str">
        <f>IF(ISBLANK(tbl_task6[[คะแนนเต็ม]:[คะแนนเต็ม]]),"",(tbl_task6[140]/tbl_task6[[คะแนนเต็ม]:[คะแนนเต็ม]])*tbl_task6[[%]:[%]])</f>
        <v/>
      </c>
      <c r="KY27" s="121" t="str">
        <f>IF(ISBLANK(tbl_task6[[คะแนนเต็ม]:[คะแนนเต็ม]]),"",(tbl_task6[141]/tbl_task6[[คะแนนเต็ม]:[คะแนนเต็ม]])*tbl_task6[[%]:[%]])</f>
        <v/>
      </c>
      <c r="KZ27" s="121" t="str">
        <f>IF(ISBLANK(tbl_task6[[คะแนนเต็ม]:[คะแนนเต็ม]]),"",(tbl_task6[142]/tbl_task6[[คะแนนเต็ม]:[คะแนนเต็ม]])*tbl_task6[[%]:[%]])</f>
        <v/>
      </c>
      <c r="LA27" s="121" t="str">
        <f>IF(ISBLANK(tbl_task6[[คะแนนเต็ม]:[คะแนนเต็ม]]),"",(tbl_task6[143]/tbl_task6[[คะแนนเต็ม]:[คะแนนเต็ม]])*tbl_task6[[%]:[%]])</f>
        <v/>
      </c>
      <c r="LB27" s="121" t="str">
        <f>IF(ISBLANK(tbl_task6[[คะแนนเต็ม]:[คะแนนเต็ม]]),"",(tbl_task6[144]/tbl_task6[[คะแนนเต็ม]:[คะแนนเต็ม]])*tbl_task6[[%]:[%]])</f>
        <v/>
      </c>
      <c r="LC27" s="121" t="str">
        <f>IF(ISBLANK(tbl_task6[[คะแนนเต็ม]:[คะแนนเต็ม]]),"",(tbl_task6[145]/tbl_task6[[คะแนนเต็ม]:[คะแนนเต็ม]])*tbl_task6[[%]:[%]])</f>
        <v/>
      </c>
      <c r="LD27" s="121" t="str">
        <f>IF(ISBLANK(tbl_task6[[คะแนนเต็ม]:[คะแนนเต็ม]]),"",(tbl_task6[146]/tbl_task6[[คะแนนเต็ม]:[คะแนนเต็ม]])*tbl_task6[[%]:[%]])</f>
        <v/>
      </c>
      <c r="LE27" s="121" t="str">
        <f>IF(ISBLANK(tbl_task6[[คะแนนเต็ม]:[คะแนนเต็ม]]),"",(tbl_task6[147]/tbl_task6[[คะแนนเต็ม]:[คะแนนเต็ม]])*tbl_task6[[%]:[%]])</f>
        <v/>
      </c>
      <c r="LF27" s="121" t="str">
        <f>IF(ISBLANK(tbl_task6[[คะแนนเต็ม]:[คะแนนเต็ม]]),"",(tbl_task6[148]/tbl_task6[[คะแนนเต็ม]:[คะแนนเต็ม]])*tbl_task6[[%]:[%]])</f>
        <v/>
      </c>
      <c r="LG27" s="121" t="str">
        <f>IF(ISBLANK(tbl_task6[[คะแนนเต็ม]:[คะแนนเต็ม]]),"",(tbl_task6[149]/tbl_task6[[คะแนนเต็ม]:[คะแนนเต็ม]])*tbl_task6[[%]:[%]])</f>
        <v/>
      </c>
      <c r="LH27" s="121" t="str">
        <f>IF(ISBLANK(tbl_task6[[คะแนนเต็ม]:[คะแนนเต็ม]]),"",(tbl_task6[150]/tbl_task6[[คะแนนเต็ม]:[คะแนนเต็ม]])*tbl_task6[[%]:[%]])</f>
        <v/>
      </c>
      <c r="LI27" s="121" t="str">
        <f>IF(ISBLANK(tbl_task6[[คะแนนเต็ม]:[คะแนนเต็ม]]),"",(tbl_task6[151]/tbl_task6[[คะแนนเต็ม]:[คะแนนเต็ม]])*tbl_task6[[%]:[%]])</f>
        <v/>
      </c>
      <c r="LJ27" s="121" t="str">
        <f>IF(ISBLANK(tbl_task6[[คะแนนเต็ม]:[คะแนนเต็ม]]),"",(tbl_task6[152]/tbl_task6[[คะแนนเต็ม]:[คะแนนเต็ม]])*tbl_task6[[%]:[%]])</f>
        <v/>
      </c>
      <c r="LK27" s="121" t="str">
        <f>IF(ISBLANK(tbl_task6[[คะแนนเต็ม]:[คะแนนเต็ม]]),"",(tbl_task6[153]/tbl_task6[[คะแนนเต็ม]:[คะแนนเต็ม]])*tbl_task6[[%]:[%]])</f>
        <v/>
      </c>
      <c r="LL27" s="121" t="str">
        <f>IF(ISBLANK(tbl_task6[[คะแนนเต็ม]:[คะแนนเต็ม]]),"",(tbl_task6[154]/tbl_task6[[คะแนนเต็ม]:[คะแนนเต็ม]])*tbl_task6[[%]:[%]])</f>
        <v/>
      </c>
      <c r="LM27" s="121" t="str">
        <f>IF(ISBLANK(tbl_task6[[คะแนนเต็ม]:[คะแนนเต็ม]]),"",(tbl_task6[155]/tbl_task6[[คะแนนเต็ม]:[คะแนนเต็ม]])*tbl_task6[[%]:[%]])</f>
        <v/>
      </c>
      <c r="LN27" s="121" t="str">
        <f>IF(ISBLANK(tbl_task6[[คะแนนเต็ม]:[คะแนนเต็ม]]),"",(tbl_task6[156]/tbl_task6[[คะแนนเต็ม]:[คะแนนเต็ม]])*tbl_task6[[%]:[%]])</f>
        <v/>
      </c>
      <c r="LO27" s="121" t="str">
        <f>IF(ISBLANK(tbl_task6[[คะแนนเต็ม]:[คะแนนเต็ม]]),"",(tbl_task6[157]/tbl_task6[[คะแนนเต็ม]:[คะแนนเต็ม]])*tbl_task6[[%]:[%]])</f>
        <v/>
      </c>
      <c r="LP27" s="121" t="str">
        <f>IF(ISBLANK(tbl_task6[[คะแนนเต็ม]:[คะแนนเต็ม]]),"",(tbl_task6[158]/tbl_task6[[คะแนนเต็ม]:[คะแนนเต็ม]])*tbl_task6[[%]:[%]])</f>
        <v/>
      </c>
      <c r="LQ27" s="121" t="str">
        <f>IF(ISBLANK(tbl_task6[[คะแนนเต็ม]:[คะแนนเต็ม]]),"",(tbl_task6[159]/tbl_task6[[คะแนนเต็ม]:[คะแนนเต็ม]])*tbl_task6[[%]:[%]])</f>
        <v/>
      </c>
      <c r="LR27" s="121" t="str">
        <f>IF(ISBLANK(tbl_task6[[คะแนนเต็ม]:[คะแนนเต็ม]]),"",(tbl_task6[160]/tbl_task6[[คะแนนเต็ม]:[คะแนนเต็ม]])*tbl_task6[[%]:[%]])</f>
        <v/>
      </c>
      <c r="LS27" s="121" t="str">
        <f>IF(ISBLANK(tbl_task6[[คะแนนเต็ม]:[คะแนนเต็ม]]),"",(tbl_task6[161]/tbl_task6[[คะแนนเต็ม]:[คะแนนเต็ม]])*tbl_task6[[%]:[%]])</f>
        <v/>
      </c>
      <c r="LT27" s="121" t="str">
        <f>IF(ISBLANK(tbl_task6[[คะแนนเต็ม]:[คะแนนเต็ม]]),"",(tbl_task6[162]/tbl_task6[[คะแนนเต็ม]:[คะแนนเต็ม]])*tbl_task6[[%]:[%]])</f>
        <v/>
      </c>
      <c r="LU27" s="121" t="str">
        <f>IF(ISBLANK(tbl_task6[[คะแนนเต็ม]:[คะแนนเต็ม]]),"",(tbl_task6[163]/tbl_task6[[คะแนนเต็ม]:[คะแนนเต็ม]])*tbl_task6[[%]:[%]])</f>
        <v/>
      </c>
      <c r="LV27" s="121" t="str">
        <f>IF(ISBLANK(tbl_task6[[คะแนนเต็ม]:[คะแนนเต็ม]]),"",(tbl_task6[164]/tbl_task6[[คะแนนเต็ม]:[คะแนนเต็ม]])*tbl_task6[[%]:[%]])</f>
        <v/>
      </c>
      <c r="LW27" s="121" t="str">
        <f>IF(ISBLANK(tbl_task6[[คะแนนเต็ม]:[คะแนนเต็ม]]),"",(tbl_task6[165]/tbl_task6[[คะแนนเต็ม]:[คะแนนเต็ม]])*tbl_task6[[%]:[%]])</f>
        <v/>
      </c>
    </row>
    <row r="28" spans="1:335" ht="24" customHeight="1" x14ac:dyDescent="0.25">
      <c r="A28" s="24">
        <v>25</v>
      </c>
      <c r="B28" s="25"/>
      <c r="C28" s="26" t="str">
        <f>IF(ISBLANK(B28),"",VLOOKUP(B28,tbl_PLOs[],2,0))</f>
        <v/>
      </c>
      <c r="D28" s="103"/>
      <c r="E28" s="10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121" t="str">
        <f>IF(ISBLANK(tbl_task6[[คะแนนเต็ม]:[คะแนนเต็ม]]),"",(tbl_task6[1]/tbl_task6[[คะแนนเต็ม]:[คะแนนเต็ม]])*tbl_task6[[%]:[%]])</f>
        <v/>
      </c>
      <c r="FP28" s="121" t="str">
        <f>IF(ISBLANK(tbl_task6[[คะแนนเต็ม]:[คะแนนเต็ม]]),"",(tbl_task6[2]/tbl_task6[[คะแนนเต็ม]:[คะแนนเต็ม]])*tbl_task6[[%]:[%]])</f>
        <v/>
      </c>
      <c r="FQ28" s="121" t="str">
        <f>IF(ISBLANK(tbl_task6[[คะแนนเต็ม]:[คะแนนเต็ม]]),"",(tbl_task6[3]/tbl_task6[[คะแนนเต็ม]:[คะแนนเต็ม]])*tbl_task6[[%]:[%]])</f>
        <v/>
      </c>
      <c r="FR28" s="121" t="str">
        <f>IF(ISBLANK(tbl_task6[[คะแนนเต็ม]:[คะแนนเต็ม]]),"",(tbl_task6[4]/tbl_task6[[คะแนนเต็ม]:[คะแนนเต็ม]])*tbl_task6[[%]:[%]])</f>
        <v/>
      </c>
      <c r="FS28" s="121" t="str">
        <f>IF(ISBLANK(tbl_task6[[คะแนนเต็ม]:[คะแนนเต็ม]]),"",(tbl_task6[5]/tbl_task6[[คะแนนเต็ม]:[คะแนนเต็ม]])*tbl_task6[[%]:[%]])</f>
        <v/>
      </c>
      <c r="FT28" s="121" t="str">
        <f>IF(ISBLANK(tbl_task6[[คะแนนเต็ม]:[คะแนนเต็ม]]),"",(tbl_task6[6]/tbl_task6[[คะแนนเต็ม]:[คะแนนเต็ม]])*tbl_task6[[%]:[%]])</f>
        <v/>
      </c>
      <c r="FU28" s="121" t="str">
        <f>IF(ISBLANK(tbl_task6[[คะแนนเต็ม]:[คะแนนเต็ม]]),"",(tbl_task6[7]/tbl_task6[[คะแนนเต็ม]:[คะแนนเต็ม]])*tbl_task6[[%]:[%]])</f>
        <v/>
      </c>
      <c r="FV28" s="121" t="str">
        <f>IF(ISBLANK(tbl_task6[[คะแนนเต็ม]:[คะแนนเต็ม]]),"",(tbl_task6[8]/tbl_task6[[คะแนนเต็ม]:[คะแนนเต็ม]])*tbl_task6[[%]:[%]])</f>
        <v/>
      </c>
      <c r="FW28" s="121" t="str">
        <f>IF(ISBLANK(tbl_task6[[คะแนนเต็ม]:[คะแนนเต็ม]]),"",(tbl_task6[9]/tbl_task6[[คะแนนเต็ม]:[คะแนนเต็ม]])*tbl_task6[[%]:[%]])</f>
        <v/>
      </c>
      <c r="FX28" s="121" t="str">
        <f>IF(ISBLANK(tbl_task6[[คะแนนเต็ม]:[คะแนนเต็ม]]),"",(tbl_task6[10]/tbl_task6[[คะแนนเต็ม]:[คะแนนเต็ม]])*tbl_task6[[%]:[%]])</f>
        <v/>
      </c>
      <c r="FY28" s="121" t="str">
        <f>IF(ISBLANK(tbl_task6[[คะแนนเต็ม]:[คะแนนเต็ม]]),"",(tbl_task6[11]/tbl_task6[[คะแนนเต็ม]:[คะแนนเต็ม]])*tbl_task6[[%]:[%]])</f>
        <v/>
      </c>
      <c r="FZ28" s="121" t="str">
        <f>IF(ISBLANK(tbl_task6[[คะแนนเต็ม]:[คะแนนเต็ม]]),"",(tbl_task6[12]/tbl_task6[[คะแนนเต็ม]:[คะแนนเต็ม]])*tbl_task6[[%]:[%]])</f>
        <v/>
      </c>
      <c r="GA28" s="121" t="str">
        <f>IF(ISBLANK(tbl_task6[[คะแนนเต็ม]:[คะแนนเต็ม]]),"",(tbl_task6[13]/tbl_task6[[คะแนนเต็ม]:[คะแนนเต็ม]])*tbl_task6[[%]:[%]])</f>
        <v/>
      </c>
      <c r="GB28" s="121" t="str">
        <f>IF(ISBLANK(tbl_task6[[คะแนนเต็ม]:[คะแนนเต็ม]]),"",(tbl_task6[14]/tbl_task6[[คะแนนเต็ม]:[คะแนนเต็ม]])*tbl_task6[[%]:[%]])</f>
        <v/>
      </c>
      <c r="GC28" s="121" t="str">
        <f>IF(ISBLANK(tbl_task6[[คะแนนเต็ม]:[คะแนนเต็ม]]),"",(tbl_task6[15]/tbl_task6[[คะแนนเต็ม]:[คะแนนเต็ม]])*tbl_task6[[%]:[%]])</f>
        <v/>
      </c>
      <c r="GD28" s="121" t="str">
        <f>IF(ISBLANK(tbl_task6[[คะแนนเต็ม]:[คะแนนเต็ม]]),"",(tbl_task6[16]/tbl_task6[[คะแนนเต็ม]:[คะแนนเต็ม]])*tbl_task6[[%]:[%]])</f>
        <v/>
      </c>
      <c r="GE28" s="121" t="str">
        <f>IF(ISBLANK(tbl_task6[[คะแนนเต็ม]:[คะแนนเต็ม]]),"",(tbl_task6[17]/tbl_task6[[คะแนนเต็ม]:[คะแนนเต็ม]])*tbl_task6[[%]:[%]])</f>
        <v/>
      </c>
      <c r="GF28" s="121" t="str">
        <f>IF(ISBLANK(tbl_task6[[คะแนนเต็ม]:[คะแนนเต็ม]]),"",(tbl_task6[18]/tbl_task6[[คะแนนเต็ม]:[คะแนนเต็ม]])*tbl_task6[[%]:[%]])</f>
        <v/>
      </c>
      <c r="GG28" s="121" t="str">
        <f>IF(ISBLANK(tbl_task6[[คะแนนเต็ม]:[คะแนนเต็ม]]),"",(tbl_task6[19]/tbl_task6[[คะแนนเต็ม]:[คะแนนเต็ม]])*tbl_task6[[%]:[%]])</f>
        <v/>
      </c>
      <c r="GH28" s="121" t="str">
        <f>IF(ISBLANK(tbl_task6[[คะแนนเต็ม]:[คะแนนเต็ม]]),"",(tbl_task6[20]/tbl_task6[[คะแนนเต็ม]:[คะแนนเต็ม]])*tbl_task6[[%]:[%]])</f>
        <v/>
      </c>
      <c r="GI28" s="121" t="str">
        <f>IF(ISBLANK(tbl_task6[[คะแนนเต็ม]:[คะแนนเต็ม]]),"",(tbl_task6[21]/tbl_task6[[คะแนนเต็ม]:[คะแนนเต็ม]])*tbl_task6[[%]:[%]])</f>
        <v/>
      </c>
      <c r="GJ28" s="121" t="str">
        <f>IF(ISBLANK(tbl_task6[[คะแนนเต็ม]:[คะแนนเต็ม]]),"",(tbl_task6[22]/tbl_task6[[คะแนนเต็ม]:[คะแนนเต็ม]])*tbl_task6[[%]:[%]])</f>
        <v/>
      </c>
      <c r="GK28" s="121" t="str">
        <f>IF(ISBLANK(tbl_task6[[คะแนนเต็ม]:[คะแนนเต็ม]]),"",(tbl_task6[23]/tbl_task6[[คะแนนเต็ม]:[คะแนนเต็ม]])*tbl_task6[[%]:[%]])</f>
        <v/>
      </c>
      <c r="GL28" s="121" t="str">
        <f>IF(ISBLANK(tbl_task6[[คะแนนเต็ม]:[คะแนนเต็ม]]),"",(tbl_task6[24]/tbl_task6[[คะแนนเต็ม]:[คะแนนเต็ม]])*tbl_task6[[%]:[%]])</f>
        <v/>
      </c>
      <c r="GM28" s="121" t="str">
        <f>IF(ISBLANK(tbl_task6[[คะแนนเต็ม]:[คะแนนเต็ม]]),"",(tbl_task6[25]/tbl_task6[[คะแนนเต็ม]:[คะแนนเต็ม]])*tbl_task6[[%]:[%]])</f>
        <v/>
      </c>
      <c r="GN28" s="121" t="str">
        <f>IF(ISBLANK(tbl_task6[[คะแนนเต็ม]:[คะแนนเต็ม]]),"",(tbl_task6[26]/tbl_task6[[คะแนนเต็ม]:[คะแนนเต็ม]])*tbl_task6[[%]:[%]])</f>
        <v/>
      </c>
      <c r="GO28" s="121" t="str">
        <f>IF(ISBLANK(tbl_task6[[คะแนนเต็ม]:[คะแนนเต็ม]]),"",(tbl_task6[27]/tbl_task6[[คะแนนเต็ม]:[คะแนนเต็ม]])*tbl_task6[[%]:[%]])</f>
        <v/>
      </c>
      <c r="GP28" s="121" t="str">
        <f>IF(ISBLANK(tbl_task6[[คะแนนเต็ม]:[คะแนนเต็ม]]),"",(tbl_task6[28]/tbl_task6[[คะแนนเต็ม]:[คะแนนเต็ม]])*tbl_task6[[%]:[%]])</f>
        <v/>
      </c>
      <c r="GQ28" s="121" t="str">
        <f>IF(ISBLANK(tbl_task6[[คะแนนเต็ม]:[คะแนนเต็ม]]),"",(tbl_task6[29]/tbl_task6[[คะแนนเต็ม]:[คะแนนเต็ม]])*tbl_task6[[%]:[%]])</f>
        <v/>
      </c>
      <c r="GR28" s="121" t="str">
        <f>IF(ISBLANK(tbl_task6[[คะแนนเต็ม]:[คะแนนเต็ม]]),"",(tbl_task6[30]/tbl_task6[[คะแนนเต็ม]:[คะแนนเต็ม]])*tbl_task6[[%]:[%]])</f>
        <v/>
      </c>
      <c r="GS28" s="121" t="str">
        <f>IF(ISBLANK(tbl_task6[[คะแนนเต็ม]:[คะแนนเต็ม]]),"",(tbl_task6[31]/tbl_task6[[คะแนนเต็ม]:[คะแนนเต็ม]])*tbl_task6[[%]:[%]])</f>
        <v/>
      </c>
      <c r="GT28" s="121" t="str">
        <f>IF(ISBLANK(tbl_task6[[คะแนนเต็ม]:[คะแนนเต็ม]]),"",(tbl_task6[32]/tbl_task6[[คะแนนเต็ม]:[คะแนนเต็ม]])*tbl_task6[[%]:[%]])</f>
        <v/>
      </c>
      <c r="GU28" s="121" t="str">
        <f>IF(ISBLANK(tbl_task6[[คะแนนเต็ม]:[คะแนนเต็ม]]),"",(tbl_task6[33]/tbl_task6[[คะแนนเต็ม]:[คะแนนเต็ม]])*tbl_task6[[%]:[%]])</f>
        <v/>
      </c>
      <c r="GV28" s="121" t="str">
        <f>IF(ISBLANK(tbl_task6[[คะแนนเต็ม]:[คะแนนเต็ม]]),"",(tbl_task6[34]/tbl_task6[[คะแนนเต็ม]:[คะแนนเต็ม]])*tbl_task6[[%]:[%]])</f>
        <v/>
      </c>
      <c r="GW28" s="121" t="str">
        <f>IF(ISBLANK(tbl_task6[[คะแนนเต็ม]:[คะแนนเต็ม]]),"",(tbl_task6[35]/tbl_task6[[คะแนนเต็ม]:[คะแนนเต็ม]])*tbl_task6[[%]:[%]])</f>
        <v/>
      </c>
      <c r="GX28" s="121" t="str">
        <f>IF(ISBLANK(tbl_task6[[คะแนนเต็ม]:[คะแนนเต็ม]]),"",(tbl_task6[36]/tbl_task6[[คะแนนเต็ม]:[คะแนนเต็ม]])*tbl_task6[[%]:[%]])</f>
        <v/>
      </c>
      <c r="GY28" s="121" t="str">
        <f>IF(ISBLANK(tbl_task6[[คะแนนเต็ม]:[คะแนนเต็ม]]),"",(tbl_task6[37]/tbl_task6[[คะแนนเต็ม]:[คะแนนเต็ม]])*tbl_task6[[%]:[%]])</f>
        <v/>
      </c>
      <c r="GZ28" s="121" t="str">
        <f>IF(ISBLANK(tbl_task6[[คะแนนเต็ม]:[คะแนนเต็ม]]),"",(tbl_task6[38]/tbl_task6[[คะแนนเต็ม]:[คะแนนเต็ม]])*tbl_task6[[%]:[%]])</f>
        <v/>
      </c>
      <c r="HA28" s="121" t="str">
        <f>IF(ISBLANK(tbl_task6[[คะแนนเต็ม]:[คะแนนเต็ม]]),"",(tbl_task6[39]/tbl_task6[[คะแนนเต็ม]:[คะแนนเต็ม]])*tbl_task6[[%]:[%]])</f>
        <v/>
      </c>
      <c r="HB28" s="121" t="str">
        <f>IF(ISBLANK(tbl_task6[[คะแนนเต็ม]:[คะแนนเต็ม]]),"",(tbl_task6[40]/tbl_task6[[คะแนนเต็ม]:[คะแนนเต็ม]])*tbl_task6[[%]:[%]])</f>
        <v/>
      </c>
      <c r="HC28" s="121" t="str">
        <f>IF(ISBLANK(tbl_task6[[คะแนนเต็ม]:[คะแนนเต็ม]]),"",(tbl_task6[41]/tbl_task6[[คะแนนเต็ม]:[คะแนนเต็ม]])*tbl_task6[[%]:[%]])</f>
        <v/>
      </c>
      <c r="HD28" s="121" t="str">
        <f>IF(ISBLANK(tbl_task6[[คะแนนเต็ม]:[คะแนนเต็ม]]),"",(tbl_task6[42]/tbl_task6[[คะแนนเต็ม]:[คะแนนเต็ม]])*tbl_task6[[%]:[%]])</f>
        <v/>
      </c>
      <c r="HE28" s="121" t="str">
        <f>IF(ISBLANK(tbl_task6[[คะแนนเต็ม]:[คะแนนเต็ม]]),"",(tbl_task6[43]/tbl_task6[[คะแนนเต็ม]:[คะแนนเต็ม]])*tbl_task6[[%]:[%]])</f>
        <v/>
      </c>
      <c r="HF28" s="121" t="str">
        <f>IF(ISBLANK(tbl_task6[[คะแนนเต็ม]:[คะแนนเต็ม]]),"",(tbl_task6[44]/tbl_task6[[คะแนนเต็ม]:[คะแนนเต็ม]])*tbl_task6[[%]:[%]])</f>
        <v/>
      </c>
      <c r="HG28" s="121" t="str">
        <f>IF(ISBLANK(tbl_task6[[คะแนนเต็ม]:[คะแนนเต็ม]]),"",(tbl_task6[45]/tbl_task6[[คะแนนเต็ม]:[คะแนนเต็ม]])*tbl_task6[[%]:[%]])</f>
        <v/>
      </c>
      <c r="HH28" s="121" t="str">
        <f>IF(ISBLANK(tbl_task6[[คะแนนเต็ม]:[คะแนนเต็ม]]),"",(tbl_task6[46]/tbl_task6[[คะแนนเต็ม]:[คะแนนเต็ม]])*tbl_task6[[%]:[%]])</f>
        <v/>
      </c>
      <c r="HI28" s="121" t="str">
        <f>IF(ISBLANK(tbl_task6[[คะแนนเต็ม]:[คะแนนเต็ม]]),"",(tbl_task6[47]/tbl_task6[[คะแนนเต็ม]:[คะแนนเต็ม]])*tbl_task6[[%]:[%]])</f>
        <v/>
      </c>
      <c r="HJ28" s="121" t="str">
        <f>IF(ISBLANK(tbl_task6[[คะแนนเต็ม]:[คะแนนเต็ม]]),"",(tbl_task6[48]/tbl_task6[[คะแนนเต็ม]:[คะแนนเต็ม]])*tbl_task6[[%]:[%]])</f>
        <v/>
      </c>
      <c r="HK28" s="121" t="str">
        <f>IF(ISBLANK(tbl_task6[[คะแนนเต็ม]:[คะแนนเต็ม]]),"",(tbl_task6[49]/tbl_task6[[คะแนนเต็ม]:[คะแนนเต็ม]])*tbl_task6[[%]:[%]])</f>
        <v/>
      </c>
      <c r="HL28" s="121" t="str">
        <f>IF(ISBLANK(tbl_task6[[คะแนนเต็ม]:[คะแนนเต็ม]]),"",(tbl_task6[50]/tbl_task6[[คะแนนเต็ม]:[คะแนนเต็ม]])*tbl_task6[[%]:[%]])</f>
        <v/>
      </c>
      <c r="HM28" s="121" t="str">
        <f>IF(ISBLANK(tbl_task6[[คะแนนเต็ม]:[คะแนนเต็ม]]),"",(tbl_task6[51]/tbl_task6[[คะแนนเต็ม]:[คะแนนเต็ม]])*tbl_task6[[%]:[%]])</f>
        <v/>
      </c>
      <c r="HN28" s="121" t="str">
        <f>IF(ISBLANK(tbl_task6[[คะแนนเต็ม]:[คะแนนเต็ม]]),"",(tbl_task6[52]/tbl_task6[[คะแนนเต็ม]:[คะแนนเต็ม]])*tbl_task6[[%]:[%]])</f>
        <v/>
      </c>
      <c r="HO28" s="121" t="str">
        <f>IF(ISBLANK(tbl_task6[[คะแนนเต็ม]:[คะแนนเต็ม]]),"",(tbl_task6[53]/tbl_task6[[คะแนนเต็ม]:[คะแนนเต็ม]])*tbl_task6[[%]:[%]])</f>
        <v/>
      </c>
      <c r="HP28" s="121" t="str">
        <f>IF(ISBLANK(tbl_task6[[คะแนนเต็ม]:[คะแนนเต็ม]]),"",(tbl_task6[54]/tbl_task6[[คะแนนเต็ม]:[คะแนนเต็ม]])*tbl_task6[[%]:[%]])</f>
        <v/>
      </c>
      <c r="HQ28" s="121" t="str">
        <f>IF(ISBLANK(tbl_task6[[คะแนนเต็ม]:[คะแนนเต็ม]]),"",(tbl_task6[55]/tbl_task6[[คะแนนเต็ม]:[คะแนนเต็ม]])*tbl_task6[[%]:[%]])</f>
        <v/>
      </c>
      <c r="HR28" s="121" t="str">
        <f>IF(ISBLANK(tbl_task6[[คะแนนเต็ม]:[คะแนนเต็ม]]),"",(tbl_task6[56]/tbl_task6[[คะแนนเต็ม]:[คะแนนเต็ม]])*tbl_task6[[%]:[%]])</f>
        <v/>
      </c>
      <c r="HS28" s="121" t="str">
        <f>IF(ISBLANK(tbl_task6[[คะแนนเต็ม]:[คะแนนเต็ม]]),"",(tbl_task6[57]/tbl_task6[[คะแนนเต็ม]:[คะแนนเต็ม]])*tbl_task6[[%]:[%]])</f>
        <v/>
      </c>
      <c r="HT28" s="121" t="str">
        <f>IF(ISBLANK(tbl_task6[[คะแนนเต็ม]:[คะแนนเต็ม]]),"",(tbl_task6[58]/tbl_task6[[คะแนนเต็ม]:[คะแนนเต็ม]])*tbl_task6[[%]:[%]])</f>
        <v/>
      </c>
      <c r="HU28" s="121" t="str">
        <f>IF(ISBLANK(tbl_task6[[คะแนนเต็ม]:[คะแนนเต็ม]]),"",(tbl_task6[59]/tbl_task6[[คะแนนเต็ม]:[คะแนนเต็ม]])*tbl_task6[[%]:[%]])</f>
        <v/>
      </c>
      <c r="HV28" s="121" t="str">
        <f>IF(ISBLANK(tbl_task6[[คะแนนเต็ม]:[คะแนนเต็ม]]),"",(tbl_task6[60]/tbl_task6[[คะแนนเต็ม]:[คะแนนเต็ม]])*tbl_task6[[%]:[%]])</f>
        <v/>
      </c>
      <c r="HW28" s="121" t="str">
        <f>IF(ISBLANK(tbl_task6[[คะแนนเต็ม]:[คะแนนเต็ม]]),"",(tbl_task6[61]/tbl_task6[[คะแนนเต็ม]:[คะแนนเต็ม]])*tbl_task6[[%]:[%]])</f>
        <v/>
      </c>
      <c r="HX28" s="121" t="str">
        <f>IF(ISBLANK(tbl_task6[[คะแนนเต็ม]:[คะแนนเต็ม]]),"",(tbl_task6[62]/tbl_task6[[คะแนนเต็ม]:[คะแนนเต็ม]])*tbl_task6[[%]:[%]])</f>
        <v/>
      </c>
      <c r="HY28" s="121" t="str">
        <f>IF(ISBLANK(tbl_task6[[คะแนนเต็ม]:[คะแนนเต็ม]]),"",(tbl_task6[63]/tbl_task6[[คะแนนเต็ม]:[คะแนนเต็ม]])*tbl_task6[[%]:[%]])</f>
        <v/>
      </c>
      <c r="HZ28" s="121" t="str">
        <f>IF(ISBLANK(tbl_task6[[คะแนนเต็ม]:[คะแนนเต็ม]]),"",(tbl_task6[64]/tbl_task6[[คะแนนเต็ม]:[คะแนนเต็ม]])*tbl_task6[[%]:[%]])</f>
        <v/>
      </c>
      <c r="IA28" s="121" t="str">
        <f>IF(ISBLANK(tbl_task6[[คะแนนเต็ม]:[คะแนนเต็ม]]),"",(tbl_task6[65]/tbl_task6[[คะแนนเต็ม]:[คะแนนเต็ม]])*tbl_task6[[%]:[%]])</f>
        <v/>
      </c>
      <c r="IB28" s="121" t="str">
        <f>IF(ISBLANK(tbl_task6[[คะแนนเต็ม]:[คะแนนเต็ม]]),"",(tbl_task6[66]/tbl_task6[[คะแนนเต็ม]:[คะแนนเต็ม]])*tbl_task6[[%]:[%]])</f>
        <v/>
      </c>
      <c r="IC28" s="121" t="str">
        <f>IF(ISBLANK(tbl_task6[[คะแนนเต็ม]:[คะแนนเต็ม]]),"",(tbl_task6[67]/tbl_task6[[คะแนนเต็ม]:[คะแนนเต็ม]])*tbl_task6[[%]:[%]])</f>
        <v/>
      </c>
      <c r="ID28" s="121" t="str">
        <f>IF(ISBLANK(tbl_task6[[คะแนนเต็ม]:[คะแนนเต็ม]]),"",(tbl_task6[68]/tbl_task6[[คะแนนเต็ม]:[คะแนนเต็ม]])*tbl_task6[[%]:[%]])</f>
        <v/>
      </c>
      <c r="IE28" s="121" t="str">
        <f>IF(ISBLANK(tbl_task6[[คะแนนเต็ม]:[คะแนนเต็ม]]),"",(tbl_task6[69]/tbl_task6[[คะแนนเต็ม]:[คะแนนเต็ม]])*tbl_task6[[%]:[%]])</f>
        <v/>
      </c>
      <c r="IF28" s="121" t="str">
        <f>IF(ISBLANK(tbl_task6[[คะแนนเต็ม]:[คะแนนเต็ม]]),"",(tbl_task6[70]/tbl_task6[[คะแนนเต็ม]:[คะแนนเต็ม]])*tbl_task6[[%]:[%]])</f>
        <v/>
      </c>
      <c r="IG28" s="121" t="str">
        <f>IF(ISBLANK(tbl_task6[[คะแนนเต็ม]:[คะแนนเต็ม]]),"",(tbl_task6[71]/tbl_task6[[คะแนนเต็ม]:[คะแนนเต็ม]])*tbl_task6[[%]:[%]])</f>
        <v/>
      </c>
      <c r="IH28" s="121" t="str">
        <f>IF(ISBLANK(tbl_task6[[คะแนนเต็ม]:[คะแนนเต็ม]]),"",(tbl_task6[72]/tbl_task6[[คะแนนเต็ม]:[คะแนนเต็ม]])*tbl_task6[[%]:[%]])</f>
        <v/>
      </c>
      <c r="II28" s="121" t="str">
        <f>IF(ISBLANK(tbl_task6[[คะแนนเต็ม]:[คะแนนเต็ม]]),"",(tbl_task6[73]/tbl_task6[[คะแนนเต็ม]:[คะแนนเต็ม]])*tbl_task6[[%]:[%]])</f>
        <v/>
      </c>
      <c r="IJ28" s="121" t="str">
        <f>IF(ISBLANK(tbl_task6[[คะแนนเต็ม]:[คะแนนเต็ม]]),"",(tbl_task6[74]/tbl_task6[[คะแนนเต็ม]:[คะแนนเต็ม]])*tbl_task6[[%]:[%]])</f>
        <v/>
      </c>
      <c r="IK28" s="121" t="str">
        <f>IF(ISBLANK(tbl_task6[[คะแนนเต็ม]:[คะแนนเต็ม]]),"",(tbl_task6[75]/tbl_task6[[คะแนนเต็ม]:[คะแนนเต็ม]])*tbl_task6[[%]:[%]])</f>
        <v/>
      </c>
      <c r="IL28" s="121" t="str">
        <f>IF(ISBLANK(tbl_task6[[คะแนนเต็ม]:[คะแนนเต็ม]]),"",(tbl_task6[76]/tbl_task6[[คะแนนเต็ม]:[คะแนนเต็ม]])*tbl_task6[[%]:[%]])</f>
        <v/>
      </c>
      <c r="IM28" s="121" t="str">
        <f>IF(ISBLANK(tbl_task6[[คะแนนเต็ม]:[คะแนนเต็ม]]),"",(tbl_task6[77]/tbl_task6[[คะแนนเต็ม]:[คะแนนเต็ม]])*tbl_task6[[%]:[%]])</f>
        <v/>
      </c>
      <c r="IN28" s="121" t="str">
        <f>IF(ISBLANK(tbl_task6[[คะแนนเต็ม]:[คะแนนเต็ม]]),"",(tbl_task6[78]/tbl_task6[[คะแนนเต็ม]:[คะแนนเต็ม]])*tbl_task6[[%]:[%]])</f>
        <v/>
      </c>
      <c r="IO28" s="121" t="str">
        <f>IF(ISBLANK(tbl_task6[[คะแนนเต็ม]:[คะแนนเต็ม]]),"",(tbl_task6[79]/tbl_task6[[คะแนนเต็ม]:[คะแนนเต็ม]])*tbl_task6[[%]:[%]])</f>
        <v/>
      </c>
      <c r="IP28" s="121" t="str">
        <f>IF(ISBLANK(tbl_task6[[คะแนนเต็ม]:[คะแนนเต็ม]]),"",(tbl_task6[80]/tbl_task6[[คะแนนเต็ม]:[คะแนนเต็ม]])*tbl_task6[[%]:[%]])</f>
        <v/>
      </c>
      <c r="IQ28" s="121" t="str">
        <f>IF(ISBLANK(tbl_task6[[คะแนนเต็ม]:[คะแนนเต็ม]]),"",(tbl_task6[81]/tbl_task6[[คะแนนเต็ม]:[คะแนนเต็ม]])*tbl_task6[[%]:[%]])</f>
        <v/>
      </c>
      <c r="IR28" s="121" t="str">
        <f>IF(ISBLANK(tbl_task6[[คะแนนเต็ม]:[คะแนนเต็ม]]),"",(tbl_task6[82]/tbl_task6[[คะแนนเต็ม]:[คะแนนเต็ม]])*tbl_task6[[%]:[%]])</f>
        <v/>
      </c>
      <c r="IS28" s="121" t="str">
        <f>IF(ISBLANK(tbl_task6[[คะแนนเต็ม]:[คะแนนเต็ม]]),"",(tbl_task6[83]/tbl_task6[[คะแนนเต็ม]:[คะแนนเต็ม]])*tbl_task6[[%]:[%]])</f>
        <v/>
      </c>
      <c r="IT28" s="121" t="str">
        <f>IF(ISBLANK(tbl_task6[[คะแนนเต็ม]:[คะแนนเต็ม]]),"",(tbl_task6[84]/tbl_task6[[คะแนนเต็ม]:[คะแนนเต็ม]])*tbl_task6[[%]:[%]])</f>
        <v/>
      </c>
      <c r="IU28" s="121" t="str">
        <f>IF(ISBLANK(tbl_task6[[คะแนนเต็ม]:[คะแนนเต็ม]]),"",(tbl_task6[85]/tbl_task6[[คะแนนเต็ม]:[คะแนนเต็ม]])*tbl_task6[[%]:[%]])</f>
        <v/>
      </c>
      <c r="IV28" s="121" t="str">
        <f>IF(ISBLANK(tbl_task6[[คะแนนเต็ม]:[คะแนนเต็ม]]),"",(tbl_task6[86]/tbl_task6[[คะแนนเต็ม]:[คะแนนเต็ม]])*tbl_task6[[%]:[%]])</f>
        <v/>
      </c>
      <c r="IW28" s="121" t="str">
        <f>IF(ISBLANK(tbl_task6[[คะแนนเต็ม]:[คะแนนเต็ม]]),"",(tbl_task6[87]/tbl_task6[[คะแนนเต็ม]:[คะแนนเต็ม]])*tbl_task6[[%]:[%]])</f>
        <v/>
      </c>
      <c r="IX28" s="121" t="str">
        <f>IF(ISBLANK(tbl_task6[[คะแนนเต็ม]:[คะแนนเต็ม]]),"",(tbl_task6[88]/tbl_task6[[คะแนนเต็ม]:[คะแนนเต็ม]])*tbl_task6[[%]:[%]])</f>
        <v/>
      </c>
      <c r="IY28" s="121" t="str">
        <f>IF(ISBLANK(tbl_task6[[คะแนนเต็ม]:[คะแนนเต็ม]]),"",(tbl_task6[89]/tbl_task6[[คะแนนเต็ม]:[คะแนนเต็ม]])*tbl_task6[[%]:[%]])</f>
        <v/>
      </c>
      <c r="IZ28" s="121" t="str">
        <f>IF(ISBLANK(tbl_task6[[คะแนนเต็ม]:[คะแนนเต็ม]]),"",(tbl_task6[90]/tbl_task6[[คะแนนเต็ม]:[คะแนนเต็ม]])*tbl_task6[[%]:[%]])</f>
        <v/>
      </c>
      <c r="JA28" s="121" t="str">
        <f>IF(ISBLANK(tbl_task6[[คะแนนเต็ม]:[คะแนนเต็ม]]),"",(tbl_task6[91]/tbl_task6[[คะแนนเต็ม]:[คะแนนเต็ม]])*tbl_task6[[%]:[%]])</f>
        <v/>
      </c>
      <c r="JB28" s="121" t="str">
        <f>IF(ISBLANK(tbl_task6[[คะแนนเต็ม]:[คะแนนเต็ม]]),"",(tbl_task6[92]/tbl_task6[[คะแนนเต็ม]:[คะแนนเต็ม]])*tbl_task6[[%]:[%]])</f>
        <v/>
      </c>
      <c r="JC28" s="121" t="str">
        <f>IF(ISBLANK(tbl_task6[[คะแนนเต็ม]:[คะแนนเต็ม]]),"",(tbl_task6[93]/tbl_task6[[คะแนนเต็ม]:[คะแนนเต็ม]])*tbl_task6[[%]:[%]])</f>
        <v/>
      </c>
      <c r="JD28" s="121" t="str">
        <f>IF(ISBLANK(tbl_task6[[คะแนนเต็ม]:[คะแนนเต็ม]]),"",(tbl_task6[94]/tbl_task6[[คะแนนเต็ม]:[คะแนนเต็ม]])*tbl_task6[[%]:[%]])</f>
        <v/>
      </c>
      <c r="JE28" s="121" t="str">
        <f>IF(ISBLANK(tbl_task6[[คะแนนเต็ม]:[คะแนนเต็ม]]),"",(tbl_task6[95]/tbl_task6[[คะแนนเต็ม]:[คะแนนเต็ม]])*tbl_task6[[%]:[%]])</f>
        <v/>
      </c>
      <c r="JF28" s="121" t="str">
        <f>IF(ISBLANK(tbl_task6[[คะแนนเต็ม]:[คะแนนเต็ม]]),"",(tbl_task6[96]/tbl_task6[[คะแนนเต็ม]:[คะแนนเต็ม]])*tbl_task6[[%]:[%]])</f>
        <v/>
      </c>
      <c r="JG28" s="121" t="str">
        <f>IF(ISBLANK(tbl_task6[[คะแนนเต็ม]:[คะแนนเต็ม]]),"",(tbl_task6[97]/tbl_task6[[คะแนนเต็ม]:[คะแนนเต็ม]])*tbl_task6[[%]:[%]])</f>
        <v/>
      </c>
      <c r="JH28" s="121" t="str">
        <f>IF(ISBLANK(tbl_task6[[คะแนนเต็ม]:[คะแนนเต็ม]]),"",(tbl_task6[98]/tbl_task6[[คะแนนเต็ม]:[คะแนนเต็ม]])*tbl_task6[[%]:[%]])</f>
        <v/>
      </c>
      <c r="JI28" s="121" t="str">
        <f>IF(ISBLANK(tbl_task6[[คะแนนเต็ม]:[คะแนนเต็ม]]),"",(tbl_task6[99]/tbl_task6[[คะแนนเต็ม]:[คะแนนเต็ม]])*tbl_task6[[%]:[%]])</f>
        <v/>
      </c>
      <c r="JJ28" s="121" t="str">
        <f>IF(ISBLANK(tbl_task6[[คะแนนเต็ม]:[คะแนนเต็ม]]),"",(tbl_task6[100]/tbl_task6[[คะแนนเต็ม]:[คะแนนเต็ม]])*tbl_task6[[%]:[%]])</f>
        <v/>
      </c>
      <c r="JK28" s="121" t="str">
        <f>IF(ISBLANK(tbl_task6[[คะแนนเต็ม]:[คะแนนเต็ม]]),"",(tbl_task6[101]/tbl_task6[[คะแนนเต็ม]:[คะแนนเต็ม]])*tbl_task6[[%]:[%]])</f>
        <v/>
      </c>
      <c r="JL28" s="121" t="str">
        <f>IF(ISBLANK(tbl_task6[[คะแนนเต็ม]:[คะแนนเต็ม]]),"",(tbl_task6[102]/tbl_task6[[คะแนนเต็ม]:[คะแนนเต็ม]])*tbl_task6[[%]:[%]])</f>
        <v/>
      </c>
      <c r="JM28" s="121" t="str">
        <f>IF(ISBLANK(tbl_task6[[คะแนนเต็ม]:[คะแนนเต็ม]]),"",(tbl_task6[103]/tbl_task6[[คะแนนเต็ม]:[คะแนนเต็ม]])*tbl_task6[[%]:[%]])</f>
        <v/>
      </c>
      <c r="JN28" s="121" t="str">
        <f>IF(ISBLANK(tbl_task6[[คะแนนเต็ม]:[คะแนนเต็ม]]),"",(tbl_task6[104]/tbl_task6[[คะแนนเต็ม]:[คะแนนเต็ม]])*tbl_task6[[%]:[%]])</f>
        <v/>
      </c>
      <c r="JO28" s="121" t="str">
        <f>IF(ISBLANK(tbl_task6[[คะแนนเต็ม]:[คะแนนเต็ม]]),"",(tbl_task6[105]/tbl_task6[[คะแนนเต็ม]:[คะแนนเต็ม]])*tbl_task6[[%]:[%]])</f>
        <v/>
      </c>
      <c r="JP28" s="121" t="str">
        <f>IF(ISBLANK(tbl_task6[[คะแนนเต็ม]:[คะแนนเต็ม]]),"",(tbl_task6[106]/tbl_task6[[คะแนนเต็ม]:[คะแนนเต็ม]])*tbl_task6[[%]:[%]])</f>
        <v/>
      </c>
      <c r="JQ28" s="121" t="str">
        <f>IF(ISBLANK(tbl_task6[[คะแนนเต็ม]:[คะแนนเต็ม]]),"",(tbl_task6[107]/tbl_task6[[คะแนนเต็ม]:[คะแนนเต็ม]])*tbl_task6[[%]:[%]])</f>
        <v/>
      </c>
      <c r="JR28" s="121" t="str">
        <f>IF(ISBLANK(tbl_task6[[คะแนนเต็ม]:[คะแนนเต็ม]]),"",(tbl_task6[108]/tbl_task6[[คะแนนเต็ม]:[คะแนนเต็ม]])*tbl_task6[[%]:[%]])</f>
        <v/>
      </c>
      <c r="JS28" s="121" t="str">
        <f>IF(ISBLANK(tbl_task6[[คะแนนเต็ม]:[คะแนนเต็ม]]),"",(tbl_task6[109]/tbl_task6[[คะแนนเต็ม]:[คะแนนเต็ม]])*tbl_task6[[%]:[%]])</f>
        <v/>
      </c>
      <c r="JT28" s="121" t="str">
        <f>IF(ISBLANK(tbl_task6[[คะแนนเต็ม]:[คะแนนเต็ม]]),"",(tbl_task6[110]/tbl_task6[[คะแนนเต็ม]:[คะแนนเต็ม]])*tbl_task6[[%]:[%]])</f>
        <v/>
      </c>
      <c r="JU28" s="121" t="str">
        <f>IF(ISBLANK(tbl_task6[[คะแนนเต็ม]:[คะแนนเต็ม]]),"",(tbl_task6[111]/tbl_task6[[คะแนนเต็ม]:[คะแนนเต็ม]])*tbl_task6[[%]:[%]])</f>
        <v/>
      </c>
      <c r="JV28" s="121" t="str">
        <f>IF(ISBLANK(tbl_task6[[คะแนนเต็ม]:[คะแนนเต็ม]]),"",(tbl_task6[112]/tbl_task6[[คะแนนเต็ม]:[คะแนนเต็ม]])*tbl_task6[[%]:[%]])</f>
        <v/>
      </c>
      <c r="JW28" s="121" t="str">
        <f>IF(ISBLANK(tbl_task6[[คะแนนเต็ม]:[คะแนนเต็ม]]),"",(tbl_task6[113]/tbl_task6[[คะแนนเต็ม]:[คะแนนเต็ม]])*tbl_task6[[%]:[%]])</f>
        <v/>
      </c>
      <c r="JX28" s="121" t="str">
        <f>IF(ISBLANK(tbl_task6[[คะแนนเต็ม]:[คะแนนเต็ม]]),"",(tbl_task6[114]/tbl_task6[[คะแนนเต็ม]:[คะแนนเต็ม]])*tbl_task6[[%]:[%]])</f>
        <v/>
      </c>
      <c r="JY28" s="121" t="str">
        <f>IF(ISBLANK(tbl_task6[[คะแนนเต็ม]:[คะแนนเต็ม]]),"",(tbl_task6[115]/tbl_task6[[คะแนนเต็ม]:[คะแนนเต็ม]])*tbl_task6[[%]:[%]])</f>
        <v/>
      </c>
      <c r="JZ28" s="121" t="str">
        <f>IF(ISBLANK(tbl_task6[[คะแนนเต็ม]:[คะแนนเต็ม]]),"",(tbl_task6[116]/tbl_task6[[คะแนนเต็ม]:[คะแนนเต็ม]])*tbl_task6[[%]:[%]])</f>
        <v/>
      </c>
      <c r="KA28" s="121" t="str">
        <f>IF(ISBLANK(tbl_task6[[คะแนนเต็ม]:[คะแนนเต็ม]]),"",(tbl_task6[117]/tbl_task6[[คะแนนเต็ม]:[คะแนนเต็ม]])*tbl_task6[[%]:[%]])</f>
        <v/>
      </c>
      <c r="KB28" s="121" t="str">
        <f>IF(ISBLANK(tbl_task6[[คะแนนเต็ม]:[คะแนนเต็ม]]),"",(tbl_task6[118]/tbl_task6[[คะแนนเต็ม]:[คะแนนเต็ม]])*tbl_task6[[%]:[%]])</f>
        <v/>
      </c>
      <c r="KC28" s="121" t="str">
        <f>IF(ISBLANK(tbl_task6[[คะแนนเต็ม]:[คะแนนเต็ม]]),"",(tbl_task6[119]/tbl_task6[[คะแนนเต็ม]:[คะแนนเต็ม]])*tbl_task6[[%]:[%]])</f>
        <v/>
      </c>
      <c r="KD28" s="121" t="str">
        <f>IF(ISBLANK(tbl_task6[[คะแนนเต็ม]:[คะแนนเต็ม]]),"",(tbl_task6[120]/tbl_task6[[คะแนนเต็ม]:[คะแนนเต็ม]])*tbl_task6[[%]:[%]])</f>
        <v/>
      </c>
      <c r="KE28" s="121" t="str">
        <f>IF(ISBLANK(tbl_task6[[คะแนนเต็ม]:[คะแนนเต็ม]]),"",(tbl_task6[121]/tbl_task6[[คะแนนเต็ม]:[คะแนนเต็ม]])*tbl_task6[[%]:[%]])</f>
        <v/>
      </c>
      <c r="KF28" s="121" t="str">
        <f>IF(ISBLANK(tbl_task6[[คะแนนเต็ม]:[คะแนนเต็ม]]),"",(tbl_task6[122]/tbl_task6[[คะแนนเต็ม]:[คะแนนเต็ม]])*tbl_task6[[%]:[%]])</f>
        <v/>
      </c>
      <c r="KG28" s="121" t="str">
        <f>IF(ISBLANK(tbl_task6[[คะแนนเต็ม]:[คะแนนเต็ม]]),"",(tbl_task6[123]/tbl_task6[[คะแนนเต็ม]:[คะแนนเต็ม]])*tbl_task6[[%]:[%]])</f>
        <v/>
      </c>
      <c r="KH28" s="121" t="str">
        <f>IF(ISBLANK(tbl_task6[[คะแนนเต็ม]:[คะแนนเต็ม]]),"",(tbl_task6[124]/tbl_task6[[คะแนนเต็ม]:[คะแนนเต็ม]])*tbl_task6[[%]:[%]])</f>
        <v/>
      </c>
      <c r="KI28" s="121" t="str">
        <f>IF(ISBLANK(tbl_task6[[คะแนนเต็ม]:[คะแนนเต็ม]]),"",(tbl_task6[125]/tbl_task6[[คะแนนเต็ม]:[คะแนนเต็ม]])*tbl_task6[[%]:[%]])</f>
        <v/>
      </c>
      <c r="KJ28" s="121" t="str">
        <f>IF(ISBLANK(tbl_task6[[คะแนนเต็ม]:[คะแนนเต็ม]]),"",(tbl_task6[126]/tbl_task6[[คะแนนเต็ม]:[คะแนนเต็ม]])*tbl_task6[[%]:[%]])</f>
        <v/>
      </c>
      <c r="KK28" s="121" t="str">
        <f>IF(ISBLANK(tbl_task6[[คะแนนเต็ม]:[คะแนนเต็ม]]),"",(tbl_task6[127]/tbl_task6[[คะแนนเต็ม]:[คะแนนเต็ม]])*tbl_task6[[%]:[%]])</f>
        <v/>
      </c>
      <c r="KL28" s="121" t="str">
        <f>IF(ISBLANK(tbl_task6[[คะแนนเต็ม]:[คะแนนเต็ม]]),"",(tbl_task6[128]/tbl_task6[[คะแนนเต็ม]:[คะแนนเต็ม]])*tbl_task6[[%]:[%]])</f>
        <v/>
      </c>
      <c r="KM28" s="121" t="str">
        <f>IF(ISBLANK(tbl_task6[[คะแนนเต็ม]:[คะแนนเต็ม]]),"",(tbl_task6[129]/tbl_task6[[คะแนนเต็ม]:[คะแนนเต็ม]])*tbl_task6[[%]:[%]])</f>
        <v/>
      </c>
      <c r="KN28" s="121" t="str">
        <f>IF(ISBLANK(tbl_task6[[คะแนนเต็ม]:[คะแนนเต็ม]]),"",(tbl_task6[130]/tbl_task6[[คะแนนเต็ม]:[คะแนนเต็ม]])*tbl_task6[[%]:[%]])</f>
        <v/>
      </c>
      <c r="KO28" s="121" t="str">
        <f>IF(ISBLANK(tbl_task6[[คะแนนเต็ม]:[คะแนนเต็ม]]),"",(tbl_task6[131]/tbl_task6[[คะแนนเต็ม]:[คะแนนเต็ม]])*tbl_task6[[%]:[%]])</f>
        <v/>
      </c>
      <c r="KP28" s="121" t="str">
        <f>IF(ISBLANK(tbl_task6[[คะแนนเต็ม]:[คะแนนเต็ม]]),"",(tbl_task6[132]/tbl_task6[[คะแนนเต็ม]:[คะแนนเต็ม]])*tbl_task6[[%]:[%]])</f>
        <v/>
      </c>
      <c r="KQ28" s="121" t="str">
        <f>IF(ISBLANK(tbl_task6[[คะแนนเต็ม]:[คะแนนเต็ม]]),"",(tbl_task6[133]/tbl_task6[[คะแนนเต็ม]:[คะแนนเต็ม]])*tbl_task6[[%]:[%]])</f>
        <v/>
      </c>
      <c r="KR28" s="121" t="str">
        <f>IF(ISBLANK(tbl_task6[[คะแนนเต็ม]:[คะแนนเต็ม]]),"",(tbl_task6[134]/tbl_task6[[คะแนนเต็ม]:[คะแนนเต็ม]])*tbl_task6[[%]:[%]])</f>
        <v/>
      </c>
      <c r="KS28" s="121" t="str">
        <f>IF(ISBLANK(tbl_task6[[คะแนนเต็ม]:[คะแนนเต็ม]]),"",(tbl_task6[135]/tbl_task6[[คะแนนเต็ม]:[คะแนนเต็ม]])*tbl_task6[[%]:[%]])</f>
        <v/>
      </c>
      <c r="KT28" s="121" t="str">
        <f>IF(ISBLANK(tbl_task6[[คะแนนเต็ม]:[คะแนนเต็ม]]),"",(tbl_task6[136]/tbl_task6[[คะแนนเต็ม]:[คะแนนเต็ม]])*tbl_task6[[%]:[%]])</f>
        <v/>
      </c>
      <c r="KU28" s="121" t="str">
        <f>IF(ISBLANK(tbl_task6[[คะแนนเต็ม]:[คะแนนเต็ม]]),"",(tbl_task6[137]/tbl_task6[[คะแนนเต็ม]:[คะแนนเต็ม]])*tbl_task6[[%]:[%]])</f>
        <v/>
      </c>
      <c r="KV28" s="121" t="str">
        <f>IF(ISBLANK(tbl_task6[[คะแนนเต็ม]:[คะแนนเต็ม]]),"",(tbl_task6[138]/tbl_task6[[คะแนนเต็ม]:[คะแนนเต็ม]])*tbl_task6[[%]:[%]])</f>
        <v/>
      </c>
      <c r="KW28" s="121" t="str">
        <f>IF(ISBLANK(tbl_task6[[คะแนนเต็ม]:[คะแนนเต็ม]]),"",(tbl_task6[139]/tbl_task6[[คะแนนเต็ม]:[คะแนนเต็ม]])*tbl_task6[[%]:[%]])</f>
        <v/>
      </c>
      <c r="KX28" s="121" t="str">
        <f>IF(ISBLANK(tbl_task6[[คะแนนเต็ม]:[คะแนนเต็ม]]),"",(tbl_task6[140]/tbl_task6[[คะแนนเต็ม]:[คะแนนเต็ม]])*tbl_task6[[%]:[%]])</f>
        <v/>
      </c>
      <c r="KY28" s="121" t="str">
        <f>IF(ISBLANK(tbl_task6[[คะแนนเต็ม]:[คะแนนเต็ม]]),"",(tbl_task6[141]/tbl_task6[[คะแนนเต็ม]:[คะแนนเต็ม]])*tbl_task6[[%]:[%]])</f>
        <v/>
      </c>
      <c r="KZ28" s="121" t="str">
        <f>IF(ISBLANK(tbl_task6[[คะแนนเต็ม]:[คะแนนเต็ม]]),"",(tbl_task6[142]/tbl_task6[[คะแนนเต็ม]:[คะแนนเต็ม]])*tbl_task6[[%]:[%]])</f>
        <v/>
      </c>
      <c r="LA28" s="121" t="str">
        <f>IF(ISBLANK(tbl_task6[[คะแนนเต็ม]:[คะแนนเต็ม]]),"",(tbl_task6[143]/tbl_task6[[คะแนนเต็ม]:[คะแนนเต็ม]])*tbl_task6[[%]:[%]])</f>
        <v/>
      </c>
      <c r="LB28" s="121" t="str">
        <f>IF(ISBLANK(tbl_task6[[คะแนนเต็ม]:[คะแนนเต็ม]]),"",(tbl_task6[144]/tbl_task6[[คะแนนเต็ม]:[คะแนนเต็ม]])*tbl_task6[[%]:[%]])</f>
        <v/>
      </c>
      <c r="LC28" s="121" t="str">
        <f>IF(ISBLANK(tbl_task6[[คะแนนเต็ม]:[คะแนนเต็ม]]),"",(tbl_task6[145]/tbl_task6[[คะแนนเต็ม]:[คะแนนเต็ม]])*tbl_task6[[%]:[%]])</f>
        <v/>
      </c>
      <c r="LD28" s="121" t="str">
        <f>IF(ISBLANK(tbl_task6[[คะแนนเต็ม]:[คะแนนเต็ม]]),"",(tbl_task6[146]/tbl_task6[[คะแนนเต็ม]:[คะแนนเต็ม]])*tbl_task6[[%]:[%]])</f>
        <v/>
      </c>
      <c r="LE28" s="121" t="str">
        <f>IF(ISBLANK(tbl_task6[[คะแนนเต็ม]:[คะแนนเต็ม]]),"",(tbl_task6[147]/tbl_task6[[คะแนนเต็ม]:[คะแนนเต็ม]])*tbl_task6[[%]:[%]])</f>
        <v/>
      </c>
      <c r="LF28" s="121" t="str">
        <f>IF(ISBLANK(tbl_task6[[คะแนนเต็ม]:[คะแนนเต็ม]]),"",(tbl_task6[148]/tbl_task6[[คะแนนเต็ม]:[คะแนนเต็ม]])*tbl_task6[[%]:[%]])</f>
        <v/>
      </c>
      <c r="LG28" s="121" t="str">
        <f>IF(ISBLANK(tbl_task6[[คะแนนเต็ม]:[คะแนนเต็ม]]),"",(tbl_task6[149]/tbl_task6[[คะแนนเต็ม]:[คะแนนเต็ม]])*tbl_task6[[%]:[%]])</f>
        <v/>
      </c>
      <c r="LH28" s="121" t="str">
        <f>IF(ISBLANK(tbl_task6[[คะแนนเต็ม]:[คะแนนเต็ม]]),"",(tbl_task6[150]/tbl_task6[[คะแนนเต็ม]:[คะแนนเต็ม]])*tbl_task6[[%]:[%]])</f>
        <v/>
      </c>
      <c r="LI28" s="121" t="str">
        <f>IF(ISBLANK(tbl_task6[[คะแนนเต็ม]:[คะแนนเต็ม]]),"",(tbl_task6[151]/tbl_task6[[คะแนนเต็ม]:[คะแนนเต็ม]])*tbl_task6[[%]:[%]])</f>
        <v/>
      </c>
      <c r="LJ28" s="121" t="str">
        <f>IF(ISBLANK(tbl_task6[[คะแนนเต็ม]:[คะแนนเต็ม]]),"",(tbl_task6[152]/tbl_task6[[คะแนนเต็ม]:[คะแนนเต็ม]])*tbl_task6[[%]:[%]])</f>
        <v/>
      </c>
      <c r="LK28" s="121" t="str">
        <f>IF(ISBLANK(tbl_task6[[คะแนนเต็ม]:[คะแนนเต็ม]]),"",(tbl_task6[153]/tbl_task6[[คะแนนเต็ม]:[คะแนนเต็ม]])*tbl_task6[[%]:[%]])</f>
        <v/>
      </c>
      <c r="LL28" s="121" t="str">
        <f>IF(ISBLANK(tbl_task6[[คะแนนเต็ม]:[คะแนนเต็ม]]),"",(tbl_task6[154]/tbl_task6[[คะแนนเต็ม]:[คะแนนเต็ม]])*tbl_task6[[%]:[%]])</f>
        <v/>
      </c>
      <c r="LM28" s="121" t="str">
        <f>IF(ISBLANK(tbl_task6[[คะแนนเต็ม]:[คะแนนเต็ม]]),"",(tbl_task6[155]/tbl_task6[[คะแนนเต็ม]:[คะแนนเต็ม]])*tbl_task6[[%]:[%]])</f>
        <v/>
      </c>
      <c r="LN28" s="121" t="str">
        <f>IF(ISBLANK(tbl_task6[[คะแนนเต็ม]:[คะแนนเต็ม]]),"",(tbl_task6[156]/tbl_task6[[คะแนนเต็ม]:[คะแนนเต็ม]])*tbl_task6[[%]:[%]])</f>
        <v/>
      </c>
      <c r="LO28" s="121" t="str">
        <f>IF(ISBLANK(tbl_task6[[คะแนนเต็ม]:[คะแนนเต็ม]]),"",(tbl_task6[157]/tbl_task6[[คะแนนเต็ม]:[คะแนนเต็ม]])*tbl_task6[[%]:[%]])</f>
        <v/>
      </c>
      <c r="LP28" s="121" t="str">
        <f>IF(ISBLANK(tbl_task6[[คะแนนเต็ม]:[คะแนนเต็ม]]),"",(tbl_task6[158]/tbl_task6[[คะแนนเต็ม]:[คะแนนเต็ม]])*tbl_task6[[%]:[%]])</f>
        <v/>
      </c>
      <c r="LQ28" s="121" t="str">
        <f>IF(ISBLANK(tbl_task6[[คะแนนเต็ม]:[คะแนนเต็ม]]),"",(tbl_task6[159]/tbl_task6[[คะแนนเต็ม]:[คะแนนเต็ม]])*tbl_task6[[%]:[%]])</f>
        <v/>
      </c>
      <c r="LR28" s="121" t="str">
        <f>IF(ISBLANK(tbl_task6[[คะแนนเต็ม]:[คะแนนเต็ม]]),"",(tbl_task6[160]/tbl_task6[[คะแนนเต็ม]:[คะแนนเต็ม]])*tbl_task6[[%]:[%]])</f>
        <v/>
      </c>
      <c r="LS28" s="121" t="str">
        <f>IF(ISBLANK(tbl_task6[[คะแนนเต็ม]:[คะแนนเต็ม]]),"",(tbl_task6[161]/tbl_task6[[คะแนนเต็ม]:[คะแนนเต็ม]])*tbl_task6[[%]:[%]])</f>
        <v/>
      </c>
      <c r="LT28" s="121" t="str">
        <f>IF(ISBLANK(tbl_task6[[คะแนนเต็ม]:[คะแนนเต็ม]]),"",(tbl_task6[162]/tbl_task6[[คะแนนเต็ม]:[คะแนนเต็ม]])*tbl_task6[[%]:[%]])</f>
        <v/>
      </c>
      <c r="LU28" s="121" t="str">
        <f>IF(ISBLANK(tbl_task6[[คะแนนเต็ม]:[คะแนนเต็ม]]),"",(tbl_task6[163]/tbl_task6[[คะแนนเต็ม]:[คะแนนเต็ม]])*tbl_task6[[%]:[%]])</f>
        <v/>
      </c>
      <c r="LV28" s="121" t="str">
        <f>IF(ISBLANK(tbl_task6[[คะแนนเต็ม]:[คะแนนเต็ม]]),"",(tbl_task6[164]/tbl_task6[[คะแนนเต็ม]:[คะแนนเต็ม]])*tbl_task6[[%]:[%]])</f>
        <v/>
      </c>
      <c r="LW28" s="121" t="str">
        <f>IF(ISBLANK(tbl_task6[[คะแนนเต็ม]:[คะแนนเต็ม]]),"",(tbl_task6[165]/tbl_task6[[คะแนนเต็ม]:[คะแนนเต็ม]])*tbl_task6[[%]:[%]])</f>
        <v/>
      </c>
    </row>
    <row r="29" spans="1:335" s="34" customFormat="1" ht="24" customHeight="1" x14ac:dyDescent="0.25">
      <c r="A29" s="42" t="s">
        <v>11</v>
      </c>
      <c r="B29" s="109">
        <f>COUNTA(tbl_task6[SubPLOs])</f>
        <v>0</v>
      </c>
      <c r="C29" s="129"/>
      <c r="D29" s="108">
        <f>SUM(tbl_task6[คะแนนเต็ม])</f>
        <v>0</v>
      </c>
      <c r="E29" s="108">
        <f>SUM(tbl_task6[%])</f>
        <v>0</v>
      </c>
      <c r="F29" s="124">
        <f>SUM(tbl_task6[1])</f>
        <v>0</v>
      </c>
      <c r="G29" s="124">
        <f>SUM(tbl_task6[2])</f>
        <v>0</v>
      </c>
      <c r="H29" s="124">
        <f>SUM(tbl_task6[3])</f>
        <v>0</v>
      </c>
      <c r="I29" s="124">
        <f>SUM(tbl_task6[4])</f>
        <v>0</v>
      </c>
      <c r="J29" s="124">
        <f>SUM(tbl_task6[5])</f>
        <v>0</v>
      </c>
      <c r="K29" s="124">
        <f>SUM(tbl_task6[6])</f>
        <v>0</v>
      </c>
      <c r="L29" s="124">
        <f>SUM(tbl_task6[7])</f>
        <v>0</v>
      </c>
      <c r="M29" s="124">
        <f>SUM(tbl_task6[8])</f>
        <v>0</v>
      </c>
      <c r="N29" s="124">
        <f>SUM(tbl_task6[9])</f>
        <v>0</v>
      </c>
      <c r="O29" s="124">
        <f>SUM(tbl_task6[10])</f>
        <v>0</v>
      </c>
      <c r="P29" s="124">
        <f>SUM(tbl_task6[11])</f>
        <v>0</v>
      </c>
      <c r="Q29" s="124">
        <f>SUM(tbl_task6[12])</f>
        <v>0</v>
      </c>
      <c r="R29" s="124">
        <f>SUM(tbl_task6[13])</f>
        <v>0</v>
      </c>
      <c r="S29" s="124">
        <f>SUM(tbl_task6[14])</f>
        <v>0</v>
      </c>
      <c r="T29" s="124">
        <f>SUM(tbl_task6[15])</f>
        <v>0</v>
      </c>
      <c r="U29" s="124">
        <f>SUM(tbl_task6[16])</f>
        <v>0</v>
      </c>
      <c r="V29" s="124">
        <f>SUM(tbl_task6[17])</f>
        <v>0</v>
      </c>
      <c r="W29" s="124">
        <f>SUM(tbl_task6[18])</f>
        <v>0</v>
      </c>
      <c r="X29" s="124">
        <f>SUM(tbl_task6[19])</f>
        <v>0</v>
      </c>
      <c r="Y29" s="124">
        <f>SUM(tbl_task6[20])</f>
        <v>0</v>
      </c>
      <c r="Z29" s="124">
        <f>SUM(tbl_task6[21])</f>
        <v>0</v>
      </c>
      <c r="AA29" s="124">
        <f>SUM(tbl_task6[22])</f>
        <v>0</v>
      </c>
      <c r="AB29" s="124">
        <f>SUM(tbl_task6[23])</f>
        <v>0</v>
      </c>
      <c r="AC29" s="124">
        <f>SUM(tbl_task6[24])</f>
        <v>0</v>
      </c>
      <c r="AD29" s="124">
        <f>SUM(tbl_task6[25])</f>
        <v>0</v>
      </c>
      <c r="AE29" s="124">
        <f>SUM(tbl_task6[26])</f>
        <v>0</v>
      </c>
      <c r="AF29" s="124">
        <f>SUM(tbl_task6[27])</f>
        <v>0</v>
      </c>
      <c r="AG29" s="124">
        <f>SUM(tbl_task6[28])</f>
        <v>0</v>
      </c>
      <c r="AH29" s="124">
        <f>SUM(tbl_task6[29])</f>
        <v>0</v>
      </c>
      <c r="AI29" s="124">
        <f>SUM(tbl_task6[30])</f>
        <v>0</v>
      </c>
      <c r="AJ29" s="124">
        <f>SUM(tbl_task6[31])</f>
        <v>0</v>
      </c>
      <c r="AK29" s="124">
        <f>SUM(tbl_task6[32])</f>
        <v>0</v>
      </c>
      <c r="AL29" s="124">
        <f>SUM(tbl_task6[33])</f>
        <v>0</v>
      </c>
      <c r="AM29" s="124">
        <f>SUM(tbl_task6[34])</f>
        <v>0</v>
      </c>
      <c r="AN29" s="124">
        <f>SUM(tbl_task6[35])</f>
        <v>0</v>
      </c>
      <c r="AO29" s="124">
        <f>SUM(tbl_task6[36])</f>
        <v>0</v>
      </c>
      <c r="AP29" s="124">
        <f>SUM(tbl_task6[37])</f>
        <v>0</v>
      </c>
      <c r="AQ29" s="124">
        <f>SUM(tbl_task6[38])</f>
        <v>0</v>
      </c>
      <c r="AR29" s="124">
        <f>SUM(tbl_task6[39])</f>
        <v>0</v>
      </c>
      <c r="AS29" s="124">
        <f>SUM(tbl_task6[40])</f>
        <v>0</v>
      </c>
      <c r="AT29" s="124">
        <f>SUM(tbl_task6[41])</f>
        <v>0</v>
      </c>
      <c r="AU29" s="124">
        <f>SUM(tbl_task6[42])</f>
        <v>0</v>
      </c>
      <c r="AV29" s="124">
        <f>SUM(tbl_task6[43])</f>
        <v>0</v>
      </c>
      <c r="AW29" s="124">
        <f>SUM(tbl_task6[44])</f>
        <v>0</v>
      </c>
      <c r="AX29" s="124">
        <f>SUM(tbl_task6[45])</f>
        <v>0</v>
      </c>
      <c r="AY29" s="124">
        <f>SUM(tbl_task6[46])</f>
        <v>0</v>
      </c>
      <c r="AZ29" s="124">
        <f>SUM(tbl_task6[47])</f>
        <v>0</v>
      </c>
      <c r="BA29" s="124">
        <f>SUM(tbl_task6[48])</f>
        <v>0</v>
      </c>
      <c r="BB29" s="124">
        <f>SUM(tbl_task6[49])</f>
        <v>0</v>
      </c>
      <c r="BC29" s="124">
        <f>SUM(tbl_task6[50])</f>
        <v>0</v>
      </c>
      <c r="BD29" s="124">
        <f>SUM(tbl_task6[51])</f>
        <v>0</v>
      </c>
      <c r="BE29" s="124">
        <f>SUM(tbl_task6[52])</f>
        <v>0</v>
      </c>
      <c r="BF29" s="124">
        <f>SUM(tbl_task6[53])</f>
        <v>0</v>
      </c>
      <c r="BG29" s="124">
        <f>SUM(tbl_task6[54])</f>
        <v>0</v>
      </c>
      <c r="BH29" s="124">
        <f>SUM(tbl_task6[55])</f>
        <v>0</v>
      </c>
      <c r="BI29" s="124">
        <f>SUM(tbl_task6[56])</f>
        <v>0</v>
      </c>
      <c r="BJ29" s="124">
        <f>SUM(tbl_task6[57])</f>
        <v>0</v>
      </c>
      <c r="BK29" s="124">
        <f>SUM(tbl_task6[58])</f>
        <v>0</v>
      </c>
      <c r="BL29" s="124">
        <f>SUM(tbl_task6[59])</f>
        <v>0</v>
      </c>
      <c r="BM29" s="124">
        <f>SUM(tbl_task6[60])</f>
        <v>0</v>
      </c>
      <c r="BN29" s="124">
        <f>SUM(tbl_task6[61])</f>
        <v>0</v>
      </c>
      <c r="BO29" s="124">
        <f>SUM(tbl_task6[62])</f>
        <v>0</v>
      </c>
      <c r="BP29" s="124">
        <f>SUM(tbl_task6[63])</f>
        <v>0</v>
      </c>
      <c r="BQ29" s="124">
        <f>SUM(tbl_task6[64])</f>
        <v>0</v>
      </c>
      <c r="BR29" s="124">
        <f>SUM(tbl_task6[65])</f>
        <v>0</v>
      </c>
      <c r="BS29" s="124">
        <f>SUM(tbl_task6[66])</f>
        <v>0</v>
      </c>
      <c r="BT29" s="124">
        <f>SUM(tbl_task6[67])</f>
        <v>0</v>
      </c>
      <c r="BU29" s="124">
        <f>SUM(tbl_task6[68])</f>
        <v>0</v>
      </c>
      <c r="BV29" s="124">
        <f>SUM(tbl_task6[69])</f>
        <v>0</v>
      </c>
      <c r="BW29" s="124">
        <f>SUM(tbl_task6[70])</f>
        <v>0</v>
      </c>
      <c r="BX29" s="124">
        <f>SUM(tbl_task6[71])</f>
        <v>0</v>
      </c>
      <c r="BY29" s="124">
        <f>SUM(tbl_task6[72])</f>
        <v>0</v>
      </c>
      <c r="BZ29" s="124">
        <f>SUM(tbl_task6[73])</f>
        <v>0</v>
      </c>
      <c r="CA29" s="124">
        <f>SUM(tbl_task6[74])</f>
        <v>0</v>
      </c>
      <c r="CB29" s="124">
        <f>SUM(tbl_task6[75])</f>
        <v>0</v>
      </c>
      <c r="CC29" s="124">
        <f>SUM(tbl_task6[76])</f>
        <v>0</v>
      </c>
      <c r="CD29" s="124">
        <f>SUM(tbl_task6[77])</f>
        <v>0</v>
      </c>
      <c r="CE29" s="124">
        <f>SUM(tbl_task6[78])</f>
        <v>0</v>
      </c>
      <c r="CF29" s="124">
        <f>SUM(tbl_task6[79])</f>
        <v>0</v>
      </c>
      <c r="CG29" s="124">
        <f>SUM(tbl_task6[80])</f>
        <v>0</v>
      </c>
      <c r="CH29" s="124">
        <f>SUM(tbl_task6[81])</f>
        <v>0</v>
      </c>
      <c r="CI29" s="124">
        <f>SUM(tbl_task6[82])</f>
        <v>0</v>
      </c>
      <c r="CJ29" s="124">
        <f>SUM(tbl_task6[83])</f>
        <v>0</v>
      </c>
      <c r="CK29" s="124">
        <f>SUM(tbl_task6[84])</f>
        <v>0</v>
      </c>
      <c r="CL29" s="124">
        <f>SUM(tbl_task6[85])</f>
        <v>0</v>
      </c>
      <c r="CM29" s="124">
        <f>SUM(tbl_task6[86])</f>
        <v>0</v>
      </c>
      <c r="CN29" s="124">
        <f>SUM(tbl_task6[87])</f>
        <v>0</v>
      </c>
      <c r="CO29" s="124">
        <f>SUM(tbl_task6[88])</f>
        <v>0</v>
      </c>
      <c r="CP29" s="124">
        <f>SUM(tbl_task6[89])</f>
        <v>0</v>
      </c>
      <c r="CQ29" s="124">
        <f>SUM(tbl_task6[90])</f>
        <v>0</v>
      </c>
      <c r="CR29" s="124">
        <f>SUM(tbl_task6[91])</f>
        <v>0</v>
      </c>
      <c r="CS29" s="124">
        <f>SUM(tbl_task6[92])</f>
        <v>0</v>
      </c>
      <c r="CT29" s="124">
        <f>SUM(tbl_task6[93])</f>
        <v>0</v>
      </c>
      <c r="CU29" s="124">
        <f>SUM(tbl_task6[94])</f>
        <v>0</v>
      </c>
      <c r="CV29" s="124">
        <f>SUM(tbl_task6[95])</f>
        <v>0</v>
      </c>
      <c r="CW29" s="124">
        <f>SUM(tbl_task6[96])</f>
        <v>0</v>
      </c>
      <c r="CX29" s="124">
        <f>SUM(tbl_task6[97])</f>
        <v>0</v>
      </c>
      <c r="CY29" s="124">
        <f>SUM(tbl_task6[98])</f>
        <v>0</v>
      </c>
      <c r="CZ29" s="124">
        <f>SUM(tbl_task6[99])</f>
        <v>0</v>
      </c>
      <c r="DA29" s="124">
        <f>SUM(tbl_task6[100])</f>
        <v>0</v>
      </c>
      <c r="DB29" s="124">
        <f>SUM(tbl_task6[101])</f>
        <v>0</v>
      </c>
      <c r="DC29" s="124">
        <f>SUM(tbl_task6[102])</f>
        <v>0</v>
      </c>
      <c r="DD29" s="124">
        <f>SUM(tbl_task6[103])</f>
        <v>0</v>
      </c>
      <c r="DE29" s="124">
        <f>SUM(tbl_task6[104])</f>
        <v>0</v>
      </c>
      <c r="DF29" s="124">
        <f>SUM(tbl_task6[105])</f>
        <v>0</v>
      </c>
      <c r="DG29" s="124">
        <f>SUM(tbl_task6[106])</f>
        <v>0</v>
      </c>
      <c r="DH29" s="124">
        <f>SUM(tbl_task6[107])</f>
        <v>0</v>
      </c>
      <c r="DI29" s="124">
        <f>SUM(tbl_task6[108])</f>
        <v>0</v>
      </c>
      <c r="DJ29" s="124">
        <f>SUM(tbl_task6[109])</f>
        <v>0</v>
      </c>
      <c r="DK29" s="124">
        <f>SUM(tbl_task6[110])</f>
        <v>0</v>
      </c>
      <c r="DL29" s="124">
        <f>SUM(tbl_task6[111])</f>
        <v>0</v>
      </c>
      <c r="DM29" s="124">
        <f>SUM(tbl_task6[112])</f>
        <v>0</v>
      </c>
      <c r="DN29" s="124">
        <f>SUM(tbl_task6[113])</f>
        <v>0</v>
      </c>
      <c r="DO29" s="124">
        <f>SUM(tbl_task6[114])</f>
        <v>0</v>
      </c>
      <c r="DP29" s="124">
        <f>SUM(tbl_task6[115])</f>
        <v>0</v>
      </c>
      <c r="DQ29" s="124">
        <f>SUM(tbl_task6[116])</f>
        <v>0</v>
      </c>
      <c r="DR29" s="124">
        <f>SUM(tbl_task6[117])</f>
        <v>0</v>
      </c>
      <c r="DS29" s="124">
        <f>SUM(tbl_task6[118])</f>
        <v>0</v>
      </c>
      <c r="DT29" s="124">
        <f>SUM(tbl_task6[119])</f>
        <v>0</v>
      </c>
      <c r="DU29" s="124">
        <f>SUM(tbl_task6[120])</f>
        <v>0</v>
      </c>
      <c r="DV29" s="124">
        <f>SUM(tbl_task6[121])</f>
        <v>0</v>
      </c>
      <c r="DW29" s="124">
        <f>SUM(tbl_task6[122])</f>
        <v>0</v>
      </c>
      <c r="DX29" s="124">
        <f>SUM(tbl_task6[123])</f>
        <v>0</v>
      </c>
      <c r="DY29" s="124">
        <f>SUM(tbl_task6[124])</f>
        <v>0</v>
      </c>
      <c r="DZ29" s="124">
        <f>SUM(tbl_task6[125])</f>
        <v>0</v>
      </c>
      <c r="EA29" s="124">
        <f>SUM(tbl_task6[126])</f>
        <v>0</v>
      </c>
      <c r="EB29" s="124">
        <f>SUM(tbl_task6[127])</f>
        <v>0</v>
      </c>
      <c r="EC29" s="124">
        <f>SUM(tbl_task6[128])</f>
        <v>0</v>
      </c>
      <c r="ED29" s="124">
        <f>SUM(tbl_task6[129])</f>
        <v>0</v>
      </c>
      <c r="EE29" s="124">
        <f>SUM(tbl_task6[130])</f>
        <v>0</v>
      </c>
      <c r="EF29" s="124">
        <f>SUM(tbl_task6[131])</f>
        <v>0</v>
      </c>
      <c r="EG29" s="124">
        <f>SUM(tbl_task6[132])</f>
        <v>0</v>
      </c>
      <c r="EH29" s="124">
        <f>SUM(tbl_task6[133])</f>
        <v>0</v>
      </c>
      <c r="EI29" s="124">
        <f>SUM(tbl_task6[134])</f>
        <v>0</v>
      </c>
      <c r="EJ29" s="124">
        <f>SUM(tbl_task6[135])</f>
        <v>0</v>
      </c>
      <c r="EK29" s="124">
        <f>SUM(tbl_task6[136])</f>
        <v>0</v>
      </c>
      <c r="EL29" s="124">
        <f>SUM(tbl_task6[137])</f>
        <v>0</v>
      </c>
      <c r="EM29" s="124">
        <f>SUM(tbl_task6[138])</f>
        <v>0</v>
      </c>
      <c r="EN29" s="124">
        <f>SUM(tbl_task6[139])</f>
        <v>0</v>
      </c>
      <c r="EO29" s="124">
        <f>SUM(tbl_task6[140])</f>
        <v>0</v>
      </c>
      <c r="EP29" s="124">
        <f>SUM(tbl_task6[141])</f>
        <v>0</v>
      </c>
      <c r="EQ29" s="124">
        <f>SUM(tbl_task6[142])</f>
        <v>0</v>
      </c>
      <c r="ER29" s="124">
        <f>SUM(tbl_task6[143])</f>
        <v>0</v>
      </c>
      <c r="ES29" s="124">
        <f>SUM(tbl_task6[144])</f>
        <v>0</v>
      </c>
      <c r="ET29" s="124">
        <f>SUM(tbl_task6[145])</f>
        <v>0</v>
      </c>
      <c r="EU29" s="124">
        <f>SUM(tbl_task6[146])</f>
        <v>0</v>
      </c>
      <c r="EV29" s="124">
        <f>SUM(tbl_task6[147])</f>
        <v>0</v>
      </c>
      <c r="EW29" s="124">
        <f>SUM(tbl_task6[148])</f>
        <v>0</v>
      </c>
      <c r="EX29" s="124">
        <f>SUM(tbl_task6[149])</f>
        <v>0</v>
      </c>
      <c r="EY29" s="124">
        <f>SUM(tbl_task6[150])</f>
        <v>0</v>
      </c>
      <c r="EZ29" s="124">
        <f>SUM(tbl_task6[151])</f>
        <v>0</v>
      </c>
      <c r="FA29" s="124">
        <f>SUM(tbl_task6[152])</f>
        <v>0</v>
      </c>
      <c r="FB29" s="124">
        <f>SUM(tbl_task6[153])</f>
        <v>0</v>
      </c>
      <c r="FC29" s="124">
        <f>SUM(tbl_task6[154])</f>
        <v>0</v>
      </c>
      <c r="FD29" s="124">
        <f>SUM(tbl_task6[155])</f>
        <v>0</v>
      </c>
      <c r="FE29" s="124">
        <f>SUM(tbl_task6[156])</f>
        <v>0</v>
      </c>
      <c r="FF29" s="124">
        <f>SUM(tbl_task6[157])</f>
        <v>0</v>
      </c>
      <c r="FG29" s="124">
        <f>SUM(tbl_task6[158])</f>
        <v>0</v>
      </c>
      <c r="FH29" s="124">
        <f>SUM(tbl_task6[159])</f>
        <v>0</v>
      </c>
      <c r="FI29" s="124">
        <f>SUM(tbl_task6[160])</f>
        <v>0</v>
      </c>
      <c r="FJ29" s="124">
        <f>SUM(tbl_task6[161])</f>
        <v>0</v>
      </c>
      <c r="FK29" s="124">
        <f>SUM(tbl_task6[162])</f>
        <v>0</v>
      </c>
      <c r="FL29" s="124">
        <f>SUM(tbl_task6[163])</f>
        <v>0</v>
      </c>
      <c r="FM29" s="124">
        <f>SUM(tbl_task6[164])</f>
        <v>0</v>
      </c>
      <c r="FN29" s="124">
        <f>SUM(tbl_task6[165])</f>
        <v>0</v>
      </c>
      <c r="FO29" s="124">
        <f>SUM(tbl_task6[S1])</f>
        <v>0</v>
      </c>
      <c r="FP29" s="124">
        <f>SUM(tbl_task6[S2])</f>
        <v>0</v>
      </c>
      <c r="FQ29" s="124">
        <f>SUM(tbl_task6[S3])</f>
        <v>0</v>
      </c>
      <c r="FR29" s="124">
        <f>SUM(tbl_task6[S4])</f>
        <v>0</v>
      </c>
      <c r="FS29" s="124">
        <f>SUM(tbl_task6[S5])</f>
        <v>0</v>
      </c>
      <c r="FT29" s="124">
        <f>SUM(tbl_task6[S6])</f>
        <v>0</v>
      </c>
      <c r="FU29" s="124">
        <f>SUM(tbl_task6[S7])</f>
        <v>0</v>
      </c>
      <c r="FV29" s="124">
        <f>SUM(tbl_task6[S8])</f>
        <v>0</v>
      </c>
      <c r="FW29" s="124">
        <f>SUM(tbl_task6[S9])</f>
        <v>0</v>
      </c>
      <c r="FX29" s="124">
        <f>SUM(tbl_task6[S10])</f>
        <v>0</v>
      </c>
      <c r="FY29" s="124">
        <f>SUM(tbl_task6[S11])</f>
        <v>0</v>
      </c>
      <c r="FZ29" s="124">
        <f>SUM(tbl_task6[S12])</f>
        <v>0</v>
      </c>
      <c r="GA29" s="124">
        <f>SUM(tbl_task6[S13])</f>
        <v>0</v>
      </c>
      <c r="GB29" s="124">
        <f>SUM(tbl_task6[S14])</f>
        <v>0</v>
      </c>
      <c r="GC29" s="124">
        <f>SUM(tbl_task6[S15])</f>
        <v>0</v>
      </c>
      <c r="GD29" s="124">
        <f>SUM(tbl_task6[S16])</f>
        <v>0</v>
      </c>
      <c r="GE29" s="124">
        <f>SUM(tbl_task6[S17])</f>
        <v>0</v>
      </c>
      <c r="GF29" s="124">
        <f>SUM(tbl_task6[S18])</f>
        <v>0</v>
      </c>
      <c r="GG29" s="124">
        <f>SUM(tbl_task6[S19])</f>
        <v>0</v>
      </c>
      <c r="GH29" s="124">
        <f>SUM(tbl_task6[S20])</f>
        <v>0</v>
      </c>
      <c r="GI29" s="124">
        <f>SUM(tbl_task6[S21])</f>
        <v>0</v>
      </c>
      <c r="GJ29" s="124">
        <f>SUM(tbl_task6[S22])</f>
        <v>0</v>
      </c>
      <c r="GK29" s="124">
        <f>SUM(tbl_task6[S23])</f>
        <v>0</v>
      </c>
      <c r="GL29" s="124">
        <f>SUM(tbl_task6[S24])</f>
        <v>0</v>
      </c>
      <c r="GM29" s="124">
        <f>SUM(tbl_task6[S25])</f>
        <v>0</v>
      </c>
      <c r="GN29" s="124">
        <f>SUM(tbl_task6[S26])</f>
        <v>0</v>
      </c>
      <c r="GO29" s="124">
        <f>SUM(tbl_task6[S27])</f>
        <v>0</v>
      </c>
      <c r="GP29" s="124">
        <f>SUM(tbl_task6[S28])</f>
        <v>0</v>
      </c>
      <c r="GQ29" s="124">
        <f>SUM(tbl_task6[S29])</f>
        <v>0</v>
      </c>
      <c r="GR29" s="124">
        <f>SUM(tbl_task6[S30])</f>
        <v>0</v>
      </c>
      <c r="GS29" s="124">
        <f>SUM(tbl_task6[S31])</f>
        <v>0</v>
      </c>
      <c r="GT29" s="124">
        <f>SUM(tbl_task6[S32])</f>
        <v>0</v>
      </c>
      <c r="GU29" s="124">
        <f>SUM(tbl_task6[S33])</f>
        <v>0</v>
      </c>
      <c r="GV29" s="124">
        <f>SUM(tbl_task6[S34])</f>
        <v>0</v>
      </c>
      <c r="GW29" s="124">
        <f>SUM(tbl_task6[S35])</f>
        <v>0</v>
      </c>
      <c r="GX29" s="124">
        <f>SUM(tbl_task6[S36])</f>
        <v>0</v>
      </c>
      <c r="GY29" s="124">
        <f>SUM(tbl_task6[S37])</f>
        <v>0</v>
      </c>
      <c r="GZ29" s="124">
        <f>SUM(tbl_task6[S38])</f>
        <v>0</v>
      </c>
      <c r="HA29" s="124">
        <f>SUM(tbl_task6[S39])</f>
        <v>0</v>
      </c>
      <c r="HB29" s="124">
        <f>SUM(tbl_task6[S40])</f>
        <v>0</v>
      </c>
      <c r="HC29" s="124">
        <f>SUM(tbl_task6[S41])</f>
        <v>0</v>
      </c>
      <c r="HD29" s="124">
        <f>SUM(tbl_task6[S42])</f>
        <v>0</v>
      </c>
      <c r="HE29" s="124">
        <f>SUM(tbl_task6[S43])</f>
        <v>0</v>
      </c>
      <c r="HF29" s="124">
        <f>SUM(tbl_task6[S44])</f>
        <v>0</v>
      </c>
      <c r="HG29" s="124">
        <f>SUM(tbl_task6[S45])</f>
        <v>0</v>
      </c>
      <c r="HH29" s="124">
        <f>SUM(tbl_task6[S46])</f>
        <v>0</v>
      </c>
      <c r="HI29" s="124">
        <f>SUM(tbl_task6[S47])</f>
        <v>0</v>
      </c>
      <c r="HJ29" s="124">
        <f>SUM(tbl_task6[S48])</f>
        <v>0</v>
      </c>
      <c r="HK29" s="124">
        <f>SUM(tbl_task6[S49])</f>
        <v>0</v>
      </c>
      <c r="HL29" s="124">
        <f>SUM(tbl_task6[S50])</f>
        <v>0</v>
      </c>
      <c r="HM29" s="124">
        <f>SUM(tbl_task6[S51])</f>
        <v>0</v>
      </c>
      <c r="HN29" s="124">
        <f>SUM(tbl_task6[S52])</f>
        <v>0</v>
      </c>
      <c r="HO29" s="124">
        <f>SUM(tbl_task6[S53])</f>
        <v>0</v>
      </c>
      <c r="HP29" s="124">
        <f>SUM(tbl_task6[S54])</f>
        <v>0</v>
      </c>
      <c r="HQ29" s="124">
        <f>SUM(tbl_task6[S55])</f>
        <v>0</v>
      </c>
      <c r="HR29" s="124">
        <f>SUM(tbl_task6[S56])</f>
        <v>0</v>
      </c>
      <c r="HS29" s="124">
        <f>SUM(tbl_task6[S57])</f>
        <v>0</v>
      </c>
      <c r="HT29" s="124">
        <f>SUM(tbl_task6[S58])</f>
        <v>0</v>
      </c>
      <c r="HU29" s="124">
        <f>SUM(tbl_task6[S59])</f>
        <v>0</v>
      </c>
      <c r="HV29" s="124">
        <f>SUM(tbl_task6[S60])</f>
        <v>0</v>
      </c>
      <c r="HW29" s="124">
        <f>SUM(tbl_task6[S61])</f>
        <v>0</v>
      </c>
      <c r="HX29" s="124">
        <f>SUM(tbl_task6[S62])</f>
        <v>0</v>
      </c>
      <c r="HY29" s="124">
        <f>SUM(tbl_task6[S63])</f>
        <v>0</v>
      </c>
      <c r="HZ29" s="124">
        <f>SUM(tbl_task6[S64])</f>
        <v>0</v>
      </c>
      <c r="IA29" s="124">
        <f>SUM(tbl_task6[S65])</f>
        <v>0</v>
      </c>
      <c r="IB29" s="124">
        <f>SUM(tbl_task6[S66])</f>
        <v>0</v>
      </c>
      <c r="IC29" s="124">
        <f>SUM(tbl_task6[S67])</f>
        <v>0</v>
      </c>
      <c r="ID29" s="124">
        <f>SUM(tbl_task6[S68])</f>
        <v>0</v>
      </c>
      <c r="IE29" s="124">
        <f>SUM(tbl_task6[S69])</f>
        <v>0</v>
      </c>
      <c r="IF29" s="124">
        <f>SUM(tbl_task6[S70])</f>
        <v>0</v>
      </c>
      <c r="IG29" s="124">
        <f>SUM(tbl_task6[S71])</f>
        <v>0</v>
      </c>
      <c r="IH29" s="124">
        <f>SUM(tbl_task6[S72])</f>
        <v>0</v>
      </c>
      <c r="II29" s="124">
        <f>SUM(tbl_task6[S73])</f>
        <v>0</v>
      </c>
      <c r="IJ29" s="124">
        <f>SUM(tbl_task6[S74])</f>
        <v>0</v>
      </c>
      <c r="IK29" s="124">
        <f>SUM(tbl_task6[S75])</f>
        <v>0</v>
      </c>
      <c r="IL29" s="124">
        <f>SUM(tbl_task6[S76])</f>
        <v>0</v>
      </c>
      <c r="IM29" s="124">
        <f>SUM(tbl_task6[S77])</f>
        <v>0</v>
      </c>
      <c r="IN29" s="124">
        <f>SUM(tbl_task6[S78])</f>
        <v>0</v>
      </c>
      <c r="IO29" s="124">
        <f>SUM(tbl_task6[S79])</f>
        <v>0</v>
      </c>
      <c r="IP29" s="124">
        <f>SUM(tbl_task6[S80])</f>
        <v>0</v>
      </c>
      <c r="IQ29" s="124">
        <f>SUM(tbl_task6[S81])</f>
        <v>0</v>
      </c>
      <c r="IR29" s="124">
        <f>SUM(tbl_task6[S82])</f>
        <v>0</v>
      </c>
      <c r="IS29" s="124">
        <f>SUM(tbl_task6[S83])</f>
        <v>0</v>
      </c>
      <c r="IT29" s="124">
        <f>SUM(tbl_task6[S84])</f>
        <v>0</v>
      </c>
      <c r="IU29" s="124">
        <f>SUM(tbl_task6[S85])</f>
        <v>0</v>
      </c>
      <c r="IV29" s="124">
        <f>SUM(tbl_task6[S86])</f>
        <v>0</v>
      </c>
      <c r="IW29" s="124">
        <f>SUM(tbl_task6[S87])</f>
        <v>0</v>
      </c>
      <c r="IX29" s="124">
        <f>SUM(tbl_task6[S88])</f>
        <v>0</v>
      </c>
      <c r="IY29" s="124">
        <f>SUM(tbl_task6[S89])</f>
        <v>0</v>
      </c>
      <c r="IZ29" s="124">
        <f>SUM(tbl_task6[S90])</f>
        <v>0</v>
      </c>
      <c r="JA29" s="124">
        <f>SUM(tbl_task6[S91])</f>
        <v>0</v>
      </c>
      <c r="JB29" s="124">
        <f>SUM(tbl_task6[S92])</f>
        <v>0</v>
      </c>
      <c r="JC29" s="124">
        <f>SUM(tbl_task6[S93])</f>
        <v>0</v>
      </c>
      <c r="JD29" s="124">
        <f>SUM(tbl_task6[S94])</f>
        <v>0</v>
      </c>
      <c r="JE29" s="124">
        <f>SUM(tbl_task6[S95])</f>
        <v>0</v>
      </c>
      <c r="JF29" s="124">
        <f>SUM(tbl_task6[S96])</f>
        <v>0</v>
      </c>
      <c r="JG29" s="124">
        <f>SUM(tbl_task6[S97])</f>
        <v>0</v>
      </c>
      <c r="JH29" s="124">
        <f>SUM(tbl_task6[S98])</f>
        <v>0</v>
      </c>
      <c r="JI29" s="124">
        <f>SUM(tbl_task6[S99])</f>
        <v>0</v>
      </c>
      <c r="JJ29" s="124">
        <f>SUM(tbl_task6[S100])</f>
        <v>0</v>
      </c>
      <c r="JK29" s="124">
        <f>SUM(tbl_task6[S101])</f>
        <v>0</v>
      </c>
      <c r="JL29" s="124">
        <f>SUM(tbl_task6[S102])</f>
        <v>0</v>
      </c>
      <c r="JM29" s="124">
        <f>SUM(tbl_task6[S103])</f>
        <v>0</v>
      </c>
      <c r="JN29" s="124">
        <f>SUM(tbl_task6[S104])</f>
        <v>0</v>
      </c>
      <c r="JO29" s="124">
        <f>SUM(tbl_task6[S105])</f>
        <v>0</v>
      </c>
      <c r="JP29" s="124">
        <f>SUM(tbl_task6[S106])</f>
        <v>0</v>
      </c>
      <c r="JQ29" s="124">
        <f>SUM(tbl_task6[S107])</f>
        <v>0</v>
      </c>
      <c r="JR29" s="124">
        <f>SUM(tbl_task6[S108])</f>
        <v>0</v>
      </c>
      <c r="JS29" s="124">
        <f>SUM(tbl_task6[S109])</f>
        <v>0</v>
      </c>
      <c r="JT29" s="124">
        <f>SUM(tbl_task6[S110])</f>
        <v>0</v>
      </c>
      <c r="JU29" s="124">
        <f>SUM(tbl_task6[S111])</f>
        <v>0</v>
      </c>
      <c r="JV29" s="124">
        <f>SUM(tbl_task6[S112])</f>
        <v>0</v>
      </c>
      <c r="JW29" s="124">
        <f>SUM(tbl_task6[S113])</f>
        <v>0</v>
      </c>
      <c r="JX29" s="124">
        <f>SUM(tbl_task6[S114])</f>
        <v>0</v>
      </c>
      <c r="JY29" s="124">
        <f>SUM(tbl_task6[S115])</f>
        <v>0</v>
      </c>
      <c r="JZ29" s="124">
        <f>SUM(tbl_task6[S116])</f>
        <v>0</v>
      </c>
      <c r="KA29" s="124">
        <f>SUM(tbl_task6[S117])</f>
        <v>0</v>
      </c>
      <c r="KB29" s="124">
        <f>SUM(tbl_task6[S118])</f>
        <v>0</v>
      </c>
      <c r="KC29" s="124">
        <f>SUM(tbl_task6[S119])</f>
        <v>0</v>
      </c>
      <c r="KD29" s="124">
        <f>SUM(tbl_task6[S120])</f>
        <v>0</v>
      </c>
      <c r="KE29" s="124">
        <f>SUM(tbl_task6[S121])</f>
        <v>0</v>
      </c>
      <c r="KF29" s="124">
        <f>SUM(tbl_task6[S122])</f>
        <v>0</v>
      </c>
      <c r="KG29" s="124">
        <f>SUM(tbl_task6[S123])</f>
        <v>0</v>
      </c>
      <c r="KH29" s="124">
        <f>SUM(tbl_task6[S124])</f>
        <v>0</v>
      </c>
      <c r="KI29" s="124">
        <f>SUM(tbl_task6[S125])</f>
        <v>0</v>
      </c>
      <c r="KJ29" s="124">
        <f>SUM(tbl_task6[S126])</f>
        <v>0</v>
      </c>
      <c r="KK29" s="124">
        <f>SUM(tbl_task6[S127])</f>
        <v>0</v>
      </c>
      <c r="KL29" s="124">
        <f>SUM(tbl_task6[S128])</f>
        <v>0</v>
      </c>
      <c r="KM29" s="124">
        <f>SUM(tbl_task6[S129])</f>
        <v>0</v>
      </c>
      <c r="KN29" s="124">
        <f>SUM(tbl_task6[S130])</f>
        <v>0</v>
      </c>
      <c r="KO29" s="124">
        <f>SUM(tbl_task6[S131])</f>
        <v>0</v>
      </c>
      <c r="KP29" s="124">
        <f>SUM(tbl_task6[S132])</f>
        <v>0</v>
      </c>
      <c r="KQ29" s="124">
        <f>SUM(tbl_task6[S133])</f>
        <v>0</v>
      </c>
      <c r="KR29" s="124">
        <f>SUM(tbl_task6[S134])</f>
        <v>0</v>
      </c>
      <c r="KS29" s="124">
        <f>SUM(tbl_task6[S135])</f>
        <v>0</v>
      </c>
      <c r="KT29" s="124">
        <f>SUM(tbl_task6[S136])</f>
        <v>0</v>
      </c>
      <c r="KU29" s="124">
        <f>SUM(tbl_task6[S137])</f>
        <v>0</v>
      </c>
      <c r="KV29" s="124">
        <f>SUM(tbl_task6[S138])</f>
        <v>0</v>
      </c>
      <c r="KW29" s="124">
        <f>SUM(tbl_task6[S139])</f>
        <v>0</v>
      </c>
      <c r="KX29" s="124">
        <f>SUM(tbl_task6[S140])</f>
        <v>0</v>
      </c>
      <c r="KY29" s="124">
        <f>SUM(tbl_task6[S141])</f>
        <v>0</v>
      </c>
      <c r="KZ29" s="124">
        <f>SUM(tbl_task6[S142])</f>
        <v>0</v>
      </c>
      <c r="LA29" s="124">
        <f>SUM(tbl_task6[S143])</f>
        <v>0</v>
      </c>
      <c r="LB29" s="124">
        <f>SUM(tbl_task6[S144])</f>
        <v>0</v>
      </c>
      <c r="LC29" s="124">
        <f>SUM(tbl_task6[S145])</f>
        <v>0</v>
      </c>
      <c r="LD29" s="124">
        <f>SUM(tbl_task6[S146])</f>
        <v>0</v>
      </c>
      <c r="LE29" s="124">
        <f>SUM(tbl_task6[S147])</f>
        <v>0</v>
      </c>
      <c r="LF29" s="124">
        <f>SUM(tbl_task6[S148])</f>
        <v>0</v>
      </c>
      <c r="LG29" s="124">
        <f>SUM(tbl_task6[S149])</f>
        <v>0</v>
      </c>
      <c r="LH29" s="124">
        <f>SUM(tbl_task6[S150])</f>
        <v>0</v>
      </c>
      <c r="LI29" s="124">
        <f>SUM(tbl_task6[S151])</f>
        <v>0</v>
      </c>
      <c r="LJ29" s="124">
        <f>SUM(tbl_task6[S152])</f>
        <v>0</v>
      </c>
      <c r="LK29" s="124">
        <f>SUM(tbl_task6[S153])</f>
        <v>0</v>
      </c>
      <c r="LL29" s="124">
        <f>SUM(tbl_task6[S154])</f>
        <v>0</v>
      </c>
      <c r="LM29" s="124">
        <f>SUM(tbl_task6[S155])</f>
        <v>0</v>
      </c>
      <c r="LN29" s="124">
        <f>SUM(tbl_task6[S156])</f>
        <v>0</v>
      </c>
      <c r="LO29" s="124">
        <f>SUM(tbl_task6[S157])</f>
        <v>0</v>
      </c>
      <c r="LP29" s="124">
        <f>SUM(tbl_task6[S158])</f>
        <v>0</v>
      </c>
      <c r="LQ29" s="124">
        <f>SUM(tbl_task6[S159])</f>
        <v>0</v>
      </c>
      <c r="LR29" s="124">
        <f>SUM(tbl_task6[S160])</f>
        <v>0</v>
      </c>
      <c r="LS29" s="124">
        <f>SUM(tbl_task6[S161])</f>
        <v>0</v>
      </c>
      <c r="LT29" s="124">
        <f>SUM(tbl_task6[S162])</f>
        <v>0</v>
      </c>
      <c r="LU29" s="124">
        <f>SUM(tbl_task6[S163])</f>
        <v>0</v>
      </c>
      <c r="LV29" s="124">
        <f>SUM(tbl_task6[S164])</f>
        <v>0</v>
      </c>
      <c r="LW29" s="124">
        <f>SUM(tbl_task6[S165])</f>
        <v>0</v>
      </c>
    </row>
    <row r="30" spans="1:335" s="39" customFormat="1" ht="9" customHeight="1" x14ac:dyDescent="0.25">
      <c r="A30" s="23"/>
      <c r="B30" s="35"/>
      <c r="C30" s="36"/>
      <c r="D30" s="100"/>
      <c r="E30" s="37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</row>
    <row r="31" spans="1:335" ht="10.5" customHeight="1" x14ac:dyDescent="0.25">
      <c r="A31" s="23"/>
      <c r="B31" s="35"/>
      <c r="C31" s="36"/>
      <c r="D31" s="100"/>
      <c r="E31" s="37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</row>
    <row r="32" spans="1:335" x14ac:dyDescent="0.25">
      <c r="A32" s="6" t="s">
        <v>410</v>
      </c>
    </row>
    <row r="33" spans="1:170" ht="42" x14ac:dyDescent="0.25">
      <c r="A33" s="7" t="s">
        <v>10</v>
      </c>
      <c r="B33" s="21" t="s">
        <v>286</v>
      </c>
      <c r="C33" s="21" t="s">
        <v>451</v>
      </c>
      <c r="D33" s="21" t="s">
        <v>409</v>
      </c>
      <c r="E33" s="43" t="s">
        <v>249</v>
      </c>
      <c r="F33" s="122" t="s">
        <v>22</v>
      </c>
      <c r="G33" s="122" t="s">
        <v>23</v>
      </c>
      <c r="H33" s="122" t="s">
        <v>24</v>
      </c>
      <c r="I33" s="122" t="s">
        <v>25</v>
      </c>
      <c r="J33" s="122" t="s">
        <v>26</v>
      </c>
      <c r="K33" s="122" t="s">
        <v>27</v>
      </c>
      <c r="L33" s="122" t="s">
        <v>28</v>
      </c>
      <c r="M33" s="122" t="s">
        <v>29</v>
      </c>
      <c r="N33" s="122" t="s">
        <v>30</v>
      </c>
      <c r="O33" s="122" t="s">
        <v>31</v>
      </c>
      <c r="P33" s="122" t="s">
        <v>32</v>
      </c>
      <c r="Q33" s="122" t="s">
        <v>33</v>
      </c>
      <c r="R33" s="122" t="s">
        <v>34</v>
      </c>
      <c r="S33" s="122" t="s">
        <v>35</v>
      </c>
      <c r="T33" s="122" t="s">
        <v>36</v>
      </c>
      <c r="U33" s="122" t="s">
        <v>37</v>
      </c>
      <c r="V33" s="122" t="s">
        <v>38</v>
      </c>
      <c r="W33" s="122" t="s">
        <v>39</v>
      </c>
      <c r="X33" s="122" t="s">
        <v>40</v>
      </c>
      <c r="Y33" s="122" t="s">
        <v>41</v>
      </c>
      <c r="Z33" s="122" t="s">
        <v>42</v>
      </c>
      <c r="AA33" s="122" t="s">
        <v>43</v>
      </c>
      <c r="AB33" s="122" t="s">
        <v>44</v>
      </c>
      <c r="AC33" s="122" t="s">
        <v>45</v>
      </c>
      <c r="AD33" s="122" t="s">
        <v>46</v>
      </c>
      <c r="AE33" s="122" t="s">
        <v>47</v>
      </c>
      <c r="AF33" s="122" t="s">
        <v>48</v>
      </c>
      <c r="AG33" s="122" t="s">
        <v>49</v>
      </c>
      <c r="AH33" s="122" t="s">
        <v>50</v>
      </c>
      <c r="AI33" s="122" t="s">
        <v>51</v>
      </c>
      <c r="AJ33" s="122" t="s">
        <v>52</v>
      </c>
      <c r="AK33" s="122" t="s">
        <v>53</v>
      </c>
      <c r="AL33" s="122" t="s">
        <v>54</v>
      </c>
      <c r="AM33" s="122" t="s">
        <v>55</v>
      </c>
      <c r="AN33" s="122" t="s">
        <v>56</v>
      </c>
      <c r="AO33" s="122" t="s">
        <v>57</v>
      </c>
      <c r="AP33" s="122" t="s">
        <v>58</v>
      </c>
      <c r="AQ33" s="122" t="s">
        <v>59</v>
      </c>
      <c r="AR33" s="122" t="s">
        <v>60</v>
      </c>
      <c r="AS33" s="122" t="s">
        <v>61</v>
      </c>
      <c r="AT33" s="122" t="s">
        <v>62</v>
      </c>
      <c r="AU33" s="122" t="s">
        <v>63</v>
      </c>
      <c r="AV33" s="122" t="s">
        <v>64</v>
      </c>
      <c r="AW33" s="122" t="s">
        <v>65</v>
      </c>
      <c r="AX33" s="122" t="s">
        <v>66</v>
      </c>
      <c r="AY33" s="122" t="s">
        <v>67</v>
      </c>
      <c r="AZ33" s="122" t="s">
        <v>68</v>
      </c>
      <c r="BA33" s="122" t="s">
        <v>69</v>
      </c>
      <c r="BB33" s="122" t="s">
        <v>70</v>
      </c>
      <c r="BC33" s="122" t="s">
        <v>71</v>
      </c>
      <c r="BD33" s="122" t="s">
        <v>72</v>
      </c>
      <c r="BE33" s="122" t="s">
        <v>73</v>
      </c>
      <c r="BF33" s="122" t="s">
        <v>74</v>
      </c>
      <c r="BG33" s="122" t="s">
        <v>75</v>
      </c>
      <c r="BH33" s="122" t="s">
        <v>76</v>
      </c>
      <c r="BI33" s="122" t="s">
        <v>77</v>
      </c>
      <c r="BJ33" s="122" t="s">
        <v>78</v>
      </c>
      <c r="BK33" s="122" t="s">
        <v>79</v>
      </c>
      <c r="BL33" s="122" t="s">
        <v>80</v>
      </c>
      <c r="BM33" s="122" t="s">
        <v>81</v>
      </c>
      <c r="BN33" s="122" t="s">
        <v>82</v>
      </c>
      <c r="BO33" s="122" t="s">
        <v>83</v>
      </c>
      <c r="BP33" s="122" t="s">
        <v>84</v>
      </c>
      <c r="BQ33" s="122" t="s">
        <v>85</v>
      </c>
      <c r="BR33" s="122" t="s">
        <v>86</v>
      </c>
      <c r="BS33" s="122" t="s">
        <v>87</v>
      </c>
      <c r="BT33" s="122" t="s">
        <v>88</v>
      </c>
      <c r="BU33" s="122" t="s">
        <v>89</v>
      </c>
      <c r="BV33" s="122" t="s">
        <v>90</v>
      </c>
      <c r="BW33" s="122" t="s">
        <v>91</v>
      </c>
      <c r="BX33" s="122" t="s">
        <v>92</v>
      </c>
      <c r="BY33" s="122" t="s">
        <v>93</v>
      </c>
      <c r="BZ33" s="122" t="s">
        <v>94</v>
      </c>
      <c r="CA33" s="122" t="s">
        <v>95</v>
      </c>
      <c r="CB33" s="122" t="s">
        <v>96</v>
      </c>
      <c r="CC33" s="122" t="s">
        <v>97</v>
      </c>
      <c r="CD33" s="122" t="s">
        <v>98</v>
      </c>
      <c r="CE33" s="122" t="s">
        <v>99</v>
      </c>
      <c r="CF33" s="122" t="s">
        <v>100</v>
      </c>
      <c r="CG33" s="122" t="s">
        <v>101</v>
      </c>
      <c r="CH33" s="122" t="s">
        <v>102</v>
      </c>
      <c r="CI33" s="122" t="s">
        <v>103</v>
      </c>
      <c r="CJ33" s="122" t="s">
        <v>104</v>
      </c>
      <c r="CK33" s="122" t="s">
        <v>105</v>
      </c>
      <c r="CL33" s="122" t="s">
        <v>106</v>
      </c>
      <c r="CM33" s="122" t="s">
        <v>107</v>
      </c>
      <c r="CN33" s="122" t="s">
        <v>108</v>
      </c>
      <c r="CO33" s="122" t="s">
        <v>109</v>
      </c>
      <c r="CP33" s="122" t="s">
        <v>110</v>
      </c>
      <c r="CQ33" s="122" t="s">
        <v>111</v>
      </c>
      <c r="CR33" s="122" t="s">
        <v>112</v>
      </c>
      <c r="CS33" s="122" t="s">
        <v>113</v>
      </c>
      <c r="CT33" s="122" t="s">
        <v>114</v>
      </c>
      <c r="CU33" s="122" t="s">
        <v>115</v>
      </c>
      <c r="CV33" s="122" t="s">
        <v>116</v>
      </c>
      <c r="CW33" s="122" t="s">
        <v>117</v>
      </c>
      <c r="CX33" s="122" t="s">
        <v>118</v>
      </c>
      <c r="CY33" s="122" t="s">
        <v>119</v>
      </c>
      <c r="CZ33" s="122" t="s">
        <v>120</v>
      </c>
      <c r="DA33" s="122" t="s">
        <v>121</v>
      </c>
      <c r="DB33" s="122" t="s">
        <v>122</v>
      </c>
      <c r="DC33" s="122" t="s">
        <v>123</v>
      </c>
      <c r="DD33" s="122" t="s">
        <v>124</v>
      </c>
      <c r="DE33" s="122" t="s">
        <v>125</v>
      </c>
      <c r="DF33" s="122" t="s">
        <v>126</v>
      </c>
      <c r="DG33" s="122" t="s">
        <v>127</v>
      </c>
      <c r="DH33" s="122" t="s">
        <v>128</v>
      </c>
      <c r="DI33" s="122" t="s">
        <v>129</v>
      </c>
      <c r="DJ33" s="122" t="s">
        <v>130</v>
      </c>
      <c r="DK33" s="122" t="s">
        <v>131</v>
      </c>
      <c r="DL33" s="122" t="s">
        <v>132</v>
      </c>
      <c r="DM33" s="122" t="s">
        <v>133</v>
      </c>
      <c r="DN33" s="122" t="s">
        <v>134</v>
      </c>
      <c r="DO33" s="122" t="s">
        <v>135</v>
      </c>
      <c r="DP33" s="122" t="s">
        <v>136</v>
      </c>
      <c r="DQ33" s="122" t="s">
        <v>359</v>
      </c>
      <c r="DR33" s="122" t="s">
        <v>360</v>
      </c>
      <c r="DS33" s="122" t="s">
        <v>361</v>
      </c>
      <c r="DT33" s="122" t="s">
        <v>362</v>
      </c>
      <c r="DU33" s="122" t="s">
        <v>363</v>
      </c>
      <c r="DV33" s="122" t="s">
        <v>364</v>
      </c>
      <c r="DW33" s="122" t="s">
        <v>365</v>
      </c>
      <c r="DX33" s="122" t="s">
        <v>366</v>
      </c>
      <c r="DY33" s="122" t="s">
        <v>367</v>
      </c>
      <c r="DZ33" s="122" t="s">
        <v>368</v>
      </c>
      <c r="EA33" s="122" t="s">
        <v>369</v>
      </c>
      <c r="EB33" s="122" t="s">
        <v>370</v>
      </c>
      <c r="EC33" s="122" t="s">
        <v>371</v>
      </c>
      <c r="ED33" s="122" t="s">
        <v>372</v>
      </c>
      <c r="EE33" s="122" t="s">
        <v>373</v>
      </c>
      <c r="EF33" s="122" t="s">
        <v>374</v>
      </c>
      <c r="EG33" s="122" t="s">
        <v>375</v>
      </c>
      <c r="EH33" s="122" t="s">
        <v>376</v>
      </c>
      <c r="EI33" s="122" t="s">
        <v>377</v>
      </c>
      <c r="EJ33" s="122" t="s">
        <v>378</v>
      </c>
      <c r="EK33" s="122" t="s">
        <v>379</v>
      </c>
      <c r="EL33" s="122" t="s">
        <v>380</v>
      </c>
      <c r="EM33" s="122" t="s">
        <v>381</v>
      </c>
      <c r="EN33" s="122" t="s">
        <v>382</v>
      </c>
      <c r="EO33" s="122" t="s">
        <v>383</v>
      </c>
      <c r="EP33" s="122" t="s">
        <v>384</v>
      </c>
      <c r="EQ33" s="122" t="s">
        <v>385</v>
      </c>
      <c r="ER33" s="122" t="s">
        <v>386</v>
      </c>
      <c r="ES33" s="122" t="s">
        <v>387</v>
      </c>
      <c r="ET33" s="122" t="s">
        <v>388</v>
      </c>
      <c r="EU33" s="122" t="s">
        <v>389</v>
      </c>
      <c r="EV33" s="122" t="s">
        <v>390</v>
      </c>
      <c r="EW33" s="122" t="s">
        <v>391</v>
      </c>
      <c r="EX33" s="122" t="s">
        <v>392</v>
      </c>
      <c r="EY33" s="122" t="s">
        <v>393</v>
      </c>
      <c r="EZ33" s="122" t="s">
        <v>394</v>
      </c>
      <c r="FA33" s="122" t="s">
        <v>395</v>
      </c>
      <c r="FB33" s="122" t="s">
        <v>396</v>
      </c>
      <c r="FC33" s="122" t="s">
        <v>397</v>
      </c>
      <c r="FD33" s="122" t="s">
        <v>398</v>
      </c>
      <c r="FE33" s="122" t="s">
        <v>399</v>
      </c>
      <c r="FF33" s="122" t="s">
        <v>400</v>
      </c>
      <c r="FG33" s="122" t="s">
        <v>401</v>
      </c>
      <c r="FH33" s="122" t="s">
        <v>402</v>
      </c>
      <c r="FI33" s="122" t="s">
        <v>403</v>
      </c>
      <c r="FJ33" s="122" t="s">
        <v>404</v>
      </c>
      <c r="FK33" s="122" t="s">
        <v>405</v>
      </c>
      <c r="FL33" s="122" t="s">
        <v>406</v>
      </c>
      <c r="FM33" s="122" t="s">
        <v>407</v>
      </c>
      <c r="FN33" s="122" t="s">
        <v>408</v>
      </c>
    </row>
    <row r="34" spans="1:170" ht="84" x14ac:dyDescent="0.25">
      <c r="A34" s="135">
        <v>1</v>
      </c>
      <c r="B34" s="5" t="s">
        <v>617</v>
      </c>
      <c r="C34" s="136">
        <f>COUNTIFS(tbl_task6[SubPLOs],"&gt;=1",tbl_task6[SubPLOs],"&lt;2")</f>
        <v>0</v>
      </c>
      <c r="D34" s="136">
        <f>SUMIFS(tbl_task6[คะแนนเต็ม],tbl_task6[SubPLOs],"&gt;=1",tbl_task6[SubPLOs],"&lt;2")</f>
        <v>0</v>
      </c>
      <c r="E34" s="137">
        <f>SUMIFS(tbl_task6[%],tbl_task6[SubPLOs],"&gt;=1",tbl_task6[SubPLOs],"&lt;2")</f>
        <v>0</v>
      </c>
      <c r="F34" s="138">
        <f>SUMIFS(tbl_task6[S1],tbl_task6[[SubPLOs]:[SubPLOs]],"&gt;=1",tbl_task6[[SubPLOs]:[SubPLOs]],"&lt;2")</f>
        <v>0</v>
      </c>
      <c r="G34" s="138">
        <f>SUMIFS(tbl_task6[S2],tbl_task6[[SubPLOs]:[SubPLOs]],"&gt;=1",tbl_task6[[SubPLOs]:[SubPLOs]],"&lt;2")</f>
        <v>0</v>
      </c>
      <c r="H34" s="138">
        <f>SUMIFS(tbl_task6[S3],tbl_task6[[SubPLOs]:[SubPLOs]],"&gt;=1",tbl_task6[[SubPLOs]:[SubPLOs]],"&lt;2")</f>
        <v>0</v>
      </c>
      <c r="I34" s="138">
        <f>SUMIFS(tbl_task6[S4],tbl_task6[[SubPLOs]:[SubPLOs]],"&gt;=1",tbl_task6[[SubPLOs]:[SubPLOs]],"&lt;2")</f>
        <v>0</v>
      </c>
      <c r="J34" s="138">
        <f>SUMIFS(tbl_task6[S5],tbl_task6[[SubPLOs]:[SubPLOs]],"&gt;=1",tbl_task6[[SubPLOs]:[SubPLOs]],"&lt;2")</f>
        <v>0</v>
      </c>
      <c r="K34" s="138">
        <f>SUMIFS(tbl_task6[S6],tbl_task6[[SubPLOs]:[SubPLOs]],"&gt;=1",tbl_task6[[SubPLOs]:[SubPLOs]],"&lt;2")</f>
        <v>0</v>
      </c>
      <c r="L34" s="138">
        <f>SUMIFS(tbl_task6[S7],tbl_task6[[SubPLOs]:[SubPLOs]],"&gt;=1",tbl_task6[[SubPLOs]:[SubPLOs]],"&lt;2")</f>
        <v>0</v>
      </c>
      <c r="M34" s="138">
        <f>SUMIFS(tbl_task6[S8],tbl_task6[[SubPLOs]:[SubPLOs]],"&gt;=1",tbl_task6[[SubPLOs]:[SubPLOs]],"&lt;2")</f>
        <v>0</v>
      </c>
      <c r="N34" s="138">
        <f>SUMIFS(tbl_task6[S9],tbl_task6[[SubPLOs]:[SubPLOs]],"&gt;=1",tbl_task6[[SubPLOs]:[SubPLOs]],"&lt;2")</f>
        <v>0</v>
      </c>
      <c r="O34" s="138">
        <f>SUMIFS(tbl_task6[S10],tbl_task6[[SubPLOs]:[SubPLOs]],"&gt;=1",tbl_task6[[SubPLOs]:[SubPLOs]],"&lt;2")</f>
        <v>0</v>
      </c>
      <c r="P34" s="138">
        <f>SUMIFS(tbl_task6[S11],tbl_task6[[SubPLOs]:[SubPLOs]],"&gt;=1",tbl_task6[[SubPLOs]:[SubPLOs]],"&lt;2")</f>
        <v>0</v>
      </c>
      <c r="Q34" s="138">
        <f>SUMIFS(tbl_task6[S12],tbl_task6[[SubPLOs]:[SubPLOs]],"&gt;=1",tbl_task6[[SubPLOs]:[SubPLOs]],"&lt;2")</f>
        <v>0</v>
      </c>
      <c r="R34" s="138">
        <f>SUMIFS(tbl_task6[S13],tbl_task6[[SubPLOs]:[SubPLOs]],"&gt;=1",tbl_task6[[SubPLOs]:[SubPLOs]],"&lt;2")</f>
        <v>0</v>
      </c>
      <c r="S34" s="138">
        <f>SUMIFS(tbl_task6[S14],tbl_task6[[SubPLOs]:[SubPLOs]],"&gt;=1",tbl_task6[[SubPLOs]:[SubPLOs]],"&lt;2")</f>
        <v>0</v>
      </c>
      <c r="T34" s="138">
        <f>SUMIFS(tbl_task6[S15],tbl_task6[[SubPLOs]:[SubPLOs]],"&gt;=1",tbl_task6[[SubPLOs]:[SubPLOs]],"&lt;2")</f>
        <v>0</v>
      </c>
      <c r="U34" s="138">
        <f>SUMIFS(tbl_task6[S16],tbl_task6[[SubPLOs]:[SubPLOs]],"&gt;=1",tbl_task6[[SubPLOs]:[SubPLOs]],"&lt;2")</f>
        <v>0</v>
      </c>
      <c r="V34" s="138">
        <f>SUMIFS(tbl_task6[S17],tbl_task6[[SubPLOs]:[SubPLOs]],"&gt;=1",tbl_task6[[SubPLOs]:[SubPLOs]],"&lt;2")</f>
        <v>0</v>
      </c>
      <c r="W34" s="138">
        <f>SUMIFS(tbl_task6[S18],tbl_task6[[SubPLOs]:[SubPLOs]],"&gt;=1",tbl_task6[[SubPLOs]:[SubPLOs]],"&lt;2")</f>
        <v>0</v>
      </c>
      <c r="X34" s="138">
        <f>SUMIFS(tbl_task6[S19],tbl_task6[[SubPLOs]:[SubPLOs]],"&gt;=1",tbl_task6[[SubPLOs]:[SubPLOs]],"&lt;2")</f>
        <v>0</v>
      </c>
      <c r="Y34" s="138">
        <f>SUMIFS(tbl_task6[S20],tbl_task6[[SubPLOs]:[SubPLOs]],"&gt;=1",tbl_task6[[SubPLOs]:[SubPLOs]],"&lt;2")</f>
        <v>0</v>
      </c>
      <c r="Z34" s="138">
        <f>SUMIFS(tbl_task6[S21],tbl_task6[[SubPLOs]:[SubPLOs]],"&gt;=1",tbl_task6[[SubPLOs]:[SubPLOs]],"&lt;2")</f>
        <v>0</v>
      </c>
      <c r="AA34" s="138">
        <f>SUMIFS(tbl_task6[S22],tbl_task6[[SubPLOs]:[SubPLOs]],"&gt;=1",tbl_task6[[SubPLOs]:[SubPLOs]],"&lt;2")</f>
        <v>0</v>
      </c>
      <c r="AB34" s="138">
        <f>SUMIFS(tbl_task6[S23],tbl_task6[[SubPLOs]:[SubPLOs]],"&gt;=1",tbl_task6[[SubPLOs]:[SubPLOs]],"&lt;2")</f>
        <v>0</v>
      </c>
      <c r="AC34" s="138">
        <f>SUMIFS(tbl_task6[S24],tbl_task6[[SubPLOs]:[SubPLOs]],"&gt;=1",tbl_task6[[SubPLOs]:[SubPLOs]],"&lt;2")</f>
        <v>0</v>
      </c>
      <c r="AD34" s="138">
        <f>SUMIFS(tbl_task6[S25],tbl_task6[[SubPLOs]:[SubPLOs]],"&gt;=1",tbl_task6[[SubPLOs]:[SubPLOs]],"&lt;2")</f>
        <v>0</v>
      </c>
      <c r="AE34" s="138">
        <f>SUMIFS(tbl_task6[S26],tbl_task6[[SubPLOs]:[SubPLOs]],"&gt;=1",tbl_task6[[SubPLOs]:[SubPLOs]],"&lt;2")</f>
        <v>0</v>
      </c>
      <c r="AF34" s="138">
        <f>SUMIFS(tbl_task6[S27],tbl_task6[[SubPLOs]:[SubPLOs]],"&gt;=1",tbl_task6[[SubPLOs]:[SubPLOs]],"&lt;2")</f>
        <v>0</v>
      </c>
      <c r="AG34" s="138">
        <f>SUMIFS(tbl_task6[S28],tbl_task6[[SubPLOs]:[SubPLOs]],"&gt;=1",tbl_task6[[SubPLOs]:[SubPLOs]],"&lt;2")</f>
        <v>0</v>
      </c>
      <c r="AH34" s="138">
        <f>SUMIFS(tbl_task6[S29],tbl_task6[[SubPLOs]:[SubPLOs]],"&gt;=1",tbl_task6[[SubPLOs]:[SubPLOs]],"&lt;2")</f>
        <v>0</v>
      </c>
      <c r="AI34" s="138">
        <f>SUMIFS(tbl_task6[S30],tbl_task6[[SubPLOs]:[SubPLOs]],"&gt;=1",tbl_task6[[SubPLOs]:[SubPLOs]],"&lt;2")</f>
        <v>0</v>
      </c>
      <c r="AJ34" s="138">
        <f>SUMIFS(tbl_task6[S31],tbl_task6[[SubPLOs]:[SubPLOs]],"&gt;=1",tbl_task6[[SubPLOs]:[SubPLOs]],"&lt;2")</f>
        <v>0</v>
      </c>
      <c r="AK34" s="138">
        <f>SUMIFS(tbl_task6[S32],tbl_task6[[SubPLOs]:[SubPLOs]],"&gt;=1",tbl_task6[[SubPLOs]:[SubPLOs]],"&lt;2")</f>
        <v>0</v>
      </c>
      <c r="AL34" s="138">
        <f>SUMIFS(tbl_task6[S33],tbl_task6[[SubPLOs]:[SubPLOs]],"&gt;=1",tbl_task6[[SubPLOs]:[SubPLOs]],"&lt;2")</f>
        <v>0</v>
      </c>
      <c r="AM34" s="138">
        <f>SUMIFS(tbl_task6[S34],tbl_task6[[SubPLOs]:[SubPLOs]],"&gt;=1",tbl_task6[[SubPLOs]:[SubPLOs]],"&lt;2")</f>
        <v>0</v>
      </c>
      <c r="AN34" s="138">
        <f>SUMIFS(tbl_task6[S35],tbl_task6[[SubPLOs]:[SubPLOs]],"&gt;=1",tbl_task6[[SubPLOs]:[SubPLOs]],"&lt;2")</f>
        <v>0</v>
      </c>
      <c r="AO34" s="138">
        <f>SUMIFS(tbl_task6[S36],tbl_task6[[SubPLOs]:[SubPLOs]],"&gt;=1",tbl_task6[[SubPLOs]:[SubPLOs]],"&lt;2")</f>
        <v>0</v>
      </c>
      <c r="AP34" s="138">
        <f>SUMIFS(tbl_task6[S37],tbl_task6[[SubPLOs]:[SubPLOs]],"&gt;=1",tbl_task6[[SubPLOs]:[SubPLOs]],"&lt;2")</f>
        <v>0</v>
      </c>
      <c r="AQ34" s="138">
        <f>SUMIFS(tbl_task6[S38],tbl_task6[[SubPLOs]:[SubPLOs]],"&gt;=1",tbl_task6[[SubPLOs]:[SubPLOs]],"&lt;2")</f>
        <v>0</v>
      </c>
      <c r="AR34" s="138">
        <f>SUMIFS(tbl_task6[S39],tbl_task6[[SubPLOs]:[SubPLOs]],"&gt;=1",tbl_task6[[SubPLOs]:[SubPLOs]],"&lt;2")</f>
        <v>0</v>
      </c>
      <c r="AS34" s="138">
        <f>SUMIFS(tbl_task6[S40],tbl_task6[[SubPLOs]:[SubPLOs]],"&gt;=1",tbl_task6[[SubPLOs]:[SubPLOs]],"&lt;2")</f>
        <v>0</v>
      </c>
      <c r="AT34" s="138">
        <f>SUMIFS(tbl_task6[S41],tbl_task6[[SubPLOs]:[SubPLOs]],"&gt;=1",tbl_task6[[SubPLOs]:[SubPLOs]],"&lt;2")</f>
        <v>0</v>
      </c>
      <c r="AU34" s="138">
        <f>SUMIFS(tbl_task6[S42],tbl_task6[[SubPLOs]:[SubPLOs]],"&gt;=1",tbl_task6[[SubPLOs]:[SubPLOs]],"&lt;2")</f>
        <v>0</v>
      </c>
      <c r="AV34" s="138">
        <f>SUMIFS(tbl_task6[S43],tbl_task6[[SubPLOs]:[SubPLOs]],"&gt;=1",tbl_task6[[SubPLOs]:[SubPLOs]],"&lt;2")</f>
        <v>0</v>
      </c>
      <c r="AW34" s="138">
        <f>SUMIFS(tbl_task6[S44],tbl_task6[[SubPLOs]:[SubPLOs]],"&gt;=1",tbl_task6[[SubPLOs]:[SubPLOs]],"&lt;2")</f>
        <v>0</v>
      </c>
      <c r="AX34" s="138">
        <f>SUMIFS(tbl_task6[S45],tbl_task6[[SubPLOs]:[SubPLOs]],"&gt;=1",tbl_task6[[SubPLOs]:[SubPLOs]],"&lt;2")</f>
        <v>0</v>
      </c>
      <c r="AY34" s="138">
        <f>SUMIFS(tbl_task6[S46],tbl_task6[[SubPLOs]:[SubPLOs]],"&gt;=1",tbl_task6[[SubPLOs]:[SubPLOs]],"&lt;2")</f>
        <v>0</v>
      </c>
      <c r="AZ34" s="138">
        <f>SUMIFS(tbl_task6[S47],tbl_task6[[SubPLOs]:[SubPLOs]],"&gt;=1",tbl_task6[[SubPLOs]:[SubPLOs]],"&lt;2")</f>
        <v>0</v>
      </c>
      <c r="BA34" s="138">
        <f>SUMIFS(tbl_task6[S48],tbl_task6[[SubPLOs]:[SubPLOs]],"&gt;=1",tbl_task6[[SubPLOs]:[SubPLOs]],"&lt;2")</f>
        <v>0</v>
      </c>
      <c r="BB34" s="138">
        <f>SUMIFS(tbl_task6[S49],tbl_task6[[SubPLOs]:[SubPLOs]],"&gt;=1",tbl_task6[[SubPLOs]:[SubPLOs]],"&lt;2")</f>
        <v>0</v>
      </c>
      <c r="BC34" s="138">
        <f>SUMIFS(tbl_task6[S50],tbl_task6[[SubPLOs]:[SubPLOs]],"&gt;=1",tbl_task6[[SubPLOs]:[SubPLOs]],"&lt;2")</f>
        <v>0</v>
      </c>
      <c r="BD34" s="138">
        <f>SUMIFS(tbl_task6[S51],tbl_task6[[SubPLOs]:[SubPLOs]],"&gt;=1",tbl_task6[[SubPLOs]:[SubPLOs]],"&lt;2")</f>
        <v>0</v>
      </c>
      <c r="BE34" s="138">
        <f>SUMIFS(tbl_task6[S52],tbl_task6[[SubPLOs]:[SubPLOs]],"&gt;=1",tbl_task6[[SubPLOs]:[SubPLOs]],"&lt;2")</f>
        <v>0</v>
      </c>
      <c r="BF34" s="138">
        <f>SUMIFS(tbl_task6[S53],tbl_task6[[SubPLOs]:[SubPLOs]],"&gt;=1",tbl_task6[[SubPLOs]:[SubPLOs]],"&lt;2")</f>
        <v>0</v>
      </c>
      <c r="BG34" s="138">
        <f>SUMIFS(tbl_task6[S54],tbl_task6[[SubPLOs]:[SubPLOs]],"&gt;=1",tbl_task6[[SubPLOs]:[SubPLOs]],"&lt;2")</f>
        <v>0</v>
      </c>
      <c r="BH34" s="138">
        <f>SUMIFS(tbl_task6[S55],tbl_task6[[SubPLOs]:[SubPLOs]],"&gt;=1",tbl_task6[[SubPLOs]:[SubPLOs]],"&lt;2")</f>
        <v>0</v>
      </c>
      <c r="BI34" s="138">
        <f>SUMIFS(tbl_task6[S56],tbl_task6[[SubPLOs]:[SubPLOs]],"&gt;=1",tbl_task6[[SubPLOs]:[SubPLOs]],"&lt;2")</f>
        <v>0</v>
      </c>
      <c r="BJ34" s="138">
        <f>SUMIFS(tbl_task6[S57],tbl_task6[[SubPLOs]:[SubPLOs]],"&gt;=1",tbl_task6[[SubPLOs]:[SubPLOs]],"&lt;2")</f>
        <v>0</v>
      </c>
      <c r="BK34" s="138">
        <f>SUMIFS(tbl_task6[S58],tbl_task6[[SubPLOs]:[SubPLOs]],"&gt;=1",tbl_task6[[SubPLOs]:[SubPLOs]],"&lt;2")</f>
        <v>0</v>
      </c>
      <c r="BL34" s="138">
        <f>SUMIFS(tbl_task6[S59],tbl_task6[[SubPLOs]:[SubPLOs]],"&gt;=1",tbl_task6[[SubPLOs]:[SubPLOs]],"&lt;2")</f>
        <v>0</v>
      </c>
      <c r="BM34" s="138">
        <f>SUMIFS(tbl_task6[S60],tbl_task6[[SubPLOs]:[SubPLOs]],"&gt;=1",tbl_task6[[SubPLOs]:[SubPLOs]],"&lt;2")</f>
        <v>0</v>
      </c>
      <c r="BN34" s="138">
        <f>SUMIFS(tbl_task6[S61],tbl_task6[[SubPLOs]:[SubPLOs]],"&gt;=1",tbl_task6[[SubPLOs]:[SubPLOs]],"&lt;2")</f>
        <v>0</v>
      </c>
      <c r="BO34" s="138">
        <f>SUMIFS(tbl_task6[S62],tbl_task6[[SubPLOs]:[SubPLOs]],"&gt;=1",tbl_task6[[SubPLOs]:[SubPLOs]],"&lt;2")</f>
        <v>0</v>
      </c>
      <c r="BP34" s="138">
        <f>SUMIFS(tbl_task6[S63],tbl_task6[[SubPLOs]:[SubPLOs]],"&gt;=1",tbl_task6[[SubPLOs]:[SubPLOs]],"&lt;2")</f>
        <v>0</v>
      </c>
      <c r="BQ34" s="138">
        <f>SUMIFS(tbl_task6[S64],tbl_task6[[SubPLOs]:[SubPLOs]],"&gt;=1",tbl_task6[[SubPLOs]:[SubPLOs]],"&lt;2")</f>
        <v>0</v>
      </c>
      <c r="BR34" s="138">
        <f>SUMIFS(tbl_task6[S65],tbl_task6[[SubPLOs]:[SubPLOs]],"&gt;=1",tbl_task6[[SubPLOs]:[SubPLOs]],"&lt;2")</f>
        <v>0</v>
      </c>
      <c r="BS34" s="138">
        <f>SUMIFS(tbl_task6[S66],tbl_task6[[SubPLOs]:[SubPLOs]],"&gt;=1",tbl_task6[[SubPLOs]:[SubPLOs]],"&lt;2")</f>
        <v>0</v>
      </c>
      <c r="BT34" s="138">
        <f>SUMIFS(tbl_task6[S67],tbl_task6[[SubPLOs]:[SubPLOs]],"&gt;=1",tbl_task6[[SubPLOs]:[SubPLOs]],"&lt;2")</f>
        <v>0</v>
      </c>
      <c r="BU34" s="138">
        <f>SUMIFS(tbl_task6[S68],tbl_task6[[SubPLOs]:[SubPLOs]],"&gt;=1",tbl_task6[[SubPLOs]:[SubPLOs]],"&lt;2")</f>
        <v>0</v>
      </c>
      <c r="BV34" s="138">
        <f>SUMIFS(tbl_task6[S69],tbl_task6[[SubPLOs]:[SubPLOs]],"&gt;=1",tbl_task6[[SubPLOs]:[SubPLOs]],"&lt;2")</f>
        <v>0</v>
      </c>
      <c r="BW34" s="138">
        <f>SUMIFS(tbl_task6[S70],tbl_task6[[SubPLOs]:[SubPLOs]],"&gt;=1",tbl_task6[[SubPLOs]:[SubPLOs]],"&lt;2")</f>
        <v>0</v>
      </c>
      <c r="BX34" s="138">
        <f>SUMIFS(tbl_task6[S71],tbl_task6[[SubPLOs]:[SubPLOs]],"&gt;=1",tbl_task6[[SubPLOs]:[SubPLOs]],"&lt;2")</f>
        <v>0</v>
      </c>
      <c r="BY34" s="138">
        <f>SUMIFS(tbl_task6[S72],tbl_task6[[SubPLOs]:[SubPLOs]],"&gt;=1",tbl_task6[[SubPLOs]:[SubPLOs]],"&lt;2")</f>
        <v>0</v>
      </c>
      <c r="BZ34" s="138">
        <f>SUMIFS(tbl_task6[S73],tbl_task6[[SubPLOs]:[SubPLOs]],"&gt;=1",tbl_task6[[SubPLOs]:[SubPLOs]],"&lt;2")</f>
        <v>0</v>
      </c>
      <c r="CA34" s="138">
        <f>SUMIFS(tbl_task6[S74],tbl_task6[[SubPLOs]:[SubPLOs]],"&gt;=1",tbl_task6[[SubPLOs]:[SubPLOs]],"&lt;2")</f>
        <v>0</v>
      </c>
      <c r="CB34" s="138">
        <f>SUMIFS(tbl_task6[S75],tbl_task6[[SubPLOs]:[SubPLOs]],"&gt;=1",tbl_task6[[SubPLOs]:[SubPLOs]],"&lt;2")</f>
        <v>0</v>
      </c>
      <c r="CC34" s="138">
        <f>SUMIFS(tbl_task6[S76],tbl_task6[[SubPLOs]:[SubPLOs]],"&gt;=1",tbl_task6[[SubPLOs]:[SubPLOs]],"&lt;2")</f>
        <v>0</v>
      </c>
      <c r="CD34" s="138">
        <f>SUMIFS(tbl_task6[S77],tbl_task6[[SubPLOs]:[SubPLOs]],"&gt;=1",tbl_task6[[SubPLOs]:[SubPLOs]],"&lt;2")</f>
        <v>0</v>
      </c>
      <c r="CE34" s="138">
        <f>SUMIFS(tbl_task6[S78],tbl_task6[[SubPLOs]:[SubPLOs]],"&gt;=1",tbl_task6[[SubPLOs]:[SubPLOs]],"&lt;2")</f>
        <v>0</v>
      </c>
      <c r="CF34" s="138">
        <f>SUMIFS(tbl_task6[S79],tbl_task6[[SubPLOs]:[SubPLOs]],"&gt;=1",tbl_task6[[SubPLOs]:[SubPLOs]],"&lt;2")</f>
        <v>0</v>
      </c>
      <c r="CG34" s="138">
        <f>SUMIFS(tbl_task6[S80],tbl_task6[[SubPLOs]:[SubPLOs]],"&gt;=1",tbl_task6[[SubPLOs]:[SubPLOs]],"&lt;2")</f>
        <v>0</v>
      </c>
      <c r="CH34" s="138">
        <f>SUMIFS(tbl_task6[S81],tbl_task6[[SubPLOs]:[SubPLOs]],"&gt;=1",tbl_task6[[SubPLOs]:[SubPLOs]],"&lt;2")</f>
        <v>0</v>
      </c>
      <c r="CI34" s="138">
        <f>SUMIFS(tbl_task6[S82],tbl_task6[[SubPLOs]:[SubPLOs]],"&gt;=1",tbl_task6[[SubPLOs]:[SubPLOs]],"&lt;2")</f>
        <v>0</v>
      </c>
      <c r="CJ34" s="138">
        <f>SUMIFS(tbl_task6[S83],tbl_task6[[SubPLOs]:[SubPLOs]],"&gt;=1",tbl_task6[[SubPLOs]:[SubPLOs]],"&lt;2")</f>
        <v>0</v>
      </c>
      <c r="CK34" s="138">
        <f>SUMIFS(tbl_task6[S84],tbl_task6[[SubPLOs]:[SubPLOs]],"&gt;=1",tbl_task6[[SubPLOs]:[SubPLOs]],"&lt;2")</f>
        <v>0</v>
      </c>
      <c r="CL34" s="138">
        <f>SUMIFS(tbl_task6[S85],tbl_task6[[SubPLOs]:[SubPLOs]],"&gt;=1",tbl_task6[[SubPLOs]:[SubPLOs]],"&lt;2")</f>
        <v>0</v>
      </c>
      <c r="CM34" s="138">
        <f>SUMIFS(tbl_task6[S86],tbl_task6[[SubPLOs]:[SubPLOs]],"&gt;=1",tbl_task6[[SubPLOs]:[SubPLOs]],"&lt;2")</f>
        <v>0</v>
      </c>
      <c r="CN34" s="138">
        <f>SUMIFS(tbl_task6[S87],tbl_task6[[SubPLOs]:[SubPLOs]],"&gt;=1",tbl_task6[[SubPLOs]:[SubPLOs]],"&lt;2")</f>
        <v>0</v>
      </c>
      <c r="CO34" s="138">
        <f>SUMIFS(tbl_task6[S88],tbl_task6[[SubPLOs]:[SubPLOs]],"&gt;=1",tbl_task6[[SubPLOs]:[SubPLOs]],"&lt;2")</f>
        <v>0</v>
      </c>
      <c r="CP34" s="138">
        <f>SUMIFS(tbl_task6[S89],tbl_task6[[SubPLOs]:[SubPLOs]],"&gt;=1",tbl_task6[[SubPLOs]:[SubPLOs]],"&lt;2")</f>
        <v>0</v>
      </c>
      <c r="CQ34" s="138">
        <f>SUMIFS(tbl_task6[S90],tbl_task6[[SubPLOs]:[SubPLOs]],"&gt;=1",tbl_task6[[SubPLOs]:[SubPLOs]],"&lt;2")</f>
        <v>0</v>
      </c>
      <c r="CR34" s="138">
        <f>SUMIFS(tbl_task6[S91],tbl_task6[[SubPLOs]:[SubPLOs]],"&gt;=1",tbl_task6[[SubPLOs]:[SubPLOs]],"&lt;2")</f>
        <v>0</v>
      </c>
      <c r="CS34" s="138">
        <f>SUMIFS(tbl_task6[S92],tbl_task6[[SubPLOs]:[SubPLOs]],"&gt;=1",tbl_task6[[SubPLOs]:[SubPLOs]],"&lt;2")</f>
        <v>0</v>
      </c>
      <c r="CT34" s="138">
        <f>SUMIFS(tbl_task6[S93],tbl_task6[[SubPLOs]:[SubPLOs]],"&gt;=1",tbl_task6[[SubPLOs]:[SubPLOs]],"&lt;2")</f>
        <v>0</v>
      </c>
      <c r="CU34" s="138">
        <f>SUMIFS(tbl_task6[S94],tbl_task6[[SubPLOs]:[SubPLOs]],"&gt;=1",tbl_task6[[SubPLOs]:[SubPLOs]],"&lt;2")</f>
        <v>0</v>
      </c>
      <c r="CV34" s="138">
        <f>SUMIFS(tbl_task6[S95],tbl_task6[[SubPLOs]:[SubPLOs]],"&gt;=1",tbl_task6[[SubPLOs]:[SubPLOs]],"&lt;2")</f>
        <v>0</v>
      </c>
      <c r="CW34" s="138">
        <f>SUMIFS(tbl_task6[S96],tbl_task6[[SubPLOs]:[SubPLOs]],"&gt;=1",tbl_task6[[SubPLOs]:[SubPLOs]],"&lt;2")</f>
        <v>0</v>
      </c>
      <c r="CX34" s="138">
        <f>SUMIFS(tbl_task6[S97],tbl_task6[[SubPLOs]:[SubPLOs]],"&gt;=1",tbl_task6[[SubPLOs]:[SubPLOs]],"&lt;2")</f>
        <v>0</v>
      </c>
      <c r="CY34" s="138">
        <f>SUMIFS(tbl_task6[S98],tbl_task6[[SubPLOs]:[SubPLOs]],"&gt;=1",tbl_task6[[SubPLOs]:[SubPLOs]],"&lt;2")</f>
        <v>0</v>
      </c>
      <c r="CZ34" s="138">
        <f>SUMIFS(tbl_task6[S99],tbl_task6[[SubPLOs]:[SubPLOs]],"&gt;=1",tbl_task6[[SubPLOs]:[SubPLOs]],"&lt;2")</f>
        <v>0</v>
      </c>
      <c r="DA34" s="138">
        <f>SUMIFS(tbl_task6[S100],tbl_task6[[SubPLOs]:[SubPLOs]],"&gt;=1",tbl_task6[[SubPLOs]:[SubPLOs]],"&lt;2")</f>
        <v>0</v>
      </c>
      <c r="DB34" s="138">
        <f>SUMIFS(tbl_task6[S101],tbl_task6[[SubPLOs]:[SubPLOs]],"&gt;=1",tbl_task6[[SubPLOs]:[SubPLOs]],"&lt;2")</f>
        <v>0</v>
      </c>
      <c r="DC34" s="138">
        <f>SUMIFS(tbl_task6[S102],tbl_task6[[SubPLOs]:[SubPLOs]],"&gt;=1",tbl_task6[[SubPLOs]:[SubPLOs]],"&lt;2")</f>
        <v>0</v>
      </c>
      <c r="DD34" s="138">
        <f>SUMIFS(tbl_task6[S103],tbl_task6[[SubPLOs]:[SubPLOs]],"&gt;=1",tbl_task6[[SubPLOs]:[SubPLOs]],"&lt;2")</f>
        <v>0</v>
      </c>
      <c r="DE34" s="138">
        <f>SUMIFS(tbl_task6[S104],tbl_task6[[SubPLOs]:[SubPLOs]],"&gt;=1",tbl_task6[[SubPLOs]:[SubPLOs]],"&lt;2")</f>
        <v>0</v>
      </c>
      <c r="DF34" s="138">
        <f>SUMIFS(tbl_task6[S105],tbl_task6[[SubPLOs]:[SubPLOs]],"&gt;=1",tbl_task6[[SubPLOs]:[SubPLOs]],"&lt;2")</f>
        <v>0</v>
      </c>
      <c r="DG34" s="138">
        <f>SUMIFS(tbl_task6[S106],tbl_task6[[SubPLOs]:[SubPLOs]],"&gt;=1",tbl_task6[[SubPLOs]:[SubPLOs]],"&lt;2")</f>
        <v>0</v>
      </c>
      <c r="DH34" s="138">
        <f>SUMIFS(tbl_task6[S106],tbl_task6[[SubPLOs]:[SubPLOs]],"&gt;=1",tbl_task6[[SubPLOs]:[SubPLOs]],"&lt;2")</f>
        <v>0</v>
      </c>
      <c r="DI34" s="138">
        <f>SUMIFS(tbl_task6[S108],tbl_task6[[SubPLOs]:[SubPLOs]],"&gt;=1",tbl_task6[[SubPLOs]:[SubPLOs]],"&lt;2")</f>
        <v>0</v>
      </c>
      <c r="DJ34" s="138">
        <f>SUMIFS(tbl_task6[S109],tbl_task6[[SubPLOs]:[SubPLOs]],"&gt;=1",tbl_task6[[SubPLOs]:[SubPLOs]],"&lt;2")</f>
        <v>0</v>
      </c>
      <c r="DK34" s="138">
        <f>SUMIFS(tbl_task6[S110],tbl_task6[[SubPLOs]:[SubPLOs]],"&gt;=1",tbl_task6[[SubPLOs]:[SubPLOs]],"&lt;2")</f>
        <v>0</v>
      </c>
      <c r="DL34" s="138">
        <f>SUMIFS(tbl_task6[S111],tbl_task6[[SubPLOs]:[SubPLOs]],"&gt;=1",tbl_task6[[SubPLOs]:[SubPLOs]],"&lt;2")</f>
        <v>0</v>
      </c>
      <c r="DM34" s="138">
        <f>SUMIFS(tbl_task6[S112],tbl_task6[[SubPLOs]:[SubPLOs]],"&gt;=1",tbl_task6[[SubPLOs]:[SubPLOs]],"&lt;2")</f>
        <v>0</v>
      </c>
      <c r="DN34" s="138">
        <f>SUMIFS(tbl_task6[S113],tbl_task6[[SubPLOs]:[SubPLOs]],"&gt;=1",tbl_task6[[SubPLOs]:[SubPLOs]],"&lt;2")</f>
        <v>0</v>
      </c>
      <c r="DO34" s="138">
        <f>SUMIFS(tbl_task6[S114],tbl_task6[[SubPLOs]:[SubPLOs]],"&gt;=1",tbl_task6[[SubPLOs]:[SubPLOs]],"&lt;2")</f>
        <v>0</v>
      </c>
      <c r="DP34" s="138">
        <f>SUMIFS(tbl_task6[S115],tbl_task6[[SubPLOs]:[SubPLOs]],"&gt;=1",tbl_task6[[SubPLOs]:[SubPLOs]],"&lt;2")</f>
        <v>0</v>
      </c>
      <c r="DQ34" s="138">
        <f>SUMIFS(tbl_task6[S116],tbl_task6[[SubPLOs]:[SubPLOs]],"&gt;=1",tbl_task6[[SubPLOs]:[SubPLOs]],"&lt;2")</f>
        <v>0</v>
      </c>
      <c r="DR34" s="138">
        <f>SUMIFS(tbl_task6[S117],tbl_task6[[SubPLOs]:[SubPLOs]],"&gt;=1",tbl_task6[[SubPLOs]:[SubPLOs]],"&lt;2")</f>
        <v>0</v>
      </c>
      <c r="DS34" s="138">
        <f>SUMIFS(tbl_task6[S118],tbl_task6[[SubPLOs]:[SubPLOs]],"&gt;=1",tbl_task6[[SubPLOs]:[SubPLOs]],"&lt;2")</f>
        <v>0</v>
      </c>
      <c r="DT34" s="138">
        <f>SUMIFS(tbl_task6[S119],tbl_task6[[SubPLOs]:[SubPLOs]],"&gt;=1",tbl_task6[[SubPLOs]:[SubPLOs]],"&lt;2")</f>
        <v>0</v>
      </c>
      <c r="DU34" s="138">
        <f>SUMIFS(tbl_task6[S120],tbl_task6[[SubPLOs]:[SubPLOs]],"&gt;=1",tbl_task6[[SubPLOs]:[SubPLOs]],"&lt;2")</f>
        <v>0</v>
      </c>
      <c r="DV34" s="138">
        <f>SUMIFS(tbl_task6[S121],tbl_task6[[SubPLOs]:[SubPLOs]],"&gt;=1",tbl_task6[[SubPLOs]:[SubPLOs]],"&lt;2")</f>
        <v>0</v>
      </c>
      <c r="DW34" s="138">
        <f>SUMIFS(tbl_task6[S122],tbl_task6[[SubPLOs]:[SubPLOs]],"&gt;=1",tbl_task6[[SubPLOs]:[SubPLOs]],"&lt;2")</f>
        <v>0</v>
      </c>
      <c r="DX34" s="138">
        <f>SUMIFS(tbl_task6[S123],tbl_task6[[SubPLOs]:[SubPLOs]],"&gt;=1",tbl_task6[[SubPLOs]:[SubPLOs]],"&lt;2")</f>
        <v>0</v>
      </c>
      <c r="DY34" s="138">
        <f>SUMIFS(tbl_task6[S124],tbl_task6[[SubPLOs]:[SubPLOs]],"&gt;=1",tbl_task6[[SubPLOs]:[SubPLOs]],"&lt;2")</f>
        <v>0</v>
      </c>
      <c r="DZ34" s="138">
        <f>SUMIFS(tbl_task6[S125],tbl_task6[[SubPLOs]:[SubPLOs]],"&gt;=1",tbl_task6[[SubPLOs]:[SubPLOs]],"&lt;2")</f>
        <v>0</v>
      </c>
      <c r="EA34" s="138">
        <f>SUMIFS(tbl_task6[S126],tbl_task6[[SubPLOs]:[SubPLOs]],"&gt;=1",tbl_task6[[SubPLOs]:[SubPLOs]],"&lt;2")</f>
        <v>0</v>
      </c>
      <c r="EB34" s="138">
        <f>SUMIFS(tbl_task6[S127],tbl_task6[[SubPLOs]:[SubPLOs]],"&gt;=1",tbl_task6[[SubPLOs]:[SubPLOs]],"&lt;2")</f>
        <v>0</v>
      </c>
      <c r="EC34" s="138">
        <f>SUMIFS(tbl_task6[S128],tbl_task6[[SubPLOs]:[SubPLOs]],"&gt;=1",tbl_task6[[SubPLOs]:[SubPLOs]],"&lt;2")</f>
        <v>0</v>
      </c>
      <c r="ED34" s="138">
        <f>SUMIFS(tbl_task6[S129],tbl_task6[[SubPLOs]:[SubPLOs]],"&gt;=1",tbl_task6[[SubPLOs]:[SubPLOs]],"&lt;2")</f>
        <v>0</v>
      </c>
      <c r="EE34" s="138">
        <f>SUMIFS(tbl_task6[S130],tbl_task6[[SubPLOs]:[SubPLOs]],"&gt;=1",tbl_task6[[SubPLOs]:[SubPLOs]],"&lt;2")</f>
        <v>0</v>
      </c>
      <c r="EF34" s="138">
        <f>SUMIFS(tbl_task6[S131],tbl_task6[[SubPLOs]:[SubPLOs]],"&gt;=1",tbl_task6[[SubPLOs]:[SubPLOs]],"&lt;2")</f>
        <v>0</v>
      </c>
      <c r="EG34" s="138">
        <f>SUMIFS(tbl_task6[S132],tbl_task6[[SubPLOs]:[SubPLOs]],"&gt;=1",tbl_task6[[SubPLOs]:[SubPLOs]],"&lt;2")</f>
        <v>0</v>
      </c>
      <c r="EH34" s="138">
        <f>SUMIFS(tbl_task6[S133],tbl_task6[[SubPLOs]:[SubPLOs]],"&gt;=1",tbl_task6[[SubPLOs]:[SubPLOs]],"&lt;2")</f>
        <v>0</v>
      </c>
      <c r="EI34" s="138">
        <f>SUMIFS(tbl_task6[S134],tbl_task6[[SubPLOs]:[SubPLOs]],"&gt;=1",tbl_task6[[SubPLOs]:[SubPLOs]],"&lt;2")</f>
        <v>0</v>
      </c>
      <c r="EJ34" s="138">
        <f>SUMIFS(tbl_task6[S135],tbl_task6[[SubPLOs]:[SubPLOs]],"&gt;=1",tbl_task6[[SubPLOs]:[SubPLOs]],"&lt;2")</f>
        <v>0</v>
      </c>
      <c r="EK34" s="138">
        <f>SUMIFS(tbl_task6[S136],tbl_task6[[SubPLOs]:[SubPLOs]],"&gt;=1",tbl_task6[[SubPLOs]:[SubPLOs]],"&lt;2")</f>
        <v>0</v>
      </c>
      <c r="EL34" s="138">
        <f>SUMIFS(tbl_task6[S137],tbl_task6[[SubPLOs]:[SubPLOs]],"&gt;=1",tbl_task6[[SubPLOs]:[SubPLOs]],"&lt;2")</f>
        <v>0</v>
      </c>
      <c r="EM34" s="138">
        <f>SUMIFS(tbl_task6[S138],tbl_task6[[SubPLOs]:[SubPLOs]],"&gt;=1",tbl_task6[[SubPLOs]:[SubPLOs]],"&lt;2")</f>
        <v>0</v>
      </c>
      <c r="EN34" s="138">
        <f>SUMIFS(tbl_task6[S139],tbl_task6[[SubPLOs]:[SubPLOs]],"&gt;=1",tbl_task6[[SubPLOs]:[SubPLOs]],"&lt;2")</f>
        <v>0</v>
      </c>
      <c r="EO34" s="138">
        <f>SUMIFS(tbl_task6[S140],tbl_task6[[SubPLOs]:[SubPLOs]],"&gt;=1",tbl_task6[[SubPLOs]:[SubPLOs]],"&lt;2")</f>
        <v>0</v>
      </c>
      <c r="EP34" s="138">
        <f>SUMIFS(tbl_task6[S141],tbl_task6[[SubPLOs]:[SubPLOs]],"&gt;=1",tbl_task6[[SubPLOs]:[SubPLOs]],"&lt;2")</f>
        <v>0</v>
      </c>
      <c r="EQ34" s="138">
        <f>SUMIFS(tbl_task6[S142],tbl_task6[[SubPLOs]:[SubPLOs]],"&gt;=1",tbl_task6[[SubPLOs]:[SubPLOs]],"&lt;2")</f>
        <v>0</v>
      </c>
      <c r="ER34" s="138">
        <f>SUMIFS(tbl_task6[S143],tbl_task6[[SubPLOs]:[SubPLOs]],"&gt;=1",tbl_task6[[SubPLOs]:[SubPLOs]],"&lt;2")</f>
        <v>0</v>
      </c>
      <c r="ES34" s="138">
        <f>SUMIFS(tbl_task6[S144],tbl_task6[[SubPLOs]:[SubPLOs]],"&gt;=1",tbl_task6[[SubPLOs]:[SubPLOs]],"&lt;2")</f>
        <v>0</v>
      </c>
      <c r="ET34" s="138">
        <f>SUMIFS(tbl_task6[S145],tbl_task6[[SubPLOs]:[SubPLOs]],"&gt;=1",tbl_task6[[SubPLOs]:[SubPLOs]],"&lt;2")</f>
        <v>0</v>
      </c>
      <c r="EU34" s="138">
        <f>SUMIFS(tbl_task6[S146],tbl_task6[[SubPLOs]:[SubPLOs]],"&gt;=1",tbl_task6[[SubPLOs]:[SubPLOs]],"&lt;2")</f>
        <v>0</v>
      </c>
      <c r="EV34" s="138">
        <f>SUMIFS(tbl_task6[S147],tbl_task6[[SubPLOs]:[SubPLOs]],"&gt;=1",tbl_task6[[SubPLOs]:[SubPLOs]],"&lt;2")</f>
        <v>0</v>
      </c>
      <c r="EW34" s="138">
        <f>SUMIFS(tbl_task6[S148],tbl_task6[[SubPLOs]:[SubPLOs]],"&gt;=1",tbl_task6[[SubPLOs]:[SubPLOs]],"&lt;2")</f>
        <v>0</v>
      </c>
      <c r="EX34" s="138">
        <f>SUMIFS(tbl_task6[S149],tbl_task6[[SubPLOs]:[SubPLOs]],"&gt;=1",tbl_task6[[SubPLOs]:[SubPLOs]],"&lt;2")</f>
        <v>0</v>
      </c>
      <c r="EY34" s="138">
        <f>SUMIFS(tbl_task6[S150],tbl_task6[[SubPLOs]:[SubPLOs]],"&gt;=1",tbl_task6[[SubPLOs]:[SubPLOs]],"&lt;2")</f>
        <v>0</v>
      </c>
      <c r="EZ34" s="138">
        <f>SUMIFS(tbl_task6[S151],tbl_task6[[SubPLOs]:[SubPLOs]],"&gt;=1",tbl_task6[[SubPLOs]:[SubPLOs]],"&lt;2")</f>
        <v>0</v>
      </c>
      <c r="FA34" s="138">
        <f>SUMIFS(tbl_task6[S152],tbl_task6[[SubPLOs]:[SubPLOs]],"&gt;=1",tbl_task6[[SubPLOs]:[SubPLOs]],"&lt;2")</f>
        <v>0</v>
      </c>
      <c r="FB34" s="138">
        <f>SUMIFS(tbl_task6[S153],tbl_task6[[SubPLOs]:[SubPLOs]],"&gt;=1",tbl_task6[[SubPLOs]:[SubPLOs]],"&lt;2")</f>
        <v>0</v>
      </c>
      <c r="FC34" s="138">
        <f>SUMIFS(tbl_task6[S154],tbl_task6[[SubPLOs]:[SubPLOs]],"&gt;=1",tbl_task6[[SubPLOs]:[SubPLOs]],"&lt;2")</f>
        <v>0</v>
      </c>
      <c r="FD34" s="138">
        <f>SUMIFS(tbl_task6[S155],tbl_task6[[SubPLOs]:[SubPLOs]],"&gt;=1",tbl_task6[[SubPLOs]:[SubPLOs]],"&lt;2")</f>
        <v>0</v>
      </c>
      <c r="FE34" s="138">
        <f>SUMIFS(tbl_task6[S156],tbl_task6[[SubPLOs]:[SubPLOs]],"&gt;=1",tbl_task6[[SubPLOs]:[SubPLOs]],"&lt;2")</f>
        <v>0</v>
      </c>
      <c r="FF34" s="138">
        <f>SUMIFS(tbl_task6[S157],tbl_task6[[SubPLOs]:[SubPLOs]],"&gt;=1",tbl_task6[[SubPLOs]:[SubPLOs]],"&lt;2")</f>
        <v>0</v>
      </c>
      <c r="FG34" s="138">
        <f>SUMIFS(tbl_task6[S158],tbl_task6[[SubPLOs]:[SubPLOs]],"&gt;=1",tbl_task6[[SubPLOs]:[SubPLOs]],"&lt;2")</f>
        <v>0</v>
      </c>
      <c r="FH34" s="138">
        <f>SUMIFS(tbl_task6[S159],tbl_task6[[SubPLOs]:[SubPLOs]],"&gt;=1",tbl_task6[[SubPLOs]:[SubPLOs]],"&lt;2")</f>
        <v>0</v>
      </c>
      <c r="FI34" s="138">
        <f>SUMIFS(tbl_task6[S160],tbl_task6[[SubPLOs]:[SubPLOs]],"&gt;=1",tbl_task6[[SubPLOs]:[SubPLOs]],"&lt;2")</f>
        <v>0</v>
      </c>
      <c r="FJ34" s="138">
        <f>SUMIFS(tbl_task6[S161],tbl_task6[[SubPLOs]:[SubPLOs]],"&gt;=1",tbl_task6[[SubPLOs]:[SubPLOs]],"&lt;2")</f>
        <v>0</v>
      </c>
      <c r="FK34" s="138">
        <f>SUMIFS(tbl_task6[S162],tbl_task6[[SubPLOs]:[SubPLOs]],"&gt;=1",tbl_task6[[SubPLOs]:[SubPLOs]],"&lt;2")</f>
        <v>0</v>
      </c>
      <c r="FL34" s="138">
        <f>SUMIFS(tbl_task6[S163],tbl_task6[[SubPLOs]:[SubPLOs]],"&gt;=1",tbl_task6[[SubPLOs]:[SubPLOs]],"&lt;2")</f>
        <v>0</v>
      </c>
      <c r="FM34" s="138">
        <f>SUMIFS(tbl_task6[S164],tbl_task6[[SubPLOs]:[SubPLOs]],"&gt;=1",tbl_task6[[SubPLOs]:[SubPLOs]],"&lt;2")</f>
        <v>0</v>
      </c>
      <c r="FN34" s="138">
        <f>SUMIFS(tbl_task6[S165],tbl_task6[[SubPLOs]:[SubPLOs]],"&gt;=1",tbl_task6[[SubPLOs]:[SubPLOs]],"&lt;2")</f>
        <v>0</v>
      </c>
    </row>
    <row r="35" spans="1:170" ht="147" x14ac:dyDescent="0.25">
      <c r="A35" s="135">
        <v>2</v>
      </c>
      <c r="B35" s="5" t="s">
        <v>435</v>
      </c>
      <c r="C35" s="136">
        <f>COUNTIFS(tbl_task6[SubPLOs],"&gt;=2",tbl_task6[SubPLOs],"&lt;3")</f>
        <v>0</v>
      </c>
      <c r="D35" s="136">
        <f>SUMIFS(tbl_task6[คะแนนเต็ม],tbl_task6[SubPLOs],"&gt;=2",tbl_task6[SubPLOs],"&lt;3")</f>
        <v>0</v>
      </c>
      <c r="E35" s="137">
        <f>SUMIFS(tbl_task6[%],tbl_task6[SubPLOs],"&gt;=2",tbl_task6[SubPLOs],"&lt;3")</f>
        <v>0</v>
      </c>
      <c r="F35" s="138">
        <f>SUMIFS(tbl_task6[S1],tbl_task6[[SubPLOs]:[SubPLOs]],"&gt;=2",tbl_task6[[SubPLOs]:[SubPLOs]],"&lt;3")</f>
        <v>0</v>
      </c>
      <c r="G35" s="138">
        <f>SUMIFS(tbl_task6[S2],tbl_task6[[SubPLOs]:[SubPLOs]],"&gt;=2",tbl_task6[[SubPLOs]:[SubPLOs]],"&lt;3")</f>
        <v>0</v>
      </c>
      <c r="H35" s="138">
        <f>SUMIFS(tbl_task6[S3],tbl_task6[[SubPLOs]:[SubPLOs]],"&gt;=2",tbl_task6[[SubPLOs]:[SubPLOs]],"&lt;3")</f>
        <v>0</v>
      </c>
      <c r="I35" s="138">
        <f>SUMIFS(tbl_task6[S4],tbl_task6[[SubPLOs]:[SubPLOs]],"&gt;=2",tbl_task6[[SubPLOs]:[SubPLOs]],"&lt;3")</f>
        <v>0</v>
      </c>
      <c r="J35" s="138">
        <f>SUMIFS(tbl_task6[S5],tbl_task6[[SubPLOs]:[SubPLOs]],"&gt;=2",tbl_task6[[SubPLOs]:[SubPLOs]],"&lt;3")</f>
        <v>0</v>
      </c>
      <c r="K35" s="138">
        <f>SUMIFS(tbl_task6[S6],tbl_task6[[SubPLOs]:[SubPLOs]],"&gt;=2",tbl_task6[[SubPLOs]:[SubPLOs]],"&lt;3")</f>
        <v>0</v>
      </c>
      <c r="L35" s="138">
        <f>SUMIFS(tbl_task6[S7],tbl_task6[[SubPLOs]:[SubPLOs]],"&gt;=2",tbl_task6[[SubPLOs]:[SubPLOs]],"&lt;3")</f>
        <v>0</v>
      </c>
      <c r="M35" s="138">
        <f>SUMIFS(tbl_task6[S8],tbl_task6[[SubPLOs]:[SubPLOs]],"&gt;=2",tbl_task6[[SubPLOs]:[SubPLOs]],"&lt;3")</f>
        <v>0</v>
      </c>
      <c r="N35" s="138">
        <f>SUMIFS(tbl_task6[S9],tbl_task6[[SubPLOs]:[SubPLOs]],"&gt;=2",tbl_task6[[SubPLOs]:[SubPLOs]],"&lt;3")</f>
        <v>0</v>
      </c>
      <c r="O35" s="138">
        <f>SUMIFS(tbl_task6[S10],tbl_task6[[SubPLOs]:[SubPLOs]],"&gt;=2",tbl_task6[[SubPLOs]:[SubPLOs]],"&lt;3")</f>
        <v>0</v>
      </c>
      <c r="P35" s="138">
        <f>SUMIFS(tbl_task6[S11],tbl_task6[[SubPLOs]:[SubPLOs]],"&gt;=2",tbl_task6[[SubPLOs]:[SubPLOs]],"&lt;3")</f>
        <v>0</v>
      </c>
      <c r="Q35" s="138">
        <f>SUMIFS(tbl_task6[S12],tbl_task6[[SubPLOs]:[SubPLOs]],"&gt;=2",tbl_task6[[SubPLOs]:[SubPLOs]],"&lt;3")</f>
        <v>0</v>
      </c>
      <c r="R35" s="138">
        <f>SUMIFS(tbl_task6[S13],tbl_task6[[SubPLOs]:[SubPLOs]],"&gt;=2",tbl_task6[[SubPLOs]:[SubPLOs]],"&lt;3")</f>
        <v>0</v>
      </c>
      <c r="S35" s="138">
        <f>SUMIFS(tbl_task6[S14],tbl_task6[[SubPLOs]:[SubPLOs]],"&gt;=2",tbl_task6[[SubPLOs]:[SubPLOs]],"&lt;3")</f>
        <v>0</v>
      </c>
      <c r="T35" s="138">
        <f>SUMIFS(tbl_task6[S15],tbl_task6[[SubPLOs]:[SubPLOs]],"&gt;=2",tbl_task6[[SubPLOs]:[SubPLOs]],"&lt;3")</f>
        <v>0</v>
      </c>
      <c r="U35" s="138">
        <f>SUMIFS(tbl_task6[S16],tbl_task6[[SubPLOs]:[SubPLOs]],"&gt;=2",tbl_task6[[SubPLOs]:[SubPLOs]],"&lt;3")</f>
        <v>0</v>
      </c>
      <c r="V35" s="138">
        <f>SUMIFS(tbl_task6[S17],tbl_task6[[SubPLOs]:[SubPLOs]],"&gt;=2",tbl_task6[[SubPLOs]:[SubPLOs]],"&lt;3")</f>
        <v>0</v>
      </c>
      <c r="W35" s="138">
        <f>SUMIFS(tbl_task6[S18],tbl_task6[[SubPLOs]:[SubPLOs]],"&gt;=2",tbl_task6[[SubPLOs]:[SubPLOs]],"&lt;3")</f>
        <v>0</v>
      </c>
      <c r="X35" s="138">
        <f>SUMIFS(tbl_task6[S19],tbl_task6[[SubPLOs]:[SubPLOs]],"&gt;=2",tbl_task6[[SubPLOs]:[SubPLOs]],"&lt;3")</f>
        <v>0</v>
      </c>
      <c r="Y35" s="138">
        <f>SUMIFS(tbl_task6[S20],tbl_task6[[SubPLOs]:[SubPLOs]],"&gt;=2",tbl_task6[[SubPLOs]:[SubPLOs]],"&lt;3")</f>
        <v>0</v>
      </c>
      <c r="Z35" s="138">
        <f>SUMIFS(tbl_task6[S21],tbl_task6[[SubPLOs]:[SubPLOs]],"&gt;=2",tbl_task6[[SubPLOs]:[SubPLOs]],"&lt;3")</f>
        <v>0</v>
      </c>
      <c r="AA35" s="138">
        <f>SUMIFS(tbl_task6[S22],tbl_task6[[SubPLOs]:[SubPLOs]],"&gt;=2",tbl_task6[[SubPLOs]:[SubPLOs]],"&lt;3")</f>
        <v>0</v>
      </c>
      <c r="AB35" s="138">
        <f>SUMIFS(tbl_task6[S23],tbl_task6[[SubPLOs]:[SubPLOs]],"&gt;=2",tbl_task6[[SubPLOs]:[SubPLOs]],"&lt;3")</f>
        <v>0</v>
      </c>
      <c r="AC35" s="138">
        <f>SUMIFS(tbl_task6[S24],tbl_task6[[SubPLOs]:[SubPLOs]],"&gt;=2",tbl_task6[[SubPLOs]:[SubPLOs]],"&lt;3")</f>
        <v>0</v>
      </c>
      <c r="AD35" s="138">
        <f>SUMIFS(tbl_task6[S25],tbl_task6[[SubPLOs]:[SubPLOs]],"&gt;=2",tbl_task6[[SubPLOs]:[SubPLOs]],"&lt;3")</f>
        <v>0</v>
      </c>
      <c r="AE35" s="138">
        <f>SUMIFS(tbl_task6[S26],tbl_task6[[SubPLOs]:[SubPLOs]],"&gt;=2",tbl_task6[[SubPLOs]:[SubPLOs]],"&lt;3")</f>
        <v>0</v>
      </c>
      <c r="AF35" s="138">
        <f>SUMIFS(tbl_task6[S27],tbl_task6[[SubPLOs]:[SubPLOs]],"&gt;=2",tbl_task6[[SubPLOs]:[SubPLOs]],"&lt;3")</f>
        <v>0</v>
      </c>
      <c r="AG35" s="138">
        <f>SUMIFS(tbl_task6[S28],tbl_task6[[SubPLOs]:[SubPLOs]],"&gt;=2",tbl_task6[[SubPLOs]:[SubPLOs]],"&lt;3")</f>
        <v>0</v>
      </c>
      <c r="AH35" s="138">
        <f>SUMIFS(tbl_task6[S29],tbl_task6[[SubPLOs]:[SubPLOs]],"&gt;=2",tbl_task6[[SubPLOs]:[SubPLOs]],"&lt;3")</f>
        <v>0</v>
      </c>
      <c r="AI35" s="138">
        <f>SUMIFS(tbl_task6[S30],tbl_task6[[SubPLOs]:[SubPLOs]],"&gt;=2",tbl_task6[[SubPLOs]:[SubPLOs]],"&lt;3")</f>
        <v>0</v>
      </c>
      <c r="AJ35" s="138">
        <f>SUMIFS(tbl_task6[S31],tbl_task6[[SubPLOs]:[SubPLOs]],"&gt;=2",tbl_task6[[SubPLOs]:[SubPLOs]],"&lt;3")</f>
        <v>0</v>
      </c>
      <c r="AK35" s="138">
        <f>SUMIFS(tbl_task6[S32],tbl_task6[[SubPLOs]:[SubPLOs]],"&gt;=2",tbl_task6[[SubPLOs]:[SubPLOs]],"&lt;3")</f>
        <v>0</v>
      </c>
      <c r="AL35" s="138">
        <f>SUMIFS(tbl_task6[S33],tbl_task6[[SubPLOs]:[SubPLOs]],"&gt;=2",tbl_task6[[SubPLOs]:[SubPLOs]],"&lt;3")</f>
        <v>0</v>
      </c>
      <c r="AM35" s="138">
        <f>SUMIFS(tbl_task6[S34],tbl_task6[[SubPLOs]:[SubPLOs]],"&gt;=2",tbl_task6[[SubPLOs]:[SubPLOs]],"&lt;3")</f>
        <v>0</v>
      </c>
      <c r="AN35" s="138">
        <f>SUMIFS(tbl_task6[S35],tbl_task6[[SubPLOs]:[SubPLOs]],"&gt;=2",tbl_task6[[SubPLOs]:[SubPLOs]],"&lt;3")</f>
        <v>0</v>
      </c>
      <c r="AO35" s="138">
        <f>SUMIFS(tbl_task6[S36],tbl_task6[[SubPLOs]:[SubPLOs]],"&gt;=2",tbl_task6[[SubPLOs]:[SubPLOs]],"&lt;3")</f>
        <v>0</v>
      </c>
      <c r="AP35" s="138">
        <f>SUMIFS(tbl_task6[S37],tbl_task6[[SubPLOs]:[SubPLOs]],"&gt;=2",tbl_task6[[SubPLOs]:[SubPLOs]],"&lt;3")</f>
        <v>0</v>
      </c>
      <c r="AQ35" s="138">
        <f>SUMIFS(tbl_task6[S38],tbl_task6[[SubPLOs]:[SubPLOs]],"&gt;=2",tbl_task6[[SubPLOs]:[SubPLOs]],"&lt;3")</f>
        <v>0</v>
      </c>
      <c r="AR35" s="138">
        <f>SUMIFS(tbl_task6[S39],tbl_task6[[SubPLOs]:[SubPLOs]],"&gt;=2",tbl_task6[[SubPLOs]:[SubPLOs]],"&lt;3")</f>
        <v>0</v>
      </c>
      <c r="AS35" s="138">
        <f>SUMIFS(tbl_task6[S40],tbl_task6[[SubPLOs]:[SubPLOs]],"&gt;=2",tbl_task6[[SubPLOs]:[SubPLOs]],"&lt;3")</f>
        <v>0</v>
      </c>
      <c r="AT35" s="138">
        <f>SUMIFS(tbl_task6[S41],tbl_task6[[SubPLOs]:[SubPLOs]],"&gt;=2",tbl_task6[[SubPLOs]:[SubPLOs]],"&lt;3")</f>
        <v>0</v>
      </c>
      <c r="AU35" s="138">
        <f>SUMIFS(tbl_task6[S42],tbl_task6[[SubPLOs]:[SubPLOs]],"&gt;=2",tbl_task6[[SubPLOs]:[SubPLOs]],"&lt;3")</f>
        <v>0</v>
      </c>
      <c r="AV35" s="138">
        <f>SUMIFS(tbl_task6[S43],tbl_task6[[SubPLOs]:[SubPLOs]],"&gt;=2",tbl_task6[[SubPLOs]:[SubPLOs]],"&lt;3")</f>
        <v>0</v>
      </c>
      <c r="AW35" s="138">
        <f>SUMIFS(tbl_task6[S44],tbl_task6[[SubPLOs]:[SubPLOs]],"&gt;=2",tbl_task6[[SubPLOs]:[SubPLOs]],"&lt;3")</f>
        <v>0</v>
      </c>
      <c r="AX35" s="138">
        <f>SUMIFS(tbl_task6[S45],tbl_task6[[SubPLOs]:[SubPLOs]],"&gt;=2",tbl_task6[[SubPLOs]:[SubPLOs]],"&lt;3")</f>
        <v>0</v>
      </c>
      <c r="AY35" s="138">
        <f>SUMIFS(tbl_task6[S46],tbl_task6[[SubPLOs]:[SubPLOs]],"&gt;=2",tbl_task6[[SubPLOs]:[SubPLOs]],"&lt;3")</f>
        <v>0</v>
      </c>
      <c r="AZ35" s="138">
        <f>SUMIFS(tbl_task6[S47],tbl_task6[[SubPLOs]:[SubPLOs]],"&gt;=2",tbl_task6[[SubPLOs]:[SubPLOs]],"&lt;3")</f>
        <v>0</v>
      </c>
      <c r="BA35" s="138">
        <f>SUMIFS(tbl_task6[S48],tbl_task6[[SubPLOs]:[SubPLOs]],"&gt;=2",tbl_task6[[SubPLOs]:[SubPLOs]],"&lt;3")</f>
        <v>0</v>
      </c>
      <c r="BB35" s="138">
        <f>SUMIFS(tbl_task6[S49],tbl_task6[[SubPLOs]:[SubPLOs]],"&gt;=2",tbl_task6[[SubPLOs]:[SubPLOs]],"&lt;3")</f>
        <v>0</v>
      </c>
      <c r="BC35" s="138">
        <f>SUMIFS(tbl_task6[S50],tbl_task6[[SubPLOs]:[SubPLOs]],"&gt;=2",tbl_task6[[SubPLOs]:[SubPLOs]],"&lt;3")</f>
        <v>0</v>
      </c>
      <c r="BD35" s="138">
        <f>SUMIFS(tbl_task6[S51],tbl_task6[[SubPLOs]:[SubPLOs]],"&gt;=2",tbl_task6[[SubPLOs]:[SubPLOs]],"&lt;3")</f>
        <v>0</v>
      </c>
      <c r="BE35" s="138">
        <f>SUMIFS(tbl_task6[S52],tbl_task6[[SubPLOs]:[SubPLOs]],"&gt;=2",tbl_task6[[SubPLOs]:[SubPLOs]],"&lt;3")</f>
        <v>0</v>
      </c>
      <c r="BF35" s="138">
        <f>SUMIFS(tbl_task6[S53],tbl_task6[[SubPLOs]:[SubPLOs]],"&gt;=2",tbl_task6[[SubPLOs]:[SubPLOs]],"&lt;3")</f>
        <v>0</v>
      </c>
      <c r="BG35" s="138">
        <f>SUMIFS(tbl_task6[S54],tbl_task6[[SubPLOs]:[SubPLOs]],"&gt;=2",tbl_task6[[SubPLOs]:[SubPLOs]],"&lt;3")</f>
        <v>0</v>
      </c>
      <c r="BH35" s="138">
        <f>SUMIFS(tbl_task6[S55],tbl_task6[[SubPLOs]:[SubPLOs]],"&gt;=2",tbl_task6[[SubPLOs]:[SubPLOs]],"&lt;3")</f>
        <v>0</v>
      </c>
      <c r="BI35" s="138">
        <f>SUMIFS(tbl_task6[S56],tbl_task6[[SubPLOs]:[SubPLOs]],"&gt;=2",tbl_task6[[SubPLOs]:[SubPLOs]],"&lt;3")</f>
        <v>0</v>
      </c>
      <c r="BJ35" s="138">
        <f>SUMIFS(tbl_task6[S57],tbl_task6[[SubPLOs]:[SubPLOs]],"&gt;=2",tbl_task6[[SubPLOs]:[SubPLOs]],"&lt;3")</f>
        <v>0</v>
      </c>
      <c r="BK35" s="138">
        <f>SUMIFS(tbl_task6[S58],tbl_task6[[SubPLOs]:[SubPLOs]],"&gt;=2",tbl_task6[[SubPLOs]:[SubPLOs]],"&lt;3")</f>
        <v>0</v>
      </c>
      <c r="BL35" s="138">
        <f>SUMIFS(tbl_task6[S59],tbl_task6[[SubPLOs]:[SubPLOs]],"&gt;=2",tbl_task6[[SubPLOs]:[SubPLOs]],"&lt;3")</f>
        <v>0</v>
      </c>
      <c r="BM35" s="138">
        <f>SUMIFS(tbl_task6[S60],tbl_task6[[SubPLOs]:[SubPLOs]],"&gt;=2",tbl_task6[[SubPLOs]:[SubPLOs]],"&lt;3")</f>
        <v>0</v>
      </c>
      <c r="BN35" s="138">
        <f>SUMIFS(tbl_task6[S61],tbl_task6[[SubPLOs]:[SubPLOs]],"&gt;=2",tbl_task6[[SubPLOs]:[SubPLOs]],"&lt;3")</f>
        <v>0</v>
      </c>
      <c r="BO35" s="138">
        <f>SUMIFS(tbl_task6[S62],tbl_task6[[SubPLOs]:[SubPLOs]],"&gt;=2",tbl_task6[[SubPLOs]:[SubPLOs]],"&lt;3")</f>
        <v>0</v>
      </c>
      <c r="BP35" s="138">
        <f>SUMIFS(tbl_task6[S63],tbl_task6[[SubPLOs]:[SubPLOs]],"&gt;=2",tbl_task6[[SubPLOs]:[SubPLOs]],"&lt;3")</f>
        <v>0</v>
      </c>
      <c r="BQ35" s="138">
        <f>SUMIFS(tbl_task6[S64],tbl_task6[[SubPLOs]:[SubPLOs]],"&gt;=2",tbl_task6[[SubPLOs]:[SubPLOs]],"&lt;3")</f>
        <v>0</v>
      </c>
      <c r="BR35" s="138">
        <f>SUMIFS(tbl_task6[S65],tbl_task6[[SubPLOs]:[SubPLOs]],"&gt;=2",tbl_task6[[SubPLOs]:[SubPLOs]],"&lt;3")</f>
        <v>0</v>
      </c>
      <c r="BS35" s="138">
        <f>SUMIFS(tbl_task6[S66],tbl_task6[[SubPLOs]:[SubPLOs]],"&gt;=2",tbl_task6[[SubPLOs]:[SubPLOs]],"&lt;3")</f>
        <v>0</v>
      </c>
      <c r="BT35" s="138">
        <f>SUMIFS(tbl_task6[S67],tbl_task6[[SubPLOs]:[SubPLOs]],"&gt;=2",tbl_task6[[SubPLOs]:[SubPLOs]],"&lt;3")</f>
        <v>0</v>
      </c>
      <c r="BU35" s="138">
        <f>SUMIFS(tbl_task6[S68],tbl_task6[[SubPLOs]:[SubPLOs]],"&gt;=2",tbl_task6[[SubPLOs]:[SubPLOs]],"&lt;3")</f>
        <v>0</v>
      </c>
      <c r="BV35" s="138">
        <f>SUMIFS(tbl_task6[S69],tbl_task6[[SubPLOs]:[SubPLOs]],"&gt;=2",tbl_task6[[SubPLOs]:[SubPLOs]],"&lt;3")</f>
        <v>0</v>
      </c>
      <c r="BW35" s="138">
        <f>SUMIFS(tbl_task6[S70],tbl_task6[[SubPLOs]:[SubPLOs]],"&gt;=2",tbl_task6[[SubPLOs]:[SubPLOs]],"&lt;3")</f>
        <v>0</v>
      </c>
      <c r="BX35" s="138">
        <f>SUMIFS(tbl_task6[S71],tbl_task6[[SubPLOs]:[SubPLOs]],"&gt;=2",tbl_task6[[SubPLOs]:[SubPLOs]],"&lt;3")</f>
        <v>0</v>
      </c>
      <c r="BY35" s="138">
        <f>SUMIFS(tbl_task6[S72],tbl_task6[[SubPLOs]:[SubPLOs]],"&gt;=2",tbl_task6[[SubPLOs]:[SubPLOs]],"&lt;3")</f>
        <v>0</v>
      </c>
      <c r="BZ35" s="138">
        <f>SUMIFS(tbl_task6[S73],tbl_task6[[SubPLOs]:[SubPLOs]],"&gt;=2",tbl_task6[[SubPLOs]:[SubPLOs]],"&lt;3")</f>
        <v>0</v>
      </c>
      <c r="CA35" s="138">
        <f>SUMIFS(tbl_task6[S74],tbl_task6[[SubPLOs]:[SubPLOs]],"&gt;=2",tbl_task6[[SubPLOs]:[SubPLOs]],"&lt;3")</f>
        <v>0</v>
      </c>
      <c r="CB35" s="138">
        <f>SUMIFS(tbl_task6[S75],tbl_task6[[SubPLOs]:[SubPLOs]],"&gt;=2",tbl_task6[[SubPLOs]:[SubPLOs]],"&lt;3")</f>
        <v>0</v>
      </c>
      <c r="CC35" s="138">
        <f>SUMIFS(tbl_task6[S76],tbl_task6[[SubPLOs]:[SubPLOs]],"&gt;=2",tbl_task6[[SubPLOs]:[SubPLOs]],"&lt;3")</f>
        <v>0</v>
      </c>
      <c r="CD35" s="138">
        <f>SUMIFS(tbl_task6[S77],tbl_task6[[SubPLOs]:[SubPLOs]],"&gt;=2",tbl_task6[[SubPLOs]:[SubPLOs]],"&lt;3")</f>
        <v>0</v>
      </c>
      <c r="CE35" s="138">
        <f>SUMIFS(tbl_task6[S78],tbl_task6[[SubPLOs]:[SubPLOs]],"&gt;=2",tbl_task6[[SubPLOs]:[SubPLOs]],"&lt;3")</f>
        <v>0</v>
      </c>
      <c r="CF35" s="138">
        <f>SUMIFS(tbl_task6[S79],tbl_task6[[SubPLOs]:[SubPLOs]],"&gt;=2",tbl_task6[[SubPLOs]:[SubPLOs]],"&lt;3")</f>
        <v>0</v>
      </c>
      <c r="CG35" s="138">
        <f>SUMIFS(tbl_task6[S80],tbl_task6[[SubPLOs]:[SubPLOs]],"&gt;=2",tbl_task6[[SubPLOs]:[SubPLOs]],"&lt;3")</f>
        <v>0</v>
      </c>
      <c r="CH35" s="138">
        <f>SUMIFS(tbl_task6[S81],tbl_task6[[SubPLOs]:[SubPLOs]],"&gt;=2",tbl_task6[[SubPLOs]:[SubPLOs]],"&lt;3")</f>
        <v>0</v>
      </c>
      <c r="CI35" s="138">
        <f>SUMIFS(tbl_task6[S82],tbl_task6[[SubPLOs]:[SubPLOs]],"&gt;=2",tbl_task6[[SubPLOs]:[SubPLOs]],"&lt;3")</f>
        <v>0</v>
      </c>
      <c r="CJ35" s="138">
        <f>SUMIFS(tbl_task6[S83],tbl_task6[[SubPLOs]:[SubPLOs]],"&gt;=2",tbl_task6[[SubPLOs]:[SubPLOs]],"&lt;3")</f>
        <v>0</v>
      </c>
      <c r="CK35" s="138">
        <f>SUMIFS(tbl_task6[S84],tbl_task6[[SubPLOs]:[SubPLOs]],"&gt;=2",tbl_task6[[SubPLOs]:[SubPLOs]],"&lt;3")</f>
        <v>0</v>
      </c>
      <c r="CL35" s="138">
        <f>SUMIFS(tbl_task6[S85],tbl_task6[[SubPLOs]:[SubPLOs]],"&gt;=2",tbl_task6[[SubPLOs]:[SubPLOs]],"&lt;3")</f>
        <v>0</v>
      </c>
      <c r="CM35" s="138">
        <f>SUMIFS(tbl_task6[S86],tbl_task6[[SubPLOs]:[SubPLOs]],"&gt;=2",tbl_task6[[SubPLOs]:[SubPLOs]],"&lt;3")</f>
        <v>0</v>
      </c>
      <c r="CN35" s="138">
        <f>SUMIFS(tbl_task6[S87],tbl_task6[[SubPLOs]:[SubPLOs]],"&gt;=2",tbl_task6[[SubPLOs]:[SubPLOs]],"&lt;3")</f>
        <v>0</v>
      </c>
      <c r="CO35" s="138">
        <f>SUMIFS(tbl_task6[S88],tbl_task6[[SubPLOs]:[SubPLOs]],"&gt;=2",tbl_task6[[SubPLOs]:[SubPLOs]],"&lt;3")</f>
        <v>0</v>
      </c>
      <c r="CP35" s="138">
        <f>SUMIFS(tbl_task6[S89],tbl_task6[[SubPLOs]:[SubPLOs]],"&gt;=2",tbl_task6[[SubPLOs]:[SubPLOs]],"&lt;3")</f>
        <v>0</v>
      </c>
      <c r="CQ35" s="138">
        <f>SUMIFS(tbl_task6[S90],tbl_task6[[SubPLOs]:[SubPLOs]],"&gt;=2",tbl_task6[[SubPLOs]:[SubPLOs]],"&lt;3")</f>
        <v>0</v>
      </c>
      <c r="CR35" s="138">
        <f>SUMIFS(tbl_task6[S91],tbl_task6[[SubPLOs]:[SubPLOs]],"&gt;=2",tbl_task6[[SubPLOs]:[SubPLOs]],"&lt;3")</f>
        <v>0</v>
      </c>
      <c r="CS35" s="138">
        <f>SUMIFS(tbl_task6[S92],tbl_task6[[SubPLOs]:[SubPLOs]],"&gt;=2",tbl_task6[[SubPLOs]:[SubPLOs]],"&lt;3")</f>
        <v>0</v>
      </c>
      <c r="CT35" s="138">
        <f>SUMIFS(tbl_task6[S93],tbl_task6[[SubPLOs]:[SubPLOs]],"&gt;=2",tbl_task6[[SubPLOs]:[SubPLOs]],"&lt;3")</f>
        <v>0</v>
      </c>
      <c r="CU35" s="138">
        <f>SUMIFS(tbl_task6[S94],tbl_task6[[SubPLOs]:[SubPLOs]],"&gt;=2",tbl_task6[[SubPLOs]:[SubPLOs]],"&lt;3")</f>
        <v>0</v>
      </c>
      <c r="CV35" s="138">
        <f>SUMIFS(tbl_task6[S95],tbl_task6[[SubPLOs]:[SubPLOs]],"&gt;=2",tbl_task6[[SubPLOs]:[SubPLOs]],"&lt;3")</f>
        <v>0</v>
      </c>
      <c r="CW35" s="138">
        <f>SUMIFS(tbl_task6[S96],tbl_task6[[SubPLOs]:[SubPLOs]],"&gt;=2",tbl_task6[[SubPLOs]:[SubPLOs]],"&lt;3")</f>
        <v>0</v>
      </c>
      <c r="CX35" s="138">
        <f>SUMIFS(tbl_task6[S97],tbl_task6[[SubPLOs]:[SubPLOs]],"&gt;=2",tbl_task6[[SubPLOs]:[SubPLOs]],"&lt;3")</f>
        <v>0</v>
      </c>
      <c r="CY35" s="138">
        <f>SUMIFS(tbl_task6[S98],tbl_task6[[SubPLOs]:[SubPLOs]],"&gt;=2",tbl_task6[[SubPLOs]:[SubPLOs]],"&lt;3")</f>
        <v>0</v>
      </c>
      <c r="CZ35" s="138">
        <f>SUMIFS(tbl_task6[S99],tbl_task6[[SubPLOs]:[SubPLOs]],"&gt;=2",tbl_task6[[SubPLOs]:[SubPLOs]],"&lt;3")</f>
        <v>0</v>
      </c>
      <c r="DA35" s="138">
        <f>SUMIFS(tbl_task6[S100],tbl_task6[[SubPLOs]:[SubPLOs]],"&gt;=2",tbl_task6[[SubPLOs]:[SubPLOs]],"&lt;3")</f>
        <v>0</v>
      </c>
      <c r="DB35" s="138">
        <f>SUMIFS(tbl_task6[S101],tbl_task6[[SubPLOs]:[SubPLOs]],"&gt;=2",tbl_task6[[SubPLOs]:[SubPLOs]],"&lt;3")</f>
        <v>0</v>
      </c>
      <c r="DC35" s="138">
        <f>SUMIFS(tbl_task6[S102],tbl_task6[[SubPLOs]:[SubPLOs]],"&gt;=2",tbl_task6[[SubPLOs]:[SubPLOs]],"&lt;3")</f>
        <v>0</v>
      </c>
      <c r="DD35" s="138">
        <f>SUMIFS(tbl_task6[S103],tbl_task6[[SubPLOs]:[SubPLOs]],"&gt;=2",tbl_task6[[SubPLOs]:[SubPLOs]],"&lt;3")</f>
        <v>0</v>
      </c>
      <c r="DE35" s="138">
        <f>SUMIFS(tbl_task6[S104],tbl_task6[[SubPLOs]:[SubPLOs]],"&gt;=2",tbl_task6[[SubPLOs]:[SubPLOs]],"&lt;3")</f>
        <v>0</v>
      </c>
      <c r="DF35" s="138">
        <f>SUMIFS(tbl_task6[S105],tbl_task6[[SubPLOs]:[SubPLOs]],"&gt;=2",tbl_task6[[SubPLOs]:[SubPLOs]],"&lt;3")</f>
        <v>0</v>
      </c>
      <c r="DG35" s="138">
        <f>SUMIFS(tbl_task6[S106],tbl_task6[[SubPLOs]:[SubPLOs]],"&gt;=2",tbl_task6[[SubPLOs]:[SubPLOs]],"&lt;3")</f>
        <v>0</v>
      </c>
      <c r="DH35" s="138">
        <f>SUMIFS(tbl_task6[S106],tbl_task6[[SubPLOs]:[SubPLOs]],"&gt;=2",tbl_task6[[SubPLOs]:[SubPLOs]],"&lt;3")</f>
        <v>0</v>
      </c>
      <c r="DI35" s="138">
        <f>SUMIFS(tbl_task6[S108],tbl_task6[[SubPLOs]:[SubPLOs]],"&gt;=2",tbl_task6[[SubPLOs]:[SubPLOs]],"&lt;3")</f>
        <v>0</v>
      </c>
      <c r="DJ35" s="138">
        <f>SUMIFS(tbl_task6[S109],tbl_task6[[SubPLOs]:[SubPLOs]],"&gt;=2",tbl_task6[[SubPLOs]:[SubPLOs]],"&lt;3")</f>
        <v>0</v>
      </c>
      <c r="DK35" s="138">
        <f>SUMIFS(tbl_task6[S110],tbl_task6[[SubPLOs]:[SubPLOs]],"&gt;=2",tbl_task6[[SubPLOs]:[SubPLOs]],"&lt;3")</f>
        <v>0</v>
      </c>
      <c r="DL35" s="138">
        <f>SUMIFS(tbl_task6[S111],tbl_task6[[SubPLOs]:[SubPLOs]],"&gt;=2",tbl_task6[[SubPLOs]:[SubPLOs]],"&lt;3")</f>
        <v>0</v>
      </c>
      <c r="DM35" s="138">
        <f>SUMIFS(tbl_task6[S112],tbl_task6[[SubPLOs]:[SubPLOs]],"&gt;=2",tbl_task6[[SubPLOs]:[SubPLOs]],"&lt;3")</f>
        <v>0</v>
      </c>
      <c r="DN35" s="138">
        <f>SUMIFS(tbl_task6[S113],tbl_task6[[SubPLOs]:[SubPLOs]],"&gt;=2",tbl_task6[[SubPLOs]:[SubPLOs]],"&lt;3")</f>
        <v>0</v>
      </c>
      <c r="DO35" s="138">
        <f>SUMIFS(tbl_task6[S114],tbl_task6[[SubPLOs]:[SubPLOs]],"&gt;=2",tbl_task6[[SubPLOs]:[SubPLOs]],"&lt;3")</f>
        <v>0</v>
      </c>
      <c r="DP35" s="138">
        <f>SUMIFS(tbl_task6[S115],tbl_task6[[SubPLOs]:[SubPLOs]],"&gt;=2",tbl_task6[[SubPLOs]:[SubPLOs]],"&lt;3")</f>
        <v>0</v>
      </c>
      <c r="DQ35" s="138">
        <f>SUMIFS(tbl_task6[S116],tbl_task6[[SubPLOs]:[SubPLOs]],"&gt;=2",tbl_task6[[SubPLOs]:[SubPLOs]],"&lt;3")</f>
        <v>0</v>
      </c>
      <c r="DR35" s="138">
        <f>SUMIFS(tbl_task6[S117],tbl_task6[[SubPLOs]:[SubPLOs]],"&gt;=2",tbl_task6[[SubPLOs]:[SubPLOs]],"&lt;3")</f>
        <v>0</v>
      </c>
      <c r="DS35" s="138">
        <f>SUMIFS(tbl_task6[S118],tbl_task6[[SubPLOs]:[SubPLOs]],"&gt;=2",tbl_task6[[SubPLOs]:[SubPLOs]],"&lt;3")</f>
        <v>0</v>
      </c>
      <c r="DT35" s="138">
        <f>SUMIFS(tbl_task6[S119],tbl_task6[[SubPLOs]:[SubPLOs]],"&gt;=2",tbl_task6[[SubPLOs]:[SubPLOs]],"&lt;3")</f>
        <v>0</v>
      </c>
      <c r="DU35" s="138">
        <f>SUMIFS(tbl_task6[S120],tbl_task6[[SubPLOs]:[SubPLOs]],"&gt;=2",tbl_task6[[SubPLOs]:[SubPLOs]],"&lt;3")</f>
        <v>0</v>
      </c>
      <c r="DV35" s="138">
        <f>SUMIFS(tbl_task6[S121],tbl_task6[[SubPLOs]:[SubPLOs]],"&gt;=2",tbl_task6[[SubPLOs]:[SubPLOs]],"&lt;3")</f>
        <v>0</v>
      </c>
      <c r="DW35" s="138">
        <f>SUMIFS(tbl_task6[S122],tbl_task6[[SubPLOs]:[SubPLOs]],"&gt;=2",tbl_task6[[SubPLOs]:[SubPLOs]],"&lt;3")</f>
        <v>0</v>
      </c>
      <c r="DX35" s="138">
        <f>SUMIFS(tbl_task6[S123],tbl_task6[[SubPLOs]:[SubPLOs]],"&gt;=2",tbl_task6[[SubPLOs]:[SubPLOs]],"&lt;3")</f>
        <v>0</v>
      </c>
      <c r="DY35" s="138">
        <f>SUMIFS(tbl_task6[S124],tbl_task6[[SubPLOs]:[SubPLOs]],"&gt;=2",tbl_task6[[SubPLOs]:[SubPLOs]],"&lt;3")</f>
        <v>0</v>
      </c>
      <c r="DZ35" s="138">
        <f>SUMIFS(tbl_task6[S125],tbl_task6[[SubPLOs]:[SubPLOs]],"&gt;=2",tbl_task6[[SubPLOs]:[SubPLOs]],"&lt;3")</f>
        <v>0</v>
      </c>
      <c r="EA35" s="138">
        <f>SUMIFS(tbl_task6[S126],tbl_task6[[SubPLOs]:[SubPLOs]],"&gt;=2",tbl_task6[[SubPLOs]:[SubPLOs]],"&lt;3")</f>
        <v>0</v>
      </c>
      <c r="EB35" s="138">
        <f>SUMIFS(tbl_task6[S127],tbl_task6[[SubPLOs]:[SubPLOs]],"&gt;=2",tbl_task6[[SubPLOs]:[SubPLOs]],"&lt;3")</f>
        <v>0</v>
      </c>
      <c r="EC35" s="138">
        <f>SUMIFS(tbl_task6[S128],tbl_task6[[SubPLOs]:[SubPLOs]],"&gt;=2",tbl_task6[[SubPLOs]:[SubPLOs]],"&lt;3")</f>
        <v>0</v>
      </c>
      <c r="ED35" s="138">
        <f>SUMIFS(tbl_task6[S129],tbl_task6[[SubPLOs]:[SubPLOs]],"&gt;=2",tbl_task6[[SubPLOs]:[SubPLOs]],"&lt;3")</f>
        <v>0</v>
      </c>
      <c r="EE35" s="138">
        <f>SUMIFS(tbl_task6[S130],tbl_task6[[SubPLOs]:[SubPLOs]],"&gt;=2",tbl_task6[[SubPLOs]:[SubPLOs]],"&lt;3")</f>
        <v>0</v>
      </c>
      <c r="EF35" s="138">
        <f>SUMIFS(tbl_task6[S131],tbl_task6[[SubPLOs]:[SubPLOs]],"&gt;=2",tbl_task6[[SubPLOs]:[SubPLOs]],"&lt;3")</f>
        <v>0</v>
      </c>
      <c r="EG35" s="138">
        <f>SUMIFS(tbl_task6[S132],tbl_task6[[SubPLOs]:[SubPLOs]],"&gt;=2",tbl_task6[[SubPLOs]:[SubPLOs]],"&lt;3")</f>
        <v>0</v>
      </c>
      <c r="EH35" s="138">
        <f>SUMIFS(tbl_task6[S133],tbl_task6[[SubPLOs]:[SubPLOs]],"&gt;=2",tbl_task6[[SubPLOs]:[SubPLOs]],"&lt;3")</f>
        <v>0</v>
      </c>
      <c r="EI35" s="138">
        <f>SUMIFS(tbl_task6[S134],tbl_task6[[SubPLOs]:[SubPLOs]],"&gt;=2",tbl_task6[[SubPLOs]:[SubPLOs]],"&lt;3")</f>
        <v>0</v>
      </c>
      <c r="EJ35" s="138">
        <f>SUMIFS(tbl_task6[S135],tbl_task6[[SubPLOs]:[SubPLOs]],"&gt;=2",tbl_task6[[SubPLOs]:[SubPLOs]],"&lt;3")</f>
        <v>0</v>
      </c>
      <c r="EK35" s="138">
        <f>SUMIFS(tbl_task6[S136],tbl_task6[[SubPLOs]:[SubPLOs]],"&gt;=2",tbl_task6[[SubPLOs]:[SubPLOs]],"&lt;3")</f>
        <v>0</v>
      </c>
      <c r="EL35" s="138">
        <f>SUMIFS(tbl_task6[S137],tbl_task6[[SubPLOs]:[SubPLOs]],"&gt;=2",tbl_task6[[SubPLOs]:[SubPLOs]],"&lt;3")</f>
        <v>0</v>
      </c>
      <c r="EM35" s="138">
        <f>SUMIFS(tbl_task6[S138],tbl_task6[[SubPLOs]:[SubPLOs]],"&gt;=2",tbl_task6[[SubPLOs]:[SubPLOs]],"&lt;3")</f>
        <v>0</v>
      </c>
      <c r="EN35" s="138">
        <f>SUMIFS(tbl_task6[S139],tbl_task6[[SubPLOs]:[SubPLOs]],"&gt;=2",tbl_task6[[SubPLOs]:[SubPLOs]],"&lt;3")</f>
        <v>0</v>
      </c>
      <c r="EO35" s="138">
        <f>SUMIFS(tbl_task6[S140],tbl_task6[[SubPLOs]:[SubPLOs]],"&gt;=2",tbl_task6[[SubPLOs]:[SubPLOs]],"&lt;3")</f>
        <v>0</v>
      </c>
      <c r="EP35" s="138">
        <f>SUMIFS(tbl_task6[S141],tbl_task6[[SubPLOs]:[SubPLOs]],"&gt;=2",tbl_task6[[SubPLOs]:[SubPLOs]],"&lt;3")</f>
        <v>0</v>
      </c>
      <c r="EQ35" s="138">
        <f>SUMIFS(tbl_task6[S142],tbl_task6[[SubPLOs]:[SubPLOs]],"&gt;=2",tbl_task6[[SubPLOs]:[SubPLOs]],"&lt;3")</f>
        <v>0</v>
      </c>
      <c r="ER35" s="138">
        <f>SUMIFS(tbl_task6[S143],tbl_task6[[SubPLOs]:[SubPLOs]],"&gt;=2",tbl_task6[[SubPLOs]:[SubPLOs]],"&lt;3")</f>
        <v>0</v>
      </c>
      <c r="ES35" s="138">
        <f>SUMIFS(tbl_task6[S144],tbl_task6[[SubPLOs]:[SubPLOs]],"&gt;=2",tbl_task6[[SubPLOs]:[SubPLOs]],"&lt;3")</f>
        <v>0</v>
      </c>
      <c r="ET35" s="138">
        <f>SUMIFS(tbl_task6[S145],tbl_task6[[SubPLOs]:[SubPLOs]],"&gt;=2",tbl_task6[[SubPLOs]:[SubPLOs]],"&lt;3")</f>
        <v>0</v>
      </c>
      <c r="EU35" s="138">
        <f>SUMIFS(tbl_task6[S146],tbl_task6[[SubPLOs]:[SubPLOs]],"&gt;=2",tbl_task6[[SubPLOs]:[SubPLOs]],"&lt;3")</f>
        <v>0</v>
      </c>
      <c r="EV35" s="138">
        <f>SUMIFS(tbl_task6[S147],tbl_task6[[SubPLOs]:[SubPLOs]],"&gt;=2",tbl_task6[[SubPLOs]:[SubPLOs]],"&lt;3")</f>
        <v>0</v>
      </c>
      <c r="EW35" s="138">
        <f>SUMIFS(tbl_task6[S148],tbl_task6[[SubPLOs]:[SubPLOs]],"&gt;=2",tbl_task6[[SubPLOs]:[SubPLOs]],"&lt;3")</f>
        <v>0</v>
      </c>
      <c r="EX35" s="138">
        <f>SUMIFS(tbl_task6[S149],tbl_task6[[SubPLOs]:[SubPLOs]],"&gt;=2",tbl_task6[[SubPLOs]:[SubPLOs]],"&lt;3")</f>
        <v>0</v>
      </c>
      <c r="EY35" s="138">
        <f>SUMIFS(tbl_task6[S150],tbl_task6[[SubPLOs]:[SubPLOs]],"&gt;=2",tbl_task6[[SubPLOs]:[SubPLOs]],"&lt;3")</f>
        <v>0</v>
      </c>
      <c r="EZ35" s="138">
        <f>SUMIFS(tbl_task6[S151],tbl_task6[[SubPLOs]:[SubPLOs]],"&gt;=2",tbl_task6[[SubPLOs]:[SubPLOs]],"&lt;3")</f>
        <v>0</v>
      </c>
      <c r="FA35" s="138">
        <f>SUMIFS(tbl_task6[S152],tbl_task6[[SubPLOs]:[SubPLOs]],"&gt;=2",tbl_task6[[SubPLOs]:[SubPLOs]],"&lt;3")</f>
        <v>0</v>
      </c>
      <c r="FB35" s="138">
        <f>SUMIFS(tbl_task6[S153],tbl_task6[[SubPLOs]:[SubPLOs]],"&gt;=2",tbl_task6[[SubPLOs]:[SubPLOs]],"&lt;3")</f>
        <v>0</v>
      </c>
      <c r="FC35" s="138">
        <f>SUMIFS(tbl_task6[S154],tbl_task6[[SubPLOs]:[SubPLOs]],"&gt;=2",tbl_task6[[SubPLOs]:[SubPLOs]],"&lt;3")</f>
        <v>0</v>
      </c>
      <c r="FD35" s="138">
        <f>SUMIFS(tbl_task6[S155],tbl_task6[[SubPLOs]:[SubPLOs]],"&gt;=2",tbl_task6[[SubPLOs]:[SubPLOs]],"&lt;3")</f>
        <v>0</v>
      </c>
      <c r="FE35" s="138">
        <f>SUMIFS(tbl_task6[S156],tbl_task6[[SubPLOs]:[SubPLOs]],"&gt;=2",tbl_task6[[SubPLOs]:[SubPLOs]],"&lt;3")</f>
        <v>0</v>
      </c>
      <c r="FF35" s="138">
        <f>SUMIFS(tbl_task6[S157],tbl_task6[[SubPLOs]:[SubPLOs]],"&gt;=2",tbl_task6[[SubPLOs]:[SubPLOs]],"&lt;3")</f>
        <v>0</v>
      </c>
      <c r="FG35" s="138">
        <f>SUMIFS(tbl_task6[S158],tbl_task6[[SubPLOs]:[SubPLOs]],"&gt;=2",tbl_task6[[SubPLOs]:[SubPLOs]],"&lt;3")</f>
        <v>0</v>
      </c>
      <c r="FH35" s="138">
        <f>SUMIFS(tbl_task6[S159],tbl_task6[[SubPLOs]:[SubPLOs]],"&gt;=2",tbl_task6[[SubPLOs]:[SubPLOs]],"&lt;3")</f>
        <v>0</v>
      </c>
      <c r="FI35" s="138">
        <f>SUMIFS(tbl_task6[S160],tbl_task6[[SubPLOs]:[SubPLOs]],"&gt;=2",tbl_task6[[SubPLOs]:[SubPLOs]],"&lt;3")</f>
        <v>0</v>
      </c>
      <c r="FJ35" s="138">
        <f>SUMIFS(tbl_task6[S161],tbl_task6[[SubPLOs]:[SubPLOs]],"&gt;=2",tbl_task6[[SubPLOs]:[SubPLOs]],"&lt;3")</f>
        <v>0</v>
      </c>
      <c r="FK35" s="138">
        <f>SUMIFS(tbl_task6[S162],tbl_task6[[SubPLOs]:[SubPLOs]],"&gt;=2",tbl_task6[[SubPLOs]:[SubPLOs]],"&lt;3")</f>
        <v>0</v>
      </c>
      <c r="FL35" s="138">
        <f>SUMIFS(tbl_task6[S163],tbl_task6[[SubPLOs]:[SubPLOs]],"&gt;=2",tbl_task6[[SubPLOs]:[SubPLOs]],"&lt;3")</f>
        <v>0</v>
      </c>
      <c r="FM35" s="138">
        <f>SUMIFS(tbl_task6[S164],tbl_task6[[SubPLOs]:[SubPLOs]],"&gt;=2",tbl_task6[[SubPLOs]:[SubPLOs]],"&lt;3")</f>
        <v>0</v>
      </c>
      <c r="FN35" s="138">
        <f>SUMIFS(tbl_task6[S165],tbl_task6[[SubPLOs]:[SubPLOs]],"&gt;=2",tbl_task6[[SubPLOs]:[SubPLOs]],"&lt;3")</f>
        <v>0</v>
      </c>
    </row>
    <row r="36" spans="1:170" ht="63" x14ac:dyDescent="0.25">
      <c r="A36" s="135">
        <v>3</v>
      </c>
      <c r="B36" s="5" t="s">
        <v>436</v>
      </c>
      <c r="C36" s="136">
        <f>COUNTIFS(tbl_task6[SubPLOs],"&gt;=3",tbl_task6[SubPLOs],"&lt;4")</f>
        <v>0</v>
      </c>
      <c r="D36" s="136">
        <f>SUMIFS(tbl_task6[คะแนนเต็ม],tbl_task6[SubPLOs],"&gt;=3",tbl_task6[SubPLOs],"&lt;4")</f>
        <v>0</v>
      </c>
      <c r="E36" s="137">
        <f>SUMIFS(tbl_task6[%],tbl_task6[SubPLOs],"&gt;=3",tbl_task6[SubPLOs],"&lt;4")</f>
        <v>0</v>
      </c>
      <c r="F36" s="138">
        <f>SUMIFS(tbl_task6[S1],tbl_task6[[SubPLOs]:[SubPLOs]],"&gt;=3",tbl_task6[[SubPLOs]:[SubPLOs]],"&lt;4")</f>
        <v>0</v>
      </c>
      <c r="G36" s="138">
        <f>SUMIFS(tbl_task6[S2],tbl_task6[[SubPLOs]:[SubPLOs]],"&gt;=3",tbl_task6[[SubPLOs]:[SubPLOs]],"&lt;4")</f>
        <v>0</v>
      </c>
      <c r="H36" s="138">
        <f>SUMIFS(tbl_task6[S3],tbl_task6[[SubPLOs]:[SubPLOs]],"&gt;=3",tbl_task6[[SubPLOs]:[SubPLOs]],"&lt;4")</f>
        <v>0</v>
      </c>
      <c r="I36" s="138">
        <f>SUMIFS(tbl_task6[S4],tbl_task6[[SubPLOs]:[SubPLOs]],"&gt;=3",tbl_task6[[SubPLOs]:[SubPLOs]],"&lt;4")</f>
        <v>0</v>
      </c>
      <c r="J36" s="138">
        <f>SUMIFS(tbl_task6[S5],tbl_task6[[SubPLOs]:[SubPLOs]],"&gt;=3",tbl_task6[[SubPLOs]:[SubPLOs]],"&lt;4")</f>
        <v>0</v>
      </c>
      <c r="K36" s="138">
        <f>SUMIFS(tbl_task6[S6],tbl_task6[[SubPLOs]:[SubPLOs]],"&gt;=3",tbl_task6[[SubPLOs]:[SubPLOs]],"&lt;4")</f>
        <v>0</v>
      </c>
      <c r="L36" s="138">
        <f>SUMIFS(tbl_task6[S7],tbl_task6[[SubPLOs]:[SubPLOs]],"&gt;=3",tbl_task6[[SubPLOs]:[SubPLOs]],"&lt;4")</f>
        <v>0</v>
      </c>
      <c r="M36" s="138">
        <f>SUMIFS(tbl_task6[S8],tbl_task6[[SubPLOs]:[SubPLOs]],"&gt;=3",tbl_task6[[SubPLOs]:[SubPLOs]],"&lt;4")</f>
        <v>0</v>
      </c>
      <c r="N36" s="138">
        <f>SUMIFS(tbl_task6[S9],tbl_task6[[SubPLOs]:[SubPLOs]],"&gt;=3",tbl_task6[[SubPLOs]:[SubPLOs]],"&lt;4")</f>
        <v>0</v>
      </c>
      <c r="O36" s="138">
        <f>SUMIFS(tbl_task6[S10],tbl_task6[[SubPLOs]:[SubPLOs]],"&gt;=3",tbl_task6[[SubPLOs]:[SubPLOs]],"&lt;4")</f>
        <v>0</v>
      </c>
      <c r="P36" s="138">
        <f>SUMIFS(tbl_task6[S11],tbl_task6[[SubPLOs]:[SubPLOs]],"&gt;=3",tbl_task6[[SubPLOs]:[SubPLOs]],"&lt;4")</f>
        <v>0</v>
      </c>
      <c r="Q36" s="138">
        <f>SUMIFS(tbl_task6[S12],tbl_task6[[SubPLOs]:[SubPLOs]],"&gt;=3",tbl_task6[[SubPLOs]:[SubPLOs]],"&lt;4")</f>
        <v>0</v>
      </c>
      <c r="R36" s="138">
        <f>SUMIFS(tbl_task6[S13],tbl_task6[[SubPLOs]:[SubPLOs]],"&gt;=3",tbl_task6[[SubPLOs]:[SubPLOs]],"&lt;4")</f>
        <v>0</v>
      </c>
      <c r="S36" s="138">
        <f>SUMIFS(tbl_task6[S14],tbl_task6[[SubPLOs]:[SubPLOs]],"&gt;=3",tbl_task6[[SubPLOs]:[SubPLOs]],"&lt;4")</f>
        <v>0</v>
      </c>
      <c r="T36" s="138">
        <f>SUMIFS(tbl_task6[S15],tbl_task6[[SubPLOs]:[SubPLOs]],"&gt;=3",tbl_task6[[SubPLOs]:[SubPLOs]],"&lt;4")</f>
        <v>0</v>
      </c>
      <c r="U36" s="138">
        <f>SUMIFS(tbl_task6[S16],tbl_task6[[SubPLOs]:[SubPLOs]],"&gt;=3",tbl_task6[[SubPLOs]:[SubPLOs]],"&lt;4")</f>
        <v>0</v>
      </c>
      <c r="V36" s="138">
        <f>SUMIFS(tbl_task6[S17],tbl_task6[[SubPLOs]:[SubPLOs]],"&gt;=3",tbl_task6[[SubPLOs]:[SubPLOs]],"&lt;4")</f>
        <v>0</v>
      </c>
      <c r="W36" s="138">
        <f>SUMIFS(tbl_task6[S18],tbl_task6[[SubPLOs]:[SubPLOs]],"&gt;=3",tbl_task6[[SubPLOs]:[SubPLOs]],"&lt;4")</f>
        <v>0</v>
      </c>
      <c r="X36" s="138">
        <f>SUMIFS(tbl_task6[S19],tbl_task6[[SubPLOs]:[SubPLOs]],"&gt;=3",tbl_task6[[SubPLOs]:[SubPLOs]],"&lt;4")</f>
        <v>0</v>
      </c>
      <c r="Y36" s="138">
        <f>SUMIFS(tbl_task6[S20],tbl_task6[[SubPLOs]:[SubPLOs]],"&gt;=3",tbl_task6[[SubPLOs]:[SubPLOs]],"&lt;4")</f>
        <v>0</v>
      </c>
      <c r="Z36" s="138">
        <f>SUMIFS(tbl_task6[S21],tbl_task6[[SubPLOs]:[SubPLOs]],"&gt;=3",tbl_task6[[SubPLOs]:[SubPLOs]],"&lt;4")</f>
        <v>0</v>
      </c>
      <c r="AA36" s="138">
        <f>SUMIFS(tbl_task6[S22],tbl_task6[[SubPLOs]:[SubPLOs]],"&gt;=3",tbl_task6[[SubPLOs]:[SubPLOs]],"&lt;4")</f>
        <v>0</v>
      </c>
      <c r="AB36" s="138">
        <f>SUMIFS(tbl_task6[S23],tbl_task6[[SubPLOs]:[SubPLOs]],"&gt;=3",tbl_task6[[SubPLOs]:[SubPLOs]],"&lt;4")</f>
        <v>0</v>
      </c>
      <c r="AC36" s="138">
        <f>SUMIFS(tbl_task6[S24],tbl_task6[[SubPLOs]:[SubPLOs]],"&gt;=3",tbl_task6[[SubPLOs]:[SubPLOs]],"&lt;4")</f>
        <v>0</v>
      </c>
      <c r="AD36" s="138">
        <f>SUMIFS(tbl_task6[S25],tbl_task6[[SubPLOs]:[SubPLOs]],"&gt;=3",tbl_task6[[SubPLOs]:[SubPLOs]],"&lt;4")</f>
        <v>0</v>
      </c>
      <c r="AE36" s="138">
        <f>SUMIFS(tbl_task6[S26],tbl_task6[[SubPLOs]:[SubPLOs]],"&gt;=3",tbl_task6[[SubPLOs]:[SubPLOs]],"&lt;4")</f>
        <v>0</v>
      </c>
      <c r="AF36" s="138">
        <f>SUMIFS(tbl_task6[S27],tbl_task6[[SubPLOs]:[SubPLOs]],"&gt;=3",tbl_task6[[SubPLOs]:[SubPLOs]],"&lt;4")</f>
        <v>0</v>
      </c>
      <c r="AG36" s="138">
        <f>SUMIFS(tbl_task6[S28],tbl_task6[[SubPLOs]:[SubPLOs]],"&gt;=3",tbl_task6[[SubPLOs]:[SubPLOs]],"&lt;4")</f>
        <v>0</v>
      </c>
      <c r="AH36" s="138">
        <f>SUMIFS(tbl_task6[S29],tbl_task6[[SubPLOs]:[SubPLOs]],"&gt;=3",tbl_task6[[SubPLOs]:[SubPLOs]],"&lt;4")</f>
        <v>0</v>
      </c>
      <c r="AI36" s="138">
        <f>SUMIFS(tbl_task6[S30],tbl_task6[[SubPLOs]:[SubPLOs]],"&gt;=3",tbl_task6[[SubPLOs]:[SubPLOs]],"&lt;4")</f>
        <v>0</v>
      </c>
      <c r="AJ36" s="138">
        <f>SUMIFS(tbl_task6[S31],tbl_task6[[SubPLOs]:[SubPLOs]],"&gt;=3",tbl_task6[[SubPLOs]:[SubPLOs]],"&lt;4")</f>
        <v>0</v>
      </c>
      <c r="AK36" s="138">
        <f>SUMIFS(tbl_task6[S32],tbl_task6[[SubPLOs]:[SubPLOs]],"&gt;=3",tbl_task6[[SubPLOs]:[SubPLOs]],"&lt;4")</f>
        <v>0</v>
      </c>
      <c r="AL36" s="138">
        <f>SUMIFS(tbl_task6[S33],tbl_task6[[SubPLOs]:[SubPLOs]],"&gt;=3",tbl_task6[[SubPLOs]:[SubPLOs]],"&lt;4")</f>
        <v>0</v>
      </c>
      <c r="AM36" s="138">
        <f>SUMIFS(tbl_task6[S34],tbl_task6[[SubPLOs]:[SubPLOs]],"&gt;=3",tbl_task6[[SubPLOs]:[SubPLOs]],"&lt;4")</f>
        <v>0</v>
      </c>
      <c r="AN36" s="138">
        <f>SUMIFS(tbl_task6[S35],tbl_task6[[SubPLOs]:[SubPLOs]],"&gt;=3",tbl_task6[[SubPLOs]:[SubPLOs]],"&lt;4")</f>
        <v>0</v>
      </c>
      <c r="AO36" s="138">
        <f>SUMIFS(tbl_task6[S36],tbl_task6[[SubPLOs]:[SubPLOs]],"&gt;=3",tbl_task6[[SubPLOs]:[SubPLOs]],"&lt;4")</f>
        <v>0</v>
      </c>
      <c r="AP36" s="138">
        <f>SUMIFS(tbl_task6[S37],tbl_task6[[SubPLOs]:[SubPLOs]],"&gt;=3",tbl_task6[[SubPLOs]:[SubPLOs]],"&lt;4")</f>
        <v>0</v>
      </c>
      <c r="AQ36" s="138">
        <f>SUMIFS(tbl_task6[S38],tbl_task6[[SubPLOs]:[SubPLOs]],"&gt;=3",tbl_task6[[SubPLOs]:[SubPLOs]],"&lt;4")</f>
        <v>0</v>
      </c>
      <c r="AR36" s="138">
        <f>SUMIFS(tbl_task6[S39],tbl_task6[[SubPLOs]:[SubPLOs]],"&gt;=3",tbl_task6[[SubPLOs]:[SubPLOs]],"&lt;4")</f>
        <v>0</v>
      </c>
      <c r="AS36" s="138">
        <f>SUMIFS(tbl_task6[S40],tbl_task6[[SubPLOs]:[SubPLOs]],"&gt;=3",tbl_task6[[SubPLOs]:[SubPLOs]],"&lt;4")</f>
        <v>0</v>
      </c>
      <c r="AT36" s="138">
        <f>SUMIFS(tbl_task6[S41],tbl_task6[[SubPLOs]:[SubPLOs]],"&gt;=3",tbl_task6[[SubPLOs]:[SubPLOs]],"&lt;4")</f>
        <v>0</v>
      </c>
      <c r="AU36" s="138">
        <f>SUMIFS(tbl_task6[S42],tbl_task6[[SubPLOs]:[SubPLOs]],"&gt;=3",tbl_task6[[SubPLOs]:[SubPLOs]],"&lt;4")</f>
        <v>0</v>
      </c>
      <c r="AV36" s="138">
        <f>SUMIFS(tbl_task6[S43],tbl_task6[[SubPLOs]:[SubPLOs]],"&gt;=3",tbl_task6[[SubPLOs]:[SubPLOs]],"&lt;4")</f>
        <v>0</v>
      </c>
      <c r="AW36" s="138">
        <f>SUMIFS(tbl_task6[S44],tbl_task6[[SubPLOs]:[SubPLOs]],"&gt;=3",tbl_task6[[SubPLOs]:[SubPLOs]],"&lt;4")</f>
        <v>0</v>
      </c>
      <c r="AX36" s="138">
        <f>SUMIFS(tbl_task6[S45],tbl_task6[[SubPLOs]:[SubPLOs]],"&gt;=3",tbl_task6[[SubPLOs]:[SubPLOs]],"&lt;4")</f>
        <v>0</v>
      </c>
      <c r="AY36" s="138">
        <f>SUMIFS(tbl_task6[S46],tbl_task6[[SubPLOs]:[SubPLOs]],"&gt;=3",tbl_task6[[SubPLOs]:[SubPLOs]],"&lt;4")</f>
        <v>0</v>
      </c>
      <c r="AZ36" s="138">
        <f>SUMIFS(tbl_task6[S47],tbl_task6[[SubPLOs]:[SubPLOs]],"&gt;=3",tbl_task6[[SubPLOs]:[SubPLOs]],"&lt;4")</f>
        <v>0</v>
      </c>
      <c r="BA36" s="138">
        <f>SUMIFS(tbl_task6[S48],tbl_task6[[SubPLOs]:[SubPLOs]],"&gt;=3",tbl_task6[[SubPLOs]:[SubPLOs]],"&lt;4")</f>
        <v>0</v>
      </c>
      <c r="BB36" s="138">
        <f>SUMIFS(tbl_task6[S49],tbl_task6[[SubPLOs]:[SubPLOs]],"&gt;=3",tbl_task6[[SubPLOs]:[SubPLOs]],"&lt;4")</f>
        <v>0</v>
      </c>
      <c r="BC36" s="138">
        <f>SUMIFS(tbl_task6[S50],tbl_task6[[SubPLOs]:[SubPLOs]],"&gt;=3",tbl_task6[[SubPLOs]:[SubPLOs]],"&lt;4")</f>
        <v>0</v>
      </c>
      <c r="BD36" s="138">
        <f>SUMIFS(tbl_task6[S51],tbl_task6[[SubPLOs]:[SubPLOs]],"&gt;=3",tbl_task6[[SubPLOs]:[SubPLOs]],"&lt;4")</f>
        <v>0</v>
      </c>
      <c r="BE36" s="138">
        <f>SUMIFS(tbl_task6[S52],tbl_task6[[SubPLOs]:[SubPLOs]],"&gt;=3",tbl_task6[[SubPLOs]:[SubPLOs]],"&lt;4")</f>
        <v>0</v>
      </c>
      <c r="BF36" s="138">
        <f>SUMIFS(tbl_task6[S53],tbl_task6[[SubPLOs]:[SubPLOs]],"&gt;=3",tbl_task6[[SubPLOs]:[SubPLOs]],"&lt;4")</f>
        <v>0</v>
      </c>
      <c r="BG36" s="138">
        <f>SUMIFS(tbl_task6[S54],tbl_task6[[SubPLOs]:[SubPLOs]],"&gt;=3",tbl_task6[[SubPLOs]:[SubPLOs]],"&lt;4")</f>
        <v>0</v>
      </c>
      <c r="BH36" s="138">
        <f>SUMIFS(tbl_task6[S55],tbl_task6[[SubPLOs]:[SubPLOs]],"&gt;=3",tbl_task6[[SubPLOs]:[SubPLOs]],"&lt;4")</f>
        <v>0</v>
      </c>
      <c r="BI36" s="138">
        <f>SUMIFS(tbl_task6[S56],tbl_task6[[SubPLOs]:[SubPLOs]],"&gt;=3",tbl_task6[[SubPLOs]:[SubPLOs]],"&lt;4")</f>
        <v>0</v>
      </c>
      <c r="BJ36" s="138">
        <f>SUMIFS(tbl_task6[S57],tbl_task6[[SubPLOs]:[SubPLOs]],"&gt;=3",tbl_task6[[SubPLOs]:[SubPLOs]],"&lt;4")</f>
        <v>0</v>
      </c>
      <c r="BK36" s="138">
        <f>SUMIFS(tbl_task6[S58],tbl_task6[[SubPLOs]:[SubPLOs]],"&gt;=3",tbl_task6[[SubPLOs]:[SubPLOs]],"&lt;4")</f>
        <v>0</v>
      </c>
      <c r="BL36" s="138">
        <f>SUMIFS(tbl_task6[S59],tbl_task6[[SubPLOs]:[SubPLOs]],"&gt;=3",tbl_task6[[SubPLOs]:[SubPLOs]],"&lt;4")</f>
        <v>0</v>
      </c>
      <c r="BM36" s="138">
        <f>SUMIFS(tbl_task6[S60],tbl_task6[[SubPLOs]:[SubPLOs]],"&gt;=3",tbl_task6[[SubPLOs]:[SubPLOs]],"&lt;4")</f>
        <v>0</v>
      </c>
      <c r="BN36" s="138">
        <f>SUMIFS(tbl_task6[S61],tbl_task6[[SubPLOs]:[SubPLOs]],"&gt;=3",tbl_task6[[SubPLOs]:[SubPLOs]],"&lt;4")</f>
        <v>0</v>
      </c>
      <c r="BO36" s="138">
        <f>SUMIFS(tbl_task6[S62],tbl_task6[[SubPLOs]:[SubPLOs]],"&gt;=3",tbl_task6[[SubPLOs]:[SubPLOs]],"&lt;4")</f>
        <v>0</v>
      </c>
      <c r="BP36" s="138">
        <f>SUMIFS(tbl_task6[S63],tbl_task6[[SubPLOs]:[SubPLOs]],"&gt;=3",tbl_task6[[SubPLOs]:[SubPLOs]],"&lt;4")</f>
        <v>0</v>
      </c>
      <c r="BQ36" s="138">
        <f>SUMIFS(tbl_task6[S64],tbl_task6[[SubPLOs]:[SubPLOs]],"&gt;=3",tbl_task6[[SubPLOs]:[SubPLOs]],"&lt;4")</f>
        <v>0</v>
      </c>
      <c r="BR36" s="138">
        <f>SUMIFS(tbl_task6[S65],tbl_task6[[SubPLOs]:[SubPLOs]],"&gt;=3",tbl_task6[[SubPLOs]:[SubPLOs]],"&lt;4")</f>
        <v>0</v>
      </c>
      <c r="BS36" s="138">
        <f>SUMIFS(tbl_task6[S66],tbl_task6[[SubPLOs]:[SubPLOs]],"&gt;=3",tbl_task6[[SubPLOs]:[SubPLOs]],"&lt;4")</f>
        <v>0</v>
      </c>
      <c r="BT36" s="138">
        <f>SUMIFS(tbl_task6[S67],tbl_task6[[SubPLOs]:[SubPLOs]],"&gt;=3",tbl_task6[[SubPLOs]:[SubPLOs]],"&lt;4")</f>
        <v>0</v>
      </c>
      <c r="BU36" s="138">
        <f>SUMIFS(tbl_task6[S68],tbl_task6[[SubPLOs]:[SubPLOs]],"&gt;=3",tbl_task6[[SubPLOs]:[SubPLOs]],"&lt;4")</f>
        <v>0</v>
      </c>
      <c r="BV36" s="138">
        <f>SUMIFS(tbl_task6[S69],tbl_task6[[SubPLOs]:[SubPLOs]],"&gt;=3",tbl_task6[[SubPLOs]:[SubPLOs]],"&lt;4")</f>
        <v>0</v>
      </c>
      <c r="BW36" s="138">
        <f>SUMIFS(tbl_task6[S70],tbl_task6[[SubPLOs]:[SubPLOs]],"&gt;=3",tbl_task6[[SubPLOs]:[SubPLOs]],"&lt;4")</f>
        <v>0</v>
      </c>
      <c r="BX36" s="138">
        <f>SUMIFS(tbl_task6[S71],tbl_task6[[SubPLOs]:[SubPLOs]],"&gt;=3",tbl_task6[[SubPLOs]:[SubPLOs]],"&lt;4")</f>
        <v>0</v>
      </c>
      <c r="BY36" s="138">
        <f>SUMIFS(tbl_task6[S72],tbl_task6[[SubPLOs]:[SubPLOs]],"&gt;=3",tbl_task6[[SubPLOs]:[SubPLOs]],"&lt;4")</f>
        <v>0</v>
      </c>
      <c r="BZ36" s="138">
        <f>SUMIFS(tbl_task6[S73],tbl_task6[[SubPLOs]:[SubPLOs]],"&gt;=3",tbl_task6[[SubPLOs]:[SubPLOs]],"&lt;4")</f>
        <v>0</v>
      </c>
      <c r="CA36" s="138">
        <f>SUMIFS(tbl_task6[S74],tbl_task6[[SubPLOs]:[SubPLOs]],"&gt;=3",tbl_task6[[SubPLOs]:[SubPLOs]],"&lt;4")</f>
        <v>0</v>
      </c>
      <c r="CB36" s="138">
        <f>SUMIFS(tbl_task6[S75],tbl_task6[[SubPLOs]:[SubPLOs]],"&gt;=3",tbl_task6[[SubPLOs]:[SubPLOs]],"&lt;4")</f>
        <v>0</v>
      </c>
      <c r="CC36" s="138">
        <f>SUMIFS(tbl_task6[S76],tbl_task6[[SubPLOs]:[SubPLOs]],"&gt;=3",tbl_task6[[SubPLOs]:[SubPLOs]],"&lt;4")</f>
        <v>0</v>
      </c>
      <c r="CD36" s="138">
        <f>SUMIFS(tbl_task6[S77],tbl_task6[[SubPLOs]:[SubPLOs]],"&gt;=3",tbl_task6[[SubPLOs]:[SubPLOs]],"&lt;4")</f>
        <v>0</v>
      </c>
      <c r="CE36" s="138">
        <f>SUMIFS(tbl_task6[S78],tbl_task6[[SubPLOs]:[SubPLOs]],"&gt;=3",tbl_task6[[SubPLOs]:[SubPLOs]],"&lt;4")</f>
        <v>0</v>
      </c>
      <c r="CF36" s="138">
        <f>SUMIFS(tbl_task6[S79],tbl_task6[[SubPLOs]:[SubPLOs]],"&gt;=3",tbl_task6[[SubPLOs]:[SubPLOs]],"&lt;4")</f>
        <v>0</v>
      </c>
      <c r="CG36" s="138">
        <f>SUMIFS(tbl_task6[S80],tbl_task6[[SubPLOs]:[SubPLOs]],"&gt;=3",tbl_task6[[SubPLOs]:[SubPLOs]],"&lt;4")</f>
        <v>0</v>
      </c>
      <c r="CH36" s="138">
        <f>SUMIFS(tbl_task6[S81],tbl_task6[[SubPLOs]:[SubPLOs]],"&gt;=3",tbl_task6[[SubPLOs]:[SubPLOs]],"&lt;4")</f>
        <v>0</v>
      </c>
      <c r="CI36" s="138">
        <f>SUMIFS(tbl_task6[S82],tbl_task6[[SubPLOs]:[SubPLOs]],"&gt;=3",tbl_task6[[SubPLOs]:[SubPLOs]],"&lt;4")</f>
        <v>0</v>
      </c>
      <c r="CJ36" s="138">
        <f>SUMIFS(tbl_task6[S83],tbl_task6[[SubPLOs]:[SubPLOs]],"&gt;=3",tbl_task6[[SubPLOs]:[SubPLOs]],"&lt;4")</f>
        <v>0</v>
      </c>
      <c r="CK36" s="138">
        <f>SUMIFS(tbl_task6[S84],tbl_task6[[SubPLOs]:[SubPLOs]],"&gt;=3",tbl_task6[[SubPLOs]:[SubPLOs]],"&lt;4")</f>
        <v>0</v>
      </c>
      <c r="CL36" s="138">
        <f>SUMIFS(tbl_task6[S85],tbl_task6[[SubPLOs]:[SubPLOs]],"&gt;=3",tbl_task6[[SubPLOs]:[SubPLOs]],"&lt;4")</f>
        <v>0</v>
      </c>
      <c r="CM36" s="138">
        <f>SUMIFS(tbl_task6[S86],tbl_task6[[SubPLOs]:[SubPLOs]],"&gt;=3",tbl_task6[[SubPLOs]:[SubPLOs]],"&lt;4")</f>
        <v>0</v>
      </c>
      <c r="CN36" s="138">
        <f>SUMIFS(tbl_task6[S87],tbl_task6[[SubPLOs]:[SubPLOs]],"&gt;=3",tbl_task6[[SubPLOs]:[SubPLOs]],"&lt;4")</f>
        <v>0</v>
      </c>
      <c r="CO36" s="138">
        <f>SUMIFS(tbl_task6[S88],tbl_task6[[SubPLOs]:[SubPLOs]],"&gt;=3",tbl_task6[[SubPLOs]:[SubPLOs]],"&lt;4")</f>
        <v>0</v>
      </c>
      <c r="CP36" s="138">
        <f>SUMIFS(tbl_task6[S89],tbl_task6[[SubPLOs]:[SubPLOs]],"&gt;=3",tbl_task6[[SubPLOs]:[SubPLOs]],"&lt;4")</f>
        <v>0</v>
      </c>
      <c r="CQ36" s="138">
        <f>SUMIFS(tbl_task6[S90],tbl_task6[[SubPLOs]:[SubPLOs]],"&gt;=3",tbl_task6[[SubPLOs]:[SubPLOs]],"&lt;4")</f>
        <v>0</v>
      </c>
      <c r="CR36" s="138">
        <f>SUMIFS(tbl_task6[S91],tbl_task6[[SubPLOs]:[SubPLOs]],"&gt;=3",tbl_task6[[SubPLOs]:[SubPLOs]],"&lt;4")</f>
        <v>0</v>
      </c>
      <c r="CS36" s="138">
        <f>SUMIFS(tbl_task6[S92],tbl_task6[[SubPLOs]:[SubPLOs]],"&gt;=3",tbl_task6[[SubPLOs]:[SubPLOs]],"&lt;4")</f>
        <v>0</v>
      </c>
      <c r="CT36" s="138">
        <f>SUMIFS(tbl_task6[S93],tbl_task6[[SubPLOs]:[SubPLOs]],"&gt;=3",tbl_task6[[SubPLOs]:[SubPLOs]],"&lt;4")</f>
        <v>0</v>
      </c>
      <c r="CU36" s="138">
        <f>SUMIFS(tbl_task6[S94],tbl_task6[[SubPLOs]:[SubPLOs]],"&gt;=3",tbl_task6[[SubPLOs]:[SubPLOs]],"&lt;4")</f>
        <v>0</v>
      </c>
      <c r="CV36" s="138">
        <f>SUMIFS(tbl_task6[S95],tbl_task6[[SubPLOs]:[SubPLOs]],"&gt;=3",tbl_task6[[SubPLOs]:[SubPLOs]],"&lt;4")</f>
        <v>0</v>
      </c>
      <c r="CW36" s="138">
        <f>SUMIFS(tbl_task6[S96],tbl_task6[[SubPLOs]:[SubPLOs]],"&gt;=3",tbl_task6[[SubPLOs]:[SubPLOs]],"&lt;4")</f>
        <v>0</v>
      </c>
      <c r="CX36" s="138">
        <f>SUMIFS(tbl_task6[S97],tbl_task6[[SubPLOs]:[SubPLOs]],"&gt;=3",tbl_task6[[SubPLOs]:[SubPLOs]],"&lt;4")</f>
        <v>0</v>
      </c>
      <c r="CY36" s="138">
        <f>SUMIFS(tbl_task6[S98],tbl_task6[[SubPLOs]:[SubPLOs]],"&gt;=3",tbl_task6[[SubPLOs]:[SubPLOs]],"&lt;4")</f>
        <v>0</v>
      </c>
      <c r="CZ36" s="138">
        <f>SUMIFS(tbl_task6[S99],tbl_task6[[SubPLOs]:[SubPLOs]],"&gt;=3",tbl_task6[[SubPLOs]:[SubPLOs]],"&lt;4")</f>
        <v>0</v>
      </c>
      <c r="DA36" s="138">
        <f>SUMIFS(tbl_task6[S100],tbl_task6[[SubPLOs]:[SubPLOs]],"&gt;=3",tbl_task6[[SubPLOs]:[SubPLOs]],"&lt;4")</f>
        <v>0</v>
      </c>
      <c r="DB36" s="138">
        <f>SUMIFS(tbl_task6[S101],tbl_task6[[SubPLOs]:[SubPLOs]],"&gt;=3",tbl_task6[[SubPLOs]:[SubPLOs]],"&lt;4")</f>
        <v>0</v>
      </c>
      <c r="DC36" s="138">
        <f>SUMIFS(tbl_task6[S102],tbl_task6[[SubPLOs]:[SubPLOs]],"&gt;=3",tbl_task6[[SubPLOs]:[SubPLOs]],"&lt;4")</f>
        <v>0</v>
      </c>
      <c r="DD36" s="138">
        <f>SUMIFS(tbl_task6[S103],tbl_task6[[SubPLOs]:[SubPLOs]],"&gt;=3",tbl_task6[[SubPLOs]:[SubPLOs]],"&lt;4")</f>
        <v>0</v>
      </c>
      <c r="DE36" s="138">
        <f>SUMIFS(tbl_task6[S104],tbl_task6[[SubPLOs]:[SubPLOs]],"&gt;=3",tbl_task6[[SubPLOs]:[SubPLOs]],"&lt;4")</f>
        <v>0</v>
      </c>
      <c r="DF36" s="138">
        <f>SUMIFS(tbl_task6[S105],tbl_task6[[SubPLOs]:[SubPLOs]],"&gt;=3",tbl_task6[[SubPLOs]:[SubPLOs]],"&lt;4")</f>
        <v>0</v>
      </c>
      <c r="DG36" s="138">
        <f>SUMIFS(tbl_task6[S106],tbl_task6[[SubPLOs]:[SubPLOs]],"&gt;=3",tbl_task6[[SubPLOs]:[SubPLOs]],"&lt;4")</f>
        <v>0</v>
      </c>
      <c r="DH36" s="138">
        <f>SUMIFS(tbl_task6[S106],tbl_task6[[SubPLOs]:[SubPLOs]],"&gt;=3",tbl_task6[[SubPLOs]:[SubPLOs]],"&lt;4")</f>
        <v>0</v>
      </c>
      <c r="DI36" s="138">
        <f>SUMIFS(tbl_task6[S108],tbl_task6[[SubPLOs]:[SubPLOs]],"&gt;=3",tbl_task6[[SubPLOs]:[SubPLOs]],"&lt;4")</f>
        <v>0</v>
      </c>
      <c r="DJ36" s="138">
        <f>SUMIFS(tbl_task6[S109],tbl_task6[[SubPLOs]:[SubPLOs]],"&gt;=3",tbl_task6[[SubPLOs]:[SubPLOs]],"&lt;4")</f>
        <v>0</v>
      </c>
      <c r="DK36" s="138">
        <f>SUMIFS(tbl_task6[S110],tbl_task6[[SubPLOs]:[SubPLOs]],"&gt;=3",tbl_task6[[SubPLOs]:[SubPLOs]],"&lt;4")</f>
        <v>0</v>
      </c>
      <c r="DL36" s="138">
        <f>SUMIFS(tbl_task6[S111],tbl_task6[[SubPLOs]:[SubPLOs]],"&gt;=3",tbl_task6[[SubPLOs]:[SubPLOs]],"&lt;4")</f>
        <v>0</v>
      </c>
      <c r="DM36" s="138">
        <f>SUMIFS(tbl_task6[S112],tbl_task6[[SubPLOs]:[SubPLOs]],"&gt;=3",tbl_task6[[SubPLOs]:[SubPLOs]],"&lt;4")</f>
        <v>0</v>
      </c>
      <c r="DN36" s="138">
        <f>SUMIFS(tbl_task6[S113],tbl_task6[[SubPLOs]:[SubPLOs]],"&gt;=3",tbl_task6[[SubPLOs]:[SubPLOs]],"&lt;4")</f>
        <v>0</v>
      </c>
      <c r="DO36" s="138">
        <f>SUMIFS(tbl_task6[S114],tbl_task6[[SubPLOs]:[SubPLOs]],"&gt;=3",tbl_task6[[SubPLOs]:[SubPLOs]],"&lt;4")</f>
        <v>0</v>
      </c>
      <c r="DP36" s="138">
        <f>SUMIFS(tbl_task6[S115],tbl_task6[[SubPLOs]:[SubPLOs]],"&gt;=3",tbl_task6[[SubPLOs]:[SubPLOs]],"&lt;4")</f>
        <v>0</v>
      </c>
      <c r="DQ36" s="138">
        <f>SUMIFS(tbl_task6[S116],tbl_task6[[SubPLOs]:[SubPLOs]],"&gt;=3",tbl_task6[[SubPLOs]:[SubPLOs]],"&lt;4")</f>
        <v>0</v>
      </c>
      <c r="DR36" s="138">
        <f>SUMIFS(tbl_task6[S117],tbl_task6[[SubPLOs]:[SubPLOs]],"&gt;=3",tbl_task6[[SubPLOs]:[SubPLOs]],"&lt;4")</f>
        <v>0</v>
      </c>
      <c r="DS36" s="138">
        <f>SUMIFS(tbl_task6[S118],tbl_task6[[SubPLOs]:[SubPLOs]],"&gt;=3",tbl_task6[[SubPLOs]:[SubPLOs]],"&lt;4")</f>
        <v>0</v>
      </c>
      <c r="DT36" s="138">
        <f>SUMIFS(tbl_task6[S119],tbl_task6[[SubPLOs]:[SubPLOs]],"&gt;=3",tbl_task6[[SubPLOs]:[SubPLOs]],"&lt;4")</f>
        <v>0</v>
      </c>
      <c r="DU36" s="138">
        <f>SUMIFS(tbl_task6[S120],tbl_task6[[SubPLOs]:[SubPLOs]],"&gt;=3",tbl_task6[[SubPLOs]:[SubPLOs]],"&lt;4")</f>
        <v>0</v>
      </c>
      <c r="DV36" s="138">
        <f>SUMIFS(tbl_task6[S121],tbl_task6[[SubPLOs]:[SubPLOs]],"&gt;=3",tbl_task6[[SubPLOs]:[SubPLOs]],"&lt;4")</f>
        <v>0</v>
      </c>
      <c r="DW36" s="138">
        <f>SUMIFS(tbl_task6[S122],tbl_task6[[SubPLOs]:[SubPLOs]],"&gt;=3",tbl_task6[[SubPLOs]:[SubPLOs]],"&lt;4")</f>
        <v>0</v>
      </c>
      <c r="DX36" s="138">
        <f>SUMIFS(tbl_task6[S123],tbl_task6[[SubPLOs]:[SubPLOs]],"&gt;=3",tbl_task6[[SubPLOs]:[SubPLOs]],"&lt;4")</f>
        <v>0</v>
      </c>
      <c r="DY36" s="138">
        <f>SUMIFS(tbl_task6[S124],tbl_task6[[SubPLOs]:[SubPLOs]],"&gt;=3",tbl_task6[[SubPLOs]:[SubPLOs]],"&lt;4")</f>
        <v>0</v>
      </c>
      <c r="DZ36" s="138">
        <f>SUMIFS(tbl_task6[S125],tbl_task6[[SubPLOs]:[SubPLOs]],"&gt;=3",tbl_task6[[SubPLOs]:[SubPLOs]],"&lt;4")</f>
        <v>0</v>
      </c>
      <c r="EA36" s="138">
        <f>SUMIFS(tbl_task6[S126],tbl_task6[[SubPLOs]:[SubPLOs]],"&gt;=3",tbl_task6[[SubPLOs]:[SubPLOs]],"&lt;4")</f>
        <v>0</v>
      </c>
      <c r="EB36" s="138">
        <f>SUMIFS(tbl_task6[S127],tbl_task6[[SubPLOs]:[SubPLOs]],"&gt;=3",tbl_task6[[SubPLOs]:[SubPLOs]],"&lt;4")</f>
        <v>0</v>
      </c>
      <c r="EC36" s="138">
        <f>SUMIFS(tbl_task6[S128],tbl_task6[[SubPLOs]:[SubPLOs]],"&gt;=3",tbl_task6[[SubPLOs]:[SubPLOs]],"&lt;4")</f>
        <v>0</v>
      </c>
      <c r="ED36" s="138">
        <f>SUMIFS(tbl_task6[S129],tbl_task6[[SubPLOs]:[SubPLOs]],"&gt;=3",tbl_task6[[SubPLOs]:[SubPLOs]],"&lt;4")</f>
        <v>0</v>
      </c>
      <c r="EE36" s="138">
        <f>SUMIFS(tbl_task6[S130],tbl_task6[[SubPLOs]:[SubPLOs]],"&gt;=3",tbl_task6[[SubPLOs]:[SubPLOs]],"&lt;4")</f>
        <v>0</v>
      </c>
      <c r="EF36" s="138">
        <f>SUMIFS(tbl_task6[S131],tbl_task6[[SubPLOs]:[SubPLOs]],"&gt;=3",tbl_task6[[SubPLOs]:[SubPLOs]],"&lt;4")</f>
        <v>0</v>
      </c>
      <c r="EG36" s="138">
        <f>SUMIFS(tbl_task6[S132],tbl_task6[[SubPLOs]:[SubPLOs]],"&gt;=3",tbl_task6[[SubPLOs]:[SubPLOs]],"&lt;4")</f>
        <v>0</v>
      </c>
      <c r="EH36" s="138">
        <f>SUMIFS(tbl_task6[S133],tbl_task6[[SubPLOs]:[SubPLOs]],"&gt;=3",tbl_task6[[SubPLOs]:[SubPLOs]],"&lt;4")</f>
        <v>0</v>
      </c>
      <c r="EI36" s="138">
        <f>SUMIFS(tbl_task6[S134],tbl_task6[[SubPLOs]:[SubPLOs]],"&gt;=3",tbl_task6[[SubPLOs]:[SubPLOs]],"&lt;4")</f>
        <v>0</v>
      </c>
      <c r="EJ36" s="138">
        <f>SUMIFS(tbl_task6[S135],tbl_task6[[SubPLOs]:[SubPLOs]],"&gt;=3",tbl_task6[[SubPLOs]:[SubPLOs]],"&lt;4")</f>
        <v>0</v>
      </c>
      <c r="EK36" s="138">
        <f>SUMIFS(tbl_task6[S136],tbl_task6[[SubPLOs]:[SubPLOs]],"&gt;=3",tbl_task6[[SubPLOs]:[SubPLOs]],"&lt;4")</f>
        <v>0</v>
      </c>
      <c r="EL36" s="138">
        <f>SUMIFS(tbl_task6[S137],tbl_task6[[SubPLOs]:[SubPLOs]],"&gt;=3",tbl_task6[[SubPLOs]:[SubPLOs]],"&lt;4")</f>
        <v>0</v>
      </c>
      <c r="EM36" s="138">
        <f>SUMIFS(tbl_task6[S138],tbl_task6[[SubPLOs]:[SubPLOs]],"&gt;=3",tbl_task6[[SubPLOs]:[SubPLOs]],"&lt;4")</f>
        <v>0</v>
      </c>
      <c r="EN36" s="138">
        <f>SUMIFS(tbl_task6[S139],tbl_task6[[SubPLOs]:[SubPLOs]],"&gt;=3",tbl_task6[[SubPLOs]:[SubPLOs]],"&lt;4")</f>
        <v>0</v>
      </c>
      <c r="EO36" s="138">
        <f>SUMIFS(tbl_task6[S140],tbl_task6[[SubPLOs]:[SubPLOs]],"&gt;=3",tbl_task6[[SubPLOs]:[SubPLOs]],"&lt;4")</f>
        <v>0</v>
      </c>
      <c r="EP36" s="138">
        <f>SUMIFS(tbl_task6[S141],tbl_task6[[SubPLOs]:[SubPLOs]],"&gt;=3",tbl_task6[[SubPLOs]:[SubPLOs]],"&lt;4")</f>
        <v>0</v>
      </c>
      <c r="EQ36" s="138">
        <f>SUMIFS(tbl_task6[S142],tbl_task6[[SubPLOs]:[SubPLOs]],"&gt;=3",tbl_task6[[SubPLOs]:[SubPLOs]],"&lt;4")</f>
        <v>0</v>
      </c>
      <c r="ER36" s="138">
        <f>SUMIFS(tbl_task6[S143],tbl_task6[[SubPLOs]:[SubPLOs]],"&gt;=3",tbl_task6[[SubPLOs]:[SubPLOs]],"&lt;4")</f>
        <v>0</v>
      </c>
      <c r="ES36" s="138">
        <f>SUMIFS(tbl_task6[S144],tbl_task6[[SubPLOs]:[SubPLOs]],"&gt;=3",tbl_task6[[SubPLOs]:[SubPLOs]],"&lt;4")</f>
        <v>0</v>
      </c>
      <c r="ET36" s="138">
        <f>SUMIFS(tbl_task6[S145],tbl_task6[[SubPLOs]:[SubPLOs]],"&gt;=3",tbl_task6[[SubPLOs]:[SubPLOs]],"&lt;4")</f>
        <v>0</v>
      </c>
      <c r="EU36" s="138">
        <f>SUMIFS(tbl_task6[S146],tbl_task6[[SubPLOs]:[SubPLOs]],"&gt;=3",tbl_task6[[SubPLOs]:[SubPLOs]],"&lt;4")</f>
        <v>0</v>
      </c>
      <c r="EV36" s="138">
        <f>SUMIFS(tbl_task6[S147],tbl_task6[[SubPLOs]:[SubPLOs]],"&gt;=3",tbl_task6[[SubPLOs]:[SubPLOs]],"&lt;4")</f>
        <v>0</v>
      </c>
      <c r="EW36" s="138">
        <f>SUMIFS(tbl_task6[S148],tbl_task6[[SubPLOs]:[SubPLOs]],"&gt;=3",tbl_task6[[SubPLOs]:[SubPLOs]],"&lt;4")</f>
        <v>0</v>
      </c>
      <c r="EX36" s="138">
        <f>SUMIFS(tbl_task6[S149],tbl_task6[[SubPLOs]:[SubPLOs]],"&gt;=3",tbl_task6[[SubPLOs]:[SubPLOs]],"&lt;4")</f>
        <v>0</v>
      </c>
      <c r="EY36" s="138">
        <f>SUMIFS(tbl_task6[S150],tbl_task6[[SubPLOs]:[SubPLOs]],"&gt;=3",tbl_task6[[SubPLOs]:[SubPLOs]],"&lt;4")</f>
        <v>0</v>
      </c>
      <c r="EZ36" s="138">
        <f>SUMIFS(tbl_task6[S151],tbl_task6[[SubPLOs]:[SubPLOs]],"&gt;=3",tbl_task6[[SubPLOs]:[SubPLOs]],"&lt;4")</f>
        <v>0</v>
      </c>
      <c r="FA36" s="138">
        <f>SUMIFS(tbl_task6[S152],tbl_task6[[SubPLOs]:[SubPLOs]],"&gt;=3",tbl_task6[[SubPLOs]:[SubPLOs]],"&lt;4")</f>
        <v>0</v>
      </c>
      <c r="FB36" s="138">
        <f>SUMIFS(tbl_task6[S153],tbl_task6[[SubPLOs]:[SubPLOs]],"&gt;=3",tbl_task6[[SubPLOs]:[SubPLOs]],"&lt;4")</f>
        <v>0</v>
      </c>
      <c r="FC36" s="138">
        <f>SUMIFS(tbl_task6[S154],tbl_task6[[SubPLOs]:[SubPLOs]],"&gt;=3",tbl_task6[[SubPLOs]:[SubPLOs]],"&lt;4")</f>
        <v>0</v>
      </c>
      <c r="FD36" s="138">
        <f>SUMIFS(tbl_task6[S155],tbl_task6[[SubPLOs]:[SubPLOs]],"&gt;=3",tbl_task6[[SubPLOs]:[SubPLOs]],"&lt;4")</f>
        <v>0</v>
      </c>
      <c r="FE36" s="138">
        <f>SUMIFS(tbl_task6[S156],tbl_task6[[SubPLOs]:[SubPLOs]],"&gt;=3",tbl_task6[[SubPLOs]:[SubPLOs]],"&lt;4")</f>
        <v>0</v>
      </c>
      <c r="FF36" s="138">
        <f>SUMIFS(tbl_task6[S157],tbl_task6[[SubPLOs]:[SubPLOs]],"&gt;=3",tbl_task6[[SubPLOs]:[SubPLOs]],"&lt;4")</f>
        <v>0</v>
      </c>
      <c r="FG36" s="138">
        <f>SUMIFS(tbl_task6[S158],tbl_task6[[SubPLOs]:[SubPLOs]],"&gt;=3",tbl_task6[[SubPLOs]:[SubPLOs]],"&lt;4")</f>
        <v>0</v>
      </c>
      <c r="FH36" s="138">
        <f>SUMIFS(tbl_task6[S159],tbl_task6[[SubPLOs]:[SubPLOs]],"&gt;=3",tbl_task6[[SubPLOs]:[SubPLOs]],"&lt;4")</f>
        <v>0</v>
      </c>
      <c r="FI36" s="138">
        <f>SUMIFS(tbl_task6[S160],tbl_task6[[SubPLOs]:[SubPLOs]],"&gt;=3",tbl_task6[[SubPLOs]:[SubPLOs]],"&lt;4")</f>
        <v>0</v>
      </c>
      <c r="FJ36" s="138">
        <f>SUMIFS(tbl_task6[S161],tbl_task6[[SubPLOs]:[SubPLOs]],"&gt;=3",tbl_task6[[SubPLOs]:[SubPLOs]],"&lt;4")</f>
        <v>0</v>
      </c>
      <c r="FK36" s="138">
        <f>SUMIFS(tbl_task6[S162],tbl_task6[[SubPLOs]:[SubPLOs]],"&gt;=3",tbl_task6[[SubPLOs]:[SubPLOs]],"&lt;4")</f>
        <v>0</v>
      </c>
      <c r="FL36" s="138">
        <f>SUMIFS(tbl_task6[S163],tbl_task6[[SubPLOs]:[SubPLOs]],"&gt;=3",tbl_task6[[SubPLOs]:[SubPLOs]],"&lt;4")</f>
        <v>0</v>
      </c>
      <c r="FM36" s="138">
        <f>SUMIFS(tbl_task6[S164],tbl_task6[[SubPLOs]:[SubPLOs]],"&gt;=3",tbl_task6[[SubPLOs]:[SubPLOs]],"&lt;4")</f>
        <v>0</v>
      </c>
      <c r="FN36" s="138">
        <f>SUMIFS(tbl_task6[S165],tbl_task6[[SubPLOs]:[SubPLOs]],"&gt;=3",tbl_task6[[SubPLOs]:[SubPLOs]],"&lt;4")</f>
        <v>0</v>
      </c>
    </row>
    <row r="37" spans="1:170" ht="63" x14ac:dyDescent="0.25">
      <c r="A37" s="135">
        <v>4</v>
      </c>
      <c r="B37" s="5" t="s">
        <v>437</v>
      </c>
      <c r="C37" s="136">
        <f>COUNTIFS(tbl_task6[SubPLOs],"&gt;=4",tbl_task6[SubPLOs],"&lt;5")</f>
        <v>0</v>
      </c>
      <c r="D37" s="136">
        <f>SUMIFS(tbl_task6[คะแนนเต็ม],tbl_task6[SubPLOs],"&gt;=4",tbl_task6[SubPLOs],"&lt;5")</f>
        <v>0</v>
      </c>
      <c r="E37" s="137">
        <f>SUMIFS(tbl_task6[%],tbl_task6[SubPLOs],"&gt;=4",tbl_task6[SubPLOs],"&lt;5")</f>
        <v>0</v>
      </c>
      <c r="F37" s="138">
        <f>SUMIFS(tbl_task6[S1],tbl_task6[[SubPLOs]:[SubPLOs]],"&gt;=4",tbl_task6[[SubPLOs]:[SubPLOs]],"&lt;5")</f>
        <v>0</v>
      </c>
      <c r="G37" s="138">
        <f>SUMIFS(tbl_task6[S2],tbl_task6[[SubPLOs]:[SubPLOs]],"&gt;=4",tbl_task6[[SubPLOs]:[SubPLOs]],"&lt;5")</f>
        <v>0</v>
      </c>
      <c r="H37" s="138">
        <f>SUMIFS(tbl_task6[S3],tbl_task6[[SubPLOs]:[SubPLOs]],"&gt;=4",tbl_task6[[SubPLOs]:[SubPLOs]],"&lt;5")</f>
        <v>0</v>
      </c>
      <c r="I37" s="138">
        <f>SUMIFS(tbl_task6[S4],tbl_task6[[SubPLOs]:[SubPLOs]],"&gt;=4",tbl_task6[[SubPLOs]:[SubPLOs]],"&lt;5")</f>
        <v>0</v>
      </c>
      <c r="J37" s="138">
        <f>SUMIFS(tbl_task6[S5],tbl_task6[[SubPLOs]:[SubPLOs]],"&gt;=4",tbl_task6[[SubPLOs]:[SubPLOs]],"&lt;5")</f>
        <v>0</v>
      </c>
      <c r="K37" s="138">
        <f>SUMIFS(tbl_task6[S6],tbl_task6[[SubPLOs]:[SubPLOs]],"&gt;=4",tbl_task6[[SubPLOs]:[SubPLOs]],"&lt;5")</f>
        <v>0</v>
      </c>
      <c r="L37" s="138">
        <f>SUMIFS(tbl_task6[S7],tbl_task6[[SubPLOs]:[SubPLOs]],"&gt;=4",tbl_task6[[SubPLOs]:[SubPLOs]],"&lt;5")</f>
        <v>0</v>
      </c>
      <c r="M37" s="138">
        <f>SUMIFS(tbl_task6[S8],tbl_task6[[SubPLOs]:[SubPLOs]],"&gt;=4",tbl_task6[[SubPLOs]:[SubPLOs]],"&lt;5")</f>
        <v>0</v>
      </c>
      <c r="N37" s="138">
        <f>SUMIFS(tbl_task6[S9],tbl_task6[[SubPLOs]:[SubPLOs]],"&gt;=4",tbl_task6[[SubPLOs]:[SubPLOs]],"&lt;5")</f>
        <v>0</v>
      </c>
      <c r="O37" s="138">
        <f>SUMIFS(tbl_task6[S10],tbl_task6[[SubPLOs]:[SubPLOs]],"&gt;=4",tbl_task6[[SubPLOs]:[SubPLOs]],"&lt;5")</f>
        <v>0</v>
      </c>
      <c r="P37" s="138">
        <f>SUMIFS(tbl_task6[S11],tbl_task6[[SubPLOs]:[SubPLOs]],"&gt;=4",tbl_task6[[SubPLOs]:[SubPLOs]],"&lt;5")</f>
        <v>0</v>
      </c>
      <c r="Q37" s="138">
        <f>SUMIFS(tbl_task6[S12],tbl_task6[[SubPLOs]:[SubPLOs]],"&gt;=4",tbl_task6[[SubPLOs]:[SubPLOs]],"&lt;5")</f>
        <v>0</v>
      </c>
      <c r="R37" s="138">
        <f>SUMIFS(tbl_task6[S13],tbl_task6[[SubPLOs]:[SubPLOs]],"&gt;=4",tbl_task6[[SubPLOs]:[SubPLOs]],"&lt;5")</f>
        <v>0</v>
      </c>
      <c r="S37" s="138">
        <f>SUMIFS(tbl_task6[S14],tbl_task6[[SubPLOs]:[SubPLOs]],"&gt;=4",tbl_task6[[SubPLOs]:[SubPLOs]],"&lt;5")</f>
        <v>0</v>
      </c>
      <c r="T37" s="138">
        <f>SUMIFS(tbl_task6[S15],tbl_task6[[SubPLOs]:[SubPLOs]],"&gt;=4",tbl_task6[[SubPLOs]:[SubPLOs]],"&lt;5")</f>
        <v>0</v>
      </c>
      <c r="U37" s="138">
        <f>SUMIFS(tbl_task6[S16],tbl_task6[[SubPLOs]:[SubPLOs]],"&gt;=4",tbl_task6[[SubPLOs]:[SubPLOs]],"&lt;5")</f>
        <v>0</v>
      </c>
      <c r="V37" s="138">
        <f>SUMIFS(tbl_task6[S17],tbl_task6[[SubPLOs]:[SubPLOs]],"&gt;=4",tbl_task6[[SubPLOs]:[SubPLOs]],"&lt;5")</f>
        <v>0</v>
      </c>
      <c r="W37" s="138">
        <f>SUMIFS(tbl_task6[S18],tbl_task6[[SubPLOs]:[SubPLOs]],"&gt;=4",tbl_task6[[SubPLOs]:[SubPLOs]],"&lt;5")</f>
        <v>0</v>
      </c>
      <c r="X37" s="138">
        <f>SUMIFS(tbl_task6[S19],tbl_task6[[SubPLOs]:[SubPLOs]],"&gt;=4",tbl_task6[[SubPLOs]:[SubPLOs]],"&lt;5")</f>
        <v>0</v>
      </c>
      <c r="Y37" s="138">
        <f>SUMIFS(tbl_task6[S20],tbl_task6[[SubPLOs]:[SubPLOs]],"&gt;=4",tbl_task6[[SubPLOs]:[SubPLOs]],"&lt;5")</f>
        <v>0</v>
      </c>
      <c r="Z37" s="138">
        <f>SUMIFS(tbl_task6[S21],tbl_task6[[SubPLOs]:[SubPLOs]],"&gt;=4",tbl_task6[[SubPLOs]:[SubPLOs]],"&lt;5")</f>
        <v>0</v>
      </c>
      <c r="AA37" s="138">
        <f>SUMIFS(tbl_task6[S22],tbl_task6[[SubPLOs]:[SubPLOs]],"&gt;=4",tbl_task6[[SubPLOs]:[SubPLOs]],"&lt;5")</f>
        <v>0</v>
      </c>
      <c r="AB37" s="138">
        <f>SUMIFS(tbl_task6[S23],tbl_task6[[SubPLOs]:[SubPLOs]],"&gt;=4",tbl_task6[[SubPLOs]:[SubPLOs]],"&lt;5")</f>
        <v>0</v>
      </c>
      <c r="AC37" s="138">
        <f>SUMIFS(tbl_task6[S24],tbl_task6[[SubPLOs]:[SubPLOs]],"&gt;=4",tbl_task6[[SubPLOs]:[SubPLOs]],"&lt;5")</f>
        <v>0</v>
      </c>
      <c r="AD37" s="138">
        <f>SUMIFS(tbl_task6[S25],tbl_task6[[SubPLOs]:[SubPLOs]],"&gt;=4",tbl_task6[[SubPLOs]:[SubPLOs]],"&lt;5")</f>
        <v>0</v>
      </c>
      <c r="AE37" s="138">
        <f>SUMIFS(tbl_task6[S26],tbl_task6[[SubPLOs]:[SubPLOs]],"&gt;=4",tbl_task6[[SubPLOs]:[SubPLOs]],"&lt;5")</f>
        <v>0</v>
      </c>
      <c r="AF37" s="138">
        <f>SUMIFS(tbl_task6[S27],tbl_task6[[SubPLOs]:[SubPLOs]],"&gt;=4",tbl_task6[[SubPLOs]:[SubPLOs]],"&lt;5")</f>
        <v>0</v>
      </c>
      <c r="AG37" s="138">
        <f>SUMIFS(tbl_task6[S28],tbl_task6[[SubPLOs]:[SubPLOs]],"&gt;=4",tbl_task6[[SubPLOs]:[SubPLOs]],"&lt;5")</f>
        <v>0</v>
      </c>
      <c r="AH37" s="138">
        <f>SUMIFS(tbl_task6[S29],tbl_task6[[SubPLOs]:[SubPLOs]],"&gt;=4",tbl_task6[[SubPLOs]:[SubPLOs]],"&lt;5")</f>
        <v>0</v>
      </c>
      <c r="AI37" s="138">
        <f>SUMIFS(tbl_task6[S30],tbl_task6[[SubPLOs]:[SubPLOs]],"&gt;=4",tbl_task6[[SubPLOs]:[SubPLOs]],"&lt;5")</f>
        <v>0</v>
      </c>
      <c r="AJ37" s="138">
        <f>SUMIFS(tbl_task6[S31],tbl_task6[[SubPLOs]:[SubPLOs]],"&gt;=4",tbl_task6[[SubPLOs]:[SubPLOs]],"&lt;5")</f>
        <v>0</v>
      </c>
      <c r="AK37" s="138">
        <f>SUMIFS(tbl_task6[S32],tbl_task6[[SubPLOs]:[SubPLOs]],"&gt;=4",tbl_task6[[SubPLOs]:[SubPLOs]],"&lt;5")</f>
        <v>0</v>
      </c>
      <c r="AL37" s="138">
        <f>SUMIFS(tbl_task6[S33],tbl_task6[[SubPLOs]:[SubPLOs]],"&gt;=4",tbl_task6[[SubPLOs]:[SubPLOs]],"&lt;5")</f>
        <v>0</v>
      </c>
      <c r="AM37" s="138">
        <f>SUMIFS(tbl_task6[S34],tbl_task6[[SubPLOs]:[SubPLOs]],"&gt;=4",tbl_task6[[SubPLOs]:[SubPLOs]],"&lt;5")</f>
        <v>0</v>
      </c>
      <c r="AN37" s="138">
        <f>SUMIFS(tbl_task6[S35],tbl_task6[[SubPLOs]:[SubPLOs]],"&gt;=4",tbl_task6[[SubPLOs]:[SubPLOs]],"&lt;5")</f>
        <v>0</v>
      </c>
      <c r="AO37" s="138">
        <f>SUMIFS(tbl_task6[S36],tbl_task6[[SubPLOs]:[SubPLOs]],"&gt;=4",tbl_task6[[SubPLOs]:[SubPLOs]],"&lt;5")</f>
        <v>0</v>
      </c>
      <c r="AP37" s="138">
        <f>SUMIFS(tbl_task6[S37],tbl_task6[[SubPLOs]:[SubPLOs]],"&gt;=4",tbl_task6[[SubPLOs]:[SubPLOs]],"&lt;5")</f>
        <v>0</v>
      </c>
      <c r="AQ37" s="138">
        <f>SUMIFS(tbl_task6[S38],tbl_task6[[SubPLOs]:[SubPLOs]],"&gt;=4",tbl_task6[[SubPLOs]:[SubPLOs]],"&lt;5")</f>
        <v>0</v>
      </c>
      <c r="AR37" s="138">
        <f>SUMIFS(tbl_task6[S39],tbl_task6[[SubPLOs]:[SubPLOs]],"&gt;=4",tbl_task6[[SubPLOs]:[SubPLOs]],"&lt;5")</f>
        <v>0</v>
      </c>
      <c r="AS37" s="138">
        <f>SUMIFS(tbl_task6[S40],tbl_task6[[SubPLOs]:[SubPLOs]],"&gt;=4",tbl_task6[[SubPLOs]:[SubPLOs]],"&lt;5")</f>
        <v>0</v>
      </c>
      <c r="AT37" s="138">
        <f>SUMIFS(tbl_task6[S41],tbl_task6[[SubPLOs]:[SubPLOs]],"&gt;=4",tbl_task6[[SubPLOs]:[SubPLOs]],"&lt;5")</f>
        <v>0</v>
      </c>
      <c r="AU37" s="138">
        <f>SUMIFS(tbl_task6[S42],tbl_task6[[SubPLOs]:[SubPLOs]],"&gt;=4",tbl_task6[[SubPLOs]:[SubPLOs]],"&lt;5")</f>
        <v>0</v>
      </c>
      <c r="AV37" s="138">
        <f>SUMIFS(tbl_task6[S43],tbl_task6[[SubPLOs]:[SubPLOs]],"&gt;=4",tbl_task6[[SubPLOs]:[SubPLOs]],"&lt;5")</f>
        <v>0</v>
      </c>
      <c r="AW37" s="138">
        <f>SUMIFS(tbl_task6[S44],tbl_task6[[SubPLOs]:[SubPLOs]],"&gt;=4",tbl_task6[[SubPLOs]:[SubPLOs]],"&lt;5")</f>
        <v>0</v>
      </c>
      <c r="AX37" s="138">
        <f>SUMIFS(tbl_task6[S45],tbl_task6[[SubPLOs]:[SubPLOs]],"&gt;=4",tbl_task6[[SubPLOs]:[SubPLOs]],"&lt;5")</f>
        <v>0</v>
      </c>
      <c r="AY37" s="138">
        <f>SUMIFS(tbl_task6[S46],tbl_task6[[SubPLOs]:[SubPLOs]],"&gt;=4",tbl_task6[[SubPLOs]:[SubPLOs]],"&lt;5")</f>
        <v>0</v>
      </c>
      <c r="AZ37" s="138">
        <f>SUMIFS(tbl_task6[S47],tbl_task6[[SubPLOs]:[SubPLOs]],"&gt;=4",tbl_task6[[SubPLOs]:[SubPLOs]],"&lt;5")</f>
        <v>0</v>
      </c>
      <c r="BA37" s="138">
        <f>SUMIFS(tbl_task6[S48],tbl_task6[[SubPLOs]:[SubPLOs]],"&gt;=4",tbl_task6[[SubPLOs]:[SubPLOs]],"&lt;5")</f>
        <v>0</v>
      </c>
      <c r="BB37" s="138">
        <f>SUMIFS(tbl_task6[S49],tbl_task6[[SubPLOs]:[SubPLOs]],"&gt;=4",tbl_task6[[SubPLOs]:[SubPLOs]],"&lt;5")</f>
        <v>0</v>
      </c>
      <c r="BC37" s="138">
        <f>SUMIFS(tbl_task6[S50],tbl_task6[[SubPLOs]:[SubPLOs]],"&gt;=4",tbl_task6[[SubPLOs]:[SubPLOs]],"&lt;5")</f>
        <v>0</v>
      </c>
      <c r="BD37" s="138">
        <f>SUMIFS(tbl_task6[S51],tbl_task6[[SubPLOs]:[SubPLOs]],"&gt;=4",tbl_task6[[SubPLOs]:[SubPLOs]],"&lt;5")</f>
        <v>0</v>
      </c>
      <c r="BE37" s="138">
        <f>SUMIFS(tbl_task6[S52],tbl_task6[[SubPLOs]:[SubPLOs]],"&gt;=4",tbl_task6[[SubPLOs]:[SubPLOs]],"&lt;5")</f>
        <v>0</v>
      </c>
      <c r="BF37" s="138">
        <f>SUMIFS(tbl_task6[S53],tbl_task6[[SubPLOs]:[SubPLOs]],"&gt;=4",tbl_task6[[SubPLOs]:[SubPLOs]],"&lt;5")</f>
        <v>0</v>
      </c>
      <c r="BG37" s="138">
        <f>SUMIFS(tbl_task6[S54],tbl_task6[[SubPLOs]:[SubPLOs]],"&gt;=4",tbl_task6[[SubPLOs]:[SubPLOs]],"&lt;5")</f>
        <v>0</v>
      </c>
      <c r="BH37" s="138">
        <f>SUMIFS(tbl_task6[S55],tbl_task6[[SubPLOs]:[SubPLOs]],"&gt;=4",tbl_task6[[SubPLOs]:[SubPLOs]],"&lt;5")</f>
        <v>0</v>
      </c>
      <c r="BI37" s="138">
        <f>SUMIFS(tbl_task6[S56],tbl_task6[[SubPLOs]:[SubPLOs]],"&gt;=4",tbl_task6[[SubPLOs]:[SubPLOs]],"&lt;5")</f>
        <v>0</v>
      </c>
      <c r="BJ37" s="138">
        <f>SUMIFS(tbl_task6[S57],tbl_task6[[SubPLOs]:[SubPLOs]],"&gt;=4",tbl_task6[[SubPLOs]:[SubPLOs]],"&lt;5")</f>
        <v>0</v>
      </c>
      <c r="BK37" s="138">
        <f>SUMIFS(tbl_task6[S58],tbl_task6[[SubPLOs]:[SubPLOs]],"&gt;=4",tbl_task6[[SubPLOs]:[SubPLOs]],"&lt;5")</f>
        <v>0</v>
      </c>
      <c r="BL37" s="138">
        <f>SUMIFS(tbl_task6[S59],tbl_task6[[SubPLOs]:[SubPLOs]],"&gt;=4",tbl_task6[[SubPLOs]:[SubPLOs]],"&lt;5")</f>
        <v>0</v>
      </c>
      <c r="BM37" s="138">
        <f>SUMIFS(tbl_task6[S60],tbl_task6[[SubPLOs]:[SubPLOs]],"&gt;=4",tbl_task6[[SubPLOs]:[SubPLOs]],"&lt;5")</f>
        <v>0</v>
      </c>
      <c r="BN37" s="138">
        <f>SUMIFS(tbl_task6[S61],tbl_task6[[SubPLOs]:[SubPLOs]],"&gt;=4",tbl_task6[[SubPLOs]:[SubPLOs]],"&lt;5")</f>
        <v>0</v>
      </c>
      <c r="BO37" s="138">
        <f>SUMIFS(tbl_task6[S62],tbl_task6[[SubPLOs]:[SubPLOs]],"&gt;=4",tbl_task6[[SubPLOs]:[SubPLOs]],"&lt;5")</f>
        <v>0</v>
      </c>
      <c r="BP37" s="138">
        <f>SUMIFS(tbl_task6[S63],tbl_task6[[SubPLOs]:[SubPLOs]],"&gt;=4",tbl_task6[[SubPLOs]:[SubPLOs]],"&lt;5")</f>
        <v>0</v>
      </c>
      <c r="BQ37" s="138">
        <f>SUMIFS(tbl_task6[S64],tbl_task6[[SubPLOs]:[SubPLOs]],"&gt;=4",tbl_task6[[SubPLOs]:[SubPLOs]],"&lt;5")</f>
        <v>0</v>
      </c>
      <c r="BR37" s="138">
        <f>SUMIFS(tbl_task6[S65],tbl_task6[[SubPLOs]:[SubPLOs]],"&gt;=4",tbl_task6[[SubPLOs]:[SubPLOs]],"&lt;5")</f>
        <v>0</v>
      </c>
      <c r="BS37" s="138">
        <f>SUMIFS(tbl_task6[S66],tbl_task6[[SubPLOs]:[SubPLOs]],"&gt;=4",tbl_task6[[SubPLOs]:[SubPLOs]],"&lt;5")</f>
        <v>0</v>
      </c>
      <c r="BT37" s="138">
        <f>SUMIFS(tbl_task6[S67],tbl_task6[[SubPLOs]:[SubPLOs]],"&gt;=4",tbl_task6[[SubPLOs]:[SubPLOs]],"&lt;5")</f>
        <v>0</v>
      </c>
      <c r="BU37" s="138">
        <f>SUMIFS(tbl_task6[S68],tbl_task6[[SubPLOs]:[SubPLOs]],"&gt;=4",tbl_task6[[SubPLOs]:[SubPLOs]],"&lt;5")</f>
        <v>0</v>
      </c>
      <c r="BV37" s="138">
        <f>SUMIFS(tbl_task6[S69],tbl_task6[[SubPLOs]:[SubPLOs]],"&gt;=4",tbl_task6[[SubPLOs]:[SubPLOs]],"&lt;5")</f>
        <v>0</v>
      </c>
      <c r="BW37" s="138">
        <f>SUMIFS(tbl_task6[S70],tbl_task6[[SubPLOs]:[SubPLOs]],"&gt;=4",tbl_task6[[SubPLOs]:[SubPLOs]],"&lt;5")</f>
        <v>0</v>
      </c>
      <c r="BX37" s="138">
        <f>SUMIFS(tbl_task6[S71],tbl_task6[[SubPLOs]:[SubPLOs]],"&gt;=4",tbl_task6[[SubPLOs]:[SubPLOs]],"&lt;5")</f>
        <v>0</v>
      </c>
      <c r="BY37" s="138">
        <f>SUMIFS(tbl_task6[S72],tbl_task6[[SubPLOs]:[SubPLOs]],"&gt;=4",tbl_task6[[SubPLOs]:[SubPLOs]],"&lt;5")</f>
        <v>0</v>
      </c>
      <c r="BZ37" s="138">
        <f>SUMIFS(tbl_task6[S73],tbl_task6[[SubPLOs]:[SubPLOs]],"&gt;=4",tbl_task6[[SubPLOs]:[SubPLOs]],"&lt;5")</f>
        <v>0</v>
      </c>
      <c r="CA37" s="138">
        <f>SUMIFS(tbl_task6[S74],tbl_task6[[SubPLOs]:[SubPLOs]],"&gt;=4",tbl_task6[[SubPLOs]:[SubPLOs]],"&lt;5")</f>
        <v>0</v>
      </c>
      <c r="CB37" s="138">
        <f>SUMIFS(tbl_task6[S75],tbl_task6[[SubPLOs]:[SubPLOs]],"&gt;=4",tbl_task6[[SubPLOs]:[SubPLOs]],"&lt;5")</f>
        <v>0</v>
      </c>
      <c r="CC37" s="138">
        <f>SUMIFS(tbl_task6[S76],tbl_task6[[SubPLOs]:[SubPLOs]],"&gt;=4",tbl_task6[[SubPLOs]:[SubPLOs]],"&lt;5")</f>
        <v>0</v>
      </c>
      <c r="CD37" s="138">
        <f>SUMIFS(tbl_task6[S77],tbl_task6[[SubPLOs]:[SubPLOs]],"&gt;=4",tbl_task6[[SubPLOs]:[SubPLOs]],"&lt;5")</f>
        <v>0</v>
      </c>
      <c r="CE37" s="138">
        <f>SUMIFS(tbl_task6[S78],tbl_task6[[SubPLOs]:[SubPLOs]],"&gt;=4",tbl_task6[[SubPLOs]:[SubPLOs]],"&lt;5")</f>
        <v>0</v>
      </c>
      <c r="CF37" s="138">
        <f>SUMIFS(tbl_task6[S79],tbl_task6[[SubPLOs]:[SubPLOs]],"&gt;=4",tbl_task6[[SubPLOs]:[SubPLOs]],"&lt;5")</f>
        <v>0</v>
      </c>
      <c r="CG37" s="138">
        <f>SUMIFS(tbl_task6[S80],tbl_task6[[SubPLOs]:[SubPLOs]],"&gt;=4",tbl_task6[[SubPLOs]:[SubPLOs]],"&lt;5")</f>
        <v>0</v>
      </c>
      <c r="CH37" s="138">
        <f>SUMIFS(tbl_task6[S81],tbl_task6[[SubPLOs]:[SubPLOs]],"&gt;=4",tbl_task6[[SubPLOs]:[SubPLOs]],"&lt;5")</f>
        <v>0</v>
      </c>
      <c r="CI37" s="138">
        <f>SUMIFS(tbl_task6[S82],tbl_task6[[SubPLOs]:[SubPLOs]],"&gt;=4",tbl_task6[[SubPLOs]:[SubPLOs]],"&lt;5")</f>
        <v>0</v>
      </c>
      <c r="CJ37" s="138">
        <f>SUMIFS(tbl_task6[S83],tbl_task6[[SubPLOs]:[SubPLOs]],"&gt;=4",tbl_task6[[SubPLOs]:[SubPLOs]],"&lt;5")</f>
        <v>0</v>
      </c>
      <c r="CK37" s="138">
        <f>SUMIFS(tbl_task6[S84],tbl_task6[[SubPLOs]:[SubPLOs]],"&gt;=4",tbl_task6[[SubPLOs]:[SubPLOs]],"&lt;5")</f>
        <v>0</v>
      </c>
      <c r="CL37" s="138">
        <f>SUMIFS(tbl_task6[S85],tbl_task6[[SubPLOs]:[SubPLOs]],"&gt;=4",tbl_task6[[SubPLOs]:[SubPLOs]],"&lt;5")</f>
        <v>0</v>
      </c>
      <c r="CM37" s="138">
        <f>SUMIFS(tbl_task6[S86],tbl_task6[[SubPLOs]:[SubPLOs]],"&gt;=4",tbl_task6[[SubPLOs]:[SubPLOs]],"&lt;5")</f>
        <v>0</v>
      </c>
      <c r="CN37" s="138">
        <f>SUMIFS(tbl_task6[S87],tbl_task6[[SubPLOs]:[SubPLOs]],"&gt;=4",tbl_task6[[SubPLOs]:[SubPLOs]],"&lt;5")</f>
        <v>0</v>
      </c>
      <c r="CO37" s="138">
        <f>SUMIFS(tbl_task6[S88],tbl_task6[[SubPLOs]:[SubPLOs]],"&gt;=4",tbl_task6[[SubPLOs]:[SubPLOs]],"&lt;5")</f>
        <v>0</v>
      </c>
      <c r="CP37" s="138">
        <f>SUMIFS(tbl_task6[S89],tbl_task6[[SubPLOs]:[SubPLOs]],"&gt;=4",tbl_task6[[SubPLOs]:[SubPLOs]],"&lt;5")</f>
        <v>0</v>
      </c>
      <c r="CQ37" s="138">
        <f>SUMIFS(tbl_task6[S90],tbl_task6[[SubPLOs]:[SubPLOs]],"&gt;=4",tbl_task6[[SubPLOs]:[SubPLOs]],"&lt;5")</f>
        <v>0</v>
      </c>
      <c r="CR37" s="138">
        <f>SUMIFS(tbl_task6[S91],tbl_task6[[SubPLOs]:[SubPLOs]],"&gt;=4",tbl_task6[[SubPLOs]:[SubPLOs]],"&lt;5")</f>
        <v>0</v>
      </c>
      <c r="CS37" s="138">
        <f>SUMIFS(tbl_task6[S92],tbl_task6[[SubPLOs]:[SubPLOs]],"&gt;=4",tbl_task6[[SubPLOs]:[SubPLOs]],"&lt;5")</f>
        <v>0</v>
      </c>
      <c r="CT37" s="138">
        <f>SUMIFS(tbl_task6[S93],tbl_task6[[SubPLOs]:[SubPLOs]],"&gt;=4",tbl_task6[[SubPLOs]:[SubPLOs]],"&lt;5")</f>
        <v>0</v>
      </c>
      <c r="CU37" s="138">
        <f>SUMIFS(tbl_task6[S94],tbl_task6[[SubPLOs]:[SubPLOs]],"&gt;=4",tbl_task6[[SubPLOs]:[SubPLOs]],"&lt;5")</f>
        <v>0</v>
      </c>
      <c r="CV37" s="138">
        <f>SUMIFS(tbl_task6[S95],tbl_task6[[SubPLOs]:[SubPLOs]],"&gt;=4",tbl_task6[[SubPLOs]:[SubPLOs]],"&lt;5")</f>
        <v>0</v>
      </c>
      <c r="CW37" s="138">
        <f>SUMIFS(tbl_task6[S96],tbl_task6[[SubPLOs]:[SubPLOs]],"&gt;=4",tbl_task6[[SubPLOs]:[SubPLOs]],"&lt;5")</f>
        <v>0</v>
      </c>
      <c r="CX37" s="138">
        <f>SUMIFS(tbl_task6[S97],tbl_task6[[SubPLOs]:[SubPLOs]],"&gt;=4",tbl_task6[[SubPLOs]:[SubPLOs]],"&lt;5")</f>
        <v>0</v>
      </c>
      <c r="CY37" s="138">
        <f>SUMIFS(tbl_task6[S98],tbl_task6[[SubPLOs]:[SubPLOs]],"&gt;=4",tbl_task6[[SubPLOs]:[SubPLOs]],"&lt;5")</f>
        <v>0</v>
      </c>
      <c r="CZ37" s="138">
        <f>SUMIFS(tbl_task6[S99],tbl_task6[[SubPLOs]:[SubPLOs]],"&gt;=4",tbl_task6[[SubPLOs]:[SubPLOs]],"&lt;5")</f>
        <v>0</v>
      </c>
      <c r="DA37" s="138">
        <f>SUMIFS(tbl_task6[S100],tbl_task6[[SubPLOs]:[SubPLOs]],"&gt;=4",tbl_task6[[SubPLOs]:[SubPLOs]],"&lt;5")</f>
        <v>0</v>
      </c>
      <c r="DB37" s="138">
        <f>SUMIFS(tbl_task6[S101],tbl_task6[[SubPLOs]:[SubPLOs]],"&gt;=4",tbl_task6[[SubPLOs]:[SubPLOs]],"&lt;5")</f>
        <v>0</v>
      </c>
      <c r="DC37" s="138">
        <f>SUMIFS(tbl_task6[S102],tbl_task6[[SubPLOs]:[SubPLOs]],"&gt;=4",tbl_task6[[SubPLOs]:[SubPLOs]],"&lt;5")</f>
        <v>0</v>
      </c>
      <c r="DD37" s="138">
        <f>SUMIFS(tbl_task6[S103],tbl_task6[[SubPLOs]:[SubPLOs]],"&gt;=4",tbl_task6[[SubPLOs]:[SubPLOs]],"&lt;5")</f>
        <v>0</v>
      </c>
      <c r="DE37" s="138">
        <f>SUMIFS(tbl_task6[S104],tbl_task6[[SubPLOs]:[SubPLOs]],"&gt;=4",tbl_task6[[SubPLOs]:[SubPLOs]],"&lt;5")</f>
        <v>0</v>
      </c>
      <c r="DF37" s="138">
        <f>SUMIFS(tbl_task6[S105],tbl_task6[[SubPLOs]:[SubPLOs]],"&gt;=4",tbl_task6[[SubPLOs]:[SubPLOs]],"&lt;5")</f>
        <v>0</v>
      </c>
      <c r="DG37" s="138">
        <f>SUMIFS(tbl_task6[S106],tbl_task6[[SubPLOs]:[SubPLOs]],"&gt;=4",tbl_task6[[SubPLOs]:[SubPLOs]],"&lt;5")</f>
        <v>0</v>
      </c>
      <c r="DH37" s="138">
        <f>SUMIFS(tbl_task6[S106],tbl_task6[[SubPLOs]:[SubPLOs]],"&gt;=4",tbl_task6[[SubPLOs]:[SubPLOs]],"&lt;5")</f>
        <v>0</v>
      </c>
      <c r="DI37" s="138">
        <f>SUMIFS(tbl_task6[S108],tbl_task6[[SubPLOs]:[SubPLOs]],"&gt;=4",tbl_task6[[SubPLOs]:[SubPLOs]],"&lt;5")</f>
        <v>0</v>
      </c>
      <c r="DJ37" s="138">
        <f>SUMIFS(tbl_task6[S109],tbl_task6[[SubPLOs]:[SubPLOs]],"&gt;=4",tbl_task6[[SubPLOs]:[SubPLOs]],"&lt;5")</f>
        <v>0</v>
      </c>
      <c r="DK37" s="138">
        <f>SUMIFS(tbl_task6[S110],tbl_task6[[SubPLOs]:[SubPLOs]],"&gt;=4",tbl_task6[[SubPLOs]:[SubPLOs]],"&lt;5")</f>
        <v>0</v>
      </c>
      <c r="DL37" s="138">
        <f>SUMIFS(tbl_task6[S111],tbl_task6[[SubPLOs]:[SubPLOs]],"&gt;=4",tbl_task6[[SubPLOs]:[SubPLOs]],"&lt;5")</f>
        <v>0</v>
      </c>
      <c r="DM37" s="138">
        <f>SUMIFS(tbl_task6[S112],tbl_task6[[SubPLOs]:[SubPLOs]],"&gt;=4",tbl_task6[[SubPLOs]:[SubPLOs]],"&lt;5")</f>
        <v>0</v>
      </c>
      <c r="DN37" s="138">
        <f>SUMIFS(tbl_task6[S113],tbl_task6[[SubPLOs]:[SubPLOs]],"&gt;=4",tbl_task6[[SubPLOs]:[SubPLOs]],"&lt;5")</f>
        <v>0</v>
      </c>
      <c r="DO37" s="138">
        <f>SUMIFS(tbl_task6[S114],tbl_task6[[SubPLOs]:[SubPLOs]],"&gt;=4",tbl_task6[[SubPLOs]:[SubPLOs]],"&lt;5")</f>
        <v>0</v>
      </c>
      <c r="DP37" s="138">
        <f>SUMIFS(tbl_task6[S115],tbl_task6[[SubPLOs]:[SubPLOs]],"&gt;=4",tbl_task6[[SubPLOs]:[SubPLOs]],"&lt;5")</f>
        <v>0</v>
      </c>
      <c r="DQ37" s="138">
        <f>SUMIFS(tbl_task6[S116],tbl_task6[[SubPLOs]:[SubPLOs]],"&gt;=4",tbl_task6[[SubPLOs]:[SubPLOs]],"&lt;5")</f>
        <v>0</v>
      </c>
      <c r="DR37" s="138">
        <f>SUMIFS(tbl_task6[S117],tbl_task6[[SubPLOs]:[SubPLOs]],"&gt;=4",tbl_task6[[SubPLOs]:[SubPLOs]],"&lt;5")</f>
        <v>0</v>
      </c>
      <c r="DS37" s="138">
        <f>SUMIFS(tbl_task6[S118],tbl_task6[[SubPLOs]:[SubPLOs]],"&gt;=4",tbl_task6[[SubPLOs]:[SubPLOs]],"&lt;5")</f>
        <v>0</v>
      </c>
      <c r="DT37" s="138">
        <f>SUMIFS(tbl_task6[S119],tbl_task6[[SubPLOs]:[SubPLOs]],"&gt;=4",tbl_task6[[SubPLOs]:[SubPLOs]],"&lt;5")</f>
        <v>0</v>
      </c>
      <c r="DU37" s="138">
        <f>SUMIFS(tbl_task6[S120],tbl_task6[[SubPLOs]:[SubPLOs]],"&gt;=4",tbl_task6[[SubPLOs]:[SubPLOs]],"&lt;5")</f>
        <v>0</v>
      </c>
      <c r="DV37" s="138">
        <f>SUMIFS(tbl_task6[S121],tbl_task6[[SubPLOs]:[SubPLOs]],"&gt;=4",tbl_task6[[SubPLOs]:[SubPLOs]],"&lt;5")</f>
        <v>0</v>
      </c>
      <c r="DW37" s="138">
        <f>SUMIFS(tbl_task6[S122],tbl_task6[[SubPLOs]:[SubPLOs]],"&gt;=4",tbl_task6[[SubPLOs]:[SubPLOs]],"&lt;5")</f>
        <v>0</v>
      </c>
      <c r="DX37" s="138">
        <f>SUMIFS(tbl_task6[S123],tbl_task6[[SubPLOs]:[SubPLOs]],"&gt;=4",tbl_task6[[SubPLOs]:[SubPLOs]],"&lt;5")</f>
        <v>0</v>
      </c>
      <c r="DY37" s="138">
        <f>SUMIFS(tbl_task6[S124],tbl_task6[[SubPLOs]:[SubPLOs]],"&gt;=4",tbl_task6[[SubPLOs]:[SubPLOs]],"&lt;5")</f>
        <v>0</v>
      </c>
      <c r="DZ37" s="138">
        <f>SUMIFS(tbl_task6[S125],tbl_task6[[SubPLOs]:[SubPLOs]],"&gt;=4",tbl_task6[[SubPLOs]:[SubPLOs]],"&lt;5")</f>
        <v>0</v>
      </c>
      <c r="EA37" s="138">
        <f>SUMIFS(tbl_task6[S126],tbl_task6[[SubPLOs]:[SubPLOs]],"&gt;=4",tbl_task6[[SubPLOs]:[SubPLOs]],"&lt;5")</f>
        <v>0</v>
      </c>
      <c r="EB37" s="138">
        <f>SUMIFS(tbl_task6[S127],tbl_task6[[SubPLOs]:[SubPLOs]],"&gt;=4",tbl_task6[[SubPLOs]:[SubPLOs]],"&lt;5")</f>
        <v>0</v>
      </c>
      <c r="EC37" s="138">
        <f>SUMIFS(tbl_task6[S128],tbl_task6[[SubPLOs]:[SubPLOs]],"&gt;=4",tbl_task6[[SubPLOs]:[SubPLOs]],"&lt;5")</f>
        <v>0</v>
      </c>
      <c r="ED37" s="138">
        <f>SUMIFS(tbl_task6[S129],tbl_task6[[SubPLOs]:[SubPLOs]],"&gt;=4",tbl_task6[[SubPLOs]:[SubPLOs]],"&lt;5")</f>
        <v>0</v>
      </c>
      <c r="EE37" s="138">
        <f>SUMIFS(tbl_task6[S130],tbl_task6[[SubPLOs]:[SubPLOs]],"&gt;=4",tbl_task6[[SubPLOs]:[SubPLOs]],"&lt;5")</f>
        <v>0</v>
      </c>
      <c r="EF37" s="138">
        <f>SUMIFS(tbl_task6[S131],tbl_task6[[SubPLOs]:[SubPLOs]],"&gt;=4",tbl_task6[[SubPLOs]:[SubPLOs]],"&lt;5")</f>
        <v>0</v>
      </c>
      <c r="EG37" s="138">
        <f>SUMIFS(tbl_task6[S132],tbl_task6[[SubPLOs]:[SubPLOs]],"&gt;=4",tbl_task6[[SubPLOs]:[SubPLOs]],"&lt;5")</f>
        <v>0</v>
      </c>
      <c r="EH37" s="138">
        <f>SUMIFS(tbl_task6[S133],tbl_task6[[SubPLOs]:[SubPLOs]],"&gt;=4",tbl_task6[[SubPLOs]:[SubPLOs]],"&lt;5")</f>
        <v>0</v>
      </c>
      <c r="EI37" s="138">
        <f>SUMIFS(tbl_task6[S134],tbl_task6[[SubPLOs]:[SubPLOs]],"&gt;=4",tbl_task6[[SubPLOs]:[SubPLOs]],"&lt;5")</f>
        <v>0</v>
      </c>
      <c r="EJ37" s="138">
        <f>SUMIFS(tbl_task6[S135],tbl_task6[[SubPLOs]:[SubPLOs]],"&gt;=4",tbl_task6[[SubPLOs]:[SubPLOs]],"&lt;5")</f>
        <v>0</v>
      </c>
      <c r="EK37" s="138">
        <f>SUMIFS(tbl_task6[S136],tbl_task6[[SubPLOs]:[SubPLOs]],"&gt;=4",tbl_task6[[SubPLOs]:[SubPLOs]],"&lt;5")</f>
        <v>0</v>
      </c>
      <c r="EL37" s="138">
        <f>SUMIFS(tbl_task6[S137],tbl_task6[[SubPLOs]:[SubPLOs]],"&gt;=4",tbl_task6[[SubPLOs]:[SubPLOs]],"&lt;5")</f>
        <v>0</v>
      </c>
      <c r="EM37" s="138">
        <f>SUMIFS(tbl_task6[S138],tbl_task6[[SubPLOs]:[SubPLOs]],"&gt;=4",tbl_task6[[SubPLOs]:[SubPLOs]],"&lt;5")</f>
        <v>0</v>
      </c>
      <c r="EN37" s="138">
        <f>SUMIFS(tbl_task6[S139],tbl_task6[[SubPLOs]:[SubPLOs]],"&gt;=4",tbl_task6[[SubPLOs]:[SubPLOs]],"&lt;5")</f>
        <v>0</v>
      </c>
      <c r="EO37" s="138">
        <f>SUMIFS(tbl_task6[S140],tbl_task6[[SubPLOs]:[SubPLOs]],"&gt;=4",tbl_task6[[SubPLOs]:[SubPLOs]],"&lt;5")</f>
        <v>0</v>
      </c>
      <c r="EP37" s="138">
        <f>SUMIFS(tbl_task6[S141],tbl_task6[[SubPLOs]:[SubPLOs]],"&gt;=4",tbl_task6[[SubPLOs]:[SubPLOs]],"&lt;5")</f>
        <v>0</v>
      </c>
      <c r="EQ37" s="138">
        <f>SUMIFS(tbl_task6[S142],tbl_task6[[SubPLOs]:[SubPLOs]],"&gt;=4",tbl_task6[[SubPLOs]:[SubPLOs]],"&lt;5")</f>
        <v>0</v>
      </c>
      <c r="ER37" s="138">
        <f>SUMIFS(tbl_task6[S143],tbl_task6[[SubPLOs]:[SubPLOs]],"&gt;=4",tbl_task6[[SubPLOs]:[SubPLOs]],"&lt;5")</f>
        <v>0</v>
      </c>
      <c r="ES37" s="138">
        <f>SUMIFS(tbl_task6[S144],tbl_task6[[SubPLOs]:[SubPLOs]],"&gt;=4",tbl_task6[[SubPLOs]:[SubPLOs]],"&lt;5")</f>
        <v>0</v>
      </c>
      <c r="ET37" s="138">
        <f>SUMIFS(tbl_task6[S145],tbl_task6[[SubPLOs]:[SubPLOs]],"&gt;=4",tbl_task6[[SubPLOs]:[SubPLOs]],"&lt;5")</f>
        <v>0</v>
      </c>
      <c r="EU37" s="138">
        <f>SUMIFS(tbl_task6[S146],tbl_task6[[SubPLOs]:[SubPLOs]],"&gt;=4",tbl_task6[[SubPLOs]:[SubPLOs]],"&lt;5")</f>
        <v>0</v>
      </c>
      <c r="EV37" s="138">
        <f>SUMIFS(tbl_task6[S147],tbl_task6[[SubPLOs]:[SubPLOs]],"&gt;=4",tbl_task6[[SubPLOs]:[SubPLOs]],"&lt;5")</f>
        <v>0</v>
      </c>
      <c r="EW37" s="138">
        <f>SUMIFS(tbl_task6[S148],tbl_task6[[SubPLOs]:[SubPLOs]],"&gt;=4",tbl_task6[[SubPLOs]:[SubPLOs]],"&lt;5")</f>
        <v>0</v>
      </c>
      <c r="EX37" s="138">
        <f>SUMIFS(tbl_task6[S149],tbl_task6[[SubPLOs]:[SubPLOs]],"&gt;=4",tbl_task6[[SubPLOs]:[SubPLOs]],"&lt;5")</f>
        <v>0</v>
      </c>
      <c r="EY37" s="138">
        <f>SUMIFS(tbl_task6[S150],tbl_task6[[SubPLOs]:[SubPLOs]],"&gt;=4",tbl_task6[[SubPLOs]:[SubPLOs]],"&lt;5")</f>
        <v>0</v>
      </c>
      <c r="EZ37" s="138">
        <f>SUMIFS(tbl_task6[S151],tbl_task6[[SubPLOs]:[SubPLOs]],"&gt;=4",tbl_task6[[SubPLOs]:[SubPLOs]],"&lt;5")</f>
        <v>0</v>
      </c>
      <c r="FA37" s="138">
        <f>SUMIFS(tbl_task6[S152],tbl_task6[[SubPLOs]:[SubPLOs]],"&gt;=4",tbl_task6[[SubPLOs]:[SubPLOs]],"&lt;5")</f>
        <v>0</v>
      </c>
      <c r="FB37" s="138">
        <f>SUMIFS(tbl_task6[S153],tbl_task6[[SubPLOs]:[SubPLOs]],"&gt;=4",tbl_task6[[SubPLOs]:[SubPLOs]],"&lt;5")</f>
        <v>0</v>
      </c>
      <c r="FC37" s="138">
        <f>SUMIFS(tbl_task6[S154],tbl_task6[[SubPLOs]:[SubPLOs]],"&gt;=4",tbl_task6[[SubPLOs]:[SubPLOs]],"&lt;5")</f>
        <v>0</v>
      </c>
      <c r="FD37" s="138">
        <f>SUMIFS(tbl_task6[S155],tbl_task6[[SubPLOs]:[SubPLOs]],"&gt;=4",tbl_task6[[SubPLOs]:[SubPLOs]],"&lt;5")</f>
        <v>0</v>
      </c>
      <c r="FE37" s="138">
        <f>SUMIFS(tbl_task6[S156],tbl_task6[[SubPLOs]:[SubPLOs]],"&gt;=4",tbl_task6[[SubPLOs]:[SubPLOs]],"&lt;5")</f>
        <v>0</v>
      </c>
      <c r="FF37" s="138">
        <f>SUMIFS(tbl_task6[S157],tbl_task6[[SubPLOs]:[SubPLOs]],"&gt;=4",tbl_task6[[SubPLOs]:[SubPLOs]],"&lt;5")</f>
        <v>0</v>
      </c>
      <c r="FG37" s="138">
        <f>SUMIFS(tbl_task6[S158],tbl_task6[[SubPLOs]:[SubPLOs]],"&gt;=4",tbl_task6[[SubPLOs]:[SubPLOs]],"&lt;5")</f>
        <v>0</v>
      </c>
      <c r="FH37" s="138">
        <f>SUMIFS(tbl_task6[S159],tbl_task6[[SubPLOs]:[SubPLOs]],"&gt;=4",tbl_task6[[SubPLOs]:[SubPLOs]],"&lt;5")</f>
        <v>0</v>
      </c>
      <c r="FI37" s="138">
        <f>SUMIFS(tbl_task6[S160],tbl_task6[[SubPLOs]:[SubPLOs]],"&gt;=4",tbl_task6[[SubPLOs]:[SubPLOs]],"&lt;5")</f>
        <v>0</v>
      </c>
      <c r="FJ37" s="138">
        <f>SUMIFS(tbl_task6[S161],tbl_task6[[SubPLOs]:[SubPLOs]],"&gt;=4",tbl_task6[[SubPLOs]:[SubPLOs]],"&lt;5")</f>
        <v>0</v>
      </c>
      <c r="FK37" s="138">
        <f>SUMIFS(tbl_task6[S162],tbl_task6[[SubPLOs]:[SubPLOs]],"&gt;=4",tbl_task6[[SubPLOs]:[SubPLOs]],"&lt;5")</f>
        <v>0</v>
      </c>
      <c r="FL37" s="138">
        <f>SUMIFS(tbl_task6[S163],tbl_task6[[SubPLOs]:[SubPLOs]],"&gt;=4",tbl_task6[[SubPLOs]:[SubPLOs]],"&lt;5")</f>
        <v>0</v>
      </c>
      <c r="FM37" s="138">
        <f>SUMIFS(tbl_task6[S164],tbl_task6[[SubPLOs]:[SubPLOs]],"&gt;=4",tbl_task6[[SubPLOs]:[SubPLOs]],"&lt;5")</f>
        <v>0</v>
      </c>
      <c r="FN37" s="138">
        <f>SUMIFS(tbl_task6[S165],tbl_task6[[SubPLOs]:[SubPLOs]],"&gt;=4",tbl_task6[[SubPLOs]:[SubPLOs]],"&lt;5")</f>
        <v>0</v>
      </c>
    </row>
    <row r="38" spans="1:170" ht="84" x14ac:dyDescent="0.25">
      <c r="A38" s="135">
        <v>5</v>
      </c>
      <c r="B38" s="5" t="s">
        <v>438</v>
      </c>
      <c r="C38" s="136">
        <f>COUNTIFS(tbl_task6[SubPLOs],"&gt;=5",tbl_task6[SubPLOs],"&lt;6")</f>
        <v>0</v>
      </c>
      <c r="D38" s="136">
        <f>SUMIFS(tbl_task6[คะแนนเต็ม],tbl_task6[SubPLOs],"&gt;=5",tbl_task6[SubPLOs],"&lt;6")</f>
        <v>0</v>
      </c>
      <c r="E38" s="137">
        <f>SUMIFS(tbl_task6[%],tbl_task6[SubPLOs],"&gt;=5",tbl_task6[SubPLOs],"&lt;6")</f>
        <v>0</v>
      </c>
      <c r="F38" s="138">
        <f>SUMIFS(tbl_task6[S1],tbl_task6[[SubPLOs]:[SubPLOs]],"&gt;=5",tbl_task6[[SubPLOs]:[SubPLOs]],"&lt;6")</f>
        <v>0</v>
      </c>
      <c r="G38" s="138">
        <f>SUMIFS(tbl_task6[S2],tbl_task6[[SubPLOs]:[SubPLOs]],"&gt;=5",tbl_task6[[SubPLOs]:[SubPLOs]],"&lt;6")</f>
        <v>0</v>
      </c>
      <c r="H38" s="138">
        <f>SUMIFS(tbl_task6[S3],tbl_task6[[SubPLOs]:[SubPLOs]],"&gt;=5",tbl_task6[[SubPLOs]:[SubPLOs]],"&lt;6")</f>
        <v>0</v>
      </c>
      <c r="I38" s="138">
        <f>SUMIFS(tbl_task6[S4],tbl_task6[[SubPLOs]:[SubPLOs]],"&gt;=5",tbl_task6[[SubPLOs]:[SubPLOs]],"&lt;6")</f>
        <v>0</v>
      </c>
      <c r="J38" s="138">
        <f>SUMIFS(tbl_task6[S5],tbl_task6[[SubPLOs]:[SubPLOs]],"&gt;=5",tbl_task6[[SubPLOs]:[SubPLOs]],"&lt;6")</f>
        <v>0</v>
      </c>
      <c r="K38" s="138">
        <f>SUMIFS(tbl_task6[S6],tbl_task6[[SubPLOs]:[SubPLOs]],"&gt;=5",tbl_task6[[SubPLOs]:[SubPLOs]],"&lt;6")</f>
        <v>0</v>
      </c>
      <c r="L38" s="138">
        <f>SUMIFS(tbl_task6[S7],tbl_task6[[SubPLOs]:[SubPLOs]],"&gt;=5",tbl_task6[[SubPLOs]:[SubPLOs]],"&lt;6")</f>
        <v>0</v>
      </c>
      <c r="M38" s="138">
        <f>SUMIFS(tbl_task6[S8],tbl_task6[[SubPLOs]:[SubPLOs]],"&gt;=5",tbl_task6[[SubPLOs]:[SubPLOs]],"&lt;6")</f>
        <v>0</v>
      </c>
      <c r="N38" s="138">
        <f>SUMIFS(tbl_task6[S9],tbl_task6[[SubPLOs]:[SubPLOs]],"&gt;=5",tbl_task6[[SubPLOs]:[SubPLOs]],"&lt;6")</f>
        <v>0</v>
      </c>
      <c r="O38" s="138">
        <f>SUMIFS(tbl_task6[S10],tbl_task6[[SubPLOs]:[SubPLOs]],"&gt;=5",tbl_task6[[SubPLOs]:[SubPLOs]],"&lt;6")</f>
        <v>0</v>
      </c>
      <c r="P38" s="138">
        <f>SUMIFS(tbl_task6[S11],tbl_task6[[SubPLOs]:[SubPLOs]],"&gt;=5",tbl_task6[[SubPLOs]:[SubPLOs]],"&lt;6")</f>
        <v>0</v>
      </c>
      <c r="Q38" s="138">
        <f>SUMIFS(tbl_task6[S12],tbl_task6[[SubPLOs]:[SubPLOs]],"&gt;=5",tbl_task6[[SubPLOs]:[SubPLOs]],"&lt;6")</f>
        <v>0</v>
      </c>
      <c r="R38" s="138">
        <f>SUMIFS(tbl_task6[S13],tbl_task6[[SubPLOs]:[SubPLOs]],"&gt;=5",tbl_task6[[SubPLOs]:[SubPLOs]],"&lt;6")</f>
        <v>0</v>
      </c>
      <c r="S38" s="138">
        <f>SUMIFS(tbl_task6[S14],tbl_task6[[SubPLOs]:[SubPLOs]],"&gt;=5",tbl_task6[[SubPLOs]:[SubPLOs]],"&lt;6")</f>
        <v>0</v>
      </c>
      <c r="T38" s="138">
        <f>SUMIFS(tbl_task6[S15],tbl_task6[[SubPLOs]:[SubPLOs]],"&gt;=5",tbl_task6[[SubPLOs]:[SubPLOs]],"&lt;6")</f>
        <v>0</v>
      </c>
      <c r="U38" s="138">
        <f>SUMIFS(tbl_task6[S16],tbl_task6[[SubPLOs]:[SubPLOs]],"&gt;=5",tbl_task6[[SubPLOs]:[SubPLOs]],"&lt;6")</f>
        <v>0</v>
      </c>
      <c r="V38" s="138">
        <f>SUMIFS(tbl_task6[S17],tbl_task6[[SubPLOs]:[SubPLOs]],"&gt;=5",tbl_task6[[SubPLOs]:[SubPLOs]],"&lt;6")</f>
        <v>0</v>
      </c>
      <c r="W38" s="138">
        <f>SUMIFS(tbl_task6[S18],tbl_task6[[SubPLOs]:[SubPLOs]],"&gt;=5",tbl_task6[[SubPLOs]:[SubPLOs]],"&lt;6")</f>
        <v>0</v>
      </c>
      <c r="X38" s="138">
        <f>SUMIFS(tbl_task6[S19],tbl_task6[[SubPLOs]:[SubPLOs]],"&gt;=5",tbl_task6[[SubPLOs]:[SubPLOs]],"&lt;6")</f>
        <v>0</v>
      </c>
      <c r="Y38" s="138">
        <f>SUMIFS(tbl_task6[S20],tbl_task6[[SubPLOs]:[SubPLOs]],"&gt;=5",tbl_task6[[SubPLOs]:[SubPLOs]],"&lt;6")</f>
        <v>0</v>
      </c>
      <c r="Z38" s="138">
        <f>SUMIFS(tbl_task6[S21],tbl_task6[[SubPLOs]:[SubPLOs]],"&gt;=5",tbl_task6[[SubPLOs]:[SubPLOs]],"&lt;6")</f>
        <v>0</v>
      </c>
      <c r="AA38" s="138">
        <f>SUMIFS(tbl_task6[S22],tbl_task6[[SubPLOs]:[SubPLOs]],"&gt;=5",tbl_task6[[SubPLOs]:[SubPLOs]],"&lt;6")</f>
        <v>0</v>
      </c>
      <c r="AB38" s="138">
        <f>SUMIFS(tbl_task6[S23],tbl_task6[[SubPLOs]:[SubPLOs]],"&gt;=5",tbl_task6[[SubPLOs]:[SubPLOs]],"&lt;6")</f>
        <v>0</v>
      </c>
      <c r="AC38" s="138">
        <f>SUMIFS(tbl_task6[S24],tbl_task6[[SubPLOs]:[SubPLOs]],"&gt;=5",tbl_task6[[SubPLOs]:[SubPLOs]],"&lt;6")</f>
        <v>0</v>
      </c>
      <c r="AD38" s="138">
        <f>SUMIFS(tbl_task6[S25],tbl_task6[[SubPLOs]:[SubPLOs]],"&gt;=5",tbl_task6[[SubPLOs]:[SubPLOs]],"&lt;6")</f>
        <v>0</v>
      </c>
      <c r="AE38" s="138">
        <f>SUMIFS(tbl_task6[S26],tbl_task6[[SubPLOs]:[SubPLOs]],"&gt;=5",tbl_task6[[SubPLOs]:[SubPLOs]],"&lt;6")</f>
        <v>0</v>
      </c>
      <c r="AF38" s="138">
        <f>SUMIFS(tbl_task6[S27],tbl_task6[[SubPLOs]:[SubPLOs]],"&gt;=5",tbl_task6[[SubPLOs]:[SubPLOs]],"&lt;6")</f>
        <v>0</v>
      </c>
      <c r="AG38" s="138">
        <f>SUMIFS(tbl_task6[S28],tbl_task6[[SubPLOs]:[SubPLOs]],"&gt;=5",tbl_task6[[SubPLOs]:[SubPLOs]],"&lt;6")</f>
        <v>0</v>
      </c>
      <c r="AH38" s="138">
        <f>SUMIFS(tbl_task6[S29],tbl_task6[[SubPLOs]:[SubPLOs]],"&gt;=5",tbl_task6[[SubPLOs]:[SubPLOs]],"&lt;6")</f>
        <v>0</v>
      </c>
      <c r="AI38" s="138">
        <f>SUMIFS(tbl_task6[S30],tbl_task6[[SubPLOs]:[SubPLOs]],"&gt;=5",tbl_task6[[SubPLOs]:[SubPLOs]],"&lt;6")</f>
        <v>0</v>
      </c>
      <c r="AJ38" s="138">
        <f>SUMIFS(tbl_task6[S31],tbl_task6[[SubPLOs]:[SubPLOs]],"&gt;=5",tbl_task6[[SubPLOs]:[SubPLOs]],"&lt;6")</f>
        <v>0</v>
      </c>
      <c r="AK38" s="138">
        <f>SUMIFS(tbl_task6[S32],tbl_task6[[SubPLOs]:[SubPLOs]],"&gt;=5",tbl_task6[[SubPLOs]:[SubPLOs]],"&lt;6")</f>
        <v>0</v>
      </c>
      <c r="AL38" s="138">
        <f>SUMIFS(tbl_task6[S33],tbl_task6[[SubPLOs]:[SubPLOs]],"&gt;=5",tbl_task6[[SubPLOs]:[SubPLOs]],"&lt;6")</f>
        <v>0</v>
      </c>
      <c r="AM38" s="138">
        <f>SUMIFS(tbl_task6[S34],tbl_task6[[SubPLOs]:[SubPLOs]],"&gt;=5",tbl_task6[[SubPLOs]:[SubPLOs]],"&lt;6")</f>
        <v>0</v>
      </c>
      <c r="AN38" s="138">
        <f>SUMIFS(tbl_task6[S35],tbl_task6[[SubPLOs]:[SubPLOs]],"&gt;=5",tbl_task6[[SubPLOs]:[SubPLOs]],"&lt;6")</f>
        <v>0</v>
      </c>
      <c r="AO38" s="138">
        <f>SUMIFS(tbl_task6[S36],tbl_task6[[SubPLOs]:[SubPLOs]],"&gt;=5",tbl_task6[[SubPLOs]:[SubPLOs]],"&lt;6")</f>
        <v>0</v>
      </c>
      <c r="AP38" s="138">
        <f>SUMIFS(tbl_task6[S37],tbl_task6[[SubPLOs]:[SubPLOs]],"&gt;=5",tbl_task6[[SubPLOs]:[SubPLOs]],"&lt;6")</f>
        <v>0</v>
      </c>
      <c r="AQ38" s="138">
        <f>SUMIFS(tbl_task6[S38],tbl_task6[[SubPLOs]:[SubPLOs]],"&gt;=5",tbl_task6[[SubPLOs]:[SubPLOs]],"&lt;6")</f>
        <v>0</v>
      </c>
      <c r="AR38" s="138">
        <f>SUMIFS(tbl_task6[S39],tbl_task6[[SubPLOs]:[SubPLOs]],"&gt;=5",tbl_task6[[SubPLOs]:[SubPLOs]],"&lt;6")</f>
        <v>0</v>
      </c>
      <c r="AS38" s="138">
        <f>SUMIFS(tbl_task6[S40],tbl_task6[[SubPLOs]:[SubPLOs]],"&gt;=5",tbl_task6[[SubPLOs]:[SubPLOs]],"&lt;6")</f>
        <v>0</v>
      </c>
      <c r="AT38" s="138">
        <f>SUMIFS(tbl_task6[S41],tbl_task6[[SubPLOs]:[SubPLOs]],"&gt;=5",tbl_task6[[SubPLOs]:[SubPLOs]],"&lt;6")</f>
        <v>0</v>
      </c>
      <c r="AU38" s="138">
        <f>SUMIFS(tbl_task6[S42],tbl_task6[[SubPLOs]:[SubPLOs]],"&gt;=5",tbl_task6[[SubPLOs]:[SubPLOs]],"&lt;6")</f>
        <v>0</v>
      </c>
      <c r="AV38" s="138">
        <f>SUMIFS(tbl_task6[S43],tbl_task6[[SubPLOs]:[SubPLOs]],"&gt;=5",tbl_task6[[SubPLOs]:[SubPLOs]],"&lt;6")</f>
        <v>0</v>
      </c>
      <c r="AW38" s="138">
        <f>SUMIFS(tbl_task6[S44],tbl_task6[[SubPLOs]:[SubPLOs]],"&gt;=5",tbl_task6[[SubPLOs]:[SubPLOs]],"&lt;6")</f>
        <v>0</v>
      </c>
      <c r="AX38" s="138">
        <f>SUMIFS(tbl_task6[S45],tbl_task6[[SubPLOs]:[SubPLOs]],"&gt;=5",tbl_task6[[SubPLOs]:[SubPLOs]],"&lt;6")</f>
        <v>0</v>
      </c>
      <c r="AY38" s="138">
        <f>SUMIFS(tbl_task6[S46],tbl_task6[[SubPLOs]:[SubPLOs]],"&gt;=5",tbl_task6[[SubPLOs]:[SubPLOs]],"&lt;6")</f>
        <v>0</v>
      </c>
      <c r="AZ38" s="138">
        <f>SUMIFS(tbl_task6[S47],tbl_task6[[SubPLOs]:[SubPLOs]],"&gt;=5",tbl_task6[[SubPLOs]:[SubPLOs]],"&lt;6")</f>
        <v>0</v>
      </c>
      <c r="BA38" s="138">
        <f>SUMIFS(tbl_task6[S48],tbl_task6[[SubPLOs]:[SubPLOs]],"&gt;=5",tbl_task6[[SubPLOs]:[SubPLOs]],"&lt;6")</f>
        <v>0</v>
      </c>
      <c r="BB38" s="138">
        <f>SUMIFS(tbl_task6[S49],tbl_task6[[SubPLOs]:[SubPLOs]],"&gt;=5",tbl_task6[[SubPLOs]:[SubPLOs]],"&lt;6")</f>
        <v>0</v>
      </c>
      <c r="BC38" s="138">
        <f>SUMIFS(tbl_task6[S50],tbl_task6[[SubPLOs]:[SubPLOs]],"&gt;=5",tbl_task6[[SubPLOs]:[SubPLOs]],"&lt;6")</f>
        <v>0</v>
      </c>
      <c r="BD38" s="138">
        <f>SUMIFS(tbl_task6[S51],tbl_task6[[SubPLOs]:[SubPLOs]],"&gt;=5",tbl_task6[[SubPLOs]:[SubPLOs]],"&lt;6")</f>
        <v>0</v>
      </c>
      <c r="BE38" s="138">
        <f>SUMIFS(tbl_task6[S52],tbl_task6[[SubPLOs]:[SubPLOs]],"&gt;=5",tbl_task6[[SubPLOs]:[SubPLOs]],"&lt;6")</f>
        <v>0</v>
      </c>
      <c r="BF38" s="138">
        <f>SUMIFS(tbl_task6[S53],tbl_task6[[SubPLOs]:[SubPLOs]],"&gt;=5",tbl_task6[[SubPLOs]:[SubPLOs]],"&lt;6")</f>
        <v>0</v>
      </c>
      <c r="BG38" s="138">
        <f>SUMIFS(tbl_task6[S54],tbl_task6[[SubPLOs]:[SubPLOs]],"&gt;=5",tbl_task6[[SubPLOs]:[SubPLOs]],"&lt;6")</f>
        <v>0</v>
      </c>
      <c r="BH38" s="138">
        <f>SUMIFS(tbl_task6[S55],tbl_task6[[SubPLOs]:[SubPLOs]],"&gt;=5",tbl_task6[[SubPLOs]:[SubPLOs]],"&lt;6")</f>
        <v>0</v>
      </c>
      <c r="BI38" s="138">
        <f>SUMIFS(tbl_task6[S56],tbl_task6[[SubPLOs]:[SubPLOs]],"&gt;=5",tbl_task6[[SubPLOs]:[SubPLOs]],"&lt;6")</f>
        <v>0</v>
      </c>
      <c r="BJ38" s="138">
        <f>SUMIFS(tbl_task6[S57],tbl_task6[[SubPLOs]:[SubPLOs]],"&gt;=5",tbl_task6[[SubPLOs]:[SubPLOs]],"&lt;6")</f>
        <v>0</v>
      </c>
      <c r="BK38" s="138">
        <f>SUMIFS(tbl_task6[S58],tbl_task6[[SubPLOs]:[SubPLOs]],"&gt;=5",tbl_task6[[SubPLOs]:[SubPLOs]],"&lt;6")</f>
        <v>0</v>
      </c>
      <c r="BL38" s="138">
        <f>SUMIFS(tbl_task6[S59],tbl_task6[[SubPLOs]:[SubPLOs]],"&gt;=5",tbl_task6[[SubPLOs]:[SubPLOs]],"&lt;6")</f>
        <v>0</v>
      </c>
      <c r="BM38" s="138">
        <f>SUMIFS(tbl_task6[S60],tbl_task6[[SubPLOs]:[SubPLOs]],"&gt;=5",tbl_task6[[SubPLOs]:[SubPLOs]],"&lt;6")</f>
        <v>0</v>
      </c>
      <c r="BN38" s="138">
        <f>SUMIFS(tbl_task6[S61],tbl_task6[[SubPLOs]:[SubPLOs]],"&gt;=5",tbl_task6[[SubPLOs]:[SubPLOs]],"&lt;6")</f>
        <v>0</v>
      </c>
      <c r="BO38" s="138">
        <f>SUMIFS(tbl_task6[S62],tbl_task6[[SubPLOs]:[SubPLOs]],"&gt;=5",tbl_task6[[SubPLOs]:[SubPLOs]],"&lt;6")</f>
        <v>0</v>
      </c>
      <c r="BP38" s="138">
        <f>SUMIFS(tbl_task6[S63],tbl_task6[[SubPLOs]:[SubPLOs]],"&gt;=5",tbl_task6[[SubPLOs]:[SubPLOs]],"&lt;6")</f>
        <v>0</v>
      </c>
      <c r="BQ38" s="138">
        <f>SUMIFS(tbl_task6[S64],tbl_task6[[SubPLOs]:[SubPLOs]],"&gt;=5",tbl_task6[[SubPLOs]:[SubPLOs]],"&lt;6")</f>
        <v>0</v>
      </c>
      <c r="BR38" s="138">
        <f>SUMIFS(tbl_task6[S65],tbl_task6[[SubPLOs]:[SubPLOs]],"&gt;=5",tbl_task6[[SubPLOs]:[SubPLOs]],"&lt;6")</f>
        <v>0</v>
      </c>
      <c r="BS38" s="138">
        <f>SUMIFS(tbl_task6[S66],tbl_task6[[SubPLOs]:[SubPLOs]],"&gt;=5",tbl_task6[[SubPLOs]:[SubPLOs]],"&lt;6")</f>
        <v>0</v>
      </c>
      <c r="BT38" s="138">
        <f>SUMIFS(tbl_task6[S67],tbl_task6[[SubPLOs]:[SubPLOs]],"&gt;=5",tbl_task6[[SubPLOs]:[SubPLOs]],"&lt;6")</f>
        <v>0</v>
      </c>
      <c r="BU38" s="138">
        <f>SUMIFS(tbl_task6[S68],tbl_task6[[SubPLOs]:[SubPLOs]],"&gt;=5",tbl_task6[[SubPLOs]:[SubPLOs]],"&lt;6")</f>
        <v>0</v>
      </c>
      <c r="BV38" s="138">
        <f>SUMIFS(tbl_task6[S69],tbl_task6[[SubPLOs]:[SubPLOs]],"&gt;=5",tbl_task6[[SubPLOs]:[SubPLOs]],"&lt;6")</f>
        <v>0</v>
      </c>
      <c r="BW38" s="138">
        <f>SUMIFS(tbl_task6[S70],tbl_task6[[SubPLOs]:[SubPLOs]],"&gt;=5",tbl_task6[[SubPLOs]:[SubPLOs]],"&lt;6")</f>
        <v>0</v>
      </c>
      <c r="BX38" s="138">
        <f>SUMIFS(tbl_task6[S71],tbl_task6[[SubPLOs]:[SubPLOs]],"&gt;=5",tbl_task6[[SubPLOs]:[SubPLOs]],"&lt;6")</f>
        <v>0</v>
      </c>
      <c r="BY38" s="138">
        <f>SUMIFS(tbl_task6[S72],tbl_task6[[SubPLOs]:[SubPLOs]],"&gt;=5",tbl_task6[[SubPLOs]:[SubPLOs]],"&lt;6")</f>
        <v>0</v>
      </c>
      <c r="BZ38" s="138">
        <f>SUMIFS(tbl_task6[S73],tbl_task6[[SubPLOs]:[SubPLOs]],"&gt;=5",tbl_task6[[SubPLOs]:[SubPLOs]],"&lt;6")</f>
        <v>0</v>
      </c>
      <c r="CA38" s="138">
        <f>SUMIFS(tbl_task6[S74],tbl_task6[[SubPLOs]:[SubPLOs]],"&gt;=5",tbl_task6[[SubPLOs]:[SubPLOs]],"&lt;6")</f>
        <v>0</v>
      </c>
      <c r="CB38" s="138">
        <f>SUMIFS(tbl_task6[S75],tbl_task6[[SubPLOs]:[SubPLOs]],"&gt;=5",tbl_task6[[SubPLOs]:[SubPLOs]],"&lt;6")</f>
        <v>0</v>
      </c>
      <c r="CC38" s="138">
        <f>SUMIFS(tbl_task6[S76],tbl_task6[[SubPLOs]:[SubPLOs]],"&gt;=5",tbl_task6[[SubPLOs]:[SubPLOs]],"&lt;6")</f>
        <v>0</v>
      </c>
      <c r="CD38" s="138">
        <f>SUMIFS(tbl_task6[S77],tbl_task6[[SubPLOs]:[SubPLOs]],"&gt;=5",tbl_task6[[SubPLOs]:[SubPLOs]],"&lt;6")</f>
        <v>0</v>
      </c>
      <c r="CE38" s="138">
        <f>SUMIFS(tbl_task6[S78],tbl_task6[[SubPLOs]:[SubPLOs]],"&gt;=5",tbl_task6[[SubPLOs]:[SubPLOs]],"&lt;6")</f>
        <v>0</v>
      </c>
      <c r="CF38" s="138">
        <f>SUMIFS(tbl_task6[S79],tbl_task6[[SubPLOs]:[SubPLOs]],"&gt;=5",tbl_task6[[SubPLOs]:[SubPLOs]],"&lt;6")</f>
        <v>0</v>
      </c>
      <c r="CG38" s="138">
        <f>SUMIFS(tbl_task6[S80],tbl_task6[[SubPLOs]:[SubPLOs]],"&gt;=5",tbl_task6[[SubPLOs]:[SubPLOs]],"&lt;6")</f>
        <v>0</v>
      </c>
      <c r="CH38" s="138">
        <f>SUMIFS(tbl_task6[S81],tbl_task6[[SubPLOs]:[SubPLOs]],"&gt;=5",tbl_task6[[SubPLOs]:[SubPLOs]],"&lt;6")</f>
        <v>0</v>
      </c>
      <c r="CI38" s="138">
        <f>SUMIFS(tbl_task6[S82],tbl_task6[[SubPLOs]:[SubPLOs]],"&gt;=5",tbl_task6[[SubPLOs]:[SubPLOs]],"&lt;6")</f>
        <v>0</v>
      </c>
      <c r="CJ38" s="138">
        <f>SUMIFS(tbl_task6[S83],tbl_task6[[SubPLOs]:[SubPLOs]],"&gt;=5",tbl_task6[[SubPLOs]:[SubPLOs]],"&lt;6")</f>
        <v>0</v>
      </c>
      <c r="CK38" s="138">
        <f>SUMIFS(tbl_task6[S84],tbl_task6[[SubPLOs]:[SubPLOs]],"&gt;=5",tbl_task6[[SubPLOs]:[SubPLOs]],"&lt;6")</f>
        <v>0</v>
      </c>
      <c r="CL38" s="138">
        <f>SUMIFS(tbl_task6[S85],tbl_task6[[SubPLOs]:[SubPLOs]],"&gt;=5",tbl_task6[[SubPLOs]:[SubPLOs]],"&lt;6")</f>
        <v>0</v>
      </c>
      <c r="CM38" s="138">
        <f>SUMIFS(tbl_task6[S86],tbl_task6[[SubPLOs]:[SubPLOs]],"&gt;=5",tbl_task6[[SubPLOs]:[SubPLOs]],"&lt;6")</f>
        <v>0</v>
      </c>
      <c r="CN38" s="138">
        <f>SUMIFS(tbl_task6[S87],tbl_task6[[SubPLOs]:[SubPLOs]],"&gt;=5",tbl_task6[[SubPLOs]:[SubPLOs]],"&lt;6")</f>
        <v>0</v>
      </c>
      <c r="CO38" s="138">
        <f>SUMIFS(tbl_task6[S88],tbl_task6[[SubPLOs]:[SubPLOs]],"&gt;=5",tbl_task6[[SubPLOs]:[SubPLOs]],"&lt;6")</f>
        <v>0</v>
      </c>
      <c r="CP38" s="138">
        <f>SUMIFS(tbl_task6[S89],tbl_task6[[SubPLOs]:[SubPLOs]],"&gt;=5",tbl_task6[[SubPLOs]:[SubPLOs]],"&lt;6")</f>
        <v>0</v>
      </c>
      <c r="CQ38" s="138">
        <f>SUMIFS(tbl_task6[S90],tbl_task6[[SubPLOs]:[SubPLOs]],"&gt;=5",tbl_task6[[SubPLOs]:[SubPLOs]],"&lt;6")</f>
        <v>0</v>
      </c>
      <c r="CR38" s="138">
        <f>SUMIFS(tbl_task6[S91],tbl_task6[[SubPLOs]:[SubPLOs]],"&gt;=5",tbl_task6[[SubPLOs]:[SubPLOs]],"&lt;6")</f>
        <v>0</v>
      </c>
      <c r="CS38" s="138">
        <f>SUMIFS(tbl_task6[S92],tbl_task6[[SubPLOs]:[SubPLOs]],"&gt;=5",tbl_task6[[SubPLOs]:[SubPLOs]],"&lt;6")</f>
        <v>0</v>
      </c>
      <c r="CT38" s="138">
        <f>SUMIFS(tbl_task6[S93],tbl_task6[[SubPLOs]:[SubPLOs]],"&gt;=5",tbl_task6[[SubPLOs]:[SubPLOs]],"&lt;6")</f>
        <v>0</v>
      </c>
      <c r="CU38" s="138">
        <f>SUMIFS(tbl_task6[S94],tbl_task6[[SubPLOs]:[SubPLOs]],"&gt;=5",tbl_task6[[SubPLOs]:[SubPLOs]],"&lt;6")</f>
        <v>0</v>
      </c>
      <c r="CV38" s="138">
        <f>SUMIFS(tbl_task6[S95],tbl_task6[[SubPLOs]:[SubPLOs]],"&gt;=5",tbl_task6[[SubPLOs]:[SubPLOs]],"&lt;6")</f>
        <v>0</v>
      </c>
      <c r="CW38" s="138">
        <f>SUMIFS(tbl_task6[S96],tbl_task6[[SubPLOs]:[SubPLOs]],"&gt;=5",tbl_task6[[SubPLOs]:[SubPLOs]],"&lt;6")</f>
        <v>0</v>
      </c>
      <c r="CX38" s="138">
        <f>SUMIFS(tbl_task6[S97],tbl_task6[[SubPLOs]:[SubPLOs]],"&gt;=5",tbl_task6[[SubPLOs]:[SubPLOs]],"&lt;6")</f>
        <v>0</v>
      </c>
      <c r="CY38" s="138">
        <f>SUMIFS(tbl_task6[S98],tbl_task6[[SubPLOs]:[SubPLOs]],"&gt;=5",tbl_task6[[SubPLOs]:[SubPLOs]],"&lt;6")</f>
        <v>0</v>
      </c>
      <c r="CZ38" s="138">
        <f>SUMIFS(tbl_task6[S99],tbl_task6[[SubPLOs]:[SubPLOs]],"&gt;=5",tbl_task6[[SubPLOs]:[SubPLOs]],"&lt;6")</f>
        <v>0</v>
      </c>
      <c r="DA38" s="138">
        <f>SUMIFS(tbl_task6[S100],tbl_task6[[SubPLOs]:[SubPLOs]],"&gt;=5",tbl_task6[[SubPLOs]:[SubPLOs]],"&lt;6")</f>
        <v>0</v>
      </c>
      <c r="DB38" s="138">
        <f>SUMIFS(tbl_task6[S101],tbl_task6[[SubPLOs]:[SubPLOs]],"&gt;=5",tbl_task6[[SubPLOs]:[SubPLOs]],"&lt;6")</f>
        <v>0</v>
      </c>
      <c r="DC38" s="138">
        <f>SUMIFS(tbl_task6[S102],tbl_task6[[SubPLOs]:[SubPLOs]],"&gt;=5",tbl_task6[[SubPLOs]:[SubPLOs]],"&lt;6")</f>
        <v>0</v>
      </c>
      <c r="DD38" s="138">
        <f>SUMIFS(tbl_task6[S103],tbl_task6[[SubPLOs]:[SubPLOs]],"&gt;=5",tbl_task6[[SubPLOs]:[SubPLOs]],"&lt;6")</f>
        <v>0</v>
      </c>
      <c r="DE38" s="138">
        <f>SUMIFS(tbl_task6[S104],tbl_task6[[SubPLOs]:[SubPLOs]],"&gt;=5",tbl_task6[[SubPLOs]:[SubPLOs]],"&lt;6")</f>
        <v>0</v>
      </c>
      <c r="DF38" s="138">
        <f>SUMIFS(tbl_task6[S105],tbl_task6[[SubPLOs]:[SubPLOs]],"&gt;=5",tbl_task6[[SubPLOs]:[SubPLOs]],"&lt;6")</f>
        <v>0</v>
      </c>
      <c r="DG38" s="138">
        <f>SUMIFS(tbl_task6[S106],tbl_task6[[SubPLOs]:[SubPLOs]],"&gt;=5",tbl_task6[[SubPLOs]:[SubPLOs]],"&lt;6")</f>
        <v>0</v>
      </c>
      <c r="DH38" s="138">
        <f>SUMIFS(tbl_task6[S106],tbl_task6[[SubPLOs]:[SubPLOs]],"&gt;=5",tbl_task6[[SubPLOs]:[SubPLOs]],"&lt;6")</f>
        <v>0</v>
      </c>
      <c r="DI38" s="138">
        <f>SUMIFS(tbl_task6[S108],tbl_task6[[SubPLOs]:[SubPLOs]],"&gt;=5",tbl_task6[[SubPLOs]:[SubPLOs]],"&lt;6")</f>
        <v>0</v>
      </c>
      <c r="DJ38" s="138">
        <f>SUMIFS(tbl_task6[S109],tbl_task6[[SubPLOs]:[SubPLOs]],"&gt;=5",tbl_task6[[SubPLOs]:[SubPLOs]],"&lt;6")</f>
        <v>0</v>
      </c>
      <c r="DK38" s="138">
        <f>SUMIFS(tbl_task6[S110],tbl_task6[[SubPLOs]:[SubPLOs]],"&gt;=5",tbl_task6[[SubPLOs]:[SubPLOs]],"&lt;6")</f>
        <v>0</v>
      </c>
      <c r="DL38" s="138">
        <f>SUMIFS(tbl_task6[S111],tbl_task6[[SubPLOs]:[SubPLOs]],"&gt;=5",tbl_task6[[SubPLOs]:[SubPLOs]],"&lt;6")</f>
        <v>0</v>
      </c>
      <c r="DM38" s="138">
        <f>SUMIFS(tbl_task6[S112],tbl_task6[[SubPLOs]:[SubPLOs]],"&gt;=5",tbl_task6[[SubPLOs]:[SubPLOs]],"&lt;6")</f>
        <v>0</v>
      </c>
      <c r="DN38" s="138">
        <f>SUMIFS(tbl_task6[S113],tbl_task6[[SubPLOs]:[SubPLOs]],"&gt;=5",tbl_task6[[SubPLOs]:[SubPLOs]],"&lt;6")</f>
        <v>0</v>
      </c>
      <c r="DO38" s="138">
        <f>SUMIFS(tbl_task6[S114],tbl_task6[[SubPLOs]:[SubPLOs]],"&gt;=5",tbl_task6[[SubPLOs]:[SubPLOs]],"&lt;6")</f>
        <v>0</v>
      </c>
      <c r="DP38" s="138">
        <f>SUMIFS(tbl_task6[S115],tbl_task6[[SubPLOs]:[SubPLOs]],"&gt;=5",tbl_task6[[SubPLOs]:[SubPLOs]],"&lt;6")</f>
        <v>0</v>
      </c>
      <c r="DQ38" s="138">
        <f>SUMIFS(tbl_task6[S116],tbl_task6[[SubPLOs]:[SubPLOs]],"&gt;=5",tbl_task6[[SubPLOs]:[SubPLOs]],"&lt;6")</f>
        <v>0</v>
      </c>
      <c r="DR38" s="138">
        <f>SUMIFS(tbl_task6[S117],tbl_task6[[SubPLOs]:[SubPLOs]],"&gt;=5",tbl_task6[[SubPLOs]:[SubPLOs]],"&lt;6")</f>
        <v>0</v>
      </c>
      <c r="DS38" s="138">
        <f>SUMIFS(tbl_task6[S118],tbl_task6[[SubPLOs]:[SubPLOs]],"&gt;=5",tbl_task6[[SubPLOs]:[SubPLOs]],"&lt;6")</f>
        <v>0</v>
      </c>
      <c r="DT38" s="138">
        <f>SUMIFS(tbl_task6[S119],tbl_task6[[SubPLOs]:[SubPLOs]],"&gt;=5",tbl_task6[[SubPLOs]:[SubPLOs]],"&lt;6")</f>
        <v>0</v>
      </c>
      <c r="DU38" s="138">
        <f>SUMIFS(tbl_task6[S120],tbl_task6[[SubPLOs]:[SubPLOs]],"&gt;=5",tbl_task6[[SubPLOs]:[SubPLOs]],"&lt;6")</f>
        <v>0</v>
      </c>
      <c r="DV38" s="138">
        <f>SUMIFS(tbl_task6[S121],tbl_task6[[SubPLOs]:[SubPLOs]],"&gt;=5",tbl_task6[[SubPLOs]:[SubPLOs]],"&lt;6")</f>
        <v>0</v>
      </c>
      <c r="DW38" s="138">
        <f>SUMIFS(tbl_task6[S122],tbl_task6[[SubPLOs]:[SubPLOs]],"&gt;=5",tbl_task6[[SubPLOs]:[SubPLOs]],"&lt;6")</f>
        <v>0</v>
      </c>
      <c r="DX38" s="138">
        <f>SUMIFS(tbl_task6[S123],tbl_task6[[SubPLOs]:[SubPLOs]],"&gt;=5",tbl_task6[[SubPLOs]:[SubPLOs]],"&lt;6")</f>
        <v>0</v>
      </c>
      <c r="DY38" s="138">
        <f>SUMIFS(tbl_task6[S124],tbl_task6[[SubPLOs]:[SubPLOs]],"&gt;=5",tbl_task6[[SubPLOs]:[SubPLOs]],"&lt;6")</f>
        <v>0</v>
      </c>
      <c r="DZ38" s="138">
        <f>SUMIFS(tbl_task6[S125],tbl_task6[[SubPLOs]:[SubPLOs]],"&gt;=5",tbl_task6[[SubPLOs]:[SubPLOs]],"&lt;6")</f>
        <v>0</v>
      </c>
      <c r="EA38" s="138">
        <f>SUMIFS(tbl_task6[S126],tbl_task6[[SubPLOs]:[SubPLOs]],"&gt;=5",tbl_task6[[SubPLOs]:[SubPLOs]],"&lt;6")</f>
        <v>0</v>
      </c>
      <c r="EB38" s="138">
        <f>SUMIFS(tbl_task6[S127],tbl_task6[[SubPLOs]:[SubPLOs]],"&gt;=5",tbl_task6[[SubPLOs]:[SubPLOs]],"&lt;6")</f>
        <v>0</v>
      </c>
      <c r="EC38" s="138">
        <f>SUMIFS(tbl_task6[S128],tbl_task6[[SubPLOs]:[SubPLOs]],"&gt;=5",tbl_task6[[SubPLOs]:[SubPLOs]],"&lt;6")</f>
        <v>0</v>
      </c>
      <c r="ED38" s="138">
        <f>SUMIFS(tbl_task6[S129],tbl_task6[[SubPLOs]:[SubPLOs]],"&gt;=5",tbl_task6[[SubPLOs]:[SubPLOs]],"&lt;6")</f>
        <v>0</v>
      </c>
      <c r="EE38" s="138">
        <f>SUMIFS(tbl_task6[S130],tbl_task6[[SubPLOs]:[SubPLOs]],"&gt;=5",tbl_task6[[SubPLOs]:[SubPLOs]],"&lt;6")</f>
        <v>0</v>
      </c>
      <c r="EF38" s="138">
        <f>SUMIFS(tbl_task6[S131],tbl_task6[[SubPLOs]:[SubPLOs]],"&gt;=5",tbl_task6[[SubPLOs]:[SubPLOs]],"&lt;6")</f>
        <v>0</v>
      </c>
      <c r="EG38" s="138">
        <f>SUMIFS(tbl_task6[S132],tbl_task6[[SubPLOs]:[SubPLOs]],"&gt;=5",tbl_task6[[SubPLOs]:[SubPLOs]],"&lt;6")</f>
        <v>0</v>
      </c>
      <c r="EH38" s="138">
        <f>SUMIFS(tbl_task6[S133],tbl_task6[[SubPLOs]:[SubPLOs]],"&gt;=5",tbl_task6[[SubPLOs]:[SubPLOs]],"&lt;6")</f>
        <v>0</v>
      </c>
      <c r="EI38" s="138">
        <f>SUMIFS(tbl_task6[S134],tbl_task6[[SubPLOs]:[SubPLOs]],"&gt;=5",tbl_task6[[SubPLOs]:[SubPLOs]],"&lt;6")</f>
        <v>0</v>
      </c>
      <c r="EJ38" s="138">
        <f>SUMIFS(tbl_task6[S135],tbl_task6[[SubPLOs]:[SubPLOs]],"&gt;=5",tbl_task6[[SubPLOs]:[SubPLOs]],"&lt;6")</f>
        <v>0</v>
      </c>
      <c r="EK38" s="138">
        <f>SUMIFS(tbl_task6[S136],tbl_task6[[SubPLOs]:[SubPLOs]],"&gt;=5",tbl_task6[[SubPLOs]:[SubPLOs]],"&lt;6")</f>
        <v>0</v>
      </c>
      <c r="EL38" s="138">
        <f>SUMIFS(tbl_task6[S137],tbl_task6[[SubPLOs]:[SubPLOs]],"&gt;=5",tbl_task6[[SubPLOs]:[SubPLOs]],"&lt;6")</f>
        <v>0</v>
      </c>
      <c r="EM38" s="138">
        <f>SUMIFS(tbl_task6[S138],tbl_task6[[SubPLOs]:[SubPLOs]],"&gt;=5",tbl_task6[[SubPLOs]:[SubPLOs]],"&lt;6")</f>
        <v>0</v>
      </c>
      <c r="EN38" s="138">
        <f>SUMIFS(tbl_task6[S139],tbl_task6[[SubPLOs]:[SubPLOs]],"&gt;=5",tbl_task6[[SubPLOs]:[SubPLOs]],"&lt;6")</f>
        <v>0</v>
      </c>
      <c r="EO38" s="138">
        <f>SUMIFS(tbl_task6[S140],tbl_task6[[SubPLOs]:[SubPLOs]],"&gt;=5",tbl_task6[[SubPLOs]:[SubPLOs]],"&lt;6")</f>
        <v>0</v>
      </c>
      <c r="EP38" s="138">
        <f>SUMIFS(tbl_task6[S141],tbl_task6[[SubPLOs]:[SubPLOs]],"&gt;=5",tbl_task6[[SubPLOs]:[SubPLOs]],"&lt;6")</f>
        <v>0</v>
      </c>
      <c r="EQ38" s="138">
        <f>SUMIFS(tbl_task6[S142],tbl_task6[[SubPLOs]:[SubPLOs]],"&gt;=5",tbl_task6[[SubPLOs]:[SubPLOs]],"&lt;6")</f>
        <v>0</v>
      </c>
      <c r="ER38" s="138">
        <f>SUMIFS(tbl_task6[S143],tbl_task6[[SubPLOs]:[SubPLOs]],"&gt;=5",tbl_task6[[SubPLOs]:[SubPLOs]],"&lt;6")</f>
        <v>0</v>
      </c>
      <c r="ES38" s="138">
        <f>SUMIFS(tbl_task6[S144],tbl_task6[[SubPLOs]:[SubPLOs]],"&gt;=5",tbl_task6[[SubPLOs]:[SubPLOs]],"&lt;6")</f>
        <v>0</v>
      </c>
      <c r="ET38" s="138">
        <f>SUMIFS(tbl_task6[S145],tbl_task6[[SubPLOs]:[SubPLOs]],"&gt;=5",tbl_task6[[SubPLOs]:[SubPLOs]],"&lt;6")</f>
        <v>0</v>
      </c>
      <c r="EU38" s="138">
        <f>SUMIFS(tbl_task6[S146],tbl_task6[[SubPLOs]:[SubPLOs]],"&gt;=5",tbl_task6[[SubPLOs]:[SubPLOs]],"&lt;6")</f>
        <v>0</v>
      </c>
      <c r="EV38" s="138">
        <f>SUMIFS(tbl_task6[S147],tbl_task6[[SubPLOs]:[SubPLOs]],"&gt;=5",tbl_task6[[SubPLOs]:[SubPLOs]],"&lt;6")</f>
        <v>0</v>
      </c>
      <c r="EW38" s="138">
        <f>SUMIFS(tbl_task6[S148],tbl_task6[[SubPLOs]:[SubPLOs]],"&gt;=5",tbl_task6[[SubPLOs]:[SubPLOs]],"&lt;6")</f>
        <v>0</v>
      </c>
      <c r="EX38" s="138">
        <f>SUMIFS(tbl_task6[S149],tbl_task6[[SubPLOs]:[SubPLOs]],"&gt;=5",tbl_task6[[SubPLOs]:[SubPLOs]],"&lt;6")</f>
        <v>0</v>
      </c>
      <c r="EY38" s="138">
        <f>SUMIFS(tbl_task6[S150],tbl_task6[[SubPLOs]:[SubPLOs]],"&gt;=5",tbl_task6[[SubPLOs]:[SubPLOs]],"&lt;6")</f>
        <v>0</v>
      </c>
      <c r="EZ38" s="138">
        <f>SUMIFS(tbl_task6[S151],tbl_task6[[SubPLOs]:[SubPLOs]],"&gt;=5",tbl_task6[[SubPLOs]:[SubPLOs]],"&lt;6")</f>
        <v>0</v>
      </c>
      <c r="FA38" s="138">
        <f>SUMIFS(tbl_task6[S152],tbl_task6[[SubPLOs]:[SubPLOs]],"&gt;=5",tbl_task6[[SubPLOs]:[SubPLOs]],"&lt;6")</f>
        <v>0</v>
      </c>
      <c r="FB38" s="138">
        <f>SUMIFS(tbl_task6[S153],tbl_task6[[SubPLOs]:[SubPLOs]],"&gt;=5",tbl_task6[[SubPLOs]:[SubPLOs]],"&lt;6")</f>
        <v>0</v>
      </c>
      <c r="FC38" s="138">
        <f>SUMIFS(tbl_task6[S154],tbl_task6[[SubPLOs]:[SubPLOs]],"&gt;=5",tbl_task6[[SubPLOs]:[SubPLOs]],"&lt;6")</f>
        <v>0</v>
      </c>
      <c r="FD38" s="138">
        <f>SUMIFS(tbl_task6[S155],tbl_task6[[SubPLOs]:[SubPLOs]],"&gt;=5",tbl_task6[[SubPLOs]:[SubPLOs]],"&lt;6")</f>
        <v>0</v>
      </c>
      <c r="FE38" s="138">
        <f>SUMIFS(tbl_task6[S156],tbl_task6[[SubPLOs]:[SubPLOs]],"&gt;=5",tbl_task6[[SubPLOs]:[SubPLOs]],"&lt;6")</f>
        <v>0</v>
      </c>
      <c r="FF38" s="138">
        <f>SUMIFS(tbl_task6[S157],tbl_task6[[SubPLOs]:[SubPLOs]],"&gt;=5",tbl_task6[[SubPLOs]:[SubPLOs]],"&lt;6")</f>
        <v>0</v>
      </c>
      <c r="FG38" s="138">
        <f>SUMIFS(tbl_task6[S158],tbl_task6[[SubPLOs]:[SubPLOs]],"&gt;=5",tbl_task6[[SubPLOs]:[SubPLOs]],"&lt;6")</f>
        <v>0</v>
      </c>
      <c r="FH38" s="138">
        <f>SUMIFS(tbl_task6[S159],tbl_task6[[SubPLOs]:[SubPLOs]],"&gt;=5",tbl_task6[[SubPLOs]:[SubPLOs]],"&lt;6")</f>
        <v>0</v>
      </c>
      <c r="FI38" s="138">
        <f>SUMIFS(tbl_task6[S160],tbl_task6[[SubPLOs]:[SubPLOs]],"&gt;=5",tbl_task6[[SubPLOs]:[SubPLOs]],"&lt;6")</f>
        <v>0</v>
      </c>
      <c r="FJ38" s="138">
        <f>SUMIFS(tbl_task6[S161],tbl_task6[[SubPLOs]:[SubPLOs]],"&gt;=5",tbl_task6[[SubPLOs]:[SubPLOs]],"&lt;6")</f>
        <v>0</v>
      </c>
      <c r="FK38" s="138">
        <f>SUMIFS(tbl_task6[S162],tbl_task6[[SubPLOs]:[SubPLOs]],"&gt;=5",tbl_task6[[SubPLOs]:[SubPLOs]],"&lt;6")</f>
        <v>0</v>
      </c>
      <c r="FL38" s="138">
        <f>SUMIFS(tbl_task6[S163],tbl_task6[[SubPLOs]:[SubPLOs]],"&gt;=5",tbl_task6[[SubPLOs]:[SubPLOs]],"&lt;6")</f>
        <v>0</v>
      </c>
      <c r="FM38" s="138">
        <f>SUMIFS(tbl_task6[S164],tbl_task6[[SubPLOs]:[SubPLOs]],"&gt;=5",tbl_task6[[SubPLOs]:[SubPLOs]],"&lt;6")</f>
        <v>0</v>
      </c>
      <c r="FN38" s="138">
        <f>SUMIFS(tbl_task6[S165],tbl_task6[[SubPLOs]:[SubPLOs]],"&gt;=5",tbl_task6[[SubPLOs]:[SubPLOs]],"&lt;6")</f>
        <v>0</v>
      </c>
    </row>
    <row r="39" spans="1:170" ht="42" x14ac:dyDescent="0.25">
      <c r="A39" s="135">
        <v>6</v>
      </c>
      <c r="B39" s="5" t="s">
        <v>439</v>
      </c>
      <c r="C39" s="136">
        <f>COUNTIFS(tbl_task6[SubPLOs],"&gt;=6",tbl_task6[SubPLOs],"&lt;7")</f>
        <v>0</v>
      </c>
      <c r="D39" s="136">
        <f>SUMIFS(tbl_task6[คะแนนเต็ม],tbl_task6[SubPLOs],"&gt;=6",tbl_task6[SubPLOs],"&lt;7")</f>
        <v>0</v>
      </c>
      <c r="E39" s="137">
        <f>SUMIFS(tbl_task6[%],tbl_task6[SubPLOs],"&gt;=6",tbl_task6[SubPLOs],"&lt;7")</f>
        <v>0</v>
      </c>
      <c r="F39" s="138">
        <f>SUMIFS(tbl_task6[S1],tbl_task6[[SubPLOs]:[SubPLOs]],"&gt;=6",tbl_task6[[SubPLOs]:[SubPLOs]],"&lt;7")</f>
        <v>0</v>
      </c>
      <c r="G39" s="138">
        <f>SUMIFS(tbl_task6[S2],tbl_task6[[SubPLOs]:[SubPLOs]],"&gt;=6",tbl_task6[[SubPLOs]:[SubPLOs]],"&lt;7")</f>
        <v>0</v>
      </c>
      <c r="H39" s="138">
        <f>SUMIFS(tbl_task6[S3],tbl_task6[[SubPLOs]:[SubPLOs]],"&gt;=6",tbl_task6[[SubPLOs]:[SubPLOs]],"&lt;7")</f>
        <v>0</v>
      </c>
      <c r="I39" s="138">
        <f>SUMIFS(tbl_task6[S4],tbl_task6[[SubPLOs]:[SubPLOs]],"&gt;=6",tbl_task6[[SubPLOs]:[SubPLOs]],"&lt;7")</f>
        <v>0</v>
      </c>
      <c r="J39" s="138">
        <f>SUMIFS(tbl_task6[S5],tbl_task6[[SubPLOs]:[SubPLOs]],"&gt;=6",tbl_task6[[SubPLOs]:[SubPLOs]],"&lt;7")</f>
        <v>0</v>
      </c>
      <c r="K39" s="138">
        <f>SUMIFS(tbl_task6[S6],tbl_task6[[SubPLOs]:[SubPLOs]],"&gt;=6",tbl_task6[[SubPLOs]:[SubPLOs]],"&lt;7")</f>
        <v>0</v>
      </c>
      <c r="L39" s="138">
        <f>SUMIFS(tbl_task6[S7],tbl_task6[[SubPLOs]:[SubPLOs]],"&gt;=6",tbl_task6[[SubPLOs]:[SubPLOs]],"&lt;7")</f>
        <v>0</v>
      </c>
      <c r="M39" s="138">
        <f>SUMIFS(tbl_task6[S8],tbl_task6[[SubPLOs]:[SubPLOs]],"&gt;=6",tbl_task6[[SubPLOs]:[SubPLOs]],"&lt;7")</f>
        <v>0</v>
      </c>
      <c r="N39" s="138">
        <f>SUMIFS(tbl_task6[S9],tbl_task6[[SubPLOs]:[SubPLOs]],"&gt;=6",tbl_task6[[SubPLOs]:[SubPLOs]],"&lt;7")</f>
        <v>0</v>
      </c>
      <c r="O39" s="138">
        <f>SUMIFS(tbl_task6[S10],tbl_task6[[SubPLOs]:[SubPLOs]],"&gt;=6",tbl_task6[[SubPLOs]:[SubPLOs]],"&lt;7")</f>
        <v>0</v>
      </c>
      <c r="P39" s="138">
        <f>SUMIFS(tbl_task6[S11],tbl_task6[[SubPLOs]:[SubPLOs]],"&gt;=6",tbl_task6[[SubPLOs]:[SubPLOs]],"&lt;7")</f>
        <v>0</v>
      </c>
      <c r="Q39" s="138">
        <f>SUMIFS(tbl_task6[S12],tbl_task6[[SubPLOs]:[SubPLOs]],"&gt;=6",tbl_task6[[SubPLOs]:[SubPLOs]],"&lt;7")</f>
        <v>0</v>
      </c>
      <c r="R39" s="138">
        <f>SUMIFS(tbl_task6[S13],tbl_task6[[SubPLOs]:[SubPLOs]],"&gt;=6",tbl_task6[[SubPLOs]:[SubPLOs]],"&lt;7")</f>
        <v>0</v>
      </c>
      <c r="S39" s="138">
        <f>SUMIFS(tbl_task6[S14],tbl_task6[[SubPLOs]:[SubPLOs]],"&gt;=6",tbl_task6[[SubPLOs]:[SubPLOs]],"&lt;7")</f>
        <v>0</v>
      </c>
      <c r="T39" s="138">
        <f>SUMIFS(tbl_task6[S15],tbl_task6[[SubPLOs]:[SubPLOs]],"&gt;=6",tbl_task6[[SubPLOs]:[SubPLOs]],"&lt;7")</f>
        <v>0</v>
      </c>
      <c r="U39" s="138">
        <f>SUMIFS(tbl_task6[S16],tbl_task6[[SubPLOs]:[SubPLOs]],"&gt;=6",tbl_task6[[SubPLOs]:[SubPLOs]],"&lt;7")</f>
        <v>0</v>
      </c>
      <c r="V39" s="138">
        <f>SUMIFS(tbl_task6[S17],tbl_task6[[SubPLOs]:[SubPLOs]],"&gt;=6",tbl_task6[[SubPLOs]:[SubPLOs]],"&lt;7")</f>
        <v>0</v>
      </c>
      <c r="W39" s="138">
        <f>SUMIFS(tbl_task6[S18],tbl_task6[[SubPLOs]:[SubPLOs]],"&gt;=6",tbl_task6[[SubPLOs]:[SubPLOs]],"&lt;7")</f>
        <v>0</v>
      </c>
      <c r="X39" s="138">
        <f>SUMIFS(tbl_task6[S19],tbl_task6[[SubPLOs]:[SubPLOs]],"&gt;=6",tbl_task6[[SubPLOs]:[SubPLOs]],"&lt;7")</f>
        <v>0</v>
      </c>
      <c r="Y39" s="138">
        <f>SUMIFS(tbl_task6[S20],tbl_task6[[SubPLOs]:[SubPLOs]],"&gt;=6",tbl_task6[[SubPLOs]:[SubPLOs]],"&lt;7")</f>
        <v>0</v>
      </c>
      <c r="Z39" s="138">
        <f>SUMIFS(tbl_task6[S21],tbl_task6[[SubPLOs]:[SubPLOs]],"&gt;=6",tbl_task6[[SubPLOs]:[SubPLOs]],"&lt;7")</f>
        <v>0</v>
      </c>
      <c r="AA39" s="138">
        <f>SUMIFS(tbl_task6[S22],tbl_task6[[SubPLOs]:[SubPLOs]],"&gt;=6",tbl_task6[[SubPLOs]:[SubPLOs]],"&lt;7")</f>
        <v>0</v>
      </c>
      <c r="AB39" s="138">
        <f>SUMIFS(tbl_task6[S23],tbl_task6[[SubPLOs]:[SubPLOs]],"&gt;=6",tbl_task6[[SubPLOs]:[SubPLOs]],"&lt;7")</f>
        <v>0</v>
      </c>
      <c r="AC39" s="138">
        <f>SUMIFS(tbl_task6[S24],tbl_task6[[SubPLOs]:[SubPLOs]],"&gt;=6",tbl_task6[[SubPLOs]:[SubPLOs]],"&lt;7")</f>
        <v>0</v>
      </c>
      <c r="AD39" s="138">
        <f>SUMIFS(tbl_task6[S25],tbl_task6[[SubPLOs]:[SubPLOs]],"&gt;=6",tbl_task6[[SubPLOs]:[SubPLOs]],"&lt;7")</f>
        <v>0</v>
      </c>
      <c r="AE39" s="138">
        <f>SUMIFS(tbl_task6[S26],tbl_task6[[SubPLOs]:[SubPLOs]],"&gt;=6",tbl_task6[[SubPLOs]:[SubPLOs]],"&lt;7")</f>
        <v>0</v>
      </c>
      <c r="AF39" s="138">
        <f>SUMIFS(tbl_task6[S27],tbl_task6[[SubPLOs]:[SubPLOs]],"&gt;=6",tbl_task6[[SubPLOs]:[SubPLOs]],"&lt;7")</f>
        <v>0</v>
      </c>
      <c r="AG39" s="138">
        <f>SUMIFS(tbl_task6[S28],tbl_task6[[SubPLOs]:[SubPLOs]],"&gt;=6",tbl_task6[[SubPLOs]:[SubPLOs]],"&lt;7")</f>
        <v>0</v>
      </c>
      <c r="AH39" s="138">
        <f>SUMIFS(tbl_task6[S29],tbl_task6[[SubPLOs]:[SubPLOs]],"&gt;=6",tbl_task6[[SubPLOs]:[SubPLOs]],"&lt;7")</f>
        <v>0</v>
      </c>
      <c r="AI39" s="138">
        <f>SUMIFS(tbl_task6[S30],tbl_task6[[SubPLOs]:[SubPLOs]],"&gt;=6",tbl_task6[[SubPLOs]:[SubPLOs]],"&lt;7")</f>
        <v>0</v>
      </c>
      <c r="AJ39" s="138">
        <f>SUMIFS(tbl_task6[S31],tbl_task6[[SubPLOs]:[SubPLOs]],"&gt;=6",tbl_task6[[SubPLOs]:[SubPLOs]],"&lt;7")</f>
        <v>0</v>
      </c>
      <c r="AK39" s="138">
        <f>SUMIFS(tbl_task6[S32],tbl_task6[[SubPLOs]:[SubPLOs]],"&gt;=6",tbl_task6[[SubPLOs]:[SubPLOs]],"&lt;7")</f>
        <v>0</v>
      </c>
      <c r="AL39" s="138">
        <f>SUMIFS(tbl_task6[S33],tbl_task6[[SubPLOs]:[SubPLOs]],"&gt;=6",tbl_task6[[SubPLOs]:[SubPLOs]],"&lt;7")</f>
        <v>0</v>
      </c>
      <c r="AM39" s="138">
        <f>SUMIFS(tbl_task6[S34],tbl_task6[[SubPLOs]:[SubPLOs]],"&gt;=6",tbl_task6[[SubPLOs]:[SubPLOs]],"&lt;7")</f>
        <v>0</v>
      </c>
      <c r="AN39" s="138">
        <f>SUMIFS(tbl_task6[S35],tbl_task6[[SubPLOs]:[SubPLOs]],"&gt;=6",tbl_task6[[SubPLOs]:[SubPLOs]],"&lt;7")</f>
        <v>0</v>
      </c>
      <c r="AO39" s="138">
        <f>SUMIFS(tbl_task6[S36],tbl_task6[[SubPLOs]:[SubPLOs]],"&gt;=6",tbl_task6[[SubPLOs]:[SubPLOs]],"&lt;7")</f>
        <v>0</v>
      </c>
      <c r="AP39" s="138">
        <f>SUMIFS(tbl_task6[S37],tbl_task6[[SubPLOs]:[SubPLOs]],"&gt;=6",tbl_task6[[SubPLOs]:[SubPLOs]],"&lt;7")</f>
        <v>0</v>
      </c>
      <c r="AQ39" s="138">
        <f>SUMIFS(tbl_task6[S38],tbl_task6[[SubPLOs]:[SubPLOs]],"&gt;=6",tbl_task6[[SubPLOs]:[SubPLOs]],"&lt;7")</f>
        <v>0</v>
      </c>
      <c r="AR39" s="138">
        <f>SUMIFS(tbl_task6[S39],tbl_task6[[SubPLOs]:[SubPLOs]],"&gt;=6",tbl_task6[[SubPLOs]:[SubPLOs]],"&lt;7")</f>
        <v>0</v>
      </c>
      <c r="AS39" s="138">
        <f>SUMIFS(tbl_task6[S40],tbl_task6[[SubPLOs]:[SubPLOs]],"&gt;=6",tbl_task6[[SubPLOs]:[SubPLOs]],"&lt;7")</f>
        <v>0</v>
      </c>
      <c r="AT39" s="138">
        <f>SUMIFS(tbl_task6[S41],tbl_task6[[SubPLOs]:[SubPLOs]],"&gt;=6",tbl_task6[[SubPLOs]:[SubPLOs]],"&lt;7")</f>
        <v>0</v>
      </c>
      <c r="AU39" s="138">
        <f>SUMIFS(tbl_task6[S42],tbl_task6[[SubPLOs]:[SubPLOs]],"&gt;=6",tbl_task6[[SubPLOs]:[SubPLOs]],"&lt;7")</f>
        <v>0</v>
      </c>
      <c r="AV39" s="138">
        <f>SUMIFS(tbl_task6[S43],tbl_task6[[SubPLOs]:[SubPLOs]],"&gt;=6",tbl_task6[[SubPLOs]:[SubPLOs]],"&lt;7")</f>
        <v>0</v>
      </c>
      <c r="AW39" s="138">
        <f>SUMIFS(tbl_task6[S44],tbl_task6[[SubPLOs]:[SubPLOs]],"&gt;=6",tbl_task6[[SubPLOs]:[SubPLOs]],"&lt;7")</f>
        <v>0</v>
      </c>
      <c r="AX39" s="138">
        <f>SUMIFS(tbl_task6[S45],tbl_task6[[SubPLOs]:[SubPLOs]],"&gt;=6",tbl_task6[[SubPLOs]:[SubPLOs]],"&lt;7")</f>
        <v>0</v>
      </c>
      <c r="AY39" s="138">
        <f>SUMIFS(tbl_task6[S46],tbl_task6[[SubPLOs]:[SubPLOs]],"&gt;=6",tbl_task6[[SubPLOs]:[SubPLOs]],"&lt;7")</f>
        <v>0</v>
      </c>
      <c r="AZ39" s="138">
        <f>SUMIFS(tbl_task6[S47],tbl_task6[[SubPLOs]:[SubPLOs]],"&gt;=6",tbl_task6[[SubPLOs]:[SubPLOs]],"&lt;7")</f>
        <v>0</v>
      </c>
      <c r="BA39" s="138">
        <f>SUMIFS(tbl_task6[S48],tbl_task6[[SubPLOs]:[SubPLOs]],"&gt;=6",tbl_task6[[SubPLOs]:[SubPLOs]],"&lt;7")</f>
        <v>0</v>
      </c>
      <c r="BB39" s="138">
        <f>SUMIFS(tbl_task6[S49],tbl_task6[[SubPLOs]:[SubPLOs]],"&gt;=6",tbl_task6[[SubPLOs]:[SubPLOs]],"&lt;7")</f>
        <v>0</v>
      </c>
      <c r="BC39" s="138">
        <f>SUMIFS(tbl_task6[S50],tbl_task6[[SubPLOs]:[SubPLOs]],"&gt;=6",tbl_task6[[SubPLOs]:[SubPLOs]],"&lt;7")</f>
        <v>0</v>
      </c>
      <c r="BD39" s="138">
        <f>SUMIFS(tbl_task6[S51],tbl_task6[[SubPLOs]:[SubPLOs]],"&gt;=6",tbl_task6[[SubPLOs]:[SubPLOs]],"&lt;7")</f>
        <v>0</v>
      </c>
      <c r="BE39" s="138">
        <f>SUMIFS(tbl_task6[S52],tbl_task6[[SubPLOs]:[SubPLOs]],"&gt;=6",tbl_task6[[SubPLOs]:[SubPLOs]],"&lt;7")</f>
        <v>0</v>
      </c>
      <c r="BF39" s="138">
        <f>SUMIFS(tbl_task6[S53],tbl_task6[[SubPLOs]:[SubPLOs]],"&gt;=6",tbl_task6[[SubPLOs]:[SubPLOs]],"&lt;7")</f>
        <v>0</v>
      </c>
      <c r="BG39" s="138">
        <f>SUMIFS(tbl_task6[S54],tbl_task6[[SubPLOs]:[SubPLOs]],"&gt;=6",tbl_task6[[SubPLOs]:[SubPLOs]],"&lt;7")</f>
        <v>0</v>
      </c>
      <c r="BH39" s="138">
        <f>SUMIFS(tbl_task6[S55],tbl_task6[[SubPLOs]:[SubPLOs]],"&gt;=6",tbl_task6[[SubPLOs]:[SubPLOs]],"&lt;7")</f>
        <v>0</v>
      </c>
      <c r="BI39" s="138">
        <f>SUMIFS(tbl_task6[S56],tbl_task6[[SubPLOs]:[SubPLOs]],"&gt;=6",tbl_task6[[SubPLOs]:[SubPLOs]],"&lt;7")</f>
        <v>0</v>
      </c>
      <c r="BJ39" s="138">
        <f>SUMIFS(tbl_task6[S57],tbl_task6[[SubPLOs]:[SubPLOs]],"&gt;=6",tbl_task6[[SubPLOs]:[SubPLOs]],"&lt;7")</f>
        <v>0</v>
      </c>
      <c r="BK39" s="138">
        <f>SUMIFS(tbl_task6[S58],tbl_task6[[SubPLOs]:[SubPLOs]],"&gt;=6",tbl_task6[[SubPLOs]:[SubPLOs]],"&lt;7")</f>
        <v>0</v>
      </c>
      <c r="BL39" s="138">
        <f>SUMIFS(tbl_task6[S59],tbl_task6[[SubPLOs]:[SubPLOs]],"&gt;=6",tbl_task6[[SubPLOs]:[SubPLOs]],"&lt;7")</f>
        <v>0</v>
      </c>
      <c r="BM39" s="138">
        <f>SUMIFS(tbl_task6[S60],tbl_task6[[SubPLOs]:[SubPLOs]],"&gt;=6",tbl_task6[[SubPLOs]:[SubPLOs]],"&lt;7")</f>
        <v>0</v>
      </c>
      <c r="BN39" s="138">
        <f>SUMIFS(tbl_task6[S61],tbl_task6[[SubPLOs]:[SubPLOs]],"&gt;=6",tbl_task6[[SubPLOs]:[SubPLOs]],"&lt;7")</f>
        <v>0</v>
      </c>
      <c r="BO39" s="138">
        <f>SUMIFS(tbl_task6[S62],tbl_task6[[SubPLOs]:[SubPLOs]],"&gt;=6",tbl_task6[[SubPLOs]:[SubPLOs]],"&lt;7")</f>
        <v>0</v>
      </c>
      <c r="BP39" s="138">
        <f>SUMIFS(tbl_task6[S63],tbl_task6[[SubPLOs]:[SubPLOs]],"&gt;=6",tbl_task6[[SubPLOs]:[SubPLOs]],"&lt;7")</f>
        <v>0</v>
      </c>
      <c r="BQ39" s="138">
        <f>SUMIFS(tbl_task6[S64],tbl_task6[[SubPLOs]:[SubPLOs]],"&gt;=6",tbl_task6[[SubPLOs]:[SubPLOs]],"&lt;7")</f>
        <v>0</v>
      </c>
      <c r="BR39" s="138">
        <f>SUMIFS(tbl_task6[S65],tbl_task6[[SubPLOs]:[SubPLOs]],"&gt;=6",tbl_task6[[SubPLOs]:[SubPLOs]],"&lt;7")</f>
        <v>0</v>
      </c>
      <c r="BS39" s="138">
        <f>SUMIFS(tbl_task6[S66],tbl_task6[[SubPLOs]:[SubPLOs]],"&gt;=6",tbl_task6[[SubPLOs]:[SubPLOs]],"&lt;7")</f>
        <v>0</v>
      </c>
      <c r="BT39" s="138">
        <f>SUMIFS(tbl_task6[S67],tbl_task6[[SubPLOs]:[SubPLOs]],"&gt;=6",tbl_task6[[SubPLOs]:[SubPLOs]],"&lt;7")</f>
        <v>0</v>
      </c>
      <c r="BU39" s="138">
        <f>SUMIFS(tbl_task6[S68],tbl_task6[[SubPLOs]:[SubPLOs]],"&gt;=6",tbl_task6[[SubPLOs]:[SubPLOs]],"&lt;7")</f>
        <v>0</v>
      </c>
      <c r="BV39" s="138">
        <f>SUMIFS(tbl_task6[S69],tbl_task6[[SubPLOs]:[SubPLOs]],"&gt;=6",tbl_task6[[SubPLOs]:[SubPLOs]],"&lt;7")</f>
        <v>0</v>
      </c>
      <c r="BW39" s="138">
        <f>SUMIFS(tbl_task6[S70],tbl_task6[[SubPLOs]:[SubPLOs]],"&gt;=6",tbl_task6[[SubPLOs]:[SubPLOs]],"&lt;7")</f>
        <v>0</v>
      </c>
      <c r="BX39" s="138">
        <f>SUMIFS(tbl_task6[S71],tbl_task6[[SubPLOs]:[SubPLOs]],"&gt;=6",tbl_task6[[SubPLOs]:[SubPLOs]],"&lt;7")</f>
        <v>0</v>
      </c>
      <c r="BY39" s="138">
        <f>SUMIFS(tbl_task6[S72],tbl_task6[[SubPLOs]:[SubPLOs]],"&gt;=6",tbl_task6[[SubPLOs]:[SubPLOs]],"&lt;7")</f>
        <v>0</v>
      </c>
      <c r="BZ39" s="138">
        <f>SUMIFS(tbl_task6[S73],tbl_task6[[SubPLOs]:[SubPLOs]],"&gt;=6",tbl_task6[[SubPLOs]:[SubPLOs]],"&lt;7")</f>
        <v>0</v>
      </c>
      <c r="CA39" s="138">
        <f>SUMIFS(tbl_task6[S74],tbl_task6[[SubPLOs]:[SubPLOs]],"&gt;=6",tbl_task6[[SubPLOs]:[SubPLOs]],"&lt;7")</f>
        <v>0</v>
      </c>
      <c r="CB39" s="138">
        <f>SUMIFS(tbl_task6[S75],tbl_task6[[SubPLOs]:[SubPLOs]],"&gt;=6",tbl_task6[[SubPLOs]:[SubPLOs]],"&lt;7")</f>
        <v>0</v>
      </c>
      <c r="CC39" s="138">
        <f>SUMIFS(tbl_task6[S76],tbl_task6[[SubPLOs]:[SubPLOs]],"&gt;=6",tbl_task6[[SubPLOs]:[SubPLOs]],"&lt;7")</f>
        <v>0</v>
      </c>
      <c r="CD39" s="138">
        <f>SUMIFS(tbl_task6[S77],tbl_task6[[SubPLOs]:[SubPLOs]],"&gt;=6",tbl_task6[[SubPLOs]:[SubPLOs]],"&lt;7")</f>
        <v>0</v>
      </c>
      <c r="CE39" s="138">
        <f>SUMIFS(tbl_task6[S78],tbl_task6[[SubPLOs]:[SubPLOs]],"&gt;=6",tbl_task6[[SubPLOs]:[SubPLOs]],"&lt;7")</f>
        <v>0</v>
      </c>
      <c r="CF39" s="138">
        <f>SUMIFS(tbl_task6[S79],tbl_task6[[SubPLOs]:[SubPLOs]],"&gt;=6",tbl_task6[[SubPLOs]:[SubPLOs]],"&lt;7")</f>
        <v>0</v>
      </c>
      <c r="CG39" s="138">
        <f>SUMIFS(tbl_task6[S80],tbl_task6[[SubPLOs]:[SubPLOs]],"&gt;=6",tbl_task6[[SubPLOs]:[SubPLOs]],"&lt;7")</f>
        <v>0</v>
      </c>
      <c r="CH39" s="138">
        <f>SUMIFS(tbl_task6[S81],tbl_task6[[SubPLOs]:[SubPLOs]],"&gt;=6",tbl_task6[[SubPLOs]:[SubPLOs]],"&lt;7")</f>
        <v>0</v>
      </c>
      <c r="CI39" s="138">
        <f>SUMIFS(tbl_task6[S82],tbl_task6[[SubPLOs]:[SubPLOs]],"&gt;=6",tbl_task6[[SubPLOs]:[SubPLOs]],"&lt;7")</f>
        <v>0</v>
      </c>
      <c r="CJ39" s="138">
        <f>SUMIFS(tbl_task6[S83],tbl_task6[[SubPLOs]:[SubPLOs]],"&gt;=6",tbl_task6[[SubPLOs]:[SubPLOs]],"&lt;7")</f>
        <v>0</v>
      </c>
      <c r="CK39" s="138">
        <f>SUMIFS(tbl_task6[S84],tbl_task6[[SubPLOs]:[SubPLOs]],"&gt;=6",tbl_task6[[SubPLOs]:[SubPLOs]],"&lt;7")</f>
        <v>0</v>
      </c>
      <c r="CL39" s="138">
        <f>SUMIFS(tbl_task6[S85],tbl_task6[[SubPLOs]:[SubPLOs]],"&gt;=6",tbl_task6[[SubPLOs]:[SubPLOs]],"&lt;7")</f>
        <v>0</v>
      </c>
      <c r="CM39" s="138">
        <f>SUMIFS(tbl_task6[S86],tbl_task6[[SubPLOs]:[SubPLOs]],"&gt;=6",tbl_task6[[SubPLOs]:[SubPLOs]],"&lt;7")</f>
        <v>0</v>
      </c>
      <c r="CN39" s="138">
        <f>SUMIFS(tbl_task6[S87],tbl_task6[[SubPLOs]:[SubPLOs]],"&gt;=6",tbl_task6[[SubPLOs]:[SubPLOs]],"&lt;7")</f>
        <v>0</v>
      </c>
      <c r="CO39" s="138">
        <f>SUMIFS(tbl_task6[S88],tbl_task6[[SubPLOs]:[SubPLOs]],"&gt;=6",tbl_task6[[SubPLOs]:[SubPLOs]],"&lt;7")</f>
        <v>0</v>
      </c>
      <c r="CP39" s="138">
        <f>SUMIFS(tbl_task6[S89],tbl_task6[[SubPLOs]:[SubPLOs]],"&gt;=6",tbl_task6[[SubPLOs]:[SubPLOs]],"&lt;7")</f>
        <v>0</v>
      </c>
      <c r="CQ39" s="138">
        <f>SUMIFS(tbl_task6[S90],tbl_task6[[SubPLOs]:[SubPLOs]],"&gt;=6",tbl_task6[[SubPLOs]:[SubPLOs]],"&lt;7")</f>
        <v>0</v>
      </c>
      <c r="CR39" s="138">
        <f>SUMIFS(tbl_task6[S91],tbl_task6[[SubPLOs]:[SubPLOs]],"&gt;=6",tbl_task6[[SubPLOs]:[SubPLOs]],"&lt;7")</f>
        <v>0</v>
      </c>
      <c r="CS39" s="138">
        <f>SUMIFS(tbl_task6[S92],tbl_task6[[SubPLOs]:[SubPLOs]],"&gt;=6",tbl_task6[[SubPLOs]:[SubPLOs]],"&lt;7")</f>
        <v>0</v>
      </c>
      <c r="CT39" s="138">
        <f>SUMIFS(tbl_task6[S93],tbl_task6[[SubPLOs]:[SubPLOs]],"&gt;=6",tbl_task6[[SubPLOs]:[SubPLOs]],"&lt;7")</f>
        <v>0</v>
      </c>
      <c r="CU39" s="138">
        <f>SUMIFS(tbl_task6[S94],tbl_task6[[SubPLOs]:[SubPLOs]],"&gt;=6",tbl_task6[[SubPLOs]:[SubPLOs]],"&lt;7")</f>
        <v>0</v>
      </c>
      <c r="CV39" s="138">
        <f>SUMIFS(tbl_task6[S95],tbl_task6[[SubPLOs]:[SubPLOs]],"&gt;=6",tbl_task6[[SubPLOs]:[SubPLOs]],"&lt;7")</f>
        <v>0</v>
      </c>
      <c r="CW39" s="138">
        <f>SUMIFS(tbl_task6[S96],tbl_task6[[SubPLOs]:[SubPLOs]],"&gt;=6",tbl_task6[[SubPLOs]:[SubPLOs]],"&lt;7")</f>
        <v>0</v>
      </c>
      <c r="CX39" s="138">
        <f>SUMIFS(tbl_task6[S97],tbl_task6[[SubPLOs]:[SubPLOs]],"&gt;=6",tbl_task6[[SubPLOs]:[SubPLOs]],"&lt;7")</f>
        <v>0</v>
      </c>
      <c r="CY39" s="138">
        <f>SUMIFS(tbl_task6[S98],tbl_task6[[SubPLOs]:[SubPLOs]],"&gt;=6",tbl_task6[[SubPLOs]:[SubPLOs]],"&lt;7")</f>
        <v>0</v>
      </c>
      <c r="CZ39" s="138">
        <f>SUMIFS(tbl_task6[S99],tbl_task6[[SubPLOs]:[SubPLOs]],"&gt;=6",tbl_task6[[SubPLOs]:[SubPLOs]],"&lt;7")</f>
        <v>0</v>
      </c>
      <c r="DA39" s="138">
        <f>SUMIFS(tbl_task6[S100],tbl_task6[[SubPLOs]:[SubPLOs]],"&gt;=6",tbl_task6[[SubPLOs]:[SubPLOs]],"&lt;7")</f>
        <v>0</v>
      </c>
      <c r="DB39" s="138">
        <f>SUMIFS(tbl_task6[S101],tbl_task6[[SubPLOs]:[SubPLOs]],"&gt;=6",tbl_task6[[SubPLOs]:[SubPLOs]],"&lt;7")</f>
        <v>0</v>
      </c>
      <c r="DC39" s="138">
        <f>SUMIFS(tbl_task6[S102],tbl_task6[[SubPLOs]:[SubPLOs]],"&gt;=6",tbl_task6[[SubPLOs]:[SubPLOs]],"&lt;7")</f>
        <v>0</v>
      </c>
      <c r="DD39" s="138">
        <f>SUMIFS(tbl_task6[S103],tbl_task6[[SubPLOs]:[SubPLOs]],"&gt;=6",tbl_task6[[SubPLOs]:[SubPLOs]],"&lt;7")</f>
        <v>0</v>
      </c>
      <c r="DE39" s="138">
        <f>SUMIFS(tbl_task6[S104],tbl_task6[[SubPLOs]:[SubPLOs]],"&gt;=6",tbl_task6[[SubPLOs]:[SubPLOs]],"&lt;7")</f>
        <v>0</v>
      </c>
      <c r="DF39" s="138">
        <f>SUMIFS(tbl_task6[S105],tbl_task6[[SubPLOs]:[SubPLOs]],"&gt;=6",tbl_task6[[SubPLOs]:[SubPLOs]],"&lt;7")</f>
        <v>0</v>
      </c>
      <c r="DG39" s="138">
        <f>SUMIFS(tbl_task6[S106],tbl_task6[[SubPLOs]:[SubPLOs]],"&gt;=6",tbl_task6[[SubPLOs]:[SubPLOs]],"&lt;7")</f>
        <v>0</v>
      </c>
      <c r="DH39" s="138">
        <f>SUMIFS(tbl_task6[S106],tbl_task6[[SubPLOs]:[SubPLOs]],"&gt;=6",tbl_task6[[SubPLOs]:[SubPLOs]],"&lt;7")</f>
        <v>0</v>
      </c>
      <c r="DI39" s="138">
        <f>SUMIFS(tbl_task6[S108],tbl_task6[[SubPLOs]:[SubPLOs]],"&gt;=6",tbl_task6[[SubPLOs]:[SubPLOs]],"&lt;7")</f>
        <v>0</v>
      </c>
      <c r="DJ39" s="138">
        <f>SUMIFS(tbl_task6[S109],tbl_task6[[SubPLOs]:[SubPLOs]],"&gt;=6",tbl_task6[[SubPLOs]:[SubPLOs]],"&lt;7")</f>
        <v>0</v>
      </c>
      <c r="DK39" s="138">
        <f>SUMIFS(tbl_task6[S110],tbl_task6[[SubPLOs]:[SubPLOs]],"&gt;=6",tbl_task6[[SubPLOs]:[SubPLOs]],"&lt;7")</f>
        <v>0</v>
      </c>
      <c r="DL39" s="138">
        <f>SUMIFS(tbl_task6[S111],tbl_task6[[SubPLOs]:[SubPLOs]],"&gt;=6",tbl_task6[[SubPLOs]:[SubPLOs]],"&lt;7")</f>
        <v>0</v>
      </c>
      <c r="DM39" s="138">
        <f>SUMIFS(tbl_task6[S112],tbl_task6[[SubPLOs]:[SubPLOs]],"&gt;=6",tbl_task6[[SubPLOs]:[SubPLOs]],"&lt;7")</f>
        <v>0</v>
      </c>
      <c r="DN39" s="138">
        <f>SUMIFS(tbl_task6[S113],tbl_task6[[SubPLOs]:[SubPLOs]],"&gt;=6",tbl_task6[[SubPLOs]:[SubPLOs]],"&lt;7")</f>
        <v>0</v>
      </c>
      <c r="DO39" s="138">
        <f>SUMIFS(tbl_task6[S114],tbl_task6[[SubPLOs]:[SubPLOs]],"&gt;=6",tbl_task6[[SubPLOs]:[SubPLOs]],"&lt;7")</f>
        <v>0</v>
      </c>
      <c r="DP39" s="138">
        <f>SUMIFS(tbl_task6[S115],tbl_task6[[SubPLOs]:[SubPLOs]],"&gt;=6",tbl_task6[[SubPLOs]:[SubPLOs]],"&lt;7")</f>
        <v>0</v>
      </c>
      <c r="DQ39" s="138">
        <f>SUMIFS(tbl_task6[S116],tbl_task6[[SubPLOs]:[SubPLOs]],"&gt;=6",tbl_task6[[SubPLOs]:[SubPLOs]],"&lt;7")</f>
        <v>0</v>
      </c>
      <c r="DR39" s="138">
        <f>SUMIFS(tbl_task6[S117],tbl_task6[[SubPLOs]:[SubPLOs]],"&gt;=6",tbl_task6[[SubPLOs]:[SubPLOs]],"&lt;7")</f>
        <v>0</v>
      </c>
      <c r="DS39" s="138">
        <f>SUMIFS(tbl_task6[S118],tbl_task6[[SubPLOs]:[SubPLOs]],"&gt;=6",tbl_task6[[SubPLOs]:[SubPLOs]],"&lt;7")</f>
        <v>0</v>
      </c>
      <c r="DT39" s="138">
        <f>SUMIFS(tbl_task6[S119],tbl_task6[[SubPLOs]:[SubPLOs]],"&gt;=6",tbl_task6[[SubPLOs]:[SubPLOs]],"&lt;7")</f>
        <v>0</v>
      </c>
      <c r="DU39" s="138">
        <f>SUMIFS(tbl_task6[S120],tbl_task6[[SubPLOs]:[SubPLOs]],"&gt;=6",tbl_task6[[SubPLOs]:[SubPLOs]],"&lt;7")</f>
        <v>0</v>
      </c>
      <c r="DV39" s="138">
        <f>SUMIFS(tbl_task6[S121],tbl_task6[[SubPLOs]:[SubPLOs]],"&gt;=6",tbl_task6[[SubPLOs]:[SubPLOs]],"&lt;7")</f>
        <v>0</v>
      </c>
      <c r="DW39" s="138">
        <f>SUMIFS(tbl_task6[S122],tbl_task6[[SubPLOs]:[SubPLOs]],"&gt;=6",tbl_task6[[SubPLOs]:[SubPLOs]],"&lt;7")</f>
        <v>0</v>
      </c>
      <c r="DX39" s="138">
        <f>SUMIFS(tbl_task6[S123],tbl_task6[[SubPLOs]:[SubPLOs]],"&gt;=6",tbl_task6[[SubPLOs]:[SubPLOs]],"&lt;7")</f>
        <v>0</v>
      </c>
      <c r="DY39" s="138">
        <f>SUMIFS(tbl_task6[S124],tbl_task6[[SubPLOs]:[SubPLOs]],"&gt;=6",tbl_task6[[SubPLOs]:[SubPLOs]],"&lt;7")</f>
        <v>0</v>
      </c>
      <c r="DZ39" s="138">
        <f>SUMIFS(tbl_task6[S125],tbl_task6[[SubPLOs]:[SubPLOs]],"&gt;=6",tbl_task6[[SubPLOs]:[SubPLOs]],"&lt;7")</f>
        <v>0</v>
      </c>
      <c r="EA39" s="138">
        <f>SUMIFS(tbl_task6[S126],tbl_task6[[SubPLOs]:[SubPLOs]],"&gt;=6",tbl_task6[[SubPLOs]:[SubPLOs]],"&lt;7")</f>
        <v>0</v>
      </c>
      <c r="EB39" s="138">
        <f>SUMIFS(tbl_task6[S127],tbl_task6[[SubPLOs]:[SubPLOs]],"&gt;=6",tbl_task6[[SubPLOs]:[SubPLOs]],"&lt;7")</f>
        <v>0</v>
      </c>
      <c r="EC39" s="138">
        <f>SUMIFS(tbl_task6[S128],tbl_task6[[SubPLOs]:[SubPLOs]],"&gt;=6",tbl_task6[[SubPLOs]:[SubPLOs]],"&lt;7")</f>
        <v>0</v>
      </c>
      <c r="ED39" s="138">
        <f>SUMIFS(tbl_task6[S129],tbl_task6[[SubPLOs]:[SubPLOs]],"&gt;=6",tbl_task6[[SubPLOs]:[SubPLOs]],"&lt;7")</f>
        <v>0</v>
      </c>
      <c r="EE39" s="138">
        <f>SUMIFS(tbl_task6[S130],tbl_task6[[SubPLOs]:[SubPLOs]],"&gt;=6",tbl_task6[[SubPLOs]:[SubPLOs]],"&lt;7")</f>
        <v>0</v>
      </c>
      <c r="EF39" s="138">
        <f>SUMIFS(tbl_task6[S131],tbl_task6[[SubPLOs]:[SubPLOs]],"&gt;=6",tbl_task6[[SubPLOs]:[SubPLOs]],"&lt;7")</f>
        <v>0</v>
      </c>
      <c r="EG39" s="138">
        <f>SUMIFS(tbl_task6[S132],tbl_task6[[SubPLOs]:[SubPLOs]],"&gt;=6",tbl_task6[[SubPLOs]:[SubPLOs]],"&lt;7")</f>
        <v>0</v>
      </c>
      <c r="EH39" s="138">
        <f>SUMIFS(tbl_task6[S133],tbl_task6[[SubPLOs]:[SubPLOs]],"&gt;=6",tbl_task6[[SubPLOs]:[SubPLOs]],"&lt;7")</f>
        <v>0</v>
      </c>
      <c r="EI39" s="138">
        <f>SUMIFS(tbl_task6[S134],tbl_task6[[SubPLOs]:[SubPLOs]],"&gt;=6",tbl_task6[[SubPLOs]:[SubPLOs]],"&lt;7")</f>
        <v>0</v>
      </c>
      <c r="EJ39" s="138">
        <f>SUMIFS(tbl_task6[S135],tbl_task6[[SubPLOs]:[SubPLOs]],"&gt;=6",tbl_task6[[SubPLOs]:[SubPLOs]],"&lt;7")</f>
        <v>0</v>
      </c>
      <c r="EK39" s="138">
        <f>SUMIFS(tbl_task6[S136],tbl_task6[[SubPLOs]:[SubPLOs]],"&gt;=6",tbl_task6[[SubPLOs]:[SubPLOs]],"&lt;7")</f>
        <v>0</v>
      </c>
      <c r="EL39" s="138">
        <f>SUMIFS(tbl_task6[S137],tbl_task6[[SubPLOs]:[SubPLOs]],"&gt;=6",tbl_task6[[SubPLOs]:[SubPLOs]],"&lt;7")</f>
        <v>0</v>
      </c>
      <c r="EM39" s="138">
        <f>SUMIFS(tbl_task6[S138],tbl_task6[[SubPLOs]:[SubPLOs]],"&gt;=6",tbl_task6[[SubPLOs]:[SubPLOs]],"&lt;7")</f>
        <v>0</v>
      </c>
      <c r="EN39" s="138">
        <f>SUMIFS(tbl_task6[S139],tbl_task6[[SubPLOs]:[SubPLOs]],"&gt;=6",tbl_task6[[SubPLOs]:[SubPLOs]],"&lt;7")</f>
        <v>0</v>
      </c>
      <c r="EO39" s="138">
        <f>SUMIFS(tbl_task6[S140],tbl_task6[[SubPLOs]:[SubPLOs]],"&gt;=6",tbl_task6[[SubPLOs]:[SubPLOs]],"&lt;7")</f>
        <v>0</v>
      </c>
      <c r="EP39" s="138">
        <f>SUMIFS(tbl_task6[S141],tbl_task6[[SubPLOs]:[SubPLOs]],"&gt;=6",tbl_task6[[SubPLOs]:[SubPLOs]],"&lt;7")</f>
        <v>0</v>
      </c>
      <c r="EQ39" s="138">
        <f>SUMIFS(tbl_task6[S142],tbl_task6[[SubPLOs]:[SubPLOs]],"&gt;=6",tbl_task6[[SubPLOs]:[SubPLOs]],"&lt;7")</f>
        <v>0</v>
      </c>
      <c r="ER39" s="138">
        <f>SUMIFS(tbl_task6[S143],tbl_task6[[SubPLOs]:[SubPLOs]],"&gt;=6",tbl_task6[[SubPLOs]:[SubPLOs]],"&lt;7")</f>
        <v>0</v>
      </c>
      <c r="ES39" s="138">
        <f>SUMIFS(tbl_task6[S144],tbl_task6[[SubPLOs]:[SubPLOs]],"&gt;=6",tbl_task6[[SubPLOs]:[SubPLOs]],"&lt;7")</f>
        <v>0</v>
      </c>
      <c r="ET39" s="138">
        <f>SUMIFS(tbl_task6[S145],tbl_task6[[SubPLOs]:[SubPLOs]],"&gt;=6",tbl_task6[[SubPLOs]:[SubPLOs]],"&lt;7")</f>
        <v>0</v>
      </c>
      <c r="EU39" s="138">
        <f>SUMIFS(tbl_task6[S146],tbl_task6[[SubPLOs]:[SubPLOs]],"&gt;=6",tbl_task6[[SubPLOs]:[SubPLOs]],"&lt;7")</f>
        <v>0</v>
      </c>
      <c r="EV39" s="138">
        <f>SUMIFS(tbl_task6[S147],tbl_task6[[SubPLOs]:[SubPLOs]],"&gt;=6",tbl_task6[[SubPLOs]:[SubPLOs]],"&lt;7")</f>
        <v>0</v>
      </c>
      <c r="EW39" s="138">
        <f>SUMIFS(tbl_task6[S148],tbl_task6[[SubPLOs]:[SubPLOs]],"&gt;=6",tbl_task6[[SubPLOs]:[SubPLOs]],"&lt;7")</f>
        <v>0</v>
      </c>
      <c r="EX39" s="138">
        <f>SUMIFS(tbl_task6[S149],tbl_task6[[SubPLOs]:[SubPLOs]],"&gt;=6",tbl_task6[[SubPLOs]:[SubPLOs]],"&lt;7")</f>
        <v>0</v>
      </c>
      <c r="EY39" s="138">
        <f>SUMIFS(tbl_task6[S150],tbl_task6[[SubPLOs]:[SubPLOs]],"&gt;=6",tbl_task6[[SubPLOs]:[SubPLOs]],"&lt;7")</f>
        <v>0</v>
      </c>
      <c r="EZ39" s="138">
        <f>SUMIFS(tbl_task6[S151],tbl_task6[[SubPLOs]:[SubPLOs]],"&gt;=6",tbl_task6[[SubPLOs]:[SubPLOs]],"&lt;7")</f>
        <v>0</v>
      </c>
      <c r="FA39" s="138">
        <f>SUMIFS(tbl_task6[S152],tbl_task6[[SubPLOs]:[SubPLOs]],"&gt;=6",tbl_task6[[SubPLOs]:[SubPLOs]],"&lt;7")</f>
        <v>0</v>
      </c>
      <c r="FB39" s="138">
        <f>SUMIFS(tbl_task6[S153],tbl_task6[[SubPLOs]:[SubPLOs]],"&gt;=6",tbl_task6[[SubPLOs]:[SubPLOs]],"&lt;7")</f>
        <v>0</v>
      </c>
      <c r="FC39" s="138">
        <f>SUMIFS(tbl_task6[S154],tbl_task6[[SubPLOs]:[SubPLOs]],"&gt;=6",tbl_task6[[SubPLOs]:[SubPLOs]],"&lt;7")</f>
        <v>0</v>
      </c>
      <c r="FD39" s="138">
        <f>SUMIFS(tbl_task6[S155],tbl_task6[[SubPLOs]:[SubPLOs]],"&gt;=6",tbl_task6[[SubPLOs]:[SubPLOs]],"&lt;7")</f>
        <v>0</v>
      </c>
      <c r="FE39" s="138">
        <f>SUMIFS(tbl_task6[S156],tbl_task6[[SubPLOs]:[SubPLOs]],"&gt;=6",tbl_task6[[SubPLOs]:[SubPLOs]],"&lt;7")</f>
        <v>0</v>
      </c>
      <c r="FF39" s="138">
        <f>SUMIFS(tbl_task6[S157],tbl_task6[[SubPLOs]:[SubPLOs]],"&gt;=6",tbl_task6[[SubPLOs]:[SubPLOs]],"&lt;7")</f>
        <v>0</v>
      </c>
      <c r="FG39" s="138">
        <f>SUMIFS(tbl_task6[S158],tbl_task6[[SubPLOs]:[SubPLOs]],"&gt;=6",tbl_task6[[SubPLOs]:[SubPLOs]],"&lt;7")</f>
        <v>0</v>
      </c>
      <c r="FH39" s="138">
        <f>SUMIFS(tbl_task6[S159],tbl_task6[[SubPLOs]:[SubPLOs]],"&gt;=6",tbl_task6[[SubPLOs]:[SubPLOs]],"&lt;7")</f>
        <v>0</v>
      </c>
      <c r="FI39" s="138">
        <f>SUMIFS(tbl_task6[S160],tbl_task6[[SubPLOs]:[SubPLOs]],"&gt;=6",tbl_task6[[SubPLOs]:[SubPLOs]],"&lt;7")</f>
        <v>0</v>
      </c>
      <c r="FJ39" s="138">
        <f>SUMIFS(tbl_task6[S161],tbl_task6[[SubPLOs]:[SubPLOs]],"&gt;=6",tbl_task6[[SubPLOs]:[SubPLOs]],"&lt;7")</f>
        <v>0</v>
      </c>
      <c r="FK39" s="138">
        <f>SUMIFS(tbl_task6[S162],tbl_task6[[SubPLOs]:[SubPLOs]],"&gt;=6",tbl_task6[[SubPLOs]:[SubPLOs]],"&lt;7")</f>
        <v>0</v>
      </c>
      <c r="FL39" s="138">
        <f>SUMIFS(tbl_task6[S163],tbl_task6[[SubPLOs]:[SubPLOs]],"&gt;=6",tbl_task6[[SubPLOs]:[SubPLOs]],"&lt;7")</f>
        <v>0</v>
      </c>
      <c r="FM39" s="138">
        <f>SUMIFS(tbl_task6[S164],tbl_task6[[SubPLOs]:[SubPLOs]],"&gt;=6",tbl_task6[[SubPLOs]:[SubPLOs]],"&lt;7")</f>
        <v>0</v>
      </c>
      <c r="FN39" s="138">
        <f>SUMIFS(tbl_task6[S165],tbl_task6[[SubPLOs]:[SubPLOs]],"&gt;=6",tbl_task6[[SubPLOs]:[SubPLOs]],"&lt;7")</f>
        <v>0</v>
      </c>
    </row>
    <row r="40" spans="1:170" ht="42" x14ac:dyDescent="0.25">
      <c r="A40" s="135">
        <v>7</v>
      </c>
      <c r="B40" s="5" t="s">
        <v>440</v>
      </c>
      <c r="C40" s="136">
        <f>COUNTIFS(tbl_task6[SubPLOs],"&gt;=7",tbl_task6[SubPLOs],"&lt;8")</f>
        <v>0</v>
      </c>
      <c r="D40" s="136">
        <f>SUMIFS(tbl_task6[คะแนนเต็ม],tbl_task6[SubPLOs],"&gt;=7",tbl_task6[SubPLOs],"&lt;8")</f>
        <v>0</v>
      </c>
      <c r="E40" s="137">
        <f>SUMIFS(tbl_task6[%],tbl_task6[SubPLOs],"&gt;=7",tbl_task6[SubPLOs],"&lt;8")</f>
        <v>0</v>
      </c>
      <c r="F40" s="138">
        <f>SUMIFS(tbl_task6[S1],tbl_task6[[SubPLOs]:[SubPLOs]],"&gt;=7",tbl_task6[[SubPLOs]:[SubPLOs]],"&lt;8")</f>
        <v>0</v>
      </c>
      <c r="G40" s="138">
        <f>SUMIFS(tbl_task6[S2],tbl_task6[[SubPLOs]:[SubPLOs]],"&gt;=7",tbl_task6[[SubPLOs]:[SubPLOs]],"&lt;8")</f>
        <v>0</v>
      </c>
      <c r="H40" s="138">
        <f>SUMIFS(tbl_task6[S3],tbl_task6[[SubPLOs]:[SubPLOs]],"&gt;=7",tbl_task6[[SubPLOs]:[SubPLOs]],"&lt;8")</f>
        <v>0</v>
      </c>
      <c r="I40" s="138">
        <f>SUMIFS(tbl_task6[S4],tbl_task6[[SubPLOs]:[SubPLOs]],"&gt;=7",tbl_task6[[SubPLOs]:[SubPLOs]],"&lt;8")</f>
        <v>0</v>
      </c>
      <c r="J40" s="138">
        <f>SUMIFS(tbl_task6[S5],tbl_task6[[SubPLOs]:[SubPLOs]],"&gt;=7",tbl_task6[[SubPLOs]:[SubPLOs]],"&lt;8")</f>
        <v>0</v>
      </c>
      <c r="K40" s="138">
        <f>SUMIFS(tbl_task6[S6],tbl_task6[[SubPLOs]:[SubPLOs]],"&gt;=7",tbl_task6[[SubPLOs]:[SubPLOs]],"&lt;8")</f>
        <v>0</v>
      </c>
      <c r="L40" s="138">
        <f>SUMIFS(tbl_task6[S7],tbl_task6[[SubPLOs]:[SubPLOs]],"&gt;=7",tbl_task6[[SubPLOs]:[SubPLOs]],"&lt;8")</f>
        <v>0</v>
      </c>
      <c r="M40" s="138">
        <f>SUMIFS(tbl_task6[S8],tbl_task6[[SubPLOs]:[SubPLOs]],"&gt;=7",tbl_task6[[SubPLOs]:[SubPLOs]],"&lt;8")</f>
        <v>0</v>
      </c>
      <c r="N40" s="138">
        <f>SUMIFS(tbl_task6[S9],tbl_task6[[SubPLOs]:[SubPLOs]],"&gt;=7",tbl_task6[[SubPLOs]:[SubPLOs]],"&lt;8")</f>
        <v>0</v>
      </c>
      <c r="O40" s="138">
        <f>SUMIFS(tbl_task6[S10],tbl_task6[[SubPLOs]:[SubPLOs]],"&gt;=7",tbl_task6[[SubPLOs]:[SubPLOs]],"&lt;8")</f>
        <v>0</v>
      </c>
      <c r="P40" s="138">
        <f>SUMIFS(tbl_task6[S11],tbl_task6[[SubPLOs]:[SubPLOs]],"&gt;=7",tbl_task6[[SubPLOs]:[SubPLOs]],"&lt;8")</f>
        <v>0</v>
      </c>
      <c r="Q40" s="138">
        <f>SUMIFS(tbl_task6[S12],tbl_task6[[SubPLOs]:[SubPLOs]],"&gt;=7",tbl_task6[[SubPLOs]:[SubPLOs]],"&lt;8")</f>
        <v>0</v>
      </c>
      <c r="R40" s="138">
        <f>SUMIFS(tbl_task6[S13],tbl_task6[[SubPLOs]:[SubPLOs]],"&gt;=7",tbl_task6[[SubPLOs]:[SubPLOs]],"&lt;8")</f>
        <v>0</v>
      </c>
      <c r="S40" s="138">
        <f>SUMIFS(tbl_task6[S14],tbl_task6[[SubPLOs]:[SubPLOs]],"&gt;=7",tbl_task6[[SubPLOs]:[SubPLOs]],"&lt;8")</f>
        <v>0</v>
      </c>
      <c r="T40" s="138">
        <f>SUMIFS(tbl_task6[S15],tbl_task6[[SubPLOs]:[SubPLOs]],"&gt;=7",tbl_task6[[SubPLOs]:[SubPLOs]],"&lt;8")</f>
        <v>0</v>
      </c>
      <c r="U40" s="138">
        <f>SUMIFS(tbl_task6[S16],tbl_task6[[SubPLOs]:[SubPLOs]],"&gt;=7",tbl_task6[[SubPLOs]:[SubPLOs]],"&lt;8")</f>
        <v>0</v>
      </c>
      <c r="V40" s="138">
        <f>SUMIFS(tbl_task6[S17],tbl_task6[[SubPLOs]:[SubPLOs]],"&gt;=7",tbl_task6[[SubPLOs]:[SubPLOs]],"&lt;8")</f>
        <v>0</v>
      </c>
      <c r="W40" s="138">
        <f>SUMIFS(tbl_task6[S18],tbl_task6[[SubPLOs]:[SubPLOs]],"&gt;=7",tbl_task6[[SubPLOs]:[SubPLOs]],"&lt;8")</f>
        <v>0</v>
      </c>
      <c r="X40" s="138">
        <f>SUMIFS(tbl_task6[S19],tbl_task6[[SubPLOs]:[SubPLOs]],"&gt;=7",tbl_task6[[SubPLOs]:[SubPLOs]],"&lt;8")</f>
        <v>0</v>
      </c>
      <c r="Y40" s="138">
        <f>SUMIFS(tbl_task6[S20],tbl_task6[[SubPLOs]:[SubPLOs]],"&gt;=7",tbl_task6[[SubPLOs]:[SubPLOs]],"&lt;8")</f>
        <v>0</v>
      </c>
      <c r="Z40" s="138">
        <f>SUMIFS(tbl_task6[S21],tbl_task6[[SubPLOs]:[SubPLOs]],"&gt;=7",tbl_task6[[SubPLOs]:[SubPLOs]],"&lt;8")</f>
        <v>0</v>
      </c>
      <c r="AA40" s="138">
        <f>SUMIFS(tbl_task6[S22],tbl_task6[[SubPLOs]:[SubPLOs]],"&gt;=7",tbl_task6[[SubPLOs]:[SubPLOs]],"&lt;8")</f>
        <v>0</v>
      </c>
      <c r="AB40" s="138">
        <f>SUMIFS(tbl_task6[S23],tbl_task6[[SubPLOs]:[SubPLOs]],"&gt;=7",tbl_task6[[SubPLOs]:[SubPLOs]],"&lt;8")</f>
        <v>0</v>
      </c>
      <c r="AC40" s="138">
        <f>SUMIFS(tbl_task6[S24],tbl_task6[[SubPLOs]:[SubPLOs]],"&gt;=7",tbl_task6[[SubPLOs]:[SubPLOs]],"&lt;8")</f>
        <v>0</v>
      </c>
      <c r="AD40" s="138">
        <f>SUMIFS(tbl_task6[S25],tbl_task6[[SubPLOs]:[SubPLOs]],"&gt;=7",tbl_task6[[SubPLOs]:[SubPLOs]],"&lt;8")</f>
        <v>0</v>
      </c>
      <c r="AE40" s="138">
        <f>SUMIFS(tbl_task6[S26],tbl_task6[[SubPLOs]:[SubPLOs]],"&gt;=7",tbl_task6[[SubPLOs]:[SubPLOs]],"&lt;8")</f>
        <v>0</v>
      </c>
      <c r="AF40" s="138">
        <f>SUMIFS(tbl_task6[S27],tbl_task6[[SubPLOs]:[SubPLOs]],"&gt;=7",tbl_task6[[SubPLOs]:[SubPLOs]],"&lt;8")</f>
        <v>0</v>
      </c>
      <c r="AG40" s="138">
        <f>SUMIFS(tbl_task6[S28],tbl_task6[[SubPLOs]:[SubPLOs]],"&gt;=7",tbl_task6[[SubPLOs]:[SubPLOs]],"&lt;8")</f>
        <v>0</v>
      </c>
      <c r="AH40" s="138">
        <f>SUMIFS(tbl_task6[S29],tbl_task6[[SubPLOs]:[SubPLOs]],"&gt;=7",tbl_task6[[SubPLOs]:[SubPLOs]],"&lt;8")</f>
        <v>0</v>
      </c>
      <c r="AI40" s="138">
        <f>SUMIFS(tbl_task6[S30],tbl_task6[[SubPLOs]:[SubPLOs]],"&gt;=7",tbl_task6[[SubPLOs]:[SubPLOs]],"&lt;8")</f>
        <v>0</v>
      </c>
      <c r="AJ40" s="138">
        <f>SUMIFS(tbl_task6[S31],tbl_task6[[SubPLOs]:[SubPLOs]],"&gt;=7",tbl_task6[[SubPLOs]:[SubPLOs]],"&lt;8")</f>
        <v>0</v>
      </c>
      <c r="AK40" s="138">
        <f>SUMIFS(tbl_task6[S32],tbl_task6[[SubPLOs]:[SubPLOs]],"&gt;=7",tbl_task6[[SubPLOs]:[SubPLOs]],"&lt;8")</f>
        <v>0</v>
      </c>
      <c r="AL40" s="138">
        <f>SUMIFS(tbl_task6[S33],tbl_task6[[SubPLOs]:[SubPLOs]],"&gt;=7",tbl_task6[[SubPLOs]:[SubPLOs]],"&lt;8")</f>
        <v>0</v>
      </c>
      <c r="AM40" s="138">
        <f>SUMIFS(tbl_task6[S34],tbl_task6[[SubPLOs]:[SubPLOs]],"&gt;=7",tbl_task6[[SubPLOs]:[SubPLOs]],"&lt;8")</f>
        <v>0</v>
      </c>
      <c r="AN40" s="138">
        <f>SUMIFS(tbl_task6[S35],tbl_task6[[SubPLOs]:[SubPLOs]],"&gt;=7",tbl_task6[[SubPLOs]:[SubPLOs]],"&lt;8")</f>
        <v>0</v>
      </c>
      <c r="AO40" s="138">
        <f>SUMIFS(tbl_task6[S36],tbl_task6[[SubPLOs]:[SubPLOs]],"&gt;=7",tbl_task6[[SubPLOs]:[SubPLOs]],"&lt;8")</f>
        <v>0</v>
      </c>
      <c r="AP40" s="138">
        <f>SUMIFS(tbl_task6[S37],tbl_task6[[SubPLOs]:[SubPLOs]],"&gt;=7",tbl_task6[[SubPLOs]:[SubPLOs]],"&lt;8")</f>
        <v>0</v>
      </c>
      <c r="AQ40" s="138">
        <f>SUMIFS(tbl_task6[S38],tbl_task6[[SubPLOs]:[SubPLOs]],"&gt;=7",tbl_task6[[SubPLOs]:[SubPLOs]],"&lt;8")</f>
        <v>0</v>
      </c>
      <c r="AR40" s="138">
        <f>SUMIFS(tbl_task6[S39],tbl_task6[[SubPLOs]:[SubPLOs]],"&gt;=7",tbl_task6[[SubPLOs]:[SubPLOs]],"&lt;8")</f>
        <v>0</v>
      </c>
      <c r="AS40" s="138">
        <f>SUMIFS(tbl_task6[S40],tbl_task6[[SubPLOs]:[SubPLOs]],"&gt;=7",tbl_task6[[SubPLOs]:[SubPLOs]],"&lt;8")</f>
        <v>0</v>
      </c>
      <c r="AT40" s="138">
        <f>SUMIFS(tbl_task6[S41],tbl_task6[[SubPLOs]:[SubPLOs]],"&gt;=7",tbl_task6[[SubPLOs]:[SubPLOs]],"&lt;8")</f>
        <v>0</v>
      </c>
      <c r="AU40" s="138">
        <f>SUMIFS(tbl_task6[S42],tbl_task6[[SubPLOs]:[SubPLOs]],"&gt;=7",tbl_task6[[SubPLOs]:[SubPLOs]],"&lt;8")</f>
        <v>0</v>
      </c>
      <c r="AV40" s="138">
        <f>SUMIFS(tbl_task6[S43],tbl_task6[[SubPLOs]:[SubPLOs]],"&gt;=7",tbl_task6[[SubPLOs]:[SubPLOs]],"&lt;8")</f>
        <v>0</v>
      </c>
      <c r="AW40" s="138">
        <f>SUMIFS(tbl_task6[S44],tbl_task6[[SubPLOs]:[SubPLOs]],"&gt;=7",tbl_task6[[SubPLOs]:[SubPLOs]],"&lt;8")</f>
        <v>0</v>
      </c>
      <c r="AX40" s="138">
        <f>SUMIFS(tbl_task6[S45],tbl_task6[[SubPLOs]:[SubPLOs]],"&gt;=7",tbl_task6[[SubPLOs]:[SubPLOs]],"&lt;8")</f>
        <v>0</v>
      </c>
      <c r="AY40" s="138">
        <f>SUMIFS(tbl_task6[S46],tbl_task6[[SubPLOs]:[SubPLOs]],"&gt;=7",tbl_task6[[SubPLOs]:[SubPLOs]],"&lt;8")</f>
        <v>0</v>
      </c>
      <c r="AZ40" s="138">
        <f>SUMIFS(tbl_task6[S47],tbl_task6[[SubPLOs]:[SubPLOs]],"&gt;=7",tbl_task6[[SubPLOs]:[SubPLOs]],"&lt;8")</f>
        <v>0</v>
      </c>
      <c r="BA40" s="138">
        <f>SUMIFS(tbl_task6[S48],tbl_task6[[SubPLOs]:[SubPLOs]],"&gt;=7",tbl_task6[[SubPLOs]:[SubPLOs]],"&lt;8")</f>
        <v>0</v>
      </c>
      <c r="BB40" s="138">
        <f>SUMIFS(tbl_task6[S49],tbl_task6[[SubPLOs]:[SubPLOs]],"&gt;=7",tbl_task6[[SubPLOs]:[SubPLOs]],"&lt;8")</f>
        <v>0</v>
      </c>
      <c r="BC40" s="138">
        <f>SUMIFS(tbl_task6[S50],tbl_task6[[SubPLOs]:[SubPLOs]],"&gt;=7",tbl_task6[[SubPLOs]:[SubPLOs]],"&lt;8")</f>
        <v>0</v>
      </c>
      <c r="BD40" s="138">
        <f>SUMIFS(tbl_task6[S51],tbl_task6[[SubPLOs]:[SubPLOs]],"&gt;=7",tbl_task6[[SubPLOs]:[SubPLOs]],"&lt;8")</f>
        <v>0</v>
      </c>
      <c r="BE40" s="138">
        <f>SUMIFS(tbl_task6[S52],tbl_task6[[SubPLOs]:[SubPLOs]],"&gt;=7",tbl_task6[[SubPLOs]:[SubPLOs]],"&lt;8")</f>
        <v>0</v>
      </c>
      <c r="BF40" s="138">
        <f>SUMIFS(tbl_task6[S53],tbl_task6[[SubPLOs]:[SubPLOs]],"&gt;=7",tbl_task6[[SubPLOs]:[SubPLOs]],"&lt;8")</f>
        <v>0</v>
      </c>
      <c r="BG40" s="138">
        <f>SUMIFS(tbl_task6[S54],tbl_task6[[SubPLOs]:[SubPLOs]],"&gt;=7",tbl_task6[[SubPLOs]:[SubPLOs]],"&lt;8")</f>
        <v>0</v>
      </c>
      <c r="BH40" s="138">
        <f>SUMIFS(tbl_task6[S55],tbl_task6[[SubPLOs]:[SubPLOs]],"&gt;=7",tbl_task6[[SubPLOs]:[SubPLOs]],"&lt;8")</f>
        <v>0</v>
      </c>
      <c r="BI40" s="138">
        <f>SUMIFS(tbl_task6[S56],tbl_task6[[SubPLOs]:[SubPLOs]],"&gt;=7",tbl_task6[[SubPLOs]:[SubPLOs]],"&lt;8")</f>
        <v>0</v>
      </c>
      <c r="BJ40" s="138">
        <f>SUMIFS(tbl_task6[S57],tbl_task6[[SubPLOs]:[SubPLOs]],"&gt;=7",tbl_task6[[SubPLOs]:[SubPLOs]],"&lt;8")</f>
        <v>0</v>
      </c>
      <c r="BK40" s="138">
        <f>SUMIFS(tbl_task6[S58],tbl_task6[[SubPLOs]:[SubPLOs]],"&gt;=7",tbl_task6[[SubPLOs]:[SubPLOs]],"&lt;8")</f>
        <v>0</v>
      </c>
      <c r="BL40" s="138">
        <f>SUMIFS(tbl_task6[S59],tbl_task6[[SubPLOs]:[SubPLOs]],"&gt;=7",tbl_task6[[SubPLOs]:[SubPLOs]],"&lt;8")</f>
        <v>0</v>
      </c>
      <c r="BM40" s="138">
        <f>SUMIFS(tbl_task6[S60],tbl_task6[[SubPLOs]:[SubPLOs]],"&gt;=7",tbl_task6[[SubPLOs]:[SubPLOs]],"&lt;8")</f>
        <v>0</v>
      </c>
      <c r="BN40" s="138">
        <f>SUMIFS(tbl_task6[S61],tbl_task6[[SubPLOs]:[SubPLOs]],"&gt;=7",tbl_task6[[SubPLOs]:[SubPLOs]],"&lt;8")</f>
        <v>0</v>
      </c>
      <c r="BO40" s="138">
        <f>SUMIFS(tbl_task6[S62],tbl_task6[[SubPLOs]:[SubPLOs]],"&gt;=7",tbl_task6[[SubPLOs]:[SubPLOs]],"&lt;8")</f>
        <v>0</v>
      </c>
      <c r="BP40" s="138">
        <f>SUMIFS(tbl_task6[S63],tbl_task6[[SubPLOs]:[SubPLOs]],"&gt;=7",tbl_task6[[SubPLOs]:[SubPLOs]],"&lt;8")</f>
        <v>0</v>
      </c>
      <c r="BQ40" s="138">
        <f>SUMIFS(tbl_task6[S64],tbl_task6[[SubPLOs]:[SubPLOs]],"&gt;=7",tbl_task6[[SubPLOs]:[SubPLOs]],"&lt;8")</f>
        <v>0</v>
      </c>
      <c r="BR40" s="138">
        <f>SUMIFS(tbl_task6[S65],tbl_task6[[SubPLOs]:[SubPLOs]],"&gt;=7",tbl_task6[[SubPLOs]:[SubPLOs]],"&lt;8")</f>
        <v>0</v>
      </c>
      <c r="BS40" s="138">
        <f>SUMIFS(tbl_task6[S66],tbl_task6[[SubPLOs]:[SubPLOs]],"&gt;=7",tbl_task6[[SubPLOs]:[SubPLOs]],"&lt;8")</f>
        <v>0</v>
      </c>
      <c r="BT40" s="138">
        <f>SUMIFS(tbl_task6[S67],tbl_task6[[SubPLOs]:[SubPLOs]],"&gt;=7",tbl_task6[[SubPLOs]:[SubPLOs]],"&lt;8")</f>
        <v>0</v>
      </c>
      <c r="BU40" s="138">
        <f>SUMIFS(tbl_task6[S68],tbl_task6[[SubPLOs]:[SubPLOs]],"&gt;=7",tbl_task6[[SubPLOs]:[SubPLOs]],"&lt;8")</f>
        <v>0</v>
      </c>
      <c r="BV40" s="138">
        <f>SUMIFS(tbl_task6[S69],tbl_task6[[SubPLOs]:[SubPLOs]],"&gt;=7",tbl_task6[[SubPLOs]:[SubPLOs]],"&lt;8")</f>
        <v>0</v>
      </c>
      <c r="BW40" s="138">
        <f>SUMIFS(tbl_task6[S70],tbl_task6[[SubPLOs]:[SubPLOs]],"&gt;=7",tbl_task6[[SubPLOs]:[SubPLOs]],"&lt;8")</f>
        <v>0</v>
      </c>
      <c r="BX40" s="138">
        <f>SUMIFS(tbl_task6[S71],tbl_task6[[SubPLOs]:[SubPLOs]],"&gt;=7",tbl_task6[[SubPLOs]:[SubPLOs]],"&lt;8")</f>
        <v>0</v>
      </c>
      <c r="BY40" s="138">
        <f>SUMIFS(tbl_task6[S72],tbl_task6[[SubPLOs]:[SubPLOs]],"&gt;=7",tbl_task6[[SubPLOs]:[SubPLOs]],"&lt;8")</f>
        <v>0</v>
      </c>
      <c r="BZ40" s="138">
        <f>SUMIFS(tbl_task6[S73],tbl_task6[[SubPLOs]:[SubPLOs]],"&gt;=7",tbl_task6[[SubPLOs]:[SubPLOs]],"&lt;8")</f>
        <v>0</v>
      </c>
      <c r="CA40" s="138">
        <f>SUMIFS(tbl_task6[S74],tbl_task6[[SubPLOs]:[SubPLOs]],"&gt;=7",tbl_task6[[SubPLOs]:[SubPLOs]],"&lt;8")</f>
        <v>0</v>
      </c>
      <c r="CB40" s="138">
        <f>SUMIFS(tbl_task6[S75],tbl_task6[[SubPLOs]:[SubPLOs]],"&gt;=7",tbl_task6[[SubPLOs]:[SubPLOs]],"&lt;8")</f>
        <v>0</v>
      </c>
      <c r="CC40" s="138">
        <f>SUMIFS(tbl_task6[S76],tbl_task6[[SubPLOs]:[SubPLOs]],"&gt;=7",tbl_task6[[SubPLOs]:[SubPLOs]],"&lt;8")</f>
        <v>0</v>
      </c>
      <c r="CD40" s="138">
        <f>SUMIFS(tbl_task6[S77],tbl_task6[[SubPLOs]:[SubPLOs]],"&gt;=7",tbl_task6[[SubPLOs]:[SubPLOs]],"&lt;8")</f>
        <v>0</v>
      </c>
      <c r="CE40" s="138">
        <f>SUMIFS(tbl_task6[S78],tbl_task6[[SubPLOs]:[SubPLOs]],"&gt;=7",tbl_task6[[SubPLOs]:[SubPLOs]],"&lt;8")</f>
        <v>0</v>
      </c>
      <c r="CF40" s="138">
        <f>SUMIFS(tbl_task6[S79],tbl_task6[[SubPLOs]:[SubPLOs]],"&gt;=7",tbl_task6[[SubPLOs]:[SubPLOs]],"&lt;8")</f>
        <v>0</v>
      </c>
      <c r="CG40" s="138">
        <f>SUMIFS(tbl_task6[S80],tbl_task6[[SubPLOs]:[SubPLOs]],"&gt;=7",tbl_task6[[SubPLOs]:[SubPLOs]],"&lt;8")</f>
        <v>0</v>
      </c>
      <c r="CH40" s="138">
        <f>SUMIFS(tbl_task6[S81],tbl_task6[[SubPLOs]:[SubPLOs]],"&gt;=7",tbl_task6[[SubPLOs]:[SubPLOs]],"&lt;8")</f>
        <v>0</v>
      </c>
      <c r="CI40" s="138">
        <f>SUMIFS(tbl_task6[S82],tbl_task6[[SubPLOs]:[SubPLOs]],"&gt;=7",tbl_task6[[SubPLOs]:[SubPLOs]],"&lt;8")</f>
        <v>0</v>
      </c>
      <c r="CJ40" s="138">
        <f>SUMIFS(tbl_task6[S83],tbl_task6[[SubPLOs]:[SubPLOs]],"&gt;=7",tbl_task6[[SubPLOs]:[SubPLOs]],"&lt;8")</f>
        <v>0</v>
      </c>
      <c r="CK40" s="138">
        <f>SUMIFS(tbl_task6[S84],tbl_task6[[SubPLOs]:[SubPLOs]],"&gt;=7",tbl_task6[[SubPLOs]:[SubPLOs]],"&lt;8")</f>
        <v>0</v>
      </c>
      <c r="CL40" s="138">
        <f>SUMIFS(tbl_task6[S85],tbl_task6[[SubPLOs]:[SubPLOs]],"&gt;=7",tbl_task6[[SubPLOs]:[SubPLOs]],"&lt;8")</f>
        <v>0</v>
      </c>
      <c r="CM40" s="138">
        <f>SUMIFS(tbl_task6[S86],tbl_task6[[SubPLOs]:[SubPLOs]],"&gt;=7",tbl_task6[[SubPLOs]:[SubPLOs]],"&lt;8")</f>
        <v>0</v>
      </c>
      <c r="CN40" s="138">
        <f>SUMIFS(tbl_task6[S87],tbl_task6[[SubPLOs]:[SubPLOs]],"&gt;=7",tbl_task6[[SubPLOs]:[SubPLOs]],"&lt;8")</f>
        <v>0</v>
      </c>
      <c r="CO40" s="138">
        <f>SUMIFS(tbl_task6[S88],tbl_task6[[SubPLOs]:[SubPLOs]],"&gt;=7",tbl_task6[[SubPLOs]:[SubPLOs]],"&lt;8")</f>
        <v>0</v>
      </c>
      <c r="CP40" s="138">
        <f>SUMIFS(tbl_task6[S89],tbl_task6[[SubPLOs]:[SubPLOs]],"&gt;=7",tbl_task6[[SubPLOs]:[SubPLOs]],"&lt;8")</f>
        <v>0</v>
      </c>
      <c r="CQ40" s="138">
        <f>SUMIFS(tbl_task6[S90],tbl_task6[[SubPLOs]:[SubPLOs]],"&gt;=7",tbl_task6[[SubPLOs]:[SubPLOs]],"&lt;8")</f>
        <v>0</v>
      </c>
      <c r="CR40" s="138">
        <f>SUMIFS(tbl_task6[S91],tbl_task6[[SubPLOs]:[SubPLOs]],"&gt;=7",tbl_task6[[SubPLOs]:[SubPLOs]],"&lt;8")</f>
        <v>0</v>
      </c>
      <c r="CS40" s="138">
        <f>SUMIFS(tbl_task6[S92],tbl_task6[[SubPLOs]:[SubPLOs]],"&gt;=7",tbl_task6[[SubPLOs]:[SubPLOs]],"&lt;8")</f>
        <v>0</v>
      </c>
      <c r="CT40" s="138">
        <f>SUMIFS(tbl_task6[S93],tbl_task6[[SubPLOs]:[SubPLOs]],"&gt;=7",tbl_task6[[SubPLOs]:[SubPLOs]],"&lt;8")</f>
        <v>0</v>
      </c>
      <c r="CU40" s="138">
        <f>SUMIFS(tbl_task6[S94],tbl_task6[[SubPLOs]:[SubPLOs]],"&gt;=7",tbl_task6[[SubPLOs]:[SubPLOs]],"&lt;8")</f>
        <v>0</v>
      </c>
      <c r="CV40" s="138">
        <f>SUMIFS(tbl_task6[S95],tbl_task6[[SubPLOs]:[SubPLOs]],"&gt;=7",tbl_task6[[SubPLOs]:[SubPLOs]],"&lt;8")</f>
        <v>0</v>
      </c>
      <c r="CW40" s="138">
        <f>SUMIFS(tbl_task6[S96],tbl_task6[[SubPLOs]:[SubPLOs]],"&gt;=7",tbl_task6[[SubPLOs]:[SubPLOs]],"&lt;8")</f>
        <v>0</v>
      </c>
      <c r="CX40" s="138">
        <f>SUMIFS(tbl_task6[S97],tbl_task6[[SubPLOs]:[SubPLOs]],"&gt;=7",tbl_task6[[SubPLOs]:[SubPLOs]],"&lt;8")</f>
        <v>0</v>
      </c>
      <c r="CY40" s="138">
        <f>SUMIFS(tbl_task6[S98],tbl_task6[[SubPLOs]:[SubPLOs]],"&gt;=7",tbl_task6[[SubPLOs]:[SubPLOs]],"&lt;8")</f>
        <v>0</v>
      </c>
      <c r="CZ40" s="138">
        <f>SUMIFS(tbl_task6[S99],tbl_task6[[SubPLOs]:[SubPLOs]],"&gt;=7",tbl_task6[[SubPLOs]:[SubPLOs]],"&lt;8")</f>
        <v>0</v>
      </c>
      <c r="DA40" s="138">
        <f>SUMIFS(tbl_task6[S100],tbl_task6[[SubPLOs]:[SubPLOs]],"&gt;=7",tbl_task6[[SubPLOs]:[SubPLOs]],"&lt;8")</f>
        <v>0</v>
      </c>
      <c r="DB40" s="138">
        <f>SUMIFS(tbl_task6[S101],tbl_task6[[SubPLOs]:[SubPLOs]],"&gt;=7",tbl_task6[[SubPLOs]:[SubPLOs]],"&lt;8")</f>
        <v>0</v>
      </c>
      <c r="DC40" s="138">
        <f>SUMIFS(tbl_task6[S102],tbl_task6[[SubPLOs]:[SubPLOs]],"&gt;=7",tbl_task6[[SubPLOs]:[SubPLOs]],"&lt;8")</f>
        <v>0</v>
      </c>
      <c r="DD40" s="138">
        <f>SUMIFS(tbl_task6[S103],tbl_task6[[SubPLOs]:[SubPLOs]],"&gt;=7",tbl_task6[[SubPLOs]:[SubPLOs]],"&lt;8")</f>
        <v>0</v>
      </c>
      <c r="DE40" s="138">
        <f>SUMIFS(tbl_task6[S104],tbl_task6[[SubPLOs]:[SubPLOs]],"&gt;=7",tbl_task6[[SubPLOs]:[SubPLOs]],"&lt;8")</f>
        <v>0</v>
      </c>
      <c r="DF40" s="138">
        <f>SUMIFS(tbl_task6[S105],tbl_task6[[SubPLOs]:[SubPLOs]],"&gt;=7",tbl_task6[[SubPLOs]:[SubPLOs]],"&lt;8")</f>
        <v>0</v>
      </c>
      <c r="DG40" s="138">
        <f>SUMIFS(tbl_task6[S106],tbl_task6[[SubPLOs]:[SubPLOs]],"&gt;=7",tbl_task6[[SubPLOs]:[SubPLOs]],"&lt;8")</f>
        <v>0</v>
      </c>
      <c r="DH40" s="138">
        <f>SUMIFS(tbl_task6[S106],tbl_task6[[SubPLOs]:[SubPLOs]],"&gt;=7",tbl_task6[[SubPLOs]:[SubPLOs]],"&lt;8")</f>
        <v>0</v>
      </c>
      <c r="DI40" s="138">
        <f>SUMIFS(tbl_task6[S108],tbl_task6[[SubPLOs]:[SubPLOs]],"&gt;=7",tbl_task6[[SubPLOs]:[SubPLOs]],"&lt;8")</f>
        <v>0</v>
      </c>
      <c r="DJ40" s="138">
        <f>SUMIFS(tbl_task6[S109],tbl_task6[[SubPLOs]:[SubPLOs]],"&gt;=7",tbl_task6[[SubPLOs]:[SubPLOs]],"&lt;8")</f>
        <v>0</v>
      </c>
      <c r="DK40" s="138">
        <f>SUMIFS(tbl_task6[S110],tbl_task6[[SubPLOs]:[SubPLOs]],"&gt;=7",tbl_task6[[SubPLOs]:[SubPLOs]],"&lt;8")</f>
        <v>0</v>
      </c>
      <c r="DL40" s="138">
        <f>SUMIFS(tbl_task6[S111],tbl_task6[[SubPLOs]:[SubPLOs]],"&gt;=7",tbl_task6[[SubPLOs]:[SubPLOs]],"&lt;8")</f>
        <v>0</v>
      </c>
      <c r="DM40" s="138">
        <f>SUMIFS(tbl_task6[S112],tbl_task6[[SubPLOs]:[SubPLOs]],"&gt;=7",tbl_task6[[SubPLOs]:[SubPLOs]],"&lt;8")</f>
        <v>0</v>
      </c>
      <c r="DN40" s="138">
        <f>SUMIFS(tbl_task6[S113],tbl_task6[[SubPLOs]:[SubPLOs]],"&gt;=7",tbl_task6[[SubPLOs]:[SubPLOs]],"&lt;8")</f>
        <v>0</v>
      </c>
      <c r="DO40" s="138">
        <f>SUMIFS(tbl_task6[S114],tbl_task6[[SubPLOs]:[SubPLOs]],"&gt;=7",tbl_task6[[SubPLOs]:[SubPLOs]],"&lt;8")</f>
        <v>0</v>
      </c>
      <c r="DP40" s="138">
        <f>SUMIFS(tbl_task6[S115],tbl_task6[[SubPLOs]:[SubPLOs]],"&gt;=7",tbl_task6[[SubPLOs]:[SubPLOs]],"&lt;8")</f>
        <v>0</v>
      </c>
      <c r="DQ40" s="138">
        <f>SUMIFS(tbl_task6[S116],tbl_task6[[SubPLOs]:[SubPLOs]],"&gt;=7",tbl_task6[[SubPLOs]:[SubPLOs]],"&lt;8")</f>
        <v>0</v>
      </c>
      <c r="DR40" s="138">
        <f>SUMIFS(tbl_task6[S117],tbl_task6[[SubPLOs]:[SubPLOs]],"&gt;=7",tbl_task6[[SubPLOs]:[SubPLOs]],"&lt;8")</f>
        <v>0</v>
      </c>
      <c r="DS40" s="138">
        <f>SUMIFS(tbl_task6[S118],tbl_task6[[SubPLOs]:[SubPLOs]],"&gt;=7",tbl_task6[[SubPLOs]:[SubPLOs]],"&lt;8")</f>
        <v>0</v>
      </c>
      <c r="DT40" s="138">
        <f>SUMIFS(tbl_task6[S119],tbl_task6[[SubPLOs]:[SubPLOs]],"&gt;=7",tbl_task6[[SubPLOs]:[SubPLOs]],"&lt;8")</f>
        <v>0</v>
      </c>
      <c r="DU40" s="138">
        <f>SUMIFS(tbl_task6[S120],tbl_task6[[SubPLOs]:[SubPLOs]],"&gt;=7",tbl_task6[[SubPLOs]:[SubPLOs]],"&lt;8")</f>
        <v>0</v>
      </c>
      <c r="DV40" s="138">
        <f>SUMIFS(tbl_task6[S121],tbl_task6[[SubPLOs]:[SubPLOs]],"&gt;=7",tbl_task6[[SubPLOs]:[SubPLOs]],"&lt;8")</f>
        <v>0</v>
      </c>
      <c r="DW40" s="138">
        <f>SUMIFS(tbl_task6[S122],tbl_task6[[SubPLOs]:[SubPLOs]],"&gt;=7",tbl_task6[[SubPLOs]:[SubPLOs]],"&lt;8")</f>
        <v>0</v>
      </c>
      <c r="DX40" s="138">
        <f>SUMIFS(tbl_task6[S123],tbl_task6[[SubPLOs]:[SubPLOs]],"&gt;=7",tbl_task6[[SubPLOs]:[SubPLOs]],"&lt;8")</f>
        <v>0</v>
      </c>
      <c r="DY40" s="138">
        <f>SUMIFS(tbl_task6[S124],tbl_task6[[SubPLOs]:[SubPLOs]],"&gt;=7",tbl_task6[[SubPLOs]:[SubPLOs]],"&lt;8")</f>
        <v>0</v>
      </c>
      <c r="DZ40" s="138">
        <f>SUMIFS(tbl_task6[S125],tbl_task6[[SubPLOs]:[SubPLOs]],"&gt;=7",tbl_task6[[SubPLOs]:[SubPLOs]],"&lt;8")</f>
        <v>0</v>
      </c>
      <c r="EA40" s="138">
        <f>SUMIFS(tbl_task6[S126],tbl_task6[[SubPLOs]:[SubPLOs]],"&gt;=7",tbl_task6[[SubPLOs]:[SubPLOs]],"&lt;8")</f>
        <v>0</v>
      </c>
      <c r="EB40" s="138">
        <f>SUMIFS(tbl_task6[S127],tbl_task6[[SubPLOs]:[SubPLOs]],"&gt;=7",tbl_task6[[SubPLOs]:[SubPLOs]],"&lt;8")</f>
        <v>0</v>
      </c>
      <c r="EC40" s="138">
        <f>SUMIFS(tbl_task6[S128],tbl_task6[[SubPLOs]:[SubPLOs]],"&gt;=7",tbl_task6[[SubPLOs]:[SubPLOs]],"&lt;8")</f>
        <v>0</v>
      </c>
      <c r="ED40" s="138">
        <f>SUMIFS(tbl_task6[S129],tbl_task6[[SubPLOs]:[SubPLOs]],"&gt;=7",tbl_task6[[SubPLOs]:[SubPLOs]],"&lt;8")</f>
        <v>0</v>
      </c>
      <c r="EE40" s="138">
        <f>SUMIFS(tbl_task6[S130],tbl_task6[[SubPLOs]:[SubPLOs]],"&gt;=7",tbl_task6[[SubPLOs]:[SubPLOs]],"&lt;8")</f>
        <v>0</v>
      </c>
      <c r="EF40" s="138">
        <f>SUMIFS(tbl_task6[S131],tbl_task6[[SubPLOs]:[SubPLOs]],"&gt;=7",tbl_task6[[SubPLOs]:[SubPLOs]],"&lt;8")</f>
        <v>0</v>
      </c>
      <c r="EG40" s="138">
        <f>SUMIFS(tbl_task6[S132],tbl_task6[[SubPLOs]:[SubPLOs]],"&gt;=7",tbl_task6[[SubPLOs]:[SubPLOs]],"&lt;8")</f>
        <v>0</v>
      </c>
      <c r="EH40" s="138">
        <f>SUMIFS(tbl_task6[S133],tbl_task6[[SubPLOs]:[SubPLOs]],"&gt;=7",tbl_task6[[SubPLOs]:[SubPLOs]],"&lt;8")</f>
        <v>0</v>
      </c>
      <c r="EI40" s="138">
        <f>SUMIFS(tbl_task6[S134],tbl_task6[[SubPLOs]:[SubPLOs]],"&gt;=7",tbl_task6[[SubPLOs]:[SubPLOs]],"&lt;8")</f>
        <v>0</v>
      </c>
      <c r="EJ40" s="138">
        <f>SUMIFS(tbl_task6[S135],tbl_task6[[SubPLOs]:[SubPLOs]],"&gt;=7",tbl_task6[[SubPLOs]:[SubPLOs]],"&lt;8")</f>
        <v>0</v>
      </c>
      <c r="EK40" s="138">
        <f>SUMIFS(tbl_task6[S136],tbl_task6[[SubPLOs]:[SubPLOs]],"&gt;=7",tbl_task6[[SubPLOs]:[SubPLOs]],"&lt;8")</f>
        <v>0</v>
      </c>
      <c r="EL40" s="138">
        <f>SUMIFS(tbl_task6[S137],tbl_task6[[SubPLOs]:[SubPLOs]],"&gt;=7",tbl_task6[[SubPLOs]:[SubPLOs]],"&lt;8")</f>
        <v>0</v>
      </c>
      <c r="EM40" s="138">
        <f>SUMIFS(tbl_task6[S138],tbl_task6[[SubPLOs]:[SubPLOs]],"&gt;=7",tbl_task6[[SubPLOs]:[SubPLOs]],"&lt;8")</f>
        <v>0</v>
      </c>
      <c r="EN40" s="138">
        <f>SUMIFS(tbl_task6[S139],tbl_task6[[SubPLOs]:[SubPLOs]],"&gt;=7",tbl_task6[[SubPLOs]:[SubPLOs]],"&lt;8")</f>
        <v>0</v>
      </c>
      <c r="EO40" s="138">
        <f>SUMIFS(tbl_task6[S140],tbl_task6[[SubPLOs]:[SubPLOs]],"&gt;=7",tbl_task6[[SubPLOs]:[SubPLOs]],"&lt;8")</f>
        <v>0</v>
      </c>
      <c r="EP40" s="138">
        <f>SUMIFS(tbl_task6[S141],tbl_task6[[SubPLOs]:[SubPLOs]],"&gt;=7",tbl_task6[[SubPLOs]:[SubPLOs]],"&lt;8")</f>
        <v>0</v>
      </c>
      <c r="EQ40" s="138">
        <f>SUMIFS(tbl_task6[S142],tbl_task6[[SubPLOs]:[SubPLOs]],"&gt;=7",tbl_task6[[SubPLOs]:[SubPLOs]],"&lt;8")</f>
        <v>0</v>
      </c>
      <c r="ER40" s="138">
        <f>SUMIFS(tbl_task6[S143],tbl_task6[[SubPLOs]:[SubPLOs]],"&gt;=7",tbl_task6[[SubPLOs]:[SubPLOs]],"&lt;8")</f>
        <v>0</v>
      </c>
      <c r="ES40" s="138">
        <f>SUMIFS(tbl_task6[S144],tbl_task6[[SubPLOs]:[SubPLOs]],"&gt;=7",tbl_task6[[SubPLOs]:[SubPLOs]],"&lt;8")</f>
        <v>0</v>
      </c>
      <c r="ET40" s="138">
        <f>SUMIFS(tbl_task6[S145],tbl_task6[[SubPLOs]:[SubPLOs]],"&gt;=7",tbl_task6[[SubPLOs]:[SubPLOs]],"&lt;8")</f>
        <v>0</v>
      </c>
      <c r="EU40" s="138">
        <f>SUMIFS(tbl_task6[S146],tbl_task6[[SubPLOs]:[SubPLOs]],"&gt;=7",tbl_task6[[SubPLOs]:[SubPLOs]],"&lt;8")</f>
        <v>0</v>
      </c>
      <c r="EV40" s="138">
        <f>SUMIFS(tbl_task6[S147],tbl_task6[[SubPLOs]:[SubPLOs]],"&gt;=7",tbl_task6[[SubPLOs]:[SubPLOs]],"&lt;8")</f>
        <v>0</v>
      </c>
      <c r="EW40" s="138">
        <f>SUMIFS(tbl_task6[S148],tbl_task6[[SubPLOs]:[SubPLOs]],"&gt;=7",tbl_task6[[SubPLOs]:[SubPLOs]],"&lt;8")</f>
        <v>0</v>
      </c>
      <c r="EX40" s="138">
        <f>SUMIFS(tbl_task6[S149],tbl_task6[[SubPLOs]:[SubPLOs]],"&gt;=7",tbl_task6[[SubPLOs]:[SubPLOs]],"&lt;8")</f>
        <v>0</v>
      </c>
      <c r="EY40" s="138">
        <f>SUMIFS(tbl_task6[S150],tbl_task6[[SubPLOs]:[SubPLOs]],"&gt;=7",tbl_task6[[SubPLOs]:[SubPLOs]],"&lt;8")</f>
        <v>0</v>
      </c>
      <c r="EZ40" s="138">
        <f>SUMIFS(tbl_task6[S151],tbl_task6[[SubPLOs]:[SubPLOs]],"&gt;=7",tbl_task6[[SubPLOs]:[SubPLOs]],"&lt;8")</f>
        <v>0</v>
      </c>
      <c r="FA40" s="138">
        <f>SUMIFS(tbl_task6[S152],tbl_task6[[SubPLOs]:[SubPLOs]],"&gt;=7",tbl_task6[[SubPLOs]:[SubPLOs]],"&lt;8")</f>
        <v>0</v>
      </c>
      <c r="FB40" s="138">
        <f>SUMIFS(tbl_task6[S153],tbl_task6[[SubPLOs]:[SubPLOs]],"&gt;=7",tbl_task6[[SubPLOs]:[SubPLOs]],"&lt;8")</f>
        <v>0</v>
      </c>
      <c r="FC40" s="138">
        <f>SUMIFS(tbl_task6[S154],tbl_task6[[SubPLOs]:[SubPLOs]],"&gt;=7",tbl_task6[[SubPLOs]:[SubPLOs]],"&lt;8")</f>
        <v>0</v>
      </c>
      <c r="FD40" s="138">
        <f>SUMIFS(tbl_task6[S155],tbl_task6[[SubPLOs]:[SubPLOs]],"&gt;=7",tbl_task6[[SubPLOs]:[SubPLOs]],"&lt;8")</f>
        <v>0</v>
      </c>
      <c r="FE40" s="138">
        <f>SUMIFS(tbl_task6[S156],tbl_task6[[SubPLOs]:[SubPLOs]],"&gt;=7",tbl_task6[[SubPLOs]:[SubPLOs]],"&lt;8")</f>
        <v>0</v>
      </c>
      <c r="FF40" s="138">
        <f>SUMIFS(tbl_task6[S157],tbl_task6[[SubPLOs]:[SubPLOs]],"&gt;=7",tbl_task6[[SubPLOs]:[SubPLOs]],"&lt;8")</f>
        <v>0</v>
      </c>
      <c r="FG40" s="138">
        <f>SUMIFS(tbl_task6[S158],tbl_task6[[SubPLOs]:[SubPLOs]],"&gt;=7",tbl_task6[[SubPLOs]:[SubPLOs]],"&lt;8")</f>
        <v>0</v>
      </c>
      <c r="FH40" s="138">
        <f>SUMIFS(tbl_task6[S159],tbl_task6[[SubPLOs]:[SubPLOs]],"&gt;=7",tbl_task6[[SubPLOs]:[SubPLOs]],"&lt;8")</f>
        <v>0</v>
      </c>
      <c r="FI40" s="138">
        <f>SUMIFS(tbl_task6[S160],tbl_task6[[SubPLOs]:[SubPLOs]],"&gt;=7",tbl_task6[[SubPLOs]:[SubPLOs]],"&lt;8")</f>
        <v>0</v>
      </c>
      <c r="FJ40" s="138">
        <f>SUMIFS(tbl_task6[S161],tbl_task6[[SubPLOs]:[SubPLOs]],"&gt;=7",tbl_task6[[SubPLOs]:[SubPLOs]],"&lt;8")</f>
        <v>0</v>
      </c>
      <c r="FK40" s="138">
        <f>SUMIFS(tbl_task6[S162],tbl_task6[[SubPLOs]:[SubPLOs]],"&gt;=7",tbl_task6[[SubPLOs]:[SubPLOs]],"&lt;8")</f>
        <v>0</v>
      </c>
      <c r="FL40" s="138">
        <f>SUMIFS(tbl_task6[S163],tbl_task6[[SubPLOs]:[SubPLOs]],"&gt;=7",tbl_task6[[SubPLOs]:[SubPLOs]],"&lt;8")</f>
        <v>0</v>
      </c>
      <c r="FM40" s="138">
        <f>SUMIFS(tbl_task6[S164],tbl_task6[[SubPLOs]:[SubPLOs]],"&gt;=7",tbl_task6[[SubPLOs]:[SubPLOs]],"&lt;8")</f>
        <v>0</v>
      </c>
      <c r="FN40" s="138">
        <f>SUMIFS(tbl_task6[S165],tbl_task6[[SubPLOs]:[SubPLOs]],"&gt;=7",tbl_task6[[SubPLOs]:[SubPLOs]],"&lt;8")</f>
        <v>0</v>
      </c>
    </row>
    <row r="41" spans="1:170" ht="63" x14ac:dyDescent="0.25">
      <c r="A41" s="135">
        <v>8</v>
      </c>
      <c r="B41" s="5" t="s">
        <v>441</v>
      </c>
      <c r="C41" s="136">
        <f>COUNTIFS(tbl_task6[SubPLOs],"&gt;=8",tbl_task6[SubPLOs],"&lt;9")</f>
        <v>0</v>
      </c>
      <c r="D41" s="136">
        <f>SUMIFS(tbl_task6[คะแนนเต็ม],tbl_task6[SubPLOs],"&gt;=8",tbl_task6[SubPLOs],"&lt;9")</f>
        <v>0</v>
      </c>
      <c r="E41" s="137">
        <f>SUMIFS(tbl_task6[%],tbl_task6[SubPLOs],"&gt;=8",tbl_task6[SubPLOs],"&lt;9")</f>
        <v>0</v>
      </c>
      <c r="F41" s="138">
        <f>SUMIFS(tbl_task6[S1],tbl_task6[[SubPLOs]:[SubPLOs]],"&gt;=8",tbl_task6[[SubPLOs]:[SubPLOs]],"&lt;9")</f>
        <v>0</v>
      </c>
      <c r="G41" s="138">
        <f>SUMIFS(tbl_task6[S2],tbl_task6[[SubPLOs]:[SubPLOs]],"&gt;=8",tbl_task6[[SubPLOs]:[SubPLOs]],"&lt;9")</f>
        <v>0</v>
      </c>
      <c r="H41" s="138">
        <f>SUMIFS(tbl_task6[S3],tbl_task6[[SubPLOs]:[SubPLOs]],"&gt;=8",tbl_task6[[SubPLOs]:[SubPLOs]],"&lt;9")</f>
        <v>0</v>
      </c>
      <c r="I41" s="138">
        <f>SUMIFS(tbl_task6[S4],tbl_task6[[SubPLOs]:[SubPLOs]],"&gt;=8",tbl_task6[[SubPLOs]:[SubPLOs]],"&lt;9")</f>
        <v>0</v>
      </c>
      <c r="J41" s="138">
        <f>SUMIFS(tbl_task6[S5],tbl_task6[[SubPLOs]:[SubPLOs]],"&gt;=8",tbl_task6[[SubPLOs]:[SubPLOs]],"&lt;9")</f>
        <v>0</v>
      </c>
      <c r="K41" s="138">
        <f>SUMIFS(tbl_task6[S6],tbl_task6[[SubPLOs]:[SubPLOs]],"&gt;=8",tbl_task6[[SubPLOs]:[SubPLOs]],"&lt;9")</f>
        <v>0</v>
      </c>
      <c r="L41" s="138">
        <f>SUMIFS(tbl_task6[S7],tbl_task6[[SubPLOs]:[SubPLOs]],"&gt;=8",tbl_task6[[SubPLOs]:[SubPLOs]],"&lt;9")</f>
        <v>0</v>
      </c>
      <c r="M41" s="138">
        <f>SUMIFS(tbl_task6[S8],tbl_task6[[SubPLOs]:[SubPLOs]],"&gt;=8",tbl_task6[[SubPLOs]:[SubPLOs]],"&lt;9")</f>
        <v>0</v>
      </c>
      <c r="N41" s="138">
        <f>SUMIFS(tbl_task6[S9],tbl_task6[[SubPLOs]:[SubPLOs]],"&gt;=8",tbl_task6[[SubPLOs]:[SubPLOs]],"&lt;9")</f>
        <v>0</v>
      </c>
      <c r="O41" s="138">
        <f>SUMIFS(tbl_task6[S10],tbl_task6[[SubPLOs]:[SubPLOs]],"&gt;=8",tbl_task6[[SubPLOs]:[SubPLOs]],"&lt;9")</f>
        <v>0</v>
      </c>
      <c r="P41" s="138">
        <f>SUMIFS(tbl_task6[S11],tbl_task6[[SubPLOs]:[SubPLOs]],"&gt;=8",tbl_task6[[SubPLOs]:[SubPLOs]],"&lt;9")</f>
        <v>0</v>
      </c>
      <c r="Q41" s="138">
        <f>SUMIFS(tbl_task6[S12],tbl_task6[[SubPLOs]:[SubPLOs]],"&gt;=8",tbl_task6[[SubPLOs]:[SubPLOs]],"&lt;9")</f>
        <v>0</v>
      </c>
      <c r="R41" s="138">
        <f>SUMIFS(tbl_task6[S13],tbl_task6[[SubPLOs]:[SubPLOs]],"&gt;=8",tbl_task6[[SubPLOs]:[SubPLOs]],"&lt;9")</f>
        <v>0</v>
      </c>
      <c r="S41" s="138">
        <f>SUMIFS(tbl_task6[S14],tbl_task6[[SubPLOs]:[SubPLOs]],"&gt;=8",tbl_task6[[SubPLOs]:[SubPLOs]],"&lt;9")</f>
        <v>0</v>
      </c>
      <c r="T41" s="138">
        <f>SUMIFS(tbl_task6[S15],tbl_task6[[SubPLOs]:[SubPLOs]],"&gt;=8",tbl_task6[[SubPLOs]:[SubPLOs]],"&lt;9")</f>
        <v>0</v>
      </c>
      <c r="U41" s="138">
        <f>SUMIFS(tbl_task6[S16],tbl_task6[[SubPLOs]:[SubPLOs]],"&gt;=8",tbl_task6[[SubPLOs]:[SubPLOs]],"&lt;9")</f>
        <v>0</v>
      </c>
      <c r="V41" s="138">
        <f>SUMIFS(tbl_task6[S17],tbl_task6[[SubPLOs]:[SubPLOs]],"&gt;=8",tbl_task6[[SubPLOs]:[SubPLOs]],"&lt;9")</f>
        <v>0</v>
      </c>
      <c r="W41" s="138">
        <f>SUMIFS(tbl_task6[S18],tbl_task6[[SubPLOs]:[SubPLOs]],"&gt;=8",tbl_task6[[SubPLOs]:[SubPLOs]],"&lt;9")</f>
        <v>0</v>
      </c>
      <c r="X41" s="138">
        <f>SUMIFS(tbl_task6[S19],tbl_task6[[SubPLOs]:[SubPLOs]],"&gt;=8",tbl_task6[[SubPLOs]:[SubPLOs]],"&lt;9")</f>
        <v>0</v>
      </c>
      <c r="Y41" s="138">
        <f>SUMIFS(tbl_task6[S20],tbl_task6[[SubPLOs]:[SubPLOs]],"&gt;=8",tbl_task6[[SubPLOs]:[SubPLOs]],"&lt;9")</f>
        <v>0</v>
      </c>
      <c r="Z41" s="138">
        <f>SUMIFS(tbl_task6[S21],tbl_task6[[SubPLOs]:[SubPLOs]],"&gt;=8",tbl_task6[[SubPLOs]:[SubPLOs]],"&lt;9")</f>
        <v>0</v>
      </c>
      <c r="AA41" s="138">
        <f>SUMIFS(tbl_task6[S22],tbl_task6[[SubPLOs]:[SubPLOs]],"&gt;=8",tbl_task6[[SubPLOs]:[SubPLOs]],"&lt;9")</f>
        <v>0</v>
      </c>
      <c r="AB41" s="138">
        <f>SUMIFS(tbl_task6[S23],tbl_task6[[SubPLOs]:[SubPLOs]],"&gt;=8",tbl_task6[[SubPLOs]:[SubPLOs]],"&lt;9")</f>
        <v>0</v>
      </c>
      <c r="AC41" s="138">
        <f>SUMIFS(tbl_task6[S24],tbl_task6[[SubPLOs]:[SubPLOs]],"&gt;=8",tbl_task6[[SubPLOs]:[SubPLOs]],"&lt;9")</f>
        <v>0</v>
      </c>
      <c r="AD41" s="138">
        <f>SUMIFS(tbl_task6[S25],tbl_task6[[SubPLOs]:[SubPLOs]],"&gt;=8",tbl_task6[[SubPLOs]:[SubPLOs]],"&lt;9")</f>
        <v>0</v>
      </c>
      <c r="AE41" s="138">
        <f>SUMIFS(tbl_task6[S26],tbl_task6[[SubPLOs]:[SubPLOs]],"&gt;=8",tbl_task6[[SubPLOs]:[SubPLOs]],"&lt;9")</f>
        <v>0</v>
      </c>
      <c r="AF41" s="138">
        <f>SUMIFS(tbl_task6[S27],tbl_task6[[SubPLOs]:[SubPLOs]],"&gt;=8",tbl_task6[[SubPLOs]:[SubPLOs]],"&lt;9")</f>
        <v>0</v>
      </c>
      <c r="AG41" s="138">
        <f>SUMIFS(tbl_task6[S28],tbl_task6[[SubPLOs]:[SubPLOs]],"&gt;=8",tbl_task6[[SubPLOs]:[SubPLOs]],"&lt;9")</f>
        <v>0</v>
      </c>
      <c r="AH41" s="138">
        <f>SUMIFS(tbl_task6[S29],tbl_task6[[SubPLOs]:[SubPLOs]],"&gt;=8",tbl_task6[[SubPLOs]:[SubPLOs]],"&lt;9")</f>
        <v>0</v>
      </c>
      <c r="AI41" s="138">
        <f>SUMIFS(tbl_task6[S30],tbl_task6[[SubPLOs]:[SubPLOs]],"&gt;=8",tbl_task6[[SubPLOs]:[SubPLOs]],"&lt;9")</f>
        <v>0</v>
      </c>
      <c r="AJ41" s="138">
        <f>SUMIFS(tbl_task6[S31],tbl_task6[[SubPLOs]:[SubPLOs]],"&gt;=8",tbl_task6[[SubPLOs]:[SubPLOs]],"&lt;9")</f>
        <v>0</v>
      </c>
      <c r="AK41" s="138">
        <f>SUMIFS(tbl_task6[S32],tbl_task6[[SubPLOs]:[SubPLOs]],"&gt;=8",tbl_task6[[SubPLOs]:[SubPLOs]],"&lt;9")</f>
        <v>0</v>
      </c>
      <c r="AL41" s="138">
        <f>SUMIFS(tbl_task6[S33],tbl_task6[[SubPLOs]:[SubPLOs]],"&gt;=8",tbl_task6[[SubPLOs]:[SubPLOs]],"&lt;9")</f>
        <v>0</v>
      </c>
      <c r="AM41" s="138">
        <f>SUMIFS(tbl_task6[S34],tbl_task6[[SubPLOs]:[SubPLOs]],"&gt;=8",tbl_task6[[SubPLOs]:[SubPLOs]],"&lt;9")</f>
        <v>0</v>
      </c>
      <c r="AN41" s="138">
        <f>SUMIFS(tbl_task6[S35],tbl_task6[[SubPLOs]:[SubPLOs]],"&gt;=8",tbl_task6[[SubPLOs]:[SubPLOs]],"&lt;9")</f>
        <v>0</v>
      </c>
      <c r="AO41" s="138">
        <f>SUMIFS(tbl_task6[S36],tbl_task6[[SubPLOs]:[SubPLOs]],"&gt;=8",tbl_task6[[SubPLOs]:[SubPLOs]],"&lt;9")</f>
        <v>0</v>
      </c>
      <c r="AP41" s="138">
        <f>SUMIFS(tbl_task6[S37],tbl_task6[[SubPLOs]:[SubPLOs]],"&gt;=8",tbl_task6[[SubPLOs]:[SubPLOs]],"&lt;9")</f>
        <v>0</v>
      </c>
      <c r="AQ41" s="138">
        <f>SUMIFS(tbl_task6[S38],tbl_task6[[SubPLOs]:[SubPLOs]],"&gt;=8",tbl_task6[[SubPLOs]:[SubPLOs]],"&lt;9")</f>
        <v>0</v>
      </c>
      <c r="AR41" s="138">
        <f>SUMIFS(tbl_task6[S39],tbl_task6[[SubPLOs]:[SubPLOs]],"&gt;=8",tbl_task6[[SubPLOs]:[SubPLOs]],"&lt;9")</f>
        <v>0</v>
      </c>
      <c r="AS41" s="138">
        <f>SUMIFS(tbl_task6[S40],tbl_task6[[SubPLOs]:[SubPLOs]],"&gt;=8",tbl_task6[[SubPLOs]:[SubPLOs]],"&lt;9")</f>
        <v>0</v>
      </c>
      <c r="AT41" s="138">
        <f>SUMIFS(tbl_task6[S41],tbl_task6[[SubPLOs]:[SubPLOs]],"&gt;=8",tbl_task6[[SubPLOs]:[SubPLOs]],"&lt;9")</f>
        <v>0</v>
      </c>
      <c r="AU41" s="138">
        <f>SUMIFS(tbl_task6[S42],tbl_task6[[SubPLOs]:[SubPLOs]],"&gt;=8",tbl_task6[[SubPLOs]:[SubPLOs]],"&lt;9")</f>
        <v>0</v>
      </c>
      <c r="AV41" s="138">
        <f>SUMIFS(tbl_task6[S43],tbl_task6[[SubPLOs]:[SubPLOs]],"&gt;=8",tbl_task6[[SubPLOs]:[SubPLOs]],"&lt;9")</f>
        <v>0</v>
      </c>
      <c r="AW41" s="138">
        <f>SUMIFS(tbl_task6[S44],tbl_task6[[SubPLOs]:[SubPLOs]],"&gt;=8",tbl_task6[[SubPLOs]:[SubPLOs]],"&lt;9")</f>
        <v>0</v>
      </c>
      <c r="AX41" s="138">
        <f>SUMIFS(tbl_task6[S45],tbl_task6[[SubPLOs]:[SubPLOs]],"&gt;=8",tbl_task6[[SubPLOs]:[SubPLOs]],"&lt;9")</f>
        <v>0</v>
      </c>
      <c r="AY41" s="138">
        <f>SUMIFS(tbl_task6[S46],tbl_task6[[SubPLOs]:[SubPLOs]],"&gt;=8",tbl_task6[[SubPLOs]:[SubPLOs]],"&lt;9")</f>
        <v>0</v>
      </c>
      <c r="AZ41" s="138">
        <f>SUMIFS(tbl_task6[S47],tbl_task6[[SubPLOs]:[SubPLOs]],"&gt;=8",tbl_task6[[SubPLOs]:[SubPLOs]],"&lt;9")</f>
        <v>0</v>
      </c>
      <c r="BA41" s="138">
        <f>SUMIFS(tbl_task6[S48],tbl_task6[[SubPLOs]:[SubPLOs]],"&gt;=8",tbl_task6[[SubPLOs]:[SubPLOs]],"&lt;9")</f>
        <v>0</v>
      </c>
      <c r="BB41" s="138">
        <f>SUMIFS(tbl_task6[S49],tbl_task6[[SubPLOs]:[SubPLOs]],"&gt;=8",tbl_task6[[SubPLOs]:[SubPLOs]],"&lt;9")</f>
        <v>0</v>
      </c>
      <c r="BC41" s="138">
        <f>SUMIFS(tbl_task6[S50],tbl_task6[[SubPLOs]:[SubPLOs]],"&gt;=8",tbl_task6[[SubPLOs]:[SubPLOs]],"&lt;9")</f>
        <v>0</v>
      </c>
      <c r="BD41" s="138">
        <f>SUMIFS(tbl_task6[S51],tbl_task6[[SubPLOs]:[SubPLOs]],"&gt;=8",tbl_task6[[SubPLOs]:[SubPLOs]],"&lt;9")</f>
        <v>0</v>
      </c>
      <c r="BE41" s="138">
        <f>SUMIFS(tbl_task6[S52],tbl_task6[[SubPLOs]:[SubPLOs]],"&gt;=8",tbl_task6[[SubPLOs]:[SubPLOs]],"&lt;9")</f>
        <v>0</v>
      </c>
      <c r="BF41" s="138">
        <f>SUMIFS(tbl_task6[S53],tbl_task6[[SubPLOs]:[SubPLOs]],"&gt;=8",tbl_task6[[SubPLOs]:[SubPLOs]],"&lt;9")</f>
        <v>0</v>
      </c>
      <c r="BG41" s="138">
        <f>SUMIFS(tbl_task6[S54],tbl_task6[[SubPLOs]:[SubPLOs]],"&gt;=8",tbl_task6[[SubPLOs]:[SubPLOs]],"&lt;9")</f>
        <v>0</v>
      </c>
      <c r="BH41" s="138">
        <f>SUMIFS(tbl_task6[S55],tbl_task6[[SubPLOs]:[SubPLOs]],"&gt;=8",tbl_task6[[SubPLOs]:[SubPLOs]],"&lt;9")</f>
        <v>0</v>
      </c>
      <c r="BI41" s="138">
        <f>SUMIFS(tbl_task6[S56],tbl_task6[[SubPLOs]:[SubPLOs]],"&gt;=8",tbl_task6[[SubPLOs]:[SubPLOs]],"&lt;9")</f>
        <v>0</v>
      </c>
      <c r="BJ41" s="138">
        <f>SUMIFS(tbl_task6[S57],tbl_task6[[SubPLOs]:[SubPLOs]],"&gt;=8",tbl_task6[[SubPLOs]:[SubPLOs]],"&lt;9")</f>
        <v>0</v>
      </c>
      <c r="BK41" s="138">
        <f>SUMIFS(tbl_task6[S58],tbl_task6[[SubPLOs]:[SubPLOs]],"&gt;=8",tbl_task6[[SubPLOs]:[SubPLOs]],"&lt;9")</f>
        <v>0</v>
      </c>
      <c r="BL41" s="138">
        <f>SUMIFS(tbl_task6[S59],tbl_task6[[SubPLOs]:[SubPLOs]],"&gt;=8",tbl_task6[[SubPLOs]:[SubPLOs]],"&lt;9")</f>
        <v>0</v>
      </c>
      <c r="BM41" s="138">
        <f>SUMIFS(tbl_task6[S60],tbl_task6[[SubPLOs]:[SubPLOs]],"&gt;=8",tbl_task6[[SubPLOs]:[SubPLOs]],"&lt;9")</f>
        <v>0</v>
      </c>
      <c r="BN41" s="138">
        <f>SUMIFS(tbl_task6[S61],tbl_task6[[SubPLOs]:[SubPLOs]],"&gt;=8",tbl_task6[[SubPLOs]:[SubPLOs]],"&lt;9")</f>
        <v>0</v>
      </c>
      <c r="BO41" s="138">
        <f>SUMIFS(tbl_task6[S62],tbl_task6[[SubPLOs]:[SubPLOs]],"&gt;=8",tbl_task6[[SubPLOs]:[SubPLOs]],"&lt;9")</f>
        <v>0</v>
      </c>
      <c r="BP41" s="138">
        <f>SUMIFS(tbl_task6[S63],tbl_task6[[SubPLOs]:[SubPLOs]],"&gt;=8",tbl_task6[[SubPLOs]:[SubPLOs]],"&lt;9")</f>
        <v>0</v>
      </c>
      <c r="BQ41" s="138">
        <f>SUMIFS(tbl_task6[S64],tbl_task6[[SubPLOs]:[SubPLOs]],"&gt;=8",tbl_task6[[SubPLOs]:[SubPLOs]],"&lt;9")</f>
        <v>0</v>
      </c>
      <c r="BR41" s="138">
        <f>SUMIFS(tbl_task6[S65],tbl_task6[[SubPLOs]:[SubPLOs]],"&gt;=8",tbl_task6[[SubPLOs]:[SubPLOs]],"&lt;9")</f>
        <v>0</v>
      </c>
      <c r="BS41" s="138">
        <f>SUMIFS(tbl_task6[S66],tbl_task6[[SubPLOs]:[SubPLOs]],"&gt;=8",tbl_task6[[SubPLOs]:[SubPLOs]],"&lt;9")</f>
        <v>0</v>
      </c>
      <c r="BT41" s="138">
        <f>SUMIFS(tbl_task6[S67],tbl_task6[[SubPLOs]:[SubPLOs]],"&gt;=8",tbl_task6[[SubPLOs]:[SubPLOs]],"&lt;9")</f>
        <v>0</v>
      </c>
      <c r="BU41" s="138">
        <f>SUMIFS(tbl_task6[S68],tbl_task6[[SubPLOs]:[SubPLOs]],"&gt;=8",tbl_task6[[SubPLOs]:[SubPLOs]],"&lt;9")</f>
        <v>0</v>
      </c>
      <c r="BV41" s="138">
        <f>SUMIFS(tbl_task6[S69],tbl_task6[[SubPLOs]:[SubPLOs]],"&gt;=8",tbl_task6[[SubPLOs]:[SubPLOs]],"&lt;9")</f>
        <v>0</v>
      </c>
      <c r="BW41" s="138">
        <f>SUMIFS(tbl_task6[S70],tbl_task6[[SubPLOs]:[SubPLOs]],"&gt;=8",tbl_task6[[SubPLOs]:[SubPLOs]],"&lt;9")</f>
        <v>0</v>
      </c>
      <c r="BX41" s="138">
        <f>SUMIFS(tbl_task6[S71],tbl_task6[[SubPLOs]:[SubPLOs]],"&gt;=8",tbl_task6[[SubPLOs]:[SubPLOs]],"&lt;9")</f>
        <v>0</v>
      </c>
      <c r="BY41" s="138">
        <f>SUMIFS(tbl_task6[S72],tbl_task6[[SubPLOs]:[SubPLOs]],"&gt;=8",tbl_task6[[SubPLOs]:[SubPLOs]],"&lt;9")</f>
        <v>0</v>
      </c>
      <c r="BZ41" s="138">
        <f>SUMIFS(tbl_task6[S73],tbl_task6[[SubPLOs]:[SubPLOs]],"&gt;=8",tbl_task6[[SubPLOs]:[SubPLOs]],"&lt;9")</f>
        <v>0</v>
      </c>
      <c r="CA41" s="138">
        <f>SUMIFS(tbl_task6[S74],tbl_task6[[SubPLOs]:[SubPLOs]],"&gt;=8",tbl_task6[[SubPLOs]:[SubPLOs]],"&lt;9")</f>
        <v>0</v>
      </c>
      <c r="CB41" s="138">
        <f>SUMIFS(tbl_task6[S75],tbl_task6[[SubPLOs]:[SubPLOs]],"&gt;=8",tbl_task6[[SubPLOs]:[SubPLOs]],"&lt;9")</f>
        <v>0</v>
      </c>
      <c r="CC41" s="138">
        <f>SUMIFS(tbl_task6[S76],tbl_task6[[SubPLOs]:[SubPLOs]],"&gt;=8",tbl_task6[[SubPLOs]:[SubPLOs]],"&lt;9")</f>
        <v>0</v>
      </c>
      <c r="CD41" s="138">
        <f>SUMIFS(tbl_task6[S77],tbl_task6[[SubPLOs]:[SubPLOs]],"&gt;=8",tbl_task6[[SubPLOs]:[SubPLOs]],"&lt;9")</f>
        <v>0</v>
      </c>
      <c r="CE41" s="138">
        <f>SUMIFS(tbl_task6[S78],tbl_task6[[SubPLOs]:[SubPLOs]],"&gt;=8",tbl_task6[[SubPLOs]:[SubPLOs]],"&lt;9")</f>
        <v>0</v>
      </c>
      <c r="CF41" s="138">
        <f>SUMIFS(tbl_task6[S79],tbl_task6[[SubPLOs]:[SubPLOs]],"&gt;=8",tbl_task6[[SubPLOs]:[SubPLOs]],"&lt;9")</f>
        <v>0</v>
      </c>
      <c r="CG41" s="138">
        <f>SUMIFS(tbl_task6[S80],tbl_task6[[SubPLOs]:[SubPLOs]],"&gt;=8",tbl_task6[[SubPLOs]:[SubPLOs]],"&lt;9")</f>
        <v>0</v>
      </c>
      <c r="CH41" s="138">
        <f>SUMIFS(tbl_task6[S81],tbl_task6[[SubPLOs]:[SubPLOs]],"&gt;=8",tbl_task6[[SubPLOs]:[SubPLOs]],"&lt;9")</f>
        <v>0</v>
      </c>
      <c r="CI41" s="138">
        <f>SUMIFS(tbl_task6[S82],tbl_task6[[SubPLOs]:[SubPLOs]],"&gt;=8",tbl_task6[[SubPLOs]:[SubPLOs]],"&lt;9")</f>
        <v>0</v>
      </c>
      <c r="CJ41" s="138">
        <f>SUMIFS(tbl_task6[S83],tbl_task6[[SubPLOs]:[SubPLOs]],"&gt;=8",tbl_task6[[SubPLOs]:[SubPLOs]],"&lt;9")</f>
        <v>0</v>
      </c>
      <c r="CK41" s="138">
        <f>SUMIFS(tbl_task6[S84],tbl_task6[[SubPLOs]:[SubPLOs]],"&gt;=8",tbl_task6[[SubPLOs]:[SubPLOs]],"&lt;9")</f>
        <v>0</v>
      </c>
      <c r="CL41" s="138">
        <f>SUMIFS(tbl_task6[S85],tbl_task6[[SubPLOs]:[SubPLOs]],"&gt;=8",tbl_task6[[SubPLOs]:[SubPLOs]],"&lt;9")</f>
        <v>0</v>
      </c>
      <c r="CM41" s="138">
        <f>SUMIFS(tbl_task6[S86],tbl_task6[[SubPLOs]:[SubPLOs]],"&gt;=8",tbl_task6[[SubPLOs]:[SubPLOs]],"&lt;9")</f>
        <v>0</v>
      </c>
      <c r="CN41" s="138">
        <f>SUMIFS(tbl_task6[S87],tbl_task6[[SubPLOs]:[SubPLOs]],"&gt;=8",tbl_task6[[SubPLOs]:[SubPLOs]],"&lt;9")</f>
        <v>0</v>
      </c>
      <c r="CO41" s="138">
        <f>SUMIFS(tbl_task6[S88],tbl_task6[[SubPLOs]:[SubPLOs]],"&gt;=8",tbl_task6[[SubPLOs]:[SubPLOs]],"&lt;9")</f>
        <v>0</v>
      </c>
      <c r="CP41" s="138">
        <f>SUMIFS(tbl_task6[S89],tbl_task6[[SubPLOs]:[SubPLOs]],"&gt;=8",tbl_task6[[SubPLOs]:[SubPLOs]],"&lt;9")</f>
        <v>0</v>
      </c>
      <c r="CQ41" s="138">
        <f>SUMIFS(tbl_task6[S90],tbl_task6[[SubPLOs]:[SubPLOs]],"&gt;=8",tbl_task6[[SubPLOs]:[SubPLOs]],"&lt;9")</f>
        <v>0</v>
      </c>
      <c r="CR41" s="138">
        <f>SUMIFS(tbl_task6[S91],tbl_task6[[SubPLOs]:[SubPLOs]],"&gt;=8",tbl_task6[[SubPLOs]:[SubPLOs]],"&lt;9")</f>
        <v>0</v>
      </c>
      <c r="CS41" s="138">
        <f>SUMIFS(tbl_task6[S92],tbl_task6[[SubPLOs]:[SubPLOs]],"&gt;=8",tbl_task6[[SubPLOs]:[SubPLOs]],"&lt;9")</f>
        <v>0</v>
      </c>
      <c r="CT41" s="138">
        <f>SUMIFS(tbl_task6[S93],tbl_task6[[SubPLOs]:[SubPLOs]],"&gt;=8",tbl_task6[[SubPLOs]:[SubPLOs]],"&lt;9")</f>
        <v>0</v>
      </c>
      <c r="CU41" s="138">
        <f>SUMIFS(tbl_task6[S94],tbl_task6[[SubPLOs]:[SubPLOs]],"&gt;=8",tbl_task6[[SubPLOs]:[SubPLOs]],"&lt;9")</f>
        <v>0</v>
      </c>
      <c r="CV41" s="138">
        <f>SUMIFS(tbl_task6[S95],tbl_task6[[SubPLOs]:[SubPLOs]],"&gt;=8",tbl_task6[[SubPLOs]:[SubPLOs]],"&lt;9")</f>
        <v>0</v>
      </c>
      <c r="CW41" s="138">
        <f>SUMIFS(tbl_task6[S96],tbl_task6[[SubPLOs]:[SubPLOs]],"&gt;=8",tbl_task6[[SubPLOs]:[SubPLOs]],"&lt;9")</f>
        <v>0</v>
      </c>
      <c r="CX41" s="138">
        <f>SUMIFS(tbl_task6[S97],tbl_task6[[SubPLOs]:[SubPLOs]],"&gt;=8",tbl_task6[[SubPLOs]:[SubPLOs]],"&lt;9")</f>
        <v>0</v>
      </c>
      <c r="CY41" s="138">
        <f>SUMIFS(tbl_task6[S98],tbl_task6[[SubPLOs]:[SubPLOs]],"&gt;=8",tbl_task6[[SubPLOs]:[SubPLOs]],"&lt;9")</f>
        <v>0</v>
      </c>
      <c r="CZ41" s="138">
        <f>SUMIFS(tbl_task6[S99],tbl_task6[[SubPLOs]:[SubPLOs]],"&gt;=8",tbl_task6[[SubPLOs]:[SubPLOs]],"&lt;9")</f>
        <v>0</v>
      </c>
      <c r="DA41" s="138">
        <f>SUMIFS(tbl_task6[S100],tbl_task6[[SubPLOs]:[SubPLOs]],"&gt;=8",tbl_task6[[SubPLOs]:[SubPLOs]],"&lt;9")</f>
        <v>0</v>
      </c>
      <c r="DB41" s="138">
        <f>SUMIFS(tbl_task6[S101],tbl_task6[[SubPLOs]:[SubPLOs]],"&gt;=8",tbl_task6[[SubPLOs]:[SubPLOs]],"&lt;9")</f>
        <v>0</v>
      </c>
      <c r="DC41" s="138">
        <f>SUMIFS(tbl_task6[S102],tbl_task6[[SubPLOs]:[SubPLOs]],"&gt;=8",tbl_task6[[SubPLOs]:[SubPLOs]],"&lt;9")</f>
        <v>0</v>
      </c>
      <c r="DD41" s="138">
        <f>SUMIFS(tbl_task6[S103],tbl_task6[[SubPLOs]:[SubPLOs]],"&gt;=8",tbl_task6[[SubPLOs]:[SubPLOs]],"&lt;9")</f>
        <v>0</v>
      </c>
      <c r="DE41" s="138">
        <f>SUMIFS(tbl_task6[S104],tbl_task6[[SubPLOs]:[SubPLOs]],"&gt;=8",tbl_task6[[SubPLOs]:[SubPLOs]],"&lt;9")</f>
        <v>0</v>
      </c>
      <c r="DF41" s="138">
        <f>SUMIFS(tbl_task6[S105],tbl_task6[[SubPLOs]:[SubPLOs]],"&gt;=8",tbl_task6[[SubPLOs]:[SubPLOs]],"&lt;9")</f>
        <v>0</v>
      </c>
      <c r="DG41" s="138">
        <f>SUMIFS(tbl_task6[S106],tbl_task6[[SubPLOs]:[SubPLOs]],"&gt;=8",tbl_task6[[SubPLOs]:[SubPLOs]],"&lt;9")</f>
        <v>0</v>
      </c>
      <c r="DH41" s="138">
        <f>SUMIFS(tbl_task6[S106],tbl_task6[[SubPLOs]:[SubPLOs]],"&gt;=8",tbl_task6[[SubPLOs]:[SubPLOs]],"&lt;9")</f>
        <v>0</v>
      </c>
      <c r="DI41" s="138">
        <f>SUMIFS(tbl_task6[S108],tbl_task6[[SubPLOs]:[SubPLOs]],"&gt;=8",tbl_task6[[SubPLOs]:[SubPLOs]],"&lt;9")</f>
        <v>0</v>
      </c>
      <c r="DJ41" s="138">
        <f>SUMIFS(tbl_task6[S109],tbl_task6[[SubPLOs]:[SubPLOs]],"&gt;=8",tbl_task6[[SubPLOs]:[SubPLOs]],"&lt;9")</f>
        <v>0</v>
      </c>
      <c r="DK41" s="138">
        <f>SUMIFS(tbl_task6[S110],tbl_task6[[SubPLOs]:[SubPLOs]],"&gt;=8",tbl_task6[[SubPLOs]:[SubPLOs]],"&lt;9")</f>
        <v>0</v>
      </c>
      <c r="DL41" s="138">
        <f>SUMIFS(tbl_task6[S111],tbl_task6[[SubPLOs]:[SubPLOs]],"&gt;=8",tbl_task6[[SubPLOs]:[SubPLOs]],"&lt;9")</f>
        <v>0</v>
      </c>
      <c r="DM41" s="138">
        <f>SUMIFS(tbl_task6[S112],tbl_task6[[SubPLOs]:[SubPLOs]],"&gt;=8",tbl_task6[[SubPLOs]:[SubPLOs]],"&lt;9")</f>
        <v>0</v>
      </c>
      <c r="DN41" s="138">
        <f>SUMIFS(tbl_task6[S113],tbl_task6[[SubPLOs]:[SubPLOs]],"&gt;=8",tbl_task6[[SubPLOs]:[SubPLOs]],"&lt;9")</f>
        <v>0</v>
      </c>
      <c r="DO41" s="138">
        <f>SUMIFS(tbl_task6[S114],tbl_task6[[SubPLOs]:[SubPLOs]],"&gt;=8",tbl_task6[[SubPLOs]:[SubPLOs]],"&lt;9")</f>
        <v>0</v>
      </c>
      <c r="DP41" s="138">
        <f>SUMIFS(tbl_task6[S115],tbl_task6[[SubPLOs]:[SubPLOs]],"&gt;=8",tbl_task6[[SubPLOs]:[SubPLOs]],"&lt;9")</f>
        <v>0</v>
      </c>
      <c r="DQ41" s="138">
        <f>SUMIFS(tbl_task6[S116],tbl_task6[[SubPLOs]:[SubPLOs]],"&gt;=8",tbl_task6[[SubPLOs]:[SubPLOs]],"&lt;9")</f>
        <v>0</v>
      </c>
      <c r="DR41" s="138">
        <f>SUMIFS(tbl_task6[S117],tbl_task6[[SubPLOs]:[SubPLOs]],"&gt;=8",tbl_task6[[SubPLOs]:[SubPLOs]],"&lt;9")</f>
        <v>0</v>
      </c>
      <c r="DS41" s="138">
        <f>SUMIFS(tbl_task6[S118],tbl_task6[[SubPLOs]:[SubPLOs]],"&gt;=8",tbl_task6[[SubPLOs]:[SubPLOs]],"&lt;9")</f>
        <v>0</v>
      </c>
      <c r="DT41" s="138">
        <f>SUMIFS(tbl_task6[S119],tbl_task6[[SubPLOs]:[SubPLOs]],"&gt;=8",tbl_task6[[SubPLOs]:[SubPLOs]],"&lt;9")</f>
        <v>0</v>
      </c>
      <c r="DU41" s="138">
        <f>SUMIFS(tbl_task6[S120],tbl_task6[[SubPLOs]:[SubPLOs]],"&gt;=8",tbl_task6[[SubPLOs]:[SubPLOs]],"&lt;9")</f>
        <v>0</v>
      </c>
      <c r="DV41" s="138">
        <f>SUMIFS(tbl_task6[S121],tbl_task6[[SubPLOs]:[SubPLOs]],"&gt;=8",tbl_task6[[SubPLOs]:[SubPLOs]],"&lt;9")</f>
        <v>0</v>
      </c>
      <c r="DW41" s="138">
        <f>SUMIFS(tbl_task6[S122],tbl_task6[[SubPLOs]:[SubPLOs]],"&gt;=8",tbl_task6[[SubPLOs]:[SubPLOs]],"&lt;9")</f>
        <v>0</v>
      </c>
      <c r="DX41" s="138">
        <f>SUMIFS(tbl_task6[S123],tbl_task6[[SubPLOs]:[SubPLOs]],"&gt;=8",tbl_task6[[SubPLOs]:[SubPLOs]],"&lt;9")</f>
        <v>0</v>
      </c>
      <c r="DY41" s="138">
        <f>SUMIFS(tbl_task6[S124],tbl_task6[[SubPLOs]:[SubPLOs]],"&gt;=8",tbl_task6[[SubPLOs]:[SubPLOs]],"&lt;9")</f>
        <v>0</v>
      </c>
      <c r="DZ41" s="138">
        <f>SUMIFS(tbl_task6[S125],tbl_task6[[SubPLOs]:[SubPLOs]],"&gt;=8",tbl_task6[[SubPLOs]:[SubPLOs]],"&lt;9")</f>
        <v>0</v>
      </c>
      <c r="EA41" s="138">
        <f>SUMIFS(tbl_task6[S126],tbl_task6[[SubPLOs]:[SubPLOs]],"&gt;=8",tbl_task6[[SubPLOs]:[SubPLOs]],"&lt;9")</f>
        <v>0</v>
      </c>
      <c r="EB41" s="138">
        <f>SUMIFS(tbl_task6[S127],tbl_task6[[SubPLOs]:[SubPLOs]],"&gt;=8",tbl_task6[[SubPLOs]:[SubPLOs]],"&lt;9")</f>
        <v>0</v>
      </c>
      <c r="EC41" s="138">
        <f>SUMIFS(tbl_task6[S128],tbl_task6[[SubPLOs]:[SubPLOs]],"&gt;=8",tbl_task6[[SubPLOs]:[SubPLOs]],"&lt;9")</f>
        <v>0</v>
      </c>
      <c r="ED41" s="138">
        <f>SUMIFS(tbl_task6[S129],tbl_task6[[SubPLOs]:[SubPLOs]],"&gt;=8",tbl_task6[[SubPLOs]:[SubPLOs]],"&lt;9")</f>
        <v>0</v>
      </c>
      <c r="EE41" s="138">
        <f>SUMIFS(tbl_task6[S130],tbl_task6[[SubPLOs]:[SubPLOs]],"&gt;=8",tbl_task6[[SubPLOs]:[SubPLOs]],"&lt;9")</f>
        <v>0</v>
      </c>
      <c r="EF41" s="138">
        <f>SUMIFS(tbl_task6[S131],tbl_task6[[SubPLOs]:[SubPLOs]],"&gt;=8",tbl_task6[[SubPLOs]:[SubPLOs]],"&lt;9")</f>
        <v>0</v>
      </c>
      <c r="EG41" s="138">
        <f>SUMIFS(tbl_task6[S132],tbl_task6[[SubPLOs]:[SubPLOs]],"&gt;=8",tbl_task6[[SubPLOs]:[SubPLOs]],"&lt;9")</f>
        <v>0</v>
      </c>
      <c r="EH41" s="138">
        <f>SUMIFS(tbl_task6[S133],tbl_task6[[SubPLOs]:[SubPLOs]],"&gt;=8",tbl_task6[[SubPLOs]:[SubPLOs]],"&lt;9")</f>
        <v>0</v>
      </c>
      <c r="EI41" s="138">
        <f>SUMIFS(tbl_task6[S134],tbl_task6[[SubPLOs]:[SubPLOs]],"&gt;=8",tbl_task6[[SubPLOs]:[SubPLOs]],"&lt;9")</f>
        <v>0</v>
      </c>
      <c r="EJ41" s="138">
        <f>SUMIFS(tbl_task6[S135],tbl_task6[[SubPLOs]:[SubPLOs]],"&gt;=8",tbl_task6[[SubPLOs]:[SubPLOs]],"&lt;9")</f>
        <v>0</v>
      </c>
      <c r="EK41" s="138">
        <f>SUMIFS(tbl_task6[S136],tbl_task6[[SubPLOs]:[SubPLOs]],"&gt;=8",tbl_task6[[SubPLOs]:[SubPLOs]],"&lt;9")</f>
        <v>0</v>
      </c>
      <c r="EL41" s="138">
        <f>SUMIFS(tbl_task6[S137],tbl_task6[[SubPLOs]:[SubPLOs]],"&gt;=8",tbl_task6[[SubPLOs]:[SubPLOs]],"&lt;9")</f>
        <v>0</v>
      </c>
      <c r="EM41" s="138">
        <f>SUMIFS(tbl_task6[S138],tbl_task6[[SubPLOs]:[SubPLOs]],"&gt;=8",tbl_task6[[SubPLOs]:[SubPLOs]],"&lt;9")</f>
        <v>0</v>
      </c>
      <c r="EN41" s="138">
        <f>SUMIFS(tbl_task6[S139],tbl_task6[[SubPLOs]:[SubPLOs]],"&gt;=8",tbl_task6[[SubPLOs]:[SubPLOs]],"&lt;9")</f>
        <v>0</v>
      </c>
      <c r="EO41" s="138">
        <f>SUMIFS(tbl_task6[S140],tbl_task6[[SubPLOs]:[SubPLOs]],"&gt;=8",tbl_task6[[SubPLOs]:[SubPLOs]],"&lt;9")</f>
        <v>0</v>
      </c>
      <c r="EP41" s="138">
        <f>SUMIFS(tbl_task6[S141],tbl_task6[[SubPLOs]:[SubPLOs]],"&gt;=8",tbl_task6[[SubPLOs]:[SubPLOs]],"&lt;9")</f>
        <v>0</v>
      </c>
      <c r="EQ41" s="138">
        <f>SUMIFS(tbl_task6[S142],tbl_task6[[SubPLOs]:[SubPLOs]],"&gt;=8",tbl_task6[[SubPLOs]:[SubPLOs]],"&lt;9")</f>
        <v>0</v>
      </c>
      <c r="ER41" s="138">
        <f>SUMIFS(tbl_task6[S143],tbl_task6[[SubPLOs]:[SubPLOs]],"&gt;=8",tbl_task6[[SubPLOs]:[SubPLOs]],"&lt;9")</f>
        <v>0</v>
      </c>
      <c r="ES41" s="138">
        <f>SUMIFS(tbl_task6[S144],tbl_task6[[SubPLOs]:[SubPLOs]],"&gt;=8",tbl_task6[[SubPLOs]:[SubPLOs]],"&lt;9")</f>
        <v>0</v>
      </c>
      <c r="ET41" s="138">
        <f>SUMIFS(tbl_task6[S145],tbl_task6[[SubPLOs]:[SubPLOs]],"&gt;=8",tbl_task6[[SubPLOs]:[SubPLOs]],"&lt;9")</f>
        <v>0</v>
      </c>
      <c r="EU41" s="138">
        <f>SUMIFS(tbl_task6[S146],tbl_task6[[SubPLOs]:[SubPLOs]],"&gt;=8",tbl_task6[[SubPLOs]:[SubPLOs]],"&lt;9")</f>
        <v>0</v>
      </c>
      <c r="EV41" s="138">
        <f>SUMIFS(tbl_task6[S147],tbl_task6[[SubPLOs]:[SubPLOs]],"&gt;=8",tbl_task6[[SubPLOs]:[SubPLOs]],"&lt;9")</f>
        <v>0</v>
      </c>
      <c r="EW41" s="138">
        <f>SUMIFS(tbl_task6[S148],tbl_task6[[SubPLOs]:[SubPLOs]],"&gt;=8",tbl_task6[[SubPLOs]:[SubPLOs]],"&lt;9")</f>
        <v>0</v>
      </c>
      <c r="EX41" s="138">
        <f>SUMIFS(tbl_task6[S149],tbl_task6[[SubPLOs]:[SubPLOs]],"&gt;=8",tbl_task6[[SubPLOs]:[SubPLOs]],"&lt;9")</f>
        <v>0</v>
      </c>
      <c r="EY41" s="138">
        <f>SUMIFS(tbl_task6[S150],tbl_task6[[SubPLOs]:[SubPLOs]],"&gt;=8",tbl_task6[[SubPLOs]:[SubPLOs]],"&lt;9")</f>
        <v>0</v>
      </c>
      <c r="EZ41" s="138">
        <f>SUMIFS(tbl_task6[S151],tbl_task6[[SubPLOs]:[SubPLOs]],"&gt;=8",tbl_task6[[SubPLOs]:[SubPLOs]],"&lt;9")</f>
        <v>0</v>
      </c>
      <c r="FA41" s="138">
        <f>SUMIFS(tbl_task6[S152],tbl_task6[[SubPLOs]:[SubPLOs]],"&gt;=8",tbl_task6[[SubPLOs]:[SubPLOs]],"&lt;9")</f>
        <v>0</v>
      </c>
      <c r="FB41" s="138">
        <f>SUMIFS(tbl_task6[S153],tbl_task6[[SubPLOs]:[SubPLOs]],"&gt;=8",tbl_task6[[SubPLOs]:[SubPLOs]],"&lt;9")</f>
        <v>0</v>
      </c>
      <c r="FC41" s="138">
        <f>SUMIFS(tbl_task6[S154],tbl_task6[[SubPLOs]:[SubPLOs]],"&gt;=8",tbl_task6[[SubPLOs]:[SubPLOs]],"&lt;9")</f>
        <v>0</v>
      </c>
      <c r="FD41" s="138">
        <f>SUMIFS(tbl_task6[S155],tbl_task6[[SubPLOs]:[SubPLOs]],"&gt;=8",tbl_task6[[SubPLOs]:[SubPLOs]],"&lt;9")</f>
        <v>0</v>
      </c>
      <c r="FE41" s="138">
        <f>SUMIFS(tbl_task6[S156],tbl_task6[[SubPLOs]:[SubPLOs]],"&gt;=8",tbl_task6[[SubPLOs]:[SubPLOs]],"&lt;9")</f>
        <v>0</v>
      </c>
      <c r="FF41" s="138">
        <f>SUMIFS(tbl_task6[S157],tbl_task6[[SubPLOs]:[SubPLOs]],"&gt;=8",tbl_task6[[SubPLOs]:[SubPLOs]],"&lt;9")</f>
        <v>0</v>
      </c>
      <c r="FG41" s="138">
        <f>SUMIFS(tbl_task6[S158],tbl_task6[[SubPLOs]:[SubPLOs]],"&gt;=8",tbl_task6[[SubPLOs]:[SubPLOs]],"&lt;9")</f>
        <v>0</v>
      </c>
      <c r="FH41" s="138">
        <f>SUMIFS(tbl_task6[S159],tbl_task6[[SubPLOs]:[SubPLOs]],"&gt;=8",tbl_task6[[SubPLOs]:[SubPLOs]],"&lt;9")</f>
        <v>0</v>
      </c>
      <c r="FI41" s="138">
        <f>SUMIFS(tbl_task6[S160],tbl_task6[[SubPLOs]:[SubPLOs]],"&gt;=8",tbl_task6[[SubPLOs]:[SubPLOs]],"&lt;9")</f>
        <v>0</v>
      </c>
      <c r="FJ41" s="138">
        <f>SUMIFS(tbl_task6[S161],tbl_task6[[SubPLOs]:[SubPLOs]],"&gt;=8",tbl_task6[[SubPLOs]:[SubPLOs]],"&lt;9")</f>
        <v>0</v>
      </c>
      <c r="FK41" s="138">
        <f>SUMIFS(tbl_task6[S162],tbl_task6[[SubPLOs]:[SubPLOs]],"&gt;=8",tbl_task6[[SubPLOs]:[SubPLOs]],"&lt;9")</f>
        <v>0</v>
      </c>
      <c r="FL41" s="138">
        <f>SUMIFS(tbl_task6[S163],tbl_task6[[SubPLOs]:[SubPLOs]],"&gt;=8",tbl_task6[[SubPLOs]:[SubPLOs]],"&lt;9")</f>
        <v>0</v>
      </c>
      <c r="FM41" s="138">
        <f>SUMIFS(tbl_task6[S164],tbl_task6[[SubPLOs]:[SubPLOs]],"&gt;=8",tbl_task6[[SubPLOs]:[SubPLOs]],"&lt;9")</f>
        <v>0</v>
      </c>
      <c r="FN41" s="138">
        <f>SUMIFS(tbl_task6[S165],tbl_task6[[SubPLOs]:[SubPLOs]],"&gt;=8",tbl_task6[[SubPLOs]:[SubPLOs]],"&lt;9")</f>
        <v>0</v>
      </c>
    </row>
    <row r="42" spans="1:170" ht="63" x14ac:dyDescent="0.25">
      <c r="A42" s="135">
        <v>9</v>
      </c>
      <c r="B42" s="5" t="s">
        <v>442</v>
      </c>
      <c r="C42" s="136">
        <f>COUNTIFS(tbl_task6[SubPLOs],"&gt;=9",tbl_task6[SubPLOs],"&lt;10")</f>
        <v>0</v>
      </c>
      <c r="D42" s="136">
        <f>SUMIFS(tbl_task6[คะแนนเต็ม],tbl_task6[SubPLOs],"&gt;=9",tbl_task6[SubPLOs],"&lt;10")</f>
        <v>0</v>
      </c>
      <c r="E42" s="137">
        <f>SUMIFS(tbl_task6[%],tbl_task6[SubPLOs],"&gt;=9",tbl_task6[SubPLOs],"&lt;10")</f>
        <v>0</v>
      </c>
      <c r="F42" s="138">
        <f>SUMIFS(tbl_task6[S1],tbl_task6[[SubPLOs]:[SubPLOs]],"&gt;=9",tbl_task6[[SubPLOs]:[SubPLOs]],"&lt;10")</f>
        <v>0</v>
      </c>
      <c r="G42" s="138">
        <f>SUMIFS(tbl_task6[S2],tbl_task6[[SubPLOs]:[SubPLOs]],"&gt;=9",tbl_task6[[SubPLOs]:[SubPLOs]],"&lt;10")</f>
        <v>0</v>
      </c>
      <c r="H42" s="138">
        <f>SUMIFS(tbl_task6[S3],tbl_task6[[SubPLOs]:[SubPLOs]],"&gt;=9",tbl_task6[[SubPLOs]:[SubPLOs]],"&lt;10")</f>
        <v>0</v>
      </c>
      <c r="I42" s="138">
        <f>SUMIFS(tbl_task6[S4],tbl_task6[[SubPLOs]:[SubPLOs]],"&gt;=9",tbl_task6[[SubPLOs]:[SubPLOs]],"&lt;10")</f>
        <v>0</v>
      </c>
      <c r="J42" s="138">
        <f>SUMIFS(tbl_task6[S5],tbl_task6[[SubPLOs]:[SubPLOs]],"&gt;=9",tbl_task6[[SubPLOs]:[SubPLOs]],"&lt;10")</f>
        <v>0</v>
      </c>
      <c r="K42" s="138">
        <f>SUMIFS(tbl_task6[S6],tbl_task6[[SubPLOs]:[SubPLOs]],"&gt;=9",tbl_task6[[SubPLOs]:[SubPLOs]],"&lt;10")</f>
        <v>0</v>
      </c>
      <c r="L42" s="138">
        <f>SUMIFS(tbl_task6[S7],tbl_task6[[SubPLOs]:[SubPLOs]],"&gt;=9",tbl_task6[[SubPLOs]:[SubPLOs]],"&lt;10")</f>
        <v>0</v>
      </c>
      <c r="M42" s="138">
        <f>SUMIFS(tbl_task6[S8],tbl_task6[[SubPLOs]:[SubPLOs]],"&gt;=9",tbl_task6[[SubPLOs]:[SubPLOs]],"&lt;10")</f>
        <v>0</v>
      </c>
      <c r="N42" s="138">
        <f>SUMIFS(tbl_task6[S9],tbl_task6[[SubPLOs]:[SubPLOs]],"&gt;=9",tbl_task6[[SubPLOs]:[SubPLOs]],"&lt;10")</f>
        <v>0</v>
      </c>
      <c r="O42" s="138">
        <f>SUMIFS(tbl_task6[S10],tbl_task6[[SubPLOs]:[SubPLOs]],"&gt;=9",tbl_task6[[SubPLOs]:[SubPLOs]],"&lt;10")</f>
        <v>0</v>
      </c>
      <c r="P42" s="138">
        <f>SUMIFS(tbl_task6[S11],tbl_task6[[SubPLOs]:[SubPLOs]],"&gt;=9",tbl_task6[[SubPLOs]:[SubPLOs]],"&lt;10")</f>
        <v>0</v>
      </c>
      <c r="Q42" s="138">
        <f>SUMIFS(tbl_task6[S12],tbl_task6[[SubPLOs]:[SubPLOs]],"&gt;=9",tbl_task6[[SubPLOs]:[SubPLOs]],"&lt;10")</f>
        <v>0</v>
      </c>
      <c r="R42" s="138">
        <f>SUMIFS(tbl_task6[S13],tbl_task6[[SubPLOs]:[SubPLOs]],"&gt;=9",tbl_task6[[SubPLOs]:[SubPLOs]],"&lt;10")</f>
        <v>0</v>
      </c>
      <c r="S42" s="138">
        <f>SUMIFS(tbl_task6[S14],tbl_task6[[SubPLOs]:[SubPLOs]],"&gt;=9",tbl_task6[[SubPLOs]:[SubPLOs]],"&lt;10")</f>
        <v>0</v>
      </c>
      <c r="T42" s="138">
        <f>SUMIFS(tbl_task6[S15],tbl_task6[[SubPLOs]:[SubPLOs]],"&gt;=9",tbl_task6[[SubPLOs]:[SubPLOs]],"&lt;10")</f>
        <v>0</v>
      </c>
      <c r="U42" s="138">
        <f>SUMIFS(tbl_task6[S16],tbl_task6[[SubPLOs]:[SubPLOs]],"&gt;=9",tbl_task6[[SubPLOs]:[SubPLOs]],"&lt;10")</f>
        <v>0</v>
      </c>
      <c r="V42" s="138">
        <f>SUMIFS(tbl_task6[S17],tbl_task6[[SubPLOs]:[SubPLOs]],"&gt;=9",tbl_task6[[SubPLOs]:[SubPLOs]],"&lt;10")</f>
        <v>0</v>
      </c>
      <c r="W42" s="138">
        <f>SUMIFS(tbl_task6[S18],tbl_task6[[SubPLOs]:[SubPLOs]],"&gt;=9",tbl_task6[[SubPLOs]:[SubPLOs]],"&lt;10")</f>
        <v>0</v>
      </c>
      <c r="X42" s="138">
        <f>SUMIFS(tbl_task6[S19],tbl_task6[[SubPLOs]:[SubPLOs]],"&gt;=9",tbl_task6[[SubPLOs]:[SubPLOs]],"&lt;10")</f>
        <v>0</v>
      </c>
      <c r="Y42" s="138">
        <f>SUMIFS(tbl_task6[S20],tbl_task6[[SubPLOs]:[SubPLOs]],"&gt;=9",tbl_task6[[SubPLOs]:[SubPLOs]],"&lt;10")</f>
        <v>0</v>
      </c>
      <c r="Z42" s="138">
        <f>SUMIFS(tbl_task6[S21],tbl_task6[[SubPLOs]:[SubPLOs]],"&gt;=9",tbl_task6[[SubPLOs]:[SubPLOs]],"&lt;10")</f>
        <v>0</v>
      </c>
      <c r="AA42" s="138">
        <f>SUMIFS(tbl_task6[S22],tbl_task6[[SubPLOs]:[SubPLOs]],"&gt;=9",tbl_task6[[SubPLOs]:[SubPLOs]],"&lt;10")</f>
        <v>0</v>
      </c>
      <c r="AB42" s="138">
        <f>SUMIFS(tbl_task6[S23],tbl_task6[[SubPLOs]:[SubPLOs]],"&gt;=9",tbl_task6[[SubPLOs]:[SubPLOs]],"&lt;10")</f>
        <v>0</v>
      </c>
      <c r="AC42" s="138">
        <f>SUMIFS(tbl_task6[S24],tbl_task6[[SubPLOs]:[SubPLOs]],"&gt;=9",tbl_task6[[SubPLOs]:[SubPLOs]],"&lt;10")</f>
        <v>0</v>
      </c>
      <c r="AD42" s="138">
        <f>SUMIFS(tbl_task6[S25],tbl_task6[[SubPLOs]:[SubPLOs]],"&gt;=9",tbl_task6[[SubPLOs]:[SubPLOs]],"&lt;10")</f>
        <v>0</v>
      </c>
      <c r="AE42" s="138">
        <f>SUMIFS(tbl_task6[S26],tbl_task6[[SubPLOs]:[SubPLOs]],"&gt;=9",tbl_task6[[SubPLOs]:[SubPLOs]],"&lt;10")</f>
        <v>0</v>
      </c>
      <c r="AF42" s="138">
        <f>SUMIFS(tbl_task6[S27],tbl_task6[[SubPLOs]:[SubPLOs]],"&gt;=9",tbl_task6[[SubPLOs]:[SubPLOs]],"&lt;10")</f>
        <v>0</v>
      </c>
      <c r="AG42" s="138">
        <f>SUMIFS(tbl_task6[S28],tbl_task6[[SubPLOs]:[SubPLOs]],"&gt;=9",tbl_task6[[SubPLOs]:[SubPLOs]],"&lt;10")</f>
        <v>0</v>
      </c>
      <c r="AH42" s="138">
        <f>SUMIFS(tbl_task6[S29],tbl_task6[[SubPLOs]:[SubPLOs]],"&gt;=9",tbl_task6[[SubPLOs]:[SubPLOs]],"&lt;10")</f>
        <v>0</v>
      </c>
      <c r="AI42" s="138">
        <f>SUMIFS(tbl_task6[S30],tbl_task6[[SubPLOs]:[SubPLOs]],"&gt;=9",tbl_task6[[SubPLOs]:[SubPLOs]],"&lt;10")</f>
        <v>0</v>
      </c>
      <c r="AJ42" s="138">
        <f>SUMIFS(tbl_task6[S31],tbl_task6[[SubPLOs]:[SubPLOs]],"&gt;=9",tbl_task6[[SubPLOs]:[SubPLOs]],"&lt;10")</f>
        <v>0</v>
      </c>
      <c r="AK42" s="138">
        <f>SUMIFS(tbl_task6[S32],tbl_task6[[SubPLOs]:[SubPLOs]],"&gt;=9",tbl_task6[[SubPLOs]:[SubPLOs]],"&lt;10")</f>
        <v>0</v>
      </c>
      <c r="AL42" s="138">
        <f>SUMIFS(tbl_task6[S33],tbl_task6[[SubPLOs]:[SubPLOs]],"&gt;=9",tbl_task6[[SubPLOs]:[SubPLOs]],"&lt;10")</f>
        <v>0</v>
      </c>
      <c r="AM42" s="138">
        <f>SUMIFS(tbl_task6[S34],tbl_task6[[SubPLOs]:[SubPLOs]],"&gt;=9",tbl_task6[[SubPLOs]:[SubPLOs]],"&lt;10")</f>
        <v>0</v>
      </c>
      <c r="AN42" s="138">
        <f>SUMIFS(tbl_task6[S35],tbl_task6[[SubPLOs]:[SubPLOs]],"&gt;=9",tbl_task6[[SubPLOs]:[SubPLOs]],"&lt;10")</f>
        <v>0</v>
      </c>
      <c r="AO42" s="138">
        <f>SUMIFS(tbl_task6[S36],tbl_task6[[SubPLOs]:[SubPLOs]],"&gt;=9",tbl_task6[[SubPLOs]:[SubPLOs]],"&lt;10")</f>
        <v>0</v>
      </c>
      <c r="AP42" s="138">
        <f>SUMIFS(tbl_task6[S37],tbl_task6[[SubPLOs]:[SubPLOs]],"&gt;=9",tbl_task6[[SubPLOs]:[SubPLOs]],"&lt;10")</f>
        <v>0</v>
      </c>
      <c r="AQ42" s="138">
        <f>SUMIFS(tbl_task6[S38],tbl_task6[[SubPLOs]:[SubPLOs]],"&gt;=9",tbl_task6[[SubPLOs]:[SubPLOs]],"&lt;10")</f>
        <v>0</v>
      </c>
      <c r="AR42" s="138">
        <f>SUMIFS(tbl_task6[S39],tbl_task6[[SubPLOs]:[SubPLOs]],"&gt;=9",tbl_task6[[SubPLOs]:[SubPLOs]],"&lt;10")</f>
        <v>0</v>
      </c>
      <c r="AS42" s="138">
        <f>SUMIFS(tbl_task6[S40],tbl_task6[[SubPLOs]:[SubPLOs]],"&gt;=9",tbl_task6[[SubPLOs]:[SubPLOs]],"&lt;10")</f>
        <v>0</v>
      </c>
      <c r="AT42" s="138">
        <f>SUMIFS(tbl_task6[S41],tbl_task6[[SubPLOs]:[SubPLOs]],"&gt;=9",tbl_task6[[SubPLOs]:[SubPLOs]],"&lt;10")</f>
        <v>0</v>
      </c>
      <c r="AU42" s="138">
        <f>SUMIFS(tbl_task6[S42],tbl_task6[[SubPLOs]:[SubPLOs]],"&gt;=9",tbl_task6[[SubPLOs]:[SubPLOs]],"&lt;10")</f>
        <v>0</v>
      </c>
      <c r="AV42" s="138">
        <f>SUMIFS(tbl_task6[S43],tbl_task6[[SubPLOs]:[SubPLOs]],"&gt;=9",tbl_task6[[SubPLOs]:[SubPLOs]],"&lt;10")</f>
        <v>0</v>
      </c>
      <c r="AW42" s="138">
        <f>SUMIFS(tbl_task6[S44],tbl_task6[[SubPLOs]:[SubPLOs]],"&gt;=9",tbl_task6[[SubPLOs]:[SubPLOs]],"&lt;10")</f>
        <v>0</v>
      </c>
      <c r="AX42" s="138">
        <f>SUMIFS(tbl_task6[S45],tbl_task6[[SubPLOs]:[SubPLOs]],"&gt;=9",tbl_task6[[SubPLOs]:[SubPLOs]],"&lt;10")</f>
        <v>0</v>
      </c>
      <c r="AY42" s="138">
        <f>SUMIFS(tbl_task6[S46],tbl_task6[[SubPLOs]:[SubPLOs]],"&gt;=9",tbl_task6[[SubPLOs]:[SubPLOs]],"&lt;10")</f>
        <v>0</v>
      </c>
      <c r="AZ42" s="138">
        <f>SUMIFS(tbl_task6[S47],tbl_task6[[SubPLOs]:[SubPLOs]],"&gt;=9",tbl_task6[[SubPLOs]:[SubPLOs]],"&lt;10")</f>
        <v>0</v>
      </c>
      <c r="BA42" s="138">
        <f>SUMIFS(tbl_task6[S48],tbl_task6[[SubPLOs]:[SubPLOs]],"&gt;=9",tbl_task6[[SubPLOs]:[SubPLOs]],"&lt;10")</f>
        <v>0</v>
      </c>
      <c r="BB42" s="138">
        <f>SUMIFS(tbl_task6[S49],tbl_task6[[SubPLOs]:[SubPLOs]],"&gt;=9",tbl_task6[[SubPLOs]:[SubPLOs]],"&lt;10")</f>
        <v>0</v>
      </c>
      <c r="BC42" s="138">
        <f>SUMIFS(tbl_task6[S50],tbl_task6[[SubPLOs]:[SubPLOs]],"&gt;=9",tbl_task6[[SubPLOs]:[SubPLOs]],"&lt;10")</f>
        <v>0</v>
      </c>
      <c r="BD42" s="138">
        <f>SUMIFS(tbl_task6[S51],tbl_task6[[SubPLOs]:[SubPLOs]],"&gt;=9",tbl_task6[[SubPLOs]:[SubPLOs]],"&lt;10")</f>
        <v>0</v>
      </c>
      <c r="BE42" s="138">
        <f>SUMIFS(tbl_task6[S52],tbl_task6[[SubPLOs]:[SubPLOs]],"&gt;=9",tbl_task6[[SubPLOs]:[SubPLOs]],"&lt;10")</f>
        <v>0</v>
      </c>
      <c r="BF42" s="138">
        <f>SUMIFS(tbl_task6[S53],tbl_task6[[SubPLOs]:[SubPLOs]],"&gt;=9",tbl_task6[[SubPLOs]:[SubPLOs]],"&lt;10")</f>
        <v>0</v>
      </c>
      <c r="BG42" s="138">
        <f>SUMIFS(tbl_task6[S54],tbl_task6[[SubPLOs]:[SubPLOs]],"&gt;=9",tbl_task6[[SubPLOs]:[SubPLOs]],"&lt;10")</f>
        <v>0</v>
      </c>
      <c r="BH42" s="138">
        <f>SUMIFS(tbl_task6[S55],tbl_task6[[SubPLOs]:[SubPLOs]],"&gt;=9",tbl_task6[[SubPLOs]:[SubPLOs]],"&lt;10")</f>
        <v>0</v>
      </c>
      <c r="BI42" s="138">
        <f>SUMIFS(tbl_task6[S56],tbl_task6[[SubPLOs]:[SubPLOs]],"&gt;=9",tbl_task6[[SubPLOs]:[SubPLOs]],"&lt;10")</f>
        <v>0</v>
      </c>
      <c r="BJ42" s="138">
        <f>SUMIFS(tbl_task6[S57],tbl_task6[[SubPLOs]:[SubPLOs]],"&gt;=9",tbl_task6[[SubPLOs]:[SubPLOs]],"&lt;10")</f>
        <v>0</v>
      </c>
      <c r="BK42" s="138">
        <f>SUMIFS(tbl_task6[S58],tbl_task6[[SubPLOs]:[SubPLOs]],"&gt;=9",tbl_task6[[SubPLOs]:[SubPLOs]],"&lt;10")</f>
        <v>0</v>
      </c>
      <c r="BL42" s="138">
        <f>SUMIFS(tbl_task6[S59],tbl_task6[[SubPLOs]:[SubPLOs]],"&gt;=9",tbl_task6[[SubPLOs]:[SubPLOs]],"&lt;10")</f>
        <v>0</v>
      </c>
      <c r="BM42" s="138">
        <f>SUMIFS(tbl_task6[S60],tbl_task6[[SubPLOs]:[SubPLOs]],"&gt;=9",tbl_task6[[SubPLOs]:[SubPLOs]],"&lt;10")</f>
        <v>0</v>
      </c>
      <c r="BN42" s="138">
        <f>SUMIFS(tbl_task6[S61],tbl_task6[[SubPLOs]:[SubPLOs]],"&gt;=9",tbl_task6[[SubPLOs]:[SubPLOs]],"&lt;10")</f>
        <v>0</v>
      </c>
      <c r="BO42" s="138">
        <f>SUMIFS(tbl_task6[S62],tbl_task6[[SubPLOs]:[SubPLOs]],"&gt;=9",tbl_task6[[SubPLOs]:[SubPLOs]],"&lt;10")</f>
        <v>0</v>
      </c>
      <c r="BP42" s="138">
        <f>SUMIFS(tbl_task6[S63],tbl_task6[[SubPLOs]:[SubPLOs]],"&gt;=9",tbl_task6[[SubPLOs]:[SubPLOs]],"&lt;10")</f>
        <v>0</v>
      </c>
      <c r="BQ42" s="138">
        <f>SUMIFS(tbl_task6[S64],tbl_task6[[SubPLOs]:[SubPLOs]],"&gt;=9",tbl_task6[[SubPLOs]:[SubPLOs]],"&lt;10")</f>
        <v>0</v>
      </c>
      <c r="BR42" s="138">
        <f>SUMIFS(tbl_task6[S65],tbl_task6[[SubPLOs]:[SubPLOs]],"&gt;=9",tbl_task6[[SubPLOs]:[SubPLOs]],"&lt;10")</f>
        <v>0</v>
      </c>
      <c r="BS42" s="138">
        <f>SUMIFS(tbl_task6[S66],tbl_task6[[SubPLOs]:[SubPLOs]],"&gt;=9",tbl_task6[[SubPLOs]:[SubPLOs]],"&lt;10")</f>
        <v>0</v>
      </c>
      <c r="BT42" s="138">
        <f>SUMIFS(tbl_task6[S67],tbl_task6[[SubPLOs]:[SubPLOs]],"&gt;=9",tbl_task6[[SubPLOs]:[SubPLOs]],"&lt;10")</f>
        <v>0</v>
      </c>
      <c r="BU42" s="138">
        <f>SUMIFS(tbl_task6[S68],tbl_task6[[SubPLOs]:[SubPLOs]],"&gt;=9",tbl_task6[[SubPLOs]:[SubPLOs]],"&lt;10")</f>
        <v>0</v>
      </c>
      <c r="BV42" s="138">
        <f>SUMIFS(tbl_task6[S69],tbl_task6[[SubPLOs]:[SubPLOs]],"&gt;=9",tbl_task6[[SubPLOs]:[SubPLOs]],"&lt;10")</f>
        <v>0</v>
      </c>
      <c r="BW42" s="138">
        <f>SUMIFS(tbl_task6[S70],tbl_task6[[SubPLOs]:[SubPLOs]],"&gt;=9",tbl_task6[[SubPLOs]:[SubPLOs]],"&lt;10")</f>
        <v>0</v>
      </c>
      <c r="BX42" s="138">
        <f>SUMIFS(tbl_task6[S71],tbl_task6[[SubPLOs]:[SubPLOs]],"&gt;=9",tbl_task6[[SubPLOs]:[SubPLOs]],"&lt;10")</f>
        <v>0</v>
      </c>
      <c r="BY42" s="138">
        <f>SUMIFS(tbl_task6[S72],tbl_task6[[SubPLOs]:[SubPLOs]],"&gt;=9",tbl_task6[[SubPLOs]:[SubPLOs]],"&lt;10")</f>
        <v>0</v>
      </c>
      <c r="BZ42" s="138">
        <f>SUMIFS(tbl_task6[S73],tbl_task6[[SubPLOs]:[SubPLOs]],"&gt;=9",tbl_task6[[SubPLOs]:[SubPLOs]],"&lt;10")</f>
        <v>0</v>
      </c>
      <c r="CA42" s="138">
        <f>SUMIFS(tbl_task6[S74],tbl_task6[[SubPLOs]:[SubPLOs]],"&gt;=9",tbl_task6[[SubPLOs]:[SubPLOs]],"&lt;10")</f>
        <v>0</v>
      </c>
      <c r="CB42" s="138">
        <f>SUMIFS(tbl_task6[S75],tbl_task6[[SubPLOs]:[SubPLOs]],"&gt;=9",tbl_task6[[SubPLOs]:[SubPLOs]],"&lt;10")</f>
        <v>0</v>
      </c>
      <c r="CC42" s="138">
        <f>SUMIFS(tbl_task6[S76],tbl_task6[[SubPLOs]:[SubPLOs]],"&gt;=9",tbl_task6[[SubPLOs]:[SubPLOs]],"&lt;10")</f>
        <v>0</v>
      </c>
      <c r="CD42" s="138">
        <f>SUMIFS(tbl_task6[S77],tbl_task6[[SubPLOs]:[SubPLOs]],"&gt;=9",tbl_task6[[SubPLOs]:[SubPLOs]],"&lt;10")</f>
        <v>0</v>
      </c>
      <c r="CE42" s="138">
        <f>SUMIFS(tbl_task6[S78],tbl_task6[[SubPLOs]:[SubPLOs]],"&gt;=9",tbl_task6[[SubPLOs]:[SubPLOs]],"&lt;10")</f>
        <v>0</v>
      </c>
      <c r="CF42" s="138">
        <f>SUMIFS(tbl_task6[S79],tbl_task6[[SubPLOs]:[SubPLOs]],"&gt;=9",tbl_task6[[SubPLOs]:[SubPLOs]],"&lt;10")</f>
        <v>0</v>
      </c>
      <c r="CG42" s="138">
        <f>SUMIFS(tbl_task6[S80],tbl_task6[[SubPLOs]:[SubPLOs]],"&gt;=9",tbl_task6[[SubPLOs]:[SubPLOs]],"&lt;10")</f>
        <v>0</v>
      </c>
      <c r="CH42" s="138">
        <f>SUMIFS(tbl_task6[S81],tbl_task6[[SubPLOs]:[SubPLOs]],"&gt;=9",tbl_task6[[SubPLOs]:[SubPLOs]],"&lt;10")</f>
        <v>0</v>
      </c>
      <c r="CI42" s="138">
        <f>SUMIFS(tbl_task6[S82],tbl_task6[[SubPLOs]:[SubPLOs]],"&gt;=9",tbl_task6[[SubPLOs]:[SubPLOs]],"&lt;10")</f>
        <v>0</v>
      </c>
      <c r="CJ42" s="138">
        <f>SUMIFS(tbl_task6[S83],tbl_task6[[SubPLOs]:[SubPLOs]],"&gt;=9",tbl_task6[[SubPLOs]:[SubPLOs]],"&lt;10")</f>
        <v>0</v>
      </c>
      <c r="CK42" s="138">
        <f>SUMIFS(tbl_task6[S84],tbl_task6[[SubPLOs]:[SubPLOs]],"&gt;=9",tbl_task6[[SubPLOs]:[SubPLOs]],"&lt;10")</f>
        <v>0</v>
      </c>
      <c r="CL42" s="138">
        <f>SUMIFS(tbl_task6[S85],tbl_task6[[SubPLOs]:[SubPLOs]],"&gt;=9",tbl_task6[[SubPLOs]:[SubPLOs]],"&lt;10")</f>
        <v>0</v>
      </c>
      <c r="CM42" s="138">
        <f>SUMIFS(tbl_task6[S86],tbl_task6[[SubPLOs]:[SubPLOs]],"&gt;=9",tbl_task6[[SubPLOs]:[SubPLOs]],"&lt;10")</f>
        <v>0</v>
      </c>
      <c r="CN42" s="138">
        <f>SUMIFS(tbl_task6[S87],tbl_task6[[SubPLOs]:[SubPLOs]],"&gt;=9",tbl_task6[[SubPLOs]:[SubPLOs]],"&lt;10")</f>
        <v>0</v>
      </c>
      <c r="CO42" s="138">
        <f>SUMIFS(tbl_task6[S88],tbl_task6[[SubPLOs]:[SubPLOs]],"&gt;=9",tbl_task6[[SubPLOs]:[SubPLOs]],"&lt;10")</f>
        <v>0</v>
      </c>
      <c r="CP42" s="138">
        <f>SUMIFS(tbl_task6[S89],tbl_task6[[SubPLOs]:[SubPLOs]],"&gt;=9",tbl_task6[[SubPLOs]:[SubPLOs]],"&lt;10")</f>
        <v>0</v>
      </c>
      <c r="CQ42" s="138">
        <f>SUMIFS(tbl_task6[S90],tbl_task6[[SubPLOs]:[SubPLOs]],"&gt;=9",tbl_task6[[SubPLOs]:[SubPLOs]],"&lt;10")</f>
        <v>0</v>
      </c>
      <c r="CR42" s="138">
        <f>SUMIFS(tbl_task6[S91],tbl_task6[[SubPLOs]:[SubPLOs]],"&gt;=9",tbl_task6[[SubPLOs]:[SubPLOs]],"&lt;10")</f>
        <v>0</v>
      </c>
      <c r="CS42" s="138">
        <f>SUMIFS(tbl_task6[S92],tbl_task6[[SubPLOs]:[SubPLOs]],"&gt;=9",tbl_task6[[SubPLOs]:[SubPLOs]],"&lt;10")</f>
        <v>0</v>
      </c>
      <c r="CT42" s="138">
        <f>SUMIFS(tbl_task6[S93],tbl_task6[[SubPLOs]:[SubPLOs]],"&gt;=9",tbl_task6[[SubPLOs]:[SubPLOs]],"&lt;10")</f>
        <v>0</v>
      </c>
      <c r="CU42" s="138">
        <f>SUMIFS(tbl_task6[S94],tbl_task6[[SubPLOs]:[SubPLOs]],"&gt;=9",tbl_task6[[SubPLOs]:[SubPLOs]],"&lt;10")</f>
        <v>0</v>
      </c>
      <c r="CV42" s="138">
        <f>SUMIFS(tbl_task6[S95],tbl_task6[[SubPLOs]:[SubPLOs]],"&gt;=9",tbl_task6[[SubPLOs]:[SubPLOs]],"&lt;10")</f>
        <v>0</v>
      </c>
      <c r="CW42" s="138">
        <f>SUMIFS(tbl_task6[S96],tbl_task6[[SubPLOs]:[SubPLOs]],"&gt;=9",tbl_task6[[SubPLOs]:[SubPLOs]],"&lt;10")</f>
        <v>0</v>
      </c>
      <c r="CX42" s="138">
        <f>SUMIFS(tbl_task6[S97],tbl_task6[[SubPLOs]:[SubPLOs]],"&gt;=9",tbl_task6[[SubPLOs]:[SubPLOs]],"&lt;10")</f>
        <v>0</v>
      </c>
      <c r="CY42" s="138">
        <f>SUMIFS(tbl_task6[S98],tbl_task6[[SubPLOs]:[SubPLOs]],"&gt;=9",tbl_task6[[SubPLOs]:[SubPLOs]],"&lt;10")</f>
        <v>0</v>
      </c>
      <c r="CZ42" s="138">
        <f>SUMIFS(tbl_task6[S99],tbl_task6[[SubPLOs]:[SubPLOs]],"&gt;=9",tbl_task6[[SubPLOs]:[SubPLOs]],"&lt;10")</f>
        <v>0</v>
      </c>
      <c r="DA42" s="138">
        <f>SUMIFS(tbl_task6[S100],tbl_task6[[SubPLOs]:[SubPLOs]],"&gt;=9",tbl_task6[[SubPLOs]:[SubPLOs]],"&lt;10")</f>
        <v>0</v>
      </c>
      <c r="DB42" s="138">
        <f>SUMIFS(tbl_task6[S101],tbl_task6[[SubPLOs]:[SubPLOs]],"&gt;=9",tbl_task6[[SubPLOs]:[SubPLOs]],"&lt;10")</f>
        <v>0</v>
      </c>
      <c r="DC42" s="138">
        <f>SUMIFS(tbl_task6[S102],tbl_task6[[SubPLOs]:[SubPLOs]],"&gt;=9",tbl_task6[[SubPLOs]:[SubPLOs]],"&lt;10")</f>
        <v>0</v>
      </c>
      <c r="DD42" s="138">
        <f>SUMIFS(tbl_task6[S103],tbl_task6[[SubPLOs]:[SubPLOs]],"&gt;=9",tbl_task6[[SubPLOs]:[SubPLOs]],"&lt;10")</f>
        <v>0</v>
      </c>
      <c r="DE42" s="138">
        <f>SUMIFS(tbl_task6[S104],tbl_task6[[SubPLOs]:[SubPLOs]],"&gt;=9",tbl_task6[[SubPLOs]:[SubPLOs]],"&lt;10")</f>
        <v>0</v>
      </c>
      <c r="DF42" s="138">
        <f>SUMIFS(tbl_task6[S105],tbl_task6[[SubPLOs]:[SubPLOs]],"&gt;=9",tbl_task6[[SubPLOs]:[SubPLOs]],"&lt;10")</f>
        <v>0</v>
      </c>
      <c r="DG42" s="138">
        <f>SUMIFS(tbl_task6[S106],tbl_task6[[SubPLOs]:[SubPLOs]],"&gt;=9",tbl_task6[[SubPLOs]:[SubPLOs]],"&lt;10")</f>
        <v>0</v>
      </c>
      <c r="DH42" s="138">
        <f>SUMIFS(tbl_task6[S106],tbl_task6[[SubPLOs]:[SubPLOs]],"&gt;=9",tbl_task6[[SubPLOs]:[SubPLOs]],"&lt;10")</f>
        <v>0</v>
      </c>
      <c r="DI42" s="138">
        <f>SUMIFS(tbl_task6[S108],tbl_task6[[SubPLOs]:[SubPLOs]],"&gt;=9",tbl_task6[[SubPLOs]:[SubPLOs]],"&lt;10")</f>
        <v>0</v>
      </c>
      <c r="DJ42" s="138">
        <f>SUMIFS(tbl_task6[S109],tbl_task6[[SubPLOs]:[SubPLOs]],"&gt;=9",tbl_task6[[SubPLOs]:[SubPLOs]],"&lt;10")</f>
        <v>0</v>
      </c>
      <c r="DK42" s="138">
        <f>SUMIFS(tbl_task6[S110],tbl_task6[[SubPLOs]:[SubPLOs]],"&gt;=9",tbl_task6[[SubPLOs]:[SubPLOs]],"&lt;10")</f>
        <v>0</v>
      </c>
      <c r="DL42" s="138">
        <f>SUMIFS(tbl_task6[S111],tbl_task6[[SubPLOs]:[SubPLOs]],"&gt;=9",tbl_task6[[SubPLOs]:[SubPLOs]],"&lt;10")</f>
        <v>0</v>
      </c>
      <c r="DM42" s="138">
        <f>SUMIFS(tbl_task6[S112],tbl_task6[[SubPLOs]:[SubPLOs]],"&gt;=9",tbl_task6[[SubPLOs]:[SubPLOs]],"&lt;10")</f>
        <v>0</v>
      </c>
      <c r="DN42" s="138">
        <f>SUMIFS(tbl_task6[S113],tbl_task6[[SubPLOs]:[SubPLOs]],"&gt;=9",tbl_task6[[SubPLOs]:[SubPLOs]],"&lt;10")</f>
        <v>0</v>
      </c>
      <c r="DO42" s="138">
        <f>SUMIFS(tbl_task6[S114],tbl_task6[[SubPLOs]:[SubPLOs]],"&gt;=9",tbl_task6[[SubPLOs]:[SubPLOs]],"&lt;10")</f>
        <v>0</v>
      </c>
      <c r="DP42" s="138">
        <f>SUMIFS(tbl_task6[S115],tbl_task6[[SubPLOs]:[SubPLOs]],"&gt;=9",tbl_task6[[SubPLOs]:[SubPLOs]],"&lt;10")</f>
        <v>0</v>
      </c>
      <c r="DQ42" s="138">
        <f>SUMIFS(tbl_task6[S116],tbl_task6[[SubPLOs]:[SubPLOs]],"&gt;=9",tbl_task6[[SubPLOs]:[SubPLOs]],"&lt;10")</f>
        <v>0</v>
      </c>
      <c r="DR42" s="138">
        <f>SUMIFS(tbl_task6[S117],tbl_task6[[SubPLOs]:[SubPLOs]],"&gt;=9",tbl_task6[[SubPLOs]:[SubPLOs]],"&lt;10")</f>
        <v>0</v>
      </c>
      <c r="DS42" s="138">
        <f>SUMIFS(tbl_task6[S118],tbl_task6[[SubPLOs]:[SubPLOs]],"&gt;=9",tbl_task6[[SubPLOs]:[SubPLOs]],"&lt;10")</f>
        <v>0</v>
      </c>
      <c r="DT42" s="138">
        <f>SUMIFS(tbl_task6[S119],tbl_task6[[SubPLOs]:[SubPLOs]],"&gt;=9",tbl_task6[[SubPLOs]:[SubPLOs]],"&lt;10")</f>
        <v>0</v>
      </c>
      <c r="DU42" s="138">
        <f>SUMIFS(tbl_task6[S120],tbl_task6[[SubPLOs]:[SubPLOs]],"&gt;=9",tbl_task6[[SubPLOs]:[SubPLOs]],"&lt;10")</f>
        <v>0</v>
      </c>
      <c r="DV42" s="138">
        <f>SUMIFS(tbl_task6[S121],tbl_task6[[SubPLOs]:[SubPLOs]],"&gt;=9",tbl_task6[[SubPLOs]:[SubPLOs]],"&lt;10")</f>
        <v>0</v>
      </c>
      <c r="DW42" s="138">
        <f>SUMIFS(tbl_task6[S122],tbl_task6[[SubPLOs]:[SubPLOs]],"&gt;=9",tbl_task6[[SubPLOs]:[SubPLOs]],"&lt;10")</f>
        <v>0</v>
      </c>
      <c r="DX42" s="138">
        <f>SUMIFS(tbl_task6[S123],tbl_task6[[SubPLOs]:[SubPLOs]],"&gt;=9",tbl_task6[[SubPLOs]:[SubPLOs]],"&lt;10")</f>
        <v>0</v>
      </c>
      <c r="DY42" s="138">
        <f>SUMIFS(tbl_task6[S124],tbl_task6[[SubPLOs]:[SubPLOs]],"&gt;=9",tbl_task6[[SubPLOs]:[SubPLOs]],"&lt;10")</f>
        <v>0</v>
      </c>
      <c r="DZ42" s="138">
        <f>SUMIFS(tbl_task6[S125],tbl_task6[[SubPLOs]:[SubPLOs]],"&gt;=9",tbl_task6[[SubPLOs]:[SubPLOs]],"&lt;10")</f>
        <v>0</v>
      </c>
      <c r="EA42" s="138">
        <f>SUMIFS(tbl_task6[S126],tbl_task6[[SubPLOs]:[SubPLOs]],"&gt;=9",tbl_task6[[SubPLOs]:[SubPLOs]],"&lt;10")</f>
        <v>0</v>
      </c>
      <c r="EB42" s="138">
        <f>SUMIFS(tbl_task6[S127],tbl_task6[[SubPLOs]:[SubPLOs]],"&gt;=9",tbl_task6[[SubPLOs]:[SubPLOs]],"&lt;10")</f>
        <v>0</v>
      </c>
      <c r="EC42" s="138">
        <f>SUMIFS(tbl_task6[S128],tbl_task6[[SubPLOs]:[SubPLOs]],"&gt;=9",tbl_task6[[SubPLOs]:[SubPLOs]],"&lt;10")</f>
        <v>0</v>
      </c>
      <c r="ED42" s="138">
        <f>SUMIFS(tbl_task6[S129],tbl_task6[[SubPLOs]:[SubPLOs]],"&gt;=9",tbl_task6[[SubPLOs]:[SubPLOs]],"&lt;10")</f>
        <v>0</v>
      </c>
      <c r="EE42" s="138">
        <f>SUMIFS(tbl_task6[S130],tbl_task6[[SubPLOs]:[SubPLOs]],"&gt;=9",tbl_task6[[SubPLOs]:[SubPLOs]],"&lt;10")</f>
        <v>0</v>
      </c>
      <c r="EF42" s="138">
        <f>SUMIFS(tbl_task6[S131],tbl_task6[[SubPLOs]:[SubPLOs]],"&gt;=9",tbl_task6[[SubPLOs]:[SubPLOs]],"&lt;10")</f>
        <v>0</v>
      </c>
      <c r="EG42" s="138">
        <f>SUMIFS(tbl_task6[S132],tbl_task6[[SubPLOs]:[SubPLOs]],"&gt;=9",tbl_task6[[SubPLOs]:[SubPLOs]],"&lt;10")</f>
        <v>0</v>
      </c>
      <c r="EH42" s="138">
        <f>SUMIFS(tbl_task6[S133],tbl_task6[[SubPLOs]:[SubPLOs]],"&gt;=9",tbl_task6[[SubPLOs]:[SubPLOs]],"&lt;10")</f>
        <v>0</v>
      </c>
      <c r="EI42" s="138">
        <f>SUMIFS(tbl_task6[S134],tbl_task6[[SubPLOs]:[SubPLOs]],"&gt;=9",tbl_task6[[SubPLOs]:[SubPLOs]],"&lt;10")</f>
        <v>0</v>
      </c>
      <c r="EJ42" s="138">
        <f>SUMIFS(tbl_task6[S135],tbl_task6[[SubPLOs]:[SubPLOs]],"&gt;=9",tbl_task6[[SubPLOs]:[SubPLOs]],"&lt;10")</f>
        <v>0</v>
      </c>
      <c r="EK42" s="138">
        <f>SUMIFS(tbl_task6[S136],tbl_task6[[SubPLOs]:[SubPLOs]],"&gt;=9",tbl_task6[[SubPLOs]:[SubPLOs]],"&lt;10")</f>
        <v>0</v>
      </c>
      <c r="EL42" s="138">
        <f>SUMIFS(tbl_task6[S137],tbl_task6[[SubPLOs]:[SubPLOs]],"&gt;=9",tbl_task6[[SubPLOs]:[SubPLOs]],"&lt;10")</f>
        <v>0</v>
      </c>
      <c r="EM42" s="138">
        <f>SUMIFS(tbl_task6[S138],tbl_task6[[SubPLOs]:[SubPLOs]],"&gt;=9",tbl_task6[[SubPLOs]:[SubPLOs]],"&lt;10")</f>
        <v>0</v>
      </c>
      <c r="EN42" s="138">
        <f>SUMIFS(tbl_task6[S139],tbl_task6[[SubPLOs]:[SubPLOs]],"&gt;=9",tbl_task6[[SubPLOs]:[SubPLOs]],"&lt;10")</f>
        <v>0</v>
      </c>
      <c r="EO42" s="138">
        <f>SUMIFS(tbl_task6[S140],tbl_task6[[SubPLOs]:[SubPLOs]],"&gt;=9",tbl_task6[[SubPLOs]:[SubPLOs]],"&lt;10")</f>
        <v>0</v>
      </c>
      <c r="EP42" s="138">
        <f>SUMIFS(tbl_task6[S141],tbl_task6[[SubPLOs]:[SubPLOs]],"&gt;=9",tbl_task6[[SubPLOs]:[SubPLOs]],"&lt;10")</f>
        <v>0</v>
      </c>
      <c r="EQ42" s="138">
        <f>SUMIFS(tbl_task6[S142],tbl_task6[[SubPLOs]:[SubPLOs]],"&gt;=9",tbl_task6[[SubPLOs]:[SubPLOs]],"&lt;10")</f>
        <v>0</v>
      </c>
      <c r="ER42" s="138">
        <f>SUMIFS(tbl_task6[S143],tbl_task6[[SubPLOs]:[SubPLOs]],"&gt;=9",tbl_task6[[SubPLOs]:[SubPLOs]],"&lt;10")</f>
        <v>0</v>
      </c>
      <c r="ES42" s="138">
        <f>SUMIFS(tbl_task6[S144],tbl_task6[[SubPLOs]:[SubPLOs]],"&gt;=9",tbl_task6[[SubPLOs]:[SubPLOs]],"&lt;10")</f>
        <v>0</v>
      </c>
      <c r="ET42" s="138">
        <f>SUMIFS(tbl_task6[S145],tbl_task6[[SubPLOs]:[SubPLOs]],"&gt;=9",tbl_task6[[SubPLOs]:[SubPLOs]],"&lt;10")</f>
        <v>0</v>
      </c>
      <c r="EU42" s="138">
        <f>SUMIFS(tbl_task6[S146],tbl_task6[[SubPLOs]:[SubPLOs]],"&gt;=9",tbl_task6[[SubPLOs]:[SubPLOs]],"&lt;10")</f>
        <v>0</v>
      </c>
      <c r="EV42" s="138">
        <f>SUMIFS(tbl_task6[S147],tbl_task6[[SubPLOs]:[SubPLOs]],"&gt;=9",tbl_task6[[SubPLOs]:[SubPLOs]],"&lt;10")</f>
        <v>0</v>
      </c>
      <c r="EW42" s="138">
        <f>SUMIFS(tbl_task6[S148],tbl_task6[[SubPLOs]:[SubPLOs]],"&gt;=9",tbl_task6[[SubPLOs]:[SubPLOs]],"&lt;10")</f>
        <v>0</v>
      </c>
      <c r="EX42" s="138">
        <f>SUMIFS(tbl_task6[S149],tbl_task6[[SubPLOs]:[SubPLOs]],"&gt;=9",tbl_task6[[SubPLOs]:[SubPLOs]],"&lt;10")</f>
        <v>0</v>
      </c>
      <c r="EY42" s="138">
        <f>SUMIFS(tbl_task6[S150],tbl_task6[[SubPLOs]:[SubPLOs]],"&gt;=9",tbl_task6[[SubPLOs]:[SubPLOs]],"&lt;10")</f>
        <v>0</v>
      </c>
      <c r="EZ42" s="138">
        <f>SUMIFS(tbl_task6[S151],tbl_task6[[SubPLOs]:[SubPLOs]],"&gt;=9",tbl_task6[[SubPLOs]:[SubPLOs]],"&lt;10")</f>
        <v>0</v>
      </c>
      <c r="FA42" s="138">
        <f>SUMIFS(tbl_task6[S152],tbl_task6[[SubPLOs]:[SubPLOs]],"&gt;=9",tbl_task6[[SubPLOs]:[SubPLOs]],"&lt;10")</f>
        <v>0</v>
      </c>
      <c r="FB42" s="138">
        <f>SUMIFS(tbl_task6[S153],tbl_task6[[SubPLOs]:[SubPLOs]],"&gt;=9",tbl_task6[[SubPLOs]:[SubPLOs]],"&lt;10")</f>
        <v>0</v>
      </c>
      <c r="FC42" s="138">
        <f>SUMIFS(tbl_task6[S154],tbl_task6[[SubPLOs]:[SubPLOs]],"&gt;=9",tbl_task6[[SubPLOs]:[SubPLOs]],"&lt;10")</f>
        <v>0</v>
      </c>
      <c r="FD42" s="138">
        <f>SUMIFS(tbl_task6[S155],tbl_task6[[SubPLOs]:[SubPLOs]],"&gt;=9",tbl_task6[[SubPLOs]:[SubPLOs]],"&lt;10")</f>
        <v>0</v>
      </c>
      <c r="FE42" s="138">
        <f>SUMIFS(tbl_task6[S156],tbl_task6[[SubPLOs]:[SubPLOs]],"&gt;=9",tbl_task6[[SubPLOs]:[SubPLOs]],"&lt;10")</f>
        <v>0</v>
      </c>
      <c r="FF42" s="138">
        <f>SUMIFS(tbl_task6[S157],tbl_task6[[SubPLOs]:[SubPLOs]],"&gt;=9",tbl_task6[[SubPLOs]:[SubPLOs]],"&lt;10")</f>
        <v>0</v>
      </c>
      <c r="FG42" s="138">
        <f>SUMIFS(tbl_task6[S158],tbl_task6[[SubPLOs]:[SubPLOs]],"&gt;=9",tbl_task6[[SubPLOs]:[SubPLOs]],"&lt;10")</f>
        <v>0</v>
      </c>
      <c r="FH42" s="138">
        <f>SUMIFS(tbl_task6[S159],tbl_task6[[SubPLOs]:[SubPLOs]],"&gt;=9",tbl_task6[[SubPLOs]:[SubPLOs]],"&lt;10")</f>
        <v>0</v>
      </c>
      <c r="FI42" s="138">
        <f>SUMIFS(tbl_task6[S160],tbl_task6[[SubPLOs]:[SubPLOs]],"&gt;=9",tbl_task6[[SubPLOs]:[SubPLOs]],"&lt;10")</f>
        <v>0</v>
      </c>
      <c r="FJ42" s="138">
        <f>SUMIFS(tbl_task6[S161],tbl_task6[[SubPLOs]:[SubPLOs]],"&gt;=9",tbl_task6[[SubPLOs]:[SubPLOs]],"&lt;10")</f>
        <v>0</v>
      </c>
      <c r="FK42" s="138">
        <f>SUMIFS(tbl_task6[S162],tbl_task6[[SubPLOs]:[SubPLOs]],"&gt;=9",tbl_task6[[SubPLOs]:[SubPLOs]],"&lt;10")</f>
        <v>0</v>
      </c>
      <c r="FL42" s="138">
        <f>SUMIFS(tbl_task6[S163],tbl_task6[[SubPLOs]:[SubPLOs]],"&gt;=9",tbl_task6[[SubPLOs]:[SubPLOs]],"&lt;10")</f>
        <v>0</v>
      </c>
      <c r="FM42" s="138">
        <f>SUMIFS(tbl_task6[S164],tbl_task6[[SubPLOs]:[SubPLOs]],"&gt;=9",tbl_task6[[SubPLOs]:[SubPLOs]],"&lt;10")</f>
        <v>0</v>
      </c>
      <c r="FN42" s="138">
        <f>SUMIFS(tbl_task6[S165],tbl_task6[[SubPLOs]:[SubPLOs]],"&gt;=9",tbl_task6[[SubPLOs]:[SubPLOs]],"&lt;10")</f>
        <v>0</v>
      </c>
    </row>
    <row r="43" spans="1:170" ht="63" x14ac:dyDescent="0.25">
      <c r="A43" s="135">
        <v>10</v>
      </c>
      <c r="B43" s="5" t="s">
        <v>443</v>
      </c>
      <c r="C43" s="136">
        <f>COUNTIFS(tbl_task6[SubPLOs],"&gt;=10",tbl_task6[SubPLOs],"&lt;11")</f>
        <v>0</v>
      </c>
      <c r="D43" s="136">
        <f>SUMIFS(tbl_task6[คะแนนเต็ม],tbl_task6[SubPLOs],"&gt;=10",tbl_task6[SubPLOs],"&lt;11")</f>
        <v>0</v>
      </c>
      <c r="E43" s="137">
        <f>SUMIFS(tbl_task6[%],tbl_task6[SubPLOs],"&gt;=10",tbl_task6[SubPLOs],"&lt;11")</f>
        <v>0</v>
      </c>
      <c r="F43" s="138">
        <f>SUMIFS(tbl_task6[S1],tbl_task6[[SubPLOs]:[SubPLOs]],"&gt;=10",tbl_task6[[SubPLOs]:[SubPLOs]],"&lt;11")</f>
        <v>0</v>
      </c>
      <c r="G43" s="138">
        <f>SUMIFS(tbl_task6[S2],tbl_task6[[SubPLOs]:[SubPLOs]],"&gt;=10",tbl_task6[[SubPLOs]:[SubPLOs]],"&lt;11")</f>
        <v>0</v>
      </c>
      <c r="H43" s="138">
        <f>SUMIFS(tbl_task6[S3],tbl_task6[[SubPLOs]:[SubPLOs]],"&gt;=10",tbl_task6[[SubPLOs]:[SubPLOs]],"&lt;11")</f>
        <v>0</v>
      </c>
      <c r="I43" s="138">
        <f>SUMIFS(tbl_task6[S4],tbl_task6[[SubPLOs]:[SubPLOs]],"&gt;=10",tbl_task6[[SubPLOs]:[SubPLOs]],"&lt;11")</f>
        <v>0</v>
      </c>
      <c r="J43" s="138">
        <f>SUMIFS(tbl_task6[S5],tbl_task6[[SubPLOs]:[SubPLOs]],"&gt;=10",tbl_task6[[SubPLOs]:[SubPLOs]],"&lt;11")</f>
        <v>0</v>
      </c>
      <c r="K43" s="138">
        <f>SUMIFS(tbl_task6[S6],tbl_task6[[SubPLOs]:[SubPLOs]],"&gt;=10",tbl_task6[[SubPLOs]:[SubPLOs]],"&lt;11")</f>
        <v>0</v>
      </c>
      <c r="L43" s="138">
        <f>SUMIFS(tbl_task6[S7],tbl_task6[[SubPLOs]:[SubPLOs]],"&gt;=10",tbl_task6[[SubPLOs]:[SubPLOs]],"&lt;11")</f>
        <v>0</v>
      </c>
      <c r="M43" s="138">
        <f>SUMIFS(tbl_task6[S8],tbl_task6[[SubPLOs]:[SubPLOs]],"&gt;=10",tbl_task6[[SubPLOs]:[SubPLOs]],"&lt;11")</f>
        <v>0</v>
      </c>
      <c r="N43" s="138">
        <f>SUMIFS(tbl_task6[S9],tbl_task6[[SubPLOs]:[SubPLOs]],"&gt;=10",tbl_task6[[SubPLOs]:[SubPLOs]],"&lt;11")</f>
        <v>0</v>
      </c>
      <c r="O43" s="138">
        <f>SUMIFS(tbl_task6[S10],tbl_task6[[SubPLOs]:[SubPLOs]],"&gt;=10",tbl_task6[[SubPLOs]:[SubPLOs]],"&lt;11")</f>
        <v>0</v>
      </c>
      <c r="P43" s="138">
        <f>SUMIFS(tbl_task6[S11],tbl_task6[[SubPLOs]:[SubPLOs]],"&gt;=10",tbl_task6[[SubPLOs]:[SubPLOs]],"&lt;11")</f>
        <v>0</v>
      </c>
      <c r="Q43" s="138">
        <f>SUMIFS(tbl_task6[S12],tbl_task6[[SubPLOs]:[SubPLOs]],"&gt;=10",tbl_task6[[SubPLOs]:[SubPLOs]],"&lt;11")</f>
        <v>0</v>
      </c>
      <c r="R43" s="138">
        <f>SUMIFS(tbl_task6[S13],tbl_task6[[SubPLOs]:[SubPLOs]],"&gt;=10",tbl_task6[[SubPLOs]:[SubPLOs]],"&lt;11")</f>
        <v>0</v>
      </c>
      <c r="S43" s="138">
        <f>SUMIFS(tbl_task6[S14],tbl_task6[[SubPLOs]:[SubPLOs]],"&gt;=10",tbl_task6[[SubPLOs]:[SubPLOs]],"&lt;11")</f>
        <v>0</v>
      </c>
      <c r="T43" s="138">
        <f>SUMIFS(tbl_task6[S15],tbl_task6[[SubPLOs]:[SubPLOs]],"&gt;=10",tbl_task6[[SubPLOs]:[SubPLOs]],"&lt;11")</f>
        <v>0</v>
      </c>
      <c r="U43" s="138">
        <f>SUMIFS(tbl_task6[S16],tbl_task6[[SubPLOs]:[SubPLOs]],"&gt;=10",tbl_task6[[SubPLOs]:[SubPLOs]],"&lt;11")</f>
        <v>0</v>
      </c>
      <c r="V43" s="138">
        <f>SUMIFS(tbl_task6[S17],tbl_task6[[SubPLOs]:[SubPLOs]],"&gt;=10",tbl_task6[[SubPLOs]:[SubPLOs]],"&lt;11")</f>
        <v>0</v>
      </c>
      <c r="W43" s="138">
        <f>SUMIFS(tbl_task6[S18],tbl_task6[[SubPLOs]:[SubPLOs]],"&gt;=10",tbl_task6[[SubPLOs]:[SubPLOs]],"&lt;11")</f>
        <v>0</v>
      </c>
      <c r="X43" s="138">
        <f>SUMIFS(tbl_task6[S19],tbl_task6[[SubPLOs]:[SubPLOs]],"&gt;=10",tbl_task6[[SubPLOs]:[SubPLOs]],"&lt;11")</f>
        <v>0</v>
      </c>
      <c r="Y43" s="138">
        <f>SUMIFS(tbl_task6[S20],tbl_task6[[SubPLOs]:[SubPLOs]],"&gt;=10",tbl_task6[[SubPLOs]:[SubPLOs]],"&lt;11")</f>
        <v>0</v>
      </c>
      <c r="Z43" s="138">
        <f>SUMIFS(tbl_task6[S21],tbl_task6[[SubPLOs]:[SubPLOs]],"&gt;=10",tbl_task6[[SubPLOs]:[SubPLOs]],"&lt;11")</f>
        <v>0</v>
      </c>
      <c r="AA43" s="138">
        <f>SUMIFS(tbl_task6[S22],tbl_task6[[SubPLOs]:[SubPLOs]],"&gt;=10",tbl_task6[[SubPLOs]:[SubPLOs]],"&lt;11")</f>
        <v>0</v>
      </c>
      <c r="AB43" s="138">
        <f>SUMIFS(tbl_task6[S23],tbl_task6[[SubPLOs]:[SubPLOs]],"&gt;=10",tbl_task6[[SubPLOs]:[SubPLOs]],"&lt;11")</f>
        <v>0</v>
      </c>
      <c r="AC43" s="138">
        <f>SUMIFS(tbl_task6[S24],tbl_task6[[SubPLOs]:[SubPLOs]],"&gt;=10",tbl_task6[[SubPLOs]:[SubPLOs]],"&lt;11")</f>
        <v>0</v>
      </c>
      <c r="AD43" s="138">
        <f>SUMIFS(tbl_task6[S25],tbl_task6[[SubPLOs]:[SubPLOs]],"&gt;=10",tbl_task6[[SubPLOs]:[SubPLOs]],"&lt;11")</f>
        <v>0</v>
      </c>
      <c r="AE43" s="138">
        <f>SUMIFS(tbl_task6[S26],tbl_task6[[SubPLOs]:[SubPLOs]],"&gt;=10",tbl_task6[[SubPLOs]:[SubPLOs]],"&lt;11")</f>
        <v>0</v>
      </c>
      <c r="AF43" s="138">
        <f>SUMIFS(tbl_task6[S27],tbl_task6[[SubPLOs]:[SubPLOs]],"&gt;=10",tbl_task6[[SubPLOs]:[SubPLOs]],"&lt;11")</f>
        <v>0</v>
      </c>
      <c r="AG43" s="138">
        <f>SUMIFS(tbl_task6[S28],tbl_task6[[SubPLOs]:[SubPLOs]],"&gt;=10",tbl_task6[[SubPLOs]:[SubPLOs]],"&lt;11")</f>
        <v>0</v>
      </c>
      <c r="AH43" s="138">
        <f>SUMIFS(tbl_task6[S29],tbl_task6[[SubPLOs]:[SubPLOs]],"&gt;=10",tbl_task6[[SubPLOs]:[SubPLOs]],"&lt;11")</f>
        <v>0</v>
      </c>
      <c r="AI43" s="138">
        <f>SUMIFS(tbl_task6[S30],tbl_task6[[SubPLOs]:[SubPLOs]],"&gt;=10",tbl_task6[[SubPLOs]:[SubPLOs]],"&lt;11")</f>
        <v>0</v>
      </c>
      <c r="AJ43" s="138">
        <f>SUMIFS(tbl_task6[S31],tbl_task6[[SubPLOs]:[SubPLOs]],"&gt;=10",tbl_task6[[SubPLOs]:[SubPLOs]],"&lt;11")</f>
        <v>0</v>
      </c>
      <c r="AK43" s="138">
        <f>SUMIFS(tbl_task6[S32],tbl_task6[[SubPLOs]:[SubPLOs]],"&gt;=10",tbl_task6[[SubPLOs]:[SubPLOs]],"&lt;11")</f>
        <v>0</v>
      </c>
      <c r="AL43" s="138">
        <f>SUMIFS(tbl_task6[S33],tbl_task6[[SubPLOs]:[SubPLOs]],"&gt;=10",tbl_task6[[SubPLOs]:[SubPLOs]],"&lt;11")</f>
        <v>0</v>
      </c>
      <c r="AM43" s="138">
        <f>SUMIFS(tbl_task6[S34],tbl_task6[[SubPLOs]:[SubPLOs]],"&gt;=10",tbl_task6[[SubPLOs]:[SubPLOs]],"&lt;11")</f>
        <v>0</v>
      </c>
      <c r="AN43" s="138">
        <f>SUMIFS(tbl_task6[S35],tbl_task6[[SubPLOs]:[SubPLOs]],"&gt;=10",tbl_task6[[SubPLOs]:[SubPLOs]],"&lt;11")</f>
        <v>0</v>
      </c>
      <c r="AO43" s="138">
        <f>SUMIFS(tbl_task6[S36],tbl_task6[[SubPLOs]:[SubPLOs]],"&gt;=10",tbl_task6[[SubPLOs]:[SubPLOs]],"&lt;11")</f>
        <v>0</v>
      </c>
      <c r="AP43" s="138">
        <f>SUMIFS(tbl_task6[S37],tbl_task6[[SubPLOs]:[SubPLOs]],"&gt;=10",tbl_task6[[SubPLOs]:[SubPLOs]],"&lt;11")</f>
        <v>0</v>
      </c>
      <c r="AQ43" s="138">
        <f>SUMIFS(tbl_task6[S38],tbl_task6[[SubPLOs]:[SubPLOs]],"&gt;=10",tbl_task6[[SubPLOs]:[SubPLOs]],"&lt;11")</f>
        <v>0</v>
      </c>
      <c r="AR43" s="138">
        <f>SUMIFS(tbl_task6[S39],tbl_task6[[SubPLOs]:[SubPLOs]],"&gt;=10",tbl_task6[[SubPLOs]:[SubPLOs]],"&lt;11")</f>
        <v>0</v>
      </c>
      <c r="AS43" s="138">
        <f>SUMIFS(tbl_task6[S40],tbl_task6[[SubPLOs]:[SubPLOs]],"&gt;=10",tbl_task6[[SubPLOs]:[SubPLOs]],"&lt;11")</f>
        <v>0</v>
      </c>
      <c r="AT43" s="138">
        <f>SUMIFS(tbl_task6[S41],tbl_task6[[SubPLOs]:[SubPLOs]],"&gt;=10",tbl_task6[[SubPLOs]:[SubPLOs]],"&lt;11")</f>
        <v>0</v>
      </c>
      <c r="AU43" s="138">
        <f>SUMIFS(tbl_task6[S42],tbl_task6[[SubPLOs]:[SubPLOs]],"&gt;=10",tbl_task6[[SubPLOs]:[SubPLOs]],"&lt;11")</f>
        <v>0</v>
      </c>
      <c r="AV43" s="138">
        <f>SUMIFS(tbl_task6[S43],tbl_task6[[SubPLOs]:[SubPLOs]],"&gt;=10",tbl_task6[[SubPLOs]:[SubPLOs]],"&lt;11")</f>
        <v>0</v>
      </c>
      <c r="AW43" s="138">
        <f>SUMIFS(tbl_task6[S44],tbl_task6[[SubPLOs]:[SubPLOs]],"&gt;=10",tbl_task6[[SubPLOs]:[SubPLOs]],"&lt;11")</f>
        <v>0</v>
      </c>
      <c r="AX43" s="138">
        <f>SUMIFS(tbl_task6[S45],tbl_task6[[SubPLOs]:[SubPLOs]],"&gt;=10",tbl_task6[[SubPLOs]:[SubPLOs]],"&lt;11")</f>
        <v>0</v>
      </c>
      <c r="AY43" s="138">
        <f>SUMIFS(tbl_task6[S46],tbl_task6[[SubPLOs]:[SubPLOs]],"&gt;=10",tbl_task6[[SubPLOs]:[SubPLOs]],"&lt;11")</f>
        <v>0</v>
      </c>
      <c r="AZ43" s="138">
        <f>SUMIFS(tbl_task6[S47],tbl_task6[[SubPLOs]:[SubPLOs]],"&gt;=10",tbl_task6[[SubPLOs]:[SubPLOs]],"&lt;11")</f>
        <v>0</v>
      </c>
      <c r="BA43" s="138">
        <f>SUMIFS(tbl_task6[S48],tbl_task6[[SubPLOs]:[SubPLOs]],"&gt;=10",tbl_task6[[SubPLOs]:[SubPLOs]],"&lt;11")</f>
        <v>0</v>
      </c>
      <c r="BB43" s="138">
        <f>SUMIFS(tbl_task6[S49],tbl_task6[[SubPLOs]:[SubPLOs]],"&gt;=10",tbl_task6[[SubPLOs]:[SubPLOs]],"&lt;11")</f>
        <v>0</v>
      </c>
      <c r="BC43" s="138">
        <f>SUMIFS(tbl_task6[S50],tbl_task6[[SubPLOs]:[SubPLOs]],"&gt;=10",tbl_task6[[SubPLOs]:[SubPLOs]],"&lt;11")</f>
        <v>0</v>
      </c>
      <c r="BD43" s="138">
        <f>SUMIFS(tbl_task6[S51],tbl_task6[[SubPLOs]:[SubPLOs]],"&gt;=10",tbl_task6[[SubPLOs]:[SubPLOs]],"&lt;11")</f>
        <v>0</v>
      </c>
      <c r="BE43" s="138">
        <f>SUMIFS(tbl_task6[S52],tbl_task6[[SubPLOs]:[SubPLOs]],"&gt;=10",tbl_task6[[SubPLOs]:[SubPLOs]],"&lt;11")</f>
        <v>0</v>
      </c>
      <c r="BF43" s="138">
        <f>SUMIFS(tbl_task6[S53],tbl_task6[[SubPLOs]:[SubPLOs]],"&gt;=10",tbl_task6[[SubPLOs]:[SubPLOs]],"&lt;11")</f>
        <v>0</v>
      </c>
      <c r="BG43" s="138">
        <f>SUMIFS(tbl_task6[S54],tbl_task6[[SubPLOs]:[SubPLOs]],"&gt;=10",tbl_task6[[SubPLOs]:[SubPLOs]],"&lt;11")</f>
        <v>0</v>
      </c>
      <c r="BH43" s="138">
        <f>SUMIFS(tbl_task6[S55],tbl_task6[[SubPLOs]:[SubPLOs]],"&gt;=10",tbl_task6[[SubPLOs]:[SubPLOs]],"&lt;11")</f>
        <v>0</v>
      </c>
      <c r="BI43" s="138">
        <f>SUMIFS(tbl_task6[S56],tbl_task6[[SubPLOs]:[SubPLOs]],"&gt;=10",tbl_task6[[SubPLOs]:[SubPLOs]],"&lt;11")</f>
        <v>0</v>
      </c>
      <c r="BJ43" s="138">
        <f>SUMIFS(tbl_task6[S57],tbl_task6[[SubPLOs]:[SubPLOs]],"&gt;=10",tbl_task6[[SubPLOs]:[SubPLOs]],"&lt;11")</f>
        <v>0</v>
      </c>
      <c r="BK43" s="138">
        <f>SUMIFS(tbl_task6[S58],tbl_task6[[SubPLOs]:[SubPLOs]],"&gt;=10",tbl_task6[[SubPLOs]:[SubPLOs]],"&lt;11")</f>
        <v>0</v>
      </c>
      <c r="BL43" s="138">
        <f>SUMIFS(tbl_task6[S59],tbl_task6[[SubPLOs]:[SubPLOs]],"&gt;=10",tbl_task6[[SubPLOs]:[SubPLOs]],"&lt;11")</f>
        <v>0</v>
      </c>
      <c r="BM43" s="138">
        <f>SUMIFS(tbl_task6[S60],tbl_task6[[SubPLOs]:[SubPLOs]],"&gt;=10",tbl_task6[[SubPLOs]:[SubPLOs]],"&lt;11")</f>
        <v>0</v>
      </c>
      <c r="BN43" s="138">
        <f>SUMIFS(tbl_task6[S61],tbl_task6[[SubPLOs]:[SubPLOs]],"&gt;=10",tbl_task6[[SubPLOs]:[SubPLOs]],"&lt;11")</f>
        <v>0</v>
      </c>
      <c r="BO43" s="138">
        <f>SUMIFS(tbl_task6[S62],tbl_task6[[SubPLOs]:[SubPLOs]],"&gt;=10",tbl_task6[[SubPLOs]:[SubPLOs]],"&lt;11")</f>
        <v>0</v>
      </c>
      <c r="BP43" s="138">
        <f>SUMIFS(tbl_task6[S63],tbl_task6[[SubPLOs]:[SubPLOs]],"&gt;=10",tbl_task6[[SubPLOs]:[SubPLOs]],"&lt;11")</f>
        <v>0</v>
      </c>
      <c r="BQ43" s="138">
        <f>SUMIFS(tbl_task6[S64],tbl_task6[[SubPLOs]:[SubPLOs]],"&gt;=10",tbl_task6[[SubPLOs]:[SubPLOs]],"&lt;11")</f>
        <v>0</v>
      </c>
      <c r="BR43" s="138">
        <f>SUMIFS(tbl_task6[S65],tbl_task6[[SubPLOs]:[SubPLOs]],"&gt;=10",tbl_task6[[SubPLOs]:[SubPLOs]],"&lt;11")</f>
        <v>0</v>
      </c>
      <c r="BS43" s="138">
        <f>SUMIFS(tbl_task6[S66],tbl_task6[[SubPLOs]:[SubPLOs]],"&gt;=10",tbl_task6[[SubPLOs]:[SubPLOs]],"&lt;11")</f>
        <v>0</v>
      </c>
      <c r="BT43" s="138">
        <f>SUMIFS(tbl_task6[S67],tbl_task6[[SubPLOs]:[SubPLOs]],"&gt;=10",tbl_task6[[SubPLOs]:[SubPLOs]],"&lt;11")</f>
        <v>0</v>
      </c>
      <c r="BU43" s="138">
        <f>SUMIFS(tbl_task6[S68],tbl_task6[[SubPLOs]:[SubPLOs]],"&gt;=10",tbl_task6[[SubPLOs]:[SubPLOs]],"&lt;11")</f>
        <v>0</v>
      </c>
      <c r="BV43" s="138">
        <f>SUMIFS(tbl_task6[S69],tbl_task6[[SubPLOs]:[SubPLOs]],"&gt;=10",tbl_task6[[SubPLOs]:[SubPLOs]],"&lt;11")</f>
        <v>0</v>
      </c>
      <c r="BW43" s="138">
        <f>SUMIFS(tbl_task6[S70],tbl_task6[[SubPLOs]:[SubPLOs]],"&gt;=10",tbl_task6[[SubPLOs]:[SubPLOs]],"&lt;11")</f>
        <v>0</v>
      </c>
      <c r="BX43" s="138">
        <f>SUMIFS(tbl_task6[S71],tbl_task6[[SubPLOs]:[SubPLOs]],"&gt;=10",tbl_task6[[SubPLOs]:[SubPLOs]],"&lt;11")</f>
        <v>0</v>
      </c>
      <c r="BY43" s="138">
        <f>SUMIFS(tbl_task6[S72],tbl_task6[[SubPLOs]:[SubPLOs]],"&gt;=10",tbl_task6[[SubPLOs]:[SubPLOs]],"&lt;11")</f>
        <v>0</v>
      </c>
      <c r="BZ43" s="138">
        <f>SUMIFS(tbl_task6[S73],tbl_task6[[SubPLOs]:[SubPLOs]],"&gt;=10",tbl_task6[[SubPLOs]:[SubPLOs]],"&lt;11")</f>
        <v>0</v>
      </c>
      <c r="CA43" s="138">
        <f>SUMIFS(tbl_task6[S74],tbl_task6[[SubPLOs]:[SubPLOs]],"&gt;=10",tbl_task6[[SubPLOs]:[SubPLOs]],"&lt;11")</f>
        <v>0</v>
      </c>
      <c r="CB43" s="138">
        <f>SUMIFS(tbl_task6[S75],tbl_task6[[SubPLOs]:[SubPLOs]],"&gt;=10",tbl_task6[[SubPLOs]:[SubPLOs]],"&lt;11")</f>
        <v>0</v>
      </c>
      <c r="CC43" s="138">
        <f>SUMIFS(tbl_task6[S76],tbl_task6[[SubPLOs]:[SubPLOs]],"&gt;=10",tbl_task6[[SubPLOs]:[SubPLOs]],"&lt;11")</f>
        <v>0</v>
      </c>
      <c r="CD43" s="138">
        <f>SUMIFS(tbl_task6[S77],tbl_task6[[SubPLOs]:[SubPLOs]],"&gt;=10",tbl_task6[[SubPLOs]:[SubPLOs]],"&lt;11")</f>
        <v>0</v>
      </c>
      <c r="CE43" s="138">
        <f>SUMIFS(tbl_task6[S78],tbl_task6[[SubPLOs]:[SubPLOs]],"&gt;=10",tbl_task6[[SubPLOs]:[SubPLOs]],"&lt;11")</f>
        <v>0</v>
      </c>
      <c r="CF43" s="138">
        <f>SUMIFS(tbl_task6[S79],tbl_task6[[SubPLOs]:[SubPLOs]],"&gt;=10",tbl_task6[[SubPLOs]:[SubPLOs]],"&lt;11")</f>
        <v>0</v>
      </c>
      <c r="CG43" s="138">
        <f>SUMIFS(tbl_task6[S80],tbl_task6[[SubPLOs]:[SubPLOs]],"&gt;=10",tbl_task6[[SubPLOs]:[SubPLOs]],"&lt;11")</f>
        <v>0</v>
      </c>
      <c r="CH43" s="138">
        <f>SUMIFS(tbl_task6[S81],tbl_task6[[SubPLOs]:[SubPLOs]],"&gt;=10",tbl_task6[[SubPLOs]:[SubPLOs]],"&lt;11")</f>
        <v>0</v>
      </c>
      <c r="CI43" s="138">
        <f>SUMIFS(tbl_task6[S82],tbl_task6[[SubPLOs]:[SubPLOs]],"&gt;=10",tbl_task6[[SubPLOs]:[SubPLOs]],"&lt;11")</f>
        <v>0</v>
      </c>
      <c r="CJ43" s="138">
        <f>SUMIFS(tbl_task6[S83],tbl_task6[[SubPLOs]:[SubPLOs]],"&gt;=10",tbl_task6[[SubPLOs]:[SubPLOs]],"&lt;11")</f>
        <v>0</v>
      </c>
      <c r="CK43" s="138">
        <f>SUMIFS(tbl_task6[S84],tbl_task6[[SubPLOs]:[SubPLOs]],"&gt;=10",tbl_task6[[SubPLOs]:[SubPLOs]],"&lt;11")</f>
        <v>0</v>
      </c>
      <c r="CL43" s="138">
        <f>SUMIFS(tbl_task6[S85],tbl_task6[[SubPLOs]:[SubPLOs]],"&gt;=10",tbl_task6[[SubPLOs]:[SubPLOs]],"&lt;11")</f>
        <v>0</v>
      </c>
      <c r="CM43" s="138">
        <f>SUMIFS(tbl_task6[S86],tbl_task6[[SubPLOs]:[SubPLOs]],"&gt;=10",tbl_task6[[SubPLOs]:[SubPLOs]],"&lt;11")</f>
        <v>0</v>
      </c>
      <c r="CN43" s="138">
        <f>SUMIFS(tbl_task6[S87],tbl_task6[[SubPLOs]:[SubPLOs]],"&gt;=10",tbl_task6[[SubPLOs]:[SubPLOs]],"&lt;11")</f>
        <v>0</v>
      </c>
      <c r="CO43" s="138">
        <f>SUMIFS(tbl_task6[S88],tbl_task6[[SubPLOs]:[SubPLOs]],"&gt;=10",tbl_task6[[SubPLOs]:[SubPLOs]],"&lt;11")</f>
        <v>0</v>
      </c>
      <c r="CP43" s="138">
        <f>SUMIFS(tbl_task6[S89],tbl_task6[[SubPLOs]:[SubPLOs]],"&gt;=10",tbl_task6[[SubPLOs]:[SubPLOs]],"&lt;11")</f>
        <v>0</v>
      </c>
      <c r="CQ43" s="138">
        <f>SUMIFS(tbl_task6[S90],tbl_task6[[SubPLOs]:[SubPLOs]],"&gt;=10",tbl_task6[[SubPLOs]:[SubPLOs]],"&lt;11")</f>
        <v>0</v>
      </c>
      <c r="CR43" s="138">
        <f>SUMIFS(tbl_task6[S91],tbl_task6[[SubPLOs]:[SubPLOs]],"&gt;=10",tbl_task6[[SubPLOs]:[SubPLOs]],"&lt;11")</f>
        <v>0</v>
      </c>
      <c r="CS43" s="138">
        <f>SUMIFS(tbl_task6[S92],tbl_task6[[SubPLOs]:[SubPLOs]],"&gt;=10",tbl_task6[[SubPLOs]:[SubPLOs]],"&lt;11")</f>
        <v>0</v>
      </c>
      <c r="CT43" s="138">
        <f>SUMIFS(tbl_task6[S93],tbl_task6[[SubPLOs]:[SubPLOs]],"&gt;=10",tbl_task6[[SubPLOs]:[SubPLOs]],"&lt;11")</f>
        <v>0</v>
      </c>
      <c r="CU43" s="138">
        <f>SUMIFS(tbl_task6[S94],tbl_task6[[SubPLOs]:[SubPLOs]],"&gt;=10",tbl_task6[[SubPLOs]:[SubPLOs]],"&lt;11")</f>
        <v>0</v>
      </c>
      <c r="CV43" s="138">
        <f>SUMIFS(tbl_task6[S95],tbl_task6[[SubPLOs]:[SubPLOs]],"&gt;=10",tbl_task6[[SubPLOs]:[SubPLOs]],"&lt;11")</f>
        <v>0</v>
      </c>
      <c r="CW43" s="138">
        <f>SUMIFS(tbl_task6[S96],tbl_task6[[SubPLOs]:[SubPLOs]],"&gt;=10",tbl_task6[[SubPLOs]:[SubPLOs]],"&lt;11")</f>
        <v>0</v>
      </c>
      <c r="CX43" s="138">
        <f>SUMIFS(tbl_task6[S97],tbl_task6[[SubPLOs]:[SubPLOs]],"&gt;=10",tbl_task6[[SubPLOs]:[SubPLOs]],"&lt;11")</f>
        <v>0</v>
      </c>
      <c r="CY43" s="138">
        <f>SUMIFS(tbl_task6[S98],tbl_task6[[SubPLOs]:[SubPLOs]],"&gt;=10",tbl_task6[[SubPLOs]:[SubPLOs]],"&lt;11")</f>
        <v>0</v>
      </c>
      <c r="CZ43" s="138">
        <f>SUMIFS(tbl_task6[S99],tbl_task6[[SubPLOs]:[SubPLOs]],"&gt;=10",tbl_task6[[SubPLOs]:[SubPLOs]],"&lt;11")</f>
        <v>0</v>
      </c>
      <c r="DA43" s="138">
        <f>SUMIFS(tbl_task6[S100],tbl_task6[[SubPLOs]:[SubPLOs]],"&gt;=10",tbl_task6[[SubPLOs]:[SubPLOs]],"&lt;11")</f>
        <v>0</v>
      </c>
      <c r="DB43" s="138">
        <f>SUMIFS(tbl_task6[S101],tbl_task6[[SubPLOs]:[SubPLOs]],"&gt;=10",tbl_task6[[SubPLOs]:[SubPLOs]],"&lt;11")</f>
        <v>0</v>
      </c>
      <c r="DC43" s="138">
        <f>SUMIFS(tbl_task6[S102],tbl_task6[[SubPLOs]:[SubPLOs]],"&gt;=10",tbl_task6[[SubPLOs]:[SubPLOs]],"&lt;11")</f>
        <v>0</v>
      </c>
      <c r="DD43" s="138">
        <f>SUMIFS(tbl_task6[S103],tbl_task6[[SubPLOs]:[SubPLOs]],"&gt;=10",tbl_task6[[SubPLOs]:[SubPLOs]],"&lt;11")</f>
        <v>0</v>
      </c>
      <c r="DE43" s="138">
        <f>SUMIFS(tbl_task6[S104],tbl_task6[[SubPLOs]:[SubPLOs]],"&gt;=10",tbl_task6[[SubPLOs]:[SubPLOs]],"&lt;11")</f>
        <v>0</v>
      </c>
      <c r="DF43" s="138">
        <f>SUMIFS(tbl_task6[S105],tbl_task6[[SubPLOs]:[SubPLOs]],"&gt;=10",tbl_task6[[SubPLOs]:[SubPLOs]],"&lt;11")</f>
        <v>0</v>
      </c>
      <c r="DG43" s="138">
        <f>SUMIFS(tbl_task6[S106],tbl_task6[[SubPLOs]:[SubPLOs]],"&gt;=10",tbl_task6[[SubPLOs]:[SubPLOs]],"&lt;11")</f>
        <v>0</v>
      </c>
      <c r="DH43" s="138">
        <f>SUMIFS(tbl_task6[S106],tbl_task6[[SubPLOs]:[SubPLOs]],"&gt;=10",tbl_task6[[SubPLOs]:[SubPLOs]],"&lt;11")</f>
        <v>0</v>
      </c>
      <c r="DI43" s="138">
        <f>SUMIFS(tbl_task6[S108],tbl_task6[[SubPLOs]:[SubPLOs]],"&gt;=10",tbl_task6[[SubPLOs]:[SubPLOs]],"&lt;11")</f>
        <v>0</v>
      </c>
      <c r="DJ43" s="138">
        <f>SUMIFS(tbl_task6[S109],tbl_task6[[SubPLOs]:[SubPLOs]],"&gt;=10",tbl_task6[[SubPLOs]:[SubPLOs]],"&lt;11")</f>
        <v>0</v>
      </c>
      <c r="DK43" s="138">
        <f>SUMIFS(tbl_task6[S110],tbl_task6[[SubPLOs]:[SubPLOs]],"&gt;=10",tbl_task6[[SubPLOs]:[SubPLOs]],"&lt;11")</f>
        <v>0</v>
      </c>
      <c r="DL43" s="138">
        <f>SUMIFS(tbl_task6[S111],tbl_task6[[SubPLOs]:[SubPLOs]],"&gt;=10",tbl_task6[[SubPLOs]:[SubPLOs]],"&lt;11")</f>
        <v>0</v>
      </c>
      <c r="DM43" s="138">
        <f>SUMIFS(tbl_task6[S112],tbl_task6[[SubPLOs]:[SubPLOs]],"&gt;=10",tbl_task6[[SubPLOs]:[SubPLOs]],"&lt;11")</f>
        <v>0</v>
      </c>
      <c r="DN43" s="138">
        <f>SUMIFS(tbl_task6[S113],tbl_task6[[SubPLOs]:[SubPLOs]],"&gt;=10",tbl_task6[[SubPLOs]:[SubPLOs]],"&lt;11")</f>
        <v>0</v>
      </c>
      <c r="DO43" s="138">
        <f>SUMIFS(tbl_task6[S114],tbl_task6[[SubPLOs]:[SubPLOs]],"&gt;=10",tbl_task6[[SubPLOs]:[SubPLOs]],"&lt;11")</f>
        <v>0</v>
      </c>
      <c r="DP43" s="138">
        <f>SUMIFS(tbl_task6[S115],tbl_task6[[SubPLOs]:[SubPLOs]],"&gt;=10",tbl_task6[[SubPLOs]:[SubPLOs]],"&lt;11")</f>
        <v>0</v>
      </c>
      <c r="DQ43" s="138">
        <f>SUMIFS(tbl_task6[S116],tbl_task6[[SubPLOs]:[SubPLOs]],"&gt;=10",tbl_task6[[SubPLOs]:[SubPLOs]],"&lt;11")</f>
        <v>0</v>
      </c>
      <c r="DR43" s="138">
        <f>SUMIFS(tbl_task6[S117],tbl_task6[[SubPLOs]:[SubPLOs]],"&gt;=10",tbl_task6[[SubPLOs]:[SubPLOs]],"&lt;11")</f>
        <v>0</v>
      </c>
      <c r="DS43" s="138">
        <f>SUMIFS(tbl_task6[S118],tbl_task6[[SubPLOs]:[SubPLOs]],"&gt;=10",tbl_task6[[SubPLOs]:[SubPLOs]],"&lt;11")</f>
        <v>0</v>
      </c>
      <c r="DT43" s="138">
        <f>SUMIFS(tbl_task6[S119],tbl_task6[[SubPLOs]:[SubPLOs]],"&gt;=10",tbl_task6[[SubPLOs]:[SubPLOs]],"&lt;11")</f>
        <v>0</v>
      </c>
      <c r="DU43" s="138">
        <f>SUMIFS(tbl_task6[S120],tbl_task6[[SubPLOs]:[SubPLOs]],"&gt;=10",tbl_task6[[SubPLOs]:[SubPLOs]],"&lt;11")</f>
        <v>0</v>
      </c>
      <c r="DV43" s="138">
        <f>SUMIFS(tbl_task6[S121],tbl_task6[[SubPLOs]:[SubPLOs]],"&gt;=10",tbl_task6[[SubPLOs]:[SubPLOs]],"&lt;11")</f>
        <v>0</v>
      </c>
      <c r="DW43" s="138">
        <f>SUMIFS(tbl_task6[S122],tbl_task6[[SubPLOs]:[SubPLOs]],"&gt;=10",tbl_task6[[SubPLOs]:[SubPLOs]],"&lt;11")</f>
        <v>0</v>
      </c>
      <c r="DX43" s="138">
        <f>SUMIFS(tbl_task6[S123],tbl_task6[[SubPLOs]:[SubPLOs]],"&gt;=10",tbl_task6[[SubPLOs]:[SubPLOs]],"&lt;11")</f>
        <v>0</v>
      </c>
      <c r="DY43" s="138">
        <f>SUMIFS(tbl_task6[S124],tbl_task6[[SubPLOs]:[SubPLOs]],"&gt;=10",tbl_task6[[SubPLOs]:[SubPLOs]],"&lt;11")</f>
        <v>0</v>
      </c>
      <c r="DZ43" s="138">
        <f>SUMIFS(tbl_task6[S125],tbl_task6[[SubPLOs]:[SubPLOs]],"&gt;=10",tbl_task6[[SubPLOs]:[SubPLOs]],"&lt;11")</f>
        <v>0</v>
      </c>
      <c r="EA43" s="138">
        <f>SUMIFS(tbl_task6[S126],tbl_task6[[SubPLOs]:[SubPLOs]],"&gt;=10",tbl_task6[[SubPLOs]:[SubPLOs]],"&lt;11")</f>
        <v>0</v>
      </c>
      <c r="EB43" s="138">
        <f>SUMIFS(tbl_task6[S127],tbl_task6[[SubPLOs]:[SubPLOs]],"&gt;=10",tbl_task6[[SubPLOs]:[SubPLOs]],"&lt;11")</f>
        <v>0</v>
      </c>
      <c r="EC43" s="138">
        <f>SUMIFS(tbl_task6[S128],tbl_task6[[SubPLOs]:[SubPLOs]],"&gt;=10",tbl_task6[[SubPLOs]:[SubPLOs]],"&lt;11")</f>
        <v>0</v>
      </c>
      <c r="ED43" s="138">
        <f>SUMIFS(tbl_task6[S129],tbl_task6[[SubPLOs]:[SubPLOs]],"&gt;=10",tbl_task6[[SubPLOs]:[SubPLOs]],"&lt;11")</f>
        <v>0</v>
      </c>
      <c r="EE43" s="138">
        <f>SUMIFS(tbl_task6[S130],tbl_task6[[SubPLOs]:[SubPLOs]],"&gt;=10",tbl_task6[[SubPLOs]:[SubPLOs]],"&lt;11")</f>
        <v>0</v>
      </c>
      <c r="EF43" s="138">
        <f>SUMIFS(tbl_task6[S131],tbl_task6[[SubPLOs]:[SubPLOs]],"&gt;=10",tbl_task6[[SubPLOs]:[SubPLOs]],"&lt;11")</f>
        <v>0</v>
      </c>
      <c r="EG43" s="138">
        <f>SUMIFS(tbl_task6[S132],tbl_task6[[SubPLOs]:[SubPLOs]],"&gt;=10",tbl_task6[[SubPLOs]:[SubPLOs]],"&lt;11")</f>
        <v>0</v>
      </c>
      <c r="EH43" s="138">
        <f>SUMIFS(tbl_task6[S133],tbl_task6[[SubPLOs]:[SubPLOs]],"&gt;=10",tbl_task6[[SubPLOs]:[SubPLOs]],"&lt;11")</f>
        <v>0</v>
      </c>
      <c r="EI43" s="138">
        <f>SUMIFS(tbl_task6[S134],tbl_task6[[SubPLOs]:[SubPLOs]],"&gt;=10",tbl_task6[[SubPLOs]:[SubPLOs]],"&lt;11")</f>
        <v>0</v>
      </c>
      <c r="EJ43" s="138">
        <f>SUMIFS(tbl_task6[S135],tbl_task6[[SubPLOs]:[SubPLOs]],"&gt;=10",tbl_task6[[SubPLOs]:[SubPLOs]],"&lt;11")</f>
        <v>0</v>
      </c>
      <c r="EK43" s="138">
        <f>SUMIFS(tbl_task6[S136],tbl_task6[[SubPLOs]:[SubPLOs]],"&gt;=10",tbl_task6[[SubPLOs]:[SubPLOs]],"&lt;11")</f>
        <v>0</v>
      </c>
      <c r="EL43" s="138">
        <f>SUMIFS(tbl_task6[S137],tbl_task6[[SubPLOs]:[SubPLOs]],"&gt;=10",tbl_task6[[SubPLOs]:[SubPLOs]],"&lt;11")</f>
        <v>0</v>
      </c>
      <c r="EM43" s="138">
        <f>SUMIFS(tbl_task6[S138],tbl_task6[[SubPLOs]:[SubPLOs]],"&gt;=10",tbl_task6[[SubPLOs]:[SubPLOs]],"&lt;11")</f>
        <v>0</v>
      </c>
      <c r="EN43" s="138">
        <f>SUMIFS(tbl_task6[S139],tbl_task6[[SubPLOs]:[SubPLOs]],"&gt;=10",tbl_task6[[SubPLOs]:[SubPLOs]],"&lt;11")</f>
        <v>0</v>
      </c>
      <c r="EO43" s="138">
        <f>SUMIFS(tbl_task6[S140],tbl_task6[[SubPLOs]:[SubPLOs]],"&gt;=10",tbl_task6[[SubPLOs]:[SubPLOs]],"&lt;11")</f>
        <v>0</v>
      </c>
      <c r="EP43" s="138">
        <f>SUMIFS(tbl_task6[S141],tbl_task6[[SubPLOs]:[SubPLOs]],"&gt;=10",tbl_task6[[SubPLOs]:[SubPLOs]],"&lt;11")</f>
        <v>0</v>
      </c>
      <c r="EQ43" s="138">
        <f>SUMIFS(tbl_task6[S142],tbl_task6[[SubPLOs]:[SubPLOs]],"&gt;=10",tbl_task6[[SubPLOs]:[SubPLOs]],"&lt;11")</f>
        <v>0</v>
      </c>
      <c r="ER43" s="138">
        <f>SUMIFS(tbl_task6[S143],tbl_task6[[SubPLOs]:[SubPLOs]],"&gt;=10",tbl_task6[[SubPLOs]:[SubPLOs]],"&lt;11")</f>
        <v>0</v>
      </c>
      <c r="ES43" s="138">
        <f>SUMIFS(tbl_task6[S144],tbl_task6[[SubPLOs]:[SubPLOs]],"&gt;=10",tbl_task6[[SubPLOs]:[SubPLOs]],"&lt;11")</f>
        <v>0</v>
      </c>
      <c r="ET43" s="138">
        <f>SUMIFS(tbl_task6[S145],tbl_task6[[SubPLOs]:[SubPLOs]],"&gt;=10",tbl_task6[[SubPLOs]:[SubPLOs]],"&lt;11")</f>
        <v>0</v>
      </c>
      <c r="EU43" s="138">
        <f>SUMIFS(tbl_task6[S146],tbl_task6[[SubPLOs]:[SubPLOs]],"&gt;=10",tbl_task6[[SubPLOs]:[SubPLOs]],"&lt;11")</f>
        <v>0</v>
      </c>
      <c r="EV43" s="138">
        <f>SUMIFS(tbl_task6[S147],tbl_task6[[SubPLOs]:[SubPLOs]],"&gt;=10",tbl_task6[[SubPLOs]:[SubPLOs]],"&lt;11")</f>
        <v>0</v>
      </c>
      <c r="EW43" s="138">
        <f>SUMIFS(tbl_task6[S148],tbl_task6[[SubPLOs]:[SubPLOs]],"&gt;=10",tbl_task6[[SubPLOs]:[SubPLOs]],"&lt;11")</f>
        <v>0</v>
      </c>
      <c r="EX43" s="138">
        <f>SUMIFS(tbl_task6[S149],tbl_task6[[SubPLOs]:[SubPLOs]],"&gt;=10",tbl_task6[[SubPLOs]:[SubPLOs]],"&lt;11")</f>
        <v>0</v>
      </c>
      <c r="EY43" s="138">
        <f>SUMIFS(tbl_task6[S150],tbl_task6[[SubPLOs]:[SubPLOs]],"&gt;=10",tbl_task6[[SubPLOs]:[SubPLOs]],"&lt;11")</f>
        <v>0</v>
      </c>
      <c r="EZ43" s="138">
        <f>SUMIFS(tbl_task6[S151],tbl_task6[[SubPLOs]:[SubPLOs]],"&gt;=10",tbl_task6[[SubPLOs]:[SubPLOs]],"&lt;11")</f>
        <v>0</v>
      </c>
      <c r="FA43" s="138">
        <f>SUMIFS(tbl_task6[S152],tbl_task6[[SubPLOs]:[SubPLOs]],"&gt;=10",tbl_task6[[SubPLOs]:[SubPLOs]],"&lt;11")</f>
        <v>0</v>
      </c>
      <c r="FB43" s="138">
        <f>SUMIFS(tbl_task6[S153],tbl_task6[[SubPLOs]:[SubPLOs]],"&gt;=10",tbl_task6[[SubPLOs]:[SubPLOs]],"&lt;11")</f>
        <v>0</v>
      </c>
      <c r="FC43" s="138">
        <f>SUMIFS(tbl_task6[S154],tbl_task6[[SubPLOs]:[SubPLOs]],"&gt;=10",tbl_task6[[SubPLOs]:[SubPLOs]],"&lt;11")</f>
        <v>0</v>
      </c>
      <c r="FD43" s="138">
        <f>SUMIFS(tbl_task6[S155],tbl_task6[[SubPLOs]:[SubPLOs]],"&gt;=10",tbl_task6[[SubPLOs]:[SubPLOs]],"&lt;11")</f>
        <v>0</v>
      </c>
      <c r="FE43" s="138">
        <f>SUMIFS(tbl_task6[S156],tbl_task6[[SubPLOs]:[SubPLOs]],"&gt;=10",tbl_task6[[SubPLOs]:[SubPLOs]],"&lt;11")</f>
        <v>0</v>
      </c>
      <c r="FF43" s="138">
        <f>SUMIFS(tbl_task6[S157],tbl_task6[[SubPLOs]:[SubPLOs]],"&gt;=10",tbl_task6[[SubPLOs]:[SubPLOs]],"&lt;11")</f>
        <v>0</v>
      </c>
      <c r="FG43" s="138">
        <f>SUMIFS(tbl_task6[S158],tbl_task6[[SubPLOs]:[SubPLOs]],"&gt;=10",tbl_task6[[SubPLOs]:[SubPLOs]],"&lt;11")</f>
        <v>0</v>
      </c>
      <c r="FH43" s="138">
        <f>SUMIFS(tbl_task6[S159],tbl_task6[[SubPLOs]:[SubPLOs]],"&gt;=10",tbl_task6[[SubPLOs]:[SubPLOs]],"&lt;11")</f>
        <v>0</v>
      </c>
      <c r="FI43" s="138">
        <f>SUMIFS(tbl_task6[S160],tbl_task6[[SubPLOs]:[SubPLOs]],"&gt;=10",tbl_task6[[SubPLOs]:[SubPLOs]],"&lt;11")</f>
        <v>0</v>
      </c>
      <c r="FJ43" s="138">
        <f>SUMIFS(tbl_task6[S161],tbl_task6[[SubPLOs]:[SubPLOs]],"&gt;=10",tbl_task6[[SubPLOs]:[SubPLOs]],"&lt;11")</f>
        <v>0</v>
      </c>
      <c r="FK43" s="138">
        <f>SUMIFS(tbl_task6[S162],tbl_task6[[SubPLOs]:[SubPLOs]],"&gt;=10",tbl_task6[[SubPLOs]:[SubPLOs]],"&lt;11")</f>
        <v>0</v>
      </c>
      <c r="FL43" s="138">
        <f>SUMIFS(tbl_task6[S163],tbl_task6[[SubPLOs]:[SubPLOs]],"&gt;=10",tbl_task6[[SubPLOs]:[SubPLOs]],"&lt;11")</f>
        <v>0</v>
      </c>
      <c r="FM43" s="138">
        <f>SUMIFS(tbl_task6[S164],tbl_task6[[SubPLOs]:[SubPLOs]],"&gt;=10",tbl_task6[[SubPLOs]:[SubPLOs]],"&lt;11")</f>
        <v>0</v>
      </c>
      <c r="FN43" s="138">
        <f>SUMIFS(tbl_task6[S165],tbl_task6[[SubPLOs]:[SubPLOs]],"&gt;=10",tbl_task6[[SubPLOs]:[SubPLOs]],"&lt;11")</f>
        <v>0</v>
      </c>
    </row>
    <row r="44" spans="1:170" s="34" customFormat="1" x14ac:dyDescent="0.25">
      <c r="A44" s="125"/>
      <c r="B44" s="126" t="s">
        <v>11</v>
      </c>
      <c r="C44" s="127">
        <f>SUM(C34:C43)</f>
        <v>0</v>
      </c>
      <c r="D44" s="128">
        <f>SUM(D34:D43)</f>
        <v>0</v>
      </c>
      <c r="E44" s="128">
        <f>SUM(E34:E43)</f>
        <v>0</v>
      </c>
      <c r="F44" s="128">
        <f t="shared" ref="F44:BQ44" si="0">SUM(F34:F43)</f>
        <v>0</v>
      </c>
      <c r="G44" s="128">
        <f t="shared" si="0"/>
        <v>0</v>
      </c>
      <c r="H44" s="128">
        <f t="shared" si="0"/>
        <v>0</v>
      </c>
      <c r="I44" s="128">
        <f t="shared" si="0"/>
        <v>0</v>
      </c>
      <c r="J44" s="128">
        <f t="shared" si="0"/>
        <v>0</v>
      </c>
      <c r="K44" s="128">
        <f t="shared" si="0"/>
        <v>0</v>
      </c>
      <c r="L44" s="128">
        <f t="shared" si="0"/>
        <v>0</v>
      </c>
      <c r="M44" s="128">
        <f t="shared" si="0"/>
        <v>0</v>
      </c>
      <c r="N44" s="128">
        <f t="shared" si="0"/>
        <v>0</v>
      </c>
      <c r="O44" s="128">
        <f t="shared" si="0"/>
        <v>0</v>
      </c>
      <c r="P44" s="128">
        <f t="shared" si="0"/>
        <v>0</v>
      </c>
      <c r="Q44" s="128">
        <f t="shared" si="0"/>
        <v>0</v>
      </c>
      <c r="R44" s="128">
        <f t="shared" si="0"/>
        <v>0</v>
      </c>
      <c r="S44" s="128">
        <f t="shared" si="0"/>
        <v>0</v>
      </c>
      <c r="T44" s="128">
        <f t="shared" si="0"/>
        <v>0</v>
      </c>
      <c r="U44" s="128">
        <f t="shared" si="0"/>
        <v>0</v>
      </c>
      <c r="V44" s="128">
        <f t="shared" si="0"/>
        <v>0</v>
      </c>
      <c r="W44" s="128">
        <f t="shared" si="0"/>
        <v>0</v>
      </c>
      <c r="X44" s="128">
        <f t="shared" si="0"/>
        <v>0</v>
      </c>
      <c r="Y44" s="128">
        <f t="shared" si="0"/>
        <v>0</v>
      </c>
      <c r="Z44" s="128">
        <f t="shared" si="0"/>
        <v>0</v>
      </c>
      <c r="AA44" s="128">
        <f t="shared" si="0"/>
        <v>0</v>
      </c>
      <c r="AB44" s="128">
        <f t="shared" si="0"/>
        <v>0</v>
      </c>
      <c r="AC44" s="128">
        <f t="shared" si="0"/>
        <v>0</v>
      </c>
      <c r="AD44" s="128">
        <f t="shared" si="0"/>
        <v>0</v>
      </c>
      <c r="AE44" s="128">
        <f t="shared" si="0"/>
        <v>0</v>
      </c>
      <c r="AF44" s="128">
        <f t="shared" si="0"/>
        <v>0</v>
      </c>
      <c r="AG44" s="128">
        <f t="shared" si="0"/>
        <v>0</v>
      </c>
      <c r="AH44" s="128">
        <f t="shared" si="0"/>
        <v>0</v>
      </c>
      <c r="AI44" s="128">
        <f t="shared" si="0"/>
        <v>0</v>
      </c>
      <c r="AJ44" s="128">
        <f t="shared" si="0"/>
        <v>0</v>
      </c>
      <c r="AK44" s="128">
        <f t="shared" si="0"/>
        <v>0</v>
      </c>
      <c r="AL44" s="128">
        <f t="shared" si="0"/>
        <v>0</v>
      </c>
      <c r="AM44" s="128">
        <f t="shared" si="0"/>
        <v>0</v>
      </c>
      <c r="AN44" s="128">
        <f t="shared" si="0"/>
        <v>0</v>
      </c>
      <c r="AO44" s="128">
        <f t="shared" si="0"/>
        <v>0</v>
      </c>
      <c r="AP44" s="128">
        <f t="shared" si="0"/>
        <v>0</v>
      </c>
      <c r="AQ44" s="128">
        <f t="shared" si="0"/>
        <v>0</v>
      </c>
      <c r="AR44" s="128">
        <f t="shared" si="0"/>
        <v>0</v>
      </c>
      <c r="AS44" s="128">
        <f t="shared" si="0"/>
        <v>0</v>
      </c>
      <c r="AT44" s="128">
        <f t="shared" si="0"/>
        <v>0</v>
      </c>
      <c r="AU44" s="128">
        <f t="shared" si="0"/>
        <v>0</v>
      </c>
      <c r="AV44" s="128">
        <f t="shared" si="0"/>
        <v>0</v>
      </c>
      <c r="AW44" s="128">
        <f t="shared" si="0"/>
        <v>0</v>
      </c>
      <c r="AX44" s="128">
        <f t="shared" si="0"/>
        <v>0</v>
      </c>
      <c r="AY44" s="128">
        <f t="shared" si="0"/>
        <v>0</v>
      </c>
      <c r="AZ44" s="128">
        <f t="shared" si="0"/>
        <v>0</v>
      </c>
      <c r="BA44" s="128">
        <f t="shared" si="0"/>
        <v>0</v>
      </c>
      <c r="BB44" s="128">
        <f t="shared" si="0"/>
        <v>0</v>
      </c>
      <c r="BC44" s="128">
        <f t="shared" si="0"/>
        <v>0</v>
      </c>
      <c r="BD44" s="128">
        <f t="shared" si="0"/>
        <v>0</v>
      </c>
      <c r="BE44" s="128">
        <f t="shared" si="0"/>
        <v>0</v>
      </c>
      <c r="BF44" s="128">
        <f t="shared" si="0"/>
        <v>0</v>
      </c>
      <c r="BG44" s="128">
        <f t="shared" si="0"/>
        <v>0</v>
      </c>
      <c r="BH44" s="128">
        <f t="shared" si="0"/>
        <v>0</v>
      </c>
      <c r="BI44" s="128">
        <f t="shared" si="0"/>
        <v>0</v>
      </c>
      <c r="BJ44" s="128">
        <f t="shared" si="0"/>
        <v>0</v>
      </c>
      <c r="BK44" s="128">
        <f t="shared" si="0"/>
        <v>0</v>
      </c>
      <c r="BL44" s="128">
        <f t="shared" si="0"/>
        <v>0</v>
      </c>
      <c r="BM44" s="128">
        <f t="shared" si="0"/>
        <v>0</v>
      </c>
      <c r="BN44" s="128">
        <f t="shared" si="0"/>
        <v>0</v>
      </c>
      <c r="BO44" s="128">
        <f t="shared" si="0"/>
        <v>0</v>
      </c>
      <c r="BP44" s="128">
        <f t="shared" si="0"/>
        <v>0</v>
      </c>
      <c r="BQ44" s="128">
        <f t="shared" si="0"/>
        <v>0</v>
      </c>
      <c r="BR44" s="128">
        <f t="shared" ref="BR44:EC44" si="1">SUM(BR34:BR43)</f>
        <v>0</v>
      </c>
      <c r="BS44" s="128">
        <f t="shared" si="1"/>
        <v>0</v>
      </c>
      <c r="BT44" s="128">
        <f t="shared" si="1"/>
        <v>0</v>
      </c>
      <c r="BU44" s="128">
        <f t="shared" si="1"/>
        <v>0</v>
      </c>
      <c r="BV44" s="128">
        <f t="shared" si="1"/>
        <v>0</v>
      </c>
      <c r="BW44" s="128">
        <f t="shared" si="1"/>
        <v>0</v>
      </c>
      <c r="BX44" s="128">
        <f t="shared" si="1"/>
        <v>0</v>
      </c>
      <c r="BY44" s="128">
        <f t="shared" si="1"/>
        <v>0</v>
      </c>
      <c r="BZ44" s="128">
        <f t="shared" si="1"/>
        <v>0</v>
      </c>
      <c r="CA44" s="128">
        <f t="shared" si="1"/>
        <v>0</v>
      </c>
      <c r="CB44" s="128">
        <f t="shared" si="1"/>
        <v>0</v>
      </c>
      <c r="CC44" s="128">
        <f t="shared" si="1"/>
        <v>0</v>
      </c>
      <c r="CD44" s="128">
        <f t="shared" si="1"/>
        <v>0</v>
      </c>
      <c r="CE44" s="128">
        <f t="shared" si="1"/>
        <v>0</v>
      </c>
      <c r="CF44" s="128">
        <f t="shared" si="1"/>
        <v>0</v>
      </c>
      <c r="CG44" s="128">
        <f t="shared" si="1"/>
        <v>0</v>
      </c>
      <c r="CH44" s="128">
        <f t="shared" si="1"/>
        <v>0</v>
      </c>
      <c r="CI44" s="128">
        <f t="shared" si="1"/>
        <v>0</v>
      </c>
      <c r="CJ44" s="128">
        <f t="shared" si="1"/>
        <v>0</v>
      </c>
      <c r="CK44" s="128">
        <f t="shared" si="1"/>
        <v>0</v>
      </c>
      <c r="CL44" s="128">
        <f t="shared" si="1"/>
        <v>0</v>
      </c>
      <c r="CM44" s="128">
        <f t="shared" si="1"/>
        <v>0</v>
      </c>
      <c r="CN44" s="128">
        <f t="shared" si="1"/>
        <v>0</v>
      </c>
      <c r="CO44" s="128">
        <f t="shared" si="1"/>
        <v>0</v>
      </c>
      <c r="CP44" s="128">
        <f t="shared" si="1"/>
        <v>0</v>
      </c>
      <c r="CQ44" s="128">
        <f t="shared" si="1"/>
        <v>0</v>
      </c>
      <c r="CR44" s="128">
        <f t="shared" si="1"/>
        <v>0</v>
      </c>
      <c r="CS44" s="128">
        <f t="shared" si="1"/>
        <v>0</v>
      </c>
      <c r="CT44" s="128">
        <f t="shared" si="1"/>
        <v>0</v>
      </c>
      <c r="CU44" s="128">
        <f t="shared" si="1"/>
        <v>0</v>
      </c>
      <c r="CV44" s="128">
        <f t="shared" si="1"/>
        <v>0</v>
      </c>
      <c r="CW44" s="128">
        <f t="shared" si="1"/>
        <v>0</v>
      </c>
      <c r="CX44" s="128">
        <f t="shared" si="1"/>
        <v>0</v>
      </c>
      <c r="CY44" s="128">
        <f t="shared" si="1"/>
        <v>0</v>
      </c>
      <c r="CZ44" s="128">
        <f t="shared" si="1"/>
        <v>0</v>
      </c>
      <c r="DA44" s="128">
        <f t="shared" si="1"/>
        <v>0</v>
      </c>
      <c r="DB44" s="128">
        <f t="shared" si="1"/>
        <v>0</v>
      </c>
      <c r="DC44" s="128">
        <f t="shared" si="1"/>
        <v>0</v>
      </c>
      <c r="DD44" s="128">
        <f t="shared" si="1"/>
        <v>0</v>
      </c>
      <c r="DE44" s="128">
        <f t="shared" si="1"/>
        <v>0</v>
      </c>
      <c r="DF44" s="128">
        <f t="shared" si="1"/>
        <v>0</v>
      </c>
      <c r="DG44" s="128">
        <f t="shared" si="1"/>
        <v>0</v>
      </c>
      <c r="DH44" s="128">
        <f t="shared" si="1"/>
        <v>0</v>
      </c>
      <c r="DI44" s="128">
        <f t="shared" si="1"/>
        <v>0</v>
      </c>
      <c r="DJ44" s="128">
        <f t="shared" si="1"/>
        <v>0</v>
      </c>
      <c r="DK44" s="128">
        <f t="shared" si="1"/>
        <v>0</v>
      </c>
      <c r="DL44" s="128">
        <f t="shared" si="1"/>
        <v>0</v>
      </c>
      <c r="DM44" s="128">
        <f t="shared" si="1"/>
        <v>0</v>
      </c>
      <c r="DN44" s="128">
        <f t="shared" si="1"/>
        <v>0</v>
      </c>
      <c r="DO44" s="128">
        <f t="shared" si="1"/>
        <v>0</v>
      </c>
      <c r="DP44" s="128">
        <f t="shared" si="1"/>
        <v>0</v>
      </c>
      <c r="DQ44" s="128">
        <f t="shared" si="1"/>
        <v>0</v>
      </c>
      <c r="DR44" s="128">
        <f t="shared" si="1"/>
        <v>0</v>
      </c>
      <c r="DS44" s="128">
        <f t="shared" si="1"/>
        <v>0</v>
      </c>
      <c r="DT44" s="128">
        <f t="shared" si="1"/>
        <v>0</v>
      </c>
      <c r="DU44" s="128">
        <f t="shared" si="1"/>
        <v>0</v>
      </c>
      <c r="DV44" s="128">
        <f t="shared" si="1"/>
        <v>0</v>
      </c>
      <c r="DW44" s="128">
        <f t="shared" si="1"/>
        <v>0</v>
      </c>
      <c r="DX44" s="128">
        <f t="shared" si="1"/>
        <v>0</v>
      </c>
      <c r="DY44" s="128">
        <f t="shared" si="1"/>
        <v>0</v>
      </c>
      <c r="DZ44" s="128">
        <f t="shared" si="1"/>
        <v>0</v>
      </c>
      <c r="EA44" s="128">
        <f t="shared" si="1"/>
        <v>0</v>
      </c>
      <c r="EB44" s="128">
        <f t="shared" si="1"/>
        <v>0</v>
      </c>
      <c r="EC44" s="128">
        <f t="shared" si="1"/>
        <v>0</v>
      </c>
      <c r="ED44" s="128">
        <f t="shared" ref="ED44:FN44" si="2">SUM(ED34:ED43)</f>
        <v>0</v>
      </c>
      <c r="EE44" s="128">
        <f t="shared" si="2"/>
        <v>0</v>
      </c>
      <c r="EF44" s="128">
        <f t="shared" si="2"/>
        <v>0</v>
      </c>
      <c r="EG44" s="128">
        <f t="shared" si="2"/>
        <v>0</v>
      </c>
      <c r="EH44" s="128">
        <f t="shared" si="2"/>
        <v>0</v>
      </c>
      <c r="EI44" s="128">
        <f t="shared" si="2"/>
        <v>0</v>
      </c>
      <c r="EJ44" s="128">
        <f t="shared" si="2"/>
        <v>0</v>
      </c>
      <c r="EK44" s="128">
        <f t="shared" si="2"/>
        <v>0</v>
      </c>
      <c r="EL44" s="128">
        <f t="shared" si="2"/>
        <v>0</v>
      </c>
      <c r="EM44" s="128">
        <f t="shared" si="2"/>
        <v>0</v>
      </c>
      <c r="EN44" s="128">
        <f t="shared" si="2"/>
        <v>0</v>
      </c>
      <c r="EO44" s="128">
        <f t="shared" si="2"/>
        <v>0</v>
      </c>
      <c r="EP44" s="128">
        <f t="shared" si="2"/>
        <v>0</v>
      </c>
      <c r="EQ44" s="128">
        <f t="shared" si="2"/>
        <v>0</v>
      </c>
      <c r="ER44" s="128">
        <f t="shared" si="2"/>
        <v>0</v>
      </c>
      <c r="ES44" s="128">
        <f t="shared" si="2"/>
        <v>0</v>
      </c>
      <c r="ET44" s="128">
        <f t="shared" si="2"/>
        <v>0</v>
      </c>
      <c r="EU44" s="128">
        <f t="shared" si="2"/>
        <v>0</v>
      </c>
      <c r="EV44" s="128">
        <f t="shared" si="2"/>
        <v>0</v>
      </c>
      <c r="EW44" s="128">
        <f t="shared" si="2"/>
        <v>0</v>
      </c>
      <c r="EX44" s="128">
        <f t="shared" si="2"/>
        <v>0</v>
      </c>
      <c r="EY44" s="128">
        <f t="shared" si="2"/>
        <v>0</v>
      </c>
      <c r="EZ44" s="128">
        <f t="shared" si="2"/>
        <v>0</v>
      </c>
      <c r="FA44" s="128">
        <f t="shared" si="2"/>
        <v>0</v>
      </c>
      <c r="FB44" s="128">
        <f t="shared" si="2"/>
        <v>0</v>
      </c>
      <c r="FC44" s="128">
        <f t="shared" si="2"/>
        <v>0</v>
      </c>
      <c r="FD44" s="128">
        <f t="shared" si="2"/>
        <v>0</v>
      </c>
      <c r="FE44" s="128">
        <f t="shared" si="2"/>
        <v>0</v>
      </c>
      <c r="FF44" s="128">
        <f t="shared" si="2"/>
        <v>0</v>
      </c>
      <c r="FG44" s="128">
        <f t="shared" si="2"/>
        <v>0</v>
      </c>
      <c r="FH44" s="128">
        <f t="shared" si="2"/>
        <v>0</v>
      </c>
      <c r="FI44" s="128">
        <f t="shared" si="2"/>
        <v>0</v>
      </c>
      <c r="FJ44" s="128">
        <f t="shared" si="2"/>
        <v>0</v>
      </c>
      <c r="FK44" s="128">
        <f t="shared" si="2"/>
        <v>0</v>
      </c>
      <c r="FL44" s="128">
        <f t="shared" si="2"/>
        <v>0</v>
      </c>
      <c r="FM44" s="128">
        <f t="shared" si="2"/>
        <v>0</v>
      </c>
      <c r="FN44" s="128">
        <f t="shared" si="2"/>
        <v>0</v>
      </c>
    </row>
  </sheetData>
  <mergeCells count="1">
    <mergeCell ref="C1:P1"/>
  </mergeCells>
  <dataValidations count="2">
    <dataValidation type="decimal" operator="greaterThanOrEqual" allowBlank="1" showInputMessage="1" showErrorMessage="1" sqref="F4:FN28">
      <formula1>0</formula1>
    </dataValidation>
    <dataValidation type="whole" allowBlank="1" showInputMessage="1" showErrorMessage="1" sqref="F30:FN31">
      <formula1>1</formula1>
      <formula2>4</formula2>
    </dataValidation>
  </dataValidations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52" fitToHeight="0" orientation="landscape" r:id="rId1"/>
  <legacy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W44"/>
  <sheetViews>
    <sheetView zoomScale="80" zoomScaleNormal="8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B34" sqref="B34"/>
    </sheetView>
  </sheetViews>
  <sheetFormatPr defaultColWidth="9.09765625" defaultRowHeight="21" x14ac:dyDescent="0.25"/>
  <cols>
    <col min="1" max="1" width="5.69921875" style="3" customWidth="1"/>
    <col min="2" max="2" width="27.09765625" style="1" customWidth="1"/>
    <col min="3" max="3" width="28.3984375" style="2" customWidth="1"/>
    <col min="4" max="4" width="10.09765625" style="101" customWidth="1"/>
    <col min="5" max="5" width="11" style="3" customWidth="1"/>
    <col min="6" max="335" width="6.69921875" style="3" customWidth="1"/>
    <col min="336" max="16384" width="9.09765625" style="3"/>
  </cols>
  <sheetData>
    <row r="1" spans="1:335" s="110" customFormat="1" ht="27.75" customHeight="1" x14ac:dyDescent="0.25">
      <c r="A1" s="120" t="s">
        <v>270</v>
      </c>
      <c r="B1" s="119" t="s">
        <v>308</v>
      </c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</row>
    <row r="2" spans="1:335" s="111" customFormat="1" ht="13.5" customHeight="1" x14ac:dyDescent="0.25">
      <c r="A2" s="112"/>
      <c r="B2" s="112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4"/>
    </row>
    <row r="3" spans="1:335" s="32" customFormat="1" x14ac:dyDescent="0.6">
      <c r="A3" s="28" t="s">
        <v>137</v>
      </c>
      <c r="B3" s="29" t="s">
        <v>452</v>
      </c>
      <c r="C3" s="30" t="s">
        <v>453</v>
      </c>
      <c r="D3" s="104" t="s">
        <v>306</v>
      </c>
      <c r="E3" s="105" t="s">
        <v>307</v>
      </c>
      <c r="F3" s="31" t="s">
        <v>2</v>
      </c>
      <c r="G3" s="31" t="s">
        <v>0</v>
      </c>
      <c r="H3" s="31" t="s">
        <v>1</v>
      </c>
      <c r="I3" s="31" t="s">
        <v>4</v>
      </c>
      <c r="J3" s="31" t="s">
        <v>138</v>
      </c>
      <c r="K3" s="31" t="s">
        <v>139</v>
      </c>
      <c r="L3" s="31" t="s">
        <v>140</v>
      </c>
      <c r="M3" s="31" t="s">
        <v>141</v>
      </c>
      <c r="N3" s="31" t="s">
        <v>142</v>
      </c>
      <c r="O3" s="31" t="s">
        <v>143</v>
      </c>
      <c r="P3" s="31" t="s">
        <v>144</v>
      </c>
      <c r="Q3" s="31" t="s">
        <v>145</v>
      </c>
      <c r="R3" s="31" t="s">
        <v>146</v>
      </c>
      <c r="S3" s="31" t="s">
        <v>147</v>
      </c>
      <c r="T3" s="31" t="s">
        <v>148</v>
      </c>
      <c r="U3" s="31" t="s">
        <v>149</v>
      </c>
      <c r="V3" s="31" t="s">
        <v>150</v>
      </c>
      <c r="W3" s="31" t="s">
        <v>151</v>
      </c>
      <c r="X3" s="31" t="s">
        <v>152</v>
      </c>
      <c r="Y3" s="31" t="s">
        <v>153</v>
      </c>
      <c r="Z3" s="31" t="s">
        <v>154</v>
      </c>
      <c r="AA3" s="31" t="s">
        <v>155</v>
      </c>
      <c r="AB3" s="31" t="s">
        <v>156</v>
      </c>
      <c r="AC3" s="31" t="s">
        <v>157</v>
      </c>
      <c r="AD3" s="31" t="s">
        <v>158</v>
      </c>
      <c r="AE3" s="31" t="s">
        <v>159</v>
      </c>
      <c r="AF3" s="31" t="s">
        <v>160</v>
      </c>
      <c r="AG3" s="31" t="s">
        <v>161</v>
      </c>
      <c r="AH3" s="31" t="s">
        <v>162</v>
      </c>
      <c r="AI3" s="31" t="s">
        <v>163</v>
      </c>
      <c r="AJ3" s="31" t="s">
        <v>164</v>
      </c>
      <c r="AK3" s="31" t="s">
        <v>165</v>
      </c>
      <c r="AL3" s="31" t="s">
        <v>166</v>
      </c>
      <c r="AM3" s="31" t="s">
        <v>167</v>
      </c>
      <c r="AN3" s="31" t="s">
        <v>168</v>
      </c>
      <c r="AO3" s="31" t="s">
        <v>169</v>
      </c>
      <c r="AP3" s="31" t="s">
        <v>170</v>
      </c>
      <c r="AQ3" s="31" t="s">
        <v>171</v>
      </c>
      <c r="AR3" s="31" t="s">
        <v>172</v>
      </c>
      <c r="AS3" s="31" t="s">
        <v>173</v>
      </c>
      <c r="AT3" s="31" t="s">
        <v>174</v>
      </c>
      <c r="AU3" s="31" t="s">
        <v>175</v>
      </c>
      <c r="AV3" s="31" t="s">
        <v>176</v>
      </c>
      <c r="AW3" s="31" t="s">
        <v>177</v>
      </c>
      <c r="AX3" s="31" t="s">
        <v>178</v>
      </c>
      <c r="AY3" s="31" t="s">
        <v>179</v>
      </c>
      <c r="AZ3" s="31" t="s">
        <v>180</v>
      </c>
      <c r="BA3" s="31" t="s">
        <v>181</v>
      </c>
      <c r="BB3" s="31" t="s">
        <v>182</v>
      </c>
      <c r="BC3" s="31" t="s">
        <v>183</v>
      </c>
      <c r="BD3" s="31" t="s">
        <v>184</v>
      </c>
      <c r="BE3" s="31" t="s">
        <v>185</v>
      </c>
      <c r="BF3" s="31" t="s">
        <v>186</v>
      </c>
      <c r="BG3" s="31" t="s">
        <v>187</v>
      </c>
      <c r="BH3" s="31" t="s">
        <v>188</v>
      </c>
      <c r="BI3" s="31" t="s">
        <v>189</v>
      </c>
      <c r="BJ3" s="31" t="s">
        <v>190</v>
      </c>
      <c r="BK3" s="31" t="s">
        <v>191</v>
      </c>
      <c r="BL3" s="31" t="s">
        <v>192</v>
      </c>
      <c r="BM3" s="31" t="s">
        <v>193</v>
      </c>
      <c r="BN3" s="31" t="s">
        <v>194</v>
      </c>
      <c r="BO3" s="31" t="s">
        <v>195</v>
      </c>
      <c r="BP3" s="31" t="s">
        <v>196</v>
      </c>
      <c r="BQ3" s="31" t="s">
        <v>197</v>
      </c>
      <c r="BR3" s="31" t="s">
        <v>198</v>
      </c>
      <c r="BS3" s="31" t="s">
        <v>199</v>
      </c>
      <c r="BT3" s="31" t="s">
        <v>200</v>
      </c>
      <c r="BU3" s="31" t="s">
        <v>201</v>
      </c>
      <c r="BV3" s="31" t="s">
        <v>202</v>
      </c>
      <c r="BW3" s="31" t="s">
        <v>203</v>
      </c>
      <c r="BX3" s="31" t="s">
        <v>204</v>
      </c>
      <c r="BY3" s="31" t="s">
        <v>205</v>
      </c>
      <c r="BZ3" s="31" t="s">
        <v>206</v>
      </c>
      <c r="CA3" s="31" t="s">
        <v>207</v>
      </c>
      <c r="CB3" s="31" t="s">
        <v>208</v>
      </c>
      <c r="CC3" s="31" t="s">
        <v>209</v>
      </c>
      <c r="CD3" s="31" t="s">
        <v>210</v>
      </c>
      <c r="CE3" s="31" t="s">
        <v>211</v>
      </c>
      <c r="CF3" s="31" t="s">
        <v>212</v>
      </c>
      <c r="CG3" s="31" t="s">
        <v>213</v>
      </c>
      <c r="CH3" s="31" t="s">
        <v>214</v>
      </c>
      <c r="CI3" s="31" t="s">
        <v>215</v>
      </c>
      <c r="CJ3" s="31" t="s">
        <v>216</v>
      </c>
      <c r="CK3" s="31" t="s">
        <v>217</v>
      </c>
      <c r="CL3" s="31" t="s">
        <v>218</v>
      </c>
      <c r="CM3" s="31" t="s">
        <v>219</v>
      </c>
      <c r="CN3" s="31" t="s">
        <v>220</v>
      </c>
      <c r="CO3" s="31" t="s">
        <v>221</v>
      </c>
      <c r="CP3" s="31" t="s">
        <v>222</v>
      </c>
      <c r="CQ3" s="31" t="s">
        <v>223</v>
      </c>
      <c r="CR3" s="31" t="s">
        <v>224</v>
      </c>
      <c r="CS3" s="31" t="s">
        <v>225</v>
      </c>
      <c r="CT3" s="31" t="s">
        <v>226</v>
      </c>
      <c r="CU3" s="31" t="s">
        <v>227</v>
      </c>
      <c r="CV3" s="31" t="s">
        <v>228</v>
      </c>
      <c r="CW3" s="31" t="s">
        <v>229</v>
      </c>
      <c r="CX3" s="31" t="s">
        <v>230</v>
      </c>
      <c r="CY3" s="31" t="s">
        <v>231</v>
      </c>
      <c r="CZ3" s="31" t="s">
        <v>232</v>
      </c>
      <c r="DA3" s="31" t="s">
        <v>233</v>
      </c>
      <c r="DB3" s="31" t="s">
        <v>234</v>
      </c>
      <c r="DC3" s="31" t="s">
        <v>235</v>
      </c>
      <c r="DD3" s="31" t="s">
        <v>236</v>
      </c>
      <c r="DE3" s="31" t="s">
        <v>237</v>
      </c>
      <c r="DF3" s="31" t="s">
        <v>238</v>
      </c>
      <c r="DG3" s="31" t="s">
        <v>239</v>
      </c>
      <c r="DH3" s="31" t="s">
        <v>240</v>
      </c>
      <c r="DI3" s="31" t="s">
        <v>241</v>
      </c>
      <c r="DJ3" s="31" t="s">
        <v>242</v>
      </c>
      <c r="DK3" s="31" t="s">
        <v>243</v>
      </c>
      <c r="DL3" s="31" t="s">
        <v>244</v>
      </c>
      <c r="DM3" s="31" t="s">
        <v>245</v>
      </c>
      <c r="DN3" s="31" t="s">
        <v>246</v>
      </c>
      <c r="DO3" s="31" t="s">
        <v>247</v>
      </c>
      <c r="DP3" s="31" t="s">
        <v>248</v>
      </c>
      <c r="DQ3" s="31" t="s">
        <v>309</v>
      </c>
      <c r="DR3" s="31" t="s">
        <v>310</v>
      </c>
      <c r="DS3" s="31" t="s">
        <v>311</v>
      </c>
      <c r="DT3" s="31" t="s">
        <v>312</v>
      </c>
      <c r="DU3" s="31" t="s">
        <v>313</v>
      </c>
      <c r="DV3" s="31" t="s">
        <v>314</v>
      </c>
      <c r="DW3" s="31" t="s">
        <v>315</v>
      </c>
      <c r="DX3" s="31" t="s">
        <v>316</v>
      </c>
      <c r="DY3" s="31" t="s">
        <v>317</v>
      </c>
      <c r="DZ3" s="31" t="s">
        <v>318</v>
      </c>
      <c r="EA3" s="31" t="s">
        <v>319</v>
      </c>
      <c r="EB3" s="31" t="s">
        <v>320</v>
      </c>
      <c r="EC3" s="31" t="s">
        <v>321</v>
      </c>
      <c r="ED3" s="31" t="s">
        <v>322</v>
      </c>
      <c r="EE3" s="31" t="s">
        <v>323</v>
      </c>
      <c r="EF3" s="31" t="s">
        <v>324</v>
      </c>
      <c r="EG3" s="31" t="s">
        <v>325</v>
      </c>
      <c r="EH3" s="31" t="s">
        <v>326</v>
      </c>
      <c r="EI3" s="31" t="s">
        <v>327</v>
      </c>
      <c r="EJ3" s="31" t="s">
        <v>328</v>
      </c>
      <c r="EK3" s="31" t="s">
        <v>329</v>
      </c>
      <c r="EL3" s="31" t="s">
        <v>330</v>
      </c>
      <c r="EM3" s="31" t="s">
        <v>331</v>
      </c>
      <c r="EN3" s="31" t="s">
        <v>332</v>
      </c>
      <c r="EO3" s="31" t="s">
        <v>333</v>
      </c>
      <c r="EP3" s="31" t="s">
        <v>334</v>
      </c>
      <c r="EQ3" s="31" t="s">
        <v>335</v>
      </c>
      <c r="ER3" s="31" t="s">
        <v>336</v>
      </c>
      <c r="ES3" s="31" t="s">
        <v>337</v>
      </c>
      <c r="ET3" s="31" t="s">
        <v>338</v>
      </c>
      <c r="EU3" s="31" t="s">
        <v>339</v>
      </c>
      <c r="EV3" s="31" t="s">
        <v>340</v>
      </c>
      <c r="EW3" s="31" t="s">
        <v>341</v>
      </c>
      <c r="EX3" s="31" t="s">
        <v>342</v>
      </c>
      <c r="EY3" s="31" t="s">
        <v>343</v>
      </c>
      <c r="EZ3" s="31" t="s">
        <v>344</v>
      </c>
      <c r="FA3" s="31" t="s">
        <v>345</v>
      </c>
      <c r="FB3" s="31" t="s">
        <v>346</v>
      </c>
      <c r="FC3" s="31" t="s">
        <v>347</v>
      </c>
      <c r="FD3" s="31" t="s">
        <v>348</v>
      </c>
      <c r="FE3" s="31" t="s">
        <v>349</v>
      </c>
      <c r="FF3" s="31" t="s">
        <v>350</v>
      </c>
      <c r="FG3" s="31" t="s">
        <v>351</v>
      </c>
      <c r="FH3" s="31" t="s">
        <v>352</v>
      </c>
      <c r="FI3" s="31" t="s">
        <v>353</v>
      </c>
      <c r="FJ3" s="31" t="s">
        <v>354</v>
      </c>
      <c r="FK3" s="31" t="s">
        <v>355</v>
      </c>
      <c r="FL3" s="31" t="s">
        <v>356</v>
      </c>
      <c r="FM3" s="31" t="s">
        <v>357</v>
      </c>
      <c r="FN3" s="31" t="s">
        <v>358</v>
      </c>
      <c r="FO3" s="123" t="s">
        <v>22</v>
      </c>
      <c r="FP3" s="123" t="s">
        <v>23</v>
      </c>
      <c r="FQ3" s="123" t="s">
        <v>24</v>
      </c>
      <c r="FR3" s="123" t="s">
        <v>25</v>
      </c>
      <c r="FS3" s="123" t="s">
        <v>26</v>
      </c>
      <c r="FT3" s="123" t="s">
        <v>27</v>
      </c>
      <c r="FU3" s="123" t="s">
        <v>28</v>
      </c>
      <c r="FV3" s="123" t="s">
        <v>29</v>
      </c>
      <c r="FW3" s="123" t="s">
        <v>30</v>
      </c>
      <c r="FX3" s="123" t="s">
        <v>31</v>
      </c>
      <c r="FY3" s="123" t="s">
        <v>32</v>
      </c>
      <c r="FZ3" s="123" t="s">
        <v>33</v>
      </c>
      <c r="GA3" s="123" t="s">
        <v>34</v>
      </c>
      <c r="GB3" s="123" t="s">
        <v>35</v>
      </c>
      <c r="GC3" s="123" t="s">
        <v>36</v>
      </c>
      <c r="GD3" s="123" t="s">
        <v>37</v>
      </c>
      <c r="GE3" s="123" t="s">
        <v>38</v>
      </c>
      <c r="GF3" s="123" t="s">
        <v>39</v>
      </c>
      <c r="GG3" s="123" t="s">
        <v>40</v>
      </c>
      <c r="GH3" s="123" t="s">
        <v>41</v>
      </c>
      <c r="GI3" s="123" t="s">
        <v>42</v>
      </c>
      <c r="GJ3" s="123" t="s">
        <v>43</v>
      </c>
      <c r="GK3" s="123" t="s">
        <v>44</v>
      </c>
      <c r="GL3" s="123" t="s">
        <v>45</v>
      </c>
      <c r="GM3" s="123" t="s">
        <v>46</v>
      </c>
      <c r="GN3" s="123" t="s">
        <v>47</v>
      </c>
      <c r="GO3" s="123" t="s">
        <v>48</v>
      </c>
      <c r="GP3" s="123" t="s">
        <v>49</v>
      </c>
      <c r="GQ3" s="123" t="s">
        <v>50</v>
      </c>
      <c r="GR3" s="123" t="s">
        <v>51</v>
      </c>
      <c r="GS3" s="123" t="s">
        <v>52</v>
      </c>
      <c r="GT3" s="123" t="s">
        <v>53</v>
      </c>
      <c r="GU3" s="123" t="s">
        <v>54</v>
      </c>
      <c r="GV3" s="123" t="s">
        <v>55</v>
      </c>
      <c r="GW3" s="123" t="s">
        <v>56</v>
      </c>
      <c r="GX3" s="123" t="s">
        <v>57</v>
      </c>
      <c r="GY3" s="123" t="s">
        <v>58</v>
      </c>
      <c r="GZ3" s="123" t="s">
        <v>59</v>
      </c>
      <c r="HA3" s="123" t="s">
        <v>60</v>
      </c>
      <c r="HB3" s="123" t="s">
        <v>61</v>
      </c>
      <c r="HC3" s="123" t="s">
        <v>62</v>
      </c>
      <c r="HD3" s="123" t="s">
        <v>63</v>
      </c>
      <c r="HE3" s="123" t="s">
        <v>64</v>
      </c>
      <c r="HF3" s="123" t="s">
        <v>65</v>
      </c>
      <c r="HG3" s="123" t="s">
        <v>66</v>
      </c>
      <c r="HH3" s="123" t="s">
        <v>67</v>
      </c>
      <c r="HI3" s="123" t="s">
        <v>68</v>
      </c>
      <c r="HJ3" s="123" t="s">
        <v>69</v>
      </c>
      <c r="HK3" s="123" t="s">
        <v>70</v>
      </c>
      <c r="HL3" s="123" t="s">
        <v>71</v>
      </c>
      <c r="HM3" s="123" t="s">
        <v>72</v>
      </c>
      <c r="HN3" s="123" t="s">
        <v>73</v>
      </c>
      <c r="HO3" s="123" t="s">
        <v>74</v>
      </c>
      <c r="HP3" s="123" t="s">
        <v>75</v>
      </c>
      <c r="HQ3" s="123" t="s">
        <v>76</v>
      </c>
      <c r="HR3" s="123" t="s">
        <v>77</v>
      </c>
      <c r="HS3" s="123" t="s">
        <v>78</v>
      </c>
      <c r="HT3" s="123" t="s">
        <v>79</v>
      </c>
      <c r="HU3" s="123" t="s">
        <v>80</v>
      </c>
      <c r="HV3" s="123" t="s">
        <v>81</v>
      </c>
      <c r="HW3" s="123" t="s">
        <v>82</v>
      </c>
      <c r="HX3" s="123" t="s">
        <v>83</v>
      </c>
      <c r="HY3" s="123" t="s">
        <v>84</v>
      </c>
      <c r="HZ3" s="123" t="s">
        <v>85</v>
      </c>
      <c r="IA3" s="123" t="s">
        <v>86</v>
      </c>
      <c r="IB3" s="123" t="s">
        <v>87</v>
      </c>
      <c r="IC3" s="123" t="s">
        <v>88</v>
      </c>
      <c r="ID3" s="123" t="s">
        <v>89</v>
      </c>
      <c r="IE3" s="123" t="s">
        <v>90</v>
      </c>
      <c r="IF3" s="123" t="s">
        <v>91</v>
      </c>
      <c r="IG3" s="123" t="s">
        <v>92</v>
      </c>
      <c r="IH3" s="123" t="s">
        <v>93</v>
      </c>
      <c r="II3" s="123" t="s">
        <v>94</v>
      </c>
      <c r="IJ3" s="123" t="s">
        <v>95</v>
      </c>
      <c r="IK3" s="123" t="s">
        <v>96</v>
      </c>
      <c r="IL3" s="123" t="s">
        <v>97</v>
      </c>
      <c r="IM3" s="123" t="s">
        <v>98</v>
      </c>
      <c r="IN3" s="123" t="s">
        <v>99</v>
      </c>
      <c r="IO3" s="123" t="s">
        <v>100</v>
      </c>
      <c r="IP3" s="123" t="s">
        <v>101</v>
      </c>
      <c r="IQ3" s="123" t="s">
        <v>102</v>
      </c>
      <c r="IR3" s="123" t="s">
        <v>103</v>
      </c>
      <c r="IS3" s="123" t="s">
        <v>104</v>
      </c>
      <c r="IT3" s="123" t="s">
        <v>105</v>
      </c>
      <c r="IU3" s="123" t="s">
        <v>106</v>
      </c>
      <c r="IV3" s="123" t="s">
        <v>107</v>
      </c>
      <c r="IW3" s="123" t="s">
        <v>108</v>
      </c>
      <c r="IX3" s="123" t="s">
        <v>109</v>
      </c>
      <c r="IY3" s="123" t="s">
        <v>110</v>
      </c>
      <c r="IZ3" s="123" t="s">
        <v>111</v>
      </c>
      <c r="JA3" s="123" t="s">
        <v>112</v>
      </c>
      <c r="JB3" s="123" t="s">
        <v>113</v>
      </c>
      <c r="JC3" s="123" t="s">
        <v>114</v>
      </c>
      <c r="JD3" s="123" t="s">
        <v>115</v>
      </c>
      <c r="JE3" s="123" t="s">
        <v>116</v>
      </c>
      <c r="JF3" s="123" t="s">
        <v>117</v>
      </c>
      <c r="JG3" s="123" t="s">
        <v>118</v>
      </c>
      <c r="JH3" s="123" t="s">
        <v>119</v>
      </c>
      <c r="JI3" s="123" t="s">
        <v>120</v>
      </c>
      <c r="JJ3" s="123" t="s">
        <v>121</v>
      </c>
      <c r="JK3" s="123" t="s">
        <v>122</v>
      </c>
      <c r="JL3" s="123" t="s">
        <v>123</v>
      </c>
      <c r="JM3" s="123" t="s">
        <v>124</v>
      </c>
      <c r="JN3" s="123" t="s">
        <v>125</v>
      </c>
      <c r="JO3" s="123" t="s">
        <v>126</v>
      </c>
      <c r="JP3" s="123" t="s">
        <v>127</v>
      </c>
      <c r="JQ3" s="123" t="s">
        <v>128</v>
      </c>
      <c r="JR3" s="123" t="s">
        <v>129</v>
      </c>
      <c r="JS3" s="123" t="s">
        <v>130</v>
      </c>
      <c r="JT3" s="123" t="s">
        <v>131</v>
      </c>
      <c r="JU3" s="123" t="s">
        <v>132</v>
      </c>
      <c r="JV3" s="123" t="s">
        <v>133</v>
      </c>
      <c r="JW3" s="123" t="s">
        <v>134</v>
      </c>
      <c r="JX3" s="123" t="s">
        <v>135</v>
      </c>
      <c r="JY3" s="123" t="s">
        <v>136</v>
      </c>
      <c r="JZ3" s="123" t="s">
        <v>359</v>
      </c>
      <c r="KA3" s="123" t="s">
        <v>360</v>
      </c>
      <c r="KB3" s="123" t="s">
        <v>361</v>
      </c>
      <c r="KC3" s="123" t="s">
        <v>362</v>
      </c>
      <c r="KD3" s="123" t="s">
        <v>363</v>
      </c>
      <c r="KE3" s="123" t="s">
        <v>364</v>
      </c>
      <c r="KF3" s="123" t="s">
        <v>365</v>
      </c>
      <c r="KG3" s="123" t="s">
        <v>366</v>
      </c>
      <c r="KH3" s="123" t="s">
        <v>367</v>
      </c>
      <c r="KI3" s="123" t="s">
        <v>368</v>
      </c>
      <c r="KJ3" s="123" t="s">
        <v>369</v>
      </c>
      <c r="KK3" s="123" t="s">
        <v>370</v>
      </c>
      <c r="KL3" s="123" t="s">
        <v>371</v>
      </c>
      <c r="KM3" s="123" t="s">
        <v>372</v>
      </c>
      <c r="KN3" s="123" t="s">
        <v>373</v>
      </c>
      <c r="KO3" s="123" t="s">
        <v>374</v>
      </c>
      <c r="KP3" s="123" t="s">
        <v>375</v>
      </c>
      <c r="KQ3" s="123" t="s">
        <v>376</v>
      </c>
      <c r="KR3" s="123" t="s">
        <v>377</v>
      </c>
      <c r="KS3" s="123" t="s">
        <v>378</v>
      </c>
      <c r="KT3" s="123" t="s">
        <v>379</v>
      </c>
      <c r="KU3" s="123" t="s">
        <v>380</v>
      </c>
      <c r="KV3" s="123" t="s">
        <v>381</v>
      </c>
      <c r="KW3" s="123" t="s">
        <v>382</v>
      </c>
      <c r="KX3" s="123" t="s">
        <v>383</v>
      </c>
      <c r="KY3" s="123" t="s">
        <v>384</v>
      </c>
      <c r="KZ3" s="123" t="s">
        <v>385</v>
      </c>
      <c r="LA3" s="123" t="s">
        <v>386</v>
      </c>
      <c r="LB3" s="123" t="s">
        <v>387</v>
      </c>
      <c r="LC3" s="123" t="s">
        <v>388</v>
      </c>
      <c r="LD3" s="123" t="s">
        <v>389</v>
      </c>
      <c r="LE3" s="123" t="s">
        <v>390</v>
      </c>
      <c r="LF3" s="123" t="s">
        <v>391</v>
      </c>
      <c r="LG3" s="123" t="s">
        <v>392</v>
      </c>
      <c r="LH3" s="123" t="s">
        <v>393</v>
      </c>
      <c r="LI3" s="123" t="s">
        <v>394</v>
      </c>
      <c r="LJ3" s="123" t="s">
        <v>395</v>
      </c>
      <c r="LK3" s="123" t="s">
        <v>396</v>
      </c>
      <c r="LL3" s="123" t="s">
        <v>397</v>
      </c>
      <c r="LM3" s="123" t="s">
        <v>398</v>
      </c>
      <c r="LN3" s="123" t="s">
        <v>399</v>
      </c>
      <c r="LO3" s="123" t="s">
        <v>400</v>
      </c>
      <c r="LP3" s="123" t="s">
        <v>401</v>
      </c>
      <c r="LQ3" s="123" t="s">
        <v>402</v>
      </c>
      <c r="LR3" s="123" t="s">
        <v>403</v>
      </c>
      <c r="LS3" s="123" t="s">
        <v>404</v>
      </c>
      <c r="LT3" s="123" t="s">
        <v>405</v>
      </c>
      <c r="LU3" s="123" t="s">
        <v>406</v>
      </c>
      <c r="LV3" s="123" t="s">
        <v>407</v>
      </c>
      <c r="LW3" s="123" t="s">
        <v>408</v>
      </c>
    </row>
    <row r="4" spans="1:335" ht="23.25" customHeight="1" x14ac:dyDescent="0.25">
      <c r="A4" s="24">
        <v>1</v>
      </c>
      <c r="B4" s="20"/>
      <c r="C4" s="5" t="str">
        <f>IF(ISBLANK(B4),"",VLOOKUP(B4,tbl_PLOs[],2,0))</f>
        <v/>
      </c>
      <c r="D4" s="102"/>
      <c r="E4" s="10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22"/>
      <c r="FO4" s="121" t="str">
        <f>IF(ISBLANK(tbl_task7[[คะแนนเต็ม]:[คะแนนเต็ม]]),"",(tbl_task7[1]/tbl_task7[[คะแนนเต็ม]:[คะแนนเต็ม]])*tbl_task7[[%]:[%]])</f>
        <v/>
      </c>
      <c r="FP4" s="121" t="str">
        <f>IF(ISBLANK(tbl_task7[[คะแนนเต็ม]:[คะแนนเต็ม]]),"",(tbl_task7[2]/tbl_task7[[คะแนนเต็ม]:[คะแนนเต็ม]])*tbl_task7[[%]:[%]])</f>
        <v/>
      </c>
      <c r="FQ4" s="121" t="str">
        <f>IF(ISBLANK(tbl_task7[[คะแนนเต็ม]:[คะแนนเต็ม]]),"",(tbl_task7[3]/tbl_task7[[คะแนนเต็ม]:[คะแนนเต็ม]])*tbl_task7[[%]:[%]])</f>
        <v/>
      </c>
      <c r="FR4" s="121" t="str">
        <f>IF(ISBLANK(tbl_task7[[คะแนนเต็ม]:[คะแนนเต็ม]]),"",(tbl_task7[4]/tbl_task7[[คะแนนเต็ม]:[คะแนนเต็ม]])*tbl_task7[[%]:[%]])</f>
        <v/>
      </c>
      <c r="FS4" s="121" t="str">
        <f>IF(ISBLANK(tbl_task7[[คะแนนเต็ม]:[คะแนนเต็ม]]),"",(tbl_task7[5]/tbl_task7[[คะแนนเต็ม]:[คะแนนเต็ม]])*tbl_task7[[%]:[%]])</f>
        <v/>
      </c>
      <c r="FT4" s="121" t="str">
        <f>IF(ISBLANK(tbl_task7[[คะแนนเต็ม]:[คะแนนเต็ม]]),"",(tbl_task7[6]/tbl_task7[[คะแนนเต็ม]:[คะแนนเต็ม]])*tbl_task7[[%]:[%]])</f>
        <v/>
      </c>
      <c r="FU4" s="121" t="str">
        <f>IF(ISBLANK(tbl_task7[[คะแนนเต็ม]:[คะแนนเต็ม]]),"",(tbl_task7[7]/tbl_task7[[คะแนนเต็ม]:[คะแนนเต็ม]])*tbl_task7[[%]:[%]])</f>
        <v/>
      </c>
      <c r="FV4" s="121" t="str">
        <f>IF(ISBLANK(tbl_task7[[คะแนนเต็ม]:[คะแนนเต็ม]]),"",(tbl_task7[8]/tbl_task7[[คะแนนเต็ม]:[คะแนนเต็ม]])*tbl_task7[[%]:[%]])</f>
        <v/>
      </c>
      <c r="FW4" s="121" t="str">
        <f>IF(ISBLANK(tbl_task7[[คะแนนเต็ม]:[คะแนนเต็ม]]),"",(tbl_task7[9]/tbl_task7[[คะแนนเต็ม]:[คะแนนเต็ม]])*tbl_task7[[%]:[%]])</f>
        <v/>
      </c>
      <c r="FX4" s="121" t="str">
        <f>IF(ISBLANK(tbl_task7[[คะแนนเต็ม]:[คะแนนเต็ม]]),"",(tbl_task7[10]/tbl_task7[[คะแนนเต็ม]:[คะแนนเต็ม]])*tbl_task7[[%]:[%]])</f>
        <v/>
      </c>
      <c r="FY4" s="121" t="str">
        <f>IF(ISBLANK(tbl_task7[[คะแนนเต็ม]:[คะแนนเต็ม]]),"",(tbl_task7[11]/tbl_task7[[คะแนนเต็ม]:[คะแนนเต็ม]])*tbl_task7[[%]:[%]])</f>
        <v/>
      </c>
      <c r="FZ4" s="121" t="str">
        <f>IF(ISBLANK(tbl_task7[[คะแนนเต็ม]:[คะแนนเต็ม]]),"",(tbl_task7[12]/tbl_task7[[คะแนนเต็ม]:[คะแนนเต็ม]])*tbl_task7[[%]:[%]])</f>
        <v/>
      </c>
      <c r="GA4" s="121" t="str">
        <f>IF(ISBLANK(tbl_task7[[คะแนนเต็ม]:[คะแนนเต็ม]]),"",(tbl_task7[13]/tbl_task7[[คะแนนเต็ม]:[คะแนนเต็ม]])*tbl_task7[[%]:[%]])</f>
        <v/>
      </c>
      <c r="GB4" s="121" t="str">
        <f>IF(ISBLANK(tbl_task7[[คะแนนเต็ม]:[คะแนนเต็ม]]),"",(tbl_task7[14]/tbl_task7[[คะแนนเต็ม]:[คะแนนเต็ม]])*tbl_task7[[%]:[%]])</f>
        <v/>
      </c>
      <c r="GC4" s="121" t="str">
        <f>IF(ISBLANK(tbl_task7[[คะแนนเต็ม]:[คะแนนเต็ม]]),"",(tbl_task7[15]/tbl_task7[[คะแนนเต็ม]:[คะแนนเต็ม]])*tbl_task7[[%]:[%]])</f>
        <v/>
      </c>
      <c r="GD4" s="121" t="str">
        <f>IF(ISBLANK(tbl_task7[[คะแนนเต็ม]:[คะแนนเต็ม]]),"",(tbl_task7[16]/tbl_task7[[คะแนนเต็ม]:[คะแนนเต็ม]])*tbl_task7[[%]:[%]])</f>
        <v/>
      </c>
      <c r="GE4" s="121" t="str">
        <f>IF(ISBLANK(tbl_task7[[คะแนนเต็ม]:[คะแนนเต็ม]]),"",(tbl_task7[17]/tbl_task7[[คะแนนเต็ม]:[คะแนนเต็ม]])*tbl_task7[[%]:[%]])</f>
        <v/>
      </c>
      <c r="GF4" s="121" t="str">
        <f>IF(ISBLANK(tbl_task7[[คะแนนเต็ม]:[คะแนนเต็ม]]),"",(tbl_task7[18]/tbl_task7[[คะแนนเต็ม]:[คะแนนเต็ม]])*tbl_task7[[%]:[%]])</f>
        <v/>
      </c>
      <c r="GG4" s="121" t="str">
        <f>IF(ISBLANK(tbl_task7[[คะแนนเต็ม]:[คะแนนเต็ม]]),"",(tbl_task7[19]/tbl_task7[[คะแนนเต็ม]:[คะแนนเต็ม]])*tbl_task7[[%]:[%]])</f>
        <v/>
      </c>
      <c r="GH4" s="121" t="str">
        <f>IF(ISBLANK(tbl_task7[[คะแนนเต็ม]:[คะแนนเต็ม]]),"",(tbl_task7[20]/tbl_task7[[คะแนนเต็ม]:[คะแนนเต็ม]])*tbl_task7[[%]:[%]])</f>
        <v/>
      </c>
      <c r="GI4" s="121" t="str">
        <f>IF(ISBLANK(tbl_task7[[คะแนนเต็ม]:[คะแนนเต็ม]]),"",(tbl_task7[21]/tbl_task7[[คะแนนเต็ม]:[คะแนนเต็ม]])*tbl_task7[[%]:[%]])</f>
        <v/>
      </c>
      <c r="GJ4" s="121" t="str">
        <f>IF(ISBLANK(tbl_task7[[คะแนนเต็ม]:[คะแนนเต็ม]]),"",(tbl_task7[22]/tbl_task7[[คะแนนเต็ม]:[คะแนนเต็ม]])*tbl_task7[[%]:[%]])</f>
        <v/>
      </c>
      <c r="GK4" s="121" t="str">
        <f>IF(ISBLANK(tbl_task7[[คะแนนเต็ม]:[คะแนนเต็ม]]),"",(tbl_task7[23]/tbl_task7[[คะแนนเต็ม]:[คะแนนเต็ม]])*tbl_task7[[%]:[%]])</f>
        <v/>
      </c>
      <c r="GL4" s="121" t="str">
        <f>IF(ISBLANK(tbl_task7[[คะแนนเต็ม]:[คะแนนเต็ม]]),"",(tbl_task7[24]/tbl_task7[[คะแนนเต็ม]:[คะแนนเต็ม]])*tbl_task7[[%]:[%]])</f>
        <v/>
      </c>
      <c r="GM4" s="121" t="str">
        <f>IF(ISBLANK(tbl_task7[[คะแนนเต็ม]:[คะแนนเต็ม]]),"",(tbl_task7[25]/tbl_task7[[คะแนนเต็ม]:[คะแนนเต็ม]])*tbl_task7[[%]:[%]])</f>
        <v/>
      </c>
      <c r="GN4" s="121" t="str">
        <f>IF(ISBLANK(tbl_task7[[คะแนนเต็ม]:[คะแนนเต็ม]]),"",(tbl_task7[26]/tbl_task7[[คะแนนเต็ม]:[คะแนนเต็ม]])*tbl_task7[[%]:[%]])</f>
        <v/>
      </c>
      <c r="GO4" s="121" t="str">
        <f>IF(ISBLANK(tbl_task7[[คะแนนเต็ม]:[คะแนนเต็ม]]),"",(tbl_task7[27]/tbl_task7[[คะแนนเต็ม]:[คะแนนเต็ม]])*tbl_task7[[%]:[%]])</f>
        <v/>
      </c>
      <c r="GP4" s="121" t="str">
        <f>IF(ISBLANK(tbl_task7[[คะแนนเต็ม]:[คะแนนเต็ม]]),"",(tbl_task7[28]/tbl_task7[[คะแนนเต็ม]:[คะแนนเต็ม]])*tbl_task7[[%]:[%]])</f>
        <v/>
      </c>
      <c r="GQ4" s="121" t="str">
        <f>IF(ISBLANK(tbl_task7[[คะแนนเต็ม]:[คะแนนเต็ม]]),"",(tbl_task7[29]/tbl_task7[[คะแนนเต็ม]:[คะแนนเต็ม]])*tbl_task7[[%]:[%]])</f>
        <v/>
      </c>
      <c r="GR4" s="121" t="str">
        <f>IF(ISBLANK(tbl_task7[[คะแนนเต็ม]:[คะแนนเต็ม]]),"",(tbl_task7[30]/tbl_task7[[คะแนนเต็ม]:[คะแนนเต็ม]])*tbl_task7[[%]:[%]])</f>
        <v/>
      </c>
      <c r="GS4" s="121" t="str">
        <f>IF(ISBLANK(tbl_task7[[คะแนนเต็ม]:[คะแนนเต็ม]]),"",(tbl_task7[31]/tbl_task7[[คะแนนเต็ม]:[คะแนนเต็ม]])*tbl_task7[[%]:[%]])</f>
        <v/>
      </c>
      <c r="GT4" s="121" t="str">
        <f>IF(ISBLANK(tbl_task7[[คะแนนเต็ม]:[คะแนนเต็ม]]),"",(tbl_task7[32]/tbl_task7[[คะแนนเต็ม]:[คะแนนเต็ม]])*tbl_task7[[%]:[%]])</f>
        <v/>
      </c>
      <c r="GU4" s="121" t="str">
        <f>IF(ISBLANK(tbl_task7[[คะแนนเต็ม]:[คะแนนเต็ม]]),"",(tbl_task7[33]/tbl_task7[[คะแนนเต็ม]:[คะแนนเต็ม]])*tbl_task7[[%]:[%]])</f>
        <v/>
      </c>
      <c r="GV4" s="121" t="str">
        <f>IF(ISBLANK(tbl_task7[[คะแนนเต็ม]:[คะแนนเต็ม]]),"",(tbl_task7[34]/tbl_task7[[คะแนนเต็ม]:[คะแนนเต็ม]])*tbl_task7[[%]:[%]])</f>
        <v/>
      </c>
      <c r="GW4" s="121" t="str">
        <f>IF(ISBLANK(tbl_task7[[คะแนนเต็ม]:[คะแนนเต็ม]]),"",(tbl_task7[35]/tbl_task7[[คะแนนเต็ม]:[คะแนนเต็ม]])*tbl_task7[[%]:[%]])</f>
        <v/>
      </c>
      <c r="GX4" s="121" t="str">
        <f>IF(ISBLANK(tbl_task7[[คะแนนเต็ม]:[คะแนนเต็ม]]),"",(tbl_task7[36]/tbl_task7[[คะแนนเต็ม]:[คะแนนเต็ม]])*tbl_task7[[%]:[%]])</f>
        <v/>
      </c>
      <c r="GY4" s="121" t="str">
        <f>IF(ISBLANK(tbl_task7[[คะแนนเต็ม]:[คะแนนเต็ม]]),"",(tbl_task7[37]/tbl_task7[[คะแนนเต็ม]:[คะแนนเต็ม]])*tbl_task7[[%]:[%]])</f>
        <v/>
      </c>
      <c r="GZ4" s="121" t="str">
        <f>IF(ISBLANK(tbl_task7[[คะแนนเต็ม]:[คะแนนเต็ม]]),"",(tbl_task7[38]/tbl_task7[[คะแนนเต็ม]:[คะแนนเต็ม]])*tbl_task7[[%]:[%]])</f>
        <v/>
      </c>
      <c r="HA4" s="121" t="str">
        <f>IF(ISBLANK(tbl_task7[[คะแนนเต็ม]:[คะแนนเต็ม]]),"",(tbl_task7[39]/tbl_task7[[คะแนนเต็ม]:[คะแนนเต็ม]])*tbl_task7[[%]:[%]])</f>
        <v/>
      </c>
      <c r="HB4" s="121" t="str">
        <f>IF(ISBLANK(tbl_task7[[คะแนนเต็ม]:[คะแนนเต็ม]]),"",(tbl_task7[40]/tbl_task7[[คะแนนเต็ม]:[คะแนนเต็ม]])*tbl_task7[[%]:[%]])</f>
        <v/>
      </c>
      <c r="HC4" s="121" t="str">
        <f>IF(ISBLANK(tbl_task7[[คะแนนเต็ม]:[คะแนนเต็ม]]),"",(tbl_task7[41]/tbl_task7[[คะแนนเต็ม]:[คะแนนเต็ม]])*tbl_task7[[%]:[%]])</f>
        <v/>
      </c>
      <c r="HD4" s="121" t="str">
        <f>IF(ISBLANK(tbl_task7[[คะแนนเต็ม]:[คะแนนเต็ม]]),"",(tbl_task7[42]/tbl_task7[[คะแนนเต็ม]:[คะแนนเต็ม]])*tbl_task7[[%]:[%]])</f>
        <v/>
      </c>
      <c r="HE4" s="121" t="str">
        <f>IF(ISBLANK(tbl_task7[[คะแนนเต็ม]:[คะแนนเต็ม]]),"",(tbl_task7[43]/tbl_task7[[คะแนนเต็ม]:[คะแนนเต็ม]])*tbl_task7[[%]:[%]])</f>
        <v/>
      </c>
      <c r="HF4" s="121" t="str">
        <f>IF(ISBLANK(tbl_task7[[คะแนนเต็ม]:[คะแนนเต็ม]]),"",(tbl_task7[44]/tbl_task7[[คะแนนเต็ม]:[คะแนนเต็ม]])*tbl_task7[[%]:[%]])</f>
        <v/>
      </c>
      <c r="HG4" s="121" t="str">
        <f>IF(ISBLANK(tbl_task7[[คะแนนเต็ม]:[คะแนนเต็ม]]),"",(tbl_task7[45]/tbl_task7[[คะแนนเต็ม]:[คะแนนเต็ม]])*tbl_task7[[%]:[%]])</f>
        <v/>
      </c>
      <c r="HH4" s="121" t="str">
        <f>IF(ISBLANK(tbl_task7[[คะแนนเต็ม]:[คะแนนเต็ม]]),"",(tbl_task7[46]/tbl_task7[[คะแนนเต็ม]:[คะแนนเต็ม]])*tbl_task7[[%]:[%]])</f>
        <v/>
      </c>
      <c r="HI4" s="121" t="str">
        <f>IF(ISBLANK(tbl_task7[[คะแนนเต็ม]:[คะแนนเต็ม]]),"",(tbl_task7[47]/tbl_task7[[คะแนนเต็ม]:[คะแนนเต็ม]])*tbl_task7[[%]:[%]])</f>
        <v/>
      </c>
      <c r="HJ4" s="121" t="str">
        <f>IF(ISBLANK(tbl_task7[[คะแนนเต็ม]:[คะแนนเต็ม]]),"",(tbl_task7[48]/tbl_task7[[คะแนนเต็ม]:[คะแนนเต็ม]])*tbl_task7[[%]:[%]])</f>
        <v/>
      </c>
      <c r="HK4" s="121" t="str">
        <f>IF(ISBLANK(tbl_task7[[คะแนนเต็ม]:[คะแนนเต็ม]]),"",(tbl_task7[49]/tbl_task7[[คะแนนเต็ม]:[คะแนนเต็ม]])*tbl_task7[[%]:[%]])</f>
        <v/>
      </c>
      <c r="HL4" s="121" t="str">
        <f>IF(ISBLANK(tbl_task7[[คะแนนเต็ม]:[คะแนนเต็ม]]),"",(tbl_task7[50]/tbl_task7[[คะแนนเต็ม]:[คะแนนเต็ม]])*tbl_task7[[%]:[%]])</f>
        <v/>
      </c>
      <c r="HM4" s="121" t="str">
        <f>IF(ISBLANK(tbl_task7[[คะแนนเต็ม]:[คะแนนเต็ม]]),"",(tbl_task7[51]/tbl_task7[[คะแนนเต็ม]:[คะแนนเต็ม]])*tbl_task7[[%]:[%]])</f>
        <v/>
      </c>
      <c r="HN4" s="121" t="str">
        <f>IF(ISBLANK(tbl_task7[[คะแนนเต็ม]:[คะแนนเต็ม]]),"",(tbl_task7[52]/tbl_task7[[คะแนนเต็ม]:[คะแนนเต็ม]])*tbl_task7[[%]:[%]])</f>
        <v/>
      </c>
      <c r="HO4" s="121" t="str">
        <f>IF(ISBLANK(tbl_task7[[คะแนนเต็ม]:[คะแนนเต็ม]]),"",(tbl_task7[53]/tbl_task7[[คะแนนเต็ม]:[คะแนนเต็ม]])*tbl_task7[[%]:[%]])</f>
        <v/>
      </c>
      <c r="HP4" s="121" t="str">
        <f>IF(ISBLANK(tbl_task7[[คะแนนเต็ม]:[คะแนนเต็ม]]),"",(tbl_task7[54]/tbl_task7[[คะแนนเต็ม]:[คะแนนเต็ม]])*tbl_task7[[%]:[%]])</f>
        <v/>
      </c>
      <c r="HQ4" s="121" t="str">
        <f>IF(ISBLANK(tbl_task7[[คะแนนเต็ม]:[คะแนนเต็ม]]),"",(tbl_task7[55]/tbl_task7[[คะแนนเต็ม]:[คะแนนเต็ม]])*tbl_task7[[%]:[%]])</f>
        <v/>
      </c>
      <c r="HR4" s="121" t="str">
        <f>IF(ISBLANK(tbl_task7[[คะแนนเต็ม]:[คะแนนเต็ม]]),"",(tbl_task7[56]/tbl_task7[[คะแนนเต็ม]:[คะแนนเต็ม]])*tbl_task7[[%]:[%]])</f>
        <v/>
      </c>
      <c r="HS4" s="121" t="str">
        <f>IF(ISBLANK(tbl_task7[[คะแนนเต็ม]:[คะแนนเต็ม]]),"",(tbl_task7[57]/tbl_task7[[คะแนนเต็ม]:[คะแนนเต็ม]])*tbl_task7[[%]:[%]])</f>
        <v/>
      </c>
      <c r="HT4" s="121" t="str">
        <f>IF(ISBLANK(tbl_task7[[คะแนนเต็ม]:[คะแนนเต็ม]]),"",(tbl_task7[58]/tbl_task7[[คะแนนเต็ม]:[คะแนนเต็ม]])*tbl_task7[[%]:[%]])</f>
        <v/>
      </c>
      <c r="HU4" s="121" t="str">
        <f>IF(ISBLANK(tbl_task7[[คะแนนเต็ม]:[คะแนนเต็ม]]),"",(tbl_task7[59]/tbl_task7[[คะแนนเต็ม]:[คะแนนเต็ม]])*tbl_task7[[%]:[%]])</f>
        <v/>
      </c>
      <c r="HV4" s="121" t="str">
        <f>IF(ISBLANK(tbl_task7[[คะแนนเต็ม]:[คะแนนเต็ม]]),"",(tbl_task7[60]/tbl_task7[[คะแนนเต็ม]:[คะแนนเต็ม]])*tbl_task7[[%]:[%]])</f>
        <v/>
      </c>
      <c r="HW4" s="121" t="str">
        <f>IF(ISBLANK(tbl_task7[[คะแนนเต็ม]:[คะแนนเต็ม]]),"",(tbl_task7[61]/tbl_task7[[คะแนนเต็ม]:[คะแนนเต็ม]])*tbl_task7[[%]:[%]])</f>
        <v/>
      </c>
      <c r="HX4" s="121" t="str">
        <f>IF(ISBLANK(tbl_task7[[คะแนนเต็ม]:[คะแนนเต็ม]]),"",(tbl_task7[62]/tbl_task7[[คะแนนเต็ม]:[คะแนนเต็ม]])*tbl_task7[[%]:[%]])</f>
        <v/>
      </c>
      <c r="HY4" s="121" t="str">
        <f>IF(ISBLANK(tbl_task7[[คะแนนเต็ม]:[คะแนนเต็ม]]),"",(tbl_task7[63]/tbl_task7[[คะแนนเต็ม]:[คะแนนเต็ม]])*tbl_task7[[%]:[%]])</f>
        <v/>
      </c>
      <c r="HZ4" s="121" t="str">
        <f>IF(ISBLANK(tbl_task7[[คะแนนเต็ม]:[คะแนนเต็ม]]),"",(tbl_task7[64]/tbl_task7[[คะแนนเต็ม]:[คะแนนเต็ม]])*tbl_task7[[%]:[%]])</f>
        <v/>
      </c>
      <c r="IA4" s="121" t="str">
        <f>IF(ISBLANK(tbl_task7[[คะแนนเต็ม]:[คะแนนเต็ม]]),"",(tbl_task7[65]/tbl_task7[[คะแนนเต็ม]:[คะแนนเต็ม]])*tbl_task7[[%]:[%]])</f>
        <v/>
      </c>
      <c r="IB4" s="121" t="str">
        <f>IF(ISBLANK(tbl_task7[[คะแนนเต็ม]:[คะแนนเต็ม]]),"",(tbl_task7[66]/tbl_task7[[คะแนนเต็ม]:[คะแนนเต็ม]])*tbl_task7[[%]:[%]])</f>
        <v/>
      </c>
      <c r="IC4" s="121" t="str">
        <f>IF(ISBLANK(tbl_task7[[คะแนนเต็ม]:[คะแนนเต็ม]]),"",(tbl_task7[67]/tbl_task7[[คะแนนเต็ม]:[คะแนนเต็ม]])*tbl_task7[[%]:[%]])</f>
        <v/>
      </c>
      <c r="ID4" s="121" t="str">
        <f>IF(ISBLANK(tbl_task7[[คะแนนเต็ม]:[คะแนนเต็ม]]),"",(tbl_task7[68]/tbl_task7[[คะแนนเต็ม]:[คะแนนเต็ม]])*tbl_task7[[%]:[%]])</f>
        <v/>
      </c>
      <c r="IE4" s="121" t="str">
        <f>IF(ISBLANK(tbl_task7[[คะแนนเต็ม]:[คะแนนเต็ม]]),"",(tbl_task7[69]/tbl_task7[[คะแนนเต็ม]:[คะแนนเต็ม]])*tbl_task7[[%]:[%]])</f>
        <v/>
      </c>
      <c r="IF4" s="121" t="str">
        <f>IF(ISBLANK(tbl_task7[[คะแนนเต็ม]:[คะแนนเต็ม]]),"",(tbl_task7[70]/tbl_task7[[คะแนนเต็ม]:[คะแนนเต็ม]])*tbl_task7[[%]:[%]])</f>
        <v/>
      </c>
      <c r="IG4" s="121" t="str">
        <f>IF(ISBLANK(tbl_task7[[คะแนนเต็ม]:[คะแนนเต็ม]]),"",(tbl_task7[71]/tbl_task7[[คะแนนเต็ม]:[คะแนนเต็ม]])*tbl_task7[[%]:[%]])</f>
        <v/>
      </c>
      <c r="IH4" s="121" t="str">
        <f>IF(ISBLANK(tbl_task7[[คะแนนเต็ม]:[คะแนนเต็ม]]),"",(tbl_task7[72]/tbl_task7[[คะแนนเต็ม]:[คะแนนเต็ม]])*tbl_task7[[%]:[%]])</f>
        <v/>
      </c>
      <c r="II4" s="121" t="str">
        <f>IF(ISBLANK(tbl_task7[[คะแนนเต็ม]:[คะแนนเต็ม]]),"",(tbl_task7[73]/tbl_task7[[คะแนนเต็ม]:[คะแนนเต็ม]])*tbl_task7[[%]:[%]])</f>
        <v/>
      </c>
      <c r="IJ4" s="121" t="str">
        <f>IF(ISBLANK(tbl_task7[[คะแนนเต็ม]:[คะแนนเต็ม]]),"",(tbl_task7[74]/tbl_task7[[คะแนนเต็ม]:[คะแนนเต็ม]])*tbl_task7[[%]:[%]])</f>
        <v/>
      </c>
      <c r="IK4" s="121" t="str">
        <f>IF(ISBLANK(tbl_task7[[คะแนนเต็ม]:[คะแนนเต็ม]]),"",(tbl_task7[75]/tbl_task7[[คะแนนเต็ม]:[คะแนนเต็ม]])*tbl_task7[[%]:[%]])</f>
        <v/>
      </c>
      <c r="IL4" s="121" t="str">
        <f>IF(ISBLANK(tbl_task7[[คะแนนเต็ม]:[คะแนนเต็ม]]),"",(tbl_task7[76]/tbl_task7[[คะแนนเต็ม]:[คะแนนเต็ม]])*tbl_task7[[%]:[%]])</f>
        <v/>
      </c>
      <c r="IM4" s="121" t="str">
        <f>IF(ISBLANK(tbl_task7[[คะแนนเต็ม]:[คะแนนเต็ม]]),"",(tbl_task7[77]/tbl_task7[[คะแนนเต็ม]:[คะแนนเต็ม]])*tbl_task7[[%]:[%]])</f>
        <v/>
      </c>
      <c r="IN4" s="121" t="str">
        <f>IF(ISBLANK(tbl_task7[[คะแนนเต็ม]:[คะแนนเต็ม]]),"",(tbl_task7[78]/tbl_task7[[คะแนนเต็ม]:[คะแนนเต็ม]])*tbl_task7[[%]:[%]])</f>
        <v/>
      </c>
      <c r="IO4" s="121" t="str">
        <f>IF(ISBLANK(tbl_task7[[คะแนนเต็ม]:[คะแนนเต็ม]]),"",(tbl_task7[79]/tbl_task7[[คะแนนเต็ม]:[คะแนนเต็ม]])*tbl_task7[[%]:[%]])</f>
        <v/>
      </c>
      <c r="IP4" s="121" t="str">
        <f>IF(ISBLANK(tbl_task7[[คะแนนเต็ม]:[คะแนนเต็ม]]),"",(tbl_task7[80]/tbl_task7[[คะแนนเต็ม]:[คะแนนเต็ม]])*tbl_task7[[%]:[%]])</f>
        <v/>
      </c>
      <c r="IQ4" s="121" t="str">
        <f>IF(ISBLANK(tbl_task7[[คะแนนเต็ม]:[คะแนนเต็ม]]),"",(tbl_task7[81]/tbl_task7[[คะแนนเต็ม]:[คะแนนเต็ม]])*tbl_task7[[%]:[%]])</f>
        <v/>
      </c>
      <c r="IR4" s="121" t="str">
        <f>IF(ISBLANK(tbl_task7[[คะแนนเต็ม]:[คะแนนเต็ม]]),"",(tbl_task7[82]/tbl_task7[[คะแนนเต็ม]:[คะแนนเต็ม]])*tbl_task7[[%]:[%]])</f>
        <v/>
      </c>
      <c r="IS4" s="121" t="str">
        <f>IF(ISBLANK(tbl_task7[[คะแนนเต็ม]:[คะแนนเต็ม]]),"",(tbl_task7[83]/tbl_task7[[คะแนนเต็ม]:[คะแนนเต็ม]])*tbl_task7[[%]:[%]])</f>
        <v/>
      </c>
      <c r="IT4" s="121" t="str">
        <f>IF(ISBLANK(tbl_task7[[คะแนนเต็ม]:[คะแนนเต็ม]]),"",(tbl_task7[84]/tbl_task7[[คะแนนเต็ม]:[คะแนนเต็ม]])*tbl_task7[[%]:[%]])</f>
        <v/>
      </c>
      <c r="IU4" s="121" t="str">
        <f>IF(ISBLANK(tbl_task7[[คะแนนเต็ม]:[คะแนนเต็ม]]),"",(tbl_task7[85]/tbl_task7[[คะแนนเต็ม]:[คะแนนเต็ม]])*tbl_task7[[%]:[%]])</f>
        <v/>
      </c>
      <c r="IV4" s="121" t="str">
        <f>IF(ISBLANK(tbl_task7[[คะแนนเต็ม]:[คะแนนเต็ม]]),"",(tbl_task7[86]/tbl_task7[[คะแนนเต็ม]:[คะแนนเต็ม]])*tbl_task7[[%]:[%]])</f>
        <v/>
      </c>
      <c r="IW4" s="121" t="str">
        <f>IF(ISBLANK(tbl_task7[[คะแนนเต็ม]:[คะแนนเต็ม]]),"",(tbl_task7[87]/tbl_task7[[คะแนนเต็ม]:[คะแนนเต็ม]])*tbl_task7[[%]:[%]])</f>
        <v/>
      </c>
      <c r="IX4" s="121" t="str">
        <f>IF(ISBLANK(tbl_task7[[คะแนนเต็ม]:[คะแนนเต็ม]]),"",(tbl_task7[88]/tbl_task7[[คะแนนเต็ม]:[คะแนนเต็ม]])*tbl_task7[[%]:[%]])</f>
        <v/>
      </c>
      <c r="IY4" s="121" t="str">
        <f>IF(ISBLANK(tbl_task7[[คะแนนเต็ม]:[คะแนนเต็ม]]),"",(tbl_task7[89]/tbl_task7[[คะแนนเต็ม]:[คะแนนเต็ม]])*tbl_task7[[%]:[%]])</f>
        <v/>
      </c>
      <c r="IZ4" s="121" t="str">
        <f>IF(ISBLANK(tbl_task7[[คะแนนเต็ม]:[คะแนนเต็ม]]),"",(tbl_task7[90]/tbl_task7[[คะแนนเต็ม]:[คะแนนเต็ม]])*tbl_task7[[%]:[%]])</f>
        <v/>
      </c>
      <c r="JA4" s="121" t="str">
        <f>IF(ISBLANK(tbl_task7[[คะแนนเต็ม]:[คะแนนเต็ม]]),"",(tbl_task7[91]/tbl_task7[[คะแนนเต็ม]:[คะแนนเต็ม]])*tbl_task7[[%]:[%]])</f>
        <v/>
      </c>
      <c r="JB4" s="121" t="str">
        <f>IF(ISBLANK(tbl_task7[[คะแนนเต็ม]:[คะแนนเต็ม]]),"",(tbl_task7[92]/tbl_task7[[คะแนนเต็ม]:[คะแนนเต็ม]])*tbl_task7[[%]:[%]])</f>
        <v/>
      </c>
      <c r="JC4" s="121" t="str">
        <f>IF(ISBLANK(tbl_task7[[คะแนนเต็ม]:[คะแนนเต็ม]]),"",(tbl_task7[93]/tbl_task7[[คะแนนเต็ม]:[คะแนนเต็ม]])*tbl_task7[[%]:[%]])</f>
        <v/>
      </c>
      <c r="JD4" s="121" t="str">
        <f>IF(ISBLANK(tbl_task7[[คะแนนเต็ม]:[คะแนนเต็ม]]),"",(tbl_task7[94]/tbl_task7[[คะแนนเต็ม]:[คะแนนเต็ม]])*tbl_task7[[%]:[%]])</f>
        <v/>
      </c>
      <c r="JE4" s="121" t="str">
        <f>IF(ISBLANK(tbl_task7[[คะแนนเต็ม]:[คะแนนเต็ม]]),"",(tbl_task7[95]/tbl_task7[[คะแนนเต็ม]:[คะแนนเต็ม]])*tbl_task7[[%]:[%]])</f>
        <v/>
      </c>
      <c r="JF4" s="121" t="str">
        <f>IF(ISBLANK(tbl_task7[[คะแนนเต็ม]:[คะแนนเต็ม]]),"",(tbl_task7[96]/tbl_task7[[คะแนนเต็ม]:[คะแนนเต็ม]])*tbl_task7[[%]:[%]])</f>
        <v/>
      </c>
      <c r="JG4" s="121" t="str">
        <f>IF(ISBLANK(tbl_task7[[คะแนนเต็ม]:[คะแนนเต็ม]]),"",(tbl_task7[97]/tbl_task7[[คะแนนเต็ม]:[คะแนนเต็ม]])*tbl_task7[[%]:[%]])</f>
        <v/>
      </c>
      <c r="JH4" s="121" t="str">
        <f>IF(ISBLANK(tbl_task7[[คะแนนเต็ม]:[คะแนนเต็ม]]),"",(tbl_task7[98]/tbl_task7[[คะแนนเต็ม]:[คะแนนเต็ม]])*tbl_task7[[%]:[%]])</f>
        <v/>
      </c>
      <c r="JI4" s="121" t="str">
        <f>IF(ISBLANK(tbl_task7[[คะแนนเต็ม]:[คะแนนเต็ม]]),"",(tbl_task7[99]/tbl_task7[[คะแนนเต็ม]:[คะแนนเต็ม]])*tbl_task7[[%]:[%]])</f>
        <v/>
      </c>
      <c r="JJ4" s="121" t="str">
        <f>IF(ISBLANK(tbl_task7[[คะแนนเต็ม]:[คะแนนเต็ม]]),"",(tbl_task7[100]/tbl_task7[[คะแนนเต็ม]:[คะแนนเต็ม]])*tbl_task7[[%]:[%]])</f>
        <v/>
      </c>
      <c r="JK4" s="121" t="str">
        <f>IF(ISBLANK(tbl_task7[[คะแนนเต็ม]:[คะแนนเต็ม]]),"",(tbl_task7[101]/tbl_task7[[คะแนนเต็ม]:[คะแนนเต็ม]])*tbl_task7[[%]:[%]])</f>
        <v/>
      </c>
      <c r="JL4" s="121" t="str">
        <f>IF(ISBLANK(tbl_task7[[คะแนนเต็ม]:[คะแนนเต็ม]]),"",(tbl_task7[102]/tbl_task7[[คะแนนเต็ม]:[คะแนนเต็ม]])*tbl_task7[[%]:[%]])</f>
        <v/>
      </c>
      <c r="JM4" s="121" t="str">
        <f>IF(ISBLANK(tbl_task7[[คะแนนเต็ม]:[คะแนนเต็ม]]),"",(tbl_task7[103]/tbl_task7[[คะแนนเต็ม]:[คะแนนเต็ม]])*tbl_task7[[%]:[%]])</f>
        <v/>
      </c>
      <c r="JN4" s="121" t="str">
        <f>IF(ISBLANK(tbl_task7[[คะแนนเต็ม]:[คะแนนเต็ม]]),"",(tbl_task7[104]/tbl_task7[[คะแนนเต็ม]:[คะแนนเต็ม]])*tbl_task7[[%]:[%]])</f>
        <v/>
      </c>
      <c r="JO4" s="121" t="str">
        <f>IF(ISBLANK(tbl_task7[[คะแนนเต็ม]:[คะแนนเต็ม]]),"",(tbl_task7[105]/tbl_task7[[คะแนนเต็ม]:[คะแนนเต็ม]])*tbl_task7[[%]:[%]])</f>
        <v/>
      </c>
      <c r="JP4" s="121" t="str">
        <f>IF(ISBLANK(tbl_task7[[คะแนนเต็ม]:[คะแนนเต็ม]]),"",(tbl_task7[106]/tbl_task7[[คะแนนเต็ม]:[คะแนนเต็ม]])*tbl_task7[[%]:[%]])</f>
        <v/>
      </c>
      <c r="JQ4" s="121" t="str">
        <f>IF(ISBLANK(tbl_task7[[คะแนนเต็ม]:[คะแนนเต็ม]]),"",(tbl_task7[107]/tbl_task7[[คะแนนเต็ม]:[คะแนนเต็ม]])*tbl_task7[[%]:[%]])</f>
        <v/>
      </c>
      <c r="JR4" s="121" t="str">
        <f>IF(ISBLANK(tbl_task7[[คะแนนเต็ม]:[คะแนนเต็ม]]),"",(tbl_task7[108]/tbl_task7[[คะแนนเต็ม]:[คะแนนเต็ม]])*tbl_task7[[%]:[%]])</f>
        <v/>
      </c>
      <c r="JS4" s="121" t="str">
        <f>IF(ISBLANK(tbl_task7[[คะแนนเต็ม]:[คะแนนเต็ม]]),"",(tbl_task7[109]/tbl_task7[[คะแนนเต็ม]:[คะแนนเต็ม]])*tbl_task7[[%]:[%]])</f>
        <v/>
      </c>
      <c r="JT4" s="121" t="str">
        <f>IF(ISBLANK(tbl_task7[[คะแนนเต็ม]:[คะแนนเต็ม]]),"",(tbl_task7[110]/tbl_task7[[คะแนนเต็ม]:[คะแนนเต็ม]])*tbl_task7[[%]:[%]])</f>
        <v/>
      </c>
      <c r="JU4" s="121" t="str">
        <f>IF(ISBLANK(tbl_task7[[คะแนนเต็ม]:[คะแนนเต็ม]]),"",(tbl_task7[111]/tbl_task7[[คะแนนเต็ม]:[คะแนนเต็ม]])*tbl_task7[[%]:[%]])</f>
        <v/>
      </c>
      <c r="JV4" s="121" t="str">
        <f>IF(ISBLANK(tbl_task7[[คะแนนเต็ม]:[คะแนนเต็ม]]),"",(tbl_task7[112]/tbl_task7[[คะแนนเต็ม]:[คะแนนเต็ม]])*tbl_task7[[%]:[%]])</f>
        <v/>
      </c>
      <c r="JW4" s="121" t="str">
        <f>IF(ISBLANK(tbl_task7[[คะแนนเต็ม]:[คะแนนเต็ม]]),"",(tbl_task7[113]/tbl_task7[[คะแนนเต็ม]:[คะแนนเต็ม]])*tbl_task7[[%]:[%]])</f>
        <v/>
      </c>
      <c r="JX4" s="121" t="str">
        <f>IF(ISBLANK(tbl_task7[[คะแนนเต็ม]:[คะแนนเต็ม]]),"",(tbl_task7[114]/tbl_task7[[คะแนนเต็ม]:[คะแนนเต็ม]])*tbl_task7[[%]:[%]])</f>
        <v/>
      </c>
      <c r="JY4" s="121" t="str">
        <f>IF(ISBLANK(tbl_task7[[คะแนนเต็ม]:[คะแนนเต็ม]]),"",(tbl_task7[115]/tbl_task7[[คะแนนเต็ม]:[คะแนนเต็ม]])*tbl_task7[[%]:[%]])</f>
        <v/>
      </c>
      <c r="JZ4" s="121" t="str">
        <f>IF(ISBLANK(tbl_task7[[คะแนนเต็ม]:[คะแนนเต็ม]]),"",(tbl_task7[116]/tbl_task7[[คะแนนเต็ม]:[คะแนนเต็ม]])*tbl_task7[[%]:[%]])</f>
        <v/>
      </c>
      <c r="KA4" s="121" t="str">
        <f>IF(ISBLANK(tbl_task7[[คะแนนเต็ม]:[คะแนนเต็ม]]),"",(tbl_task7[117]/tbl_task7[[คะแนนเต็ม]:[คะแนนเต็ม]])*tbl_task7[[%]:[%]])</f>
        <v/>
      </c>
      <c r="KB4" s="121" t="str">
        <f>IF(ISBLANK(tbl_task7[[คะแนนเต็ม]:[คะแนนเต็ม]]),"",(tbl_task7[118]/tbl_task7[[คะแนนเต็ม]:[คะแนนเต็ม]])*tbl_task7[[%]:[%]])</f>
        <v/>
      </c>
      <c r="KC4" s="121" t="str">
        <f>IF(ISBLANK(tbl_task7[[คะแนนเต็ม]:[คะแนนเต็ม]]),"",(tbl_task7[119]/tbl_task7[[คะแนนเต็ม]:[คะแนนเต็ม]])*tbl_task7[[%]:[%]])</f>
        <v/>
      </c>
      <c r="KD4" s="121" t="str">
        <f>IF(ISBLANK(tbl_task7[[คะแนนเต็ม]:[คะแนนเต็ม]]),"",(tbl_task7[120]/tbl_task7[[คะแนนเต็ม]:[คะแนนเต็ม]])*tbl_task7[[%]:[%]])</f>
        <v/>
      </c>
      <c r="KE4" s="121" t="str">
        <f>IF(ISBLANK(tbl_task7[[คะแนนเต็ม]:[คะแนนเต็ม]]),"",(tbl_task7[121]/tbl_task7[[คะแนนเต็ม]:[คะแนนเต็ม]])*tbl_task7[[%]:[%]])</f>
        <v/>
      </c>
      <c r="KF4" s="121" t="str">
        <f>IF(ISBLANK(tbl_task7[[คะแนนเต็ม]:[คะแนนเต็ม]]),"",(tbl_task7[122]/tbl_task7[[คะแนนเต็ม]:[คะแนนเต็ม]])*tbl_task7[[%]:[%]])</f>
        <v/>
      </c>
      <c r="KG4" s="121" t="str">
        <f>IF(ISBLANK(tbl_task7[[คะแนนเต็ม]:[คะแนนเต็ม]]),"",(tbl_task7[123]/tbl_task7[[คะแนนเต็ม]:[คะแนนเต็ม]])*tbl_task7[[%]:[%]])</f>
        <v/>
      </c>
      <c r="KH4" s="121" t="str">
        <f>IF(ISBLANK(tbl_task7[[คะแนนเต็ม]:[คะแนนเต็ม]]),"",(tbl_task7[124]/tbl_task7[[คะแนนเต็ม]:[คะแนนเต็ม]])*tbl_task7[[%]:[%]])</f>
        <v/>
      </c>
      <c r="KI4" s="121" t="str">
        <f>IF(ISBLANK(tbl_task7[[คะแนนเต็ม]:[คะแนนเต็ม]]),"",(tbl_task7[125]/tbl_task7[[คะแนนเต็ม]:[คะแนนเต็ม]])*tbl_task7[[%]:[%]])</f>
        <v/>
      </c>
      <c r="KJ4" s="121" t="str">
        <f>IF(ISBLANK(tbl_task7[[คะแนนเต็ม]:[คะแนนเต็ม]]),"",(tbl_task7[126]/tbl_task7[[คะแนนเต็ม]:[คะแนนเต็ม]])*tbl_task7[[%]:[%]])</f>
        <v/>
      </c>
      <c r="KK4" s="121" t="str">
        <f>IF(ISBLANK(tbl_task7[[คะแนนเต็ม]:[คะแนนเต็ม]]),"",(tbl_task7[127]/tbl_task7[[คะแนนเต็ม]:[คะแนนเต็ม]])*tbl_task7[[%]:[%]])</f>
        <v/>
      </c>
      <c r="KL4" s="121" t="str">
        <f>IF(ISBLANK(tbl_task7[[คะแนนเต็ม]:[คะแนนเต็ม]]),"",(tbl_task7[128]/tbl_task7[[คะแนนเต็ม]:[คะแนนเต็ม]])*tbl_task7[[%]:[%]])</f>
        <v/>
      </c>
      <c r="KM4" s="121" t="str">
        <f>IF(ISBLANK(tbl_task7[[คะแนนเต็ม]:[คะแนนเต็ม]]),"",(tbl_task7[129]/tbl_task7[[คะแนนเต็ม]:[คะแนนเต็ม]])*tbl_task7[[%]:[%]])</f>
        <v/>
      </c>
      <c r="KN4" s="121" t="str">
        <f>IF(ISBLANK(tbl_task7[[คะแนนเต็ม]:[คะแนนเต็ม]]),"",(tbl_task7[130]/tbl_task7[[คะแนนเต็ม]:[คะแนนเต็ม]])*tbl_task7[[%]:[%]])</f>
        <v/>
      </c>
      <c r="KO4" s="121" t="str">
        <f>IF(ISBLANK(tbl_task7[[คะแนนเต็ม]:[คะแนนเต็ม]]),"",(tbl_task7[131]/tbl_task7[[คะแนนเต็ม]:[คะแนนเต็ม]])*tbl_task7[[%]:[%]])</f>
        <v/>
      </c>
      <c r="KP4" s="121" t="str">
        <f>IF(ISBLANK(tbl_task7[[คะแนนเต็ม]:[คะแนนเต็ม]]),"",(tbl_task7[132]/tbl_task7[[คะแนนเต็ม]:[คะแนนเต็ม]])*tbl_task7[[%]:[%]])</f>
        <v/>
      </c>
      <c r="KQ4" s="121" t="str">
        <f>IF(ISBLANK(tbl_task7[[คะแนนเต็ม]:[คะแนนเต็ม]]),"",(tbl_task7[133]/tbl_task7[[คะแนนเต็ม]:[คะแนนเต็ม]])*tbl_task7[[%]:[%]])</f>
        <v/>
      </c>
      <c r="KR4" s="121" t="str">
        <f>IF(ISBLANK(tbl_task7[[คะแนนเต็ม]:[คะแนนเต็ม]]),"",(tbl_task7[134]/tbl_task7[[คะแนนเต็ม]:[คะแนนเต็ม]])*tbl_task7[[%]:[%]])</f>
        <v/>
      </c>
      <c r="KS4" s="121" t="str">
        <f>IF(ISBLANK(tbl_task7[[คะแนนเต็ม]:[คะแนนเต็ม]]),"",(tbl_task7[135]/tbl_task7[[คะแนนเต็ม]:[คะแนนเต็ม]])*tbl_task7[[%]:[%]])</f>
        <v/>
      </c>
      <c r="KT4" s="121" t="str">
        <f>IF(ISBLANK(tbl_task7[[คะแนนเต็ม]:[คะแนนเต็ม]]),"",(tbl_task7[136]/tbl_task7[[คะแนนเต็ม]:[คะแนนเต็ม]])*tbl_task7[[%]:[%]])</f>
        <v/>
      </c>
      <c r="KU4" s="121" t="str">
        <f>IF(ISBLANK(tbl_task7[[คะแนนเต็ม]:[คะแนนเต็ม]]),"",(tbl_task7[137]/tbl_task7[[คะแนนเต็ม]:[คะแนนเต็ม]])*tbl_task7[[%]:[%]])</f>
        <v/>
      </c>
      <c r="KV4" s="121" t="str">
        <f>IF(ISBLANK(tbl_task7[[คะแนนเต็ม]:[คะแนนเต็ม]]),"",(tbl_task7[138]/tbl_task7[[คะแนนเต็ม]:[คะแนนเต็ม]])*tbl_task7[[%]:[%]])</f>
        <v/>
      </c>
      <c r="KW4" s="121" t="str">
        <f>IF(ISBLANK(tbl_task7[[คะแนนเต็ม]:[คะแนนเต็ม]]),"",(tbl_task7[139]/tbl_task7[[คะแนนเต็ม]:[คะแนนเต็ม]])*tbl_task7[[%]:[%]])</f>
        <v/>
      </c>
      <c r="KX4" s="121" t="str">
        <f>IF(ISBLANK(tbl_task7[[คะแนนเต็ม]:[คะแนนเต็ม]]),"",(tbl_task7[140]/tbl_task7[[คะแนนเต็ม]:[คะแนนเต็ม]])*tbl_task7[[%]:[%]])</f>
        <v/>
      </c>
      <c r="KY4" s="121" t="str">
        <f>IF(ISBLANK(tbl_task7[[คะแนนเต็ม]:[คะแนนเต็ม]]),"",(tbl_task7[141]/tbl_task7[[คะแนนเต็ม]:[คะแนนเต็ม]])*tbl_task7[[%]:[%]])</f>
        <v/>
      </c>
      <c r="KZ4" s="121" t="str">
        <f>IF(ISBLANK(tbl_task7[[คะแนนเต็ม]:[คะแนนเต็ม]]),"",(tbl_task7[142]/tbl_task7[[คะแนนเต็ม]:[คะแนนเต็ม]])*tbl_task7[[%]:[%]])</f>
        <v/>
      </c>
      <c r="LA4" s="121" t="str">
        <f>IF(ISBLANK(tbl_task7[[คะแนนเต็ม]:[คะแนนเต็ม]]),"",(tbl_task7[143]/tbl_task7[[คะแนนเต็ม]:[คะแนนเต็ม]])*tbl_task7[[%]:[%]])</f>
        <v/>
      </c>
      <c r="LB4" s="121" t="str">
        <f>IF(ISBLANK(tbl_task7[[คะแนนเต็ม]:[คะแนนเต็ม]]),"",(tbl_task7[144]/tbl_task7[[คะแนนเต็ม]:[คะแนนเต็ม]])*tbl_task7[[%]:[%]])</f>
        <v/>
      </c>
      <c r="LC4" s="121" t="str">
        <f>IF(ISBLANK(tbl_task7[[คะแนนเต็ม]:[คะแนนเต็ม]]),"",(tbl_task7[145]/tbl_task7[[คะแนนเต็ม]:[คะแนนเต็ม]])*tbl_task7[[%]:[%]])</f>
        <v/>
      </c>
      <c r="LD4" s="121" t="str">
        <f>IF(ISBLANK(tbl_task7[[คะแนนเต็ม]:[คะแนนเต็ม]]),"",(tbl_task7[146]/tbl_task7[[คะแนนเต็ม]:[คะแนนเต็ม]])*tbl_task7[[%]:[%]])</f>
        <v/>
      </c>
      <c r="LE4" s="121" t="str">
        <f>IF(ISBLANK(tbl_task7[[คะแนนเต็ม]:[คะแนนเต็ม]]),"",(tbl_task7[147]/tbl_task7[[คะแนนเต็ม]:[คะแนนเต็ม]])*tbl_task7[[%]:[%]])</f>
        <v/>
      </c>
      <c r="LF4" s="121" t="str">
        <f>IF(ISBLANK(tbl_task7[[คะแนนเต็ม]:[คะแนนเต็ม]]),"",(tbl_task7[148]/tbl_task7[[คะแนนเต็ม]:[คะแนนเต็ม]])*tbl_task7[[%]:[%]])</f>
        <v/>
      </c>
      <c r="LG4" s="121" t="str">
        <f>IF(ISBLANK(tbl_task7[[คะแนนเต็ม]:[คะแนนเต็ม]]),"",(tbl_task7[149]/tbl_task7[[คะแนนเต็ม]:[คะแนนเต็ม]])*tbl_task7[[%]:[%]])</f>
        <v/>
      </c>
      <c r="LH4" s="121" t="str">
        <f>IF(ISBLANK(tbl_task7[[คะแนนเต็ม]:[คะแนนเต็ม]]),"",(tbl_task7[150]/tbl_task7[[คะแนนเต็ม]:[คะแนนเต็ม]])*tbl_task7[[%]:[%]])</f>
        <v/>
      </c>
      <c r="LI4" s="121" t="str">
        <f>IF(ISBLANK(tbl_task7[[คะแนนเต็ม]:[คะแนนเต็ม]]),"",(tbl_task7[151]/tbl_task7[[คะแนนเต็ม]:[คะแนนเต็ม]])*tbl_task7[[%]:[%]])</f>
        <v/>
      </c>
      <c r="LJ4" s="121" t="str">
        <f>IF(ISBLANK(tbl_task7[[คะแนนเต็ม]:[คะแนนเต็ม]]),"",(tbl_task7[152]/tbl_task7[[คะแนนเต็ม]:[คะแนนเต็ม]])*tbl_task7[[%]:[%]])</f>
        <v/>
      </c>
      <c r="LK4" s="121" t="str">
        <f>IF(ISBLANK(tbl_task7[[คะแนนเต็ม]:[คะแนนเต็ม]]),"",(tbl_task7[153]/tbl_task7[[คะแนนเต็ม]:[คะแนนเต็ม]])*tbl_task7[[%]:[%]])</f>
        <v/>
      </c>
      <c r="LL4" s="121" t="str">
        <f>IF(ISBLANK(tbl_task7[[คะแนนเต็ม]:[คะแนนเต็ม]]),"",(tbl_task7[154]/tbl_task7[[คะแนนเต็ม]:[คะแนนเต็ม]])*tbl_task7[[%]:[%]])</f>
        <v/>
      </c>
      <c r="LM4" s="121" t="str">
        <f>IF(ISBLANK(tbl_task7[[คะแนนเต็ม]:[คะแนนเต็ม]]),"",(tbl_task7[155]/tbl_task7[[คะแนนเต็ม]:[คะแนนเต็ม]])*tbl_task7[[%]:[%]])</f>
        <v/>
      </c>
      <c r="LN4" s="121" t="str">
        <f>IF(ISBLANK(tbl_task7[[คะแนนเต็ม]:[คะแนนเต็ม]]),"",(tbl_task7[156]/tbl_task7[[คะแนนเต็ม]:[คะแนนเต็ม]])*tbl_task7[[%]:[%]])</f>
        <v/>
      </c>
      <c r="LO4" s="121" t="str">
        <f>IF(ISBLANK(tbl_task7[[คะแนนเต็ม]:[คะแนนเต็ม]]),"",(tbl_task7[157]/tbl_task7[[คะแนนเต็ม]:[คะแนนเต็ม]])*tbl_task7[[%]:[%]])</f>
        <v/>
      </c>
      <c r="LP4" s="121" t="str">
        <f>IF(ISBLANK(tbl_task7[[คะแนนเต็ม]:[คะแนนเต็ม]]),"",(tbl_task7[158]/tbl_task7[[คะแนนเต็ม]:[คะแนนเต็ม]])*tbl_task7[[%]:[%]])</f>
        <v/>
      </c>
      <c r="LQ4" s="121" t="str">
        <f>IF(ISBLANK(tbl_task7[[คะแนนเต็ม]:[คะแนนเต็ม]]),"",(tbl_task7[159]/tbl_task7[[คะแนนเต็ม]:[คะแนนเต็ม]])*tbl_task7[[%]:[%]])</f>
        <v/>
      </c>
      <c r="LR4" s="121" t="str">
        <f>IF(ISBLANK(tbl_task7[[คะแนนเต็ม]:[คะแนนเต็ม]]),"",(tbl_task7[160]/tbl_task7[[คะแนนเต็ม]:[คะแนนเต็ม]])*tbl_task7[[%]:[%]])</f>
        <v/>
      </c>
      <c r="LS4" s="121" t="str">
        <f>IF(ISBLANK(tbl_task7[[คะแนนเต็ม]:[คะแนนเต็ม]]),"",(tbl_task7[161]/tbl_task7[[คะแนนเต็ม]:[คะแนนเต็ม]])*tbl_task7[[%]:[%]])</f>
        <v/>
      </c>
      <c r="LT4" s="121" t="str">
        <f>IF(ISBLANK(tbl_task7[[คะแนนเต็ม]:[คะแนนเต็ม]]),"",(tbl_task7[162]/tbl_task7[[คะแนนเต็ม]:[คะแนนเต็ม]])*tbl_task7[[%]:[%]])</f>
        <v/>
      </c>
      <c r="LU4" s="121" t="str">
        <f>IF(ISBLANK(tbl_task7[[คะแนนเต็ม]:[คะแนนเต็ม]]),"",(tbl_task7[163]/tbl_task7[[คะแนนเต็ม]:[คะแนนเต็ม]])*tbl_task7[[%]:[%]])</f>
        <v/>
      </c>
      <c r="LV4" s="121" t="str">
        <f>IF(ISBLANK(tbl_task7[[คะแนนเต็ม]:[คะแนนเต็ม]]),"",(tbl_task7[164]/tbl_task7[[คะแนนเต็ม]:[คะแนนเต็ม]])*tbl_task7[[%]:[%]])</f>
        <v/>
      </c>
      <c r="LW4" s="121" t="str">
        <f>IF(ISBLANK(tbl_task7[[คะแนนเต็ม]:[คะแนนเต็ม]]),"",(tbl_task7[165]/tbl_task7[[คะแนนเต็ม]:[คะแนนเต็ม]])*tbl_task7[[%]:[%]])</f>
        <v/>
      </c>
    </row>
    <row r="5" spans="1:335" ht="23.25" customHeight="1" x14ac:dyDescent="0.25">
      <c r="A5" s="24">
        <v>2</v>
      </c>
      <c r="B5" s="20"/>
      <c r="C5" s="5" t="str">
        <f>IF(ISBLANK(B5),"",VLOOKUP(B5,tbl_PLOs[],2,0))</f>
        <v/>
      </c>
      <c r="D5" s="102"/>
      <c r="E5" s="10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22"/>
      <c r="FO5" s="121" t="str">
        <f>IF(ISBLANK(tbl_task7[[คะแนนเต็ม]:[คะแนนเต็ม]]),"",(tbl_task7[1]/tbl_task7[[คะแนนเต็ม]:[คะแนนเต็ม]])*tbl_task7[[%]:[%]])</f>
        <v/>
      </c>
      <c r="FP5" s="121" t="str">
        <f>IF(ISBLANK(tbl_task7[[คะแนนเต็ม]:[คะแนนเต็ม]]),"",(tbl_task7[2]/tbl_task7[[คะแนนเต็ม]:[คะแนนเต็ม]])*tbl_task7[[%]:[%]])</f>
        <v/>
      </c>
      <c r="FQ5" s="121" t="str">
        <f>IF(ISBLANK(tbl_task7[[คะแนนเต็ม]:[คะแนนเต็ม]]),"",(tbl_task7[3]/tbl_task7[[คะแนนเต็ม]:[คะแนนเต็ม]])*tbl_task7[[%]:[%]])</f>
        <v/>
      </c>
      <c r="FR5" s="121" t="str">
        <f>IF(ISBLANK(tbl_task7[[คะแนนเต็ม]:[คะแนนเต็ม]]),"",(tbl_task7[4]/tbl_task7[[คะแนนเต็ม]:[คะแนนเต็ม]])*tbl_task7[[%]:[%]])</f>
        <v/>
      </c>
      <c r="FS5" s="121" t="str">
        <f>IF(ISBLANK(tbl_task7[[คะแนนเต็ม]:[คะแนนเต็ม]]),"",(tbl_task7[5]/tbl_task7[[คะแนนเต็ม]:[คะแนนเต็ม]])*tbl_task7[[%]:[%]])</f>
        <v/>
      </c>
      <c r="FT5" s="121" t="str">
        <f>IF(ISBLANK(tbl_task7[[คะแนนเต็ม]:[คะแนนเต็ม]]),"",(tbl_task7[6]/tbl_task7[[คะแนนเต็ม]:[คะแนนเต็ม]])*tbl_task7[[%]:[%]])</f>
        <v/>
      </c>
      <c r="FU5" s="121" t="str">
        <f>IF(ISBLANK(tbl_task7[[คะแนนเต็ม]:[คะแนนเต็ม]]),"",(tbl_task7[7]/tbl_task7[[คะแนนเต็ม]:[คะแนนเต็ม]])*tbl_task7[[%]:[%]])</f>
        <v/>
      </c>
      <c r="FV5" s="121" t="str">
        <f>IF(ISBLANK(tbl_task7[[คะแนนเต็ม]:[คะแนนเต็ม]]),"",(tbl_task7[8]/tbl_task7[[คะแนนเต็ม]:[คะแนนเต็ม]])*tbl_task7[[%]:[%]])</f>
        <v/>
      </c>
      <c r="FW5" s="121" t="str">
        <f>IF(ISBLANK(tbl_task7[[คะแนนเต็ม]:[คะแนนเต็ม]]),"",(tbl_task7[9]/tbl_task7[[คะแนนเต็ม]:[คะแนนเต็ม]])*tbl_task7[[%]:[%]])</f>
        <v/>
      </c>
      <c r="FX5" s="121" t="str">
        <f>IF(ISBLANK(tbl_task7[[คะแนนเต็ม]:[คะแนนเต็ม]]),"",(tbl_task7[10]/tbl_task7[[คะแนนเต็ม]:[คะแนนเต็ม]])*tbl_task7[[%]:[%]])</f>
        <v/>
      </c>
      <c r="FY5" s="121" t="str">
        <f>IF(ISBLANK(tbl_task7[[คะแนนเต็ม]:[คะแนนเต็ม]]),"",(tbl_task7[11]/tbl_task7[[คะแนนเต็ม]:[คะแนนเต็ม]])*tbl_task7[[%]:[%]])</f>
        <v/>
      </c>
      <c r="FZ5" s="121" t="str">
        <f>IF(ISBLANK(tbl_task7[[คะแนนเต็ม]:[คะแนนเต็ม]]),"",(tbl_task7[12]/tbl_task7[[คะแนนเต็ม]:[คะแนนเต็ม]])*tbl_task7[[%]:[%]])</f>
        <v/>
      </c>
      <c r="GA5" s="121" t="str">
        <f>IF(ISBLANK(tbl_task7[[คะแนนเต็ม]:[คะแนนเต็ม]]),"",(tbl_task7[13]/tbl_task7[[คะแนนเต็ม]:[คะแนนเต็ม]])*tbl_task7[[%]:[%]])</f>
        <v/>
      </c>
      <c r="GB5" s="121" t="str">
        <f>IF(ISBLANK(tbl_task7[[คะแนนเต็ม]:[คะแนนเต็ม]]),"",(tbl_task7[14]/tbl_task7[[คะแนนเต็ม]:[คะแนนเต็ม]])*tbl_task7[[%]:[%]])</f>
        <v/>
      </c>
      <c r="GC5" s="121" t="str">
        <f>IF(ISBLANK(tbl_task7[[คะแนนเต็ม]:[คะแนนเต็ม]]),"",(tbl_task7[15]/tbl_task7[[คะแนนเต็ม]:[คะแนนเต็ม]])*tbl_task7[[%]:[%]])</f>
        <v/>
      </c>
      <c r="GD5" s="121" t="str">
        <f>IF(ISBLANK(tbl_task7[[คะแนนเต็ม]:[คะแนนเต็ม]]),"",(tbl_task7[16]/tbl_task7[[คะแนนเต็ม]:[คะแนนเต็ม]])*tbl_task7[[%]:[%]])</f>
        <v/>
      </c>
      <c r="GE5" s="121" t="str">
        <f>IF(ISBLANK(tbl_task7[[คะแนนเต็ม]:[คะแนนเต็ม]]),"",(tbl_task7[17]/tbl_task7[[คะแนนเต็ม]:[คะแนนเต็ม]])*tbl_task7[[%]:[%]])</f>
        <v/>
      </c>
      <c r="GF5" s="121" t="str">
        <f>IF(ISBLANK(tbl_task7[[คะแนนเต็ม]:[คะแนนเต็ม]]),"",(tbl_task7[18]/tbl_task7[[คะแนนเต็ม]:[คะแนนเต็ม]])*tbl_task7[[%]:[%]])</f>
        <v/>
      </c>
      <c r="GG5" s="121" t="str">
        <f>IF(ISBLANK(tbl_task7[[คะแนนเต็ม]:[คะแนนเต็ม]]),"",(tbl_task7[19]/tbl_task7[[คะแนนเต็ม]:[คะแนนเต็ม]])*tbl_task7[[%]:[%]])</f>
        <v/>
      </c>
      <c r="GH5" s="121" t="str">
        <f>IF(ISBLANK(tbl_task7[[คะแนนเต็ม]:[คะแนนเต็ม]]),"",(tbl_task7[20]/tbl_task7[[คะแนนเต็ม]:[คะแนนเต็ม]])*tbl_task7[[%]:[%]])</f>
        <v/>
      </c>
      <c r="GI5" s="121" t="str">
        <f>IF(ISBLANK(tbl_task7[[คะแนนเต็ม]:[คะแนนเต็ม]]),"",(tbl_task7[21]/tbl_task7[[คะแนนเต็ม]:[คะแนนเต็ม]])*tbl_task7[[%]:[%]])</f>
        <v/>
      </c>
      <c r="GJ5" s="121" t="str">
        <f>IF(ISBLANK(tbl_task7[[คะแนนเต็ม]:[คะแนนเต็ม]]),"",(tbl_task7[22]/tbl_task7[[คะแนนเต็ม]:[คะแนนเต็ม]])*tbl_task7[[%]:[%]])</f>
        <v/>
      </c>
      <c r="GK5" s="121" t="str">
        <f>IF(ISBLANK(tbl_task7[[คะแนนเต็ม]:[คะแนนเต็ม]]),"",(tbl_task7[23]/tbl_task7[[คะแนนเต็ม]:[คะแนนเต็ม]])*tbl_task7[[%]:[%]])</f>
        <v/>
      </c>
      <c r="GL5" s="121" t="str">
        <f>IF(ISBLANK(tbl_task7[[คะแนนเต็ม]:[คะแนนเต็ม]]),"",(tbl_task7[24]/tbl_task7[[คะแนนเต็ม]:[คะแนนเต็ม]])*tbl_task7[[%]:[%]])</f>
        <v/>
      </c>
      <c r="GM5" s="121" t="str">
        <f>IF(ISBLANK(tbl_task7[[คะแนนเต็ม]:[คะแนนเต็ม]]),"",(tbl_task7[25]/tbl_task7[[คะแนนเต็ม]:[คะแนนเต็ม]])*tbl_task7[[%]:[%]])</f>
        <v/>
      </c>
      <c r="GN5" s="121" t="str">
        <f>IF(ISBLANK(tbl_task7[[คะแนนเต็ม]:[คะแนนเต็ม]]),"",(tbl_task7[26]/tbl_task7[[คะแนนเต็ม]:[คะแนนเต็ม]])*tbl_task7[[%]:[%]])</f>
        <v/>
      </c>
      <c r="GO5" s="121" t="str">
        <f>IF(ISBLANK(tbl_task7[[คะแนนเต็ม]:[คะแนนเต็ม]]),"",(tbl_task7[27]/tbl_task7[[คะแนนเต็ม]:[คะแนนเต็ม]])*tbl_task7[[%]:[%]])</f>
        <v/>
      </c>
      <c r="GP5" s="121" t="str">
        <f>IF(ISBLANK(tbl_task7[[คะแนนเต็ม]:[คะแนนเต็ม]]),"",(tbl_task7[28]/tbl_task7[[คะแนนเต็ม]:[คะแนนเต็ม]])*tbl_task7[[%]:[%]])</f>
        <v/>
      </c>
      <c r="GQ5" s="121" t="str">
        <f>IF(ISBLANK(tbl_task7[[คะแนนเต็ม]:[คะแนนเต็ม]]),"",(tbl_task7[29]/tbl_task7[[คะแนนเต็ม]:[คะแนนเต็ม]])*tbl_task7[[%]:[%]])</f>
        <v/>
      </c>
      <c r="GR5" s="121" t="str">
        <f>IF(ISBLANK(tbl_task7[[คะแนนเต็ม]:[คะแนนเต็ม]]),"",(tbl_task7[30]/tbl_task7[[คะแนนเต็ม]:[คะแนนเต็ม]])*tbl_task7[[%]:[%]])</f>
        <v/>
      </c>
      <c r="GS5" s="121" t="str">
        <f>IF(ISBLANK(tbl_task7[[คะแนนเต็ม]:[คะแนนเต็ม]]),"",(tbl_task7[31]/tbl_task7[[คะแนนเต็ม]:[คะแนนเต็ม]])*tbl_task7[[%]:[%]])</f>
        <v/>
      </c>
      <c r="GT5" s="121" t="str">
        <f>IF(ISBLANK(tbl_task7[[คะแนนเต็ม]:[คะแนนเต็ม]]),"",(tbl_task7[32]/tbl_task7[[คะแนนเต็ม]:[คะแนนเต็ม]])*tbl_task7[[%]:[%]])</f>
        <v/>
      </c>
      <c r="GU5" s="121" t="str">
        <f>IF(ISBLANK(tbl_task7[[คะแนนเต็ม]:[คะแนนเต็ม]]),"",(tbl_task7[33]/tbl_task7[[คะแนนเต็ม]:[คะแนนเต็ม]])*tbl_task7[[%]:[%]])</f>
        <v/>
      </c>
      <c r="GV5" s="121" t="str">
        <f>IF(ISBLANK(tbl_task7[[คะแนนเต็ม]:[คะแนนเต็ม]]),"",(tbl_task7[34]/tbl_task7[[คะแนนเต็ม]:[คะแนนเต็ม]])*tbl_task7[[%]:[%]])</f>
        <v/>
      </c>
      <c r="GW5" s="121" t="str">
        <f>IF(ISBLANK(tbl_task7[[คะแนนเต็ม]:[คะแนนเต็ม]]),"",(tbl_task7[35]/tbl_task7[[คะแนนเต็ม]:[คะแนนเต็ม]])*tbl_task7[[%]:[%]])</f>
        <v/>
      </c>
      <c r="GX5" s="121" t="str">
        <f>IF(ISBLANK(tbl_task7[[คะแนนเต็ม]:[คะแนนเต็ม]]),"",(tbl_task7[36]/tbl_task7[[คะแนนเต็ม]:[คะแนนเต็ม]])*tbl_task7[[%]:[%]])</f>
        <v/>
      </c>
      <c r="GY5" s="121" t="str">
        <f>IF(ISBLANK(tbl_task7[[คะแนนเต็ม]:[คะแนนเต็ม]]),"",(tbl_task7[37]/tbl_task7[[คะแนนเต็ม]:[คะแนนเต็ม]])*tbl_task7[[%]:[%]])</f>
        <v/>
      </c>
      <c r="GZ5" s="121" t="str">
        <f>IF(ISBLANK(tbl_task7[[คะแนนเต็ม]:[คะแนนเต็ม]]),"",(tbl_task7[38]/tbl_task7[[คะแนนเต็ม]:[คะแนนเต็ม]])*tbl_task7[[%]:[%]])</f>
        <v/>
      </c>
      <c r="HA5" s="121" t="str">
        <f>IF(ISBLANK(tbl_task7[[คะแนนเต็ม]:[คะแนนเต็ม]]),"",(tbl_task7[39]/tbl_task7[[คะแนนเต็ม]:[คะแนนเต็ม]])*tbl_task7[[%]:[%]])</f>
        <v/>
      </c>
      <c r="HB5" s="121" t="str">
        <f>IF(ISBLANK(tbl_task7[[คะแนนเต็ม]:[คะแนนเต็ม]]),"",(tbl_task7[40]/tbl_task7[[คะแนนเต็ม]:[คะแนนเต็ม]])*tbl_task7[[%]:[%]])</f>
        <v/>
      </c>
      <c r="HC5" s="121" t="str">
        <f>IF(ISBLANK(tbl_task7[[คะแนนเต็ม]:[คะแนนเต็ม]]),"",(tbl_task7[41]/tbl_task7[[คะแนนเต็ม]:[คะแนนเต็ม]])*tbl_task7[[%]:[%]])</f>
        <v/>
      </c>
      <c r="HD5" s="121" t="str">
        <f>IF(ISBLANK(tbl_task7[[คะแนนเต็ม]:[คะแนนเต็ม]]),"",(tbl_task7[42]/tbl_task7[[คะแนนเต็ม]:[คะแนนเต็ม]])*tbl_task7[[%]:[%]])</f>
        <v/>
      </c>
      <c r="HE5" s="121" t="str">
        <f>IF(ISBLANK(tbl_task7[[คะแนนเต็ม]:[คะแนนเต็ม]]),"",(tbl_task7[43]/tbl_task7[[คะแนนเต็ม]:[คะแนนเต็ม]])*tbl_task7[[%]:[%]])</f>
        <v/>
      </c>
      <c r="HF5" s="121" t="str">
        <f>IF(ISBLANK(tbl_task7[[คะแนนเต็ม]:[คะแนนเต็ม]]),"",(tbl_task7[44]/tbl_task7[[คะแนนเต็ม]:[คะแนนเต็ม]])*tbl_task7[[%]:[%]])</f>
        <v/>
      </c>
      <c r="HG5" s="121" t="str">
        <f>IF(ISBLANK(tbl_task7[[คะแนนเต็ม]:[คะแนนเต็ม]]),"",(tbl_task7[45]/tbl_task7[[คะแนนเต็ม]:[คะแนนเต็ม]])*tbl_task7[[%]:[%]])</f>
        <v/>
      </c>
      <c r="HH5" s="121" t="str">
        <f>IF(ISBLANK(tbl_task7[[คะแนนเต็ม]:[คะแนนเต็ม]]),"",(tbl_task7[46]/tbl_task7[[คะแนนเต็ม]:[คะแนนเต็ม]])*tbl_task7[[%]:[%]])</f>
        <v/>
      </c>
      <c r="HI5" s="121" t="str">
        <f>IF(ISBLANK(tbl_task7[[คะแนนเต็ม]:[คะแนนเต็ม]]),"",(tbl_task7[47]/tbl_task7[[คะแนนเต็ม]:[คะแนนเต็ม]])*tbl_task7[[%]:[%]])</f>
        <v/>
      </c>
      <c r="HJ5" s="121" t="str">
        <f>IF(ISBLANK(tbl_task7[[คะแนนเต็ม]:[คะแนนเต็ม]]),"",(tbl_task7[48]/tbl_task7[[คะแนนเต็ม]:[คะแนนเต็ม]])*tbl_task7[[%]:[%]])</f>
        <v/>
      </c>
      <c r="HK5" s="121" t="str">
        <f>IF(ISBLANK(tbl_task7[[คะแนนเต็ม]:[คะแนนเต็ม]]),"",(tbl_task7[49]/tbl_task7[[คะแนนเต็ม]:[คะแนนเต็ม]])*tbl_task7[[%]:[%]])</f>
        <v/>
      </c>
      <c r="HL5" s="121" t="str">
        <f>IF(ISBLANK(tbl_task7[[คะแนนเต็ม]:[คะแนนเต็ม]]),"",(tbl_task7[50]/tbl_task7[[คะแนนเต็ม]:[คะแนนเต็ม]])*tbl_task7[[%]:[%]])</f>
        <v/>
      </c>
      <c r="HM5" s="121" t="str">
        <f>IF(ISBLANK(tbl_task7[[คะแนนเต็ม]:[คะแนนเต็ม]]),"",(tbl_task7[51]/tbl_task7[[คะแนนเต็ม]:[คะแนนเต็ม]])*tbl_task7[[%]:[%]])</f>
        <v/>
      </c>
      <c r="HN5" s="121" t="str">
        <f>IF(ISBLANK(tbl_task7[[คะแนนเต็ม]:[คะแนนเต็ม]]),"",(tbl_task7[52]/tbl_task7[[คะแนนเต็ม]:[คะแนนเต็ม]])*tbl_task7[[%]:[%]])</f>
        <v/>
      </c>
      <c r="HO5" s="121" t="str">
        <f>IF(ISBLANK(tbl_task7[[คะแนนเต็ม]:[คะแนนเต็ม]]),"",(tbl_task7[53]/tbl_task7[[คะแนนเต็ม]:[คะแนนเต็ม]])*tbl_task7[[%]:[%]])</f>
        <v/>
      </c>
      <c r="HP5" s="121" t="str">
        <f>IF(ISBLANK(tbl_task7[[คะแนนเต็ม]:[คะแนนเต็ม]]),"",(tbl_task7[54]/tbl_task7[[คะแนนเต็ม]:[คะแนนเต็ม]])*tbl_task7[[%]:[%]])</f>
        <v/>
      </c>
      <c r="HQ5" s="121" t="str">
        <f>IF(ISBLANK(tbl_task7[[คะแนนเต็ม]:[คะแนนเต็ม]]),"",(tbl_task7[55]/tbl_task7[[คะแนนเต็ม]:[คะแนนเต็ม]])*tbl_task7[[%]:[%]])</f>
        <v/>
      </c>
      <c r="HR5" s="121" t="str">
        <f>IF(ISBLANK(tbl_task7[[คะแนนเต็ม]:[คะแนนเต็ม]]),"",(tbl_task7[56]/tbl_task7[[คะแนนเต็ม]:[คะแนนเต็ม]])*tbl_task7[[%]:[%]])</f>
        <v/>
      </c>
      <c r="HS5" s="121" t="str">
        <f>IF(ISBLANK(tbl_task7[[คะแนนเต็ม]:[คะแนนเต็ม]]),"",(tbl_task7[57]/tbl_task7[[คะแนนเต็ม]:[คะแนนเต็ม]])*tbl_task7[[%]:[%]])</f>
        <v/>
      </c>
      <c r="HT5" s="121" t="str">
        <f>IF(ISBLANK(tbl_task7[[คะแนนเต็ม]:[คะแนนเต็ม]]),"",(tbl_task7[58]/tbl_task7[[คะแนนเต็ม]:[คะแนนเต็ม]])*tbl_task7[[%]:[%]])</f>
        <v/>
      </c>
      <c r="HU5" s="121" t="str">
        <f>IF(ISBLANK(tbl_task7[[คะแนนเต็ม]:[คะแนนเต็ม]]),"",(tbl_task7[59]/tbl_task7[[คะแนนเต็ม]:[คะแนนเต็ม]])*tbl_task7[[%]:[%]])</f>
        <v/>
      </c>
      <c r="HV5" s="121" t="str">
        <f>IF(ISBLANK(tbl_task7[[คะแนนเต็ม]:[คะแนนเต็ม]]),"",(tbl_task7[60]/tbl_task7[[คะแนนเต็ม]:[คะแนนเต็ม]])*tbl_task7[[%]:[%]])</f>
        <v/>
      </c>
      <c r="HW5" s="121" t="str">
        <f>IF(ISBLANK(tbl_task7[[คะแนนเต็ม]:[คะแนนเต็ม]]),"",(tbl_task7[61]/tbl_task7[[คะแนนเต็ม]:[คะแนนเต็ม]])*tbl_task7[[%]:[%]])</f>
        <v/>
      </c>
      <c r="HX5" s="121" t="str">
        <f>IF(ISBLANK(tbl_task7[[คะแนนเต็ม]:[คะแนนเต็ม]]),"",(tbl_task7[62]/tbl_task7[[คะแนนเต็ม]:[คะแนนเต็ม]])*tbl_task7[[%]:[%]])</f>
        <v/>
      </c>
      <c r="HY5" s="121" t="str">
        <f>IF(ISBLANK(tbl_task7[[คะแนนเต็ม]:[คะแนนเต็ม]]),"",(tbl_task7[63]/tbl_task7[[คะแนนเต็ม]:[คะแนนเต็ม]])*tbl_task7[[%]:[%]])</f>
        <v/>
      </c>
      <c r="HZ5" s="121" t="str">
        <f>IF(ISBLANK(tbl_task7[[คะแนนเต็ม]:[คะแนนเต็ม]]),"",(tbl_task7[64]/tbl_task7[[คะแนนเต็ม]:[คะแนนเต็ม]])*tbl_task7[[%]:[%]])</f>
        <v/>
      </c>
      <c r="IA5" s="121" t="str">
        <f>IF(ISBLANK(tbl_task7[[คะแนนเต็ม]:[คะแนนเต็ม]]),"",(tbl_task7[65]/tbl_task7[[คะแนนเต็ม]:[คะแนนเต็ม]])*tbl_task7[[%]:[%]])</f>
        <v/>
      </c>
      <c r="IB5" s="121" t="str">
        <f>IF(ISBLANK(tbl_task7[[คะแนนเต็ม]:[คะแนนเต็ม]]),"",(tbl_task7[66]/tbl_task7[[คะแนนเต็ม]:[คะแนนเต็ม]])*tbl_task7[[%]:[%]])</f>
        <v/>
      </c>
      <c r="IC5" s="121" t="str">
        <f>IF(ISBLANK(tbl_task7[[คะแนนเต็ม]:[คะแนนเต็ม]]),"",(tbl_task7[67]/tbl_task7[[คะแนนเต็ม]:[คะแนนเต็ม]])*tbl_task7[[%]:[%]])</f>
        <v/>
      </c>
      <c r="ID5" s="121" t="str">
        <f>IF(ISBLANK(tbl_task7[[คะแนนเต็ม]:[คะแนนเต็ม]]),"",(tbl_task7[68]/tbl_task7[[คะแนนเต็ม]:[คะแนนเต็ม]])*tbl_task7[[%]:[%]])</f>
        <v/>
      </c>
      <c r="IE5" s="121" t="str">
        <f>IF(ISBLANK(tbl_task7[[คะแนนเต็ม]:[คะแนนเต็ม]]),"",(tbl_task7[69]/tbl_task7[[คะแนนเต็ม]:[คะแนนเต็ม]])*tbl_task7[[%]:[%]])</f>
        <v/>
      </c>
      <c r="IF5" s="121" t="str">
        <f>IF(ISBLANK(tbl_task7[[คะแนนเต็ม]:[คะแนนเต็ม]]),"",(tbl_task7[70]/tbl_task7[[คะแนนเต็ม]:[คะแนนเต็ม]])*tbl_task7[[%]:[%]])</f>
        <v/>
      </c>
      <c r="IG5" s="121" t="str">
        <f>IF(ISBLANK(tbl_task7[[คะแนนเต็ม]:[คะแนนเต็ม]]),"",(tbl_task7[71]/tbl_task7[[คะแนนเต็ม]:[คะแนนเต็ม]])*tbl_task7[[%]:[%]])</f>
        <v/>
      </c>
      <c r="IH5" s="121" t="str">
        <f>IF(ISBLANK(tbl_task7[[คะแนนเต็ม]:[คะแนนเต็ม]]),"",(tbl_task7[72]/tbl_task7[[คะแนนเต็ม]:[คะแนนเต็ม]])*tbl_task7[[%]:[%]])</f>
        <v/>
      </c>
      <c r="II5" s="121" t="str">
        <f>IF(ISBLANK(tbl_task7[[คะแนนเต็ม]:[คะแนนเต็ม]]),"",(tbl_task7[73]/tbl_task7[[คะแนนเต็ม]:[คะแนนเต็ม]])*tbl_task7[[%]:[%]])</f>
        <v/>
      </c>
      <c r="IJ5" s="121" t="str">
        <f>IF(ISBLANK(tbl_task7[[คะแนนเต็ม]:[คะแนนเต็ม]]),"",(tbl_task7[74]/tbl_task7[[คะแนนเต็ม]:[คะแนนเต็ม]])*tbl_task7[[%]:[%]])</f>
        <v/>
      </c>
      <c r="IK5" s="121" t="str">
        <f>IF(ISBLANK(tbl_task7[[คะแนนเต็ม]:[คะแนนเต็ม]]),"",(tbl_task7[75]/tbl_task7[[คะแนนเต็ม]:[คะแนนเต็ม]])*tbl_task7[[%]:[%]])</f>
        <v/>
      </c>
      <c r="IL5" s="121" t="str">
        <f>IF(ISBLANK(tbl_task7[[คะแนนเต็ม]:[คะแนนเต็ม]]),"",(tbl_task7[76]/tbl_task7[[คะแนนเต็ม]:[คะแนนเต็ม]])*tbl_task7[[%]:[%]])</f>
        <v/>
      </c>
      <c r="IM5" s="121" t="str">
        <f>IF(ISBLANK(tbl_task7[[คะแนนเต็ม]:[คะแนนเต็ม]]),"",(tbl_task7[77]/tbl_task7[[คะแนนเต็ม]:[คะแนนเต็ม]])*tbl_task7[[%]:[%]])</f>
        <v/>
      </c>
      <c r="IN5" s="121" t="str">
        <f>IF(ISBLANK(tbl_task7[[คะแนนเต็ม]:[คะแนนเต็ม]]),"",(tbl_task7[78]/tbl_task7[[คะแนนเต็ม]:[คะแนนเต็ม]])*tbl_task7[[%]:[%]])</f>
        <v/>
      </c>
      <c r="IO5" s="121" t="str">
        <f>IF(ISBLANK(tbl_task7[[คะแนนเต็ม]:[คะแนนเต็ม]]),"",(tbl_task7[79]/tbl_task7[[คะแนนเต็ม]:[คะแนนเต็ม]])*tbl_task7[[%]:[%]])</f>
        <v/>
      </c>
      <c r="IP5" s="121" t="str">
        <f>IF(ISBLANK(tbl_task7[[คะแนนเต็ม]:[คะแนนเต็ม]]),"",(tbl_task7[80]/tbl_task7[[คะแนนเต็ม]:[คะแนนเต็ม]])*tbl_task7[[%]:[%]])</f>
        <v/>
      </c>
      <c r="IQ5" s="121" t="str">
        <f>IF(ISBLANK(tbl_task7[[คะแนนเต็ม]:[คะแนนเต็ม]]),"",(tbl_task7[81]/tbl_task7[[คะแนนเต็ม]:[คะแนนเต็ม]])*tbl_task7[[%]:[%]])</f>
        <v/>
      </c>
      <c r="IR5" s="121" t="str">
        <f>IF(ISBLANK(tbl_task7[[คะแนนเต็ม]:[คะแนนเต็ม]]),"",(tbl_task7[82]/tbl_task7[[คะแนนเต็ม]:[คะแนนเต็ม]])*tbl_task7[[%]:[%]])</f>
        <v/>
      </c>
      <c r="IS5" s="121" t="str">
        <f>IF(ISBLANK(tbl_task7[[คะแนนเต็ม]:[คะแนนเต็ม]]),"",(tbl_task7[83]/tbl_task7[[คะแนนเต็ม]:[คะแนนเต็ม]])*tbl_task7[[%]:[%]])</f>
        <v/>
      </c>
      <c r="IT5" s="121" t="str">
        <f>IF(ISBLANK(tbl_task7[[คะแนนเต็ม]:[คะแนนเต็ม]]),"",(tbl_task7[84]/tbl_task7[[คะแนนเต็ม]:[คะแนนเต็ม]])*tbl_task7[[%]:[%]])</f>
        <v/>
      </c>
      <c r="IU5" s="121" t="str">
        <f>IF(ISBLANK(tbl_task7[[คะแนนเต็ม]:[คะแนนเต็ม]]),"",(tbl_task7[85]/tbl_task7[[คะแนนเต็ม]:[คะแนนเต็ม]])*tbl_task7[[%]:[%]])</f>
        <v/>
      </c>
      <c r="IV5" s="121" t="str">
        <f>IF(ISBLANK(tbl_task7[[คะแนนเต็ม]:[คะแนนเต็ม]]),"",(tbl_task7[86]/tbl_task7[[คะแนนเต็ม]:[คะแนนเต็ม]])*tbl_task7[[%]:[%]])</f>
        <v/>
      </c>
      <c r="IW5" s="121" t="str">
        <f>IF(ISBLANK(tbl_task7[[คะแนนเต็ม]:[คะแนนเต็ม]]),"",(tbl_task7[87]/tbl_task7[[คะแนนเต็ม]:[คะแนนเต็ม]])*tbl_task7[[%]:[%]])</f>
        <v/>
      </c>
      <c r="IX5" s="121" t="str">
        <f>IF(ISBLANK(tbl_task7[[คะแนนเต็ม]:[คะแนนเต็ม]]),"",(tbl_task7[88]/tbl_task7[[คะแนนเต็ม]:[คะแนนเต็ม]])*tbl_task7[[%]:[%]])</f>
        <v/>
      </c>
      <c r="IY5" s="121" t="str">
        <f>IF(ISBLANK(tbl_task7[[คะแนนเต็ม]:[คะแนนเต็ม]]),"",(tbl_task7[89]/tbl_task7[[คะแนนเต็ม]:[คะแนนเต็ม]])*tbl_task7[[%]:[%]])</f>
        <v/>
      </c>
      <c r="IZ5" s="121" t="str">
        <f>IF(ISBLANK(tbl_task7[[คะแนนเต็ม]:[คะแนนเต็ม]]),"",(tbl_task7[90]/tbl_task7[[คะแนนเต็ม]:[คะแนนเต็ม]])*tbl_task7[[%]:[%]])</f>
        <v/>
      </c>
      <c r="JA5" s="121" t="str">
        <f>IF(ISBLANK(tbl_task7[[คะแนนเต็ม]:[คะแนนเต็ม]]),"",(tbl_task7[91]/tbl_task7[[คะแนนเต็ม]:[คะแนนเต็ม]])*tbl_task7[[%]:[%]])</f>
        <v/>
      </c>
      <c r="JB5" s="121" t="str">
        <f>IF(ISBLANK(tbl_task7[[คะแนนเต็ม]:[คะแนนเต็ม]]),"",(tbl_task7[92]/tbl_task7[[คะแนนเต็ม]:[คะแนนเต็ม]])*tbl_task7[[%]:[%]])</f>
        <v/>
      </c>
      <c r="JC5" s="121" t="str">
        <f>IF(ISBLANK(tbl_task7[[คะแนนเต็ม]:[คะแนนเต็ม]]),"",(tbl_task7[93]/tbl_task7[[คะแนนเต็ม]:[คะแนนเต็ม]])*tbl_task7[[%]:[%]])</f>
        <v/>
      </c>
      <c r="JD5" s="121" t="str">
        <f>IF(ISBLANK(tbl_task7[[คะแนนเต็ม]:[คะแนนเต็ม]]),"",(tbl_task7[94]/tbl_task7[[คะแนนเต็ม]:[คะแนนเต็ม]])*tbl_task7[[%]:[%]])</f>
        <v/>
      </c>
      <c r="JE5" s="121" t="str">
        <f>IF(ISBLANK(tbl_task7[[คะแนนเต็ม]:[คะแนนเต็ม]]),"",(tbl_task7[95]/tbl_task7[[คะแนนเต็ม]:[คะแนนเต็ม]])*tbl_task7[[%]:[%]])</f>
        <v/>
      </c>
      <c r="JF5" s="121" t="str">
        <f>IF(ISBLANK(tbl_task7[[คะแนนเต็ม]:[คะแนนเต็ม]]),"",(tbl_task7[96]/tbl_task7[[คะแนนเต็ม]:[คะแนนเต็ม]])*tbl_task7[[%]:[%]])</f>
        <v/>
      </c>
      <c r="JG5" s="121" t="str">
        <f>IF(ISBLANK(tbl_task7[[คะแนนเต็ม]:[คะแนนเต็ม]]),"",(tbl_task7[97]/tbl_task7[[คะแนนเต็ม]:[คะแนนเต็ม]])*tbl_task7[[%]:[%]])</f>
        <v/>
      </c>
      <c r="JH5" s="121" t="str">
        <f>IF(ISBLANK(tbl_task7[[คะแนนเต็ม]:[คะแนนเต็ม]]),"",(tbl_task7[98]/tbl_task7[[คะแนนเต็ม]:[คะแนนเต็ม]])*tbl_task7[[%]:[%]])</f>
        <v/>
      </c>
      <c r="JI5" s="121" t="str">
        <f>IF(ISBLANK(tbl_task7[[คะแนนเต็ม]:[คะแนนเต็ม]]),"",(tbl_task7[99]/tbl_task7[[คะแนนเต็ม]:[คะแนนเต็ม]])*tbl_task7[[%]:[%]])</f>
        <v/>
      </c>
      <c r="JJ5" s="121" t="str">
        <f>IF(ISBLANK(tbl_task7[[คะแนนเต็ม]:[คะแนนเต็ม]]),"",(tbl_task7[100]/tbl_task7[[คะแนนเต็ม]:[คะแนนเต็ม]])*tbl_task7[[%]:[%]])</f>
        <v/>
      </c>
      <c r="JK5" s="121" t="str">
        <f>IF(ISBLANK(tbl_task7[[คะแนนเต็ม]:[คะแนนเต็ม]]),"",(tbl_task7[101]/tbl_task7[[คะแนนเต็ม]:[คะแนนเต็ม]])*tbl_task7[[%]:[%]])</f>
        <v/>
      </c>
      <c r="JL5" s="121" t="str">
        <f>IF(ISBLANK(tbl_task7[[คะแนนเต็ม]:[คะแนนเต็ม]]),"",(tbl_task7[102]/tbl_task7[[คะแนนเต็ม]:[คะแนนเต็ม]])*tbl_task7[[%]:[%]])</f>
        <v/>
      </c>
      <c r="JM5" s="121" t="str">
        <f>IF(ISBLANK(tbl_task7[[คะแนนเต็ม]:[คะแนนเต็ม]]),"",(tbl_task7[103]/tbl_task7[[คะแนนเต็ม]:[คะแนนเต็ม]])*tbl_task7[[%]:[%]])</f>
        <v/>
      </c>
      <c r="JN5" s="121" t="str">
        <f>IF(ISBLANK(tbl_task7[[คะแนนเต็ม]:[คะแนนเต็ม]]),"",(tbl_task7[104]/tbl_task7[[คะแนนเต็ม]:[คะแนนเต็ม]])*tbl_task7[[%]:[%]])</f>
        <v/>
      </c>
      <c r="JO5" s="121" t="str">
        <f>IF(ISBLANK(tbl_task7[[คะแนนเต็ม]:[คะแนนเต็ม]]),"",(tbl_task7[105]/tbl_task7[[คะแนนเต็ม]:[คะแนนเต็ม]])*tbl_task7[[%]:[%]])</f>
        <v/>
      </c>
      <c r="JP5" s="121" t="str">
        <f>IF(ISBLANK(tbl_task7[[คะแนนเต็ม]:[คะแนนเต็ม]]),"",(tbl_task7[106]/tbl_task7[[คะแนนเต็ม]:[คะแนนเต็ม]])*tbl_task7[[%]:[%]])</f>
        <v/>
      </c>
      <c r="JQ5" s="121" t="str">
        <f>IF(ISBLANK(tbl_task7[[คะแนนเต็ม]:[คะแนนเต็ม]]),"",(tbl_task7[107]/tbl_task7[[คะแนนเต็ม]:[คะแนนเต็ม]])*tbl_task7[[%]:[%]])</f>
        <v/>
      </c>
      <c r="JR5" s="121" t="str">
        <f>IF(ISBLANK(tbl_task7[[คะแนนเต็ม]:[คะแนนเต็ม]]),"",(tbl_task7[108]/tbl_task7[[คะแนนเต็ม]:[คะแนนเต็ม]])*tbl_task7[[%]:[%]])</f>
        <v/>
      </c>
      <c r="JS5" s="121" t="str">
        <f>IF(ISBLANK(tbl_task7[[คะแนนเต็ม]:[คะแนนเต็ม]]),"",(tbl_task7[109]/tbl_task7[[คะแนนเต็ม]:[คะแนนเต็ม]])*tbl_task7[[%]:[%]])</f>
        <v/>
      </c>
      <c r="JT5" s="121" t="str">
        <f>IF(ISBLANK(tbl_task7[[คะแนนเต็ม]:[คะแนนเต็ม]]),"",(tbl_task7[110]/tbl_task7[[คะแนนเต็ม]:[คะแนนเต็ม]])*tbl_task7[[%]:[%]])</f>
        <v/>
      </c>
      <c r="JU5" s="121" t="str">
        <f>IF(ISBLANK(tbl_task7[[คะแนนเต็ม]:[คะแนนเต็ม]]),"",(tbl_task7[111]/tbl_task7[[คะแนนเต็ม]:[คะแนนเต็ม]])*tbl_task7[[%]:[%]])</f>
        <v/>
      </c>
      <c r="JV5" s="121" t="str">
        <f>IF(ISBLANK(tbl_task7[[คะแนนเต็ม]:[คะแนนเต็ม]]),"",(tbl_task7[112]/tbl_task7[[คะแนนเต็ม]:[คะแนนเต็ม]])*tbl_task7[[%]:[%]])</f>
        <v/>
      </c>
      <c r="JW5" s="121" t="str">
        <f>IF(ISBLANK(tbl_task7[[คะแนนเต็ม]:[คะแนนเต็ม]]),"",(tbl_task7[113]/tbl_task7[[คะแนนเต็ม]:[คะแนนเต็ม]])*tbl_task7[[%]:[%]])</f>
        <v/>
      </c>
      <c r="JX5" s="121" t="str">
        <f>IF(ISBLANK(tbl_task7[[คะแนนเต็ม]:[คะแนนเต็ม]]),"",(tbl_task7[114]/tbl_task7[[คะแนนเต็ม]:[คะแนนเต็ม]])*tbl_task7[[%]:[%]])</f>
        <v/>
      </c>
      <c r="JY5" s="121" t="str">
        <f>IF(ISBLANK(tbl_task7[[คะแนนเต็ม]:[คะแนนเต็ม]]),"",(tbl_task7[115]/tbl_task7[[คะแนนเต็ม]:[คะแนนเต็ม]])*tbl_task7[[%]:[%]])</f>
        <v/>
      </c>
      <c r="JZ5" s="121" t="str">
        <f>IF(ISBLANK(tbl_task7[[คะแนนเต็ม]:[คะแนนเต็ม]]),"",(tbl_task7[116]/tbl_task7[[คะแนนเต็ม]:[คะแนนเต็ม]])*tbl_task7[[%]:[%]])</f>
        <v/>
      </c>
      <c r="KA5" s="121" t="str">
        <f>IF(ISBLANK(tbl_task7[[คะแนนเต็ม]:[คะแนนเต็ม]]),"",(tbl_task7[117]/tbl_task7[[คะแนนเต็ม]:[คะแนนเต็ม]])*tbl_task7[[%]:[%]])</f>
        <v/>
      </c>
      <c r="KB5" s="121" t="str">
        <f>IF(ISBLANK(tbl_task7[[คะแนนเต็ม]:[คะแนนเต็ม]]),"",(tbl_task7[118]/tbl_task7[[คะแนนเต็ม]:[คะแนนเต็ม]])*tbl_task7[[%]:[%]])</f>
        <v/>
      </c>
      <c r="KC5" s="121" t="str">
        <f>IF(ISBLANK(tbl_task7[[คะแนนเต็ม]:[คะแนนเต็ม]]),"",(tbl_task7[119]/tbl_task7[[คะแนนเต็ม]:[คะแนนเต็ม]])*tbl_task7[[%]:[%]])</f>
        <v/>
      </c>
      <c r="KD5" s="121" t="str">
        <f>IF(ISBLANK(tbl_task7[[คะแนนเต็ม]:[คะแนนเต็ม]]),"",(tbl_task7[120]/tbl_task7[[คะแนนเต็ม]:[คะแนนเต็ม]])*tbl_task7[[%]:[%]])</f>
        <v/>
      </c>
      <c r="KE5" s="121" t="str">
        <f>IF(ISBLANK(tbl_task7[[คะแนนเต็ม]:[คะแนนเต็ม]]),"",(tbl_task7[121]/tbl_task7[[คะแนนเต็ม]:[คะแนนเต็ม]])*tbl_task7[[%]:[%]])</f>
        <v/>
      </c>
      <c r="KF5" s="121" t="str">
        <f>IF(ISBLANK(tbl_task7[[คะแนนเต็ม]:[คะแนนเต็ม]]),"",(tbl_task7[122]/tbl_task7[[คะแนนเต็ม]:[คะแนนเต็ม]])*tbl_task7[[%]:[%]])</f>
        <v/>
      </c>
      <c r="KG5" s="121" t="str">
        <f>IF(ISBLANK(tbl_task7[[คะแนนเต็ม]:[คะแนนเต็ม]]),"",(tbl_task7[123]/tbl_task7[[คะแนนเต็ม]:[คะแนนเต็ม]])*tbl_task7[[%]:[%]])</f>
        <v/>
      </c>
      <c r="KH5" s="121" t="str">
        <f>IF(ISBLANK(tbl_task7[[คะแนนเต็ม]:[คะแนนเต็ม]]),"",(tbl_task7[124]/tbl_task7[[คะแนนเต็ม]:[คะแนนเต็ม]])*tbl_task7[[%]:[%]])</f>
        <v/>
      </c>
      <c r="KI5" s="121" t="str">
        <f>IF(ISBLANK(tbl_task7[[คะแนนเต็ม]:[คะแนนเต็ม]]),"",(tbl_task7[125]/tbl_task7[[คะแนนเต็ม]:[คะแนนเต็ม]])*tbl_task7[[%]:[%]])</f>
        <v/>
      </c>
      <c r="KJ5" s="121" t="str">
        <f>IF(ISBLANK(tbl_task7[[คะแนนเต็ม]:[คะแนนเต็ม]]),"",(tbl_task7[126]/tbl_task7[[คะแนนเต็ม]:[คะแนนเต็ม]])*tbl_task7[[%]:[%]])</f>
        <v/>
      </c>
      <c r="KK5" s="121" t="str">
        <f>IF(ISBLANK(tbl_task7[[คะแนนเต็ม]:[คะแนนเต็ม]]),"",(tbl_task7[127]/tbl_task7[[คะแนนเต็ม]:[คะแนนเต็ม]])*tbl_task7[[%]:[%]])</f>
        <v/>
      </c>
      <c r="KL5" s="121" t="str">
        <f>IF(ISBLANK(tbl_task7[[คะแนนเต็ม]:[คะแนนเต็ม]]),"",(tbl_task7[128]/tbl_task7[[คะแนนเต็ม]:[คะแนนเต็ม]])*tbl_task7[[%]:[%]])</f>
        <v/>
      </c>
      <c r="KM5" s="121" t="str">
        <f>IF(ISBLANK(tbl_task7[[คะแนนเต็ม]:[คะแนนเต็ม]]),"",(tbl_task7[129]/tbl_task7[[คะแนนเต็ม]:[คะแนนเต็ม]])*tbl_task7[[%]:[%]])</f>
        <v/>
      </c>
      <c r="KN5" s="121" t="str">
        <f>IF(ISBLANK(tbl_task7[[คะแนนเต็ม]:[คะแนนเต็ม]]),"",(tbl_task7[130]/tbl_task7[[คะแนนเต็ม]:[คะแนนเต็ม]])*tbl_task7[[%]:[%]])</f>
        <v/>
      </c>
      <c r="KO5" s="121" t="str">
        <f>IF(ISBLANK(tbl_task7[[คะแนนเต็ม]:[คะแนนเต็ม]]),"",(tbl_task7[131]/tbl_task7[[คะแนนเต็ม]:[คะแนนเต็ม]])*tbl_task7[[%]:[%]])</f>
        <v/>
      </c>
      <c r="KP5" s="121" t="str">
        <f>IF(ISBLANK(tbl_task7[[คะแนนเต็ม]:[คะแนนเต็ม]]),"",(tbl_task7[132]/tbl_task7[[คะแนนเต็ม]:[คะแนนเต็ม]])*tbl_task7[[%]:[%]])</f>
        <v/>
      </c>
      <c r="KQ5" s="121" t="str">
        <f>IF(ISBLANK(tbl_task7[[คะแนนเต็ม]:[คะแนนเต็ม]]),"",(tbl_task7[133]/tbl_task7[[คะแนนเต็ม]:[คะแนนเต็ม]])*tbl_task7[[%]:[%]])</f>
        <v/>
      </c>
      <c r="KR5" s="121" t="str">
        <f>IF(ISBLANK(tbl_task7[[คะแนนเต็ม]:[คะแนนเต็ม]]),"",(tbl_task7[134]/tbl_task7[[คะแนนเต็ม]:[คะแนนเต็ม]])*tbl_task7[[%]:[%]])</f>
        <v/>
      </c>
      <c r="KS5" s="121" t="str">
        <f>IF(ISBLANK(tbl_task7[[คะแนนเต็ม]:[คะแนนเต็ม]]),"",(tbl_task7[135]/tbl_task7[[คะแนนเต็ม]:[คะแนนเต็ม]])*tbl_task7[[%]:[%]])</f>
        <v/>
      </c>
      <c r="KT5" s="121" t="str">
        <f>IF(ISBLANK(tbl_task7[[คะแนนเต็ม]:[คะแนนเต็ม]]),"",(tbl_task7[136]/tbl_task7[[คะแนนเต็ม]:[คะแนนเต็ม]])*tbl_task7[[%]:[%]])</f>
        <v/>
      </c>
      <c r="KU5" s="121" t="str">
        <f>IF(ISBLANK(tbl_task7[[คะแนนเต็ม]:[คะแนนเต็ม]]),"",(tbl_task7[137]/tbl_task7[[คะแนนเต็ม]:[คะแนนเต็ม]])*tbl_task7[[%]:[%]])</f>
        <v/>
      </c>
      <c r="KV5" s="121" t="str">
        <f>IF(ISBLANK(tbl_task7[[คะแนนเต็ม]:[คะแนนเต็ม]]),"",(tbl_task7[138]/tbl_task7[[คะแนนเต็ม]:[คะแนนเต็ม]])*tbl_task7[[%]:[%]])</f>
        <v/>
      </c>
      <c r="KW5" s="121" t="str">
        <f>IF(ISBLANK(tbl_task7[[คะแนนเต็ม]:[คะแนนเต็ม]]),"",(tbl_task7[139]/tbl_task7[[คะแนนเต็ม]:[คะแนนเต็ม]])*tbl_task7[[%]:[%]])</f>
        <v/>
      </c>
      <c r="KX5" s="121" t="str">
        <f>IF(ISBLANK(tbl_task7[[คะแนนเต็ม]:[คะแนนเต็ม]]),"",(tbl_task7[140]/tbl_task7[[คะแนนเต็ม]:[คะแนนเต็ม]])*tbl_task7[[%]:[%]])</f>
        <v/>
      </c>
      <c r="KY5" s="121" t="str">
        <f>IF(ISBLANK(tbl_task7[[คะแนนเต็ม]:[คะแนนเต็ม]]),"",(tbl_task7[141]/tbl_task7[[คะแนนเต็ม]:[คะแนนเต็ม]])*tbl_task7[[%]:[%]])</f>
        <v/>
      </c>
      <c r="KZ5" s="121" t="str">
        <f>IF(ISBLANK(tbl_task7[[คะแนนเต็ม]:[คะแนนเต็ม]]),"",(tbl_task7[142]/tbl_task7[[คะแนนเต็ม]:[คะแนนเต็ม]])*tbl_task7[[%]:[%]])</f>
        <v/>
      </c>
      <c r="LA5" s="121" t="str">
        <f>IF(ISBLANK(tbl_task7[[คะแนนเต็ม]:[คะแนนเต็ม]]),"",(tbl_task7[143]/tbl_task7[[คะแนนเต็ม]:[คะแนนเต็ม]])*tbl_task7[[%]:[%]])</f>
        <v/>
      </c>
      <c r="LB5" s="121" t="str">
        <f>IF(ISBLANK(tbl_task7[[คะแนนเต็ม]:[คะแนนเต็ม]]),"",(tbl_task7[144]/tbl_task7[[คะแนนเต็ม]:[คะแนนเต็ม]])*tbl_task7[[%]:[%]])</f>
        <v/>
      </c>
      <c r="LC5" s="121" t="str">
        <f>IF(ISBLANK(tbl_task7[[คะแนนเต็ม]:[คะแนนเต็ม]]),"",(tbl_task7[145]/tbl_task7[[คะแนนเต็ม]:[คะแนนเต็ม]])*tbl_task7[[%]:[%]])</f>
        <v/>
      </c>
      <c r="LD5" s="121" t="str">
        <f>IF(ISBLANK(tbl_task7[[คะแนนเต็ม]:[คะแนนเต็ม]]),"",(tbl_task7[146]/tbl_task7[[คะแนนเต็ม]:[คะแนนเต็ม]])*tbl_task7[[%]:[%]])</f>
        <v/>
      </c>
      <c r="LE5" s="121" t="str">
        <f>IF(ISBLANK(tbl_task7[[คะแนนเต็ม]:[คะแนนเต็ม]]),"",(tbl_task7[147]/tbl_task7[[คะแนนเต็ม]:[คะแนนเต็ม]])*tbl_task7[[%]:[%]])</f>
        <v/>
      </c>
      <c r="LF5" s="121" t="str">
        <f>IF(ISBLANK(tbl_task7[[คะแนนเต็ม]:[คะแนนเต็ม]]),"",(tbl_task7[148]/tbl_task7[[คะแนนเต็ม]:[คะแนนเต็ม]])*tbl_task7[[%]:[%]])</f>
        <v/>
      </c>
      <c r="LG5" s="121" t="str">
        <f>IF(ISBLANK(tbl_task7[[คะแนนเต็ม]:[คะแนนเต็ม]]),"",(tbl_task7[149]/tbl_task7[[คะแนนเต็ม]:[คะแนนเต็ม]])*tbl_task7[[%]:[%]])</f>
        <v/>
      </c>
      <c r="LH5" s="121" t="str">
        <f>IF(ISBLANK(tbl_task7[[คะแนนเต็ม]:[คะแนนเต็ม]]),"",(tbl_task7[150]/tbl_task7[[คะแนนเต็ม]:[คะแนนเต็ม]])*tbl_task7[[%]:[%]])</f>
        <v/>
      </c>
      <c r="LI5" s="121" t="str">
        <f>IF(ISBLANK(tbl_task7[[คะแนนเต็ม]:[คะแนนเต็ม]]),"",(tbl_task7[151]/tbl_task7[[คะแนนเต็ม]:[คะแนนเต็ม]])*tbl_task7[[%]:[%]])</f>
        <v/>
      </c>
      <c r="LJ5" s="121" t="str">
        <f>IF(ISBLANK(tbl_task7[[คะแนนเต็ม]:[คะแนนเต็ม]]),"",(tbl_task7[152]/tbl_task7[[คะแนนเต็ม]:[คะแนนเต็ม]])*tbl_task7[[%]:[%]])</f>
        <v/>
      </c>
      <c r="LK5" s="121" t="str">
        <f>IF(ISBLANK(tbl_task7[[คะแนนเต็ม]:[คะแนนเต็ม]]),"",(tbl_task7[153]/tbl_task7[[คะแนนเต็ม]:[คะแนนเต็ม]])*tbl_task7[[%]:[%]])</f>
        <v/>
      </c>
      <c r="LL5" s="121" t="str">
        <f>IF(ISBLANK(tbl_task7[[คะแนนเต็ม]:[คะแนนเต็ม]]),"",(tbl_task7[154]/tbl_task7[[คะแนนเต็ม]:[คะแนนเต็ม]])*tbl_task7[[%]:[%]])</f>
        <v/>
      </c>
      <c r="LM5" s="121" t="str">
        <f>IF(ISBLANK(tbl_task7[[คะแนนเต็ม]:[คะแนนเต็ม]]),"",(tbl_task7[155]/tbl_task7[[คะแนนเต็ม]:[คะแนนเต็ม]])*tbl_task7[[%]:[%]])</f>
        <v/>
      </c>
      <c r="LN5" s="121" t="str">
        <f>IF(ISBLANK(tbl_task7[[คะแนนเต็ม]:[คะแนนเต็ม]]),"",(tbl_task7[156]/tbl_task7[[คะแนนเต็ม]:[คะแนนเต็ม]])*tbl_task7[[%]:[%]])</f>
        <v/>
      </c>
      <c r="LO5" s="121" t="str">
        <f>IF(ISBLANK(tbl_task7[[คะแนนเต็ม]:[คะแนนเต็ม]]),"",(tbl_task7[157]/tbl_task7[[คะแนนเต็ม]:[คะแนนเต็ม]])*tbl_task7[[%]:[%]])</f>
        <v/>
      </c>
      <c r="LP5" s="121" t="str">
        <f>IF(ISBLANK(tbl_task7[[คะแนนเต็ม]:[คะแนนเต็ม]]),"",(tbl_task7[158]/tbl_task7[[คะแนนเต็ม]:[คะแนนเต็ม]])*tbl_task7[[%]:[%]])</f>
        <v/>
      </c>
      <c r="LQ5" s="121" t="str">
        <f>IF(ISBLANK(tbl_task7[[คะแนนเต็ม]:[คะแนนเต็ม]]),"",(tbl_task7[159]/tbl_task7[[คะแนนเต็ม]:[คะแนนเต็ม]])*tbl_task7[[%]:[%]])</f>
        <v/>
      </c>
      <c r="LR5" s="121" t="str">
        <f>IF(ISBLANK(tbl_task7[[คะแนนเต็ม]:[คะแนนเต็ม]]),"",(tbl_task7[160]/tbl_task7[[คะแนนเต็ม]:[คะแนนเต็ม]])*tbl_task7[[%]:[%]])</f>
        <v/>
      </c>
      <c r="LS5" s="121" t="str">
        <f>IF(ISBLANK(tbl_task7[[คะแนนเต็ม]:[คะแนนเต็ม]]),"",(tbl_task7[161]/tbl_task7[[คะแนนเต็ม]:[คะแนนเต็ม]])*tbl_task7[[%]:[%]])</f>
        <v/>
      </c>
      <c r="LT5" s="121" t="str">
        <f>IF(ISBLANK(tbl_task7[[คะแนนเต็ม]:[คะแนนเต็ม]]),"",(tbl_task7[162]/tbl_task7[[คะแนนเต็ม]:[คะแนนเต็ม]])*tbl_task7[[%]:[%]])</f>
        <v/>
      </c>
      <c r="LU5" s="121" t="str">
        <f>IF(ISBLANK(tbl_task7[[คะแนนเต็ม]:[คะแนนเต็ม]]),"",(tbl_task7[163]/tbl_task7[[คะแนนเต็ม]:[คะแนนเต็ม]])*tbl_task7[[%]:[%]])</f>
        <v/>
      </c>
      <c r="LV5" s="121" t="str">
        <f>IF(ISBLANK(tbl_task7[[คะแนนเต็ม]:[คะแนนเต็ม]]),"",(tbl_task7[164]/tbl_task7[[คะแนนเต็ม]:[คะแนนเต็ม]])*tbl_task7[[%]:[%]])</f>
        <v/>
      </c>
      <c r="LW5" s="121" t="str">
        <f>IF(ISBLANK(tbl_task7[[คะแนนเต็ม]:[คะแนนเต็ม]]),"",(tbl_task7[165]/tbl_task7[[คะแนนเต็ม]:[คะแนนเต็ม]])*tbl_task7[[%]:[%]])</f>
        <v/>
      </c>
    </row>
    <row r="6" spans="1:335" ht="24.75" customHeight="1" x14ac:dyDescent="0.25">
      <c r="A6" s="24">
        <v>3</v>
      </c>
      <c r="B6" s="20"/>
      <c r="C6" s="5" t="str">
        <f>IF(ISBLANK(B6),"",VLOOKUP(B6,tbl_PLOs[],2,0))</f>
        <v/>
      </c>
      <c r="D6" s="102"/>
      <c r="E6" s="10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22"/>
      <c r="FO6" s="121" t="str">
        <f>IF(ISBLANK(tbl_task7[[คะแนนเต็ม]:[คะแนนเต็ม]]),"",(tbl_task7[1]/tbl_task7[[คะแนนเต็ม]:[คะแนนเต็ม]])*tbl_task7[[%]:[%]])</f>
        <v/>
      </c>
      <c r="FP6" s="121" t="str">
        <f>IF(ISBLANK(tbl_task7[[คะแนนเต็ม]:[คะแนนเต็ม]]),"",(tbl_task7[2]/tbl_task7[[คะแนนเต็ม]:[คะแนนเต็ม]])*tbl_task7[[%]:[%]])</f>
        <v/>
      </c>
      <c r="FQ6" s="121" t="str">
        <f>IF(ISBLANK(tbl_task7[[คะแนนเต็ม]:[คะแนนเต็ม]]),"",(tbl_task7[3]/tbl_task7[[คะแนนเต็ม]:[คะแนนเต็ม]])*tbl_task7[[%]:[%]])</f>
        <v/>
      </c>
      <c r="FR6" s="121" t="str">
        <f>IF(ISBLANK(tbl_task7[[คะแนนเต็ม]:[คะแนนเต็ม]]),"",(tbl_task7[4]/tbl_task7[[คะแนนเต็ม]:[คะแนนเต็ม]])*tbl_task7[[%]:[%]])</f>
        <v/>
      </c>
      <c r="FS6" s="121" t="str">
        <f>IF(ISBLANK(tbl_task7[[คะแนนเต็ม]:[คะแนนเต็ม]]),"",(tbl_task7[5]/tbl_task7[[คะแนนเต็ม]:[คะแนนเต็ม]])*tbl_task7[[%]:[%]])</f>
        <v/>
      </c>
      <c r="FT6" s="121" t="str">
        <f>IF(ISBLANK(tbl_task7[[คะแนนเต็ม]:[คะแนนเต็ม]]),"",(tbl_task7[6]/tbl_task7[[คะแนนเต็ม]:[คะแนนเต็ม]])*tbl_task7[[%]:[%]])</f>
        <v/>
      </c>
      <c r="FU6" s="121" t="str">
        <f>IF(ISBLANK(tbl_task7[[คะแนนเต็ม]:[คะแนนเต็ม]]),"",(tbl_task7[7]/tbl_task7[[คะแนนเต็ม]:[คะแนนเต็ม]])*tbl_task7[[%]:[%]])</f>
        <v/>
      </c>
      <c r="FV6" s="121" t="str">
        <f>IF(ISBLANK(tbl_task7[[คะแนนเต็ม]:[คะแนนเต็ม]]),"",(tbl_task7[8]/tbl_task7[[คะแนนเต็ม]:[คะแนนเต็ม]])*tbl_task7[[%]:[%]])</f>
        <v/>
      </c>
      <c r="FW6" s="121" t="str">
        <f>IF(ISBLANK(tbl_task7[[คะแนนเต็ม]:[คะแนนเต็ม]]),"",(tbl_task7[9]/tbl_task7[[คะแนนเต็ม]:[คะแนนเต็ม]])*tbl_task7[[%]:[%]])</f>
        <v/>
      </c>
      <c r="FX6" s="121" t="str">
        <f>IF(ISBLANK(tbl_task7[[คะแนนเต็ม]:[คะแนนเต็ม]]),"",(tbl_task7[10]/tbl_task7[[คะแนนเต็ม]:[คะแนนเต็ม]])*tbl_task7[[%]:[%]])</f>
        <v/>
      </c>
      <c r="FY6" s="121" t="str">
        <f>IF(ISBLANK(tbl_task7[[คะแนนเต็ม]:[คะแนนเต็ม]]),"",(tbl_task7[11]/tbl_task7[[คะแนนเต็ม]:[คะแนนเต็ม]])*tbl_task7[[%]:[%]])</f>
        <v/>
      </c>
      <c r="FZ6" s="121" t="str">
        <f>IF(ISBLANK(tbl_task7[[คะแนนเต็ม]:[คะแนนเต็ม]]),"",(tbl_task7[12]/tbl_task7[[คะแนนเต็ม]:[คะแนนเต็ม]])*tbl_task7[[%]:[%]])</f>
        <v/>
      </c>
      <c r="GA6" s="121" t="str">
        <f>IF(ISBLANK(tbl_task7[[คะแนนเต็ม]:[คะแนนเต็ม]]),"",(tbl_task7[13]/tbl_task7[[คะแนนเต็ม]:[คะแนนเต็ม]])*tbl_task7[[%]:[%]])</f>
        <v/>
      </c>
      <c r="GB6" s="121" t="str">
        <f>IF(ISBLANK(tbl_task7[[คะแนนเต็ม]:[คะแนนเต็ม]]),"",(tbl_task7[14]/tbl_task7[[คะแนนเต็ม]:[คะแนนเต็ม]])*tbl_task7[[%]:[%]])</f>
        <v/>
      </c>
      <c r="GC6" s="121" t="str">
        <f>IF(ISBLANK(tbl_task7[[คะแนนเต็ม]:[คะแนนเต็ม]]),"",(tbl_task7[15]/tbl_task7[[คะแนนเต็ม]:[คะแนนเต็ม]])*tbl_task7[[%]:[%]])</f>
        <v/>
      </c>
      <c r="GD6" s="121" t="str">
        <f>IF(ISBLANK(tbl_task7[[คะแนนเต็ม]:[คะแนนเต็ม]]),"",(tbl_task7[16]/tbl_task7[[คะแนนเต็ม]:[คะแนนเต็ม]])*tbl_task7[[%]:[%]])</f>
        <v/>
      </c>
      <c r="GE6" s="121" t="str">
        <f>IF(ISBLANK(tbl_task7[[คะแนนเต็ม]:[คะแนนเต็ม]]),"",(tbl_task7[17]/tbl_task7[[คะแนนเต็ม]:[คะแนนเต็ม]])*tbl_task7[[%]:[%]])</f>
        <v/>
      </c>
      <c r="GF6" s="121" t="str">
        <f>IF(ISBLANK(tbl_task7[[คะแนนเต็ม]:[คะแนนเต็ม]]),"",(tbl_task7[18]/tbl_task7[[คะแนนเต็ม]:[คะแนนเต็ม]])*tbl_task7[[%]:[%]])</f>
        <v/>
      </c>
      <c r="GG6" s="121" t="str">
        <f>IF(ISBLANK(tbl_task7[[คะแนนเต็ม]:[คะแนนเต็ม]]),"",(tbl_task7[19]/tbl_task7[[คะแนนเต็ม]:[คะแนนเต็ม]])*tbl_task7[[%]:[%]])</f>
        <v/>
      </c>
      <c r="GH6" s="121" t="str">
        <f>IF(ISBLANK(tbl_task7[[คะแนนเต็ม]:[คะแนนเต็ม]]),"",(tbl_task7[20]/tbl_task7[[คะแนนเต็ม]:[คะแนนเต็ม]])*tbl_task7[[%]:[%]])</f>
        <v/>
      </c>
      <c r="GI6" s="121" t="str">
        <f>IF(ISBLANK(tbl_task7[[คะแนนเต็ม]:[คะแนนเต็ม]]),"",(tbl_task7[21]/tbl_task7[[คะแนนเต็ม]:[คะแนนเต็ม]])*tbl_task7[[%]:[%]])</f>
        <v/>
      </c>
      <c r="GJ6" s="121" t="str">
        <f>IF(ISBLANK(tbl_task7[[คะแนนเต็ม]:[คะแนนเต็ม]]),"",(tbl_task7[22]/tbl_task7[[คะแนนเต็ม]:[คะแนนเต็ม]])*tbl_task7[[%]:[%]])</f>
        <v/>
      </c>
      <c r="GK6" s="121" t="str">
        <f>IF(ISBLANK(tbl_task7[[คะแนนเต็ม]:[คะแนนเต็ม]]),"",(tbl_task7[23]/tbl_task7[[คะแนนเต็ม]:[คะแนนเต็ม]])*tbl_task7[[%]:[%]])</f>
        <v/>
      </c>
      <c r="GL6" s="121" t="str">
        <f>IF(ISBLANK(tbl_task7[[คะแนนเต็ม]:[คะแนนเต็ม]]),"",(tbl_task7[24]/tbl_task7[[คะแนนเต็ม]:[คะแนนเต็ม]])*tbl_task7[[%]:[%]])</f>
        <v/>
      </c>
      <c r="GM6" s="121" t="str">
        <f>IF(ISBLANK(tbl_task7[[คะแนนเต็ม]:[คะแนนเต็ม]]),"",(tbl_task7[25]/tbl_task7[[คะแนนเต็ม]:[คะแนนเต็ม]])*tbl_task7[[%]:[%]])</f>
        <v/>
      </c>
      <c r="GN6" s="121" t="str">
        <f>IF(ISBLANK(tbl_task7[[คะแนนเต็ม]:[คะแนนเต็ม]]),"",(tbl_task7[26]/tbl_task7[[คะแนนเต็ม]:[คะแนนเต็ม]])*tbl_task7[[%]:[%]])</f>
        <v/>
      </c>
      <c r="GO6" s="121" t="str">
        <f>IF(ISBLANK(tbl_task7[[คะแนนเต็ม]:[คะแนนเต็ม]]),"",(tbl_task7[27]/tbl_task7[[คะแนนเต็ม]:[คะแนนเต็ม]])*tbl_task7[[%]:[%]])</f>
        <v/>
      </c>
      <c r="GP6" s="121" t="str">
        <f>IF(ISBLANK(tbl_task7[[คะแนนเต็ม]:[คะแนนเต็ม]]),"",(tbl_task7[28]/tbl_task7[[คะแนนเต็ม]:[คะแนนเต็ม]])*tbl_task7[[%]:[%]])</f>
        <v/>
      </c>
      <c r="GQ6" s="121" t="str">
        <f>IF(ISBLANK(tbl_task7[[คะแนนเต็ม]:[คะแนนเต็ม]]),"",(tbl_task7[29]/tbl_task7[[คะแนนเต็ม]:[คะแนนเต็ม]])*tbl_task7[[%]:[%]])</f>
        <v/>
      </c>
      <c r="GR6" s="121" t="str">
        <f>IF(ISBLANK(tbl_task7[[คะแนนเต็ม]:[คะแนนเต็ม]]),"",(tbl_task7[30]/tbl_task7[[คะแนนเต็ม]:[คะแนนเต็ม]])*tbl_task7[[%]:[%]])</f>
        <v/>
      </c>
      <c r="GS6" s="121" t="str">
        <f>IF(ISBLANK(tbl_task7[[คะแนนเต็ม]:[คะแนนเต็ม]]),"",(tbl_task7[31]/tbl_task7[[คะแนนเต็ม]:[คะแนนเต็ม]])*tbl_task7[[%]:[%]])</f>
        <v/>
      </c>
      <c r="GT6" s="121" t="str">
        <f>IF(ISBLANK(tbl_task7[[คะแนนเต็ม]:[คะแนนเต็ม]]),"",(tbl_task7[32]/tbl_task7[[คะแนนเต็ม]:[คะแนนเต็ม]])*tbl_task7[[%]:[%]])</f>
        <v/>
      </c>
      <c r="GU6" s="121" t="str">
        <f>IF(ISBLANK(tbl_task7[[คะแนนเต็ม]:[คะแนนเต็ม]]),"",(tbl_task7[33]/tbl_task7[[คะแนนเต็ม]:[คะแนนเต็ม]])*tbl_task7[[%]:[%]])</f>
        <v/>
      </c>
      <c r="GV6" s="121" t="str">
        <f>IF(ISBLANK(tbl_task7[[คะแนนเต็ม]:[คะแนนเต็ม]]),"",(tbl_task7[34]/tbl_task7[[คะแนนเต็ม]:[คะแนนเต็ม]])*tbl_task7[[%]:[%]])</f>
        <v/>
      </c>
      <c r="GW6" s="121" t="str">
        <f>IF(ISBLANK(tbl_task7[[คะแนนเต็ม]:[คะแนนเต็ม]]),"",(tbl_task7[35]/tbl_task7[[คะแนนเต็ม]:[คะแนนเต็ม]])*tbl_task7[[%]:[%]])</f>
        <v/>
      </c>
      <c r="GX6" s="121" t="str">
        <f>IF(ISBLANK(tbl_task7[[คะแนนเต็ม]:[คะแนนเต็ม]]),"",(tbl_task7[36]/tbl_task7[[คะแนนเต็ม]:[คะแนนเต็ม]])*tbl_task7[[%]:[%]])</f>
        <v/>
      </c>
      <c r="GY6" s="121" t="str">
        <f>IF(ISBLANK(tbl_task7[[คะแนนเต็ม]:[คะแนนเต็ม]]),"",(tbl_task7[37]/tbl_task7[[คะแนนเต็ม]:[คะแนนเต็ม]])*tbl_task7[[%]:[%]])</f>
        <v/>
      </c>
      <c r="GZ6" s="121" t="str">
        <f>IF(ISBLANK(tbl_task7[[คะแนนเต็ม]:[คะแนนเต็ม]]),"",(tbl_task7[38]/tbl_task7[[คะแนนเต็ม]:[คะแนนเต็ม]])*tbl_task7[[%]:[%]])</f>
        <v/>
      </c>
      <c r="HA6" s="121" t="str">
        <f>IF(ISBLANK(tbl_task7[[คะแนนเต็ม]:[คะแนนเต็ม]]),"",(tbl_task7[39]/tbl_task7[[คะแนนเต็ม]:[คะแนนเต็ม]])*tbl_task7[[%]:[%]])</f>
        <v/>
      </c>
      <c r="HB6" s="121" t="str">
        <f>IF(ISBLANK(tbl_task7[[คะแนนเต็ม]:[คะแนนเต็ม]]),"",(tbl_task7[40]/tbl_task7[[คะแนนเต็ม]:[คะแนนเต็ม]])*tbl_task7[[%]:[%]])</f>
        <v/>
      </c>
      <c r="HC6" s="121" t="str">
        <f>IF(ISBLANK(tbl_task7[[คะแนนเต็ม]:[คะแนนเต็ม]]),"",(tbl_task7[41]/tbl_task7[[คะแนนเต็ม]:[คะแนนเต็ม]])*tbl_task7[[%]:[%]])</f>
        <v/>
      </c>
      <c r="HD6" s="121" t="str">
        <f>IF(ISBLANK(tbl_task7[[คะแนนเต็ม]:[คะแนนเต็ม]]),"",(tbl_task7[42]/tbl_task7[[คะแนนเต็ม]:[คะแนนเต็ม]])*tbl_task7[[%]:[%]])</f>
        <v/>
      </c>
      <c r="HE6" s="121" t="str">
        <f>IF(ISBLANK(tbl_task7[[คะแนนเต็ม]:[คะแนนเต็ม]]),"",(tbl_task7[43]/tbl_task7[[คะแนนเต็ม]:[คะแนนเต็ม]])*tbl_task7[[%]:[%]])</f>
        <v/>
      </c>
      <c r="HF6" s="121" t="str">
        <f>IF(ISBLANK(tbl_task7[[คะแนนเต็ม]:[คะแนนเต็ม]]),"",(tbl_task7[44]/tbl_task7[[คะแนนเต็ม]:[คะแนนเต็ม]])*tbl_task7[[%]:[%]])</f>
        <v/>
      </c>
      <c r="HG6" s="121" t="str">
        <f>IF(ISBLANK(tbl_task7[[คะแนนเต็ม]:[คะแนนเต็ม]]),"",(tbl_task7[45]/tbl_task7[[คะแนนเต็ม]:[คะแนนเต็ม]])*tbl_task7[[%]:[%]])</f>
        <v/>
      </c>
      <c r="HH6" s="121" t="str">
        <f>IF(ISBLANK(tbl_task7[[คะแนนเต็ม]:[คะแนนเต็ม]]),"",(tbl_task7[46]/tbl_task7[[คะแนนเต็ม]:[คะแนนเต็ม]])*tbl_task7[[%]:[%]])</f>
        <v/>
      </c>
      <c r="HI6" s="121" t="str">
        <f>IF(ISBLANK(tbl_task7[[คะแนนเต็ม]:[คะแนนเต็ม]]),"",(tbl_task7[47]/tbl_task7[[คะแนนเต็ม]:[คะแนนเต็ม]])*tbl_task7[[%]:[%]])</f>
        <v/>
      </c>
      <c r="HJ6" s="121" t="str">
        <f>IF(ISBLANK(tbl_task7[[คะแนนเต็ม]:[คะแนนเต็ม]]),"",(tbl_task7[48]/tbl_task7[[คะแนนเต็ม]:[คะแนนเต็ม]])*tbl_task7[[%]:[%]])</f>
        <v/>
      </c>
      <c r="HK6" s="121" t="str">
        <f>IF(ISBLANK(tbl_task7[[คะแนนเต็ม]:[คะแนนเต็ม]]),"",(tbl_task7[49]/tbl_task7[[คะแนนเต็ม]:[คะแนนเต็ม]])*tbl_task7[[%]:[%]])</f>
        <v/>
      </c>
      <c r="HL6" s="121" t="str">
        <f>IF(ISBLANK(tbl_task7[[คะแนนเต็ม]:[คะแนนเต็ม]]),"",(tbl_task7[50]/tbl_task7[[คะแนนเต็ม]:[คะแนนเต็ม]])*tbl_task7[[%]:[%]])</f>
        <v/>
      </c>
      <c r="HM6" s="121" t="str">
        <f>IF(ISBLANK(tbl_task7[[คะแนนเต็ม]:[คะแนนเต็ม]]),"",(tbl_task7[51]/tbl_task7[[คะแนนเต็ม]:[คะแนนเต็ม]])*tbl_task7[[%]:[%]])</f>
        <v/>
      </c>
      <c r="HN6" s="121" t="str">
        <f>IF(ISBLANK(tbl_task7[[คะแนนเต็ม]:[คะแนนเต็ม]]),"",(tbl_task7[52]/tbl_task7[[คะแนนเต็ม]:[คะแนนเต็ม]])*tbl_task7[[%]:[%]])</f>
        <v/>
      </c>
      <c r="HO6" s="121" t="str">
        <f>IF(ISBLANK(tbl_task7[[คะแนนเต็ม]:[คะแนนเต็ม]]),"",(tbl_task7[53]/tbl_task7[[คะแนนเต็ม]:[คะแนนเต็ม]])*tbl_task7[[%]:[%]])</f>
        <v/>
      </c>
      <c r="HP6" s="121" t="str">
        <f>IF(ISBLANK(tbl_task7[[คะแนนเต็ม]:[คะแนนเต็ม]]),"",(tbl_task7[54]/tbl_task7[[คะแนนเต็ม]:[คะแนนเต็ม]])*tbl_task7[[%]:[%]])</f>
        <v/>
      </c>
      <c r="HQ6" s="121" t="str">
        <f>IF(ISBLANK(tbl_task7[[คะแนนเต็ม]:[คะแนนเต็ม]]),"",(tbl_task7[55]/tbl_task7[[คะแนนเต็ม]:[คะแนนเต็ม]])*tbl_task7[[%]:[%]])</f>
        <v/>
      </c>
      <c r="HR6" s="121" t="str">
        <f>IF(ISBLANK(tbl_task7[[คะแนนเต็ม]:[คะแนนเต็ม]]),"",(tbl_task7[56]/tbl_task7[[คะแนนเต็ม]:[คะแนนเต็ม]])*tbl_task7[[%]:[%]])</f>
        <v/>
      </c>
      <c r="HS6" s="121" t="str">
        <f>IF(ISBLANK(tbl_task7[[คะแนนเต็ม]:[คะแนนเต็ม]]),"",(tbl_task7[57]/tbl_task7[[คะแนนเต็ม]:[คะแนนเต็ม]])*tbl_task7[[%]:[%]])</f>
        <v/>
      </c>
      <c r="HT6" s="121" t="str">
        <f>IF(ISBLANK(tbl_task7[[คะแนนเต็ม]:[คะแนนเต็ม]]),"",(tbl_task7[58]/tbl_task7[[คะแนนเต็ม]:[คะแนนเต็ม]])*tbl_task7[[%]:[%]])</f>
        <v/>
      </c>
      <c r="HU6" s="121" t="str">
        <f>IF(ISBLANK(tbl_task7[[คะแนนเต็ม]:[คะแนนเต็ม]]),"",(tbl_task7[59]/tbl_task7[[คะแนนเต็ม]:[คะแนนเต็ม]])*tbl_task7[[%]:[%]])</f>
        <v/>
      </c>
      <c r="HV6" s="121" t="str">
        <f>IF(ISBLANK(tbl_task7[[คะแนนเต็ม]:[คะแนนเต็ม]]),"",(tbl_task7[60]/tbl_task7[[คะแนนเต็ม]:[คะแนนเต็ม]])*tbl_task7[[%]:[%]])</f>
        <v/>
      </c>
      <c r="HW6" s="121" t="str">
        <f>IF(ISBLANK(tbl_task7[[คะแนนเต็ม]:[คะแนนเต็ม]]),"",(tbl_task7[61]/tbl_task7[[คะแนนเต็ม]:[คะแนนเต็ม]])*tbl_task7[[%]:[%]])</f>
        <v/>
      </c>
      <c r="HX6" s="121" t="str">
        <f>IF(ISBLANK(tbl_task7[[คะแนนเต็ม]:[คะแนนเต็ม]]),"",(tbl_task7[62]/tbl_task7[[คะแนนเต็ม]:[คะแนนเต็ม]])*tbl_task7[[%]:[%]])</f>
        <v/>
      </c>
      <c r="HY6" s="121" t="str">
        <f>IF(ISBLANK(tbl_task7[[คะแนนเต็ม]:[คะแนนเต็ม]]),"",(tbl_task7[63]/tbl_task7[[คะแนนเต็ม]:[คะแนนเต็ม]])*tbl_task7[[%]:[%]])</f>
        <v/>
      </c>
      <c r="HZ6" s="121" t="str">
        <f>IF(ISBLANK(tbl_task7[[คะแนนเต็ม]:[คะแนนเต็ม]]),"",(tbl_task7[64]/tbl_task7[[คะแนนเต็ม]:[คะแนนเต็ม]])*tbl_task7[[%]:[%]])</f>
        <v/>
      </c>
      <c r="IA6" s="121" t="str">
        <f>IF(ISBLANK(tbl_task7[[คะแนนเต็ม]:[คะแนนเต็ม]]),"",(tbl_task7[65]/tbl_task7[[คะแนนเต็ม]:[คะแนนเต็ม]])*tbl_task7[[%]:[%]])</f>
        <v/>
      </c>
      <c r="IB6" s="121" t="str">
        <f>IF(ISBLANK(tbl_task7[[คะแนนเต็ม]:[คะแนนเต็ม]]),"",(tbl_task7[66]/tbl_task7[[คะแนนเต็ม]:[คะแนนเต็ม]])*tbl_task7[[%]:[%]])</f>
        <v/>
      </c>
      <c r="IC6" s="121" t="str">
        <f>IF(ISBLANK(tbl_task7[[คะแนนเต็ม]:[คะแนนเต็ม]]),"",(tbl_task7[67]/tbl_task7[[คะแนนเต็ม]:[คะแนนเต็ม]])*tbl_task7[[%]:[%]])</f>
        <v/>
      </c>
      <c r="ID6" s="121" t="str">
        <f>IF(ISBLANK(tbl_task7[[คะแนนเต็ม]:[คะแนนเต็ม]]),"",(tbl_task7[68]/tbl_task7[[คะแนนเต็ม]:[คะแนนเต็ม]])*tbl_task7[[%]:[%]])</f>
        <v/>
      </c>
      <c r="IE6" s="121" t="str">
        <f>IF(ISBLANK(tbl_task7[[คะแนนเต็ม]:[คะแนนเต็ม]]),"",(tbl_task7[69]/tbl_task7[[คะแนนเต็ม]:[คะแนนเต็ม]])*tbl_task7[[%]:[%]])</f>
        <v/>
      </c>
      <c r="IF6" s="121" t="str">
        <f>IF(ISBLANK(tbl_task7[[คะแนนเต็ม]:[คะแนนเต็ม]]),"",(tbl_task7[70]/tbl_task7[[คะแนนเต็ม]:[คะแนนเต็ม]])*tbl_task7[[%]:[%]])</f>
        <v/>
      </c>
      <c r="IG6" s="121" t="str">
        <f>IF(ISBLANK(tbl_task7[[คะแนนเต็ม]:[คะแนนเต็ม]]),"",(tbl_task7[71]/tbl_task7[[คะแนนเต็ม]:[คะแนนเต็ม]])*tbl_task7[[%]:[%]])</f>
        <v/>
      </c>
      <c r="IH6" s="121" t="str">
        <f>IF(ISBLANK(tbl_task7[[คะแนนเต็ม]:[คะแนนเต็ม]]),"",(tbl_task7[72]/tbl_task7[[คะแนนเต็ม]:[คะแนนเต็ม]])*tbl_task7[[%]:[%]])</f>
        <v/>
      </c>
      <c r="II6" s="121" t="str">
        <f>IF(ISBLANK(tbl_task7[[คะแนนเต็ม]:[คะแนนเต็ม]]),"",(tbl_task7[73]/tbl_task7[[คะแนนเต็ม]:[คะแนนเต็ม]])*tbl_task7[[%]:[%]])</f>
        <v/>
      </c>
      <c r="IJ6" s="121" t="str">
        <f>IF(ISBLANK(tbl_task7[[คะแนนเต็ม]:[คะแนนเต็ม]]),"",(tbl_task7[74]/tbl_task7[[คะแนนเต็ม]:[คะแนนเต็ม]])*tbl_task7[[%]:[%]])</f>
        <v/>
      </c>
      <c r="IK6" s="121" t="str">
        <f>IF(ISBLANK(tbl_task7[[คะแนนเต็ม]:[คะแนนเต็ม]]),"",(tbl_task7[75]/tbl_task7[[คะแนนเต็ม]:[คะแนนเต็ม]])*tbl_task7[[%]:[%]])</f>
        <v/>
      </c>
      <c r="IL6" s="121" t="str">
        <f>IF(ISBLANK(tbl_task7[[คะแนนเต็ม]:[คะแนนเต็ม]]),"",(tbl_task7[76]/tbl_task7[[คะแนนเต็ม]:[คะแนนเต็ม]])*tbl_task7[[%]:[%]])</f>
        <v/>
      </c>
      <c r="IM6" s="121" t="str">
        <f>IF(ISBLANK(tbl_task7[[คะแนนเต็ม]:[คะแนนเต็ม]]),"",(tbl_task7[77]/tbl_task7[[คะแนนเต็ม]:[คะแนนเต็ม]])*tbl_task7[[%]:[%]])</f>
        <v/>
      </c>
      <c r="IN6" s="121" t="str">
        <f>IF(ISBLANK(tbl_task7[[คะแนนเต็ม]:[คะแนนเต็ม]]),"",(tbl_task7[78]/tbl_task7[[คะแนนเต็ม]:[คะแนนเต็ม]])*tbl_task7[[%]:[%]])</f>
        <v/>
      </c>
      <c r="IO6" s="121" t="str">
        <f>IF(ISBLANK(tbl_task7[[คะแนนเต็ม]:[คะแนนเต็ม]]),"",(tbl_task7[79]/tbl_task7[[คะแนนเต็ม]:[คะแนนเต็ม]])*tbl_task7[[%]:[%]])</f>
        <v/>
      </c>
      <c r="IP6" s="121" t="str">
        <f>IF(ISBLANK(tbl_task7[[คะแนนเต็ม]:[คะแนนเต็ม]]),"",(tbl_task7[80]/tbl_task7[[คะแนนเต็ม]:[คะแนนเต็ม]])*tbl_task7[[%]:[%]])</f>
        <v/>
      </c>
      <c r="IQ6" s="121" t="str">
        <f>IF(ISBLANK(tbl_task7[[คะแนนเต็ม]:[คะแนนเต็ม]]),"",(tbl_task7[81]/tbl_task7[[คะแนนเต็ม]:[คะแนนเต็ม]])*tbl_task7[[%]:[%]])</f>
        <v/>
      </c>
      <c r="IR6" s="121" t="str">
        <f>IF(ISBLANK(tbl_task7[[คะแนนเต็ม]:[คะแนนเต็ม]]),"",(tbl_task7[82]/tbl_task7[[คะแนนเต็ม]:[คะแนนเต็ม]])*tbl_task7[[%]:[%]])</f>
        <v/>
      </c>
      <c r="IS6" s="121" t="str">
        <f>IF(ISBLANK(tbl_task7[[คะแนนเต็ม]:[คะแนนเต็ม]]),"",(tbl_task7[83]/tbl_task7[[คะแนนเต็ม]:[คะแนนเต็ม]])*tbl_task7[[%]:[%]])</f>
        <v/>
      </c>
      <c r="IT6" s="121" t="str">
        <f>IF(ISBLANK(tbl_task7[[คะแนนเต็ม]:[คะแนนเต็ม]]),"",(tbl_task7[84]/tbl_task7[[คะแนนเต็ม]:[คะแนนเต็ม]])*tbl_task7[[%]:[%]])</f>
        <v/>
      </c>
      <c r="IU6" s="121" t="str">
        <f>IF(ISBLANK(tbl_task7[[คะแนนเต็ม]:[คะแนนเต็ม]]),"",(tbl_task7[85]/tbl_task7[[คะแนนเต็ม]:[คะแนนเต็ม]])*tbl_task7[[%]:[%]])</f>
        <v/>
      </c>
      <c r="IV6" s="121" t="str">
        <f>IF(ISBLANK(tbl_task7[[คะแนนเต็ม]:[คะแนนเต็ม]]),"",(tbl_task7[86]/tbl_task7[[คะแนนเต็ม]:[คะแนนเต็ม]])*tbl_task7[[%]:[%]])</f>
        <v/>
      </c>
      <c r="IW6" s="121" t="str">
        <f>IF(ISBLANK(tbl_task7[[คะแนนเต็ม]:[คะแนนเต็ม]]),"",(tbl_task7[87]/tbl_task7[[คะแนนเต็ม]:[คะแนนเต็ม]])*tbl_task7[[%]:[%]])</f>
        <v/>
      </c>
      <c r="IX6" s="121" t="str">
        <f>IF(ISBLANK(tbl_task7[[คะแนนเต็ม]:[คะแนนเต็ม]]),"",(tbl_task7[88]/tbl_task7[[คะแนนเต็ม]:[คะแนนเต็ม]])*tbl_task7[[%]:[%]])</f>
        <v/>
      </c>
      <c r="IY6" s="121" t="str">
        <f>IF(ISBLANK(tbl_task7[[คะแนนเต็ม]:[คะแนนเต็ม]]),"",(tbl_task7[89]/tbl_task7[[คะแนนเต็ม]:[คะแนนเต็ม]])*tbl_task7[[%]:[%]])</f>
        <v/>
      </c>
      <c r="IZ6" s="121" t="str">
        <f>IF(ISBLANK(tbl_task7[[คะแนนเต็ม]:[คะแนนเต็ม]]),"",(tbl_task7[90]/tbl_task7[[คะแนนเต็ม]:[คะแนนเต็ม]])*tbl_task7[[%]:[%]])</f>
        <v/>
      </c>
      <c r="JA6" s="121" t="str">
        <f>IF(ISBLANK(tbl_task7[[คะแนนเต็ม]:[คะแนนเต็ม]]),"",(tbl_task7[91]/tbl_task7[[คะแนนเต็ม]:[คะแนนเต็ม]])*tbl_task7[[%]:[%]])</f>
        <v/>
      </c>
      <c r="JB6" s="121" t="str">
        <f>IF(ISBLANK(tbl_task7[[คะแนนเต็ม]:[คะแนนเต็ม]]),"",(tbl_task7[92]/tbl_task7[[คะแนนเต็ม]:[คะแนนเต็ม]])*tbl_task7[[%]:[%]])</f>
        <v/>
      </c>
      <c r="JC6" s="121" t="str">
        <f>IF(ISBLANK(tbl_task7[[คะแนนเต็ม]:[คะแนนเต็ม]]),"",(tbl_task7[93]/tbl_task7[[คะแนนเต็ม]:[คะแนนเต็ม]])*tbl_task7[[%]:[%]])</f>
        <v/>
      </c>
      <c r="JD6" s="121" t="str">
        <f>IF(ISBLANK(tbl_task7[[คะแนนเต็ม]:[คะแนนเต็ม]]),"",(tbl_task7[94]/tbl_task7[[คะแนนเต็ม]:[คะแนนเต็ม]])*tbl_task7[[%]:[%]])</f>
        <v/>
      </c>
      <c r="JE6" s="121" t="str">
        <f>IF(ISBLANK(tbl_task7[[คะแนนเต็ม]:[คะแนนเต็ม]]),"",(tbl_task7[95]/tbl_task7[[คะแนนเต็ม]:[คะแนนเต็ม]])*tbl_task7[[%]:[%]])</f>
        <v/>
      </c>
      <c r="JF6" s="121" t="str">
        <f>IF(ISBLANK(tbl_task7[[คะแนนเต็ม]:[คะแนนเต็ม]]),"",(tbl_task7[96]/tbl_task7[[คะแนนเต็ม]:[คะแนนเต็ม]])*tbl_task7[[%]:[%]])</f>
        <v/>
      </c>
      <c r="JG6" s="121" t="str">
        <f>IF(ISBLANK(tbl_task7[[คะแนนเต็ม]:[คะแนนเต็ม]]),"",(tbl_task7[97]/tbl_task7[[คะแนนเต็ม]:[คะแนนเต็ม]])*tbl_task7[[%]:[%]])</f>
        <v/>
      </c>
      <c r="JH6" s="121" t="str">
        <f>IF(ISBLANK(tbl_task7[[คะแนนเต็ม]:[คะแนนเต็ม]]),"",(tbl_task7[98]/tbl_task7[[คะแนนเต็ม]:[คะแนนเต็ม]])*tbl_task7[[%]:[%]])</f>
        <v/>
      </c>
      <c r="JI6" s="121" t="str">
        <f>IF(ISBLANK(tbl_task7[[คะแนนเต็ม]:[คะแนนเต็ม]]),"",(tbl_task7[99]/tbl_task7[[คะแนนเต็ม]:[คะแนนเต็ม]])*tbl_task7[[%]:[%]])</f>
        <v/>
      </c>
      <c r="JJ6" s="121" t="str">
        <f>IF(ISBLANK(tbl_task7[[คะแนนเต็ม]:[คะแนนเต็ม]]),"",(tbl_task7[100]/tbl_task7[[คะแนนเต็ม]:[คะแนนเต็ม]])*tbl_task7[[%]:[%]])</f>
        <v/>
      </c>
      <c r="JK6" s="121" t="str">
        <f>IF(ISBLANK(tbl_task7[[คะแนนเต็ม]:[คะแนนเต็ม]]),"",(tbl_task7[101]/tbl_task7[[คะแนนเต็ม]:[คะแนนเต็ม]])*tbl_task7[[%]:[%]])</f>
        <v/>
      </c>
      <c r="JL6" s="121" t="str">
        <f>IF(ISBLANK(tbl_task7[[คะแนนเต็ม]:[คะแนนเต็ม]]),"",(tbl_task7[102]/tbl_task7[[คะแนนเต็ม]:[คะแนนเต็ม]])*tbl_task7[[%]:[%]])</f>
        <v/>
      </c>
      <c r="JM6" s="121" t="str">
        <f>IF(ISBLANK(tbl_task7[[คะแนนเต็ม]:[คะแนนเต็ม]]),"",(tbl_task7[103]/tbl_task7[[คะแนนเต็ม]:[คะแนนเต็ม]])*tbl_task7[[%]:[%]])</f>
        <v/>
      </c>
      <c r="JN6" s="121" t="str">
        <f>IF(ISBLANK(tbl_task7[[คะแนนเต็ม]:[คะแนนเต็ม]]),"",(tbl_task7[104]/tbl_task7[[คะแนนเต็ม]:[คะแนนเต็ม]])*tbl_task7[[%]:[%]])</f>
        <v/>
      </c>
      <c r="JO6" s="121" t="str">
        <f>IF(ISBLANK(tbl_task7[[คะแนนเต็ม]:[คะแนนเต็ม]]),"",(tbl_task7[105]/tbl_task7[[คะแนนเต็ม]:[คะแนนเต็ม]])*tbl_task7[[%]:[%]])</f>
        <v/>
      </c>
      <c r="JP6" s="121" t="str">
        <f>IF(ISBLANK(tbl_task7[[คะแนนเต็ม]:[คะแนนเต็ม]]),"",(tbl_task7[106]/tbl_task7[[คะแนนเต็ม]:[คะแนนเต็ม]])*tbl_task7[[%]:[%]])</f>
        <v/>
      </c>
      <c r="JQ6" s="121" t="str">
        <f>IF(ISBLANK(tbl_task7[[คะแนนเต็ม]:[คะแนนเต็ม]]),"",(tbl_task7[107]/tbl_task7[[คะแนนเต็ม]:[คะแนนเต็ม]])*tbl_task7[[%]:[%]])</f>
        <v/>
      </c>
      <c r="JR6" s="121" t="str">
        <f>IF(ISBLANK(tbl_task7[[คะแนนเต็ม]:[คะแนนเต็ม]]),"",(tbl_task7[108]/tbl_task7[[คะแนนเต็ม]:[คะแนนเต็ม]])*tbl_task7[[%]:[%]])</f>
        <v/>
      </c>
      <c r="JS6" s="121" t="str">
        <f>IF(ISBLANK(tbl_task7[[คะแนนเต็ม]:[คะแนนเต็ม]]),"",(tbl_task7[109]/tbl_task7[[คะแนนเต็ม]:[คะแนนเต็ม]])*tbl_task7[[%]:[%]])</f>
        <v/>
      </c>
      <c r="JT6" s="121" t="str">
        <f>IF(ISBLANK(tbl_task7[[คะแนนเต็ม]:[คะแนนเต็ม]]),"",(tbl_task7[110]/tbl_task7[[คะแนนเต็ม]:[คะแนนเต็ม]])*tbl_task7[[%]:[%]])</f>
        <v/>
      </c>
      <c r="JU6" s="121" t="str">
        <f>IF(ISBLANK(tbl_task7[[คะแนนเต็ม]:[คะแนนเต็ม]]),"",(tbl_task7[111]/tbl_task7[[คะแนนเต็ม]:[คะแนนเต็ม]])*tbl_task7[[%]:[%]])</f>
        <v/>
      </c>
      <c r="JV6" s="121" t="str">
        <f>IF(ISBLANK(tbl_task7[[คะแนนเต็ม]:[คะแนนเต็ม]]),"",(tbl_task7[112]/tbl_task7[[คะแนนเต็ม]:[คะแนนเต็ม]])*tbl_task7[[%]:[%]])</f>
        <v/>
      </c>
      <c r="JW6" s="121" t="str">
        <f>IF(ISBLANK(tbl_task7[[คะแนนเต็ม]:[คะแนนเต็ม]]),"",(tbl_task7[113]/tbl_task7[[คะแนนเต็ม]:[คะแนนเต็ม]])*tbl_task7[[%]:[%]])</f>
        <v/>
      </c>
      <c r="JX6" s="121" t="str">
        <f>IF(ISBLANK(tbl_task7[[คะแนนเต็ม]:[คะแนนเต็ม]]),"",(tbl_task7[114]/tbl_task7[[คะแนนเต็ม]:[คะแนนเต็ม]])*tbl_task7[[%]:[%]])</f>
        <v/>
      </c>
      <c r="JY6" s="121" t="str">
        <f>IF(ISBLANK(tbl_task7[[คะแนนเต็ม]:[คะแนนเต็ม]]),"",(tbl_task7[115]/tbl_task7[[คะแนนเต็ม]:[คะแนนเต็ม]])*tbl_task7[[%]:[%]])</f>
        <v/>
      </c>
      <c r="JZ6" s="121" t="str">
        <f>IF(ISBLANK(tbl_task7[[คะแนนเต็ม]:[คะแนนเต็ม]]),"",(tbl_task7[116]/tbl_task7[[คะแนนเต็ม]:[คะแนนเต็ม]])*tbl_task7[[%]:[%]])</f>
        <v/>
      </c>
      <c r="KA6" s="121" t="str">
        <f>IF(ISBLANK(tbl_task7[[คะแนนเต็ม]:[คะแนนเต็ม]]),"",(tbl_task7[117]/tbl_task7[[คะแนนเต็ม]:[คะแนนเต็ม]])*tbl_task7[[%]:[%]])</f>
        <v/>
      </c>
      <c r="KB6" s="121" t="str">
        <f>IF(ISBLANK(tbl_task7[[คะแนนเต็ม]:[คะแนนเต็ม]]),"",(tbl_task7[118]/tbl_task7[[คะแนนเต็ม]:[คะแนนเต็ม]])*tbl_task7[[%]:[%]])</f>
        <v/>
      </c>
      <c r="KC6" s="121" t="str">
        <f>IF(ISBLANK(tbl_task7[[คะแนนเต็ม]:[คะแนนเต็ม]]),"",(tbl_task7[119]/tbl_task7[[คะแนนเต็ม]:[คะแนนเต็ม]])*tbl_task7[[%]:[%]])</f>
        <v/>
      </c>
      <c r="KD6" s="121" t="str">
        <f>IF(ISBLANK(tbl_task7[[คะแนนเต็ม]:[คะแนนเต็ม]]),"",(tbl_task7[120]/tbl_task7[[คะแนนเต็ม]:[คะแนนเต็ม]])*tbl_task7[[%]:[%]])</f>
        <v/>
      </c>
      <c r="KE6" s="121" t="str">
        <f>IF(ISBLANK(tbl_task7[[คะแนนเต็ม]:[คะแนนเต็ม]]),"",(tbl_task7[121]/tbl_task7[[คะแนนเต็ม]:[คะแนนเต็ม]])*tbl_task7[[%]:[%]])</f>
        <v/>
      </c>
      <c r="KF6" s="121" t="str">
        <f>IF(ISBLANK(tbl_task7[[คะแนนเต็ม]:[คะแนนเต็ม]]),"",(tbl_task7[122]/tbl_task7[[คะแนนเต็ม]:[คะแนนเต็ม]])*tbl_task7[[%]:[%]])</f>
        <v/>
      </c>
      <c r="KG6" s="121" t="str">
        <f>IF(ISBLANK(tbl_task7[[คะแนนเต็ม]:[คะแนนเต็ม]]),"",(tbl_task7[123]/tbl_task7[[คะแนนเต็ม]:[คะแนนเต็ม]])*tbl_task7[[%]:[%]])</f>
        <v/>
      </c>
      <c r="KH6" s="121" t="str">
        <f>IF(ISBLANK(tbl_task7[[คะแนนเต็ม]:[คะแนนเต็ม]]),"",(tbl_task7[124]/tbl_task7[[คะแนนเต็ม]:[คะแนนเต็ม]])*tbl_task7[[%]:[%]])</f>
        <v/>
      </c>
      <c r="KI6" s="121" t="str">
        <f>IF(ISBLANK(tbl_task7[[คะแนนเต็ม]:[คะแนนเต็ม]]),"",(tbl_task7[125]/tbl_task7[[คะแนนเต็ม]:[คะแนนเต็ม]])*tbl_task7[[%]:[%]])</f>
        <v/>
      </c>
      <c r="KJ6" s="121" t="str">
        <f>IF(ISBLANK(tbl_task7[[คะแนนเต็ม]:[คะแนนเต็ม]]),"",(tbl_task7[126]/tbl_task7[[คะแนนเต็ม]:[คะแนนเต็ม]])*tbl_task7[[%]:[%]])</f>
        <v/>
      </c>
      <c r="KK6" s="121" t="str">
        <f>IF(ISBLANK(tbl_task7[[คะแนนเต็ม]:[คะแนนเต็ม]]),"",(tbl_task7[127]/tbl_task7[[คะแนนเต็ม]:[คะแนนเต็ม]])*tbl_task7[[%]:[%]])</f>
        <v/>
      </c>
      <c r="KL6" s="121" t="str">
        <f>IF(ISBLANK(tbl_task7[[คะแนนเต็ม]:[คะแนนเต็ม]]),"",(tbl_task7[128]/tbl_task7[[คะแนนเต็ม]:[คะแนนเต็ม]])*tbl_task7[[%]:[%]])</f>
        <v/>
      </c>
      <c r="KM6" s="121" t="str">
        <f>IF(ISBLANK(tbl_task7[[คะแนนเต็ม]:[คะแนนเต็ม]]),"",(tbl_task7[129]/tbl_task7[[คะแนนเต็ม]:[คะแนนเต็ม]])*tbl_task7[[%]:[%]])</f>
        <v/>
      </c>
      <c r="KN6" s="121" t="str">
        <f>IF(ISBLANK(tbl_task7[[คะแนนเต็ม]:[คะแนนเต็ม]]),"",(tbl_task7[130]/tbl_task7[[คะแนนเต็ม]:[คะแนนเต็ม]])*tbl_task7[[%]:[%]])</f>
        <v/>
      </c>
      <c r="KO6" s="121" t="str">
        <f>IF(ISBLANK(tbl_task7[[คะแนนเต็ม]:[คะแนนเต็ม]]),"",(tbl_task7[131]/tbl_task7[[คะแนนเต็ม]:[คะแนนเต็ม]])*tbl_task7[[%]:[%]])</f>
        <v/>
      </c>
      <c r="KP6" s="121" t="str">
        <f>IF(ISBLANK(tbl_task7[[คะแนนเต็ม]:[คะแนนเต็ม]]),"",(tbl_task7[132]/tbl_task7[[คะแนนเต็ม]:[คะแนนเต็ม]])*tbl_task7[[%]:[%]])</f>
        <v/>
      </c>
      <c r="KQ6" s="121" t="str">
        <f>IF(ISBLANK(tbl_task7[[คะแนนเต็ม]:[คะแนนเต็ม]]),"",(tbl_task7[133]/tbl_task7[[คะแนนเต็ม]:[คะแนนเต็ม]])*tbl_task7[[%]:[%]])</f>
        <v/>
      </c>
      <c r="KR6" s="121" t="str">
        <f>IF(ISBLANK(tbl_task7[[คะแนนเต็ม]:[คะแนนเต็ม]]),"",(tbl_task7[134]/tbl_task7[[คะแนนเต็ม]:[คะแนนเต็ม]])*tbl_task7[[%]:[%]])</f>
        <v/>
      </c>
      <c r="KS6" s="121" t="str">
        <f>IF(ISBLANK(tbl_task7[[คะแนนเต็ม]:[คะแนนเต็ม]]),"",(tbl_task7[135]/tbl_task7[[คะแนนเต็ม]:[คะแนนเต็ม]])*tbl_task7[[%]:[%]])</f>
        <v/>
      </c>
      <c r="KT6" s="121" t="str">
        <f>IF(ISBLANK(tbl_task7[[คะแนนเต็ม]:[คะแนนเต็ม]]),"",(tbl_task7[136]/tbl_task7[[คะแนนเต็ม]:[คะแนนเต็ม]])*tbl_task7[[%]:[%]])</f>
        <v/>
      </c>
      <c r="KU6" s="121" t="str">
        <f>IF(ISBLANK(tbl_task7[[คะแนนเต็ม]:[คะแนนเต็ม]]),"",(tbl_task7[137]/tbl_task7[[คะแนนเต็ม]:[คะแนนเต็ม]])*tbl_task7[[%]:[%]])</f>
        <v/>
      </c>
      <c r="KV6" s="121" t="str">
        <f>IF(ISBLANK(tbl_task7[[คะแนนเต็ม]:[คะแนนเต็ม]]),"",(tbl_task7[138]/tbl_task7[[คะแนนเต็ม]:[คะแนนเต็ม]])*tbl_task7[[%]:[%]])</f>
        <v/>
      </c>
      <c r="KW6" s="121" t="str">
        <f>IF(ISBLANK(tbl_task7[[คะแนนเต็ม]:[คะแนนเต็ม]]),"",(tbl_task7[139]/tbl_task7[[คะแนนเต็ม]:[คะแนนเต็ม]])*tbl_task7[[%]:[%]])</f>
        <v/>
      </c>
      <c r="KX6" s="121" t="str">
        <f>IF(ISBLANK(tbl_task7[[คะแนนเต็ม]:[คะแนนเต็ม]]),"",(tbl_task7[140]/tbl_task7[[คะแนนเต็ม]:[คะแนนเต็ม]])*tbl_task7[[%]:[%]])</f>
        <v/>
      </c>
      <c r="KY6" s="121" t="str">
        <f>IF(ISBLANK(tbl_task7[[คะแนนเต็ม]:[คะแนนเต็ม]]),"",(tbl_task7[141]/tbl_task7[[คะแนนเต็ม]:[คะแนนเต็ม]])*tbl_task7[[%]:[%]])</f>
        <v/>
      </c>
      <c r="KZ6" s="121" t="str">
        <f>IF(ISBLANK(tbl_task7[[คะแนนเต็ม]:[คะแนนเต็ม]]),"",(tbl_task7[142]/tbl_task7[[คะแนนเต็ม]:[คะแนนเต็ม]])*tbl_task7[[%]:[%]])</f>
        <v/>
      </c>
      <c r="LA6" s="121" t="str">
        <f>IF(ISBLANK(tbl_task7[[คะแนนเต็ม]:[คะแนนเต็ม]]),"",(tbl_task7[143]/tbl_task7[[คะแนนเต็ม]:[คะแนนเต็ม]])*tbl_task7[[%]:[%]])</f>
        <v/>
      </c>
      <c r="LB6" s="121" t="str">
        <f>IF(ISBLANK(tbl_task7[[คะแนนเต็ม]:[คะแนนเต็ม]]),"",(tbl_task7[144]/tbl_task7[[คะแนนเต็ม]:[คะแนนเต็ม]])*tbl_task7[[%]:[%]])</f>
        <v/>
      </c>
      <c r="LC6" s="121" t="str">
        <f>IF(ISBLANK(tbl_task7[[คะแนนเต็ม]:[คะแนนเต็ม]]),"",(tbl_task7[145]/tbl_task7[[คะแนนเต็ม]:[คะแนนเต็ม]])*tbl_task7[[%]:[%]])</f>
        <v/>
      </c>
      <c r="LD6" s="121" t="str">
        <f>IF(ISBLANK(tbl_task7[[คะแนนเต็ม]:[คะแนนเต็ม]]),"",(tbl_task7[146]/tbl_task7[[คะแนนเต็ม]:[คะแนนเต็ม]])*tbl_task7[[%]:[%]])</f>
        <v/>
      </c>
      <c r="LE6" s="121" t="str">
        <f>IF(ISBLANK(tbl_task7[[คะแนนเต็ม]:[คะแนนเต็ม]]),"",(tbl_task7[147]/tbl_task7[[คะแนนเต็ม]:[คะแนนเต็ม]])*tbl_task7[[%]:[%]])</f>
        <v/>
      </c>
      <c r="LF6" s="121" t="str">
        <f>IF(ISBLANK(tbl_task7[[คะแนนเต็ม]:[คะแนนเต็ม]]),"",(tbl_task7[148]/tbl_task7[[คะแนนเต็ม]:[คะแนนเต็ม]])*tbl_task7[[%]:[%]])</f>
        <v/>
      </c>
      <c r="LG6" s="121" t="str">
        <f>IF(ISBLANK(tbl_task7[[คะแนนเต็ม]:[คะแนนเต็ม]]),"",(tbl_task7[149]/tbl_task7[[คะแนนเต็ม]:[คะแนนเต็ม]])*tbl_task7[[%]:[%]])</f>
        <v/>
      </c>
      <c r="LH6" s="121" t="str">
        <f>IF(ISBLANK(tbl_task7[[คะแนนเต็ม]:[คะแนนเต็ม]]),"",(tbl_task7[150]/tbl_task7[[คะแนนเต็ม]:[คะแนนเต็ม]])*tbl_task7[[%]:[%]])</f>
        <v/>
      </c>
      <c r="LI6" s="121" t="str">
        <f>IF(ISBLANK(tbl_task7[[คะแนนเต็ม]:[คะแนนเต็ม]]),"",(tbl_task7[151]/tbl_task7[[คะแนนเต็ม]:[คะแนนเต็ม]])*tbl_task7[[%]:[%]])</f>
        <v/>
      </c>
      <c r="LJ6" s="121" t="str">
        <f>IF(ISBLANK(tbl_task7[[คะแนนเต็ม]:[คะแนนเต็ม]]),"",(tbl_task7[152]/tbl_task7[[คะแนนเต็ม]:[คะแนนเต็ม]])*tbl_task7[[%]:[%]])</f>
        <v/>
      </c>
      <c r="LK6" s="121" t="str">
        <f>IF(ISBLANK(tbl_task7[[คะแนนเต็ม]:[คะแนนเต็ม]]),"",(tbl_task7[153]/tbl_task7[[คะแนนเต็ม]:[คะแนนเต็ม]])*tbl_task7[[%]:[%]])</f>
        <v/>
      </c>
      <c r="LL6" s="121" t="str">
        <f>IF(ISBLANK(tbl_task7[[คะแนนเต็ม]:[คะแนนเต็ม]]),"",(tbl_task7[154]/tbl_task7[[คะแนนเต็ม]:[คะแนนเต็ม]])*tbl_task7[[%]:[%]])</f>
        <v/>
      </c>
      <c r="LM6" s="121" t="str">
        <f>IF(ISBLANK(tbl_task7[[คะแนนเต็ม]:[คะแนนเต็ม]]),"",(tbl_task7[155]/tbl_task7[[คะแนนเต็ม]:[คะแนนเต็ม]])*tbl_task7[[%]:[%]])</f>
        <v/>
      </c>
      <c r="LN6" s="121" t="str">
        <f>IF(ISBLANK(tbl_task7[[คะแนนเต็ม]:[คะแนนเต็ม]]),"",(tbl_task7[156]/tbl_task7[[คะแนนเต็ม]:[คะแนนเต็ม]])*tbl_task7[[%]:[%]])</f>
        <v/>
      </c>
      <c r="LO6" s="121" t="str">
        <f>IF(ISBLANK(tbl_task7[[คะแนนเต็ม]:[คะแนนเต็ม]]),"",(tbl_task7[157]/tbl_task7[[คะแนนเต็ม]:[คะแนนเต็ม]])*tbl_task7[[%]:[%]])</f>
        <v/>
      </c>
      <c r="LP6" s="121" t="str">
        <f>IF(ISBLANK(tbl_task7[[คะแนนเต็ม]:[คะแนนเต็ม]]),"",(tbl_task7[158]/tbl_task7[[คะแนนเต็ม]:[คะแนนเต็ม]])*tbl_task7[[%]:[%]])</f>
        <v/>
      </c>
      <c r="LQ6" s="121" t="str">
        <f>IF(ISBLANK(tbl_task7[[คะแนนเต็ม]:[คะแนนเต็ม]]),"",(tbl_task7[159]/tbl_task7[[คะแนนเต็ม]:[คะแนนเต็ม]])*tbl_task7[[%]:[%]])</f>
        <v/>
      </c>
      <c r="LR6" s="121" t="str">
        <f>IF(ISBLANK(tbl_task7[[คะแนนเต็ม]:[คะแนนเต็ม]]),"",(tbl_task7[160]/tbl_task7[[คะแนนเต็ม]:[คะแนนเต็ม]])*tbl_task7[[%]:[%]])</f>
        <v/>
      </c>
      <c r="LS6" s="121" t="str">
        <f>IF(ISBLANK(tbl_task7[[คะแนนเต็ม]:[คะแนนเต็ม]]),"",(tbl_task7[161]/tbl_task7[[คะแนนเต็ม]:[คะแนนเต็ม]])*tbl_task7[[%]:[%]])</f>
        <v/>
      </c>
      <c r="LT6" s="121" t="str">
        <f>IF(ISBLANK(tbl_task7[[คะแนนเต็ม]:[คะแนนเต็ม]]),"",(tbl_task7[162]/tbl_task7[[คะแนนเต็ม]:[คะแนนเต็ม]])*tbl_task7[[%]:[%]])</f>
        <v/>
      </c>
      <c r="LU6" s="121" t="str">
        <f>IF(ISBLANK(tbl_task7[[คะแนนเต็ม]:[คะแนนเต็ม]]),"",(tbl_task7[163]/tbl_task7[[คะแนนเต็ม]:[คะแนนเต็ม]])*tbl_task7[[%]:[%]])</f>
        <v/>
      </c>
      <c r="LV6" s="121" t="str">
        <f>IF(ISBLANK(tbl_task7[[คะแนนเต็ม]:[คะแนนเต็ม]]),"",(tbl_task7[164]/tbl_task7[[คะแนนเต็ม]:[คะแนนเต็ม]])*tbl_task7[[%]:[%]])</f>
        <v/>
      </c>
      <c r="LW6" s="121" t="str">
        <f>IF(ISBLANK(tbl_task7[[คะแนนเต็ม]:[คะแนนเต็ม]]),"",(tbl_task7[165]/tbl_task7[[คะแนนเต็ม]:[คะแนนเต็ม]])*tbl_task7[[%]:[%]])</f>
        <v/>
      </c>
    </row>
    <row r="7" spans="1:335" ht="22.5" customHeight="1" x14ac:dyDescent="0.25">
      <c r="A7" s="24">
        <v>4</v>
      </c>
      <c r="B7" s="33"/>
      <c r="C7" s="5" t="str">
        <f>IF(ISBLANK(B7),"",VLOOKUP(B7,tbl_PLOs[],2,0))</f>
        <v/>
      </c>
      <c r="D7" s="102"/>
      <c r="E7" s="10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22"/>
      <c r="FO7" s="121" t="str">
        <f>IF(ISBLANK(tbl_task7[[คะแนนเต็ม]:[คะแนนเต็ม]]),"",(tbl_task7[1]/tbl_task7[[คะแนนเต็ม]:[คะแนนเต็ม]])*tbl_task7[[%]:[%]])</f>
        <v/>
      </c>
      <c r="FP7" s="121" t="str">
        <f>IF(ISBLANK(tbl_task7[[คะแนนเต็ม]:[คะแนนเต็ม]]),"",(tbl_task7[2]/tbl_task7[[คะแนนเต็ม]:[คะแนนเต็ม]])*tbl_task7[[%]:[%]])</f>
        <v/>
      </c>
      <c r="FQ7" s="121" t="str">
        <f>IF(ISBLANK(tbl_task7[[คะแนนเต็ม]:[คะแนนเต็ม]]),"",(tbl_task7[3]/tbl_task7[[คะแนนเต็ม]:[คะแนนเต็ม]])*tbl_task7[[%]:[%]])</f>
        <v/>
      </c>
      <c r="FR7" s="121" t="str">
        <f>IF(ISBLANK(tbl_task7[[คะแนนเต็ม]:[คะแนนเต็ม]]),"",(tbl_task7[4]/tbl_task7[[คะแนนเต็ม]:[คะแนนเต็ม]])*tbl_task7[[%]:[%]])</f>
        <v/>
      </c>
      <c r="FS7" s="121" t="str">
        <f>IF(ISBLANK(tbl_task7[[คะแนนเต็ม]:[คะแนนเต็ม]]),"",(tbl_task7[5]/tbl_task7[[คะแนนเต็ม]:[คะแนนเต็ม]])*tbl_task7[[%]:[%]])</f>
        <v/>
      </c>
      <c r="FT7" s="121" t="str">
        <f>IF(ISBLANK(tbl_task7[[คะแนนเต็ม]:[คะแนนเต็ม]]),"",(tbl_task7[6]/tbl_task7[[คะแนนเต็ม]:[คะแนนเต็ม]])*tbl_task7[[%]:[%]])</f>
        <v/>
      </c>
      <c r="FU7" s="121" t="str">
        <f>IF(ISBLANK(tbl_task7[[คะแนนเต็ม]:[คะแนนเต็ม]]),"",(tbl_task7[7]/tbl_task7[[คะแนนเต็ม]:[คะแนนเต็ม]])*tbl_task7[[%]:[%]])</f>
        <v/>
      </c>
      <c r="FV7" s="121" t="str">
        <f>IF(ISBLANK(tbl_task7[[คะแนนเต็ม]:[คะแนนเต็ม]]),"",(tbl_task7[8]/tbl_task7[[คะแนนเต็ม]:[คะแนนเต็ม]])*tbl_task7[[%]:[%]])</f>
        <v/>
      </c>
      <c r="FW7" s="121" t="str">
        <f>IF(ISBLANK(tbl_task7[[คะแนนเต็ม]:[คะแนนเต็ม]]),"",(tbl_task7[9]/tbl_task7[[คะแนนเต็ม]:[คะแนนเต็ม]])*tbl_task7[[%]:[%]])</f>
        <v/>
      </c>
      <c r="FX7" s="121" t="str">
        <f>IF(ISBLANK(tbl_task7[[คะแนนเต็ม]:[คะแนนเต็ม]]),"",(tbl_task7[10]/tbl_task7[[คะแนนเต็ม]:[คะแนนเต็ม]])*tbl_task7[[%]:[%]])</f>
        <v/>
      </c>
      <c r="FY7" s="121" t="str">
        <f>IF(ISBLANK(tbl_task7[[คะแนนเต็ม]:[คะแนนเต็ม]]),"",(tbl_task7[11]/tbl_task7[[คะแนนเต็ม]:[คะแนนเต็ม]])*tbl_task7[[%]:[%]])</f>
        <v/>
      </c>
      <c r="FZ7" s="121" t="str">
        <f>IF(ISBLANK(tbl_task7[[คะแนนเต็ม]:[คะแนนเต็ม]]),"",(tbl_task7[12]/tbl_task7[[คะแนนเต็ม]:[คะแนนเต็ม]])*tbl_task7[[%]:[%]])</f>
        <v/>
      </c>
      <c r="GA7" s="121" t="str">
        <f>IF(ISBLANK(tbl_task7[[คะแนนเต็ม]:[คะแนนเต็ม]]),"",(tbl_task7[13]/tbl_task7[[คะแนนเต็ม]:[คะแนนเต็ม]])*tbl_task7[[%]:[%]])</f>
        <v/>
      </c>
      <c r="GB7" s="121" t="str">
        <f>IF(ISBLANK(tbl_task7[[คะแนนเต็ม]:[คะแนนเต็ม]]),"",(tbl_task7[14]/tbl_task7[[คะแนนเต็ม]:[คะแนนเต็ม]])*tbl_task7[[%]:[%]])</f>
        <v/>
      </c>
      <c r="GC7" s="121" t="str">
        <f>IF(ISBLANK(tbl_task7[[คะแนนเต็ม]:[คะแนนเต็ม]]),"",(tbl_task7[15]/tbl_task7[[คะแนนเต็ม]:[คะแนนเต็ม]])*tbl_task7[[%]:[%]])</f>
        <v/>
      </c>
      <c r="GD7" s="121" t="str">
        <f>IF(ISBLANK(tbl_task7[[คะแนนเต็ม]:[คะแนนเต็ม]]),"",(tbl_task7[16]/tbl_task7[[คะแนนเต็ม]:[คะแนนเต็ม]])*tbl_task7[[%]:[%]])</f>
        <v/>
      </c>
      <c r="GE7" s="121" t="str">
        <f>IF(ISBLANK(tbl_task7[[คะแนนเต็ม]:[คะแนนเต็ม]]),"",(tbl_task7[17]/tbl_task7[[คะแนนเต็ม]:[คะแนนเต็ม]])*tbl_task7[[%]:[%]])</f>
        <v/>
      </c>
      <c r="GF7" s="121" t="str">
        <f>IF(ISBLANK(tbl_task7[[คะแนนเต็ม]:[คะแนนเต็ม]]),"",(tbl_task7[18]/tbl_task7[[คะแนนเต็ม]:[คะแนนเต็ม]])*tbl_task7[[%]:[%]])</f>
        <v/>
      </c>
      <c r="GG7" s="121" t="str">
        <f>IF(ISBLANK(tbl_task7[[คะแนนเต็ม]:[คะแนนเต็ม]]),"",(tbl_task7[19]/tbl_task7[[คะแนนเต็ม]:[คะแนนเต็ม]])*tbl_task7[[%]:[%]])</f>
        <v/>
      </c>
      <c r="GH7" s="121" t="str">
        <f>IF(ISBLANK(tbl_task7[[คะแนนเต็ม]:[คะแนนเต็ม]]),"",(tbl_task7[20]/tbl_task7[[คะแนนเต็ม]:[คะแนนเต็ม]])*tbl_task7[[%]:[%]])</f>
        <v/>
      </c>
      <c r="GI7" s="121" t="str">
        <f>IF(ISBLANK(tbl_task7[[คะแนนเต็ม]:[คะแนนเต็ม]]),"",(tbl_task7[21]/tbl_task7[[คะแนนเต็ม]:[คะแนนเต็ม]])*tbl_task7[[%]:[%]])</f>
        <v/>
      </c>
      <c r="GJ7" s="121" t="str">
        <f>IF(ISBLANK(tbl_task7[[คะแนนเต็ม]:[คะแนนเต็ม]]),"",(tbl_task7[22]/tbl_task7[[คะแนนเต็ม]:[คะแนนเต็ม]])*tbl_task7[[%]:[%]])</f>
        <v/>
      </c>
      <c r="GK7" s="121" t="str">
        <f>IF(ISBLANK(tbl_task7[[คะแนนเต็ม]:[คะแนนเต็ม]]),"",(tbl_task7[23]/tbl_task7[[คะแนนเต็ม]:[คะแนนเต็ม]])*tbl_task7[[%]:[%]])</f>
        <v/>
      </c>
      <c r="GL7" s="121" t="str">
        <f>IF(ISBLANK(tbl_task7[[คะแนนเต็ม]:[คะแนนเต็ม]]),"",(tbl_task7[24]/tbl_task7[[คะแนนเต็ม]:[คะแนนเต็ม]])*tbl_task7[[%]:[%]])</f>
        <v/>
      </c>
      <c r="GM7" s="121" t="str">
        <f>IF(ISBLANK(tbl_task7[[คะแนนเต็ม]:[คะแนนเต็ม]]),"",(tbl_task7[25]/tbl_task7[[คะแนนเต็ม]:[คะแนนเต็ม]])*tbl_task7[[%]:[%]])</f>
        <v/>
      </c>
      <c r="GN7" s="121" t="str">
        <f>IF(ISBLANK(tbl_task7[[คะแนนเต็ม]:[คะแนนเต็ม]]),"",(tbl_task7[26]/tbl_task7[[คะแนนเต็ม]:[คะแนนเต็ม]])*tbl_task7[[%]:[%]])</f>
        <v/>
      </c>
      <c r="GO7" s="121" t="str">
        <f>IF(ISBLANK(tbl_task7[[คะแนนเต็ม]:[คะแนนเต็ม]]),"",(tbl_task7[27]/tbl_task7[[คะแนนเต็ม]:[คะแนนเต็ม]])*tbl_task7[[%]:[%]])</f>
        <v/>
      </c>
      <c r="GP7" s="121" t="str">
        <f>IF(ISBLANK(tbl_task7[[คะแนนเต็ม]:[คะแนนเต็ม]]),"",(tbl_task7[28]/tbl_task7[[คะแนนเต็ม]:[คะแนนเต็ม]])*tbl_task7[[%]:[%]])</f>
        <v/>
      </c>
      <c r="GQ7" s="121" t="str">
        <f>IF(ISBLANK(tbl_task7[[คะแนนเต็ม]:[คะแนนเต็ม]]),"",(tbl_task7[29]/tbl_task7[[คะแนนเต็ม]:[คะแนนเต็ม]])*tbl_task7[[%]:[%]])</f>
        <v/>
      </c>
      <c r="GR7" s="121" t="str">
        <f>IF(ISBLANK(tbl_task7[[คะแนนเต็ม]:[คะแนนเต็ม]]),"",(tbl_task7[30]/tbl_task7[[คะแนนเต็ม]:[คะแนนเต็ม]])*tbl_task7[[%]:[%]])</f>
        <v/>
      </c>
      <c r="GS7" s="121" t="str">
        <f>IF(ISBLANK(tbl_task7[[คะแนนเต็ม]:[คะแนนเต็ม]]),"",(tbl_task7[31]/tbl_task7[[คะแนนเต็ม]:[คะแนนเต็ม]])*tbl_task7[[%]:[%]])</f>
        <v/>
      </c>
      <c r="GT7" s="121" t="str">
        <f>IF(ISBLANK(tbl_task7[[คะแนนเต็ม]:[คะแนนเต็ม]]),"",(tbl_task7[32]/tbl_task7[[คะแนนเต็ม]:[คะแนนเต็ม]])*tbl_task7[[%]:[%]])</f>
        <v/>
      </c>
      <c r="GU7" s="121" t="str">
        <f>IF(ISBLANK(tbl_task7[[คะแนนเต็ม]:[คะแนนเต็ม]]),"",(tbl_task7[33]/tbl_task7[[คะแนนเต็ม]:[คะแนนเต็ม]])*tbl_task7[[%]:[%]])</f>
        <v/>
      </c>
      <c r="GV7" s="121" t="str">
        <f>IF(ISBLANK(tbl_task7[[คะแนนเต็ม]:[คะแนนเต็ม]]),"",(tbl_task7[34]/tbl_task7[[คะแนนเต็ม]:[คะแนนเต็ม]])*tbl_task7[[%]:[%]])</f>
        <v/>
      </c>
      <c r="GW7" s="121" t="str">
        <f>IF(ISBLANK(tbl_task7[[คะแนนเต็ม]:[คะแนนเต็ม]]),"",(tbl_task7[35]/tbl_task7[[คะแนนเต็ม]:[คะแนนเต็ม]])*tbl_task7[[%]:[%]])</f>
        <v/>
      </c>
      <c r="GX7" s="121" t="str">
        <f>IF(ISBLANK(tbl_task7[[คะแนนเต็ม]:[คะแนนเต็ม]]),"",(tbl_task7[36]/tbl_task7[[คะแนนเต็ม]:[คะแนนเต็ม]])*tbl_task7[[%]:[%]])</f>
        <v/>
      </c>
      <c r="GY7" s="121" t="str">
        <f>IF(ISBLANK(tbl_task7[[คะแนนเต็ม]:[คะแนนเต็ม]]),"",(tbl_task7[37]/tbl_task7[[คะแนนเต็ม]:[คะแนนเต็ม]])*tbl_task7[[%]:[%]])</f>
        <v/>
      </c>
      <c r="GZ7" s="121" t="str">
        <f>IF(ISBLANK(tbl_task7[[คะแนนเต็ม]:[คะแนนเต็ม]]),"",(tbl_task7[38]/tbl_task7[[คะแนนเต็ม]:[คะแนนเต็ม]])*tbl_task7[[%]:[%]])</f>
        <v/>
      </c>
      <c r="HA7" s="121" t="str">
        <f>IF(ISBLANK(tbl_task7[[คะแนนเต็ม]:[คะแนนเต็ม]]),"",(tbl_task7[39]/tbl_task7[[คะแนนเต็ม]:[คะแนนเต็ม]])*tbl_task7[[%]:[%]])</f>
        <v/>
      </c>
      <c r="HB7" s="121" t="str">
        <f>IF(ISBLANK(tbl_task7[[คะแนนเต็ม]:[คะแนนเต็ม]]),"",(tbl_task7[40]/tbl_task7[[คะแนนเต็ม]:[คะแนนเต็ม]])*tbl_task7[[%]:[%]])</f>
        <v/>
      </c>
      <c r="HC7" s="121" t="str">
        <f>IF(ISBLANK(tbl_task7[[คะแนนเต็ม]:[คะแนนเต็ม]]),"",(tbl_task7[41]/tbl_task7[[คะแนนเต็ม]:[คะแนนเต็ม]])*tbl_task7[[%]:[%]])</f>
        <v/>
      </c>
      <c r="HD7" s="121" t="str">
        <f>IF(ISBLANK(tbl_task7[[คะแนนเต็ม]:[คะแนนเต็ม]]),"",(tbl_task7[42]/tbl_task7[[คะแนนเต็ม]:[คะแนนเต็ม]])*tbl_task7[[%]:[%]])</f>
        <v/>
      </c>
      <c r="HE7" s="121" t="str">
        <f>IF(ISBLANK(tbl_task7[[คะแนนเต็ม]:[คะแนนเต็ม]]),"",(tbl_task7[43]/tbl_task7[[คะแนนเต็ม]:[คะแนนเต็ม]])*tbl_task7[[%]:[%]])</f>
        <v/>
      </c>
      <c r="HF7" s="121" t="str">
        <f>IF(ISBLANK(tbl_task7[[คะแนนเต็ม]:[คะแนนเต็ม]]),"",(tbl_task7[44]/tbl_task7[[คะแนนเต็ม]:[คะแนนเต็ม]])*tbl_task7[[%]:[%]])</f>
        <v/>
      </c>
      <c r="HG7" s="121" t="str">
        <f>IF(ISBLANK(tbl_task7[[คะแนนเต็ม]:[คะแนนเต็ม]]),"",(tbl_task7[45]/tbl_task7[[คะแนนเต็ม]:[คะแนนเต็ม]])*tbl_task7[[%]:[%]])</f>
        <v/>
      </c>
      <c r="HH7" s="121" t="str">
        <f>IF(ISBLANK(tbl_task7[[คะแนนเต็ม]:[คะแนนเต็ม]]),"",(tbl_task7[46]/tbl_task7[[คะแนนเต็ม]:[คะแนนเต็ม]])*tbl_task7[[%]:[%]])</f>
        <v/>
      </c>
      <c r="HI7" s="121" t="str">
        <f>IF(ISBLANK(tbl_task7[[คะแนนเต็ม]:[คะแนนเต็ม]]),"",(tbl_task7[47]/tbl_task7[[คะแนนเต็ม]:[คะแนนเต็ม]])*tbl_task7[[%]:[%]])</f>
        <v/>
      </c>
      <c r="HJ7" s="121" t="str">
        <f>IF(ISBLANK(tbl_task7[[คะแนนเต็ม]:[คะแนนเต็ม]]),"",(tbl_task7[48]/tbl_task7[[คะแนนเต็ม]:[คะแนนเต็ม]])*tbl_task7[[%]:[%]])</f>
        <v/>
      </c>
      <c r="HK7" s="121" t="str">
        <f>IF(ISBLANK(tbl_task7[[คะแนนเต็ม]:[คะแนนเต็ม]]),"",(tbl_task7[49]/tbl_task7[[คะแนนเต็ม]:[คะแนนเต็ม]])*tbl_task7[[%]:[%]])</f>
        <v/>
      </c>
      <c r="HL7" s="121" t="str">
        <f>IF(ISBLANK(tbl_task7[[คะแนนเต็ม]:[คะแนนเต็ม]]),"",(tbl_task7[50]/tbl_task7[[คะแนนเต็ม]:[คะแนนเต็ม]])*tbl_task7[[%]:[%]])</f>
        <v/>
      </c>
      <c r="HM7" s="121" t="str">
        <f>IF(ISBLANK(tbl_task7[[คะแนนเต็ม]:[คะแนนเต็ม]]),"",(tbl_task7[51]/tbl_task7[[คะแนนเต็ม]:[คะแนนเต็ม]])*tbl_task7[[%]:[%]])</f>
        <v/>
      </c>
      <c r="HN7" s="121" t="str">
        <f>IF(ISBLANK(tbl_task7[[คะแนนเต็ม]:[คะแนนเต็ม]]),"",(tbl_task7[52]/tbl_task7[[คะแนนเต็ม]:[คะแนนเต็ม]])*tbl_task7[[%]:[%]])</f>
        <v/>
      </c>
      <c r="HO7" s="121" t="str">
        <f>IF(ISBLANK(tbl_task7[[คะแนนเต็ม]:[คะแนนเต็ม]]),"",(tbl_task7[53]/tbl_task7[[คะแนนเต็ม]:[คะแนนเต็ม]])*tbl_task7[[%]:[%]])</f>
        <v/>
      </c>
      <c r="HP7" s="121" t="str">
        <f>IF(ISBLANK(tbl_task7[[คะแนนเต็ม]:[คะแนนเต็ม]]),"",(tbl_task7[54]/tbl_task7[[คะแนนเต็ม]:[คะแนนเต็ม]])*tbl_task7[[%]:[%]])</f>
        <v/>
      </c>
      <c r="HQ7" s="121" t="str">
        <f>IF(ISBLANK(tbl_task7[[คะแนนเต็ม]:[คะแนนเต็ม]]),"",(tbl_task7[55]/tbl_task7[[คะแนนเต็ม]:[คะแนนเต็ม]])*tbl_task7[[%]:[%]])</f>
        <v/>
      </c>
      <c r="HR7" s="121" t="str">
        <f>IF(ISBLANK(tbl_task7[[คะแนนเต็ม]:[คะแนนเต็ม]]),"",(tbl_task7[56]/tbl_task7[[คะแนนเต็ม]:[คะแนนเต็ม]])*tbl_task7[[%]:[%]])</f>
        <v/>
      </c>
      <c r="HS7" s="121" t="str">
        <f>IF(ISBLANK(tbl_task7[[คะแนนเต็ม]:[คะแนนเต็ม]]),"",(tbl_task7[57]/tbl_task7[[คะแนนเต็ม]:[คะแนนเต็ม]])*tbl_task7[[%]:[%]])</f>
        <v/>
      </c>
      <c r="HT7" s="121" t="str">
        <f>IF(ISBLANK(tbl_task7[[คะแนนเต็ม]:[คะแนนเต็ม]]),"",(tbl_task7[58]/tbl_task7[[คะแนนเต็ม]:[คะแนนเต็ม]])*tbl_task7[[%]:[%]])</f>
        <v/>
      </c>
      <c r="HU7" s="121" t="str">
        <f>IF(ISBLANK(tbl_task7[[คะแนนเต็ม]:[คะแนนเต็ม]]),"",(tbl_task7[59]/tbl_task7[[คะแนนเต็ม]:[คะแนนเต็ม]])*tbl_task7[[%]:[%]])</f>
        <v/>
      </c>
      <c r="HV7" s="121" t="str">
        <f>IF(ISBLANK(tbl_task7[[คะแนนเต็ม]:[คะแนนเต็ม]]),"",(tbl_task7[60]/tbl_task7[[คะแนนเต็ม]:[คะแนนเต็ม]])*tbl_task7[[%]:[%]])</f>
        <v/>
      </c>
      <c r="HW7" s="121" t="str">
        <f>IF(ISBLANK(tbl_task7[[คะแนนเต็ม]:[คะแนนเต็ม]]),"",(tbl_task7[61]/tbl_task7[[คะแนนเต็ม]:[คะแนนเต็ม]])*tbl_task7[[%]:[%]])</f>
        <v/>
      </c>
      <c r="HX7" s="121" t="str">
        <f>IF(ISBLANK(tbl_task7[[คะแนนเต็ม]:[คะแนนเต็ม]]),"",(tbl_task7[62]/tbl_task7[[คะแนนเต็ม]:[คะแนนเต็ม]])*tbl_task7[[%]:[%]])</f>
        <v/>
      </c>
      <c r="HY7" s="121" t="str">
        <f>IF(ISBLANK(tbl_task7[[คะแนนเต็ม]:[คะแนนเต็ม]]),"",(tbl_task7[63]/tbl_task7[[คะแนนเต็ม]:[คะแนนเต็ม]])*tbl_task7[[%]:[%]])</f>
        <v/>
      </c>
      <c r="HZ7" s="121" t="str">
        <f>IF(ISBLANK(tbl_task7[[คะแนนเต็ม]:[คะแนนเต็ม]]),"",(tbl_task7[64]/tbl_task7[[คะแนนเต็ม]:[คะแนนเต็ม]])*tbl_task7[[%]:[%]])</f>
        <v/>
      </c>
      <c r="IA7" s="121" t="str">
        <f>IF(ISBLANK(tbl_task7[[คะแนนเต็ม]:[คะแนนเต็ม]]),"",(tbl_task7[65]/tbl_task7[[คะแนนเต็ม]:[คะแนนเต็ม]])*tbl_task7[[%]:[%]])</f>
        <v/>
      </c>
      <c r="IB7" s="121" t="str">
        <f>IF(ISBLANK(tbl_task7[[คะแนนเต็ม]:[คะแนนเต็ม]]),"",(tbl_task7[66]/tbl_task7[[คะแนนเต็ม]:[คะแนนเต็ม]])*tbl_task7[[%]:[%]])</f>
        <v/>
      </c>
      <c r="IC7" s="121" t="str">
        <f>IF(ISBLANK(tbl_task7[[คะแนนเต็ม]:[คะแนนเต็ม]]),"",(tbl_task7[67]/tbl_task7[[คะแนนเต็ม]:[คะแนนเต็ม]])*tbl_task7[[%]:[%]])</f>
        <v/>
      </c>
      <c r="ID7" s="121" t="str">
        <f>IF(ISBLANK(tbl_task7[[คะแนนเต็ม]:[คะแนนเต็ม]]),"",(tbl_task7[68]/tbl_task7[[คะแนนเต็ม]:[คะแนนเต็ม]])*tbl_task7[[%]:[%]])</f>
        <v/>
      </c>
      <c r="IE7" s="121" t="str">
        <f>IF(ISBLANK(tbl_task7[[คะแนนเต็ม]:[คะแนนเต็ม]]),"",(tbl_task7[69]/tbl_task7[[คะแนนเต็ม]:[คะแนนเต็ม]])*tbl_task7[[%]:[%]])</f>
        <v/>
      </c>
      <c r="IF7" s="121" t="str">
        <f>IF(ISBLANK(tbl_task7[[คะแนนเต็ม]:[คะแนนเต็ม]]),"",(tbl_task7[70]/tbl_task7[[คะแนนเต็ม]:[คะแนนเต็ม]])*tbl_task7[[%]:[%]])</f>
        <v/>
      </c>
      <c r="IG7" s="121" t="str">
        <f>IF(ISBLANK(tbl_task7[[คะแนนเต็ม]:[คะแนนเต็ม]]),"",(tbl_task7[71]/tbl_task7[[คะแนนเต็ม]:[คะแนนเต็ม]])*tbl_task7[[%]:[%]])</f>
        <v/>
      </c>
      <c r="IH7" s="121" t="str">
        <f>IF(ISBLANK(tbl_task7[[คะแนนเต็ม]:[คะแนนเต็ม]]),"",(tbl_task7[72]/tbl_task7[[คะแนนเต็ม]:[คะแนนเต็ม]])*tbl_task7[[%]:[%]])</f>
        <v/>
      </c>
      <c r="II7" s="121" t="str">
        <f>IF(ISBLANK(tbl_task7[[คะแนนเต็ม]:[คะแนนเต็ม]]),"",(tbl_task7[73]/tbl_task7[[คะแนนเต็ม]:[คะแนนเต็ม]])*tbl_task7[[%]:[%]])</f>
        <v/>
      </c>
      <c r="IJ7" s="121" t="str">
        <f>IF(ISBLANK(tbl_task7[[คะแนนเต็ม]:[คะแนนเต็ม]]),"",(tbl_task7[74]/tbl_task7[[คะแนนเต็ม]:[คะแนนเต็ม]])*tbl_task7[[%]:[%]])</f>
        <v/>
      </c>
      <c r="IK7" s="121" t="str">
        <f>IF(ISBLANK(tbl_task7[[คะแนนเต็ม]:[คะแนนเต็ม]]),"",(tbl_task7[75]/tbl_task7[[คะแนนเต็ม]:[คะแนนเต็ม]])*tbl_task7[[%]:[%]])</f>
        <v/>
      </c>
      <c r="IL7" s="121" t="str">
        <f>IF(ISBLANK(tbl_task7[[คะแนนเต็ม]:[คะแนนเต็ม]]),"",(tbl_task7[76]/tbl_task7[[คะแนนเต็ม]:[คะแนนเต็ม]])*tbl_task7[[%]:[%]])</f>
        <v/>
      </c>
      <c r="IM7" s="121" t="str">
        <f>IF(ISBLANK(tbl_task7[[คะแนนเต็ม]:[คะแนนเต็ม]]),"",(tbl_task7[77]/tbl_task7[[คะแนนเต็ม]:[คะแนนเต็ม]])*tbl_task7[[%]:[%]])</f>
        <v/>
      </c>
      <c r="IN7" s="121" t="str">
        <f>IF(ISBLANK(tbl_task7[[คะแนนเต็ม]:[คะแนนเต็ม]]),"",(tbl_task7[78]/tbl_task7[[คะแนนเต็ม]:[คะแนนเต็ม]])*tbl_task7[[%]:[%]])</f>
        <v/>
      </c>
      <c r="IO7" s="121" t="str">
        <f>IF(ISBLANK(tbl_task7[[คะแนนเต็ม]:[คะแนนเต็ม]]),"",(tbl_task7[79]/tbl_task7[[คะแนนเต็ม]:[คะแนนเต็ม]])*tbl_task7[[%]:[%]])</f>
        <v/>
      </c>
      <c r="IP7" s="121" t="str">
        <f>IF(ISBLANK(tbl_task7[[คะแนนเต็ม]:[คะแนนเต็ม]]),"",(tbl_task7[80]/tbl_task7[[คะแนนเต็ม]:[คะแนนเต็ม]])*tbl_task7[[%]:[%]])</f>
        <v/>
      </c>
      <c r="IQ7" s="121" t="str">
        <f>IF(ISBLANK(tbl_task7[[คะแนนเต็ม]:[คะแนนเต็ม]]),"",(tbl_task7[81]/tbl_task7[[คะแนนเต็ม]:[คะแนนเต็ม]])*tbl_task7[[%]:[%]])</f>
        <v/>
      </c>
      <c r="IR7" s="121" t="str">
        <f>IF(ISBLANK(tbl_task7[[คะแนนเต็ม]:[คะแนนเต็ม]]),"",(tbl_task7[82]/tbl_task7[[คะแนนเต็ม]:[คะแนนเต็ม]])*tbl_task7[[%]:[%]])</f>
        <v/>
      </c>
      <c r="IS7" s="121" t="str">
        <f>IF(ISBLANK(tbl_task7[[คะแนนเต็ม]:[คะแนนเต็ม]]),"",(tbl_task7[83]/tbl_task7[[คะแนนเต็ม]:[คะแนนเต็ม]])*tbl_task7[[%]:[%]])</f>
        <v/>
      </c>
      <c r="IT7" s="121" t="str">
        <f>IF(ISBLANK(tbl_task7[[คะแนนเต็ม]:[คะแนนเต็ม]]),"",(tbl_task7[84]/tbl_task7[[คะแนนเต็ม]:[คะแนนเต็ม]])*tbl_task7[[%]:[%]])</f>
        <v/>
      </c>
      <c r="IU7" s="121" t="str">
        <f>IF(ISBLANK(tbl_task7[[คะแนนเต็ม]:[คะแนนเต็ม]]),"",(tbl_task7[85]/tbl_task7[[คะแนนเต็ม]:[คะแนนเต็ม]])*tbl_task7[[%]:[%]])</f>
        <v/>
      </c>
      <c r="IV7" s="121" t="str">
        <f>IF(ISBLANK(tbl_task7[[คะแนนเต็ม]:[คะแนนเต็ม]]),"",(tbl_task7[86]/tbl_task7[[คะแนนเต็ม]:[คะแนนเต็ม]])*tbl_task7[[%]:[%]])</f>
        <v/>
      </c>
      <c r="IW7" s="121" t="str">
        <f>IF(ISBLANK(tbl_task7[[คะแนนเต็ม]:[คะแนนเต็ม]]),"",(tbl_task7[87]/tbl_task7[[คะแนนเต็ม]:[คะแนนเต็ม]])*tbl_task7[[%]:[%]])</f>
        <v/>
      </c>
      <c r="IX7" s="121" t="str">
        <f>IF(ISBLANK(tbl_task7[[คะแนนเต็ม]:[คะแนนเต็ม]]),"",(tbl_task7[88]/tbl_task7[[คะแนนเต็ม]:[คะแนนเต็ม]])*tbl_task7[[%]:[%]])</f>
        <v/>
      </c>
      <c r="IY7" s="121" t="str">
        <f>IF(ISBLANK(tbl_task7[[คะแนนเต็ม]:[คะแนนเต็ม]]),"",(tbl_task7[89]/tbl_task7[[คะแนนเต็ม]:[คะแนนเต็ม]])*tbl_task7[[%]:[%]])</f>
        <v/>
      </c>
      <c r="IZ7" s="121" t="str">
        <f>IF(ISBLANK(tbl_task7[[คะแนนเต็ม]:[คะแนนเต็ม]]),"",(tbl_task7[90]/tbl_task7[[คะแนนเต็ม]:[คะแนนเต็ม]])*tbl_task7[[%]:[%]])</f>
        <v/>
      </c>
      <c r="JA7" s="121" t="str">
        <f>IF(ISBLANK(tbl_task7[[คะแนนเต็ม]:[คะแนนเต็ม]]),"",(tbl_task7[91]/tbl_task7[[คะแนนเต็ม]:[คะแนนเต็ม]])*tbl_task7[[%]:[%]])</f>
        <v/>
      </c>
      <c r="JB7" s="121" t="str">
        <f>IF(ISBLANK(tbl_task7[[คะแนนเต็ม]:[คะแนนเต็ม]]),"",(tbl_task7[92]/tbl_task7[[คะแนนเต็ม]:[คะแนนเต็ม]])*tbl_task7[[%]:[%]])</f>
        <v/>
      </c>
      <c r="JC7" s="121" t="str">
        <f>IF(ISBLANK(tbl_task7[[คะแนนเต็ม]:[คะแนนเต็ม]]),"",(tbl_task7[93]/tbl_task7[[คะแนนเต็ม]:[คะแนนเต็ม]])*tbl_task7[[%]:[%]])</f>
        <v/>
      </c>
      <c r="JD7" s="121" t="str">
        <f>IF(ISBLANK(tbl_task7[[คะแนนเต็ม]:[คะแนนเต็ม]]),"",(tbl_task7[94]/tbl_task7[[คะแนนเต็ม]:[คะแนนเต็ม]])*tbl_task7[[%]:[%]])</f>
        <v/>
      </c>
      <c r="JE7" s="121" t="str">
        <f>IF(ISBLANK(tbl_task7[[คะแนนเต็ม]:[คะแนนเต็ม]]),"",(tbl_task7[95]/tbl_task7[[คะแนนเต็ม]:[คะแนนเต็ม]])*tbl_task7[[%]:[%]])</f>
        <v/>
      </c>
      <c r="JF7" s="121" t="str">
        <f>IF(ISBLANK(tbl_task7[[คะแนนเต็ม]:[คะแนนเต็ม]]),"",(tbl_task7[96]/tbl_task7[[คะแนนเต็ม]:[คะแนนเต็ม]])*tbl_task7[[%]:[%]])</f>
        <v/>
      </c>
      <c r="JG7" s="121" t="str">
        <f>IF(ISBLANK(tbl_task7[[คะแนนเต็ม]:[คะแนนเต็ม]]),"",(tbl_task7[97]/tbl_task7[[คะแนนเต็ม]:[คะแนนเต็ม]])*tbl_task7[[%]:[%]])</f>
        <v/>
      </c>
      <c r="JH7" s="121" t="str">
        <f>IF(ISBLANK(tbl_task7[[คะแนนเต็ม]:[คะแนนเต็ม]]),"",(tbl_task7[98]/tbl_task7[[คะแนนเต็ม]:[คะแนนเต็ม]])*tbl_task7[[%]:[%]])</f>
        <v/>
      </c>
      <c r="JI7" s="121" t="str">
        <f>IF(ISBLANK(tbl_task7[[คะแนนเต็ม]:[คะแนนเต็ม]]),"",(tbl_task7[99]/tbl_task7[[คะแนนเต็ม]:[คะแนนเต็ม]])*tbl_task7[[%]:[%]])</f>
        <v/>
      </c>
      <c r="JJ7" s="121" t="str">
        <f>IF(ISBLANK(tbl_task7[[คะแนนเต็ม]:[คะแนนเต็ม]]),"",(tbl_task7[100]/tbl_task7[[คะแนนเต็ม]:[คะแนนเต็ม]])*tbl_task7[[%]:[%]])</f>
        <v/>
      </c>
      <c r="JK7" s="121" t="str">
        <f>IF(ISBLANK(tbl_task7[[คะแนนเต็ม]:[คะแนนเต็ม]]),"",(tbl_task7[101]/tbl_task7[[คะแนนเต็ม]:[คะแนนเต็ม]])*tbl_task7[[%]:[%]])</f>
        <v/>
      </c>
      <c r="JL7" s="121" t="str">
        <f>IF(ISBLANK(tbl_task7[[คะแนนเต็ม]:[คะแนนเต็ม]]),"",(tbl_task7[102]/tbl_task7[[คะแนนเต็ม]:[คะแนนเต็ม]])*tbl_task7[[%]:[%]])</f>
        <v/>
      </c>
      <c r="JM7" s="121" t="str">
        <f>IF(ISBLANK(tbl_task7[[คะแนนเต็ม]:[คะแนนเต็ม]]),"",(tbl_task7[103]/tbl_task7[[คะแนนเต็ม]:[คะแนนเต็ม]])*tbl_task7[[%]:[%]])</f>
        <v/>
      </c>
      <c r="JN7" s="121" t="str">
        <f>IF(ISBLANK(tbl_task7[[คะแนนเต็ม]:[คะแนนเต็ม]]),"",(tbl_task7[104]/tbl_task7[[คะแนนเต็ม]:[คะแนนเต็ม]])*tbl_task7[[%]:[%]])</f>
        <v/>
      </c>
      <c r="JO7" s="121" t="str">
        <f>IF(ISBLANK(tbl_task7[[คะแนนเต็ม]:[คะแนนเต็ม]]),"",(tbl_task7[105]/tbl_task7[[คะแนนเต็ม]:[คะแนนเต็ม]])*tbl_task7[[%]:[%]])</f>
        <v/>
      </c>
      <c r="JP7" s="121" t="str">
        <f>IF(ISBLANK(tbl_task7[[คะแนนเต็ม]:[คะแนนเต็ม]]),"",(tbl_task7[106]/tbl_task7[[คะแนนเต็ม]:[คะแนนเต็ม]])*tbl_task7[[%]:[%]])</f>
        <v/>
      </c>
      <c r="JQ7" s="121" t="str">
        <f>IF(ISBLANK(tbl_task7[[คะแนนเต็ม]:[คะแนนเต็ม]]),"",(tbl_task7[107]/tbl_task7[[คะแนนเต็ม]:[คะแนนเต็ม]])*tbl_task7[[%]:[%]])</f>
        <v/>
      </c>
      <c r="JR7" s="121" t="str">
        <f>IF(ISBLANK(tbl_task7[[คะแนนเต็ม]:[คะแนนเต็ม]]),"",(tbl_task7[108]/tbl_task7[[คะแนนเต็ม]:[คะแนนเต็ม]])*tbl_task7[[%]:[%]])</f>
        <v/>
      </c>
      <c r="JS7" s="121" t="str">
        <f>IF(ISBLANK(tbl_task7[[คะแนนเต็ม]:[คะแนนเต็ม]]),"",(tbl_task7[109]/tbl_task7[[คะแนนเต็ม]:[คะแนนเต็ม]])*tbl_task7[[%]:[%]])</f>
        <v/>
      </c>
      <c r="JT7" s="121" t="str">
        <f>IF(ISBLANK(tbl_task7[[คะแนนเต็ม]:[คะแนนเต็ม]]),"",(tbl_task7[110]/tbl_task7[[คะแนนเต็ม]:[คะแนนเต็ม]])*tbl_task7[[%]:[%]])</f>
        <v/>
      </c>
      <c r="JU7" s="121" t="str">
        <f>IF(ISBLANK(tbl_task7[[คะแนนเต็ม]:[คะแนนเต็ม]]),"",(tbl_task7[111]/tbl_task7[[คะแนนเต็ม]:[คะแนนเต็ม]])*tbl_task7[[%]:[%]])</f>
        <v/>
      </c>
      <c r="JV7" s="121" t="str">
        <f>IF(ISBLANK(tbl_task7[[คะแนนเต็ม]:[คะแนนเต็ม]]),"",(tbl_task7[112]/tbl_task7[[คะแนนเต็ม]:[คะแนนเต็ม]])*tbl_task7[[%]:[%]])</f>
        <v/>
      </c>
      <c r="JW7" s="121" t="str">
        <f>IF(ISBLANK(tbl_task7[[คะแนนเต็ม]:[คะแนนเต็ม]]),"",(tbl_task7[113]/tbl_task7[[คะแนนเต็ม]:[คะแนนเต็ม]])*tbl_task7[[%]:[%]])</f>
        <v/>
      </c>
      <c r="JX7" s="121" t="str">
        <f>IF(ISBLANK(tbl_task7[[คะแนนเต็ม]:[คะแนนเต็ม]]),"",(tbl_task7[114]/tbl_task7[[คะแนนเต็ม]:[คะแนนเต็ม]])*tbl_task7[[%]:[%]])</f>
        <v/>
      </c>
      <c r="JY7" s="121" t="str">
        <f>IF(ISBLANK(tbl_task7[[คะแนนเต็ม]:[คะแนนเต็ม]]),"",(tbl_task7[115]/tbl_task7[[คะแนนเต็ม]:[คะแนนเต็ม]])*tbl_task7[[%]:[%]])</f>
        <v/>
      </c>
      <c r="JZ7" s="121" t="str">
        <f>IF(ISBLANK(tbl_task7[[คะแนนเต็ม]:[คะแนนเต็ม]]),"",(tbl_task7[116]/tbl_task7[[คะแนนเต็ม]:[คะแนนเต็ม]])*tbl_task7[[%]:[%]])</f>
        <v/>
      </c>
      <c r="KA7" s="121" t="str">
        <f>IF(ISBLANK(tbl_task7[[คะแนนเต็ม]:[คะแนนเต็ม]]),"",(tbl_task7[117]/tbl_task7[[คะแนนเต็ม]:[คะแนนเต็ม]])*tbl_task7[[%]:[%]])</f>
        <v/>
      </c>
      <c r="KB7" s="121" t="str">
        <f>IF(ISBLANK(tbl_task7[[คะแนนเต็ม]:[คะแนนเต็ม]]),"",(tbl_task7[118]/tbl_task7[[คะแนนเต็ม]:[คะแนนเต็ม]])*tbl_task7[[%]:[%]])</f>
        <v/>
      </c>
      <c r="KC7" s="121" t="str">
        <f>IF(ISBLANK(tbl_task7[[คะแนนเต็ม]:[คะแนนเต็ม]]),"",(tbl_task7[119]/tbl_task7[[คะแนนเต็ม]:[คะแนนเต็ม]])*tbl_task7[[%]:[%]])</f>
        <v/>
      </c>
      <c r="KD7" s="121" t="str">
        <f>IF(ISBLANK(tbl_task7[[คะแนนเต็ม]:[คะแนนเต็ม]]),"",(tbl_task7[120]/tbl_task7[[คะแนนเต็ม]:[คะแนนเต็ม]])*tbl_task7[[%]:[%]])</f>
        <v/>
      </c>
      <c r="KE7" s="121" t="str">
        <f>IF(ISBLANK(tbl_task7[[คะแนนเต็ม]:[คะแนนเต็ม]]),"",(tbl_task7[121]/tbl_task7[[คะแนนเต็ม]:[คะแนนเต็ม]])*tbl_task7[[%]:[%]])</f>
        <v/>
      </c>
      <c r="KF7" s="121" t="str">
        <f>IF(ISBLANK(tbl_task7[[คะแนนเต็ม]:[คะแนนเต็ม]]),"",(tbl_task7[122]/tbl_task7[[คะแนนเต็ม]:[คะแนนเต็ม]])*tbl_task7[[%]:[%]])</f>
        <v/>
      </c>
      <c r="KG7" s="121" t="str">
        <f>IF(ISBLANK(tbl_task7[[คะแนนเต็ม]:[คะแนนเต็ม]]),"",(tbl_task7[123]/tbl_task7[[คะแนนเต็ม]:[คะแนนเต็ม]])*tbl_task7[[%]:[%]])</f>
        <v/>
      </c>
      <c r="KH7" s="121" t="str">
        <f>IF(ISBLANK(tbl_task7[[คะแนนเต็ม]:[คะแนนเต็ม]]),"",(tbl_task7[124]/tbl_task7[[คะแนนเต็ม]:[คะแนนเต็ม]])*tbl_task7[[%]:[%]])</f>
        <v/>
      </c>
      <c r="KI7" s="121" t="str">
        <f>IF(ISBLANK(tbl_task7[[คะแนนเต็ม]:[คะแนนเต็ม]]),"",(tbl_task7[125]/tbl_task7[[คะแนนเต็ม]:[คะแนนเต็ม]])*tbl_task7[[%]:[%]])</f>
        <v/>
      </c>
      <c r="KJ7" s="121" t="str">
        <f>IF(ISBLANK(tbl_task7[[คะแนนเต็ม]:[คะแนนเต็ม]]),"",(tbl_task7[126]/tbl_task7[[คะแนนเต็ม]:[คะแนนเต็ม]])*tbl_task7[[%]:[%]])</f>
        <v/>
      </c>
      <c r="KK7" s="121" t="str">
        <f>IF(ISBLANK(tbl_task7[[คะแนนเต็ม]:[คะแนนเต็ม]]),"",(tbl_task7[127]/tbl_task7[[คะแนนเต็ม]:[คะแนนเต็ม]])*tbl_task7[[%]:[%]])</f>
        <v/>
      </c>
      <c r="KL7" s="121" t="str">
        <f>IF(ISBLANK(tbl_task7[[คะแนนเต็ม]:[คะแนนเต็ม]]),"",(tbl_task7[128]/tbl_task7[[คะแนนเต็ม]:[คะแนนเต็ม]])*tbl_task7[[%]:[%]])</f>
        <v/>
      </c>
      <c r="KM7" s="121" t="str">
        <f>IF(ISBLANK(tbl_task7[[คะแนนเต็ม]:[คะแนนเต็ม]]),"",(tbl_task7[129]/tbl_task7[[คะแนนเต็ม]:[คะแนนเต็ม]])*tbl_task7[[%]:[%]])</f>
        <v/>
      </c>
      <c r="KN7" s="121" t="str">
        <f>IF(ISBLANK(tbl_task7[[คะแนนเต็ม]:[คะแนนเต็ม]]),"",(tbl_task7[130]/tbl_task7[[คะแนนเต็ม]:[คะแนนเต็ม]])*tbl_task7[[%]:[%]])</f>
        <v/>
      </c>
      <c r="KO7" s="121" t="str">
        <f>IF(ISBLANK(tbl_task7[[คะแนนเต็ม]:[คะแนนเต็ม]]),"",(tbl_task7[131]/tbl_task7[[คะแนนเต็ม]:[คะแนนเต็ม]])*tbl_task7[[%]:[%]])</f>
        <v/>
      </c>
      <c r="KP7" s="121" t="str">
        <f>IF(ISBLANK(tbl_task7[[คะแนนเต็ม]:[คะแนนเต็ม]]),"",(tbl_task7[132]/tbl_task7[[คะแนนเต็ม]:[คะแนนเต็ม]])*tbl_task7[[%]:[%]])</f>
        <v/>
      </c>
      <c r="KQ7" s="121" t="str">
        <f>IF(ISBLANK(tbl_task7[[คะแนนเต็ม]:[คะแนนเต็ม]]),"",(tbl_task7[133]/tbl_task7[[คะแนนเต็ม]:[คะแนนเต็ม]])*tbl_task7[[%]:[%]])</f>
        <v/>
      </c>
      <c r="KR7" s="121" t="str">
        <f>IF(ISBLANK(tbl_task7[[คะแนนเต็ม]:[คะแนนเต็ม]]),"",(tbl_task7[134]/tbl_task7[[คะแนนเต็ม]:[คะแนนเต็ม]])*tbl_task7[[%]:[%]])</f>
        <v/>
      </c>
      <c r="KS7" s="121" t="str">
        <f>IF(ISBLANK(tbl_task7[[คะแนนเต็ม]:[คะแนนเต็ม]]),"",(tbl_task7[135]/tbl_task7[[คะแนนเต็ม]:[คะแนนเต็ม]])*tbl_task7[[%]:[%]])</f>
        <v/>
      </c>
      <c r="KT7" s="121" t="str">
        <f>IF(ISBLANK(tbl_task7[[คะแนนเต็ม]:[คะแนนเต็ม]]),"",(tbl_task7[136]/tbl_task7[[คะแนนเต็ม]:[คะแนนเต็ม]])*tbl_task7[[%]:[%]])</f>
        <v/>
      </c>
      <c r="KU7" s="121" t="str">
        <f>IF(ISBLANK(tbl_task7[[คะแนนเต็ม]:[คะแนนเต็ม]]),"",(tbl_task7[137]/tbl_task7[[คะแนนเต็ม]:[คะแนนเต็ม]])*tbl_task7[[%]:[%]])</f>
        <v/>
      </c>
      <c r="KV7" s="121" t="str">
        <f>IF(ISBLANK(tbl_task7[[คะแนนเต็ม]:[คะแนนเต็ม]]),"",(tbl_task7[138]/tbl_task7[[คะแนนเต็ม]:[คะแนนเต็ม]])*tbl_task7[[%]:[%]])</f>
        <v/>
      </c>
      <c r="KW7" s="121" t="str">
        <f>IF(ISBLANK(tbl_task7[[คะแนนเต็ม]:[คะแนนเต็ม]]),"",(tbl_task7[139]/tbl_task7[[คะแนนเต็ม]:[คะแนนเต็ม]])*tbl_task7[[%]:[%]])</f>
        <v/>
      </c>
      <c r="KX7" s="121" t="str">
        <f>IF(ISBLANK(tbl_task7[[คะแนนเต็ม]:[คะแนนเต็ม]]),"",(tbl_task7[140]/tbl_task7[[คะแนนเต็ม]:[คะแนนเต็ม]])*tbl_task7[[%]:[%]])</f>
        <v/>
      </c>
      <c r="KY7" s="121" t="str">
        <f>IF(ISBLANK(tbl_task7[[คะแนนเต็ม]:[คะแนนเต็ม]]),"",(tbl_task7[141]/tbl_task7[[คะแนนเต็ม]:[คะแนนเต็ม]])*tbl_task7[[%]:[%]])</f>
        <v/>
      </c>
      <c r="KZ7" s="121" t="str">
        <f>IF(ISBLANK(tbl_task7[[คะแนนเต็ม]:[คะแนนเต็ม]]),"",(tbl_task7[142]/tbl_task7[[คะแนนเต็ม]:[คะแนนเต็ม]])*tbl_task7[[%]:[%]])</f>
        <v/>
      </c>
      <c r="LA7" s="121" t="str">
        <f>IF(ISBLANK(tbl_task7[[คะแนนเต็ม]:[คะแนนเต็ม]]),"",(tbl_task7[143]/tbl_task7[[คะแนนเต็ม]:[คะแนนเต็ม]])*tbl_task7[[%]:[%]])</f>
        <v/>
      </c>
      <c r="LB7" s="121" t="str">
        <f>IF(ISBLANK(tbl_task7[[คะแนนเต็ม]:[คะแนนเต็ม]]),"",(tbl_task7[144]/tbl_task7[[คะแนนเต็ม]:[คะแนนเต็ม]])*tbl_task7[[%]:[%]])</f>
        <v/>
      </c>
      <c r="LC7" s="121" t="str">
        <f>IF(ISBLANK(tbl_task7[[คะแนนเต็ม]:[คะแนนเต็ม]]),"",(tbl_task7[145]/tbl_task7[[คะแนนเต็ม]:[คะแนนเต็ม]])*tbl_task7[[%]:[%]])</f>
        <v/>
      </c>
      <c r="LD7" s="121" t="str">
        <f>IF(ISBLANK(tbl_task7[[คะแนนเต็ม]:[คะแนนเต็ม]]),"",(tbl_task7[146]/tbl_task7[[คะแนนเต็ม]:[คะแนนเต็ม]])*tbl_task7[[%]:[%]])</f>
        <v/>
      </c>
      <c r="LE7" s="121" t="str">
        <f>IF(ISBLANK(tbl_task7[[คะแนนเต็ม]:[คะแนนเต็ม]]),"",(tbl_task7[147]/tbl_task7[[คะแนนเต็ม]:[คะแนนเต็ม]])*tbl_task7[[%]:[%]])</f>
        <v/>
      </c>
      <c r="LF7" s="121" t="str">
        <f>IF(ISBLANK(tbl_task7[[คะแนนเต็ม]:[คะแนนเต็ม]]),"",(tbl_task7[148]/tbl_task7[[คะแนนเต็ม]:[คะแนนเต็ม]])*tbl_task7[[%]:[%]])</f>
        <v/>
      </c>
      <c r="LG7" s="121" t="str">
        <f>IF(ISBLANK(tbl_task7[[คะแนนเต็ม]:[คะแนนเต็ม]]),"",(tbl_task7[149]/tbl_task7[[คะแนนเต็ม]:[คะแนนเต็ม]])*tbl_task7[[%]:[%]])</f>
        <v/>
      </c>
      <c r="LH7" s="121" t="str">
        <f>IF(ISBLANK(tbl_task7[[คะแนนเต็ม]:[คะแนนเต็ม]]),"",(tbl_task7[150]/tbl_task7[[คะแนนเต็ม]:[คะแนนเต็ม]])*tbl_task7[[%]:[%]])</f>
        <v/>
      </c>
      <c r="LI7" s="121" t="str">
        <f>IF(ISBLANK(tbl_task7[[คะแนนเต็ม]:[คะแนนเต็ม]]),"",(tbl_task7[151]/tbl_task7[[คะแนนเต็ม]:[คะแนนเต็ม]])*tbl_task7[[%]:[%]])</f>
        <v/>
      </c>
      <c r="LJ7" s="121" t="str">
        <f>IF(ISBLANK(tbl_task7[[คะแนนเต็ม]:[คะแนนเต็ม]]),"",(tbl_task7[152]/tbl_task7[[คะแนนเต็ม]:[คะแนนเต็ม]])*tbl_task7[[%]:[%]])</f>
        <v/>
      </c>
      <c r="LK7" s="121" t="str">
        <f>IF(ISBLANK(tbl_task7[[คะแนนเต็ม]:[คะแนนเต็ม]]),"",(tbl_task7[153]/tbl_task7[[คะแนนเต็ม]:[คะแนนเต็ม]])*tbl_task7[[%]:[%]])</f>
        <v/>
      </c>
      <c r="LL7" s="121" t="str">
        <f>IF(ISBLANK(tbl_task7[[คะแนนเต็ม]:[คะแนนเต็ม]]),"",(tbl_task7[154]/tbl_task7[[คะแนนเต็ม]:[คะแนนเต็ม]])*tbl_task7[[%]:[%]])</f>
        <v/>
      </c>
      <c r="LM7" s="121" t="str">
        <f>IF(ISBLANK(tbl_task7[[คะแนนเต็ม]:[คะแนนเต็ม]]),"",(tbl_task7[155]/tbl_task7[[คะแนนเต็ม]:[คะแนนเต็ม]])*tbl_task7[[%]:[%]])</f>
        <v/>
      </c>
      <c r="LN7" s="121" t="str">
        <f>IF(ISBLANK(tbl_task7[[คะแนนเต็ม]:[คะแนนเต็ม]]),"",(tbl_task7[156]/tbl_task7[[คะแนนเต็ม]:[คะแนนเต็ม]])*tbl_task7[[%]:[%]])</f>
        <v/>
      </c>
      <c r="LO7" s="121" t="str">
        <f>IF(ISBLANK(tbl_task7[[คะแนนเต็ม]:[คะแนนเต็ม]]),"",(tbl_task7[157]/tbl_task7[[คะแนนเต็ม]:[คะแนนเต็ม]])*tbl_task7[[%]:[%]])</f>
        <v/>
      </c>
      <c r="LP7" s="121" t="str">
        <f>IF(ISBLANK(tbl_task7[[คะแนนเต็ม]:[คะแนนเต็ม]]),"",(tbl_task7[158]/tbl_task7[[คะแนนเต็ม]:[คะแนนเต็ม]])*tbl_task7[[%]:[%]])</f>
        <v/>
      </c>
      <c r="LQ7" s="121" t="str">
        <f>IF(ISBLANK(tbl_task7[[คะแนนเต็ม]:[คะแนนเต็ม]]),"",(tbl_task7[159]/tbl_task7[[คะแนนเต็ม]:[คะแนนเต็ม]])*tbl_task7[[%]:[%]])</f>
        <v/>
      </c>
      <c r="LR7" s="121" t="str">
        <f>IF(ISBLANK(tbl_task7[[คะแนนเต็ม]:[คะแนนเต็ม]]),"",(tbl_task7[160]/tbl_task7[[คะแนนเต็ม]:[คะแนนเต็ม]])*tbl_task7[[%]:[%]])</f>
        <v/>
      </c>
      <c r="LS7" s="121" t="str">
        <f>IF(ISBLANK(tbl_task7[[คะแนนเต็ม]:[คะแนนเต็ม]]),"",(tbl_task7[161]/tbl_task7[[คะแนนเต็ม]:[คะแนนเต็ม]])*tbl_task7[[%]:[%]])</f>
        <v/>
      </c>
      <c r="LT7" s="121" t="str">
        <f>IF(ISBLANK(tbl_task7[[คะแนนเต็ม]:[คะแนนเต็ม]]),"",(tbl_task7[162]/tbl_task7[[คะแนนเต็ม]:[คะแนนเต็ม]])*tbl_task7[[%]:[%]])</f>
        <v/>
      </c>
      <c r="LU7" s="121" t="str">
        <f>IF(ISBLANK(tbl_task7[[คะแนนเต็ม]:[คะแนนเต็ม]]),"",(tbl_task7[163]/tbl_task7[[คะแนนเต็ม]:[คะแนนเต็ม]])*tbl_task7[[%]:[%]])</f>
        <v/>
      </c>
      <c r="LV7" s="121" t="str">
        <f>IF(ISBLANK(tbl_task7[[คะแนนเต็ม]:[คะแนนเต็ม]]),"",(tbl_task7[164]/tbl_task7[[คะแนนเต็ม]:[คะแนนเต็ม]])*tbl_task7[[%]:[%]])</f>
        <v/>
      </c>
      <c r="LW7" s="121" t="str">
        <f>IF(ISBLANK(tbl_task7[[คะแนนเต็ม]:[คะแนนเต็ม]]),"",(tbl_task7[165]/tbl_task7[[คะแนนเต็ม]:[คะแนนเต็ม]])*tbl_task7[[%]:[%]])</f>
        <v/>
      </c>
    </row>
    <row r="8" spans="1:335" ht="24.75" customHeight="1" x14ac:dyDescent="0.25">
      <c r="A8" s="24">
        <v>5</v>
      </c>
      <c r="B8" s="33"/>
      <c r="C8" s="5" t="str">
        <f>IF(ISBLANK(B8),"",VLOOKUP(B8,tbl_PLOs[],2,0))</f>
        <v/>
      </c>
      <c r="D8" s="102"/>
      <c r="E8" s="10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22"/>
      <c r="FO8" s="121" t="str">
        <f>IF(ISBLANK(tbl_task7[[คะแนนเต็ม]:[คะแนนเต็ม]]),"",(tbl_task7[1]/tbl_task7[[คะแนนเต็ม]:[คะแนนเต็ม]])*tbl_task7[[%]:[%]])</f>
        <v/>
      </c>
      <c r="FP8" s="121" t="str">
        <f>IF(ISBLANK(tbl_task7[[คะแนนเต็ม]:[คะแนนเต็ม]]),"",(tbl_task7[2]/tbl_task7[[คะแนนเต็ม]:[คะแนนเต็ม]])*tbl_task7[[%]:[%]])</f>
        <v/>
      </c>
      <c r="FQ8" s="121" t="str">
        <f>IF(ISBLANK(tbl_task7[[คะแนนเต็ม]:[คะแนนเต็ม]]),"",(tbl_task7[3]/tbl_task7[[คะแนนเต็ม]:[คะแนนเต็ม]])*tbl_task7[[%]:[%]])</f>
        <v/>
      </c>
      <c r="FR8" s="121" t="str">
        <f>IF(ISBLANK(tbl_task7[[คะแนนเต็ม]:[คะแนนเต็ม]]),"",(tbl_task7[4]/tbl_task7[[คะแนนเต็ม]:[คะแนนเต็ม]])*tbl_task7[[%]:[%]])</f>
        <v/>
      </c>
      <c r="FS8" s="121" t="str">
        <f>IF(ISBLANK(tbl_task7[[คะแนนเต็ม]:[คะแนนเต็ม]]),"",(tbl_task7[5]/tbl_task7[[คะแนนเต็ม]:[คะแนนเต็ม]])*tbl_task7[[%]:[%]])</f>
        <v/>
      </c>
      <c r="FT8" s="121" t="str">
        <f>IF(ISBLANK(tbl_task7[[คะแนนเต็ม]:[คะแนนเต็ม]]),"",(tbl_task7[6]/tbl_task7[[คะแนนเต็ม]:[คะแนนเต็ม]])*tbl_task7[[%]:[%]])</f>
        <v/>
      </c>
      <c r="FU8" s="121" t="str">
        <f>IF(ISBLANK(tbl_task7[[คะแนนเต็ม]:[คะแนนเต็ม]]),"",(tbl_task7[7]/tbl_task7[[คะแนนเต็ม]:[คะแนนเต็ม]])*tbl_task7[[%]:[%]])</f>
        <v/>
      </c>
      <c r="FV8" s="121" t="str">
        <f>IF(ISBLANK(tbl_task7[[คะแนนเต็ม]:[คะแนนเต็ม]]),"",(tbl_task7[8]/tbl_task7[[คะแนนเต็ม]:[คะแนนเต็ม]])*tbl_task7[[%]:[%]])</f>
        <v/>
      </c>
      <c r="FW8" s="121" t="str">
        <f>IF(ISBLANK(tbl_task7[[คะแนนเต็ม]:[คะแนนเต็ม]]),"",(tbl_task7[9]/tbl_task7[[คะแนนเต็ม]:[คะแนนเต็ม]])*tbl_task7[[%]:[%]])</f>
        <v/>
      </c>
      <c r="FX8" s="121" t="str">
        <f>IF(ISBLANK(tbl_task7[[คะแนนเต็ม]:[คะแนนเต็ม]]),"",(tbl_task7[10]/tbl_task7[[คะแนนเต็ม]:[คะแนนเต็ม]])*tbl_task7[[%]:[%]])</f>
        <v/>
      </c>
      <c r="FY8" s="121" t="str">
        <f>IF(ISBLANK(tbl_task7[[คะแนนเต็ม]:[คะแนนเต็ม]]),"",(tbl_task7[11]/tbl_task7[[คะแนนเต็ม]:[คะแนนเต็ม]])*tbl_task7[[%]:[%]])</f>
        <v/>
      </c>
      <c r="FZ8" s="121" t="str">
        <f>IF(ISBLANK(tbl_task7[[คะแนนเต็ม]:[คะแนนเต็ม]]),"",(tbl_task7[12]/tbl_task7[[คะแนนเต็ม]:[คะแนนเต็ม]])*tbl_task7[[%]:[%]])</f>
        <v/>
      </c>
      <c r="GA8" s="121" t="str">
        <f>IF(ISBLANK(tbl_task7[[คะแนนเต็ม]:[คะแนนเต็ม]]),"",(tbl_task7[13]/tbl_task7[[คะแนนเต็ม]:[คะแนนเต็ม]])*tbl_task7[[%]:[%]])</f>
        <v/>
      </c>
      <c r="GB8" s="121" t="str">
        <f>IF(ISBLANK(tbl_task7[[คะแนนเต็ม]:[คะแนนเต็ม]]),"",(tbl_task7[14]/tbl_task7[[คะแนนเต็ม]:[คะแนนเต็ม]])*tbl_task7[[%]:[%]])</f>
        <v/>
      </c>
      <c r="GC8" s="121" t="str">
        <f>IF(ISBLANK(tbl_task7[[คะแนนเต็ม]:[คะแนนเต็ม]]),"",(tbl_task7[15]/tbl_task7[[คะแนนเต็ม]:[คะแนนเต็ม]])*tbl_task7[[%]:[%]])</f>
        <v/>
      </c>
      <c r="GD8" s="121" t="str">
        <f>IF(ISBLANK(tbl_task7[[คะแนนเต็ม]:[คะแนนเต็ม]]),"",(tbl_task7[16]/tbl_task7[[คะแนนเต็ม]:[คะแนนเต็ม]])*tbl_task7[[%]:[%]])</f>
        <v/>
      </c>
      <c r="GE8" s="121" t="str">
        <f>IF(ISBLANK(tbl_task7[[คะแนนเต็ม]:[คะแนนเต็ม]]),"",(tbl_task7[17]/tbl_task7[[คะแนนเต็ม]:[คะแนนเต็ม]])*tbl_task7[[%]:[%]])</f>
        <v/>
      </c>
      <c r="GF8" s="121" t="str">
        <f>IF(ISBLANK(tbl_task7[[คะแนนเต็ม]:[คะแนนเต็ม]]),"",(tbl_task7[18]/tbl_task7[[คะแนนเต็ม]:[คะแนนเต็ม]])*tbl_task7[[%]:[%]])</f>
        <v/>
      </c>
      <c r="GG8" s="121" t="str">
        <f>IF(ISBLANK(tbl_task7[[คะแนนเต็ม]:[คะแนนเต็ม]]),"",(tbl_task7[19]/tbl_task7[[คะแนนเต็ม]:[คะแนนเต็ม]])*tbl_task7[[%]:[%]])</f>
        <v/>
      </c>
      <c r="GH8" s="121" t="str">
        <f>IF(ISBLANK(tbl_task7[[คะแนนเต็ม]:[คะแนนเต็ม]]),"",(tbl_task7[20]/tbl_task7[[คะแนนเต็ม]:[คะแนนเต็ม]])*tbl_task7[[%]:[%]])</f>
        <v/>
      </c>
      <c r="GI8" s="121" t="str">
        <f>IF(ISBLANK(tbl_task7[[คะแนนเต็ม]:[คะแนนเต็ม]]),"",(tbl_task7[21]/tbl_task7[[คะแนนเต็ม]:[คะแนนเต็ม]])*tbl_task7[[%]:[%]])</f>
        <v/>
      </c>
      <c r="GJ8" s="121" t="str">
        <f>IF(ISBLANK(tbl_task7[[คะแนนเต็ม]:[คะแนนเต็ม]]),"",(tbl_task7[22]/tbl_task7[[คะแนนเต็ม]:[คะแนนเต็ม]])*tbl_task7[[%]:[%]])</f>
        <v/>
      </c>
      <c r="GK8" s="121" t="str">
        <f>IF(ISBLANK(tbl_task7[[คะแนนเต็ม]:[คะแนนเต็ม]]),"",(tbl_task7[23]/tbl_task7[[คะแนนเต็ม]:[คะแนนเต็ม]])*tbl_task7[[%]:[%]])</f>
        <v/>
      </c>
      <c r="GL8" s="121" t="str">
        <f>IF(ISBLANK(tbl_task7[[คะแนนเต็ม]:[คะแนนเต็ม]]),"",(tbl_task7[24]/tbl_task7[[คะแนนเต็ม]:[คะแนนเต็ม]])*tbl_task7[[%]:[%]])</f>
        <v/>
      </c>
      <c r="GM8" s="121" t="str">
        <f>IF(ISBLANK(tbl_task7[[คะแนนเต็ม]:[คะแนนเต็ม]]),"",(tbl_task7[25]/tbl_task7[[คะแนนเต็ม]:[คะแนนเต็ม]])*tbl_task7[[%]:[%]])</f>
        <v/>
      </c>
      <c r="GN8" s="121" t="str">
        <f>IF(ISBLANK(tbl_task7[[คะแนนเต็ม]:[คะแนนเต็ม]]),"",(tbl_task7[26]/tbl_task7[[คะแนนเต็ม]:[คะแนนเต็ม]])*tbl_task7[[%]:[%]])</f>
        <v/>
      </c>
      <c r="GO8" s="121" t="str">
        <f>IF(ISBLANK(tbl_task7[[คะแนนเต็ม]:[คะแนนเต็ม]]),"",(tbl_task7[27]/tbl_task7[[คะแนนเต็ม]:[คะแนนเต็ม]])*tbl_task7[[%]:[%]])</f>
        <v/>
      </c>
      <c r="GP8" s="121" t="str">
        <f>IF(ISBLANK(tbl_task7[[คะแนนเต็ม]:[คะแนนเต็ม]]),"",(tbl_task7[28]/tbl_task7[[คะแนนเต็ม]:[คะแนนเต็ม]])*tbl_task7[[%]:[%]])</f>
        <v/>
      </c>
      <c r="GQ8" s="121" t="str">
        <f>IF(ISBLANK(tbl_task7[[คะแนนเต็ม]:[คะแนนเต็ม]]),"",(tbl_task7[29]/tbl_task7[[คะแนนเต็ม]:[คะแนนเต็ม]])*tbl_task7[[%]:[%]])</f>
        <v/>
      </c>
      <c r="GR8" s="121" t="str">
        <f>IF(ISBLANK(tbl_task7[[คะแนนเต็ม]:[คะแนนเต็ม]]),"",(tbl_task7[30]/tbl_task7[[คะแนนเต็ม]:[คะแนนเต็ม]])*tbl_task7[[%]:[%]])</f>
        <v/>
      </c>
      <c r="GS8" s="121" t="str">
        <f>IF(ISBLANK(tbl_task7[[คะแนนเต็ม]:[คะแนนเต็ม]]),"",(tbl_task7[31]/tbl_task7[[คะแนนเต็ม]:[คะแนนเต็ม]])*tbl_task7[[%]:[%]])</f>
        <v/>
      </c>
      <c r="GT8" s="121" t="str">
        <f>IF(ISBLANK(tbl_task7[[คะแนนเต็ม]:[คะแนนเต็ม]]),"",(tbl_task7[32]/tbl_task7[[คะแนนเต็ม]:[คะแนนเต็ม]])*tbl_task7[[%]:[%]])</f>
        <v/>
      </c>
      <c r="GU8" s="121" t="str">
        <f>IF(ISBLANK(tbl_task7[[คะแนนเต็ม]:[คะแนนเต็ม]]),"",(tbl_task7[33]/tbl_task7[[คะแนนเต็ม]:[คะแนนเต็ม]])*tbl_task7[[%]:[%]])</f>
        <v/>
      </c>
      <c r="GV8" s="121" t="str">
        <f>IF(ISBLANK(tbl_task7[[คะแนนเต็ม]:[คะแนนเต็ม]]),"",(tbl_task7[34]/tbl_task7[[คะแนนเต็ม]:[คะแนนเต็ม]])*tbl_task7[[%]:[%]])</f>
        <v/>
      </c>
      <c r="GW8" s="121" t="str">
        <f>IF(ISBLANK(tbl_task7[[คะแนนเต็ม]:[คะแนนเต็ม]]),"",(tbl_task7[35]/tbl_task7[[คะแนนเต็ม]:[คะแนนเต็ม]])*tbl_task7[[%]:[%]])</f>
        <v/>
      </c>
      <c r="GX8" s="121" t="str">
        <f>IF(ISBLANK(tbl_task7[[คะแนนเต็ม]:[คะแนนเต็ม]]),"",(tbl_task7[36]/tbl_task7[[คะแนนเต็ม]:[คะแนนเต็ม]])*tbl_task7[[%]:[%]])</f>
        <v/>
      </c>
      <c r="GY8" s="121" t="str">
        <f>IF(ISBLANK(tbl_task7[[คะแนนเต็ม]:[คะแนนเต็ม]]),"",(tbl_task7[37]/tbl_task7[[คะแนนเต็ม]:[คะแนนเต็ม]])*tbl_task7[[%]:[%]])</f>
        <v/>
      </c>
      <c r="GZ8" s="121" t="str">
        <f>IF(ISBLANK(tbl_task7[[คะแนนเต็ม]:[คะแนนเต็ม]]),"",(tbl_task7[38]/tbl_task7[[คะแนนเต็ม]:[คะแนนเต็ม]])*tbl_task7[[%]:[%]])</f>
        <v/>
      </c>
      <c r="HA8" s="121" t="str">
        <f>IF(ISBLANK(tbl_task7[[คะแนนเต็ม]:[คะแนนเต็ม]]),"",(tbl_task7[39]/tbl_task7[[คะแนนเต็ม]:[คะแนนเต็ม]])*tbl_task7[[%]:[%]])</f>
        <v/>
      </c>
      <c r="HB8" s="121" t="str">
        <f>IF(ISBLANK(tbl_task7[[คะแนนเต็ม]:[คะแนนเต็ม]]),"",(tbl_task7[40]/tbl_task7[[คะแนนเต็ม]:[คะแนนเต็ม]])*tbl_task7[[%]:[%]])</f>
        <v/>
      </c>
      <c r="HC8" s="121" t="str">
        <f>IF(ISBLANK(tbl_task7[[คะแนนเต็ม]:[คะแนนเต็ม]]),"",(tbl_task7[41]/tbl_task7[[คะแนนเต็ม]:[คะแนนเต็ม]])*tbl_task7[[%]:[%]])</f>
        <v/>
      </c>
      <c r="HD8" s="121" t="str">
        <f>IF(ISBLANK(tbl_task7[[คะแนนเต็ม]:[คะแนนเต็ม]]),"",(tbl_task7[42]/tbl_task7[[คะแนนเต็ม]:[คะแนนเต็ม]])*tbl_task7[[%]:[%]])</f>
        <v/>
      </c>
      <c r="HE8" s="121" t="str">
        <f>IF(ISBLANK(tbl_task7[[คะแนนเต็ม]:[คะแนนเต็ม]]),"",(tbl_task7[43]/tbl_task7[[คะแนนเต็ม]:[คะแนนเต็ม]])*tbl_task7[[%]:[%]])</f>
        <v/>
      </c>
      <c r="HF8" s="121" t="str">
        <f>IF(ISBLANK(tbl_task7[[คะแนนเต็ม]:[คะแนนเต็ม]]),"",(tbl_task7[44]/tbl_task7[[คะแนนเต็ม]:[คะแนนเต็ม]])*tbl_task7[[%]:[%]])</f>
        <v/>
      </c>
      <c r="HG8" s="121" t="str">
        <f>IF(ISBLANK(tbl_task7[[คะแนนเต็ม]:[คะแนนเต็ม]]),"",(tbl_task7[45]/tbl_task7[[คะแนนเต็ม]:[คะแนนเต็ม]])*tbl_task7[[%]:[%]])</f>
        <v/>
      </c>
      <c r="HH8" s="121" t="str">
        <f>IF(ISBLANK(tbl_task7[[คะแนนเต็ม]:[คะแนนเต็ม]]),"",(tbl_task7[46]/tbl_task7[[คะแนนเต็ม]:[คะแนนเต็ม]])*tbl_task7[[%]:[%]])</f>
        <v/>
      </c>
      <c r="HI8" s="121" t="str">
        <f>IF(ISBLANK(tbl_task7[[คะแนนเต็ม]:[คะแนนเต็ม]]),"",(tbl_task7[47]/tbl_task7[[คะแนนเต็ม]:[คะแนนเต็ม]])*tbl_task7[[%]:[%]])</f>
        <v/>
      </c>
      <c r="HJ8" s="121" t="str">
        <f>IF(ISBLANK(tbl_task7[[คะแนนเต็ม]:[คะแนนเต็ม]]),"",(tbl_task7[48]/tbl_task7[[คะแนนเต็ม]:[คะแนนเต็ม]])*tbl_task7[[%]:[%]])</f>
        <v/>
      </c>
      <c r="HK8" s="121" t="str">
        <f>IF(ISBLANK(tbl_task7[[คะแนนเต็ม]:[คะแนนเต็ม]]),"",(tbl_task7[49]/tbl_task7[[คะแนนเต็ม]:[คะแนนเต็ม]])*tbl_task7[[%]:[%]])</f>
        <v/>
      </c>
      <c r="HL8" s="121" t="str">
        <f>IF(ISBLANK(tbl_task7[[คะแนนเต็ม]:[คะแนนเต็ม]]),"",(tbl_task7[50]/tbl_task7[[คะแนนเต็ม]:[คะแนนเต็ม]])*tbl_task7[[%]:[%]])</f>
        <v/>
      </c>
      <c r="HM8" s="121" t="str">
        <f>IF(ISBLANK(tbl_task7[[คะแนนเต็ม]:[คะแนนเต็ม]]),"",(tbl_task7[51]/tbl_task7[[คะแนนเต็ม]:[คะแนนเต็ม]])*tbl_task7[[%]:[%]])</f>
        <v/>
      </c>
      <c r="HN8" s="121" t="str">
        <f>IF(ISBLANK(tbl_task7[[คะแนนเต็ม]:[คะแนนเต็ม]]),"",(tbl_task7[52]/tbl_task7[[คะแนนเต็ม]:[คะแนนเต็ม]])*tbl_task7[[%]:[%]])</f>
        <v/>
      </c>
      <c r="HO8" s="121" t="str">
        <f>IF(ISBLANK(tbl_task7[[คะแนนเต็ม]:[คะแนนเต็ม]]),"",(tbl_task7[53]/tbl_task7[[คะแนนเต็ม]:[คะแนนเต็ม]])*tbl_task7[[%]:[%]])</f>
        <v/>
      </c>
      <c r="HP8" s="121" t="str">
        <f>IF(ISBLANK(tbl_task7[[คะแนนเต็ม]:[คะแนนเต็ม]]),"",(tbl_task7[54]/tbl_task7[[คะแนนเต็ม]:[คะแนนเต็ม]])*tbl_task7[[%]:[%]])</f>
        <v/>
      </c>
      <c r="HQ8" s="121" t="str">
        <f>IF(ISBLANK(tbl_task7[[คะแนนเต็ม]:[คะแนนเต็ม]]),"",(tbl_task7[55]/tbl_task7[[คะแนนเต็ม]:[คะแนนเต็ม]])*tbl_task7[[%]:[%]])</f>
        <v/>
      </c>
      <c r="HR8" s="121" t="str">
        <f>IF(ISBLANK(tbl_task7[[คะแนนเต็ม]:[คะแนนเต็ม]]),"",(tbl_task7[56]/tbl_task7[[คะแนนเต็ม]:[คะแนนเต็ม]])*tbl_task7[[%]:[%]])</f>
        <v/>
      </c>
      <c r="HS8" s="121" t="str">
        <f>IF(ISBLANK(tbl_task7[[คะแนนเต็ม]:[คะแนนเต็ม]]),"",(tbl_task7[57]/tbl_task7[[คะแนนเต็ม]:[คะแนนเต็ม]])*tbl_task7[[%]:[%]])</f>
        <v/>
      </c>
      <c r="HT8" s="121" t="str">
        <f>IF(ISBLANK(tbl_task7[[คะแนนเต็ม]:[คะแนนเต็ม]]),"",(tbl_task7[58]/tbl_task7[[คะแนนเต็ม]:[คะแนนเต็ม]])*tbl_task7[[%]:[%]])</f>
        <v/>
      </c>
      <c r="HU8" s="121" t="str">
        <f>IF(ISBLANK(tbl_task7[[คะแนนเต็ม]:[คะแนนเต็ม]]),"",(tbl_task7[59]/tbl_task7[[คะแนนเต็ม]:[คะแนนเต็ม]])*tbl_task7[[%]:[%]])</f>
        <v/>
      </c>
      <c r="HV8" s="121" t="str">
        <f>IF(ISBLANK(tbl_task7[[คะแนนเต็ม]:[คะแนนเต็ม]]),"",(tbl_task7[60]/tbl_task7[[คะแนนเต็ม]:[คะแนนเต็ม]])*tbl_task7[[%]:[%]])</f>
        <v/>
      </c>
      <c r="HW8" s="121" t="str">
        <f>IF(ISBLANK(tbl_task7[[คะแนนเต็ม]:[คะแนนเต็ม]]),"",(tbl_task7[61]/tbl_task7[[คะแนนเต็ม]:[คะแนนเต็ม]])*tbl_task7[[%]:[%]])</f>
        <v/>
      </c>
      <c r="HX8" s="121" t="str">
        <f>IF(ISBLANK(tbl_task7[[คะแนนเต็ม]:[คะแนนเต็ม]]),"",(tbl_task7[62]/tbl_task7[[คะแนนเต็ม]:[คะแนนเต็ม]])*tbl_task7[[%]:[%]])</f>
        <v/>
      </c>
      <c r="HY8" s="121" t="str">
        <f>IF(ISBLANK(tbl_task7[[คะแนนเต็ม]:[คะแนนเต็ม]]),"",(tbl_task7[63]/tbl_task7[[คะแนนเต็ม]:[คะแนนเต็ม]])*tbl_task7[[%]:[%]])</f>
        <v/>
      </c>
      <c r="HZ8" s="121" t="str">
        <f>IF(ISBLANK(tbl_task7[[คะแนนเต็ม]:[คะแนนเต็ม]]),"",(tbl_task7[64]/tbl_task7[[คะแนนเต็ม]:[คะแนนเต็ม]])*tbl_task7[[%]:[%]])</f>
        <v/>
      </c>
      <c r="IA8" s="121" t="str">
        <f>IF(ISBLANK(tbl_task7[[คะแนนเต็ม]:[คะแนนเต็ม]]),"",(tbl_task7[65]/tbl_task7[[คะแนนเต็ม]:[คะแนนเต็ม]])*tbl_task7[[%]:[%]])</f>
        <v/>
      </c>
      <c r="IB8" s="121" t="str">
        <f>IF(ISBLANK(tbl_task7[[คะแนนเต็ม]:[คะแนนเต็ม]]),"",(tbl_task7[66]/tbl_task7[[คะแนนเต็ม]:[คะแนนเต็ม]])*tbl_task7[[%]:[%]])</f>
        <v/>
      </c>
      <c r="IC8" s="121" t="str">
        <f>IF(ISBLANK(tbl_task7[[คะแนนเต็ม]:[คะแนนเต็ม]]),"",(tbl_task7[67]/tbl_task7[[คะแนนเต็ม]:[คะแนนเต็ม]])*tbl_task7[[%]:[%]])</f>
        <v/>
      </c>
      <c r="ID8" s="121" t="str">
        <f>IF(ISBLANK(tbl_task7[[คะแนนเต็ม]:[คะแนนเต็ม]]),"",(tbl_task7[68]/tbl_task7[[คะแนนเต็ม]:[คะแนนเต็ม]])*tbl_task7[[%]:[%]])</f>
        <v/>
      </c>
      <c r="IE8" s="121" t="str">
        <f>IF(ISBLANK(tbl_task7[[คะแนนเต็ม]:[คะแนนเต็ม]]),"",(tbl_task7[69]/tbl_task7[[คะแนนเต็ม]:[คะแนนเต็ม]])*tbl_task7[[%]:[%]])</f>
        <v/>
      </c>
      <c r="IF8" s="121" t="str">
        <f>IF(ISBLANK(tbl_task7[[คะแนนเต็ม]:[คะแนนเต็ม]]),"",(tbl_task7[70]/tbl_task7[[คะแนนเต็ม]:[คะแนนเต็ม]])*tbl_task7[[%]:[%]])</f>
        <v/>
      </c>
      <c r="IG8" s="121" t="str">
        <f>IF(ISBLANK(tbl_task7[[คะแนนเต็ม]:[คะแนนเต็ม]]),"",(tbl_task7[71]/tbl_task7[[คะแนนเต็ม]:[คะแนนเต็ม]])*tbl_task7[[%]:[%]])</f>
        <v/>
      </c>
      <c r="IH8" s="121" t="str">
        <f>IF(ISBLANK(tbl_task7[[คะแนนเต็ม]:[คะแนนเต็ม]]),"",(tbl_task7[72]/tbl_task7[[คะแนนเต็ม]:[คะแนนเต็ม]])*tbl_task7[[%]:[%]])</f>
        <v/>
      </c>
      <c r="II8" s="121" t="str">
        <f>IF(ISBLANK(tbl_task7[[คะแนนเต็ม]:[คะแนนเต็ม]]),"",(tbl_task7[73]/tbl_task7[[คะแนนเต็ม]:[คะแนนเต็ม]])*tbl_task7[[%]:[%]])</f>
        <v/>
      </c>
      <c r="IJ8" s="121" t="str">
        <f>IF(ISBLANK(tbl_task7[[คะแนนเต็ม]:[คะแนนเต็ม]]),"",(tbl_task7[74]/tbl_task7[[คะแนนเต็ม]:[คะแนนเต็ม]])*tbl_task7[[%]:[%]])</f>
        <v/>
      </c>
      <c r="IK8" s="121" t="str">
        <f>IF(ISBLANK(tbl_task7[[คะแนนเต็ม]:[คะแนนเต็ม]]),"",(tbl_task7[75]/tbl_task7[[คะแนนเต็ม]:[คะแนนเต็ม]])*tbl_task7[[%]:[%]])</f>
        <v/>
      </c>
      <c r="IL8" s="121" t="str">
        <f>IF(ISBLANK(tbl_task7[[คะแนนเต็ม]:[คะแนนเต็ม]]),"",(tbl_task7[76]/tbl_task7[[คะแนนเต็ม]:[คะแนนเต็ม]])*tbl_task7[[%]:[%]])</f>
        <v/>
      </c>
      <c r="IM8" s="121" t="str">
        <f>IF(ISBLANK(tbl_task7[[คะแนนเต็ม]:[คะแนนเต็ม]]),"",(tbl_task7[77]/tbl_task7[[คะแนนเต็ม]:[คะแนนเต็ม]])*tbl_task7[[%]:[%]])</f>
        <v/>
      </c>
      <c r="IN8" s="121" t="str">
        <f>IF(ISBLANK(tbl_task7[[คะแนนเต็ม]:[คะแนนเต็ม]]),"",(tbl_task7[78]/tbl_task7[[คะแนนเต็ม]:[คะแนนเต็ม]])*tbl_task7[[%]:[%]])</f>
        <v/>
      </c>
      <c r="IO8" s="121" t="str">
        <f>IF(ISBLANK(tbl_task7[[คะแนนเต็ม]:[คะแนนเต็ม]]),"",(tbl_task7[79]/tbl_task7[[คะแนนเต็ม]:[คะแนนเต็ม]])*tbl_task7[[%]:[%]])</f>
        <v/>
      </c>
      <c r="IP8" s="121" t="str">
        <f>IF(ISBLANK(tbl_task7[[คะแนนเต็ม]:[คะแนนเต็ม]]),"",(tbl_task7[80]/tbl_task7[[คะแนนเต็ม]:[คะแนนเต็ม]])*tbl_task7[[%]:[%]])</f>
        <v/>
      </c>
      <c r="IQ8" s="121" t="str">
        <f>IF(ISBLANK(tbl_task7[[คะแนนเต็ม]:[คะแนนเต็ม]]),"",(tbl_task7[81]/tbl_task7[[คะแนนเต็ม]:[คะแนนเต็ม]])*tbl_task7[[%]:[%]])</f>
        <v/>
      </c>
      <c r="IR8" s="121" t="str">
        <f>IF(ISBLANK(tbl_task7[[คะแนนเต็ม]:[คะแนนเต็ม]]),"",(tbl_task7[82]/tbl_task7[[คะแนนเต็ม]:[คะแนนเต็ม]])*tbl_task7[[%]:[%]])</f>
        <v/>
      </c>
      <c r="IS8" s="121" t="str">
        <f>IF(ISBLANK(tbl_task7[[คะแนนเต็ม]:[คะแนนเต็ม]]),"",(tbl_task7[83]/tbl_task7[[คะแนนเต็ม]:[คะแนนเต็ม]])*tbl_task7[[%]:[%]])</f>
        <v/>
      </c>
      <c r="IT8" s="121" t="str">
        <f>IF(ISBLANK(tbl_task7[[คะแนนเต็ม]:[คะแนนเต็ม]]),"",(tbl_task7[84]/tbl_task7[[คะแนนเต็ม]:[คะแนนเต็ม]])*tbl_task7[[%]:[%]])</f>
        <v/>
      </c>
      <c r="IU8" s="121" t="str">
        <f>IF(ISBLANK(tbl_task7[[คะแนนเต็ม]:[คะแนนเต็ม]]),"",(tbl_task7[85]/tbl_task7[[คะแนนเต็ม]:[คะแนนเต็ม]])*tbl_task7[[%]:[%]])</f>
        <v/>
      </c>
      <c r="IV8" s="121" t="str">
        <f>IF(ISBLANK(tbl_task7[[คะแนนเต็ม]:[คะแนนเต็ม]]),"",(tbl_task7[86]/tbl_task7[[คะแนนเต็ม]:[คะแนนเต็ม]])*tbl_task7[[%]:[%]])</f>
        <v/>
      </c>
      <c r="IW8" s="121" t="str">
        <f>IF(ISBLANK(tbl_task7[[คะแนนเต็ม]:[คะแนนเต็ม]]),"",(tbl_task7[87]/tbl_task7[[คะแนนเต็ม]:[คะแนนเต็ม]])*tbl_task7[[%]:[%]])</f>
        <v/>
      </c>
      <c r="IX8" s="121" t="str">
        <f>IF(ISBLANK(tbl_task7[[คะแนนเต็ม]:[คะแนนเต็ม]]),"",(tbl_task7[88]/tbl_task7[[คะแนนเต็ม]:[คะแนนเต็ม]])*tbl_task7[[%]:[%]])</f>
        <v/>
      </c>
      <c r="IY8" s="121" t="str">
        <f>IF(ISBLANK(tbl_task7[[คะแนนเต็ม]:[คะแนนเต็ม]]),"",(tbl_task7[89]/tbl_task7[[คะแนนเต็ม]:[คะแนนเต็ม]])*tbl_task7[[%]:[%]])</f>
        <v/>
      </c>
      <c r="IZ8" s="121" t="str">
        <f>IF(ISBLANK(tbl_task7[[คะแนนเต็ม]:[คะแนนเต็ม]]),"",(tbl_task7[90]/tbl_task7[[คะแนนเต็ม]:[คะแนนเต็ม]])*tbl_task7[[%]:[%]])</f>
        <v/>
      </c>
      <c r="JA8" s="121" t="str">
        <f>IF(ISBLANK(tbl_task7[[คะแนนเต็ม]:[คะแนนเต็ม]]),"",(tbl_task7[91]/tbl_task7[[คะแนนเต็ม]:[คะแนนเต็ม]])*tbl_task7[[%]:[%]])</f>
        <v/>
      </c>
      <c r="JB8" s="121" t="str">
        <f>IF(ISBLANK(tbl_task7[[คะแนนเต็ม]:[คะแนนเต็ม]]),"",(tbl_task7[92]/tbl_task7[[คะแนนเต็ม]:[คะแนนเต็ม]])*tbl_task7[[%]:[%]])</f>
        <v/>
      </c>
      <c r="JC8" s="121" t="str">
        <f>IF(ISBLANK(tbl_task7[[คะแนนเต็ม]:[คะแนนเต็ม]]),"",(tbl_task7[93]/tbl_task7[[คะแนนเต็ม]:[คะแนนเต็ม]])*tbl_task7[[%]:[%]])</f>
        <v/>
      </c>
      <c r="JD8" s="121" t="str">
        <f>IF(ISBLANK(tbl_task7[[คะแนนเต็ม]:[คะแนนเต็ม]]),"",(tbl_task7[94]/tbl_task7[[คะแนนเต็ม]:[คะแนนเต็ม]])*tbl_task7[[%]:[%]])</f>
        <v/>
      </c>
      <c r="JE8" s="121" t="str">
        <f>IF(ISBLANK(tbl_task7[[คะแนนเต็ม]:[คะแนนเต็ม]]),"",(tbl_task7[95]/tbl_task7[[คะแนนเต็ม]:[คะแนนเต็ม]])*tbl_task7[[%]:[%]])</f>
        <v/>
      </c>
      <c r="JF8" s="121" t="str">
        <f>IF(ISBLANK(tbl_task7[[คะแนนเต็ม]:[คะแนนเต็ม]]),"",(tbl_task7[96]/tbl_task7[[คะแนนเต็ม]:[คะแนนเต็ม]])*tbl_task7[[%]:[%]])</f>
        <v/>
      </c>
      <c r="JG8" s="121" t="str">
        <f>IF(ISBLANK(tbl_task7[[คะแนนเต็ม]:[คะแนนเต็ม]]),"",(tbl_task7[97]/tbl_task7[[คะแนนเต็ม]:[คะแนนเต็ม]])*tbl_task7[[%]:[%]])</f>
        <v/>
      </c>
      <c r="JH8" s="121" t="str">
        <f>IF(ISBLANK(tbl_task7[[คะแนนเต็ม]:[คะแนนเต็ม]]),"",(tbl_task7[98]/tbl_task7[[คะแนนเต็ม]:[คะแนนเต็ม]])*tbl_task7[[%]:[%]])</f>
        <v/>
      </c>
      <c r="JI8" s="121" t="str">
        <f>IF(ISBLANK(tbl_task7[[คะแนนเต็ม]:[คะแนนเต็ม]]),"",(tbl_task7[99]/tbl_task7[[คะแนนเต็ม]:[คะแนนเต็ม]])*tbl_task7[[%]:[%]])</f>
        <v/>
      </c>
      <c r="JJ8" s="121" t="str">
        <f>IF(ISBLANK(tbl_task7[[คะแนนเต็ม]:[คะแนนเต็ม]]),"",(tbl_task7[100]/tbl_task7[[คะแนนเต็ม]:[คะแนนเต็ม]])*tbl_task7[[%]:[%]])</f>
        <v/>
      </c>
      <c r="JK8" s="121" t="str">
        <f>IF(ISBLANK(tbl_task7[[คะแนนเต็ม]:[คะแนนเต็ม]]),"",(tbl_task7[101]/tbl_task7[[คะแนนเต็ม]:[คะแนนเต็ม]])*tbl_task7[[%]:[%]])</f>
        <v/>
      </c>
      <c r="JL8" s="121" t="str">
        <f>IF(ISBLANK(tbl_task7[[คะแนนเต็ม]:[คะแนนเต็ม]]),"",(tbl_task7[102]/tbl_task7[[คะแนนเต็ม]:[คะแนนเต็ม]])*tbl_task7[[%]:[%]])</f>
        <v/>
      </c>
      <c r="JM8" s="121" t="str">
        <f>IF(ISBLANK(tbl_task7[[คะแนนเต็ม]:[คะแนนเต็ม]]),"",(tbl_task7[103]/tbl_task7[[คะแนนเต็ม]:[คะแนนเต็ม]])*tbl_task7[[%]:[%]])</f>
        <v/>
      </c>
      <c r="JN8" s="121" t="str">
        <f>IF(ISBLANK(tbl_task7[[คะแนนเต็ม]:[คะแนนเต็ม]]),"",(tbl_task7[104]/tbl_task7[[คะแนนเต็ม]:[คะแนนเต็ม]])*tbl_task7[[%]:[%]])</f>
        <v/>
      </c>
      <c r="JO8" s="121" t="str">
        <f>IF(ISBLANK(tbl_task7[[คะแนนเต็ม]:[คะแนนเต็ม]]),"",(tbl_task7[105]/tbl_task7[[คะแนนเต็ม]:[คะแนนเต็ม]])*tbl_task7[[%]:[%]])</f>
        <v/>
      </c>
      <c r="JP8" s="121" t="str">
        <f>IF(ISBLANK(tbl_task7[[คะแนนเต็ม]:[คะแนนเต็ม]]),"",(tbl_task7[106]/tbl_task7[[คะแนนเต็ม]:[คะแนนเต็ม]])*tbl_task7[[%]:[%]])</f>
        <v/>
      </c>
      <c r="JQ8" s="121" t="str">
        <f>IF(ISBLANK(tbl_task7[[คะแนนเต็ม]:[คะแนนเต็ม]]),"",(tbl_task7[107]/tbl_task7[[คะแนนเต็ม]:[คะแนนเต็ม]])*tbl_task7[[%]:[%]])</f>
        <v/>
      </c>
      <c r="JR8" s="121" t="str">
        <f>IF(ISBLANK(tbl_task7[[คะแนนเต็ม]:[คะแนนเต็ม]]),"",(tbl_task7[108]/tbl_task7[[คะแนนเต็ม]:[คะแนนเต็ม]])*tbl_task7[[%]:[%]])</f>
        <v/>
      </c>
      <c r="JS8" s="121" t="str">
        <f>IF(ISBLANK(tbl_task7[[คะแนนเต็ม]:[คะแนนเต็ม]]),"",(tbl_task7[109]/tbl_task7[[คะแนนเต็ม]:[คะแนนเต็ม]])*tbl_task7[[%]:[%]])</f>
        <v/>
      </c>
      <c r="JT8" s="121" t="str">
        <f>IF(ISBLANK(tbl_task7[[คะแนนเต็ม]:[คะแนนเต็ม]]),"",(tbl_task7[110]/tbl_task7[[คะแนนเต็ม]:[คะแนนเต็ม]])*tbl_task7[[%]:[%]])</f>
        <v/>
      </c>
      <c r="JU8" s="121" t="str">
        <f>IF(ISBLANK(tbl_task7[[คะแนนเต็ม]:[คะแนนเต็ม]]),"",(tbl_task7[111]/tbl_task7[[คะแนนเต็ม]:[คะแนนเต็ม]])*tbl_task7[[%]:[%]])</f>
        <v/>
      </c>
      <c r="JV8" s="121" t="str">
        <f>IF(ISBLANK(tbl_task7[[คะแนนเต็ม]:[คะแนนเต็ม]]),"",(tbl_task7[112]/tbl_task7[[คะแนนเต็ม]:[คะแนนเต็ม]])*tbl_task7[[%]:[%]])</f>
        <v/>
      </c>
      <c r="JW8" s="121" t="str">
        <f>IF(ISBLANK(tbl_task7[[คะแนนเต็ม]:[คะแนนเต็ม]]),"",(tbl_task7[113]/tbl_task7[[คะแนนเต็ม]:[คะแนนเต็ม]])*tbl_task7[[%]:[%]])</f>
        <v/>
      </c>
      <c r="JX8" s="121" t="str">
        <f>IF(ISBLANK(tbl_task7[[คะแนนเต็ม]:[คะแนนเต็ม]]),"",(tbl_task7[114]/tbl_task7[[คะแนนเต็ม]:[คะแนนเต็ม]])*tbl_task7[[%]:[%]])</f>
        <v/>
      </c>
      <c r="JY8" s="121" t="str">
        <f>IF(ISBLANK(tbl_task7[[คะแนนเต็ม]:[คะแนนเต็ม]]),"",(tbl_task7[115]/tbl_task7[[คะแนนเต็ม]:[คะแนนเต็ม]])*tbl_task7[[%]:[%]])</f>
        <v/>
      </c>
      <c r="JZ8" s="121" t="str">
        <f>IF(ISBLANK(tbl_task7[[คะแนนเต็ม]:[คะแนนเต็ม]]),"",(tbl_task7[116]/tbl_task7[[คะแนนเต็ม]:[คะแนนเต็ม]])*tbl_task7[[%]:[%]])</f>
        <v/>
      </c>
      <c r="KA8" s="121" t="str">
        <f>IF(ISBLANK(tbl_task7[[คะแนนเต็ม]:[คะแนนเต็ม]]),"",(tbl_task7[117]/tbl_task7[[คะแนนเต็ม]:[คะแนนเต็ม]])*tbl_task7[[%]:[%]])</f>
        <v/>
      </c>
      <c r="KB8" s="121" t="str">
        <f>IF(ISBLANK(tbl_task7[[คะแนนเต็ม]:[คะแนนเต็ม]]),"",(tbl_task7[118]/tbl_task7[[คะแนนเต็ม]:[คะแนนเต็ม]])*tbl_task7[[%]:[%]])</f>
        <v/>
      </c>
      <c r="KC8" s="121" t="str">
        <f>IF(ISBLANK(tbl_task7[[คะแนนเต็ม]:[คะแนนเต็ม]]),"",(tbl_task7[119]/tbl_task7[[คะแนนเต็ม]:[คะแนนเต็ม]])*tbl_task7[[%]:[%]])</f>
        <v/>
      </c>
      <c r="KD8" s="121" t="str">
        <f>IF(ISBLANK(tbl_task7[[คะแนนเต็ม]:[คะแนนเต็ม]]),"",(tbl_task7[120]/tbl_task7[[คะแนนเต็ม]:[คะแนนเต็ม]])*tbl_task7[[%]:[%]])</f>
        <v/>
      </c>
      <c r="KE8" s="121" t="str">
        <f>IF(ISBLANK(tbl_task7[[คะแนนเต็ม]:[คะแนนเต็ม]]),"",(tbl_task7[121]/tbl_task7[[คะแนนเต็ม]:[คะแนนเต็ม]])*tbl_task7[[%]:[%]])</f>
        <v/>
      </c>
      <c r="KF8" s="121" t="str">
        <f>IF(ISBLANK(tbl_task7[[คะแนนเต็ม]:[คะแนนเต็ม]]),"",(tbl_task7[122]/tbl_task7[[คะแนนเต็ม]:[คะแนนเต็ม]])*tbl_task7[[%]:[%]])</f>
        <v/>
      </c>
      <c r="KG8" s="121" t="str">
        <f>IF(ISBLANK(tbl_task7[[คะแนนเต็ม]:[คะแนนเต็ม]]),"",(tbl_task7[123]/tbl_task7[[คะแนนเต็ม]:[คะแนนเต็ม]])*tbl_task7[[%]:[%]])</f>
        <v/>
      </c>
      <c r="KH8" s="121" t="str">
        <f>IF(ISBLANK(tbl_task7[[คะแนนเต็ม]:[คะแนนเต็ม]]),"",(tbl_task7[124]/tbl_task7[[คะแนนเต็ม]:[คะแนนเต็ม]])*tbl_task7[[%]:[%]])</f>
        <v/>
      </c>
      <c r="KI8" s="121" t="str">
        <f>IF(ISBLANK(tbl_task7[[คะแนนเต็ม]:[คะแนนเต็ม]]),"",(tbl_task7[125]/tbl_task7[[คะแนนเต็ม]:[คะแนนเต็ม]])*tbl_task7[[%]:[%]])</f>
        <v/>
      </c>
      <c r="KJ8" s="121" t="str">
        <f>IF(ISBLANK(tbl_task7[[คะแนนเต็ม]:[คะแนนเต็ม]]),"",(tbl_task7[126]/tbl_task7[[คะแนนเต็ม]:[คะแนนเต็ม]])*tbl_task7[[%]:[%]])</f>
        <v/>
      </c>
      <c r="KK8" s="121" t="str">
        <f>IF(ISBLANK(tbl_task7[[คะแนนเต็ม]:[คะแนนเต็ม]]),"",(tbl_task7[127]/tbl_task7[[คะแนนเต็ม]:[คะแนนเต็ม]])*tbl_task7[[%]:[%]])</f>
        <v/>
      </c>
      <c r="KL8" s="121" t="str">
        <f>IF(ISBLANK(tbl_task7[[คะแนนเต็ม]:[คะแนนเต็ม]]),"",(tbl_task7[128]/tbl_task7[[คะแนนเต็ม]:[คะแนนเต็ม]])*tbl_task7[[%]:[%]])</f>
        <v/>
      </c>
      <c r="KM8" s="121" t="str">
        <f>IF(ISBLANK(tbl_task7[[คะแนนเต็ม]:[คะแนนเต็ม]]),"",(tbl_task7[129]/tbl_task7[[คะแนนเต็ม]:[คะแนนเต็ม]])*tbl_task7[[%]:[%]])</f>
        <v/>
      </c>
      <c r="KN8" s="121" t="str">
        <f>IF(ISBLANK(tbl_task7[[คะแนนเต็ม]:[คะแนนเต็ม]]),"",(tbl_task7[130]/tbl_task7[[คะแนนเต็ม]:[คะแนนเต็ม]])*tbl_task7[[%]:[%]])</f>
        <v/>
      </c>
      <c r="KO8" s="121" t="str">
        <f>IF(ISBLANK(tbl_task7[[คะแนนเต็ม]:[คะแนนเต็ม]]),"",(tbl_task7[131]/tbl_task7[[คะแนนเต็ม]:[คะแนนเต็ม]])*tbl_task7[[%]:[%]])</f>
        <v/>
      </c>
      <c r="KP8" s="121" t="str">
        <f>IF(ISBLANK(tbl_task7[[คะแนนเต็ม]:[คะแนนเต็ม]]),"",(tbl_task7[132]/tbl_task7[[คะแนนเต็ม]:[คะแนนเต็ม]])*tbl_task7[[%]:[%]])</f>
        <v/>
      </c>
      <c r="KQ8" s="121" t="str">
        <f>IF(ISBLANK(tbl_task7[[คะแนนเต็ม]:[คะแนนเต็ม]]),"",(tbl_task7[133]/tbl_task7[[คะแนนเต็ม]:[คะแนนเต็ม]])*tbl_task7[[%]:[%]])</f>
        <v/>
      </c>
      <c r="KR8" s="121" t="str">
        <f>IF(ISBLANK(tbl_task7[[คะแนนเต็ม]:[คะแนนเต็ม]]),"",(tbl_task7[134]/tbl_task7[[คะแนนเต็ม]:[คะแนนเต็ม]])*tbl_task7[[%]:[%]])</f>
        <v/>
      </c>
      <c r="KS8" s="121" t="str">
        <f>IF(ISBLANK(tbl_task7[[คะแนนเต็ม]:[คะแนนเต็ม]]),"",(tbl_task7[135]/tbl_task7[[คะแนนเต็ม]:[คะแนนเต็ม]])*tbl_task7[[%]:[%]])</f>
        <v/>
      </c>
      <c r="KT8" s="121" t="str">
        <f>IF(ISBLANK(tbl_task7[[คะแนนเต็ม]:[คะแนนเต็ม]]),"",(tbl_task7[136]/tbl_task7[[คะแนนเต็ม]:[คะแนนเต็ม]])*tbl_task7[[%]:[%]])</f>
        <v/>
      </c>
      <c r="KU8" s="121" t="str">
        <f>IF(ISBLANK(tbl_task7[[คะแนนเต็ม]:[คะแนนเต็ม]]),"",(tbl_task7[137]/tbl_task7[[คะแนนเต็ม]:[คะแนนเต็ม]])*tbl_task7[[%]:[%]])</f>
        <v/>
      </c>
      <c r="KV8" s="121" t="str">
        <f>IF(ISBLANK(tbl_task7[[คะแนนเต็ม]:[คะแนนเต็ม]]),"",(tbl_task7[138]/tbl_task7[[คะแนนเต็ม]:[คะแนนเต็ม]])*tbl_task7[[%]:[%]])</f>
        <v/>
      </c>
      <c r="KW8" s="121" t="str">
        <f>IF(ISBLANK(tbl_task7[[คะแนนเต็ม]:[คะแนนเต็ม]]),"",(tbl_task7[139]/tbl_task7[[คะแนนเต็ม]:[คะแนนเต็ม]])*tbl_task7[[%]:[%]])</f>
        <v/>
      </c>
      <c r="KX8" s="121" t="str">
        <f>IF(ISBLANK(tbl_task7[[คะแนนเต็ม]:[คะแนนเต็ม]]),"",(tbl_task7[140]/tbl_task7[[คะแนนเต็ม]:[คะแนนเต็ม]])*tbl_task7[[%]:[%]])</f>
        <v/>
      </c>
      <c r="KY8" s="121" t="str">
        <f>IF(ISBLANK(tbl_task7[[คะแนนเต็ม]:[คะแนนเต็ม]]),"",(tbl_task7[141]/tbl_task7[[คะแนนเต็ม]:[คะแนนเต็ม]])*tbl_task7[[%]:[%]])</f>
        <v/>
      </c>
      <c r="KZ8" s="121" t="str">
        <f>IF(ISBLANK(tbl_task7[[คะแนนเต็ม]:[คะแนนเต็ม]]),"",(tbl_task7[142]/tbl_task7[[คะแนนเต็ม]:[คะแนนเต็ม]])*tbl_task7[[%]:[%]])</f>
        <v/>
      </c>
      <c r="LA8" s="121" t="str">
        <f>IF(ISBLANK(tbl_task7[[คะแนนเต็ม]:[คะแนนเต็ม]]),"",(tbl_task7[143]/tbl_task7[[คะแนนเต็ม]:[คะแนนเต็ม]])*tbl_task7[[%]:[%]])</f>
        <v/>
      </c>
      <c r="LB8" s="121" t="str">
        <f>IF(ISBLANK(tbl_task7[[คะแนนเต็ม]:[คะแนนเต็ม]]),"",(tbl_task7[144]/tbl_task7[[คะแนนเต็ม]:[คะแนนเต็ม]])*tbl_task7[[%]:[%]])</f>
        <v/>
      </c>
      <c r="LC8" s="121" t="str">
        <f>IF(ISBLANK(tbl_task7[[คะแนนเต็ม]:[คะแนนเต็ม]]),"",(tbl_task7[145]/tbl_task7[[คะแนนเต็ม]:[คะแนนเต็ม]])*tbl_task7[[%]:[%]])</f>
        <v/>
      </c>
      <c r="LD8" s="121" t="str">
        <f>IF(ISBLANK(tbl_task7[[คะแนนเต็ม]:[คะแนนเต็ม]]),"",(tbl_task7[146]/tbl_task7[[คะแนนเต็ม]:[คะแนนเต็ม]])*tbl_task7[[%]:[%]])</f>
        <v/>
      </c>
      <c r="LE8" s="121" t="str">
        <f>IF(ISBLANK(tbl_task7[[คะแนนเต็ม]:[คะแนนเต็ม]]),"",(tbl_task7[147]/tbl_task7[[คะแนนเต็ม]:[คะแนนเต็ม]])*tbl_task7[[%]:[%]])</f>
        <v/>
      </c>
      <c r="LF8" s="121" t="str">
        <f>IF(ISBLANK(tbl_task7[[คะแนนเต็ม]:[คะแนนเต็ม]]),"",(tbl_task7[148]/tbl_task7[[คะแนนเต็ม]:[คะแนนเต็ม]])*tbl_task7[[%]:[%]])</f>
        <v/>
      </c>
      <c r="LG8" s="121" t="str">
        <f>IF(ISBLANK(tbl_task7[[คะแนนเต็ม]:[คะแนนเต็ม]]),"",(tbl_task7[149]/tbl_task7[[คะแนนเต็ม]:[คะแนนเต็ม]])*tbl_task7[[%]:[%]])</f>
        <v/>
      </c>
      <c r="LH8" s="121" t="str">
        <f>IF(ISBLANK(tbl_task7[[คะแนนเต็ม]:[คะแนนเต็ม]]),"",(tbl_task7[150]/tbl_task7[[คะแนนเต็ม]:[คะแนนเต็ม]])*tbl_task7[[%]:[%]])</f>
        <v/>
      </c>
      <c r="LI8" s="121" t="str">
        <f>IF(ISBLANK(tbl_task7[[คะแนนเต็ม]:[คะแนนเต็ม]]),"",(tbl_task7[151]/tbl_task7[[คะแนนเต็ม]:[คะแนนเต็ม]])*tbl_task7[[%]:[%]])</f>
        <v/>
      </c>
      <c r="LJ8" s="121" t="str">
        <f>IF(ISBLANK(tbl_task7[[คะแนนเต็ม]:[คะแนนเต็ม]]),"",(tbl_task7[152]/tbl_task7[[คะแนนเต็ม]:[คะแนนเต็ม]])*tbl_task7[[%]:[%]])</f>
        <v/>
      </c>
      <c r="LK8" s="121" t="str">
        <f>IF(ISBLANK(tbl_task7[[คะแนนเต็ม]:[คะแนนเต็ม]]),"",(tbl_task7[153]/tbl_task7[[คะแนนเต็ม]:[คะแนนเต็ม]])*tbl_task7[[%]:[%]])</f>
        <v/>
      </c>
      <c r="LL8" s="121" t="str">
        <f>IF(ISBLANK(tbl_task7[[คะแนนเต็ม]:[คะแนนเต็ม]]),"",(tbl_task7[154]/tbl_task7[[คะแนนเต็ม]:[คะแนนเต็ม]])*tbl_task7[[%]:[%]])</f>
        <v/>
      </c>
      <c r="LM8" s="121" t="str">
        <f>IF(ISBLANK(tbl_task7[[คะแนนเต็ม]:[คะแนนเต็ม]]),"",(tbl_task7[155]/tbl_task7[[คะแนนเต็ม]:[คะแนนเต็ม]])*tbl_task7[[%]:[%]])</f>
        <v/>
      </c>
      <c r="LN8" s="121" t="str">
        <f>IF(ISBLANK(tbl_task7[[คะแนนเต็ม]:[คะแนนเต็ม]]),"",(tbl_task7[156]/tbl_task7[[คะแนนเต็ม]:[คะแนนเต็ม]])*tbl_task7[[%]:[%]])</f>
        <v/>
      </c>
      <c r="LO8" s="121" t="str">
        <f>IF(ISBLANK(tbl_task7[[คะแนนเต็ม]:[คะแนนเต็ม]]),"",(tbl_task7[157]/tbl_task7[[คะแนนเต็ม]:[คะแนนเต็ม]])*tbl_task7[[%]:[%]])</f>
        <v/>
      </c>
      <c r="LP8" s="121" t="str">
        <f>IF(ISBLANK(tbl_task7[[คะแนนเต็ม]:[คะแนนเต็ม]]),"",(tbl_task7[158]/tbl_task7[[คะแนนเต็ม]:[คะแนนเต็ม]])*tbl_task7[[%]:[%]])</f>
        <v/>
      </c>
      <c r="LQ8" s="121" t="str">
        <f>IF(ISBLANK(tbl_task7[[คะแนนเต็ม]:[คะแนนเต็ม]]),"",(tbl_task7[159]/tbl_task7[[คะแนนเต็ม]:[คะแนนเต็ม]])*tbl_task7[[%]:[%]])</f>
        <v/>
      </c>
      <c r="LR8" s="121" t="str">
        <f>IF(ISBLANK(tbl_task7[[คะแนนเต็ม]:[คะแนนเต็ม]]),"",(tbl_task7[160]/tbl_task7[[คะแนนเต็ม]:[คะแนนเต็ม]])*tbl_task7[[%]:[%]])</f>
        <v/>
      </c>
      <c r="LS8" s="121" t="str">
        <f>IF(ISBLANK(tbl_task7[[คะแนนเต็ม]:[คะแนนเต็ม]]),"",(tbl_task7[161]/tbl_task7[[คะแนนเต็ม]:[คะแนนเต็ม]])*tbl_task7[[%]:[%]])</f>
        <v/>
      </c>
      <c r="LT8" s="121" t="str">
        <f>IF(ISBLANK(tbl_task7[[คะแนนเต็ม]:[คะแนนเต็ม]]),"",(tbl_task7[162]/tbl_task7[[คะแนนเต็ม]:[คะแนนเต็ม]])*tbl_task7[[%]:[%]])</f>
        <v/>
      </c>
      <c r="LU8" s="121" t="str">
        <f>IF(ISBLANK(tbl_task7[[คะแนนเต็ม]:[คะแนนเต็ม]]),"",(tbl_task7[163]/tbl_task7[[คะแนนเต็ม]:[คะแนนเต็ม]])*tbl_task7[[%]:[%]])</f>
        <v/>
      </c>
      <c r="LV8" s="121" t="str">
        <f>IF(ISBLANK(tbl_task7[[คะแนนเต็ม]:[คะแนนเต็ม]]),"",(tbl_task7[164]/tbl_task7[[คะแนนเต็ม]:[คะแนนเต็ม]])*tbl_task7[[%]:[%]])</f>
        <v/>
      </c>
      <c r="LW8" s="121" t="str">
        <f>IF(ISBLANK(tbl_task7[[คะแนนเต็ม]:[คะแนนเต็ม]]),"",(tbl_task7[165]/tbl_task7[[คะแนนเต็ม]:[คะแนนเต็ม]])*tbl_task7[[%]:[%]])</f>
        <v/>
      </c>
    </row>
    <row r="9" spans="1:335" x14ac:dyDescent="0.25">
      <c r="A9" s="24">
        <v>6</v>
      </c>
      <c r="B9" s="20"/>
      <c r="C9" s="5" t="str">
        <f>IF(ISBLANK(B9),"",VLOOKUP(B9,tbl_PLOs[],2,0))</f>
        <v/>
      </c>
      <c r="D9" s="102"/>
      <c r="E9" s="106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22"/>
      <c r="FO9" s="121" t="str">
        <f>IF(ISBLANK(tbl_task7[[คะแนนเต็ม]:[คะแนนเต็ม]]),"",(tbl_task7[1]/tbl_task7[[คะแนนเต็ม]:[คะแนนเต็ม]])*tbl_task7[[%]:[%]])</f>
        <v/>
      </c>
      <c r="FP9" s="121" t="str">
        <f>IF(ISBLANK(tbl_task7[[คะแนนเต็ม]:[คะแนนเต็ม]]),"",(tbl_task7[2]/tbl_task7[[คะแนนเต็ม]:[คะแนนเต็ม]])*tbl_task7[[%]:[%]])</f>
        <v/>
      </c>
      <c r="FQ9" s="121" t="str">
        <f>IF(ISBLANK(tbl_task7[[คะแนนเต็ม]:[คะแนนเต็ม]]),"",(tbl_task7[3]/tbl_task7[[คะแนนเต็ม]:[คะแนนเต็ม]])*tbl_task7[[%]:[%]])</f>
        <v/>
      </c>
      <c r="FR9" s="121" t="str">
        <f>IF(ISBLANK(tbl_task7[[คะแนนเต็ม]:[คะแนนเต็ม]]),"",(tbl_task7[4]/tbl_task7[[คะแนนเต็ม]:[คะแนนเต็ม]])*tbl_task7[[%]:[%]])</f>
        <v/>
      </c>
      <c r="FS9" s="121" t="str">
        <f>IF(ISBLANK(tbl_task7[[คะแนนเต็ม]:[คะแนนเต็ม]]),"",(tbl_task7[5]/tbl_task7[[คะแนนเต็ม]:[คะแนนเต็ม]])*tbl_task7[[%]:[%]])</f>
        <v/>
      </c>
      <c r="FT9" s="121" t="str">
        <f>IF(ISBLANK(tbl_task7[[คะแนนเต็ม]:[คะแนนเต็ม]]),"",(tbl_task7[6]/tbl_task7[[คะแนนเต็ม]:[คะแนนเต็ม]])*tbl_task7[[%]:[%]])</f>
        <v/>
      </c>
      <c r="FU9" s="121" t="str">
        <f>IF(ISBLANK(tbl_task7[[คะแนนเต็ม]:[คะแนนเต็ม]]),"",(tbl_task7[7]/tbl_task7[[คะแนนเต็ม]:[คะแนนเต็ม]])*tbl_task7[[%]:[%]])</f>
        <v/>
      </c>
      <c r="FV9" s="121" t="str">
        <f>IF(ISBLANK(tbl_task7[[คะแนนเต็ม]:[คะแนนเต็ม]]),"",(tbl_task7[8]/tbl_task7[[คะแนนเต็ม]:[คะแนนเต็ม]])*tbl_task7[[%]:[%]])</f>
        <v/>
      </c>
      <c r="FW9" s="121" t="str">
        <f>IF(ISBLANK(tbl_task7[[คะแนนเต็ม]:[คะแนนเต็ม]]),"",(tbl_task7[9]/tbl_task7[[คะแนนเต็ม]:[คะแนนเต็ม]])*tbl_task7[[%]:[%]])</f>
        <v/>
      </c>
      <c r="FX9" s="121" t="str">
        <f>IF(ISBLANK(tbl_task7[[คะแนนเต็ม]:[คะแนนเต็ม]]),"",(tbl_task7[10]/tbl_task7[[คะแนนเต็ม]:[คะแนนเต็ม]])*tbl_task7[[%]:[%]])</f>
        <v/>
      </c>
      <c r="FY9" s="121" t="str">
        <f>IF(ISBLANK(tbl_task7[[คะแนนเต็ม]:[คะแนนเต็ม]]),"",(tbl_task7[11]/tbl_task7[[คะแนนเต็ม]:[คะแนนเต็ม]])*tbl_task7[[%]:[%]])</f>
        <v/>
      </c>
      <c r="FZ9" s="121" t="str">
        <f>IF(ISBLANK(tbl_task7[[คะแนนเต็ม]:[คะแนนเต็ม]]),"",(tbl_task7[12]/tbl_task7[[คะแนนเต็ม]:[คะแนนเต็ม]])*tbl_task7[[%]:[%]])</f>
        <v/>
      </c>
      <c r="GA9" s="121" t="str">
        <f>IF(ISBLANK(tbl_task7[[คะแนนเต็ม]:[คะแนนเต็ม]]),"",(tbl_task7[13]/tbl_task7[[คะแนนเต็ม]:[คะแนนเต็ม]])*tbl_task7[[%]:[%]])</f>
        <v/>
      </c>
      <c r="GB9" s="121" t="str">
        <f>IF(ISBLANK(tbl_task7[[คะแนนเต็ม]:[คะแนนเต็ม]]),"",(tbl_task7[14]/tbl_task7[[คะแนนเต็ม]:[คะแนนเต็ม]])*tbl_task7[[%]:[%]])</f>
        <v/>
      </c>
      <c r="GC9" s="121" t="str">
        <f>IF(ISBLANK(tbl_task7[[คะแนนเต็ม]:[คะแนนเต็ม]]),"",(tbl_task7[15]/tbl_task7[[คะแนนเต็ม]:[คะแนนเต็ม]])*tbl_task7[[%]:[%]])</f>
        <v/>
      </c>
      <c r="GD9" s="121" t="str">
        <f>IF(ISBLANK(tbl_task7[[คะแนนเต็ม]:[คะแนนเต็ม]]),"",(tbl_task7[16]/tbl_task7[[คะแนนเต็ม]:[คะแนนเต็ม]])*tbl_task7[[%]:[%]])</f>
        <v/>
      </c>
      <c r="GE9" s="121" t="str">
        <f>IF(ISBLANK(tbl_task7[[คะแนนเต็ม]:[คะแนนเต็ม]]),"",(tbl_task7[17]/tbl_task7[[คะแนนเต็ม]:[คะแนนเต็ม]])*tbl_task7[[%]:[%]])</f>
        <v/>
      </c>
      <c r="GF9" s="121" t="str">
        <f>IF(ISBLANK(tbl_task7[[คะแนนเต็ม]:[คะแนนเต็ม]]),"",(tbl_task7[18]/tbl_task7[[คะแนนเต็ม]:[คะแนนเต็ม]])*tbl_task7[[%]:[%]])</f>
        <v/>
      </c>
      <c r="GG9" s="121" t="str">
        <f>IF(ISBLANK(tbl_task7[[คะแนนเต็ม]:[คะแนนเต็ม]]),"",(tbl_task7[19]/tbl_task7[[คะแนนเต็ม]:[คะแนนเต็ม]])*tbl_task7[[%]:[%]])</f>
        <v/>
      </c>
      <c r="GH9" s="121" t="str">
        <f>IF(ISBLANK(tbl_task7[[คะแนนเต็ม]:[คะแนนเต็ม]]),"",(tbl_task7[20]/tbl_task7[[คะแนนเต็ม]:[คะแนนเต็ม]])*tbl_task7[[%]:[%]])</f>
        <v/>
      </c>
      <c r="GI9" s="121" t="str">
        <f>IF(ISBLANK(tbl_task7[[คะแนนเต็ม]:[คะแนนเต็ม]]),"",(tbl_task7[21]/tbl_task7[[คะแนนเต็ม]:[คะแนนเต็ม]])*tbl_task7[[%]:[%]])</f>
        <v/>
      </c>
      <c r="GJ9" s="121" t="str">
        <f>IF(ISBLANK(tbl_task7[[คะแนนเต็ม]:[คะแนนเต็ม]]),"",(tbl_task7[22]/tbl_task7[[คะแนนเต็ม]:[คะแนนเต็ม]])*tbl_task7[[%]:[%]])</f>
        <v/>
      </c>
      <c r="GK9" s="121" t="str">
        <f>IF(ISBLANK(tbl_task7[[คะแนนเต็ม]:[คะแนนเต็ม]]),"",(tbl_task7[23]/tbl_task7[[คะแนนเต็ม]:[คะแนนเต็ม]])*tbl_task7[[%]:[%]])</f>
        <v/>
      </c>
      <c r="GL9" s="121" t="str">
        <f>IF(ISBLANK(tbl_task7[[คะแนนเต็ม]:[คะแนนเต็ม]]),"",(tbl_task7[24]/tbl_task7[[คะแนนเต็ม]:[คะแนนเต็ม]])*tbl_task7[[%]:[%]])</f>
        <v/>
      </c>
      <c r="GM9" s="121" t="str">
        <f>IF(ISBLANK(tbl_task7[[คะแนนเต็ม]:[คะแนนเต็ม]]),"",(tbl_task7[25]/tbl_task7[[คะแนนเต็ม]:[คะแนนเต็ม]])*tbl_task7[[%]:[%]])</f>
        <v/>
      </c>
      <c r="GN9" s="121" t="str">
        <f>IF(ISBLANK(tbl_task7[[คะแนนเต็ม]:[คะแนนเต็ม]]),"",(tbl_task7[26]/tbl_task7[[คะแนนเต็ม]:[คะแนนเต็ม]])*tbl_task7[[%]:[%]])</f>
        <v/>
      </c>
      <c r="GO9" s="121" t="str">
        <f>IF(ISBLANK(tbl_task7[[คะแนนเต็ม]:[คะแนนเต็ม]]),"",(tbl_task7[27]/tbl_task7[[คะแนนเต็ม]:[คะแนนเต็ม]])*tbl_task7[[%]:[%]])</f>
        <v/>
      </c>
      <c r="GP9" s="121" t="str">
        <f>IF(ISBLANK(tbl_task7[[คะแนนเต็ม]:[คะแนนเต็ม]]),"",(tbl_task7[28]/tbl_task7[[คะแนนเต็ม]:[คะแนนเต็ม]])*tbl_task7[[%]:[%]])</f>
        <v/>
      </c>
      <c r="GQ9" s="121" t="str">
        <f>IF(ISBLANK(tbl_task7[[คะแนนเต็ม]:[คะแนนเต็ม]]),"",(tbl_task7[29]/tbl_task7[[คะแนนเต็ม]:[คะแนนเต็ม]])*tbl_task7[[%]:[%]])</f>
        <v/>
      </c>
      <c r="GR9" s="121" t="str">
        <f>IF(ISBLANK(tbl_task7[[คะแนนเต็ม]:[คะแนนเต็ม]]),"",(tbl_task7[30]/tbl_task7[[คะแนนเต็ม]:[คะแนนเต็ม]])*tbl_task7[[%]:[%]])</f>
        <v/>
      </c>
      <c r="GS9" s="121" t="str">
        <f>IF(ISBLANK(tbl_task7[[คะแนนเต็ม]:[คะแนนเต็ม]]),"",(tbl_task7[31]/tbl_task7[[คะแนนเต็ม]:[คะแนนเต็ม]])*tbl_task7[[%]:[%]])</f>
        <v/>
      </c>
      <c r="GT9" s="121" t="str">
        <f>IF(ISBLANK(tbl_task7[[คะแนนเต็ม]:[คะแนนเต็ม]]),"",(tbl_task7[32]/tbl_task7[[คะแนนเต็ม]:[คะแนนเต็ม]])*tbl_task7[[%]:[%]])</f>
        <v/>
      </c>
      <c r="GU9" s="121" t="str">
        <f>IF(ISBLANK(tbl_task7[[คะแนนเต็ม]:[คะแนนเต็ม]]),"",(tbl_task7[33]/tbl_task7[[คะแนนเต็ม]:[คะแนนเต็ม]])*tbl_task7[[%]:[%]])</f>
        <v/>
      </c>
      <c r="GV9" s="121" t="str">
        <f>IF(ISBLANK(tbl_task7[[คะแนนเต็ม]:[คะแนนเต็ม]]),"",(tbl_task7[34]/tbl_task7[[คะแนนเต็ม]:[คะแนนเต็ม]])*tbl_task7[[%]:[%]])</f>
        <v/>
      </c>
      <c r="GW9" s="121" t="str">
        <f>IF(ISBLANK(tbl_task7[[คะแนนเต็ม]:[คะแนนเต็ม]]),"",(tbl_task7[35]/tbl_task7[[คะแนนเต็ม]:[คะแนนเต็ม]])*tbl_task7[[%]:[%]])</f>
        <v/>
      </c>
      <c r="GX9" s="121" t="str">
        <f>IF(ISBLANK(tbl_task7[[คะแนนเต็ม]:[คะแนนเต็ม]]),"",(tbl_task7[36]/tbl_task7[[คะแนนเต็ม]:[คะแนนเต็ม]])*tbl_task7[[%]:[%]])</f>
        <v/>
      </c>
      <c r="GY9" s="121" t="str">
        <f>IF(ISBLANK(tbl_task7[[คะแนนเต็ม]:[คะแนนเต็ม]]),"",(tbl_task7[37]/tbl_task7[[คะแนนเต็ม]:[คะแนนเต็ม]])*tbl_task7[[%]:[%]])</f>
        <v/>
      </c>
      <c r="GZ9" s="121" t="str">
        <f>IF(ISBLANK(tbl_task7[[คะแนนเต็ม]:[คะแนนเต็ม]]),"",(tbl_task7[38]/tbl_task7[[คะแนนเต็ม]:[คะแนนเต็ม]])*tbl_task7[[%]:[%]])</f>
        <v/>
      </c>
      <c r="HA9" s="121" t="str">
        <f>IF(ISBLANK(tbl_task7[[คะแนนเต็ม]:[คะแนนเต็ม]]),"",(tbl_task7[39]/tbl_task7[[คะแนนเต็ม]:[คะแนนเต็ม]])*tbl_task7[[%]:[%]])</f>
        <v/>
      </c>
      <c r="HB9" s="121" t="str">
        <f>IF(ISBLANK(tbl_task7[[คะแนนเต็ม]:[คะแนนเต็ม]]),"",(tbl_task7[40]/tbl_task7[[คะแนนเต็ม]:[คะแนนเต็ม]])*tbl_task7[[%]:[%]])</f>
        <v/>
      </c>
      <c r="HC9" s="121" t="str">
        <f>IF(ISBLANK(tbl_task7[[คะแนนเต็ม]:[คะแนนเต็ม]]),"",(tbl_task7[41]/tbl_task7[[คะแนนเต็ม]:[คะแนนเต็ม]])*tbl_task7[[%]:[%]])</f>
        <v/>
      </c>
      <c r="HD9" s="121" t="str">
        <f>IF(ISBLANK(tbl_task7[[คะแนนเต็ม]:[คะแนนเต็ม]]),"",(tbl_task7[42]/tbl_task7[[คะแนนเต็ม]:[คะแนนเต็ม]])*tbl_task7[[%]:[%]])</f>
        <v/>
      </c>
      <c r="HE9" s="121" t="str">
        <f>IF(ISBLANK(tbl_task7[[คะแนนเต็ม]:[คะแนนเต็ม]]),"",(tbl_task7[43]/tbl_task7[[คะแนนเต็ม]:[คะแนนเต็ม]])*tbl_task7[[%]:[%]])</f>
        <v/>
      </c>
      <c r="HF9" s="121" t="str">
        <f>IF(ISBLANK(tbl_task7[[คะแนนเต็ม]:[คะแนนเต็ม]]),"",(tbl_task7[44]/tbl_task7[[คะแนนเต็ม]:[คะแนนเต็ม]])*tbl_task7[[%]:[%]])</f>
        <v/>
      </c>
      <c r="HG9" s="121" t="str">
        <f>IF(ISBLANK(tbl_task7[[คะแนนเต็ม]:[คะแนนเต็ม]]),"",(tbl_task7[45]/tbl_task7[[คะแนนเต็ม]:[คะแนนเต็ม]])*tbl_task7[[%]:[%]])</f>
        <v/>
      </c>
      <c r="HH9" s="121" t="str">
        <f>IF(ISBLANK(tbl_task7[[คะแนนเต็ม]:[คะแนนเต็ม]]),"",(tbl_task7[46]/tbl_task7[[คะแนนเต็ม]:[คะแนนเต็ม]])*tbl_task7[[%]:[%]])</f>
        <v/>
      </c>
      <c r="HI9" s="121" t="str">
        <f>IF(ISBLANK(tbl_task7[[คะแนนเต็ม]:[คะแนนเต็ม]]),"",(tbl_task7[47]/tbl_task7[[คะแนนเต็ม]:[คะแนนเต็ม]])*tbl_task7[[%]:[%]])</f>
        <v/>
      </c>
      <c r="HJ9" s="121" t="str">
        <f>IF(ISBLANK(tbl_task7[[คะแนนเต็ม]:[คะแนนเต็ม]]),"",(tbl_task7[48]/tbl_task7[[คะแนนเต็ม]:[คะแนนเต็ม]])*tbl_task7[[%]:[%]])</f>
        <v/>
      </c>
      <c r="HK9" s="121" t="str">
        <f>IF(ISBLANK(tbl_task7[[คะแนนเต็ม]:[คะแนนเต็ม]]),"",(tbl_task7[49]/tbl_task7[[คะแนนเต็ม]:[คะแนนเต็ม]])*tbl_task7[[%]:[%]])</f>
        <v/>
      </c>
      <c r="HL9" s="121" t="str">
        <f>IF(ISBLANK(tbl_task7[[คะแนนเต็ม]:[คะแนนเต็ม]]),"",(tbl_task7[50]/tbl_task7[[คะแนนเต็ม]:[คะแนนเต็ม]])*tbl_task7[[%]:[%]])</f>
        <v/>
      </c>
      <c r="HM9" s="121" t="str">
        <f>IF(ISBLANK(tbl_task7[[คะแนนเต็ม]:[คะแนนเต็ม]]),"",(tbl_task7[51]/tbl_task7[[คะแนนเต็ม]:[คะแนนเต็ม]])*tbl_task7[[%]:[%]])</f>
        <v/>
      </c>
      <c r="HN9" s="121" t="str">
        <f>IF(ISBLANK(tbl_task7[[คะแนนเต็ม]:[คะแนนเต็ม]]),"",(tbl_task7[52]/tbl_task7[[คะแนนเต็ม]:[คะแนนเต็ม]])*tbl_task7[[%]:[%]])</f>
        <v/>
      </c>
      <c r="HO9" s="121" t="str">
        <f>IF(ISBLANK(tbl_task7[[คะแนนเต็ม]:[คะแนนเต็ม]]),"",(tbl_task7[53]/tbl_task7[[คะแนนเต็ม]:[คะแนนเต็ม]])*tbl_task7[[%]:[%]])</f>
        <v/>
      </c>
      <c r="HP9" s="121" t="str">
        <f>IF(ISBLANK(tbl_task7[[คะแนนเต็ม]:[คะแนนเต็ม]]),"",(tbl_task7[54]/tbl_task7[[คะแนนเต็ม]:[คะแนนเต็ม]])*tbl_task7[[%]:[%]])</f>
        <v/>
      </c>
      <c r="HQ9" s="121" t="str">
        <f>IF(ISBLANK(tbl_task7[[คะแนนเต็ม]:[คะแนนเต็ม]]),"",(tbl_task7[55]/tbl_task7[[คะแนนเต็ม]:[คะแนนเต็ม]])*tbl_task7[[%]:[%]])</f>
        <v/>
      </c>
      <c r="HR9" s="121" t="str">
        <f>IF(ISBLANK(tbl_task7[[คะแนนเต็ม]:[คะแนนเต็ม]]),"",(tbl_task7[56]/tbl_task7[[คะแนนเต็ม]:[คะแนนเต็ม]])*tbl_task7[[%]:[%]])</f>
        <v/>
      </c>
      <c r="HS9" s="121" t="str">
        <f>IF(ISBLANK(tbl_task7[[คะแนนเต็ม]:[คะแนนเต็ม]]),"",(tbl_task7[57]/tbl_task7[[คะแนนเต็ม]:[คะแนนเต็ม]])*tbl_task7[[%]:[%]])</f>
        <v/>
      </c>
      <c r="HT9" s="121" t="str">
        <f>IF(ISBLANK(tbl_task7[[คะแนนเต็ม]:[คะแนนเต็ม]]),"",(tbl_task7[58]/tbl_task7[[คะแนนเต็ม]:[คะแนนเต็ม]])*tbl_task7[[%]:[%]])</f>
        <v/>
      </c>
      <c r="HU9" s="121" t="str">
        <f>IF(ISBLANK(tbl_task7[[คะแนนเต็ม]:[คะแนนเต็ม]]),"",(tbl_task7[59]/tbl_task7[[คะแนนเต็ม]:[คะแนนเต็ม]])*tbl_task7[[%]:[%]])</f>
        <v/>
      </c>
      <c r="HV9" s="121" t="str">
        <f>IF(ISBLANK(tbl_task7[[คะแนนเต็ม]:[คะแนนเต็ม]]),"",(tbl_task7[60]/tbl_task7[[คะแนนเต็ม]:[คะแนนเต็ม]])*tbl_task7[[%]:[%]])</f>
        <v/>
      </c>
      <c r="HW9" s="121" t="str">
        <f>IF(ISBLANK(tbl_task7[[คะแนนเต็ม]:[คะแนนเต็ม]]),"",(tbl_task7[61]/tbl_task7[[คะแนนเต็ม]:[คะแนนเต็ม]])*tbl_task7[[%]:[%]])</f>
        <v/>
      </c>
      <c r="HX9" s="121" t="str">
        <f>IF(ISBLANK(tbl_task7[[คะแนนเต็ม]:[คะแนนเต็ม]]),"",(tbl_task7[62]/tbl_task7[[คะแนนเต็ม]:[คะแนนเต็ม]])*tbl_task7[[%]:[%]])</f>
        <v/>
      </c>
      <c r="HY9" s="121" t="str">
        <f>IF(ISBLANK(tbl_task7[[คะแนนเต็ม]:[คะแนนเต็ม]]),"",(tbl_task7[63]/tbl_task7[[คะแนนเต็ม]:[คะแนนเต็ม]])*tbl_task7[[%]:[%]])</f>
        <v/>
      </c>
      <c r="HZ9" s="121" t="str">
        <f>IF(ISBLANK(tbl_task7[[คะแนนเต็ม]:[คะแนนเต็ม]]),"",(tbl_task7[64]/tbl_task7[[คะแนนเต็ม]:[คะแนนเต็ม]])*tbl_task7[[%]:[%]])</f>
        <v/>
      </c>
      <c r="IA9" s="121" t="str">
        <f>IF(ISBLANK(tbl_task7[[คะแนนเต็ม]:[คะแนนเต็ม]]),"",(tbl_task7[65]/tbl_task7[[คะแนนเต็ม]:[คะแนนเต็ม]])*tbl_task7[[%]:[%]])</f>
        <v/>
      </c>
      <c r="IB9" s="121" t="str">
        <f>IF(ISBLANK(tbl_task7[[คะแนนเต็ม]:[คะแนนเต็ม]]),"",(tbl_task7[66]/tbl_task7[[คะแนนเต็ม]:[คะแนนเต็ม]])*tbl_task7[[%]:[%]])</f>
        <v/>
      </c>
      <c r="IC9" s="121" t="str">
        <f>IF(ISBLANK(tbl_task7[[คะแนนเต็ม]:[คะแนนเต็ม]]),"",(tbl_task7[67]/tbl_task7[[คะแนนเต็ม]:[คะแนนเต็ม]])*tbl_task7[[%]:[%]])</f>
        <v/>
      </c>
      <c r="ID9" s="121" t="str">
        <f>IF(ISBLANK(tbl_task7[[คะแนนเต็ม]:[คะแนนเต็ม]]),"",(tbl_task7[68]/tbl_task7[[คะแนนเต็ม]:[คะแนนเต็ม]])*tbl_task7[[%]:[%]])</f>
        <v/>
      </c>
      <c r="IE9" s="121" t="str">
        <f>IF(ISBLANK(tbl_task7[[คะแนนเต็ม]:[คะแนนเต็ม]]),"",(tbl_task7[69]/tbl_task7[[คะแนนเต็ม]:[คะแนนเต็ม]])*tbl_task7[[%]:[%]])</f>
        <v/>
      </c>
      <c r="IF9" s="121" t="str">
        <f>IF(ISBLANK(tbl_task7[[คะแนนเต็ม]:[คะแนนเต็ม]]),"",(tbl_task7[70]/tbl_task7[[คะแนนเต็ม]:[คะแนนเต็ม]])*tbl_task7[[%]:[%]])</f>
        <v/>
      </c>
      <c r="IG9" s="121" t="str">
        <f>IF(ISBLANK(tbl_task7[[คะแนนเต็ม]:[คะแนนเต็ม]]),"",(tbl_task7[71]/tbl_task7[[คะแนนเต็ม]:[คะแนนเต็ม]])*tbl_task7[[%]:[%]])</f>
        <v/>
      </c>
      <c r="IH9" s="121" t="str">
        <f>IF(ISBLANK(tbl_task7[[คะแนนเต็ม]:[คะแนนเต็ม]]),"",(tbl_task7[72]/tbl_task7[[คะแนนเต็ม]:[คะแนนเต็ม]])*tbl_task7[[%]:[%]])</f>
        <v/>
      </c>
      <c r="II9" s="121" t="str">
        <f>IF(ISBLANK(tbl_task7[[คะแนนเต็ม]:[คะแนนเต็ม]]),"",(tbl_task7[73]/tbl_task7[[คะแนนเต็ม]:[คะแนนเต็ม]])*tbl_task7[[%]:[%]])</f>
        <v/>
      </c>
      <c r="IJ9" s="121" t="str">
        <f>IF(ISBLANK(tbl_task7[[คะแนนเต็ม]:[คะแนนเต็ม]]),"",(tbl_task7[74]/tbl_task7[[คะแนนเต็ม]:[คะแนนเต็ม]])*tbl_task7[[%]:[%]])</f>
        <v/>
      </c>
      <c r="IK9" s="121" t="str">
        <f>IF(ISBLANK(tbl_task7[[คะแนนเต็ม]:[คะแนนเต็ม]]),"",(tbl_task7[75]/tbl_task7[[คะแนนเต็ม]:[คะแนนเต็ม]])*tbl_task7[[%]:[%]])</f>
        <v/>
      </c>
      <c r="IL9" s="121" t="str">
        <f>IF(ISBLANK(tbl_task7[[คะแนนเต็ม]:[คะแนนเต็ม]]),"",(tbl_task7[76]/tbl_task7[[คะแนนเต็ม]:[คะแนนเต็ม]])*tbl_task7[[%]:[%]])</f>
        <v/>
      </c>
      <c r="IM9" s="121" t="str">
        <f>IF(ISBLANK(tbl_task7[[คะแนนเต็ม]:[คะแนนเต็ม]]),"",(tbl_task7[77]/tbl_task7[[คะแนนเต็ม]:[คะแนนเต็ม]])*tbl_task7[[%]:[%]])</f>
        <v/>
      </c>
      <c r="IN9" s="121" t="str">
        <f>IF(ISBLANK(tbl_task7[[คะแนนเต็ม]:[คะแนนเต็ม]]),"",(tbl_task7[78]/tbl_task7[[คะแนนเต็ม]:[คะแนนเต็ม]])*tbl_task7[[%]:[%]])</f>
        <v/>
      </c>
      <c r="IO9" s="121" t="str">
        <f>IF(ISBLANK(tbl_task7[[คะแนนเต็ม]:[คะแนนเต็ม]]),"",(tbl_task7[79]/tbl_task7[[คะแนนเต็ม]:[คะแนนเต็ม]])*tbl_task7[[%]:[%]])</f>
        <v/>
      </c>
      <c r="IP9" s="121" t="str">
        <f>IF(ISBLANK(tbl_task7[[คะแนนเต็ม]:[คะแนนเต็ม]]),"",(tbl_task7[80]/tbl_task7[[คะแนนเต็ม]:[คะแนนเต็ม]])*tbl_task7[[%]:[%]])</f>
        <v/>
      </c>
      <c r="IQ9" s="121" t="str">
        <f>IF(ISBLANK(tbl_task7[[คะแนนเต็ม]:[คะแนนเต็ม]]),"",(tbl_task7[81]/tbl_task7[[คะแนนเต็ม]:[คะแนนเต็ม]])*tbl_task7[[%]:[%]])</f>
        <v/>
      </c>
      <c r="IR9" s="121" t="str">
        <f>IF(ISBLANK(tbl_task7[[คะแนนเต็ม]:[คะแนนเต็ม]]),"",(tbl_task7[82]/tbl_task7[[คะแนนเต็ม]:[คะแนนเต็ม]])*tbl_task7[[%]:[%]])</f>
        <v/>
      </c>
      <c r="IS9" s="121" t="str">
        <f>IF(ISBLANK(tbl_task7[[คะแนนเต็ม]:[คะแนนเต็ม]]),"",(tbl_task7[83]/tbl_task7[[คะแนนเต็ม]:[คะแนนเต็ม]])*tbl_task7[[%]:[%]])</f>
        <v/>
      </c>
      <c r="IT9" s="121" t="str">
        <f>IF(ISBLANK(tbl_task7[[คะแนนเต็ม]:[คะแนนเต็ม]]),"",(tbl_task7[84]/tbl_task7[[คะแนนเต็ม]:[คะแนนเต็ม]])*tbl_task7[[%]:[%]])</f>
        <v/>
      </c>
      <c r="IU9" s="121" t="str">
        <f>IF(ISBLANK(tbl_task7[[คะแนนเต็ม]:[คะแนนเต็ม]]),"",(tbl_task7[85]/tbl_task7[[คะแนนเต็ม]:[คะแนนเต็ม]])*tbl_task7[[%]:[%]])</f>
        <v/>
      </c>
      <c r="IV9" s="121" t="str">
        <f>IF(ISBLANK(tbl_task7[[คะแนนเต็ม]:[คะแนนเต็ม]]),"",(tbl_task7[86]/tbl_task7[[คะแนนเต็ม]:[คะแนนเต็ม]])*tbl_task7[[%]:[%]])</f>
        <v/>
      </c>
      <c r="IW9" s="121" t="str">
        <f>IF(ISBLANK(tbl_task7[[คะแนนเต็ม]:[คะแนนเต็ม]]),"",(tbl_task7[87]/tbl_task7[[คะแนนเต็ม]:[คะแนนเต็ม]])*tbl_task7[[%]:[%]])</f>
        <v/>
      </c>
      <c r="IX9" s="121" t="str">
        <f>IF(ISBLANK(tbl_task7[[คะแนนเต็ม]:[คะแนนเต็ม]]),"",(tbl_task7[88]/tbl_task7[[คะแนนเต็ม]:[คะแนนเต็ม]])*tbl_task7[[%]:[%]])</f>
        <v/>
      </c>
      <c r="IY9" s="121" t="str">
        <f>IF(ISBLANK(tbl_task7[[คะแนนเต็ม]:[คะแนนเต็ม]]),"",(tbl_task7[89]/tbl_task7[[คะแนนเต็ม]:[คะแนนเต็ม]])*tbl_task7[[%]:[%]])</f>
        <v/>
      </c>
      <c r="IZ9" s="121" t="str">
        <f>IF(ISBLANK(tbl_task7[[คะแนนเต็ม]:[คะแนนเต็ม]]),"",(tbl_task7[90]/tbl_task7[[คะแนนเต็ม]:[คะแนนเต็ม]])*tbl_task7[[%]:[%]])</f>
        <v/>
      </c>
      <c r="JA9" s="121" t="str">
        <f>IF(ISBLANK(tbl_task7[[คะแนนเต็ม]:[คะแนนเต็ม]]),"",(tbl_task7[91]/tbl_task7[[คะแนนเต็ม]:[คะแนนเต็ม]])*tbl_task7[[%]:[%]])</f>
        <v/>
      </c>
      <c r="JB9" s="121" t="str">
        <f>IF(ISBLANK(tbl_task7[[คะแนนเต็ม]:[คะแนนเต็ม]]),"",(tbl_task7[92]/tbl_task7[[คะแนนเต็ม]:[คะแนนเต็ม]])*tbl_task7[[%]:[%]])</f>
        <v/>
      </c>
      <c r="JC9" s="121" t="str">
        <f>IF(ISBLANK(tbl_task7[[คะแนนเต็ม]:[คะแนนเต็ม]]),"",(tbl_task7[93]/tbl_task7[[คะแนนเต็ม]:[คะแนนเต็ม]])*tbl_task7[[%]:[%]])</f>
        <v/>
      </c>
      <c r="JD9" s="121" t="str">
        <f>IF(ISBLANK(tbl_task7[[คะแนนเต็ม]:[คะแนนเต็ม]]),"",(tbl_task7[94]/tbl_task7[[คะแนนเต็ม]:[คะแนนเต็ม]])*tbl_task7[[%]:[%]])</f>
        <v/>
      </c>
      <c r="JE9" s="121" t="str">
        <f>IF(ISBLANK(tbl_task7[[คะแนนเต็ม]:[คะแนนเต็ม]]),"",(tbl_task7[95]/tbl_task7[[คะแนนเต็ม]:[คะแนนเต็ม]])*tbl_task7[[%]:[%]])</f>
        <v/>
      </c>
      <c r="JF9" s="121" t="str">
        <f>IF(ISBLANK(tbl_task7[[คะแนนเต็ม]:[คะแนนเต็ม]]),"",(tbl_task7[96]/tbl_task7[[คะแนนเต็ม]:[คะแนนเต็ม]])*tbl_task7[[%]:[%]])</f>
        <v/>
      </c>
      <c r="JG9" s="121" t="str">
        <f>IF(ISBLANK(tbl_task7[[คะแนนเต็ม]:[คะแนนเต็ม]]),"",(tbl_task7[97]/tbl_task7[[คะแนนเต็ม]:[คะแนนเต็ม]])*tbl_task7[[%]:[%]])</f>
        <v/>
      </c>
      <c r="JH9" s="121" t="str">
        <f>IF(ISBLANK(tbl_task7[[คะแนนเต็ม]:[คะแนนเต็ม]]),"",(tbl_task7[98]/tbl_task7[[คะแนนเต็ม]:[คะแนนเต็ม]])*tbl_task7[[%]:[%]])</f>
        <v/>
      </c>
      <c r="JI9" s="121" t="str">
        <f>IF(ISBLANK(tbl_task7[[คะแนนเต็ม]:[คะแนนเต็ม]]),"",(tbl_task7[99]/tbl_task7[[คะแนนเต็ม]:[คะแนนเต็ม]])*tbl_task7[[%]:[%]])</f>
        <v/>
      </c>
      <c r="JJ9" s="121" t="str">
        <f>IF(ISBLANK(tbl_task7[[คะแนนเต็ม]:[คะแนนเต็ม]]),"",(tbl_task7[100]/tbl_task7[[คะแนนเต็ม]:[คะแนนเต็ม]])*tbl_task7[[%]:[%]])</f>
        <v/>
      </c>
      <c r="JK9" s="121" t="str">
        <f>IF(ISBLANK(tbl_task7[[คะแนนเต็ม]:[คะแนนเต็ม]]),"",(tbl_task7[101]/tbl_task7[[คะแนนเต็ม]:[คะแนนเต็ม]])*tbl_task7[[%]:[%]])</f>
        <v/>
      </c>
      <c r="JL9" s="121" t="str">
        <f>IF(ISBLANK(tbl_task7[[คะแนนเต็ม]:[คะแนนเต็ม]]),"",(tbl_task7[102]/tbl_task7[[คะแนนเต็ม]:[คะแนนเต็ม]])*tbl_task7[[%]:[%]])</f>
        <v/>
      </c>
      <c r="JM9" s="121" t="str">
        <f>IF(ISBLANK(tbl_task7[[คะแนนเต็ม]:[คะแนนเต็ม]]),"",(tbl_task7[103]/tbl_task7[[คะแนนเต็ม]:[คะแนนเต็ม]])*tbl_task7[[%]:[%]])</f>
        <v/>
      </c>
      <c r="JN9" s="121" t="str">
        <f>IF(ISBLANK(tbl_task7[[คะแนนเต็ม]:[คะแนนเต็ม]]),"",(tbl_task7[104]/tbl_task7[[คะแนนเต็ม]:[คะแนนเต็ม]])*tbl_task7[[%]:[%]])</f>
        <v/>
      </c>
      <c r="JO9" s="121" t="str">
        <f>IF(ISBLANK(tbl_task7[[คะแนนเต็ม]:[คะแนนเต็ม]]),"",(tbl_task7[105]/tbl_task7[[คะแนนเต็ม]:[คะแนนเต็ม]])*tbl_task7[[%]:[%]])</f>
        <v/>
      </c>
      <c r="JP9" s="121" t="str">
        <f>IF(ISBLANK(tbl_task7[[คะแนนเต็ม]:[คะแนนเต็ม]]),"",(tbl_task7[106]/tbl_task7[[คะแนนเต็ม]:[คะแนนเต็ม]])*tbl_task7[[%]:[%]])</f>
        <v/>
      </c>
      <c r="JQ9" s="121" t="str">
        <f>IF(ISBLANK(tbl_task7[[คะแนนเต็ม]:[คะแนนเต็ม]]),"",(tbl_task7[107]/tbl_task7[[คะแนนเต็ม]:[คะแนนเต็ม]])*tbl_task7[[%]:[%]])</f>
        <v/>
      </c>
      <c r="JR9" s="121" t="str">
        <f>IF(ISBLANK(tbl_task7[[คะแนนเต็ม]:[คะแนนเต็ม]]),"",(tbl_task7[108]/tbl_task7[[คะแนนเต็ม]:[คะแนนเต็ม]])*tbl_task7[[%]:[%]])</f>
        <v/>
      </c>
      <c r="JS9" s="121" t="str">
        <f>IF(ISBLANK(tbl_task7[[คะแนนเต็ม]:[คะแนนเต็ม]]),"",(tbl_task7[109]/tbl_task7[[คะแนนเต็ม]:[คะแนนเต็ม]])*tbl_task7[[%]:[%]])</f>
        <v/>
      </c>
      <c r="JT9" s="121" t="str">
        <f>IF(ISBLANK(tbl_task7[[คะแนนเต็ม]:[คะแนนเต็ม]]),"",(tbl_task7[110]/tbl_task7[[คะแนนเต็ม]:[คะแนนเต็ม]])*tbl_task7[[%]:[%]])</f>
        <v/>
      </c>
      <c r="JU9" s="121" t="str">
        <f>IF(ISBLANK(tbl_task7[[คะแนนเต็ม]:[คะแนนเต็ม]]),"",(tbl_task7[111]/tbl_task7[[คะแนนเต็ม]:[คะแนนเต็ม]])*tbl_task7[[%]:[%]])</f>
        <v/>
      </c>
      <c r="JV9" s="121" t="str">
        <f>IF(ISBLANK(tbl_task7[[คะแนนเต็ม]:[คะแนนเต็ม]]),"",(tbl_task7[112]/tbl_task7[[คะแนนเต็ม]:[คะแนนเต็ม]])*tbl_task7[[%]:[%]])</f>
        <v/>
      </c>
      <c r="JW9" s="121" t="str">
        <f>IF(ISBLANK(tbl_task7[[คะแนนเต็ม]:[คะแนนเต็ม]]),"",(tbl_task7[113]/tbl_task7[[คะแนนเต็ม]:[คะแนนเต็ม]])*tbl_task7[[%]:[%]])</f>
        <v/>
      </c>
      <c r="JX9" s="121" t="str">
        <f>IF(ISBLANK(tbl_task7[[คะแนนเต็ม]:[คะแนนเต็ม]]),"",(tbl_task7[114]/tbl_task7[[คะแนนเต็ม]:[คะแนนเต็ม]])*tbl_task7[[%]:[%]])</f>
        <v/>
      </c>
      <c r="JY9" s="121" t="str">
        <f>IF(ISBLANK(tbl_task7[[คะแนนเต็ม]:[คะแนนเต็ม]]),"",(tbl_task7[115]/tbl_task7[[คะแนนเต็ม]:[คะแนนเต็ม]])*tbl_task7[[%]:[%]])</f>
        <v/>
      </c>
      <c r="JZ9" s="121" t="str">
        <f>IF(ISBLANK(tbl_task7[[คะแนนเต็ม]:[คะแนนเต็ม]]),"",(tbl_task7[116]/tbl_task7[[คะแนนเต็ม]:[คะแนนเต็ม]])*tbl_task7[[%]:[%]])</f>
        <v/>
      </c>
      <c r="KA9" s="121" t="str">
        <f>IF(ISBLANK(tbl_task7[[คะแนนเต็ม]:[คะแนนเต็ม]]),"",(tbl_task7[117]/tbl_task7[[คะแนนเต็ม]:[คะแนนเต็ม]])*tbl_task7[[%]:[%]])</f>
        <v/>
      </c>
      <c r="KB9" s="121" t="str">
        <f>IF(ISBLANK(tbl_task7[[คะแนนเต็ม]:[คะแนนเต็ม]]),"",(tbl_task7[118]/tbl_task7[[คะแนนเต็ม]:[คะแนนเต็ม]])*tbl_task7[[%]:[%]])</f>
        <v/>
      </c>
      <c r="KC9" s="121" t="str">
        <f>IF(ISBLANK(tbl_task7[[คะแนนเต็ม]:[คะแนนเต็ม]]),"",(tbl_task7[119]/tbl_task7[[คะแนนเต็ม]:[คะแนนเต็ม]])*tbl_task7[[%]:[%]])</f>
        <v/>
      </c>
      <c r="KD9" s="121" t="str">
        <f>IF(ISBLANK(tbl_task7[[คะแนนเต็ม]:[คะแนนเต็ม]]),"",(tbl_task7[120]/tbl_task7[[คะแนนเต็ม]:[คะแนนเต็ม]])*tbl_task7[[%]:[%]])</f>
        <v/>
      </c>
      <c r="KE9" s="121" t="str">
        <f>IF(ISBLANK(tbl_task7[[คะแนนเต็ม]:[คะแนนเต็ม]]),"",(tbl_task7[121]/tbl_task7[[คะแนนเต็ม]:[คะแนนเต็ม]])*tbl_task7[[%]:[%]])</f>
        <v/>
      </c>
      <c r="KF9" s="121" t="str">
        <f>IF(ISBLANK(tbl_task7[[คะแนนเต็ม]:[คะแนนเต็ม]]),"",(tbl_task7[122]/tbl_task7[[คะแนนเต็ม]:[คะแนนเต็ม]])*tbl_task7[[%]:[%]])</f>
        <v/>
      </c>
      <c r="KG9" s="121" t="str">
        <f>IF(ISBLANK(tbl_task7[[คะแนนเต็ม]:[คะแนนเต็ม]]),"",(tbl_task7[123]/tbl_task7[[คะแนนเต็ม]:[คะแนนเต็ม]])*tbl_task7[[%]:[%]])</f>
        <v/>
      </c>
      <c r="KH9" s="121" t="str">
        <f>IF(ISBLANK(tbl_task7[[คะแนนเต็ม]:[คะแนนเต็ม]]),"",(tbl_task7[124]/tbl_task7[[คะแนนเต็ม]:[คะแนนเต็ม]])*tbl_task7[[%]:[%]])</f>
        <v/>
      </c>
      <c r="KI9" s="121" t="str">
        <f>IF(ISBLANK(tbl_task7[[คะแนนเต็ม]:[คะแนนเต็ม]]),"",(tbl_task7[125]/tbl_task7[[คะแนนเต็ม]:[คะแนนเต็ม]])*tbl_task7[[%]:[%]])</f>
        <v/>
      </c>
      <c r="KJ9" s="121" t="str">
        <f>IF(ISBLANK(tbl_task7[[คะแนนเต็ม]:[คะแนนเต็ม]]),"",(tbl_task7[126]/tbl_task7[[คะแนนเต็ม]:[คะแนนเต็ม]])*tbl_task7[[%]:[%]])</f>
        <v/>
      </c>
      <c r="KK9" s="121" t="str">
        <f>IF(ISBLANK(tbl_task7[[คะแนนเต็ม]:[คะแนนเต็ม]]),"",(tbl_task7[127]/tbl_task7[[คะแนนเต็ม]:[คะแนนเต็ม]])*tbl_task7[[%]:[%]])</f>
        <v/>
      </c>
      <c r="KL9" s="121" t="str">
        <f>IF(ISBLANK(tbl_task7[[คะแนนเต็ม]:[คะแนนเต็ม]]),"",(tbl_task7[128]/tbl_task7[[คะแนนเต็ม]:[คะแนนเต็ม]])*tbl_task7[[%]:[%]])</f>
        <v/>
      </c>
      <c r="KM9" s="121" t="str">
        <f>IF(ISBLANK(tbl_task7[[คะแนนเต็ม]:[คะแนนเต็ม]]),"",(tbl_task7[129]/tbl_task7[[คะแนนเต็ม]:[คะแนนเต็ม]])*tbl_task7[[%]:[%]])</f>
        <v/>
      </c>
      <c r="KN9" s="121" t="str">
        <f>IF(ISBLANK(tbl_task7[[คะแนนเต็ม]:[คะแนนเต็ม]]),"",(tbl_task7[130]/tbl_task7[[คะแนนเต็ม]:[คะแนนเต็ม]])*tbl_task7[[%]:[%]])</f>
        <v/>
      </c>
      <c r="KO9" s="121" t="str">
        <f>IF(ISBLANK(tbl_task7[[คะแนนเต็ม]:[คะแนนเต็ม]]),"",(tbl_task7[131]/tbl_task7[[คะแนนเต็ม]:[คะแนนเต็ม]])*tbl_task7[[%]:[%]])</f>
        <v/>
      </c>
      <c r="KP9" s="121" t="str">
        <f>IF(ISBLANK(tbl_task7[[คะแนนเต็ม]:[คะแนนเต็ม]]),"",(tbl_task7[132]/tbl_task7[[คะแนนเต็ม]:[คะแนนเต็ม]])*tbl_task7[[%]:[%]])</f>
        <v/>
      </c>
      <c r="KQ9" s="121" t="str">
        <f>IF(ISBLANK(tbl_task7[[คะแนนเต็ม]:[คะแนนเต็ม]]),"",(tbl_task7[133]/tbl_task7[[คะแนนเต็ม]:[คะแนนเต็ม]])*tbl_task7[[%]:[%]])</f>
        <v/>
      </c>
      <c r="KR9" s="121" t="str">
        <f>IF(ISBLANK(tbl_task7[[คะแนนเต็ม]:[คะแนนเต็ม]]),"",(tbl_task7[134]/tbl_task7[[คะแนนเต็ม]:[คะแนนเต็ม]])*tbl_task7[[%]:[%]])</f>
        <v/>
      </c>
      <c r="KS9" s="121" t="str">
        <f>IF(ISBLANK(tbl_task7[[คะแนนเต็ม]:[คะแนนเต็ม]]),"",(tbl_task7[135]/tbl_task7[[คะแนนเต็ม]:[คะแนนเต็ม]])*tbl_task7[[%]:[%]])</f>
        <v/>
      </c>
      <c r="KT9" s="121" t="str">
        <f>IF(ISBLANK(tbl_task7[[คะแนนเต็ม]:[คะแนนเต็ม]]),"",(tbl_task7[136]/tbl_task7[[คะแนนเต็ม]:[คะแนนเต็ม]])*tbl_task7[[%]:[%]])</f>
        <v/>
      </c>
      <c r="KU9" s="121" t="str">
        <f>IF(ISBLANK(tbl_task7[[คะแนนเต็ม]:[คะแนนเต็ม]]),"",(tbl_task7[137]/tbl_task7[[คะแนนเต็ม]:[คะแนนเต็ม]])*tbl_task7[[%]:[%]])</f>
        <v/>
      </c>
      <c r="KV9" s="121" t="str">
        <f>IF(ISBLANK(tbl_task7[[คะแนนเต็ม]:[คะแนนเต็ม]]),"",(tbl_task7[138]/tbl_task7[[คะแนนเต็ม]:[คะแนนเต็ม]])*tbl_task7[[%]:[%]])</f>
        <v/>
      </c>
      <c r="KW9" s="121" t="str">
        <f>IF(ISBLANK(tbl_task7[[คะแนนเต็ม]:[คะแนนเต็ม]]),"",(tbl_task7[139]/tbl_task7[[คะแนนเต็ม]:[คะแนนเต็ม]])*tbl_task7[[%]:[%]])</f>
        <v/>
      </c>
      <c r="KX9" s="121" t="str">
        <f>IF(ISBLANK(tbl_task7[[คะแนนเต็ม]:[คะแนนเต็ม]]),"",(tbl_task7[140]/tbl_task7[[คะแนนเต็ม]:[คะแนนเต็ม]])*tbl_task7[[%]:[%]])</f>
        <v/>
      </c>
      <c r="KY9" s="121" t="str">
        <f>IF(ISBLANK(tbl_task7[[คะแนนเต็ม]:[คะแนนเต็ม]]),"",(tbl_task7[141]/tbl_task7[[คะแนนเต็ม]:[คะแนนเต็ม]])*tbl_task7[[%]:[%]])</f>
        <v/>
      </c>
      <c r="KZ9" s="121" t="str">
        <f>IF(ISBLANK(tbl_task7[[คะแนนเต็ม]:[คะแนนเต็ม]]),"",(tbl_task7[142]/tbl_task7[[คะแนนเต็ม]:[คะแนนเต็ม]])*tbl_task7[[%]:[%]])</f>
        <v/>
      </c>
      <c r="LA9" s="121" t="str">
        <f>IF(ISBLANK(tbl_task7[[คะแนนเต็ม]:[คะแนนเต็ม]]),"",(tbl_task7[143]/tbl_task7[[คะแนนเต็ม]:[คะแนนเต็ม]])*tbl_task7[[%]:[%]])</f>
        <v/>
      </c>
      <c r="LB9" s="121" t="str">
        <f>IF(ISBLANK(tbl_task7[[คะแนนเต็ม]:[คะแนนเต็ม]]),"",(tbl_task7[144]/tbl_task7[[คะแนนเต็ม]:[คะแนนเต็ม]])*tbl_task7[[%]:[%]])</f>
        <v/>
      </c>
      <c r="LC9" s="121" t="str">
        <f>IF(ISBLANK(tbl_task7[[คะแนนเต็ม]:[คะแนนเต็ม]]),"",(tbl_task7[145]/tbl_task7[[คะแนนเต็ม]:[คะแนนเต็ม]])*tbl_task7[[%]:[%]])</f>
        <v/>
      </c>
      <c r="LD9" s="121" t="str">
        <f>IF(ISBLANK(tbl_task7[[คะแนนเต็ม]:[คะแนนเต็ม]]),"",(tbl_task7[146]/tbl_task7[[คะแนนเต็ม]:[คะแนนเต็ม]])*tbl_task7[[%]:[%]])</f>
        <v/>
      </c>
      <c r="LE9" s="121" t="str">
        <f>IF(ISBLANK(tbl_task7[[คะแนนเต็ม]:[คะแนนเต็ม]]),"",(tbl_task7[147]/tbl_task7[[คะแนนเต็ม]:[คะแนนเต็ม]])*tbl_task7[[%]:[%]])</f>
        <v/>
      </c>
      <c r="LF9" s="121" t="str">
        <f>IF(ISBLANK(tbl_task7[[คะแนนเต็ม]:[คะแนนเต็ม]]),"",(tbl_task7[148]/tbl_task7[[คะแนนเต็ม]:[คะแนนเต็ม]])*tbl_task7[[%]:[%]])</f>
        <v/>
      </c>
      <c r="LG9" s="121" t="str">
        <f>IF(ISBLANK(tbl_task7[[คะแนนเต็ม]:[คะแนนเต็ม]]),"",(tbl_task7[149]/tbl_task7[[คะแนนเต็ม]:[คะแนนเต็ม]])*tbl_task7[[%]:[%]])</f>
        <v/>
      </c>
      <c r="LH9" s="121" t="str">
        <f>IF(ISBLANK(tbl_task7[[คะแนนเต็ม]:[คะแนนเต็ม]]),"",(tbl_task7[150]/tbl_task7[[คะแนนเต็ม]:[คะแนนเต็ม]])*tbl_task7[[%]:[%]])</f>
        <v/>
      </c>
      <c r="LI9" s="121" t="str">
        <f>IF(ISBLANK(tbl_task7[[คะแนนเต็ม]:[คะแนนเต็ม]]),"",(tbl_task7[151]/tbl_task7[[คะแนนเต็ม]:[คะแนนเต็ม]])*tbl_task7[[%]:[%]])</f>
        <v/>
      </c>
      <c r="LJ9" s="121" t="str">
        <f>IF(ISBLANK(tbl_task7[[คะแนนเต็ม]:[คะแนนเต็ม]]),"",(tbl_task7[152]/tbl_task7[[คะแนนเต็ม]:[คะแนนเต็ม]])*tbl_task7[[%]:[%]])</f>
        <v/>
      </c>
      <c r="LK9" s="121" t="str">
        <f>IF(ISBLANK(tbl_task7[[คะแนนเต็ม]:[คะแนนเต็ม]]),"",(tbl_task7[153]/tbl_task7[[คะแนนเต็ม]:[คะแนนเต็ม]])*tbl_task7[[%]:[%]])</f>
        <v/>
      </c>
      <c r="LL9" s="121" t="str">
        <f>IF(ISBLANK(tbl_task7[[คะแนนเต็ม]:[คะแนนเต็ม]]),"",(tbl_task7[154]/tbl_task7[[คะแนนเต็ม]:[คะแนนเต็ม]])*tbl_task7[[%]:[%]])</f>
        <v/>
      </c>
      <c r="LM9" s="121" t="str">
        <f>IF(ISBLANK(tbl_task7[[คะแนนเต็ม]:[คะแนนเต็ม]]),"",(tbl_task7[155]/tbl_task7[[คะแนนเต็ม]:[คะแนนเต็ม]])*tbl_task7[[%]:[%]])</f>
        <v/>
      </c>
      <c r="LN9" s="121" t="str">
        <f>IF(ISBLANK(tbl_task7[[คะแนนเต็ม]:[คะแนนเต็ม]]),"",(tbl_task7[156]/tbl_task7[[คะแนนเต็ม]:[คะแนนเต็ม]])*tbl_task7[[%]:[%]])</f>
        <v/>
      </c>
      <c r="LO9" s="121" t="str">
        <f>IF(ISBLANK(tbl_task7[[คะแนนเต็ม]:[คะแนนเต็ม]]),"",(tbl_task7[157]/tbl_task7[[คะแนนเต็ม]:[คะแนนเต็ม]])*tbl_task7[[%]:[%]])</f>
        <v/>
      </c>
      <c r="LP9" s="121" t="str">
        <f>IF(ISBLANK(tbl_task7[[คะแนนเต็ม]:[คะแนนเต็ม]]),"",(tbl_task7[158]/tbl_task7[[คะแนนเต็ม]:[คะแนนเต็ม]])*tbl_task7[[%]:[%]])</f>
        <v/>
      </c>
      <c r="LQ9" s="121" t="str">
        <f>IF(ISBLANK(tbl_task7[[คะแนนเต็ม]:[คะแนนเต็ม]]),"",(tbl_task7[159]/tbl_task7[[คะแนนเต็ม]:[คะแนนเต็ม]])*tbl_task7[[%]:[%]])</f>
        <v/>
      </c>
      <c r="LR9" s="121" t="str">
        <f>IF(ISBLANK(tbl_task7[[คะแนนเต็ม]:[คะแนนเต็ม]]),"",(tbl_task7[160]/tbl_task7[[คะแนนเต็ม]:[คะแนนเต็ม]])*tbl_task7[[%]:[%]])</f>
        <v/>
      </c>
      <c r="LS9" s="121" t="str">
        <f>IF(ISBLANK(tbl_task7[[คะแนนเต็ม]:[คะแนนเต็ม]]),"",(tbl_task7[161]/tbl_task7[[คะแนนเต็ม]:[คะแนนเต็ม]])*tbl_task7[[%]:[%]])</f>
        <v/>
      </c>
      <c r="LT9" s="121" t="str">
        <f>IF(ISBLANK(tbl_task7[[คะแนนเต็ม]:[คะแนนเต็ม]]),"",(tbl_task7[162]/tbl_task7[[คะแนนเต็ม]:[คะแนนเต็ม]])*tbl_task7[[%]:[%]])</f>
        <v/>
      </c>
      <c r="LU9" s="121" t="str">
        <f>IF(ISBLANK(tbl_task7[[คะแนนเต็ม]:[คะแนนเต็ม]]),"",(tbl_task7[163]/tbl_task7[[คะแนนเต็ม]:[คะแนนเต็ม]])*tbl_task7[[%]:[%]])</f>
        <v/>
      </c>
      <c r="LV9" s="121" t="str">
        <f>IF(ISBLANK(tbl_task7[[คะแนนเต็ม]:[คะแนนเต็ม]]),"",(tbl_task7[164]/tbl_task7[[คะแนนเต็ม]:[คะแนนเต็ม]])*tbl_task7[[%]:[%]])</f>
        <v/>
      </c>
      <c r="LW9" s="121" t="str">
        <f>IF(ISBLANK(tbl_task7[[คะแนนเต็ม]:[คะแนนเต็ม]]),"",(tbl_task7[165]/tbl_task7[[คะแนนเต็ม]:[คะแนนเต็ม]])*tbl_task7[[%]:[%]])</f>
        <v/>
      </c>
    </row>
    <row r="10" spans="1:335" ht="24" customHeight="1" x14ac:dyDescent="0.25">
      <c r="A10" s="24">
        <v>7</v>
      </c>
      <c r="B10" s="20"/>
      <c r="C10" s="5" t="str">
        <f>IF(ISBLANK(B10),"",VLOOKUP(B10,tbl_PLOs[],2,0))</f>
        <v/>
      </c>
      <c r="D10" s="102"/>
      <c r="E10" s="106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22"/>
      <c r="FO10" s="121" t="str">
        <f>IF(ISBLANK(tbl_task7[[คะแนนเต็ม]:[คะแนนเต็ม]]),"",(tbl_task7[1]/tbl_task7[[คะแนนเต็ม]:[คะแนนเต็ม]])*tbl_task7[[%]:[%]])</f>
        <v/>
      </c>
      <c r="FP10" s="121" t="str">
        <f>IF(ISBLANK(tbl_task7[[คะแนนเต็ม]:[คะแนนเต็ม]]),"",(tbl_task7[2]/tbl_task7[[คะแนนเต็ม]:[คะแนนเต็ม]])*tbl_task7[[%]:[%]])</f>
        <v/>
      </c>
      <c r="FQ10" s="121" t="str">
        <f>IF(ISBLANK(tbl_task7[[คะแนนเต็ม]:[คะแนนเต็ม]]),"",(tbl_task7[3]/tbl_task7[[คะแนนเต็ม]:[คะแนนเต็ม]])*tbl_task7[[%]:[%]])</f>
        <v/>
      </c>
      <c r="FR10" s="121" t="str">
        <f>IF(ISBLANK(tbl_task7[[คะแนนเต็ม]:[คะแนนเต็ม]]),"",(tbl_task7[4]/tbl_task7[[คะแนนเต็ม]:[คะแนนเต็ม]])*tbl_task7[[%]:[%]])</f>
        <v/>
      </c>
      <c r="FS10" s="121" t="str">
        <f>IF(ISBLANK(tbl_task7[[คะแนนเต็ม]:[คะแนนเต็ม]]),"",(tbl_task7[5]/tbl_task7[[คะแนนเต็ม]:[คะแนนเต็ม]])*tbl_task7[[%]:[%]])</f>
        <v/>
      </c>
      <c r="FT10" s="121" t="str">
        <f>IF(ISBLANK(tbl_task7[[คะแนนเต็ม]:[คะแนนเต็ม]]),"",(tbl_task7[6]/tbl_task7[[คะแนนเต็ม]:[คะแนนเต็ม]])*tbl_task7[[%]:[%]])</f>
        <v/>
      </c>
      <c r="FU10" s="121" t="str">
        <f>IF(ISBLANK(tbl_task7[[คะแนนเต็ม]:[คะแนนเต็ม]]),"",(tbl_task7[7]/tbl_task7[[คะแนนเต็ม]:[คะแนนเต็ม]])*tbl_task7[[%]:[%]])</f>
        <v/>
      </c>
      <c r="FV10" s="121" t="str">
        <f>IF(ISBLANK(tbl_task7[[คะแนนเต็ม]:[คะแนนเต็ม]]),"",(tbl_task7[8]/tbl_task7[[คะแนนเต็ม]:[คะแนนเต็ม]])*tbl_task7[[%]:[%]])</f>
        <v/>
      </c>
      <c r="FW10" s="121" t="str">
        <f>IF(ISBLANK(tbl_task7[[คะแนนเต็ม]:[คะแนนเต็ม]]),"",(tbl_task7[9]/tbl_task7[[คะแนนเต็ม]:[คะแนนเต็ม]])*tbl_task7[[%]:[%]])</f>
        <v/>
      </c>
      <c r="FX10" s="121" t="str">
        <f>IF(ISBLANK(tbl_task7[[คะแนนเต็ม]:[คะแนนเต็ม]]),"",(tbl_task7[10]/tbl_task7[[คะแนนเต็ม]:[คะแนนเต็ม]])*tbl_task7[[%]:[%]])</f>
        <v/>
      </c>
      <c r="FY10" s="121" t="str">
        <f>IF(ISBLANK(tbl_task7[[คะแนนเต็ม]:[คะแนนเต็ม]]),"",(tbl_task7[11]/tbl_task7[[คะแนนเต็ม]:[คะแนนเต็ม]])*tbl_task7[[%]:[%]])</f>
        <v/>
      </c>
      <c r="FZ10" s="121" t="str">
        <f>IF(ISBLANK(tbl_task7[[คะแนนเต็ม]:[คะแนนเต็ม]]),"",(tbl_task7[12]/tbl_task7[[คะแนนเต็ม]:[คะแนนเต็ม]])*tbl_task7[[%]:[%]])</f>
        <v/>
      </c>
      <c r="GA10" s="121" t="str">
        <f>IF(ISBLANK(tbl_task7[[คะแนนเต็ม]:[คะแนนเต็ม]]),"",(tbl_task7[13]/tbl_task7[[คะแนนเต็ม]:[คะแนนเต็ม]])*tbl_task7[[%]:[%]])</f>
        <v/>
      </c>
      <c r="GB10" s="121" t="str">
        <f>IF(ISBLANK(tbl_task7[[คะแนนเต็ม]:[คะแนนเต็ม]]),"",(tbl_task7[14]/tbl_task7[[คะแนนเต็ม]:[คะแนนเต็ม]])*tbl_task7[[%]:[%]])</f>
        <v/>
      </c>
      <c r="GC10" s="121" t="str">
        <f>IF(ISBLANK(tbl_task7[[คะแนนเต็ม]:[คะแนนเต็ม]]),"",(tbl_task7[15]/tbl_task7[[คะแนนเต็ม]:[คะแนนเต็ม]])*tbl_task7[[%]:[%]])</f>
        <v/>
      </c>
      <c r="GD10" s="121" t="str">
        <f>IF(ISBLANK(tbl_task7[[คะแนนเต็ม]:[คะแนนเต็ม]]),"",(tbl_task7[16]/tbl_task7[[คะแนนเต็ม]:[คะแนนเต็ม]])*tbl_task7[[%]:[%]])</f>
        <v/>
      </c>
      <c r="GE10" s="121" t="str">
        <f>IF(ISBLANK(tbl_task7[[คะแนนเต็ม]:[คะแนนเต็ม]]),"",(tbl_task7[17]/tbl_task7[[คะแนนเต็ม]:[คะแนนเต็ม]])*tbl_task7[[%]:[%]])</f>
        <v/>
      </c>
      <c r="GF10" s="121" t="str">
        <f>IF(ISBLANK(tbl_task7[[คะแนนเต็ม]:[คะแนนเต็ม]]),"",(tbl_task7[18]/tbl_task7[[คะแนนเต็ม]:[คะแนนเต็ม]])*tbl_task7[[%]:[%]])</f>
        <v/>
      </c>
      <c r="GG10" s="121" t="str">
        <f>IF(ISBLANK(tbl_task7[[คะแนนเต็ม]:[คะแนนเต็ม]]),"",(tbl_task7[19]/tbl_task7[[คะแนนเต็ม]:[คะแนนเต็ม]])*tbl_task7[[%]:[%]])</f>
        <v/>
      </c>
      <c r="GH10" s="121" t="str">
        <f>IF(ISBLANK(tbl_task7[[คะแนนเต็ม]:[คะแนนเต็ม]]),"",(tbl_task7[20]/tbl_task7[[คะแนนเต็ม]:[คะแนนเต็ม]])*tbl_task7[[%]:[%]])</f>
        <v/>
      </c>
      <c r="GI10" s="121" t="str">
        <f>IF(ISBLANK(tbl_task7[[คะแนนเต็ม]:[คะแนนเต็ม]]),"",(tbl_task7[21]/tbl_task7[[คะแนนเต็ม]:[คะแนนเต็ม]])*tbl_task7[[%]:[%]])</f>
        <v/>
      </c>
      <c r="GJ10" s="121" t="str">
        <f>IF(ISBLANK(tbl_task7[[คะแนนเต็ม]:[คะแนนเต็ม]]),"",(tbl_task7[22]/tbl_task7[[คะแนนเต็ม]:[คะแนนเต็ม]])*tbl_task7[[%]:[%]])</f>
        <v/>
      </c>
      <c r="GK10" s="121" t="str">
        <f>IF(ISBLANK(tbl_task7[[คะแนนเต็ม]:[คะแนนเต็ม]]),"",(tbl_task7[23]/tbl_task7[[คะแนนเต็ม]:[คะแนนเต็ม]])*tbl_task7[[%]:[%]])</f>
        <v/>
      </c>
      <c r="GL10" s="121" t="str">
        <f>IF(ISBLANK(tbl_task7[[คะแนนเต็ม]:[คะแนนเต็ม]]),"",(tbl_task7[24]/tbl_task7[[คะแนนเต็ม]:[คะแนนเต็ม]])*tbl_task7[[%]:[%]])</f>
        <v/>
      </c>
      <c r="GM10" s="121" t="str">
        <f>IF(ISBLANK(tbl_task7[[คะแนนเต็ม]:[คะแนนเต็ม]]),"",(tbl_task7[25]/tbl_task7[[คะแนนเต็ม]:[คะแนนเต็ม]])*tbl_task7[[%]:[%]])</f>
        <v/>
      </c>
      <c r="GN10" s="121" t="str">
        <f>IF(ISBLANK(tbl_task7[[คะแนนเต็ม]:[คะแนนเต็ม]]),"",(tbl_task7[26]/tbl_task7[[คะแนนเต็ม]:[คะแนนเต็ม]])*tbl_task7[[%]:[%]])</f>
        <v/>
      </c>
      <c r="GO10" s="121" t="str">
        <f>IF(ISBLANK(tbl_task7[[คะแนนเต็ม]:[คะแนนเต็ม]]),"",(tbl_task7[27]/tbl_task7[[คะแนนเต็ม]:[คะแนนเต็ม]])*tbl_task7[[%]:[%]])</f>
        <v/>
      </c>
      <c r="GP10" s="121" t="str">
        <f>IF(ISBLANK(tbl_task7[[คะแนนเต็ม]:[คะแนนเต็ม]]),"",(tbl_task7[28]/tbl_task7[[คะแนนเต็ม]:[คะแนนเต็ม]])*tbl_task7[[%]:[%]])</f>
        <v/>
      </c>
      <c r="GQ10" s="121" t="str">
        <f>IF(ISBLANK(tbl_task7[[คะแนนเต็ม]:[คะแนนเต็ม]]),"",(tbl_task7[29]/tbl_task7[[คะแนนเต็ม]:[คะแนนเต็ม]])*tbl_task7[[%]:[%]])</f>
        <v/>
      </c>
      <c r="GR10" s="121" t="str">
        <f>IF(ISBLANK(tbl_task7[[คะแนนเต็ม]:[คะแนนเต็ม]]),"",(tbl_task7[30]/tbl_task7[[คะแนนเต็ม]:[คะแนนเต็ม]])*tbl_task7[[%]:[%]])</f>
        <v/>
      </c>
      <c r="GS10" s="121" t="str">
        <f>IF(ISBLANK(tbl_task7[[คะแนนเต็ม]:[คะแนนเต็ม]]),"",(tbl_task7[31]/tbl_task7[[คะแนนเต็ม]:[คะแนนเต็ม]])*tbl_task7[[%]:[%]])</f>
        <v/>
      </c>
      <c r="GT10" s="121" t="str">
        <f>IF(ISBLANK(tbl_task7[[คะแนนเต็ม]:[คะแนนเต็ม]]),"",(tbl_task7[32]/tbl_task7[[คะแนนเต็ม]:[คะแนนเต็ม]])*tbl_task7[[%]:[%]])</f>
        <v/>
      </c>
      <c r="GU10" s="121" t="str">
        <f>IF(ISBLANK(tbl_task7[[คะแนนเต็ม]:[คะแนนเต็ม]]),"",(tbl_task7[33]/tbl_task7[[คะแนนเต็ม]:[คะแนนเต็ม]])*tbl_task7[[%]:[%]])</f>
        <v/>
      </c>
      <c r="GV10" s="121" t="str">
        <f>IF(ISBLANK(tbl_task7[[คะแนนเต็ม]:[คะแนนเต็ม]]),"",(tbl_task7[34]/tbl_task7[[คะแนนเต็ม]:[คะแนนเต็ม]])*tbl_task7[[%]:[%]])</f>
        <v/>
      </c>
      <c r="GW10" s="121" t="str">
        <f>IF(ISBLANK(tbl_task7[[คะแนนเต็ม]:[คะแนนเต็ม]]),"",(tbl_task7[35]/tbl_task7[[คะแนนเต็ม]:[คะแนนเต็ม]])*tbl_task7[[%]:[%]])</f>
        <v/>
      </c>
      <c r="GX10" s="121" t="str">
        <f>IF(ISBLANK(tbl_task7[[คะแนนเต็ม]:[คะแนนเต็ม]]),"",(tbl_task7[36]/tbl_task7[[คะแนนเต็ม]:[คะแนนเต็ม]])*tbl_task7[[%]:[%]])</f>
        <v/>
      </c>
      <c r="GY10" s="121" t="str">
        <f>IF(ISBLANK(tbl_task7[[คะแนนเต็ม]:[คะแนนเต็ม]]),"",(tbl_task7[37]/tbl_task7[[คะแนนเต็ม]:[คะแนนเต็ม]])*tbl_task7[[%]:[%]])</f>
        <v/>
      </c>
      <c r="GZ10" s="121" t="str">
        <f>IF(ISBLANK(tbl_task7[[คะแนนเต็ม]:[คะแนนเต็ม]]),"",(tbl_task7[38]/tbl_task7[[คะแนนเต็ม]:[คะแนนเต็ม]])*tbl_task7[[%]:[%]])</f>
        <v/>
      </c>
      <c r="HA10" s="121" t="str">
        <f>IF(ISBLANK(tbl_task7[[คะแนนเต็ม]:[คะแนนเต็ม]]),"",(tbl_task7[39]/tbl_task7[[คะแนนเต็ม]:[คะแนนเต็ม]])*tbl_task7[[%]:[%]])</f>
        <v/>
      </c>
      <c r="HB10" s="121" t="str">
        <f>IF(ISBLANK(tbl_task7[[คะแนนเต็ม]:[คะแนนเต็ม]]),"",(tbl_task7[40]/tbl_task7[[คะแนนเต็ม]:[คะแนนเต็ม]])*tbl_task7[[%]:[%]])</f>
        <v/>
      </c>
      <c r="HC10" s="121" t="str">
        <f>IF(ISBLANK(tbl_task7[[คะแนนเต็ม]:[คะแนนเต็ม]]),"",(tbl_task7[41]/tbl_task7[[คะแนนเต็ม]:[คะแนนเต็ม]])*tbl_task7[[%]:[%]])</f>
        <v/>
      </c>
      <c r="HD10" s="121" t="str">
        <f>IF(ISBLANK(tbl_task7[[คะแนนเต็ม]:[คะแนนเต็ม]]),"",(tbl_task7[42]/tbl_task7[[คะแนนเต็ม]:[คะแนนเต็ม]])*tbl_task7[[%]:[%]])</f>
        <v/>
      </c>
      <c r="HE10" s="121" t="str">
        <f>IF(ISBLANK(tbl_task7[[คะแนนเต็ม]:[คะแนนเต็ม]]),"",(tbl_task7[43]/tbl_task7[[คะแนนเต็ม]:[คะแนนเต็ม]])*tbl_task7[[%]:[%]])</f>
        <v/>
      </c>
      <c r="HF10" s="121" t="str">
        <f>IF(ISBLANK(tbl_task7[[คะแนนเต็ม]:[คะแนนเต็ม]]),"",(tbl_task7[44]/tbl_task7[[คะแนนเต็ม]:[คะแนนเต็ม]])*tbl_task7[[%]:[%]])</f>
        <v/>
      </c>
      <c r="HG10" s="121" t="str">
        <f>IF(ISBLANK(tbl_task7[[คะแนนเต็ม]:[คะแนนเต็ม]]),"",(tbl_task7[45]/tbl_task7[[คะแนนเต็ม]:[คะแนนเต็ม]])*tbl_task7[[%]:[%]])</f>
        <v/>
      </c>
      <c r="HH10" s="121" t="str">
        <f>IF(ISBLANK(tbl_task7[[คะแนนเต็ม]:[คะแนนเต็ม]]),"",(tbl_task7[46]/tbl_task7[[คะแนนเต็ม]:[คะแนนเต็ม]])*tbl_task7[[%]:[%]])</f>
        <v/>
      </c>
      <c r="HI10" s="121" t="str">
        <f>IF(ISBLANK(tbl_task7[[คะแนนเต็ม]:[คะแนนเต็ม]]),"",(tbl_task7[47]/tbl_task7[[คะแนนเต็ม]:[คะแนนเต็ม]])*tbl_task7[[%]:[%]])</f>
        <v/>
      </c>
      <c r="HJ10" s="121" t="str">
        <f>IF(ISBLANK(tbl_task7[[คะแนนเต็ม]:[คะแนนเต็ม]]),"",(tbl_task7[48]/tbl_task7[[คะแนนเต็ม]:[คะแนนเต็ม]])*tbl_task7[[%]:[%]])</f>
        <v/>
      </c>
      <c r="HK10" s="121" t="str">
        <f>IF(ISBLANK(tbl_task7[[คะแนนเต็ม]:[คะแนนเต็ม]]),"",(tbl_task7[49]/tbl_task7[[คะแนนเต็ม]:[คะแนนเต็ม]])*tbl_task7[[%]:[%]])</f>
        <v/>
      </c>
      <c r="HL10" s="121" t="str">
        <f>IF(ISBLANK(tbl_task7[[คะแนนเต็ม]:[คะแนนเต็ม]]),"",(tbl_task7[50]/tbl_task7[[คะแนนเต็ม]:[คะแนนเต็ม]])*tbl_task7[[%]:[%]])</f>
        <v/>
      </c>
      <c r="HM10" s="121" t="str">
        <f>IF(ISBLANK(tbl_task7[[คะแนนเต็ม]:[คะแนนเต็ม]]),"",(tbl_task7[51]/tbl_task7[[คะแนนเต็ม]:[คะแนนเต็ม]])*tbl_task7[[%]:[%]])</f>
        <v/>
      </c>
      <c r="HN10" s="121" t="str">
        <f>IF(ISBLANK(tbl_task7[[คะแนนเต็ม]:[คะแนนเต็ม]]),"",(tbl_task7[52]/tbl_task7[[คะแนนเต็ม]:[คะแนนเต็ม]])*tbl_task7[[%]:[%]])</f>
        <v/>
      </c>
      <c r="HO10" s="121" t="str">
        <f>IF(ISBLANK(tbl_task7[[คะแนนเต็ม]:[คะแนนเต็ม]]),"",(tbl_task7[53]/tbl_task7[[คะแนนเต็ม]:[คะแนนเต็ม]])*tbl_task7[[%]:[%]])</f>
        <v/>
      </c>
      <c r="HP10" s="121" t="str">
        <f>IF(ISBLANK(tbl_task7[[คะแนนเต็ม]:[คะแนนเต็ม]]),"",(tbl_task7[54]/tbl_task7[[คะแนนเต็ม]:[คะแนนเต็ม]])*tbl_task7[[%]:[%]])</f>
        <v/>
      </c>
      <c r="HQ10" s="121" t="str">
        <f>IF(ISBLANK(tbl_task7[[คะแนนเต็ม]:[คะแนนเต็ม]]),"",(tbl_task7[55]/tbl_task7[[คะแนนเต็ม]:[คะแนนเต็ม]])*tbl_task7[[%]:[%]])</f>
        <v/>
      </c>
      <c r="HR10" s="121" t="str">
        <f>IF(ISBLANK(tbl_task7[[คะแนนเต็ม]:[คะแนนเต็ม]]),"",(tbl_task7[56]/tbl_task7[[คะแนนเต็ม]:[คะแนนเต็ม]])*tbl_task7[[%]:[%]])</f>
        <v/>
      </c>
      <c r="HS10" s="121" t="str">
        <f>IF(ISBLANK(tbl_task7[[คะแนนเต็ม]:[คะแนนเต็ม]]),"",(tbl_task7[57]/tbl_task7[[คะแนนเต็ม]:[คะแนนเต็ม]])*tbl_task7[[%]:[%]])</f>
        <v/>
      </c>
      <c r="HT10" s="121" t="str">
        <f>IF(ISBLANK(tbl_task7[[คะแนนเต็ม]:[คะแนนเต็ม]]),"",(tbl_task7[58]/tbl_task7[[คะแนนเต็ม]:[คะแนนเต็ม]])*tbl_task7[[%]:[%]])</f>
        <v/>
      </c>
      <c r="HU10" s="121" t="str">
        <f>IF(ISBLANK(tbl_task7[[คะแนนเต็ม]:[คะแนนเต็ม]]),"",(tbl_task7[59]/tbl_task7[[คะแนนเต็ม]:[คะแนนเต็ม]])*tbl_task7[[%]:[%]])</f>
        <v/>
      </c>
      <c r="HV10" s="121" t="str">
        <f>IF(ISBLANK(tbl_task7[[คะแนนเต็ม]:[คะแนนเต็ม]]),"",(tbl_task7[60]/tbl_task7[[คะแนนเต็ม]:[คะแนนเต็ม]])*tbl_task7[[%]:[%]])</f>
        <v/>
      </c>
      <c r="HW10" s="121" t="str">
        <f>IF(ISBLANK(tbl_task7[[คะแนนเต็ม]:[คะแนนเต็ม]]),"",(tbl_task7[61]/tbl_task7[[คะแนนเต็ม]:[คะแนนเต็ม]])*tbl_task7[[%]:[%]])</f>
        <v/>
      </c>
      <c r="HX10" s="121" t="str">
        <f>IF(ISBLANK(tbl_task7[[คะแนนเต็ม]:[คะแนนเต็ม]]),"",(tbl_task7[62]/tbl_task7[[คะแนนเต็ม]:[คะแนนเต็ม]])*tbl_task7[[%]:[%]])</f>
        <v/>
      </c>
      <c r="HY10" s="121" t="str">
        <f>IF(ISBLANK(tbl_task7[[คะแนนเต็ม]:[คะแนนเต็ม]]),"",(tbl_task7[63]/tbl_task7[[คะแนนเต็ม]:[คะแนนเต็ม]])*tbl_task7[[%]:[%]])</f>
        <v/>
      </c>
      <c r="HZ10" s="121" t="str">
        <f>IF(ISBLANK(tbl_task7[[คะแนนเต็ม]:[คะแนนเต็ม]]),"",(tbl_task7[64]/tbl_task7[[คะแนนเต็ม]:[คะแนนเต็ม]])*tbl_task7[[%]:[%]])</f>
        <v/>
      </c>
      <c r="IA10" s="121" t="str">
        <f>IF(ISBLANK(tbl_task7[[คะแนนเต็ม]:[คะแนนเต็ม]]),"",(tbl_task7[65]/tbl_task7[[คะแนนเต็ม]:[คะแนนเต็ม]])*tbl_task7[[%]:[%]])</f>
        <v/>
      </c>
      <c r="IB10" s="121" t="str">
        <f>IF(ISBLANK(tbl_task7[[คะแนนเต็ม]:[คะแนนเต็ม]]),"",(tbl_task7[66]/tbl_task7[[คะแนนเต็ม]:[คะแนนเต็ม]])*tbl_task7[[%]:[%]])</f>
        <v/>
      </c>
      <c r="IC10" s="121" t="str">
        <f>IF(ISBLANK(tbl_task7[[คะแนนเต็ม]:[คะแนนเต็ม]]),"",(tbl_task7[67]/tbl_task7[[คะแนนเต็ม]:[คะแนนเต็ม]])*tbl_task7[[%]:[%]])</f>
        <v/>
      </c>
      <c r="ID10" s="121" t="str">
        <f>IF(ISBLANK(tbl_task7[[คะแนนเต็ม]:[คะแนนเต็ม]]),"",(tbl_task7[68]/tbl_task7[[คะแนนเต็ม]:[คะแนนเต็ม]])*tbl_task7[[%]:[%]])</f>
        <v/>
      </c>
      <c r="IE10" s="121" t="str">
        <f>IF(ISBLANK(tbl_task7[[คะแนนเต็ม]:[คะแนนเต็ม]]),"",(tbl_task7[69]/tbl_task7[[คะแนนเต็ม]:[คะแนนเต็ม]])*tbl_task7[[%]:[%]])</f>
        <v/>
      </c>
      <c r="IF10" s="121" t="str">
        <f>IF(ISBLANK(tbl_task7[[คะแนนเต็ม]:[คะแนนเต็ม]]),"",(tbl_task7[70]/tbl_task7[[คะแนนเต็ม]:[คะแนนเต็ม]])*tbl_task7[[%]:[%]])</f>
        <v/>
      </c>
      <c r="IG10" s="121" t="str">
        <f>IF(ISBLANK(tbl_task7[[คะแนนเต็ม]:[คะแนนเต็ม]]),"",(tbl_task7[71]/tbl_task7[[คะแนนเต็ม]:[คะแนนเต็ม]])*tbl_task7[[%]:[%]])</f>
        <v/>
      </c>
      <c r="IH10" s="121" t="str">
        <f>IF(ISBLANK(tbl_task7[[คะแนนเต็ม]:[คะแนนเต็ม]]),"",(tbl_task7[72]/tbl_task7[[คะแนนเต็ม]:[คะแนนเต็ม]])*tbl_task7[[%]:[%]])</f>
        <v/>
      </c>
      <c r="II10" s="121" t="str">
        <f>IF(ISBLANK(tbl_task7[[คะแนนเต็ม]:[คะแนนเต็ม]]),"",(tbl_task7[73]/tbl_task7[[คะแนนเต็ม]:[คะแนนเต็ม]])*tbl_task7[[%]:[%]])</f>
        <v/>
      </c>
      <c r="IJ10" s="121" t="str">
        <f>IF(ISBLANK(tbl_task7[[คะแนนเต็ม]:[คะแนนเต็ม]]),"",(tbl_task7[74]/tbl_task7[[คะแนนเต็ม]:[คะแนนเต็ม]])*tbl_task7[[%]:[%]])</f>
        <v/>
      </c>
      <c r="IK10" s="121" t="str">
        <f>IF(ISBLANK(tbl_task7[[คะแนนเต็ม]:[คะแนนเต็ม]]),"",(tbl_task7[75]/tbl_task7[[คะแนนเต็ม]:[คะแนนเต็ม]])*tbl_task7[[%]:[%]])</f>
        <v/>
      </c>
      <c r="IL10" s="121" t="str">
        <f>IF(ISBLANK(tbl_task7[[คะแนนเต็ม]:[คะแนนเต็ม]]),"",(tbl_task7[76]/tbl_task7[[คะแนนเต็ม]:[คะแนนเต็ม]])*tbl_task7[[%]:[%]])</f>
        <v/>
      </c>
      <c r="IM10" s="121" t="str">
        <f>IF(ISBLANK(tbl_task7[[คะแนนเต็ม]:[คะแนนเต็ม]]),"",(tbl_task7[77]/tbl_task7[[คะแนนเต็ม]:[คะแนนเต็ม]])*tbl_task7[[%]:[%]])</f>
        <v/>
      </c>
      <c r="IN10" s="121" t="str">
        <f>IF(ISBLANK(tbl_task7[[คะแนนเต็ม]:[คะแนนเต็ม]]),"",(tbl_task7[78]/tbl_task7[[คะแนนเต็ม]:[คะแนนเต็ม]])*tbl_task7[[%]:[%]])</f>
        <v/>
      </c>
      <c r="IO10" s="121" t="str">
        <f>IF(ISBLANK(tbl_task7[[คะแนนเต็ม]:[คะแนนเต็ม]]),"",(tbl_task7[79]/tbl_task7[[คะแนนเต็ม]:[คะแนนเต็ม]])*tbl_task7[[%]:[%]])</f>
        <v/>
      </c>
      <c r="IP10" s="121" t="str">
        <f>IF(ISBLANK(tbl_task7[[คะแนนเต็ม]:[คะแนนเต็ม]]),"",(tbl_task7[80]/tbl_task7[[คะแนนเต็ม]:[คะแนนเต็ม]])*tbl_task7[[%]:[%]])</f>
        <v/>
      </c>
      <c r="IQ10" s="121" t="str">
        <f>IF(ISBLANK(tbl_task7[[คะแนนเต็ม]:[คะแนนเต็ม]]),"",(tbl_task7[81]/tbl_task7[[คะแนนเต็ม]:[คะแนนเต็ม]])*tbl_task7[[%]:[%]])</f>
        <v/>
      </c>
      <c r="IR10" s="121" t="str">
        <f>IF(ISBLANK(tbl_task7[[คะแนนเต็ม]:[คะแนนเต็ม]]),"",(tbl_task7[82]/tbl_task7[[คะแนนเต็ม]:[คะแนนเต็ม]])*tbl_task7[[%]:[%]])</f>
        <v/>
      </c>
      <c r="IS10" s="121" t="str">
        <f>IF(ISBLANK(tbl_task7[[คะแนนเต็ม]:[คะแนนเต็ม]]),"",(tbl_task7[83]/tbl_task7[[คะแนนเต็ม]:[คะแนนเต็ม]])*tbl_task7[[%]:[%]])</f>
        <v/>
      </c>
      <c r="IT10" s="121" t="str">
        <f>IF(ISBLANK(tbl_task7[[คะแนนเต็ม]:[คะแนนเต็ม]]),"",(tbl_task7[84]/tbl_task7[[คะแนนเต็ม]:[คะแนนเต็ม]])*tbl_task7[[%]:[%]])</f>
        <v/>
      </c>
      <c r="IU10" s="121" t="str">
        <f>IF(ISBLANK(tbl_task7[[คะแนนเต็ม]:[คะแนนเต็ม]]),"",(tbl_task7[85]/tbl_task7[[คะแนนเต็ม]:[คะแนนเต็ม]])*tbl_task7[[%]:[%]])</f>
        <v/>
      </c>
      <c r="IV10" s="121" t="str">
        <f>IF(ISBLANK(tbl_task7[[คะแนนเต็ม]:[คะแนนเต็ม]]),"",(tbl_task7[86]/tbl_task7[[คะแนนเต็ม]:[คะแนนเต็ม]])*tbl_task7[[%]:[%]])</f>
        <v/>
      </c>
      <c r="IW10" s="121" t="str">
        <f>IF(ISBLANK(tbl_task7[[คะแนนเต็ม]:[คะแนนเต็ม]]),"",(tbl_task7[87]/tbl_task7[[คะแนนเต็ม]:[คะแนนเต็ม]])*tbl_task7[[%]:[%]])</f>
        <v/>
      </c>
      <c r="IX10" s="121" t="str">
        <f>IF(ISBLANK(tbl_task7[[คะแนนเต็ม]:[คะแนนเต็ม]]),"",(tbl_task7[88]/tbl_task7[[คะแนนเต็ม]:[คะแนนเต็ม]])*tbl_task7[[%]:[%]])</f>
        <v/>
      </c>
      <c r="IY10" s="121" t="str">
        <f>IF(ISBLANK(tbl_task7[[คะแนนเต็ม]:[คะแนนเต็ม]]),"",(tbl_task7[89]/tbl_task7[[คะแนนเต็ม]:[คะแนนเต็ม]])*tbl_task7[[%]:[%]])</f>
        <v/>
      </c>
      <c r="IZ10" s="121" t="str">
        <f>IF(ISBLANK(tbl_task7[[คะแนนเต็ม]:[คะแนนเต็ม]]),"",(tbl_task7[90]/tbl_task7[[คะแนนเต็ม]:[คะแนนเต็ม]])*tbl_task7[[%]:[%]])</f>
        <v/>
      </c>
      <c r="JA10" s="121" t="str">
        <f>IF(ISBLANK(tbl_task7[[คะแนนเต็ม]:[คะแนนเต็ม]]),"",(tbl_task7[91]/tbl_task7[[คะแนนเต็ม]:[คะแนนเต็ม]])*tbl_task7[[%]:[%]])</f>
        <v/>
      </c>
      <c r="JB10" s="121" t="str">
        <f>IF(ISBLANK(tbl_task7[[คะแนนเต็ม]:[คะแนนเต็ม]]),"",(tbl_task7[92]/tbl_task7[[คะแนนเต็ม]:[คะแนนเต็ม]])*tbl_task7[[%]:[%]])</f>
        <v/>
      </c>
      <c r="JC10" s="121" t="str">
        <f>IF(ISBLANK(tbl_task7[[คะแนนเต็ม]:[คะแนนเต็ม]]),"",(tbl_task7[93]/tbl_task7[[คะแนนเต็ม]:[คะแนนเต็ม]])*tbl_task7[[%]:[%]])</f>
        <v/>
      </c>
      <c r="JD10" s="121" t="str">
        <f>IF(ISBLANK(tbl_task7[[คะแนนเต็ม]:[คะแนนเต็ม]]),"",(tbl_task7[94]/tbl_task7[[คะแนนเต็ม]:[คะแนนเต็ม]])*tbl_task7[[%]:[%]])</f>
        <v/>
      </c>
      <c r="JE10" s="121" t="str">
        <f>IF(ISBLANK(tbl_task7[[คะแนนเต็ม]:[คะแนนเต็ม]]),"",(tbl_task7[95]/tbl_task7[[คะแนนเต็ม]:[คะแนนเต็ม]])*tbl_task7[[%]:[%]])</f>
        <v/>
      </c>
      <c r="JF10" s="121" t="str">
        <f>IF(ISBLANK(tbl_task7[[คะแนนเต็ม]:[คะแนนเต็ม]]),"",(tbl_task7[96]/tbl_task7[[คะแนนเต็ม]:[คะแนนเต็ม]])*tbl_task7[[%]:[%]])</f>
        <v/>
      </c>
      <c r="JG10" s="121" t="str">
        <f>IF(ISBLANK(tbl_task7[[คะแนนเต็ม]:[คะแนนเต็ม]]),"",(tbl_task7[97]/tbl_task7[[คะแนนเต็ม]:[คะแนนเต็ม]])*tbl_task7[[%]:[%]])</f>
        <v/>
      </c>
      <c r="JH10" s="121" t="str">
        <f>IF(ISBLANK(tbl_task7[[คะแนนเต็ม]:[คะแนนเต็ม]]),"",(tbl_task7[98]/tbl_task7[[คะแนนเต็ม]:[คะแนนเต็ม]])*tbl_task7[[%]:[%]])</f>
        <v/>
      </c>
      <c r="JI10" s="121" t="str">
        <f>IF(ISBLANK(tbl_task7[[คะแนนเต็ม]:[คะแนนเต็ม]]),"",(tbl_task7[99]/tbl_task7[[คะแนนเต็ม]:[คะแนนเต็ม]])*tbl_task7[[%]:[%]])</f>
        <v/>
      </c>
      <c r="JJ10" s="121" t="str">
        <f>IF(ISBLANK(tbl_task7[[คะแนนเต็ม]:[คะแนนเต็ม]]),"",(tbl_task7[100]/tbl_task7[[คะแนนเต็ม]:[คะแนนเต็ม]])*tbl_task7[[%]:[%]])</f>
        <v/>
      </c>
      <c r="JK10" s="121" t="str">
        <f>IF(ISBLANK(tbl_task7[[คะแนนเต็ม]:[คะแนนเต็ม]]),"",(tbl_task7[101]/tbl_task7[[คะแนนเต็ม]:[คะแนนเต็ม]])*tbl_task7[[%]:[%]])</f>
        <v/>
      </c>
      <c r="JL10" s="121" t="str">
        <f>IF(ISBLANK(tbl_task7[[คะแนนเต็ม]:[คะแนนเต็ม]]),"",(tbl_task7[102]/tbl_task7[[คะแนนเต็ม]:[คะแนนเต็ม]])*tbl_task7[[%]:[%]])</f>
        <v/>
      </c>
      <c r="JM10" s="121" t="str">
        <f>IF(ISBLANK(tbl_task7[[คะแนนเต็ม]:[คะแนนเต็ม]]),"",(tbl_task7[103]/tbl_task7[[คะแนนเต็ม]:[คะแนนเต็ม]])*tbl_task7[[%]:[%]])</f>
        <v/>
      </c>
      <c r="JN10" s="121" t="str">
        <f>IF(ISBLANK(tbl_task7[[คะแนนเต็ม]:[คะแนนเต็ม]]),"",(tbl_task7[104]/tbl_task7[[คะแนนเต็ม]:[คะแนนเต็ม]])*tbl_task7[[%]:[%]])</f>
        <v/>
      </c>
      <c r="JO10" s="121" t="str">
        <f>IF(ISBLANK(tbl_task7[[คะแนนเต็ม]:[คะแนนเต็ม]]),"",(tbl_task7[105]/tbl_task7[[คะแนนเต็ม]:[คะแนนเต็ม]])*tbl_task7[[%]:[%]])</f>
        <v/>
      </c>
      <c r="JP10" s="121" t="str">
        <f>IF(ISBLANK(tbl_task7[[คะแนนเต็ม]:[คะแนนเต็ม]]),"",(tbl_task7[106]/tbl_task7[[คะแนนเต็ม]:[คะแนนเต็ม]])*tbl_task7[[%]:[%]])</f>
        <v/>
      </c>
      <c r="JQ10" s="121" t="str">
        <f>IF(ISBLANK(tbl_task7[[คะแนนเต็ม]:[คะแนนเต็ม]]),"",(tbl_task7[107]/tbl_task7[[คะแนนเต็ม]:[คะแนนเต็ม]])*tbl_task7[[%]:[%]])</f>
        <v/>
      </c>
      <c r="JR10" s="121" t="str">
        <f>IF(ISBLANK(tbl_task7[[คะแนนเต็ม]:[คะแนนเต็ม]]),"",(tbl_task7[108]/tbl_task7[[คะแนนเต็ม]:[คะแนนเต็ม]])*tbl_task7[[%]:[%]])</f>
        <v/>
      </c>
      <c r="JS10" s="121" t="str">
        <f>IF(ISBLANK(tbl_task7[[คะแนนเต็ม]:[คะแนนเต็ม]]),"",(tbl_task7[109]/tbl_task7[[คะแนนเต็ม]:[คะแนนเต็ม]])*tbl_task7[[%]:[%]])</f>
        <v/>
      </c>
      <c r="JT10" s="121" t="str">
        <f>IF(ISBLANK(tbl_task7[[คะแนนเต็ม]:[คะแนนเต็ม]]),"",(tbl_task7[110]/tbl_task7[[คะแนนเต็ม]:[คะแนนเต็ม]])*tbl_task7[[%]:[%]])</f>
        <v/>
      </c>
      <c r="JU10" s="121" t="str">
        <f>IF(ISBLANK(tbl_task7[[คะแนนเต็ม]:[คะแนนเต็ม]]),"",(tbl_task7[111]/tbl_task7[[คะแนนเต็ม]:[คะแนนเต็ม]])*tbl_task7[[%]:[%]])</f>
        <v/>
      </c>
      <c r="JV10" s="121" t="str">
        <f>IF(ISBLANK(tbl_task7[[คะแนนเต็ม]:[คะแนนเต็ม]]),"",(tbl_task7[112]/tbl_task7[[คะแนนเต็ม]:[คะแนนเต็ม]])*tbl_task7[[%]:[%]])</f>
        <v/>
      </c>
      <c r="JW10" s="121" t="str">
        <f>IF(ISBLANK(tbl_task7[[คะแนนเต็ม]:[คะแนนเต็ม]]),"",(tbl_task7[113]/tbl_task7[[คะแนนเต็ม]:[คะแนนเต็ม]])*tbl_task7[[%]:[%]])</f>
        <v/>
      </c>
      <c r="JX10" s="121" t="str">
        <f>IF(ISBLANK(tbl_task7[[คะแนนเต็ม]:[คะแนนเต็ม]]),"",(tbl_task7[114]/tbl_task7[[คะแนนเต็ม]:[คะแนนเต็ม]])*tbl_task7[[%]:[%]])</f>
        <v/>
      </c>
      <c r="JY10" s="121" t="str">
        <f>IF(ISBLANK(tbl_task7[[คะแนนเต็ม]:[คะแนนเต็ม]]),"",(tbl_task7[115]/tbl_task7[[คะแนนเต็ม]:[คะแนนเต็ม]])*tbl_task7[[%]:[%]])</f>
        <v/>
      </c>
      <c r="JZ10" s="121" t="str">
        <f>IF(ISBLANK(tbl_task7[[คะแนนเต็ม]:[คะแนนเต็ม]]),"",(tbl_task7[116]/tbl_task7[[คะแนนเต็ม]:[คะแนนเต็ม]])*tbl_task7[[%]:[%]])</f>
        <v/>
      </c>
      <c r="KA10" s="121" t="str">
        <f>IF(ISBLANK(tbl_task7[[คะแนนเต็ม]:[คะแนนเต็ม]]),"",(tbl_task7[117]/tbl_task7[[คะแนนเต็ม]:[คะแนนเต็ม]])*tbl_task7[[%]:[%]])</f>
        <v/>
      </c>
      <c r="KB10" s="121" t="str">
        <f>IF(ISBLANK(tbl_task7[[คะแนนเต็ม]:[คะแนนเต็ม]]),"",(tbl_task7[118]/tbl_task7[[คะแนนเต็ม]:[คะแนนเต็ม]])*tbl_task7[[%]:[%]])</f>
        <v/>
      </c>
      <c r="KC10" s="121" t="str">
        <f>IF(ISBLANK(tbl_task7[[คะแนนเต็ม]:[คะแนนเต็ม]]),"",(tbl_task7[119]/tbl_task7[[คะแนนเต็ม]:[คะแนนเต็ม]])*tbl_task7[[%]:[%]])</f>
        <v/>
      </c>
      <c r="KD10" s="121" t="str">
        <f>IF(ISBLANK(tbl_task7[[คะแนนเต็ม]:[คะแนนเต็ม]]),"",(tbl_task7[120]/tbl_task7[[คะแนนเต็ม]:[คะแนนเต็ม]])*tbl_task7[[%]:[%]])</f>
        <v/>
      </c>
      <c r="KE10" s="121" t="str">
        <f>IF(ISBLANK(tbl_task7[[คะแนนเต็ม]:[คะแนนเต็ม]]),"",(tbl_task7[121]/tbl_task7[[คะแนนเต็ม]:[คะแนนเต็ม]])*tbl_task7[[%]:[%]])</f>
        <v/>
      </c>
      <c r="KF10" s="121" t="str">
        <f>IF(ISBLANK(tbl_task7[[คะแนนเต็ม]:[คะแนนเต็ม]]),"",(tbl_task7[122]/tbl_task7[[คะแนนเต็ม]:[คะแนนเต็ม]])*tbl_task7[[%]:[%]])</f>
        <v/>
      </c>
      <c r="KG10" s="121" t="str">
        <f>IF(ISBLANK(tbl_task7[[คะแนนเต็ม]:[คะแนนเต็ม]]),"",(tbl_task7[123]/tbl_task7[[คะแนนเต็ม]:[คะแนนเต็ม]])*tbl_task7[[%]:[%]])</f>
        <v/>
      </c>
      <c r="KH10" s="121" t="str">
        <f>IF(ISBLANK(tbl_task7[[คะแนนเต็ม]:[คะแนนเต็ม]]),"",(tbl_task7[124]/tbl_task7[[คะแนนเต็ม]:[คะแนนเต็ม]])*tbl_task7[[%]:[%]])</f>
        <v/>
      </c>
      <c r="KI10" s="121" t="str">
        <f>IF(ISBLANK(tbl_task7[[คะแนนเต็ม]:[คะแนนเต็ม]]),"",(tbl_task7[125]/tbl_task7[[คะแนนเต็ม]:[คะแนนเต็ม]])*tbl_task7[[%]:[%]])</f>
        <v/>
      </c>
      <c r="KJ10" s="121" t="str">
        <f>IF(ISBLANK(tbl_task7[[คะแนนเต็ม]:[คะแนนเต็ม]]),"",(tbl_task7[126]/tbl_task7[[คะแนนเต็ม]:[คะแนนเต็ม]])*tbl_task7[[%]:[%]])</f>
        <v/>
      </c>
      <c r="KK10" s="121" t="str">
        <f>IF(ISBLANK(tbl_task7[[คะแนนเต็ม]:[คะแนนเต็ม]]),"",(tbl_task7[127]/tbl_task7[[คะแนนเต็ม]:[คะแนนเต็ม]])*tbl_task7[[%]:[%]])</f>
        <v/>
      </c>
      <c r="KL10" s="121" t="str">
        <f>IF(ISBLANK(tbl_task7[[คะแนนเต็ม]:[คะแนนเต็ม]]),"",(tbl_task7[128]/tbl_task7[[คะแนนเต็ม]:[คะแนนเต็ม]])*tbl_task7[[%]:[%]])</f>
        <v/>
      </c>
      <c r="KM10" s="121" t="str">
        <f>IF(ISBLANK(tbl_task7[[คะแนนเต็ม]:[คะแนนเต็ม]]),"",(tbl_task7[129]/tbl_task7[[คะแนนเต็ม]:[คะแนนเต็ม]])*tbl_task7[[%]:[%]])</f>
        <v/>
      </c>
      <c r="KN10" s="121" t="str">
        <f>IF(ISBLANK(tbl_task7[[คะแนนเต็ม]:[คะแนนเต็ม]]),"",(tbl_task7[130]/tbl_task7[[คะแนนเต็ม]:[คะแนนเต็ม]])*tbl_task7[[%]:[%]])</f>
        <v/>
      </c>
      <c r="KO10" s="121" t="str">
        <f>IF(ISBLANK(tbl_task7[[คะแนนเต็ม]:[คะแนนเต็ม]]),"",(tbl_task7[131]/tbl_task7[[คะแนนเต็ม]:[คะแนนเต็ม]])*tbl_task7[[%]:[%]])</f>
        <v/>
      </c>
      <c r="KP10" s="121" t="str">
        <f>IF(ISBLANK(tbl_task7[[คะแนนเต็ม]:[คะแนนเต็ม]]),"",(tbl_task7[132]/tbl_task7[[คะแนนเต็ม]:[คะแนนเต็ม]])*tbl_task7[[%]:[%]])</f>
        <v/>
      </c>
      <c r="KQ10" s="121" t="str">
        <f>IF(ISBLANK(tbl_task7[[คะแนนเต็ม]:[คะแนนเต็ม]]),"",(tbl_task7[133]/tbl_task7[[คะแนนเต็ม]:[คะแนนเต็ม]])*tbl_task7[[%]:[%]])</f>
        <v/>
      </c>
      <c r="KR10" s="121" t="str">
        <f>IF(ISBLANK(tbl_task7[[คะแนนเต็ม]:[คะแนนเต็ม]]),"",(tbl_task7[134]/tbl_task7[[คะแนนเต็ม]:[คะแนนเต็ม]])*tbl_task7[[%]:[%]])</f>
        <v/>
      </c>
      <c r="KS10" s="121" t="str">
        <f>IF(ISBLANK(tbl_task7[[คะแนนเต็ม]:[คะแนนเต็ม]]),"",(tbl_task7[135]/tbl_task7[[คะแนนเต็ม]:[คะแนนเต็ม]])*tbl_task7[[%]:[%]])</f>
        <v/>
      </c>
      <c r="KT10" s="121" t="str">
        <f>IF(ISBLANK(tbl_task7[[คะแนนเต็ม]:[คะแนนเต็ม]]),"",(tbl_task7[136]/tbl_task7[[คะแนนเต็ม]:[คะแนนเต็ม]])*tbl_task7[[%]:[%]])</f>
        <v/>
      </c>
      <c r="KU10" s="121" t="str">
        <f>IF(ISBLANK(tbl_task7[[คะแนนเต็ม]:[คะแนนเต็ม]]),"",(tbl_task7[137]/tbl_task7[[คะแนนเต็ม]:[คะแนนเต็ม]])*tbl_task7[[%]:[%]])</f>
        <v/>
      </c>
      <c r="KV10" s="121" t="str">
        <f>IF(ISBLANK(tbl_task7[[คะแนนเต็ม]:[คะแนนเต็ม]]),"",(tbl_task7[138]/tbl_task7[[คะแนนเต็ม]:[คะแนนเต็ม]])*tbl_task7[[%]:[%]])</f>
        <v/>
      </c>
      <c r="KW10" s="121" t="str">
        <f>IF(ISBLANK(tbl_task7[[คะแนนเต็ม]:[คะแนนเต็ม]]),"",(tbl_task7[139]/tbl_task7[[คะแนนเต็ม]:[คะแนนเต็ม]])*tbl_task7[[%]:[%]])</f>
        <v/>
      </c>
      <c r="KX10" s="121" t="str">
        <f>IF(ISBLANK(tbl_task7[[คะแนนเต็ม]:[คะแนนเต็ม]]),"",(tbl_task7[140]/tbl_task7[[คะแนนเต็ม]:[คะแนนเต็ม]])*tbl_task7[[%]:[%]])</f>
        <v/>
      </c>
      <c r="KY10" s="121" t="str">
        <f>IF(ISBLANK(tbl_task7[[คะแนนเต็ม]:[คะแนนเต็ม]]),"",(tbl_task7[141]/tbl_task7[[คะแนนเต็ม]:[คะแนนเต็ม]])*tbl_task7[[%]:[%]])</f>
        <v/>
      </c>
      <c r="KZ10" s="121" t="str">
        <f>IF(ISBLANK(tbl_task7[[คะแนนเต็ม]:[คะแนนเต็ม]]),"",(tbl_task7[142]/tbl_task7[[คะแนนเต็ม]:[คะแนนเต็ม]])*tbl_task7[[%]:[%]])</f>
        <v/>
      </c>
      <c r="LA10" s="121" t="str">
        <f>IF(ISBLANK(tbl_task7[[คะแนนเต็ม]:[คะแนนเต็ม]]),"",(tbl_task7[143]/tbl_task7[[คะแนนเต็ม]:[คะแนนเต็ม]])*tbl_task7[[%]:[%]])</f>
        <v/>
      </c>
      <c r="LB10" s="121" t="str">
        <f>IF(ISBLANK(tbl_task7[[คะแนนเต็ม]:[คะแนนเต็ม]]),"",(tbl_task7[144]/tbl_task7[[คะแนนเต็ม]:[คะแนนเต็ม]])*tbl_task7[[%]:[%]])</f>
        <v/>
      </c>
      <c r="LC10" s="121" t="str">
        <f>IF(ISBLANK(tbl_task7[[คะแนนเต็ม]:[คะแนนเต็ม]]),"",(tbl_task7[145]/tbl_task7[[คะแนนเต็ม]:[คะแนนเต็ม]])*tbl_task7[[%]:[%]])</f>
        <v/>
      </c>
      <c r="LD10" s="121" t="str">
        <f>IF(ISBLANK(tbl_task7[[คะแนนเต็ม]:[คะแนนเต็ม]]),"",(tbl_task7[146]/tbl_task7[[คะแนนเต็ม]:[คะแนนเต็ม]])*tbl_task7[[%]:[%]])</f>
        <v/>
      </c>
      <c r="LE10" s="121" t="str">
        <f>IF(ISBLANK(tbl_task7[[คะแนนเต็ม]:[คะแนนเต็ม]]),"",(tbl_task7[147]/tbl_task7[[คะแนนเต็ม]:[คะแนนเต็ม]])*tbl_task7[[%]:[%]])</f>
        <v/>
      </c>
      <c r="LF10" s="121" t="str">
        <f>IF(ISBLANK(tbl_task7[[คะแนนเต็ม]:[คะแนนเต็ม]]),"",(tbl_task7[148]/tbl_task7[[คะแนนเต็ม]:[คะแนนเต็ม]])*tbl_task7[[%]:[%]])</f>
        <v/>
      </c>
      <c r="LG10" s="121" t="str">
        <f>IF(ISBLANK(tbl_task7[[คะแนนเต็ม]:[คะแนนเต็ม]]),"",(tbl_task7[149]/tbl_task7[[คะแนนเต็ม]:[คะแนนเต็ม]])*tbl_task7[[%]:[%]])</f>
        <v/>
      </c>
      <c r="LH10" s="121" t="str">
        <f>IF(ISBLANK(tbl_task7[[คะแนนเต็ม]:[คะแนนเต็ม]]),"",(tbl_task7[150]/tbl_task7[[คะแนนเต็ม]:[คะแนนเต็ม]])*tbl_task7[[%]:[%]])</f>
        <v/>
      </c>
      <c r="LI10" s="121" t="str">
        <f>IF(ISBLANK(tbl_task7[[คะแนนเต็ม]:[คะแนนเต็ม]]),"",(tbl_task7[151]/tbl_task7[[คะแนนเต็ม]:[คะแนนเต็ม]])*tbl_task7[[%]:[%]])</f>
        <v/>
      </c>
      <c r="LJ10" s="121" t="str">
        <f>IF(ISBLANK(tbl_task7[[คะแนนเต็ม]:[คะแนนเต็ม]]),"",(tbl_task7[152]/tbl_task7[[คะแนนเต็ม]:[คะแนนเต็ม]])*tbl_task7[[%]:[%]])</f>
        <v/>
      </c>
      <c r="LK10" s="121" t="str">
        <f>IF(ISBLANK(tbl_task7[[คะแนนเต็ม]:[คะแนนเต็ม]]),"",(tbl_task7[153]/tbl_task7[[คะแนนเต็ม]:[คะแนนเต็ม]])*tbl_task7[[%]:[%]])</f>
        <v/>
      </c>
      <c r="LL10" s="121" t="str">
        <f>IF(ISBLANK(tbl_task7[[คะแนนเต็ม]:[คะแนนเต็ม]]),"",(tbl_task7[154]/tbl_task7[[คะแนนเต็ม]:[คะแนนเต็ม]])*tbl_task7[[%]:[%]])</f>
        <v/>
      </c>
      <c r="LM10" s="121" t="str">
        <f>IF(ISBLANK(tbl_task7[[คะแนนเต็ม]:[คะแนนเต็ม]]),"",(tbl_task7[155]/tbl_task7[[คะแนนเต็ม]:[คะแนนเต็ม]])*tbl_task7[[%]:[%]])</f>
        <v/>
      </c>
      <c r="LN10" s="121" t="str">
        <f>IF(ISBLANK(tbl_task7[[คะแนนเต็ม]:[คะแนนเต็ม]]),"",(tbl_task7[156]/tbl_task7[[คะแนนเต็ม]:[คะแนนเต็ม]])*tbl_task7[[%]:[%]])</f>
        <v/>
      </c>
      <c r="LO10" s="121" t="str">
        <f>IF(ISBLANK(tbl_task7[[คะแนนเต็ม]:[คะแนนเต็ม]]),"",(tbl_task7[157]/tbl_task7[[คะแนนเต็ม]:[คะแนนเต็ม]])*tbl_task7[[%]:[%]])</f>
        <v/>
      </c>
      <c r="LP10" s="121" t="str">
        <f>IF(ISBLANK(tbl_task7[[คะแนนเต็ม]:[คะแนนเต็ม]]),"",(tbl_task7[158]/tbl_task7[[คะแนนเต็ม]:[คะแนนเต็ม]])*tbl_task7[[%]:[%]])</f>
        <v/>
      </c>
      <c r="LQ10" s="121" t="str">
        <f>IF(ISBLANK(tbl_task7[[คะแนนเต็ม]:[คะแนนเต็ม]]),"",(tbl_task7[159]/tbl_task7[[คะแนนเต็ม]:[คะแนนเต็ม]])*tbl_task7[[%]:[%]])</f>
        <v/>
      </c>
      <c r="LR10" s="121" t="str">
        <f>IF(ISBLANK(tbl_task7[[คะแนนเต็ม]:[คะแนนเต็ม]]),"",(tbl_task7[160]/tbl_task7[[คะแนนเต็ม]:[คะแนนเต็ม]])*tbl_task7[[%]:[%]])</f>
        <v/>
      </c>
      <c r="LS10" s="121" t="str">
        <f>IF(ISBLANK(tbl_task7[[คะแนนเต็ม]:[คะแนนเต็ม]]),"",(tbl_task7[161]/tbl_task7[[คะแนนเต็ม]:[คะแนนเต็ม]])*tbl_task7[[%]:[%]])</f>
        <v/>
      </c>
      <c r="LT10" s="121" t="str">
        <f>IF(ISBLANK(tbl_task7[[คะแนนเต็ม]:[คะแนนเต็ม]]),"",(tbl_task7[162]/tbl_task7[[คะแนนเต็ม]:[คะแนนเต็ม]])*tbl_task7[[%]:[%]])</f>
        <v/>
      </c>
      <c r="LU10" s="121" t="str">
        <f>IF(ISBLANK(tbl_task7[[คะแนนเต็ม]:[คะแนนเต็ม]]),"",(tbl_task7[163]/tbl_task7[[คะแนนเต็ม]:[คะแนนเต็ม]])*tbl_task7[[%]:[%]])</f>
        <v/>
      </c>
      <c r="LV10" s="121" t="str">
        <f>IF(ISBLANK(tbl_task7[[คะแนนเต็ม]:[คะแนนเต็ม]]),"",(tbl_task7[164]/tbl_task7[[คะแนนเต็ม]:[คะแนนเต็ม]])*tbl_task7[[%]:[%]])</f>
        <v/>
      </c>
      <c r="LW10" s="121" t="str">
        <f>IF(ISBLANK(tbl_task7[[คะแนนเต็ม]:[คะแนนเต็ม]]),"",(tbl_task7[165]/tbl_task7[[คะแนนเต็ม]:[คะแนนเต็ม]])*tbl_task7[[%]:[%]])</f>
        <v/>
      </c>
    </row>
    <row r="11" spans="1:335" ht="24" customHeight="1" x14ac:dyDescent="0.25">
      <c r="A11" s="24">
        <v>8</v>
      </c>
      <c r="B11" s="20"/>
      <c r="C11" s="5" t="str">
        <f>IF(ISBLANK(B11),"",VLOOKUP(B11,tbl_PLOs[],2,0))</f>
        <v/>
      </c>
      <c r="D11" s="102"/>
      <c r="E11" s="106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22"/>
      <c r="FO11" s="121" t="str">
        <f>IF(ISBLANK(tbl_task7[[คะแนนเต็ม]:[คะแนนเต็ม]]),"",(tbl_task7[1]/tbl_task7[[คะแนนเต็ม]:[คะแนนเต็ม]])*tbl_task7[[%]:[%]])</f>
        <v/>
      </c>
      <c r="FP11" s="121" t="str">
        <f>IF(ISBLANK(tbl_task7[[คะแนนเต็ม]:[คะแนนเต็ม]]),"",(tbl_task7[2]/tbl_task7[[คะแนนเต็ม]:[คะแนนเต็ม]])*tbl_task7[[%]:[%]])</f>
        <v/>
      </c>
      <c r="FQ11" s="121" t="str">
        <f>IF(ISBLANK(tbl_task7[[คะแนนเต็ม]:[คะแนนเต็ม]]),"",(tbl_task7[3]/tbl_task7[[คะแนนเต็ม]:[คะแนนเต็ม]])*tbl_task7[[%]:[%]])</f>
        <v/>
      </c>
      <c r="FR11" s="121" t="str">
        <f>IF(ISBLANK(tbl_task7[[คะแนนเต็ม]:[คะแนนเต็ม]]),"",(tbl_task7[4]/tbl_task7[[คะแนนเต็ม]:[คะแนนเต็ม]])*tbl_task7[[%]:[%]])</f>
        <v/>
      </c>
      <c r="FS11" s="121" t="str">
        <f>IF(ISBLANK(tbl_task7[[คะแนนเต็ม]:[คะแนนเต็ม]]),"",(tbl_task7[5]/tbl_task7[[คะแนนเต็ม]:[คะแนนเต็ม]])*tbl_task7[[%]:[%]])</f>
        <v/>
      </c>
      <c r="FT11" s="121" t="str">
        <f>IF(ISBLANK(tbl_task7[[คะแนนเต็ม]:[คะแนนเต็ม]]),"",(tbl_task7[6]/tbl_task7[[คะแนนเต็ม]:[คะแนนเต็ม]])*tbl_task7[[%]:[%]])</f>
        <v/>
      </c>
      <c r="FU11" s="121" t="str">
        <f>IF(ISBLANK(tbl_task7[[คะแนนเต็ม]:[คะแนนเต็ม]]),"",(tbl_task7[7]/tbl_task7[[คะแนนเต็ม]:[คะแนนเต็ม]])*tbl_task7[[%]:[%]])</f>
        <v/>
      </c>
      <c r="FV11" s="121" t="str">
        <f>IF(ISBLANK(tbl_task7[[คะแนนเต็ม]:[คะแนนเต็ม]]),"",(tbl_task7[8]/tbl_task7[[คะแนนเต็ม]:[คะแนนเต็ม]])*tbl_task7[[%]:[%]])</f>
        <v/>
      </c>
      <c r="FW11" s="121" t="str">
        <f>IF(ISBLANK(tbl_task7[[คะแนนเต็ม]:[คะแนนเต็ม]]),"",(tbl_task7[9]/tbl_task7[[คะแนนเต็ม]:[คะแนนเต็ม]])*tbl_task7[[%]:[%]])</f>
        <v/>
      </c>
      <c r="FX11" s="121" t="str">
        <f>IF(ISBLANK(tbl_task7[[คะแนนเต็ม]:[คะแนนเต็ม]]),"",(tbl_task7[10]/tbl_task7[[คะแนนเต็ม]:[คะแนนเต็ม]])*tbl_task7[[%]:[%]])</f>
        <v/>
      </c>
      <c r="FY11" s="121" t="str">
        <f>IF(ISBLANK(tbl_task7[[คะแนนเต็ม]:[คะแนนเต็ม]]),"",(tbl_task7[11]/tbl_task7[[คะแนนเต็ม]:[คะแนนเต็ม]])*tbl_task7[[%]:[%]])</f>
        <v/>
      </c>
      <c r="FZ11" s="121" t="str">
        <f>IF(ISBLANK(tbl_task7[[คะแนนเต็ม]:[คะแนนเต็ม]]),"",(tbl_task7[12]/tbl_task7[[คะแนนเต็ม]:[คะแนนเต็ม]])*tbl_task7[[%]:[%]])</f>
        <v/>
      </c>
      <c r="GA11" s="121" t="str">
        <f>IF(ISBLANK(tbl_task7[[คะแนนเต็ม]:[คะแนนเต็ม]]),"",(tbl_task7[13]/tbl_task7[[คะแนนเต็ม]:[คะแนนเต็ม]])*tbl_task7[[%]:[%]])</f>
        <v/>
      </c>
      <c r="GB11" s="121" t="str">
        <f>IF(ISBLANK(tbl_task7[[คะแนนเต็ม]:[คะแนนเต็ม]]),"",(tbl_task7[14]/tbl_task7[[คะแนนเต็ม]:[คะแนนเต็ม]])*tbl_task7[[%]:[%]])</f>
        <v/>
      </c>
      <c r="GC11" s="121" t="str">
        <f>IF(ISBLANK(tbl_task7[[คะแนนเต็ม]:[คะแนนเต็ม]]),"",(tbl_task7[15]/tbl_task7[[คะแนนเต็ม]:[คะแนนเต็ม]])*tbl_task7[[%]:[%]])</f>
        <v/>
      </c>
      <c r="GD11" s="121" t="str">
        <f>IF(ISBLANK(tbl_task7[[คะแนนเต็ม]:[คะแนนเต็ม]]),"",(tbl_task7[16]/tbl_task7[[คะแนนเต็ม]:[คะแนนเต็ม]])*tbl_task7[[%]:[%]])</f>
        <v/>
      </c>
      <c r="GE11" s="121" t="str">
        <f>IF(ISBLANK(tbl_task7[[คะแนนเต็ม]:[คะแนนเต็ม]]),"",(tbl_task7[17]/tbl_task7[[คะแนนเต็ม]:[คะแนนเต็ม]])*tbl_task7[[%]:[%]])</f>
        <v/>
      </c>
      <c r="GF11" s="121" t="str">
        <f>IF(ISBLANK(tbl_task7[[คะแนนเต็ม]:[คะแนนเต็ม]]),"",(tbl_task7[18]/tbl_task7[[คะแนนเต็ม]:[คะแนนเต็ม]])*tbl_task7[[%]:[%]])</f>
        <v/>
      </c>
      <c r="GG11" s="121" t="str">
        <f>IF(ISBLANK(tbl_task7[[คะแนนเต็ม]:[คะแนนเต็ม]]),"",(tbl_task7[19]/tbl_task7[[คะแนนเต็ม]:[คะแนนเต็ม]])*tbl_task7[[%]:[%]])</f>
        <v/>
      </c>
      <c r="GH11" s="121" t="str">
        <f>IF(ISBLANK(tbl_task7[[คะแนนเต็ม]:[คะแนนเต็ม]]),"",(tbl_task7[20]/tbl_task7[[คะแนนเต็ม]:[คะแนนเต็ม]])*tbl_task7[[%]:[%]])</f>
        <v/>
      </c>
      <c r="GI11" s="121" t="str">
        <f>IF(ISBLANK(tbl_task7[[คะแนนเต็ม]:[คะแนนเต็ม]]),"",(tbl_task7[21]/tbl_task7[[คะแนนเต็ม]:[คะแนนเต็ม]])*tbl_task7[[%]:[%]])</f>
        <v/>
      </c>
      <c r="GJ11" s="121" t="str">
        <f>IF(ISBLANK(tbl_task7[[คะแนนเต็ม]:[คะแนนเต็ม]]),"",(tbl_task7[22]/tbl_task7[[คะแนนเต็ม]:[คะแนนเต็ม]])*tbl_task7[[%]:[%]])</f>
        <v/>
      </c>
      <c r="GK11" s="121" t="str">
        <f>IF(ISBLANK(tbl_task7[[คะแนนเต็ม]:[คะแนนเต็ม]]),"",(tbl_task7[23]/tbl_task7[[คะแนนเต็ม]:[คะแนนเต็ม]])*tbl_task7[[%]:[%]])</f>
        <v/>
      </c>
      <c r="GL11" s="121" t="str">
        <f>IF(ISBLANK(tbl_task7[[คะแนนเต็ม]:[คะแนนเต็ม]]),"",(tbl_task7[24]/tbl_task7[[คะแนนเต็ม]:[คะแนนเต็ม]])*tbl_task7[[%]:[%]])</f>
        <v/>
      </c>
      <c r="GM11" s="121" t="str">
        <f>IF(ISBLANK(tbl_task7[[คะแนนเต็ม]:[คะแนนเต็ม]]),"",(tbl_task7[25]/tbl_task7[[คะแนนเต็ม]:[คะแนนเต็ม]])*tbl_task7[[%]:[%]])</f>
        <v/>
      </c>
      <c r="GN11" s="121" t="str">
        <f>IF(ISBLANK(tbl_task7[[คะแนนเต็ม]:[คะแนนเต็ม]]),"",(tbl_task7[26]/tbl_task7[[คะแนนเต็ม]:[คะแนนเต็ม]])*tbl_task7[[%]:[%]])</f>
        <v/>
      </c>
      <c r="GO11" s="121" t="str">
        <f>IF(ISBLANK(tbl_task7[[คะแนนเต็ม]:[คะแนนเต็ม]]),"",(tbl_task7[27]/tbl_task7[[คะแนนเต็ม]:[คะแนนเต็ม]])*tbl_task7[[%]:[%]])</f>
        <v/>
      </c>
      <c r="GP11" s="121" t="str">
        <f>IF(ISBLANK(tbl_task7[[คะแนนเต็ม]:[คะแนนเต็ม]]),"",(tbl_task7[28]/tbl_task7[[คะแนนเต็ม]:[คะแนนเต็ม]])*tbl_task7[[%]:[%]])</f>
        <v/>
      </c>
      <c r="GQ11" s="121" t="str">
        <f>IF(ISBLANK(tbl_task7[[คะแนนเต็ม]:[คะแนนเต็ม]]),"",(tbl_task7[29]/tbl_task7[[คะแนนเต็ม]:[คะแนนเต็ม]])*tbl_task7[[%]:[%]])</f>
        <v/>
      </c>
      <c r="GR11" s="121" t="str">
        <f>IF(ISBLANK(tbl_task7[[คะแนนเต็ม]:[คะแนนเต็ม]]),"",(tbl_task7[30]/tbl_task7[[คะแนนเต็ม]:[คะแนนเต็ม]])*tbl_task7[[%]:[%]])</f>
        <v/>
      </c>
      <c r="GS11" s="121" t="str">
        <f>IF(ISBLANK(tbl_task7[[คะแนนเต็ม]:[คะแนนเต็ม]]),"",(tbl_task7[31]/tbl_task7[[คะแนนเต็ม]:[คะแนนเต็ม]])*tbl_task7[[%]:[%]])</f>
        <v/>
      </c>
      <c r="GT11" s="121" t="str">
        <f>IF(ISBLANK(tbl_task7[[คะแนนเต็ม]:[คะแนนเต็ม]]),"",(tbl_task7[32]/tbl_task7[[คะแนนเต็ม]:[คะแนนเต็ม]])*tbl_task7[[%]:[%]])</f>
        <v/>
      </c>
      <c r="GU11" s="121" t="str">
        <f>IF(ISBLANK(tbl_task7[[คะแนนเต็ม]:[คะแนนเต็ม]]),"",(tbl_task7[33]/tbl_task7[[คะแนนเต็ม]:[คะแนนเต็ม]])*tbl_task7[[%]:[%]])</f>
        <v/>
      </c>
      <c r="GV11" s="121" t="str">
        <f>IF(ISBLANK(tbl_task7[[คะแนนเต็ม]:[คะแนนเต็ม]]),"",(tbl_task7[34]/tbl_task7[[คะแนนเต็ม]:[คะแนนเต็ม]])*tbl_task7[[%]:[%]])</f>
        <v/>
      </c>
      <c r="GW11" s="121" t="str">
        <f>IF(ISBLANK(tbl_task7[[คะแนนเต็ม]:[คะแนนเต็ม]]),"",(tbl_task7[35]/tbl_task7[[คะแนนเต็ม]:[คะแนนเต็ม]])*tbl_task7[[%]:[%]])</f>
        <v/>
      </c>
      <c r="GX11" s="121" t="str">
        <f>IF(ISBLANK(tbl_task7[[คะแนนเต็ม]:[คะแนนเต็ม]]),"",(tbl_task7[36]/tbl_task7[[คะแนนเต็ม]:[คะแนนเต็ม]])*tbl_task7[[%]:[%]])</f>
        <v/>
      </c>
      <c r="GY11" s="121" t="str">
        <f>IF(ISBLANK(tbl_task7[[คะแนนเต็ม]:[คะแนนเต็ม]]),"",(tbl_task7[37]/tbl_task7[[คะแนนเต็ม]:[คะแนนเต็ม]])*tbl_task7[[%]:[%]])</f>
        <v/>
      </c>
      <c r="GZ11" s="121" t="str">
        <f>IF(ISBLANK(tbl_task7[[คะแนนเต็ม]:[คะแนนเต็ม]]),"",(tbl_task7[38]/tbl_task7[[คะแนนเต็ม]:[คะแนนเต็ม]])*tbl_task7[[%]:[%]])</f>
        <v/>
      </c>
      <c r="HA11" s="121" t="str">
        <f>IF(ISBLANK(tbl_task7[[คะแนนเต็ม]:[คะแนนเต็ม]]),"",(tbl_task7[39]/tbl_task7[[คะแนนเต็ม]:[คะแนนเต็ม]])*tbl_task7[[%]:[%]])</f>
        <v/>
      </c>
      <c r="HB11" s="121" t="str">
        <f>IF(ISBLANK(tbl_task7[[คะแนนเต็ม]:[คะแนนเต็ม]]),"",(tbl_task7[40]/tbl_task7[[คะแนนเต็ม]:[คะแนนเต็ม]])*tbl_task7[[%]:[%]])</f>
        <v/>
      </c>
      <c r="HC11" s="121" t="str">
        <f>IF(ISBLANK(tbl_task7[[คะแนนเต็ม]:[คะแนนเต็ม]]),"",(tbl_task7[41]/tbl_task7[[คะแนนเต็ม]:[คะแนนเต็ม]])*tbl_task7[[%]:[%]])</f>
        <v/>
      </c>
      <c r="HD11" s="121" t="str">
        <f>IF(ISBLANK(tbl_task7[[คะแนนเต็ม]:[คะแนนเต็ม]]),"",(tbl_task7[42]/tbl_task7[[คะแนนเต็ม]:[คะแนนเต็ม]])*tbl_task7[[%]:[%]])</f>
        <v/>
      </c>
      <c r="HE11" s="121" t="str">
        <f>IF(ISBLANK(tbl_task7[[คะแนนเต็ม]:[คะแนนเต็ม]]),"",(tbl_task7[43]/tbl_task7[[คะแนนเต็ม]:[คะแนนเต็ม]])*tbl_task7[[%]:[%]])</f>
        <v/>
      </c>
      <c r="HF11" s="121" t="str">
        <f>IF(ISBLANK(tbl_task7[[คะแนนเต็ม]:[คะแนนเต็ม]]),"",(tbl_task7[44]/tbl_task7[[คะแนนเต็ม]:[คะแนนเต็ม]])*tbl_task7[[%]:[%]])</f>
        <v/>
      </c>
      <c r="HG11" s="121" t="str">
        <f>IF(ISBLANK(tbl_task7[[คะแนนเต็ม]:[คะแนนเต็ม]]),"",(tbl_task7[45]/tbl_task7[[คะแนนเต็ม]:[คะแนนเต็ม]])*tbl_task7[[%]:[%]])</f>
        <v/>
      </c>
      <c r="HH11" s="121" t="str">
        <f>IF(ISBLANK(tbl_task7[[คะแนนเต็ม]:[คะแนนเต็ม]]),"",(tbl_task7[46]/tbl_task7[[คะแนนเต็ม]:[คะแนนเต็ม]])*tbl_task7[[%]:[%]])</f>
        <v/>
      </c>
      <c r="HI11" s="121" t="str">
        <f>IF(ISBLANK(tbl_task7[[คะแนนเต็ม]:[คะแนนเต็ม]]),"",(tbl_task7[47]/tbl_task7[[คะแนนเต็ม]:[คะแนนเต็ม]])*tbl_task7[[%]:[%]])</f>
        <v/>
      </c>
      <c r="HJ11" s="121" t="str">
        <f>IF(ISBLANK(tbl_task7[[คะแนนเต็ม]:[คะแนนเต็ม]]),"",(tbl_task7[48]/tbl_task7[[คะแนนเต็ม]:[คะแนนเต็ม]])*tbl_task7[[%]:[%]])</f>
        <v/>
      </c>
      <c r="HK11" s="121" t="str">
        <f>IF(ISBLANK(tbl_task7[[คะแนนเต็ม]:[คะแนนเต็ม]]),"",(tbl_task7[49]/tbl_task7[[คะแนนเต็ม]:[คะแนนเต็ม]])*tbl_task7[[%]:[%]])</f>
        <v/>
      </c>
      <c r="HL11" s="121" t="str">
        <f>IF(ISBLANK(tbl_task7[[คะแนนเต็ม]:[คะแนนเต็ม]]),"",(tbl_task7[50]/tbl_task7[[คะแนนเต็ม]:[คะแนนเต็ม]])*tbl_task7[[%]:[%]])</f>
        <v/>
      </c>
      <c r="HM11" s="121" t="str">
        <f>IF(ISBLANK(tbl_task7[[คะแนนเต็ม]:[คะแนนเต็ม]]),"",(tbl_task7[51]/tbl_task7[[คะแนนเต็ม]:[คะแนนเต็ม]])*tbl_task7[[%]:[%]])</f>
        <v/>
      </c>
      <c r="HN11" s="121" t="str">
        <f>IF(ISBLANK(tbl_task7[[คะแนนเต็ม]:[คะแนนเต็ม]]),"",(tbl_task7[52]/tbl_task7[[คะแนนเต็ม]:[คะแนนเต็ม]])*tbl_task7[[%]:[%]])</f>
        <v/>
      </c>
      <c r="HO11" s="121" t="str">
        <f>IF(ISBLANK(tbl_task7[[คะแนนเต็ม]:[คะแนนเต็ม]]),"",(tbl_task7[53]/tbl_task7[[คะแนนเต็ม]:[คะแนนเต็ม]])*tbl_task7[[%]:[%]])</f>
        <v/>
      </c>
      <c r="HP11" s="121" t="str">
        <f>IF(ISBLANK(tbl_task7[[คะแนนเต็ม]:[คะแนนเต็ม]]),"",(tbl_task7[54]/tbl_task7[[คะแนนเต็ม]:[คะแนนเต็ม]])*tbl_task7[[%]:[%]])</f>
        <v/>
      </c>
      <c r="HQ11" s="121" t="str">
        <f>IF(ISBLANK(tbl_task7[[คะแนนเต็ม]:[คะแนนเต็ม]]),"",(tbl_task7[55]/tbl_task7[[คะแนนเต็ม]:[คะแนนเต็ม]])*tbl_task7[[%]:[%]])</f>
        <v/>
      </c>
      <c r="HR11" s="121" t="str">
        <f>IF(ISBLANK(tbl_task7[[คะแนนเต็ม]:[คะแนนเต็ม]]),"",(tbl_task7[56]/tbl_task7[[คะแนนเต็ม]:[คะแนนเต็ม]])*tbl_task7[[%]:[%]])</f>
        <v/>
      </c>
      <c r="HS11" s="121" t="str">
        <f>IF(ISBLANK(tbl_task7[[คะแนนเต็ม]:[คะแนนเต็ม]]),"",(tbl_task7[57]/tbl_task7[[คะแนนเต็ม]:[คะแนนเต็ม]])*tbl_task7[[%]:[%]])</f>
        <v/>
      </c>
      <c r="HT11" s="121" t="str">
        <f>IF(ISBLANK(tbl_task7[[คะแนนเต็ม]:[คะแนนเต็ม]]),"",(tbl_task7[58]/tbl_task7[[คะแนนเต็ม]:[คะแนนเต็ม]])*tbl_task7[[%]:[%]])</f>
        <v/>
      </c>
      <c r="HU11" s="121" t="str">
        <f>IF(ISBLANK(tbl_task7[[คะแนนเต็ม]:[คะแนนเต็ม]]),"",(tbl_task7[59]/tbl_task7[[คะแนนเต็ม]:[คะแนนเต็ม]])*tbl_task7[[%]:[%]])</f>
        <v/>
      </c>
      <c r="HV11" s="121" t="str">
        <f>IF(ISBLANK(tbl_task7[[คะแนนเต็ม]:[คะแนนเต็ม]]),"",(tbl_task7[60]/tbl_task7[[คะแนนเต็ม]:[คะแนนเต็ม]])*tbl_task7[[%]:[%]])</f>
        <v/>
      </c>
      <c r="HW11" s="121" t="str">
        <f>IF(ISBLANK(tbl_task7[[คะแนนเต็ม]:[คะแนนเต็ม]]),"",(tbl_task7[61]/tbl_task7[[คะแนนเต็ม]:[คะแนนเต็ม]])*tbl_task7[[%]:[%]])</f>
        <v/>
      </c>
      <c r="HX11" s="121" t="str">
        <f>IF(ISBLANK(tbl_task7[[คะแนนเต็ม]:[คะแนนเต็ม]]),"",(tbl_task7[62]/tbl_task7[[คะแนนเต็ม]:[คะแนนเต็ม]])*tbl_task7[[%]:[%]])</f>
        <v/>
      </c>
      <c r="HY11" s="121" t="str">
        <f>IF(ISBLANK(tbl_task7[[คะแนนเต็ม]:[คะแนนเต็ม]]),"",(tbl_task7[63]/tbl_task7[[คะแนนเต็ม]:[คะแนนเต็ม]])*tbl_task7[[%]:[%]])</f>
        <v/>
      </c>
      <c r="HZ11" s="121" t="str">
        <f>IF(ISBLANK(tbl_task7[[คะแนนเต็ม]:[คะแนนเต็ม]]),"",(tbl_task7[64]/tbl_task7[[คะแนนเต็ม]:[คะแนนเต็ม]])*tbl_task7[[%]:[%]])</f>
        <v/>
      </c>
      <c r="IA11" s="121" t="str">
        <f>IF(ISBLANK(tbl_task7[[คะแนนเต็ม]:[คะแนนเต็ม]]),"",(tbl_task7[65]/tbl_task7[[คะแนนเต็ม]:[คะแนนเต็ม]])*tbl_task7[[%]:[%]])</f>
        <v/>
      </c>
      <c r="IB11" s="121" t="str">
        <f>IF(ISBLANK(tbl_task7[[คะแนนเต็ม]:[คะแนนเต็ม]]),"",(tbl_task7[66]/tbl_task7[[คะแนนเต็ม]:[คะแนนเต็ม]])*tbl_task7[[%]:[%]])</f>
        <v/>
      </c>
      <c r="IC11" s="121" t="str">
        <f>IF(ISBLANK(tbl_task7[[คะแนนเต็ม]:[คะแนนเต็ม]]),"",(tbl_task7[67]/tbl_task7[[คะแนนเต็ม]:[คะแนนเต็ม]])*tbl_task7[[%]:[%]])</f>
        <v/>
      </c>
      <c r="ID11" s="121" t="str">
        <f>IF(ISBLANK(tbl_task7[[คะแนนเต็ม]:[คะแนนเต็ม]]),"",(tbl_task7[68]/tbl_task7[[คะแนนเต็ม]:[คะแนนเต็ม]])*tbl_task7[[%]:[%]])</f>
        <v/>
      </c>
      <c r="IE11" s="121" t="str">
        <f>IF(ISBLANK(tbl_task7[[คะแนนเต็ม]:[คะแนนเต็ม]]),"",(tbl_task7[69]/tbl_task7[[คะแนนเต็ม]:[คะแนนเต็ม]])*tbl_task7[[%]:[%]])</f>
        <v/>
      </c>
      <c r="IF11" s="121" t="str">
        <f>IF(ISBLANK(tbl_task7[[คะแนนเต็ม]:[คะแนนเต็ม]]),"",(tbl_task7[70]/tbl_task7[[คะแนนเต็ม]:[คะแนนเต็ม]])*tbl_task7[[%]:[%]])</f>
        <v/>
      </c>
      <c r="IG11" s="121" t="str">
        <f>IF(ISBLANK(tbl_task7[[คะแนนเต็ม]:[คะแนนเต็ม]]),"",(tbl_task7[71]/tbl_task7[[คะแนนเต็ม]:[คะแนนเต็ม]])*tbl_task7[[%]:[%]])</f>
        <v/>
      </c>
      <c r="IH11" s="121" t="str">
        <f>IF(ISBLANK(tbl_task7[[คะแนนเต็ม]:[คะแนนเต็ม]]),"",(tbl_task7[72]/tbl_task7[[คะแนนเต็ม]:[คะแนนเต็ม]])*tbl_task7[[%]:[%]])</f>
        <v/>
      </c>
      <c r="II11" s="121" t="str">
        <f>IF(ISBLANK(tbl_task7[[คะแนนเต็ม]:[คะแนนเต็ม]]),"",(tbl_task7[73]/tbl_task7[[คะแนนเต็ม]:[คะแนนเต็ม]])*tbl_task7[[%]:[%]])</f>
        <v/>
      </c>
      <c r="IJ11" s="121" t="str">
        <f>IF(ISBLANK(tbl_task7[[คะแนนเต็ม]:[คะแนนเต็ม]]),"",(tbl_task7[74]/tbl_task7[[คะแนนเต็ม]:[คะแนนเต็ม]])*tbl_task7[[%]:[%]])</f>
        <v/>
      </c>
      <c r="IK11" s="121" t="str">
        <f>IF(ISBLANK(tbl_task7[[คะแนนเต็ม]:[คะแนนเต็ม]]),"",(tbl_task7[75]/tbl_task7[[คะแนนเต็ม]:[คะแนนเต็ม]])*tbl_task7[[%]:[%]])</f>
        <v/>
      </c>
      <c r="IL11" s="121" t="str">
        <f>IF(ISBLANK(tbl_task7[[คะแนนเต็ม]:[คะแนนเต็ม]]),"",(tbl_task7[76]/tbl_task7[[คะแนนเต็ม]:[คะแนนเต็ม]])*tbl_task7[[%]:[%]])</f>
        <v/>
      </c>
      <c r="IM11" s="121" t="str">
        <f>IF(ISBLANK(tbl_task7[[คะแนนเต็ม]:[คะแนนเต็ม]]),"",(tbl_task7[77]/tbl_task7[[คะแนนเต็ม]:[คะแนนเต็ม]])*tbl_task7[[%]:[%]])</f>
        <v/>
      </c>
      <c r="IN11" s="121" t="str">
        <f>IF(ISBLANK(tbl_task7[[คะแนนเต็ม]:[คะแนนเต็ม]]),"",(tbl_task7[78]/tbl_task7[[คะแนนเต็ม]:[คะแนนเต็ม]])*tbl_task7[[%]:[%]])</f>
        <v/>
      </c>
      <c r="IO11" s="121" t="str">
        <f>IF(ISBLANK(tbl_task7[[คะแนนเต็ม]:[คะแนนเต็ม]]),"",(tbl_task7[79]/tbl_task7[[คะแนนเต็ม]:[คะแนนเต็ม]])*tbl_task7[[%]:[%]])</f>
        <v/>
      </c>
      <c r="IP11" s="121" t="str">
        <f>IF(ISBLANK(tbl_task7[[คะแนนเต็ม]:[คะแนนเต็ม]]),"",(tbl_task7[80]/tbl_task7[[คะแนนเต็ม]:[คะแนนเต็ม]])*tbl_task7[[%]:[%]])</f>
        <v/>
      </c>
      <c r="IQ11" s="121" t="str">
        <f>IF(ISBLANK(tbl_task7[[คะแนนเต็ม]:[คะแนนเต็ม]]),"",(tbl_task7[81]/tbl_task7[[คะแนนเต็ม]:[คะแนนเต็ม]])*tbl_task7[[%]:[%]])</f>
        <v/>
      </c>
      <c r="IR11" s="121" t="str">
        <f>IF(ISBLANK(tbl_task7[[คะแนนเต็ม]:[คะแนนเต็ม]]),"",(tbl_task7[82]/tbl_task7[[คะแนนเต็ม]:[คะแนนเต็ม]])*tbl_task7[[%]:[%]])</f>
        <v/>
      </c>
      <c r="IS11" s="121" t="str">
        <f>IF(ISBLANK(tbl_task7[[คะแนนเต็ม]:[คะแนนเต็ม]]),"",(tbl_task7[83]/tbl_task7[[คะแนนเต็ม]:[คะแนนเต็ม]])*tbl_task7[[%]:[%]])</f>
        <v/>
      </c>
      <c r="IT11" s="121" t="str">
        <f>IF(ISBLANK(tbl_task7[[คะแนนเต็ม]:[คะแนนเต็ม]]),"",(tbl_task7[84]/tbl_task7[[คะแนนเต็ม]:[คะแนนเต็ม]])*tbl_task7[[%]:[%]])</f>
        <v/>
      </c>
      <c r="IU11" s="121" t="str">
        <f>IF(ISBLANK(tbl_task7[[คะแนนเต็ม]:[คะแนนเต็ม]]),"",(tbl_task7[85]/tbl_task7[[คะแนนเต็ม]:[คะแนนเต็ม]])*tbl_task7[[%]:[%]])</f>
        <v/>
      </c>
      <c r="IV11" s="121" t="str">
        <f>IF(ISBLANK(tbl_task7[[คะแนนเต็ม]:[คะแนนเต็ม]]),"",(tbl_task7[86]/tbl_task7[[คะแนนเต็ม]:[คะแนนเต็ม]])*tbl_task7[[%]:[%]])</f>
        <v/>
      </c>
      <c r="IW11" s="121" t="str">
        <f>IF(ISBLANK(tbl_task7[[คะแนนเต็ม]:[คะแนนเต็ม]]),"",(tbl_task7[87]/tbl_task7[[คะแนนเต็ม]:[คะแนนเต็ม]])*tbl_task7[[%]:[%]])</f>
        <v/>
      </c>
      <c r="IX11" s="121" t="str">
        <f>IF(ISBLANK(tbl_task7[[คะแนนเต็ม]:[คะแนนเต็ม]]),"",(tbl_task7[88]/tbl_task7[[คะแนนเต็ม]:[คะแนนเต็ม]])*tbl_task7[[%]:[%]])</f>
        <v/>
      </c>
      <c r="IY11" s="121" t="str">
        <f>IF(ISBLANK(tbl_task7[[คะแนนเต็ม]:[คะแนนเต็ม]]),"",(tbl_task7[89]/tbl_task7[[คะแนนเต็ม]:[คะแนนเต็ม]])*tbl_task7[[%]:[%]])</f>
        <v/>
      </c>
      <c r="IZ11" s="121" t="str">
        <f>IF(ISBLANK(tbl_task7[[คะแนนเต็ม]:[คะแนนเต็ม]]),"",(tbl_task7[90]/tbl_task7[[คะแนนเต็ม]:[คะแนนเต็ม]])*tbl_task7[[%]:[%]])</f>
        <v/>
      </c>
      <c r="JA11" s="121" t="str">
        <f>IF(ISBLANK(tbl_task7[[คะแนนเต็ม]:[คะแนนเต็ม]]),"",(tbl_task7[91]/tbl_task7[[คะแนนเต็ม]:[คะแนนเต็ม]])*tbl_task7[[%]:[%]])</f>
        <v/>
      </c>
      <c r="JB11" s="121" t="str">
        <f>IF(ISBLANK(tbl_task7[[คะแนนเต็ม]:[คะแนนเต็ม]]),"",(tbl_task7[92]/tbl_task7[[คะแนนเต็ม]:[คะแนนเต็ม]])*tbl_task7[[%]:[%]])</f>
        <v/>
      </c>
      <c r="JC11" s="121" t="str">
        <f>IF(ISBLANK(tbl_task7[[คะแนนเต็ม]:[คะแนนเต็ม]]),"",(tbl_task7[93]/tbl_task7[[คะแนนเต็ม]:[คะแนนเต็ม]])*tbl_task7[[%]:[%]])</f>
        <v/>
      </c>
      <c r="JD11" s="121" t="str">
        <f>IF(ISBLANK(tbl_task7[[คะแนนเต็ม]:[คะแนนเต็ม]]),"",(tbl_task7[94]/tbl_task7[[คะแนนเต็ม]:[คะแนนเต็ม]])*tbl_task7[[%]:[%]])</f>
        <v/>
      </c>
      <c r="JE11" s="121" t="str">
        <f>IF(ISBLANK(tbl_task7[[คะแนนเต็ม]:[คะแนนเต็ม]]),"",(tbl_task7[95]/tbl_task7[[คะแนนเต็ม]:[คะแนนเต็ม]])*tbl_task7[[%]:[%]])</f>
        <v/>
      </c>
      <c r="JF11" s="121" t="str">
        <f>IF(ISBLANK(tbl_task7[[คะแนนเต็ม]:[คะแนนเต็ม]]),"",(tbl_task7[96]/tbl_task7[[คะแนนเต็ม]:[คะแนนเต็ม]])*tbl_task7[[%]:[%]])</f>
        <v/>
      </c>
      <c r="JG11" s="121" t="str">
        <f>IF(ISBLANK(tbl_task7[[คะแนนเต็ม]:[คะแนนเต็ม]]),"",(tbl_task7[97]/tbl_task7[[คะแนนเต็ม]:[คะแนนเต็ม]])*tbl_task7[[%]:[%]])</f>
        <v/>
      </c>
      <c r="JH11" s="121" t="str">
        <f>IF(ISBLANK(tbl_task7[[คะแนนเต็ม]:[คะแนนเต็ม]]),"",(tbl_task7[98]/tbl_task7[[คะแนนเต็ม]:[คะแนนเต็ม]])*tbl_task7[[%]:[%]])</f>
        <v/>
      </c>
      <c r="JI11" s="121" t="str">
        <f>IF(ISBLANK(tbl_task7[[คะแนนเต็ม]:[คะแนนเต็ม]]),"",(tbl_task7[99]/tbl_task7[[คะแนนเต็ม]:[คะแนนเต็ม]])*tbl_task7[[%]:[%]])</f>
        <v/>
      </c>
      <c r="JJ11" s="121" t="str">
        <f>IF(ISBLANK(tbl_task7[[คะแนนเต็ม]:[คะแนนเต็ม]]),"",(tbl_task7[100]/tbl_task7[[คะแนนเต็ม]:[คะแนนเต็ม]])*tbl_task7[[%]:[%]])</f>
        <v/>
      </c>
      <c r="JK11" s="121" t="str">
        <f>IF(ISBLANK(tbl_task7[[คะแนนเต็ม]:[คะแนนเต็ม]]),"",(tbl_task7[101]/tbl_task7[[คะแนนเต็ม]:[คะแนนเต็ม]])*tbl_task7[[%]:[%]])</f>
        <v/>
      </c>
      <c r="JL11" s="121" t="str">
        <f>IF(ISBLANK(tbl_task7[[คะแนนเต็ม]:[คะแนนเต็ม]]),"",(tbl_task7[102]/tbl_task7[[คะแนนเต็ม]:[คะแนนเต็ม]])*tbl_task7[[%]:[%]])</f>
        <v/>
      </c>
      <c r="JM11" s="121" t="str">
        <f>IF(ISBLANK(tbl_task7[[คะแนนเต็ม]:[คะแนนเต็ม]]),"",(tbl_task7[103]/tbl_task7[[คะแนนเต็ม]:[คะแนนเต็ม]])*tbl_task7[[%]:[%]])</f>
        <v/>
      </c>
      <c r="JN11" s="121" t="str">
        <f>IF(ISBLANK(tbl_task7[[คะแนนเต็ม]:[คะแนนเต็ม]]),"",(tbl_task7[104]/tbl_task7[[คะแนนเต็ม]:[คะแนนเต็ม]])*tbl_task7[[%]:[%]])</f>
        <v/>
      </c>
      <c r="JO11" s="121" t="str">
        <f>IF(ISBLANK(tbl_task7[[คะแนนเต็ม]:[คะแนนเต็ม]]),"",(tbl_task7[105]/tbl_task7[[คะแนนเต็ม]:[คะแนนเต็ม]])*tbl_task7[[%]:[%]])</f>
        <v/>
      </c>
      <c r="JP11" s="121" t="str">
        <f>IF(ISBLANK(tbl_task7[[คะแนนเต็ม]:[คะแนนเต็ม]]),"",(tbl_task7[106]/tbl_task7[[คะแนนเต็ม]:[คะแนนเต็ม]])*tbl_task7[[%]:[%]])</f>
        <v/>
      </c>
      <c r="JQ11" s="121" t="str">
        <f>IF(ISBLANK(tbl_task7[[คะแนนเต็ม]:[คะแนนเต็ม]]),"",(tbl_task7[107]/tbl_task7[[คะแนนเต็ม]:[คะแนนเต็ม]])*tbl_task7[[%]:[%]])</f>
        <v/>
      </c>
      <c r="JR11" s="121" t="str">
        <f>IF(ISBLANK(tbl_task7[[คะแนนเต็ม]:[คะแนนเต็ม]]),"",(tbl_task7[108]/tbl_task7[[คะแนนเต็ม]:[คะแนนเต็ม]])*tbl_task7[[%]:[%]])</f>
        <v/>
      </c>
      <c r="JS11" s="121" t="str">
        <f>IF(ISBLANK(tbl_task7[[คะแนนเต็ม]:[คะแนนเต็ม]]),"",(tbl_task7[109]/tbl_task7[[คะแนนเต็ม]:[คะแนนเต็ม]])*tbl_task7[[%]:[%]])</f>
        <v/>
      </c>
      <c r="JT11" s="121" t="str">
        <f>IF(ISBLANK(tbl_task7[[คะแนนเต็ม]:[คะแนนเต็ม]]),"",(tbl_task7[110]/tbl_task7[[คะแนนเต็ม]:[คะแนนเต็ม]])*tbl_task7[[%]:[%]])</f>
        <v/>
      </c>
      <c r="JU11" s="121" t="str">
        <f>IF(ISBLANK(tbl_task7[[คะแนนเต็ม]:[คะแนนเต็ม]]),"",(tbl_task7[111]/tbl_task7[[คะแนนเต็ม]:[คะแนนเต็ม]])*tbl_task7[[%]:[%]])</f>
        <v/>
      </c>
      <c r="JV11" s="121" t="str">
        <f>IF(ISBLANK(tbl_task7[[คะแนนเต็ม]:[คะแนนเต็ม]]),"",(tbl_task7[112]/tbl_task7[[คะแนนเต็ม]:[คะแนนเต็ม]])*tbl_task7[[%]:[%]])</f>
        <v/>
      </c>
      <c r="JW11" s="121" t="str">
        <f>IF(ISBLANK(tbl_task7[[คะแนนเต็ม]:[คะแนนเต็ม]]),"",(tbl_task7[113]/tbl_task7[[คะแนนเต็ม]:[คะแนนเต็ม]])*tbl_task7[[%]:[%]])</f>
        <v/>
      </c>
      <c r="JX11" s="121" t="str">
        <f>IF(ISBLANK(tbl_task7[[คะแนนเต็ม]:[คะแนนเต็ม]]),"",(tbl_task7[114]/tbl_task7[[คะแนนเต็ม]:[คะแนนเต็ม]])*tbl_task7[[%]:[%]])</f>
        <v/>
      </c>
      <c r="JY11" s="121" t="str">
        <f>IF(ISBLANK(tbl_task7[[คะแนนเต็ม]:[คะแนนเต็ม]]),"",(tbl_task7[115]/tbl_task7[[คะแนนเต็ม]:[คะแนนเต็ม]])*tbl_task7[[%]:[%]])</f>
        <v/>
      </c>
      <c r="JZ11" s="121" t="str">
        <f>IF(ISBLANK(tbl_task7[[คะแนนเต็ม]:[คะแนนเต็ม]]),"",(tbl_task7[116]/tbl_task7[[คะแนนเต็ม]:[คะแนนเต็ม]])*tbl_task7[[%]:[%]])</f>
        <v/>
      </c>
      <c r="KA11" s="121" t="str">
        <f>IF(ISBLANK(tbl_task7[[คะแนนเต็ม]:[คะแนนเต็ม]]),"",(tbl_task7[117]/tbl_task7[[คะแนนเต็ม]:[คะแนนเต็ม]])*tbl_task7[[%]:[%]])</f>
        <v/>
      </c>
      <c r="KB11" s="121" t="str">
        <f>IF(ISBLANK(tbl_task7[[คะแนนเต็ม]:[คะแนนเต็ม]]),"",(tbl_task7[118]/tbl_task7[[คะแนนเต็ม]:[คะแนนเต็ม]])*tbl_task7[[%]:[%]])</f>
        <v/>
      </c>
      <c r="KC11" s="121" t="str">
        <f>IF(ISBLANK(tbl_task7[[คะแนนเต็ม]:[คะแนนเต็ม]]),"",(tbl_task7[119]/tbl_task7[[คะแนนเต็ม]:[คะแนนเต็ม]])*tbl_task7[[%]:[%]])</f>
        <v/>
      </c>
      <c r="KD11" s="121" t="str">
        <f>IF(ISBLANK(tbl_task7[[คะแนนเต็ม]:[คะแนนเต็ม]]),"",(tbl_task7[120]/tbl_task7[[คะแนนเต็ม]:[คะแนนเต็ม]])*tbl_task7[[%]:[%]])</f>
        <v/>
      </c>
      <c r="KE11" s="121" t="str">
        <f>IF(ISBLANK(tbl_task7[[คะแนนเต็ม]:[คะแนนเต็ม]]),"",(tbl_task7[121]/tbl_task7[[คะแนนเต็ม]:[คะแนนเต็ม]])*tbl_task7[[%]:[%]])</f>
        <v/>
      </c>
      <c r="KF11" s="121" t="str">
        <f>IF(ISBLANK(tbl_task7[[คะแนนเต็ม]:[คะแนนเต็ม]]),"",(tbl_task7[122]/tbl_task7[[คะแนนเต็ม]:[คะแนนเต็ม]])*tbl_task7[[%]:[%]])</f>
        <v/>
      </c>
      <c r="KG11" s="121" t="str">
        <f>IF(ISBLANK(tbl_task7[[คะแนนเต็ม]:[คะแนนเต็ม]]),"",(tbl_task7[123]/tbl_task7[[คะแนนเต็ม]:[คะแนนเต็ม]])*tbl_task7[[%]:[%]])</f>
        <v/>
      </c>
      <c r="KH11" s="121" t="str">
        <f>IF(ISBLANK(tbl_task7[[คะแนนเต็ม]:[คะแนนเต็ม]]),"",(tbl_task7[124]/tbl_task7[[คะแนนเต็ม]:[คะแนนเต็ม]])*tbl_task7[[%]:[%]])</f>
        <v/>
      </c>
      <c r="KI11" s="121" t="str">
        <f>IF(ISBLANK(tbl_task7[[คะแนนเต็ม]:[คะแนนเต็ม]]),"",(tbl_task7[125]/tbl_task7[[คะแนนเต็ม]:[คะแนนเต็ม]])*tbl_task7[[%]:[%]])</f>
        <v/>
      </c>
      <c r="KJ11" s="121" t="str">
        <f>IF(ISBLANK(tbl_task7[[คะแนนเต็ม]:[คะแนนเต็ม]]),"",(tbl_task7[126]/tbl_task7[[คะแนนเต็ม]:[คะแนนเต็ม]])*tbl_task7[[%]:[%]])</f>
        <v/>
      </c>
      <c r="KK11" s="121" t="str">
        <f>IF(ISBLANK(tbl_task7[[คะแนนเต็ม]:[คะแนนเต็ม]]),"",(tbl_task7[127]/tbl_task7[[คะแนนเต็ม]:[คะแนนเต็ม]])*tbl_task7[[%]:[%]])</f>
        <v/>
      </c>
      <c r="KL11" s="121" t="str">
        <f>IF(ISBLANK(tbl_task7[[คะแนนเต็ม]:[คะแนนเต็ม]]),"",(tbl_task7[128]/tbl_task7[[คะแนนเต็ม]:[คะแนนเต็ม]])*tbl_task7[[%]:[%]])</f>
        <v/>
      </c>
      <c r="KM11" s="121" t="str">
        <f>IF(ISBLANK(tbl_task7[[คะแนนเต็ม]:[คะแนนเต็ม]]),"",(tbl_task7[129]/tbl_task7[[คะแนนเต็ม]:[คะแนนเต็ม]])*tbl_task7[[%]:[%]])</f>
        <v/>
      </c>
      <c r="KN11" s="121" t="str">
        <f>IF(ISBLANK(tbl_task7[[คะแนนเต็ม]:[คะแนนเต็ม]]),"",(tbl_task7[130]/tbl_task7[[คะแนนเต็ม]:[คะแนนเต็ม]])*tbl_task7[[%]:[%]])</f>
        <v/>
      </c>
      <c r="KO11" s="121" t="str">
        <f>IF(ISBLANK(tbl_task7[[คะแนนเต็ม]:[คะแนนเต็ม]]),"",(tbl_task7[131]/tbl_task7[[คะแนนเต็ม]:[คะแนนเต็ม]])*tbl_task7[[%]:[%]])</f>
        <v/>
      </c>
      <c r="KP11" s="121" t="str">
        <f>IF(ISBLANK(tbl_task7[[คะแนนเต็ม]:[คะแนนเต็ม]]),"",(tbl_task7[132]/tbl_task7[[คะแนนเต็ม]:[คะแนนเต็ม]])*tbl_task7[[%]:[%]])</f>
        <v/>
      </c>
      <c r="KQ11" s="121" t="str">
        <f>IF(ISBLANK(tbl_task7[[คะแนนเต็ม]:[คะแนนเต็ม]]),"",(tbl_task7[133]/tbl_task7[[คะแนนเต็ม]:[คะแนนเต็ม]])*tbl_task7[[%]:[%]])</f>
        <v/>
      </c>
      <c r="KR11" s="121" t="str">
        <f>IF(ISBLANK(tbl_task7[[คะแนนเต็ม]:[คะแนนเต็ม]]),"",(tbl_task7[134]/tbl_task7[[คะแนนเต็ม]:[คะแนนเต็ม]])*tbl_task7[[%]:[%]])</f>
        <v/>
      </c>
      <c r="KS11" s="121" t="str">
        <f>IF(ISBLANK(tbl_task7[[คะแนนเต็ม]:[คะแนนเต็ม]]),"",(tbl_task7[135]/tbl_task7[[คะแนนเต็ม]:[คะแนนเต็ม]])*tbl_task7[[%]:[%]])</f>
        <v/>
      </c>
      <c r="KT11" s="121" t="str">
        <f>IF(ISBLANK(tbl_task7[[คะแนนเต็ม]:[คะแนนเต็ม]]),"",(tbl_task7[136]/tbl_task7[[คะแนนเต็ม]:[คะแนนเต็ม]])*tbl_task7[[%]:[%]])</f>
        <v/>
      </c>
      <c r="KU11" s="121" t="str">
        <f>IF(ISBLANK(tbl_task7[[คะแนนเต็ม]:[คะแนนเต็ม]]),"",(tbl_task7[137]/tbl_task7[[คะแนนเต็ม]:[คะแนนเต็ม]])*tbl_task7[[%]:[%]])</f>
        <v/>
      </c>
      <c r="KV11" s="121" t="str">
        <f>IF(ISBLANK(tbl_task7[[คะแนนเต็ม]:[คะแนนเต็ม]]),"",(tbl_task7[138]/tbl_task7[[คะแนนเต็ม]:[คะแนนเต็ม]])*tbl_task7[[%]:[%]])</f>
        <v/>
      </c>
      <c r="KW11" s="121" t="str">
        <f>IF(ISBLANK(tbl_task7[[คะแนนเต็ม]:[คะแนนเต็ม]]),"",(tbl_task7[139]/tbl_task7[[คะแนนเต็ม]:[คะแนนเต็ม]])*tbl_task7[[%]:[%]])</f>
        <v/>
      </c>
      <c r="KX11" s="121" t="str">
        <f>IF(ISBLANK(tbl_task7[[คะแนนเต็ม]:[คะแนนเต็ม]]),"",(tbl_task7[140]/tbl_task7[[คะแนนเต็ม]:[คะแนนเต็ม]])*tbl_task7[[%]:[%]])</f>
        <v/>
      </c>
      <c r="KY11" s="121" t="str">
        <f>IF(ISBLANK(tbl_task7[[คะแนนเต็ม]:[คะแนนเต็ม]]),"",(tbl_task7[141]/tbl_task7[[คะแนนเต็ม]:[คะแนนเต็ม]])*tbl_task7[[%]:[%]])</f>
        <v/>
      </c>
      <c r="KZ11" s="121" t="str">
        <f>IF(ISBLANK(tbl_task7[[คะแนนเต็ม]:[คะแนนเต็ม]]),"",(tbl_task7[142]/tbl_task7[[คะแนนเต็ม]:[คะแนนเต็ม]])*tbl_task7[[%]:[%]])</f>
        <v/>
      </c>
      <c r="LA11" s="121" t="str">
        <f>IF(ISBLANK(tbl_task7[[คะแนนเต็ม]:[คะแนนเต็ม]]),"",(tbl_task7[143]/tbl_task7[[คะแนนเต็ม]:[คะแนนเต็ม]])*tbl_task7[[%]:[%]])</f>
        <v/>
      </c>
      <c r="LB11" s="121" t="str">
        <f>IF(ISBLANK(tbl_task7[[คะแนนเต็ม]:[คะแนนเต็ม]]),"",(tbl_task7[144]/tbl_task7[[คะแนนเต็ม]:[คะแนนเต็ม]])*tbl_task7[[%]:[%]])</f>
        <v/>
      </c>
      <c r="LC11" s="121" t="str">
        <f>IF(ISBLANK(tbl_task7[[คะแนนเต็ม]:[คะแนนเต็ม]]),"",(tbl_task7[145]/tbl_task7[[คะแนนเต็ม]:[คะแนนเต็ม]])*tbl_task7[[%]:[%]])</f>
        <v/>
      </c>
      <c r="LD11" s="121" t="str">
        <f>IF(ISBLANK(tbl_task7[[คะแนนเต็ม]:[คะแนนเต็ม]]),"",(tbl_task7[146]/tbl_task7[[คะแนนเต็ม]:[คะแนนเต็ม]])*tbl_task7[[%]:[%]])</f>
        <v/>
      </c>
      <c r="LE11" s="121" t="str">
        <f>IF(ISBLANK(tbl_task7[[คะแนนเต็ม]:[คะแนนเต็ม]]),"",(tbl_task7[147]/tbl_task7[[คะแนนเต็ม]:[คะแนนเต็ม]])*tbl_task7[[%]:[%]])</f>
        <v/>
      </c>
      <c r="LF11" s="121" t="str">
        <f>IF(ISBLANK(tbl_task7[[คะแนนเต็ม]:[คะแนนเต็ม]]),"",(tbl_task7[148]/tbl_task7[[คะแนนเต็ม]:[คะแนนเต็ม]])*tbl_task7[[%]:[%]])</f>
        <v/>
      </c>
      <c r="LG11" s="121" t="str">
        <f>IF(ISBLANK(tbl_task7[[คะแนนเต็ม]:[คะแนนเต็ม]]),"",(tbl_task7[149]/tbl_task7[[คะแนนเต็ม]:[คะแนนเต็ม]])*tbl_task7[[%]:[%]])</f>
        <v/>
      </c>
      <c r="LH11" s="121" t="str">
        <f>IF(ISBLANK(tbl_task7[[คะแนนเต็ม]:[คะแนนเต็ม]]),"",(tbl_task7[150]/tbl_task7[[คะแนนเต็ม]:[คะแนนเต็ม]])*tbl_task7[[%]:[%]])</f>
        <v/>
      </c>
      <c r="LI11" s="121" t="str">
        <f>IF(ISBLANK(tbl_task7[[คะแนนเต็ม]:[คะแนนเต็ม]]),"",(tbl_task7[151]/tbl_task7[[คะแนนเต็ม]:[คะแนนเต็ม]])*tbl_task7[[%]:[%]])</f>
        <v/>
      </c>
      <c r="LJ11" s="121" t="str">
        <f>IF(ISBLANK(tbl_task7[[คะแนนเต็ม]:[คะแนนเต็ม]]),"",(tbl_task7[152]/tbl_task7[[คะแนนเต็ม]:[คะแนนเต็ม]])*tbl_task7[[%]:[%]])</f>
        <v/>
      </c>
      <c r="LK11" s="121" t="str">
        <f>IF(ISBLANK(tbl_task7[[คะแนนเต็ม]:[คะแนนเต็ม]]),"",(tbl_task7[153]/tbl_task7[[คะแนนเต็ม]:[คะแนนเต็ม]])*tbl_task7[[%]:[%]])</f>
        <v/>
      </c>
      <c r="LL11" s="121" t="str">
        <f>IF(ISBLANK(tbl_task7[[คะแนนเต็ม]:[คะแนนเต็ม]]),"",(tbl_task7[154]/tbl_task7[[คะแนนเต็ม]:[คะแนนเต็ม]])*tbl_task7[[%]:[%]])</f>
        <v/>
      </c>
      <c r="LM11" s="121" t="str">
        <f>IF(ISBLANK(tbl_task7[[คะแนนเต็ม]:[คะแนนเต็ม]]),"",(tbl_task7[155]/tbl_task7[[คะแนนเต็ม]:[คะแนนเต็ม]])*tbl_task7[[%]:[%]])</f>
        <v/>
      </c>
      <c r="LN11" s="121" t="str">
        <f>IF(ISBLANK(tbl_task7[[คะแนนเต็ม]:[คะแนนเต็ม]]),"",(tbl_task7[156]/tbl_task7[[คะแนนเต็ม]:[คะแนนเต็ม]])*tbl_task7[[%]:[%]])</f>
        <v/>
      </c>
      <c r="LO11" s="121" t="str">
        <f>IF(ISBLANK(tbl_task7[[คะแนนเต็ม]:[คะแนนเต็ม]]),"",(tbl_task7[157]/tbl_task7[[คะแนนเต็ม]:[คะแนนเต็ม]])*tbl_task7[[%]:[%]])</f>
        <v/>
      </c>
      <c r="LP11" s="121" t="str">
        <f>IF(ISBLANK(tbl_task7[[คะแนนเต็ม]:[คะแนนเต็ม]]),"",(tbl_task7[158]/tbl_task7[[คะแนนเต็ม]:[คะแนนเต็ม]])*tbl_task7[[%]:[%]])</f>
        <v/>
      </c>
      <c r="LQ11" s="121" t="str">
        <f>IF(ISBLANK(tbl_task7[[คะแนนเต็ม]:[คะแนนเต็ม]]),"",(tbl_task7[159]/tbl_task7[[คะแนนเต็ม]:[คะแนนเต็ม]])*tbl_task7[[%]:[%]])</f>
        <v/>
      </c>
      <c r="LR11" s="121" t="str">
        <f>IF(ISBLANK(tbl_task7[[คะแนนเต็ม]:[คะแนนเต็ม]]),"",(tbl_task7[160]/tbl_task7[[คะแนนเต็ม]:[คะแนนเต็ม]])*tbl_task7[[%]:[%]])</f>
        <v/>
      </c>
      <c r="LS11" s="121" t="str">
        <f>IF(ISBLANK(tbl_task7[[คะแนนเต็ม]:[คะแนนเต็ม]]),"",(tbl_task7[161]/tbl_task7[[คะแนนเต็ม]:[คะแนนเต็ม]])*tbl_task7[[%]:[%]])</f>
        <v/>
      </c>
      <c r="LT11" s="121" t="str">
        <f>IF(ISBLANK(tbl_task7[[คะแนนเต็ม]:[คะแนนเต็ม]]),"",(tbl_task7[162]/tbl_task7[[คะแนนเต็ม]:[คะแนนเต็ม]])*tbl_task7[[%]:[%]])</f>
        <v/>
      </c>
      <c r="LU11" s="121" t="str">
        <f>IF(ISBLANK(tbl_task7[[คะแนนเต็ม]:[คะแนนเต็ม]]),"",(tbl_task7[163]/tbl_task7[[คะแนนเต็ม]:[คะแนนเต็ม]])*tbl_task7[[%]:[%]])</f>
        <v/>
      </c>
      <c r="LV11" s="121" t="str">
        <f>IF(ISBLANK(tbl_task7[[คะแนนเต็ม]:[คะแนนเต็ม]]),"",(tbl_task7[164]/tbl_task7[[คะแนนเต็ม]:[คะแนนเต็ม]])*tbl_task7[[%]:[%]])</f>
        <v/>
      </c>
      <c r="LW11" s="121" t="str">
        <f>IF(ISBLANK(tbl_task7[[คะแนนเต็ม]:[คะแนนเต็ม]]),"",(tbl_task7[165]/tbl_task7[[คะแนนเต็ม]:[คะแนนเต็ม]])*tbl_task7[[%]:[%]])</f>
        <v/>
      </c>
    </row>
    <row r="12" spans="1:335" ht="24" customHeight="1" x14ac:dyDescent="0.25">
      <c r="A12" s="24">
        <v>9</v>
      </c>
      <c r="B12" s="20"/>
      <c r="C12" s="5" t="str">
        <f>IF(ISBLANK(B12),"",VLOOKUP(B12,tbl_PLOs[],2,0))</f>
        <v/>
      </c>
      <c r="D12" s="102"/>
      <c r="E12" s="106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22"/>
      <c r="FO12" s="121" t="str">
        <f>IF(ISBLANK(tbl_task7[[คะแนนเต็ม]:[คะแนนเต็ม]]),"",(tbl_task7[1]/tbl_task7[[คะแนนเต็ม]:[คะแนนเต็ม]])*tbl_task7[[%]:[%]])</f>
        <v/>
      </c>
      <c r="FP12" s="121" t="str">
        <f>IF(ISBLANK(tbl_task7[[คะแนนเต็ม]:[คะแนนเต็ม]]),"",(tbl_task7[2]/tbl_task7[[คะแนนเต็ม]:[คะแนนเต็ม]])*tbl_task7[[%]:[%]])</f>
        <v/>
      </c>
      <c r="FQ12" s="121" t="str">
        <f>IF(ISBLANK(tbl_task7[[คะแนนเต็ม]:[คะแนนเต็ม]]),"",(tbl_task7[3]/tbl_task7[[คะแนนเต็ม]:[คะแนนเต็ม]])*tbl_task7[[%]:[%]])</f>
        <v/>
      </c>
      <c r="FR12" s="121" t="str">
        <f>IF(ISBLANK(tbl_task7[[คะแนนเต็ม]:[คะแนนเต็ม]]),"",(tbl_task7[4]/tbl_task7[[คะแนนเต็ม]:[คะแนนเต็ม]])*tbl_task7[[%]:[%]])</f>
        <v/>
      </c>
      <c r="FS12" s="121" t="str">
        <f>IF(ISBLANK(tbl_task7[[คะแนนเต็ม]:[คะแนนเต็ม]]),"",(tbl_task7[5]/tbl_task7[[คะแนนเต็ม]:[คะแนนเต็ม]])*tbl_task7[[%]:[%]])</f>
        <v/>
      </c>
      <c r="FT12" s="121" t="str">
        <f>IF(ISBLANK(tbl_task7[[คะแนนเต็ม]:[คะแนนเต็ม]]),"",(tbl_task7[6]/tbl_task7[[คะแนนเต็ม]:[คะแนนเต็ม]])*tbl_task7[[%]:[%]])</f>
        <v/>
      </c>
      <c r="FU12" s="121" t="str">
        <f>IF(ISBLANK(tbl_task7[[คะแนนเต็ม]:[คะแนนเต็ม]]),"",(tbl_task7[7]/tbl_task7[[คะแนนเต็ม]:[คะแนนเต็ม]])*tbl_task7[[%]:[%]])</f>
        <v/>
      </c>
      <c r="FV12" s="121" t="str">
        <f>IF(ISBLANK(tbl_task7[[คะแนนเต็ม]:[คะแนนเต็ม]]),"",(tbl_task7[8]/tbl_task7[[คะแนนเต็ม]:[คะแนนเต็ม]])*tbl_task7[[%]:[%]])</f>
        <v/>
      </c>
      <c r="FW12" s="121" t="str">
        <f>IF(ISBLANK(tbl_task7[[คะแนนเต็ม]:[คะแนนเต็ม]]),"",(tbl_task7[9]/tbl_task7[[คะแนนเต็ม]:[คะแนนเต็ม]])*tbl_task7[[%]:[%]])</f>
        <v/>
      </c>
      <c r="FX12" s="121" t="str">
        <f>IF(ISBLANK(tbl_task7[[คะแนนเต็ม]:[คะแนนเต็ม]]),"",(tbl_task7[10]/tbl_task7[[คะแนนเต็ม]:[คะแนนเต็ม]])*tbl_task7[[%]:[%]])</f>
        <v/>
      </c>
      <c r="FY12" s="121" t="str">
        <f>IF(ISBLANK(tbl_task7[[คะแนนเต็ม]:[คะแนนเต็ม]]),"",(tbl_task7[11]/tbl_task7[[คะแนนเต็ม]:[คะแนนเต็ม]])*tbl_task7[[%]:[%]])</f>
        <v/>
      </c>
      <c r="FZ12" s="121" t="str">
        <f>IF(ISBLANK(tbl_task7[[คะแนนเต็ม]:[คะแนนเต็ม]]),"",(tbl_task7[12]/tbl_task7[[คะแนนเต็ม]:[คะแนนเต็ม]])*tbl_task7[[%]:[%]])</f>
        <v/>
      </c>
      <c r="GA12" s="121" t="str">
        <f>IF(ISBLANK(tbl_task7[[คะแนนเต็ม]:[คะแนนเต็ม]]),"",(tbl_task7[13]/tbl_task7[[คะแนนเต็ม]:[คะแนนเต็ม]])*tbl_task7[[%]:[%]])</f>
        <v/>
      </c>
      <c r="GB12" s="121" t="str">
        <f>IF(ISBLANK(tbl_task7[[คะแนนเต็ม]:[คะแนนเต็ม]]),"",(tbl_task7[14]/tbl_task7[[คะแนนเต็ม]:[คะแนนเต็ม]])*tbl_task7[[%]:[%]])</f>
        <v/>
      </c>
      <c r="GC12" s="121" t="str">
        <f>IF(ISBLANK(tbl_task7[[คะแนนเต็ม]:[คะแนนเต็ม]]),"",(tbl_task7[15]/tbl_task7[[คะแนนเต็ม]:[คะแนนเต็ม]])*tbl_task7[[%]:[%]])</f>
        <v/>
      </c>
      <c r="GD12" s="121" t="str">
        <f>IF(ISBLANK(tbl_task7[[คะแนนเต็ม]:[คะแนนเต็ม]]),"",(tbl_task7[16]/tbl_task7[[คะแนนเต็ม]:[คะแนนเต็ม]])*tbl_task7[[%]:[%]])</f>
        <v/>
      </c>
      <c r="GE12" s="121" t="str">
        <f>IF(ISBLANK(tbl_task7[[คะแนนเต็ม]:[คะแนนเต็ม]]),"",(tbl_task7[17]/tbl_task7[[คะแนนเต็ม]:[คะแนนเต็ม]])*tbl_task7[[%]:[%]])</f>
        <v/>
      </c>
      <c r="GF12" s="121" t="str">
        <f>IF(ISBLANK(tbl_task7[[คะแนนเต็ม]:[คะแนนเต็ม]]),"",(tbl_task7[18]/tbl_task7[[คะแนนเต็ม]:[คะแนนเต็ม]])*tbl_task7[[%]:[%]])</f>
        <v/>
      </c>
      <c r="GG12" s="121" t="str">
        <f>IF(ISBLANK(tbl_task7[[คะแนนเต็ม]:[คะแนนเต็ม]]),"",(tbl_task7[19]/tbl_task7[[คะแนนเต็ม]:[คะแนนเต็ม]])*tbl_task7[[%]:[%]])</f>
        <v/>
      </c>
      <c r="GH12" s="121" t="str">
        <f>IF(ISBLANK(tbl_task7[[คะแนนเต็ม]:[คะแนนเต็ม]]),"",(tbl_task7[20]/tbl_task7[[คะแนนเต็ม]:[คะแนนเต็ม]])*tbl_task7[[%]:[%]])</f>
        <v/>
      </c>
      <c r="GI12" s="121" t="str">
        <f>IF(ISBLANK(tbl_task7[[คะแนนเต็ม]:[คะแนนเต็ม]]),"",(tbl_task7[21]/tbl_task7[[คะแนนเต็ม]:[คะแนนเต็ม]])*tbl_task7[[%]:[%]])</f>
        <v/>
      </c>
      <c r="GJ12" s="121" t="str">
        <f>IF(ISBLANK(tbl_task7[[คะแนนเต็ม]:[คะแนนเต็ม]]),"",(tbl_task7[22]/tbl_task7[[คะแนนเต็ม]:[คะแนนเต็ม]])*tbl_task7[[%]:[%]])</f>
        <v/>
      </c>
      <c r="GK12" s="121" t="str">
        <f>IF(ISBLANK(tbl_task7[[คะแนนเต็ม]:[คะแนนเต็ม]]),"",(tbl_task7[23]/tbl_task7[[คะแนนเต็ม]:[คะแนนเต็ม]])*tbl_task7[[%]:[%]])</f>
        <v/>
      </c>
      <c r="GL12" s="121" t="str">
        <f>IF(ISBLANK(tbl_task7[[คะแนนเต็ม]:[คะแนนเต็ม]]),"",(tbl_task7[24]/tbl_task7[[คะแนนเต็ม]:[คะแนนเต็ม]])*tbl_task7[[%]:[%]])</f>
        <v/>
      </c>
      <c r="GM12" s="121" t="str">
        <f>IF(ISBLANK(tbl_task7[[คะแนนเต็ม]:[คะแนนเต็ม]]),"",(tbl_task7[25]/tbl_task7[[คะแนนเต็ม]:[คะแนนเต็ม]])*tbl_task7[[%]:[%]])</f>
        <v/>
      </c>
      <c r="GN12" s="121" t="str">
        <f>IF(ISBLANK(tbl_task7[[คะแนนเต็ม]:[คะแนนเต็ม]]),"",(tbl_task7[26]/tbl_task7[[คะแนนเต็ม]:[คะแนนเต็ม]])*tbl_task7[[%]:[%]])</f>
        <v/>
      </c>
      <c r="GO12" s="121" t="str">
        <f>IF(ISBLANK(tbl_task7[[คะแนนเต็ม]:[คะแนนเต็ม]]),"",(tbl_task7[27]/tbl_task7[[คะแนนเต็ม]:[คะแนนเต็ม]])*tbl_task7[[%]:[%]])</f>
        <v/>
      </c>
      <c r="GP12" s="121" t="str">
        <f>IF(ISBLANK(tbl_task7[[คะแนนเต็ม]:[คะแนนเต็ม]]),"",(tbl_task7[28]/tbl_task7[[คะแนนเต็ม]:[คะแนนเต็ม]])*tbl_task7[[%]:[%]])</f>
        <v/>
      </c>
      <c r="GQ12" s="121" t="str">
        <f>IF(ISBLANK(tbl_task7[[คะแนนเต็ม]:[คะแนนเต็ม]]),"",(tbl_task7[29]/tbl_task7[[คะแนนเต็ม]:[คะแนนเต็ม]])*tbl_task7[[%]:[%]])</f>
        <v/>
      </c>
      <c r="GR12" s="121" t="str">
        <f>IF(ISBLANK(tbl_task7[[คะแนนเต็ม]:[คะแนนเต็ม]]),"",(tbl_task7[30]/tbl_task7[[คะแนนเต็ม]:[คะแนนเต็ม]])*tbl_task7[[%]:[%]])</f>
        <v/>
      </c>
      <c r="GS12" s="121" t="str">
        <f>IF(ISBLANK(tbl_task7[[คะแนนเต็ม]:[คะแนนเต็ม]]),"",(tbl_task7[31]/tbl_task7[[คะแนนเต็ม]:[คะแนนเต็ม]])*tbl_task7[[%]:[%]])</f>
        <v/>
      </c>
      <c r="GT12" s="121" t="str">
        <f>IF(ISBLANK(tbl_task7[[คะแนนเต็ม]:[คะแนนเต็ม]]),"",(tbl_task7[32]/tbl_task7[[คะแนนเต็ม]:[คะแนนเต็ม]])*tbl_task7[[%]:[%]])</f>
        <v/>
      </c>
      <c r="GU12" s="121" t="str">
        <f>IF(ISBLANK(tbl_task7[[คะแนนเต็ม]:[คะแนนเต็ม]]),"",(tbl_task7[33]/tbl_task7[[คะแนนเต็ม]:[คะแนนเต็ม]])*tbl_task7[[%]:[%]])</f>
        <v/>
      </c>
      <c r="GV12" s="121" t="str">
        <f>IF(ISBLANK(tbl_task7[[คะแนนเต็ม]:[คะแนนเต็ม]]),"",(tbl_task7[34]/tbl_task7[[คะแนนเต็ม]:[คะแนนเต็ม]])*tbl_task7[[%]:[%]])</f>
        <v/>
      </c>
      <c r="GW12" s="121" t="str">
        <f>IF(ISBLANK(tbl_task7[[คะแนนเต็ม]:[คะแนนเต็ม]]),"",(tbl_task7[35]/tbl_task7[[คะแนนเต็ม]:[คะแนนเต็ม]])*tbl_task7[[%]:[%]])</f>
        <v/>
      </c>
      <c r="GX12" s="121" t="str">
        <f>IF(ISBLANK(tbl_task7[[คะแนนเต็ม]:[คะแนนเต็ม]]),"",(tbl_task7[36]/tbl_task7[[คะแนนเต็ม]:[คะแนนเต็ม]])*tbl_task7[[%]:[%]])</f>
        <v/>
      </c>
      <c r="GY12" s="121" t="str">
        <f>IF(ISBLANK(tbl_task7[[คะแนนเต็ม]:[คะแนนเต็ม]]),"",(tbl_task7[37]/tbl_task7[[คะแนนเต็ม]:[คะแนนเต็ม]])*tbl_task7[[%]:[%]])</f>
        <v/>
      </c>
      <c r="GZ12" s="121" t="str">
        <f>IF(ISBLANK(tbl_task7[[คะแนนเต็ม]:[คะแนนเต็ม]]),"",(tbl_task7[38]/tbl_task7[[คะแนนเต็ม]:[คะแนนเต็ม]])*tbl_task7[[%]:[%]])</f>
        <v/>
      </c>
      <c r="HA12" s="121" t="str">
        <f>IF(ISBLANK(tbl_task7[[คะแนนเต็ม]:[คะแนนเต็ม]]),"",(tbl_task7[39]/tbl_task7[[คะแนนเต็ม]:[คะแนนเต็ม]])*tbl_task7[[%]:[%]])</f>
        <v/>
      </c>
      <c r="HB12" s="121" t="str">
        <f>IF(ISBLANK(tbl_task7[[คะแนนเต็ม]:[คะแนนเต็ม]]),"",(tbl_task7[40]/tbl_task7[[คะแนนเต็ม]:[คะแนนเต็ม]])*tbl_task7[[%]:[%]])</f>
        <v/>
      </c>
      <c r="HC12" s="121" t="str">
        <f>IF(ISBLANK(tbl_task7[[คะแนนเต็ม]:[คะแนนเต็ม]]),"",(tbl_task7[41]/tbl_task7[[คะแนนเต็ม]:[คะแนนเต็ม]])*tbl_task7[[%]:[%]])</f>
        <v/>
      </c>
      <c r="HD12" s="121" t="str">
        <f>IF(ISBLANK(tbl_task7[[คะแนนเต็ม]:[คะแนนเต็ม]]),"",(tbl_task7[42]/tbl_task7[[คะแนนเต็ม]:[คะแนนเต็ม]])*tbl_task7[[%]:[%]])</f>
        <v/>
      </c>
      <c r="HE12" s="121" t="str">
        <f>IF(ISBLANK(tbl_task7[[คะแนนเต็ม]:[คะแนนเต็ม]]),"",(tbl_task7[43]/tbl_task7[[คะแนนเต็ม]:[คะแนนเต็ม]])*tbl_task7[[%]:[%]])</f>
        <v/>
      </c>
      <c r="HF12" s="121" t="str">
        <f>IF(ISBLANK(tbl_task7[[คะแนนเต็ม]:[คะแนนเต็ม]]),"",(tbl_task7[44]/tbl_task7[[คะแนนเต็ม]:[คะแนนเต็ม]])*tbl_task7[[%]:[%]])</f>
        <v/>
      </c>
      <c r="HG12" s="121" t="str">
        <f>IF(ISBLANK(tbl_task7[[คะแนนเต็ม]:[คะแนนเต็ม]]),"",(tbl_task7[45]/tbl_task7[[คะแนนเต็ม]:[คะแนนเต็ม]])*tbl_task7[[%]:[%]])</f>
        <v/>
      </c>
      <c r="HH12" s="121" t="str">
        <f>IF(ISBLANK(tbl_task7[[คะแนนเต็ม]:[คะแนนเต็ม]]),"",(tbl_task7[46]/tbl_task7[[คะแนนเต็ม]:[คะแนนเต็ม]])*tbl_task7[[%]:[%]])</f>
        <v/>
      </c>
      <c r="HI12" s="121" t="str">
        <f>IF(ISBLANK(tbl_task7[[คะแนนเต็ม]:[คะแนนเต็ม]]),"",(tbl_task7[47]/tbl_task7[[คะแนนเต็ม]:[คะแนนเต็ม]])*tbl_task7[[%]:[%]])</f>
        <v/>
      </c>
      <c r="HJ12" s="121" t="str">
        <f>IF(ISBLANK(tbl_task7[[คะแนนเต็ม]:[คะแนนเต็ม]]),"",(tbl_task7[48]/tbl_task7[[คะแนนเต็ม]:[คะแนนเต็ม]])*tbl_task7[[%]:[%]])</f>
        <v/>
      </c>
      <c r="HK12" s="121" t="str">
        <f>IF(ISBLANK(tbl_task7[[คะแนนเต็ม]:[คะแนนเต็ม]]),"",(tbl_task7[49]/tbl_task7[[คะแนนเต็ม]:[คะแนนเต็ม]])*tbl_task7[[%]:[%]])</f>
        <v/>
      </c>
      <c r="HL12" s="121" t="str">
        <f>IF(ISBLANK(tbl_task7[[คะแนนเต็ม]:[คะแนนเต็ม]]),"",(tbl_task7[50]/tbl_task7[[คะแนนเต็ม]:[คะแนนเต็ม]])*tbl_task7[[%]:[%]])</f>
        <v/>
      </c>
      <c r="HM12" s="121" t="str">
        <f>IF(ISBLANK(tbl_task7[[คะแนนเต็ม]:[คะแนนเต็ม]]),"",(tbl_task7[51]/tbl_task7[[คะแนนเต็ม]:[คะแนนเต็ม]])*tbl_task7[[%]:[%]])</f>
        <v/>
      </c>
      <c r="HN12" s="121" t="str">
        <f>IF(ISBLANK(tbl_task7[[คะแนนเต็ม]:[คะแนนเต็ม]]),"",(tbl_task7[52]/tbl_task7[[คะแนนเต็ม]:[คะแนนเต็ม]])*tbl_task7[[%]:[%]])</f>
        <v/>
      </c>
      <c r="HO12" s="121" t="str">
        <f>IF(ISBLANK(tbl_task7[[คะแนนเต็ม]:[คะแนนเต็ม]]),"",(tbl_task7[53]/tbl_task7[[คะแนนเต็ม]:[คะแนนเต็ม]])*tbl_task7[[%]:[%]])</f>
        <v/>
      </c>
      <c r="HP12" s="121" t="str">
        <f>IF(ISBLANK(tbl_task7[[คะแนนเต็ม]:[คะแนนเต็ม]]),"",(tbl_task7[54]/tbl_task7[[คะแนนเต็ม]:[คะแนนเต็ม]])*tbl_task7[[%]:[%]])</f>
        <v/>
      </c>
      <c r="HQ12" s="121" t="str">
        <f>IF(ISBLANK(tbl_task7[[คะแนนเต็ม]:[คะแนนเต็ม]]),"",(tbl_task7[55]/tbl_task7[[คะแนนเต็ม]:[คะแนนเต็ม]])*tbl_task7[[%]:[%]])</f>
        <v/>
      </c>
      <c r="HR12" s="121" t="str">
        <f>IF(ISBLANK(tbl_task7[[คะแนนเต็ม]:[คะแนนเต็ม]]),"",(tbl_task7[56]/tbl_task7[[คะแนนเต็ม]:[คะแนนเต็ม]])*tbl_task7[[%]:[%]])</f>
        <v/>
      </c>
      <c r="HS12" s="121" t="str">
        <f>IF(ISBLANK(tbl_task7[[คะแนนเต็ม]:[คะแนนเต็ม]]),"",(tbl_task7[57]/tbl_task7[[คะแนนเต็ม]:[คะแนนเต็ม]])*tbl_task7[[%]:[%]])</f>
        <v/>
      </c>
      <c r="HT12" s="121" t="str">
        <f>IF(ISBLANK(tbl_task7[[คะแนนเต็ม]:[คะแนนเต็ม]]),"",(tbl_task7[58]/tbl_task7[[คะแนนเต็ม]:[คะแนนเต็ม]])*tbl_task7[[%]:[%]])</f>
        <v/>
      </c>
      <c r="HU12" s="121" t="str">
        <f>IF(ISBLANK(tbl_task7[[คะแนนเต็ม]:[คะแนนเต็ม]]),"",(tbl_task7[59]/tbl_task7[[คะแนนเต็ม]:[คะแนนเต็ม]])*tbl_task7[[%]:[%]])</f>
        <v/>
      </c>
      <c r="HV12" s="121" t="str">
        <f>IF(ISBLANK(tbl_task7[[คะแนนเต็ม]:[คะแนนเต็ม]]),"",(tbl_task7[60]/tbl_task7[[คะแนนเต็ม]:[คะแนนเต็ม]])*tbl_task7[[%]:[%]])</f>
        <v/>
      </c>
      <c r="HW12" s="121" t="str">
        <f>IF(ISBLANK(tbl_task7[[คะแนนเต็ม]:[คะแนนเต็ม]]),"",(tbl_task7[61]/tbl_task7[[คะแนนเต็ม]:[คะแนนเต็ม]])*tbl_task7[[%]:[%]])</f>
        <v/>
      </c>
      <c r="HX12" s="121" t="str">
        <f>IF(ISBLANK(tbl_task7[[คะแนนเต็ม]:[คะแนนเต็ม]]),"",(tbl_task7[62]/tbl_task7[[คะแนนเต็ม]:[คะแนนเต็ม]])*tbl_task7[[%]:[%]])</f>
        <v/>
      </c>
      <c r="HY12" s="121" t="str">
        <f>IF(ISBLANK(tbl_task7[[คะแนนเต็ม]:[คะแนนเต็ม]]),"",(tbl_task7[63]/tbl_task7[[คะแนนเต็ม]:[คะแนนเต็ม]])*tbl_task7[[%]:[%]])</f>
        <v/>
      </c>
      <c r="HZ12" s="121" t="str">
        <f>IF(ISBLANK(tbl_task7[[คะแนนเต็ม]:[คะแนนเต็ม]]),"",(tbl_task7[64]/tbl_task7[[คะแนนเต็ม]:[คะแนนเต็ม]])*tbl_task7[[%]:[%]])</f>
        <v/>
      </c>
      <c r="IA12" s="121" t="str">
        <f>IF(ISBLANK(tbl_task7[[คะแนนเต็ม]:[คะแนนเต็ม]]),"",(tbl_task7[65]/tbl_task7[[คะแนนเต็ม]:[คะแนนเต็ม]])*tbl_task7[[%]:[%]])</f>
        <v/>
      </c>
      <c r="IB12" s="121" t="str">
        <f>IF(ISBLANK(tbl_task7[[คะแนนเต็ม]:[คะแนนเต็ม]]),"",(tbl_task7[66]/tbl_task7[[คะแนนเต็ม]:[คะแนนเต็ม]])*tbl_task7[[%]:[%]])</f>
        <v/>
      </c>
      <c r="IC12" s="121" t="str">
        <f>IF(ISBLANK(tbl_task7[[คะแนนเต็ม]:[คะแนนเต็ม]]),"",(tbl_task7[67]/tbl_task7[[คะแนนเต็ม]:[คะแนนเต็ม]])*tbl_task7[[%]:[%]])</f>
        <v/>
      </c>
      <c r="ID12" s="121" t="str">
        <f>IF(ISBLANK(tbl_task7[[คะแนนเต็ม]:[คะแนนเต็ม]]),"",(tbl_task7[68]/tbl_task7[[คะแนนเต็ม]:[คะแนนเต็ม]])*tbl_task7[[%]:[%]])</f>
        <v/>
      </c>
      <c r="IE12" s="121" t="str">
        <f>IF(ISBLANK(tbl_task7[[คะแนนเต็ม]:[คะแนนเต็ม]]),"",(tbl_task7[69]/tbl_task7[[คะแนนเต็ม]:[คะแนนเต็ม]])*tbl_task7[[%]:[%]])</f>
        <v/>
      </c>
      <c r="IF12" s="121" t="str">
        <f>IF(ISBLANK(tbl_task7[[คะแนนเต็ม]:[คะแนนเต็ม]]),"",(tbl_task7[70]/tbl_task7[[คะแนนเต็ม]:[คะแนนเต็ม]])*tbl_task7[[%]:[%]])</f>
        <v/>
      </c>
      <c r="IG12" s="121" t="str">
        <f>IF(ISBLANK(tbl_task7[[คะแนนเต็ม]:[คะแนนเต็ม]]),"",(tbl_task7[71]/tbl_task7[[คะแนนเต็ม]:[คะแนนเต็ม]])*tbl_task7[[%]:[%]])</f>
        <v/>
      </c>
      <c r="IH12" s="121" t="str">
        <f>IF(ISBLANK(tbl_task7[[คะแนนเต็ม]:[คะแนนเต็ม]]),"",(tbl_task7[72]/tbl_task7[[คะแนนเต็ม]:[คะแนนเต็ม]])*tbl_task7[[%]:[%]])</f>
        <v/>
      </c>
      <c r="II12" s="121" t="str">
        <f>IF(ISBLANK(tbl_task7[[คะแนนเต็ม]:[คะแนนเต็ม]]),"",(tbl_task7[73]/tbl_task7[[คะแนนเต็ม]:[คะแนนเต็ม]])*tbl_task7[[%]:[%]])</f>
        <v/>
      </c>
      <c r="IJ12" s="121" t="str">
        <f>IF(ISBLANK(tbl_task7[[คะแนนเต็ม]:[คะแนนเต็ม]]),"",(tbl_task7[74]/tbl_task7[[คะแนนเต็ม]:[คะแนนเต็ม]])*tbl_task7[[%]:[%]])</f>
        <v/>
      </c>
      <c r="IK12" s="121" t="str">
        <f>IF(ISBLANK(tbl_task7[[คะแนนเต็ม]:[คะแนนเต็ม]]),"",(tbl_task7[75]/tbl_task7[[คะแนนเต็ม]:[คะแนนเต็ม]])*tbl_task7[[%]:[%]])</f>
        <v/>
      </c>
      <c r="IL12" s="121" t="str">
        <f>IF(ISBLANK(tbl_task7[[คะแนนเต็ม]:[คะแนนเต็ม]]),"",(tbl_task7[76]/tbl_task7[[คะแนนเต็ม]:[คะแนนเต็ม]])*tbl_task7[[%]:[%]])</f>
        <v/>
      </c>
      <c r="IM12" s="121" t="str">
        <f>IF(ISBLANK(tbl_task7[[คะแนนเต็ม]:[คะแนนเต็ม]]),"",(tbl_task7[77]/tbl_task7[[คะแนนเต็ม]:[คะแนนเต็ม]])*tbl_task7[[%]:[%]])</f>
        <v/>
      </c>
      <c r="IN12" s="121" t="str">
        <f>IF(ISBLANK(tbl_task7[[คะแนนเต็ม]:[คะแนนเต็ม]]),"",(tbl_task7[78]/tbl_task7[[คะแนนเต็ม]:[คะแนนเต็ม]])*tbl_task7[[%]:[%]])</f>
        <v/>
      </c>
      <c r="IO12" s="121" t="str">
        <f>IF(ISBLANK(tbl_task7[[คะแนนเต็ม]:[คะแนนเต็ม]]),"",(tbl_task7[79]/tbl_task7[[คะแนนเต็ม]:[คะแนนเต็ม]])*tbl_task7[[%]:[%]])</f>
        <v/>
      </c>
      <c r="IP12" s="121" t="str">
        <f>IF(ISBLANK(tbl_task7[[คะแนนเต็ม]:[คะแนนเต็ม]]),"",(tbl_task7[80]/tbl_task7[[คะแนนเต็ม]:[คะแนนเต็ม]])*tbl_task7[[%]:[%]])</f>
        <v/>
      </c>
      <c r="IQ12" s="121" t="str">
        <f>IF(ISBLANK(tbl_task7[[คะแนนเต็ม]:[คะแนนเต็ม]]),"",(tbl_task7[81]/tbl_task7[[คะแนนเต็ม]:[คะแนนเต็ม]])*tbl_task7[[%]:[%]])</f>
        <v/>
      </c>
      <c r="IR12" s="121" t="str">
        <f>IF(ISBLANK(tbl_task7[[คะแนนเต็ม]:[คะแนนเต็ม]]),"",(tbl_task7[82]/tbl_task7[[คะแนนเต็ม]:[คะแนนเต็ม]])*tbl_task7[[%]:[%]])</f>
        <v/>
      </c>
      <c r="IS12" s="121" t="str">
        <f>IF(ISBLANK(tbl_task7[[คะแนนเต็ม]:[คะแนนเต็ม]]),"",(tbl_task7[83]/tbl_task7[[คะแนนเต็ม]:[คะแนนเต็ม]])*tbl_task7[[%]:[%]])</f>
        <v/>
      </c>
      <c r="IT12" s="121" t="str">
        <f>IF(ISBLANK(tbl_task7[[คะแนนเต็ม]:[คะแนนเต็ม]]),"",(tbl_task7[84]/tbl_task7[[คะแนนเต็ม]:[คะแนนเต็ม]])*tbl_task7[[%]:[%]])</f>
        <v/>
      </c>
      <c r="IU12" s="121" t="str">
        <f>IF(ISBLANK(tbl_task7[[คะแนนเต็ม]:[คะแนนเต็ม]]),"",(tbl_task7[85]/tbl_task7[[คะแนนเต็ม]:[คะแนนเต็ม]])*tbl_task7[[%]:[%]])</f>
        <v/>
      </c>
      <c r="IV12" s="121" t="str">
        <f>IF(ISBLANK(tbl_task7[[คะแนนเต็ม]:[คะแนนเต็ม]]),"",(tbl_task7[86]/tbl_task7[[คะแนนเต็ม]:[คะแนนเต็ม]])*tbl_task7[[%]:[%]])</f>
        <v/>
      </c>
      <c r="IW12" s="121" t="str">
        <f>IF(ISBLANK(tbl_task7[[คะแนนเต็ม]:[คะแนนเต็ม]]),"",(tbl_task7[87]/tbl_task7[[คะแนนเต็ม]:[คะแนนเต็ม]])*tbl_task7[[%]:[%]])</f>
        <v/>
      </c>
      <c r="IX12" s="121" t="str">
        <f>IF(ISBLANK(tbl_task7[[คะแนนเต็ม]:[คะแนนเต็ม]]),"",(tbl_task7[88]/tbl_task7[[คะแนนเต็ม]:[คะแนนเต็ม]])*tbl_task7[[%]:[%]])</f>
        <v/>
      </c>
      <c r="IY12" s="121" t="str">
        <f>IF(ISBLANK(tbl_task7[[คะแนนเต็ม]:[คะแนนเต็ม]]),"",(tbl_task7[89]/tbl_task7[[คะแนนเต็ม]:[คะแนนเต็ม]])*tbl_task7[[%]:[%]])</f>
        <v/>
      </c>
      <c r="IZ12" s="121" t="str">
        <f>IF(ISBLANK(tbl_task7[[คะแนนเต็ม]:[คะแนนเต็ม]]),"",(tbl_task7[90]/tbl_task7[[คะแนนเต็ม]:[คะแนนเต็ม]])*tbl_task7[[%]:[%]])</f>
        <v/>
      </c>
      <c r="JA12" s="121" t="str">
        <f>IF(ISBLANK(tbl_task7[[คะแนนเต็ม]:[คะแนนเต็ม]]),"",(tbl_task7[91]/tbl_task7[[คะแนนเต็ม]:[คะแนนเต็ม]])*tbl_task7[[%]:[%]])</f>
        <v/>
      </c>
      <c r="JB12" s="121" t="str">
        <f>IF(ISBLANK(tbl_task7[[คะแนนเต็ม]:[คะแนนเต็ม]]),"",(tbl_task7[92]/tbl_task7[[คะแนนเต็ม]:[คะแนนเต็ม]])*tbl_task7[[%]:[%]])</f>
        <v/>
      </c>
      <c r="JC12" s="121" t="str">
        <f>IF(ISBLANK(tbl_task7[[คะแนนเต็ม]:[คะแนนเต็ม]]),"",(tbl_task7[93]/tbl_task7[[คะแนนเต็ม]:[คะแนนเต็ม]])*tbl_task7[[%]:[%]])</f>
        <v/>
      </c>
      <c r="JD12" s="121" t="str">
        <f>IF(ISBLANK(tbl_task7[[คะแนนเต็ม]:[คะแนนเต็ม]]),"",(tbl_task7[94]/tbl_task7[[คะแนนเต็ม]:[คะแนนเต็ม]])*tbl_task7[[%]:[%]])</f>
        <v/>
      </c>
      <c r="JE12" s="121" t="str">
        <f>IF(ISBLANK(tbl_task7[[คะแนนเต็ม]:[คะแนนเต็ม]]),"",(tbl_task7[95]/tbl_task7[[คะแนนเต็ม]:[คะแนนเต็ม]])*tbl_task7[[%]:[%]])</f>
        <v/>
      </c>
      <c r="JF12" s="121" t="str">
        <f>IF(ISBLANK(tbl_task7[[คะแนนเต็ม]:[คะแนนเต็ม]]),"",(tbl_task7[96]/tbl_task7[[คะแนนเต็ม]:[คะแนนเต็ม]])*tbl_task7[[%]:[%]])</f>
        <v/>
      </c>
      <c r="JG12" s="121" t="str">
        <f>IF(ISBLANK(tbl_task7[[คะแนนเต็ม]:[คะแนนเต็ม]]),"",(tbl_task7[97]/tbl_task7[[คะแนนเต็ม]:[คะแนนเต็ม]])*tbl_task7[[%]:[%]])</f>
        <v/>
      </c>
      <c r="JH12" s="121" t="str">
        <f>IF(ISBLANK(tbl_task7[[คะแนนเต็ม]:[คะแนนเต็ม]]),"",(tbl_task7[98]/tbl_task7[[คะแนนเต็ม]:[คะแนนเต็ม]])*tbl_task7[[%]:[%]])</f>
        <v/>
      </c>
      <c r="JI12" s="121" t="str">
        <f>IF(ISBLANK(tbl_task7[[คะแนนเต็ม]:[คะแนนเต็ม]]),"",(tbl_task7[99]/tbl_task7[[คะแนนเต็ม]:[คะแนนเต็ม]])*tbl_task7[[%]:[%]])</f>
        <v/>
      </c>
      <c r="JJ12" s="121" t="str">
        <f>IF(ISBLANK(tbl_task7[[คะแนนเต็ม]:[คะแนนเต็ม]]),"",(tbl_task7[100]/tbl_task7[[คะแนนเต็ม]:[คะแนนเต็ม]])*tbl_task7[[%]:[%]])</f>
        <v/>
      </c>
      <c r="JK12" s="121" t="str">
        <f>IF(ISBLANK(tbl_task7[[คะแนนเต็ม]:[คะแนนเต็ม]]),"",(tbl_task7[101]/tbl_task7[[คะแนนเต็ม]:[คะแนนเต็ม]])*tbl_task7[[%]:[%]])</f>
        <v/>
      </c>
      <c r="JL12" s="121" t="str">
        <f>IF(ISBLANK(tbl_task7[[คะแนนเต็ม]:[คะแนนเต็ม]]),"",(tbl_task7[102]/tbl_task7[[คะแนนเต็ม]:[คะแนนเต็ม]])*tbl_task7[[%]:[%]])</f>
        <v/>
      </c>
      <c r="JM12" s="121" t="str">
        <f>IF(ISBLANK(tbl_task7[[คะแนนเต็ม]:[คะแนนเต็ม]]),"",(tbl_task7[103]/tbl_task7[[คะแนนเต็ม]:[คะแนนเต็ม]])*tbl_task7[[%]:[%]])</f>
        <v/>
      </c>
      <c r="JN12" s="121" t="str">
        <f>IF(ISBLANK(tbl_task7[[คะแนนเต็ม]:[คะแนนเต็ม]]),"",(tbl_task7[104]/tbl_task7[[คะแนนเต็ม]:[คะแนนเต็ม]])*tbl_task7[[%]:[%]])</f>
        <v/>
      </c>
      <c r="JO12" s="121" t="str">
        <f>IF(ISBLANK(tbl_task7[[คะแนนเต็ม]:[คะแนนเต็ม]]),"",(tbl_task7[105]/tbl_task7[[คะแนนเต็ม]:[คะแนนเต็ม]])*tbl_task7[[%]:[%]])</f>
        <v/>
      </c>
      <c r="JP12" s="121" t="str">
        <f>IF(ISBLANK(tbl_task7[[คะแนนเต็ม]:[คะแนนเต็ม]]),"",(tbl_task7[106]/tbl_task7[[คะแนนเต็ม]:[คะแนนเต็ม]])*tbl_task7[[%]:[%]])</f>
        <v/>
      </c>
      <c r="JQ12" s="121" t="str">
        <f>IF(ISBLANK(tbl_task7[[คะแนนเต็ม]:[คะแนนเต็ม]]),"",(tbl_task7[107]/tbl_task7[[คะแนนเต็ม]:[คะแนนเต็ม]])*tbl_task7[[%]:[%]])</f>
        <v/>
      </c>
      <c r="JR12" s="121" t="str">
        <f>IF(ISBLANK(tbl_task7[[คะแนนเต็ม]:[คะแนนเต็ม]]),"",(tbl_task7[108]/tbl_task7[[คะแนนเต็ม]:[คะแนนเต็ม]])*tbl_task7[[%]:[%]])</f>
        <v/>
      </c>
      <c r="JS12" s="121" t="str">
        <f>IF(ISBLANK(tbl_task7[[คะแนนเต็ม]:[คะแนนเต็ม]]),"",(tbl_task7[109]/tbl_task7[[คะแนนเต็ม]:[คะแนนเต็ม]])*tbl_task7[[%]:[%]])</f>
        <v/>
      </c>
      <c r="JT12" s="121" t="str">
        <f>IF(ISBLANK(tbl_task7[[คะแนนเต็ม]:[คะแนนเต็ม]]),"",(tbl_task7[110]/tbl_task7[[คะแนนเต็ม]:[คะแนนเต็ม]])*tbl_task7[[%]:[%]])</f>
        <v/>
      </c>
      <c r="JU12" s="121" t="str">
        <f>IF(ISBLANK(tbl_task7[[คะแนนเต็ม]:[คะแนนเต็ม]]),"",(tbl_task7[111]/tbl_task7[[คะแนนเต็ม]:[คะแนนเต็ม]])*tbl_task7[[%]:[%]])</f>
        <v/>
      </c>
      <c r="JV12" s="121" t="str">
        <f>IF(ISBLANK(tbl_task7[[คะแนนเต็ม]:[คะแนนเต็ม]]),"",(tbl_task7[112]/tbl_task7[[คะแนนเต็ม]:[คะแนนเต็ม]])*tbl_task7[[%]:[%]])</f>
        <v/>
      </c>
      <c r="JW12" s="121" t="str">
        <f>IF(ISBLANK(tbl_task7[[คะแนนเต็ม]:[คะแนนเต็ม]]),"",(tbl_task7[113]/tbl_task7[[คะแนนเต็ม]:[คะแนนเต็ม]])*tbl_task7[[%]:[%]])</f>
        <v/>
      </c>
      <c r="JX12" s="121" t="str">
        <f>IF(ISBLANK(tbl_task7[[คะแนนเต็ม]:[คะแนนเต็ม]]),"",(tbl_task7[114]/tbl_task7[[คะแนนเต็ม]:[คะแนนเต็ม]])*tbl_task7[[%]:[%]])</f>
        <v/>
      </c>
      <c r="JY12" s="121" t="str">
        <f>IF(ISBLANK(tbl_task7[[คะแนนเต็ม]:[คะแนนเต็ม]]),"",(tbl_task7[115]/tbl_task7[[คะแนนเต็ม]:[คะแนนเต็ม]])*tbl_task7[[%]:[%]])</f>
        <v/>
      </c>
      <c r="JZ12" s="121" t="str">
        <f>IF(ISBLANK(tbl_task7[[คะแนนเต็ม]:[คะแนนเต็ม]]),"",(tbl_task7[116]/tbl_task7[[คะแนนเต็ม]:[คะแนนเต็ม]])*tbl_task7[[%]:[%]])</f>
        <v/>
      </c>
      <c r="KA12" s="121" t="str">
        <f>IF(ISBLANK(tbl_task7[[คะแนนเต็ม]:[คะแนนเต็ม]]),"",(tbl_task7[117]/tbl_task7[[คะแนนเต็ม]:[คะแนนเต็ม]])*tbl_task7[[%]:[%]])</f>
        <v/>
      </c>
      <c r="KB12" s="121" t="str">
        <f>IF(ISBLANK(tbl_task7[[คะแนนเต็ม]:[คะแนนเต็ม]]),"",(tbl_task7[118]/tbl_task7[[คะแนนเต็ม]:[คะแนนเต็ม]])*tbl_task7[[%]:[%]])</f>
        <v/>
      </c>
      <c r="KC12" s="121" t="str">
        <f>IF(ISBLANK(tbl_task7[[คะแนนเต็ม]:[คะแนนเต็ม]]),"",(tbl_task7[119]/tbl_task7[[คะแนนเต็ม]:[คะแนนเต็ม]])*tbl_task7[[%]:[%]])</f>
        <v/>
      </c>
      <c r="KD12" s="121" t="str">
        <f>IF(ISBLANK(tbl_task7[[คะแนนเต็ม]:[คะแนนเต็ม]]),"",(tbl_task7[120]/tbl_task7[[คะแนนเต็ม]:[คะแนนเต็ม]])*tbl_task7[[%]:[%]])</f>
        <v/>
      </c>
      <c r="KE12" s="121" t="str">
        <f>IF(ISBLANK(tbl_task7[[คะแนนเต็ม]:[คะแนนเต็ม]]),"",(tbl_task7[121]/tbl_task7[[คะแนนเต็ม]:[คะแนนเต็ม]])*tbl_task7[[%]:[%]])</f>
        <v/>
      </c>
      <c r="KF12" s="121" t="str">
        <f>IF(ISBLANK(tbl_task7[[คะแนนเต็ม]:[คะแนนเต็ม]]),"",(tbl_task7[122]/tbl_task7[[คะแนนเต็ม]:[คะแนนเต็ม]])*tbl_task7[[%]:[%]])</f>
        <v/>
      </c>
      <c r="KG12" s="121" t="str">
        <f>IF(ISBLANK(tbl_task7[[คะแนนเต็ม]:[คะแนนเต็ม]]),"",(tbl_task7[123]/tbl_task7[[คะแนนเต็ม]:[คะแนนเต็ม]])*tbl_task7[[%]:[%]])</f>
        <v/>
      </c>
      <c r="KH12" s="121" t="str">
        <f>IF(ISBLANK(tbl_task7[[คะแนนเต็ม]:[คะแนนเต็ม]]),"",(tbl_task7[124]/tbl_task7[[คะแนนเต็ม]:[คะแนนเต็ม]])*tbl_task7[[%]:[%]])</f>
        <v/>
      </c>
      <c r="KI12" s="121" t="str">
        <f>IF(ISBLANK(tbl_task7[[คะแนนเต็ม]:[คะแนนเต็ม]]),"",(tbl_task7[125]/tbl_task7[[คะแนนเต็ม]:[คะแนนเต็ม]])*tbl_task7[[%]:[%]])</f>
        <v/>
      </c>
      <c r="KJ12" s="121" t="str">
        <f>IF(ISBLANK(tbl_task7[[คะแนนเต็ม]:[คะแนนเต็ม]]),"",(tbl_task7[126]/tbl_task7[[คะแนนเต็ม]:[คะแนนเต็ม]])*tbl_task7[[%]:[%]])</f>
        <v/>
      </c>
      <c r="KK12" s="121" t="str">
        <f>IF(ISBLANK(tbl_task7[[คะแนนเต็ม]:[คะแนนเต็ม]]),"",(tbl_task7[127]/tbl_task7[[คะแนนเต็ม]:[คะแนนเต็ม]])*tbl_task7[[%]:[%]])</f>
        <v/>
      </c>
      <c r="KL12" s="121" t="str">
        <f>IF(ISBLANK(tbl_task7[[คะแนนเต็ม]:[คะแนนเต็ม]]),"",(tbl_task7[128]/tbl_task7[[คะแนนเต็ม]:[คะแนนเต็ม]])*tbl_task7[[%]:[%]])</f>
        <v/>
      </c>
      <c r="KM12" s="121" t="str">
        <f>IF(ISBLANK(tbl_task7[[คะแนนเต็ม]:[คะแนนเต็ม]]),"",(tbl_task7[129]/tbl_task7[[คะแนนเต็ม]:[คะแนนเต็ม]])*tbl_task7[[%]:[%]])</f>
        <v/>
      </c>
      <c r="KN12" s="121" t="str">
        <f>IF(ISBLANK(tbl_task7[[คะแนนเต็ม]:[คะแนนเต็ม]]),"",(tbl_task7[130]/tbl_task7[[คะแนนเต็ม]:[คะแนนเต็ม]])*tbl_task7[[%]:[%]])</f>
        <v/>
      </c>
      <c r="KO12" s="121" t="str">
        <f>IF(ISBLANK(tbl_task7[[คะแนนเต็ม]:[คะแนนเต็ม]]),"",(tbl_task7[131]/tbl_task7[[คะแนนเต็ม]:[คะแนนเต็ม]])*tbl_task7[[%]:[%]])</f>
        <v/>
      </c>
      <c r="KP12" s="121" t="str">
        <f>IF(ISBLANK(tbl_task7[[คะแนนเต็ม]:[คะแนนเต็ม]]),"",(tbl_task7[132]/tbl_task7[[คะแนนเต็ม]:[คะแนนเต็ม]])*tbl_task7[[%]:[%]])</f>
        <v/>
      </c>
      <c r="KQ12" s="121" t="str">
        <f>IF(ISBLANK(tbl_task7[[คะแนนเต็ม]:[คะแนนเต็ม]]),"",(tbl_task7[133]/tbl_task7[[คะแนนเต็ม]:[คะแนนเต็ม]])*tbl_task7[[%]:[%]])</f>
        <v/>
      </c>
      <c r="KR12" s="121" t="str">
        <f>IF(ISBLANK(tbl_task7[[คะแนนเต็ม]:[คะแนนเต็ม]]),"",(tbl_task7[134]/tbl_task7[[คะแนนเต็ม]:[คะแนนเต็ม]])*tbl_task7[[%]:[%]])</f>
        <v/>
      </c>
      <c r="KS12" s="121" t="str">
        <f>IF(ISBLANK(tbl_task7[[คะแนนเต็ม]:[คะแนนเต็ม]]),"",(tbl_task7[135]/tbl_task7[[คะแนนเต็ม]:[คะแนนเต็ม]])*tbl_task7[[%]:[%]])</f>
        <v/>
      </c>
      <c r="KT12" s="121" t="str">
        <f>IF(ISBLANK(tbl_task7[[คะแนนเต็ม]:[คะแนนเต็ม]]),"",(tbl_task7[136]/tbl_task7[[คะแนนเต็ม]:[คะแนนเต็ม]])*tbl_task7[[%]:[%]])</f>
        <v/>
      </c>
      <c r="KU12" s="121" t="str">
        <f>IF(ISBLANK(tbl_task7[[คะแนนเต็ม]:[คะแนนเต็ม]]),"",(tbl_task7[137]/tbl_task7[[คะแนนเต็ม]:[คะแนนเต็ม]])*tbl_task7[[%]:[%]])</f>
        <v/>
      </c>
      <c r="KV12" s="121" t="str">
        <f>IF(ISBLANK(tbl_task7[[คะแนนเต็ม]:[คะแนนเต็ม]]),"",(tbl_task7[138]/tbl_task7[[คะแนนเต็ม]:[คะแนนเต็ม]])*tbl_task7[[%]:[%]])</f>
        <v/>
      </c>
      <c r="KW12" s="121" t="str">
        <f>IF(ISBLANK(tbl_task7[[คะแนนเต็ม]:[คะแนนเต็ม]]),"",(tbl_task7[139]/tbl_task7[[คะแนนเต็ม]:[คะแนนเต็ม]])*tbl_task7[[%]:[%]])</f>
        <v/>
      </c>
      <c r="KX12" s="121" t="str">
        <f>IF(ISBLANK(tbl_task7[[คะแนนเต็ม]:[คะแนนเต็ม]]),"",(tbl_task7[140]/tbl_task7[[คะแนนเต็ม]:[คะแนนเต็ม]])*tbl_task7[[%]:[%]])</f>
        <v/>
      </c>
      <c r="KY12" s="121" t="str">
        <f>IF(ISBLANK(tbl_task7[[คะแนนเต็ม]:[คะแนนเต็ม]]),"",(tbl_task7[141]/tbl_task7[[คะแนนเต็ม]:[คะแนนเต็ม]])*tbl_task7[[%]:[%]])</f>
        <v/>
      </c>
      <c r="KZ12" s="121" t="str">
        <f>IF(ISBLANK(tbl_task7[[คะแนนเต็ม]:[คะแนนเต็ม]]),"",(tbl_task7[142]/tbl_task7[[คะแนนเต็ม]:[คะแนนเต็ม]])*tbl_task7[[%]:[%]])</f>
        <v/>
      </c>
      <c r="LA12" s="121" t="str">
        <f>IF(ISBLANK(tbl_task7[[คะแนนเต็ม]:[คะแนนเต็ม]]),"",(tbl_task7[143]/tbl_task7[[คะแนนเต็ม]:[คะแนนเต็ม]])*tbl_task7[[%]:[%]])</f>
        <v/>
      </c>
      <c r="LB12" s="121" t="str">
        <f>IF(ISBLANK(tbl_task7[[คะแนนเต็ม]:[คะแนนเต็ม]]),"",(tbl_task7[144]/tbl_task7[[คะแนนเต็ม]:[คะแนนเต็ม]])*tbl_task7[[%]:[%]])</f>
        <v/>
      </c>
      <c r="LC12" s="121" t="str">
        <f>IF(ISBLANK(tbl_task7[[คะแนนเต็ม]:[คะแนนเต็ม]]),"",(tbl_task7[145]/tbl_task7[[คะแนนเต็ม]:[คะแนนเต็ม]])*tbl_task7[[%]:[%]])</f>
        <v/>
      </c>
      <c r="LD12" s="121" t="str">
        <f>IF(ISBLANK(tbl_task7[[คะแนนเต็ม]:[คะแนนเต็ม]]),"",(tbl_task7[146]/tbl_task7[[คะแนนเต็ม]:[คะแนนเต็ม]])*tbl_task7[[%]:[%]])</f>
        <v/>
      </c>
      <c r="LE12" s="121" t="str">
        <f>IF(ISBLANK(tbl_task7[[คะแนนเต็ม]:[คะแนนเต็ม]]),"",(tbl_task7[147]/tbl_task7[[คะแนนเต็ม]:[คะแนนเต็ม]])*tbl_task7[[%]:[%]])</f>
        <v/>
      </c>
      <c r="LF12" s="121" t="str">
        <f>IF(ISBLANK(tbl_task7[[คะแนนเต็ม]:[คะแนนเต็ม]]),"",(tbl_task7[148]/tbl_task7[[คะแนนเต็ม]:[คะแนนเต็ม]])*tbl_task7[[%]:[%]])</f>
        <v/>
      </c>
      <c r="LG12" s="121" t="str">
        <f>IF(ISBLANK(tbl_task7[[คะแนนเต็ม]:[คะแนนเต็ม]]),"",(tbl_task7[149]/tbl_task7[[คะแนนเต็ม]:[คะแนนเต็ม]])*tbl_task7[[%]:[%]])</f>
        <v/>
      </c>
      <c r="LH12" s="121" t="str">
        <f>IF(ISBLANK(tbl_task7[[คะแนนเต็ม]:[คะแนนเต็ม]]),"",(tbl_task7[150]/tbl_task7[[คะแนนเต็ม]:[คะแนนเต็ม]])*tbl_task7[[%]:[%]])</f>
        <v/>
      </c>
      <c r="LI12" s="121" t="str">
        <f>IF(ISBLANK(tbl_task7[[คะแนนเต็ม]:[คะแนนเต็ม]]),"",(tbl_task7[151]/tbl_task7[[คะแนนเต็ม]:[คะแนนเต็ม]])*tbl_task7[[%]:[%]])</f>
        <v/>
      </c>
      <c r="LJ12" s="121" t="str">
        <f>IF(ISBLANK(tbl_task7[[คะแนนเต็ม]:[คะแนนเต็ม]]),"",(tbl_task7[152]/tbl_task7[[คะแนนเต็ม]:[คะแนนเต็ม]])*tbl_task7[[%]:[%]])</f>
        <v/>
      </c>
      <c r="LK12" s="121" t="str">
        <f>IF(ISBLANK(tbl_task7[[คะแนนเต็ม]:[คะแนนเต็ม]]),"",(tbl_task7[153]/tbl_task7[[คะแนนเต็ม]:[คะแนนเต็ม]])*tbl_task7[[%]:[%]])</f>
        <v/>
      </c>
      <c r="LL12" s="121" t="str">
        <f>IF(ISBLANK(tbl_task7[[คะแนนเต็ม]:[คะแนนเต็ม]]),"",(tbl_task7[154]/tbl_task7[[คะแนนเต็ม]:[คะแนนเต็ม]])*tbl_task7[[%]:[%]])</f>
        <v/>
      </c>
      <c r="LM12" s="121" t="str">
        <f>IF(ISBLANK(tbl_task7[[คะแนนเต็ม]:[คะแนนเต็ม]]),"",(tbl_task7[155]/tbl_task7[[คะแนนเต็ม]:[คะแนนเต็ม]])*tbl_task7[[%]:[%]])</f>
        <v/>
      </c>
      <c r="LN12" s="121" t="str">
        <f>IF(ISBLANK(tbl_task7[[คะแนนเต็ม]:[คะแนนเต็ม]]),"",(tbl_task7[156]/tbl_task7[[คะแนนเต็ม]:[คะแนนเต็ม]])*tbl_task7[[%]:[%]])</f>
        <v/>
      </c>
      <c r="LO12" s="121" t="str">
        <f>IF(ISBLANK(tbl_task7[[คะแนนเต็ม]:[คะแนนเต็ม]]),"",(tbl_task7[157]/tbl_task7[[คะแนนเต็ม]:[คะแนนเต็ม]])*tbl_task7[[%]:[%]])</f>
        <v/>
      </c>
      <c r="LP12" s="121" t="str">
        <f>IF(ISBLANK(tbl_task7[[คะแนนเต็ม]:[คะแนนเต็ม]]),"",(tbl_task7[158]/tbl_task7[[คะแนนเต็ม]:[คะแนนเต็ม]])*tbl_task7[[%]:[%]])</f>
        <v/>
      </c>
      <c r="LQ12" s="121" t="str">
        <f>IF(ISBLANK(tbl_task7[[คะแนนเต็ม]:[คะแนนเต็ม]]),"",(tbl_task7[159]/tbl_task7[[คะแนนเต็ม]:[คะแนนเต็ม]])*tbl_task7[[%]:[%]])</f>
        <v/>
      </c>
      <c r="LR12" s="121" t="str">
        <f>IF(ISBLANK(tbl_task7[[คะแนนเต็ม]:[คะแนนเต็ม]]),"",(tbl_task7[160]/tbl_task7[[คะแนนเต็ม]:[คะแนนเต็ม]])*tbl_task7[[%]:[%]])</f>
        <v/>
      </c>
      <c r="LS12" s="121" t="str">
        <f>IF(ISBLANK(tbl_task7[[คะแนนเต็ม]:[คะแนนเต็ม]]),"",(tbl_task7[161]/tbl_task7[[คะแนนเต็ม]:[คะแนนเต็ม]])*tbl_task7[[%]:[%]])</f>
        <v/>
      </c>
      <c r="LT12" s="121" t="str">
        <f>IF(ISBLANK(tbl_task7[[คะแนนเต็ม]:[คะแนนเต็ม]]),"",(tbl_task7[162]/tbl_task7[[คะแนนเต็ม]:[คะแนนเต็ม]])*tbl_task7[[%]:[%]])</f>
        <v/>
      </c>
      <c r="LU12" s="121" t="str">
        <f>IF(ISBLANK(tbl_task7[[คะแนนเต็ม]:[คะแนนเต็ม]]),"",(tbl_task7[163]/tbl_task7[[คะแนนเต็ม]:[คะแนนเต็ม]])*tbl_task7[[%]:[%]])</f>
        <v/>
      </c>
      <c r="LV12" s="121" t="str">
        <f>IF(ISBLANK(tbl_task7[[คะแนนเต็ม]:[คะแนนเต็ม]]),"",(tbl_task7[164]/tbl_task7[[คะแนนเต็ม]:[คะแนนเต็ม]])*tbl_task7[[%]:[%]])</f>
        <v/>
      </c>
      <c r="LW12" s="121" t="str">
        <f>IF(ISBLANK(tbl_task7[[คะแนนเต็ม]:[คะแนนเต็ม]]),"",(tbl_task7[165]/tbl_task7[[คะแนนเต็ม]:[คะแนนเต็ม]])*tbl_task7[[%]:[%]])</f>
        <v/>
      </c>
    </row>
    <row r="13" spans="1:335" ht="24" customHeight="1" x14ac:dyDescent="0.25">
      <c r="A13" s="24">
        <v>10</v>
      </c>
      <c r="B13" s="20"/>
      <c r="C13" s="5" t="str">
        <f>IF(ISBLANK(B13),"",VLOOKUP(B13,tbl_PLOs[],2,0))</f>
        <v/>
      </c>
      <c r="D13" s="102"/>
      <c r="E13" s="106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22"/>
      <c r="FO13" s="121" t="str">
        <f>IF(ISBLANK(tbl_task7[[คะแนนเต็ม]:[คะแนนเต็ม]]),"",(tbl_task7[1]/tbl_task7[[คะแนนเต็ม]:[คะแนนเต็ม]])*tbl_task7[[%]:[%]])</f>
        <v/>
      </c>
      <c r="FP13" s="121" t="str">
        <f>IF(ISBLANK(tbl_task7[[คะแนนเต็ม]:[คะแนนเต็ม]]),"",(tbl_task7[2]/tbl_task7[[คะแนนเต็ม]:[คะแนนเต็ม]])*tbl_task7[[%]:[%]])</f>
        <v/>
      </c>
      <c r="FQ13" s="121" t="str">
        <f>IF(ISBLANK(tbl_task7[[คะแนนเต็ม]:[คะแนนเต็ม]]),"",(tbl_task7[3]/tbl_task7[[คะแนนเต็ม]:[คะแนนเต็ม]])*tbl_task7[[%]:[%]])</f>
        <v/>
      </c>
      <c r="FR13" s="121" t="str">
        <f>IF(ISBLANK(tbl_task7[[คะแนนเต็ม]:[คะแนนเต็ม]]),"",(tbl_task7[4]/tbl_task7[[คะแนนเต็ม]:[คะแนนเต็ม]])*tbl_task7[[%]:[%]])</f>
        <v/>
      </c>
      <c r="FS13" s="121" t="str">
        <f>IF(ISBLANK(tbl_task7[[คะแนนเต็ม]:[คะแนนเต็ม]]),"",(tbl_task7[5]/tbl_task7[[คะแนนเต็ม]:[คะแนนเต็ม]])*tbl_task7[[%]:[%]])</f>
        <v/>
      </c>
      <c r="FT13" s="121" t="str">
        <f>IF(ISBLANK(tbl_task7[[คะแนนเต็ม]:[คะแนนเต็ม]]),"",(tbl_task7[6]/tbl_task7[[คะแนนเต็ม]:[คะแนนเต็ม]])*tbl_task7[[%]:[%]])</f>
        <v/>
      </c>
      <c r="FU13" s="121" t="str">
        <f>IF(ISBLANK(tbl_task7[[คะแนนเต็ม]:[คะแนนเต็ม]]),"",(tbl_task7[7]/tbl_task7[[คะแนนเต็ม]:[คะแนนเต็ม]])*tbl_task7[[%]:[%]])</f>
        <v/>
      </c>
      <c r="FV13" s="121" t="str">
        <f>IF(ISBLANK(tbl_task7[[คะแนนเต็ม]:[คะแนนเต็ม]]),"",(tbl_task7[8]/tbl_task7[[คะแนนเต็ม]:[คะแนนเต็ม]])*tbl_task7[[%]:[%]])</f>
        <v/>
      </c>
      <c r="FW13" s="121" t="str">
        <f>IF(ISBLANK(tbl_task7[[คะแนนเต็ม]:[คะแนนเต็ม]]),"",(tbl_task7[9]/tbl_task7[[คะแนนเต็ม]:[คะแนนเต็ม]])*tbl_task7[[%]:[%]])</f>
        <v/>
      </c>
      <c r="FX13" s="121" t="str">
        <f>IF(ISBLANK(tbl_task7[[คะแนนเต็ม]:[คะแนนเต็ม]]),"",(tbl_task7[10]/tbl_task7[[คะแนนเต็ม]:[คะแนนเต็ม]])*tbl_task7[[%]:[%]])</f>
        <v/>
      </c>
      <c r="FY13" s="121" t="str">
        <f>IF(ISBLANK(tbl_task7[[คะแนนเต็ม]:[คะแนนเต็ม]]),"",(tbl_task7[11]/tbl_task7[[คะแนนเต็ม]:[คะแนนเต็ม]])*tbl_task7[[%]:[%]])</f>
        <v/>
      </c>
      <c r="FZ13" s="121" t="str">
        <f>IF(ISBLANK(tbl_task7[[คะแนนเต็ม]:[คะแนนเต็ม]]),"",(tbl_task7[12]/tbl_task7[[คะแนนเต็ม]:[คะแนนเต็ม]])*tbl_task7[[%]:[%]])</f>
        <v/>
      </c>
      <c r="GA13" s="121" t="str">
        <f>IF(ISBLANK(tbl_task7[[คะแนนเต็ม]:[คะแนนเต็ม]]),"",(tbl_task7[13]/tbl_task7[[คะแนนเต็ม]:[คะแนนเต็ม]])*tbl_task7[[%]:[%]])</f>
        <v/>
      </c>
      <c r="GB13" s="121" t="str">
        <f>IF(ISBLANK(tbl_task7[[คะแนนเต็ม]:[คะแนนเต็ม]]),"",(tbl_task7[14]/tbl_task7[[คะแนนเต็ม]:[คะแนนเต็ม]])*tbl_task7[[%]:[%]])</f>
        <v/>
      </c>
      <c r="GC13" s="121" t="str">
        <f>IF(ISBLANK(tbl_task7[[คะแนนเต็ม]:[คะแนนเต็ม]]),"",(tbl_task7[15]/tbl_task7[[คะแนนเต็ม]:[คะแนนเต็ม]])*tbl_task7[[%]:[%]])</f>
        <v/>
      </c>
      <c r="GD13" s="121" t="str">
        <f>IF(ISBLANK(tbl_task7[[คะแนนเต็ม]:[คะแนนเต็ม]]),"",(tbl_task7[16]/tbl_task7[[คะแนนเต็ม]:[คะแนนเต็ม]])*tbl_task7[[%]:[%]])</f>
        <v/>
      </c>
      <c r="GE13" s="121" t="str">
        <f>IF(ISBLANK(tbl_task7[[คะแนนเต็ม]:[คะแนนเต็ม]]),"",(tbl_task7[17]/tbl_task7[[คะแนนเต็ม]:[คะแนนเต็ม]])*tbl_task7[[%]:[%]])</f>
        <v/>
      </c>
      <c r="GF13" s="121" t="str">
        <f>IF(ISBLANK(tbl_task7[[คะแนนเต็ม]:[คะแนนเต็ม]]),"",(tbl_task7[18]/tbl_task7[[คะแนนเต็ม]:[คะแนนเต็ม]])*tbl_task7[[%]:[%]])</f>
        <v/>
      </c>
      <c r="GG13" s="121" t="str">
        <f>IF(ISBLANK(tbl_task7[[คะแนนเต็ม]:[คะแนนเต็ม]]),"",(tbl_task7[19]/tbl_task7[[คะแนนเต็ม]:[คะแนนเต็ม]])*tbl_task7[[%]:[%]])</f>
        <v/>
      </c>
      <c r="GH13" s="121" t="str">
        <f>IF(ISBLANK(tbl_task7[[คะแนนเต็ม]:[คะแนนเต็ม]]),"",(tbl_task7[20]/tbl_task7[[คะแนนเต็ม]:[คะแนนเต็ม]])*tbl_task7[[%]:[%]])</f>
        <v/>
      </c>
      <c r="GI13" s="121" t="str">
        <f>IF(ISBLANK(tbl_task7[[คะแนนเต็ม]:[คะแนนเต็ม]]),"",(tbl_task7[21]/tbl_task7[[คะแนนเต็ม]:[คะแนนเต็ม]])*tbl_task7[[%]:[%]])</f>
        <v/>
      </c>
      <c r="GJ13" s="121" t="str">
        <f>IF(ISBLANK(tbl_task7[[คะแนนเต็ม]:[คะแนนเต็ม]]),"",(tbl_task7[22]/tbl_task7[[คะแนนเต็ม]:[คะแนนเต็ม]])*tbl_task7[[%]:[%]])</f>
        <v/>
      </c>
      <c r="GK13" s="121" t="str">
        <f>IF(ISBLANK(tbl_task7[[คะแนนเต็ม]:[คะแนนเต็ม]]),"",(tbl_task7[23]/tbl_task7[[คะแนนเต็ม]:[คะแนนเต็ม]])*tbl_task7[[%]:[%]])</f>
        <v/>
      </c>
      <c r="GL13" s="121" t="str">
        <f>IF(ISBLANK(tbl_task7[[คะแนนเต็ม]:[คะแนนเต็ม]]),"",(tbl_task7[24]/tbl_task7[[คะแนนเต็ม]:[คะแนนเต็ม]])*tbl_task7[[%]:[%]])</f>
        <v/>
      </c>
      <c r="GM13" s="121" t="str">
        <f>IF(ISBLANK(tbl_task7[[คะแนนเต็ม]:[คะแนนเต็ม]]),"",(tbl_task7[25]/tbl_task7[[คะแนนเต็ม]:[คะแนนเต็ม]])*tbl_task7[[%]:[%]])</f>
        <v/>
      </c>
      <c r="GN13" s="121" t="str">
        <f>IF(ISBLANK(tbl_task7[[คะแนนเต็ม]:[คะแนนเต็ม]]),"",(tbl_task7[26]/tbl_task7[[คะแนนเต็ม]:[คะแนนเต็ม]])*tbl_task7[[%]:[%]])</f>
        <v/>
      </c>
      <c r="GO13" s="121" t="str">
        <f>IF(ISBLANK(tbl_task7[[คะแนนเต็ม]:[คะแนนเต็ม]]),"",(tbl_task7[27]/tbl_task7[[คะแนนเต็ม]:[คะแนนเต็ม]])*tbl_task7[[%]:[%]])</f>
        <v/>
      </c>
      <c r="GP13" s="121" t="str">
        <f>IF(ISBLANK(tbl_task7[[คะแนนเต็ม]:[คะแนนเต็ม]]),"",(tbl_task7[28]/tbl_task7[[คะแนนเต็ม]:[คะแนนเต็ม]])*tbl_task7[[%]:[%]])</f>
        <v/>
      </c>
      <c r="GQ13" s="121" t="str">
        <f>IF(ISBLANK(tbl_task7[[คะแนนเต็ม]:[คะแนนเต็ม]]),"",(tbl_task7[29]/tbl_task7[[คะแนนเต็ม]:[คะแนนเต็ม]])*tbl_task7[[%]:[%]])</f>
        <v/>
      </c>
      <c r="GR13" s="121" t="str">
        <f>IF(ISBLANK(tbl_task7[[คะแนนเต็ม]:[คะแนนเต็ม]]),"",(tbl_task7[30]/tbl_task7[[คะแนนเต็ม]:[คะแนนเต็ม]])*tbl_task7[[%]:[%]])</f>
        <v/>
      </c>
      <c r="GS13" s="121" t="str">
        <f>IF(ISBLANK(tbl_task7[[คะแนนเต็ม]:[คะแนนเต็ม]]),"",(tbl_task7[31]/tbl_task7[[คะแนนเต็ม]:[คะแนนเต็ม]])*tbl_task7[[%]:[%]])</f>
        <v/>
      </c>
      <c r="GT13" s="121" t="str">
        <f>IF(ISBLANK(tbl_task7[[คะแนนเต็ม]:[คะแนนเต็ม]]),"",(tbl_task7[32]/tbl_task7[[คะแนนเต็ม]:[คะแนนเต็ม]])*tbl_task7[[%]:[%]])</f>
        <v/>
      </c>
      <c r="GU13" s="121" t="str">
        <f>IF(ISBLANK(tbl_task7[[คะแนนเต็ม]:[คะแนนเต็ม]]),"",(tbl_task7[33]/tbl_task7[[คะแนนเต็ม]:[คะแนนเต็ม]])*tbl_task7[[%]:[%]])</f>
        <v/>
      </c>
      <c r="GV13" s="121" t="str">
        <f>IF(ISBLANK(tbl_task7[[คะแนนเต็ม]:[คะแนนเต็ม]]),"",(tbl_task7[34]/tbl_task7[[คะแนนเต็ม]:[คะแนนเต็ม]])*tbl_task7[[%]:[%]])</f>
        <v/>
      </c>
      <c r="GW13" s="121" t="str">
        <f>IF(ISBLANK(tbl_task7[[คะแนนเต็ม]:[คะแนนเต็ม]]),"",(tbl_task7[35]/tbl_task7[[คะแนนเต็ม]:[คะแนนเต็ม]])*tbl_task7[[%]:[%]])</f>
        <v/>
      </c>
      <c r="GX13" s="121" t="str">
        <f>IF(ISBLANK(tbl_task7[[คะแนนเต็ม]:[คะแนนเต็ม]]),"",(tbl_task7[36]/tbl_task7[[คะแนนเต็ม]:[คะแนนเต็ม]])*tbl_task7[[%]:[%]])</f>
        <v/>
      </c>
      <c r="GY13" s="121" t="str">
        <f>IF(ISBLANK(tbl_task7[[คะแนนเต็ม]:[คะแนนเต็ม]]),"",(tbl_task7[37]/tbl_task7[[คะแนนเต็ม]:[คะแนนเต็ม]])*tbl_task7[[%]:[%]])</f>
        <v/>
      </c>
      <c r="GZ13" s="121" t="str">
        <f>IF(ISBLANK(tbl_task7[[คะแนนเต็ม]:[คะแนนเต็ม]]),"",(tbl_task7[38]/tbl_task7[[คะแนนเต็ม]:[คะแนนเต็ม]])*tbl_task7[[%]:[%]])</f>
        <v/>
      </c>
      <c r="HA13" s="121" t="str">
        <f>IF(ISBLANK(tbl_task7[[คะแนนเต็ม]:[คะแนนเต็ม]]),"",(tbl_task7[39]/tbl_task7[[คะแนนเต็ม]:[คะแนนเต็ม]])*tbl_task7[[%]:[%]])</f>
        <v/>
      </c>
      <c r="HB13" s="121" t="str">
        <f>IF(ISBLANK(tbl_task7[[คะแนนเต็ม]:[คะแนนเต็ม]]),"",(tbl_task7[40]/tbl_task7[[คะแนนเต็ม]:[คะแนนเต็ม]])*tbl_task7[[%]:[%]])</f>
        <v/>
      </c>
      <c r="HC13" s="121" t="str">
        <f>IF(ISBLANK(tbl_task7[[คะแนนเต็ม]:[คะแนนเต็ม]]),"",(tbl_task7[41]/tbl_task7[[คะแนนเต็ม]:[คะแนนเต็ม]])*tbl_task7[[%]:[%]])</f>
        <v/>
      </c>
      <c r="HD13" s="121" t="str">
        <f>IF(ISBLANK(tbl_task7[[คะแนนเต็ม]:[คะแนนเต็ม]]),"",(tbl_task7[42]/tbl_task7[[คะแนนเต็ม]:[คะแนนเต็ม]])*tbl_task7[[%]:[%]])</f>
        <v/>
      </c>
      <c r="HE13" s="121" t="str">
        <f>IF(ISBLANK(tbl_task7[[คะแนนเต็ม]:[คะแนนเต็ม]]),"",(tbl_task7[43]/tbl_task7[[คะแนนเต็ม]:[คะแนนเต็ม]])*tbl_task7[[%]:[%]])</f>
        <v/>
      </c>
      <c r="HF13" s="121" t="str">
        <f>IF(ISBLANK(tbl_task7[[คะแนนเต็ม]:[คะแนนเต็ม]]),"",(tbl_task7[44]/tbl_task7[[คะแนนเต็ม]:[คะแนนเต็ม]])*tbl_task7[[%]:[%]])</f>
        <v/>
      </c>
      <c r="HG13" s="121" t="str">
        <f>IF(ISBLANK(tbl_task7[[คะแนนเต็ม]:[คะแนนเต็ม]]),"",(tbl_task7[45]/tbl_task7[[คะแนนเต็ม]:[คะแนนเต็ม]])*tbl_task7[[%]:[%]])</f>
        <v/>
      </c>
      <c r="HH13" s="121" t="str">
        <f>IF(ISBLANK(tbl_task7[[คะแนนเต็ม]:[คะแนนเต็ม]]),"",(tbl_task7[46]/tbl_task7[[คะแนนเต็ม]:[คะแนนเต็ม]])*tbl_task7[[%]:[%]])</f>
        <v/>
      </c>
      <c r="HI13" s="121" t="str">
        <f>IF(ISBLANK(tbl_task7[[คะแนนเต็ม]:[คะแนนเต็ม]]),"",(tbl_task7[47]/tbl_task7[[คะแนนเต็ม]:[คะแนนเต็ม]])*tbl_task7[[%]:[%]])</f>
        <v/>
      </c>
      <c r="HJ13" s="121" t="str">
        <f>IF(ISBLANK(tbl_task7[[คะแนนเต็ม]:[คะแนนเต็ม]]),"",(tbl_task7[48]/tbl_task7[[คะแนนเต็ม]:[คะแนนเต็ม]])*tbl_task7[[%]:[%]])</f>
        <v/>
      </c>
      <c r="HK13" s="121" t="str">
        <f>IF(ISBLANK(tbl_task7[[คะแนนเต็ม]:[คะแนนเต็ม]]),"",(tbl_task7[49]/tbl_task7[[คะแนนเต็ม]:[คะแนนเต็ม]])*tbl_task7[[%]:[%]])</f>
        <v/>
      </c>
      <c r="HL13" s="121" t="str">
        <f>IF(ISBLANK(tbl_task7[[คะแนนเต็ม]:[คะแนนเต็ม]]),"",(tbl_task7[50]/tbl_task7[[คะแนนเต็ม]:[คะแนนเต็ม]])*tbl_task7[[%]:[%]])</f>
        <v/>
      </c>
      <c r="HM13" s="121" t="str">
        <f>IF(ISBLANK(tbl_task7[[คะแนนเต็ม]:[คะแนนเต็ม]]),"",(tbl_task7[51]/tbl_task7[[คะแนนเต็ม]:[คะแนนเต็ม]])*tbl_task7[[%]:[%]])</f>
        <v/>
      </c>
      <c r="HN13" s="121" t="str">
        <f>IF(ISBLANK(tbl_task7[[คะแนนเต็ม]:[คะแนนเต็ม]]),"",(tbl_task7[52]/tbl_task7[[คะแนนเต็ม]:[คะแนนเต็ม]])*tbl_task7[[%]:[%]])</f>
        <v/>
      </c>
      <c r="HO13" s="121" t="str">
        <f>IF(ISBLANK(tbl_task7[[คะแนนเต็ม]:[คะแนนเต็ม]]),"",(tbl_task7[53]/tbl_task7[[คะแนนเต็ม]:[คะแนนเต็ม]])*tbl_task7[[%]:[%]])</f>
        <v/>
      </c>
      <c r="HP13" s="121" t="str">
        <f>IF(ISBLANK(tbl_task7[[คะแนนเต็ม]:[คะแนนเต็ม]]),"",(tbl_task7[54]/tbl_task7[[คะแนนเต็ม]:[คะแนนเต็ม]])*tbl_task7[[%]:[%]])</f>
        <v/>
      </c>
      <c r="HQ13" s="121" t="str">
        <f>IF(ISBLANK(tbl_task7[[คะแนนเต็ม]:[คะแนนเต็ม]]),"",(tbl_task7[55]/tbl_task7[[คะแนนเต็ม]:[คะแนนเต็ม]])*tbl_task7[[%]:[%]])</f>
        <v/>
      </c>
      <c r="HR13" s="121" t="str">
        <f>IF(ISBLANK(tbl_task7[[คะแนนเต็ม]:[คะแนนเต็ม]]),"",(tbl_task7[56]/tbl_task7[[คะแนนเต็ม]:[คะแนนเต็ม]])*tbl_task7[[%]:[%]])</f>
        <v/>
      </c>
      <c r="HS13" s="121" t="str">
        <f>IF(ISBLANK(tbl_task7[[คะแนนเต็ม]:[คะแนนเต็ม]]),"",(tbl_task7[57]/tbl_task7[[คะแนนเต็ม]:[คะแนนเต็ม]])*tbl_task7[[%]:[%]])</f>
        <v/>
      </c>
      <c r="HT13" s="121" t="str">
        <f>IF(ISBLANK(tbl_task7[[คะแนนเต็ม]:[คะแนนเต็ม]]),"",(tbl_task7[58]/tbl_task7[[คะแนนเต็ม]:[คะแนนเต็ม]])*tbl_task7[[%]:[%]])</f>
        <v/>
      </c>
      <c r="HU13" s="121" t="str">
        <f>IF(ISBLANK(tbl_task7[[คะแนนเต็ม]:[คะแนนเต็ม]]),"",(tbl_task7[59]/tbl_task7[[คะแนนเต็ม]:[คะแนนเต็ม]])*tbl_task7[[%]:[%]])</f>
        <v/>
      </c>
      <c r="HV13" s="121" t="str">
        <f>IF(ISBLANK(tbl_task7[[คะแนนเต็ม]:[คะแนนเต็ม]]),"",(tbl_task7[60]/tbl_task7[[คะแนนเต็ม]:[คะแนนเต็ม]])*tbl_task7[[%]:[%]])</f>
        <v/>
      </c>
      <c r="HW13" s="121" t="str">
        <f>IF(ISBLANK(tbl_task7[[คะแนนเต็ม]:[คะแนนเต็ม]]),"",(tbl_task7[61]/tbl_task7[[คะแนนเต็ม]:[คะแนนเต็ม]])*tbl_task7[[%]:[%]])</f>
        <v/>
      </c>
      <c r="HX13" s="121" t="str">
        <f>IF(ISBLANK(tbl_task7[[คะแนนเต็ม]:[คะแนนเต็ม]]),"",(tbl_task7[62]/tbl_task7[[คะแนนเต็ม]:[คะแนนเต็ม]])*tbl_task7[[%]:[%]])</f>
        <v/>
      </c>
      <c r="HY13" s="121" t="str">
        <f>IF(ISBLANK(tbl_task7[[คะแนนเต็ม]:[คะแนนเต็ม]]),"",(tbl_task7[63]/tbl_task7[[คะแนนเต็ม]:[คะแนนเต็ม]])*tbl_task7[[%]:[%]])</f>
        <v/>
      </c>
      <c r="HZ13" s="121" t="str">
        <f>IF(ISBLANK(tbl_task7[[คะแนนเต็ม]:[คะแนนเต็ม]]),"",(tbl_task7[64]/tbl_task7[[คะแนนเต็ม]:[คะแนนเต็ม]])*tbl_task7[[%]:[%]])</f>
        <v/>
      </c>
      <c r="IA13" s="121" t="str">
        <f>IF(ISBLANK(tbl_task7[[คะแนนเต็ม]:[คะแนนเต็ม]]),"",(tbl_task7[65]/tbl_task7[[คะแนนเต็ม]:[คะแนนเต็ม]])*tbl_task7[[%]:[%]])</f>
        <v/>
      </c>
      <c r="IB13" s="121" t="str">
        <f>IF(ISBLANK(tbl_task7[[คะแนนเต็ม]:[คะแนนเต็ม]]),"",(tbl_task7[66]/tbl_task7[[คะแนนเต็ม]:[คะแนนเต็ม]])*tbl_task7[[%]:[%]])</f>
        <v/>
      </c>
      <c r="IC13" s="121" t="str">
        <f>IF(ISBLANK(tbl_task7[[คะแนนเต็ม]:[คะแนนเต็ม]]),"",(tbl_task7[67]/tbl_task7[[คะแนนเต็ม]:[คะแนนเต็ม]])*tbl_task7[[%]:[%]])</f>
        <v/>
      </c>
      <c r="ID13" s="121" t="str">
        <f>IF(ISBLANK(tbl_task7[[คะแนนเต็ม]:[คะแนนเต็ม]]),"",(tbl_task7[68]/tbl_task7[[คะแนนเต็ม]:[คะแนนเต็ม]])*tbl_task7[[%]:[%]])</f>
        <v/>
      </c>
      <c r="IE13" s="121" t="str">
        <f>IF(ISBLANK(tbl_task7[[คะแนนเต็ม]:[คะแนนเต็ม]]),"",(tbl_task7[69]/tbl_task7[[คะแนนเต็ม]:[คะแนนเต็ม]])*tbl_task7[[%]:[%]])</f>
        <v/>
      </c>
      <c r="IF13" s="121" t="str">
        <f>IF(ISBLANK(tbl_task7[[คะแนนเต็ม]:[คะแนนเต็ม]]),"",(tbl_task7[70]/tbl_task7[[คะแนนเต็ม]:[คะแนนเต็ม]])*tbl_task7[[%]:[%]])</f>
        <v/>
      </c>
      <c r="IG13" s="121" t="str">
        <f>IF(ISBLANK(tbl_task7[[คะแนนเต็ม]:[คะแนนเต็ม]]),"",(tbl_task7[71]/tbl_task7[[คะแนนเต็ม]:[คะแนนเต็ม]])*tbl_task7[[%]:[%]])</f>
        <v/>
      </c>
      <c r="IH13" s="121" t="str">
        <f>IF(ISBLANK(tbl_task7[[คะแนนเต็ม]:[คะแนนเต็ม]]),"",(tbl_task7[72]/tbl_task7[[คะแนนเต็ม]:[คะแนนเต็ม]])*tbl_task7[[%]:[%]])</f>
        <v/>
      </c>
      <c r="II13" s="121" t="str">
        <f>IF(ISBLANK(tbl_task7[[คะแนนเต็ม]:[คะแนนเต็ม]]),"",(tbl_task7[73]/tbl_task7[[คะแนนเต็ม]:[คะแนนเต็ม]])*tbl_task7[[%]:[%]])</f>
        <v/>
      </c>
      <c r="IJ13" s="121" t="str">
        <f>IF(ISBLANK(tbl_task7[[คะแนนเต็ม]:[คะแนนเต็ม]]),"",(tbl_task7[74]/tbl_task7[[คะแนนเต็ม]:[คะแนนเต็ม]])*tbl_task7[[%]:[%]])</f>
        <v/>
      </c>
      <c r="IK13" s="121" t="str">
        <f>IF(ISBLANK(tbl_task7[[คะแนนเต็ม]:[คะแนนเต็ม]]),"",(tbl_task7[75]/tbl_task7[[คะแนนเต็ม]:[คะแนนเต็ม]])*tbl_task7[[%]:[%]])</f>
        <v/>
      </c>
      <c r="IL13" s="121" t="str">
        <f>IF(ISBLANK(tbl_task7[[คะแนนเต็ม]:[คะแนนเต็ม]]),"",(tbl_task7[76]/tbl_task7[[คะแนนเต็ม]:[คะแนนเต็ม]])*tbl_task7[[%]:[%]])</f>
        <v/>
      </c>
      <c r="IM13" s="121" t="str">
        <f>IF(ISBLANK(tbl_task7[[คะแนนเต็ม]:[คะแนนเต็ม]]),"",(tbl_task7[77]/tbl_task7[[คะแนนเต็ม]:[คะแนนเต็ม]])*tbl_task7[[%]:[%]])</f>
        <v/>
      </c>
      <c r="IN13" s="121" t="str">
        <f>IF(ISBLANK(tbl_task7[[คะแนนเต็ม]:[คะแนนเต็ม]]),"",(tbl_task7[78]/tbl_task7[[คะแนนเต็ม]:[คะแนนเต็ม]])*tbl_task7[[%]:[%]])</f>
        <v/>
      </c>
      <c r="IO13" s="121" t="str">
        <f>IF(ISBLANK(tbl_task7[[คะแนนเต็ม]:[คะแนนเต็ม]]),"",(tbl_task7[79]/tbl_task7[[คะแนนเต็ม]:[คะแนนเต็ม]])*tbl_task7[[%]:[%]])</f>
        <v/>
      </c>
      <c r="IP13" s="121" t="str">
        <f>IF(ISBLANK(tbl_task7[[คะแนนเต็ม]:[คะแนนเต็ม]]),"",(tbl_task7[80]/tbl_task7[[คะแนนเต็ม]:[คะแนนเต็ม]])*tbl_task7[[%]:[%]])</f>
        <v/>
      </c>
      <c r="IQ13" s="121" t="str">
        <f>IF(ISBLANK(tbl_task7[[คะแนนเต็ม]:[คะแนนเต็ม]]),"",(tbl_task7[81]/tbl_task7[[คะแนนเต็ม]:[คะแนนเต็ม]])*tbl_task7[[%]:[%]])</f>
        <v/>
      </c>
      <c r="IR13" s="121" t="str">
        <f>IF(ISBLANK(tbl_task7[[คะแนนเต็ม]:[คะแนนเต็ม]]),"",(tbl_task7[82]/tbl_task7[[คะแนนเต็ม]:[คะแนนเต็ม]])*tbl_task7[[%]:[%]])</f>
        <v/>
      </c>
      <c r="IS13" s="121" t="str">
        <f>IF(ISBLANK(tbl_task7[[คะแนนเต็ม]:[คะแนนเต็ม]]),"",(tbl_task7[83]/tbl_task7[[คะแนนเต็ม]:[คะแนนเต็ม]])*tbl_task7[[%]:[%]])</f>
        <v/>
      </c>
      <c r="IT13" s="121" t="str">
        <f>IF(ISBLANK(tbl_task7[[คะแนนเต็ม]:[คะแนนเต็ม]]),"",(tbl_task7[84]/tbl_task7[[คะแนนเต็ม]:[คะแนนเต็ม]])*tbl_task7[[%]:[%]])</f>
        <v/>
      </c>
      <c r="IU13" s="121" t="str">
        <f>IF(ISBLANK(tbl_task7[[คะแนนเต็ม]:[คะแนนเต็ม]]),"",(tbl_task7[85]/tbl_task7[[คะแนนเต็ม]:[คะแนนเต็ม]])*tbl_task7[[%]:[%]])</f>
        <v/>
      </c>
      <c r="IV13" s="121" t="str">
        <f>IF(ISBLANK(tbl_task7[[คะแนนเต็ม]:[คะแนนเต็ม]]),"",(tbl_task7[86]/tbl_task7[[คะแนนเต็ม]:[คะแนนเต็ม]])*tbl_task7[[%]:[%]])</f>
        <v/>
      </c>
      <c r="IW13" s="121" t="str">
        <f>IF(ISBLANK(tbl_task7[[คะแนนเต็ม]:[คะแนนเต็ม]]),"",(tbl_task7[87]/tbl_task7[[คะแนนเต็ม]:[คะแนนเต็ม]])*tbl_task7[[%]:[%]])</f>
        <v/>
      </c>
      <c r="IX13" s="121" t="str">
        <f>IF(ISBLANK(tbl_task7[[คะแนนเต็ม]:[คะแนนเต็ม]]),"",(tbl_task7[88]/tbl_task7[[คะแนนเต็ม]:[คะแนนเต็ม]])*tbl_task7[[%]:[%]])</f>
        <v/>
      </c>
      <c r="IY13" s="121" t="str">
        <f>IF(ISBLANK(tbl_task7[[คะแนนเต็ม]:[คะแนนเต็ม]]),"",(tbl_task7[89]/tbl_task7[[คะแนนเต็ม]:[คะแนนเต็ม]])*tbl_task7[[%]:[%]])</f>
        <v/>
      </c>
      <c r="IZ13" s="121" t="str">
        <f>IF(ISBLANK(tbl_task7[[คะแนนเต็ม]:[คะแนนเต็ม]]),"",(tbl_task7[90]/tbl_task7[[คะแนนเต็ม]:[คะแนนเต็ม]])*tbl_task7[[%]:[%]])</f>
        <v/>
      </c>
      <c r="JA13" s="121" t="str">
        <f>IF(ISBLANK(tbl_task7[[คะแนนเต็ม]:[คะแนนเต็ม]]),"",(tbl_task7[91]/tbl_task7[[คะแนนเต็ม]:[คะแนนเต็ม]])*tbl_task7[[%]:[%]])</f>
        <v/>
      </c>
      <c r="JB13" s="121" t="str">
        <f>IF(ISBLANK(tbl_task7[[คะแนนเต็ม]:[คะแนนเต็ม]]),"",(tbl_task7[92]/tbl_task7[[คะแนนเต็ม]:[คะแนนเต็ม]])*tbl_task7[[%]:[%]])</f>
        <v/>
      </c>
      <c r="JC13" s="121" t="str">
        <f>IF(ISBLANK(tbl_task7[[คะแนนเต็ม]:[คะแนนเต็ม]]),"",(tbl_task7[93]/tbl_task7[[คะแนนเต็ม]:[คะแนนเต็ม]])*tbl_task7[[%]:[%]])</f>
        <v/>
      </c>
      <c r="JD13" s="121" t="str">
        <f>IF(ISBLANK(tbl_task7[[คะแนนเต็ม]:[คะแนนเต็ม]]),"",(tbl_task7[94]/tbl_task7[[คะแนนเต็ม]:[คะแนนเต็ม]])*tbl_task7[[%]:[%]])</f>
        <v/>
      </c>
      <c r="JE13" s="121" t="str">
        <f>IF(ISBLANK(tbl_task7[[คะแนนเต็ม]:[คะแนนเต็ม]]),"",(tbl_task7[95]/tbl_task7[[คะแนนเต็ม]:[คะแนนเต็ม]])*tbl_task7[[%]:[%]])</f>
        <v/>
      </c>
      <c r="JF13" s="121" t="str">
        <f>IF(ISBLANK(tbl_task7[[คะแนนเต็ม]:[คะแนนเต็ม]]),"",(tbl_task7[96]/tbl_task7[[คะแนนเต็ม]:[คะแนนเต็ม]])*tbl_task7[[%]:[%]])</f>
        <v/>
      </c>
      <c r="JG13" s="121" t="str">
        <f>IF(ISBLANK(tbl_task7[[คะแนนเต็ม]:[คะแนนเต็ม]]),"",(tbl_task7[97]/tbl_task7[[คะแนนเต็ม]:[คะแนนเต็ม]])*tbl_task7[[%]:[%]])</f>
        <v/>
      </c>
      <c r="JH13" s="121" t="str">
        <f>IF(ISBLANK(tbl_task7[[คะแนนเต็ม]:[คะแนนเต็ม]]),"",(tbl_task7[98]/tbl_task7[[คะแนนเต็ม]:[คะแนนเต็ม]])*tbl_task7[[%]:[%]])</f>
        <v/>
      </c>
      <c r="JI13" s="121" t="str">
        <f>IF(ISBLANK(tbl_task7[[คะแนนเต็ม]:[คะแนนเต็ม]]),"",(tbl_task7[99]/tbl_task7[[คะแนนเต็ม]:[คะแนนเต็ม]])*tbl_task7[[%]:[%]])</f>
        <v/>
      </c>
      <c r="JJ13" s="121" t="str">
        <f>IF(ISBLANK(tbl_task7[[คะแนนเต็ม]:[คะแนนเต็ม]]),"",(tbl_task7[100]/tbl_task7[[คะแนนเต็ม]:[คะแนนเต็ม]])*tbl_task7[[%]:[%]])</f>
        <v/>
      </c>
      <c r="JK13" s="121" t="str">
        <f>IF(ISBLANK(tbl_task7[[คะแนนเต็ม]:[คะแนนเต็ม]]),"",(tbl_task7[101]/tbl_task7[[คะแนนเต็ม]:[คะแนนเต็ม]])*tbl_task7[[%]:[%]])</f>
        <v/>
      </c>
      <c r="JL13" s="121" t="str">
        <f>IF(ISBLANK(tbl_task7[[คะแนนเต็ม]:[คะแนนเต็ม]]),"",(tbl_task7[102]/tbl_task7[[คะแนนเต็ม]:[คะแนนเต็ม]])*tbl_task7[[%]:[%]])</f>
        <v/>
      </c>
      <c r="JM13" s="121" t="str">
        <f>IF(ISBLANK(tbl_task7[[คะแนนเต็ม]:[คะแนนเต็ม]]),"",(tbl_task7[103]/tbl_task7[[คะแนนเต็ม]:[คะแนนเต็ม]])*tbl_task7[[%]:[%]])</f>
        <v/>
      </c>
      <c r="JN13" s="121" t="str">
        <f>IF(ISBLANK(tbl_task7[[คะแนนเต็ม]:[คะแนนเต็ม]]),"",(tbl_task7[104]/tbl_task7[[คะแนนเต็ม]:[คะแนนเต็ม]])*tbl_task7[[%]:[%]])</f>
        <v/>
      </c>
      <c r="JO13" s="121" t="str">
        <f>IF(ISBLANK(tbl_task7[[คะแนนเต็ม]:[คะแนนเต็ม]]),"",(tbl_task7[105]/tbl_task7[[คะแนนเต็ม]:[คะแนนเต็ม]])*tbl_task7[[%]:[%]])</f>
        <v/>
      </c>
      <c r="JP13" s="121" t="str">
        <f>IF(ISBLANK(tbl_task7[[คะแนนเต็ม]:[คะแนนเต็ม]]),"",(tbl_task7[106]/tbl_task7[[คะแนนเต็ม]:[คะแนนเต็ม]])*tbl_task7[[%]:[%]])</f>
        <v/>
      </c>
      <c r="JQ13" s="121" t="str">
        <f>IF(ISBLANK(tbl_task7[[คะแนนเต็ม]:[คะแนนเต็ม]]),"",(tbl_task7[107]/tbl_task7[[คะแนนเต็ม]:[คะแนนเต็ม]])*tbl_task7[[%]:[%]])</f>
        <v/>
      </c>
      <c r="JR13" s="121" t="str">
        <f>IF(ISBLANK(tbl_task7[[คะแนนเต็ม]:[คะแนนเต็ม]]),"",(tbl_task7[108]/tbl_task7[[คะแนนเต็ม]:[คะแนนเต็ม]])*tbl_task7[[%]:[%]])</f>
        <v/>
      </c>
      <c r="JS13" s="121" t="str">
        <f>IF(ISBLANK(tbl_task7[[คะแนนเต็ม]:[คะแนนเต็ม]]),"",(tbl_task7[109]/tbl_task7[[คะแนนเต็ม]:[คะแนนเต็ม]])*tbl_task7[[%]:[%]])</f>
        <v/>
      </c>
      <c r="JT13" s="121" t="str">
        <f>IF(ISBLANK(tbl_task7[[คะแนนเต็ม]:[คะแนนเต็ม]]),"",(tbl_task7[110]/tbl_task7[[คะแนนเต็ม]:[คะแนนเต็ม]])*tbl_task7[[%]:[%]])</f>
        <v/>
      </c>
      <c r="JU13" s="121" t="str">
        <f>IF(ISBLANK(tbl_task7[[คะแนนเต็ม]:[คะแนนเต็ม]]),"",(tbl_task7[111]/tbl_task7[[คะแนนเต็ม]:[คะแนนเต็ม]])*tbl_task7[[%]:[%]])</f>
        <v/>
      </c>
      <c r="JV13" s="121" t="str">
        <f>IF(ISBLANK(tbl_task7[[คะแนนเต็ม]:[คะแนนเต็ม]]),"",(tbl_task7[112]/tbl_task7[[คะแนนเต็ม]:[คะแนนเต็ม]])*tbl_task7[[%]:[%]])</f>
        <v/>
      </c>
      <c r="JW13" s="121" t="str">
        <f>IF(ISBLANK(tbl_task7[[คะแนนเต็ม]:[คะแนนเต็ม]]),"",(tbl_task7[113]/tbl_task7[[คะแนนเต็ม]:[คะแนนเต็ม]])*tbl_task7[[%]:[%]])</f>
        <v/>
      </c>
      <c r="JX13" s="121" t="str">
        <f>IF(ISBLANK(tbl_task7[[คะแนนเต็ม]:[คะแนนเต็ม]]),"",(tbl_task7[114]/tbl_task7[[คะแนนเต็ม]:[คะแนนเต็ม]])*tbl_task7[[%]:[%]])</f>
        <v/>
      </c>
      <c r="JY13" s="121" t="str">
        <f>IF(ISBLANK(tbl_task7[[คะแนนเต็ม]:[คะแนนเต็ม]]),"",(tbl_task7[115]/tbl_task7[[คะแนนเต็ม]:[คะแนนเต็ม]])*tbl_task7[[%]:[%]])</f>
        <v/>
      </c>
      <c r="JZ13" s="121" t="str">
        <f>IF(ISBLANK(tbl_task7[[คะแนนเต็ม]:[คะแนนเต็ม]]),"",(tbl_task7[116]/tbl_task7[[คะแนนเต็ม]:[คะแนนเต็ม]])*tbl_task7[[%]:[%]])</f>
        <v/>
      </c>
      <c r="KA13" s="121" t="str">
        <f>IF(ISBLANK(tbl_task7[[คะแนนเต็ม]:[คะแนนเต็ม]]),"",(tbl_task7[117]/tbl_task7[[คะแนนเต็ม]:[คะแนนเต็ม]])*tbl_task7[[%]:[%]])</f>
        <v/>
      </c>
      <c r="KB13" s="121" t="str">
        <f>IF(ISBLANK(tbl_task7[[คะแนนเต็ม]:[คะแนนเต็ม]]),"",(tbl_task7[118]/tbl_task7[[คะแนนเต็ม]:[คะแนนเต็ม]])*tbl_task7[[%]:[%]])</f>
        <v/>
      </c>
      <c r="KC13" s="121" t="str">
        <f>IF(ISBLANK(tbl_task7[[คะแนนเต็ม]:[คะแนนเต็ม]]),"",(tbl_task7[119]/tbl_task7[[คะแนนเต็ม]:[คะแนนเต็ม]])*tbl_task7[[%]:[%]])</f>
        <v/>
      </c>
      <c r="KD13" s="121" t="str">
        <f>IF(ISBLANK(tbl_task7[[คะแนนเต็ม]:[คะแนนเต็ม]]),"",(tbl_task7[120]/tbl_task7[[คะแนนเต็ม]:[คะแนนเต็ม]])*tbl_task7[[%]:[%]])</f>
        <v/>
      </c>
      <c r="KE13" s="121" t="str">
        <f>IF(ISBLANK(tbl_task7[[คะแนนเต็ม]:[คะแนนเต็ม]]),"",(tbl_task7[121]/tbl_task7[[คะแนนเต็ม]:[คะแนนเต็ม]])*tbl_task7[[%]:[%]])</f>
        <v/>
      </c>
      <c r="KF13" s="121" t="str">
        <f>IF(ISBLANK(tbl_task7[[คะแนนเต็ม]:[คะแนนเต็ม]]),"",(tbl_task7[122]/tbl_task7[[คะแนนเต็ม]:[คะแนนเต็ม]])*tbl_task7[[%]:[%]])</f>
        <v/>
      </c>
      <c r="KG13" s="121" t="str">
        <f>IF(ISBLANK(tbl_task7[[คะแนนเต็ม]:[คะแนนเต็ม]]),"",(tbl_task7[123]/tbl_task7[[คะแนนเต็ม]:[คะแนนเต็ม]])*tbl_task7[[%]:[%]])</f>
        <v/>
      </c>
      <c r="KH13" s="121" t="str">
        <f>IF(ISBLANK(tbl_task7[[คะแนนเต็ม]:[คะแนนเต็ม]]),"",(tbl_task7[124]/tbl_task7[[คะแนนเต็ม]:[คะแนนเต็ม]])*tbl_task7[[%]:[%]])</f>
        <v/>
      </c>
      <c r="KI13" s="121" t="str">
        <f>IF(ISBLANK(tbl_task7[[คะแนนเต็ม]:[คะแนนเต็ม]]),"",(tbl_task7[125]/tbl_task7[[คะแนนเต็ม]:[คะแนนเต็ม]])*tbl_task7[[%]:[%]])</f>
        <v/>
      </c>
      <c r="KJ13" s="121" t="str">
        <f>IF(ISBLANK(tbl_task7[[คะแนนเต็ม]:[คะแนนเต็ม]]),"",(tbl_task7[126]/tbl_task7[[คะแนนเต็ม]:[คะแนนเต็ม]])*tbl_task7[[%]:[%]])</f>
        <v/>
      </c>
      <c r="KK13" s="121" t="str">
        <f>IF(ISBLANK(tbl_task7[[คะแนนเต็ม]:[คะแนนเต็ม]]),"",(tbl_task7[127]/tbl_task7[[คะแนนเต็ม]:[คะแนนเต็ม]])*tbl_task7[[%]:[%]])</f>
        <v/>
      </c>
      <c r="KL13" s="121" t="str">
        <f>IF(ISBLANK(tbl_task7[[คะแนนเต็ม]:[คะแนนเต็ม]]),"",(tbl_task7[128]/tbl_task7[[คะแนนเต็ม]:[คะแนนเต็ม]])*tbl_task7[[%]:[%]])</f>
        <v/>
      </c>
      <c r="KM13" s="121" t="str">
        <f>IF(ISBLANK(tbl_task7[[คะแนนเต็ม]:[คะแนนเต็ม]]),"",(tbl_task7[129]/tbl_task7[[คะแนนเต็ม]:[คะแนนเต็ม]])*tbl_task7[[%]:[%]])</f>
        <v/>
      </c>
      <c r="KN13" s="121" t="str">
        <f>IF(ISBLANK(tbl_task7[[คะแนนเต็ม]:[คะแนนเต็ม]]),"",(tbl_task7[130]/tbl_task7[[คะแนนเต็ม]:[คะแนนเต็ม]])*tbl_task7[[%]:[%]])</f>
        <v/>
      </c>
      <c r="KO13" s="121" t="str">
        <f>IF(ISBLANK(tbl_task7[[คะแนนเต็ม]:[คะแนนเต็ม]]),"",(tbl_task7[131]/tbl_task7[[คะแนนเต็ม]:[คะแนนเต็ม]])*tbl_task7[[%]:[%]])</f>
        <v/>
      </c>
      <c r="KP13" s="121" t="str">
        <f>IF(ISBLANK(tbl_task7[[คะแนนเต็ม]:[คะแนนเต็ม]]),"",(tbl_task7[132]/tbl_task7[[คะแนนเต็ม]:[คะแนนเต็ม]])*tbl_task7[[%]:[%]])</f>
        <v/>
      </c>
      <c r="KQ13" s="121" t="str">
        <f>IF(ISBLANK(tbl_task7[[คะแนนเต็ม]:[คะแนนเต็ม]]),"",(tbl_task7[133]/tbl_task7[[คะแนนเต็ม]:[คะแนนเต็ม]])*tbl_task7[[%]:[%]])</f>
        <v/>
      </c>
      <c r="KR13" s="121" t="str">
        <f>IF(ISBLANK(tbl_task7[[คะแนนเต็ม]:[คะแนนเต็ม]]),"",(tbl_task7[134]/tbl_task7[[คะแนนเต็ม]:[คะแนนเต็ม]])*tbl_task7[[%]:[%]])</f>
        <v/>
      </c>
      <c r="KS13" s="121" t="str">
        <f>IF(ISBLANK(tbl_task7[[คะแนนเต็ม]:[คะแนนเต็ม]]),"",(tbl_task7[135]/tbl_task7[[คะแนนเต็ม]:[คะแนนเต็ม]])*tbl_task7[[%]:[%]])</f>
        <v/>
      </c>
      <c r="KT13" s="121" t="str">
        <f>IF(ISBLANK(tbl_task7[[คะแนนเต็ม]:[คะแนนเต็ม]]),"",(tbl_task7[136]/tbl_task7[[คะแนนเต็ม]:[คะแนนเต็ม]])*tbl_task7[[%]:[%]])</f>
        <v/>
      </c>
      <c r="KU13" s="121" t="str">
        <f>IF(ISBLANK(tbl_task7[[คะแนนเต็ม]:[คะแนนเต็ม]]),"",(tbl_task7[137]/tbl_task7[[คะแนนเต็ม]:[คะแนนเต็ม]])*tbl_task7[[%]:[%]])</f>
        <v/>
      </c>
      <c r="KV13" s="121" t="str">
        <f>IF(ISBLANK(tbl_task7[[คะแนนเต็ม]:[คะแนนเต็ม]]),"",(tbl_task7[138]/tbl_task7[[คะแนนเต็ม]:[คะแนนเต็ม]])*tbl_task7[[%]:[%]])</f>
        <v/>
      </c>
      <c r="KW13" s="121" t="str">
        <f>IF(ISBLANK(tbl_task7[[คะแนนเต็ม]:[คะแนนเต็ม]]),"",(tbl_task7[139]/tbl_task7[[คะแนนเต็ม]:[คะแนนเต็ม]])*tbl_task7[[%]:[%]])</f>
        <v/>
      </c>
      <c r="KX13" s="121" t="str">
        <f>IF(ISBLANK(tbl_task7[[คะแนนเต็ม]:[คะแนนเต็ม]]),"",(tbl_task7[140]/tbl_task7[[คะแนนเต็ม]:[คะแนนเต็ม]])*tbl_task7[[%]:[%]])</f>
        <v/>
      </c>
      <c r="KY13" s="121" t="str">
        <f>IF(ISBLANK(tbl_task7[[คะแนนเต็ม]:[คะแนนเต็ม]]),"",(tbl_task7[141]/tbl_task7[[คะแนนเต็ม]:[คะแนนเต็ม]])*tbl_task7[[%]:[%]])</f>
        <v/>
      </c>
      <c r="KZ13" s="121" t="str">
        <f>IF(ISBLANK(tbl_task7[[คะแนนเต็ม]:[คะแนนเต็ม]]),"",(tbl_task7[142]/tbl_task7[[คะแนนเต็ม]:[คะแนนเต็ม]])*tbl_task7[[%]:[%]])</f>
        <v/>
      </c>
      <c r="LA13" s="121" t="str">
        <f>IF(ISBLANK(tbl_task7[[คะแนนเต็ม]:[คะแนนเต็ม]]),"",(tbl_task7[143]/tbl_task7[[คะแนนเต็ม]:[คะแนนเต็ม]])*tbl_task7[[%]:[%]])</f>
        <v/>
      </c>
      <c r="LB13" s="121" t="str">
        <f>IF(ISBLANK(tbl_task7[[คะแนนเต็ม]:[คะแนนเต็ม]]),"",(tbl_task7[144]/tbl_task7[[คะแนนเต็ม]:[คะแนนเต็ม]])*tbl_task7[[%]:[%]])</f>
        <v/>
      </c>
      <c r="LC13" s="121" t="str">
        <f>IF(ISBLANK(tbl_task7[[คะแนนเต็ม]:[คะแนนเต็ม]]),"",(tbl_task7[145]/tbl_task7[[คะแนนเต็ม]:[คะแนนเต็ม]])*tbl_task7[[%]:[%]])</f>
        <v/>
      </c>
      <c r="LD13" s="121" t="str">
        <f>IF(ISBLANK(tbl_task7[[คะแนนเต็ม]:[คะแนนเต็ม]]),"",(tbl_task7[146]/tbl_task7[[คะแนนเต็ม]:[คะแนนเต็ม]])*tbl_task7[[%]:[%]])</f>
        <v/>
      </c>
      <c r="LE13" s="121" t="str">
        <f>IF(ISBLANK(tbl_task7[[คะแนนเต็ม]:[คะแนนเต็ม]]),"",(tbl_task7[147]/tbl_task7[[คะแนนเต็ม]:[คะแนนเต็ม]])*tbl_task7[[%]:[%]])</f>
        <v/>
      </c>
      <c r="LF13" s="121" t="str">
        <f>IF(ISBLANK(tbl_task7[[คะแนนเต็ม]:[คะแนนเต็ม]]),"",(tbl_task7[148]/tbl_task7[[คะแนนเต็ม]:[คะแนนเต็ม]])*tbl_task7[[%]:[%]])</f>
        <v/>
      </c>
      <c r="LG13" s="121" t="str">
        <f>IF(ISBLANK(tbl_task7[[คะแนนเต็ม]:[คะแนนเต็ม]]),"",(tbl_task7[149]/tbl_task7[[คะแนนเต็ม]:[คะแนนเต็ม]])*tbl_task7[[%]:[%]])</f>
        <v/>
      </c>
      <c r="LH13" s="121" t="str">
        <f>IF(ISBLANK(tbl_task7[[คะแนนเต็ม]:[คะแนนเต็ม]]),"",(tbl_task7[150]/tbl_task7[[คะแนนเต็ม]:[คะแนนเต็ม]])*tbl_task7[[%]:[%]])</f>
        <v/>
      </c>
      <c r="LI13" s="121" t="str">
        <f>IF(ISBLANK(tbl_task7[[คะแนนเต็ม]:[คะแนนเต็ม]]),"",(tbl_task7[151]/tbl_task7[[คะแนนเต็ม]:[คะแนนเต็ม]])*tbl_task7[[%]:[%]])</f>
        <v/>
      </c>
      <c r="LJ13" s="121" t="str">
        <f>IF(ISBLANK(tbl_task7[[คะแนนเต็ม]:[คะแนนเต็ม]]),"",(tbl_task7[152]/tbl_task7[[คะแนนเต็ม]:[คะแนนเต็ม]])*tbl_task7[[%]:[%]])</f>
        <v/>
      </c>
      <c r="LK13" s="121" t="str">
        <f>IF(ISBLANK(tbl_task7[[คะแนนเต็ม]:[คะแนนเต็ม]]),"",(tbl_task7[153]/tbl_task7[[คะแนนเต็ม]:[คะแนนเต็ม]])*tbl_task7[[%]:[%]])</f>
        <v/>
      </c>
      <c r="LL13" s="121" t="str">
        <f>IF(ISBLANK(tbl_task7[[คะแนนเต็ม]:[คะแนนเต็ม]]),"",(tbl_task7[154]/tbl_task7[[คะแนนเต็ม]:[คะแนนเต็ม]])*tbl_task7[[%]:[%]])</f>
        <v/>
      </c>
      <c r="LM13" s="121" t="str">
        <f>IF(ISBLANK(tbl_task7[[คะแนนเต็ม]:[คะแนนเต็ม]]),"",(tbl_task7[155]/tbl_task7[[คะแนนเต็ม]:[คะแนนเต็ม]])*tbl_task7[[%]:[%]])</f>
        <v/>
      </c>
      <c r="LN13" s="121" t="str">
        <f>IF(ISBLANK(tbl_task7[[คะแนนเต็ม]:[คะแนนเต็ม]]),"",(tbl_task7[156]/tbl_task7[[คะแนนเต็ม]:[คะแนนเต็ม]])*tbl_task7[[%]:[%]])</f>
        <v/>
      </c>
      <c r="LO13" s="121" t="str">
        <f>IF(ISBLANK(tbl_task7[[คะแนนเต็ม]:[คะแนนเต็ม]]),"",(tbl_task7[157]/tbl_task7[[คะแนนเต็ม]:[คะแนนเต็ม]])*tbl_task7[[%]:[%]])</f>
        <v/>
      </c>
      <c r="LP13" s="121" t="str">
        <f>IF(ISBLANK(tbl_task7[[คะแนนเต็ม]:[คะแนนเต็ม]]),"",(tbl_task7[158]/tbl_task7[[คะแนนเต็ม]:[คะแนนเต็ม]])*tbl_task7[[%]:[%]])</f>
        <v/>
      </c>
      <c r="LQ13" s="121" t="str">
        <f>IF(ISBLANK(tbl_task7[[คะแนนเต็ม]:[คะแนนเต็ม]]),"",(tbl_task7[159]/tbl_task7[[คะแนนเต็ม]:[คะแนนเต็ม]])*tbl_task7[[%]:[%]])</f>
        <v/>
      </c>
      <c r="LR13" s="121" t="str">
        <f>IF(ISBLANK(tbl_task7[[คะแนนเต็ม]:[คะแนนเต็ม]]),"",(tbl_task7[160]/tbl_task7[[คะแนนเต็ม]:[คะแนนเต็ม]])*tbl_task7[[%]:[%]])</f>
        <v/>
      </c>
      <c r="LS13" s="121" t="str">
        <f>IF(ISBLANK(tbl_task7[[คะแนนเต็ม]:[คะแนนเต็ม]]),"",(tbl_task7[161]/tbl_task7[[คะแนนเต็ม]:[คะแนนเต็ม]])*tbl_task7[[%]:[%]])</f>
        <v/>
      </c>
      <c r="LT13" s="121" t="str">
        <f>IF(ISBLANK(tbl_task7[[คะแนนเต็ม]:[คะแนนเต็ม]]),"",(tbl_task7[162]/tbl_task7[[คะแนนเต็ม]:[คะแนนเต็ม]])*tbl_task7[[%]:[%]])</f>
        <v/>
      </c>
      <c r="LU13" s="121" t="str">
        <f>IF(ISBLANK(tbl_task7[[คะแนนเต็ม]:[คะแนนเต็ม]]),"",(tbl_task7[163]/tbl_task7[[คะแนนเต็ม]:[คะแนนเต็ม]])*tbl_task7[[%]:[%]])</f>
        <v/>
      </c>
      <c r="LV13" s="121" t="str">
        <f>IF(ISBLANK(tbl_task7[[คะแนนเต็ม]:[คะแนนเต็ม]]),"",(tbl_task7[164]/tbl_task7[[คะแนนเต็ม]:[คะแนนเต็ม]])*tbl_task7[[%]:[%]])</f>
        <v/>
      </c>
      <c r="LW13" s="121" t="str">
        <f>IF(ISBLANK(tbl_task7[[คะแนนเต็ม]:[คะแนนเต็ม]]),"",(tbl_task7[165]/tbl_task7[[คะแนนเต็ม]:[คะแนนเต็ม]])*tbl_task7[[%]:[%]])</f>
        <v/>
      </c>
    </row>
    <row r="14" spans="1:335" ht="24" customHeight="1" x14ac:dyDescent="0.25">
      <c r="A14" s="24">
        <v>11</v>
      </c>
      <c r="B14" s="20"/>
      <c r="C14" s="5" t="str">
        <f>IF(ISBLANK(B14),"",VLOOKUP(B14,tbl_PLOs[],2,0))</f>
        <v/>
      </c>
      <c r="D14" s="102"/>
      <c r="E14" s="106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21" t="str">
        <f>IF(ISBLANK(tbl_task7[[คะแนนเต็ม]:[คะแนนเต็ม]]),"",(tbl_task7[1]/tbl_task7[[คะแนนเต็ม]:[คะแนนเต็ม]])*tbl_task7[[%]:[%]])</f>
        <v/>
      </c>
      <c r="FP14" s="121" t="str">
        <f>IF(ISBLANK(tbl_task7[[คะแนนเต็ม]:[คะแนนเต็ม]]),"",(tbl_task7[2]/tbl_task7[[คะแนนเต็ม]:[คะแนนเต็ม]])*tbl_task7[[%]:[%]])</f>
        <v/>
      </c>
      <c r="FQ14" s="121" t="str">
        <f>IF(ISBLANK(tbl_task7[[คะแนนเต็ม]:[คะแนนเต็ม]]),"",(tbl_task7[3]/tbl_task7[[คะแนนเต็ม]:[คะแนนเต็ม]])*tbl_task7[[%]:[%]])</f>
        <v/>
      </c>
      <c r="FR14" s="121" t="str">
        <f>IF(ISBLANK(tbl_task7[[คะแนนเต็ม]:[คะแนนเต็ม]]),"",(tbl_task7[4]/tbl_task7[[คะแนนเต็ม]:[คะแนนเต็ม]])*tbl_task7[[%]:[%]])</f>
        <v/>
      </c>
      <c r="FS14" s="121" t="str">
        <f>IF(ISBLANK(tbl_task7[[คะแนนเต็ม]:[คะแนนเต็ม]]),"",(tbl_task7[5]/tbl_task7[[คะแนนเต็ม]:[คะแนนเต็ม]])*tbl_task7[[%]:[%]])</f>
        <v/>
      </c>
      <c r="FT14" s="121" t="str">
        <f>IF(ISBLANK(tbl_task7[[คะแนนเต็ม]:[คะแนนเต็ม]]),"",(tbl_task7[6]/tbl_task7[[คะแนนเต็ม]:[คะแนนเต็ม]])*tbl_task7[[%]:[%]])</f>
        <v/>
      </c>
      <c r="FU14" s="121" t="str">
        <f>IF(ISBLANK(tbl_task7[[คะแนนเต็ม]:[คะแนนเต็ม]]),"",(tbl_task7[7]/tbl_task7[[คะแนนเต็ม]:[คะแนนเต็ม]])*tbl_task7[[%]:[%]])</f>
        <v/>
      </c>
      <c r="FV14" s="121" t="str">
        <f>IF(ISBLANK(tbl_task7[[คะแนนเต็ม]:[คะแนนเต็ม]]),"",(tbl_task7[8]/tbl_task7[[คะแนนเต็ม]:[คะแนนเต็ม]])*tbl_task7[[%]:[%]])</f>
        <v/>
      </c>
      <c r="FW14" s="121" t="str">
        <f>IF(ISBLANK(tbl_task7[[คะแนนเต็ม]:[คะแนนเต็ม]]),"",(tbl_task7[9]/tbl_task7[[คะแนนเต็ม]:[คะแนนเต็ม]])*tbl_task7[[%]:[%]])</f>
        <v/>
      </c>
      <c r="FX14" s="121" t="str">
        <f>IF(ISBLANK(tbl_task7[[คะแนนเต็ม]:[คะแนนเต็ม]]),"",(tbl_task7[10]/tbl_task7[[คะแนนเต็ม]:[คะแนนเต็ม]])*tbl_task7[[%]:[%]])</f>
        <v/>
      </c>
      <c r="FY14" s="121" t="str">
        <f>IF(ISBLANK(tbl_task7[[คะแนนเต็ม]:[คะแนนเต็ม]]),"",(tbl_task7[11]/tbl_task7[[คะแนนเต็ม]:[คะแนนเต็ม]])*tbl_task7[[%]:[%]])</f>
        <v/>
      </c>
      <c r="FZ14" s="121" t="str">
        <f>IF(ISBLANK(tbl_task7[[คะแนนเต็ม]:[คะแนนเต็ม]]),"",(tbl_task7[12]/tbl_task7[[คะแนนเต็ม]:[คะแนนเต็ม]])*tbl_task7[[%]:[%]])</f>
        <v/>
      </c>
      <c r="GA14" s="121" t="str">
        <f>IF(ISBLANK(tbl_task7[[คะแนนเต็ม]:[คะแนนเต็ม]]),"",(tbl_task7[13]/tbl_task7[[คะแนนเต็ม]:[คะแนนเต็ม]])*tbl_task7[[%]:[%]])</f>
        <v/>
      </c>
      <c r="GB14" s="121" t="str">
        <f>IF(ISBLANK(tbl_task7[[คะแนนเต็ม]:[คะแนนเต็ม]]),"",(tbl_task7[14]/tbl_task7[[คะแนนเต็ม]:[คะแนนเต็ม]])*tbl_task7[[%]:[%]])</f>
        <v/>
      </c>
      <c r="GC14" s="121" t="str">
        <f>IF(ISBLANK(tbl_task7[[คะแนนเต็ม]:[คะแนนเต็ม]]),"",(tbl_task7[15]/tbl_task7[[คะแนนเต็ม]:[คะแนนเต็ม]])*tbl_task7[[%]:[%]])</f>
        <v/>
      </c>
      <c r="GD14" s="121" t="str">
        <f>IF(ISBLANK(tbl_task7[[คะแนนเต็ม]:[คะแนนเต็ม]]),"",(tbl_task7[16]/tbl_task7[[คะแนนเต็ม]:[คะแนนเต็ม]])*tbl_task7[[%]:[%]])</f>
        <v/>
      </c>
      <c r="GE14" s="121" t="str">
        <f>IF(ISBLANK(tbl_task7[[คะแนนเต็ม]:[คะแนนเต็ม]]),"",(tbl_task7[17]/tbl_task7[[คะแนนเต็ม]:[คะแนนเต็ม]])*tbl_task7[[%]:[%]])</f>
        <v/>
      </c>
      <c r="GF14" s="121" t="str">
        <f>IF(ISBLANK(tbl_task7[[คะแนนเต็ม]:[คะแนนเต็ม]]),"",(tbl_task7[18]/tbl_task7[[คะแนนเต็ม]:[คะแนนเต็ม]])*tbl_task7[[%]:[%]])</f>
        <v/>
      </c>
      <c r="GG14" s="121" t="str">
        <f>IF(ISBLANK(tbl_task7[[คะแนนเต็ม]:[คะแนนเต็ม]]),"",(tbl_task7[19]/tbl_task7[[คะแนนเต็ม]:[คะแนนเต็ม]])*tbl_task7[[%]:[%]])</f>
        <v/>
      </c>
      <c r="GH14" s="121" t="str">
        <f>IF(ISBLANK(tbl_task7[[คะแนนเต็ม]:[คะแนนเต็ม]]),"",(tbl_task7[20]/tbl_task7[[คะแนนเต็ม]:[คะแนนเต็ม]])*tbl_task7[[%]:[%]])</f>
        <v/>
      </c>
      <c r="GI14" s="121" t="str">
        <f>IF(ISBLANK(tbl_task7[[คะแนนเต็ม]:[คะแนนเต็ม]]),"",(tbl_task7[21]/tbl_task7[[คะแนนเต็ม]:[คะแนนเต็ม]])*tbl_task7[[%]:[%]])</f>
        <v/>
      </c>
      <c r="GJ14" s="121" t="str">
        <f>IF(ISBLANK(tbl_task7[[คะแนนเต็ม]:[คะแนนเต็ม]]),"",(tbl_task7[22]/tbl_task7[[คะแนนเต็ม]:[คะแนนเต็ม]])*tbl_task7[[%]:[%]])</f>
        <v/>
      </c>
      <c r="GK14" s="121" t="str">
        <f>IF(ISBLANK(tbl_task7[[คะแนนเต็ม]:[คะแนนเต็ม]]),"",(tbl_task7[23]/tbl_task7[[คะแนนเต็ม]:[คะแนนเต็ม]])*tbl_task7[[%]:[%]])</f>
        <v/>
      </c>
      <c r="GL14" s="121" t="str">
        <f>IF(ISBLANK(tbl_task7[[คะแนนเต็ม]:[คะแนนเต็ม]]),"",(tbl_task7[24]/tbl_task7[[คะแนนเต็ม]:[คะแนนเต็ม]])*tbl_task7[[%]:[%]])</f>
        <v/>
      </c>
      <c r="GM14" s="121" t="str">
        <f>IF(ISBLANK(tbl_task7[[คะแนนเต็ม]:[คะแนนเต็ม]]),"",(tbl_task7[25]/tbl_task7[[คะแนนเต็ม]:[คะแนนเต็ม]])*tbl_task7[[%]:[%]])</f>
        <v/>
      </c>
      <c r="GN14" s="121" t="str">
        <f>IF(ISBLANK(tbl_task7[[คะแนนเต็ม]:[คะแนนเต็ม]]),"",(tbl_task7[26]/tbl_task7[[คะแนนเต็ม]:[คะแนนเต็ม]])*tbl_task7[[%]:[%]])</f>
        <v/>
      </c>
      <c r="GO14" s="121" t="str">
        <f>IF(ISBLANK(tbl_task7[[คะแนนเต็ม]:[คะแนนเต็ม]]),"",(tbl_task7[27]/tbl_task7[[คะแนนเต็ม]:[คะแนนเต็ม]])*tbl_task7[[%]:[%]])</f>
        <v/>
      </c>
      <c r="GP14" s="121" t="str">
        <f>IF(ISBLANK(tbl_task7[[คะแนนเต็ม]:[คะแนนเต็ม]]),"",(tbl_task7[28]/tbl_task7[[คะแนนเต็ม]:[คะแนนเต็ม]])*tbl_task7[[%]:[%]])</f>
        <v/>
      </c>
      <c r="GQ14" s="121" t="str">
        <f>IF(ISBLANK(tbl_task7[[คะแนนเต็ม]:[คะแนนเต็ม]]),"",(tbl_task7[29]/tbl_task7[[คะแนนเต็ม]:[คะแนนเต็ม]])*tbl_task7[[%]:[%]])</f>
        <v/>
      </c>
      <c r="GR14" s="121" t="str">
        <f>IF(ISBLANK(tbl_task7[[คะแนนเต็ม]:[คะแนนเต็ม]]),"",(tbl_task7[30]/tbl_task7[[คะแนนเต็ม]:[คะแนนเต็ม]])*tbl_task7[[%]:[%]])</f>
        <v/>
      </c>
      <c r="GS14" s="121" t="str">
        <f>IF(ISBLANK(tbl_task7[[คะแนนเต็ม]:[คะแนนเต็ม]]),"",(tbl_task7[31]/tbl_task7[[คะแนนเต็ม]:[คะแนนเต็ม]])*tbl_task7[[%]:[%]])</f>
        <v/>
      </c>
      <c r="GT14" s="121" t="str">
        <f>IF(ISBLANK(tbl_task7[[คะแนนเต็ม]:[คะแนนเต็ม]]),"",(tbl_task7[32]/tbl_task7[[คะแนนเต็ม]:[คะแนนเต็ม]])*tbl_task7[[%]:[%]])</f>
        <v/>
      </c>
      <c r="GU14" s="121" t="str">
        <f>IF(ISBLANK(tbl_task7[[คะแนนเต็ม]:[คะแนนเต็ม]]),"",(tbl_task7[33]/tbl_task7[[คะแนนเต็ม]:[คะแนนเต็ม]])*tbl_task7[[%]:[%]])</f>
        <v/>
      </c>
      <c r="GV14" s="121" t="str">
        <f>IF(ISBLANK(tbl_task7[[คะแนนเต็ม]:[คะแนนเต็ม]]),"",(tbl_task7[34]/tbl_task7[[คะแนนเต็ม]:[คะแนนเต็ม]])*tbl_task7[[%]:[%]])</f>
        <v/>
      </c>
      <c r="GW14" s="121" t="str">
        <f>IF(ISBLANK(tbl_task7[[คะแนนเต็ม]:[คะแนนเต็ม]]),"",(tbl_task7[35]/tbl_task7[[คะแนนเต็ม]:[คะแนนเต็ม]])*tbl_task7[[%]:[%]])</f>
        <v/>
      </c>
      <c r="GX14" s="121" t="str">
        <f>IF(ISBLANK(tbl_task7[[คะแนนเต็ม]:[คะแนนเต็ม]]),"",(tbl_task7[36]/tbl_task7[[คะแนนเต็ม]:[คะแนนเต็ม]])*tbl_task7[[%]:[%]])</f>
        <v/>
      </c>
      <c r="GY14" s="121" t="str">
        <f>IF(ISBLANK(tbl_task7[[คะแนนเต็ม]:[คะแนนเต็ม]]),"",(tbl_task7[37]/tbl_task7[[คะแนนเต็ม]:[คะแนนเต็ม]])*tbl_task7[[%]:[%]])</f>
        <v/>
      </c>
      <c r="GZ14" s="121" t="str">
        <f>IF(ISBLANK(tbl_task7[[คะแนนเต็ม]:[คะแนนเต็ม]]),"",(tbl_task7[38]/tbl_task7[[คะแนนเต็ม]:[คะแนนเต็ม]])*tbl_task7[[%]:[%]])</f>
        <v/>
      </c>
      <c r="HA14" s="121" t="str">
        <f>IF(ISBLANK(tbl_task7[[คะแนนเต็ม]:[คะแนนเต็ม]]),"",(tbl_task7[39]/tbl_task7[[คะแนนเต็ม]:[คะแนนเต็ม]])*tbl_task7[[%]:[%]])</f>
        <v/>
      </c>
      <c r="HB14" s="121" t="str">
        <f>IF(ISBLANK(tbl_task7[[คะแนนเต็ม]:[คะแนนเต็ม]]),"",(tbl_task7[40]/tbl_task7[[คะแนนเต็ม]:[คะแนนเต็ม]])*tbl_task7[[%]:[%]])</f>
        <v/>
      </c>
      <c r="HC14" s="121" t="str">
        <f>IF(ISBLANK(tbl_task7[[คะแนนเต็ม]:[คะแนนเต็ม]]),"",(tbl_task7[41]/tbl_task7[[คะแนนเต็ม]:[คะแนนเต็ม]])*tbl_task7[[%]:[%]])</f>
        <v/>
      </c>
      <c r="HD14" s="121" t="str">
        <f>IF(ISBLANK(tbl_task7[[คะแนนเต็ม]:[คะแนนเต็ม]]),"",(tbl_task7[42]/tbl_task7[[คะแนนเต็ม]:[คะแนนเต็ม]])*tbl_task7[[%]:[%]])</f>
        <v/>
      </c>
      <c r="HE14" s="121" t="str">
        <f>IF(ISBLANK(tbl_task7[[คะแนนเต็ม]:[คะแนนเต็ม]]),"",(tbl_task7[43]/tbl_task7[[คะแนนเต็ม]:[คะแนนเต็ม]])*tbl_task7[[%]:[%]])</f>
        <v/>
      </c>
      <c r="HF14" s="121" t="str">
        <f>IF(ISBLANK(tbl_task7[[คะแนนเต็ม]:[คะแนนเต็ม]]),"",(tbl_task7[44]/tbl_task7[[คะแนนเต็ม]:[คะแนนเต็ม]])*tbl_task7[[%]:[%]])</f>
        <v/>
      </c>
      <c r="HG14" s="121" t="str">
        <f>IF(ISBLANK(tbl_task7[[คะแนนเต็ม]:[คะแนนเต็ม]]),"",(tbl_task7[45]/tbl_task7[[คะแนนเต็ม]:[คะแนนเต็ม]])*tbl_task7[[%]:[%]])</f>
        <v/>
      </c>
      <c r="HH14" s="121" t="str">
        <f>IF(ISBLANK(tbl_task7[[คะแนนเต็ม]:[คะแนนเต็ม]]),"",(tbl_task7[46]/tbl_task7[[คะแนนเต็ม]:[คะแนนเต็ม]])*tbl_task7[[%]:[%]])</f>
        <v/>
      </c>
      <c r="HI14" s="121" t="str">
        <f>IF(ISBLANK(tbl_task7[[คะแนนเต็ม]:[คะแนนเต็ม]]),"",(tbl_task7[47]/tbl_task7[[คะแนนเต็ม]:[คะแนนเต็ม]])*tbl_task7[[%]:[%]])</f>
        <v/>
      </c>
      <c r="HJ14" s="121" t="str">
        <f>IF(ISBLANK(tbl_task7[[คะแนนเต็ม]:[คะแนนเต็ม]]),"",(tbl_task7[48]/tbl_task7[[คะแนนเต็ม]:[คะแนนเต็ม]])*tbl_task7[[%]:[%]])</f>
        <v/>
      </c>
      <c r="HK14" s="121" t="str">
        <f>IF(ISBLANK(tbl_task7[[คะแนนเต็ม]:[คะแนนเต็ม]]),"",(tbl_task7[49]/tbl_task7[[คะแนนเต็ม]:[คะแนนเต็ม]])*tbl_task7[[%]:[%]])</f>
        <v/>
      </c>
      <c r="HL14" s="121" t="str">
        <f>IF(ISBLANK(tbl_task7[[คะแนนเต็ม]:[คะแนนเต็ม]]),"",(tbl_task7[50]/tbl_task7[[คะแนนเต็ม]:[คะแนนเต็ม]])*tbl_task7[[%]:[%]])</f>
        <v/>
      </c>
      <c r="HM14" s="121" t="str">
        <f>IF(ISBLANK(tbl_task7[[คะแนนเต็ม]:[คะแนนเต็ม]]),"",(tbl_task7[51]/tbl_task7[[คะแนนเต็ม]:[คะแนนเต็ม]])*tbl_task7[[%]:[%]])</f>
        <v/>
      </c>
      <c r="HN14" s="121" t="str">
        <f>IF(ISBLANK(tbl_task7[[คะแนนเต็ม]:[คะแนนเต็ม]]),"",(tbl_task7[52]/tbl_task7[[คะแนนเต็ม]:[คะแนนเต็ม]])*tbl_task7[[%]:[%]])</f>
        <v/>
      </c>
      <c r="HO14" s="121" t="str">
        <f>IF(ISBLANK(tbl_task7[[คะแนนเต็ม]:[คะแนนเต็ม]]),"",(tbl_task7[53]/tbl_task7[[คะแนนเต็ม]:[คะแนนเต็ม]])*tbl_task7[[%]:[%]])</f>
        <v/>
      </c>
      <c r="HP14" s="121" t="str">
        <f>IF(ISBLANK(tbl_task7[[คะแนนเต็ม]:[คะแนนเต็ม]]),"",(tbl_task7[54]/tbl_task7[[คะแนนเต็ม]:[คะแนนเต็ม]])*tbl_task7[[%]:[%]])</f>
        <v/>
      </c>
      <c r="HQ14" s="121" t="str">
        <f>IF(ISBLANK(tbl_task7[[คะแนนเต็ม]:[คะแนนเต็ม]]),"",(tbl_task7[55]/tbl_task7[[คะแนนเต็ม]:[คะแนนเต็ม]])*tbl_task7[[%]:[%]])</f>
        <v/>
      </c>
      <c r="HR14" s="121" t="str">
        <f>IF(ISBLANK(tbl_task7[[คะแนนเต็ม]:[คะแนนเต็ม]]),"",(tbl_task7[56]/tbl_task7[[คะแนนเต็ม]:[คะแนนเต็ม]])*tbl_task7[[%]:[%]])</f>
        <v/>
      </c>
      <c r="HS14" s="121" t="str">
        <f>IF(ISBLANK(tbl_task7[[คะแนนเต็ม]:[คะแนนเต็ม]]),"",(tbl_task7[57]/tbl_task7[[คะแนนเต็ม]:[คะแนนเต็ม]])*tbl_task7[[%]:[%]])</f>
        <v/>
      </c>
      <c r="HT14" s="121" t="str">
        <f>IF(ISBLANK(tbl_task7[[คะแนนเต็ม]:[คะแนนเต็ม]]),"",(tbl_task7[58]/tbl_task7[[คะแนนเต็ม]:[คะแนนเต็ม]])*tbl_task7[[%]:[%]])</f>
        <v/>
      </c>
      <c r="HU14" s="121" t="str">
        <f>IF(ISBLANK(tbl_task7[[คะแนนเต็ม]:[คะแนนเต็ม]]),"",(tbl_task7[59]/tbl_task7[[คะแนนเต็ม]:[คะแนนเต็ม]])*tbl_task7[[%]:[%]])</f>
        <v/>
      </c>
      <c r="HV14" s="121" t="str">
        <f>IF(ISBLANK(tbl_task7[[คะแนนเต็ม]:[คะแนนเต็ม]]),"",(tbl_task7[60]/tbl_task7[[คะแนนเต็ม]:[คะแนนเต็ม]])*tbl_task7[[%]:[%]])</f>
        <v/>
      </c>
      <c r="HW14" s="121" t="str">
        <f>IF(ISBLANK(tbl_task7[[คะแนนเต็ม]:[คะแนนเต็ม]]),"",(tbl_task7[61]/tbl_task7[[คะแนนเต็ม]:[คะแนนเต็ม]])*tbl_task7[[%]:[%]])</f>
        <v/>
      </c>
      <c r="HX14" s="121" t="str">
        <f>IF(ISBLANK(tbl_task7[[คะแนนเต็ม]:[คะแนนเต็ม]]),"",(tbl_task7[62]/tbl_task7[[คะแนนเต็ม]:[คะแนนเต็ม]])*tbl_task7[[%]:[%]])</f>
        <v/>
      </c>
      <c r="HY14" s="121" t="str">
        <f>IF(ISBLANK(tbl_task7[[คะแนนเต็ม]:[คะแนนเต็ม]]),"",(tbl_task7[63]/tbl_task7[[คะแนนเต็ม]:[คะแนนเต็ม]])*tbl_task7[[%]:[%]])</f>
        <v/>
      </c>
      <c r="HZ14" s="121" t="str">
        <f>IF(ISBLANK(tbl_task7[[คะแนนเต็ม]:[คะแนนเต็ม]]),"",(tbl_task7[64]/tbl_task7[[คะแนนเต็ม]:[คะแนนเต็ม]])*tbl_task7[[%]:[%]])</f>
        <v/>
      </c>
      <c r="IA14" s="121" t="str">
        <f>IF(ISBLANK(tbl_task7[[คะแนนเต็ม]:[คะแนนเต็ม]]),"",(tbl_task7[65]/tbl_task7[[คะแนนเต็ม]:[คะแนนเต็ม]])*tbl_task7[[%]:[%]])</f>
        <v/>
      </c>
      <c r="IB14" s="121" t="str">
        <f>IF(ISBLANK(tbl_task7[[คะแนนเต็ม]:[คะแนนเต็ม]]),"",(tbl_task7[66]/tbl_task7[[คะแนนเต็ม]:[คะแนนเต็ม]])*tbl_task7[[%]:[%]])</f>
        <v/>
      </c>
      <c r="IC14" s="121" t="str">
        <f>IF(ISBLANK(tbl_task7[[คะแนนเต็ม]:[คะแนนเต็ม]]),"",(tbl_task7[67]/tbl_task7[[คะแนนเต็ม]:[คะแนนเต็ม]])*tbl_task7[[%]:[%]])</f>
        <v/>
      </c>
      <c r="ID14" s="121" t="str">
        <f>IF(ISBLANK(tbl_task7[[คะแนนเต็ม]:[คะแนนเต็ม]]),"",(tbl_task7[68]/tbl_task7[[คะแนนเต็ม]:[คะแนนเต็ม]])*tbl_task7[[%]:[%]])</f>
        <v/>
      </c>
      <c r="IE14" s="121" t="str">
        <f>IF(ISBLANK(tbl_task7[[คะแนนเต็ม]:[คะแนนเต็ม]]),"",(tbl_task7[69]/tbl_task7[[คะแนนเต็ม]:[คะแนนเต็ม]])*tbl_task7[[%]:[%]])</f>
        <v/>
      </c>
      <c r="IF14" s="121" t="str">
        <f>IF(ISBLANK(tbl_task7[[คะแนนเต็ม]:[คะแนนเต็ม]]),"",(tbl_task7[70]/tbl_task7[[คะแนนเต็ม]:[คะแนนเต็ม]])*tbl_task7[[%]:[%]])</f>
        <v/>
      </c>
      <c r="IG14" s="121" t="str">
        <f>IF(ISBLANK(tbl_task7[[คะแนนเต็ม]:[คะแนนเต็ม]]),"",(tbl_task7[71]/tbl_task7[[คะแนนเต็ม]:[คะแนนเต็ม]])*tbl_task7[[%]:[%]])</f>
        <v/>
      </c>
      <c r="IH14" s="121" t="str">
        <f>IF(ISBLANK(tbl_task7[[คะแนนเต็ม]:[คะแนนเต็ม]]),"",(tbl_task7[72]/tbl_task7[[คะแนนเต็ม]:[คะแนนเต็ม]])*tbl_task7[[%]:[%]])</f>
        <v/>
      </c>
      <c r="II14" s="121" t="str">
        <f>IF(ISBLANK(tbl_task7[[คะแนนเต็ม]:[คะแนนเต็ม]]),"",(tbl_task7[73]/tbl_task7[[คะแนนเต็ม]:[คะแนนเต็ม]])*tbl_task7[[%]:[%]])</f>
        <v/>
      </c>
      <c r="IJ14" s="121" t="str">
        <f>IF(ISBLANK(tbl_task7[[คะแนนเต็ม]:[คะแนนเต็ม]]),"",(tbl_task7[74]/tbl_task7[[คะแนนเต็ม]:[คะแนนเต็ม]])*tbl_task7[[%]:[%]])</f>
        <v/>
      </c>
      <c r="IK14" s="121" t="str">
        <f>IF(ISBLANK(tbl_task7[[คะแนนเต็ม]:[คะแนนเต็ม]]),"",(tbl_task7[75]/tbl_task7[[คะแนนเต็ม]:[คะแนนเต็ม]])*tbl_task7[[%]:[%]])</f>
        <v/>
      </c>
      <c r="IL14" s="121" t="str">
        <f>IF(ISBLANK(tbl_task7[[คะแนนเต็ม]:[คะแนนเต็ม]]),"",(tbl_task7[76]/tbl_task7[[คะแนนเต็ม]:[คะแนนเต็ม]])*tbl_task7[[%]:[%]])</f>
        <v/>
      </c>
      <c r="IM14" s="121" t="str">
        <f>IF(ISBLANK(tbl_task7[[คะแนนเต็ม]:[คะแนนเต็ม]]),"",(tbl_task7[77]/tbl_task7[[คะแนนเต็ม]:[คะแนนเต็ม]])*tbl_task7[[%]:[%]])</f>
        <v/>
      </c>
      <c r="IN14" s="121" t="str">
        <f>IF(ISBLANK(tbl_task7[[คะแนนเต็ม]:[คะแนนเต็ม]]),"",(tbl_task7[78]/tbl_task7[[คะแนนเต็ม]:[คะแนนเต็ม]])*tbl_task7[[%]:[%]])</f>
        <v/>
      </c>
      <c r="IO14" s="121" t="str">
        <f>IF(ISBLANK(tbl_task7[[คะแนนเต็ม]:[คะแนนเต็ม]]),"",(tbl_task7[79]/tbl_task7[[คะแนนเต็ม]:[คะแนนเต็ม]])*tbl_task7[[%]:[%]])</f>
        <v/>
      </c>
      <c r="IP14" s="121" t="str">
        <f>IF(ISBLANK(tbl_task7[[คะแนนเต็ม]:[คะแนนเต็ม]]),"",(tbl_task7[80]/tbl_task7[[คะแนนเต็ม]:[คะแนนเต็ม]])*tbl_task7[[%]:[%]])</f>
        <v/>
      </c>
      <c r="IQ14" s="121" t="str">
        <f>IF(ISBLANK(tbl_task7[[คะแนนเต็ม]:[คะแนนเต็ม]]),"",(tbl_task7[81]/tbl_task7[[คะแนนเต็ม]:[คะแนนเต็ม]])*tbl_task7[[%]:[%]])</f>
        <v/>
      </c>
      <c r="IR14" s="121" t="str">
        <f>IF(ISBLANK(tbl_task7[[คะแนนเต็ม]:[คะแนนเต็ม]]),"",(tbl_task7[82]/tbl_task7[[คะแนนเต็ม]:[คะแนนเต็ม]])*tbl_task7[[%]:[%]])</f>
        <v/>
      </c>
      <c r="IS14" s="121" t="str">
        <f>IF(ISBLANK(tbl_task7[[คะแนนเต็ม]:[คะแนนเต็ม]]),"",(tbl_task7[83]/tbl_task7[[คะแนนเต็ม]:[คะแนนเต็ม]])*tbl_task7[[%]:[%]])</f>
        <v/>
      </c>
      <c r="IT14" s="121" t="str">
        <f>IF(ISBLANK(tbl_task7[[คะแนนเต็ม]:[คะแนนเต็ม]]),"",(tbl_task7[84]/tbl_task7[[คะแนนเต็ม]:[คะแนนเต็ม]])*tbl_task7[[%]:[%]])</f>
        <v/>
      </c>
      <c r="IU14" s="121" t="str">
        <f>IF(ISBLANK(tbl_task7[[คะแนนเต็ม]:[คะแนนเต็ม]]),"",(tbl_task7[85]/tbl_task7[[คะแนนเต็ม]:[คะแนนเต็ม]])*tbl_task7[[%]:[%]])</f>
        <v/>
      </c>
      <c r="IV14" s="121" t="str">
        <f>IF(ISBLANK(tbl_task7[[คะแนนเต็ม]:[คะแนนเต็ม]]),"",(tbl_task7[86]/tbl_task7[[คะแนนเต็ม]:[คะแนนเต็ม]])*tbl_task7[[%]:[%]])</f>
        <v/>
      </c>
      <c r="IW14" s="121" t="str">
        <f>IF(ISBLANK(tbl_task7[[คะแนนเต็ม]:[คะแนนเต็ม]]),"",(tbl_task7[87]/tbl_task7[[คะแนนเต็ม]:[คะแนนเต็ม]])*tbl_task7[[%]:[%]])</f>
        <v/>
      </c>
      <c r="IX14" s="121" t="str">
        <f>IF(ISBLANK(tbl_task7[[คะแนนเต็ม]:[คะแนนเต็ม]]),"",(tbl_task7[88]/tbl_task7[[คะแนนเต็ม]:[คะแนนเต็ม]])*tbl_task7[[%]:[%]])</f>
        <v/>
      </c>
      <c r="IY14" s="121" t="str">
        <f>IF(ISBLANK(tbl_task7[[คะแนนเต็ม]:[คะแนนเต็ม]]),"",(tbl_task7[89]/tbl_task7[[คะแนนเต็ม]:[คะแนนเต็ม]])*tbl_task7[[%]:[%]])</f>
        <v/>
      </c>
      <c r="IZ14" s="121" t="str">
        <f>IF(ISBLANK(tbl_task7[[คะแนนเต็ม]:[คะแนนเต็ม]]),"",(tbl_task7[90]/tbl_task7[[คะแนนเต็ม]:[คะแนนเต็ม]])*tbl_task7[[%]:[%]])</f>
        <v/>
      </c>
      <c r="JA14" s="121" t="str">
        <f>IF(ISBLANK(tbl_task7[[คะแนนเต็ม]:[คะแนนเต็ม]]),"",(tbl_task7[91]/tbl_task7[[คะแนนเต็ม]:[คะแนนเต็ม]])*tbl_task7[[%]:[%]])</f>
        <v/>
      </c>
      <c r="JB14" s="121" t="str">
        <f>IF(ISBLANK(tbl_task7[[คะแนนเต็ม]:[คะแนนเต็ม]]),"",(tbl_task7[92]/tbl_task7[[คะแนนเต็ม]:[คะแนนเต็ม]])*tbl_task7[[%]:[%]])</f>
        <v/>
      </c>
      <c r="JC14" s="121" t="str">
        <f>IF(ISBLANK(tbl_task7[[คะแนนเต็ม]:[คะแนนเต็ม]]),"",(tbl_task7[93]/tbl_task7[[คะแนนเต็ม]:[คะแนนเต็ม]])*tbl_task7[[%]:[%]])</f>
        <v/>
      </c>
      <c r="JD14" s="121" t="str">
        <f>IF(ISBLANK(tbl_task7[[คะแนนเต็ม]:[คะแนนเต็ม]]),"",(tbl_task7[94]/tbl_task7[[คะแนนเต็ม]:[คะแนนเต็ม]])*tbl_task7[[%]:[%]])</f>
        <v/>
      </c>
      <c r="JE14" s="121" t="str">
        <f>IF(ISBLANK(tbl_task7[[คะแนนเต็ม]:[คะแนนเต็ม]]),"",(tbl_task7[95]/tbl_task7[[คะแนนเต็ม]:[คะแนนเต็ม]])*tbl_task7[[%]:[%]])</f>
        <v/>
      </c>
      <c r="JF14" s="121" t="str">
        <f>IF(ISBLANK(tbl_task7[[คะแนนเต็ม]:[คะแนนเต็ม]]),"",(tbl_task7[96]/tbl_task7[[คะแนนเต็ม]:[คะแนนเต็ม]])*tbl_task7[[%]:[%]])</f>
        <v/>
      </c>
      <c r="JG14" s="121" t="str">
        <f>IF(ISBLANK(tbl_task7[[คะแนนเต็ม]:[คะแนนเต็ม]]),"",(tbl_task7[97]/tbl_task7[[คะแนนเต็ม]:[คะแนนเต็ม]])*tbl_task7[[%]:[%]])</f>
        <v/>
      </c>
      <c r="JH14" s="121" t="str">
        <f>IF(ISBLANK(tbl_task7[[คะแนนเต็ม]:[คะแนนเต็ม]]),"",(tbl_task7[98]/tbl_task7[[คะแนนเต็ม]:[คะแนนเต็ม]])*tbl_task7[[%]:[%]])</f>
        <v/>
      </c>
      <c r="JI14" s="121" t="str">
        <f>IF(ISBLANK(tbl_task7[[คะแนนเต็ม]:[คะแนนเต็ม]]),"",(tbl_task7[99]/tbl_task7[[คะแนนเต็ม]:[คะแนนเต็ม]])*tbl_task7[[%]:[%]])</f>
        <v/>
      </c>
      <c r="JJ14" s="121" t="str">
        <f>IF(ISBLANK(tbl_task7[[คะแนนเต็ม]:[คะแนนเต็ม]]),"",(tbl_task7[100]/tbl_task7[[คะแนนเต็ม]:[คะแนนเต็ม]])*tbl_task7[[%]:[%]])</f>
        <v/>
      </c>
      <c r="JK14" s="121" t="str">
        <f>IF(ISBLANK(tbl_task7[[คะแนนเต็ม]:[คะแนนเต็ม]]),"",(tbl_task7[101]/tbl_task7[[คะแนนเต็ม]:[คะแนนเต็ม]])*tbl_task7[[%]:[%]])</f>
        <v/>
      </c>
      <c r="JL14" s="121" t="str">
        <f>IF(ISBLANK(tbl_task7[[คะแนนเต็ม]:[คะแนนเต็ม]]),"",(tbl_task7[102]/tbl_task7[[คะแนนเต็ม]:[คะแนนเต็ม]])*tbl_task7[[%]:[%]])</f>
        <v/>
      </c>
      <c r="JM14" s="121" t="str">
        <f>IF(ISBLANK(tbl_task7[[คะแนนเต็ม]:[คะแนนเต็ม]]),"",(tbl_task7[103]/tbl_task7[[คะแนนเต็ม]:[คะแนนเต็ม]])*tbl_task7[[%]:[%]])</f>
        <v/>
      </c>
      <c r="JN14" s="121" t="str">
        <f>IF(ISBLANK(tbl_task7[[คะแนนเต็ม]:[คะแนนเต็ม]]),"",(tbl_task7[104]/tbl_task7[[คะแนนเต็ม]:[คะแนนเต็ม]])*tbl_task7[[%]:[%]])</f>
        <v/>
      </c>
      <c r="JO14" s="121" t="str">
        <f>IF(ISBLANK(tbl_task7[[คะแนนเต็ม]:[คะแนนเต็ม]]),"",(tbl_task7[105]/tbl_task7[[คะแนนเต็ม]:[คะแนนเต็ม]])*tbl_task7[[%]:[%]])</f>
        <v/>
      </c>
      <c r="JP14" s="121" t="str">
        <f>IF(ISBLANK(tbl_task7[[คะแนนเต็ม]:[คะแนนเต็ม]]),"",(tbl_task7[106]/tbl_task7[[คะแนนเต็ม]:[คะแนนเต็ม]])*tbl_task7[[%]:[%]])</f>
        <v/>
      </c>
      <c r="JQ14" s="121" t="str">
        <f>IF(ISBLANK(tbl_task7[[คะแนนเต็ม]:[คะแนนเต็ม]]),"",(tbl_task7[107]/tbl_task7[[คะแนนเต็ม]:[คะแนนเต็ม]])*tbl_task7[[%]:[%]])</f>
        <v/>
      </c>
      <c r="JR14" s="121" t="str">
        <f>IF(ISBLANK(tbl_task7[[คะแนนเต็ม]:[คะแนนเต็ม]]),"",(tbl_task7[108]/tbl_task7[[คะแนนเต็ม]:[คะแนนเต็ม]])*tbl_task7[[%]:[%]])</f>
        <v/>
      </c>
      <c r="JS14" s="121" t="str">
        <f>IF(ISBLANK(tbl_task7[[คะแนนเต็ม]:[คะแนนเต็ม]]),"",(tbl_task7[109]/tbl_task7[[คะแนนเต็ม]:[คะแนนเต็ม]])*tbl_task7[[%]:[%]])</f>
        <v/>
      </c>
      <c r="JT14" s="121" t="str">
        <f>IF(ISBLANK(tbl_task7[[คะแนนเต็ม]:[คะแนนเต็ม]]),"",(tbl_task7[110]/tbl_task7[[คะแนนเต็ม]:[คะแนนเต็ม]])*tbl_task7[[%]:[%]])</f>
        <v/>
      </c>
      <c r="JU14" s="121" t="str">
        <f>IF(ISBLANK(tbl_task7[[คะแนนเต็ม]:[คะแนนเต็ม]]),"",(tbl_task7[111]/tbl_task7[[คะแนนเต็ม]:[คะแนนเต็ม]])*tbl_task7[[%]:[%]])</f>
        <v/>
      </c>
      <c r="JV14" s="121" t="str">
        <f>IF(ISBLANK(tbl_task7[[คะแนนเต็ม]:[คะแนนเต็ม]]),"",(tbl_task7[112]/tbl_task7[[คะแนนเต็ม]:[คะแนนเต็ม]])*tbl_task7[[%]:[%]])</f>
        <v/>
      </c>
      <c r="JW14" s="121" t="str">
        <f>IF(ISBLANK(tbl_task7[[คะแนนเต็ม]:[คะแนนเต็ม]]),"",(tbl_task7[113]/tbl_task7[[คะแนนเต็ม]:[คะแนนเต็ม]])*tbl_task7[[%]:[%]])</f>
        <v/>
      </c>
      <c r="JX14" s="121" t="str">
        <f>IF(ISBLANK(tbl_task7[[คะแนนเต็ม]:[คะแนนเต็ม]]),"",(tbl_task7[114]/tbl_task7[[คะแนนเต็ม]:[คะแนนเต็ม]])*tbl_task7[[%]:[%]])</f>
        <v/>
      </c>
      <c r="JY14" s="121" t="str">
        <f>IF(ISBLANK(tbl_task7[[คะแนนเต็ม]:[คะแนนเต็ม]]),"",(tbl_task7[115]/tbl_task7[[คะแนนเต็ม]:[คะแนนเต็ม]])*tbl_task7[[%]:[%]])</f>
        <v/>
      </c>
      <c r="JZ14" s="121" t="str">
        <f>IF(ISBLANK(tbl_task7[[คะแนนเต็ม]:[คะแนนเต็ม]]),"",(tbl_task7[116]/tbl_task7[[คะแนนเต็ม]:[คะแนนเต็ม]])*tbl_task7[[%]:[%]])</f>
        <v/>
      </c>
      <c r="KA14" s="121" t="str">
        <f>IF(ISBLANK(tbl_task7[[คะแนนเต็ม]:[คะแนนเต็ม]]),"",(tbl_task7[117]/tbl_task7[[คะแนนเต็ม]:[คะแนนเต็ม]])*tbl_task7[[%]:[%]])</f>
        <v/>
      </c>
      <c r="KB14" s="121" t="str">
        <f>IF(ISBLANK(tbl_task7[[คะแนนเต็ม]:[คะแนนเต็ม]]),"",(tbl_task7[118]/tbl_task7[[คะแนนเต็ม]:[คะแนนเต็ม]])*tbl_task7[[%]:[%]])</f>
        <v/>
      </c>
      <c r="KC14" s="121" t="str">
        <f>IF(ISBLANK(tbl_task7[[คะแนนเต็ม]:[คะแนนเต็ม]]),"",(tbl_task7[119]/tbl_task7[[คะแนนเต็ม]:[คะแนนเต็ม]])*tbl_task7[[%]:[%]])</f>
        <v/>
      </c>
      <c r="KD14" s="121" t="str">
        <f>IF(ISBLANK(tbl_task7[[คะแนนเต็ม]:[คะแนนเต็ม]]),"",(tbl_task7[120]/tbl_task7[[คะแนนเต็ม]:[คะแนนเต็ม]])*tbl_task7[[%]:[%]])</f>
        <v/>
      </c>
      <c r="KE14" s="121" t="str">
        <f>IF(ISBLANK(tbl_task7[[คะแนนเต็ม]:[คะแนนเต็ม]]),"",(tbl_task7[121]/tbl_task7[[คะแนนเต็ม]:[คะแนนเต็ม]])*tbl_task7[[%]:[%]])</f>
        <v/>
      </c>
      <c r="KF14" s="121" t="str">
        <f>IF(ISBLANK(tbl_task7[[คะแนนเต็ม]:[คะแนนเต็ม]]),"",(tbl_task7[122]/tbl_task7[[คะแนนเต็ม]:[คะแนนเต็ม]])*tbl_task7[[%]:[%]])</f>
        <v/>
      </c>
      <c r="KG14" s="121" t="str">
        <f>IF(ISBLANK(tbl_task7[[คะแนนเต็ม]:[คะแนนเต็ม]]),"",(tbl_task7[123]/tbl_task7[[คะแนนเต็ม]:[คะแนนเต็ม]])*tbl_task7[[%]:[%]])</f>
        <v/>
      </c>
      <c r="KH14" s="121" t="str">
        <f>IF(ISBLANK(tbl_task7[[คะแนนเต็ม]:[คะแนนเต็ม]]),"",(tbl_task7[124]/tbl_task7[[คะแนนเต็ม]:[คะแนนเต็ม]])*tbl_task7[[%]:[%]])</f>
        <v/>
      </c>
      <c r="KI14" s="121" t="str">
        <f>IF(ISBLANK(tbl_task7[[คะแนนเต็ม]:[คะแนนเต็ม]]),"",(tbl_task7[125]/tbl_task7[[คะแนนเต็ม]:[คะแนนเต็ม]])*tbl_task7[[%]:[%]])</f>
        <v/>
      </c>
      <c r="KJ14" s="121" t="str">
        <f>IF(ISBLANK(tbl_task7[[คะแนนเต็ม]:[คะแนนเต็ม]]),"",(tbl_task7[126]/tbl_task7[[คะแนนเต็ม]:[คะแนนเต็ม]])*tbl_task7[[%]:[%]])</f>
        <v/>
      </c>
      <c r="KK14" s="121" t="str">
        <f>IF(ISBLANK(tbl_task7[[คะแนนเต็ม]:[คะแนนเต็ม]]),"",(tbl_task7[127]/tbl_task7[[คะแนนเต็ม]:[คะแนนเต็ม]])*tbl_task7[[%]:[%]])</f>
        <v/>
      </c>
      <c r="KL14" s="121" t="str">
        <f>IF(ISBLANK(tbl_task7[[คะแนนเต็ม]:[คะแนนเต็ม]]),"",(tbl_task7[128]/tbl_task7[[คะแนนเต็ม]:[คะแนนเต็ม]])*tbl_task7[[%]:[%]])</f>
        <v/>
      </c>
      <c r="KM14" s="121" t="str">
        <f>IF(ISBLANK(tbl_task7[[คะแนนเต็ม]:[คะแนนเต็ม]]),"",(tbl_task7[129]/tbl_task7[[คะแนนเต็ม]:[คะแนนเต็ม]])*tbl_task7[[%]:[%]])</f>
        <v/>
      </c>
      <c r="KN14" s="121" t="str">
        <f>IF(ISBLANK(tbl_task7[[คะแนนเต็ม]:[คะแนนเต็ม]]),"",(tbl_task7[130]/tbl_task7[[คะแนนเต็ม]:[คะแนนเต็ม]])*tbl_task7[[%]:[%]])</f>
        <v/>
      </c>
      <c r="KO14" s="121" t="str">
        <f>IF(ISBLANK(tbl_task7[[คะแนนเต็ม]:[คะแนนเต็ม]]),"",(tbl_task7[131]/tbl_task7[[คะแนนเต็ม]:[คะแนนเต็ม]])*tbl_task7[[%]:[%]])</f>
        <v/>
      </c>
      <c r="KP14" s="121" t="str">
        <f>IF(ISBLANK(tbl_task7[[คะแนนเต็ม]:[คะแนนเต็ม]]),"",(tbl_task7[132]/tbl_task7[[คะแนนเต็ม]:[คะแนนเต็ม]])*tbl_task7[[%]:[%]])</f>
        <v/>
      </c>
      <c r="KQ14" s="121" t="str">
        <f>IF(ISBLANK(tbl_task7[[คะแนนเต็ม]:[คะแนนเต็ม]]),"",(tbl_task7[133]/tbl_task7[[คะแนนเต็ม]:[คะแนนเต็ม]])*tbl_task7[[%]:[%]])</f>
        <v/>
      </c>
      <c r="KR14" s="121" t="str">
        <f>IF(ISBLANK(tbl_task7[[คะแนนเต็ม]:[คะแนนเต็ม]]),"",(tbl_task7[134]/tbl_task7[[คะแนนเต็ม]:[คะแนนเต็ม]])*tbl_task7[[%]:[%]])</f>
        <v/>
      </c>
      <c r="KS14" s="121" t="str">
        <f>IF(ISBLANK(tbl_task7[[คะแนนเต็ม]:[คะแนนเต็ม]]),"",(tbl_task7[135]/tbl_task7[[คะแนนเต็ม]:[คะแนนเต็ม]])*tbl_task7[[%]:[%]])</f>
        <v/>
      </c>
      <c r="KT14" s="121" t="str">
        <f>IF(ISBLANK(tbl_task7[[คะแนนเต็ม]:[คะแนนเต็ม]]),"",(tbl_task7[136]/tbl_task7[[คะแนนเต็ม]:[คะแนนเต็ม]])*tbl_task7[[%]:[%]])</f>
        <v/>
      </c>
      <c r="KU14" s="121" t="str">
        <f>IF(ISBLANK(tbl_task7[[คะแนนเต็ม]:[คะแนนเต็ม]]),"",(tbl_task7[137]/tbl_task7[[คะแนนเต็ม]:[คะแนนเต็ม]])*tbl_task7[[%]:[%]])</f>
        <v/>
      </c>
      <c r="KV14" s="121" t="str">
        <f>IF(ISBLANK(tbl_task7[[คะแนนเต็ม]:[คะแนนเต็ม]]),"",(tbl_task7[138]/tbl_task7[[คะแนนเต็ม]:[คะแนนเต็ม]])*tbl_task7[[%]:[%]])</f>
        <v/>
      </c>
      <c r="KW14" s="121" t="str">
        <f>IF(ISBLANK(tbl_task7[[คะแนนเต็ม]:[คะแนนเต็ม]]),"",(tbl_task7[139]/tbl_task7[[คะแนนเต็ม]:[คะแนนเต็ม]])*tbl_task7[[%]:[%]])</f>
        <v/>
      </c>
      <c r="KX14" s="121" t="str">
        <f>IF(ISBLANK(tbl_task7[[คะแนนเต็ม]:[คะแนนเต็ม]]),"",(tbl_task7[140]/tbl_task7[[คะแนนเต็ม]:[คะแนนเต็ม]])*tbl_task7[[%]:[%]])</f>
        <v/>
      </c>
      <c r="KY14" s="121" t="str">
        <f>IF(ISBLANK(tbl_task7[[คะแนนเต็ม]:[คะแนนเต็ม]]),"",(tbl_task7[141]/tbl_task7[[คะแนนเต็ม]:[คะแนนเต็ม]])*tbl_task7[[%]:[%]])</f>
        <v/>
      </c>
      <c r="KZ14" s="121" t="str">
        <f>IF(ISBLANK(tbl_task7[[คะแนนเต็ม]:[คะแนนเต็ม]]),"",(tbl_task7[142]/tbl_task7[[คะแนนเต็ม]:[คะแนนเต็ม]])*tbl_task7[[%]:[%]])</f>
        <v/>
      </c>
      <c r="LA14" s="121" t="str">
        <f>IF(ISBLANK(tbl_task7[[คะแนนเต็ม]:[คะแนนเต็ม]]),"",(tbl_task7[143]/tbl_task7[[คะแนนเต็ม]:[คะแนนเต็ม]])*tbl_task7[[%]:[%]])</f>
        <v/>
      </c>
      <c r="LB14" s="121" t="str">
        <f>IF(ISBLANK(tbl_task7[[คะแนนเต็ม]:[คะแนนเต็ม]]),"",(tbl_task7[144]/tbl_task7[[คะแนนเต็ม]:[คะแนนเต็ม]])*tbl_task7[[%]:[%]])</f>
        <v/>
      </c>
      <c r="LC14" s="121" t="str">
        <f>IF(ISBLANK(tbl_task7[[คะแนนเต็ม]:[คะแนนเต็ม]]),"",(tbl_task7[145]/tbl_task7[[คะแนนเต็ม]:[คะแนนเต็ม]])*tbl_task7[[%]:[%]])</f>
        <v/>
      </c>
      <c r="LD14" s="121" t="str">
        <f>IF(ISBLANK(tbl_task7[[คะแนนเต็ม]:[คะแนนเต็ม]]),"",(tbl_task7[146]/tbl_task7[[คะแนนเต็ม]:[คะแนนเต็ม]])*tbl_task7[[%]:[%]])</f>
        <v/>
      </c>
      <c r="LE14" s="121" t="str">
        <f>IF(ISBLANK(tbl_task7[[คะแนนเต็ม]:[คะแนนเต็ม]]),"",(tbl_task7[147]/tbl_task7[[คะแนนเต็ม]:[คะแนนเต็ม]])*tbl_task7[[%]:[%]])</f>
        <v/>
      </c>
      <c r="LF14" s="121" t="str">
        <f>IF(ISBLANK(tbl_task7[[คะแนนเต็ม]:[คะแนนเต็ม]]),"",(tbl_task7[148]/tbl_task7[[คะแนนเต็ม]:[คะแนนเต็ม]])*tbl_task7[[%]:[%]])</f>
        <v/>
      </c>
      <c r="LG14" s="121" t="str">
        <f>IF(ISBLANK(tbl_task7[[คะแนนเต็ม]:[คะแนนเต็ม]]),"",(tbl_task7[149]/tbl_task7[[คะแนนเต็ม]:[คะแนนเต็ม]])*tbl_task7[[%]:[%]])</f>
        <v/>
      </c>
      <c r="LH14" s="121" t="str">
        <f>IF(ISBLANK(tbl_task7[[คะแนนเต็ม]:[คะแนนเต็ม]]),"",(tbl_task7[150]/tbl_task7[[คะแนนเต็ม]:[คะแนนเต็ม]])*tbl_task7[[%]:[%]])</f>
        <v/>
      </c>
      <c r="LI14" s="121" t="str">
        <f>IF(ISBLANK(tbl_task7[[คะแนนเต็ม]:[คะแนนเต็ม]]),"",(tbl_task7[151]/tbl_task7[[คะแนนเต็ม]:[คะแนนเต็ม]])*tbl_task7[[%]:[%]])</f>
        <v/>
      </c>
      <c r="LJ14" s="121" t="str">
        <f>IF(ISBLANK(tbl_task7[[คะแนนเต็ม]:[คะแนนเต็ม]]),"",(tbl_task7[152]/tbl_task7[[คะแนนเต็ม]:[คะแนนเต็ม]])*tbl_task7[[%]:[%]])</f>
        <v/>
      </c>
      <c r="LK14" s="121" t="str">
        <f>IF(ISBLANK(tbl_task7[[คะแนนเต็ม]:[คะแนนเต็ม]]),"",(tbl_task7[153]/tbl_task7[[คะแนนเต็ม]:[คะแนนเต็ม]])*tbl_task7[[%]:[%]])</f>
        <v/>
      </c>
      <c r="LL14" s="121" t="str">
        <f>IF(ISBLANK(tbl_task7[[คะแนนเต็ม]:[คะแนนเต็ม]]),"",(tbl_task7[154]/tbl_task7[[คะแนนเต็ม]:[คะแนนเต็ม]])*tbl_task7[[%]:[%]])</f>
        <v/>
      </c>
      <c r="LM14" s="121" t="str">
        <f>IF(ISBLANK(tbl_task7[[คะแนนเต็ม]:[คะแนนเต็ม]]),"",(tbl_task7[155]/tbl_task7[[คะแนนเต็ม]:[คะแนนเต็ม]])*tbl_task7[[%]:[%]])</f>
        <v/>
      </c>
      <c r="LN14" s="121" t="str">
        <f>IF(ISBLANK(tbl_task7[[คะแนนเต็ม]:[คะแนนเต็ม]]),"",(tbl_task7[156]/tbl_task7[[คะแนนเต็ม]:[คะแนนเต็ม]])*tbl_task7[[%]:[%]])</f>
        <v/>
      </c>
      <c r="LO14" s="121" t="str">
        <f>IF(ISBLANK(tbl_task7[[คะแนนเต็ม]:[คะแนนเต็ม]]),"",(tbl_task7[157]/tbl_task7[[คะแนนเต็ม]:[คะแนนเต็ม]])*tbl_task7[[%]:[%]])</f>
        <v/>
      </c>
      <c r="LP14" s="121" t="str">
        <f>IF(ISBLANK(tbl_task7[[คะแนนเต็ม]:[คะแนนเต็ม]]),"",(tbl_task7[158]/tbl_task7[[คะแนนเต็ม]:[คะแนนเต็ม]])*tbl_task7[[%]:[%]])</f>
        <v/>
      </c>
      <c r="LQ14" s="121" t="str">
        <f>IF(ISBLANK(tbl_task7[[คะแนนเต็ม]:[คะแนนเต็ม]]),"",(tbl_task7[159]/tbl_task7[[คะแนนเต็ม]:[คะแนนเต็ม]])*tbl_task7[[%]:[%]])</f>
        <v/>
      </c>
      <c r="LR14" s="121" t="str">
        <f>IF(ISBLANK(tbl_task7[[คะแนนเต็ม]:[คะแนนเต็ม]]),"",(tbl_task7[160]/tbl_task7[[คะแนนเต็ม]:[คะแนนเต็ม]])*tbl_task7[[%]:[%]])</f>
        <v/>
      </c>
      <c r="LS14" s="121" t="str">
        <f>IF(ISBLANK(tbl_task7[[คะแนนเต็ม]:[คะแนนเต็ม]]),"",(tbl_task7[161]/tbl_task7[[คะแนนเต็ม]:[คะแนนเต็ม]])*tbl_task7[[%]:[%]])</f>
        <v/>
      </c>
      <c r="LT14" s="121" t="str">
        <f>IF(ISBLANK(tbl_task7[[คะแนนเต็ม]:[คะแนนเต็ม]]),"",(tbl_task7[162]/tbl_task7[[คะแนนเต็ม]:[คะแนนเต็ม]])*tbl_task7[[%]:[%]])</f>
        <v/>
      </c>
      <c r="LU14" s="121" t="str">
        <f>IF(ISBLANK(tbl_task7[[คะแนนเต็ม]:[คะแนนเต็ม]]),"",(tbl_task7[163]/tbl_task7[[คะแนนเต็ม]:[คะแนนเต็ม]])*tbl_task7[[%]:[%]])</f>
        <v/>
      </c>
      <c r="LV14" s="121" t="str">
        <f>IF(ISBLANK(tbl_task7[[คะแนนเต็ม]:[คะแนนเต็ม]]),"",(tbl_task7[164]/tbl_task7[[คะแนนเต็ม]:[คะแนนเต็ม]])*tbl_task7[[%]:[%]])</f>
        <v/>
      </c>
      <c r="LW14" s="121" t="str">
        <f>IF(ISBLANK(tbl_task7[[คะแนนเต็ม]:[คะแนนเต็ม]]),"",(tbl_task7[165]/tbl_task7[[คะแนนเต็ม]:[คะแนนเต็ม]])*tbl_task7[[%]:[%]])</f>
        <v/>
      </c>
    </row>
    <row r="15" spans="1:335" ht="24" customHeight="1" x14ac:dyDescent="0.25">
      <c r="A15" s="24">
        <v>12</v>
      </c>
      <c r="B15" s="20"/>
      <c r="C15" s="5" t="str">
        <f>IF(ISBLANK(B15),"",VLOOKUP(B15,tbl_PLOs[],2,0))</f>
        <v/>
      </c>
      <c r="D15" s="102"/>
      <c r="E15" s="106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121" t="str">
        <f>IF(ISBLANK(tbl_task7[[คะแนนเต็ม]:[คะแนนเต็ม]]),"",(tbl_task7[1]/tbl_task7[[คะแนนเต็ม]:[คะแนนเต็ม]])*tbl_task7[[%]:[%]])</f>
        <v/>
      </c>
      <c r="FP15" s="121" t="str">
        <f>IF(ISBLANK(tbl_task7[[คะแนนเต็ม]:[คะแนนเต็ม]]),"",(tbl_task7[2]/tbl_task7[[คะแนนเต็ม]:[คะแนนเต็ม]])*tbl_task7[[%]:[%]])</f>
        <v/>
      </c>
      <c r="FQ15" s="121" t="str">
        <f>IF(ISBLANK(tbl_task7[[คะแนนเต็ม]:[คะแนนเต็ม]]),"",(tbl_task7[3]/tbl_task7[[คะแนนเต็ม]:[คะแนนเต็ม]])*tbl_task7[[%]:[%]])</f>
        <v/>
      </c>
      <c r="FR15" s="121" t="str">
        <f>IF(ISBLANK(tbl_task7[[คะแนนเต็ม]:[คะแนนเต็ม]]),"",(tbl_task7[4]/tbl_task7[[คะแนนเต็ม]:[คะแนนเต็ม]])*tbl_task7[[%]:[%]])</f>
        <v/>
      </c>
      <c r="FS15" s="121" t="str">
        <f>IF(ISBLANK(tbl_task7[[คะแนนเต็ม]:[คะแนนเต็ม]]),"",(tbl_task7[5]/tbl_task7[[คะแนนเต็ม]:[คะแนนเต็ม]])*tbl_task7[[%]:[%]])</f>
        <v/>
      </c>
      <c r="FT15" s="121" t="str">
        <f>IF(ISBLANK(tbl_task7[[คะแนนเต็ม]:[คะแนนเต็ม]]),"",(tbl_task7[6]/tbl_task7[[คะแนนเต็ม]:[คะแนนเต็ม]])*tbl_task7[[%]:[%]])</f>
        <v/>
      </c>
      <c r="FU15" s="121" t="str">
        <f>IF(ISBLANK(tbl_task7[[คะแนนเต็ม]:[คะแนนเต็ม]]),"",(tbl_task7[7]/tbl_task7[[คะแนนเต็ม]:[คะแนนเต็ม]])*tbl_task7[[%]:[%]])</f>
        <v/>
      </c>
      <c r="FV15" s="121" t="str">
        <f>IF(ISBLANK(tbl_task7[[คะแนนเต็ม]:[คะแนนเต็ม]]),"",(tbl_task7[8]/tbl_task7[[คะแนนเต็ม]:[คะแนนเต็ม]])*tbl_task7[[%]:[%]])</f>
        <v/>
      </c>
      <c r="FW15" s="121" t="str">
        <f>IF(ISBLANK(tbl_task7[[คะแนนเต็ม]:[คะแนนเต็ม]]),"",(tbl_task7[9]/tbl_task7[[คะแนนเต็ม]:[คะแนนเต็ม]])*tbl_task7[[%]:[%]])</f>
        <v/>
      </c>
      <c r="FX15" s="121" t="str">
        <f>IF(ISBLANK(tbl_task7[[คะแนนเต็ม]:[คะแนนเต็ม]]),"",(tbl_task7[10]/tbl_task7[[คะแนนเต็ม]:[คะแนนเต็ม]])*tbl_task7[[%]:[%]])</f>
        <v/>
      </c>
      <c r="FY15" s="121" t="str">
        <f>IF(ISBLANK(tbl_task7[[คะแนนเต็ม]:[คะแนนเต็ม]]),"",(tbl_task7[11]/tbl_task7[[คะแนนเต็ม]:[คะแนนเต็ม]])*tbl_task7[[%]:[%]])</f>
        <v/>
      </c>
      <c r="FZ15" s="121" t="str">
        <f>IF(ISBLANK(tbl_task7[[คะแนนเต็ม]:[คะแนนเต็ม]]),"",(tbl_task7[12]/tbl_task7[[คะแนนเต็ม]:[คะแนนเต็ม]])*tbl_task7[[%]:[%]])</f>
        <v/>
      </c>
      <c r="GA15" s="121" t="str">
        <f>IF(ISBLANK(tbl_task7[[คะแนนเต็ม]:[คะแนนเต็ม]]),"",(tbl_task7[13]/tbl_task7[[คะแนนเต็ม]:[คะแนนเต็ม]])*tbl_task7[[%]:[%]])</f>
        <v/>
      </c>
      <c r="GB15" s="121" t="str">
        <f>IF(ISBLANK(tbl_task7[[คะแนนเต็ม]:[คะแนนเต็ม]]),"",(tbl_task7[14]/tbl_task7[[คะแนนเต็ม]:[คะแนนเต็ม]])*tbl_task7[[%]:[%]])</f>
        <v/>
      </c>
      <c r="GC15" s="121" t="str">
        <f>IF(ISBLANK(tbl_task7[[คะแนนเต็ม]:[คะแนนเต็ม]]),"",(tbl_task7[15]/tbl_task7[[คะแนนเต็ม]:[คะแนนเต็ม]])*tbl_task7[[%]:[%]])</f>
        <v/>
      </c>
      <c r="GD15" s="121" t="str">
        <f>IF(ISBLANK(tbl_task7[[คะแนนเต็ม]:[คะแนนเต็ม]]),"",(tbl_task7[16]/tbl_task7[[คะแนนเต็ม]:[คะแนนเต็ม]])*tbl_task7[[%]:[%]])</f>
        <v/>
      </c>
      <c r="GE15" s="121" t="str">
        <f>IF(ISBLANK(tbl_task7[[คะแนนเต็ม]:[คะแนนเต็ม]]),"",(tbl_task7[17]/tbl_task7[[คะแนนเต็ม]:[คะแนนเต็ม]])*tbl_task7[[%]:[%]])</f>
        <v/>
      </c>
      <c r="GF15" s="121" t="str">
        <f>IF(ISBLANK(tbl_task7[[คะแนนเต็ม]:[คะแนนเต็ม]]),"",(tbl_task7[18]/tbl_task7[[คะแนนเต็ม]:[คะแนนเต็ม]])*tbl_task7[[%]:[%]])</f>
        <v/>
      </c>
      <c r="GG15" s="121" t="str">
        <f>IF(ISBLANK(tbl_task7[[คะแนนเต็ม]:[คะแนนเต็ม]]),"",(tbl_task7[19]/tbl_task7[[คะแนนเต็ม]:[คะแนนเต็ม]])*tbl_task7[[%]:[%]])</f>
        <v/>
      </c>
      <c r="GH15" s="121" t="str">
        <f>IF(ISBLANK(tbl_task7[[คะแนนเต็ม]:[คะแนนเต็ม]]),"",(tbl_task7[20]/tbl_task7[[คะแนนเต็ม]:[คะแนนเต็ม]])*tbl_task7[[%]:[%]])</f>
        <v/>
      </c>
      <c r="GI15" s="121" t="str">
        <f>IF(ISBLANK(tbl_task7[[คะแนนเต็ม]:[คะแนนเต็ม]]),"",(tbl_task7[21]/tbl_task7[[คะแนนเต็ม]:[คะแนนเต็ม]])*tbl_task7[[%]:[%]])</f>
        <v/>
      </c>
      <c r="GJ15" s="121" t="str">
        <f>IF(ISBLANK(tbl_task7[[คะแนนเต็ม]:[คะแนนเต็ม]]),"",(tbl_task7[22]/tbl_task7[[คะแนนเต็ม]:[คะแนนเต็ม]])*tbl_task7[[%]:[%]])</f>
        <v/>
      </c>
      <c r="GK15" s="121" t="str">
        <f>IF(ISBLANK(tbl_task7[[คะแนนเต็ม]:[คะแนนเต็ม]]),"",(tbl_task7[23]/tbl_task7[[คะแนนเต็ม]:[คะแนนเต็ม]])*tbl_task7[[%]:[%]])</f>
        <v/>
      </c>
      <c r="GL15" s="121" t="str">
        <f>IF(ISBLANK(tbl_task7[[คะแนนเต็ม]:[คะแนนเต็ม]]),"",(tbl_task7[24]/tbl_task7[[คะแนนเต็ม]:[คะแนนเต็ม]])*tbl_task7[[%]:[%]])</f>
        <v/>
      </c>
      <c r="GM15" s="121" t="str">
        <f>IF(ISBLANK(tbl_task7[[คะแนนเต็ม]:[คะแนนเต็ม]]),"",(tbl_task7[25]/tbl_task7[[คะแนนเต็ม]:[คะแนนเต็ม]])*tbl_task7[[%]:[%]])</f>
        <v/>
      </c>
      <c r="GN15" s="121" t="str">
        <f>IF(ISBLANK(tbl_task7[[คะแนนเต็ม]:[คะแนนเต็ม]]),"",(tbl_task7[26]/tbl_task7[[คะแนนเต็ม]:[คะแนนเต็ม]])*tbl_task7[[%]:[%]])</f>
        <v/>
      </c>
      <c r="GO15" s="121" t="str">
        <f>IF(ISBLANK(tbl_task7[[คะแนนเต็ม]:[คะแนนเต็ม]]),"",(tbl_task7[27]/tbl_task7[[คะแนนเต็ม]:[คะแนนเต็ม]])*tbl_task7[[%]:[%]])</f>
        <v/>
      </c>
      <c r="GP15" s="121" t="str">
        <f>IF(ISBLANK(tbl_task7[[คะแนนเต็ม]:[คะแนนเต็ม]]),"",(tbl_task7[28]/tbl_task7[[คะแนนเต็ม]:[คะแนนเต็ม]])*tbl_task7[[%]:[%]])</f>
        <v/>
      </c>
      <c r="GQ15" s="121" t="str">
        <f>IF(ISBLANK(tbl_task7[[คะแนนเต็ม]:[คะแนนเต็ม]]),"",(tbl_task7[29]/tbl_task7[[คะแนนเต็ม]:[คะแนนเต็ม]])*tbl_task7[[%]:[%]])</f>
        <v/>
      </c>
      <c r="GR15" s="121" t="str">
        <f>IF(ISBLANK(tbl_task7[[คะแนนเต็ม]:[คะแนนเต็ม]]),"",(tbl_task7[30]/tbl_task7[[คะแนนเต็ม]:[คะแนนเต็ม]])*tbl_task7[[%]:[%]])</f>
        <v/>
      </c>
      <c r="GS15" s="121" t="str">
        <f>IF(ISBLANK(tbl_task7[[คะแนนเต็ม]:[คะแนนเต็ม]]),"",(tbl_task7[31]/tbl_task7[[คะแนนเต็ม]:[คะแนนเต็ม]])*tbl_task7[[%]:[%]])</f>
        <v/>
      </c>
      <c r="GT15" s="121" t="str">
        <f>IF(ISBLANK(tbl_task7[[คะแนนเต็ม]:[คะแนนเต็ม]]),"",(tbl_task7[32]/tbl_task7[[คะแนนเต็ม]:[คะแนนเต็ม]])*tbl_task7[[%]:[%]])</f>
        <v/>
      </c>
      <c r="GU15" s="121" t="str">
        <f>IF(ISBLANK(tbl_task7[[คะแนนเต็ม]:[คะแนนเต็ม]]),"",(tbl_task7[33]/tbl_task7[[คะแนนเต็ม]:[คะแนนเต็ม]])*tbl_task7[[%]:[%]])</f>
        <v/>
      </c>
      <c r="GV15" s="121" t="str">
        <f>IF(ISBLANK(tbl_task7[[คะแนนเต็ม]:[คะแนนเต็ม]]),"",(tbl_task7[34]/tbl_task7[[คะแนนเต็ม]:[คะแนนเต็ม]])*tbl_task7[[%]:[%]])</f>
        <v/>
      </c>
      <c r="GW15" s="121" t="str">
        <f>IF(ISBLANK(tbl_task7[[คะแนนเต็ม]:[คะแนนเต็ม]]),"",(tbl_task7[35]/tbl_task7[[คะแนนเต็ม]:[คะแนนเต็ม]])*tbl_task7[[%]:[%]])</f>
        <v/>
      </c>
      <c r="GX15" s="121" t="str">
        <f>IF(ISBLANK(tbl_task7[[คะแนนเต็ม]:[คะแนนเต็ม]]),"",(tbl_task7[36]/tbl_task7[[คะแนนเต็ม]:[คะแนนเต็ม]])*tbl_task7[[%]:[%]])</f>
        <v/>
      </c>
      <c r="GY15" s="121" t="str">
        <f>IF(ISBLANK(tbl_task7[[คะแนนเต็ม]:[คะแนนเต็ม]]),"",(tbl_task7[37]/tbl_task7[[คะแนนเต็ม]:[คะแนนเต็ม]])*tbl_task7[[%]:[%]])</f>
        <v/>
      </c>
      <c r="GZ15" s="121" t="str">
        <f>IF(ISBLANK(tbl_task7[[คะแนนเต็ม]:[คะแนนเต็ม]]),"",(tbl_task7[38]/tbl_task7[[คะแนนเต็ม]:[คะแนนเต็ม]])*tbl_task7[[%]:[%]])</f>
        <v/>
      </c>
      <c r="HA15" s="121" t="str">
        <f>IF(ISBLANK(tbl_task7[[คะแนนเต็ม]:[คะแนนเต็ม]]),"",(tbl_task7[39]/tbl_task7[[คะแนนเต็ม]:[คะแนนเต็ม]])*tbl_task7[[%]:[%]])</f>
        <v/>
      </c>
      <c r="HB15" s="121" t="str">
        <f>IF(ISBLANK(tbl_task7[[คะแนนเต็ม]:[คะแนนเต็ม]]),"",(tbl_task7[40]/tbl_task7[[คะแนนเต็ม]:[คะแนนเต็ม]])*tbl_task7[[%]:[%]])</f>
        <v/>
      </c>
      <c r="HC15" s="121" t="str">
        <f>IF(ISBLANK(tbl_task7[[คะแนนเต็ม]:[คะแนนเต็ม]]),"",(tbl_task7[41]/tbl_task7[[คะแนนเต็ม]:[คะแนนเต็ม]])*tbl_task7[[%]:[%]])</f>
        <v/>
      </c>
      <c r="HD15" s="121" t="str">
        <f>IF(ISBLANK(tbl_task7[[คะแนนเต็ม]:[คะแนนเต็ม]]),"",(tbl_task7[42]/tbl_task7[[คะแนนเต็ม]:[คะแนนเต็ม]])*tbl_task7[[%]:[%]])</f>
        <v/>
      </c>
      <c r="HE15" s="121" t="str">
        <f>IF(ISBLANK(tbl_task7[[คะแนนเต็ม]:[คะแนนเต็ม]]),"",(tbl_task7[43]/tbl_task7[[คะแนนเต็ม]:[คะแนนเต็ม]])*tbl_task7[[%]:[%]])</f>
        <v/>
      </c>
      <c r="HF15" s="121" t="str">
        <f>IF(ISBLANK(tbl_task7[[คะแนนเต็ม]:[คะแนนเต็ม]]),"",(tbl_task7[44]/tbl_task7[[คะแนนเต็ม]:[คะแนนเต็ม]])*tbl_task7[[%]:[%]])</f>
        <v/>
      </c>
      <c r="HG15" s="121" t="str">
        <f>IF(ISBLANK(tbl_task7[[คะแนนเต็ม]:[คะแนนเต็ม]]),"",(tbl_task7[45]/tbl_task7[[คะแนนเต็ม]:[คะแนนเต็ม]])*tbl_task7[[%]:[%]])</f>
        <v/>
      </c>
      <c r="HH15" s="121" t="str">
        <f>IF(ISBLANK(tbl_task7[[คะแนนเต็ม]:[คะแนนเต็ม]]),"",(tbl_task7[46]/tbl_task7[[คะแนนเต็ม]:[คะแนนเต็ม]])*tbl_task7[[%]:[%]])</f>
        <v/>
      </c>
      <c r="HI15" s="121" t="str">
        <f>IF(ISBLANK(tbl_task7[[คะแนนเต็ม]:[คะแนนเต็ม]]),"",(tbl_task7[47]/tbl_task7[[คะแนนเต็ม]:[คะแนนเต็ม]])*tbl_task7[[%]:[%]])</f>
        <v/>
      </c>
      <c r="HJ15" s="121" t="str">
        <f>IF(ISBLANK(tbl_task7[[คะแนนเต็ม]:[คะแนนเต็ม]]),"",(tbl_task7[48]/tbl_task7[[คะแนนเต็ม]:[คะแนนเต็ม]])*tbl_task7[[%]:[%]])</f>
        <v/>
      </c>
      <c r="HK15" s="121" t="str">
        <f>IF(ISBLANK(tbl_task7[[คะแนนเต็ม]:[คะแนนเต็ม]]),"",(tbl_task7[49]/tbl_task7[[คะแนนเต็ม]:[คะแนนเต็ม]])*tbl_task7[[%]:[%]])</f>
        <v/>
      </c>
      <c r="HL15" s="121" t="str">
        <f>IF(ISBLANK(tbl_task7[[คะแนนเต็ม]:[คะแนนเต็ม]]),"",(tbl_task7[50]/tbl_task7[[คะแนนเต็ม]:[คะแนนเต็ม]])*tbl_task7[[%]:[%]])</f>
        <v/>
      </c>
      <c r="HM15" s="121" t="str">
        <f>IF(ISBLANK(tbl_task7[[คะแนนเต็ม]:[คะแนนเต็ม]]),"",(tbl_task7[51]/tbl_task7[[คะแนนเต็ม]:[คะแนนเต็ม]])*tbl_task7[[%]:[%]])</f>
        <v/>
      </c>
      <c r="HN15" s="121" t="str">
        <f>IF(ISBLANK(tbl_task7[[คะแนนเต็ม]:[คะแนนเต็ม]]),"",(tbl_task7[52]/tbl_task7[[คะแนนเต็ม]:[คะแนนเต็ม]])*tbl_task7[[%]:[%]])</f>
        <v/>
      </c>
      <c r="HO15" s="121" t="str">
        <f>IF(ISBLANK(tbl_task7[[คะแนนเต็ม]:[คะแนนเต็ม]]),"",(tbl_task7[53]/tbl_task7[[คะแนนเต็ม]:[คะแนนเต็ม]])*tbl_task7[[%]:[%]])</f>
        <v/>
      </c>
      <c r="HP15" s="121" t="str">
        <f>IF(ISBLANK(tbl_task7[[คะแนนเต็ม]:[คะแนนเต็ม]]),"",(tbl_task7[54]/tbl_task7[[คะแนนเต็ม]:[คะแนนเต็ม]])*tbl_task7[[%]:[%]])</f>
        <v/>
      </c>
      <c r="HQ15" s="121" t="str">
        <f>IF(ISBLANK(tbl_task7[[คะแนนเต็ม]:[คะแนนเต็ม]]),"",(tbl_task7[55]/tbl_task7[[คะแนนเต็ม]:[คะแนนเต็ม]])*tbl_task7[[%]:[%]])</f>
        <v/>
      </c>
      <c r="HR15" s="121" t="str">
        <f>IF(ISBLANK(tbl_task7[[คะแนนเต็ม]:[คะแนนเต็ม]]),"",(tbl_task7[56]/tbl_task7[[คะแนนเต็ม]:[คะแนนเต็ม]])*tbl_task7[[%]:[%]])</f>
        <v/>
      </c>
      <c r="HS15" s="121" t="str">
        <f>IF(ISBLANK(tbl_task7[[คะแนนเต็ม]:[คะแนนเต็ม]]),"",(tbl_task7[57]/tbl_task7[[คะแนนเต็ม]:[คะแนนเต็ม]])*tbl_task7[[%]:[%]])</f>
        <v/>
      </c>
      <c r="HT15" s="121" t="str">
        <f>IF(ISBLANK(tbl_task7[[คะแนนเต็ม]:[คะแนนเต็ม]]),"",(tbl_task7[58]/tbl_task7[[คะแนนเต็ม]:[คะแนนเต็ม]])*tbl_task7[[%]:[%]])</f>
        <v/>
      </c>
      <c r="HU15" s="121" t="str">
        <f>IF(ISBLANK(tbl_task7[[คะแนนเต็ม]:[คะแนนเต็ม]]),"",(tbl_task7[59]/tbl_task7[[คะแนนเต็ม]:[คะแนนเต็ม]])*tbl_task7[[%]:[%]])</f>
        <v/>
      </c>
      <c r="HV15" s="121" t="str">
        <f>IF(ISBLANK(tbl_task7[[คะแนนเต็ม]:[คะแนนเต็ม]]),"",(tbl_task7[60]/tbl_task7[[คะแนนเต็ม]:[คะแนนเต็ม]])*tbl_task7[[%]:[%]])</f>
        <v/>
      </c>
      <c r="HW15" s="121" t="str">
        <f>IF(ISBLANK(tbl_task7[[คะแนนเต็ม]:[คะแนนเต็ม]]),"",(tbl_task7[61]/tbl_task7[[คะแนนเต็ม]:[คะแนนเต็ม]])*tbl_task7[[%]:[%]])</f>
        <v/>
      </c>
      <c r="HX15" s="121" t="str">
        <f>IF(ISBLANK(tbl_task7[[คะแนนเต็ม]:[คะแนนเต็ม]]),"",(tbl_task7[62]/tbl_task7[[คะแนนเต็ม]:[คะแนนเต็ม]])*tbl_task7[[%]:[%]])</f>
        <v/>
      </c>
      <c r="HY15" s="121" t="str">
        <f>IF(ISBLANK(tbl_task7[[คะแนนเต็ม]:[คะแนนเต็ม]]),"",(tbl_task7[63]/tbl_task7[[คะแนนเต็ม]:[คะแนนเต็ม]])*tbl_task7[[%]:[%]])</f>
        <v/>
      </c>
      <c r="HZ15" s="121" t="str">
        <f>IF(ISBLANK(tbl_task7[[คะแนนเต็ม]:[คะแนนเต็ม]]),"",(tbl_task7[64]/tbl_task7[[คะแนนเต็ม]:[คะแนนเต็ม]])*tbl_task7[[%]:[%]])</f>
        <v/>
      </c>
      <c r="IA15" s="121" t="str">
        <f>IF(ISBLANK(tbl_task7[[คะแนนเต็ม]:[คะแนนเต็ม]]),"",(tbl_task7[65]/tbl_task7[[คะแนนเต็ม]:[คะแนนเต็ม]])*tbl_task7[[%]:[%]])</f>
        <v/>
      </c>
      <c r="IB15" s="121" t="str">
        <f>IF(ISBLANK(tbl_task7[[คะแนนเต็ม]:[คะแนนเต็ม]]),"",(tbl_task7[66]/tbl_task7[[คะแนนเต็ม]:[คะแนนเต็ม]])*tbl_task7[[%]:[%]])</f>
        <v/>
      </c>
      <c r="IC15" s="121" t="str">
        <f>IF(ISBLANK(tbl_task7[[คะแนนเต็ม]:[คะแนนเต็ม]]),"",(tbl_task7[67]/tbl_task7[[คะแนนเต็ม]:[คะแนนเต็ม]])*tbl_task7[[%]:[%]])</f>
        <v/>
      </c>
      <c r="ID15" s="121" t="str">
        <f>IF(ISBLANK(tbl_task7[[คะแนนเต็ม]:[คะแนนเต็ม]]),"",(tbl_task7[68]/tbl_task7[[คะแนนเต็ม]:[คะแนนเต็ม]])*tbl_task7[[%]:[%]])</f>
        <v/>
      </c>
      <c r="IE15" s="121" t="str">
        <f>IF(ISBLANK(tbl_task7[[คะแนนเต็ม]:[คะแนนเต็ม]]),"",(tbl_task7[69]/tbl_task7[[คะแนนเต็ม]:[คะแนนเต็ม]])*tbl_task7[[%]:[%]])</f>
        <v/>
      </c>
      <c r="IF15" s="121" t="str">
        <f>IF(ISBLANK(tbl_task7[[คะแนนเต็ม]:[คะแนนเต็ม]]),"",(tbl_task7[70]/tbl_task7[[คะแนนเต็ม]:[คะแนนเต็ม]])*tbl_task7[[%]:[%]])</f>
        <v/>
      </c>
      <c r="IG15" s="121" t="str">
        <f>IF(ISBLANK(tbl_task7[[คะแนนเต็ม]:[คะแนนเต็ม]]),"",(tbl_task7[71]/tbl_task7[[คะแนนเต็ม]:[คะแนนเต็ม]])*tbl_task7[[%]:[%]])</f>
        <v/>
      </c>
      <c r="IH15" s="121" t="str">
        <f>IF(ISBLANK(tbl_task7[[คะแนนเต็ม]:[คะแนนเต็ม]]),"",(tbl_task7[72]/tbl_task7[[คะแนนเต็ม]:[คะแนนเต็ม]])*tbl_task7[[%]:[%]])</f>
        <v/>
      </c>
      <c r="II15" s="121" t="str">
        <f>IF(ISBLANK(tbl_task7[[คะแนนเต็ม]:[คะแนนเต็ม]]),"",(tbl_task7[73]/tbl_task7[[คะแนนเต็ม]:[คะแนนเต็ม]])*tbl_task7[[%]:[%]])</f>
        <v/>
      </c>
      <c r="IJ15" s="121" t="str">
        <f>IF(ISBLANK(tbl_task7[[คะแนนเต็ม]:[คะแนนเต็ม]]),"",(tbl_task7[74]/tbl_task7[[คะแนนเต็ม]:[คะแนนเต็ม]])*tbl_task7[[%]:[%]])</f>
        <v/>
      </c>
      <c r="IK15" s="121" t="str">
        <f>IF(ISBLANK(tbl_task7[[คะแนนเต็ม]:[คะแนนเต็ม]]),"",(tbl_task7[75]/tbl_task7[[คะแนนเต็ม]:[คะแนนเต็ม]])*tbl_task7[[%]:[%]])</f>
        <v/>
      </c>
      <c r="IL15" s="121" t="str">
        <f>IF(ISBLANK(tbl_task7[[คะแนนเต็ม]:[คะแนนเต็ม]]),"",(tbl_task7[76]/tbl_task7[[คะแนนเต็ม]:[คะแนนเต็ม]])*tbl_task7[[%]:[%]])</f>
        <v/>
      </c>
      <c r="IM15" s="121" t="str">
        <f>IF(ISBLANK(tbl_task7[[คะแนนเต็ม]:[คะแนนเต็ม]]),"",(tbl_task7[77]/tbl_task7[[คะแนนเต็ม]:[คะแนนเต็ม]])*tbl_task7[[%]:[%]])</f>
        <v/>
      </c>
      <c r="IN15" s="121" t="str">
        <f>IF(ISBLANK(tbl_task7[[คะแนนเต็ม]:[คะแนนเต็ม]]),"",(tbl_task7[78]/tbl_task7[[คะแนนเต็ม]:[คะแนนเต็ม]])*tbl_task7[[%]:[%]])</f>
        <v/>
      </c>
      <c r="IO15" s="121" t="str">
        <f>IF(ISBLANK(tbl_task7[[คะแนนเต็ม]:[คะแนนเต็ม]]),"",(tbl_task7[79]/tbl_task7[[คะแนนเต็ม]:[คะแนนเต็ม]])*tbl_task7[[%]:[%]])</f>
        <v/>
      </c>
      <c r="IP15" s="121" t="str">
        <f>IF(ISBLANK(tbl_task7[[คะแนนเต็ม]:[คะแนนเต็ม]]),"",(tbl_task7[80]/tbl_task7[[คะแนนเต็ม]:[คะแนนเต็ม]])*tbl_task7[[%]:[%]])</f>
        <v/>
      </c>
      <c r="IQ15" s="121" t="str">
        <f>IF(ISBLANK(tbl_task7[[คะแนนเต็ม]:[คะแนนเต็ม]]),"",(tbl_task7[81]/tbl_task7[[คะแนนเต็ม]:[คะแนนเต็ม]])*tbl_task7[[%]:[%]])</f>
        <v/>
      </c>
      <c r="IR15" s="121" t="str">
        <f>IF(ISBLANK(tbl_task7[[คะแนนเต็ม]:[คะแนนเต็ม]]),"",(tbl_task7[82]/tbl_task7[[คะแนนเต็ม]:[คะแนนเต็ม]])*tbl_task7[[%]:[%]])</f>
        <v/>
      </c>
      <c r="IS15" s="121" t="str">
        <f>IF(ISBLANK(tbl_task7[[คะแนนเต็ม]:[คะแนนเต็ม]]),"",(tbl_task7[83]/tbl_task7[[คะแนนเต็ม]:[คะแนนเต็ม]])*tbl_task7[[%]:[%]])</f>
        <v/>
      </c>
      <c r="IT15" s="121" t="str">
        <f>IF(ISBLANK(tbl_task7[[คะแนนเต็ม]:[คะแนนเต็ม]]),"",(tbl_task7[84]/tbl_task7[[คะแนนเต็ม]:[คะแนนเต็ม]])*tbl_task7[[%]:[%]])</f>
        <v/>
      </c>
      <c r="IU15" s="121" t="str">
        <f>IF(ISBLANK(tbl_task7[[คะแนนเต็ม]:[คะแนนเต็ม]]),"",(tbl_task7[85]/tbl_task7[[คะแนนเต็ม]:[คะแนนเต็ม]])*tbl_task7[[%]:[%]])</f>
        <v/>
      </c>
      <c r="IV15" s="121" t="str">
        <f>IF(ISBLANK(tbl_task7[[คะแนนเต็ม]:[คะแนนเต็ม]]),"",(tbl_task7[86]/tbl_task7[[คะแนนเต็ม]:[คะแนนเต็ม]])*tbl_task7[[%]:[%]])</f>
        <v/>
      </c>
      <c r="IW15" s="121" t="str">
        <f>IF(ISBLANK(tbl_task7[[คะแนนเต็ม]:[คะแนนเต็ม]]),"",(tbl_task7[87]/tbl_task7[[คะแนนเต็ม]:[คะแนนเต็ม]])*tbl_task7[[%]:[%]])</f>
        <v/>
      </c>
      <c r="IX15" s="121" t="str">
        <f>IF(ISBLANK(tbl_task7[[คะแนนเต็ม]:[คะแนนเต็ม]]),"",(tbl_task7[88]/tbl_task7[[คะแนนเต็ม]:[คะแนนเต็ม]])*tbl_task7[[%]:[%]])</f>
        <v/>
      </c>
      <c r="IY15" s="121" t="str">
        <f>IF(ISBLANK(tbl_task7[[คะแนนเต็ม]:[คะแนนเต็ม]]),"",(tbl_task7[89]/tbl_task7[[คะแนนเต็ม]:[คะแนนเต็ม]])*tbl_task7[[%]:[%]])</f>
        <v/>
      </c>
      <c r="IZ15" s="121" t="str">
        <f>IF(ISBLANK(tbl_task7[[คะแนนเต็ม]:[คะแนนเต็ม]]),"",(tbl_task7[90]/tbl_task7[[คะแนนเต็ม]:[คะแนนเต็ม]])*tbl_task7[[%]:[%]])</f>
        <v/>
      </c>
      <c r="JA15" s="121" t="str">
        <f>IF(ISBLANK(tbl_task7[[คะแนนเต็ม]:[คะแนนเต็ม]]),"",(tbl_task7[91]/tbl_task7[[คะแนนเต็ม]:[คะแนนเต็ม]])*tbl_task7[[%]:[%]])</f>
        <v/>
      </c>
      <c r="JB15" s="121" t="str">
        <f>IF(ISBLANK(tbl_task7[[คะแนนเต็ม]:[คะแนนเต็ม]]),"",(tbl_task7[92]/tbl_task7[[คะแนนเต็ม]:[คะแนนเต็ม]])*tbl_task7[[%]:[%]])</f>
        <v/>
      </c>
      <c r="JC15" s="121" t="str">
        <f>IF(ISBLANK(tbl_task7[[คะแนนเต็ม]:[คะแนนเต็ม]]),"",(tbl_task7[93]/tbl_task7[[คะแนนเต็ม]:[คะแนนเต็ม]])*tbl_task7[[%]:[%]])</f>
        <v/>
      </c>
      <c r="JD15" s="121" t="str">
        <f>IF(ISBLANK(tbl_task7[[คะแนนเต็ม]:[คะแนนเต็ม]]),"",(tbl_task7[94]/tbl_task7[[คะแนนเต็ม]:[คะแนนเต็ม]])*tbl_task7[[%]:[%]])</f>
        <v/>
      </c>
      <c r="JE15" s="121" t="str">
        <f>IF(ISBLANK(tbl_task7[[คะแนนเต็ม]:[คะแนนเต็ม]]),"",(tbl_task7[95]/tbl_task7[[คะแนนเต็ม]:[คะแนนเต็ม]])*tbl_task7[[%]:[%]])</f>
        <v/>
      </c>
      <c r="JF15" s="121" t="str">
        <f>IF(ISBLANK(tbl_task7[[คะแนนเต็ม]:[คะแนนเต็ม]]),"",(tbl_task7[96]/tbl_task7[[คะแนนเต็ม]:[คะแนนเต็ม]])*tbl_task7[[%]:[%]])</f>
        <v/>
      </c>
      <c r="JG15" s="121" t="str">
        <f>IF(ISBLANK(tbl_task7[[คะแนนเต็ม]:[คะแนนเต็ม]]),"",(tbl_task7[97]/tbl_task7[[คะแนนเต็ม]:[คะแนนเต็ม]])*tbl_task7[[%]:[%]])</f>
        <v/>
      </c>
      <c r="JH15" s="121" t="str">
        <f>IF(ISBLANK(tbl_task7[[คะแนนเต็ม]:[คะแนนเต็ม]]),"",(tbl_task7[98]/tbl_task7[[คะแนนเต็ม]:[คะแนนเต็ม]])*tbl_task7[[%]:[%]])</f>
        <v/>
      </c>
      <c r="JI15" s="121" t="str">
        <f>IF(ISBLANK(tbl_task7[[คะแนนเต็ม]:[คะแนนเต็ม]]),"",(tbl_task7[99]/tbl_task7[[คะแนนเต็ม]:[คะแนนเต็ม]])*tbl_task7[[%]:[%]])</f>
        <v/>
      </c>
      <c r="JJ15" s="121" t="str">
        <f>IF(ISBLANK(tbl_task7[[คะแนนเต็ม]:[คะแนนเต็ม]]),"",(tbl_task7[100]/tbl_task7[[คะแนนเต็ม]:[คะแนนเต็ม]])*tbl_task7[[%]:[%]])</f>
        <v/>
      </c>
      <c r="JK15" s="121" t="str">
        <f>IF(ISBLANK(tbl_task7[[คะแนนเต็ม]:[คะแนนเต็ม]]),"",(tbl_task7[101]/tbl_task7[[คะแนนเต็ม]:[คะแนนเต็ม]])*tbl_task7[[%]:[%]])</f>
        <v/>
      </c>
      <c r="JL15" s="121" t="str">
        <f>IF(ISBLANK(tbl_task7[[คะแนนเต็ม]:[คะแนนเต็ม]]),"",(tbl_task7[102]/tbl_task7[[คะแนนเต็ม]:[คะแนนเต็ม]])*tbl_task7[[%]:[%]])</f>
        <v/>
      </c>
      <c r="JM15" s="121" t="str">
        <f>IF(ISBLANK(tbl_task7[[คะแนนเต็ม]:[คะแนนเต็ม]]),"",(tbl_task7[103]/tbl_task7[[คะแนนเต็ม]:[คะแนนเต็ม]])*tbl_task7[[%]:[%]])</f>
        <v/>
      </c>
      <c r="JN15" s="121" t="str">
        <f>IF(ISBLANK(tbl_task7[[คะแนนเต็ม]:[คะแนนเต็ม]]),"",(tbl_task7[104]/tbl_task7[[คะแนนเต็ม]:[คะแนนเต็ม]])*tbl_task7[[%]:[%]])</f>
        <v/>
      </c>
      <c r="JO15" s="121" t="str">
        <f>IF(ISBLANK(tbl_task7[[คะแนนเต็ม]:[คะแนนเต็ม]]),"",(tbl_task7[105]/tbl_task7[[คะแนนเต็ม]:[คะแนนเต็ม]])*tbl_task7[[%]:[%]])</f>
        <v/>
      </c>
      <c r="JP15" s="121" t="str">
        <f>IF(ISBLANK(tbl_task7[[คะแนนเต็ม]:[คะแนนเต็ม]]),"",(tbl_task7[106]/tbl_task7[[คะแนนเต็ม]:[คะแนนเต็ม]])*tbl_task7[[%]:[%]])</f>
        <v/>
      </c>
      <c r="JQ15" s="121" t="str">
        <f>IF(ISBLANK(tbl_task7[[คะแนนเต็ม]:[คะแนนเต็ม]]),"",(tbl_task7[107]/tbl_task7[[คะแนนเต็ม]:[คะแนนเต็ม]])*tbl_task7[[%]:[%]])</f>
        <v/>
      </c>
      <c r="JR15" s="121" t="str">
        <f>IF(ISBLANK(tbl_task7[[คะแนนเต็ม]:[คะแนนเต็ม]]),"",(tbl_task7[108]/tbl_task7[[คะแนนเต็ม]:[คะแนนเต็ม]])*tbl_task7[[%]:[%]])</f>
        <v/>
      </c>
      <c r="JS15" s="121" t="str">
        <f>IF(ISBLANK(tbl_task7[[คะแนนเต็ม]:[คะแนนเต็ม]]),"",(tbl_task7[109]/tbl_task7[[คะแนนเต็ม]:[คะแนนเต็ม]])*tbl_task7[[%]:[%]])</f>
        <v/>
      </c>
      <c r="JT15" s="121" t="str">
        <f>IF(ISBLANK(tbl_task7[[คะแนนเต็ม]:[คะแนนเต็ม]]),"",(tbl_task7[110]/tbl_task7[[คะแนนเต็ม]:[คะแนนเต็ม]])*tbl_task7[[%]:[%]])</f>
        <v/>
      </c>
      <c r="JU15" s="121" t="str">
        <f>IF(ISBLANK(tbl_task7[[คะแนนเต็ม]:[คะแนนเต็ม]]),"",(tbl_task7[111]/tbl_task7[[คะแนนเต็ม]:[คะแนนเต็ม]])*tbl_task7[[%]:[%]])</f>
        <v/>
      </c>
      <c r="JV15" s="121" t="str">
        <f>IF(ISBLANK(tbl_task7[[คะแนนเต็ม]:[คะแนนเต็ม]]),"",(tbl_task7[112]/tbl_task7[[คะแนนเต็ม]:[คะแนนเต็ม]])*tbl_task7[[%]:[%]])</f>
        <v/>
      </c>
      <c r="JW15" s="121" t="str">
        <f>IF(ISBLANK(tbl_task7[[คะแนนเต็ม]:[คะแนนเต็ม]]),"",(tbl_task7[113]/tbl_task7[[คะแนนเต็ม]:[คะแนนเต็ม]])*tbl_task7[[%]:[%]])</f>
        <v/>
      </c>
      <c r="JX15" s="121" t="str">
        <f>IF(ISBLANK(tbl_task7[[คะแนนเต็ม]:[คะแนนเต็ม]]),"",(tbl_task7[114]/tbl_task7[[คะแนนเต็ม]:[คะแนนเต็ม]])*tbl_task7[[%]:[%]])</f>
        <v/>
      </c>
      <c r="JY15" s="121" t="str">
        <f>IF(ISBLANK(tbl_task7[[คะแนนเต็ม]:[คะแนนเต็ม]]),"",(tbl_task7[115]/tbl_task7[[คะแนนเต็ม]:[คะแนนเต็ม]])*tbl_task7[[%]:[%]])</f>
        <v/>
      </c>
      <c r="JZ15" s="121" t="str">
        <f>IF(ISBLANK(tbl_task7[[คะแนนเต็ม]:[คะแนนเต็ม]]),"",(tbl_task7[116]/tbl_task7[[คะแนนเต็ม]:[คะแนนเต็ม]])*tbl_task7[[%]:[%]])</f>
        <v/>
      </c>
      <c r="KA15" s="121" t="str">
        <f>IF(ISBLANK(tbl_task7[[คะแนนเต็ม]:[คะแนนเต็ม]]),"",(tbl_task7[117]/tbl_task7[[คะแนนเต็ม]:[คะแนนเต็ม]])*tbl_task7[[%]:[%]])</f>
        <v/>
      </c>
      <c r="KB15" s="121" t="str">
        <f>IF(ISBLANK(tbl_task7[[คะแนนเต็ม]:[คะแนนเต็ม]]),"",(tbl_task7[118]/tbl_task7[[คะแนนเต็ม]:[คะแนนเต็ม]])*tbl_task7[[%]:[%]])</f>
        <v/>
      </c>
      <c r="KC15" s="121" t="str">
        <f>IF(ISBLANK(tbl_task7[[คะแนนเต็ม]:[คะแนนเต็ม]]),"",(tbl_task7[119]/tbl_task7[[คะแนนเต็ม]:[คะแนนเต็ม]])*tbl_task7[[%]:[%]])</f>
        <v/>
      </c>
      <c r="KD15" s="121" t="str">
        <f>IF(ISBLANK(tbl_task7[[คะแนนเต็ม]:[คะแนนเต็ม]]),"",(tbl_task7[120]/tbl_task7[[คะแนนเต็ม]:[คะแนนเต็ม]])*tbl_task7[[%]:[%]])</f>
        <v/>
      </c>
      <c r="KE15" s="121" t="str">
        <f>IF(ISBLANK(tbl_task7[[คะแนนเต็ม]:[คะแนนเต็ม]]),"",(tbl_task7[121]/tbl_task7[[คะแนนเต็ม]:[คะแนนเต็ม]])*tbl_task7[[%]:[%]])</f>
        <v/>
      </c>
      <c r="KF15" s="121" t="str">
        <f>IF(ISBLANK(tbl_task7[[คะแนนเต็ม]:[คะแนนเต็ม]]),"",(tbl_task7[122]/tbl_task7[[คะแนนเต็ม]:[คะแนนเต็ม]])*tbl_task7[[%]:[%]])</f>
        <v/>
      </c>
      <c r="KG15" s="121" t="str">
        <f>IF(ISBLANK(tbl_task7[[คะแนนเต็ม]:[คะแนนเต็ม]]),"",(tbl_task7[123]/tbl_task7[[คะแนนเต็ม]:[คะแนนเต็ม]])*tbl_task7[[%]:[%]])</f>
        <v/>
      </c>
      <c r="KH15" s="121" t="str">
        <f>IF(ISBLANK(tbl_task7[[คะแนนเต็ม]:[คะแนนเต็ม]]),"",(tbl_task7[124]/tbl_task7[[คะแนนเต็ม]:[คะแนนเต็ม]])*tbl_task7[[%]:[%]])</f>
        <v/>
      </c>
      <c r="KI15" s="121" t="str">
        <f>IF(ISBLANK(tbl_task7[[คะแนนเต็ม]:[คะแนนเต็ม]]),"",(tbl_task7[125]/tbl_task7[[คะแนนเต็ม]:[คะแนนเต็ม]])*tbl_task7[[%]:[%]])</f>
        <v/>
      </c>
      <c r="KJ15" s="121" t="str">
        <f>IF(ISBLANK(tbl_task7[[คะแนนเต็ม]:[คะแนนเต็ม]]),"",(tbl_task7[126]/tbl_task7[[คะแนนเต็ม]:[คะแนนเต็ม]])*tbl_task7[[%]:[%]])</f>
        <v/>
      </c>
      <c r="KK15" s="121" t="str">
        <f>IF(ISBLANK(tbl_task7[[คะแนนเต็ม]:[คะแนนเต็ม]]),"",(tbl_task7[127]/tbl_task7[[คะแนนเต็ม]:[คะแนนเต็ม]])*tbl_task7[[%]:[%]])</f>
        <v/>
      </c>
      <c r="KL15" s="121" t="str">
        <f>IF(ISBLANK(tbl_task7[[คะแนนเต็ม]:[คะแนนเต็ม]]),"",(tbl_task7[128]/tbl_task7[[คะแนนเต็ม]:[คะแนนเต็ม]])*tbl_task7[[%]:[%]])</f>
        <v/>
      </c>
      <c r="KM15" s="121" t="str">
        <f>IF(ISBLANK(tbl_task7[[คะแนนเต็ม]:[คะแนนเต็ม]]),"",(tbl_task7[129]/tbl_task7[[คะแนนเต็ม]:[คะแนนเต็ม]])*tbl_task7[[%]:[%]])</f>
        <v/>
      </c>
      <c r="KN15" s="121" t="str">
        <f>IF(ISBLANK(tbl_task7[[คะแนนเต็ม]:[คะแนนเต็ม]]),"",(tbl_task7[130]/tbl_task7[[คะแนนเต็ม]:[คะแนนเต็ม]])*tbl_task7[[%]:[%]])</f>
        <v/>
      </c>
      <c r="KO15" s="121" t="str">
        <f>IF(ISBLANK(tbl_task7[[คะแนนเต็ม]:[คะแนนเต็ม]]),"",(tbl_task7[131]/tbl_task7[[คะแนนเต็ม]:[คะแนนเต็ม]])*tbl_task7[[%]:[%]])</f>
        <v/>
      </c>
      <c r="KP15" s="121" t="str">
        <f>IF(ISBLANK(tbl_task7[[คะแนนเต็ม]:[คะแนนเต็ม]]),"",(tbl_task7[132]/tbl_task7[[คะแนนเต็ม]:[คะแนนเต็ม]])*tbl_task7[[%]:[%]])</f>
        <v/>
      </c>
      <c r="KQ15" s="121" t="str">
        <f>IF(ISBLANK(tbl_task7[[คะแนนเต็ม]:[คะแนนเต็ม]]),"",(tbl_task7[133]/tbl_task7[[คะแนนเต็ม]:[คะแนนเต็ม]])*tbl_task7[[%]:[%]])</f>
        <v/>
      </c>
      <c r="KR15" s="121" t="str">
        <f>IF(ISBLANK(tbl_task7[[คะแนนเต็ม]:[คะแนนเต็ม]]),"",(tbl_task7[134]/tbl_task7[[คะแนนเต็ม]:[คะแนนเต็ม]])*tbl_task7[[%]:[%]])</f>
        <v/>
      </c>
      <c r="KS15" s="121" t="str">
        <f>IF(ISBLANK(tbl_task7[[คะแนนเต็ม]:[คะแนนเต็ม]]),"",(tbl_task7[135]/tbl_task7[[คะแนนเต็ม]:[คะแนนเต็ม]])*tbl_task7[[%]:[%]])</f>
        <v/>
      </c>
      <c r="KT15" s="121" t="str">
        <f>IF(ISBLANK(tbl_task7[[คะแนนเต็ม]:[คะแนนเต็ม]]),"",(tbl_task7[136]/tbl_task7[[คะแนนเต็ม]:[คะแนนเต็ม]])*tbl_task7[[%]:[%]])</f>
        <v/>
      </c>
      <c r="KU15" s="121" t="str">
        <f>IF(ISBLANK(tbl_task7[[คะแนนเต็ม]:[คะแนนเต็ม]]),"",(tbl_task7[137]/tbl_task7[[คะแนนเต็ม]:[คะแนนเต็ม]])*tbl_task7[[%]:[%]])</f>
        <v/>
      </c>
      <c r="KV15" s="121" t="str">
        <f>IF(ISBLANK(tbl_task7[[คะแนนเต็ม]:[คะแนนเต็ม]]),"",(tbl_task7[138]/tbl_task7[[คะแนนเต็ม]:[คะแนนเต็ม]])*tbl_task7[[%]:[%]])</f>
        <v/>
      </c>
      <c r="KW15" s="121" t="str">
        <f>IF(ISBLANK(tbl_task7[[คะแนนเต็ม]:[คะแนนเต็ม]]),"",(tbl_task7[139]/tbl_task7[[คะแนนเต็ม]:[คะแนนเต็ม]])*tbl_task7[[%]:[%]])</f>
        <v/>
      </c>
      <c r="KX15" s="121" t="str">
        <f>IF(ISBLANK(tbl_task7[[คะแนนเต็ม]:[คะแนนเต็ม]]),"",(tbl_task7[140]/tbl_task7[[คะแนนเต็ม]:[คะแนนเต็ม]])*tbl_task7[[%]:[%]])</f>
        <v/>
      </c>
      <c r="KY15" s="121" t="str">
        <f>IF(ISBLANK(tbl_task7[[คะแนนเต็ม]:[คะแนนเต็ม]]),"",(tbl_task7[141]/tbl_task7[[คะแนนเต็ม]:[คะแนนเต็ม]])*tbl_task7[[%]:[%]])</f>
        <v/>
      </c>
      <c r="KZ15" s="121" t="str">
        <f>IF(ISBLANK(tbl_task7[[คะแนนเต็ม]:[คะแนนเต็ม]]),"",(tbl_task7[142]/tbl_task7[[คะแนนเต็ม]:[คะแนนเต็ม]])*tbl_task7[[%]:[%]])</f>
        <v/>
      </c>
      <c r="LA15" s="121" t="str">
        <f>IF(ISBLANK(tbl_task7[[คะแนนเต็ม]:[คะแนนเต็ม]]),"",(tbl_task7[143]/tbl_task7[[คะแนนเต็ม]:[คะแนนเต็ม]])*tbl_task7[[%]:[%]])</f>
        <v/>
      </c>
      <c r="LB15" s="121" t="str">
        <f>IF(ISBLANK(tbl_task7[[คะแนนเต็ม]:[คะแนนเต็ม]]),"",(tbl_task7[144]/tbl_task7[[คะแนนเต็ม]:[คะแนนเต็ม]])*tbl_task7[[%]:[%]])</f>
        <v/>
      </c>
      <c r="LC15" s="121" t="str">
        <f>IF(ISBLANK(tbl_task7[[คะแนนเต็ม]:[คะแนนเต็ม]]),"",(tbl_task7[145]/tbl_task7[[คะแนนเต็ม]:[คะแนนเต็ม]])*tbl_task7[[%]:[%]])</f>
        <v/>
      </c>
      <c r="LD15" s="121" t="str">
        <f>IF(ISBLANK(tbl_task7[[คะแนนเต็ม]:[คะแนนเต็ม]]),"",(tbl_task7[146]/tbl_task7[[คะแนนเต็ม]:[คะแนนเต็ม]])*tbl_task7[[%]:[%]])</f>
        <v/>
      </c>
      <c r="LE15" s="121" t="str">
        <f>IF(ISBLANK(tbl_task7[[คะแนนเต็ม]:[คะแนนเต็ม]]),"",(tbl_task7[147]/tbl_task7[[คะแนนเต็ม]:[คะแนนเต็ม]])*tbl_task7[[%]:[%]])</f>
        <v/>
      </c>
      <c r="LF15" s="121" t="str">
        <f>IF(ISBLANK(tbl_task7[[คะแนนเต็ม]:[คะแนนเต็ม]]),"",(tbl_task7[148]/tbl_task7[[คะแนนเต็ม]:[คะแนนเต็ม]])*tbl_task7[[%]:[%]])</f>
        <v/>
      </c>
      <c r="LG15" s="121" t="str">
        <f>IF(ISBLANK(tbl_task7[[คะแนนเต็ม]:[คะแนนเต็ม]]),"",(tbl_task7[149]/tbl_task7[[คะแนนเต็ม]:[คะแนนเต็ม]])*tbl_task7[[%]:[%]])</f>
        <v/>
      </c>
      <c r="LH15" s="121" t="str">
        <f>IF(ISBLANK(tbl_task7[[คะแนนเต็ม]:[คะแนนเต็ม]]),"",(tbl_task7[150]/tbl_task7[[คะแนนเต็ม]:[คะแนนเต็ม]])*tbl_task7[[%]:[%]])</f>
        <v/>
      </c>
      <c r="LI15" s="121" t="str">
        <f>IF(ISBLANK(tbl_task7[[คะแนนเต็ม]:[คะแนนเต็ม]]),"",(tbl_task7[151]/tbl_task7[[คะแนนเต็ม]:[คะแนนเต็ม]])*tbl_task7[[%]:[%]])</f>
        <v/>
      </c>
      <c r="LJ15" s="121" t="str">
        <f>IF(ISBLANK(tbl_task7[[คะแนนเต็ม]:[คะแนนเต็ม]]),"",(tbl_task7[152]/tbl_task7[[คะแนนเต็ม]:[คะแนนเต็ม]])*tbl_task7[[%]:[%]])</f>
        <v/>
      </c>
      <c r="LK15" s="121" t="str">
        <f>IF(ISBLANK(tbl_task7[[คะแนนเต็ม]:[คะแนนเต็ม]]),"",(tbl_task7[153]/tbl_task7[[คะแนนเต็ม]:[คะแนนเต็ม]])*tbl_task7[[%]:[%]])</f>
        <v/>
      </c>
      <c r="LL15" s="121" t="str">
        <f>IF(ISBLANK(tbl_task7[[คะแนนเต็ม]:[คะแนนเต็ม]]),"",(tbl_task7[154]/tbl_task7[[คะแนนเต็ม]:[คะแนนเต็ม]])*tbl_task7[[%]:[%]])</f>
        <v/>
      </c>
      <c r="LM15" s="121" t="str">
        <f>IF(ISBLANK(tbl_task7[[คะแนนเต็ม]:[คะแนนเต็ม]]),"",(tbl_task7[155]/tbl_task7[[คะแนนเต็ม]:[คะแนนเต็ม]])*tbl_task7[[%]:[%]])</f>
        <v/>
      </c>
      <c r="LN15" s="121" t="str">
        <f>IF(ISBLANK(tbl_task7[[คะแนนเต็ม]:[คะแนนเต็ม]]),"",(tbl_task7[156]/tbl_task7[[คะแนนเต็ม]:[คะแนนเต็ม]])*tbl_task7[[%]:[%]])</f>
        <v/>
      </c>
      <c r="LO15" s="121" t="str">
        <f>IF(ISBLANK(tbl_task7[[คะแนนเต็ม]:[คะแนนเต็ม]]),"",(tbl_task7[157]/tbl_task7[[คะแนนเต็ม]:[คะแนนเต็ม]])*tbl_task7[[%]:[%]])</f>
        <v/>
      </c>
      <c r="LP15" s="121" t="str">
        <f>IF(ISBLANK(tbl_task7[[คะแนนเต็ม]:[คะแนนเต็ม]]),"",(tbl_task7[158]/tbl_task7[[คะแนนเต็ม]:[คะแนนเต็ม]])*tbl_task7[[%]:[%]])</f>
        <v/>
      </c>
      <c r="LQ15" s="121" t="str">
        <f>IF(ISBLANK(tbl_task7[[คะแนนเต็ม]:[คะแนนเต็ม]]),"",(tbl_task7[159]/tbl_task7[[คะแนนเต็ม]:[คะแนนเต็ม]])*tbl_task7[[%]:[%]])</f>
        <v/>
      </c>
      <c r="LR15" s="121" t="str">
        <f>IF(ISBLANK(tbl_task7[[คะแนนเต็ม]:[คะแนนเต็ม]]),"",(tbl_task7[160]/tbl_task7[[คะแนนเต็ม]:[คะแนนเต็ม]])*tbl_task7[[%]:[%]])</f>
        <v/>
      </c>
      <c r="LS15" s="121" t="str">
        <f>IF(ISBLANK(tbl_task7[[คะแนนเต็ม]:[คะแนนเต็ม]]),"",(tbl_task7[161]/tbl_task7[[คะแนนเต็ม]:[คะแนนเต็ม]])*tbl_task7[[%]:[%]])</f>
        <v/>
      </c>
      <c r="LT15" s="121" t="str">
        <f>IF(ISBLANK(tbl_task7[[คะแนนเต็ม]:[คะแนนเต็ม]]),"",(tbl_task7[162]/tbl_task7[[คะแนนเต็ม]:[คะแนนเต็ม]])*tbl_task7[[%]:[%]])</f>
        <v/>
      </c>
      <c r="LU15" s="121" t="str">
        <f>IF(ISBLANK(tbl_task7[[คะแนนเต็ม]:[คะแนนเต็ม]]),"",(tbl_task7[163]/tbl_task7[[คะแนนเต็ม]:[คะแนนเต็ม]])*tbl_task7[[%]:[%]])</f>
        <v/>
      </c>
      <c r="LV15" s="121" t="str">
        <f>IF(ISBLANK(tbl_task7[[คะแนนเต็ม]:[คะแนนเต็ม]]),"",(tbl_task7[164]/tbl_task7[[คะแนนเต็ม]:[คะแนนเต็ม]])*tbl_task7[[%]:[%]])</f>
        <v/>
      </c>
      <c r="LW15" s="121" t="str">
        <f>IF(ISBLANK(tbl_task7[[คะแนนเต็ม]:[คะแนนเต็ม]]),"",(tbl_task7[165]/tbl_task7[[คะแนนเต็ม]:[คะแนนเต็ม]])*tbl_task7[[%]:[%]])</f>
        <v/>
      </c>
    </row>
    <row r="16" spans="1:335" ht="24" customHeight="1" x14ac:dyDescent="0.25">
      <c r="A16" s="24">
        <v>13</v>
      </c>
      <c r="B16" s="20"/>
      <c r="C16" s="5" t="str">
        <f>IF(ISBLANK(B16),"",VLOOKUP(B16,tbl_PLOs[],2,0))</f>
        <v/>
      </c>
      <c r="D16" s="102"/>
      <c r="E16" s="106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121" t="str">
        <f>IF(ISBLANK(tbl_task7[[คะแนนเต็ม]:[คะแนนเต็ม]]),"",(tbl_task7[1]/tbl_task7[[คะแนนเต็ม]:[คะแนนเต็ม]])*tbl_task7[[%]:[%]])</f>
        <v/>
      </c>
      <c r="FP16" s="121" t="str">
        <f>IF(ISBLANK(tbl_task7[[คะแนนเต็ม]:[คะแนนเต็ม]]),"",(tbl_task7[2]/tbl_task7[[คะแนนเต็ม]:[คะแนนเต็ม]])*tbl_task7[[%]:[%]])</f>
        <v/>
      </c>
      <c r="FQ16" s="121" t="str">
        <f>IF(ISBLANK(tbl_task7[[คะแนนเต็ม]:[คะแนนเต็ม]]),"",(tbl_task7[3]/tbl_task7[[คะแนนเต็ม]:[คะแนนเต็ม]])*tbl_task7[[%]:[%]])</f>
        <v/>
      </c>
      <c r="FR16" s="121" t="str">
        <f>IF(ISBLANK(tbl_task7[[คะแนนเต็ม]:[คะแนนเต็ม]]),"",(tbl_task7[4]/tbl_task7[[คะแนนเต็ม]:[คะแนนเต็ม]])*tbl_task7[[%]:[%]])</f>
        <v/>
      </c>
      <c r="FS16" s="121" t="str">
        <f>IF(ISBLANK(tbl_task7[[คะแนนเต็ม]:[คะแนนเต็ม]]),"",(tbl_task7[5]/tbl_task7[[คะแนนเต็ม]:[คะแนนเต็ม]])*tbl_task7[[%]:[%]])</f>
        <v/>
      </c>
      <c r="FT16" s="121" t="str">
        <f>IF(ISBLANK(tbl_task7[[คะแนนเต็ม]:[คะแนนเต็ม]]),"",(tbl_task7[6]/tbl_task7[[คะแนนเต็ม]:[คะแนนเต็ม]])*tbl_task7[[%]:[%]])</f>
        <v/>
      </c>
      <c r="FU16" s="121" t="str">
        <f>IF(ISBLANK(tbl_task7[[คะแนนเต็ม]:[คะแนนเต็ม]]),"",(tbl_task7[7]/tbl_task7[[คะแนนเต็ม]:[คะแนนเต็ม]])*tbl_task7[[%]:[%]])</f>
        <v/>
      </c>
      <c r="FV16" s="121" t="str">
        <f>IF(ISBLANK(tbl_task7[[คะแนนเต็ม]:[คะแนนเต็ม]]),"",(tbl_task7[8]/tbl_task7[[คะแนนเต็ม]:[คะแนนเต็ม]])*tbl_task7[[%]:[%]])</f>
        <v/>
      </c>
      <c r="FW16" s="121" t="str">
        <f>IF(ISBLANK(tbl_task7[[คะแนนเต็ม]:[คะแนนเต็ม]]),"",(tbl_task7[9]/tbl_task7[[คะแนนเต็ม]:[คะแนนเต็ม]])*tbl_task7[[%]:[%]])</f>
        <v/>
      </c>
      <c r="FX16" s="121" t="str">
        <f>IF(ISBLANK(tbl_task7[[คะแนนเต็ม]:[คะแนนเต็ม]]),"",(tbl_task7[10]/tbl_task7[[คะแนนเต็ม]:[คะแนนเต็ม]])*tbl_task7[[%]:[%]])</f>
        <v/>
      </c>
      <c r="FY16" s="121" t="str">
        <f>IF(ISBLANK(tbl_task7[[คะแนนเต็ม]:[คะแนนเต็ม]]),"",(tbl_task7[11]/tbl_task7[[คะแนนเต็ม]:[คะแนนเต็ม]])*tbl_task7[[%]:[%]])</f>
        <v/>
      </c>
      <c r="FZ16" s="121" t="str">
        <f>IF(ISBLANK(tbl_task7[[คะแนนเต็ม]:[คะแนนเต็ม]]),"",(tbl_task7[12]/tbl_task7[[คะแนนเต็ม]:[คะแนนเต็ม]])*tbl_task7[[%]:[%]])</f>
        <v/>
      </c>
      <c r="GA16" s="121" t="str">
        <f>IF(ISBLANK(tbl_task7[[คะแนนเต็ม]:[คะแนนเต็ม]]),"",(tbl_task7[13]/tbl_task7[[คะแนนเต็ม]:[คะแนนเต็ม]])*tbl_task7[[%]:[%]])</f>
        <v/>
      </c>
      <c r="GB16" s="121" t="str">
        <f>IF(ISBLANK(tbl_task7[[คะแนนเต็ม]:[คะแนนเต็ม]]),"",(tbl_task7[14]/tbl_task7[[คะแนนเต็ม]:[คะแนนเต็ม]])*tbl_task7[[%]:[%]])</f>
        <v/>
      </c>
      <c r="GC16" s="121" t="str">
        <f>IF(ISBLANK(tbl_task7[[คะแนนเต็ม]:[คะแนนเต็ม]]),"",(tbl_task7[15]/tbl_task7[[คะแนนเต็ม]:[คะแนนเต็ม]])*tbl_task7[[%]:[%]])</f>
        <v/>
      </c>
      <c r="GD16" s="121" t="str">
        <f>IF(ISBLANK(tbl_task7[[คะแนนเต็ม]:[คะแนนเต็ม]]),"",(tbl_task7[16]/tbl_task7[[คะแนนเต็ม]:[คะแนนเต็ม]])*tbl_task7[[%]:[%]])</f>
        <v/>
      </c>
      <c r="GE16" s="121" t="str">
        <f>IF(ISBLANK(tbl_task7[[คะแนนเต็ม]:[คะแนนเต็ม]]),"",(tbl_task7[17]/tbl_task7[[คะแนนเต็ม]:[คะแนนเต็ม]])*tbl_task7[[%]:[%]])</f>
        <v/>
      </c>
      <c r="GF16" s="121" t="str">
        <f>IF(ISBLANK(tbl_task7[[คะแนนเต็ม]:[คะแนนเต็ม]]),"",(tbl_task7[18]/tbl_task7[[คะแนนเต็ม]:[คะแนนเต็ม]])*tbl_task7[[%]:[%]])</f>
        <v/>
      </c>
      <c r="GG16" s="121" t="str">
        <f>IF(ISBLANK(tbl_task7[[คะแนนเต็ม]:[คะแนนเต็ม]]),"",(tbl_task7[19]/tbl_task7[[คะแนนเต็ม]:[คะแนนเต็ม]])*tbl_task7[[%]:[%]])</f>
        <v/>
      </c>
      <c r="GH16" s="121" t="str">
        <f>IF(ISBLANK(tbl_task7[[คะแนนเต็ม]:[คะแนนเต็ม]]),"",(tbl_task7[20]/tbl_task7[[คะแนนเต็ม]:[คะแนนเต็ม]])*tbl_task7[[%]:[%]])</f>
        <v/>
      </c>
      <c r="GI16" s="121" t="str">
        <f>IF(ISBLANK(tbl_task7[[คะแนนเต็ม]:[คะแนนเต็ม]]),"",(tbl_task7[21]/tbl_task7[[คะแนนเต็ม]:[คะแนนเต็ม]])*tbl_task7[[%]:[%]])</f>
        <v/>
      </c>
      <c r="GJ16" s="121" t="str">
        <f>IF(ISBLANK(tbl_task7[[คะแนนเต็ม]:[คะแนนเต็ม]]),"",(tbl_task7[22]/tbl_task7[[คะแนนเต็ม]:[คะแนนเต็ม]])*tbl_task7[[%]:[%]])</f>
        <v/>
      </c>
      <c r="GK16" s="121" t="str">
        <f>IF(ISBLANK(tbl_task7[[คะแนนเต็ม]:[คะแนนเต็ม]]),"",(tbl_task7[23]/tbl_task7[[คะแนนเต็ม]:[คะแนนเต็ม]])*tbl_task7[[%]:[%]])</f>
        <v/>
      </c>
      <c r="GL16" s="121" t="str">
        <f>IF(ISBLANK(tbl_task7[[คะแนนเต็ม]:[คะแนนเต็ม]]),"",(tbl_task7[24]/tbl_task7[[คะแนนเต็ม]:[คะแนนเต็ม]])*tbl_task7[[%]:[%]])</f>
        <v/>
      </c>
      <c r="GM16" s="121" t="str">
        <f>IF(ISBLANK(tbl_task7[[คะแนนเต็ม]:[คะแนนเต็ม]]),"",(tbl_task7[25]/tbl_task7[[คะแนนเต็ม]:[คะแนนเต็ม]])*tbl_task7[[%]:[%]])</f>
        <v/>
      </c>
      <c r="GN16" s="121" t="str">
        <f>IF(ISBLANK(tbl_task7[[คะแนนเต็ม]:[คะแนนเต็ม]]),"",(tbl_task7[26]/tbl_task7[[คะแนนเต็ม]:[คะแนนเต็ม]])*tbl_task7[[%]:[%]])</f>
        <v/>
      </c>
      <c r="GO16" s="121" t="str">
        <f>IF(ISBLANK(tbl_task7[[คะแนนเต็ม]:[คะแนนเต็ม]]),"",(tbl_task7[27]/tbl_task7[[คะแนนเต็ม]:[คะแนนเต็ม]])*tbl_task7[[%]:[%]])</f>
        <v/>
      </c>
      <c r="GP16" s="121" t="str">
        <f>IF(ISBLANK(tbl_task7[[คะแนนเต็ม]:[คะแนนเต็ม]]),"",(tbl_task7[28]/tbl_task7[[คะแนนเต็ม]:[คะแนนเต็ม]])*tbl_task7[[%]:[%]])</f>
        <v/>
      </c>
      <c r="GQ16" s="121" t="str">
        <f>IF(ISBLANK(tbl_task7[[คะแนนเต็ม]:[คะแนนเต็ม]]),"",(tbl_task7[29]/tbl_task7[[คะแนนเต็ม]:[คะแนนเต็ม]])*tbl_task7[[%]:[%]])</f>
        <v/>
      </c>
      <c r="GR16" s="121" t="str">
        <f>IF(ISBLANK(tbl_task7[[คะแนนเต็ม]:[คะแนนเต็ม]]),"",(tbl_task7[30]/tbl_task7[[คะแนนเต็ม]:[คะแนนเต็ม]])*tbl_task7[[%]:[%]])</f>
        <v/>
      </c>
      <c r="GS16" s="121" t="str">
        <f>IF(ISBLANK(tbl_task7[[คะแนนเต็ม]:[คะแนนเต็ม]]),"",(tbl_task7[31]/tbl_task7[[คะแนนเต็ม]:[คะแนนเต็ม]])*tbl_task7[[%]:[%]])</f>
        <v/>
      </c>
      <c r="GT16" s="121" t="str">
        <f>IF(ISBLANK(tbl_task7[[คะแนนเต็ม]:[คะแนนเต็ม]]),"",(tbl_task7[32]/tbl_task7[[คะแนนเต็ม]:[คะแนนเต็ม]])*tbl_task7[[%]:[%]])</f>
        <v/>
      </c>
      <c r="GU16" s="121" t="str">
        <f>IF(ISBLANK(tbl_task7[[คะแนนเต็ม]:[คะแนนเต็ม]]),"",(tbl_task7[33]/tbl_task7[[คะแนนเต็ม]:[คะแนนเต็ม]])*tbl_task7[[%]:[%]])</f>
        <v/>
      </c>
      <c r="GV16" s="121" t="str">
        <f>IF(ISBLANK(tbl_task7[[คะแนนเต็ม]:[คะแนนเต็ม]]),"",(tbl_task7[34]/tbl_task7[[คะแนนเต็ม]:[คะแนนเต็ม]])*tbl_task7[[%]:[%]])</f>
        <v/>
      </c>
      <c r="GW16" s="121" t="str">
        <f>IF(ISBLANK(tbl_task7[[คะแนนเต็ม]:[คะแนนเต็ม]]),"",(tbl_task7[35]/tbl_task7[[คะแนนเต็ม]:[คะแนนเต็ม]])*tbl_task7[[%]:[%]])</f>
        <v/>
      </c>
      <c r="GX16" s="121" t="str">
        <f>IF(ISBLANK(tbl_task7[[คะแนนเต็ม]:[คะแนนเต็ม]]),"",(tbl_task7[36]/tbl_task7[[คะแนนเต็ม]:[คะแนนเต็ม]])*tbl_task7[[%]:[%]])</f>
        <v/>
      </c>
      <c r="GY16" s="121" t="str">
        <f>IF(ISBLANK(tbl_task7[[คะแนนเต็ม]:[คะแนนเต็ม]]),"",(tbl_task7[37]/tbl_task7[[คะแนนเต็ม]:[คะแนนเต็ม]])*tbl_task7[[%]:[%]])</f>
        <v/>
      </c>
      <c r="GZ16" s="121" t="str">
        <f>IF(ISBLANK(tbl_task7[[คะแนนเต็ม]:[คะแนนเต็ม]]),"",(tbl_task7[38]/tbl_task7[[คะแนนเต็ม]:[คะแนนเต็ม]])*tbl_task7[[%]:[%]])</f>
        <v/>
      </c>
      <c r="HA16" s="121" t="str">
        <f>IF(ISBLANK(tbl_task7[[คะแนนเต็ม]:[คะแนนเต็ม]]),"",(tbl_task7[39]/tbl_task7[[คะแนนเต็ม]:[คะแนนเต็ม]])*tbl_task7[[%]:[%]])</f>
        <v/>
      </c>
      <c r="HB16" s="121" t="str">
        <f>IF(ISBLANK(tbl_task7[[คะแนนเต็ม]:[คะแนนเต็ม]]),"",(tbl_task7[40]/tbl_task7[[คะแนนเต็ม]:[คะแนนเต็ม]])*tbl_task7[[%]:[%]])</f>
        <v/>
      </c>
      <c r="HC16" s="121" t="str">
        <f>IF(ISBLANK(tbl_task7[[คะแนนเต็ม]:[คะแนนเต็ม]]),"",(tbl_task7[41]/tbl_task7[[คะแนนเต็ม]:[คะแนนเต็ม]])*tbl_task7[[%]:[%]])</f>
        <v/>
      </c>
      <c r="HD16" s="121" t="str">
        <f>IF(ISBLANK(tbl_task7[[คะแนนเต็ม]:[คะแนนเต็ม]]),"",(tbl_task7[42]/tbl_task7[[คะแนนเต็ม]:[คะแนนเต็ม]])*tbl_task7[[%]:[%]])</f>
        <v/>
      </c>
      <c r="HE16" s="121" t="str">
        <f>IF(ISBLANK(tbl_task7[[คะแนนเต็ม]:[คะแนนเต็ม]]),"",(tbl_task7[43]/tbl_task7[[คะแนนเต็ม]:[คะแนนเต็ม]])*tbl_task7[[%]:[%]])</f>
        <v/>
      </c>
      <c r="HF16" s="121" t="str">
        <f>IF(ISBLANK(tbl_task7[[คะแนนเต็ม]:[คะแนนเต็ม]]),"",(tbl_task7[44]/tbl_task7[[คะแนนเต็ม]:[คะแนนเต็ม]])*tbl_task7[[%]:[%]])</f>
        <v/>
      </c>
      <c r="HG16" s="121" t="str">
        <f>IF(ISBLANK(tbl_task7[[คะแนนเต็ม]:[คะแนนเต็ม]]),"",(tbl_task7[45]/tbl_task7[[คะแนนเต็ม]:[คะแนนเต็ม]])*tbl_task7[[%]:[%]])</f>
        <v/>
      </c>
      <c r="HH16" s="121" t="str">
        <f>IF(ISBLANK(tbl_task7[[คะแนนเต็ม]:[คะแนนเต็ม]]),"",(tbl_task7[46]/tbl_task7[[คะแนนเต็ม]:[คะแนนเต็ม]])*tbl_task7[[%]:[%]])</f>
        <v/>
      </c>
      <c r="HI16" s="121" t="str">
        <f>IF(ISBLANK(tbl_task7[[คะแนนเต็ม]:[คะแนนเต็ม]]),"",(tbl_task7[47]/tbl_task7[[คะแนนเต็ม]:[คะแนนเต็ม]])*tbl_task7[[%]:[%]])</f>
        <v/>
      </c>
      <c r="HJ16" s="121" t="str">
        <f>IF(ISBLANK(tbl_task7[[คะแนนเต็ม]:[คะแนนเต็ม]]),"",(tbl_task7[48]/tbl_task7[[คะแนนเต็ม]:[คะแนนเต็ม]])*tbl_task7[[%]:[%]])</f>
        <v/>
      </c>
      <c r="HK16" s="121" t="str">
        <f>IF(ISBLANK(tbl_task7[[คะแนนเต็ม]:[คะแนนเต็ม]]),"",(tbl_task7[49]/tbl_task7[[คะแนนเต็ม]:[คะแนนเต็ม]])*tbl_task7[[%]:[%]])</f>
        <v/>
      </c>
      <c r="HL16" s="121" t="str">
        <f>IF(ISBLANK(tbl_task7[[คะแนนเต็ม]:[คะแนนเต็ม]]),"",(tbl_task7[50]/tbl_task7[[คะแนนเต็ม]:[คะแนนเต็ม]])*tbl_task7[[%]:[%]])</f>
        <v/>
      </c>
      <c r="HM16" s="121" t="str">
        <f>IF(ISBLANK(tbl_task7[[คะแนนเต็ม]:[คะแนนเต็ม]]),"",(tbl_task7[51]/tbl_task7[[คะแนนเต็ม]:[คะแนนเต็ม]])*tbl_task7[[%]:[%]])</f>
        <v/>
      </c>
      <c r="HN16" s="121" t="str">
        <f>IF(ISBLANK(tbl_task7[[คะแนนเต็ม]:[คะแนนเต็ม]]),"",(tbl_task7[52]/tbl_task7[[คะแนนเต็ม]:[คะแนนเต็ม]])*tbl_task7[[%]:[%]])</f>
        <v/>
      </c>
      <c r="HO16" s="121" t="str">
        <f>IF(ISBLANK(tbl_task7[[คะแนนเต็ม]:[คะแนนเต็ม]]),"",(tbl_task7[53]/tbl_task7[[คะแนนเต็ม]:[คะแนนเต็ม]])*tbl_task7[[%]:[%]])</f>
        <v/>
      </c>
      <c r="HP16" s="121" t="str">
        <f>IF(ISBLANK(tbl_task7[[คะแนนเต็ม]:[คะแนนเต็ม]]),"",(tbl_task7[54]/tbl_task7[[คะแนนเต็ม]:[คะแนนเต็ม]])*tbl_task7[[%]:[%]])</f>
        <v/>
      </c>
      <c r="HQ16" s="121" t="str">
        <f>IF(ISBLANK(tbl_task7[[คะแนนเต็ม]:[คะแนนเต็ม]]),"",(tbl_task7[55]/tbl_task7[[คะแนนเต็ม]:[คะแนนเต็ม]])*tbl_task7[[%]:[%]])</f>
        <v/>
      </c>
      <c r="HR16" s="121" t="str">
        <f>IF(ISBLANK(tbl_task7[[คะแนนเต็ม]:[คะแนนเต็ม]]),"",(tbl_task7[56]/tbl_task7[[คะแนนเต็ม]:[คะแนนเต็ม]])*tbl_task7[[%]:[%]])</f>
        <v/>
      </c>
      <c r="HS16" s="121" t="str">
        <f>IF(ISBLANK(tbl_task7[[คะแนนเต็ม]:[คะแนนเต็ม]]),"",(tbl_task7[57]/tbl_task7[[คะแนนเต็ม]:[คะแนนเต็ม]])*tbl_task7[[%]:[%]])</f>
        <v/>
      </c>
      <c r="HT16" s="121" t="str">
        <f>IF(ISBLANK(tbl_task7[[คะแนนเต็ม]:[คะแนนเต็ม]]),"",(tbl_task7[58]/tbl_task7[[คะแนนเต็ม]:[คะแนนเต็ม]])*tbl_task7[[%]:[%]])</f>
        <v/>
      </c>
      <c r="HU16" s="121" t="str">
        <f>IF(ISBLANK(tbl_task7[[คะแนนเต็ม]:[คะแนนเต็ม]]),"",(tbl_task7[59]/tbl_task7[[คะแนนเต็ม]:[คะแนนเต็ม]])*tbl_task7[[%]:[%]])</f>
        <v/>
      </c>
      <c r="HV16" s="121" t="str">
        <f>IF(ISBLANK(tbl_task7[[คะแนนเต็ม]:[คะแนนเต็ม]]),"",(tbl_task7[60]/tbl_task7[[คะแนนเต็ม]:[คะแนนเต็ม]])*tbl_task7[[%]:[%]])</f>
        <v/>
      </c>
      <c r="HW16" s="121" t="str">
        <f>IF(ISBLANK(tbl_task7[[คะแนนเต็ม]:[คะแนนเต็ม]]),"",(tbl_task7[61]/tbl_task7[[คะแนนเต็ม]:[คะแนนเต็ม]])*tbl_task7[[%]:[%]])</f>
        <v/>
      </c>
      <c r="HX16" s="121" t="str">
        <f>IF(ISBLANK(tbl_task7[[คะแนนเต็ม]:[คะแนนเต็ม]]),"",(tbl_task7[62]/tbl_task7[[คะแนนเต็ม]:[คะแนนเต็ม]])*tbl_task7[[%]:[%]])</f>
        <v/>
      </c>
      <c r="HY16" s="121" t="str">
        <f>IF(ISBLANK(tbl_task7[[คะแนนเต็ม]:[คะแนนเต็ม]]),"",(tbl_task7[63]/tbl_task7[[คะแนนเต็ม]:[คะแนนเต็ม]])*tbl_task7[[%]:[%]])</f>
        <v/>
      </c>
      <c r="HZ16" s="121" t="str">
        <f>IF(ISBLANK(tbl_task7[[คะแนนเต็ม]:[คะแนนเต็ม]]),"",(tbl_task7[64]/tbl_task7[[คะแนนเต็ม]:[คะแนนเต็ม]])*tbl_task7[[%]:[%]])</f>
        <v/>
      </c>
      <c r="IA16" s="121" t="str">
        <f>IF(ISBLANK(tbl_task7[[คะแนนเต็ม]:[คะแนนเต็ม]]),"",(tbl_task7[65]/tbl_task7[[คะแนนเต็ม]:[คะแนนเต็ม]])*tbl_task7[[%]:[%]])</f>
        <v/>
      </c>
      <c r="IB16" s="121" t="str">
        <f>IF(ISBLANK(tbl_task7[[คะแนนเต็ม]:[คะแนนเต็ม]]),"",(tbl_task7[66]/tbl_task7[[คะแนนเต็ม]:[คะแนนเต็ม]])*tbl_task7[[%]:[%]])</f>
        <v/>
      </c>
      <c r="IC16" s="121" t="str">
        <f>IF(ISBLANK(tbl_task7[[คะแนนเต็ม]:[คะแนนเต็ม]]),"",(tbl_task7[67]/tbl_task7[[คะแนนเต็ม]:[คะแนนเต็ม]])*tbl_task7[[%]:[%]])</f>
        <v/>
      </c>
      <c r="ID16" s="121" t="str">
        <f>IF(ISBLANK(tbl_task7[[คะแนนเต็ม]:[คะแนนเต็ม]]),"",(tbl_task7[68]/tbl_task7[[คะแนนเต็ม]:[คะแนนเต็ม]])*tbl_task7[[%]:[%]])</f>
        <v/>
      </c>
      <c r="IE16" s="121" t="str">
        <f>IF(ISBLANK(tbl_task7[[คะแนนเต็ม]:[คะแนนเต็ม]]),"",(tbl_task7[69]/tbl_task7[[คะแนนเต็ม]:[คะแนนเต็ม]])*tbl_task7[[%]:[%]])</f>
        <v/>
      </c>
      <c r="IF16" s="121" t="str">
        <f>IF(ISBLANK(tbl_task7[[คะแนนเต็ม]:[คะแนนเต็ม]]),"",(tbl_task7[70]/tbl_task7[[คะแนนเต็ม]:[คะแนนเต็ม]])*tbl_task7[[%]:[%]])</f>
        <v/>
      </c>
      <c r="IG16" s="121" t="str">
        <f>IF(ISBLANK(tbl_task7[[คะแนนเต็ม]:[คะแนนเต็ม]]),"",(tbl_task7[71]/tbl_task7[[คะแนนเต็ม]:[คะแนนเต็ม]])*tbl_task7[[%]:[%]])</f>
        <v/>
      </c>
      <c r="IH16" s="121" t="str">
        <f>IF(ISBLANK(tbl_task7[[คะแนนเต็ม]:[คะแนนเต็ม]]),"",(tbl_task7[72]/tbl_task7[[คะแนนเต็ม]:[คะแนนเต็ม]])*tbl_task7[[%]:[%]])</f>
        <v/>
      </c>
      <c r="II16" s="121" t="str">
        <f>IF(ISBLANK(tbl_task7[[คะแนนเต็ม]:[คะแนนเต็ม]]),"",(tbl_task7[73]/tbl_task7[[คะแนนเต็ม]:[คะแนนเต็ม]])*tbl_task7[[%]:[%]])</f>
        <v/>
      </c>
      <c r="IJ16" s="121" t="str">
        <f>IF(ISBLANK(tbl_task7[[คะแนนเต็ม]:[คะแนนเต็ม]]),"",(tbl_task7[74]/tbl_task7[[คะแนนเต็ม]:[คะแนนเต็ม]])*tbl_task7[[%]:[%]])</f>
        <v/>
      </c>
      <c r="IK16" s="121" t="str">
        <f>IF(ISBLANK(tbl_task7[[คะแนนเต็ม]:[คะแนนเต็ม]]),"",(tbl_task7[75]/tbl_task7[[คะแนนเต็ม]:[คะแนนเต็ม]])*tbl_task7[[%]:[%]])</f>
        <v/>
      </c>
      <c r="IL16" s="121" t="str">
        <f>IF(ISBLANK(tbl_task7[[คะแนนเต็ม]:[คะแนนเต็ม]]),"",(tbl_task7[76]/tbl_task7[[คะแนนเต็ม]:[คะแนนเต็ม]])*tbl_task7[[%]:[%]])</f>
        <v/>
      </c>
      <c r="IM16" s="121" t="str">
        <f>IF(ISBLANK(tbl_task7[[คะแนนเต็ม]:[คะแนนเต็ม]]),"",(tbl_task7[77]/tbl_task7[[คะแนนเต็ม]:[คะแนนเต็ม]])*tbl_task7[[%]:[%]])</f>
        <v/>
      </c>
      <c r="IN16" s="121" t="str">
        <f>IF(ISBLANK(tbl_task7[[คะแนนเต็ม]:[คะแนนเต็ม]]),"",(tbl_task7[78]/tbl_task7[[คะแนนเต็ม]:[คะแนนเต็ม]])*tbl_task7[[%]:[%]])</f>
        <v/>
      </c>
      <c r="IO16" s="121" t="str">
        <f>IF(ISBLANK(tbl_task7[[คะแนนเต็ม]:[คะแนนเต็ม]]),"",(tbl_task7[79]/tbl_task7[[คะแนนเต็ม]:[คะแนนเต็ม]])*tbl_task7[[%]:[%]])</f>
        <v/>
      </c>
      <c r="IP16" s="121" t="str">
        <f>IF(ISBLANK(tbl_task7[[คะแนนเต็ม]:[คะแนนเต็ม]]),"",(tbl_task7[80]/tbl_task7[[คะแนนเต็ม]:[คะแนนเต็ม]])*tbl_task7[[%]:[%]])</f>
        <v/>
      </c>
      <c r="IQ16" s="121" t="str">
        <f>IF(ISBLANK(tbl_task7[[คะแนนเต็ม]:[คะแนนเต็ม]]),"",(tbl_task7[81]/tbl_task7[[คะแนนเต็ม]:[คะแนนเต็ม]])*tbl_task7[[%]:[%]])</f>
        <v/>
      </c>
      <c r="IR16" s="121" t="str">
        <f>IF(ISBLANK(tbl_task7[[คะแนนเต็ม]:[คะแนนเต็ม]]),"",(tbl_task7[82]/tbl_task7[[คะแนนเต็ม]:[คะแนนเต็ม]])*tbl_task7[[%]:[%]])</f>
        <v/>
      </c>
      <c r="IS16" s="121" t="str">
        <f>IF(ISBLANK(tbl_task7[[คะแนนเต็ม]:[คะแนนเต็ม]]),"",(tbl_task7[83]/tbl_task7[[คะแนนเต็ม]:[คะแนนเต็ม]])*tbl_task7[[%]:[%]])</f>
        <v/>
      </c>
      <c r="IT16" s="121" t="str">
        <f>IF(ISBLANK(tbl_task7[[คะแนนเต็ม]:[คะแนนเต็ม]]),"",(tbl_task7[84]/tbl_task7[[คะแนนเต็ม]:[คะแนนเต็ม]])*tbl_task7[[%]:[%]])</f>
        <v/>
      </c>
      <c r="IU16" s="121" t="str">
        <f>IF(ISBLANK(tbl_task7[[คะแนนเต็ม]:[คะแนนเต็ม]]),"",(tbl_task7[85]/tbl_task7[[คะแนนเต็ม]:[คะแนนเต็ม]])*tbl_task7[[%]:[%]])</f>
        <v/>
      </c>
      <c r="IV16" s="121" t="str">
        <f>IF(ISBLANK(tbl_task7[[คะแนนเต็ม]:[คะแนนเต็ม]]),"",(tbl_task7[86]/tbl_task7[[คะแนนเต็ม]:[คะแนนเต็ม]])*tbl_task7[[%]:[%]])</f>
        <v/>
      </c>
      <c r="IW16" s="121" t="str">
        <f>IF(ISBLANK(tbl_task7[[คะแนนเต็ม]:[คะแนนเต็ม]]),"",(tbl_task7[87]/tbl_task7[[คะแนนเต็ม]:[คะแนนเต็ม]])*tbl_task7[[%]:[%]])</f>
        <v/>
      </c>
      <c r="IX16" s="121" t="str">
        <f>IF(ISBLANK(tbl_task7[[คะแนนเต็ม]:[คะแนนเต็ม]]),"",(tbl_task7[88]/tbl_task7[[คะแนนเต็ม]:[คะแนนเต็ม]])*tbl_task7[[%]:[%]])</f>
        <v/>
      </c>
      <c r="IY16" s="121" t="str">
        <f>IF(ISBLANK(tbl_task7[[คะแนนเต็ม]:[คะแนนเต็ม]]),"",(tbl_task7[89]/tbl_task7[[คะแนนเต็ม]:[คะแนนเต็ม]])*tbl_task7[[%]:[%]])</f>
        <v/>
      </c>
      <c r="IZ16" s="121" t="str">
        <f>IF(ISBLANK(tbl_task7[[คะแนนเต็ม]:[คะแนนเต็ม]]),"",(tbl_task7[90]/tbl_task7[[คะแนนเต็ม]:[คะแนนเต็ม]])*tbl_task7[[%]:[%]])</f>
        <v/>
      </c>
      <c r="JA16" s="121" t="str">
        <f>IF(ISBLANK(tbl_task7[[คะแนนเต็ม]:[คะแนนเต็ม]]),"",(tbl_task7[91]/tbl_task7[[คะแนนเต็ม]:[คะแนนเต็ม]])*tbl_task7[[%]:[%]])</f>
        <v/>
      </c>
      <c r="JB16" s="121" t="str">
        <f>IF(ISBLANK(tbl_task7[[คะแนนเต็ม]:[คะแนนเต็ม]]),"",(tbl_task7[92]/tbl_task7[[คะแนนเต็ม]:[คะแนนเต็ม]])*tbl_task7[[%]:[%]])</f>
        <v/>
      </c>
      <c r="JC16" s="121" t="str">
        <f>IF(ISBLANK(tbl_task7[[คะแนนเต็ม]:[คะแนนเต็ม]]),"",(tbl_task7[93]/tbl_task7[[คะแนนเต็ม]:[คะแนนเต็ม]])*tbl_task7[[%]:[%]])</f>
        <v/>
      </c>
      <c r="JD16" s="121" t="str">
        <f>IF(ISBLANK(tbl_task7[[คะแนนเต็ม]:[คะแนนเต็ม]]),"",(tbl_task7[94]/tbl_task7[[คะแนนเต็ม]:[คะแนนเต็ม]])*tbl_task7[[%]:[%]])</f>
        <v/>
      </c>
      <c r="JE16" s="121" t="str">
        <f>IF(ISBLANK(tbl_task7[[คะแนนเต็ม]:[คะแนนเต็ม]]),"",(tbl_task7[95]/tbl_task7[[คะแนนเต็ม]:[คะแนนเต็ม]])*tbl_task7[[%]:[%]])</f>
        <v/>
      </c>
      <c r="JF16" s="121" t="str">
        <f>IF(ISBLANK(tbl_task7[[คะแนนเต็ม]:[คะแนนเต็ม]]),"",(tbl_task7[96]/tbl_task7[[คะแนนเต็ม]:[คะแนนเต็ม]])*tbl_task7[[%]:[%]])</f>
        <v/>
      </c>
      <c r="JG16" s="121" t="str">
        <f>IF(ISBLANK(tbl_task7[[คะแนนเต็ม]:[คะแนนเต็ม]]),"",(tbl_task7[97]/tbl_task7[[คะแนนเต็ม]:[คะแนนเต็ม]])*tbl_task7[[%]:[%]])</f>
        <v/>
      </c>
      <c r="JH16" s="121" t="str">
        <f>IF(ISBLANK(tbl_task7[[คะแนนเต็ม]:[คะแนนเต็ม]]),"",(tbl_task7[98]/tbl_task7[[คะแนนเต็ม]:[คะแนนเต็ม]])*tbl_task7[[%]:[%]])</f>
        <v/>
      </c>
      <c r="JI16" s="121" t="str">
        <f>IF(ISBLANK(tbl_task7[[คะแนนเต็ม]:[คะแนนเต็ม]]),"",(tbl_task7[99]/tbl_task7[[คะแนนเต็ม]:[คะแนนเต็ม]])*tbl_task7[[%]:[%]])</f>
        <v/>
      </c>
      <c r="JJ16" s="121" t="str">
        <f>IF(ISBLANK(tbl_task7[[คะแนนเต็ม]:[คะแนนเต็ม]]),"",(tbl_task7[100]/tbl_task7[[คะแนนเต็ม]:[คะแนนเต็ม]])*tbl_task7[[%]:[%]])</f>
        <v/>
      </c>
      <c r="JK16" s="121" t="str">
        <f>IF(ISBLANK(tbl_task7[[คะแนนเต็ม]:[คะแนนเต็ม]]),"",(tbl_task7[101]/tbl_task7[[คะแนนเต็ม]:[คะแนนเต็ม]])*tbl_task7[[%]:[%]])</f>
        <v/>
      </c>
      <c r="JL16" s="121" t="str">
        <f>IF(ISBLANK(tbl_task7[[คะแนนเต็ม]:[คะแนนเต็ม]]),"",(tbl_task7[102]/tbl_task7[[คะแนนเต็ม]:[คะแนนเต็ม]])*tbl_task7[[%]:[%]])</f>
        <v/>
      </c>
      <c r="JM16" s="121" t="str">
        <f>IF(ISBLANK(tbl_task7[[คะแนนเต็ม]:[คะแนนเต็ม]]),"",(tbl_task7[103]/tbl_task7[[คะแนนเต็ม]:[คะแนนเต็ม]])*tbl_task7[[%]:[%]])</f>
        <v/>
      </c>
      <c r="JN16" s="121" t="str">
        <f>IF(ISBLANK(tbl_task7[[คะแนนเต็ม]:[คะแนนเต็ม]]),"",(tbl_task7[104]/tbl_task7[[คะแนนเต็ม]:[คะแนนเต็ม]])*tbl_task7[[%]:[%]])</f>
        <v/>
      </c>
      <c r="JO16" s="121" t="str">
        <f>IF(ISBLANK(tbl_task7[[คะแนนเต็ม]:[คะแนนเต็ม]]),"",(tbl_task7[105]/tbl_task7[[คะแนนเต็ม]:[คะแนนเต็ม]])*tbl_task7[[%]:[%]])</f>
        <v/>
      </c>
      <c r="JP16" s="121" t="str">
        <f>IF(ISBLANK(tbl_task7[[คะแนนเต็ม]:[คะแนนเต็ม]]),"",(tbl_task7[106]/tbl_task7[[คะแนนเต็ม]:[คะแนนเต็ม]])*tbl_task7[[%]:[%]])</f>
        <v/>
      </c>
      <c r="JQ16" s="121" t="str">
        <f>IF(ISBLANK(tbl_task7[[คะแนนเต็ม]:[คะแนนเต็ม]]),"",(tbl_task7[107]/tbl_task7[[คะแนนเต็ม]:[คะแนนเต็ม]])*tbl_task7[[%]:[%]])</f>
        <v/>
      </c>
      <c r="JR16" s="121" t="str">
        <f>IF(ISBLANK(tbl_task7[[คะแนนเต็ม]:[คะแนนเต็ม]]),"",(tbl_task7[108]/tbl_task7[[คะแนนเต็ม]:[คะแนนเต็ม]])*tbl_task7[[%]:[%]])</f>
        <v/>
      </c>
      <c r="JS16" s="121" t="str">
        <f>IF(ISBLANK(tbl_task7[[คะแนนเต็ม]:[คะแนนเต็ม]]),"",(tbl_task7[109]/tbl_task7[[คะแนนเต็ม]:[คะแนนเต็ม]])*tbl_task7[[%]:[%]])</f>
        <v/>
      </c>
      <c r="JT16" s="121" t="str">
        <f>IF(ISBLANK(tbl_task7[[คะแนนเต็ม]:[คะแนนเต็ม]]),"",(tbl_task7[110]/tbl_task7[[คะแนนเต็ม]:[คะแนนเต็ม]])*tbl_task7[[%]:[%]])</f>
        <v/>
      </c>
      <c r="JU16" s="121" t="str">
        <f>IF(ISBLANK(tbl_task7[[คะแนนเต็ม]:[คะแนนเต็ม]]),"",(tbl_task7[111]/tbl_task7[[คะแนนเต็ม]:[คะแนนเต็ม]])*tbl_task7[[%]:[%]])</f>
        <v/>
      </c>
      <c r="JV16" s="121" t="str">
        <f>IF(ISBLANK(tbl_task7[[คะแนนเต็ม]:[คะแนนเต็ม]]),"",(tbl_task7[112]/tbl_task7[[คะแนนเต็ม]:[คะแนนเต็ม]])*tbl_task7[[%]:[%]])</f>
        <v/>
      </c>
      <c r="JW16" s="121" t="str">
        <f>IF(ISBLANK(tbl_task7[[คะแนนเต็ม]:[คะแนนเต็ม]]),"",(tbl_task7[113]/tbl_task7[[คะแนนเต็ม]:[คะแนนเต็ม]])*tbl_task7[[%]:[%]])</f>
        <v/>
      </c>
      <c r="JX16" s="121" t="str">
        <f>IF(ISBLANK(tbl_task7[[คะแนนเต็ม]:[คะแนนเต็ม]]),"",(tbl_task7[114]/tbl_task7[[คะแนนเต็ม]:[คะแนนเต็ม]])*tbl_task7[[%]:[%]])</f>
        <v/>
      </c>
      <c r="JY16" s="121" t="str">
        <f>IF(ISBLANK(tbl_task7[[คะแนนเต็ม]:[คะแนนเต็ม]]),"",(tbl_task7[115]/tbl_task7[[คะแนนเต็ม]:[คะแนนเต็ม]])*tbl_task7[[%]:[%]])</f>
        <v/>
      </c>
      <c r="JZ16" s="121" t="str">
        <f>IF(ISBLANK(tbl_task7[[คะแนนเต็ม]:[คะแนนเต็ม]]),"",(tbl_task7[116]/tbl_task7[[คะแนนเต็ม]:[คะแนนเต็ม]])*tbl_task7[[%]:[%]])</f>
        <v/>
      </c>
      <c r="KA16" s="121" t="str">
        <f>IF(ISBLANK(tbl_task7[[คะแนนเต็ม]:[คะแนนเต็ม]]),"",(tbl_task7[117]/tbl_task7[[คะแนนเต็ม]:[คะแนนเต็ม]])*tbl_task7[[%]:[%]])</f>
        <v/>
      </c>
      <c r="KB16" s="121" t="str">
        <f>IF(ISBLANK(tbl_task7[[คะแนนเต็ม]:[คะแนนเต็ม]]),"",(tbl_task7[118]/tbl_task7[[คะแนนเต็ม]:[คะแนนเต็ม]])*tbl_task7[[%]:[%]])</f>
        <v/>
      </c>
      <c r="KC16" s="121" t="str">
        <f>IF(ISBLANK(tbl_task7[[คะแนนเต็ม]:[คะแนนเต็ม]]),"",(tbl_task7[119]/tbl_task7[[คะแนนเต็ม]:[คะแนนเต็ม]])*tbl_task7[[%]:[%]])</f>
        <v/>
      </c>
      <c r="KD16" s="121" t="str">
        <f>IF(ISBLANK(tbl_task7[[คะแนนเต็ม]:[คะแนนเต็ม]]),"",(tbl_task7[120]/tbl_task7[[คะแนนเต็ม]:[คะแนนเต็ม]])*tbl_task7[[%]:[%]])</f>
        <v/>
      </c>
      <c r="KE16" s="121" t="str">
        <f>IF(ISBLANK(tbl_task7[[คะแนนเต็ม]:[คะแนนเต็ม]]),"",(tbl_task7[121]/tbl_task7[[คะแนนเต็ม]:[คะแนนเต็ม]])*tbl_task7[[%]:[%]])</f>
        <v/>
      </c>
      <c r="KF16" s="121" t="str">
        <f>IF(ISBLANK(tbl_task7[[คะแนนเต็ม]:[คะแนนเต็ม]]),"",(tbl_task7[122]/tbl_task7[[คะแนนเต็ม]:[คะแนนเต็ม]])*tbl_task7[[%]:[%]])</f>
        <v/>
      </c>
      <c r="KG16" s="121" t="str">
        <f>IF(ISBLANK(tbl_task7[[คะแนนเต็ม]:[คะแนนเต็ม]]),"",(tbl_task7[123]/tbl_task7[[คะแนนเต็ม]:[คะแนนเต็ม]])*tbl_task7[[%]:[%]])</f>
        <v/>
      </c>
      <c r="KH16" s="121" t="str">
        <f>IF(ISBLANK(tbl_task7[[คะแนนเต็ม]:[คะแนนเต็ม]]),"",(tbl_task7[124]/tbl_task7[[คะแนนเต็ม]:[คะแนนเต็ม]])*tbl_task7[[%]:[%]])</f>
        <v/>
      </c>
      <c r="KI16" s="121" t="str">
        <f>IF(ISBLANK(tbl_task7[[คะแนนเต็ม]:[คะแนนเต็ม]]),"",(tbl_task7[125]/tbl_task7[[คะแนนเต็ม]:[คะแนนเต็ม]])*tbl_task7[[%]:[%]])</f>
        <v/>
      </c>
      <c r="KJ16" s="121" t="str">
        <f>IF(ISBLANK(tbl_task7[[คะแนนเต็ม]:[คะแนนเต็ม]]),"",(tbl_task7[126]/tbl_task7[[คะแนนเต็ม]:[คะแนนเต็ม]])*tbl_task7[[%]:[%]])</f>
        <v/>
      </c>
      <c r="KK16" s="121" t="str">
        <f>IF(ISBLANK(tbl_task7[[คะแนนเต็ม]:[คะแนนเต็ม]]),"",(tbl_task7[127]/tbl_task7[[คะแนนเต็ม]:[คะแนนเต็ม]])*tbl_task7[[%]:[%]])</f>
        <v/>
      </c>
      <c r="KL16" s="121" t="str">
        <f>IF(ISBLANK(tbl_task7[[คะแนนเต็ม]:[คะแนนเต็ม]]),"",(tbl_task7[128]/tbl_task7[[คะแนนเต็ม]:[คะแนนเต็ม]])*tbl_task7[[%]:[%]])</f>
        <v/>
      </c>
      <c r="KM16" s="121" t="str">
        <f>IF(ISBLANK(tbl_task7[[คะแนนเต็ม]:[คะแนนเต็ม]]),"",(tbl_task7[129]/tbl_task7[[คะแนนเต็ม]:[คะแนนเต็ม]])*tbl_task7[[%]:[%]])</f>
        <v/>
      </c>
      <c r="KN16" s="121" t="str">
        <f>IF(ISBLANK(tbl_task7[[คะแนนเต็ม]:[คะแนนเต็ม]]),"",(tbl_task7[130]/tbl_task7[[คะแนนเต็ม]:[คะแนนเต็ม]])*tbl_task7[[%]:[%]])</f>
        <v/>
      </c>
      <c r="KO16" s="121" t="str">
        <f>IF(ISBLANK(tbl_task7[[คะแนนเต็ม]:[คะแนนเต็ม]]),"",(tbl_task7[131]/tbl_task7[[คะแนนเต็ม]:[คะแนนเต็ม]])*tbl_task7[[%]:[%]])</f>
        <v/>
      </c>
      <c r="KP16" s="121" t="str">
        <f>IF(ISBLANK(tbl_task7[[คะแนนเต็ม]:[คะแนนเต็ม]]),"",(tbl_task7[132]/tbl_task7[[คะแนนเต็ม]:[คะแนนเต็ม]])*tbl_task7[[%]:[%]])</f>
        <v/>
      </c>
      <c r="KQ16" s="121" t="str">
        <f>IF(ISBLANK(tbl_task7[[คะแนนเต็ม]:[คะแนนเต็ม]]),"",(tbl_task7[133]/tbl_task7[[คะแนนเต็ม]:[คะแนนเต็ม]])*tbl_task7[[%]:[%]])</f>
        <v/>
      </c>
      <c r="KR16" s="121" t="str">
        <f>IF(ISBLANK(tbl_task7[[คะแนนเต็ม]:[คะแนนเต็ม]]),"",(tbl_task7[134]/tbl_task7[[คะแนนเต็ม]:[คะแนนเต็ม]])*tbl_task7[[%]:[%]])</f>
        <v/>
      </c>
      <c r="KS16" s="121" t="str">
        <f>IF(ISBLANK(tbl_task7[[คะแนนเต็ม]:[คะแนนเต็ม]]),"",(tbl_task7[135]/tbl_task7[[คะแนนเต็ม]:[คะแนนเต็ม]])*tbl_task7[[%]:[%]])</f>
        <v/>
      </c>
      <c r="KT16" s="121" t="str">
        <f>IF(ISBLANK(tbl_task7[[คะแนนเต็ม]:[คะแนนเต็ม]]),"",(tbl_task7[136]/tbl_task7[[คะแนนเต็ม]:[คะแนนเต็ม]])*tbl_task7[[%]:[%]])</f>
        <v/>
      </c>
      <c r="KU16" s="121" t="str">
        <f>IF(ISBLANK(tbl_task7[[คะแนนเต็ม]:[คะแนนเต็ม]]),"",(tbl_task7[137]/tbl_task7[[คะแนนเต็ม]:[คะแนนเต็ม]])*tbl_task7[[%]:[%]])</f>
        <v/>
      </c>
      <c r="KV16" s="121" t="str">
        <f>IF(ISBLANK(tbl_task7[[คะแนนเต็ม]:[คะแนนเต็ม]]),"",(tbl_task7[138]/tbl_task7[[คะแนนเต็ม]:[คะแนนเต็ม]])*tbl_task7[[%]:[%]])</f>
        <v/>
      </c>
      <c r="KW16" s="121" t="str">
        <f>IF(ISBLANK(tbl_task7[[คะแนนเต็ม]:[คะแนนเต็ม]]),"",(tbl_task7[139]/tbl_task7[[คะแนนเต็ม]:[คะแนนเต็ม]])*tbl_task7[[%]:[%]])</f>
        <v/>
      </c>
      <c r="KX16" s="121" t="str">
        <f>IF(ISBLANK(tbl_task7[[คะแนนเต็ม]:[คะแนนเต็ม]]),"",(tbl_task7[140]/tbl_task7[[คะแนนเต็ม]:[คะแนนเต็ม]])*tbl_task7[[%]:[%]])</f>
        <v/>
      </c>
      <c r="KY16" s="121" t="str">
        <f>IF(ISBLANK(tbl_task7[[คะแนนเต็ม]:[คะแนนเต็ม]]),"",(tbl_task7[141]/tbl_task7[[คะแนนเต็ม]:[คะแนนเต็ม]])*tbl_task7[[%]:[%]])</f>
        <v/>
      </c>
      <c r="KZ16" s="121" t="str">
        <f>IF(ISBLANK(tbl_task7[[คะแนนเต็ม]:[คะแนนเต็ม]]),"",(tbl_task7[142]/tbl_task7[[คะแนนเต็ม]:[คะแนนเต็ม]])*tbl_task7[[%]:[%]])</f>
        <v/>
      </c>
      <c r="LA16" s="121" t="str">
        <f>IF(ISBLANK(tbl_task7[[คะแนนเต็ม]:[คะแนนเต็ม]]),"",(tbl_task7[143]/tbl_task7[[คะแนนเต็ม]:[คะแนนเต็ม]])*tbl_task7[[%]:[%]])</f>
        <v/>
      </c>
      <c r="LB16" s="121" t="str">
        <f>IF(ISBLANK(tbl_task7[[คะแนนเต็ม]:[คะแนนเต็ม]]),"",(tbl_task7[144]/tbl_task7[[คะแนนเต็ม]:[คะแนนเต็ม]])*tbl_task7[[%]:[%]])</f>
        <v/>
      </c>
      <c r="LC16" s="121" t="str">
        <f>IF(ISBLANK(tbl_task7[[คะแนนเต็ม]:[คะแนนเต็ม]]),"",(tbl_task7[145]/tbl_task7[[คะแนนเต็ม]:[คะแนนเต็ม]])*tbl_task7[[%]:[%]])</f>
        <v/>
      </c>
      <c r="LD16" s="121" t="str">
        <f>IF(ISBLANK(tbl_task7[[คะแนนเต็ม]:[คะแนนเต็ม]]),"",(tbl_task7[146]/tbl_task7[[คะแนนเต็ม]:[คะแนนเต็ม]])*tbl_task7[[%]:[%]])</f>
        <v/>
      </c>
      <c r="LE16" s="121" t="str">
        <f>IF(ISBLANK(tbl_task7[[คะแนนเต็ม]:[คะแนนเต็ม]]),"",(tbl_task7[147]/tbl_task7[[คะแนนเต็ม]:[คะแนนเต็ม]])*tbl_task7[[%]:[%]])</f>
        <v/>
      </c>
      <c r="LF16" s="121" t="str">
        <f>IF(ISBLANK(tbl_task7[[คะแนนเต็ม]:[คะแนนเต็ม]]),"",(tbl_task7[148]/tbl_task7[[คะแนนเต็ม]:[คะแนนเต็ม]])*tbl_task7[[%]:[%]])</f>
        <v/>
      </c>
      <c r="LG16" s="121" t="str">
        <f>IF(ISBLANK(tbl_task7[[คะแนนเต็ม]:[คะแนนเต็ม]]),"",(tbl_task7[149]/tbl_task7[[คะแนนเต็ม]:[คะแนนเต็ม]])*tbl_task7[[%]:[%]])</f>
        <v/>
      </c>
      <c r="LH16" s="121" t="str">
        <f>IF(ISBLANK(tbl_task7[[คะแนนเต็ม]:[คะแนนเต็ม]]),"",(tbl_task7[150]/tbl_task7[[คะแนนเต็ม]:[คะแนนเต็ม]])*tbl_task7[[%]:[%]])</f>
        <v/>
      </c>
      <c r="LI16" s="121" t="str">
        <f>IF(ISBLANK(tbl_task7[[คะแนนเต็ม]:[คะแนนเต็ม]]),"",(tbl_task7[151]/tbl_task7[[คะแนนเต็ม]:[คะแนนเต็ม]])*tbl_task7[[%]:[%]])</f>
        <v/>
      </c>
      <c r="LJ16" s="121" t="str">
        <f>IF(ISBLANK(tbl_task7[[คะแนนเต็ม]:[คะแนนเต็ม]]),"",(tbl_task7[152]/tbl_task7[[คะแนนเต็ม]:[คะแนนเต็ม]])*tbl_task7[[%]:[%]])</f>
        <v/>
      </c>
      <c r="LK16" s="121" t="str">
        <f>IF(ISBLANK(tbl_task7[[คะแนนเต็ม]:[คะแนนเต็ม]]),"",(tbl_task7[153]/tbl_task7[[คะแนนเต็ม]:[คะแนนเต็ม]])*tbl_task7[[%]:[%]])</f>
        <v/>
      </c>
      <c r="LL16" s="121" t="str">
        <f>IF(ISBLANK(tbl_task7[[คะแนนเต็ม]:[คะแนนเต็ม]]),"",(tbl_task7[154]/tbl_task7[[คะแนนเต็ม]:[คะแนนเต็ม]])*tbl_task7[[%]:[%]])</f>
        <v/>
      </c>
      <c r="LM16" s="121" t="str">
        <f>IF(ISBLANK(tbl_task7[[คะแนนเต็ม]:[คะแนนเต็ม]]),"",(tbl_task7[155]/tbl_task7[[คะแนนเต็ม]:[คะแนนเต็ม]])*tbl_task7[[%]:[%]])</f>
        <v/>
      </c>
      <c r="LN16" s="121" t="str">
        <f>IF(ISBLANK(tbl_task7[[คะแนนเต็ม]:[คะแนนเต็ม]]),"",(tbl_task7[156]/tbl_task7[[คะแนนเต็ม]:[คะแนนเต็ม]])*tbl_task7[[%]:[%]])</f>
        <v/>
      </c>
      <c r="LO16" s="121" t="str">
        <f>IF(ISBLANK(tbl_task7[[คะแนนเต็ม]:[คะแนนเต็ม]]),"",(tbl_task7[157]/tbl_task7[[คะแนนเต็ม]:[คะแนนเต็ม]])*tbl_task7[[%]:[%]])</f>
        <v/>
      </c>
      <c r="LP16" s="121" t="str">
        <f>IF(ISBLANK(tbl_task7[[คะแนนเต็ม]:[คะแนนเต็ม]]),"",(tbl_task7[158]/tbl_task7[[คะแนนเต็ม]:[คะแนนเต็ม]])*tbl_task7[[%]:[%]])</f>
        <v/>
      </c>
      <c r="LQ16" s="121" t="str">
        <f>IF(ISBLANK(tbl_task7[[คะแนนเต็ม]:[คะแนนเต็ม]]),"",(tbl_task7[159]/tbl_task7[[คะแนนเต็ม]:[คะแนนเต็ม]])*tbl_task7[[%]:[%]])</f>
        <v/>
      </c>
      <c r="LR16" s="121" t="str">
        <f>IF(ISBLANK(tbl_task7[[คะแนนเต็ม]:[คะแนนเต็ม]]),"",(tbl_task7[160]/tbl_task7[[คะแนนเต็ม]:[คะแนนเต็ม]])*tbl_task7[[%]:[%]])</f>
        <v/>
      </c>
      <c r="LS16" s="121" t="str">
        <f>IF(ISBLANK(tbl_task7[[คะแนนเต็ม]:[คะแนนเต็ม]]),"",(tbl_task7[161]/tbl_task7[[คะแนนเต็ม]:[คะแนนเต็ม]])*tbl_task7[[%]:[%]])</f>
        <v/>
      </c>
      <c r="LT16" s="121" t="str">
        <f>IF(ISBLANK(tbl_task7[[คะแนนเต็ม]:[คะแนนเต็ม]]),"",(tbl_task7[162]/tbl_task7[[คะแนนเต็ม]:[คะแนนเต็ม]])*tbl_task7[[%]:[%]])</f>
        <v/>
      </c>
      <c r="LU16" s="121" t="str">
        <f>IF(ISBLANK(tbl_task7[[คะแนนเต็ม]:[คะแนนเต็ม]]),"",(tbl_task7[163]/tbl_task7[[คะแนนเต็ม]:[คะแนนเต็ม]])*tbl_task7[[%]:[%]])</f>
        <v/>
      </c>
      <c r="LV16" s="121" t="str">
        <f>IF(ISBLANK(tbl_task7[[คะแนนเต็ม]:[คะแนนเต็ม]]),"",(tbl_task7[164]/tbl_task7[[คะแนนเต็ม]:[คะแนนเต็ม]])*tbl_task7[[%]:[%]])</f>
        <v/>
      </c>
      <c r="LW16" s="121" t="str">
        <f>IF(ISBLANK(tbl_task7[[คะแนนเต็ม]:[คะแนนเต็ม]]),"",(tbl_task7[165]/tbl_task7[[คะแนนเต็ม]:[คะแนนเต็ม]])*tbl_task7[[%]:[%]])</f>
        <v/>
      </c>
    </row>
    <row r="17" spans="1:335" ht="24" customHeight="1" x14ac:dyDescent="0.25">
      <c r="A17" s="24">
        <v>14</v>
      </c>
      <c r="B17" s="20"/>
      <c r="C17" s="5" t="str">
        <f>IF(ISBLANK(B17),"",VLOOKUP(B17,tbl_PLOs[],2,0))</f>
        <v/>
      </c>
      <c r="D17" s="102"/>
      <c r="E17" s="10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121" t="str">
        <f>IF(ISBLANK(tbl_task7[[คะแนนเต็ม]:[คะแนนเต็ม]]),"",(tbl_task7[1]/tbl_task7[[คะแนนเต็ม]:[คะแนนเต็ม]])*tbl_task7[[%]:[%]])</f>
        <v/>
      </c>
      <c r="FP17" s="121" t="str">
        <f>IF(ISBLANK(tbl_task7[[คะแนนเต็ม]:[คะแนนเต็ม]]),"",(tbl_task7[2]/tbl_task7[[คะแนนเต็ม]:[คะแนนเต็ม]])*tbl_task7[[%]:[%]])</f>
        <v/>
      </c>
      <c r="FQ17" s="121" t="str">
        <f>IF(ISBLANK(tbl_task7[[คะแนนเต็ม]:[คะแนนเต็ม]]),"",(tbl_task7[3]/tbl_task7[[คะแนนเต็ม]:[คะแนนเต็ม]])*tbl_task7[[%]:[%]])</f>
        <v/>
      </c>
      <c r="FR17" s="121" t="str">
        <f>IF(ISBLANK(tbl_task7[[คะแนนเต็ม]:[คะแนนเต็ม]]),"",(tbl_task7[4]/tbl_task7[[คะแนนเต็ม]:[คะแนนเต็ม]])*tbl_task7[[%]:[%]])</f>
        <v/>
      </c>
      <c r="FS17" s="121" t="str">
        <f>IF(ISBLANK(tbl_task7[[คะแนนเต็ม]:[คะแนนเต็ม]]),"",(tbl_task7[5]/tbl_task7[[คะแนนเต็ม]:[คะแนนเต็ม]])*tbl_task7[[%]:[%]])</f>
        <v/>
      </c>
      <c r="FT17" s="121" t="str">
        <f>IF(ISBLANK(tbl_task7[[คะแนนเต็ม]:[คะแนนเต็ม]]),"",(tbl_task7[6]/tbl_task7[[คะแนนเต็ม]:[คะแนนเต็ม]])*tbl_task7[[%]:[%]])</f>
        <v/>
      </c>
      <c r="FU17" s="121" t="str">
        <f>IF(ISBLANK(tbl_task7[[คะแนนเต็ม]:[คะแนนเต็ม]]),"",(tbl_task7[7]/tbl_task7[[คะแนนเต็ม]:[คะแนนเต็ม]])*tbl_task7[[%]:[%]])</f>
        <v/>
      </c>
      <c r="FV17" s="121" t="str">
        <f>IF(ISBLANK(tbl_task7[[คะแนนเต็ม]:[คะแนนเต็ม]]),"",(tbl_task7[8]/tbl_task7[[คะแนนเต็ม]:[คะแนนเต็ม]])*tbl_task7[[%]:[%]])</f>
        <v/>
      </c>
      <c r="FW17" s="121" t="str">
        <f>IF(ISBLANK(tbl_task7[[คะแนนเต็ม]:[คะแนนเต็ม]]),"",(tbl_task7[9]/tbl_task7[[คะแนนเต็ม]:[คะแนนเต็ม]])*tbl_task7[[%]:[%]])</f>
        <v/>
      </c>
      <c r="FX17" s="121" t="str">
        <f>IF(ISBLANK(tbl_task7[[คะแนนเต็ม]:[คะแนนเต็ม]]),"",(tbl_task7[10]/tbl_task7[[คะแนนเต็ม]:[คะแนนเต็ม]])*tbl_task7[[%]:[%]])</f>
        <v/>
      </c>
      <c r="FY17" s="121" t="str">
        <f>IF(ISBLANK(tbl_task7[[คะแนนเต็ม]:[คะแนนเต็ม]]),"",(tbl_task7[11]/tbl_task7[[คะแนนเต็ม]:[คะแนนเต็ม]])*tbl_task7[[%]:[%]])</f>
        <v/>
      </c>
      <c r="FZ17" s="121" t="str">
        <f>IF(ISBLANK(tbl_task7[[คะแนนเต็ม]:[คะแนนเต็ม]]),"",(tbl_task7[12]/tbl_task7[[คะแนนเต็ม]:[คะแนนเต็ม]])*tbl_task7[[%]:[%]])</f>
        <v/>
      </c>
      <c r="GA17" s="121" t="str">
        <f>IF(ISBLANK(tbl_task7[[คะแนนเต็ม]:[คะแนนเต็ม]]),"",(tbl_task7[13]/tbl_task7[[คะแนนเต็ม]:[คะแนนเต็ม]])*tbl_task7[[%]:[%]])</f>
        <v/>
      </c>
      <c r="GB17" s="121" t="str">
        <f>IF(ISBLANK(tbl_task7[[คะแนนเต็ม]:[คะแนนเต็ม]]),"",(tbl_task7[14]/tbl_task7[[คะแนนเต็ม]:[คะแนนเต็ม]])*tbl_task7[[%]:[%]])</f>
        <v/>
      </c>
      <c r="GC17" s="121" t="str">
        <f>IF(ISBLANK(tbl_task7[[คะแนนเต็ม]:[คะแนนเต็ม]]),"",(tbl_task7[15]/tbl_task7[[คะแนนเต็ม]:[คะแนนเต็ม]])*tbl_task7[[%]:[%]])</f>
        <v/>
      </c>
      <c r="GD17" s="121" t="str">
        <f>IF(ISBLANK(tbl_task7[[คะแนนเต็ม]:[คะแนนเต็ม]]),"",(tbl_task7[16]/tbl_task7[[คะแนนเต็ม]:[คะแนนเต็ม]])*tbl_task7[[%]:[%]])</f>
        <v/>
      </c>
      <c r="GE17" s="121" t="str">
        <f>IF(ISBLANK(tbl_task7[[คะแนนเต็ม]:[คะแนนเต็ม]]),"",(tbl_task7[17]/tbl_task7[[คะแนนเต็ม]:[คะแนนเต็ม]])*tbl_task7[[%]:[%]])</f>
        <v/>
      </c>
      <c r="GF17" s="121" t="str">
        <f>IF(ISBLANK(tbl_task7[[คะแนนเต็ม]:[คะแนนเต็ม]]),"",(tbl_task7[18]/tbl_task7[[คะแนนเต็ม]:[คะแนนเต็ม]])*tbl_task7[[%]:[%]])</f>
        <v/>
      </c>
      <c r="GG17" s="121" t="str">
        <f>IF(ISBLANK(tbl_task7[[คะแนนเต็ม]:[คะแนนเต็ม]]),"",(tbl_task7[19]/tbl_task7[[คะแนนเต็ม]:[คะแนนเต็ม]])*tbl_task7[[%]:[%]])</f>
        <v/>
      </c>
      <c r="GH17" s="121" t="str">
        <f>IF(ISBLANK(tbl_task7[[คะแนนเต็ม]:[คะแนนเต็ม]]),"",(tbl_task7[20]/tbl_task7[[คะแนนเต็ม]:[คะแนนเต็ม]])*tbl_task7[[%]:[%]])</f>
        <v/>
      </c>
      <c r="GI17" s="121" t="str">
        <f>IF(ISBLANK(tbl_task7[[คะแนนเต็ม]:[คะแนนเต็ม]]),"",(tbl_task7[21]/tbl_task7[[คะแนนเต็ม]:[คะแนนเต็ม]])*tbl_task7[[%]:[%]])</f>
        <v/>
      </c>
      <c r="GJ17" s="121" t="str">
        <f>IF(ISBLANK(tbl_task7[[คะแนนเต็ม]:[คะแนนเต็ม]]),"",(tbl_task7[22]/tbl_task7[[คะแนนเต็ม]:[คะแนนเต็ม]])*tbl_task7[[%]:[%]])</f>
        <v/>
      </c>
      <c r="GK17" s="121" t="str">
        <f>IF(ISBLANK(tbl_task7[[คะแนนเต็ม]:[คะแนนเต็ม]]),"",(tbl_task7[23]/tbl_task7[[คะแนนเต็ม]:[คะแนนเต็ม]])*tbl_task7[[%]:[%]])</f>
        <v/>
      </c>
      <c r="GL17" s="121" t="str">
        <f>IF(ISBLANK(tbl_task7[[คะแนนเต็ม]:[คะแนนเต็ม]]),"",(tbl_task7[24]/tbl_task7[[คะแนนเต็ม]:[คะแนนเต็ม]])*tbl_task7[[%]:[%]])</f>
        <v/>
      </c>
      <c r="GM17" s="121" t="str">
        <f>IF(ISBLANK(tbl_task7[[คะแนนเต็ม]:[คะแนนเต็ม]]),"",(tbl_task7[25]/tbl_task7[[คะแนนเต็ม]:[คะแนนเต็ม]])*tbl_task7[[%]:[%]])</f>
        <v/>
      </c>
      <c r="GN17" s="121" t="str">
        <f>IF(ISBLANK(tbl_task7[[คะแนนเต็ม]:[คะแนนเต็ม]]),"",(tbl_task7[26]/tbl_task7[[คะแนนเต็ม]:[คะแนนเต็ม]])*tbl_task7[[%]:[%]])</f>
        <v/>
      </c>
      <c r="GO17" s="121" t="str">
        <f>IF(ISBLANK(tbl_task7[[คะแนนเต็ม]:[คะแนนเต็ม]]),"",(tbl_task7[27]/tbl_task7[[คะแนนเต็ม]:[คะแนนเต็ม]])*tbl_task7[[%]:[%]])</f>
        <v/>
      </c>
      <c r="GP17" s="121" t="str">
        <f>IF(ISBLANK(tbl_task7[[คะแนนเต็ม]:[คะแนนเต็ม]]),"",(tbl_task7[28]/tbl_task7[[คะแนนเต็ม]:[คะแนนเต็ม]])*tbl_task7[[%]:[%]])</f>
        <v/>
      </c>
      <c r="GQ17" s="121" t="str">
        <f>IF(ISBLANK(tbl_task7[[คะแนนเต็ม]:[คะแนนเต็ม]]),"",(tbl_task7[29]/tbl_task7[[คะแนนเต็ม]:[คะแนนเต็ม]])*tbl_task7[[%]:[%]])</f>
        <v/>
      </c>
      <c r="GR17" s="121" t="str">
        <f>IF(ISBLANK(tbl_task7[[คะแนนเต็ม]:[คะแนนเต็ม]]),"",(tbl_task7[30]/tbl_task7[[คะแนนเต็ม]:[คะแนนเต็ม]])*tbl_task7[[%]:[%]])</f>
        <v/>
      </c>
      <c r="GS17" s="121" t="str">
        <f>IF(ISBLANK(tbl_task7[[คะแนนเต็ม]:[คะแนนเต็ม]]),"",(tbl_task7[31]/tbl_task7[[คะแนนเต็ม]:[คะแนนเต็ม]])*tbl_task7[[%]:[%]])</f>
        <v/>
      </c>
      <c r="GT17" s="121" t="str">
        <f>IF(ISBLANK(tbl_task7[[คะแนนเต็ม]:[คะแนนเต็ม]]),"",(tbl_task7[32]/tbl_task7[[คะแนนเต็ม]:[คะแนนเต็ม]])*tbl_task7[[%]:[%]])</f>
        <v/>
      </c>
      <c r="GU17" s="121" t="str">
        <f>IF(ISBLANK(tbl_task7[[คะแนนเต็ม]:[คะแนนเต็ม]]),"",(tbl_task7[33]/tbl_task7[[คะแนนเต็ม]:[คะแนนเต็ม]])*tbl_task7[[%]:[%]])</f>
        <v/>
      </c>
      <c r="GV17" s="121" t="str">
        <f>IF(ISBLANK(tbl_task7[[คะแนนเต็ม]:[คะแนนเต็ม]]),"",(tbl_task7[34]/tbl_task7[[คะแนนเต็ม]:[คะแนนเต็ม]])*tbl_task7[[%]:[%]])</f>
        <v/>
      </c>
      <c r="GW17" s="121" t="str">
        <f>IF(ISBLANK(tbl_task7[[คะแนนเต็ม]:[คะแนนเต็ม]]),"",(tbl_task7[35]/tbl_task7[[คะแนนเต็ม]:[คะแนนเต็ม]])*tbl_task7[[%]:[%]])</f>
        <v/>
      </c>
      <c r="GX17" s="121" t="str">
        <f>IF(ISBLANK(tbl_task7[[คะแนนเต็ม]:[คะแนนเต็ม]]),"",(tbl_task7[36]/tbl_task7[[คะแนนเต็ม]:[คะแนนเต็ม]])*tbl_task7[[%]:[%]])</f>
        <v/>
      </c>
      <c r="GY17" s="121" t="str">
        <f>IF(ISBLANK(tbl_task7[[คะแนนเต็ม]:[คะแนนเต็ม]]),"",(tbl_task7[37]/tbl_task7[[คะแนนเต็ม]:[คะแนนเต็ม]])*tbl_task7[[%]:[%]])</f>
        <v/>
      </c>
      <c r="GZ17" s="121" t="str">
        <f>IF(ISBLANK(tbl_task7[[คะแนนเต็ม]:[คะแนนเต็ม]]),"",(tbl_task7[38]/tbl_task7[[คะแนนเต็ม]:[คะแนนเต็ม]])*tbl_task7[[%]:[%]])</f>
        <v/>
      </c>
      <c r="HA17" s="121" t="str">
        <f>IF(ISBLANK(tbl_task7[[คะแนนเต็ม]:[คะแนนเต็ม]]),"",(tbl_task7[39]/tbl_task7[[คะแนนเต็ม]:[คะแนนเต็ม]])*tbl_task7[[%]:[%]])</f>
        <v/>
      </c>
      <c r="HB17" s="121" t="str">
        <f>IF(ISBLANK(tbl_task7[[คะแนนเต็ม]:[คะแนนเต็ม]]),"",(tbl_task7[40]/tbl_task7[[คะแนนเต็ม]:[คะแนนเต็ม]])*tbl_task7[[%]:[%]])</f>
        <v/>
      </c>
      <c r="HC17" s="121" t="str">
        <f>IF(ISBLANK(tbl_task7[[คะแนนเต็ม]:[คะแนนเต็ม]]),"",(tbl_task7[41]/tbl_task7[[คะแนนเต็ม]:[คะแนนเต็ม]])*tbl_task7[[%]:[%]])</f>
        <v/>
      </c>
      <c r="HD17" s="121" t="str">
        <f>IF(ISBLANK(tbl_task7[[คะแนนเต็ม]:[คะแนนเต็ม]]),"",(tbl_task7[42]/tbl_task7[[คะแนนเต็ม]:[คะแนนเต็ม]])*tbl_task7[[%]:[%]])</f>
        <v/>
      </c>
      <c r="HE17" s="121" t="str">
        <f>IF(ISBLANK(tbl_task7[[คะแนนเต็ม]:[คะแนนเต็ม]]),"",(tbl_task7[43]/tbl_task7[[คะแนนเต็ม]:[คะแนนเต็ม]])*tbl_task7[[%]:[%]])</f>
        <v/>
      </c>
      <c r="HF17" s="121" t="str">
        <f>IF(ISBLANK(tbl_task7[[คะแนนเต็ม]:[คะแนนเต็ม]]),"",(tbl_task7[44]/tbl_task7[[คะแนนเต็ม]:[คะแนนเต็ม]])*tbl_task7[[%]:[%]])</f>
        <v/>
      </c>
      <c r="HG17" s="121" t="str">
        <f>IF(ISBLANK(tbl_task7[[คะแนนเต็ม]:[คะแนนเต็ม]]),"",(tbl_task7[45]/tbl_task7[[คะแนนเต็ม]:[คะแนนเต็ม]])*tbl_task7[[%]:[%]])</f>
        <v/>
      </c>
      <c r="HH17" s="121" t="str">
        <f>IF(ISBLANK(tbl_task7[[คะแนนเต็ม]:[คะแนนเต็ม]]),"",(tbl_task7[46]/tbl_task7[[คะแนนเต็ม]:[คะแนนเต็ม]])*tbl_task7[[%]:[%]])</f>
        <v/>
      </c>
      <c r="HI17" s="121" t="str">
        <f>IF(ISBLANK(tbl_task7[[คะแนนเต็ม]:[คะแนนเต็ม]]),"",(tbl_task7[47]/tbl_task7[[คะแนนเต็ม]:[คะแนนเต็ม]])*tbl_task7[[%]:[%]])</f>
        <v/>
      </c>
      <c r="HJ17" s="121" t="str">
        <f>IF(ISBLANK(tbl_task7[[คะแนนเต็ม]:[คะแนนเต็ม]]),"",(tbl_task7[48]/tbl_task7[[คะแนนเต็ม]:[คะแนนเต็ม]])*tbl_task7[[%]:[%]])</f>
        <v/>
      </c>
      <c r="HK17" s="121" t="str">
        <f>IF(ISBLANK(tbl_task7[[คะแนนเต็ม]:[คะแนนเต็ม]]),"",(tbl_task7[49]/tbl_task7[[คะแนนเต็ม]:[คะแนนเต็ม]])*tbl_task7[[%]:[%]])</f>
        <v/>
      </c>
      <c r="HL17" s="121" t="str">
        <f>IF(ISBLANK(tbl_task7[[คะแนนเต็ม]:[คะแนนเต็ม]]),"",(tbl_task7[50]/tbl_task7[[คะแนนเต็ม]:[คะแนนเต็ม]])*tbl_task7[[%]:[%]])</f>
        <v/>
      </c>
      <c r="HM17" s="121" t="str">
        <f>IF(ISBLANK(tbl_task7[[คะแนนเต็ม]:[คะแนนเต็ม]]),"",(tbl_task7[51]/tbl_task7[[คะแนนเต็ม]:[คะแนนเต็ม]])*tbl_task7[[%]:[%]])</f>
        <v/>
      </c>
      <c r="HN17" s="121" t="str">
        <f>IF(ISBLANK(tbl_task7[[คะแนนเต็ม]:[คะแนนเต็ม]]),"",(tbl_task7[52]/tbl_task7[[คะแนนเต็ม]:[คะแนนเต็ม]])*tbl_task7[[%]:[%]])</f>
        <v/>
      </c>
      <c r="HO17" s="121" t="str">
        <f>IF(ISBLANK(tbl_task7[[คะแนนเต็ม]:[คะแนนเต็ม]]),"",(tbl_task7[53]/tbl_task7[[คะแนนเต็ม]:[คะแนนเต็ม]])*tbl_task7[[%]:[%]])</f>
        <v/>
      </c>
      <c r="HP17" s="121" t="str">
        <f>IF(ISBLANK(tbl_task7[[คะแนนเต็ม]:[คะแนนเต็ม]]),"",(tbl_task7[54]/tbl_task7[[คะแนนเต็ม]:[คะแนนเต็ม]])*tbl_task7[[%]:[%]])</f>
        <v/>
      </c>
      <c r="HQ17" s="121" t="str">
        <f>IF(ISBLANK(tbl_task7[[คะแนนเต็ม]:[คะแนนเต็ม]]),"",(tbl_task7[55]/tbl_task7[[คะแนนเต็ม]:[คะแนนเต็ม]])*tbl_task7[[%]:[%]])</f>
        <v/>
      </c>
      <c r="HR17" s="121" t="str">
        <f>IF(ISBLANK(tbl_task7[[คะแนนเต็ม]:[คะแนนเต็ม]]),"",(tbl_task7[56]/tbl_task7[[คะแนนเต็ม]:[คะแนนเต็ม]])*tbl_task7[[%]:[%]])</f>
        <v/>
      </c>
      <c r="HS17" s="121" t="str">
        <f>IF(ISBLANK(tbl_task7[[คะแนนเต็ม]:[คะแนนเต็ม]]),"",(tbl_task7[57]/tbl_task7[[คะแนนเต็ม]:[คะแนนเต็ม]])*tbl_task7[[%]:[%]])</f>
        <v/>
      </c>
      <c r="HT17" s="121" t="str">
        <f>IF(ISBLANK(tbl_task7[[คะแนนเต็ม]:[คะแนนเต็ม]]),"",(tbl_task7[58]/tbl_task7[[คะแนนเต็ม]:[คะแนนเต็ม]])*tbl_task7[[%]:[%]])</f>
        <v/>
      </c>
      <c r="HU17" s="121" t="str">
        <f>IF(ISBLANK(tbl_task7[[คะแนนเต็ม]:[คะแนนเต็ม]]),"",(tbl_task7[59]/tbl_task7[[คะแนนเต็ม]:[คะแนนเต็ม]])*tbl_task7[[%]:[%]])</f>
        <v/>
      </c>
      <c r="HV17" s="121" t="str">
        <f>IF(ISBLANK(tbl_task7[[คะแนนเต็ม]:[คะแนนเต็ม]]),"",(tbl_task7[60]/tbl_task7[[คะแนนเต็ม]:[คะแนนเต็ม]])*tbl_task7[[%]:[%]])</f>
        <v/>
      </c>
      <c r="HW17" s="121" t="str">
        <f>IF(ISBLANK(tbl_task7[[คะแนนเต็ม]:[คะแนนเต็ม]]),"",(tbl_task7[61]/tbl_task7[[คะแนนเต็ม]:[คะแนนเต็ม]])*tbl_task7[[%]:[%]])</f>
        <v/>
      </c>
      <c r="HX17" s="121" t="str">
        <f>IF(ISBLANK(tbl_task7[[คะแนนเต็ม]:[คะแนนเต็ม]]),"",(tbl_task7[62]/tbl_task7[[คะแนนเต็ม]:[คะแนนเต็ม]])*tbl_task7[[%]:[%]])</f>
        <v/>
      </c>
      <c r="HY17" s="121" t="str">
        <f>IF(ISBLANK(tbl_task7[[คะแนนเต็ม]:[คะแนนเต็ม]]),"",(tbl_task7[63]/tbl_task7[[คะแนนเต็ม]:[คะแนนเต็ม]])*tbl_task7[[%]:[%]])</f>
        <v/>
      </c>
      <c r="HZ17" s="121" t="str">
        <f>IF(ISBLANK(tbl_task7[[คะแนนเต็ม]:[คะแนนเต็ม]]),"",(tbl_task7[64]/tbl_task7[[คะแนนเต็ม]:[คะแนนเต็ม]])*tbl_task7[[%]:[%]])</f>
        <v/>
      </c>
      <c r="IA17" s="121" t="str">
        <f>IF(ISBLANK(tbl_task7[[คะแนนเต็ม]:[คะแนนเต็ม]]),"",(tbl_task7[65]/tbl_task7[[คะแนนเต็ม]:[คะแนนเต็ม]])*tbl_task7[[%]:[%]])</f>
        <v/>
      </c>
      <c r="IB17" s="121" t="str">
        <f>IF(ISBLANK(tbl_task7[[คะแนนเต็ม]:[คะแนนเต็ม]]),"",(tbl_task7[66]/tbl_task7[[คะแนนเต็ม]:[คะแนนเต็ม]])*tbl_task7[[%]:[%]])</f>
        <v/>
      </c>
      <c r="IC17" s="121" t="str">
        <f>IF(ISBLANK(tbl_task7[[คะแนนเต็ม]:[คะแนนเต็ม]]),"",(tbl_task7[67]/tbl_task7[[คะแนนเต็ม]:[คะแนนเต็ม]])*tbl_task7[[%]:[%]])</f>
        <v/>
      </c>
      <c r="ID17" s="121" t="str">
        <f>IF(ISBLANK(tbl_task7[[คะแนนเต็ม]:[คะแนนเต็ม]]),"",(tbl_task7[68]/tbl_task7[[คะแนนเต็ม]:[คะแนนเต็ม]])*tbl_task7[[%]:[%]])</f>
        <v/>
      </c>
      <c r="IE17" s="121" t="str">
        <f>IF(ISBLANK(tbl_task7[[คะแนนเต็ม]:[คะแนนเต็ม]]),"",(tbl_task7[69]/tbl_task7[[คะแนนเต็ม]:[คะแนนเต็ม]])*tbl_task7[[%]:[%]])</f>
        <v/>
      </c>
      <c r="IF17" s="121" t="str">
        <f>IF(ISBLANK(tbl_task7[[คะแนนเต็ม]:[คะแนนเต็ม]]),"",(tbl_task7[70]/tbl_task7[[คะแนนเต็ม]:[คะแนนเต็ม]])*tbl_task7[[%]:[%]])</f>
        <v/>
      </c>
      <c r="IG17" s="121" t="str">
        <f>IF(ISBLANK(tbl_task7[[คะแนนเต็ม]:[คะแนนเต็ม]]),"",(tbl_task7[71]/tbl_task7[[คะแนนเต็ม]:[คะแนนเต็ม]])*tbl_task7[[%]:[%]])</f>
        <v/>
      </c>
      <c r="IH17" s="121" t="str">
        <f>IF(ISBLANK(tbl_task7[[คะแนนเต็ม]:[คะแนนเต็ม]]),"",(tbl_task7[72]/tbl_task7[[คะแนนเต็ม]:[คะแนนเต็ม]])*tbl_task7[[%]:[%]])</f>
        <v/>
      </c>
      <c r="II17" s="121" t="str">
        <f>IF(ISBLANK(tbl_task7[[คะแนนเต็ม]:[คะแนนเต็ม]]),"",(tbl_task7[73]/tbl_task7[[คะแนนเต็ม]:[คะแนนเต็ม]])*tbl_task7[[%]:[%]])</f>
        <v/>
      </c>
      <c r="IJ17" s="121" t="str">
        <f>IF(ISBLANK(tbl_task7[[คะแนนเต็ม]:[คะแนนเต็ม]]),"",(tbl_task7[74]/tbl_task7[[คะแนนเต็ม]:[คะแนนเต็ม]])*tbl_task7[[%]:[%]])</f>
        <v/>
      </c>
      <c r="IK17" s="121" t="str">
        <f>IF(ISBLANK(tbl_task7[[คะแนนเต็ม]:[คะแนนเต็ม]]),"",(tbl_task7[75]/tbl_task7[[คะแนนเต็ม]:[คะแนนเต็ม]])*tbl_task7[[%]:[%]])</f>
        <v/>
      </c>
      <c r="IL17" s="121" t="str">
        <f>IF(ISBLANK(tbl_task7[[คะแนนเต็ม]:[คะแนนเต็ม]]),"",(tbl_task7[76]/tbl_task7[[คะแนนเต็ม]:[คะแนนเต็ม]])*tbl_task7[[%]:[%]])</f>
        <v/>
      </c>
      <c r="IM17" s="121" t="str">
        <f>IF(ISBLANK(tbl_task7[[คะแนนเต็ม]:[คะแนนเต็ม]]),"",(tbl_task7[77]/tbl_task7[[คะแนนเต็ม]:[คะแนนเต็ม]])*tbl_task7[[%]:[%]])</f>
        <v/>
      </c>
      <c r="IN17" s="121" t="str">
        <f>IF(ISBLANK(tbl_task7[[คะแนนเต็ม]:[คะแนนเต็ม]]),"",(tbl_task7[78]/tbl_task7[[คะแนนเต็ม]:[คะแนนเต็ม]])*tbl_task7[[%]:[%]])</f>
        <v/>
      </c>
      <c r="IO17" s="121" t="str">
        <f>IF(ISBLANK(tbl_task7[[คะแนนเต็ม]:[คะแนนเต็ม]]),"",(tbl_task7[79]/tbl_task7[[คะแนนเต็ม]:[คะแนนเต็ม]])*tbl_task7[[%]:[%]])</f>
        <v/>
      </c>
      <c r="IP17" s="121" t="str">
        <f>IF(ISBLANK(tbl_task7[[คะแนนเต็ม]:[คะแนนเต็ม]]),"",(tbl_task7[80]/tbl_task7[[คะแนนเต็ม]:[คะแนนเต็ม]])*tbl_task7[[%]:[%]])</f>
        <v/>
      </c>
      <c r="IQ17" s="121" t="str">
        <f>IF(ISBLANK(tbl_task7[[คะแนนเต็ม]:[คะแนนเต็ม]]),"",(tbl_task7[81]/tbl_task7[[คะแนนเต็ม]:[คะแนนเต็ม]])*tbl_task7[[%]:[%]])</f>
        <v/>
      </c>
      <c r="IR17" s="121" t="str">
        <f>IF(ISBLANK(tbl_task7[[คะแนนเต็ม]:[คะแนนเต็ม]]),"",(tbl_task7[82]/tbl_task7[[คะแนนเต็ม]:[คะแนนเต็ม]])*tbl_task7[[%]:[%]])</f>
        <v/>
      </c>
      <c r="IS17" s="121" t="str">
        <f>IF(ISBLANK(tbl_task7[[คะแนนเต็ม]:[คะแนนเต็ม]]),"",(tbl_task7[83]/tbl_task7[[คะแนนเต็ม]:[คะแนนเต็ม]])*tbl_task7[[%]:[%]])</f>
        <v/>
      </c>
      <c r="IT17" s="121" t="str">
        <f>IF(ISBLANK(tbl_task7[[คะแนนเต็ม]:[คะแนนเต็ม]]),"",(tbl_task7[84]/tbl_task7[[คะแนนเต็ม]:[คะแนนเต็ม]])*tbl_task7[[%]:[%]])</f>
        <v/>
      </c>
      <c r="IU17" s="121" t="str">
        <f>IF(ISBLANK(tbl_task7[[คะแนนเต็ม]:[คะแนนเต็ม]]),"",(tbl_task7[85]/tbl_task7[[คะแนนเต็ม]:[คะแนนเต็ม]])*tbl_task7[[%]:[%]])</f>
        <v/>
      </c>
      <c r="IV17" s="121" t="str">
        <f>IF(ISBLANK(tbl_task7[[คะแนนเต็ม]:[คะแนนเต็ม]]),"",(tbl_task7[86]/tbl_task7[[คะแนนเต็ม]:[คะแนนเต็ม]])*tbl_task7[[%]:[%]])</f>
        <v/>
      </c>
      <c r="IW17" s="121" t="str">
        <f>IF(ISBLANK(tbl_task7[[คะแนนเต็ม]:[คะแนนเต็ม]]),"",(tbl_task7[87]/tbl_task7[[คะแนนเต็ม]:[คะแนนเต็ม]])*tbl_task7[[%]:[%]])</f>
        <v/>
      </c>
      <c r="IX17" s="121" t="str">
        <f>IF(ISBLANK(tbl_task7[[คะแนนเต็ม]:[คะแนนเต็ม]]),"",(tbl_task7[88]/tbl_task7[[คะแนนเต็ม]:[คะแนนเต็ม]])*tbl_task7[[%]:[%]])</f>
        <v/>
      </c>
      <c r="IY17" s="121" t="str">
        <f>IF(ISBLANK(tbl_task7[[คะแนนเต็ม]:[คะแนนเต็ม]]),"",(tbl_task7[89]/tbl_task7[[คะแนนเต็ม]:[คะแนนเต็ม]])*tbl_task7[[%]:[%]])</f>
        <v/>
      </c>
      <c r="IZ17" s="121" t="str">
        <f>IF(ISBLANK(tbl_task7[[คะแนนเต็ม]:[คะแนนเต็ม]]),"",(tbl_task7[90]/tbl_task7[[คะแนนเต็ม]:[คะแนนเต็ม]])*tbl_task7[[%]:[%]])</f>
        <v/>
      </c>
      <c r="JA17" s="121" t="str">
        <f>IF(ISBLANK(tbl_task7[[คะแนนเต็ม]:[คะแนนเต็ม]]),"",(tbl_task7[91]/tbl_task7[[คะแนนเต็ม]:[คะแนนเต็ม]])*tbl_task7[[%]:[%]])</f>
        <v/>
      </c>
      <c r="JB17" s="121" t="str">
        <f>IF(ISBLANK(tbl_task7[[คะแนนเต็ม]:[คะแนนเต็ม]]),"",(tbl_task7[92]/tbl_task7[[คะแนนเต็ม]:[คะแนนเต็ม]])*tbl_task7[[%]:[%]])</f>
        <v/>
      </c>
      <c r="JC17" s="121" t="str">
        <f>IF(ISBLANK(tbl_task7[[คะแนนเต็ม]:[คะแนนเต็ม]]),"",(tbl_task7[93]/tbl_task7[[คะแนนเต็ม]:[คะแนนเต็ม]])*tbl_task7[[%]:[%]])</f>
        <v/>
      </c>
      <c r="JD17" s="121" t="str">
        <f>IF(ISBLANK(tbl_task7[[คะแนนเต็ม]:[คะแนนเต็ม]]),"",(tbl_task7[94]/tbl_task7[[คะแนนเต็ม]:[คะแนนเต็ม]])*tbl_task7[[%]:[%]])</f>
        <v/>
      </c>
      <c r="JE17" s="121" t="str">
        <f>IF(ISBLANK(tbl_task7[[คะแนนเต็ม]:[คะแนนเต็ม]]),"",(tbl_task7[95]/tbl_task7[[คะแนนเต็ม]:[คะแนนเต็ม]])*tbl_task7[[%]:[%]])</f>
        <v/>
      </c>
      <c r="JF17" s="121" t="str">
        <f>IF(ISBLANK(tbl_task7[[คะแนนเต็ม]:[คะแนนเต็ม]]),"",(tbl_task7[96]/tbl_task7[[คะแนนเต็ม]:[คะแนนเต็ม]])*tbl_task7[[%]:[%]])</f>
        <v/>
      </c>
      <c r="JG17" s="121" t="str">
        <f>IF(ISBLANK(tbl_task7[[คะแนนเต็ม]:[คะแนนเต็ม]]),"",(tbl_task7[97]/tbl_task7[[คะแนนเต็ม]:[คะแนนเต็ม]])*tbl_task7[[%]:[%]])</f>
        <v/>
      </c>
      <c r="JH17" s="121" t="str">
        <f>IF(ISBLANK(tbl_task7[[คะแนนเต็ม]:[คะแนนเต็ม]]),"",(tbl_task7[98]/tbl_task7[[คะแนนเต็ม]:[คะแนนเต็ม]])*tbl_task7[[%]:[%]])</f>
        <v/>
      </c>
      <c r="JI17" s="121" t="str">
        <f>IF(ISBLANK(tbl_task7[[คะแนนเต็ม]:[คะแนนเต็ม]]),"",(tbl_task7[99]/tbl_task7[[คะแนนเต็ม]:[คะแนนเต็ม]])*tbl_task7[[%]:[%]])</f>
        <v/>
      </c>
      <c r="JJ17" s="121" t="str">
        <f>IF(ISBLANK(tbl_task7[[คะแนนเต็ม]:[คะแนนเต็ม]]),"",(tbl_task7[100]/tbl_task7[[คะแนนเต็ม]:[คะแนนเต็ม]])*tbl_task7[[%]:[%]])</f>
        <v/>
      </c>
      <c r="JK17" s="121" t="str">
        <f>IF(ISBLANK(tbl_task7[[คะแนนเต็ม]:[คะแนนเต็ม]]),"",(tbl_task7[101]/tbl_task7[[คะแนนเต็ม]:[คะแนนเต็ม]])*tbl_task7[[%]:[%]])</f>
        <v/>
      </c>
      <c r="JL17" s="121" t="str">
        <f>IF(ISBLANK(tbl_task7[[คะแนนเต็ม]:[คะแนนเต็ม]]),"",(tbl_task7[102]/tbl_task7[[คะแนนเต็ม]:[คะแนนเต็ม]])*tbl_task7[[%]:[%]])</f>
        <v/>
      </c>
      <c r="JM17" s="121" t="str">
        <f>IF(ISBLANK(tbl_task7[[คะแนนเต็ม]:[คะแนนเต็ม]]),"",(tbl_task7[103]/tbl_task7[[คะแนนเต็ม]:[คะแนนเต็ม]])*tbl_task7[[%]:[%]])</f>
        <v/>
      </c>
      <c r="JN17" s="121" t="str">
        <f>IF(ISBLANK(tbl_task7[[คะแนนเต็ม]:[คะแนนเต็ม]]),"",(tbl_task7[104]/tbl_task7[[คะแนนเต็ม]:[คะแนนเต็ม]])*tbl_task7[[%]:[%]])</f>
        <v/>
      </c>
      <c r="JO17" s="121" t="str">
        <f>IF(ISBLANK(tbl_task7[[คะแนนเต็ม]:[คะแนนเต็ม]]),"",(tbl_task7[105]/tbl_task7[[คะแนนเต็ม]:[คะแนนเต็ม]])*tbl_task7[[%]:[%]])</f>
        <v/>
      </c>
      <c r="JP17" s="121" t="str">
        <f>IF(ISBLANK(tbl_task7[[คะแนนเต็ม]:[คะแนนเต็ม]]),"",(tbl_task7[106]/tbl_task7[[คะแนนเต็ม]:[คะแนนเต็ม]])*tbl_task7[[%]:[%]])</f>
        <v/>
      </c>
      <c r="JQ17" s="121" t="str">
        <f>IF(ISBLANK(tbl_task7[[คะแนนเต็ม]:[คะแนนเต็ม]]),"",(tbl_task7[107]/tbl_task7[[คะแนนเต็ม]:[คะแนนเต็ม]])*tbl_task7[[%]:[%]])</f>
        <v/>
      </c>
      <c r="JR17" s="121" t="str">
        <f>IF(ISBLANK(tbl_task7[[คะแนนเต็ม]:[คะแนนเต็ม]]),"",(tbl_task7[108]/tbl_task7[[คะแนนเต็ม]:[คะแนนเต็ม]])*tbl_task7[[%]:[%]])</f>
        <v/>
      </c>
      <c r="JS17" s="121" t="str">
        <f>IF(ISBLANK(tbl_task7[[คะแนนเต็ม]:[คะแนนเต็ม]]),"",(tbl_task7[109]/tbl_task7[[คะแนนเต็ม]:[คะแนนเต็ม]])*tbl_task7[[%]:[%]])</f>
        <v/>
      </c>
      <c r="JT17" s="121" t="str">
        <f>IF(ISBLANK(tbl_task7[[คะแนนเต็ม]:[คะแนนเต็ม]]),"",(tbl_task7[110]/tbl_task7[[คะแนนเต็ม]:[คะแนนเต็ม]])*tbl_task7[[%]:[%]])</f>
        <v/>
      </c>
      <c r="JU17" s="121" t="str">
        <f>IF(ISBLANK(tbl_task7[[คะแนนเต็ม]:[คะแนนเต็ม]]),"",(tbl_task7[111]/tbl_task7[[คะแนนเต็ม]:[คะแนนเต็ม]])*tbl_task7[[%]:[%]])</f>
        <v/>
      </c>
      <c r="JV17" s="121" t="str">
        <f>IF(ISBLANK(tbl_task7[[คะแนนเต็ม]:[คะแนนเต็ม]]),"",(tbl_task7[112]/tbl_task7[[คะแนนเต็ม]:[คะแนนเต็ม]])*tbl_task7[[%]:[%]])</f>
        <v/>
      </c>
      <c r="JW17" s="121" t="str">
        <f>IF(ISBLANK(tbl_task7[[คะแนนเต็ม]:[คะแนนเต็ม]]),"",(tbl_task7[113]/tbl_task7[[คะแนนเต็ม]:[คะแนนเต็ม]])*tbl_task7[[%]:[%]])</f>
        <v/>
      </c>
      <c r="JX17" s="121" t="str">
        <f>IF(ISBLANK(tbl_task7[[คะแนนเต็ม]:[คะแนนเต็ม]]),"",(tbl_task7[114]/tbl_task7[[คะแนนเต็ม]:[คะแนนเต็ม]])*tbl_task7[[%]:[%]])</f>
        <v/>
      </c>
      <c r="JY17" s="121" t="str">
        <f>IF(ISBLANK(tbl_task7[[คะแนนเต็ม]:[คะแนนเต็ม]]),"",(tbl_task7[115]/tbl_task7[[คะแนนเต็ม]:[คะแนนเต็ม]])*tbl_task7[[%]:[%]])</f>
        <v/>
      </c>
      <c r="JZ17" s="121" t="str">
        <f>IF(ISBLANK(tbl_task7[[คะแนนเต็ม]:[คะแนนเต็ม]]),"",(tbl_task7[116]/tbl_task7[[คะแนนเต็ม]:[คะแนนเต็ม]])*tbl_task7[[%]:[%]])</f>
        <v/>
      </c>
      <c r="KA17" s="121" t="str">
        <f>IF(ISBLANK(tbl_task7[[คะแนนเต็ม]:[คะแนนเต็ม]]),"",(tbl_task7[117]/tbl_task7[[คะแนนเต็ม]:[คะแนนเต็ม]])*tbl_task7[[%]:[%]])</f>
        <v/>
      </c>
      <c r="KB17" s="121" t="str">
        <f>IF(ISBLANK(tbl_task7[[คะแนนเต็ม]:[คะแนนเต็ม]]),"",(tbl_task7[118]/tbl_task7[[คะแนนเต็ม]:[คะแนนเต็ม]])*tbl_task7[[%]:[%]])</f>
        <v/>
      </c>
      <c r="KC17" s="121" t="str">
        <f>IF(ISBLANK(tbl_task7[[คะแนนเต็ม]:[คะแนนเต็ม]]),"",(tbl_task7[119]/tbl_task7[[คะแนนเต็ม]:[คะแนนเต็ม]])*tbl_task7[[%]:[%]])</f>
        <v/>
      </c>
      <c r="KD17" s="121" t="str">
        <f>IF(ISBLANK(tbl_task7[[คะแนนเต็ม]:[คะแนนเต็ม]]),"",(tbl_task7[120]/tbl_task7[[คะแนนเต็ม]:[คะแนนเต็ม]])*tbl_task7[[%]:[%]])</f>
        <v/>
      </c>
      <c r="KE17" s="121" t="str">
        <f>IF(ISBLANK(tbl_task7[[คะแนนเต็ม]:[คะแนนเต็ม]]),"",(tbl_task7[121]/tbl_task7[[คะแนนเต็ม]:[คะแนนเต็ม]])*tbl_task7[[%]:[%]])</f>
        <v/>
      </c>
      <c r="KF17" s="121" t="str">
        <f>IF(ISBLANK(tbl_task7[[คะแนนเต็ม]:[คะแนนเต็ม]]),"",(tbl_task7[122]/tbl_task7[[คะแนนเต็ม]:[คะแนนเต็ม]])*tbl_task7[[%]:[%]])</f>
        <v/>
      </c>
      <c r="KG17" s="121" t="str">
        <f>IF(ISBLANK(tbl_task7[[คะแนนเต็ม]:[คะแนนเต็ม]]),"",(tbl_task7[123]/tbl_task7[[คะแนนเต็ม]:[คะแนนเต็ม]])*tbl_task7[[%]:[%]])</f>
        <v/>
      </c>
      <c r="KH17" s="121" t="str">
        <f>IF(ISBLANK(tbl_task7[[คะแนนเต็ม]:[คะแนนเต็ม]]),"",(tbl_task7[124]/tbl_task7[[คะแนนเต็ม]:[คะแนนเต็ม]])*tbl_task7[[%]:[%]])</f>
        <v/>
      </c>
      <c r="KI17" s="121" t="str">
        <f>IF(ISBLANK(tbl_task7[[คะแนนเต็ม]:[คะแนนเต็ม]]),"",(tbl_task7[125]/tbl_task7[[คะแนนเต็ม]:[คะแนนเต็ม]])*tbl_task7[[%]:[%]])</f>
        <v/>
      </c>
      <c r="KJ17" s="121" t="str">
        <f>IF(ISBLANK(tbl_task7[[คะแนนเต็ม]:[คะแนนเต็ม]]),"",(tbl_task7[126]/tbl_task7[[คะแนนเต็ม]:[คะแนนเต็ม]])*tbl_task7[[%]:[%]])</f>
        <v/>
      </c>
      <c r="KK17" s="121" t="str">
        <f>IF(ISBLANK(tbl_task7[[คะแนนเต็ม]:[คะแนนเต็ม]]),"",(tbl_task7[127]/tbl_task7[[คะแนนเต็ม]:[คะแนนเต็ม]])*tbl_task7[[%]:[%]])</f>
        <v/>
      </c>
      <c r="KL17" s="121" t="str">
        <f>IF(ISBLANK(tbl_task7[[คะแนนเต็ม]:[คะแนนเต็ม]]),"",(tbl_task7[128]/tbl_task7[[คะแนนเต็ม]:[คะแนนเต็ม]])*tbl_task7[[%]:[%]])</f>
        <v/>
      </c>
      <c r="KM17" s="121" t="str">
        <f>IF(ISBLANK(tbl_task7[[คะแนนเต็ม]:[คะแนนเต็ม]]),"",(tbl_task7[129]/tbl_task7[[คะแนนเต็ม]:[คะแนนเต็ม]])*tbl_task7[[%]:[%]])</f>
        <v/>
      </c>
      <c r="KN17" s="121" t="str">
        <f>IF(ISBLANK(tbl_task7[[คะแนนเต็ม]:[คะแนนเต็ม]]),"",(tbl_task7[130]/tbl_task7[[คะแนนเต็ม]:[คะแนนเต็ม]])*tbl_task7[[%]:[%]])</f>
        <v/>
      </c>
      <c r="KO17" s="121" t="str">
        <f>IF(ISBLANK(tbl_task7[[คะแนนเต็ม]:[คะแนนเต็ม]]),"",(tbl_task7[131]/tbl_task7[[คะแนนเต็ม]:[คะแนนเต็ม]])*tbl_task7[[%]:[%]])</f>
        <v/>
      </c>
      <c r="KP17" s="121" t="str">
        <f>IF(ISBLANK(tbl_task7[[คะแนนเต็ม]:[คะแนนเต็ม]]),"",(tbl_task7[132]/tbl_task7[[คะแนนเต็ม]:[คะแนนเต็ม]])*tbl_task7[[%]:[%]])</f>
        <v/>
      </c>
      <c r="KQ17" s="121" t="str">
        <f>IF(ISBLANK(tbl_task7[[คะแนนเต็ม]:[คะแนนเต็ม]]),"",(tbl_task7[133]/tbl_task7[[คะแนนเต็ม]:[คะแนนเต็ม]])*tbl_task7[[%]:[%]])</f>
        <v/>
      </c>
      <c r="KR17" s="121" t="str">
        <f>IF(ISBLANK(tbl_task7[[คะแนนเต็ม]:[คะแนนเต็ม]]),"",(tbl_task7[134]/tbl_task7[[คะแนนเต็ม]:[คะแนนเต็ม]])*tbl_task7[[%]:[%]])</f>
        <v/>
      </c>
      <c r="KS17" s="121" t="str">
        <f>IF(ISBLANK(tbl_task7[[คะแนนเต็ม]:[คะแนนเต็ม]]),"",(tbl_task7[135]/tbl_task7[[คะแนนเต็ม]:[คะแนนเต็ม]])*tbl_task7[[%]:[%]])</f>
        <v/>
      </c>
      <c r="KT17" s="121" t="str">
        <f>IF(ISBLANK(tbl_task7[[คะแนนเต็ม]:[คะแนนเต็ม]]),"",(tbl_task7[136]/tbl_task7[[คะแนนเต็ม]:[คะแนนเต็ม]])*tbl_task7[[%]:[%]])</f>
        <v/>
      </c>
      <c r="KU17" s="121" t="str">
        <f>IF(ISBLANK(tbl_task7[[คะแนนเต็ม]:[คะแนนเต็ม]]),"",(tbl_task7[137]/tbl_task7[[คะแนนเต็ม]:[คะแนนเต็ม]])*tbl_task7[[%]:[%]])</f>
        <v/>
      </c>
      <c r="KV17" s="121" t="str">
        <f>IF(ISBLANK(tbl_task7[[คะแนนเต็ม]:[คะแนนเต็ม]]),"",(tbl_task7[138]/tbl_task7[[คะแนนเต็ม]:[คะแนนเต็ม]])*tbl_task7[[%]:[%]])</f>
        <v/>
      </c>
      <c r="KW17" s="121" t="str">
        <f>IF(ISBLANK(tbl_task7[[คะแนนเต็ม]:[คะแนนเต็ม]]),"",(tbl_task7[139]/tbl_task7[[คะแนนเต็ม]:[คะแนนเต็ม]])*tbl_task7[[%]:[%]])</f>
        <v/>
      </c>
      <c r="KX17" s="121" t="str">
        <f>IF(ISBLANK(tbl_task7[[คะแนนเต็ม]:[คะแนนเต็ม]]),"",(tbl_task7[140]/tbl_task7[[คะแนนเต็ม]:[คะแนนเต็ม]])*tbl_task7[[%]:[%]])</f>
        <v/>
      </c>
      <c r="KY17" s="121" t="str">
        <f>IF(ISBLANK(tbl_task7[[คะแนนเต็ม]:[คะแนนเต็ม]]),"",(tbl_task7[141]/tbl_task7[[คะแนนเต็ม]:[คะแนนเต็ม]])*tbl_task7[[%]:[%]])</f>
        <v/>
      </c>
      <c r="KZ17" s="121" t="str">
        <f>IF(ISBLANK(tbl_task7[[คะแนนเต็ม]:[คะแนนเต็ม]]),"",(tbl_task7[142]/tbl_task7[[คะแนนเต็ม]:[คะแนนเต็ม]])*tbl_task7[[%]:[%]])</f>
        <v/>
      </c>
      <c r="LA17" s="121" t="str">
        <f>IF(ISBLANK(tbl_task7[[คะแนนเต็ม]:[คะแนนเต็ม]]),"",(tbl_task7[143]/tbl_task7[[คะแนนเต็ม]:[คะแนนเต็ม]])*tbl_task7[[%]:[%]])</f>
        <v/>
      </c>
      <c r="LB17" s="121" t="str">
        <f>IF(ISBLANK(tbl_task7[[คะแนนเต็ม]:[คะแนนเต็ม]]),"",(tbl_task7[144]/tbl_task7[[คะแนนเต็ม]:[คะแนนเต็ม]])*tbl_task7[[%]:[%]])</f>
        <v/>
      </c>
      <c r="LC17" s="121" t="str">
        <f>IF(ISBLANK(tbl_task7[[คะแนนเต็ม]:[คะแนนเต็ม]]),"",(tbl_task7[145]/tbl_task7[[คะแนนเต็ม]:[คะแนนเต็ม]])*tbl_task7[[%]:[%]])</f>
        <v/>
      </c>
      <c r="LD17" s="121" t="str">
        <f>IF(ISBLANK(tbl_task7[[คะแนนเต็ม]:[คะแนนเต็ม]]),"",(tbl_task7[146]/tbl_task7[[คะแนนเต็ม]:[คะแนนเต็ม]])*tbl_task7[[%]:[%]])</f>
        <v/>
      </c>
      <c r="LE17" s="121" t="str">
        <f>IF(ISBLANK(tbl_task7[[คะแนนเต็ม]:[คะแนนเต็ม]]),"",(tbl_task7[147]/tbl_task7[[คะแนนเต็ม]:[คะแนนเต็ม]])*tbl_task7[[%]:[%]])</f>
        <v/>
      </c>
      <c r="LF17" s="121" t="str">
        <f>IF(ISBLANK(tbl_task7[[คะแนนเต็ม]:[คะแนนเต็ม]]),"",(tbl_task7[148]/tbl_task7[[คะแนนเต็ม]:[คะแนนเต็ม]])*tbl_task7[[%]:[%]])</f>
        <v/>
      </c>
      <c r="LG17" s="121" t="str">
        <f>IF(ISBLANK(tbl_task7[[คะแนนเต็ม]:[คะแนนเต็ม]]),"",(tbl_task7[149]/tbl_task7[[คะแนนเต็ม]:[คะแนนเต็ม]])*tbl_task7[[%]:[%]])</f>
        <v/>
      </c>
      <c r="LH17" s="121" t="str">
        <f>IF(ISBLANK(tbl_task7[[คะแนนเต็ม]:[คะแนนเต็ม]]),"",(tbl_task7[150]/tbl_task7[[คะแนนเต็ม]:[คะแนนเต็ม]])*tbl_task7[[%]:[%]])</f>
        <v/>
      </c>
      <c r="LI17" s="121" t="str">
        <f>IF(ISBLANK(tbl_task7[[คะแนนเต็ม]:[คะแนนเต็ม]]),"",(tbl_task7[151]/tbl_task7[[คะแนนเต็ม]:[คะแนนเต็ม]])*tbl_task7[[%]:[%]])</f>
        <v/>
      </c>
      <c r="LJ17" s="121" t="str">
        <f>IF(ISBLANK(tbl_task7[[คะแนนเต็ม]:[คะแนนเต็ม]]),"",(tbl_task7[152]/tbl_task7[[คะแนนเต็ม]:[คะแนนเต็ม]])*tbl_task7[[%]:[%]])</f>
        <v/>
      </c>
      <c r="LK17" s="121" t="str">
        <f>IF(ISBLANK(tbl_task7[[คะแนนเต็ม]:[คะแนนเต็ม]]),"",(tbl_task7[153]/tbl_task7[[คะแนนเต็ม]:[คะแนนเต็ม]])*tbl_task7[[%]:[%]])</f>
        <v/>
      </c>
      <c r="LL17" s="121" t="str">
        <f>IF(ISBLANK(tbl_task7[[คะแนนเต็ม]:[คะแนนเต็ม]]),"",(tbl_task7[154]/tbl_task7[[คะแนนเต็ม]:[คะแนนเต็ม]])*tbl_task7[[%]:[%]])</f>
        <v/>
      </c>
      <c r="LM17" s="121" t="str">
        <f>IF(ISBLANK(tbl_task7[[คะแนนเต็ม]:[คะแนนเต็ม]]),"",(tbl_task7[155]/tbl_task7[[คะแนนเต็ม]:[คะแนนเต็ม]])*tbl_task7[[%]:[%]])</f>
        <v/>
      </c>
      <c r="LN17" s="121" t="str">
        <f>IF(ISBLANK(tbl_task7[[คะแนนเต็ม]:[คะแนนเต็ม]]),"",(tbl_task7[156]/tbl_task7[[คะแนนเต็ม]:[คะแนนเต็ม]])*tbl_task7[[%]:[%]])</f>
        <v/>
      </c>
      <c r="LO17" s="121" t="str">
        <f>IF(ISBLANK(tbl_task7[[คะแนนเต็ม]:[คะแนนเต็ม]]),"",(tbl_task7[157]/tbl_task7[[คะแนนเต็ม]:[คะแนนเต็ม]])*tbl_task7[[%]:[%]])</f>
        <v/>
      </c>
      <c r="LP17" s="121" t="str">
        <f>IF(ISBLANK(tbl_task7[[คะแนนเต็ม]:[คะแนนเต็ม]]),"",(tbl_task7[158]/tbl_task7[[คะแนนเต็ม]:[คะแนนเต็ม]])*tbl_task7[[%]:[%]])</f>
        <v/>
      </c>
      <c r="LQ17" s="121" t="str">
        <f>IF(ISBLANK(tbl_task7[[คะแนนเต็ม]:[คะแนนเต็ม]]),"",(tbl_task7[159]/tbl_task7[[คะแนนเต็ม]:[คะแนนเต็ม]])*tbl_task7[[%]:[%]])</f>
        <v/>
      </c>
      <c r="LR17" s="121" t="str">
        <f>IF(ISBLANK(tbl_task7[[คะแนนเต็ม]:[คะแนนเต็ม]]),"",(tbl_task7[160]/tbl_task7[[คะแนนเต็ม]:[คะแนนเต็ม]])*tbl_task7[[%]:[%]])</f>
        <v/>
      </c>
      <c r="LS17" s="121" t="str">
        <f>IF(ISBLANK(tbl_task7[[คะแนนเต็ม]:[คะแนนเต็ม]]),"",(tbl_task7[161]/tbl_task7[[คะแนนเต็ม]:[คะแนนเต็ม]])*tbl_task7[[%]:[%]])</f>
        <v/>
      </c>
      <c r="LT17" s="121" t="str">
        <f>IF(ISBLANK(tbl_task7[[คะแนนเต็ม]:[คะแนนเต็ม]]),"",(tbl_task7[162]/tbl_task7[[คะแนนเต็ม]:[คะแนนเต็ม]])*tbl_task7[[%]:[%]])</f>
        <v/>
      </c>
      <c r="LU17" s="121" t="str">
        <f>IF(ISBLANK(tbl_task7[[คะแนนเต็ม]:[คะแนนเต็ม]]),"",(tbl_task7[163]/tbl_task7[[คะแนนเต็ม]:[คะแนนเต็ม]])*tbl_task7[[%]:[%]])</f>
        <v/>
      </c>
      <c r="LV17" s="121" t="str">
        <f>IF(ISBLANK(tbl_task7[[คะแนนเต็ม]:[คะแนนเต็ม]]),"",(tbl_task7[164]/tbl_task7[[คะแนนเต็ม]:[คะแนนเต็ม]])*tbl_task7[[%]:[%]])</f>
        <v/>
      </c>
      <c r="LW17" s="121" t="str">
        <f>IF(ISBLANK(tbl_task7[[คะแนนเต็ม]:[คะแนนเต็ม]]),"",(tbl_task7[165]/tbl_task7[[คะแนนเต็ม]:[คะแนนเต็ม]])*tbl_task7[[%]:[%]])</f>
        <v/>
      </c>
    </row>
    <row r="18" spans="1:335" ht="24" customHeight="1" x14ac:dyDescent="0.25">
      <c r="A18" s="24">
        <v>15</v>
      </c>
      <c r="B18" s="20"/>
      <c r="C18" s="5" t="str">
        <f>IF(ISBLANK(B18),"",VLOOKUP(B18,tbl_PLOs[],2,0))</f>
        <v/>
      </c>
      <c r="D18" s="102"/>
      <c r="E18" s="106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121" t="str">
        <f>IF(ISBLANK(tbl_task7[[คะแนนเต็ม]:[คะแนนเต็ม]]),"",(tbl_task7[1]/tbl_task7[[คะแนนเต็ม]:[คะแนนเต็ม]])*tbl_task7[[%]:[%]])</f>
        <v/>
      </c>
      <c r="FP18" s="121" t="str">
        <f>IF(ISBLANK(tbl_task7[[คะแนนเต็ม]:[คะแนนเต็ม]]),"",(tbl_task7[2]/tbl_task7[[คะแนนเต็ม]:[คะแนนเต็ม]])*tbl_task7[[%]:[%]])</f>
        <v/>
      </c>
      <c r="FQ18" s="121" t="str">
        <f>IF(ISBLANK(tbl_task7[[คะแนนเต็ม]:[คะแนนเต็ม]]),"",(tbl_task7[3]/tbl_task7[[คะแนนเต็ม]:[คะแนนเต็ม]])*tbl_task7[[%]:[%]])</f>
        <v/>
      </c>
      <c r="FR18" s="121" t="str">
        <f>IF(ISBLANK(tbl_task7[[คะแนนเต็ม]:[คะแนนเต็ม]]),"",(tbl_task7[4]/tbl_task7[[คะแนนเต็ม]:[คะแนนเต็ม]])*tbl_task7[[%]:[%]])</f>
        <v/>
      </c>
      <c r="FS18" s="121" t="str">
        <f>IF(ISBLANK(tbl_task7[[คะแนนเต็ม]:[คะแนนเต็ม]]),"",(tbl_task7[5]/tbl_task7[[คะแนนเต็ม]:[คะแนนเต็ม]])*tbl_task7[[%]:[%]])</f>
        <v/>
      </c>
      <c r="FT18" s="121" t="str">
        <f>IF(ISBLANK(tbl_task7[[คะแนนเต็ม]:[คะแนนเต็ม]]),"",(tbl_task7[6]/tbl_task7[[คะแนนเต็ม]:[คะแนนเต็ม]])*tbl_task7[[%]:[%]])</f>
        <v/>
      </c>
      <c r="FU18" s="121" t="str">
        <f>IF(ISBLANK(tbl_task7[[คะแนนเต็ม]:[คะแนนเต็ม]]),"",(tbl_task7[7]/tbl_task7[[คะแนนเต็ม]:[คะแนนเต็ม]])*tbl_task7[[%]:[%]])</f>
        <v/>
      </c>
      <c r="FV18" s="121" t="str">
        <f>IF(ISBLANK(tbl_task7[[คะแนนเต็ม]:[คะแนนเต็ม]]),"",(tbl_task7[8]/tbl_task7[[คะแนนเต็ม]:[คะแนนเต็ม]])*tbl_task7[[%]:[%]])</f>
        <v/>
      </c>
      <c r="FW18" s="121" t="str">
        <f>IF(ISBLANK(tbl_task7[[คะแนนเต็ม]:[คะแนนเต็ม]]),"",(tbl_task7[9]/tbl_task7[[คะแนนเต็ม]:[คะแนนเต็ม]])*tbl_task7[[%]:[%]])</f>
        <v/>
      </c>
      <c r="FX18" s="121" t="str">
        <f>IF(ISBLANK(tbl_task7[[คะแนนเต็ม]:[คะแนนเต็ม]]),"",(tbl_task7[10]/tbl_task7[[คะแนนเต็ม]:[คะแนนเต็ม]])*tbl_task7[[%]:[%]])</f>
        <v/>
      </c>
      <c r="FY18" s="121" t="str">
        <f>IF(ISBLANK(tbl_task7[[คะแนนเต็ม]:[คะแนนเต็ม]]),"",(tbl_task7[11]/tbl_task7[[คะแนนเต็ม]:[คะแนนเต็ม]])*tbl_task7[[%]:[%]])</f>
        <v/>
      </c>
      <c r="FZ18" s="121" t="str">
        <f>IF(ISBLANK(tbl_task7[[คะแนนเต็ม]:[คะแนนเต็ม]]),"",(tbl_task7[12]/tbl_task7[[คะแนนเต็ม]:[คะแนนเต็ม]])*tbl_task7[[%]:[%]])</f>
        <v/>
      </c>
      <c r="GA18" s="121" t="str">
        <f>IF(ISBLANK(tbl_task7[[คะแนนเต็ม]:[คะแนนเต็ม]]),"",(tbl_task7[13]/tbl_task7[[คะแนนเต็ม]:[คะแนนเต็ม]])*tbl_task7[[%]:[%]])</f>
        <v/>
      </c>
      <c r="GB18" s="121" t="str">
        <f>IF(ISBLANK(tbl_task7[[คะแนนเต็ม]:[คะแนนเต็ม]]),"",(tbl_task7[14]/tbl_task7[[คะแนนเต็ม]:[คะแนนเต็ม]])*tbl_task7[[%]:[%]])</f>
        <v/>
      </c>
      <c r="GC18" s="121" t="str">
        <f>IF(ISBLANK(tbl_task7[[คะแนนเต็ม]:[คะแนนเต็ม]]),"",(tbl_task7[15]/tbl_task7[[คะแนนเต็ม]:[คะแนนเต็ม]])*tbl_task7[[%]:[%]])</f>
        <v/>
      </c>
      <c r="GD18" s="121" t="str">
        <f>IF(ISBLANK(tbl_task7[[คะแนนเต็ม]:[คะแนนเต็ม]]),"",(tbl_task7[16]/tbl_task7[[คะแนนเต็ม]:[คะแนนเต็ม]])*tbl_task7[[%]:[%]])</f>
        <v/>
      </c>
      <c r="GE18" s="121" t="str">
        <f>IF(ISBLANK(tbl_task7[[คะแนนเต็ม]:[คะแนนเต็ม]]),"",(tbl_task7[17]/tbl_task7[[คะแนนเต็ม]:[คะแนนเต็ม]])*tbl_task7[[%]:[%]])</f>
        <v/>
      </c>
      <c r="GF18" s="121" t="str">
        <f>IF(ISBLANK(tbl_task7[[คะแนนเต็ม]:[คะแนนเต็ม]]),"",(tbl_task7[18]/tbl_task7[[คะแนนเต็ม]:[คะแนนเต็ม]])*tbl_task7[[%]:[%]])</f>
        <v/>
      </c>
      <c r="GG18" s="121" t="str">
        <f>IF(ISBLANK(tbl_task7[[คะแนนเต็ม]:[คะแนนเต็ม]]),"",(tbl_task7[19]/tbl_task7[[คะแนนเต็ม]:[คะแนนเต็ม]])*tbl_task7[[%]:[%]])</f>
        <v/>
      </c>
      <c r="GH18" s="121" t="str">
        <f>IF(ISBLANK(tbl_task7[[คะแนนเต็ม]:[คะแนนเต็ม]]),"",(tbl_task7[20]/tbl_task7[[คะแนนเต็ม]:[คะแนนเต็ม]])*tbl_task7[[%]:[%]])</f>
        <v/>
      </c>
      <c r="GI18" s="121" t="str">
        <f>IF(ISBLANK(tbl_task7[[คะแนนเต็ม]:[คะแนนเต็ม]]),"",(tbl_task7[21]/tbl_task7[[คะแนนเต็ม]:[คะแนนเต็ม]])*tbl_task7[[%]:[%]])</f>
        <v/>
      </c>
      <c r="GJ18" s="121" t="str">
        <f>IF(ISBLANK(tbl_task7[[คะแนนเต็ม]:[คะแนนเต็ม]]),"",(tbl_task7[22]/tbl_task7[[คะแนนเต็ม]:[คะแนนเต็ม]])*tbl_task7[[%]:[%]])</f>
        <v/>
      </c>
      <c r="GK18" s="121" t="str">
        <f>IF(ISBLANK(tbl_task7[[คะแนนเต็ม]:[คะแนนเต็ม]]),"",(tbl_task7[23]/tbl_task7[[คะแนนเต็ม]:[คะแนนเต็ม]])*tbl_task7[[%]:[%]])</f>
        <v/>
      </c>
      <c r="GL18" s="121" t="str">
        <f>IF(ISBLANK(tbl_task7[[คะแนนเต็ม]:[คะแนนเต็ม]]),"",(tbl_task7[24]/tbl_task7[[คะแนนเต็ม]:[คะแนนเต็ม]])*tbl_task7[[%]:[%]])</f>
        <v/>
      </c>
      <c r="GM18" s="121" t="str">
        <f>IF(ISBLANK(tbl_task7[[คะแนนเต็ม]:[คะแนนเต็ม]]),"",(tbl_task7[25]/tbl_task7[[คะแนนเต็ม]:[คะแนนเต็ม]])*tbl_task7[[%]:[%]])</f>
        <v/>
      </c>
      <c r="GN18" s="121" t="str">
        <f>IF(ISBLANK(tbl_task7[[คะแนนเต็ม]:[คะแนนเต็ม]]),"",(tbl_task7[26]/tbl_task7[[คะแนนเต็ม]:[คะแนนเต็ม]])*tbl_task7[[%]:[%]])</f>
        <v/>
      </c>
      <c r="GO18" s="121" t="str">
        <f>IF(ISBLANK(tbl_task7[[คะแนนเต็ม]:[คะแนนเต็ม]]),"",(tbl_task7[27]/tbl_task7[[คะแนนเต็ม]:[คะแนนเต็ม]])*tbl_task7[[%]:[%]])</f>
        <v/>
      </c>
      <c r="GP18" s="121" t="str">
        <f>IF(ISBLANK(tbl_task7[[คะแนนเต็ม]:[คะแนนเต็ม]]),"",(tbl_task7[28]/tbl_task7[[คะแนนเต็ม]:[คะแนนเต็ม]])*tbl_task7[[%]:[%]])</f>
        <v/>
      </c>
      <c r="GQ18" s="121" t="str">
        <f>IF(ISBLANK(tbl_task7[[คะแนนเต็ม]:[คะแนนเต็ม]]),"",(tbl_task7[29]/tbl_task7[[คะแนนเต็ม]:[คะแนนเต็ม]])*tbl_task7[[%]:[%]])</f>
        <v/>
      </c>
      <c r="GR18" s="121" t="str">
        <f>IF(ISBLANK(tbl_task7[[คะแนนเต็ม]:[คะแนนเต็ม]]),"",(tbl_task7[30]/tbl_task7[[คะแนนเต็ม]:[คะแนนเต็ม]])*tbl_task7[[%]:[%]])</f>
        <v/>
      </c>
      <c r="GS18" s="121" t="str">
        <f>IF(ISBLANK(tbl_task7[[คะแนนเต็ม]:[คะแนนเต็ม]]),"",(tbl_task7[31]/tbl_task7[[คะแนนเต็ม]:[คะแนนเต็ม]])*tbl_task7[[%]:[%]])</f>
        <v/>
      </c>
      <c r="GT18" s="121" t="str">
        <f>IF(ISBLANK(tbl_task7[[คะแนนเต็ม]:[คะแนนเต็ม]]),"",(tbl_task7[32]/tbl_task7[[คะแนนเต็ม]:[คะแนนเต็ม]])*tbl_task7[[%]:[%]])</f>
        <v/>
      </c>
      <c r="GU18" s="121" t="str">
        <f>IF(ISBLANK(tbl_task7[[คะแนนเต็ม]:[คะแนนเต็ม]]),"",(tbl_task7[33]/tbl_task7[[คะแนนเต็ม]:[คะแนนเต็ม]])*tbl_task7[[%]:[%]])</f>
        <v/>
      </c>
      <c r="GV18" s="121" t="str">
        <f>IF(ISBLANK(tbl_task7[[คะแนนเต็ม]:[คะแนนเต็ม]]),"",(tbl_task7[34]/tbl_task7[[คะแนนเต็ม]:[คะแนนเต็ม]])*tbl_task7[[%]:[%]])</f>
        <v/>
      </c>
      <c r="GW18" s="121" t="str">
        <f>IF(ISBLANK(tbl_task7[[คะแนนเต็ม]:[คะแนนเต็ม]]),"",(tbl_task7[35]/tbl_task7[[คะแนนเต็ม]:[คะแนนเต็ม]])*tbl_task7[[%]:[%]])</f>
        <v/>
      </c>
      <c r="GX18" s="121" t="str">
        <f>IF(ISBLANK(tbl_task7[[คะแนนเต็ม]:[คะแนนเต็ม]]),"",(tbl_task7[36]/tbl_task7[[คะแนนเต็ม]:[คะแนนเต็ม]])*tbl_task7[[%]:[%]])</f>
        <v/>
      </c>
      <c r="GY18" s="121" t="str">
        <f>IF(ISBLANK(tbl_task7[[คะแนนเต็ม]:[คะแนนเต็ม]]),"",(tbl_task7[37]/tbl_task7[[คะแนนเต็ม]:[คะแนนเต็ม]])*tbl_task7[[%]:[%]])</f>
        <v/>
      </c>
      <c r="GZ18" s="121" t="str">
        <f>IF(ISBLANK(tbl_task7[[คะแนนเต็ม]:[คะแนนเต็ม]]),"",(tbl_task7[38]/tbl_task7[[คะแนนเต็ม]:[คะแนนเต็ม]])*tbl_task7[[%]:[%]])</f>
        <v/>
      </c>
      <c r="HA18" s="121" t="str">
        <f>IF(ISBLANK(tbl_task7[[คะแนนเต็ม]:[คะแนนเต็ม]]),"",(tbl_task7[39]/tbl_task7[[คะแนนเต็ม]:[คะแนนเต็ม]])*tbl_task7[[%]:[%]])</f>
        <v/>
      </c>
      <c r="HB18" s="121" t="str">
        <f>IF(ISBLANK(tbl_task7[[คะแนนเต็ม]:[คะแนนเต็ม]]),"",(tbl_task7[40]/tbl_task7[[คะแนนเต็ม]:[คะแนนเต็ม]])*tbl_task7[[%]:[%]])</f>
        <v/>
      </c>
      <c r="HC18" s="121" t="str">
        <f>IF(ISBLANK(tbl_task7[[คะแนนเต็ม]:[คะแนนเต็ม]]),"",(tbl_task7[41]/tbl_task7[[คะแนนเต็ม]:[คะแนนเต็ม]])*tbl_task7[[%]:[%]])</f>
        <v/>
      </c>
      <c r="HD18" s="121" t="str">
        <f>IF(ISBLANK(tbl_task7[[คะแนนเต็ม]:[คะแนนเต็ม]]),"",(tbl_task7[42]/tbl_task7[[คะแนนเต็ม]:[คะแนนเต็ม]])*tbl_task7[[%]:[%]])</f>
        <v/>
      </c>
      <c r="HE18" s="121" t="str">
        <f>IF(ISBLANK(tbl_task7[[คะแนนเต็ม]:[คะแนนเต็ม]]),"",(tbl_task7[43]/tbl_task7[[คะแนนเต็ม]:[คะแนนเต็ม]])*tbl_task7[[%]:[%]])</f>
        <v/>
      </c>
      <c r="HF18" s="121" t="str">
        <f>IF(ISBLANK(tbl_task7[[คะแนนเต็ม]:[คะแนนเต็ม]]),"",(tbl_task7[44]/tbl_task7[[คะแนนเต็ม]:[คะแนนเต็ม]])*tbl_task7[[%]:[%]])</f>
        <v/>
      </c>
      <c r="HG18" s="121" t="str">
        <f>IF(ISBLANK(tbl_task7[[คะแนนเต็ม]:[คะแนนเต็ม]]),"",(tbl_task7[45]/tbl_task7[[คะแนนเต็ม]:[คะแนนเต็ม]])*tbl_task7[[%]:[%]])</f>
        <v/>
      </c>
      <c r="HH18" s="121" t="str">
        <f>IF(ISBLANK(tbl_task7[[คะแนนเต็ม]:[คะแนนเต็ม]]),"",(tbl_task7[46]/tbl_task7[[คะแนนเต็ม]:[คะแนนเต็ม]])*tbl_task7[[%]:[%]])</f>
        <v/>
      </c>
      <c r="HI18" s="121" t="str">
        <f>IF(ISBLANK(tbl_task7[[คะแนนเต็ม]:[คะแนนเต็ม]]),"",(tbl_task7[47]/tbl_task7[[คะแนนเต็ม]:[คะแนนเต็ม]])*tbl_task7[[%]:[%]])</f>
        <v/>
      </c>
      <c r="HJ18" s="121" t="str">
        <f>IF(ISBLANK(tbl_task7[[คะแนนเต็ม]:[คะแนนเต็ม]]),"",(tbl_task7[48]/tbl_task7[[คะแนนเต็ม]:[คะแนนเต็ม]])*tbl_task7[[%]:[%]])</f>
        <v/>
      </c>
      <c r="HK18" s="121" t="str">
        <f>IF(ISBLANK(tbl_task7[[คะแนนเต็ม]:[คะแนนเต็ม]]),"",(tbl_task7[49]/tbl_task7[[คะแนนเต็ม]:[คะแนนเต็ม]])*tbl_task7[[%]:[%]])</f>
        <v/>
      </c>
      <c r="HL18" s="121" t="str">
        <f>IF(ISBLANK(tbl_task7[[คะแนนเต็ม]:[คะแนนเต็ม]]),"",(tbl_task7[50]/tbl_task7[[คะแนนเต็ม]:[คะแนนเต็ม]])*tbl_task7[[%]:[%]])</f>
        <v/>
      </c>
      <c r="HM18" s="121" t="str">
        <f>IF(ISBLANK(tbl_task7[[คะแนนเต็ม]:[คะแนนเต็ม]]),"",(tbl_task7[51]/tbl_task7[[คะแนนเต็ม]:[คะแนนเต็ม]])*tbl_task7[[%]:[%]])</f>
        <v/>
      </c>
      <c r="HN18" s="121" t="str">
        <f>IF(ISBLANK(tbl_task7[[คะแนนเต็ม]:[คะแนนเต็ม]]),"",(tbl_task7[52]/tbl_task7[[คะแนนเต็ม]:[คะแนนเต็ม]])*tbl_task7[[%]:[%]])</f>
        <v/>
      </c>
      <c r="HO18" s="121" t="str">
        <f>IF(ISBLANK(tbl_task7[[คะแนนเต็ม]:[คะแนนเต็ม]]),"",(tbl_task7[53]/tbl_task7[[คะแนนเต็ม]:[คะแนนเต็ม]])*tbl_task7[[%]:[%]])</f>
        <v/>
      </c>
      <c r="HP18" s="121" t="str">
        <f>IF(ISBLANK(tbl_task7[[คะแนนเต็ม]:[คะแนนเต็ม]]),"",(tbl_task7[54]/tbl_task7[[คะแนนเต็ม]:[คะแนนเต็ม]])*tbl_task7[[%]:[%]])</f>
        <v/>
      </c>
      <c r="HQ18" s="121" t="str">
        <f>IF(ISBLANK(tbl_task7[[คะแนนเต็ม]:[คะแนนเต็ม]]),"",(tbl_task7[55]/tbl_task7[[คะแนนเต็ม]:[คะแนนเต็ม]])*tbl_task7[[%]:[%]])</f>
        <v/>
      </c>
      <c r="HR18" s="121" t="str">
        <f>IF(ISBLANK(tbl_task7[[คะแนนเต็ม]:[คะแนนเต็ม]]),"",(tbl_task7[56]/tbl_task7[[คะแนนเต็ม]:[คะแนนเต็ม]])*tbl_task7[[%]:[%]])</f>
        <v/>
      </c>
      <c r="HS18" s="121" t="str">
        <f>IF(ISBLANK(tbl_task7[[คะแนนเต็ม]:[คะแนนเต็ม]]),"",(tbl_task7[57]/tbl_task7[[คะแนนเต็ม]:[คะแนนเต็ม]])*tbl_task7[[%]:[%]])</f>
        <v/>
      </c>
      <c r="HT18" s="121" t="str">
        <f>IF(ISBLANK(tbl_task7[[คะแนนเต็ม]:[คะแนนเต็ม]]),"",(tbl_task7[58]/tbl_task7[[คะแนนเต็ม]:[คะแนนเต็ม]])*tbl_task7[[%]:[%]])</f>
        <v/>
      </c>
      <c r="HU18" s="121" t="str">
        <f>IF(ISBLANK(tbl_task7[[คะแนนเต็ม]:[คะแนนเต็ม]]),"",(tbl_task7[59]/tbl_task7[[คะแนนเต็ม]:[คะแนนเต็ม]])*tbl_task7[[%]:[%]])</f>
        <v/>
      </c>
      <c r="HV18" s="121" t="str">
        <f>IF(ISBLANK(tbl_task7[[คะแนนเต็ม]:[คะแนนเต็ม]]),"",(tbl_task7[60]/tbl_task7[[คะแนนเต็ม]:[คะแนนเต็ม]])*tbl_task7[[%]:[%]])</f>
        <v/>
      </c>
      <c r="HW18" s="121" t="str">
        <f>IF(ISBLANK(tbl_task7[[คะแนนเต็ม]:[คะแนนเต็ม]]),"",(tbl_task7[61]/tbl_task7[[คะแนนเต็ม]:[คะแนนเต็ม]])*tbl_task7[[%]:[%]])</f>
        <v/>
      </c>
      <c r="HX18" s="121" t="str">
        <f>IF(ISBLANK(tbl_task7[[คะแนนเต็ม]:[คะแนนเต็ม]]),"",(tbl_task7[62]/tbl_task7[[คะแนนเต็ม]:[คะแนนเต็ม]])*tbl_task7[[%]:[%]])</f>
        <v/>
      </c>
      <c r="HY18" s="121" t="str">
        <f>IF(ISBLANK(tbl_task7[[คะแนนเต็ม]:[คะแนนเต็ม]]),"",(tbl_task7[63]/tbl_task7[[คะแนนเต็ม]:[คะแนนเต็ม]])*tbl_task7[[%]:[%]])</f>
        <v/>
      </c>
      <c r="HZ18" s="121" t="str">
        <f>IF(ISBLANK(tbl_task7[[คะแนนเต็ม]:[คะแนนเต็ม]]),"",(tbl_task7[64]/tbl_task7[[คะแนนเต็ม]:[คะแนนเต็ม]])*tbl_task7[[%]:[%]])</f>
        <v/>
      </c>
      <c r="IA18" s="121" t="str">
        <f>IF(ISBLANK(tbl_task7[[คะแนนเต็ม]:[คะแนนเต็ม]]),"",(tbl_task7[65]/tbl_task7[[คะแนนเต็ม]:[คะแนนเต็ม]])*tbl_task7[[%]:[%]])</f>
        <v/>
      </c>
      <c r="IB18" s="121" t="str">
        <f>IF(ISBLANK(tbl_task7[[คะแนนเต็ม]:[คะแนนเต็ม]]),"",(tbl_task7[66]/tbl_task7[[คะแนนเต็ม]:[คะแนนเต็ม]])*tbl_task7[[%]:[%]])</f>
        <v/>
      </c>
      <c r="IC18" s="121" t="str">
        <f>IF(ISBLANK(tbl_task7[[คะแนนเต็ม]:[คะแนนเต็ม]]),"",(tbl_task7[67]/tbl_task7[[คะแนนเต็ม]:[คะแนนเต็ม]])*tbl_task7[[%]:[%]])</f>
        <v/>
      </c>
      <c r="ID18" s="121" t="str">
        <f>IF(ISBLANK(tbl_task7[[คะแนนเต็ม]:[คะแนนเต็ม]]),"",(tbl_task7[68]/tbl_task7[[คะแนนเต็ม]:[คะแนนเต็ม]])*tbl_task7[[%]:[%]])</f>
        <v/>
      </c>
      <c r="IE18" s="121" t="str">
        <f>IF(ISBLANK(tbl_task7[[คะแนนเต็ม]:[คะแนนเต็ม]]),"",(tbl_task7[69]/tbl_task7[[คะแนนเต็ม]:[คะแนนเต็ม]])*tbl_task7[[%]:[%]])</f>
        <v/>
      </c>
      <c r="IF18" s="121" t="str">
        <f>IF(ISBLANK(tbl_task7[[คะแนนเต็ม]:[คะแนนเต็ม]]),"",(tbl_task7[70]/tbl_task7[[คะแนนเต็ม]:[คะแนนเต็ม]])*tbl_task7[[%]:[%]])</f>
        <v/>
      </c>
      <c r="IG18" s="121" t="str">
        <f>IF(ISBLANK(tbl_task7[[คะแนนเต็ม]:[คะแนนเต็ม]]),"",(tbl_task7[71]/tbl_task7[[คะแนนเต็ม]:[คะแนนเต็ม]])*tbl_task7[[%]:[%]])</f>
        <v/>
      </c>
      <c r="IH18" s="121" t="str">
        <f>IF(ISBLANK(tbl_task7[[คะแนนเต็ม]:[คะแนนเต็ม]]),"",(tbl_task7[72]/tbl_task7[[คะแนนเต็ม]:[คะแนนเต็ม]])*tbl_task7[[%]:[%]])</f>
        <v/>
      </c>
      <c r="II18" s="121" t="str">
        <f>IF(ISBLANK(tbl_task7[[คะแนนเต็ม]:[คะแนนเต็ม]]),"",(tbl_task7[73]/tbl_task7[[คะแนนเต็ม]:[คะแนนเต็ม]])*tbl_task7[[%]:[%]])</f>
        <v/>
      </c>
      <c r="IJ18" s="121" t="str">
        <f>IF(ISBLANK(tbl_task7[[คะแนนเต็ม]:[คะแนนเต็ม]]),"",(tbl_task7[74]/tbl_task7[[คะแนนเต็ม]:[คะแนนเต็ม]])*tbl_task7[[%]:[%]])</f>
        <v/>
      </c>
      <c r="IK18" s="121" t="str">
        <f>IF(ISBLANK(tbl_task7[[คะแนนเต็ม]:[คะแนนเต็ม]]),"",(tbl_task7[75]/tbl_task7[[คะแนนเต็ม]:[คะแนนเต็ม]])*tbl_task7[[%]:[%]])</f>
        <v/>
      </c>
      <c r="IL18" s="121" t="str">
        <f>IF(ISBLANK(tbl_task7[[คะแนนเต็ม]:[คะแนนเต็ม]]),"",(tbl_task7[76]/tbl_task7[[คะแนนเต็ม]:[คะแนนเต็ม]])*tbl_task7[[%]:[%]])</f>
        <v/>
      </c>
      <c r="IM18" s="121" t="str">
        <f>IF(ISBLANK(tbl_task7[[คะแนนเต็ม]:[คะแนนเต็ม]]),"",(tbl_task7[77]/tbl_task7[[คะแนนเต็ม]:[คะแนนเต็ม]])*tbl_task7[[%]:[%]])</f>
        <v/>
      </c>
      <c r="IN18" s="121" t="str">
        <f>IF(ISBLANK(tbl_task7[[คะแนนเต็ม]:[คะแนนเต็ม]]),"",(tbl_task7[78]/tbl_task7[[คะแนนเต็ม]:[คะแนนเต็ม]])*tbl_task7[[%]:[%]])</f>
        <v/>
      </c>
      <c r="IO18" s="121" t="str">
        <f>IF(ISBLANK(tbl_task7[[คะแนนเต็ม]:[คะแนนเต็ม]]),"",(tbl_task7[79]/tbl_task7[[คะแนนเต็ม]:[คะแนนเต็ม]])*tbl_task7[[%]:[%]])</f>
        <v/>
      </c>
      <c r="IP18" s="121" t="str">
        <f>IF(ISBLANK(tbl_task7[[คะแนนเต็ม]:[คะแนนเต็ม]]),"",(tbl_task7[80]/tbl_task7[[คะแนนเต็ม]:[คะแนนเต็ม]])*tbl_task7[[%]:[%]])</f>
        <v/>
      </c>
      <c r="IQ18" s="121" t="str">
        <f>IF(ISBLANK(tbl_task7[[คะแนนเต็ม]:[คะแนนเต็ม]]),"",(tbl_task7[81]/tbl_task7[[คะแนนเต็ม]:[คะแนนเต็ม]])*tbl_task7[[%]:[%]])</f>
        <v/>
      </c>
      <c r="IR18" s="121" t="str">
        <f>IF(ISBLANK(tbl_task7[[คะแนนเต็ม]:[คะแนนเต็ม]]),"",(tbl_task7[82]/tbl_task7[[คะแนนเต็ม]:[คะแนนเต็ม]])*tbl_task7[[%]:[%]])</f>
        <v/>
      </c>
      <c r="IS18" s="121" t="str">
        <f>IF(ISBLANK(tbl_task7[[คะแนนเต็ม]:[คะแนนเต็ม]]),"",(tbl_task7[83]/tbl_task7[[คะแนนเต็ม]:[คะแนนเต็ม]])*tbl_task7[[%]:[%]])</f>
        <v/>
      </c>
      <c r="IT18" s="121" t="str">
        <f>IF(ISBLANK(tbl_task7[[คะแนนเต็ม]:[คะแนนเต็ม]]),"",(tbl_task7[84]/tbl_task7[[คะแนนเต็ม]:[คะแนนเต็ม]])*tbl_task7[[%]:[%]])</f>
        <v/>
      </c>
      <c r="IU18" s="121" t="str">
        <f>IF(ISBLANK(tbl_task7[[คะแนนเต็ม]:[คะแนนเต็ม]]),"",(tbl_task7[85]/tbl_task7[[คะแนนเต็ม]:[คะแนนเต็ม]])*tbl_task7[[%]:[%]])</f>
        <v/>
      </c>
      <c r="IV18" s="121" t="str">
        <f>IF(ISBLANK(tbl_task7[[คะแนนเต็ม]:[คะแนนเต็ม]]),"",(tbl_task7[86]/tbl_task7[[คะแนนเต็ม]:[คะแนนเต็ม]])*tbl_task7[[%]:[%]])</f>
        <v/>
      </c>
      <c r="IW18" s="121" t="str">
        <f>IF(ISBLANK(tbl_task7[[คะแนนเต็ม]:[คะแนนเต็ม]]),"",(tbl_task7[87]/tbl_task7[[คะแนนเต็ม]:[คะแนนเต็ม]])*tbl_task7[[%]:[%]])</f>
        <v/>
      </c>
      <c r="IX18" s="121" t="str">
        <f>IF(ISBLANK(tbl_task7[[คะแนนเต็ม]:[คะแนนเต็ม]]),"",(tbl_task7[88]/tbl_task7[[คะแนนเต็ม]:[คะแนนเต็ม]])*tbl_task7[[%]:[%]])</f>
        <v/>
      </c>
      <c r="IY18" s="121" t="str">
        <f>IF(ISBLANK(tbl_task7[[คะแนนเต็ม]:[คะแนนเต็ม]]),"",(tbl_task7[89]/tbl_task7[[คะแนนเต็ม]:[คะแนนเต็ม]])*tbl_task7[[%]:[%]])</f>
        <v/>
      </c>
      <c r="IZ18" s="121" t="str">
        <f>IF(ISBLANK(tbl_task7[[คะแนนเต็ม]:[คะแนนเต็ม]]),"",(tbl_task7[90]/tbl_task7[[คะแนนเต็ม]:[คะแนนเต็ม]])*tbl_task7[[%]:[%]])</f>
        <v/>
      </c>
      <c r="JA18" s="121" t="str">
        <f>IF(ISBLANK(tbl_task7[[คะแนนเต็ม]:[คะแนนเต็ม]]),"",(tbl_task7[91]/tbl_task7[[คะแนนเต็ม]:[คะแนนเต็ม]])*tbl_task7[[%]:[%]])</f>
        <v/>
      </c>
      <c r="JB18" s="121" t="str">
        <f>IF(ISBLANK(tbl_task7[[คะแนนเต็ม]:[คะแนนเต็ม]]),"",(tbl_task7[92]/tbl_task7[[คะแนนเต็ม]:[คะแนนเต็ม]])*tbl_task7[[%]:[%]])</f>
        <v/>
      </c>
      <c r="JC18" s="121" t="str">
        <f>IF(ISBLANK(tbl_task7[[คะแนนเต็ม]:[คะแนนเต็ม]]),"",(tbl_task7[93]/tbl_task7[[คะแนนเต็ม]:[คะแนนเต็ม]])*tbl_task7[[%]:[%]])</f>
        <v/>
      </c>
      <c r="JD18" s="121" t="str">
        <f>IF(ISBLANK(tbl_task7[[คะแนนเต็ม]:[คะแนนเต็ม]]),"",(tbl_task7[94]/tbl_task7[[คะแนนเต็ม]:[คะแนนเต็ม]])*tbl_task7[[%]:[%]])</f>
        <v/>
      </c>
      <c r="JE18" s="121" t="str">
        <f>IF(ISBLANK(tbl_task7[[คะแนนเต็ม]:[คะแนนเต็ม]]),"",(tbl_task7[95]/tbl_task7[[คะแนนเต็ม]:[คะแนนเต็ม]])*tbl_task7[[%]:[%]])</f>
        <v/>
      </c>
      <c r="JF18" s="121" t="str">
        <f>IF(ISBLANK(tbl_task7[[คะแนนเต็ม]:[คะแนนเต็ม]]),"",(tbl_task7[96]/tbl_task7[[คะแนนเต็ม]:[คะแนนเต็ม]])*tbl_task7[[%]:[%]])</f>
        <v/>
      </c>
      <c r="JG18" s="121" t="str">
        <f>IF(ISBLANK(tbl_task7[[คะแนนเต็ม]:[คะแนนเต็ม]]),"",(tbl_task7[97]/tbl_task7[[คะแนนเต็ม]:[คะแนนเต็ม]])*tbl_task7[[%]:[%]])</f>
        <v/>
      </c>
      <c r="JH18" s="121" t="str">
        <f>IF(ISBLANK(tbl_task7[[คะแนนเต็ม]:[คะแนนเต็ม]]),"",(tbl_task7[98]/tbl_task7[[คะแนนเต็ม]:[คะแนนเต็ม]])*tbl_task7[[%]:[%]])</f>
        <v/>
      </c>
      <c r="JI18" s="121" t="str">
        <f>IF(ISBLANK(tbl_task7[[คะแนนเต็ม]:[คะแนนเต็ม]]),"",(tbl_task7[99]/tbl_task7[[คะแนนเต็ม]:[คะแนนเต็ม]])*tbl_task7[[%]:[%]])</f>
        <v/>
      </c>
      <c r="JJ18" s="121" t="str">
        <f>IF(ISBLANK(tbl_task7[[คะแนนเต็ม]:[คะแนนเต็ม]]),"",(tbl_task7[100]/tbl_task7[[คะแนนเต็ม]:[คะแนนเต็ม]])*tbl_task7[[%]:[%]])</f>
        <v/>
      </c>
      <c r="JK18" s="121" t="str">
        <f>IF(ISBLANK(tbl_task7[[คะแนนเต็ม]:[คะแนนเต็ม]]),"",(tbl_task7[101]/tbl_task7[[คะแนนเต็ม]:[คะแนนเต็ม]])*tbl_task7[[%]:[%]])</f>
        <v/>
      </c>
      <c r="JL18" s="121" t="str">
        <f>IF(ISBLANK(tbl_task7[[คะแนนเต็ม]:[คะแนนเต็ม]]),"",(tbl_task7[102]/tbl_task7[[คะแนนเต็ม]:[คะแนนเต็ม]])*tbl_task7[[%]:[%]])</f>
        <v/>
      </c>
      <c r="JM18" s="121" t="str">
        <f>IF(ISBLANK(tbl_task7[[คะแนนเต็ม]:[คะแนนเต็ม]]),"",(tbl_task7[103]/tbl_task7[[คะแนนเต็ม]:[คะแนนเต็ม]])*tbl_task7[[%]:[%]])</f>
        <v/>
      </c>
      <c r="JN18" s="121" t="str">
        <f>IF(ISBLANK(tbl_task7[[คะแนนเต็ม]:[คะแนนเต็ม]]),"",(tbl_task7[104]/tbl_task7[[คะแนนเต็ม]:[คะแนนเต็ม]])*tbl_task7[[%]:[%]])</f>
        <v/>
      </c>
      <c r="JO18" s="121" t="str">
        <f>IF(ISBLANK(tbl_task7[[คะแนนเต็ม]:[คะแนนเต็ม]]),"",(tbl_task7[105]/tbl_task7[[คะแนนเต็ม]:[คะแนนเต็ม]])*tbl_task7[[%]:[%]])</f>
        <v/>
      </c>
      <c r="JP18" s="121" t="str">
        <f>IF(ISBLANK(tbl_task7[[คะแนนเต็ม]:[คะแนนเต็ม]]),"",(tbl_task7[106]/tbl_task7[[คะแนนเต็ม]:[คะแนนเต็ม]])*tbl_task7[[%]:[%]])</f>
        <v/>
      </c>
      <c r="JQ18" s="121" t="str">
        <f>IF(ISBLANK(tbl_task7[[คะแนนเต็ม]:[คะแนนเต็ม]]),"",(tbl_task7[107]/tbl_task7[[คะแนนเต็ม]:[คะแนนเต็ม]])*tbl_task7[[%]:[%]])</f>
        <v/>
      </c>
      <c r="JR18" s="121" t="str">
        <f>IF(ISBLANK(tbl_task7[[คะแนนเต็ม]:[คะแนนเต็ม]]),"",(tbl_task7[108]/tbl_task7[[คะแนนเต็ม]:[คะแนนเต็ม]])*tbl_task7[[%]:[%]])</f>
        <v/>
      </c>
      <c r="JS18" s="121" t="str">
        <f>IF(ISBLANK(tbl_task7[[คะแนนเต็ม]:[คะแนนเต็ม]]),"",(tbl_task7[109]/tbl_task7[[คะแนนเต็ม]:[คะแนนเต็ม]])*tbl_task7[[%]:[%]])</f>
        <v/>
      </c>
      <c r="JT18" s="121" t="str">
        <f>IF(ISBLANK(tbl_task7[[คะแนนเต็ม]:[คะแนนเต็ม]]),"",(tbl_task7[110]/tbl_task7[[คะแนนเต็ม]:[คะแนนเต็ม]])*tbl_task7[[%]:[%]])</f>
        <v/>
      </c>
      <c r="JU18" s="121" t="str">
        <f>IF(ISBLANK(tbl_task7[[คะแนนเต็ม]:[คะแนนเต็ม]]),"",(tbl_task7[111]/tbl_task7[[คะแนนเต็ม]:[คะแนนเต็ม]])*tbl_task7[[%]:[%]])</f>
        <v/>
      </c>
      <c r="JV18" s="121" t="str">
        <f>IF(ISBLANK(tbl_task7[[คะแนนเต็ม]:[คะแนนเต็ม]]),"",(tbl_task7[112]/tbl_task7[[คะแนนเต็ม]:[คะแนนเต็ม]])*tbl_task7[[%]:[%]])</f>
        <v/>
      </c>
      <c r="JW18" s="121" t="str">
        <f>IF(ISBLANK(tbl_task7[[คะแนนเต็ม]:[คะแนนเต็ม]]),"",(tbl_task7[113]/tbl_task7[[คะแนนเต็ม]:[คะแนนเต็ม]])*tbl_task7[[%]:[%]])</f>
        <v/>
      </c>
      <c r="JX18" s="121" t="str">
        <f>IF(ISBLANK(tbl_task7[[คะแนนเต็ม]:[คะแนนเต็ม]]),"",(tbl_task7[114]/tbl_task7[[คะแนนเต็ม]:[คะแนนเต็ม]])*tbl_task7[[%]:[%]])</f>
        <v/>
      </c>
      <c r="JY18" s="121" t="str">
        <f>IF(ISBLANK(tbl_task7[[คะแนนเต็ม]:[คะแนนเต็ม]]),"",(tbl_task7[115]/tbl_task7[[คะแนนเต็ม]:[คะแนนเต็ม]])*tbl_task7[[%]:[%]])</f>
        <v/>
      </c>
      <c r="JZ18" s="121" t="str">
        <f>IF(ISBLANK(tbl_task7[[คะแนนเต็ม]:[คะแนนเต็ม]]),"",(tbl_task7[116]/tbl_task7[[คะแนนเต็ม]:[คะแนนเต็ม]])*tbl_task7[[%]:[%]])</f>
        <v/>
      </c>
      <c r="KA18" s="121" t="str">
        <f>IF(ISBLANK(tbl_task7[[คะแนนเต็ม]:[คะแนนเต็ม]]),"",(tbl_task7[117]/tbl_task7[[คะแนนเต็ม]:[คะแนนเต็ม]])*tbl_task7[[%]:[%]])</f>
        <v/>
      </c>
      <c r="KB18" s="121" t="str">
        <f>IF(ISBLANK(tbl_task7[[คะแนนเต็ม]:[คะแนนเต็ม]]),"",(tbl_task7[118]/tbl_task7[[คะแนนเต็ม]:[คะแนนเต็ม]])*tbl_task7[[%]:[%]])</f>
        <v/>
      </c>
      <c r="KC18" s="121" t="str">
        <f>IF(ISBLANK(tbl_task7[[คะแนนเต็ม]:[คะแนนเต็ม]]),"",(tbl_task7[119]/tbl_task7[[คะแนนเต็ม]:[คะแนนเต็ม]])*tbl_task7[[%]:[%]])</f>
        <v/>
      </c>
      <c r="KD18" s="121" t="str">
        <f>IF(ISBLANK(tbl_task7[[คะแนนเต็ม]:[คะแนนเต็ม]]),"",(tbl_task7[120]/tbl_task7[[คะแนนเต็ม]:[คะแนนเต็ม]])*tbl_task7[[%]:[%]])</f>
        <v/>
      </c>
      <c r="KE18" s="121" t="str">
        <f>IF(ISBLANK(tbl_task7[[คะแนนเต็ม]:[คะแนนเต็ม]]),"",(tbl_task7[121]/tbl_task7[[คะแนนเต็ม]:[คะแนนเต็ม]])*tbl_task7[[%]:[%]])</f>
        <v/>
      </c>
      <c r="KF18" s="121" t="str">
        <f>IF(ISBLANK(tbl_task7[[คะแนนเต็ม]:[คะแนนเต็ม]]),"",(tbl_task7[122]/tbl_task7[[คะแนนเต็ม]:[คะแนนเต็ม]])*tbl_task7[[%]:[%]])</f>
        <v/>
      </c>
      <c r="KG18" s="121" t="str">
        <f>IF(ISBLANK(tbl_task7[[คะแนนเต็ม]:[คะแนนเต็ม]]),"",(tbl_task7[123]/tbl_task7[[คะแนนเต็ม]:[คะแนนเต็ม]])*tbl_task7[[%]:[%]])</f>
        <v/>
      </c>
      <c r="KH18" s="121" t="str">
        <f>IF(ISBLANK(tbl_task7[[คะแนนเต็ม]:[คะแนนเต็ม]]),"",(tbl_task7[124]/tbl_task7[[คะแนนเต็ม]:[คะแนนเต็ม]])*tbl_task7[[%]:[%]])</f>
        <v/>
      </c>
      <c r="KI18" s="121" t="str">
        <f>IF(ISBLANK(tbl_task7[[คะแนนเต็ม]:[คะแนนเต็ม]]),"",(tbl_task7[125]/tbl_task7[[คะแนนเต็ม]:[คะแนนเต็ม]])*tbl_task7[[%]:[%]])</f>
        <v/>
      </c>
      <c r="KJ18" s="121" t="str">
        <f>IF(ISBLANK(tbl_task7[[คะแนนเต็ม]:[คะแนนเต็ม]]),"",(tbl_task7[126]/tbl_task7[[คะแนนเต็ม]:[คะแนนเต็ม]])*tbl_task7[[%]:[%]])</f>
        <v/>
      </c>
      <c r="KK18" s="121" t="str">
        <f>IF(ISBLANK(tbl_task7[[คะแนนเต็ม]:[คะแนนเต็ม]]),"",(tbl_task7[127]/tbl_task7[[คะแนนเต็ม]:[คะแนนเต็ม]])*tbl_task7[[%]:[%]])</f>
        <v/>
      </c>
      <c r="KL18" s="121" t="str">
        <f>IF(ISBLANK(tbl_task7[[คะแนนเต็ม]:[คะแนนเต็ม]]),"",(tbl_task7[128]/tbl_task7[[คะแนนเต็ม]:[คะแนนเต็ม]])*tbl_task7[[%]:[%]])</f>
        <v/>
      </c>
      <c r="KM18" s="121" t="str">
        <f>IF(ISBLANK(tbl_task7[[คะแนนเต็ม]:[คะแนนเต็ม]]),"",(tbl_task7[129]/tbl_task7[[คะแนนเต็ม]:[คะแนนเต็ม]])*tbl_task7[[%]:[%]])</f>
        <v/>
      </c>
      <c r="KN18" s="121" t="str">
        <f>IF(ISBLANK(tbl_task7[[คะแนนเต็ม]:[คะแนนเต็ม]]),"",(tbl_task7[130]/tbl_task7[[คะแนนเต็ม]:[คะแนนเต็ม]])*tbl_task7[[%]:[%]])</f>
        <v/>
      </c>
      <c r="KO18" s="121" t="str">
        <f>IF(ISBLANK(tbl_task7[[คะแนนเต็ม]:[คะแนนเต็ม]]),"",(tbl_task7[131]/tbl_task7[[คะแนนเต็ม]:[คะแนนเต็ม]])*tbl_task7[[%]:[%]])</f>
        <v/>
      </c>
      <c r="KP18" s="121" t="str">
        <f>IF(ISBLANK(tbl_task7[[คะแนนเต็ม]:[คะแนนเต็ม]]),"",(tbl_task7[132]/tbl_task7[[คะแนนเต็ม]:[คะแนนเต็ม]])*tbl_task7[[%]:[%]])</f>
        <v/>
      </c>
      <c r="KQ18" s="121" t="str">
        <f>IF(ISBLANK(tbl_task7[[คะแนนเต็ม]:[คะแนนเต็ม]]),"",(tbl_task7[133]/tbl_task7[[คะแนนเต็ม]:[คะแนนเต็ม]])*tbl_task7[[%]:[%]])</f>
        <v/>
      </c>
      <c r="KR18" s="121" t="str">
        <f>IF(ISBLANK(tbl_task7[[คะแนนเต็ม]:[คะแนนเต็ม]]),"",(tbl_task7[134]/tbl_task7[[คะแนนเต็ม]:[คะแนนเต็ม]])*tbl_task7[[%]:[%]])</f>
        <v/>
      </c>
      <c r="KS18" s="121" t="str">
        <f>IF(ISBLANK(tbl_task7[[คะแนนเต็ม]:[คะแนนเต็ม]]),"",(tbl_task7[135]/tbl_task7[[คะแนนเต็ม]:[คะแนนเต็ม]])*tbl_task7[[%]:[%]])</f>
        <v/>
      </c>
      <c r="KT18" s="121" t="str">
        <f>IF(ISBLANK(tbl_task7[[คะแนนเต็ม]:[คะแนนเต็ม]]),"",(tbl_task7[136]/tbl_task7[[คะแนนเต็ม]:[คะแนนเต็ม]])*tbl_task7[[%]:[%]])</f>
        <v/>
      </c>
      <c r="KU18" s="121" t="str">
        <f>IF(ISBLANK(tbl_task7[[คะแนนเต็ม]:[คะแนนเต็ม]]),"",(tbl_task7[137]/tbl_task7[[คะแนนเต็ม]:[คะแนนเต็ม]])*tbl_task7[[%]:[%]])</f>
        <v/>
      </c>
      <c r="KV18" s="121" t="str">
        <f>IF(ISBLANK(tbl_task7[[คะแนนเต็ม]:[คะแนนเต็ม]]),"",(tbl_task7[138]/tbl_task7[[คะแนนเต็ม]:[คะแนนเต็ม]])*tbl_task7[[%]:[%]])</f>
        <v/>
      </c>
      <c r="KW18" s="121" t="str">
        <f>IF(ISBLANK(tbl_task7[[คะแนนเต็ม]:[คะแนนเต็ม]]),"",(tbl_task7[139]/tbl_task7[[คะแนนเต็ม]:[คะแนนเต็ม]])*tbl_task7[[%]:[%]])</f>
        <v/>
      </c>
      <c r="KX18" s="121" t="str">
        <f>IF(ISBLANK(tbl_task7[[คะแนนเต็ม]:[คะแนนเต็ม]]),"",(tbl_task7[140]/tbl_task7[[คะแนนเต็ม]:[คะแนนเต็ม]])*tbl_task7[[%]:[%]])</f>
        <v/>
      </c>
      <c r="KY18" s="121" t="str">
        <f>IF(ISBLANK(tbl_task7[[คะแนนเต็ม]:[คะแนนเต็ม]]),"",(tbl_task7[141]/tbl_task7[[คะแนนเต็ม]:[คะแนนเต็ม]])*tbl_task7[[%]:[%]])</f>
        <v/>
      </c>
      <c r="KZ18" s="121" t="str">
        <f>IF(ISBLANK(tbl_task7[[คะแนนเต็ม]:[คะแนนเต็ม]]),"",(tbl_task7[142]/tbl_task7[[คะแนนเต็ม]:[คะแนนเต็ม]])*tbl_task7[[%]:[%]])</f>
        <v/>
      </c>
      <c r="LA18" s="121" t="str">
        <f>IF(ISBLANK(tbl_task7[[คะแนนเต็ม]:[คะแนนเต็ม]]),"",(tbl_task7[143]/tbl_task7[[คะแนนเต็ม]:[คะแนนเต็ม]])*tbl_task7[[%]:[%]])</f>
        <v/>
      </c>
      <c r="LB18" s="121" t="str">
        <f>IF(ISBLANK(tbl_task7[[คะแนนเต็ม]:[คะแนนเต็ม]]),"",(tbl_task7[144]/tbl_task7[[คะแนนเต็ม]:[คะแนนเต็ม]])*tbl_task7[[%]:[%]])</f>
        <v/>
      </c>
      <c r="LC18" s="121" t="str">
        <f>IF(ISBLANK(tbl_task7[[คะแนนเต็ม]:[คะแนนเต็ม]]),"",(tbl_task7[145]/tbl_task7[[คะแนนเต็ม]:[คะแนนเต็ม]])*tbl_task7[[%]:[%]])</f>
        <v/>
      </c>
      <c r="LD18" s="121" t="str">
        <f>IF(ISBLANK(tbl_task7[[คะแนนเต็ม]:[คะแนนเต็ม]]),"",(tbl_task7[146]/tbl_task7[[คะแนนเต็ม]:[คะแนนเต็ม]])*tbl_task7[[%]:[%]])</f>
        <v/>
      </c>
      <c r="LE18" s="121" t="str">
        <f>IF(ISBLANK(tbl_task7[[คะแนนเต็ม]:[คะแนนเต็ม]]),"",(tbl_task7[147]/tbl_task7[[คะแนนเต็ม]:[คะแนนเต็ม]])*tbl_task7[[%]:[%]])</f>
        <v/>
      </c>
      <c r="LF18" s="121" t="str">
        <f>IF(ISBLANK(tbl_task7[[คะแนนเต็ม]:[คะแนนเต็ม]]),"",(tbl_task7[148]/tbl_task7[[คะแนนเต็ม]:[คะแนนเต็ม]])*tbl_task7[[%]:[%]])</f>
        <v/>
      </c>
      <c r="LG18" s="121" t="str">
        <f>IF(ISBLANK(tbl_task7[[คะแนนเต็ม]:[คะแนนเต็ม]]),"",(tbl_task7[149]/tbl_task7[[คะแนนเต็ม]:[คะแนนเต็ม]])*tbl_task7[[%]:[%]])</f>
        <v/>
      </c>
      <c r="LH18" s="121" t="str">
        <f>IF(ISBLANK(tbl_task7[[คะแนนเต็ม]:[คะแนนเต็ม]]),"",(tbl_task7[150]/tbl_task7[[คะแนนเต็ม]:[คะแนนเต็ม]])*tbl_task7[[%]:[%]])</f>
        <v/>
      </c>
      <c r="LI18" s="121" t="str">
        <f>IF(ISBLANK(tbl_task7[[คะแนนเต็ม]:[คะแนนเต็ม]]),"",(tbl_task7[151]/tbl_task7[[คะแนนเต็ม]:[คะแนนเต็ม]])*tbl_task7[[%]:[%]])</f>
        <v/>
      </c>
      <c r="LJ18" s="121" t="str">
        <f>IF(ISBLANK(tbl_task7[[คะแนนเต็ม]:[คะแนนเต็ม]]),"",(tbl_task7[152]/tbl_task7[[คะแนนเต็ม]:[คะแนนเต็ม]])*tbl_task7[[%]:[%]])</f>
        <v/>
      </c>
      <c r="LK18" s="121" t="str">
        <f>IF(ISBLANK(tbl_task7[[คะแนนเต็ม]:[คะแนนเต็ม]]),"",(tbl_task7[153]/tbl_task7[[คะแนนเต็ม]:[คะแนนเต็ม]])*tbl_task7[[%]:[%]])</f>
        <v/>
      </c>
      <c r="LL18" s="121" t="str">
        <f>IF(ISBLANK(tbl_task7[[คะแนนเต็ม]:[คะแนนเต็ม]]),"",(tbl_task7[154]/tbl_task7[[คะแนนเต็ม]:[คะแนนเต็ม]])*tbl_task7[[%]:[%]])</f>
        <v/>
      </c>
      <c r="LM18" s="121" t="str">
        <f>IF(ISBLANK(tbl_task7[[คะแนนเต็ม]:[คะแนนเต็ม]]),"",(tbl_task7[155]/tbl_task7[[คะแนนเต็ม]:[คะแนนเต็ม]])*tbl_task7[[%]:[%]])</f>
        <v/>
      </c>
      <c r="LN18" s="121" t="str">
        <f>IF(ISBLANK(tbl_task7[[คะแนนเต็ม]:[คะแนนเต็ม]]),"",(tbl_task7[156]/tbl_task7[[คะแนนเต็ม]:[คะแนนเต็ม]])*tbl_task7[[%]:[%]])</f>
        <v/>
      </c>
      <c r="LO18" s="121" t="str">
        <f>IF(ISBLANK(tbl_task7[[คะแนนเต็ม]:[คะแนนเต็ม]]),"",(tbl_task7[157]/tbl_task7[[คะแนนเต็ม]:[คะแนนเต็ม]])*tbl_task7[[%]:[%]])</f>
        <v/>
      </c>
      <c r="LP18" s="121" t="str">
        <f>IF(ISBLANK(tbl_task7[[คะแนนเต็ม]:[คะแนนเต็ม]]),"",(tbl_task7[158]/tbl_task7[[คะแนนเต็ม]:[คะแนนเต็ม]])*tbl_task7[[%]:[%]])</f>
        <v/>
      </c>
      <c r="LQ18" s="121" t="str">
        <f>IF(ISBLANK(tbl_task7[[คะแนนเต็ม]:[คะแนนเต็ม]]),"",(tbl_task7[159]/tbl_task7[[คะแนนเต็ม]:[คะแนนเต็ม]])*tbl_task7[[%]:[%]])</f>
        <v/>
      </c>
      <c r="LR18" s="121" t="str">
        <f>IF(ISBLANK(tbl_task7[[คะแนนเต็ม]:[คะแนนเต็ม]]),"",(tbl_task7[160]/tbl_task7[[คะแนนเต็ม]:[คะแนนเต็ม]])*tbl_task7[[%]:[%]])</f>
        <v/>
      </c>
      <c r="LS18" s="121" t="str">
        <f>IF(ISBLANK(tbl_task7[[คะแนนเต็ม]:[คะแนนเต็ม]]),"",(tbl_task7[161]/tbl_task7[[คะแนนเต็ม]:[คะแนนเต็ม]])*tbl_task7[[%]:[%]])</f>
        <v/>
      </c>
      <c r="LT18" s="121" t="str">
        <f>IF(ISBLANK(tbl_task7[[คะแนนเต็ม]:[คะแนนเต็ม]]),"",(tbl_task7[162]/tbl_task7[[คะแนนเต็ม]:[คะแนนเต็ม]])*tbl_task7[[%]:[%]])</f>
        <v/>
      </c>
      <c r="LU18" s="121" t="str">
        <f>IF(ISBLANK(tbl_task7[[คะแนนเต็ม]:[คะแนนเต็ม]]),"",(tbl_task7[163]/tbl_task7[[คะแนนเต็ม]:[คะแนนเต็ม]])*tbl_task7[[%]:[%]])</f>
        <v/>
      </c>
      <c r="LV18" s="121" t="str">
        <f>IF(ISBLANK(tbl_task7[[คะแนนเต็ม]:[คะแนนเต็ม]]),"",(tbl_task7[164]/tbl_task7[[คะแนนเต็ม]:[คะแนนเต็ม]])*tbl_task7[[%]:[%]])</f>
        <v/>
      </c>
      <c r="LW18" s="121" t="str">
        <f>IF(ISBLANK(tbl_task7[[คะแนนเต็ม]:[คะแนนเต็ม]]),"",(tbl_task7[165]/tbl_task7[[คะแนนเต็ม]:[คะแนนเต็ม]])*tbl_task7[[%]:[%]])</f>
        <v/>
      </c>
    </row>
    <row r="19" spans="1:335" ht="24" customHeight="1" x14ac:dyDescent="0.25">
      <c r="A19" s="24">
        <v>16</v>
      </c>
      <c r="B19" s="20"/>
      <c r="C19" s="5" t="str">
        <f>IF(ISBLANK(B19),"",VLOOKUP(B19,tbl_PLOs[],2,0))</f>
        <v/>
      </c>
      <c r="D19" s="102"/>
      <c r="E19" s="106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121" t="str">
        <f>IF(ISBLANK(tbl_task7[[คะแนนเต็ม]:[คะแนนเต็ม]]),"",(tbl_task7[1]/tbl_task7[[คะแนนเต็ม]:[คะแนนเต็ม]])*tbl_task7[[%]:[%]])</f>
        <v/>
      </c>
      <c r="FP19" s="121" t="str">
        <f>IF(ISBLANK(tbl_task7[[คะแนนเต็ม]:[คะแนนเต็ม]]),"",(tbl_task7[2]/tbl_task7[[คะแนนเต็ม]:[คะแนนเต็ม]])*tbl_task7[[%]:[%]])</f>
        <v/>
      </c>
      <c r="FQ19" s="121" t="str">
        <f>IF(ISBLANK(tbl_task7[[คะแนนเต็ม]:[คะแนนเต็ม]]),"",(tbl_task7[3]/tbl_task7[[คะแนนเต็ม]:[คะแนนเต็ม]])*tbl_task7[[%]:[%]])</f>
        <v/>
      </c>
      <c r="FR19" s="121" t="str">
        <f>IF(ISBLANK(tbl_task7[[คะแนนเต็ม]:[คะแนนเต็ม]]),"",(tbl_task7[4]/tbl_task7[[คะแนนเต็ม]:[คะแนนเต็ม]])*tbl_task7[[%]:[%]])</f>
        <v/>
      </c>
      <c r="FS19" s="121" t="str">
        <f>IF(ISBLANK(tbl_task7[[คะแนนเต็ม]:[คะแนนเต็ม]]),"",(tbl_task7[5]/tbl_task7[[คะแนนเต็ม]:[คะแนนเต็ม]])*tbl_task7[[%]:[%]])</f>
        <v/>
      </c>
      <c r="FT19" s="121" t="str">
        <f>IF(ISBLANK(tbl_task7[[คะแนนเต็ม]:[คะแนนเต็ม]]),"",(tbl_task7[6]/tbl_task7[[คะแนนเต็ม]:[คะแนนเต็ม]])*tbl_task7[[%]:[%]])</f>
        <v/>
      </c>
      <c r="FU19" s="121" t="str">
        <f>IF(ISBLANK(tbl_task7[[คะแนนเต็ม]:[คะแนนเต็ม]]),"",(tbl_task7[7]/tbl_task7[[คะแนนเต็ม]:[คะแนนเต็ม]])*tbl_task7[[%]:[%]])</f>
        <v/>
      </c>
      <c r="FV19" s="121" t="str">
        <f>IF(ISBLANK(tbl_task7[[คะแนนเต็ม]:[คะแนนเต็ม]]),"",(tbl_task7[8]/tbl_task7[[คะแนนเต็ม]:[คะแนนเต็ม]])*tbl_task7[[%]:[%]])</f>
        <v/>
      </c>
      <c r="FW19" s="121" t="str">
        <f>IF(ISBLANK(tbl_task7[[คะแนนเต็ม]:[คะแนนเต็ม]]),"",(tbl_task7[9]/tbl_task7[[คะแนนเต็ม]:[คะแนนเต็ม]])*tbl_task7[[%]:[%]])</f>
        <v/>
      </c>
      <c r="FX19" s="121" t="str">
        <f>IF(ISBLANK(tbl_task7[[คะแนนเต็ม]:[คะแนนเต็ม]]),"",(tbl_task7[10]/tbl_task7[[คะแนนเต็ม]:[คะแนนเต็ม]])*tbl_task7[[%]:[%]])</f>
        <v/>
      </c>
      <c r="FY19" s="121" t="str">
        <f>IF(ISBLANK(tbl_task7[[คะแนนเต็ม]:[คะแนนเต็ม]]),"",(tbl_task7[11]/tbl_task7[[คะแนนเต็ม]:[คะแนนเต็ม]])*tbl_task7[[%]:[%]])</f>
        <v/>
      </c>
      <c r="FZ19" s="121" t="str">
        <f>IF(ISBLANK(tbl_task7[[คะแนนเต็ม]:[คะแนนเต็ม]]),"",(tbl_task7[12]/tbl_task7[[คะแนนเต็ม]:[คะแนนเต็ม]])*tbl_task7[[%]:[%]])</f>
        <v/>
      </c>
      <c r="GA19" s="121" t="str">
        <f>IF(ISBLANK(tbl_task7[[คะแนนเต็ม]:[คะแนนเต็ม]]),"",(tbl_task7[13]/tbl_task7[[คะแนนเต็ม]:[คะแนนเต็ม]])*tbl_task7[[%]:[%]])</f>
        <v/>
      </c>
      <c r="GB19" s="121" t="str">
        <f>IF(ISBLANK(tbl_task7[[คะแนนเต็ม]:[คะแนนเต็ม]]),"",(tbl_task7[14]/tbl_task7[[คะแนนเต็ม]:[คะแนนเต็ม]])*tbl_task7[[%]:[%]])</f>
        <v/>
      </c>
      <c r="GC19" s="121" t="str">
        <f>IF(ISBLANK(tbl_task7[[คะแนนเต็ม]:[คะแนนเต็ม]]),"",(tbl_task7[15]/tbl_task7[[คะแนนเต็ม]:[คะแนนเต็ม]])*tbl_task7[[%]:[%]])</f>
        <v/>
      </c>
      <c r="GD19" s="121" t="str">
        <f>IF(ISBLANK(tbl_task7[[คะแนนเต็ม]:[คะแนนเต็ม]]),"",(tbl_task7[16]/tbl_task7[[คะแนนเต็ม]:[คะแนนเต็ม]])*tbl_task7[[%]:[%]])</f>
        <v/>
      </c>
      <c r="GE19" s="121" t="str">
        <f>IF(ISBLANK(tbl_task7[[คะแนนเต็ม]:[คะแนนเต็ม]]),"",(tbl_task7[17]/tbl_task7[[คะแนนเต็ม]:[คะแนนเต็ม]])*tbl_task7[[%]:[%]])</f>
        <v/>
      </c>
      <c r="GF19" s="121" t="str">
        <f>IF(ISBLANK(tbl_task7[[คะแนนเต็ม]:[คะแนนเต็ม]]),"",(tbl_task7[18]/tbl_task7[[คะแนนเต็ม]:[คะแนนเต็ม]])*tbl_task7[[%]:[%]])</f>
        <v/>
      </c>
      <c r="GG19" s="121" t="str">
        <f>IF(ISBLANK(tbl_task7[[คะแนนเต็ม]:[คะแนนเต็ม]]),"",(tbl_task7[19]/tbl_task7[[คะแนนเต็ม]:[คะแนนเต็ม]])*tbl_task7[[%]:[%]])</f>
        <v/>
      </c>
      <c r="GH19" s="121" t="str">
        <f>IF(ISBLANK(tbl_task7[[คะแนนเต็ม]:[คะแนนเต็ม]]),"",(tbl_task7[20]/tbl_task7[[คะแนนเต็ม]:[คะแนนเต็ม]])*tbl_task7[[%]:[%]])</f>
        <v/>
      </c>
      <c r="GI19" s="121" t="str">
        <f>IF(ISBLANK(tbl_task7[[คะแนนเต็ม]:[คะแนนเต็ม]]),"",(tbl_task7[21]/tbl_task7[[คะแนนเต็ม]:[คะแนนเต็ม]])*tbl_task7[[%]:[%]])</f>
        <v/>
      </c>
      <c r="GJ19" s="121" t="str">
        <f>IF(ISBLANK(tbl_task7[[คะแนนเต็ม]:[คะแนนเต็ม]]),"",(tbl_task7[22]/tbl_task7[[คะแนนเต็ม]:[คะแนนเต็ม]])*tbl_task7[[%]:[%]])</f>
        <v/>
      </c>
      <c r="GK19" s="121" t="str">
        <f>IF(ISBLANK(tbl_task7[[คะแนนเต็ม]:[คะแนนเต็ม]]),"",(tbl_task7[23]/tbl_task7[[คะแนนเต็ม]:[คะแนนเต็ม]])*tbl_task7[[%]:[%]])</f>
        <v/>
      </c>
      <c r="GL19" s="121" t="str">
        <f>IF(ISBLANK(tbl_task7[[คะแนนเต็ม]:[คะแนนเต็ม]]),"",(tbl_task7[24]/tbl_task7[[คะแนนเต็ม]:[คะแนนเต็ม]])*tbl_task7[[%]:[%]])</f>
        <v/>
      </c>
      <c r="GM19" s="121" t="str">
        <f>IF(ISBLANK(tbl_task7[[คะแนนเต็ม]:[คะแนนเต็ม]]),"",(tbl_task7[25]/tbl_task7[[คะแนนเต็ม]:[คะแนนเต็ม]])*tbl_task7[[%]:[%]])</f>
        <v/>
      </c>
      <c r="GN19" s="121" t="str">
        <f>IF(ISBLANK(tbl_task7[[คะแนนเต็ม]:[คะแนนเต็ม]]),"",(tbl_task7[26]/tbl_task7[[คะแนนเต็ม]:[คะแนนเต็ม]])*tbl_task7[[%]:[%]])</f>
        <v/>
      </c>
      <c r="GO19" s="121" t="str">
        <f>IF(ISBLANK(tbl_task7[[คะแนนเต็ม]:[คะแนนเต็ม]]),"",(tbl_task7[27]/tbl_task7[[คะแนนเต็ม]:[คะแนนเต็ม]])*tbl_task7[[%]:[%]])</f>
        <v/>
      </c>
      <c r="GP19" s="121" t="str">
        <f>IF(ISBLANK(tbl_task7[[คะแนนเต็ม]:[คะแนนเต็ม]]),"",(tbl_task7[28]/tbl_task7[[คะแนนเต็ม]:[คะแนนเต็ม]])*tbl_task7[[%]:[%]])</f>
        <v/>
      </c>
      <c r="GQ19" s="121" t="str">
        <f>IF(ISBLANK(tbl_task7[[คะแนนเต็ม]:[คะแนนเต็ม]]),"",(tbl_task7[29]/tbl_task7[[คะแนนเต็ม]:[คะแนนเต็ม]])*tbl_task7[[%]:[%]])</f>
        <v/>
      </c>
      <c r="GR19" s="121" t="str">
        <f>IF(ISBLANK(tbl_task7[[คะแนนเต็ม]:[คะแนนเต็ม]]),"",(tbl_task7[30]/tbl_task7[[คะแนนเต็ม]:[คะแนนเต็ม]])*tbl_task7[[%]:[%]])</f>
        <v/>
      </c>
      <c r="GS19" s="121" t="str">
        <f>IF(ISBLANK(tbl_task7[[คะแนนเต็ม]:[คะแนนเต็ม]]),"",(tbl_task7[31]/tbl_task7[[คะแนนเต็ม]:[คะแนนเต็ม]])*tbl_task7[[%]:[%]])</f>
        <v/>
      </c>
      <c r="GT19" s="121" t="str">
        <f>IF(ISBLANK(tbl_task7[[คะแนนเต็ม]:[คะแนนเต็ม]]),"",(tbl_task7[32]/tbl_task7[[คะแนนเต็ม]:[คะแนนเต็ม]])*tbl_task7[[%]:[%]])</f>
        <v/>
      </c>
      <c r="GU19" s="121" t="str">
        <f>IF(ISBLANK(tbl_task7[[คะแนนเต็ม]:[คะแนนเต็ม]]),"",(tbl_task7[33]/tbl_task7[[คะแนนเต็ม]:[คะแนนเต็ม]])*tbl_task7[[%]:[%]])</f>
        <v/>
      </c>
      <c r="GV19" s="121" t="str">
        <f>IF(ISBLANK(tbl_task7[[คะแนนเต็ม]:[คะแนนเต็ม]]),"",(tbl_task7[34]/tbl_task7[[คะแนนเต็ม]:[คะแนนเต็ม]])*tbl_task7[[%]:[%]])</f>
        <v/>
      </c>
      <c r="GW19" s="121" t="str">
        <f>IF(ISBLANK(tbl_task7[[คะแนนเต็ม]:[คะแนนเต็ม]]),"",(tbl_task7[35]/tbl_task7[[คะแนนเต็ม]:[คะแนนเต็ม]])*tbl_task7[[%]:[%]])</f>
        <v/>
      </c>
      <c r="GX19" s="121" t="str">
        <f>IF(ISBLANK(tbl_task7[[คะแนนเต็ม]:[คะแนนเต็ม]]),"",(tbl_task7[36]/tbl_task7[[คะแนนเต็ม]:[คะแนนเต็ม]])*tbl_task7[[%]:[%]])</f>
        <v/>
      </c>
      <c r="GY19" s="121" t="str">
        <f>IF(ISBLANK(tbl_task7[[คะแนนเต็ม]:[คะแนนเต็ม]]),"",(tbl_task7[37]/tbl_task7[[คะแนนเต็ม]:[คะแนนเต็ม]])*tbl_task7[[%]:[%]])</f>
        <v/>
      </c>
      <c r="GZ19" s="121" t="str">
        <f>IF(ISBLANK(tbl_task7[[คะแนนเต็ม]:[คะแนนเต็ม]]),"",(tbl_task7[38]/tbl_task7[[คะแนนเต็ม]:[คะแนนเต็ม]])*tbl_task7[[%]:[%]])</f>
        <v/>
      </c>
      <c r="HA19" s="121" t="str">
        <f>IF(ISBLANK(tbl_task7[[คะแนนเต็ม]:[คะแนนเต็ม]]),"",(tbl_task7[39]/tbl_task7[[คะแนนเต็ม]:[คะแนนเต็ม]])*tbl_task7[[%]:[%]])</f>
        <v/>
      </c>
      <c r="HB19" s="121" t="str">
        <f>IF(ISBLANK(tbl_task7[[คะแนนเต็ม]:[คะแนนเต็ม]]),"",(tbl_task7[40]/tbl_task7[[คะแนนเต็ม]:[คะแนนเต็ม]])*tbl_task7[[%]:[%]])</f>
        <v/>
      </c>
      <c r="HC19" s="121" t="str">
        <f>IF(ISBLANK(tbl_task7[[คะแนนเต็ม]:[คะแนนเต็ม]]),"",(tbl_task7[41]/tbl_task7[[คะแนนเต็ม]:[คะแนนเต็ม]])*tbl_task7[[%]:[%]])</f>
        <v/>
      </c>
      <c r="HD19" s="121" t="str">
        <f>IF(ISBLANK(tbl_task7[[คะแนนเต็ม]:[คะแนนเต็ม]]),"",(tbl_task7[42]/tbl_task7[[คะแนนเต็ม]:[คะแนนเต็ม]])*tbl_task7[[%]:[%]])</f>
        <v/>
      </c>
      <c r="HE19" s="121" t="str">
        <f>IF(ISBLANK(tbl_task7[[คะแนนเต็ม]:[คะแนนเต็ม]]),"",(tbl_task7[43]/tbl_task7[[คะแนนเต็ม]:[คะแนนเต็ม]])*tbl_task7[[%]:[%]])</f>
        <v/>
      </c>
      <c r="HF19" s="121" t="str">
        <f>IF(ISBLANK(tbl_task7[[คะแนนเต็ม]:[คะแนนเต็ม]]),"",(tbl_task7[44]/tbl_task7[[คะแนนเต็ม]:[คะแนนเต็ม]])*tbl_task7[[%]:[%]])</f>
        <v/>
      </c>
      <c r="HG19" s="121" t="str">
        <f>IF(ISBLANK(tbl_task7[[คะแนนเต็ม]:[คะแนนเต็ม]]),"",(tbl_task7[45]/tbl_task7[[คะแนนเต็ม]:[คะแนนเต็ม]])*tbl_task7[[%]:[%]])</f>
        <v/>
      </c>
      <c r="HH19" s="121" t="str">
        <f>IF(ISBLANK(tbl_task7[[คะแนนเต็ม]:[คะแนนเต็ม]]),"",(tbl_task7[46]/tbl_task7[[คะแนนเต็ม]:[คะแนนเต็ม]])*tbl_task7[[%]:[%]])</f>
        <v/>
      </c>
      <c r="HI19" s="121" t="str">
        <f>IF(ISBLANK(tbl_task7[[คะแนนเต็ม]:[คะแนนเต็ม]]),"",(tbl_task7[47]/tbl_task7[[คะแนนเต็ม]:[คะแนนเต็ม]])*tbl_task7[[%]:[%]])</f>
        <v/>
      </c>
      <c r="HJ19" s="121" t="str">
        <f>IF(ISBLANK(tbl_task7[[คะแนนเต็ม]:[คะแนนเต็ม]]),"",(tbl_task7[48]/tbl_task7[[คะแนนเต็ม]:[คะแนนเต็ม]])*tbl_task7[[%]:[%]])</f>
        <v/>
      </c>
      <c r="HK19" s="121" t="str">
        <f>IF(ISBLANK(tbl_task7[[คะแนนเต็ม]:[คะแนนเต็ม]]),"",(tbl_task7[49]/tbl_task7[[คะแนนเต็ม]:[คะแนนเต็ม]])*tbl_task7[[%]:[%]])</f>
        <v/>
      </c>
      <c r="HL19" s="121" t="str">
        <f>IF(ISBLANK(tbl_task7[[คะแนนเต็ม]:[คะแนนเต็ม]]),"",(tbl_task7[50]/tbl_task7[[คะแนนเต็ม]:[คะแนนเต็ม]])*tbl_task7[[%]:[%]])</f>
        <v/>
      </c>
      <c r="HM19" s="121" t="str">
        <f>IF(ISBLANK(tbl_task7[[คะแนนเต็ม]:[คะแนนเต็ม]]),"",(tbl_task7[51]/tbl_task7[[คะแนนเต็ม]:[คะแนนเต็ม]])*tbl_task7[[%]:[%]])</f>
        <v/>
      </c>
      <c r="HN19" s="121" t="str">
        <f>IF(ISBLANK(tbl_task7[[คะแนนเต็ม]:[คะแนนเต็ม]]),"",(tbl_task7[52]/tbl_task7[[คะแนนเต็ม]:[คะแนนเต็ม]])*tbl_task7[[%]:[%]])</f>
        <v/>
      </c>
      <c r="HO19" s="121" t="str">
        <f>IF(ISBLANK(tbl_task7[[คะแนนเต็ม]:[คะแนนเต็ม]]),"",(tbl_task7[53]/tbl_task7[[คะแนนเต็ม]:[คะแนนเต็ม]])*tbl_task7[[%]:[%]])</f>
        <v/>
      </c>
      <c r="HP19" s="121" t="str">
        <f>IF(ISBLANK(tbl_task7[[คะแนนเต็ม]:[คะแนนเต็ม]]),"",(tbl_task7[54]/tbl_task7[[คะแนนเต็ม]:[คะแนนเต็ม]])*tbl_task7[[%]:[%]])</f>
        <v/>
      </c>
      <c r="HQ19" s="121" t="str">
        <f>IF(ISBLANK(tbl_task7[[คะแนนเต็ม]:[คะแนนเต็ม]]),"",(tbl_task7[55]/tbl_task7[[คะแนนเต็ม]:[คะแนนเต็ม]])*tbl_task7[[%]:[%]])</f>
        <v/>
      </c>
      <c r="HR19" s="121" t="str">
        <f>IF(ISBLANK(tbl_task7[[คะแนนเต็ม]:[คะแนนเต็ม]]),"",(tbl_task7[56]/tbl_task7[[คะแนนเต็ม]:[คะแนนเต็ม]])*tbl_task7[[%]:[%]])</f>
        <v/>
      </c>
      <c r="HS19" s="121" t="str">
        <f>IF(ISBLANK(tbl_task7[[คะแนนเต็ม]:[คะแนนเต็ม]]),"",(tbl_task7[57]/tbl_task7[[คะแนนเต็ม]:[คะแนนเต็ม]])*tbl_task7[[%]:[%]])</f>
        <v/>
      </c>
      <c r="HT19" s="121" t="str">
        <f>IF(ISBLANK(tbl_task7[[คะแนนเต็ม]:[คะแนนเต็ม]]),"",(tbl_task7[58]/tbl_task7[[คะแนนเต็ม]:[คะแนนเต็ม]])*tbl_task7[[%]:[%]])</f>
        <v/>
      </c>
      <c r="HU19" s="121" t="str">
        <f>IF(ISBLANK(tbl_task7[[คะแนนเต็ม]:[คะแนนเต็ม]]),"",(tbl_task7[59]/tbl_task7[[คะแนนเต็ม]:[คะแนนเต็ม]])*tbl_task7[[%]:[%]])</f>
        <v/>
      </c>
      <c r="HV19" s="121" t="str">
        <f>IF(ISBLANK(tbl_task7[[คะแนนเต็ม]:[คะแนนเต็ม]]),"",(tbl_task7[60]/tbl_task7[[คะแนนเต็ม]:[คะแนนเต็ม]])*tbl_task7[[%]:[%]])</f>
        <v/>
      </c>
      <c r="HW19" s="121" t="str">
        <f>IF(ISBLANK(tbl_task7[[คะแนนเต็ม]:[คะแนนเต็ม]]),"",(tbl_task7[61]/tbl_task7[[คะแนนเต็ม]:[คะแนนเต็ม]])*tbl_task7[[%]:[%]])</f>
        <v/>
      </c>
      <c r="HX19" s="121" t="str">
        <f>IF(ISBLANK(tbl_task7[[คะแนนเต็ม]:[คะแนนเต็ม]]),"",(tbl_task7[62]/tbl_task7[[คะแนนเต็ม]:[คะแนนเต็ม]])*tbl_task7[[%]:[%]])</f>
        <v/>
      </c>
      <c r="HY19" s="121" t="str">
        <f>IF(ISBLANK(tbl_task7[[คะแนนเต็ม]:[คะแนนเต็ม]]),"",(tbl_task7[63]/tbl_task7[[คะแนนเต็ม]:[คะแนนเต็ม]])*tbl_task7[[%]:[%]])</f>
        <v/>
      </c>
      <c r="HZ19" s="121" t="str">
        <f>IF(ISBLANK(tbl_task7[[คะแนนเต็ม]:[คะแนนเต็ม]]),"",(tbl_task7[64]/tbl_task7[[คะแนนเต็ม]:[คะแนนเต็ม]])*tbl_task7[[%]:[%]])</f>
        <v/>
      </c>
      <c r="IA19" s="121" t="str">
        <f>IF(ISBLANK(tbl_task7[[คะแนนเต็ม]:[คะแนนเต็ม]]),"",(tbl_task7[65]/tbl_task7[[คะแนนเต็ม]:[คะแนนเต็ม]])*tbl_task7[[%]:[%]])</f>
        <v/>
      </c>
      <c r="IB19" s="121" t="str">
        <f>IF(ISBLANK(tbl_task7[[คะแนนเต็ม]:[คะแนนเต็ม]]),"",(tbl_task7[66]/tbl_task7[[คะแนนเต็ม]:[คะแนนเต็ม]])*tbl_task7[[%]:[%]])</f>
        <v/>
      </c>
      <c r="IC19" s="121" t="str">
        <f>IF(ISBLANK(tbl_task7[[คะแนนเต็ม]:[คะแนนเต็ม]]),"",(tbl_task7[67]/tbl_task7[[คะแนนเต็ม]:[คะแนนเต็ม]])*tbl_task7[[%]:[%]])</f>
        <v/>
      </c>
      <c r="ID19" s="121" t="str">
        <f>IF(ISBLANK(tbl_task7[[คะแนนเต็ม]:[คะแนนเต็ม]]),"",(tbl_task7[68]/tbl_task7[[คะแนนเต็ม]:[คะแนนเต็ม]])*tbl_task7[[%]:[%]])</f>
        <v/>
      </c>
      <c r="IE19" s="121" t="str">
        <f>IF(ISBLANK(tbl_task7[[คะแนนเต็ม]:[คะแนนเต็ม]]),"",(tbl_task7[69]/tbl_task7[[คะแนนเต็ม]:[คะแนนเต็ม]])*tbl_task7[[%]:[%]])</f>
        <v/>
      </c>
      <c r="IF19" s="121" t="str">
        <f>IF(ISBLANK(tbl_task7[[คะแนนเต็ม]:[คะแนนเต็ม]]),"",(tbl_task7[70]/tbl_task7[[คะแนนเต็ม]:[คะแนนเต็ม]])*tbl_task7[[%]:[%]])</f>
        <v/>
      </c>
      <c r="IG19" s="121" t="str">
        <f>IF(ISBLANK(tbl_task7[[คะแนนเต็ม]:[คะแนนเต็ม]]),"",(tbl_task7[71]/tbl_task7[[คะแนนเต็ม]:[คะแนนเต็ม]])*tbl_task7[[%]:[%]])</f>
        <v/>
      </c>
      <c r="IH19" s="121" t="str">
        <f>IF(ISBLANK(tbl_task7[[คะแนนเต็ม]:[คะแนนเต็ม]]),"",(tbl_task7[72]/tbl_task7[[คะแนนเต็ม]:[คะแนนเต็ม]])*tbl_task7[[%]:[%]])</f>
        <v/>
      </c>
      <c r="II19" s="121" t="str">
        <f>IF(ISBLANK(tbl_task7[[คะแนนเต็ม]:[คะแนนเต็ม]]),"",(tbl_task7[73]/tbl_task7[[คะแนนเต็ม]:[คะแนนเต็ม]])*tbl_task7[[%]:[%]])</f>
        <v/>
      </c>
      <c r="IJ19" s="121" t="str">
        <f>IF(ISBLANK(tbl_task7[[คะแนนเต็ม]:[คะแนนเต็ม]]),"",(tbl_task7[74]/tbl_task7[[คะแนนเต็ม]:[คะแนนเต็ม]])*tbl_task7[[%]:[%]])</f>
        <v/>
      </c>
      <c r="IK19" s="121" t="str">
        <f>IF(ISBLANK(tbl_task7[[คะแนนเต็ม]:[คะแนนเต็ม]]),"",(tbl_task7[75]/tbl_task7[[คะแนนเต็ม]:[คะแนนเต็ม]])*tbl_task7[[%]:[%]])</f>
        <v/>
      </c>
      <c r="IL19" s="121" t="str">
        <f>IF(ISBLANK(tbl_task7[[คะแนนเต็ม]:[คะแนนเต็ม]]),"",(tbl_task7[76]/tbl_task7[[คะแนนเต็ม]:[คะแนนเต็ม]])*tbl_task7[[%]:[%]])</f>
        <v/>
      </c>
      <c r="IM19" s="121" t="str">
        <f>IF(ISBLANK(tbl_task7[[คะแนนเต็ม]:[คะแนนเต็ม]]),"",(tbl_task7[77]/tbl_task7[[คะแนนเต็ม]:[คะแนนเต็ม]])*tbl_task7[[%]:[%]])</f>
        <v/>
      </c>
      <c r="IN19" s="121" t="str">
        <f>IF(ISBLANK(tbl_task7[[คะแนนเต็ม]:[คะแนนเต็ม]]),"",(tbl_task7[78]/tbl_task7[[คะแนนเต็ม]:[คะแนนเต็ม]])*tbl_task7[[%]:[%]])</f>
        <v/>
      </c>
      <c r="IO19" s="121" t="str">
        <f>IF(ISBLANK(tbl_task7[[คะแนนเต็ม]:[คะแนนเต็ม]]),"",(tbl_task7[79]/tbl_task7[[คะแนนเต็ม]:[คะแนนเต็ม]])*tbl_task7[[%]:[%]])</f>
        <v/>
      </c>
      <c r="IP19" s="121" t="str">
        <f>IF(ISBLANK(tbl_task7[[คะแนนเต็ม]:[คะแนนเต็ม]]),"",(tbl_task7[80]/tbl_task7[[คะแนนเต็ม]:[คะแนนเต็ม]])*tbl_task7[[%]:[%]])</f>
        <v/>
      </c>
      <c r="IQ19" s="121" t="str">
        <f>IF(ISBLANK(tbl_task7[[คะแนนเต็ม]:[คะแนนเต็ม]]),"",(tbl_task7[81]/tbl_task7[[คะแนนเต็ม]:[คะแนนเต็ม]])*tbl_task7[[%]:[%]])</f>
        <v/>
      </c>
      <c r="IR19" s="121" t="str">
        <f>IF(ISBLANK(tbl_task7[[คะแนนเต็ม]:[คะแนนเต็ม]]),"",(tbl_task7[82]/tbl_task7[[คะแนนเต็ม]:[คะแนนเต็ม]])*tbl_task7[[%]:[%]])</f>
        <v/>
      </c>
      <c r="IS19" s="121" t="str">
        <f>IF(ISBLANK(tbl_task7[[คะแนนเต็ม]:[คะแนนเต็ม]]),"",(tbl_task7[83]/tbl_task7[[คะแนนเต็ม]:[คะแนนเต็ม]])*tbl_task7[[%]:[%]])</f>
        <v/>
      </c>
      <c r="IT19" s="121" t="str">
        <f>IF(ISBLANK(tbl_task7[[คะแนนเต็ม]:[คะแนนเต็ม]]),"",(tbl_task7[84]/tbl_task7[[คะแนนเต็ม]:[คะแนนเต็ม]])*tbl_task7[[%]:[%]])</f>
        <v/>
      </c>
      <c r="IU19" s="121" t="str">
        <f>IF(ISBLANK(tbl_task7[[คะแนนเต็ม]:[คะแนนเต็ม]]),"",(tbl_task7[85]/tbl_task7[[คะแนนเต็ม]:[คะแนนเต็ม]])*tbl_task7[[%]:[%]])</f>
        <v/>
      </c>
      <c r="IV19" s="121" t="str">
        <f>IF(ISBLANK(tbl_task7[[คะแนนเต็ม]:[คะแนนเต็ม]]),"",(tbl_task7[86]/tbl_task7[[คะแนนเต็ม]:[คะแนนเต็ม]])*tbl_task7[[%]:[%]])</f>
        <v/>
      </c>
      <c r="IW19" s="121" t="str">
        <f>IF(ISBLANK(tbl_task7[[คะแนนเต็ม]:[คะแนนเต็ม]]),"",(tbl_task7[87]/tbl_task7[[คะแนนเต็ม]:[คะแนนเต็ม]])*tbl_task7[[%]:[%]])</f>
        <v/>
      </c>
      <c r="IX19" s="121" t="str">
        <f>IF(ISBLANK(tbl_task7[[คะแนนเต็ม]:[คะแนนเต็ม]]),"",(tbl_task7[88]/tbl_task7[[คะแนนเต็ม]:[คะแนนเต็ม]])*tbl_task7[[%]:[%]])</f>
        <v/>
      </c>
      <c r="IY19" s="121" t="str">
        <f>IF(ISBLANK(tbl_task7[[คะแนนเต็ม]:[คะแนนเต็ม]]),"",(tbl_task7[89]/tbl_task7[[คะแนนเต็ม]:[คะแนนเต็ม]])*tbl_task7[[%]:[%]])</f>
        <v/>
      </c>
      <c r="IZ19" s="121" t="str">
        <f>IF(ISBLANK(tbl_task7[[คะแนนเต็ม]:[คะแนนเต็ม]]),"",(tbl_task7[90]/tbl_task7[[คะแนนเต็ม]:[คะแนนเต็ม]])*tbl_task7[[%]:[%]])</f>
        <v/>
      </c>
      <c r="JA19" s="121" t="str">
        <f>IF(ISBLANK(tbl_task7[[คะแนนเต็ม]:[คะแนนเต็ม]]),"",(tbl_task7[91]/tbl_task7[[คะแนนเต็ม]:[คะแนนเต็ม]])*tbl_task7[[%]:[%]])</f>
        <v/>
      </c>
      <c r="JB19" s="121" t="str">
        <f>IF(ISBLANK(tbl_task7[[คะแนนเต็ม]:[คะแนนเต็ม]]),"",(tbl_task7[92]/tbl_task7[[คะแนนเต็ม]:[คะแนนเต็ม]])*tbl_task7[[%]:[%]])</f>
        <v/>
      </c>
      <c r="JC19" s="121" t="str">
        <f>IF(ISBLANK(tbl_task7[[คะแนนเต็ม]:[คะแนนเต็ม]]),"",(tbl_task7[93]/tbl_task7[[คะแนนเต็ม]:[คะแนนเต็ม]])*tbl_task7[[%]:[%]])</f>
        <v/>
      </c>
      <c r="JD19" s="121" t="str">
        <f>IF(ISBLANK(tbl_task7[[คะแนนเต็ม]:[คะแนนเต็ม]]),"",(tbl_task7[94]/tbl_task7[[คะแนนเต็ม]:[คะแนนเต็ม]])*tbl_task7[[%]:[%]])</f>
        <v/>
      </c>
      <c r="JE19" s="121" t="str">
        <f>IF(ISBLANK(tbl_task7[[คะแนนเต็ม]:[คะแนนเต็ม]]),"",(tbl_task7[95]/tbl_task7[[คะแนนเต็ม]:[คะแนนเต็ม]])*tbl_task7[[%]:[%]])</f>
        <v/>
      </c>
      <c r="JF19" s="121" t="str">
        <f>IF(ISBLANK(tbl_task7[[คะแนนเต็ม]:[คะแนนเต็ม]]),"",(tbl_task7[96]/tbl_task7[[คะแนนเต็ม]:[คะแนนเต็ม]])*tbl_task7[[%]:[%]])</f>
        <v/>
      </c>
      <c r="JG19" s="121" t="str">
        <f>IF(ISBLANK(tbl_task7[[คะแนนเต็ม]:[คะแนนเต็ม]]),"",(tbl_task7[97]/tbl_task7[[คะแนนเต็ม]:[คะแนนเต็ม]])*tbl_task7[[%]:[%]])</f>
        <v/>
      </c>
      <c r="JH19" s="121" t="str">
        <f>IF(ISBLANK(tbl_task7[[คะแนนเต็ม]:[คะแนนเต็ม]]),"",(tbl_task7[98]/tbl_task7[[คะแนนเต็ม]:[คะแนนเต็ม]])*tbl_task7[[%]:[%]])</f>
        <v/>
      </c>
      <c r="JI19" s="121" t="str">
        <f>IF(ISBLANK(tbl_task7[[คะแนนเต็ม]:[คะแนนเต็ม]]),"",(tbl_task7[99]/tbl_task7[[คะแนนเต็ม]:[คะแนนเต็ม]])*tbl_task7[[%]:[%]])</f>
        <v/>
      </c>
      <c r="JJ19" s="121" t="str">
        <f>IF(ISBLANK(tbl_task7[[คะแนนเต็ม]:[คะแนนเต็ม]]),"",(tbl_task7[100]/tbl_task7[[คะแนนเต็ม]:[คะแนนเต็ม]])*tbl_task7[[%]:[%]])</f>
        <v/>
      </c>
      <c r="JK19" s="121" t="str">
        <f>IF(ISBLANK(tbl_task7[[คะแนนเต็ม]:[คะแนนเต็ม]]),"",(tbl_task7[101]/tbl_task7[[คะแนนเต็ม]:[คะแนนเต็ม]])*tbl_task7[[%]:[%]])</f>
        <v/>
      </c>
      <c r="JL19" s="121" t="str">
        <f>IF(ISBLANK(tbl_task7[[คะแนนเต็ม]:[คะแนนเต็ม]]),"",(tbl_task7[102]/tbl_task7[[คะแนนเต็ม]:[คะแนนเต็ม]])*tbl_task7[[%]:[%]])</f>
        <v/>
      </c>
      <c r="JM19" s="121" t="str">
        <f>IF(ISBLANK(tbl_task7[[คะแนนเต็ม]:[คะแนนเต็ม]]),"",(tbl_task7[103]/tbl_task7[[คะแนนเต็ม]:[คะแนนเต็ม]])*tbl_task7[[%]:[%]])</f>
        <v/>
      </c>
      <c r="JN19" s="121" t="str">
        <f>IF(ISBLANK(tbl_task7[[คะแนนเต็ม]:[คะแนนเต็ม]]),"",(tbl_task7[104]/tbl_task7[[คะแนนเต็ม]:[คะแนนเต็ม]])*tbl_task7[[%]:[%]])</f>
        <v/>
      </c>
      <c r="JO19" s="121" t="str">
        <f>IF(ISBLANK(tbl_task7[[คะแนนเต็ม]:[คะแนนเต็ม]]),"",(tbl_task7[105]/tbl_task7[[คะแนนเต็ม]:[คะแนนเต็ม]])*tbl_task7[[%]:[%]])</f>
        <v/>
      </c>
      <c r="JP19" s="121" t="str">
        <f>IF(ISBLANK(tbl_task7[[คะแนนเต็ม]:[คะแนนเต็ม]]),"",(tbl_task7[106]/tbl_task7[[คะแนนเต็ม]:[คะแนนเต็ม]])*tbl_task7[[%]:[%]])</f>
        <v/>
      </c>
      <c r="JQ19" s="121" t="str">
        <f>IF(ISBLANK(tbl_task7[[คะแนนเต็ม]:[คะแนนเต็ม]]),"",(tbl_task7[107]/tbl_task7[[คะแนนเต็ม]:[คะแนนเต็ม]])*tbl_task7[[%]:[%]])</f>
        <v/>
      </c>
      <c r="JR19" s="121" t="str">
        <f>IF(ISBLANK(tbl_task7[[คะแนนเต็ม]:[คะแนนเต็ม]]),"",(tbl_task7[108]/tbl_task7[[คะแนนเต็ม]:[คะแนนเต็ม]])*tbl_task7[[%]:[%]])</f>
        <v/>
      </c>
      <c r="JS19" s="121" t="str">
        <f>IF(ISBLANK(tbl_task7[[คะแนนเต็ม]:[คะแนนเต็ม]]),"",(tbl_task7[109]/tbl_task7[[คะแนนเต็ม]:[คะแนนเต็ม]])*tbl_task7[[%]:[%]])</f>
        <v/>
      </c>
      <c r="JT19" s="121" t="str">
        <f>IF(ISBLANK(tbl_task7[[คะแนนเต็ม]:[คะแนนเต็ม]]),"",(tbl_task7[110]/tbl_task7[[คะแนนเต็ม]:[คะแนนเต็ม]])*tbl_task7[[%]:[%]])</f>
        <v/>
      </c>
      <c r="JU19" s="121" t="str">
        <f>IF(ISBLANK(tbl_task7[[คะแนนเต็ม]:[คะแนนเต็ม]]),"",(tbl_task7[111]/tbl_task7[[คะแนนเต็ม]:[คะแนนเต็ม]])*tbl_task7[[%]:[%]])</f>
        <v/>
      </c>
      <c r="JV19" s="121" t="str">
        <f>IF(ISBLANK(tbl_task7[[คะแนนเต็ม]:[คะแนนเต็ม]]),"",(tbl_task7[112]/tbl_task7[[คะแนนเต็ม]:[คะแนนเต็ม]])*tbl_task7[[%]:[%]])</f>
        <v/>
      </c>
      <c r="JW19" s="121" t="str">
        <f>IF(ISBLANK(tbl_task7[[คะแนนเต็ม]:[คะแนนเต็ม]]),"",(tbl_task7[113]/tbl_task7[[คะแนนเต็ม]:[คะแนนเต็ม]])*tbl_task7[[%]:[%]])</f>
        <v/>
      </c>
      <c r="JX19" s="121" t="str">
        <f>IF(ISBLANK(tbl_task7[[คะแนนเต็ม]:[คะแนนเต็ม]]),"",(tbl_task7[114]/tbl_task7[[คะแนนเต็ม]:[คะแนนเต็ม]])*tbl_task7[[%]:[%]])</f>
        <v/>
      </c>
      <c r="JY19" s="121" t="str">
        <f>IF(ISBLANK(tbl_task7[[คะแนนเต็ม]:[คะแนนเต็ม]]),"",(tbl_task7[115]/tbl_task7[[คะแนนเต็ม]:[คะแนนเต็ม]])*tbl_task7[[%]:[%]])</f>
        <v/>
      </c>
      <c r="JZ19" s="121" t="str">
        <f>IF(ISBLANK(tbl_task7[[คะแนนเต็ม]:[คะแนนเต็ม]]),"",(tbl_task7[116]/tbl_task7[[คะแนนเต็ม]:[คะแนนเต็ม]])*tbl_task7[[%]:[%]])</f>
        <v/>
      </c>
      <c r="KA19" s="121" t="str">
        <f>IF(ISBLANK(tbl_task7[[คะแนนเต็ม]:[คะแนนเต็ม]]),"",(tbl_task7[117]/tbl_task7[[คะแนนเต็ม]:[คะแนนเต็ม]])*tbl_task7[[%]:[%]])</f>
        <v/>
      </c>
      <c r="KB19" s="121" t="str">
        <f>IF(ISBLANK(tbl_task7[[คะแนนเต็ม]:[คะแนนเต็ม]]),"",(tbl_task7[118]/tbl_task7[[คะแนนเต็ม]:[คะแนนเต็ม]])*tbl_task7[[%]:[%]])</f>
        <v/>
      </c>
      <c r="KC19" s="121" t="str">
        <f>IF(ISBLANK(tbl_task7[[คะแนนเต็ม]:[คะแนนเต็ม]]),"",(tbl_task7[119]/tbl_task7[[คะแนนเต็ม]:[คะแนนเต็ม]])*tbl_task7[[%]:[%]])</f>
        <v/>
      </c>
      <c r="KD19" s="121" t="str">
        <f>IF(ISBLANK(tbl_task7[[คะแนนเต็ม]:[คะแนนเต็ม]]),"",(tbl_task7[120]/tbl_task7[[คะแนนเต็ม]:[คะแนนเต็ม]])*tbl_task7[[%]:[%]])</f>
        <v/>
      </c>
      <c r="KE19" s="121" t="str">
        <f>IF(ISBLANK(tbl_task7[[คะแนนเต็ม]:[คะแนนเต็ม]]),"",(tbl_task7[121]/tbl_task7[[คะแนนเต็ม]:[คะแนนเต็ม]])*tbl_task7[[%]:[%]])</f>
        <v/>
      </c>
      <c r="KF19" s="121" t="str">
        <f>IF(ISBLANK(tbl_task7[[คะแนนเต็ม]:[คะแนนเต็ม]]),"",(tbl_task7[122]/tbl_task7[[คะแนนเต็ม]:[คะแนนเต็ม]])*tbl_task7[[%]:[%]])</f>
        <v/>
      </c>
      <c r="KG19" s="121" t="str">
        <f>IF(ISBLANK(tbl_task7[[คะแนนเต็ม]:[คะแนนเต็ม]]),"",(tbl_task7[123]/tbl_task7[[คะแนนเต็ม]:[คะแนนเต็ม]])*tbl_task7[[%]:[%]])</f>
        <v/>
      </c>
      <c r="KH19" s="121" t="str">
        <f>IF(ISBLANK(tbl_task7[[คะแนนเต็ม]:[คะแนนเต็ม]]),"",(tbl_task7[124]/tbl_task7[[คะแนนเต็ม]:[คะแนนเต็ม]])*tbl_task7[[%]:[%]])</f>
        <v/>
      </c>
      <c r="KI19" s="121" t="str">
        <f>IF(ISBLANK(tbl_task7[[คะแนนเต็ม]:[คะแนนเต็ม]]),"",(tbl_task7[125]/tbl_task7[[คะแนนเต็ม]:[คะแนนเต็ม]])*tbl_task7[[%]:[%]])</f>
        <v/>
      </c>
      <c r="KJ19" s="121" t="str">
        <f>IF(ISBLANK(tbl_task7[[คะแนนเต็ม]:[คะแนนเต็ม]]),"",(tbl_task7[126]/tbl_task7[[คะแนนเต็ม]:[คะแนนเต็ม]])*tbl_task7[[%]:[%]])</f>
        <v/>
      </c>
      <c r="KK19" s="121" t="str">
        <f>IF(ISBLANK(tbl_task7[[คะแนนเต็ม]:[คะแนนเต็ม]]),"",(tbl_task7[127]/tbl_task7[[คะแนนเต็ม]:[คะแนนเต็ม]])*tbl_task7[[%]:[%]])</f>
        <v/>
      </c>
      <c r="KL19" s="121" t="str">
        <f>IF(ISBLANK(tbl_task7[[คะแนนเต็ม]:[คะแนนเต็ม]]),"",(tbl_task7[128]/tbl_task7[[คะแนนเต็ม]:[คะแนนเต็ม]])*tbl_task7[[%]:[%]])</f>
        <v/>
      </c>
      <c r="KM19" s="121" t="str">
        <f>IF(ISBLANK(tbl_task7[[คะแนนเต็ม]:[คะแนนเต็ม]]),"",(tbl_task7[129]/tbl_task7[[คะแนนเต็ม]:[คะแนนเต็ม]])*tbl_task7[[%]:[%]])</f>
        <v/>
      </c>
      <c r="KN19" s="121" t="str">
        <f>IF(ISBLANK(tbl_task7[[คะแนนเต็ม]:[คะแนนเต็ม]]),"",(tbl_task7[130]/tbl_task7[[คะแนนเต็ม]:[คะแนนเต็ม]])*tbl_task7[[%]:[%]])</f>
        <v/>
      </c>
      <c r="KO19" s="121" t="str">
        <f>IF(ISBLANK(tbl_task7[[คะแนนเต็ม]:[คะแนนเต็ม]]),"",(tbl_task7[131]/tbl_task7[[คะแนนเต็ม]:[คะแนนเต็ม]])*tbl_task7[[%]:[%]])</f>
        <v/>
      </c>
      <c r="KP19" s="121" t="str">
        <f>IF(ISBLANK(tbl_task7[[คะแนนเต็ม]:[คะแนนเต็ม]]),"",(tbl_task7[132]/tbl_task7[[คะแนนเต็ม]:[คะแนนเต็ม]])*tbl_task7[[%]:[%]])</f>
        <v/>
      </c>
      <c r="KQ19" s="121" t="str">
        <f>IF(ISBLANK(tbl_task7[[คะแนนเต็ม]:[คะแนนเต็ม]]),"",(tbl_task7[133]/tbl_task7[[คะแนนเต็ม]:[คะแนนเต็ม]])*tbl_task7[[%]:[%]])</f>
        <v/>
      </c>
      <c r="KR19" s="121" t="str">
        <f>IF(ISBLANK(tbl_task7[[คะแนนเต็ม]:[คะแนนเต็ม]]),"",(tbl_task7[134]/tbl_task7[[คะแนนเต็ม]:[คะแนนเต็ม]])*tbl_task7[[%]:[%]])</f>
        <v/>
      </c>
      <c r="KS19" s="121" t="str">
        <f>IF(ISBLANK(tbl_task7[[คะแนนเต็ม]:[คะแนนเต็ม]]),"",(tbl_task7[135]/tbl_task7[[คะแนนเต็ม]:[คะแนนเต็ม]])*tbl_task7[[%]:[%]])</f>
        <v/>
      </c>
      <c r="KT19" s="121" t="str">
        <f>IF(ISBLANK(tbl_task7[[คะแนนเต็ม]:[คะแนนเต็ม]]),"",(tbl_task7[136]/tbl_task7[[คะแนนเต็ม]:[คะแนนเต็ม]])*tbl_task7[[%]:[%]])</f>
        <v/>
      </c>
      <c r="KU19" s="121" t="str">
        <f>IF(ISBLANK(tbl_task7[[คะแนนเต็ม]:[คะแนนเต็ม]]),"",(tbl_task7[137]/tbl_task7[[คะแนนเต็ม]:[คะแนนเต็ม]])*tbl_task7[[%]:[%]])</f>
        <v/>
      </c>
      <c r="KV19" s="121" t="str">
        <f>IF(ISBLANK(tbl_task7[[คะแนนเต็ม]:[คะแนนเต็ม]]),"",(tbl_task7[138]/tbl_task7[[คะแนนเต็ม]:[คะแนนเต็ม]])*tbl_task7[[%]:[%]])</f>
        <v/>
      </c>
      <c r="KW19" s="121" t="str">
        <f>IF(ISBLANK(tbl_task7[[คะแนนเต็ม]:[คะแนนเต็ม]]),"",(tbl_task7[139]/tbl_task7[[คะแนนเต็ม]:[คะแนนเต็ม]])*tbl_task7[[%]:[%]])</f>
        <v/>
      </c>
      <c r="KX19" s="121" t="str">
        <f>IF(ISBLANK(tbl_task7[[คะแนนเต็ม]:[คะแนนเต็ม]]),"",(tbl_task7[140]/tbl_task7[[คะแนนเต็ม]:[คะแนนเต็ม]])*tbl_task7[[%]:[%]])</f>
        <v/>
      </c>
      <c r="KY19" s="121" t="str">
        <f>IF(ISBLANK(tbl_task7[[คะแนนเต็ม]:[คะแนนเต็ม]]),"",(tbl_task7[141]/tbl_task7[[คะแนนเต็ม]:[คะแนนเต็ม]])*tbl_task7[[%]:[%]])</f>
        <v/>
      </c>
      <c r="KZ19" s="121" t="str">
        <f>IF(ISBLANK(tbl_task7[[คะแนนเต็ม]:[คะแนนเต็ม]]),"",(tbl_task7[142]/tbl_task7[[คะแนนเต็ม]:[คะแนนเต็ม]])*tbl_task7[[%]:[%]])</f>
        <v/>
      </c>
      <c r="LA19" s="121" t="str">
        <f>IF(ISBLANK(tbl_task7[[คะแนนเต็ม]:[คะแนนเต็ม]]),"",(tbl_task7[143]/tbl_task7[[คะแนนเต็ม]:[คะแนนเต็ม]])*tbl_task7[[%]:[%]])</f>
        <v/>
      </c>
      <c r="LB19" s="121" t="str">
        <f>IF(ISBLANK(tbl_task7[[คะแนนเต็ม]:[คะแนนเต็ม]]),"",(tbl_task7[144]/tbl_task7[[คะแนนเต็ม]:[คะแนนเต็ม]])*tbl_task7[[%]:[%]])</f>
        <v/>
      </c>
      <c r="LC19" s="121" t="str">
        <f>IF(ISBLANK(tbl_task7[[คะแนนเต็ม]:[คะแนนเต็ม]]),"",(tbl_task7[145]/tbl_task7[[คะแนนเต็ม]:[คะแนนเต็ม]])*tbl_task7[[%]:[%]])</f>
        <v/>
      </c>
      <c r="LD19" s="121" t="str">
        <f>IF(ISBLANK(tbl_task7[[คะแนนเต็ม]:[คะแนนเต็ม]]),"",(tbl_task7[146]/tbl_task7[[คะแนนเต็ม]:[คะแนนเต็ม]])*tbl_task7[[%]:[%]])</f>
        <v/>
      </c>
      <c r="LE19" s="121" t="str">
        <f>IF(ISBLANK(tbl_task7[[คะแนนเต็ม]:[คะแนนเต็ม]]),"",(tbl_task7[147]/tbl_task7[[คะแนนเต็ม]:[คะแนนเต็ม]])*tbl_task7[[%]:[%]])</f>
        <v/>
      </c>
      <c r="LF19" s="121" t="str">
        <f>IF(ISBLANK(tbl_task7[[คะแนนเต็ม]:[คะแนนเต็ม]]),"",(tbl_task7[148]/tbl_task7[[คะแนนเต็ม]:[คะแนนเต็ม]])*tbl_task7[[%]:[%]])</f>
        <v/>
      </c>
      <c r="LG19" s="121" t="str">
        <f>IF(ISBLANK(tbl_task7[[คะแนนเต็ม]:[คะแนนเต็ม]]),"",(tbl_task7[149]/tbl_task7[[คะแนนเต็ม]:[คะแนนเต็ม]])*tbl_task7[[%]:[%]])</f>
        <v/>
      </c>
      <c r="LH19" s="121" t="str">
        <f>IF(ISBLANK(tbl_task7[[คะแนนเต็ม]:[คะแนนเต็ม]]),"",(tbl_task7[150]/tbl_task7[[คะแนนเต็ม]:[คะแนนเต็ม]])*tbl_task7[[%]:[%]])</f>
        <v/>
      </c>
      <c r="LI19" s="121" t="str">
        <f>IF(ISBLANK(tbl_task7[[คะแนนเต็ม]:[คะแนนเต็ม]]),"",(tbl_task7[151]/tbl_task7[[คะแนนเต็ม]:[คะแนนเต็ม]])*tbl_task7[[%]:[%]])</f>
        <v/>
      </c>
      <c r="LJ19" s="121" t="str">
        <f>IF(ISBLANK(tbl_task7[[คะแนนเต็ม]:[คะแนนเต็ม]]),"",(tbl_task7[152]/tbl_task7[[คะแนนเต็ม]:[คะแนนเต็ม]])*tbl_task7[[%]:[%]])</f>
        <v/>
      </c>
      <c r="LK19" s="121" t="str">
        <f>IF(ISBLANK(tbl_task7[[คะแนนเต็ม]:[คะแนนเต็ม]]),"",(tbl_task7[153]/tbl_task7[[คะแนนเต็ม]:[คะแนนเต็ม]])*tbl_task7[[%]:[%]])</f>
        <v/>
      </c>
      <c r="LL19" s="121" t="str">
        <f>IF(ISBLANK(tbl_task7[[คะแนนเต็ม]:[คะแนนเต็ม]]),"",(tbl_task7[154]/tbl_task7[[คะแนนเต็ม]:[คะแนนเต็ม]])*tbl_task7[[%]:[%]])</f>
        <v/>
      </c>
      <c r="LM19" s="121" t="str">
        <f>IF(ISBLANK(tbl_task7[[คะแนนเต็ม]:[คะแนนเต็ม]]),"",(tbl_task7[155]/tbl_task7[[คะแนนเต็ม]:[คะแนนเต็ม]])*tbl_task7[[%]:[%]])</f>
        <v/>
      </c>
      <c r="LN19" s="121" t="str">
        <f>IF(ISBLANK(tbl_task7[[คะแนนเต็ม]:[คะแนนเต็ม]]),"",(tbl_task7[156]/tbl_task7[[คะแนนเต็ม]:[คะแนนเต็ม]])*tbl_task7[[%]:[%]])</f>
        <v/>
      </c>
      <c r="LO19" s="121" t="str">
        <f>IF(ISBLANK(tbl_task7[[คะแนนเต็ม]:[คะแนนเต็ม]]),"",(tbl_task7[157]/tbl_task7[[คะแนนเต็ม]:[คะแนนเต็ม]])*tbl_task7[[%]:[%]])</f>
        <v/>
      </c>
      <c r="LP19" s="121" t="str">
        <f>IF(ISBLANK(tbl_task7[[คะแนนเต็ม]:[คะแนนเต็ม]]),"",(tbl_task7[158]/tbl_task7[[คะแนนเต็ม]:[คะแนนเต็ม]])*tbl_task7[[%]:[%]])</f>
        <v/>
      </c>
      <c r="LQ19" s="121" t="str">
        <f>IF(ISBLANK(tbl_task7[[คะแนนเต็ม]:[คะแนนเต็ม]]),"",(tbl_task7[159]/tbl_task7[[คะแนนเต็ม]:[คะแนนเต็ม]])*tbl_task7[[%]:[%]])</f>
        <v/>
      </c>
      <c r="LR19" s="121" t="str">
        <f>IF(ISBLANK(tbl_task7[[คะแนนเต็ม]:[คะแนนเต็ม]]),"",(tbl_task7[160]/tbl_task7[[คะแนนเต็ม]:[คะแนนเต็ม]])*tbl_task7[[%]:[%]])</f>
        <v/>
      </c>
      <c r="LS19" s="121" t="str">
        <f>IF(ISBLANK(tbl_task7[[คะแนนเต็ม]:[คะแนนเต็ม]]),"",(tbl_task7[161]/tbl_task7[[คะแนนเต็ม]:[คะแนนเต็ม]])*tbl_task7[[%]:[%]])</f>
        <v/>
      </c>
      <c r="LT19" s="121" t="str">
        <f>IF(ISBLANK(tbl_task7[[คะแนนเต็ม]:[คะแนนเต็ม]]),"",(tbl_task7[162]/tbl_task7[[คะแนนเต็ม]:[คะแนนเต็ม]])*tbl_task7[[%]:[%]])</f>
        <v/>
      </c>
      <c r="LU19" s="121" t="str">
        <f>IF(ISBLANK(tbl_task7[[คะแนนเต็ม]:[คะแนนเต็ม]]),"",(tbl_task7[163]/tbl_task7[[คะแนนเต็ม]:[คะแนนเต็ม]])*tbl_task7[[%]:[%]])</f>
        <v/>
      </c>
      <c r="LV19" s="121" t="str">
        <f>IF(ISBLANK(tbl_task7[[คะแนนเต็ม]:[คะแนนเต็ม]]),"",(tbl_task7[164]/tbl_task7[[คะแนนเต็ม]:[คะแนนเต็ม]])*tbl_task7[[%]:[%]])</f>
        <v/>
      </c>
      <c r="LW19" s="121" t="str">
        <f>IF(ISBLANK(tbl_task7[[คะแนนเต็ม]:[คะแนนเต็ม]]),"",(tbl_task7[165]/tbl_task7[[คะแนนเต็ม]:[คะแนนเต็ม]])*tbl_task7[[%]:[%]])</f>
        <v/>
      </c>
    </row>
    <row r="20" spans="1:335" ht="24" customHeight="1" x14ac:dyDescent="0.25">
      <c r="A20" s="24">
        <v>17</v>
      </c>
      <c r="B20" s="20"/>
      <c r="C20" s="5" t="str">
        <f>IF(ISBLANK(B20),"",VLOOKUP(B20,tbl_PLOs[],2,0))</f>
        <v/>
      </c>
      <c r="D20" s="102"/>
      <c r="E20" s="106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121" t="str">
        <f>IF(ISBLANK(tbl_task7[[คะแนนเต็ม]:[คะแนนเต็ม]]),"",(tbl_task7[1]/tbl_task7[[คะแนนเต็ม]:[คะแนนเต็ม]])*tbl_task7[[%]:[%]])</f>
        <v/>
      </c>
      <c r="FP20" s="121" t="str">
        <f>IF(ISBLANK(tbl_task7[[คะแนนเต็ม]:[คะแนนเต็ม]]),"",(tbl_task7[2]/tbl_task7[[คะแนนเต็ม]:[คะแนนเต็ม]])*tbl_task7[[%]:[%]])</f>
        <v/>
      </c>
      <c r="FQ20" s="121" t="str">
        <f>IF(ISBLANK(tbl_task7[[คะแนนเต็ม]:[คะแนนเต็ม]]),"",(tbl_task7[3]/tbl_task7[[คะแนนเต็ม]:[คะแนนเต็ม]])*tbl_task7[[%]:[%]])</f>
        <v/>
      </c>
      <c r="FR20" s="121" t="str">
        <f>IF(ISBLANK(tbl_task7[[คะแนนเต็ม]:[คะแนนเต็ม]]),"",(tbl_task7[4]/tbl_task7[[คะแนนเต็ม]:[คะแนนเต็ม]])*tbl_task7[[%]:[%]])</f>
        <v/>
      </c>
      <c r="FS20" s="121" t="str">
        <f>IF(ISBLANK(tbl_task7[[คะแนนเต็ม]:[คะแนนเต็ม]]),"",(tbl_task7[5]/tbl_task7[[คะแนนเต็ม]:[คะแนนเต็ม]])*tbl_task7[[%]:[%]])</f>
        <v/>
      </c>
      <c r="FT20" s="121" t="str">
        <f>IF(ISBLANK(tbl_task7[[คะแนนเต็ม]:[คะแนนเต็ม]]),"",(tbl_task7[6]/tbl_task7[[คะแนนเต็ม]:[คะแนนเต็ม]])*tbl_task7[[%]:[%]])</f>
        <v/>
      </c>
      <c r="FU20" s="121" t="str">
        <f>IF(ISBLANK(tbl_task7[[คะแนนเต็ม]:[คะแนนเต็ม]]),"",(tbl_task7[7]/tbl_task7[[คะแนนเต็ม]:[คะแนนเต็ม]])*tbl_task7[[%]:[%]])</f>
        <v/>
      </c>
      <c r="FV20" s="121" t="str">
        <f>IF(ISBLANK(tbl_task7[[คะแนนเต็ม]:[คะแนนเต็ม]]),"",(tbl_task7[8]/tbl_task7[[คะแนนเต็ม]:[คะแนนเต็ม]])*tbl_task7[[%]:[%]])</f>
        <v/>
      </c>
      <c r="FW20" s="121" t="str">
        <f>IF(ISBLANK(tbl_task7[[คะแนนเต็ม]:[คะแนนเต็ม]]),"",(tbl_task7[9]/tbl_task7[[คะแนนเต็ม]:[คะแนนเต็ม]])*tbl_task7[[%]:[%]])</f>
        <v/>
      </c>
      <c r="FX20" s="121" t="str">
        <f>IF(ISBLANK(tbl_task7[[คะแนนเต็ม]:[คะแนนเต็ม]]),"",(tbl_task7[10]/tbl_task7[[คะแนนเต็ม]:[คะแนนเต็ม]])*tbl_task7[[%]:[%]])</f>
        <v/>
      </c>
      <c r="FY20" s="121" t="str">
        <f>IF(ISBLANK(tbl_task7[[คะแนนเต็ม]:[คะแนนเต็ม]]),"",(tbl_task7[11]/tbl_task7[[คะแนนเต็ม]:[คะแนนเต็ม]])*tbl_task7[[%]:[%]])</f>
        <v/>
      </c>
      <c r="FZ20" s="121" t="str">
        <f>IF(ISBLANK(tbl_task7[[คะแนนเต็ม]:[คะแนนเต็ม]]),"",(tbl_task7[12]/tbl_task7[[คะแนนเต็ม]:[คะแนนเต็ม]])*tbl_task7[[%]:[%]])</f>
        <v/>
      </c>
      <c r="GA20" s="121" t="str">
        <f>IF(ISBLANK(tbl_task7[[คะแนนเต็ม]:[คะแนนเต็ม]]),"",(tbl_task7[13]/tbl_task7[[คะแนนเต็ม]:[คะแนนเต็ม]])*tbl_task7[[%]:[%]])</f>
        <v/>
      </c>
      <c r="GB20" s="121" t="str">
        <f>IF(ISBLANK(tbl_task7[[คะแนนเต็ม]:[คะแนนเต็ม]]),"",(tbl_task7[14]/tbl_task7[[คะแนนเต็ม]:[คะแนนเต็ม]])*tbl_task7[[%]:[%]])</f>
        <v/>
      </c>
      <c r="GC20" s="121" t="str">
        <f>IF(ISBLANK(tbl_task7[[คะแนนเต็ม]:[คะแนนเต็ม]]),"",(tbl_task7[15]/tbl_task7[[คะแนนเต็ม]:[คะแนนเต็ม]])*tbl_task7[[%]:[%]])</f>
        <v/>
      </c>
      <c r="GD20" s="121" t="str">
        <f>IF(ISBLANK(tbl_task7[[คะแนนเต็ม]:[คะแนนเต็ม]]),"",(tbl_task7[16]/tbl_task7[[คะแนนเต็ม]:[คะแนนเต็ม]])*tbl_task7[[%]:[%]])</f>
        <v/>
      </c>
      <c r="GE20" s="121" t="str">
        <f>IF(ISBLANK(tbl_task7[[คะแนนเต็ม]:[คะแนนเต็ม]]),"",(tbl_task7[17]/tbl_task7[[คะแนนเต็ม]:[คะแนนเต็ม]])*tbl_task7[[%]:[%]])</f>
        <v/>
      </c>
      <c r="GF20" s="121" t="str">
        <f>IF(ISBLANK(tbl_task7[[คะแนนเต็ม]:[คะแนนเต็ม]]),"",(tbl_task7[18]/tbl_task7[[คะแนนเต็ม]:[คะแนนเต็ม]])*tbl_task7[[%]:[%]])</f>
        <v/>
      </c>
      <c r="GG20" s="121" t="str">
        <f>IF(ISBLANK(tbl_task7[[คะแนนเต็ม]:[คะแนนเต็ม]]),"",(tbl_task7[19]/tbl_task7[[คะแนนเต็ม]:[คะแนนเต็ม]])*tbl_task7[[%]:[%]])</f>
        <v/>
      </c>
      <c r="GH20" s="121" t="str">
        <f>IF(ISBLANK(tbl_task7[[คะแนนเต็ม]:[คะแนนเต็ม]]),"",(tbl_task7[20]/tbl_task7[[คะแนนเต็ม]:[คะแนนเต็ม]])*tbl_task7[[%]:[%]])</f>
        <v/>
      </c>
      <c r="GI20" s="121" t="str">
        <f>IF(ISBLANK(tbl_task7[[คะแนนเต็ม]:[คะแนนเต็ม]]),"",(tbl_task7[21]/tbl_task7[[คะแนนเต็ม]:[คะแนนเต็ม]])*tbl_task7[[%]:[%]])</f>
        <v/>
      </c>
      <c r="GJ20" s="121" t="str">
        <f>IF(ISBLANK(tbl_task7[[คะแนนเต็ม]:[คะแนนเต็ม]]),"",(tbl_task7[22]/tbl_task7[[คะแนนเต็ม]:[คะแนนเต็ม]])*tbl_task7[[%]:[%]])</f>
        <v/>
      </c>
      <c r="GK20" s="121" t="str">
        <f>IF(ISBLANK(tbl_task7[[คะแนนเต็ม]:[คะแนนเต็ม]]),"",(tbl_task7[23]/tbl_task7[[คะแนนเต็ม]:[คะแนนเต็ม]])*tbl_task7[[%]:[%]])</f>
        <v/>
      </c>
      <c r="GL20" s="121" t="str">
        <f>IF(ISBLANK(tbl_task7[[คะแนนเต็ม]:[คะแนนเต็ม]]),"",(tbl_task7[24]/tbl_task7[[คะแนนเต็ม]:[คะแนนเต็ม]])*tbl_task7[[%]:[%]])</f>
        <v/>
      </c>
      <c r="GM20" s="121" t="str">
        <f>IF(ISBLANK(tbl_task7[[คะแนนเต็ม]:[คะแนนเต็ม]]),"",(tbl_task7[25]/tbl_task7[[คะแนนเต็ม]:[คะแนนเต็ม]])*tbl_task7[[%]:[%]])</f>
        <v/>
      </c>
      <c r="GN20" s="121" t="str">
        <f>IF(ISBLANK(tbl_task7[[คะแนนเต็ม]:[คะแนนเต็ม]]),"",(tbl_task7[26]/tbl_task7[[คะแนนเต็ม]:[คะแนนเต็ม]])*tbl_task7[[%]:[%]])</f>
        <v/>
      </c>
      <c r="GO20" s="121" t="str">
        <f>IF(ISBLANK(tbl_task7[[คะแนนเต็ม]:[คะแนนเต็ม]]),"",(tbl_task7[27]/tbl_task7[[คะแนนเต็ม]:[คะแนนเต็ม]])*tbl_task7[[%]:[%]])</f>
        <v/>
      </c>
      <c r="GP20" s="121" t="str">
        <f>IF(ISBLANK(tbl_task7[[คะแนนเต็ม]:[คะแนนเต็ม]]),"",(tbl_task7[28]/tbl_task7[[คะแนนเต็ม]:[คะแนนเต็ม]])*tbl_task7[[%]:[%]])</f>
        <v/>
      </c>
      <c r="GQ20" s="121" t="str">
        <f>IF(ISBLANK(tbl_task7[[คะแนนเต็ม]:[คะแนนเต็ม]]),"",(tbl_task7[29]/tbl_task7[[คะแนนเต็ม]:[คะแนนเต็ม]])*tbl_task7[[%]:[%]])</f>
        <v/>
      </c>
      <c r="GR20" s="121" t="str">
        <f>IF(ISBLANK(tbl_task7[[คะแนนเต็ม]:[คะแนนเต็ม]]),"",(tbl_task7[30]/tbl_task7[[คะแนนเต็ม]:[คะแนนเต็ม]])*tbl_task7[[%]:[%]])</f>
        <v/>
      </c>
      <c r="GS20" s="121" t="str">
        <f>IF(ISBLANK(tbl_task7[[คะแนนเต็ม]:[คะแนนเต็ม]]),"",(tbl_task7[31]/tbl_task7[[คะแนนเต็ม]:[คะแนนเต็ม]])*tbl_task7[[%]:[%]])</f>
        <v/>
      </c>
      <c r="GT20" s="121" t="str">
        <f>IF(ISBLANK(tbl_task7[[คะแนนเต็ม]:[คะแนนเต็ม]]),"",(tbl_task7[32]/tbl_task7[[คะแนนเต็ม]:[คะแนนเต็ม]])*tbl_task7[[%]:[%]])</f>
        <v/>
      </c>
      <c r="GU20" s="121" t="str">
        <f>IF(ISBLANK(tbl_task7[[คะแนนเต็ม]:[คะแนนเต็ม]]),"",(tbl_task7[33]/tbl_task7[[คะแนนเต็ม]:[คะแนนเต็ม]])*tbl_task7[[%]:[%]])</f>
        <v/>
      </c>
      <c r="GV20" s="121" t="str">
        <f>IF(ISBLANK(tbl_task7[[คะแนนเต็ม]:[คะแนนเต็ม]]),"",(tbl_task7[34]/tbl_task7[[คะแนนเต็ม]:[คะแนนเต็ม]])*tbl_task7[[%]:[%]])</f>
        <v/>
      </c>
      <c r="GW20" s="121" t="str">
        <f>IF(ISBLANK(tbl_task7[[คะแนนเต็ม]:[คะแนนเต็ม]]),"",(tbl_task7[35]/tbl_task7[[คะแนนเต็ม]:[คะแนนเต็ม]])*tbl_task7[[%]:[%]])</f>
        <v/>
      </c>
      <c r="GX20" s="121" t="str">
        <f>IF(ISBLANK(tbl_task7[[คะแนนเต็ม]:[คะแนนเต็ม]]),"",(tbl_task7[36]/tbl_task7[[คะแนนเต็ม]:[คะแนนเต็ม]])*tbl_task7[[%]:[%]])</f>
        <v/>
      </c>
      <c r="GY20" s="121" t="str">
        <f>IF(ISBLANK(tbl_task7[[คะแนนเต็ม]:[คะแนนเต็ม]]),"",(tbl_task7[37]/tbl_task7[[คะแนนเต็ม]:[คะแนนเต็ม]])*tbl_task7[[%]:[%]])</f>
        <v/>
      </c>
      <c r="GZ20" s="121" t="str">
        <f>IF(ISBLANK(tbl_task7[[คะแนนเต็ม]:[คะแนนเต็ม]]),"",(tbl_task7[38]/tbl_task7[[คะแนนเต็ม]:[คะแนนเต็ม]])*tbl_task7[[%]:[%]])</f>
        <v/>
      </c>
      <c r="HA20" s="121" t="str">
        <f>IF(ISBLANK(tbl_task7[[คะแนนเต็ม]:[คะแนนเต็ม]]),"",(tbl_task7[39]/tbl_task7[[คะแนนเต็ม]:[คะแนนเต็ม]])*tbl_task7[[%]:[%]])</f>
        <v/>
      </c>
      <c r="HB20" s="121" t="str">
        <f>IF(ISBLANK(tbl_task7[[คะแนนเต็ม]:[คะแนนเต็ม]]),"",(tbl_task7[40]/tbl_task7[[คะแนนเต็ม]:[คะแนนเต็ม]])*tbl_task7[[%]:[%]])</f>
        <v/>
      </c>
      <c r="HC20" s="121" t="str">
        <f>IF(ISBLANK(tbl_task7[[คะแนนเต็ม]:[คะแนนเต็ม]]),"",(tbl_task7[41]/tbl_task7[[คะแนนเต็ม]:[คะแนนเต็ม]])*tbl_task7[[%]:[%]])</f>
        <v/>
      </c>
      <c r="HD20" s="121" t="str">
        <f>IF(ISBLANK(tbl_task7[[คะแนนเต็ม]:[คะแนนเต็ม]]),"",(tbl_task7[42]/tbl_task7[[คะแนนเต็ม]:[คะแนนเต็ม]])*tbl_task7[[%]:[%]])</f>
        <v/>
      </c>
      <c r="HE20" s="121" t="str">
        <f>IF(ISBLANK(tbl_task7[[คะแนนเต็ม]:[คะแนนเต็ม]]),"",(tbl_task7[43]/tbl_task7[[คะแนนเต็ม]:[คะแนนเต็ม]])*tbl_task7[[%]:[%]])</f>
        <v/>
      </c>
      <c r="HF20" s="121" t="str">
        <f>IF(ISBLANK(tbl_task7[[คะแนนเต็ม]:[คะแนนเต็ม]]),"",(tbl_task7[44]/tbl_task7[[คะแนนเต็ม]:[คะแนนเต็ม]])*tbl_task7[[%]:[%]])</f>
        <v/>
      </c>
      <c r="HG20" s="121" t="str">
        <f>IF(ISBLANK(tbl_task7[[คะแนนเต็ม]:[คะแนนเต็ม]]),"",(tbl_task7[45]/tbl_task7[[คะแนนเต็ม]:[คะแนนเต็ม]])*tbl_task7[[%]:[%]])</f>
        <v/>
      </c>
      <c r="HH20" s="121" t="str">
        <f>IF(ISBLANK(tbl_task7[[คะแนนเต็ม]:[คะแนนเต็ม]]),"",(tbl_task7[46]/tbl_task7[[คะแนนเต็ม]:[คะแนนเต็ม]])*tbl_task7[[%]:[%]])</f>
        <v/>
      </c>
      <c r="HI20" s="121" t="str">
        <f>IF(ISBLANK(tbl_task7[[คะแนนเต็ม]:[คะแนนเต็ม]]),"",(tbl_task7[47]/tbl_task7[[คะแนนเต็ม]:[คะแนนเต็ม]])*tbl_task7[[%]:[%]])</f>
        <v/>
      </c>
      <c r="HJ20" s="121" t="str">
        <f>IF(ISBLANK(tbl_task7[[คะแนนเต็ม]:[คะแนนเต็ม]]),"",(tbl_task7[48]/tbl_task7[[คะแนนเต็ม]:[คะแนนเต็ม]])*tbl_task7[[%]:[%]])</f>
        <v/>
      </c>
      <c r="HK20" s="121" t="str">
        <f>IF(ISBLANK(tbl_task7[[คะแนนเต็ม]:[คะแนนเต็ม]]),"",(tbl_task7[49]/tbl_task7[[คะแนนเต็ม]:[คะแนนเต็ม]])*tbl_task7[[%]:[%]])</f>
        <v/>
      </c>
      <c r="HL20" s="121" t="str">
        <f>IF(ISBLANK(tbl_task7[[คะแนนเต็ม]:[คะแนนเต็ม]]),"",(tbl_task7[50]/tbl_task7[[คะแนนเต็ม]:[คะแนนเต็ม]])*tbl_task7[[%]:[%]])</f>
        <v/>
      </c>
      <c r="HM20" s="121" t="str">
        <f>IF(ISBLANK(tbl_task7[[คะแนนเต็ม]:[คะแนนเต็ม]]),"",(tbl_task7[51]/tbl_task7[[คะแนนเต็ม]:[คะแนนเต็ม]])*tbl_task7[[%]:[%]])</f>
        <v/>
      </c>
      <c r="HN20" s="121" t="str">
        <f>IF(ISBLANK(tbl_task7[[คะแนนเต็ม]:[คะแนนเต็ม]]),"",(tbl_task7[52]/tbl_task7[[คะแนนเต็ม]:[คะแนนเต็ม]])*tbl_task7[[%]:[%]])</f>
        <v/>
      </c>
      <c r="HO20" s="121" t="str">
        <f>IF(ISBLANK(tbl_task7[[คะแนนเต็ม]:[คะแนนเต็ม]]),"",(tbl_task7[53]/tbl_task7[[คะแนนเต็ม]:[คะแนนเต็ม]])*tbl_task7[[%]:[%]])</f>
        <v/>
      </c>
      <c r="HP20" s="121" t="str">
        <f>IF(ISBLANK(tbl_task7[[คะแนนเต็ม]:[คะแนนเต็ม]]),"",(tbl_task7[54]/tbl_task7[[คะแนนเต็ม]:[คะแนนเต็ม]])*tbl_task7[[%]:[%]])</f>
        <v/>
      </c>
      <c r="HQ20" s="121" t="str">
        <f>IF(ISBLANK(tbl_task7[[คะแนนเต็ม]:[คะแนนเต็ม]]),"",(tbl_task7[55]/tbl_task7[[คะแนนเต็ม]:[คะแนนเต็ม]])*tbl_task7[[%]:[%]])</f>
        <v/>
      </c>
      <c r="HR20" s="121" t="str">
        <f>IF(ISBLANK(tbl_task7[[คะแนนเต็ม]:[คะแนนเต็ม]]),"",(tbl_task7[56]/tbl_task7[[คะแนนเต็ม]:[คะแนนเต็ม]])*tbl_task7[[%]:[%]])</f>
        <v/>
      </c>
      <c r="HS20" s="121" t="str">
        <f>IF(ISBLANK(tbl_task7[[คะแนนเต็ม]:[คะแนนเต็ม]]),"",(tbl_task7[57]/tbl_task7[[คะแนนเต็ม]:[คะแนนเต็ม]])*tbl_task7[[%]:[%]])</f>
        <v/>
      </c>
      <c r="HT20" s="121" t="str">
        <f>IF(ISBLANK(tbl_task7[[คะแนนเต็ม]:[คะแนนเต็ม]]),"",(tbl_task7[58]/tbl_task7[[คะแนนเต็ม]:[คะแนนเต็ม]])*tbl_task7[[%]:[%]])</f>
        <v/>
      </c>
      <c r="HU20" s="121" t="str">
        <f>IF(ISBLANK(tbl_task7[[คะแนนเต็ม]:[คะแนนเต็ม]]),"",(tbl_task7[59]/tbl_task7[[คะแนนเต็ม]:[คะแนนเต็ม]])*tbl_task7[[%]:[%]])</f>
        <v/>
      </c>
      <c r="HV20" s="121" t="str">
        <f>IF(ISBLANK(tbl_task7[[คะแนนเต็ม]:[คะแนนเต็ม]]),"",(tbl_task7[60]/tbl_task7[[คะแนนเต็ม]:[คะแนนเต็ม]])*tbl_task7[[%]:[%]])</f>
        <v/>
      </c>
      <c r="HW20" s="121" t="str">
        <f>IF(ISBLANK(tbl_task7[[คะแนนเต็ม]:[คะแนนเต็ม]]),"",(tbl_task7[61]/tbl_task7[[คะแนนเต็ม]:[คะแนนเต็ม]])*tbl_task7[[%]:[%]])</f>
        <v/>
      </c>
      <c r="HX20" s="121" t="str">
        <f>IF(ISBLANK(tbl_task7[[คะแนนเต็ม]:[คะแนนเต็ม]]),"",(tbl_task7[62]/tbl_task7[[คะแนนเต็ม]:[คะแนนเต็ม]])*tbl_task7[[%]:[%]])</f>
        <v/>
      </c>
      <c r="HY20" s="121" t="str">
        <f>IF(ISBLANK(tbl_task7[[คะแนนเต็ม]:[คะแนนเต็ม]]),"",(tbl_task7[63]/tbl_task7[[คะแนนเต็ม]:[คะแนนเต็ม]])*tbl_task7[[%]:[%]])</f>
        <v/>
      </c>
      <c r="HZ20" s="121" t="str">
        <f>IF(ISBLANK(tbl_task7[[คะแนนเต็ม]:[คะแนนเต็ม]]),"",(tbl_task7[64]/tbl_task7[[คะแนนเต็ม]:[คะแนนเต็ม]])*tbl_task7[[%]:[%]])</f>
        <v/>
      </c>
      <c r="IA20" s="121" t="str">
        <f>IF(ISBLANK(tbl_task7[[คะแนนเต็ม]:[คะแนนเต็ม]]),"",(tbl_task7[65]/tbl_task7[[คะแนนเต็ม]:[คะแนนเต็ม]])*tbl_task7[[%]:[%]])</f>
        <v/>
      </c>
      <c r="IB20" s="121" t="str">
        <f>IF(ISBLANK(tbl_task7[[คะแนนเต็ม]:[คะแนนเต็ม]]),"",(tbl_task7[66]/tbl_task7[[คะแนนเต็ม]:[คะแนนเต็ม]])*tbl_task7[[%]:[%]])</f>
        <v/>
      </c>
      <c r="IC20" s="121" t="str">
        <f>IF(ISBLANK(tbl_task7[[คะแนนเต็ม]:[คะแนนเต็ม]]),"",(tbl_task7[67]/tbl_task7[[คะแนนเต็ม]:[คะแนนเต็ม]])*tbl_task7[[%]:[%]])</f>
        <v/>
      </c>
      <c r="ID20" s="121" t="str">
        <f>IF(ISBLANK(tbl_task7[[คะแนนเต็ม]:[คะแนนเต็ม]]),"",(tbl_task7[68]/tbl_task7[[คะแนนเต็ม]:[คะแนนเต็ม]])*tbl_task7[[%]:[%]])</f>
        <v/>
      </c>
      <c r="IE20" s="121" t="str">
        <f>IF(ISBLANK(tbl_task7[[คะแนนเต็ม]:[คะแนนเต็ม]]),"",(tbl_task7[69]/tbl_task7[[คะแนนเต็ม]:[คะแนนเต็ม]])*tbl_task7[[%]:[%]])</f>
        <v/>
      </c>
      <c r="IF20" s="121" t="str">
        <f>IF(ISBLANK(tbl_task7[[คะแนนเต็ม]:[คะแนนเต็ม]]),"",(tbl_task7[70]/tbl_task7[[คะแนนเต็ม]:[คะแนนเต็ม]])*tbl_task7[[%]:[%]])</f>
        <v/>
      </c>
      <c r="IG20" s="121" t="str">
        <f>IF(ISBLANK(tbl_task7[[คะแนนเต็ม]:[คะแนนเต็ม]]),"",(tbl_task7[71]/tbl_task7[[คะแนนเต็ม]:[คะแนนเต็ม]])*tbl_task7[[%]:[%]])</f>
        <v/>
      </c>
      <c r="IH20" s="121" t="str">
        <f>IF(ISBLANK(tbl_task7[[คะแนนเต็ม]:[คะแนนเต็ม]]),"",(tbl_task7[72]/tbl_task7[[คะแนนเต็ม]:[คะแนนเต็ม]])*tbl_task7[[%]:[%]])</f>
        <v/>
      </c>
      <c r="II20" s="121" t="str">
        <f>IF(ISBLANK(tbl_task7[[คะแนนเต็ม]:[คะแนนเต็ม]]),"",(tbl_task7[73]/tbl_task7[[คะแนนเต็ม]:[คะแนนเต็ม]])*tbl_task7[[%]:[%]])</f>
        <v/>
      </c>
      <c r="IJ20" s="121" t="str">
        <f>IF(ISBLANK(tbl_task7[[คะแนนเต็ม]:[คะแนนเต็ม]]),"",(tbl_task7[74]/tbl_task7[[คะแนนเต็ม]:[คะแนนเต็ม]])*tbl_task7[[%]:[%]])</f>
        <v/>
      </c>
      <c r="IK20" s="121" t="str">
        <f>IF(ISBLANK(tbl_task7[[คะแนนเต็ม]:[คะแนนเต็ม]]),"",(tbl_task7[75]/tbl_task7[[คะแนนเต็ม]:[คะแนนเต็ม]])*tbl_task7[[%]:[%]])</f>
        <v/>
      </c>
      <c r="IL20" s="121" t="str">
        <f>IF(ISBLANK(tbl_task7[[คะแนนเต็ม]:[คะแนนเต็ม]]),"",(tbl_task7[76]/tbl_task7[[คะแนนเต็ม]:[คะแนนเต็ม]])*tbl_task7[[%]:[%]])</f>
        <v/>
      </c>
      <c r="IM20" s="121" t="str">
        <f>IF(ISBLANK(tbl_task7[[คะแนนเต็ม]:[คะแนนเต็ม]]),"",(tbl_task7[77]/tbl_task7[[คะแนนเต็ม]:[คะแนนเต็ม]])*tbl_task7[[%]:[%]])</f>
        <v/>
      </c>
      <c r="IN20" s="121" t="str">
        <f>IF(ISBLANK(tbl_task7[[คะแนนเต็ม]:[คะแนนเต็ม]]),"",(tbl_task7[78]/tbl_task7[[คะแนนเต็ม]:[คะแนนเต็ม]])*tbl_task7[[%]:[%]])</f>
        <v/>
      </c>
      <c r="IO20" s="121" t="str">
        <f>IF(ISBLANK(tbl_task7[[คะแนนเต็ม]:[คะแนนเต็ม]]),"",(tbl_task7[79]/tbl_task7[[คะแนนเต็ม]:[คะแนนเต็ม]])*tbl_task7[[%]:[%]])</f>
        <v/>
      </c>
      <c r="IP20" s="121" t="str">
        <f>IF(ISBLANK(tbl_task7[[คะแนนเต็ม]:[คะแนนเต็ม]]),"",(tbl_task7[80]/tbl_task7[[คะแนนเต็ม]:[คะแนนเต็ม]])*tbl_task7[[%]:[%]])</f>
        <v/>
      </c>
      <c r="IQ20" s="121" t="str">
        <f>IF(ISBLANK(tbl_task7[[คะแนนเต็ม]:[คะแนนเต็ม]]),"",(tbl_task7[81]/tbl_task7[[คะแนนเต็ม]:[คะแนนเต็ม]])*tbl_task7[[%]:[%]])</f>
        <v/>
      </c>
      <c r="IR20" s="121" t="str">
        <f>IF(ISBLANK(tbl_task7[[คะแนนเต็ม]:[คะแนนเต็ม]]),"",(tbl_task7[82]/tbl_task7[[คะแนนเต็ม]:[คะแนนเต็ม]])*tbl_task7[[%]:[%]])</f>
        <v/>
      </c>
      <c r="IS20" s="121" t="str">
        <f>IF(ISBLANK(tbl_task7[[คะแนนเต็ม]:[คะแนนเต็ม]]),"",(tbl_task7[83]/tbl_task7[[คะแนนเต็ม]:[คะแนนเต็ม]])*tbl_task7[[%]:[%]])</f>
        <v/>
      </c>
      <c r="IT20" s="121" t="str">
        <f>IF(ISBLANK(tbl_task7[[คะแนนเต็ม]:[คะแนนเต็ม]]),"",(tbl_task7[84]/tbl_task7[[คะแนนเต็ม]:[คะแนนเต็ม]])*tbl_task7[[%]:[%]])</f>
        <v/>
      </c>
      <c r="IU20" s="121" t="str">
        <f>IF(ISBLANK(tbl_task7[[คะแนนเต็ม]:[คะแนนเต็ม]]),"",(tbl_task7[85]/tbl_task7[[คะแนนเต็ม]:[คะแนนเต็ม]])*tbl_task7[[%]:[%]])</f>
        <v/>
      </c>
      <c r="IV20" s="121" t="str">
        <f>IF(ISBLANK(tbl_task7[[คะแนนเต็ม]:[คะแนนเต็ม]]),"",(tbl_task7[86]/tbl_task7[[คะแนนเต็ม]:[คะแนนเต็ม]])*tbl_task7[[%]:[%]])</f>
        <v/>
      </c>
      <c r="IW20" s="121" t="str">
        <f>IF(ISBLANK(tbl_task7[[คะแนนเต็ม]:[คะแนนเต็ม]]),"",(tbl_task7[87]/tbl_task7[[คะแนนเต็ม]:[คะแนนเต็ม]])*tbl_task7[[%]:[%]])</f>
        <v/>
      </c>
      <c r="IX20" s="121" t="str">
        <f>IF(ISBLANK(tbl_task7[[คะแนนเต็ม]:[คะแนนเต็ม]]),"",(tbl_task7[88]/tbl_task7[[คะแนนเต็ม]:[คะแนนเต็ม]])*tbl_task7[[%]:[%]])</f>
        <v/>
      </c>
      <c r="IY20" s="121" t="str">
        <f>IF(ISBLANK(tbl_task7[[คะแนนเต็ม]:[คะแนนเต็ม]]),"",(tbl_task7[89]/tbl_task7[[คะแนนเต็ม]:[คะแนนเต็ม]])*tbl_task7[[%]:[%]])</f>
        <v/>
      </c>
      <c r="IZ20" s="121" t="str">
        <f>IF(ISBLANK(tbl_task7[[คะแนนเต็ม]:[คะแนนเต็ม]]),"",(tbl_task7[90]/tbl_task7[[คะแนนเต็ม]:[คะแนนเต็ม]])*tbl_task7[[%]:[%]])</f>
        <v/>
      </c>
      <c r="JA20" s="121" t="str">
        <f>IF(ISBLANK(tbl_task7[[คะแนนเต็ม]:[คะแนนเต็ม]]),"",(tbl_task7[91]/tbl_task7[[คะแนนเต็ม]:[คะแนนเต็ม]])*tbl_task7[[%]:[%]])</f>
        <v/>
      </c>
      <c r="JB20" s="121" t="str">
        <f>IF(ISBLANK(tbl_task7[[คะแนนเต็ม]:[คะแนนเต็ม]]),"",(tbl_task7[92]/tbl_task7[[คะแนนเต็ม]:[คะแนนเต็ม]])*tbl_task7[[%]:[%]])</f>
        <v/>
      </c>
      <c r="JC20" s="121" t="str">
        <f>IF(ISBLANK(tbl_task7[[คะแนนเต็ม]:[คะแนนเต็ม]]),"",(tbl_task7[93]/tbl_task7[[คะแนนเต็ม]:[คะแนนเต็ม]])*tbl_task7[[%]:[%]])</f>
        <v/>
      </c>
      <c r="JD20" s="121" t="str">
        <f>IF(ISBLANK(tbl_task7[[คะแนนเต็ม]:[คะแนนเต็ม]]),"",(tbl_task7[94]/tbl_task7[[คะแนนเต็ม]:[คะแนนเต็ม]])*tbl_task7[[%]:[%]])</f>
        <v/>
      </c>
      <c r="JE20" s="121" t="str">
        <f>IF(ISBLANK(tbl_task7[[คะแนนเต็ม]:[คะแนนเต็ม]]),"",(tbl_task7[95]/tbl_task7[[คะแนนเต็ม]:[คะแนนเต็ม]])*tbl_task7[[%]:[%]])</f>
        <v/>
      </c>
      <c r="JF20" s="121" t="str">
        <f>IF(ISBLANK(tbl_task7[[คะแนนเต็ม]:[คะแนนเต็ม]]),"",(tbl_task7[96]/tbl_task7[[คะแนนเต็ม]:[คะแนนเต็ม]])*tbl_task7[[%]:[%]])</f>
        <v/>
      </c>
      <c r="JG20" s="121" t="str">
        <f>IF(ISBLANK(tbl_task7[[คะแนนเต็ม]:[คะแนนเต็ม]]),"",(tbl_task7[97]/tbl_task7[[คะแนนเต็ม]:[คะแนนเต็ม]])*tbl_task7[[%]:[%]])</f>
        <v/>
      </c>
      <c r="JH20" s="121" t="str">
        <f>IF(ISBLANK(tbl_task7[[คะแนนเต็ม]:[คะแนนเต็ม]]),"",(tbl_task7[98]/tbl_task7[[คะแนนเต็ม]:[คะแนนเต็ม]])*tbl_task7[[%]:[%]])</f>
        <v/>
      </c>
      <c r="JI20" s="121" t="str">
        <f>IF(ISBLANK(tbl_task7[[คะแนนเต็ม]:[คะแนนเต็ม]]),"",(tbl_task7[99]/tbl_task7[[คะแนนเต็ม]:[คะแนนเต็ม]])*tbl_task7[[%]:[%]])</f>
        <v/>
      </c>
      <c r="JJ20" s="121" t="str">
        <f>IF(ISBLANK(tbl_task7[[คะแนนเต็ม]:[คะแนนเต็ม]]),"",(tbl_task7[100]/tbl_task7[[คะแนนเต็ม]:[คะแนนเต็ม]])*tbl_task7[[%]:[%]])</f>
        <v/>
      </c>
      <c r="JK20" s="121" t="str">
        <f>IF(ISBLANK(tbl_task7[[คะแนนเต็ม]:[คะแนนเต็ม]]),"",(tbl_task7[101]/tbl_task7[[คะแนนเต็ม]:[คะแนนเต็ม]])*tbl_task7[[%]:[%]])</f>
        <v/>
      </c>
      <c r="JL20" s="121" t="str">
        <f>IF(ISBLANK(tbl_task7[[คะแนนเต็ม]:[คะแนนเต็ม]]),"",(tbl_task7[102]/tbl_task7[[คะแนนเต็ม]:[คะแนนเต็ม]])*tbl_task7[[%]:[%]])</f>
        <v/>
      </c>
      <c r="JM20" s="121" t="str">
        <f>IF(ISBLANK(tbl_task7[[คะแนนเต็ม]:[คะแนนเต็ม]]),"",(tbl_task7[103]/tbl_task7[[คะแนนเต็ม]:[คะแนนเต็ม]])*tbl_task7[[%]:[%]])</f>
        <v/>
      </c>
      <c r="JN20" s="121" t="str">
        <f>IF(ISBLANK(tbl_task7[[คะแนนเต็ม]:[คะแนนเต็ม]]),"",(tbl_task7[104]/tbl_task7[[คะแนนเต็ม]:[คะแนนเต็ม]])*tbl_task7[[%]:[%]])</f>
        <v/>
      </c>
      <c r="JO20" s="121" t="str">
        <f>IF(ISBLANK(tbl_task7[[คะแนนเต็ม]:[คะแนนเต็ม]]),"",(tbl_task7[105]/tbl_task7[[คะแนนเต็ม]:[คะแนนเต็ม]])*tbl_task7[[%]:[%]])</f>
        <v/>
      </c>
      <c r="JP20" s="121" t="str">
        <f>IF(ISBLANK(tbl_task7[[คะแนนเต็ม]:[คะแนนเต็ม]]),"",(tbl_task7[106]/tbl_task7[[คะแนนเต็ม]:[คะแนนเต็ม]])*tbl_task7[[%]:[%]])</f>
        <v/>
      </c>
      <c r="JQ20" s="121" t="str">
        <f>IF(ISBLANK(tbl_task7[[คะแนนเต็ม]:[คะแนนเต็ม]]),"",(tbl_task7[107]/tbl_task7[[คะแนนเต็ม]:[คะแนนเต็ม]])*tbl_task7[[%]:[%]])</f>
        <v/>
      </c>
      <c r="JR20" s="121" t="str">
        <f>IF(ISBLANK(tbl_task7[[คะแนนเต็ม]:[คะแนนเต็ม]]),"",(tbl_task7[108]/tbl_task7[[คะแนนเต็ม]:[คะแนนเต็ม]])*tbl_task7[[%]:[%]])</f>
        <v/>
      </c>
      <c r="JS20" s="121" t="str">
        <f>IF(ISBLANK(tbl_task7[[คะแนนเต็ม]:[คะแนนเต็ม]]),"",(tbl_task7[109]/tbl_task7[[คะแนนเต็ม]:[คะแนนเต็ม]])*tbl_task7[[%]:[%]])</f>
        <v/>
      </c>
      <c r="JT20" s="121" t="str">
        <f>IF(ISBLANK(tbl_task7[[คะแนนเต็ม]:[คะแนนเต็ม]]),"",(tbl_task7[110]/tbl_task7[[คะแนนเต็ม]:[คะแนนเต็ม]])*tbl_task7[[%]:[%]])</f>
        <v/>
      </c>
      <c r="JU20" s="121" t="str">
        <f>IF(ISBLANK(tbl_task7[[คะแนนเต็ม]:[คะแนนเต็ม]]),"",(tbl_task7[111]/tbl_task7[[คะแนนเต็ม]:[คะแนนเต็ม]])*tbl_task7[[%]:[%]])</f>
        <v/>
      </c>
      <c r="JV20" s="121" t="str">
        <f>IF(ISBLANK(tbl_task7[[คะแนนเต็ม]:[คะแนนเต็ม]]),"",(tbl_task7[112]/tbl_task7[[คะแนนเต็ม]:[คะแนนเต็ม]])*tbl_task7[[%]:[%]])</f>
        <v/>
      </c>
      <c r="JW20" s="121" t="str">
        <f>IF(ISBLANK(tbl_task7[[คะแนนเต็ม]:[คะแนนเต็ม]]),"",(tbl_task7[113]/tbl_task7[[คะแนนเต็ม]:[คะแนนเต็ม]])*tbl_task7[[%]:[%]])</f>
        <v/>
      </c>
      <c r="JX20" s="121" t="str">
        <f>IF(ISBLANK(tbl_task7[[คะแนนเต็ม]:[คะแนนเต็ม]]),"",(tbl_task7[114]/tbl_task7[[คะแนนเต็ม]:[คะแนนเต็ม]])*tbl_task7[[%]:[%]])</f>
        <v/>
      </c>
      <c r="JY20" s="121" t="str">
        <f>IF(ISBLANK(tbl_task7[[คะแนนเต็ม]:[คะแนนเต็ม]]),"",(tbl_task7[115]/tbl_task7[[คะแนนเต็ม]:[คะแนนเต็ม]])*tbl_task7[[%]:[%]])</f>
        <v/>
      </c>
      <c r="JZ20" s="121" t="str">
        <f>IF(ISBLANK(tbl_task7[[คะแนนเต็ม]:[คะแนนเต็ม]]),"",(tbl_task7[116]/tbl_task7[[คะแนนเต็ม]:[คะแนนเต็ม]])*tbl_task7[[%]:[%]])</f>
        <v/>
      </c>
      <c r="KA20" s="121" t="str">
        <f>IF(ISBLANK(tbl_task7[[คะแนนเต็ม]:[คะแนนเต็ม]]),"",(tbl_task7[117]/tbl_task7[[คะแนนเต็ม]:[คะแนนเต็ม]])*tbl_task7[[%]:[%]])</f>
        <v/>
      </c>
      <c r="KB20" s="121" t="str">
        <f>IF(ISBLANK(tbl_task7[[คะแนนเต็ม]:[คะแนนเต็ม]]),"",(tbl_task7[118]/tbl_task7[[คะแนนเต็ม]:[คะแนนเต็ม]])*tbl_task7[[%]:[%]])</f>
        <v/>
      </c>
      <c r="KC20" s="121" t="str">
        <f>IF(ISBLANK(tbl_task7[[คะแนนเต็ม]:[คะแนนเต็ม]]),"",(tbl_task7[119]/tbl_task7[[คะแนนเต็ม]:[คะแนนเต็ม]])*tbl_task7[[%]:[%]])</f>
        <v/>
      </c>
      <c r="KD20" s="121" t="str">
        <f>IF(ISBLANK(tbl_task7[[คะแนนเต็ม]:[คะแนนเต็ม]]),"",(tbl_task7[120]/tbl_task7[[คะแนนเต็ม]:[คะแนนเต็ม]])*tbl_task7[[%]:[%]])</f>
        <v/>
      </c>
      <c r="KE20" s="121" t="str">
        <f>IF(ISBLANK(tbl_task7[[คะแนนเต็ม]:[คะแนนเต็ม]]),"",(tbl_task7[121]/tbl_task7[[คะแนนเต็ม]:[คะแนนเต็ม]])*tbl_task7[[%]:[%]])</f>
        <v/>
      </c>
      <c r="KF20" s="121" t="str">
        <f>IF(ISBLANK(tbl_task7[[คะแนนเต็ม]:[คะแนนเต็ม]]),"",(tbl_task7[122]/tbl_task7[[คะแนนเต็ม]:[คะแนนเต็ม]])*tbl_task7[[%]:[%]])</f>
        <v/>
      </c>
      <c r="KG20" s="121" t="str">
        <f>IF(ISBLANK(tbl_task7[[คะแนนเต็ม]:[คะแนนเต็ม]]),"",(tbl_task7[123]/tbl_task7[[คะแนนเต็ม]:[คะแนนเต็ม]])*tbl_task7[[%]:[%]])</f>
        <v/>
      </c>
      <c r="KH20" s="121" t="str">
        <f>IF(ISBLANK(tbl_task7[[คะแนนเต็ม]:[คะแนนเต็ม]]),"",(tbl_task7[124]/tbl_task7[[คะแนนเต็ม]:[คะแนนเต็ม]])*tbl_task7[[%]:[%]])</f>
        <v/>
      </c>
      <c r="KI20" s="121" t="str">
        <f>IF(ISBLANK(tbl_task7[[คะแนนเต็ม]:[คะแนนเต็ม]]),"",(tbl_task7[125]/tbl_task7[[คะแนนเต็ม]:[คะแนนเต็ม]])*tbl_task7[[%]:[%]])</f>
        <v/>
      </c>
      <c r="KJ20" s="121" t="str">
        <f>IF(ISBLANK(tbl_task7[[คะแนนเต็ม]:[คะแนนเต็ม]]),"",(tbl_task7[126]/tbl_task7[[คะแนนเต็ม]:[คะแนนเต็ม]])*tbl_task7[[%]:[%]])</f>
        <v/>
      </c>
      <c r="KK20" s="121" t="str">
        <f>IF(ISBLANK(tbl_task7[[คะแนนเต็ม]:[คะแนนเต็ม]]),"",(tbl_task7[127]/tbl_task7[[คะแนนเต็ม]:[คะแนนเต็ม]])*tbl_task7[[%]:[%]])</f>
        <v/>
      </c>
      <c r="KL20" s="121" t="str">
        <f>IF(ISBLANK(tbl_task7[[คะแนนเต็ม]:[คะแนนเต็ม]]),"",(tbl_task7[128]/tbl_task7[[คะแนนเต็ม]:[คะแนนเต็ม]])*tbl_task7[[%]:[%]])</f>
        <v/>
      </c>
      <c r="KM20" s="121" t="str">
        <f>IF(ISBLANK(tbl_task7[[คะแนนเต็ม]:[คะแนนเต็ม]]),"",(tbl_task7[129]/tbl_task7[[คะแนนเต็ม]:[คะแนนเต็ม]])*tbl_task7[[%]:[%]])</f>
        <v/>
      </c>
      <c r="KN20" s="121" t="str">
        <f>IF(ISBLANK(tbl_task7[[คะแนนเต็ม]:[คะแนนเต็ม]]),"",(tbl_task7[130]/tbl_task7[[คะแนนเต็ม]:[คะแนนเต็ม]])*tbl_task7[[%]:[%]])</f>
        <v/>
      </c>
      <c r="KO20" s="121" t="str">
        <f>IF(ISBLANK(tbl_task7[[คะแนนเต็ม]:[คะแนนเต็ม]]),"",(tbl_task7[131]/tbl_task7[[คะแนนเต็ม]:[คะแนนเต็ม]])*tbl_task7[[%]:[%]])</f>
        <v/>
      </c>
      <c r="KP20" s="121" t="str">
        <f>IF(ISBLANK(tbl_task7[[คะแนนเต็ม]:[คะแนนเต็ม]]),"",(tbl_task7[132]/tbl_task7[[คะแนนเต็ม]:[คะแนนเต็ม]])*tbl_task7[[%]:[%]])</f>
        <v/>
      </c>
      <c r="KQ20" s="121" t="str">
        <f>IF(ISBLANK(tbl_task7[[คะแนนเต็ม]:[คะแนนเต็ม]]),"",(tbl_task7[133]/tbl_task7[[คะแนนเต็ม]:[คะแนนเต็ม]])*tbl_task7[[%]:[%]])</f>
        <v/>
      </c>
      <c r="KR20" s="121" t="str">
        <f>IF(ISBLANK(tbl_task7[[คะแนนเต็ม]:[คะแนนเต็ม]]),"",(tbl_task7[134]/tbl_task7[[คะแนนเต็ม]:[คะแนนเต็ม]])*tbl_task7[[%]:[%]])</f>
        <v/>
      </c>
      <c r="KS20" s="121" t="str">
        <f>IF(ISBLANK(tbl_task7[[คะแนนเต็ม]:[คะแนนเต็ม]]),"",(tbl_task7[135]/tbl_task7[[คะแนนเต็ม]:[คะแนนเต็ม]])*tbl_task7[[%]:[%]])</f>
        <v/>
      </c>
      <c r="KT20" s="121" t="str">
        <f>IF(ISBLANK(tbl_task7[[คะแนนเต็ม]:[คะแนนเต็ม]]),"",(tbl_task7[136]/tbl_task7[[คะแนนเต็ม]:[คะแนนเต็ม]])*tbl_task7[[%]:[%]])</f>
        <v/>
      </c>
      <c r="KU20" s="121" t="str">
        <f>IF(ISBLANK(tbl_task7[[คะแนนเต็ม]:[คะแนนเต็ม]]),"",(tbl_task7[137]/tbl_task7[[คะแนนเต็ม]:[คะแนนเต็ม]])*tbl_task7[[%]:[%]])</f>
        <v/>
      </c>
      <c r="KV20" s="121" t="str">
        <f>IF(ISBLANK(tbl_task7[[คะแนนเต็ม]:[คะแนนเต็ม]]),"",(tbl_task7[138]/tbl_task7[[คะแนนเต็ม]:[คะแนนเต็ม]])*tbl_task7[[%]:[%]])</f>
        <v/>
      </c>
      <c r="KW20" s="121" t="str">
        <f>IF(ISBLANK(tbl_task7[[คะแนนเต็ม]:[คะแนนเต็ม]]),"",(tbl_task7[139]/tbl_task7[[คะแนนเต็ม]:[คะแนนเต็ม]])*tbl_task7[[%]:[%]])</f>
        <v/>
      </c>
      <c r="KX20" s="121" t="str">
        <f>IF(ISBLANK(tbl_task7[[คะแนนเต็ม]:[คะแนนเต็ม]]),"",(tbl_task7[140]/tbl_task7[[คะแนนเต็ม]:[คะแนนเต็ม]])*tbl_task7[[%]:[%]])</f>
        <v/>
      </c>
      <c r="KY20" s="121" t="str">
        <f>IF(ISBLANK(tbl_task7[[คะแนนเต็ม]:[คะแนนเต็ม]]),"",(tbl_task7[141]/tbl_task7[[คะแนนเต็ม]:[คะแนนเต็ม]])*tbl_task7[[%]:[%]])</f>
        <v/>
      </c>
      <c r="KZ20" s="121" t="str">
        <f>IF(ISBLANK(tbl_task7[[คะแนนเต็ม]:[คะแนนเต็ม]]),"",(tbl_task7[142]/tbl_task7[[คะแนนเต็ม]:[คะแนนเต็ม]])*tbl_task7[[%]:[%]])</f>
        <v/>
      </c>
      <c r="LA20" s="121" t="str">
        <f>IF(ISBLANK(tbl_task7[[คะแนนเต็ม]:[คะแนนเต็ม]]),"",(tbl_task7[143]/tbl_task7[[คะแนนเต็ม]:[คะแนนเต็ม]])*tbl_task7[[%]:[%]])</f>
        <v/>
      </c>
      <c r="LB20" s="121" t="str">
        <f>IF(ISBLANK(tbl_task7[[คะแนนเต็ม]:[คะแนนเต็ม]]),"",(tbl_task7[144]/tbl_task7[[คะแนนเต็ม]:[คะแนนเต็ม]])*tbl_task7[[%]:[%]])</f>
        <v/>
      </c>
      <c r="LC20" s="121" t="str">
        <f>IF(ISBLANK(tbl_task7[[คะแนนเต็ม]:[คะแนนเต็ม]]),"",(tbl_task7[145]/tbl_task7[[คะแนนเต็ม]:[คะแนนเต็ม]])*tbl_task7[[%]:[%]])</f>
        <v/>
      </c>
      <c r="LD20" s="121" t="str">
        <f>IF(ISBLANK(tbl_task7[[คะแนนเต็ม]:[คะแนนเต็ม]]),"",(tbl_task7[146]/tbl_task7[[คะแนนเต็ม]:[คะแนนเต็ม]])*tbl_task7[[%]:[%]])</f>
        <v/>
      </c>
      <c r="LE20" s="121" t="str">
        <f>IF(ISBLANK(tbl_task7[[คะแนนเต็ม]:[คะแนนเต็ม]]),"",(tbl_task7[147]/tbl_task7[[คะแนนเต็ม]:[คะแนนเต็ม]])*tbl_task7[[%]:[%]])</f>
        <v/>
      </c>
      <c r="LF20" s="121" t="str">
        <f>IF(ISBLANK(tbl_task7[[คะแนนเต็ม]:[คะแนนเต็ม]]),"",(tbl_task7[148]/tbl_task7[[คะแนนเต็ม]:[คะแนนเต็ม]])*tbl_task7[[%]:[%]])</f>
        <v/>
      </c>
      <c r="LG20" s="121" t="str">
        <f>IF(ISBLANK(tbl_task7[[คะแนนเต็ม]:[คะแนนเต็ม]]),"",(tbl_task7[149]/tbl_task7[[คะแนนเต็ม]:[คะแนนเต็ม]])*tbl_task7[[%]:[%]])</f>
        <v/>
      </c>
      <c r="LH20" s="121" t="str">
        <f>IF(ISBLANK(tbl_task7[[คะแนนเต็ม]:[คะแนนเต็ม]]),"",(tbl_task7[150]/tbl_task7[[คะแนนเต็ม]:[คะแนนเต็ม]])*tbl_task7[[%]:[%]])</f>
        <v/>
      </c>
      <c r="LI20" s="121" t="str">
        <f>IF(ISBLANK(tbl_task7[[คะแนนเต็ม]:[คะแนนเต็ม]]),"",(tbl_task7[151]/tbl_task7[[คะแนนเต็ม]:[คะแนนเต็ม]])*tbl_task7[[%]:[%]])</f>
        <v/>
      </c>
      <c r="LJ20" s="121" t="str">
        <f>IF(ISBLANK(tbl_task7[[คะแนนเต็ม]:[คะแนนเต็ม]]),"",(tbl_task7[152]/tbl_task7[[คะแนนเต็ม]:[คะแนนเต็ม]])*tbl_task7[[%]:[%]])</f>
        <v/>
      </c>
      <c r="LK20" s="121" t="str">
        <f>IF(ISBLANK(tbl_task7[[คะแนนเต็ม]:[คะแนนเต็ม]]),"",(tbl_task7[153]/tbl_task7[[คะแนนเต็ม]:[คะแนนเต็ม]])*tbl_task7[[%]:[%]])</f>
        <v/>
      </c>
      <c r="LL20" s="121" t="str">
        <f>IF(ISBLANK(tbl_task7[[คะแนนเต็ม]:[คะแนนเต็ม]]),"",(tbl_task7[154]/tbl_task7[[คะแนนเต็ม]:[คะแนนเต็ม]])*tbl_task7[[%]:[%]])</f>
        <v/>
      </c>
      <c r="LM20" s="121" t="str">
        <f>IF(ISBLANK(tbl_task7[[คะแนนเต็ม]:[คะแนนเต็ม]]),"",(tbl_task7[155]/tbl_task7[[คะแนนเต็ม]:[คะแนนเต็ม]])*tbl_task7[[%]:[%]])</f>
        <v/>
      </c>
      <c r="LN20" s="121" t="str">
        <f>IF(ISBLANK(tbl_task7[[คะแนนเต็ม]:[คะแนนเต็ม]]),"",(tbl_task7[156]/tbl_task7[[คะแนนเต็ม]:[คะแนนเต็ม]])*tbl_task7[[%]:[%]])</f>
        <v/>
      </c>
      <c r="LO20" s="121" t="str">
        <f>IF(ISBLANK(tbl_task7[[คะแนนเต็ม]:[คะแนนเต็ม]]),"",(tbl_task7[157]/tbl_task7[[คะแนนเต็ม]:[คะแนนเต็ม]])*tbl_task7[[%]:[%]])</f>
        <v/>
      </c>
      <c r="LP20" s="121" t="str">
        <f>IF(ISBLANK(tbl_task7[[คะแนนเต็ม]:[คะแนนเต็ม]]),"",(tbl_task7[158]/tbl_task7[[คะแนนเต็ม]:[คะแนนเต็ม]])*tbl_task7[[%]:[%]])</f>
        <v/>
      </c>
      <c r="LQ20" s="121" t="str">
        <f>IF(ISBLANK(tbl_task7[[คะแนนเต็ม]:[คะแนนเต็ม]]),"",(tbl_task7[159]/tbl_task7[[คะแนนเต็ม]:[คะแนนเต็ม]])*tbl_task7[[%]:[%]])</f>
        <v/>
      </c>
      <c r="LR20" s="121" t="str">
        <f>IF(ISBLANK(tbl_task7[[คะแนนเต็ม]:[คะแนนเต็ม]]),"",(tbl_task7[160]/tbl_task7[[คะแนนเต็ม]:[คะแนนเต็ม]])*tbl_task7[[%]:[%]])</f>
        <v/>
      </c>
      <c r="LS20" s="121" t="str">
        <f>IF(ISBLANK(tbl_task7[[คะแนนเต็ม]:[คะแนนเต็ม]]),"",(tbl_task7[161]/tbl_task7[[คะแนนเต็ม]:[คะแนนเต็ม]])*tbl_task7[[%]:[%]])</f>
        <v/>
      </c>
      <c r="LT20" s="121" t="str">
        <f>IF(ISBLANK(tbl_task7[[คะแนนเต็ม]:[คะแนนเต็ม]]),"",(tbl_task7[162]/tbl_task7[[คะแนนเต็ม]:[คะแนนเต็ม]])*tbl_task7[[%]:[%]])</f>
        <v/>
      </c>
      <c r="LU20" s="121" t="str">
        <f>IF(ISBLANK(tbl_task7[[คะแนนเต็ม]:[คะแนนเต็ม]]),"",(tbl_task7[163]/tbl_task7[[คะแนนเต็ม]:[คะแนนเต็ม]])*tbl_task7[[%]:[%]])</f>
        <v/>
      </c>
      <c r="LV20" s="121" t="str">
        <f>IF(ISBLANK(tbl_task7[[คะแนนเต็ม]:[คะแนนเต็ม]]),"",(tbl_task7[164]/tbl_task7[[คะแนนเต็ม]:[คะแนนเต็ม]])*tbl_task7[[%]:[%]])</f>
        <v/>
      </c>
      <c r="LW20" s="121" t="str">
        <f>IF(ISBLANK(tbl_task7[[คะแนนเต็ม]:[คะแนนเต็ม]]),"",(tbl_task7[165]/tbl_task7[[คะแนนเต็ม]:[คะแนนเต็ม]])*tbl_task7[[%]:[%]])</f>
        <v/>
      </c>
    </row>
    <row r="21" spans="1:335" ht="24" customHeight="1" x14ac:dyDescent="0.25">
      <c r="A21" s="24">
        <v>18</v>
      </c>
      <c r="B21" s="20"/>
      <c r="C21" s="5" t="str">
        <f>IF(ISBLANK(B21),"",VLOOKUP(B21,tbl_PLOs[],2,0))</f>
        <v/>
      </c>
      <c r="D21" s="102"/>
      <c r="E21" s="106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21" t="str">
        <f>IF(ISBLANK(tbl_task7[[คะแนนเต็ม]:[คะแนนเต็ม]]),"",(tbl_task7[1]/tbl_task7[[คะแนนเต็ม]:[คะแนนเต็ม]])*tbl_task7[[%]:[%]])</f>
        <v/>
      </c>
      <c r="FP21" s="121" t="str">
        <f>IF(ISBLANK(tbl_task7[[คะแนนเต็ม]:[คะแนนเต็ม]]),"",(tbl_task7[2]/tbl_task7[[คะแนนเต็ม]:[คะแนนเต็ม]])*tbl_task7[[%]:[%]])</f>
        <v/>
      </c>
      <c r="FQ21" s="121" t="str">
        <f>IF(ISBLANK(tbl_task7[[คะแนนเต็ม]:[คะแนนเต็ม]]),"",(tbl_task7[3]/tbl_task7[[คะแนนเต็ม]:[คะแนนเต็ม]])*tbl_task7[[%]:[%]])</f>
        <v/>
      </c>
      <c r="FR21" s="121" t="str">
        <f>IF(ISBLANK(tbl_task7[[คะแนนเต็ม]:[คะแนนเต็ม]]),"",(tbl_task7[4]/tbl_task7[[คะแนนเต็ม]:[คะแนนเต็ม]])*tbl_task7[[%]:[%]])</f>
        <v/>
      </c>
      <c r="FS21" s="121" t="str">
        <f>IF(ISBLANK(tbl_task7[[คะแนนเต็ม]:[คะแนนเต็ม]]),"",(tbl_task7[5]/tbl_task7[[คะแนนเต็ม]:[คะแนนเต็ม]])*tbl_task7[[%]:[%]])</f>
        <v/>
      </c>
      <c r="FT21" s="121" t="str">
        <f>IF(ISBLANK(tbl_task7[[คะแนนเต็ม]:[คะแนนเต็ม]]),"",(tbl_task7[6]/tbl_task7[[คะแนนเต็ม]:[คะแนนเต็ม]])*tbl_task7[[%]:[%]])</f>
        <v/>
      </c>
      <c r="FU21" s="121" t="str">
        <f>IF(ISBLANK(tbl_task7[[คะแนนเต็ม]:[คะแนนเต็ม]]),"",(tbl_task7[7]/tbl_task7[[คะแนนเต็ม]:[คะแนนเต็ม]])*tbl_task7[[%]:[%]])</f>
        <v/>
      </c>
      <c r="FV21" s="121" t="str">
        <f>IF(ISBLANK(tbl_task7[[คะแนนเต็ม]:[คะแนนเต็ม]]),"",(tbl_task7[8]/tbl_task7[[คะแนนเต็ม]:[คะแนนเต็ม]])*tbl_task7[[%]:[%]])</f>
        <v/>
      </c>
      <c r="FW21" s="121" t="str">
        <f>IF(ISBLANK(tbl_task7[[คะแนนเต็ม]:[คะแนนเต็ม]]),"",(tbl_task7[9]/tbl_task7[[คะแนนเต็ม]:[คะแนนเต็ม]])*tbl_task7[[%]:[%]])</f>
        <v/>
      </c>
      <c r="FX21" s="121" t="str">
        <f>IF(ISBLANK(tbl_task7[[คะแนนเต็ม]:[คะแนนเต็ม]]),"",(tbl_task7[10]/tbl_task7[[คะแนนเต็ม]:[คะแนนเต็ม]])*tbl_task7[[%]:[%]])</f>
        <v/>
      </c>
      <c r="FY21" s="121" t="str">
        <f>IF(ISBLANK(tbl_task7[[คะแนนเต็ม]:[คะแนนเต็ม]]),"",(tbl_task7[11]/tbl_task7[[คะแนนเต็ม]:[คะแนนเต็ม]])*tbl_task7[[%]:[%]])</f>
        <v/>
      </c>
      <c r="FZ21" s="121" t="str">
        <f>IF(ISBLANK(tbl_task7[[คะแนนเต็ม]:[คะแนนเต็ม]]),"",(tbl_task7[12]/tbl_task7[[คะแนนเต็ม]:[คะแนนเต็ม]])*tbl_task7[[%]:[%]])</f>
        <v/>
      </c>
      <c r="GA21" s="121" t="str">
        <f>IF(ISBLANK(tbl_task7[[คะแนนเต็ม]:[คะแนนเต็ม]]),"",(tbl_task7[13]/tbl_task7[[คะแนนเต็ม]:[คะแนนเต็ม]])*tbl_task7[[%]:[%]])</f>
        <v/>
      </c>
      <c r="GB21" s="121" t="str">
        <f>IF(ISBLANK(tbl_task7[[คะแนนเต็ม]:[คะแนนเต็ม]]),"",(tbl_task7[14]/tbl_task7[[คะแนนเต็ม]:[คะแนนเต็ม]])*tbl_task7[[%]:[%]])</f>
        <v/>
      </c>
      <c r="GC21" s="121" t="str">
        <f>IF(ISBLANK(tbl_task7[[คะแนนเต็ม]:[คะแนนเต็ม]]),"",(tbl_task7[15]/tbl_task7[[คะแนนเต็ม]:[คะแนนเต็ม]])*tbl_task7[[%]:[%]])</f>
        <v/>
      </c>
      <c r="GD21" s="121" t="str">
        <f>IF(ISBLANK(tbl_task7[[คะแนนเต็ม]:[คะแนนเต็ม]]),"",(tbl_task7[16]/tbl_task7[[คะแนนเต็ม]:[คะแนนเต็ม]])*tbl_task7[[%]:[%]])</f>
        <v/>
      </c>
      <c r="GE21" s="121" t="str">
        <f>IF(ISBLANK(tbl_task7[[คะแนนเต็ม]:[คะแนนเต็ม]]),"",(tbl_task7[17]/tbl_task7[[คะแนนเต็ม]:[คะแนนเต็ม]])*tbl_task7[[%]:[%]])</f>
        <v/>
      </c>
      <c r="GF21" s="121" t="str">
        <f>IF(ISBLANK(tbl_task7[[คะแนนเต็ม]:[คะแนนเต็ม]]),"",(tbl_task7[18]/tbl_task7[[คะแนนเต็ม]:[คะแนนเต็ม]])*tbl_task7[[%]:[%]])</f>
        <v/>
      </c>
      <c r="GG21" s="121" t="str">
        <f>IF(ISBLANK(tbl_task7[[คะแนนเต็ม]:[คะแนนเต็ม]]),"",(tbl_task7[19]/tbl_task7[[คะแนนเต็ม]:[คะแนนเต็ม]])*tbl_task7[[%]:[%]])</f>
        <v/>
      </c>
      <c r="GH21" s="121" t="str">
        <f>IF(ISBLANK(tbl_task7[[คะแนนเต็ม]:[คะแนนเต็ม]]),"",(tbl_task7[20]/tbl_task7[[คะแนนเต็ม]:[คะแนนเต็ม]])*tbl_task7[[%]:[%]])</f>
        <v/>
      </c>
      <c r="GI21" s="121" t="str">
        <f>IF(ISBLANK(tbl_task7[[คะแนนเต็ม]:[คะแนนเต็ม]]),"",(tbl_task7[21]/tbl_task7[[คะแนนเต็ม]:[คะแนนเต็ม]])*tbl_task7[[%]:[%]])</f>
        <v/>
      </c>
      <c r="GJ21" s="121" t="str">
        <f>IF(ISBLANK(tbl_task7[[คะแนนเต็ม]:[คะแนนเต็ม]]),"",(tbl_task7[22]/tbl_task7[[คะแนนเต็ม]:[คะแนนเต็ม]])*tbl_task7[[%]:[%]])</f>
        <v/>
      </c>
      <c r="GK21" s="121" t="str">
        <f>IF(ISBLANK(tbl_task7[[คะแนนเต็ม]:[คะแนนเต็ม]]),"",(tbl_task7[23]/tbl_task7[[คะแนนเต็ม]:[คะแนนเต็ม]])*tbl_task7[[%]:[%]])</f>
        <v/>
      </c>
      <c r="GL21" s="121" t="str">
        <f>IF(ISBLANK(tbl_task7[[คะแนนเต็ม]:[คะแนนเต็ม]]),"",(tbl_task7[24]/tbl_task7[[คะแนนเต็ม]:[คะแนนเต็ม]])*tbl_task7[[%]:[%]])</f>
        <v/>
      </c>
      <c r="GM21" s="121" t="str">
        <f>IF(ISBLANK(tbl_task7[[คะแนนเต็ม]:[คะแนนเต็ม]]),"",(tbl_task7[25]/tbl_task7[[คะแนนเต็ม]:[คะแนนเต็ม]])*tbl_task7[[%]:[%]])</f>
        <v/>
      </c>
      <c r="GN21" s="121" t="str">
        <f>IF(ISBLANK(tbl_task7[[คะแนนเต็ม]:[คะแนนเต็ม]]),"",(tbl_task7[26]/tbl_task7[[คะแนนเต็ม]:[คะแนนเต็ม]])*tbl_task7[[%]:[%]])</f>
        <v/>
      </c>
      <c r="GO21" s="121" t="str">
        <f>IF(ISBLANK(tbl_task7[[คะแนนเต็ม]:[คะแนนเต็ม]]),"",(tbl_task7[27]/tbl_task7[[คะแนนเต็ม]:[คะแนนเต็ม]])*tbl_task7[[%]:[%]])</f>
        <v/>
      </c>
      <c r="GP21" s="121" t="str">
        <f>IF(ISBLANK(tbl_task7[[คะแนนเต็ม]:[คะแนนเต็ม]]),"",(tbl_task7[28]/tbl_task7[[คะแนนเต็ม]:[คะแนนเต็ม]])*tbl_task7[[%]:[%]])</f>
        <v/>
      </c>
      <c r="GQ21" s="121" t="str">
        <f>IF(ISBLANK(tbl_task7[[คะแนนเต็ม]:[คะแนนเต็ม]]),"",(tbl_task7[29]/tbl_task7[[คะแนนเต็ม]:[คะแนนเต็ม]])*tbl_task7[[%]:[%]])</f>
        <v/>
      </c>
      <c r="GR21" s="121" t="str">
        <f>IF(ISBLANK(tbl_task7[[คะแนนเต็ม]:[คะแนนเต็ม]]),"",(tbl_task7[30]/tbl_task7[[คะแนนเต็ม]:[คะแนนเต็ม]])*tbl_task7[[%]:[%]])</f>
        <v/>
      </c>
      <c r="GS21" s="121" t="str">
        <f>IF(ISBLANK(tbl_task7[[คะแนนเต็ม]:[คะแนนเต็ม]]),"",(tbl_task7[31]/tbl_task7[[คะแนนเต็ม]:[คะแนนเต็ม]])*tbl_task7[[%]:[%]])</f>
        <v/>
      </c>
      <c r="GT21" s="121" t="str">
        <f>IF(ISBLANK(tbl_task7[[คะแนนเต็ม]:[คะแนนเต็ม]]),"",(tbl_task7[32]/tbl_task7[[คะแนนเต็ม]:[คะแนนเต็ม]])*tbl_task7[[%]:[%]])</f>
        <v/>
      </c>
      <c r="GU21" s="121" t="str">
        <f>IF(ISBLANK(tbl_task7[[คะแนนเต็ม]:[คะแนนเต็ม]]),"",(tbl_task7[33]/tbl_task7[[คะแนนเต็ม]:[คะแนนเต็ม]])*tbl_task7[[%]:[%]])</f>
        <v/>
      </c>
      <c r="GV21" s="121" t="str">
        <f>IF(ISBLANK(tbl_task7[[คะแนนเต็ม]:[คะแนนเต็ม]]),"",(tbl_task7[34]/tbl_task7[[คะแนนเต็ม]:[คะแนนเต็ม]])*tbl_task7[[%]:[%]])</f>
        <v/>
      </c>
      <c r="GW21" s="121" t="str">
        <f>IF(ISBLANK(tbl_task7[[คะแนนเต็ม]:[คะแนนเต็ม]]),"",(tbl_task7[35]/tbl_task7[[คะแนนเต็ม]:[คะแนนเต็ม]])*tbl_task7[[%]:[%]])</f>
        <v/>
      </c>
      <c r="GX21" s="121" t="str">
        <f>IF(ISBLANK(tbl_task7[[คะแนนเต็ม]:[คะแนนเต็ม]]),"",(tbl_task7[36]/tbl_task7[[คะแนนเต็ม]:[คะแนนเต็ม]])*tbl_task7[[%]:[%]])</f>
        <v/>
      </c>
      <c r="GY21" s="121" t="str">
        <f>IF(ISBLANK(tbl_task7[[คะแนนเต็ม]:[คะแนนเต็ม]]),"",(tbl_task7[37]/tbl_task7[[คะแนนเต็ม]:[คะแนนเต็ม]])*tbl_task7[[%]:[%]])</f>
        <v/>
      </c>
      <c r="GZ21" s="121" t="str">
        <f>IF(ISBLANK(tbl_task7[[คะแนนเต็ม]:[คะแนนเต็ม]]),"",(tbl_task7[38]/tbl_task7[[คะแนนเต็ม]:[คะแนนเต็ม]])*tbl_task7[[%]:[%]])</f>
        <v/>
      </c>
      <c r="HA21" s="121" t="str">
        <f>IF(ISBLANK(tbl_task7[[คะแนนเต็ม]:[คะแนนเต็ม]]),"",(tbl_task7[39]/tbl_task7[[คะแนนเต็ม]:[คะแนนเต็ม]])*tbl_task7[[%]:[%]])</f>
        <v/>
      </c>
      <c r="HB21" s="121" t="str">
        <f>IF(ISBLANK(tbl_task7[[คะแนนเต็ม]:[คะแนนเต็ม]]),"",(tbl_task7[40]/tbl_task7[[คะแนนเต็ม]:[คะแนนเต็ม]])*tbl_task7[[%]:[%]])</f>
        <v/>
      </c>
      <c r="HC21" s="121" t="str">
        <f>IF(ISBLANK(tbl_task7[[คะแนนเต็ม]:[คะแนนเต็ม]]),"",(tbl_task7[41]/tbl_task7[[คะแนนเต็ม]:[คะแนนเต็ม]])*tbl_task7[[%]:[%]])</f>
        <v/>
      </c>
      <c r="HD21" s="121" t="str">
        <f>IF(ISBLANK(tbl_task7[[คะแนนเต็ม]:[คะแนนเต็ม]]),"",(tbl_task7[42]/tbl_task7[[คะแนนเต็ม]:[คะแนนเต็ม]])*tbl_task7[[%]:[%]])</f>
        <v/>
      </c>
      <c r="HE21" s="121" t="str">
        <f>IF(ISBLANK(tbl_task7[[คะแนนเต็ม]:[คะแนนเต็ม]]),"",(tbl_task7[43]/tbl_task7[[คะแนนเต็ม]:[คะแนนเต็ม]])*tbl_task7[[%]:[%]])</f>
        <v/>
      </c>
      <c r="HF21" s="121" t="str">
        <f>IF(ISBLANK(tbl_task7[[คะแนนเต็ม]:[คะแนนเต็ม]]),"",(tbl_task7[44]/tbl_task7[[คะแนนเต็ม]:[คะแนนเต็ม]])*tbl_task7[[%]:[%]])</f>
        <v/>
      </c>
      <c r="HG21" s="121" t="str">
        <f>IF(ISBLANK(tbl_task7[[คะแนนเต็ม]:[คะแนนเต็ม]]),"",(tbl_task7[45]/tbl_task7[[คะแนนเต็ม]:[คะแนนเต็ม]])*tbl_task7[[%]:[%]])</f>
        <v/>
      </c>
      <c r="HH21" s="121" t="str">
        <f>IF(ISBLANK(tbl_task7[[คะแนนเต็ม]:[คะแนนเต็ม]]),"",(tbl_task7[46]/tbl_task7[[คะแนนเต็ม]:[คะแนนเต็ม]])*tbl_task7[[%]:[%]])</f>
        <v/>
      </c>
      <c r="HI21" s="121" t="str">
        <f>IF(ISBLANK(tbl_task7[[คะแนนเต็ม]:[คะแนนเต็ม]]),"",(tbl_task7[47]/tbl_task7[[คะแนนเต็ม]:[คะแนนเต็ม]])*tbl_task7[[%]:[%]])</f>
        <v/>
      </c>
      <c r="HJ21" s="121" t="str">
        <f>IF(ISBLANK(tbl_task7[[คะแนนเต็ม]:[คะแนนเต็ม]]),"",(tbl_task7[48]/tbl_task7[[คะแนนเต็ม]:[คะแนนเต็ม]])*tbl_task7[[%]:[%]])</f>
        <v/>
      </c>
      <c r="HK21" s="121" t="str">
        <f>IF(ISBLANK(tbl_task7[[คะแนนเต็ม]:[คะแนนเต็ม]]),"",(tbl_task7[49]/tbl_task7[[คะแนนเต็ม]:[คะแนนเต็ม]])*tbl_task7[[%]:[%]])</f>
        <v/>
      </c>
      <c r="HL21" s="121" t="str">
        <f>IF(ISBLANK(tbl_task7[[คะแนนเต็ม]:[คะแนนเต็ม]]),"",(tbl_task7[50]/tbl_task7[[คะแนนเต็ม]:[คะแนนเต็ม]])*tbl_task7[[%]:[%]])</f>
        <v/>
      </c>
      <c r="HM21" s="121" t="str">
        <f>IF(ISBLANK(tbl_task7[[คะแนนเต็ม]:[คะแนนเต็ม]]),"",(tbl_task7[51]/tbl_task7[[คะแนนเต็ม]:[คะแนนเต็ม]])*tbl_task7[[%]:[%]])</f>
        <v/>
      </c>
      <c r="HN21" s="121" t="str">
        <f>IF(ISBLANK(tbl_task7[[คะแนนเต็ม]:[คะแนนเต็ม]]),"",(tbl_task7[52]/tbl_task7[[คะแนนเต็ม]:[คะแนนเต็ม]])*tbl_task7[[%]:[%]])</f>
        <v/>
      </c>
      <c r="HO21" s="121" t="str">
        <f>IF(ISBLANK(tbl_task7[[คะแนนเต็ม]:[คะแนนเต็ม]]),"",(tbl_task7[53]/tbl_task7[[คะแนนเต็ม]:[คะแนนเต็ม]])*tbl_task7[[%]:[%]])</f>
        <v/>
      </c>
      <c r="HP21" s="121" t="str">
        <f>IF(ISBLANK(tbl_task7[[คะแนนเต็ม]:[คะแนนเต็ม]]),"",(tbl_task7[54]/tbl_task7[[คะแนนเต็ม]:[คะแนนเต็ม]])*tbl_task7[[%]:[%]])</f>
        <v/>
      </c>
      <c r="HQ21" s="121" t="str">
        <f>IF(ISBLANK(tbl_task7[[คะแนนเต็ม]:[คะแนนเต็ม]]),"",(tbl_task7[55]/tbl_task7[[คะแนนเต็ม]:[คะแนนเต็ม]])*tbl_task7[[%]:[%]])</f>
        <v/>
      </c>
      <c r="HR21" s="121" t="str">
        <f>IF(ISBLANK(tbl_task7[[คะแนนเต็ม]:[คะแนนเต็ม]]),"",(tbl_task7[56]/tbl_task7[[คะแนนเต็ม]:[คะแนนเต็ม]])*tbl_task7[[%]:[%]])</f>
        <v/>
      </c>
      <c r="HS21" s="121" t="str">
        <f>IF(ISBLANK(tbl_task7[[คะแนนเต็ม]:[คะแนนเต็ม]]),"",(tbl_task7[57]/tbl_task7[[คะแนนเต็ม]:[คะแนนเต็ม]])*tbl_task7[[%]:[%]])</f>
        <v/>
      </c>
      <c r="HT21" s="121" t="str">
        <f>IF(ISBLANK(tbl_task7[[คะแนนเต็ม]:[คะแนนเต็ม]]),"",(tbl_task7[58]/tbl_task7[[คะแนนเต็ม]:[คะแนนเต็ม]])*tbl_task7[[%]:[%]])</f>
        <v/>
      </c>
      <c r="HU21" s="121" t="str">
        <f>IF(ISBLANK(tbl_task7[[คะแนนเต็ม]:[คะแนนเต็ม]]),"",(tbl_task7[59]/tbl_task7[[คะแนนเต็ม]:[คะแนนเต็ม]])*tbl_task7[[%]:[%]])</f>
        <v/>
      </c>
      <c r="HV21" s="121" t="str">
        <f>IF(ISBLANK(tbl_task7[[คะแนนเต็ม]:[คะแนนเต็ม]]),"",(tbl_task7[60]/tbl_task7[[คะแนนเต็ม]:[คะแนนเต็ม]])*tbl_task7[[%]:[%]])</f>
        <v/>
      </c>
      <c r="HW21" s="121" t="str">
        <f>IF(ISBLANK(tbl_task7[[คะแนนเต็ม]:[คะแนนเต็ม]]),"",(tbl_task7[61]/tbl_task7[[คะแนนเต็ม]:[คะแนนเต็ม]])*tbl_task7[[%]:[%]])</f>
        <v/>
      </c>
      <c r="HX21" s="121" t="str">
        <f>IF(ISBLANK(tbl_task7[[คะแนนเต็ม]:[คะแนนเต็ม]]),"",(tbl_task7[62]/tbl_task7[[คะแนนเต็ม]:[คะแนนเต็ม]])*tbl_task7[[%]:[%]])</f>
        <v/>
      </c>
      <c r="HY21" s="121" t="str">
        <f>IF(ISBLANK(tbl_task7[[คะแนนเต็ม]:[คะแนนเต็ม]]),"",(tbl_task7[63]/tbl_task7[[คะแนนเต็ม]:[คะแนนเต็ม]])*tbl_task7[[%]:[%]])</f>
        <v/>
      </c>
      <c r="HZ21" s="121" t="str">
        <f>IF(ISBLANK(tbl_task7[[คะแนนเต็ม]:[คะแนนเต็ม]]),"",(tbl_task7[64]/tbl_task7[[คะแนนเต็ม]:[คะแนนเต็ม]])*tbl_task7[[%]:[%]])</f>
        <v/>
      </c>
      <c r="IA21" s="121" t="str">
        <f>IF(ISBLANK(tbl_task7[[คะแนนเต็ม]:[คะแนนเต็ม]]),"",(tbl_task7[65]/tbl_task7[[คะแนนเต็ม]:[คะแนนเต็ม]])*tbl_task7[[%]:[%]])</f>
        <v/>
      </c>
      <c r="IB21" s="121" t="str">
        <f>IF(ISBLANK(tbl_task7[[คะแนนเต็ม]:[คะแนนเต็ม]]),"",(tbl_task7[66]/tbl_task7[[คะแนนเต็ม]:[คะแนนเต็ม]])*tbl_task7[[%]:[%]])</f>
        <v/>
      </c>
      <c r="IC21" s="121" t="str">
        <f>IF(ISBLANK(tbl_task7[[คะแนนเต็ม]:[คะแนนเต็ม]]),"",(tbl_task7[67]/tbl_task7[[คะแนนเต็ม]:[คะแนนเต็ม]])*tbl_task7[[%]:[%]])</f>
        <v/>
      </c>
      <c r="ID21" s="121" t="str">
        <f>IF(ISBLANK(tbl_task7[[คะแนนเต็ม]:[คะแนนเต็ม]]),"",(tbl_task7[68]/tbl_task7[[คะแนนเต็ม]:[คะแนนเต็ม]])*tbl_task7[[%]:[%]])</f>
        <v/>
      </c>
      <c r="IE21" s="121" t="str">
        <f>IF(ISBLANK(tbl_task7[[คะแนนเต็ม]:[คะแนนเต็ม]]),"",(tbl_task7[69]/tbl_task7[[คะแนนเต็ม]:[คะแนนเต็ม]])*tbl_task7[[%]:[%]])</f>
        <v/>
      </c>
      <c r="IF21" s="121" t="str">
        <f>IF(ISBLANK(tbl_task7[[คะแนนเต็ม]:[คะแนนเต็ม]]),"",(tbl_task7[70]/tbl_task7[[คะแนนเต็ม]:[คะแนนเต็ม]])*tbl_task7[[%]:[%]])</f>
        <v/>
      </c>
      <c r="IG21" s="121" t="str">
        <f>IF(ISBLANK(tbl_task7[[คะแนนเต็ม]:[คะแนนเต็ม]]),"",(tbl_task7[71]/tbl_task7[[คะแนนเต็ม]:[คะแนนเต็ม]])*tbl_task7[[%]:[%]])</f>
        <v/>
      </c>
      <c r="IH21" s="121" t="str">
        <f>IF(ISBLANK(tbl_task7[[คะแนนเต็ม]:[คะแนนเต็ม]]),"",(tbl_task7[72]/tbl_task7[[คะแนนเต็ม]:[คะแนนเต็ม]])*tbl_task7[[%]:[%]])</f>
        <v/>
      </c>
      <c r="II21" s="121" t="str">
        <f>IF(ISBLANK(tbl_task7[[คะแนนเต็ม]:[คะแนนเต็ม]]),"",(tbl_task7[73]/tbl_task7[[คะแนนเต็ม]:[คะแนนเต็ม]])*tbl_task7[[%]:[%]])</f>
        <v/>
      </c>
      <c r="IJ21" s="121" t="str">
        <f>IF(ISBLANK(tbl_task7[[คะแนนเต็ม]:[คะแนนเต็ม]]),"",(tbl_task7[74]/tbl_task7[[คะแนนเต็ม]:[คะแนนเต็ม]])*tbl_task7[[%]:[%]])</f>
        <v/>
      </c>
      <c r="IK21" s="121" t="str">
        <f>IF(ISBLANK(tbl_task7[[คะแนนเต็ม]:[คะแนนเต็ม]]),"",(tbl_task7[75]/tbl_task7[[คะแนนเต็ม]:[คะแนนเต็ม]])*tbl_task7[[%]:[%]])</f>
        <v/>
      </c>
      <c r="IL21" s="121" t="str">
        <f>IF(ISBLANK(tbl_task7[[คะแนนเต็ม]:[คะแนนเต็ม]]),"",(tbl_task7[76]/tbl_task7[[คะแนนเต็ม]:[คะแนนเต็ม]])*tbl_task7[[%]:[%]])</f>
        <v/>
      </c>
      <c r="IM21" s="121" t="str">
        <f>IF(ISBLANK(tbl_task7[[คะแนนเต็ม]:[คะแนนเต็ม]]),"",(tbl_task7[77]/tbl_task7[[คะแนนเต็ม]:[คะแนนเต็ม]])*tbl_task7[[%]:[%]])</f>
        <v/>
      </c>
      <c r="IN21" s="121" t="str">
        <f>IF(ISBLANK(tbl_task7[[คะแนนเต็ม]:[คะแนนเต็ม]]),"",(tbl_task7[78]/tbl_task7[[คะแนนเต็ม]:[คะแนนเต็ม]])*tbl_task7[[%]:[%]])</f>
        <v/>
      </c>
      <c r="IO21" s="121" t="str">
        <f>IF(ISBLANK(tbl_task7[[คะแนนเต็ม]:[คะแนนเต็ม]]),"",(tbl_task7[79]/tbl_task7[[คะแนนเต็ม]:[คะแนนเต็ม]])*tbl_task7[[%]:[%]])</f>
        <v/>
      </c>
      <c r="IP21" s="121" t="str">
        <f>IF(ISBLANK(tbl_task7[[คะแนนเต็ม]:[คะแนนเต็ม]]),"",(tbl_task7[80]/tbl_task7[[คะแนนเต็ม]:[คะแนนเต็ม]])*tbl_task7[[%]:[%]])</f>
        <v/>
      </c>
      <c r="IQ21" s="121" t="str">
        <f>IF(ISBLANK(tbl_task7[[คะแนนเต็ม]:[คะแนนเต็ม]]),"",(tbl_task7[81]/tbl_task7[[คะแนนเต็ม]:[คะแนนเต็ม]])*tbl_task7[[%]:[%]])</f>
        <v/>
      </c>
      <c r="IR21" s="121" t="str">
        <f>IF(ISBLANK(tbl_task7[[คะแนนเต็ม]:[คะแนนเต็ม]]),"",(tbl_task7[82]/tbl_task7[[คะแนนเต็ม]:[คะแนนเต็ม]])*tbl_task7[[%]:[%]])</f>
        <v/>
      </c>
      <c r="IS21" s="121" t="str">
        <f>IF(ISBLANK(tbl_task7[[คะแนนเต็ม]:[คะแนนเต็ม]]),"",(tbl_task7[83]/tbl_task7[[คะแนนเต็ม]:[คะแนนเต็ม]])*tbl_task7[[%]:[%]])</f>
        <v/>
      </c>
      <c r="IT21" s="121" t="str">
        <f>IF(ISBLANK(tbl_task7[[คะแนนเต็ม]:[คะแนนเต็ม]]),"",(tbl_task7[84]/tbl_task7[[คะแนนเต็ม]:[คะแนนเต็ม]])*tbl_task7[[%]:[%]])</f>
        <v/>
      </c>
      <c r="IU21" s="121" t="str">
        <f>IF(ISBLANK(tbl_task7[[คะแนนเต็ม]:[คะแนนเต็ม]]),"",(tbl_task7[85]/tbl_task7[[คะแนนเต็ม]:[คะแนนเต็ม]])*tbl_task7[[%]:[%]])</f>
        <v/>
      </c>
      <c r="IV21" s="121" t="str">
        <f>IF(ISBLANK(tbl_task7[[คะแนนเต็ม]:[คะแนนเต็ม]]),"",(tbl_task7[86]/tbl_task7[[คะแนนเต็ม]:[คะแนนเต็ม]])*tbl_task7[[%]:[%]])</f>
        <v/>
      </c>
      <c r="IW21" s="121" t="str">
        <f>IF(ISBLANK(tbl_task7[[คะแนนเต็ม]:[คะแนนเต็ม]]),"",(tbl_task7[87]/tbl_task7[[คะแนนเต็ม]:[คะแนนเต็ม]])*tbl_task7[[%]:[%]])</f>
        <v/>
      </c>
      <c r="IX21" s="121" t="str">
        <f>IF(ISBLANK(tbl_task7[[คะแนนเต็ม]:[คะแนนเต็ม]]),"",(tbl_task7[88]/tbl_task7[[คะแนนเต็ม]:[คะแนนเต็ม]])*tbl_task7[[%]:[%]])</f>
        <v/>
      </c>
      <c r="IY21" s="121" t="str">
        <f>IF(ISBLANK(tbl_task7[[คะแนนเต็ม]:[คะแนนเต็ม]]),"",(tbl_task7[89]/tbl_task7[[คะแนนเต็ม]:[คะแนนเต็ม]])*tbl_task7[[%]:[%]])</f>
        <v/>
      </c>
      <c r="IZ21" s="121" t="str">
        <f>IF(ISBLANK(tbl_task7[[คะแนนเต็ม]:[คะแนนเต็ม]]),"",(tbl_task7[90]/tbl_task7[[คะแนนเต็ม]:[คะแนนเต็ม]])*tbl_task7[[%]:[%]])</f>
        <v/>
      </c>
      <c r="JA21" s="121" t="str">
        <f>IF(ISBLANK(tbl_task7[[คะแนนเต็ม]:[คะแนนเต็ม]]),"",(tbl_task7[91]/tbl_task7[[คะแนนเต็ม]:[คะแนนเต็ม]])*tbl_task7[[%]:[%]])</f>
        <v/>
      </c>
      <c r="JB21" s="121" t="str">
        <f>IF(ISBLANK(tbl_task7[[คะแนนเต็ม]:[คะแนนเต็ม]]),"",(tbl_task7[92]/tbl_task7[[คะแนนเต็ม]:[คะแนนเต็ม]])*tbl_task7[[%]:[%]])</f>
        <v/>
      </c>
      <c r="JC21" s="121" t="str">
        <f>IF(ISBLANK(tbl_task7[[คะแนนเต็ม]:[คะแนนเต็ม]]),"",(tbl_task7[93]/tbl_task7[[คะแนนเต็ม]:[คะแนนเต็ม]])*tbl_task7[[%]:[%]])</f>
        <v/>
      </c>
      <c r="JD21" s="121" t="str">
        <f>IF(ISBLANK(tbl_task7[[คะแนนเต็ม]:[คะแนนเต็ม]]),"",(tbl_task7[94]/tbl_task7[[คะแนนเต็ม]:[คะแนนเต็ม]])*tbl_task7[[%]:[%]])</f>
        <v/>
      </c>
      <c r="JE21" s="121" t="str">
        <f>IF(ISBLANK(tbl_task7[[คะแนนเต็ม]:[คะแนนเต็ม]]),"",(tbl_task7[95]/tbl_task7[[คะแนนเต็ม]:[คะแนนเต็ม]])*tbl_task7[[%]:[%]])</f>
        <v/>
      </c>
      <c r="JF21" s="121" t="str">
        <f>IF(ISBLANK(tbl_task7[[คะแนนเต็ม]:[คะแนนเต็ม]]),"",(tbl_task7[96]/tbl_task7[[คะแนนเต็ม]:[คะแนนเต็ม]])*tbl_task7[[%]:[%]])</f>
        <v/>
      </c>
      <c r="JG21" s="121" t="str">
        <f>IF(ISBLANK(tbl_task7[[คะแนนเต็ม]:[คะแนนเต็ม]]),"",(tbl_task7[97]/tbl_task7[[คะแนนเต็ม]:[คะแนนเต็ม]])*tbl_task7[[%]:[%]])</f>
        <v/>
      </c>
      <c r="JH21" s="121" t="str">
        <f>IF(ISBLANK(tbl_task7[[คะแนนเต็ม]:[คะแนนเต็ม]]),"",(tbl_task7[98]/tbl_task7[[คะแนนเต็ม]:[คะแนนเต็ม]])*tbl_task7[[%]:[%]])</f>
        <v/>
      </c>
      <c r="JI21" s="121" t="str">
        <f>IF(ISBLANK(tbl_task7[[คะแนนเต็ม]:[คะแนนเต็ม]]),"",(tbl_task7[99]/tbl_task7[[คะแนนเต็ม]:[คะแนนเต็ม]])*tbl_task7[[%]:[%]])</f>
        <v/>
      </c>
      <c r="JJ21" s="121" t="str">
        <f>IF(ISBLANK(tbl_task7[[คะแนนเต็ม]:[คะแนนเต็ม]]),"",(tbl_task7[100]/tbl_task7[[คะแนนเต็ม]:[คะแนนเต็ม]])*tbl_task7[[%]:[%]])</f>
        <v/>
      </c>
      <c r="JK21" s="121" t="str">
        <f>IF(ISBLANK(tbl_task7[[คะแนนเต็ม]:[คะแนนเต็ม]]),"",(tbl_task7[101]/tbl_task7[[คะแนนเต็ม]:[คะแนนเต็ม]])*tbl_task7[[%]:[%]])</f>
        <v/>
      </c>
      <c r="JL21" s="121" t="str">
        <f>IF(ISBLANK(tbl_task7[[คะแนนเต็ม]:[คะแนนเต็ม]]),"",(tbl_task7[102]/tbl_task7[[คะแนนเต็ม]:[คะแนนเต็ม]])*tbl_task7[[%]:[%]])</f>
        <v/>
      </c>
      <c r="JM21" s="121" t="str">
        <f>IF(ISBLANK(tbl_task7[[คะแนนเต็ม]:[คะแนนเต็ม]]),"",(tbl_task7[103]/tbl_task7[[คะแนนเต็ม]:[คะแนนเต็ม]])*tbl_task7[[%]:[%]])</f>
        <v/>
      </c>
      <c r="JN21" s="121" t="str">
        <f>IF(ISBLANK(tbl_task7[[คะแนนเต็ม]:[คะแนนเต็ม]]),"",(tbl_task7[104]/tbl_task7[[คะแนนเต็ม]:[คะแนนเต็ม]])*tbl_task7[[%]:[%]])</f>
        <v/>
      </c>
      <c r="JO21" s="121" t="str">
        <f>IF(ISBLANK(tbl_task7[[คะแนนเต็ม]:[คะแนนเต็ม]]),"",(tbl_task7[105]/tbl_task7[[คะแนนเต็ม]:[คะแนนเต็ม]])*tbl_task7[[%]:[%]])</f>
        <v/>
      </c>
      <c r="JP21" s="121" t="str">
        <f>IF(ISBLANK(tbl_task7[[คะแนนเต็ม]:[คะแนนเต็ม]]),"",(tbl_task7[106]/tbl_task7[[คะแนนเต็ม]:[คะแนนเต็ม]])*tbl_task7[[%]:[%]])</f>
        <v/>
      </c>
      <c r="JQ21" s="121" t="str">
        <f>IF(ISBLANK(tbl_task7[[คะแนนเต็ม]:[คะแนนเต็ม]]),"",(tbl_task7[107]/tbl_task7[[คะแนนเต็ม]:[คะแนนเต็ม]])*tbl_task7[[%]:[%]])</f>
        <v/>
      </c>
      <c r="JR21" s="121" t="str">
        <f>IF(ISBLANK(tbl_task7[[คะแนนเต็ม]:[คะแนนเต็ม]]),"",(tbl_task7[108]/tbl_task7[[คะแนนเต็ม]:[คะแนนเต็ม]])*tbl_task7[[%]:[%]])</f>
        <v/>
      </c>
      <c r="JS21" s="121" t="str">
        <f>IF(ISBLANK(tbl_task7[[คะแนนเต็ม]:[คะแนนเต็ม]]),"",(tbl_task7[109]/tbl_task7[[คะแนนเต็ม]:[คะแนนเต็ม]])*tbl_task7[[%]:[%]])</f>
        <v/>
      </c>
      <c r="JT21" s="121" t="str">
        <f>IF(ISBLANK(tbl_task7[[คะแนนเต็ม]:[คะแนนเต็ม]]),"",(tbl_task7[110]/tbl_task7[[คะแนนเต็ม]:[คะแนนเต็ม]])*tbl_task7[[%]:[%]])</f>
        <v/>
      </c>
      <c r="JU21" s="121" t="str">
        <f>IF(ISBLANK(tbl_task7[[คะแนนเต็ม]:[คะแนนเต็ม]]),"",(tbl_task7[111]/tbl_task7[[คะแนนเต็ม]:[คะแนนเต็ม]])*tbl_task7[[%]:[%]])</f>
        <v/>
      </c>
      <c r="JV21" s="121" t="str">
        <f>IF(ISBLANK(tbl_task7[[คะแนนเต็ม]:[คะแนนเต็ม]]),"",(tbl_task7[112]/tbl_task7[[คะแนนเต็ม]:[คะแนนเต็ม]])*tbl_task7[[%]:[%]])</f>
        <v/>
      </c>
      <c r="JW21" s="121" t="str">
        <f>IF(ISBLANK(tbl_task7[[คะแนนเต็ม]:[คะแนนเต็ม]]),"",(tbl_task7[113]/tbl_task7[[คะแนนเต็ม]:[คะแนนเต็ม]])*tbl_task7[[%]:[%]])</f>
        <v/>
      </c>
      <c r="JX21" s="121" t="str">
        <f>IF(ISBLANK(tbl_task7[[คะแนนเต็ม]:[คะแนนเต็ม]]),"",(tbl_task7[114]/tbl_task7[[คะแนนเต็ม]:[คะแนนเต็ม]])*tbl_task7[[%]:[%]])</f>
        <v/>
      </c>
      <c r="JY21" s="121" t="str">
        <f>IF(ISBLANK(tbl_task7[[คะแนนเต็ม]:[คะแนนเต็ม]]),"",(tbl_task7[115]/tbl_task7[[คะแนนเต็ม]:[คะแนนเต็ม]])*tbl_task7[[%]:[%]])</f>
        <v/>
      </c>
      <c r="JZ21" s="121" t="str">
        <f>IF(ISBLANK(tbl_task7[[คะแนนเต็ม]:[คะแนนเต็ม]]),"",(tbl_task7[116]/tbl_task7[[คะแนนเต็ม]:[คะแนนเต็ม]])*tbl_task7[[%]:[%]])</f>
        <v/>
      </c>
      <c r="KA21" s="121" t="str">
        <f>IF(ISBLANK(tbl_task7[[คะแนนเต็ม]:[คะแนนเต็ม]]),"",(tbl_task7[117]/tbl_task7[[คะแนนเต็ม]:[คะแนนเต็ม]])*tbl_task7[[%]:[%]])</f>
        <v/>
      </c>
      <c r="KB21" s="121" t="str">
        <f>IF(ISBLANK(tbl_task7[[คะแนนเต็ม]:[คะแนนเต็ม]]),"",(tbl_task7[118]/tbl_task7[[คะแนนเต็ม]:[คะแนนเต็ม]])*tbl_task7[[%]:[%]])</f>
        <v/>
      </c>
      <c r="KC21" s="121" t="str">
        <f>IF(ISBLANK(tbl_task7[[คะแนนเต็ม]:[คะแนนเต็ม]]),"",(tbl_task7[119]/tbl_task7[[คะแนนเต็ม]:[คะแนนเต็ม]])*tbl_task7[[%]:[%]])</f>
        <v/>
      </c>
      <c r="KD21" s="121" t="str">
        <f>IF(ISBLANK(tbl_task7[[คะแนนเต็ม]:[คะแนนเต็ม]]),"",(tbl_task7[120]/tbl_task7[[คะแนนเต็ม]:[คะแนนเต็ม]])*tbl_task7[[%]:[%]])</f>
        <v/>
      </c>
      <c r="KE21" s="121" t="str">
        <f>IF(ISBLANK(tbl_task7[[คะแนนเต็ม]:[คะแนนเต็ม]]),"",(tbl_task7[121]/tbl_task7[[คะแนนเต็ม]:[คะแนนเต็ม]])*tbl_task7[[%]:[%]])</f>
        <v/>
      </c>
      <c r="KF21" s="121" t="str">
        <f>IF(ISBLANK(tbl_task7[[คะแนนเต็ม]:[คะแนนเต็ม]]),"",(tbl_task7[122]/tbl_task7[[คะแนนเต็ม]:[คะแนนเต็ม]])*tbl_task7[[%]:[%]])</f>
        <v/>
      </c>
      <c r="KG21" s="121" t="str">
        <f>IF(ISBLANK(tbl_task7[[คะแนนเต็ม]:[คะแนนเต็ม]]),"",(tbl_task7[123]/tbl_task7[[คะแนนเต็ม]:[คะแนนเต็ม]])*tbl_task7[[%]:[%]])</f>
        <v/>
      </c>
      <c r="KH21" s="121" t="str">
        <f>IF(ISBLANK(tbl_task7[[คะแนนเต็ม]:[คะแนนเต็ม]]),"",(tbl_task7[124]/tbl_task7[[คะแนนเต็ม]:[คะแนนเต็ม]])*tbl_task7[[%]:[%]])</f>
        <v/>
      </c>
      <c r="KI21" s="121" t="str">
        <f>IF(ISBLANK(tbl_task7[[คะแนนเต็ม]:[คะแนนเต็ม]]),"",(tbl_task7[125]/tbl_task7[[คะแนนเต็ม]:[คะแนนเต็ม]])*tbl_task7[[%]:[%]])</f>
        <v/>
      </c>
      <c r="KJ21" s="121" t="str">
        <f>IF(ISBLANK(tbl_task7[[คะแนนเต็ม]:[คะแนนเต็ม]]),"",(tbl_task7[126]/tbl_task7[[คะแนนเต็ม]:[คะแนนเต็ม]])*tbl_task7[[%]:[%]])</f>
        <v/>
      </c>
      <c r="KK21" s="121" t="str">
        <f>IF(ISBLANK(tbl_task7[[คะแนนเต็ม]:[คะแนนเต็ม]]),"",(tbl_task7[127]/tbl_task7[[คะแนนเต็ม]:[คะแนนเต็ม]])*tbl_task7[[%]:[%]])</f>
        <v/>
      </c>
      <c r="KL21" s="121" t="str">
        <f>IF(ISBLANK(tbl_task7[[คะแนนเต็ม]:[คะแนนเต็ม]]),"",(tbl_task7[128]/tbl_task7[[คะแนนเต็ม]:[คะแนนเต็ม]])*tbl_task7[[%]:[%]])</f>
        <v/>
      </c>
      <c r="KM21" s="121" t="str">
        <f>IF(ISBLANK(tbl_task7[[คะแนนเต็ม]:[คะแนนเต็ม]]),"",(tbl_task7[129]/tbl_task7[[คะแนนเต็ม]:[คะแนนเต็ม]])*tbl_task7[[%]:[%]])</f>
        <v/>
      </c>
      <c r="KN21" s="121" t="str">
        <f>IF(ISBLANK(tbl_task7[[คะแนนเต็ม]:[คะแนนเต็ม]]),"",(tbl_task7[130]/tbl_task7[[คะแนนเต็ม]:[คะแนนเต็ม]])*tbl_task7[[%]:[%]])</f>
        <v/>
      </c>
      <c r="KO21" s="121" t="str">
        <f>IF(ISBLANK(tbl_task7[[คะแนนเต็ม]:[คะแนนเต็ม]]),"",(tbl_task7[131]/tbl_task7[[คะแนนเต็ม]:[คะแนนเต็ม]])*tbl_task7[[%]:[%]])</f>
        <v/>
      </c>
      <c r="KP21" s="121" t="str">
        <f>IF(ISBLANK(tbl_task7[[คะแนนเต็ม]:[คะแนนเต็ม]]),"",(tbl_task7[132]/tbl_task7[[คะแนนเต็ม]:[คะแนนเต็ม]])*tbl_task7[[%]:[%]])</f>
        <v/>
      </c>
      <c r="KQ21" s="121" t="str">
        <f>IF(ISBLANK(tbl_task7[[คะแนนเต็ม]:[คะแนนเต็ม]]),"",(tbl_task7[133]/tbl_task7[[คะแนนเต็ม]:[คะแนนเต็ม]])*tbl_task7[[%]:[%]])</f>
        <v/>
      </c>
      <c r="KR21" s="121" t="str">
        <f>IF(ISBLANK(tbl_task7[[คะแนนเต็ม]:[คะแนนเต็ม]]),"",(tbl_task7[134]/tbl_task7[[คะแนนเต็ม]:[คะแนนเต็ม]])*tbl_task7[[%]:[%]])</f>
        <v/>
      </c>
      <c r="KS21" s="121" t="str">
        <f>IF(ISBLANK(tbl_task7[[คะแนนเต็ม]:[คะแนนเต็ม]]),"",(tbl_task7[135]/tbl_task7[[คะแนนเต็ม]:[คะแนนเต็ม]])*tbl_task7[[%]:[%]])</f>
        <v/>
      </c>
      <c r="KT21" s="121" t="str">
        <f>IF(ISBLANK(tbl_task7[[คะแนนเต็ม]:[คะแนนเต็ม]]),"",(tbl_task7[136]/tbl_task7[[คะแนนเต็ม]:[คะแนนเต็ม]])*tbl_task7[[%]:[%]])</f>
        <v/>
      </c>
      <c r="KU21" s="121" t="str">
        <f>IF(ISBLANK(tbl_task7[[คะแนนเต็ม]:[คะแนนเต็ม]]),"",(tbl_task7[137]/tbl_task7[[คะแนนเต็ม]:[คะแนนเต็ม]])*tbl_task7[[%]:[%]])</f>
        <v/>
      </c>
      <c r="KV21" s="121" t="str">
        <f>IF(ISBLANK(tbl_task7[[คะแนนเต็ม]:[คะแนนเต็ม]]),"",(tbl_task7[138]/tbl_task7[[คะแนนเต็ม]:[คะแนนเต็ม]])*tbl_task7[[%]:[%]])</f>
        <v/>
      </c>
      <c r="KW21" s="121" t="str">
        <f>IF(ISBLANK(tbl_task7[[คะแนนเต็ม]:[คะแนนเต็ม]]),"",(tbl_task7[139]/tbl_task7[[คะแนนเต็ม]:[คะแนนเต็ม]])*tbl_task7[[%]:[%]])</f>
        <v/>
      </c>
      <c r="KX21" s="121" t="str">
        <f>IF(ISBLANK(tbl_task7[[คะแนนเต็ม]:[คะแนนเต็ม]]),"",(tbl_task7[140]/tbl_task7[[คะแนนเต็ม]:[คะแนนเต็ม]])*tbl_task7[[%]:[%]])</f>
        <v/>
      </c>
      <c r="KY21" s="121" t="str">
        <f>IF(ISBLANK(tbl_task7[[คะแนนเต็ม]:[คะแนนเต็ม]]),"",(tbl_task7[141]/tbl_task7[[คะแนนเต็ม]:[คะแนนเต็ม]])*tbl_task7[[%]:[%]])</f>
        <v/>
      </c>
      <c r="KZ21" s="121" t="str">
        <f>IF(ISBLANK(tbl_task7[[คะแนนเต็ม]:[คะแนนเต็ม]]),"",(tbl_task7[142]/tbl_task7[[คะแนนเต็ม]:[คะแนนเต็ม]])*tbl_task7[[%]:[%]])</f>
        <v/>
      </c>
      <c r="LA21" s="121" t="str">
        <f>IF(ISBLANK(tbl_task7[[คะแนนเต็ม]:[คะแนนเต็ม]]),"",(tbl_task7[143]/tbl_task7[[คะแนนเต็ม]:[คะแนนเต็ม]])*tbl_task7[[%]:[%]])</f>
        <v/>
      </c>
      <c r="LB21" s="121" t="str">
        <f>IF(ISBLANK(tbl_task7[[คะแนนเต็ม]:[คะแนนเต็ม]]),"",(tbl_task7[144]/tbl_task7[[คะแนนเต็ม]:[คะแนนเต็ม]])*tbl_task7[[%]:[%]])</f>
        <v/>
      </c>
      <c r="LC21" s="121" t="str">
        <f>IF(ISBLANK(tbl_task7[[คะแนนเต็ม]:[คะแนนเต็ม]]),"",(tbl_task7[145]/tbl_task7[[คะแนนเต็ม]:[คะแนนเต็ม]])*tbl_task7[[%]:[%]])</f>
        <v/>
      </c>
      <c r="LD21" s="121" t="str">
        <f>IF(ISBLANK(tbl_task7[[คะแนนเต็ม]:[คะแนนเต็ม]]),"",(tbl_task7[146]/tbl_task7[[คะแนนเต็ม]:[คะแนนเต็ม]])*tbl_task7[[%]:[%]])</f>
        <v/>
      </c>
      <c r="LE21" s="121" t="str">
        <f>IF(ISBLANK(tbl_task7[[คะแนนเต็ม]:[คะแนนเต็ม]]),"",(tbl_task7[147]/tbl_task7[[คะแนนเต็ม]:[คะแนนเต็ม]])*tbl_task7[[%]:[%]])</f>
        <v/>
      </c>
      <c r="LF21" s="121" t="str">
        <f>IF(ISBLANK(tbl_task7[[คะแนนเต็ม]:[คะแนนเต็ม]]),"",(tbl_task7[148]/tbl_task7[[คะแนนเต็ม]:[คะแนนเต็ม]])*tbl_task7[[%]:[%]])</f>
        <v/>
      </c>
      <c r="LG21" s="121" t="str">
        <f>IF(ISBLANK(tbl_task7[[คะแนนเต็ม]:[คะแนนเต็ม]]),"",(tbl_task7[149]/tbl_task7[[คะแนนเต็ม]:[คะแนนเต็ม]])*tbl_task7[[%]:[%]])</f>
        <v/>
      </c>
      <c r="LH21" s="121" t="str">
        <f>IF(ISBLANK(tbl_task7[[คะแนนเต็ม]:[คะแนนเต็ม]]),"",(tbl_task7[150]/tbl_task7[[คะแนนเต็ม]:[คะแนนเต็ม]])*tbl_task7[[%]:[%]])</f>
        <v/>
      </c>
      <c r="LI21" s="121" t="str">
        <f>IF(ISBLANK(tbl_task7[[คะแนนเต็ม]:[คะแนนเต็ม]]),"",(tbl_task7[151]/tbl_task7[[คะแนนเต็ม]:[คะแนนเต็ม]])*tbl_task7[[%]:[%]])</f>
        <v/>
      </c>
      <c r="LJ21" s="121" t="str">
        <f>IF(ISBLANK(tbl_task7[[คะแนนเต็ม]:[คะแนนเต็ม]]),"",(tbl_task7[152]/tbl_task7[[คะแนนเต็ม]:[คะแนนเต็ม]])*tbl_task7[[%]:[%]])</f>
        <v/>
      </c>
      <c r="LK21" s="121" t="str">
        <f>IF(ISBLANK(tbl_task7[[คะแนนเต็ม]:[คะแนนเต็ม]]),"",(tbl_task7[153]/tbl_task7[[คะแนนเต็ม]:[คะแนนเต็ม]])*tbl_task7[[%]:[%]])</f>
        <v/>
      </c>
      <c r="LL21" s="121" t="str">
        <f>IF(ISBLANK(tbl_task7[[คะแนนเต็ม]:[คะแนนเต็ม]]),"",(tbl_task7[154]/tbl_task7[[คะแนนเต็ม]:[คะแนนเต็ม]])*tbl_task7[[%]:[%]])</f>
        <v/>
      </c>
      <c r="LM21" s="121" t="str">
        <f>IF(ISBLANK(tbl_task7[[คะแนนเต็ม]:[คะแนนเต็ม]]),"",(tbl_task7[155]/tbl_task7[[คะแนนเต็ม]:[คะแนนเต็ม]])*tbl_task7[[%]:[%]])</f>
        <v/>
      </c>
      <c r="LN21" s="121" t="str">
        <f>IF(ISBLANK(tbl_task7[[คะแนนเต็ม]:[คะแนนเต็ม]]),"",(tbl_task7[156]/tbl_task7[[คะแนนเต็ม]:[คะแนนเต็ม]])*tbl_task7[[%]:[%]])</f>
        <v/>
      </c>
      <c r="LO21" s="121" t="str">
        <f>IF(ISBLANK(tbl_task7[[คะแนนเต็ม]:[คะแนนเต็ม]]),"",(tbl_task7[157]/tbl_task7[[คะแนนเต็ม]:[คะแนนเต็ม]])*tbl_task7[[%]:[%]])</f>
        <v/>
      </c>
      <c r="LP21" s="121" t="str">
        <f>IF(ISBLANK(tbl_task7[[คะแนนเต็ม]:[คะแนนเต็ม]]),"",(tbl_task7[158]/tbl_task7[[คะแนนเต็ม]:[คะแนนเต็ม]])*tbl_task7[[%]:[%]])</f>
        <v/>
      </c>
      <c r="LQ21" s="121" t="str">
        <f>IF(ISBLANK(tbl_task7[[คะแนนเต็ม]:[คะแนนเต็ม]]),"",(tbl_task7[159]/tbl_task7[[คะแนนเต็ม]:[คะแนนเต็ม]])*tbl_task7[[%]:[%]])</f>
        <v/>
      </c>
      <c r="LR21" s="121" t="str">
        <f>IF(ISBLANK(tbl_task7[[คะแนนเต็ม]:[คะแนนเต็ม]]),"",(tbl_task7[160]/tbl_task7[[คะแนนเต็ม]:[คะแนนเต็ม]])*tbl_task7[[%]:[%]])</f>
        <v/>
      </c>
      <c r="LS21" s="121" t="str">
        <f>IF(ISBLANK(tbl_task7[[คะแนนเต็ม]:[คะแนนเต็ม]]),"",(tbl_task7[161]/tbl_task7[[คะแนนเต็ม]:[คะแนนเต็ม]])*tbl_task7[[%]:[%]])</f>
        <v/>
      </c>
      <c r="LT21" s="121" t="str">
        <f>IF(ISBLANK(tbl_task7[[คะแนนเต็ม]:[คะแนนเต็ม]]),"",(tbl_task7[162]/tbl_task7[[คะแนนเต็ม]:[คะแนนเต็ม]])*tbl_task7[[%]:[%]])</f>
        <v/>
      </c>
      <c r="LU21" s="121" t="str">
        <f>IF(ISBLANK(tbl_task7[[คะแนนเต็ม]:[คะแนนเต็ม]]),"",(tbl_task7[163]/tbl_task7[[คะแนนเต็ม]:[คะแนนเต็ม]])*tbl_task7[[%]:[%]])</f>
        <v/>
      </c>
      <c r="LV21" s="121" t="str">
        <f>IF(ISBLANK(tbl_task7[[คะแนนเต็ม]:[คะแนนเต็ม]]),"",(tbl_task7[164]/tbl_task7[[คะแนนเต็ม]:[คะแนนเต็ม]])*tbl_task7[[%]:[%]])</f>
        <v/>
      </c>
      <c r="LW21" s="121" t="str">
        <f>IF(ISBLANK(tbl_task7[[คะแนนเต็ม]:[คะแนนเต็ม]]),"",(tbl_task7[165]/tbl_task7[[คะแนนเต็ม]:[คะแนนเต็ม]])*tbl_task7[[%]:[%]])</f>
        <v/>
      </c>
    </row>
    <row r="22" spans="1:335" ht="24" customHeight="1" x14ac:dyDescent="0.25">
      <c r="A22" s="24">
        <v>19</v>
      </c>
      <c r="B22" s="20"/>
      <c r="C22" s="5" t="str">
        <f>IF(ISBLANK(B22),"",VLOOKUP(B22,tbl_PLOs[],2,0))</f>
        <v/>
      </c>
      <c r="D22" s="102"/>
      <c r="E22" s="106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121" t="str">
        <f>IF(ISBLANK(tbl_task7[[คะแนนเต็ม]:[คะแนนเต็ม]]),"",(tbl_task7[1]/tbl_task7[[คะแนนเต็ม]:[คะแนนเต็ม]])*tbl_task7[[%]:[%]])</f>
        <v/>
      </c>
      <c r="FP22" s="121" t="str">
        <f>IF(ISBLANK(tbl_task7[[คะแนนเต็ม]:[คะแนนเต็ม]]),"",(tbl_task7[2]/tbl_task7[[คะแนนเต็ม]:[คะแนนเต็ม]])*tbl_task7[[%]:[%]])</f>
        <v/>
      </c>
      <c r="FQ22" s="121" t="str">
        <f>IF(ISBLANK(tbl_task7[[คะแนนเต็ม]:[คะแนนเต็ม]]),"",(tbl_task7[3]/tbl_task7[[คะแนนเต็ม]:[คะแนนเต็ม]])*tbl_task7[[%]:[%]])</f>
        <v/>
      </c>
      <c r="FR22" s="121" t="str">
        <f>IF(ISBLANK(tbl_task7[[คะแนนเต็ม]:[คะแนนเต็ม]]),"",(tbl_task7[4]/tbl_task7[[คะแนนเต็ม]:[คะแนนเต็ม]])*tbl_task7[[%]:[%]])</f>
        <v/>
      </c>
      <c r="FS22" s="121" t="str">
        <f>IF(ISBLANK(tbl_task7[[คะแนนเต็ม]:[คะแนนเต็ม]]),"",(tbl_task7[5]/tbl_task7[[คะแนนเต็ม]:[คะแนนเต็ม]])*tbl_task7[[%]:[%]])</f>
        <v/>
      </c>
      <c r="FT22" s="121" t="str">
        <f>IF(ISBLANK(tbl_task7[[คะแนนเต็ม]:[คะแนนเต็ม]]),"",(tbl_task7[6]/tbl_task7[[คะแนนเต็ม]:[คะแนนเต็ม]])*tbl_task7[[%]:[%]])</f>
        <v/>
      </c>
      <c r="FU22" s="121" t="str">
        <f>IF(ISBLANK(tbl_task7[[คะแนนเต็ม]:[คะแนนเต็ม]]),"",(tbl_task7[7]/tbl_task7[[คะแนนเต็ม]:[คะแนนเต็ม]])*tbl_task7[[%]:[%]])</f>
        <v/>
      </c>
      <c r="FV22" s="121" t="str">
        <f>IF(ISBLANK(tbl_task7[[คะแนนเต็ม]:[คะแนนเต็ม]]),"",(tbl_task7[8]/tbl_task7[[คะแนนเต็ม]:[คะแนนเต็ม]])*tbl_task7[[%]:[%]])</f>
        <v/>
      </c>
      <c r="FW22" s="121" t="str">
        <f>IF(ISBLANK(tbl_task7[[คะแนนเต็ม]:[คะแนนเต็ม]]),"",(tbl_task7[9]/tbl_task7[[คะแนนเต็ม]:[คะแนนเต็ม]])*tbl_task7[[%]:[%]])</f>
        <v/>
      </c>
      <c r="FX22" s="121" t="str">
        <f>IF(ISBLANK(tbl_task7[[คะแนนเต็ม]:[คะแนนเต็ม]]),"",(tbl_task7[10]/tbl_task7[[คะแนนเต็ม]:[คะแนนเต็ม]])*tbl_task7[[%]:[%]])</f>
        <v/>
      </c>
      <c r="FY22" s="121" t="str">
        <f>IF(ISBLANK(tbl_task7[[คะแนนเต็ม]:[คะแนนเต็ม]]),"",(tbl_task7[11]/tbl_task7[[คะแนนเต็ม]:[คะแนนเต็ม]])*tbl_task7[[%]:[%]])</f>
        <v/>
      </c>
      <c r="FZ22" s="121" t="str">
        <f>IF(ISBLANK(tbl_task7[[คะแนนเต็ม]:[คะแนนเต็ม]]),"",(tbl_task7[12]/tbl_task7[[คะแนนเต็ม]:[คะแนนเต็ม]])*tbl_task7[[%]:[%]])</f>
        <v/>
      </c>
      <c r="GA22" s="121" t="str">
        <f>IF(ISBLANK(tbl_task7[[คะแนนเต็ม]:[คะแนนเต็ม]]),"",(tbl_task7[13]/tbl_task7[[คะแนนเต็ม]:[คะแนนเต็ม]])*tbl_task7[[%]:[%]])</f>
        <v/>
      </c>
      <c r="GB22" s="121" t="str">
        <f>IF(ISBLANK(tbl_task7[[คะแนนเต็ม]:[คะแนนเต็ม]]),"",(tbl_task7[14]/tbl_task7[[คะแนนเต็ม]:[คะแนนเต็ม]])*tbl_task7[[%]:[%]])</f>
        <v/>
      </c>
      <c r="GC22" s="121" t="str">
        <f>IF(ISBLANK(tbl_task7[[คะแนนเต็ม]:[คะแนนเต็ม]]),"",(tbl_task7[15]/tbl_task7[[คะแนนเต็ม]:[คะแนนเต็ม]])*tbl_task7[[%]:[%]])</f>
        <v/>
      </c>
      <c r="GD22" s="121" t="str">
        <f>IF(ISBLANK(tbl_task7[[คะแนนเต็ม]:[คะแนนเต็ม]]),"",(tbl_task7[16]/tbl_task7[[คะแนนเต็ม]:[คะแนนเต็ม]])*tbl_task7[[%]:[%]])</f>
        <v/>
      </c>
      <c r="GE22" s="121" t="str">
        <f>IF(ISBLANK(tbl_task7[[คะแนนเต็ม]:[คะแนนเต็ม]]),"",(tbl_task7[17]/tbl_task7[[คะแนนเต็ม]:[คะแนนเต็ม]])*tbl_task7[[%]:[%]])</f>
        <v/>
      </c>
      <c r="GF22" s="121" t="str">
        <f>IF(ISBLANK(tbl_task7[[คะแนนเต็ม]:[คะแนนเต็ม]]),"",(tbl_task7[18]/tbl_task7[[คะแนนเต็ม]:[คะแนนเต็ม]])*tbl_task7[[%]:[%]])</f>
        <v/>
      </c>
      <c r="GG22" s="121" t="str">
        <f>IF(ISBLANK(tbl_task7[[คะแนนเต็ม]:[คะแนนเต็ม]]),"",(tbl_task7[19]/tbl_task7[[คะแนนเต็ม]:[คะแนนเต็ม]])*tbl_task7[[%]:[%]])</f>
        <v/>
      </c>
      <c r="GH22" s="121" t="str">
        <f>IF(ISBLANK(tbl_task7[[คะแนนเต็ม]:[คะแนนเต็ม]]),"",(tbl_task7[20]/tbl_task7[[คะแนนเต็ม]:[คะแนนเต็ม]])*tbl_task7[[%]:[%]])</f>
        <v/>
      </c>
      <c r="GI22" s="121" t="str">
        <f>IF(ISBLANK(tbl_task7[[คะแนนเต็ม]:[คะแนนเต็ม]]),"",(tbl_task7[21]/tbl_task7[[คะแนนเต็ม]:[คะแนนเต็ม]])*tbl_task7[[%]:[%]])</f>
        <v/>
      </c>
      <c r="GJ22" s="121" t="str">
        <f>IF(ISBLANK(tbl_task7[[คะแนนเต็ม]:[คะแนนเต็ม]]),"",(tbl_task7[22]/tbl_task7[[คะแนนเต็ม]:[คะแนนเต็ม]])*tbl_task7[[%]:[%]])</f>
        <v/>
      </c>
      <c r="GK22" s="121" t="str">
        <f>IF(ISBLANK(tbl_task7[[คะแนนเต็ม]:[คะแนนเต็ม]]),"",(tbl_task7[23]/tbl_task7[[คะแนนเต็ม]:[คะแนนเต็ม]])*tbl_task7[[%]:[%]])</f>
        <v/>
      </c>
      <c r="GL22" s="121" t="str">
        <f>IF(ISBLANK(tbl_task7[[คะแนนเต็ม]:[คะแนนเต็ม]]),"",(tbl_task7[24]/tbl_task7[[คะแนนเต็ม]:[คะแนนเต็ม]])*tbl_task7[[%]:[%]])</f>
        <v/>
      </c>
      <c r="GM22" s="121" t="str">
        <f>IF(ISBLANK(tbl_task7[[คะแนนเต็ม]:[คะแนนเต็ม]]),"",(tbl_task7[25]/tbl_task7[[คะแนนเต็ม]:[คะแนนเต็ม]])*tbl_task7[[%]:[%]])</f>
        <v/>
      </c>
      <c r="GN22" s="121" t="str">
        <f>IF(ISBLANK(tbl_task7[[คะแนนเต็ม]:[คะแนนเต็ม]]),"",(tbl_task7[26]/tbl_task7[[คะแนนเต็ม]:[คะแนนเต็ม]])*tbl_task7[[%]:[%]])</f>
        <v/>
      </c>
      <c r="GO22" s="121" t="str">
        <f>IF(ISBLANK(tbl_task7[[คะแนนเต็ม]:[คะแนนเต็ม]]),"",(tbl_task7[27]/tbl_task7[[คะแนนเต็ม]:[คะแนนเต็ม]])*tbl_task7[[%]:[%]])</f>
        <v/>
      </c>
      <c r="GP22" s="121" t="str">
        <f>IF(ISBLANK(tbl_task7[[คะแนนเต็ม]:[คะแนนเต็ม]]),"",(tbl_task7[28]/tbl_task7[[คะแนนเต็ม]:[คะแนนเต็ม]])*tbl_task7[[%]:[%]])</f>
        <v/>
      </c>
      <c r="GQ22" s="121" t="str">
        <f>IF(ISBLANK(tbl_task7[[คะแนนเต็ม]:[คะแนนเต็ม]]),"",(tbl_task7[29]/tbl_task7[[คะแนนเต็ม]:[คะแนนเต็ม]])*tbl_task7[[%]:[%]])</f>
        <v/>
      </c>
      <c r="GR22" s="121" t="str">
        <f>IF(ISBLANK(tbl_task7[[คะแนนเต็ม]:[คะแนนเต็ม]]),"",(tbl_task7[30]/tbl_task7[[คะแนนเต็ม]:[คะแนนเต็ม]])*tbl_task7[[%]:[%]])</f>
        <v/>
      </c>
      <c r="GS22" s="121" t="str">
        <f>IF(ISBLANK(tbl_task7[[คะแนนเต็ม]:[คะแนนเต็ม]]),"",(tbl_task7[31]/tbl_task7[[คะแนนเต็ม]:[คะแนนเต็ม]])*tbl_task7[[%]:[%]])</f>
        <v/>
      </c>
      <c r="GT22" s="121" t="str">
        <f>IF(ISBLANK(tbl_task7[[คะแนนเต็ม]:[คะแนนเต็ม]]),"",(tbl_task7[32]/tbl_task7[[คะแนนเต็ม]:[คะแนนเต็ม]])*tbl_task7[[%]:[%]])</f>
        <v/>
      </c>
      <c r="GU22" s="121" t="str">
        <f>IF(ISBLANK(tbl_task7[[คะแนนเต็ม]:[คะแนนเต็ม]]),"",(tbl_task7[33]/tbl_task7[[คะแนนเต็ม]:[คะแนนเต็ม]])*tbl_task7[[%]:[%]])</f>
        <v/>
      </c>
      <c r="GV22" s="121" t="str">
        <f>IF(ISBLANK(tbl_task7[[คะแนนเต็ม]:[คะแนนเต็ม]]),"",(tbl_task7[34]/tbl_task7[[คะแนนเต็ม]:[คะแนนเต็ม]])*tbl_task7[[%]:[%]])</f>
        <v/>
      </c>
      <c r="GW22" s="121" t="str">
        <f>IF(ISBLANK(tbl_task7[[คะแนนเต็ม]:[คะแนนเต็ม]]),"",(tbl_task7[35]/tbl_task7[[คะแนนเต็ม]:[คะแนนเต็ม]])*tbl_task7[[%]:[%]])</f>
        <v/>
      </c>
      <c r="GX22" s="121" t="str">
        <f>IF(ISBLANK(tbl_task7[[คะแนนเต็ม]:[คะแนนเต็ม]]),"",(tbl_task7[36]/tbl_task7[[คะแนนเต็ม]:[คะแนนเต็ม]])*tbl_task7[[%]:[%]])</f>
        <v/>
      </c>
      <c r="GY22" s="121" t="str">
        <f>IF(ISBLANK(tbl_task7[[คะแนนเต็ม]:[คะแนนเต็ม]]),"",(tbl_task7[37]/tbl_task7[[คะแนนเต็ม]:[คะแนนเต็ม]])*tbl_task7[[%]:[%]])</f>
        <v/>
      </c>
      <c r="GZ22" s="121" t="str">
        <f>IF(ISBLANK(tbl_task7[[คะแนนเต็ม]:[คะแนนเต็ม]]),"",(tbl_task7[38]/tbl_task7[[คะแนนเต็ม]:[คะแนนเต็ม]])*tbl_task7[[%]:[%]])</f>
        <v/>
      </c>
      <c r="HA22" s="121" t="str">
        <f>IF(ISBLANK(tbl_task7[[คะแนนเต็ม]:[คะแนนเต็ม]]),"",(tbl_task7[39]/tbl_task7[[คะแนนเต็ม]:[คะแนนเต็ม]])*tbl_task7[[%]:[%]])</f>
        <v/>
      </c>
      <c r="HB22" s="121" t="str">
        <f>IF(ISBLANK(tbl_task7[[คะแนนเต็ม]:[คะแนนเต็ม]]),"",(tbl_task7[40]/tbl_task7[[คะแนนเต็ม]:[คะแนนเต็ม]])*tbl_task7[[%]:[%]])</f>
        <v/>
      </c>
      <c r="HC22" s="121" t="str">
        <f>IF(ISBLANK(tbl_task7[[คะแนนเต็ม]:[คะแนนเต็ม]]),"",(tbl_task7[41]/tbl_task7[[คะแนนเต็ม]:[คะแนนเต็ม]])*tbl_task7[[%]:[%]])</f>
        <v/>
      </c>
      <c r="HD22" s="121" t="str">
        <f>IF(ISBLANK(tbl_task7[[คะแนนเต็ม]:[คะแนนเต็ม]]),"",(tbl_task7[42]/tbl_task7[[คะแนนเต็ม]:[คะแนนเต็ม]])*tbl_task7[[%]:[%]])</f>
        <v/>
      </c>
      <c r="HE22" s="121" t="str">
        <f>IF(ISBLANK(tbl_task7[[คะแนนเต็ม]:[คะแนนเต็ม]]),"",(tbl_task7[43]/tbl_task7[[คะแนนเต็ม]:[คะแนนเต็ม]])*tbl_task7[[%]:[%]])</f>
        <v/>
      </c>
      <c r="HF22" s="121" t="str">
        <f>IF(ISBLANK(tbl_task7[[คะแนนเต็ม]:[คะแนนเต็ม]]),"",(tbl_task7[44]/tbl_task7[[คะแนนเต็ม]:[คะแนนเต็ม]])*tbl_task7[[%]:[%]])</f>
        <v/>
      </c>
      <c r="HG22" s="121" t="str">
        <f>IF(ISBLANK(tbl_task7[[คะแนนเต็ม]:[คะแนนเต็ม]]),"",(tbl_task7[45]/tbl_task7[[คะแนนเต็ม]:[คะแนนเต็ม]])*tbl_task7[[%]:[%]])</f>
        <v/>
      </c>
      <c r="HH22" s="121" t="str">
        <f>IF(ISBLANK(tbl_task7[[คะแนนเต็ม]:[คะแนนเต็ม]]),"",(tbl_task7[46]/tbl_task7[[คะแนนเต็ม]:[คะแนนเต็ม]])*tbl_task7[[%]:[%]])</f>
        <v/>
      </c>
      <c r="HI22" s="121" t="str">
        <f>IF(ISBLANK(tbl_task7[[คะแนนเต็ม]:[คะแนนเต็ม]]),"",(tbl_task7[47]/tbl_task7[[คะแนนเต็ม]:[คะแนนเต็ม]])*tbl_task7[[%]:[%]])</f>
        <v/>
      </c>
      <c r="HJ22" s="121" t="str">
        <f>IF(ISBLANK(tbl_task7[[คะแนนเต็ม]:[คะแนนเต็ม]]),"",(tbl_task7[48]/tbl_task7[[คะแนนเต็ม]:[คะแนนเต็ม]])*tbl_task7[[%]:[%]])</f>
        <v/>
      </c>
      <c r="HK22" s="121" t="str">
        <f>IF(ISBLANK(tbl_task7[[คะแนนเต็ม]:[คะแนนเต็ม]]),"",(tbl_task7[49]/tbl_task7[[คะแนนเต็ม]:[คะแนนเต็ม]])*tbl_task7[[%]:[%]])</f>
        <v/>
      </c>
      <c r="HL22" s="121" t="str">
        <f>IF(ISBLANK(tbl_task7[[คะแนนเต็ม]:[คะแนนเต็ม]]),"",(tbl_task7[50]/tbl_task7[[คะแนนเต็ม]:[คะแนนเต็ม]])*tbl_task7[[%]:[%]])</f>
        <v/>
      </c>
      <c r="HM22" s="121" t="str">
        <f>IF(ISBLANK(tbl_task7[[คะแนนเต็ม]:[คะแนนเต็ม]]),"",(tbl_task7[51]/tbl_task7[[คะแนนเต็ม]:[คะแนนเต็ม]])*tbl_task7[[%]:[%]])</f>
        <v/>
      </c>
      <c r="HN22" s="121" t="str">
        <f>IF(ISBLANK(tbl_task7[[คะแนนเต็ม]:[คะแนนเต็ม]]),"",(tbl_task7[52]/tbl_task7[[คะแนนเต็ม]:[คะแนนเต็ม]])*tbl_task7[[%]:[%]])</f>
        <v/>
      </c>
      <c r="HO22" s="121" t="str">
        <f>IF(ISBLANK(tbl_task7[[คะแนนเต็ม]:[คะแนนเต็ม]]),"",(tbl_task7[53]/tbl_task7[[คะแนนเต็ม]:[คะแนนเต็ม]])*tbl_task7[[%]:[%]])</f>
        <v/>
      </c>
      <c r="HP22" s="121" t="str">
        <f>IF(ISBLANK(tbl_task7[[คะแนนเต็ม]:[คะแนนเต็ม]]),"",(tbl_task7[54]/tbl_task7[[คะแนนเต็ม]:[คะแนนเต็ม]])*tbl_task7[[%]:[%]])</f>
        <v/>
      </c>
      <c r="HQ22" s="121" t="str">
        <f>IF(ISBLANK(tbl_task7[[คะแนนเต็ม]:[คะแนนเต็ม]]),"",(tbl_task7[55]/tbl_task7[[คะแนนเต็ม]:[คะแนนเต็ม]])*tbl_task7[[%]:[%]])</f>
        <v/>
      </c>
      <c r="HR22" s="121" t="str">
        <f>IF(ISBLANK(tbl_task7[[คะแนนเต็ม]:[คะแนนเต็ม]]),"",(tbl_task7[56]/tbl_task7[[คะแนนเต็ม]:[คะแนนเต็ม]])*tbl_task7[[%]:[%]])</f>
        <v/>
      </c>
      <c r="HS22" s="121" t="str">
        <f>IF(ISBLANK(tbl_task7[[คะแนนเต็ม]:[คะแนนเต็ม]]),"",(tbl_task7[57]/tbl_task7[[คะแนนเต็ม]:[คะแนนเต็ม]])*tbl_task7[[%]:[%]])</f>
        <v/>
      </c>
      <c r="HT22" s="121" t="str">
        <f>IF(ISBLANK(tbl_task7[[คะแนนเต็ม]:[คะแนนเต็ม]]),"",(tbl_task7[58]/tbl_task7[[คะแนนเต็ม]:[คะแนนเต็ม]])*tbl_task7[[%]:[%]])</f>
        <v/>
      </c>
      <c r="HU22" s="121" t="str">
        <f>IF(ISBLANK(tbl_task7[[คะแนนเต็ม]:[คะแนนเต็ม]]),"",(tbl_task7[59]/tbl_task7[[คะแนนเต็ม]:[คะแนนเต็ม]])*tbl_task7[[%]:[%]])</f>
        <v/>
      </c>
      <c r="HV22" s="121" t="str">
        <f>IF(ISBLANK(tbl_task7[[คะแนนเต็ม]:[คะแนนเต็ม]]),"",(tbl_task7[60]/tbl_task7[[คะแนนเต็ม]:[คะแนนเต็ม]])*tbl_task7[[%]:[%]])</f>
        <v/>
      </c>
      <c r="HW22" s="121" t="str">
        <f>IF(ISBLANK(tbl_task7[[คะแนนเต็ม]:[คะแนนเต็ม]]),"",(tbl_task7[61]/tbl_task7[[คะแนนเต็ม]:[คะแนนเต็ม]])*tbl_task7[[%]:[%]])</f>
        <v/>
      </c>
      <c r="HX22" s="121" t="str">
        <f>IF(ISBLANK(tbl_task7[[คะแนนเต็ม]:[คะแนนเต็ม]]),"",(tbl_task7[62]/tbl_task7[[คะแนนเต็ม]:[คะแนนเต็ม]])*tbl_task7[[%]:[%]])</f>
        <v/>
      </c>
      <c r="HY22" s="121" t="str">
        <f>IF(ISBLANK(tbl_task7[[คะแนนเต็ม]:[คะแนนเต็ม]]),"",(tbl_task7[63]/tbl_task7[[คะแนนเต็ม]:[คะแนนเต็ม]])*tbl_task7[[%]:[%]])</f>
        <v/>
      </c>
      <c r="HZ22" s="121" t="str">
        <f>IF(ISBLANK(tbl_task7[[คะแนนเต็ม]:[คะแนนเต็ม]]),"",(tbl_task7[64]/tbl_task7[[คะแนนเต็ม]:[คะแนนเต็ม]])*tbl_task7[[%]:[%]])</f>
        <v/>
      </c>
      <c r="IA22" s="121" t="str">
        <f>IF(ISBLANK(tbl_task7[[คะแนนเต็ม]:[คะแนนเต็ม]]),"",(tbl_task7[65]/tbl_task7[[คะแนนเต็ม]:[คะแนนเต็ม]])*tbl_task7[[%]:[%]])</f>
        <v/>
      </c>
      <c r="IB22" s="121" t="str">
        <f>IF(ISBLANK(tbl_task7[[คะแนนเต็ม]:[คะแนนเต็ม]]),"",(tbl_task7[66]/tbl_task7[[คะแนนเต็ม]:[คะแนนเต็ม]])*tbl_task7[[%]:[%]])</f>
        <v/>
      </c>
      <c r="IC22" s="121" t="str">
        <f>IF(ISBLANK(tbl_task7[[คะแนนเต็ม]:[คะแนนเต็ม]]),"",(tbl_task7[67]/tbl_task7[[คะแนนเต็ม]:[คะแนนเต็ม]])*tbl_task7[[%]:[%]])</f>
        <v/>
      </c>
      <c r="ID22" s="121" t="str">
        <f>IF(ISBLANK(tbl_task7[[คะแนนเต็ม]:[คะแนนเต็ม]]),"",(tbl_task7[68]/tbl_task7[[คะแนนเต็ม]:[คะแนนเต็ม]])*tbl_task7[[%]:[%]])</f>
        <v/>
      </c>
      <c r="IE22" s="121" t="str">
        <f>IF(ISBLANK(tbl_task7[[คะแนนเต็ม]:[คะแนนเต็ม]]),"",(tbl_task7[69]/tbl_task7[[คะแนนเต็ม]:[คะแนนเต็ม]])*tbl_task7[[%]:[%]])</f>
        <v/>
      </c>
      <c r="IF22" s="121" t="str">
        <f>IF(ISBLANK(tbl_task7[[คะแนนเต็ม]:[คะแนนเต็ม]]),"",(tbl_task7[70]/tbl_task7[[คะแนนเต็ม]:[คะแนนเต็ม]])*tbl_task7[[%]:[%]])</f>
        <v/>
      </c>
      <c r="IG22" s="121" t="str">
        <f>IF(ISBLANK(tbl_task7[[คะแนนเต็ม]:[คะแนนเต็ม]]),"",(tbl_task7[71]/tbl_task7[[คะแนนเต็ม]:[คะแนนเต็ม]])*tbl_task7[[%]:[%]])</f>
        <v/>
      </c>
      <c r="IH22" s="121" t="str">
        <f>IF(ISBLANK(tbl_task7[[คะแนนเต็ม]:[คะแนนเต็ม]]),"",(tbl_task7[72]/tbl_task7[[คะแนนเต็ม]:[คะแนนเต็ม]])*tbl_task7[[%]:[%]])</f>
        <v/>
      </c>
      <c r="II22" s="121" t="str">
        <f>IF(ISBLANK(tbl_task7[[คะแนนเต็ม]:[คะแนนเต็ม]]),"",(tbl_task7[73]/tbl_task7[[คะแนนเต็ม]:[คะแนนเต็ม]])*tbl_task7[[%]:[%]])</f>
        <v/>
      </c>
      <c r="IJ22" s="121" t="str">
        <f>IF(ISBLANK(tbl_task7[[คะแนนเต็ม]:[คะแนนเต็ม]]),"",(tbl_task7[74]/tbl_task7[[คะแนนเต็ม]:[คะแนนเต็ม]])*tbl_task7[[%]:[%]])</f>
        <v/>
      </c>
      <c r="IK22" s="121" t="str">
        <f>IF(ISBLANK(tbl_task7[[คะแนนเต็ม]:[คะแนนเต็ม]]),"",(tbl_task7[75]/tbl_task7[[คะแนนเต็ม]:[คะแนนเต็ม]])*tbl_task7[[%]:[%]])</f>
        <v/>
      </c>
      <c r="IL22" s="121" t="str">
        <f>IF(ISBLANK(tbl_task7[[คะแนนเต็ม]:[คะแนนเต็ม]]),"",(tbl_task7[76]/tbl_task7[[คะแนนเต็ม]:[คะแนนเต็ม]])*tbl_task7[[%]:[%]])</f>
        <v/>
      </c>
      <c r="IM22" s="121" t="str">
        <f>IF(ISBLANK(tbl_task7[[คะแนนเต็ม]:[คะแนนเต็ม]]),"",(tbl_task7[77]/tbl_task7[[คะแนนเต็ม]:[คะแนนเต็ม]])*tbl_task7[[%]:[%]])</f>
        <v/>
      </c>
      <c r="IN22" s="121" t="str">
        <f>IF(ISBLANK(tbl_task7[[คะแนนเต็ม]:[คะแนนเต็ม]]),"",(tbl_task7[78]/tbl_task7[[คะแนนเต็ม]:[คะแนนเต็ม]])*tbl_task7[[%]:[%]])</f>
        <v/>
      </c>
      <c r="IO22" s="121" t="str">
        <f>IF(ISBLANK(tbl_task7[[คะแนนเต็ม]:[คะแนนเต็ม]]),"",(tbl_task7[79]/tbl_task7[[คะแนนเต็ม]:[คะแนนเต็ม]])*tbl_task7[[%]:[%]])</f>
        <v/>
      </c>
      <c r="IP22" s="121" t="str">
        <f>IF(ISBLANK(tbl_task7[[คะแนนเต็ม]:[คะแนนเต็ม]]),"",(tbl_task7[80]/tbl_task7[[คะแนนเต็ม]:[คะแนนเต็ม]])*tbl_task7[[%]:[%]])</f>
        <v/>
      </c>
      <c r="IQ22" s="121" t="str">
        <f>IF(ISBLANK(tbl_task7[[คะแนนเต็ม]:[คะแนนเต็ม]]),"",(tbl_task7[81]/tbl_task7[[คะแนนเต็ม]:[คะแนนเต็ม]])*tbl_task7[[%]:[%]])</f>
        <v/>
      </c>
      <c r="IR22" s="121" t="str">
        <f>IF(ISBLANK(tbl_task7[[คะแนนเต็ม]:[คะแนนเต็ม]]),"",(tbl_task7[82]/tbl_task7[[คะแนนเต็ม]:[คะแนนเต็ม]])*tbl_task7[[%]:[%]])</f>
        <v/>
      </c>
      <c r="IS22" s="121" t="str">
        <f>IF(ISBLANK(tbl_task7[[คะแนนเต็ม]:[คะแนนเต็ม]]),"",(tbl_task7[83]/tbl_task7[[คะแนนเต็ม]:[คะแนนเต็ม]])*tbl_task7[[%]:[%]])</f>
        <v/>
      </c>
      <c r="IT22" s="121" t="str">
        <f>IF(ISBLANK(tbl_task7[[คะแนนเต็ม]:[คะแนนเต็ม]]),"",(tbl_task7[84]/tbl_task7[[คะแนนเต็ม]:[คะแนนเต็ม]])*tbl_task7[[%]:[%]])</f>
        <v/>
      </c>
      <c r="IU22" s="121" t="str">
        <f>IF(ISBLANK(tbl_task7[[คะแนนเต็ม]:[คะแนนเต็ม]]),"",(tbl_task7[85]/tbl_task7[[คะแนนเต็ม]:[คะแนนเต็ม]])*tbl_task7[[%]:[%]])</f>
        <v/>
      </c>
      <c r="IV22" s="121" t="str">
        <f>IF(ISBLANK(tbl_task7[[คะแนนเต็ม]:[คะแนนเต็ม]]),"",(tbl_task7[86]/tbl_task7[[คะแนนเต็ม]:[คะแนนเต็ม]])*tbl_task7[[%]:[%]])</f>
        <v/>
      </c>
      <c r="IW22" s="121" t="str">
        <f>IF(ISBLANK(tbl_task7[[คะแนนเต็ม]:[คะแนนเต็ม]]),"",(tbl_task7[87]/tbl_task7[[คะแนนเต็ม]:[คะแนนเต็ม]])*tbl_task7[[%]:[%]])</f>
        <v/>
      </c>
      <c r="IX22" s="121" t="str">
        <f>IF(ISBLANK(tbl_task7[[คะแนนเต็ม]:[คะแนนเต็ม]]),"",(tbl_task7[88]/tbl_task7[[คะแนนเต็ม]:[คะแนนเต็ม]])*tbl_task7[[%]:[%]])</f>
        <v/>
      </c>
      <c r="IY22" s="121" t="str">
        <f>IF(ISBLANK(tbl_task7[[คะแนนเต็ม]:[คะแนนเต็ม]]),"",(tbl_task7[89]/tbl_task7[[คะแนนเต็ม]:[คะแนนเต็ม]])*tbl_task7[[%]:[%]])</f>
        <v/>
      </c>
      <c r="IZ22" s="121" t="str">
        <f>IF(ISBLANK(tbl_task7[[คะแนนเต็ม]:[คะแนนเต็ม]]),"",(tbl_task7[90]/tbl_task7[[คะแนนเต็ม]:[คะแนนเต็ม]])*tbl_task7[[%]:[%]])</f>
        <v/>
      </c>
      <c r="JA22" s="121" t="str">
        <f>IF(ISBLANK(tbl_task7[[คะแนนเต็ม]:[คะแนนเต็ม]]),"",(tbl_task7[91]/tbl_task7[[คะแนนเต็ม]:[คะแนนเต็ม]])*tbl_task7[[%]:[%]])</f>
        <v/>
      </c>
      <c r="JB22" s="121" t="str">
        <f>IF(ISBLANK(tbl_task7[[คะแนนเต็ม]:[คะแนนเต็ม]]),"",(tbl_task7[92]/tbl_task7[[คะแนนเต็ม]:[คะแนนเต็ม]])*tbl_task7[[%]:[%]])</f>
        <v/>
      </c>
      <c r="JC22" s="121" t="str">
        <f>IF(ISBLANK(tbl_task7[[คะแนนเต็ม]:[คะแนนเต็ม]]),"",(tbl_task7[93]/tbl_task7[[คะแนนเต็ม]:[คะแนนเต็ม]])*tbl_task7[[%]:[%]])</f>
        <v/>
      </c>
      <c r="JD22" s="121" t="str">
        <f>IF(ISBLANK(tbl_task7[[คะแนนเต็ม]:[คะแนนเต็ม]]),"",(tbl_task7[94]/tbl_task7[[คะแนนเต็ม]:[คะแนนเต็ม]])*tbl_task7[[%]:[%]])</f>
        <v/>
      </c>
      <c r="JE22" s="121" t="str">
        <f>IF(ISBLANK(tbl_task7[[คะแนนเต็ม]:[คะแนนเต็ม]]),"",(tbl_task7[95]/tbl_task7[[คะแนนเต็ม]:[คะแนนเต็ม]])*tbl_task7[[%]:[%]])</f>
        <v/>
      </c>
      <c r="JF22" s="121" t="str">
        <f>IF(ISBLANK(tbl_task7[[คะแนนเต็ม]:[คะแนนเต็ม]]),"",(tbl_task7[96]/tbl_task7[[คะแนนเต็ม]:[คะแนนเต็ม]])*tbl_task7[[%]:[%]])</f>
        <v/>
      </c>
      <c r="JG22" s="121" t="str">
        <f>IF(ISBLANK(tbl_task7[[คะแนนเต็ม]:[คะแนนเต็ม]]),"",(tbl_task7[97]/tbl_task7[[คะแนนเต็ม]:[คะแนนเต็ม]])*tbl_task7[[%]:[%]])</f>
        <v/>
      </c>
      <c r="JH22" s="121" t="str">
        <f>IF(ISBLANK(tbl_task7[[คะแนนเต็ม]:[คะแนนเต็ม]]),"",(tbl_task7[98]/tbl_task7[[คะแนนเต็ม]:[คะแนนเต็ม]])*tbl_task7[[%]:[%]])</f>
        <v/>
      </c>
      <c r="JI22" s="121" t="str">
        <f>IF(ISBLANK(tbl_task7[[คะแนนเต็ม]:[คะแนนเต็ม]]),"",(tbl_task7[99]/tbl_task7[[คะแนนเต็ม]:[คะแนนเต็ม]])*tbl_task7[[%]:[%]])</f>
        <v/>
      </c>
      <c r="JJ22" s="121" t="str">
        <f>IF(ISBLANK(tbl_task7[[คะแนนเต็ม]:[คะแนนเต็ม]]),"",(tbl_task7[100]/tbl_task7[[คะแนนเต็ม]:[คะแนนเต็ม]])*tbl_task7[[%]:[%]])</f>
        <v/>
      </c>
      <c r="JK22" s="121" t="str">
        <f>IF(ISBLANK(tbl_task7[[คะแนนเต็ม]:[คะแนนเต็ม]]),"",(tbl_task7[101]/tbl_task7[[คะแนนเต็ม]:[คะแนนเต็ม]])*tbl_task7[[%]:[%]])</f>
        <v/>
      </c>
      <c r="JL22" s="121" t="str">
        <f>IF(ISBLANK(tbl_task7[[คะแนนเต็ม]:[คะแนนเต็ม]]),"",(tbl_task7[102]/tbl_task7[[คะแนนเต็ม]:[คะแนนเต็ม]])*tbl_task7[[%]:[%]])</f>
        <v/>
      </c>
      <c r="JM22" s="121" t="str">
        <f>IF(ISBLANK(tbl_task7[[คะแนนเต็ม]:[คะแนนเต็ม]]),"",(tbl_task7[103]/tbl_task7[[คะแนนเต็ม]:[คะแนนเต็ม]])*tbl_task7[[%]:[%]])</f>
        <v/>
      </c>
      <c r="JN22" s="121" t="str">
        <f>IF(ISBLANK(tbl_task7[[คะแนนเต็ม]:[คะแนนเต็ม]]),"",(tbl_task7[104]/tbl_task7[[คะแนนเต็ม]:[คะแนนเต็ม]])*tbl_task7[[%]:[%]])</f>
        <v/>
      </c>
      <c r="JO22" s="121" t="str">
        <f>IF(ISBLANK(tbl_task7[[คะแนนเต็ม]:[คะแนนเต็ม]]),"",(tbl_task7[105]/tbl_task7[[คะแนนเต็ม]:[คะแนนเต็ม]])*tbl_task7[[%]:[%]])</f>
        <v/>
      </c>
      <c r="JP22" s="121" t="str">
        <f>IF(ISBLANK(tbl_task7[[คะแนนเต็ม]:[คะแนนเต็ม]]),"",(tbl_task7[106]/tbl_task7[[คะแนนเต็ม]:[คะแนนเต็ม]])*tbl_task7[[%]:[%]])</f>
        <v/>
      </c>
      <c r="JQ22" s="121" t="str">
        <f>IF(ISBLANK(tbl_task7[[คะแนนเต็ม]:[คะแนนเต็ม]]),"",(tbl_task7[107]/tbl_task7[[คะแนนเต็ม]:[คะแนนเต็ม]])*tbl_task7[[%]:[%]])</f>
        <v/>
      </c>
      <c r="JR22" s="121" t="str">
        <f>IF(ISBLANK(tbl_task7[[คะแนนเต็ม]:[คะแนนเต็ม]]),"",(tbl_task7[108]/tbl_task7[[คะแนนเต็ม]:[คะแนนเต็ม]])*tbl_task7[[%]:[%]])</f>
        <v/>
      </c>
      <c r="JS22" s="121" t="str">
        <f>IF(ISBLANK(tbl_task7[[คะแนนเต็ม]:[คะแนนเต็ม]]),"",(tbl_task7[109]/tbl_task7[[คะแนนเต็ม]:[คะแนนเต็ม]])*tbl_task7[[%]:[%]])</f>
        <v/>
      </c>
      <c r="JT22" s="121" t="str">
        <f>IF(ISBLANK(tbl_task7[[คะแนนเต็ม]:[คะแนนเต็ม]]),"",(tbl_task7[110]/tbl_task7[[คะแนนเต็ม]:[คะแนนเต็ม]])*tbl_task7[[%]:[%]])</f>
        <v/>
      </c>
      <c r="JU22" s="121" t="str">
        <f>IF(ISBLANK(tbl_task7[[คะแนนเต็ม]:[คะแนนเต็ม]]),"",(tbl_task7[111]/tbl_task7[[คะแนนเต็ม]:[คะแนนเต็ม]])*tbl_task7[[%]:[%]])</f>
        <v/>
      </c>
      <c r="JV22" s="121" t="str">
        <f>IF(ISBLANK(tbl_task7[[คะแนนเต็ม]:[คะแนนเต็ม]]),"",(tbl_task7[112]/tbl_task7[[คะแนนเต็ม]:[คะแนนเต็ม]])*tbl_task7[[%]:[%]])</f>
        <v/>
      </c>
      <c r="JW22" s="121" t="str">
        <f>IF(ISBLANK(tbl_task7[[คะแนนเต็ม]:[คะแนนเต็ม]]),"",(tbl_task7[113]/tbl_task7[[คะแนนเต็ม]:[คะแนนเต็ม]])*tbl_task7[[%]:[%]])</f>
        <v/>
      </c>
      <c r="JX22" s="121" t="str">
        <f>IF(ISBLANK(tbl_task7[[คะแนนเต็ม]:[คะแนนเต็ม]]),"",(tbl_task7[114]/tbl_task7[[คะแนนเต็ม]:[คะแนนเต็ม]])*tbl_task7[[%]:[%]])</f>
        <v/>
      </c>
      <c r="JY22" s="121" t="str">
        <f>IF(ISBLANK(tbl_task7[[คะแนนเต็ม]:[คะแนนเต็ม]]),"",(tbl_task7[115]/tbl_task7[[คะแนนเต็ม]:[คะแนนเต็ม]])*tbl_task7[[%]:[%]])</f>
        <v/>
      </c>
      <c r="JZ22" s="121" t="str">
        <f>IF(ISBLANK(tbl_task7[[คะแนนเต็ม]:[คะแนนเต็ม]]),"",(tbl_task7[116]/tbl_task7[[คะแนนเต็ม]:[คะแนนเต็ม]])*tbl_task7[[%]:[%]])</f>
        <v/>
      </c>
      <c r="KA22" s="121" t="str">
        <f>IF(ISBLANK(tbl_task7[[คะแนนเต็ม]:[คะแนนเต็ม]]),"",(tbl_task7[117]/tbl_task7[[คะแนนเต็ม]:[คะแนนเต็ม]])*tbl_task7[[%]:[%]])</f>
        <v/>
      </c>
      <c r="KB22" s="121" t="str">
        <f>IF(ISBLANK(tbl_task7[[คะแนนเต็ม]:[คะแนนเต็ม]]),"",(tbl_task7[118]/tbl_task7[[คะแนนเต็ม]:[คะแนนเต็ม]])*tbl_task7[[%]:[%]])</f>
        <v/>
      </c>
      <c r="KC22" s="121" t="str">
        <f>IF(ISBLANK(tbl_task7[[คะแนนเต็ม]:[คะแนนเต็ม]]),"",(tbl_task7[119]/tbl_task7[[คะแนนเต็ม]:[คะแนนเต็ม]])*tbl_task7[[%]:[%]])</f>
        <v/>
      </c>
      <c r="KD22" s="121" t="str">
        <f>IF(ISBLANK(tbl_task7[[คะแนนเต็ม]:[คะแนนเต็ม]]),"",(tbl_task7[120]/tbl_task7[[คะแนนเต็ม]:[คะแนนเต็ม]])*tbl_task7[[%]:[%]])</f>
        <v/>
      </c>
      <c r="KE22" s="121" t="str">
        <f>IF(ISBLANK(tbl_task7[[คะแนนเต็ม]:[คะแนนเต็ม]]),"",(tbl_task7[121]/tbl_task7[[คะแนนเต็ม]:[คะแนนเต็ม]])*tbl_task7[[%]:[%]])</f>
        <v/>
      </c>
      <c r="KF22" s="121" t="str">
        <f>IF(ISBLANK(tbl_task7[[คะแนนเต็ม]:[คะแนนเต็ม]]),"",(tbl_task7[122]/tbl_task7[[คะแนนเต็ม]:[คะแนนเต็ม]])*tbl_task7[[%]:[%]])</f>
        <v/>
      </c>
      <c r="KG22" s="121" t="str">
        <f>IF(ISBLANK(tbl_task7[[คะแนนเต็ม]:[คะแนนเต็ม]]),"",(tbl_task7[123]/tbl_task7[[คะแนนเต็ม]:[คะแนนเต็ม]])*tbl_task7[[%]:[%]])</f>
        <v/>
      </c>
      <c r="KH22" s="121" t="str">
        <f>IF(ISBLANK(tbl_task7[[คะแนนเต็ม]:[คะแนนเต็ม]]),"",(tbl_task7[124]/tbl_task7[[คะแนนเต็ม]:[คะแนนเต็ม]])*tbl_task7[[%]:[%]])</f>
        <v/>
      </c>
      <c r="KI22" s="121" t="str">
        <f>IF(ISBLANK(tbl_task7[[คะแนนเต็ม]:[คะแนนเต็ม]]),"",(tbl_task7[125]/tbl_task7[[คะแนนเต็ม]:[คะแนนเต็ม]])*tbl_task7[[%]:[%]])</f>
        <v/>
      </c>
      <c r="KJ22" s="121" t="str">
        <f>IF(ISBLANK(tbl_task7[[คะแนนเต็ม]:[คะแนนเต็ม]]),"",(tbl_task7[126]/tbl_task7[[คะแนนเต็ม]:[คะแนนเต็ม]])*tbl_task7[[%]:[%]])</f>
        <v/>
      </c>
      <c r="KK22" s="121" t="str">
        <f>IF(ISBLANK(tbl_task7[[คะแนนเต็ม]:[คะแนนเต็ม]]),"",(tbl_task7[127]/tbl_task7[[คะแนนเต็ม]:[คะแนนเต็ม]])*tbl_task7[[%]:[%]])</f>
        <v/>
      </c>
      <c r="KL22" s="121" t="str">
        <f>IF(ISBLANK(tbl_task7[[คะแนนเต็ม]:[คะแนนเต็ม]]),"",(tbl_task7[128]/tbl_task7[[คะแนนเต็ม]:[คะแนนเต็ม]])*tbl_task7[[%]:[%]])</f>
        <v/>
      </c>
      <c r="KM22" s="121" t="str">
        <f>IF(ISBLANK(tbl_task7[[คะแนนเต็ม]:[คะแนนเต็ม]]),"",(tbl_task7[129]/tbl_task7[[คะแนนเต็ม]:[คะแนนเต็ม]])*tbl_task7[[%]:[%]])</f>
        <v/>
      </c>
      <c r="KN22" s="121" t="str">
        <f>IF(ISBLANK(tbl_task7[[คะแนนเต็ม]:[คะแนนเต็ม]]),"",(tbl_task7[130]/tbl_task7[[คะแนนเต็ม]:[คะแนนเต็ม]])*tbl_task7[[%]:[%]])</f>
        <v/>
      </c>
      <c r="KO22" s="121" t="str">
        <f>IF(ISBLANK(tbl_task7[[คะแนนเต็ม]:[คะแนนเต็ม]]),"",(tbl_task7[131]/tbl_task7[[คะแนนเต็ม]:[คะแนนเต็ม]])*tbl_task7[[%]:[%]])</f>
        <v/>
      </c>
      <c r="KP22" s="121" t="str">
        <f>IF(ISBLANK(tbl_task7[[คะแนนเต็ม]:[คะแนนเต็ม]]),"",(tbl_task7[132]/tbl_task7[[คะแนนเต็ม]:[คะแนนเต็ม]])*tbl_task7[[%]:[%]])</f>
        <v/>
      </c>
      <c r="KQ22" s="121" t="str">
        <f>IF(ISBLANK(tbl_task7[[คะแนนเต็ม]:[คะแนนเต็ม]]),"",(tbl_task7[133]/tbl_task7[[คะแนนเต็ม]:[คะแนนเต็ม]])*tbl_task7[[%]:[%]])</f>
        <v/>
      </c>
      <c r="KR22" s="121" t="str">
        <f>IF(ISBLANK(tbl_task7[[คะแนนเต็ม]:[คะแนนเต็ม]]),"",(tbl_task7[134]/tbl_task7[[คะแนนเต็ม]:[คะแนนเต็ม]])*tbl_task7[[%]:[%]])</f>
        <v/>
      </c>
      <c r="KS22" s="121" t="str">
        <f>IF(ISBLANK(tbl_task7[[คะแนนเต็ม]:[คะแนนเต็ม]]),"",(tbl_task7[135]/tbl_task7[[คะแนนเต็ม]:[คะแนนเต็ม]])*tbl_task7[[%]:[%]])</f>
        <v/>
      </c>
      <c r="KT22" s="121" t="str">
        <f>IF(ISBLANK(tbl_task7[[คะแนนเต็ม]:[คะแนนเต็ม]]),"",(tbl_task7[136]/tbl_task7[[คะแนนเต็ม]:[คะแนนเต็ม]])*tbl_task7[[%]:[%]])</f>
        <v/>
      </c>
      <c r="KU22" s="121" t="str">
        <f>IF(ISBLANK(tbl_task7[[คะแนนเต็ม]:[คะแนนเต็ม]]),"",(tbl_task7[137]/tbl_task7[[คะแนนเต็ม]:[คะแนนเต็ม]])*tbl_task7[[%]:[%]])</f>
        <v/>
      </c>
      <c r="KV22" s="121" t="str">
        <f>IF(ISBLANK(tbl_task7[[คะแนนเต็ม]:[คะแนนเต็ม]]),"",(tbl_task7[138]/tbl_task7[[คะแนนเต็ม]:[คะแนนเต็ม]])*tbl_task7[[%]:[%]])</f>
        <v/>
      </c>
      <c r="KW22" s="121" t="str">
        <f>IF(ISBLANK(tbl_task7[[คะแนนเต็ม]:[คะแนนเต็ม]]),"",(tbl_task7[139]/tbl_task7[[คะแนนเต็ม]:[คะแนนเต็ม]])*tbl_task7[[%]:[%]])</f>
        <v/>
      </c>
      <c r="KX22" s="121" t="str">
        <f>IF(ISBLANK(tbl_task7[[คะแนนเต็ม]:[คะแนนเต็ม]]),"",(tbl_task7[140]/tbl_task7[[คะแนนเต็ม]:[คะแนนเต็ม]])*tbl_task7[[%]:[%]])</f>
        <v/>
      </c>
      <c r="KY22" s="121" t="str">
        <f>IF(ISBLANK(tbl_task7[[คะแนนเต็ม]:[คะแนนเต็ม]]),"",(tbl_task7[141]/tbl_task7[[คะแนนเต็ม]:[คะแนนเต็ม]])*tbl_task7[[%]:[%]])</f>
        <v/>
      </c>
      <c r="KZ22" s="121" t="str">
        <f>IF(ISBLANK(tbl_task7[[คะแนนเต็ม]:[คะแนนเต็ม]]),"",(tbl_task7[142]/tbl_task7[[คะแนนเต็ม]:[คะแนนเต็ม]])*tbl_task7[[%]:[%]])</f>
        <v/>
      </c>
      <c r="LA22" s="121" t="str">
        <f>IF(ISBLANK(tbl_task7[[คะแนนเต็ม]:[คะแนนเต็ม]]),"",(tbl_task7[143]/tbl_task7[[คะแนนเต็ม]:[คะแนนเต็ม]])*tbl_task7[[%]:[%]])</f>
        <v/>
      </c>
      <c r="LB22" s="121" t="str">
        <f>IF(ISBLANK(tbl_task7[[คะแนนเต็ม]:[คะแนนเต็ม]]),"",(tbl_task7[144]/tbl_task7[[คะแนนเต็ม]:[คะแนนเต็ม]])*tbl_task7[[%]:[%]])</f>
        <v/>
      </c>
      <c r="LC22" s="121" t="str">
        <f>IF(ISBLANK(tbl_task7[[คะแนนเต็ม]:[คะแนนเต็ม]]),"",(tbl_task7[145]/tbl_task7[[คะแนนเต็ม]:[คะแนนเต็ม]])*tbl_task7[[%]:[%]])</f>
        <v/>
      </c>
      <c r="LD22" s="121" t="str">
        <f>IF(ISBLANK(tbl_task7[[คะแนนเต็ม]:[คะแนนเต็ม]]),"",(tbl_task7[146]/tbl_task7[[คะแนนเต็ม]:[คะแนนเต็ม]])*tbl_task7[[%]:[%]])</f>
        <v/>
      </c>
      <c r="LE22" s="121" t="str">
        <f>IF(ISBLANK(tbl_task7[[คะแนนเต็ม]:[คะแนนเต็ม]]),"",(tbl_task7[147]/tbl_task7[[คะแนนเต็ม]:[คะแนนเต็ม]])*tbl_task7[[%]:[%]])</f>
        <v/>
      </c>
      <c r="LF22" s="121" t="str">
        <f>IF(ISBLANK(tbl_task7[[คะแนนเต็ม]:[คะแนนเต็ม]]),"",(tbl_task7[148]/tbl_task7[[คะแนนเต็ม]:[คะแนนเต็ม]])*tbl_task7[[%]:[%]])</f>
        <v/>
      </c>
      <c r="LG22" s="121" t="str">
        <f>IF(ISBLANK(tbl_task7[[คะแนนเต็ม]:[คะแนนเต็ม]]),"",(tbl_task7[149]/tbl_task7[[คะแนนเต็ม]:[คะแนนเต็ม]])*tbl_task7[[%]:[%]])</f>
        <v/>
      </c>
      <c r="LH22" s="121" t="str">
        <f>IF(ISBLANK(tbl_task7[[คะแนนเต็ม]:[คะแนนเต็ม]]),"",(tbl_task7[150]/tbl_task7[[คะแนนเต็ม]:[คะแนนเต็ม]])*tbl_task7[[%]:[%]])</f>
        <v/>
      </c>
      <c r="LI22" s="121" t="str">
        <f>IF(ISBLANK(tbl_task7[[คะแนนเต็ม]:[คะแนนเต็ม]]),"",(tbl_task7[151]/tbl_task7[[คะแนนเต็ม]:[คะแนนเต็ม]])*tbl_task7[[%]:[%]])</f>
        <v/>
      </c>
      <c r="LJ22" s="121" t="str">
        <f>IF(ISBLANK(tbl_task7[[คะแนนเต็ม]:[คะแนนเต็ม]]),"",(tbl_task7[152]/tbl_task7[[คะแนนเต็ม]:[คะแนนเต็ม]])*tbl_task7[[%]:[%]])</f>
        <v/>
      </c>
      <c r="LK22" s="121" t="str">
        <f>IF(ISBLANK(tbl_task7[[คะแนนเต็ม]:[คะแนนเต็ม]]),"",(tbl_task7[153]/tbl_task7[[คะแนนเต็ม]:[คะแนนเต็ม]])*tbl_task7[[%]:[%]])</f>
        <v/>
      </c>
      <c r="LL22" s="121" t="str">
        <f>IF(ISBLANK(tbl_task7[[คะแนนเต็ม]:[คะแนนเต็ม]]),"",(tbl_task7[154]/tbl_task7[[คะแนนเต็ม]:[คะแนนเต็ม]])*tbl_task7[[%]:[%]])</f>
        <v/>
      </c>
      <c r="LM22" s="121" t="str">
        <f>IF(ISBLANK(tbl_task7[[คะแนนเต็ม]:[คะแนนเต็ม]]),"",(tbl_task7[155]/tbl_task7[[คะแนนเต็ม]:[คะแนนเต็ม]])*tbl_task7[[%]:[%]])</f>
        <v/>
      </c>
      <c r="LN22" s="121" t="str">
        <f>IF(ISBLANK(tbl_task7[[คะแนนเต็ม]:[คะแนนเต็ม]]),"",(tbl_task7[156]/tbl_task7[[คะแนนเต็ม]:[คะแนนเต็ม]])*tbl_task7[[%]:[%]])</f>
        <v/>
      </c>
      <c r="LO22" s="121" t="str">
        <f>IF(ISBLANK(tbl_task7[[คะแนนเต็ม]:[คะแนนเต็ม]]),"",(tbl_task7[157]/tbl_task7[[คะแนนเต็ม]:[คะแนนเต็ม]])*tbl_task7[[%]:[%]])</f>
        <v/>
      </c>
      <c r="LP22" s="121" t="str">
        <f>IF(ISBLANK(tbl_task7[[คะแนนเต็ม]:[คะแนนเต็ม]]),"",(tbl_task7[158]/tbl_task7[[คะแนนเต็ม]:[คะแนนเต็ม]])*tbl_task7[[%]:[%]])</f>
        <v/>
      </c>
      <c r="LQ22" s="121" t="str">
        <f>IF(ISBLANK(tbl_task7[[คะแนนเต็ม]:[คะแนนเต็ม]]),"",(tbl_task7[159]/tbl_task7[[คะแนนเต็ม]:[คะแนนเต็ม]])*tbl_task7[[%]:[%]])</f>
        <v/>
      </c>
      <c r="LR22" s="121" t="str">
        <f>IF(ISBLANK(tbl_task7[[คะแนนเต็ม]:[คะแนนเต็ม]]),"",(tbl_task7[160]/tbl_task7[[คะแนนเต็ม]:[คะแนนเต็ม]])*tbl_task7[[%]:[%]])</f>
        <v/>
      </c>
      <c r="LS22" s="121" t="str">
        <f>IF(ISBLANK(tbl_task7[[คะแนนเต็ม]:[คะแนนเต็ม]]),"",(tbl_task7[161]/tbl_task7[[คะแนนเต็ม]:[คะแนนเต็ม]])*tbl_task7[[%]:[%]])</f>
        <v/>
      </c>
      <c r="LT22" s="121" t="str">
        <f>IF(ISBLANK(tbl_task7[[คะแนนเต็ม]:[คะแนนเต็ม]]),"",(tbl_task7[162]/tbl_task7[[คะแนนเต็ม]:[คะแนนเต็ม]])*tbl_task7[[%]:[%]])</f>
        <v/>
      </c>
      <c r="LU22" s="121" t="str">
        <f>IF(ISBLANK(tbl_task7[[คะแนนเต็ม]:[คะแนนเต็ม]]),"",(tbl_task7[163]/tbl_task7[[คะแนนเต็ม]:[คะแนนเต็ม]])*tbl_task7[[%]:[%]])</f>
        <v/>
      </c>
      <c r="LV22" s="121" t="str">
        <f>IF(ISBLANK(tbl_task7[[คะแนนเต็ม]:[คะแนนเต็ม]]),"",(tbl_task7[164]/tbl_task7[[คะแนนเต็ม]:[คะแนนเต็ม]])*tbl_task7[[%]:[%]])</f>
        <v/>
      </c>
      <c r="LW22" s="121" t="str">
        <f>IF(ISBLANK(tbl_task7[[คะแนนเต็ม]:[คะแนนเต็ม]]),"",(tbl_task7[165]/tbl_task7[[คะแนนเต็ม]:[คะแนนเต็ม]])*tbl_task7[[%]:[%]])</f>
        <v/>
      </c>
    </row>
    <row r="23" spans="1:335" ht="24" customHeight="1" x14ac:dyDescent="0.25">
      <c r="A23" s="24">
        <v>20</v>
      </c>
      <c r="B23" s="25"/>
      <c r="C23" s="26" t="str">
        <f>IF(ISBLANK(B23),"",VLOOKUP(B23,tbl_PLOs[],2,0))</f>
        <v/>
      </c>
      <c r="D23" s="103"/>
      <c r="E23" s="10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21" t="str">
        <f>IF(ISBLANK(tbl_task7[[คะแนนเต็ม]:[คะแนนเต็ม]]),"",(tbl_task7[1]/tbl_task7[[คะแนนเต็ม]:[คะแนนเต็ม]])*tbl_task7[[%]:[%]])</f>
        <v/>
      </c>
      <c r="FP23" s="121" t="str">
        <f>IF(ISBLANK(tbl_task7[[คะแนนเต็ม]:[คะแนนเต็ม]]),"",(tbl_task7[2]/tbl_task7[[คะแนนเต็ม]:[คะแนนเต็ม]])*tbl_task7[[%]:[%]])</f>
        <v/>
      </c>
      <c r="FQ23" s="121" t="str">
        <f>IF(ISBLANK(tbl_task7[[คะแนนเต็ม]:[คะแนนเต็ม]]),"",(tbl_task7[3]/tbl_task7[[คะแนนเต็ม]:[คะแนนเต็ม]])*tbl_task7[[%]:[%]])</f>
        <v/>
      </c>
      <c r="FR23" s="121" t="str">
        <f>IF(ISBLANK(tbl_task7[[คะแนนเต็ม]:[คะแนนเต็ม]]),"",(tbl_task7[4]/tbl_task7[[คะแนนเต็ม]:[คะแนนเต็ม]])*tbl_task7[[%]:[%]])</f>
        <v/>
      </c>
      <c r="FS23" s="121" t="str">
        <f>IF(ISBLANK(tbl_task7[[คะแนนเต็ม]:[คะแนนเต็ม]]),"",(tbl_task7[5]/tbl_task7[[คะแนนเต็ม]:[คะแนนเต็ม]])*tbl_task7[[%]:[%]])</f>
        <v/>
      </c>
      <c r="FT23" s="121" t="str">
        <f>IF(ISBLANK(tbl_task7[[คะแนนเต็ม]:[คะแนนเต็ม]]),"",(tbl_task7[6]/tbl_task7[[คะแนนเต็ม]:[คะแนนเต็ม]])*tbl_task7[[%]:[%]])</f>
        <v/>
      </c>
      <c r="FU23" s="121" t="str">
        <f>IF(ISBLANK(tbl_task7[[คะแนนเต็ม]:[คะแนนเต็ม]]),"",(tbl_task7[7]/tbl_task7[[คะแนนเต็ม]:[คะแนนเต็ม]])*tbl_task7[[%]:[%]])</f>
        <v/>
      </c>
      <c r="FV23" s="121" t="str">
        <f>IF(ISBLANK(tbl_task7[[คะแนนเต็ม]:[คะแนนเต็ม]]),"",(tbl_task7[8]/tbl_task7[[คะแนนเต็ม]:[คะแนนเต็ม]])*tbl_task7[[%]:[%]])</f>
        <v/>
      </c>
      <c r="FW23" s="121" t="str">
        <f>IF(ISBLANK(tbl_task7[[คะแนนเต็ม]:[คะแนนเต็ม]]),"",(tbl_task7[9]/tbl_task7[[คะแนนเต็ม]:[คะแนนเต็ม]])*tbl_task7[[%]:[%]])</f>
        <v/>
      </c>
      <c r="FX23" s="121" t="str">
        <f>IF(ISBLANK(tbl_task7[[คะแนนเต็ม]:[คะแนนเต็ม]]),"",(tbl_task7[10]/tbl_task7[[คะแนนเต็ม]:[คะแนนเต็ม]])*tbl_task7[[%]:[%]])</f>
        <v/>
      </c>
      <c r="FY23" s="121" t="str">
        <f>IF(ISBLANK(tbl_task7[[คะแนนเต็ม]:[คะแนนเต็ม]]),"",(tbl_task7[11]/tbl_task7[[คะแนนเต็ม]:[คะแนนเต็ม]])*tbl_task7[[%]:[%]])</f>
        <v/>
      </c>
      <c r="FZ23" s="121" t="str">
        <f>IF(ISBLANK(tbl_task7[[คะแนนเต็ม]:[คะแนนเต็ม]]),"",(tbl_task7[12]/tbl_task7[[คะแนนเต็ม]:[คะแนนเต็ม]])*tbl_task7[[%]:[%]])</f>
        <v/>
      </c>
      <c r="GA23" s="121" t="str">
        <f>IF(ISBLANK(tbl_task7[[คะแนนเต็ม]:[คะแนนเต็ม]]),"",(tbl_task7[13]/tbl_task7[[คะแนนเต็ม]:[คะแนนเต็ม]])*tbl_task7[[%]:[%]])</f>
        <v/>
      </c>
      <c r="GB23" s="121" t="str">
        <f>IF(ISBLANK(tbl_task7[[คะแนนเต็ม]:[คะแนนเต็ม]]),"",(tbl_task7[14]/tbl_task7[[คะแนนเต็ม]:[คะแนนเต็ม]])*tbl_task7[[%]:[%]])</f>
        <v/>
      </c>
      <c r="GC23" s="121" t="str">
        <f>IF(ISBLANK(tbl_task7[[คะแนนเต็ม]:[คะแนนเต็ม]]),"",(tbl_task7[15]/tbl_task7[[คะแนนเต็ม]:[คะแนนเต็ม]])*tbl_task7[[%]:[%]])</f>
        <v/>
      </c>
      <c r="GD23" s="121" t="str">
        <f>IF(ISBLANK(tbl_task7[[คะแนนเต็ม]:[คะแนนเต็ม]]),"",(tbl_task7[16]/tbl_task7[[คะแนนเต็ม]:[คะแนนเต็ม]])*tbl_task7[[%]:[%]])</f>
        <v/>
      </c>
      <c r="GE23" s="121" t="str">
        <f>IF(ISBLANK(tbl_task7[[คะแนนเต็ม]:[คะแนนเต็ม]]),"",(tbl_task7[17]/tbl_task7[[คะแนนเต็ม]:[คะแนนเต็ม]])*tbl_task7[[%]:[%]])</f>
        <v/>
      </c>
      <c r="GF23" s="121" t="str">
        <f>IF(ISBLANK(tbl_task7[[คะแนนเต็ม]:[คะแนนเต็ม]]),"",(tbl_task7[18]/tbl_task7[[คะแนนเต็ม]:[คะแนนเต็ม]])*tbl_task7[[%]:[%]])</f>
        <v/>
      </c>
      <c r="GG23" s="121" t="str">
        <f>IF(ISBLANK(tbl_task7[[คะแนนเต็ม]:[คะแนนเต็ม]]),"",(tbl_task7[19]/tbl_task7[[คะแนนเต็ม]:[คะแนนเต็ม]])*tbl_task7[[%]:[%]])</f>
        <v/>
      </c>
      <c r="GH23" s="121" t="str">
        <f>IF(ISBLANK(tbl_task7[[คะแนนเต็ม]:[คะแนนเต็ม]]),"",(tbl_task7[20]/tbl_task7[[คะแนนเต็ม]:[คะแนนเต็ม]])*tbl_task7[[%]:[%]])</f>
        <v/>
      </c>
      <c r="GI23" s="121" t="str">
        <f>IF(ISBLANK(tbl_task7[[คะแนนเต็ม]:[คะแนนเต็ม]]),"",(tbl_task7[21]/tbl_task7[[คะแนนเต็ม]:[คะแนนเต็ม]])*tbl_task7[[%]:[%]])</f>
        <v/>
      </c>
      <c r="GJ23" s="121" t="str">
        <f>IF(ISBLANK(tbl_task7[[คะแนนเต็ม]:[คะแนนเต็ม]]),"",(tbl_task7[22]/tbl_task7[[คะแนนเต็ม]:[คะแนนเต็ม]])*tbl_task7[[%]:[%]])</f>
        <v/>
      </c>
      <c r="GK23" s="121" t="str">
        <f>IF(ISBLANK(tbl_task7[[คะแนนเต็ม]:[คะแนนเต็ม]]),"",(tbl_task7[23]/tbl_task7[[คะแนนเต็ม]:[คะแนนเต็ม]])*tbl_task7[[%]:[%]])</f>
        <v/>
      </c>
      <c r="GL23" s="121" t="str">
        <f>IF(ISBLANK(tbl_task7[[คะแนนเต็ม]:[คะแนนเต็ม]]),"",(tbl_task7[24]/tbl_task7[[คะแนนเต็ม]:[คะแนนเต็ม]])*tbl_task7[[%]:[%]])</f>
        <v/>
      </c>
      <c r="GM23" s="121" t="str">
        <f>IF(ISBLANK(tbl_task7[[คะแนนเต็ม]:[คะแนนเต็ม]]),"",(tbl_task7[25]/tbl_task7[[คะแนนเต็ม]:[คะแนนเต็ม]])*tbl_task7[[%]:[%]])</f>
        <v/>
      </c>
      <c r="GN23" s="121" t="str">
        <f>IF(ISBLANK(tbl_task7[[คะแนนเต็ม]:[คะแนนเต็ม]]),"",(tbl_task7[26]/tbl_task7[[คะแนนเต็ม]:[คะแนนเต็ม]])*tbl_task7[[%]:[%]])</f>
        <v/>
      </c>
      <c r="GO23" s="121" t="str">
        <f>IF(ISBLANK(tbl_task7[[คะแนนเต็ม]:[คะแนนเต็ม]]),"",(tbl_task7[27]/tbl_task7[[คะแนนเต็ม]:[คะแนนเต็ม]])*tbl_task7[[%]:[%]])</f>
        <v/>
      </c>
      <c r="GP23" s="121" t="str">
        <f>IF(ISBLANK(tbl_task7[[คะแนนเต็ม]:[คะแนนเต็ม]]),"",(tbl_task7[28]/tbl_task7[[คะแนนเต็ม]:[คะแนนเต็ม]])*tbl_task7[[%]:[%]])</f>
        <v/>
      </c>
      <c r="GQ23" s="121" t="str">
        <f>IF(ISBLANK(tbl_task7[[คะแนนเต็ม]:[คะแนนเต็ม]]),"",(tbl_task7[29]/tbl_task7[[คะแนนเต็ม]:[คะแนนเต็ม]])*tbl_task7[[%]:[%]])</f>
        <v/>
      </c>
      <c r="GR23" s="121" t="str">
        <f>IF(ISBLANK(tbl_task7[[คะแนนเต็ม]:[คะแนนเต็ม]]),"",(tbl_task7[30]/tbl_task7[[คะแนนเต็ม]:[คะแนนเต็ม]])*tbl_task7[[%]:[%]])</f>
        <v/>
      </c>
      <c r="GS23" s="121" t="str">
        <f>IF(ISBLANK(tbl_task7[[คะแนนเต็ม]:[คะแนนเต็ม]]),"",(tbl_task7[31]/tbl_task7[[คะแนนเต็ม]:[คะแนนเต็ม]])*tbl_task7[[%]:[%]])</f>
        <v/>
      </c>
      <c r="GT23" s="121" t="str">
        <f>IF(ISBLANK(tbl_task7[[คะแนนเต็ม]:[คะแนนเต็ม]]),"",(tbl_task7[32]/tbl_task7[[คะแนนเต็ม]:[คะแนนเต็ม]])*tbl_task7[[%]:[%]])</f>
        <v/>
      </c>
      <c r="GU23" s="121" t="str">
        <f>IF(ISBLANK(tbl_task7[[คะแนนเต็ม]:[คะแนนเต็ม]]),"",(tbl_task7[33]/tbl_task7[[คะแนนเต็ม]:[คะแนนเต็ม]])*tbl_task7[[%]:[%]])</f>
        <v/>
      </c>
      <c r="GV23" s="121" t="str">
        <f>IF(ISBLANK(tbl_task7[[คะแนนเต็ม]:[คะแนนเต็ม]]),"",(tbl_task7[34]/tbl_task7[[คะแนนเต็ม]:[คะแนนเต็ม]])*tbl_task7[[%]:[%]])</f>
        <v/>
      </c>
      <c r="GW23" s="121" t="str">
        <f>IF(ISBLANK(tbl_task7[[คะแนนเต็ม]:[คะแนนเต็ม]]),"",(tbl_task7[35]/tbl_task7[[คะแนนเต็ม]:[คะแนนเต็ม]])*tbl_task7[[%]:[%]])</f>
        <v/>
      </c>
      <c r="GX23" s="121" t="str">
        <f>IF(ISBLANK(tbl_task7[[คะแนนเต็ม]:[คะแนนเต็ม]]),"",(tbl_task7[36]/tbl_task7[[คะแนนเต็ม]:[คะแนนเต็ม]])*tbl_task7[[%]:[%]])</f>
        <v/>
      </c>
      <c r="GY23" s="121" t="str">
        <f>IF(ISBLANK(tbl_task7[[คะแนนเต็ม]:[คะแนนเต็ม]]),"",(tbl_task7[37]/tbl_task7[[คะแนนเต็ม]:[คะแนนเต็ม]])*tbl_task7[[%]:[%]])</f>
        <v/>
      </c>
      <c r="GZ23" s="121" t="str">
        <f>IF(ISBLANK(tbl_task7[[คะแนนเต็ม]:[คะแนนเต็ม]]),"",(tbl_task7[38]/tbl_task7[[คะแนนเต็ม]:[คะแนนเต็ม]])*tbl_task7[[%]:[%]])</f>
        <v/>
      </c>
      <c r="HA23" s="121" t="str">
        <f>IF(ISBLANK(tbl_task7[[คะแนนเต็ม]:[คะแนนเต็ม]]),"",(tbl_task7[39]/tbl_task7[[คะแนนเต็ม]:[คะแนนเต็ม]])*tbl_task7[[%]:[%]])</f>
        <v/>
      </c>
      <c r="HB23" s="121" t="str">
        <f>IF(ISBLANK(tbl_task7[[คะแนนเต็ม]:[คะแนนเต็ม]]),"",(tbl_task7[40]/tbl_task7[[คะแนนเต็ม]:[คะแนนเต็ม]])*tbl_task7[[%]:[%]])</f>
        <v/>
      </c>
      <c r="HC23" s="121" t="str">
        <f>IF(ISBLANK(tbl_task7[[คะแนนเต็ม]:[คะแนนเต็ม]]),"",(tbl_task7[41]/tbl_task7[[คะแนนเต็ม]:[คะแนนเต็ม]])*tbl_task7[[%]:[%]])</f>
        <v/>
      </c>
      <c r="HD23" s="121" t="str">
        <f>IF(ISBLANK(tbl_task7[[คะแนนเต็ม]:[คะแนนเต็ม]]),"",(tbl_task7[42]/tbl_task7[[คะแนนเต็ม]:[คะแนนเต็ม]])*tbl_task7[[%]:[%]])</f>
        <v/>
      </c>
      <c r="HE23" s="121" t="str">
        <f>IF(ISBLANK(tbl_task7[[คะแนนเต็ม]:[คะแนนเต็ม]]),"",(tbl_task7[43]/tbl_task7[[คะแนนเต็ม]:[คะแนนเต็ม]])*tbl_task7[[%]:[%]])</f>
        <v/>
      </c>
      <c r="HF23" s="121" t="str">
        <f>IF(ISBLANK(tbl_task7[[คะแนนเต็ม]:[คะแนนเต็ม]]),"",(tbl_task7[44]/tbl_task7[[คะแนนเต็ม]:[คะแนนเต็ม]])*tbl_task7[[%]:[%]])</f>
        <v/>
      </c>
      <c r="HG23" s="121" t="str">
        <f>IF(ISBLANK(tbl_task7[[คะแนนเต็ม]:[คะแนนเต็ม]]),"",(tbl_task7[45]/tbl_task7[[คะแนนเต็ม]:[คะแนนเต็ม]])*tbl_task7[[%]:[%]])</f>
        <v/>
      </c>
      <c r="HH23" s="121" t="str">
        <f>IF(ISBLANK(tbl_task7[[คะแนนเต็ม]:[คะแนนเต็ม]]),"",(tbl_task7[46]/tbl_task7[[คะแนนเต็ม]:[คะแนนเต็ม]])*tbl_task7[[%]:[%]])</f>
        <v/>
      </c>
      <c r="HI23" s="121" t="str">
        <f>IF(ISBLANK(tbl_task7[[คะแนนเต็ม]:[คะแนนเต็ม]]),"",(tbl_task7[47]/tbl_task7[[คะแนนเต็ม]:[คะแนนเต็ม]])*tbl_task7[[%]:[%]])</f>
        <v/>
      </c>
      <c r="HJ23" s="121" t="str">
        <f>IF(ISBLANK(tbl_task7[[คะแนนเต็ม]:[คะแนนเต็ม]]),"",(tbl_task7[48]/tbl_task7[[คะแนนเต็ม]:[คะแนนเต็ม]])*tbl_task7[[%]:[%]])</f>
        <v/>
      </c>
      <c r="HK23" s="121" t="str">
        <f>IF(ISBLANK(tbl_task7[[คะแนนเต็ม]:[คะแนนเต็ม]]),"",(tbl_task7[49]/tbl_task7[[คะแนนเต็ม]:[คะแนนเต็ม]])*tbl_task7[[%]:[%]])</f>
        <v/>
      </c>
      <c r="HL23" s="121" t="str">
        <f>IF(ISBLANK(tbl_task7[[คะแนนเต็ม]:[คะแนนเต็ม]]),"",(tbl_task7[50]/tbl_task7[[คะแนนเต็ม]:[คะแนนเต็ม]])*tbl_task7[[%]:[%]])</f>
        <v/>
      </c>
      <c r="HM23" s="121" t="str">
        <f>IF(ISBLANK(tbl_task7[[คะแนนเต็ม]:[คะแนนเต็ม]]),"",(tbl_task7[51]/tbl_task7[[คะแนนเต็ม]:[คะแนนเต็ม]])*tbl_task7[[%]:[%]])</f>
        <v/>
      </c>
      <c r="HN23" s="121" t="str">
        <f>IF(ISBLANK(tbl_task7[[คะแนนเต็ม]:[คะแนนเต็ม]]),"",(tbl_task7[52]/tbl_task7[[คะแนนเต็ม]:[คะแนนเต็ม]])*tbl_task7[[%]:[%]])</f>
        <v/>
      </c>
      <c r="HO23" s="121" t="str">
        <f>IF(ISBLANK(tbl_task7[[คะแนนเต็ม]:[คะแนนเต็ม]]),"",(tbl_task7[53]/tbl_task7[[คะแนนเต็ม]:[คะแนนเต็ม]])*tbl_task7[[%]:[%]])</f>
        <v/>
      </c>
      <c r="HP23" s="121" t="str">
        <f>IF(ISBLANK(tbl_task7[[คะแนนเต็ม]:[คะแนนเต็ม]]),"",(tbl_task7[54]/tbl_task7[[คะแนนเต็ม]:[คะแนนเต็ม]])*tbl_task7[[%]:[%]])</f>
        <v/>
      </c>
      <c r="HQ23" s="121" t="str">
        <f>IF(ISBLANK(tbl_task7[[คะแนนเต็ม]:[คะแนนเต็ม]]),"",(tbl_task7[55]/tbl_task7[[คะแนนเต็ม]:[คะแนนเต็ม]])*tbl_task7[[%]:[%]])</f>
        <v/>
      </c>
      <c r="HR23" s="121" t="str">
        <f>IF(ISBLANK(tbl_task7[[คะแนนเต็ม]:[คะแนนเต็ม]]),"",(tbl_task7[56]/tbl_task7[[คะแนนเต็ม]:[คะแนนเต็ม]])*tbl_task7[[%]:[%]])</f>
        <v/>
      </c>
      <c r="HS23" s="121" t="str">
        <f>IF(ISBLANK(tbl_task7[[คะแนนเต็ม]:[คะแนนเต็ม]]),"",(tbl_task7[57]/tbl_task7[[คะแนนเต็ม]:[คะแนนเต็ม]])*tbl_task7[[%]:[%]])</f>
        <v/>
      </c>
      <c r="HT23" s="121" t="str">
        <f>IF(ISBLANK(tbl_task7[[คะแนนเต็ม]:[คะแนนเต็ม]]),"",(tbl_task7[58]/tbl_task7[[คะแนนเต็ม]:[คะแนนเต็ม]])*tbl_task7[[%]:[%]])</f>
        <v/>
      </c>
      <c r="HU23" s="121" t="str">
        <f>IF(ISBLANK(tbl_task7[[คะแนนเต็ม]:[คะแนนเต็ม]]),"",(tbl_task7[59]/tbl_task7[[คะแนนเต็ม]:[คะแนนเต็ม]])*tbl_task7[[%]:[%]])</f>
        <v/>
      </c>
      <c r="HV23" s="121" t="str">
        <f>IF(ISBLANK(tbl_task7[[คะแนนเต็ม]:[คะแนนเต็ม]]),"",(tbl_task7[60]/tbl_task7[[คะแนนเต็ม]:[คะแนนเต็ม]])*tbl_task7[[%]:[%]])</f>
        <v/>
      </c>
      <c r="HW23" s="121" t="str">
        <f>IF(ISBLANK(tbl_task7[[คะแนนเต็ม]:[คะแนนเต็ม]]),"",(tbl_task7[61]/tbl_task7[[คะแนนเต็ม]:[คะแนนเต็ม]])*tbl_task7[[%]:[%]])</f>
        <v/>
      </c>
      <c r="HX23" s="121" t="str">
        <f>IF(ISBLANK(tbl_task7[[คะแนนเต็ม]:[คะแนนเต็ม]]),"",(tbl_task7[62]/tbl_task7[[คะแนนเต็ม]:[คะแนนเต็ม]])*tbl_task7[[%]:[%]])</f>
        <v/>
      </c>
      <c r="HY23" s="121" t="str">
        <f>IF(ISBLANK(tbl_task7[[คะแนนเต็ม]:[คะแนนเต็ม]]),"",(tbl_task7[63]/tbl_task7[[คะแนนเต็ม]:[คะแนนเต็ม]])*tbl_task7[[%]:[%]])</f>
        <v/>
      </c>
      <c r="HZ23" s="121" t="str">
        <f>IF(ISBLANK(tbl_task7[[คะแนนเต็ม]:[คะแนนเต็ม]]),"",(tbl_task7[64]/tbl_task7[[คะแนนเต็ม]:[คะแนนเต็ม]])*tbl_task7[[%]:[%]])</f>
        <v/>
      </c>
      <c r="IA23" s="121" t="str">
        <f>IF(ISBLANK(tbl_task7[[คะแนนเต็ม]:[คะแนนเต็ม]]),"",(tbl_task7[65]/tbl_task7[[คะแนนเต็ม]:[คะแนนเต็ม]])*tbl_task7[[%]:[%]])</f>
        <v/>
      </c>
      <c r="IB23" s="121" t="str">
        <f>IF(ISBLANK(tbl_task7[[คะแนนเต็ม]:[คะแนนเต็ม]]),"",(tbl_task7[66]/tbl_task7[[คะแนนเต็ม]:[คะแนนเต็ม]])*tbl_task7[[%]:[%]])</f>
        <v/>
      </c>
      <c r="IC23" s="121" t="str">
        <f>IF(ISBLANK(tbl_task7[[คะแนนเต็ม]:[คะแนนเต็ม]]),"",(tbl_task7[67]/tbl_task7[[คะแนนเต็ม]:[คะแนนเต็ม]])*tbl_task7[[%]:[%]])</f>
        <v/>
      </c>
      <c r="ID23" s="121" t="str">
        <f>IF(ISBLANK(tbl_task7[[คะแนนเต็ม]:[คะแนนเต็ม]]),"",(tbl_task7[68]/tbl_task7[[คะแนนเต็ม]:[คะแนนเต็ม]])*tbl_task7[[%]:[%]])</f>
        <v/>
      </c>
      <c r="IE23" s="121" t="str">
        <f>IF(ISBLANK(tbl_task7[[คะแนนเต็ม]:[คะแนนเต็ม]]),"",(tbl_task7[69]/tbl_task7[[คะแนนเต็ม]:[คะแนนเต็ม]])*tbl_task7[[%]:[%]])</f>
        <v/>
      </c>
      <c r="IF23" s="121" t="str">
        <f>IF(ISBLANK(tbl_task7[[คะแนนเต็ม]:[คะแนนเต็ม]]),"",(tbl_task7[70]/tbl_task7[[คะแนนเต็ม]:[คะแนนเต็ม]])*tbl_task7[[%]:[%]])</f>
        <v/>
      </c>
      <c r="IG23" s="121" t="str">
        <f>IF(ISBLANK(tbl_task7[[คะแนนเต็ม]:[คะแนนเต็ม]]),"",(tbl_task7[71]/tbl_task7[[คะแนนเต็ม]:[คะแนนเต็ม]])*tbl_task7[[%]:[%]])</f>
        <v/>
      </c>
      <c r="IH23" s="121" t="str">
        <f>IF(ISBLANK(tbl_task7[[คะแนนเต็ม]:[คะแนนเต็ม]]),"",(tbl_task7[72]/tbl_task7[[คะแนนเต็ม]:[คะแนนเต็ม]])*tbl_task7[[%]:[%]])</f>
        <v/>
      </c>
      <c r="II23" s="121" t="str">
        <f>IF(ISBLANK(tbl_task7[[คะแนนเต็ม]:[คะแนนเต็ม]]),"",(tbl_task7[73]/tbl_task7[[คะแนนเต็ม]:[คะแนนเต็ม]])*tbl_task7[[%]:[%]])</f>
        <v/>
      </c>
      <c r="IJ23" s="121" t="str">
        <f>IF(ISBLANK(tbl_task7[[คะแนนเต็ม]:[คะแนนเต็ม]]),"",(tbl_task7[74]/tbl_task7[[คะแนนเต็ม]:[คะแนนเต็ม]])*tbl_task7[[%]:[%]])</f>
        <v/>
      </c>
      <c r="IK23" s="121" t="str">
        <f>IF(ISBLANK(tbl_task7[[คะแนนเต็ม]:[คะแนนเต็ม]]),"",(tbl_task7[75]/tbl_task7[[คะแนนเต็ม]:[คะแนนเต็ม]])*tbl_task7[[%]:[%]])</f>
        <v/>
      </c>
      <c r="IL23" s="121" t="str">
        <f>IF(ISBLANK(tbl_task7[[คะแนนเต็ม]:[คะแนนเต็ม]]),"",(tbl_task7[76]/tbl_task7[[คะแนนเต็ม]:[คะแนนเต็ม]])*tbl_task7[[%]:[%]])</f>
        <v/>
      </c>
      <c r="IM23" s="121" t="str">
        <f>IF(ISBLANK(tbl_task7[[คะแนนเต็ม]:[คะแนนเต็ม]]),"",(tbl_task7[77]/tbl_task7[[คะแนนเต็ม]:[คะแนนเต็ม]])*tbl_task7[[%]:[%]])</f>
        <v/>
      </c>
      <c r="IN23" s="121" t="str">
        <f>IF(ISBLANK(tbl_task7[[คะแนนเต็ม]:[คะแนนเต็ม]]),"",(tbl_task7[78]/tbl_task7[[คะแนนเต็ม]:[คะแนนเต็ม]])*tbl_task7[[%]:[%]])</f>
        <v/>
      </c>
      <c r="IO23" s="121" t="str">
        <f>IF(ISBLANK(tbl_task7[[คะแนนเต็ม]:[คะแนนเต็ม]]),"",(tbl_task7[79]/tbl_task7[[คะแนนเต็ม]:[คะแนนเต็ม]])*tbl_task7[[%]:[%]])</f>
        <v/>
      </c>
      <c r="IP23" s="121" t="str">
        <f>IF(ISBLANK(tbl_task7[[คะแนนเต็ม]:[คะแนนเต็ม]]),"",(tbl_task7[80]/tbl_task7[[คะแนนเต็ม]:[คะแนนเต็ม]])*tbl_task7[[%]:[%]])</f>
        <v/>
      </c>
      <c r="IQ23" s="121" t="str">
        <f>IF(ISBLANK(tbl_task7[[คะแนนเต็ม]:[คะแนนเต็ม]]),"",(tbl_task7[81]/tbl_task7[[คะแนนเต็ม]:[คะแนนเต็ม]])*tbl_task7[[%]:[%]])</f>
        <v/>
      </c>
      <c r="IR23" s="121" t="str">
        <f>IF(ISBLANK(tbl_task7[[คะแนนเต็ม]:[คะแนนเต็ม]]),"",(tbl_task7[82]/tbl_task7[[คะแนนเต็ม]:[คะแนนเต็ม]])*tbl_task7[[%]:[%]])</f>
        <v/>
      </c>
      <c r="IS23" s="121" t="str">
        <f>IF(ISBLANK(tbl_task7[[คะแนนเต็ม]:[คะแนนเต็ม]]),"",(tbl_task7[83]/tbl_task7[[คะแนนเต็ม]:[คะแนนเต็ม]])*tbl_task7[[%]:[%]])</f>
        <v/>
      </c>
      <c r="IT23" s="121" t="str">
        <f>IF(ISBLANK(tbl_task7[[คะแนนเต็ม]:[คะแนนเต็ม]]),"",(tbl_task7[84]/tbl_task7[[คะแนนเต็ม]:[คะแนนเต็ม]])*tbl_task7[[%]:[%]])</f>
        <v/>
      </c>
      <c r="IU23" s="121" t="str">
        <f>IF(ISBLANK(tbl_task7[[คะแนนเต็ม]:[คะแนนเต็ม]]),"",(tbl_task7[85]/tbl_task7[[คะแนนเต็ม]:[คะแนนเต็ม]])*tbl_task7[[%]:[%]])</f>
        <v/>
      </c>
      <c r="IV23" s="121" t="str">
        <f>IF(ISBLANK(tbl_task7[[คะแนนเต็ม]:[คะแนนเต็ม]]),"",(tbl_task7[86]/tbl_task7[[คะแนนเต็ม]:[คะแนนเต็ม]])*tbl_task7[[%]:[%]])</f>
        <v/>
      </c>
      <c r="IW23" s="121" t="str">
        <f>IF(ISBLANK(tbl_task7[[คะแนนเต็ม]:[คะแนนเต็ม]]),"",(tbl_task7[87]/tbl_task7[[คะแนนเต็ม]:[คะแนนเต็ม]])*tbl_task7[[%]:[%]])</f>
        <v/>
      </c>
      <c r="IX23" s="121" t="str">
        <f>IF(ISBLANK(tbl_task7[[คะแนนเต็ม]:[คะแนนเต็ม]]),"",(tbl_task7[88]/tbl_task7[[คะแนนเต็ม]:[คะแนนเต็ม]])*tbl_task7[[%]:[%]])</f>
        <v/>
      </c>
      <c r="IY23" s="121" t="str">
        <f>IF(ISBLANK(tbl_task7[[คะแนนเต็ม]:[คะแนนเต็ม]]),"",(tbl_task7[89]/tbl_task7[[คะแนนเต็ม]:[คะแนนเต็ม]])*tbl_task7[[%]:[%]])</f>
        <v/>
      </c>
      <c r="IZ23" s="121" t="str">
        <f>IF(ISBLANK(tbl_task7[[คะแนนเต็ม]:[คะแนนเต็ม]]),"",(tbl_task7[90]/tbl_task7[[คะแนนเต็ม]:[คะแนนเต็ม]])*tbl_task7[[%]:[%]])</f>
        <v/>
      </c>
      <c r="JA23" s="121" t="str">
        <f>IF(ISBLANK(tbl_task7[[คะแนนเต็ม]:[คะแนนเต็ม]]),"",(tbl_task7[91]/tbl_task7[[คะแนนเต็ม]:[คะแนนเต็ม]])*tbl_task7[[%]:[%]])</f>
        <v/>
      </c>
      <c r="JB23" s="121" t="str">
        <f>IF(ISBLANK(tbl_task7[[คะแนนเต็ม]:[คะแนนเต็ม]]),"",(tbl_task7[92]/tbl_task7[[คะแนนเต็ม]:[คะแนนเต็ม]])*tbl_task7[[%]:[%]])</f>
        <v/>
      </c>
      <c r="JC23" s="121" t="str">
        <f>IF(ISBLANK(tbl_task7[[คะแนนเต็ม]:[คะแนนเต็ม]]),"",(tbl_task7[93]/tbl_task7[[คะแนนเต็ม]:[คะแนนเต็ม]])*tbl_task7[[%]:[%]])</f>
        <v/>
      </c>
      <c r="JD23" s="121" t="str">
        <f>IF(ISBLANK(tbl_task7[[คะแนนเต็ม]:[คะแนนเต็ม]]),"",(tbl_task7[94]/tbl_task7[[คะแนนเต็ม]:[คะแนนเต็ม]])*tbl_task7[[%]:[%]])</f>
        <v/>
      </c>
      <c r="JE23" s="121" t="str">
        <f>IF(ISBLANK(tbl_task7[[คะแนนเต็ม]:[คะแนนเต็ม]]),"",(tbl_task7[95]/tbl_task7[[คะแนนเต็ม]:[คะแนนเต็ม]])*tbl_task7[[%]:[%]])</f>
        <v/>
      </c>
      <c r="JF23" s="121" t="str">
        <f>IF(ISBLANK(tbl_task7[[คะแนนเต็ม]:[คะแนนเต็ม]]),"",(tbl_task7[96]/tbl_task7[[คะแนนเต็ม]:[คะแนนเต็ม]])*tbl_task7[[%]:[%]])</f>
        <v/>
      </c>
      <c r="JG23" s="121" t="str">
        <f>IF(ISBLANK(tbl_task7[[คะแนนเต็ม]:[คะแนนเต็ม]]),"",(tbl_task7[97]/tbl_task7[[คะแนนเต็ม]:[คะแนนเต็ม]])*tbl_task7[[%]:[%]])</f>
        <v/>
      </c>
      <c r="JH23" s="121" t="str">
        <f>IF(ISBLANK(tbl_task7[[คะแนนเต็ม]:[คะแนนเต็ม]]),"",(tbl_task7[98]/tbl_task7[[คะแนนเต็ม]:[คะแนนเต็ม]])*tbl_task7[[%]:[%]])</f>
        <v/>
      </c>
      <c r="JI23" s="121" t="str">
        <f>IF(ISBLANK(tbl_task7[[คะแนนเต็ม]:[คะแนนเต็ม]]),"",(tbl_task7[99]/tbl_task7[[คะแนนเต็ม]:[คะแนนเต็ม]])*tbl_task7[[%]:[%]])</f>
        <v/>
      </c>
      <c r="JJ23" s="121" t="str">
        <f>IF(ISBLANK(tbl_task7[[คะแนนเต็ม]:[คะแนนเต็ม]]),"",(tbl_task7[100]/tbl_task7[[คะแนนเต็ม]:[คะแนนเต็ม]])*tbl_task7[[%]:[%]])</f>
        <v/>
      </c>
      <c r="JK23" s="121" t="str">
        <f>IF(ISBLANK(tbl_task7[[คะแนนเต็ม]:[คะแนนเต็ม]]),"",(tbl_task7[101]/tbl_task7[[คะแนนเต็ม]:[คะแนนเต็ม]])*tbl_task7[[%]:[%]])</f>
        <v/>
      </c>
      <c r="JL23" s="121" t="str">
        <f>IF(ISBLANK(tbl_task7[[คะแนนเต็ม]:[คะแนนเต็ม]]),"",(tbl_task7[102]/tbl_task7[[คะแนนเต็ม]:[คะแนนเต็ม]])*tbl_task7[[%]:[%]])</f>
        <v/>
      </c>
      <c r="JM23" s="121" t="str">
        <f>IF(ISBLANK(tbl_task7[[คะแนนเต็ม]:[คะแนนเต็ม]]),"",(tbl_task7[103]/tbl_task7[[คะแนนเต็ม]:[คะแนนเต็ม]])*tbl_task7[[%]:[%]])</f>
        <v/>
      </c>
      <c r="JN23" s="121" t="str">
        <f>IF(ISBLANK(tbl_task7[[คะแนนเต็ม]:[คะแนนเต็ม]]),"",(tbl_task7[104]/tbl_task7[[คะแนนเต็ม]:[คะแนนเต็ม]])*tbl_task7[[%]:[%]])</f>
        <v/>
      </c>
      <c r="JO23" s="121" t="str">
        <f>IF(ISBLANK(tbl_task7[[คะแนนเต็ม]:[คะแนนเต็ม]]),"",(tbl_task7[105]/tbl_task7[[คะแนนเต็ม]:[คะแนนเต็ม]])*tbl_task7[[%]:[%]])</f>
        <v/>
      </c>
      <c r="JP23" s="121" t="str">
        <f>IF(ISBLANK(tbl_task7[[คะแนนเต็ม]:[คะแนนเต็ม]]),"",(tbl_task7[106]/tbl_task7[[คะแนนเต็ม]:[คะแนนเต็ม]])*tbl_task7[[%]:[%]])</f>
        <v/>
      </c>
      <c r="JQ23" s="121" t="str">
        <f>IF(ISBLANK(tbl_task7[[คะแนนเต็ม]:[คะแนนเต็ม]]),"",(tbl_task7[107]/tbl_task7[[คะแนนเต็ม]:[คะแนนเต็ม]])*tbl_task7[[%]:[%]])</f>
        <v/>
      </c>
      <c r="JR23" s="121" t="str">
        <f>IF(ISBLANK(tbl_task7[[คะแนนเต็ม]:[คะแนนเต็ม]]),"",(tbl_task7[108]/tbl_task7[[คะแนนเต็ม]:[คะแนนเต็ม]])*tbl_task7[[%]:[%]])</f>
        <v/>
      </c>
      <c r="JS23" s="121" t="str">
        <f>IF(ISBLANK(tbl_task7[[คะแนนเต็ม]:[คะแนนเต็ม]]),"",(tbl_task7[109]/tbl_task7[[คะแนนเต็ม]:[คะแนนเต็ม]])*tbl_task7[[%]:[%]])</f>
        <v/>
      </c>
      <c r="JT23" s="121" t="str">
        <f>IF(ISBLANK(tbl_task7[[คะแนนเต็ม]:[คะแนนเต็ม]]),"",(tbl_task7[110]/tbl_task7[[คะแนนเต็ม]:[คะแนนเต็ม]])*tbl_task7[[%]:[%]])</f>
        <v/>
      </c>
      <c r="JU23" s="121" t="str">
        <f>IF(ISBLANK(tbl_task7[[คะแนนเต็ม]:[คะแนนเต็ม]]),"",(tbl_task7[111]/tbl_task7[[คะแนนเต็ม]:[คะแนนเต็ม]])*tbl_task7[[%]:[%]])</f>
        <v/>
      </c>
      <c r="JV23" s="121" t="str">
        <f>IF(ISBLANK(tbl_task7[[คะแนนเต็ม]:[คะแนนเต็ม]]),"",(tbl_task7[112]/tbl_task7[[คะแนนเต็ม]:[คะแนนเต็ม]])*tbl_task7[[%]:[%]])</f>
        <v/>
      </c>
      <c r="JW23" s="121" t="str">
        <f>IF(ISBLANK(tbl_task7[[คะแนนเต็ม]:[คะแนนเต็ม]]),"",(tbl_task7[113]/tbl_task7[[คะแนนเต็ม]:[คะแนนเต็ม]])*tbl_task7[[%]:[%]])</f>
        <v/>
      </c>
      <c r="JX23" s="121" t="str">
        <f>IF(ISBLANK(tbl_task7[[คะแนนเต็ม]:[คะแนนเต็ม]]),"",(tbl_task7[114]/tbl_task7[[คะแนนเต็ม]:[คะแนนเต็ม]])*tbl_task7[[%]:[%]])</f>
        <v/>
      </c>
      <c r="JY23" s="121" t="str">
        <f>IF(ISBLANK(tbl_task7[[คะแนนเต็ม]:[คะแนนเต็ม]]),"",(tbl_task7[115]/tbl_task7[[คะแนนเต็ม]:[คะแนนเต็ม]])*tbl_task7[[%]:[%]])</f>
        <v/>
      </c>
      <c r="JZ23" s="121" t="str">
        <f>IF(ISBLANK(tbl_task7[[คะแนนเต็ม]:[คะแนนเต็ม]]),"",(tbl_task7[116]/tbl_task7[[คะแนนเต็ม]:[คะแนนเต็ม]])*tbl_task7[[%]:[%]])</f>
        <v/>
      </c>
      <c r="KA23" s="121" t="str">
        <f>IF(ISBLANK(tbl_task7[[คะแนนเต็ม]:[คะแนนเต็ม]]),"",(tbl_task7[117]/tbl_task7[[คะแนนเต็ม]:[คะแนนเต็ม]])*tbl_task7[[%]:[%]])</f>
        <v/>
      </c>
      <c r="KB23" s="121" t="str">
        <f>IF(ISBLANK(tbl_task7[[คะแนนเต็ม]:[คะแนนเต็ม]]),"",(tbl_task7[118]/tbl_task7[[คะแนนเต็ม]:[คะแนนเต็ม]])*tbl_task7[[%]:[%]])</f>
        <v/>
      </c>
      <c r="KC23" s="121" t="str">
        <f>IF(ISBLANK(tbl_task7[[คะแนนเต็ม]:[คะแนนเต็ม]]),"",(tbl_task7[119]/tbl_task7[[คะแนนเต็ม]:[คะแนนเต็ม]])*tbl_task7[[%]:[%]])</f>
        <v/>
      </c>
      <c r="KD23" s="121" t="str">
        <f>IF(ISBLANK(tbl_task7[[คะแนนเต็ม]:[คะแนนเต็ม]]),"",(tbl_task7[120]/tbl_task7[[คะแนนเต็ม]:[คะแนนเต็ม]])*tbl_task7[[%]:[%]])</f>
        <v/>
      </c>
      <c r="KE23" s="121" t="str">
        <f>IF(ISBLANK(tbl_task7[[คะแนนเต็ม]:[คะแนนเต็ม]]),"",(tbl_task7[121]/tbl_task7[[คะแนนเต็ม]:[คะแนนเต็ม]])*tbl_task7[[%]:[%]])</f>
        <v/>
      </c>
      <c r="KF23" s="121" t="str">
        <f>IF(ISBLANK(tbl_task7[[คะแนนเต็ม]:[คะแนนเต็ม]]),"",(tbl_task7[122]/tbl_task7[[คะแนนเต็ม]:[คะแนนเต็ม]])*tbl_task7[[%]:[%]])</f>
        <v/>
      </c>
      <c r="KG23" s="121" t="str">
        <f>IF(ISBLANK(tbl_task7[[คะแนนเต็ม]:[คะแนนเต็ม]]),"",(tbl_task7[123]/tbl_task7[[คะแนนเต็ม]:[คะแนนเต็ม]])*tbl_task7[[%]:[%]])</f>
        <v/>
      </c>
      <c r="KH23" s="121" t="str">
        <f>IF(ISBLANK(tbl_task7[[คะแนนเต็ม]:[คะแนนเต็ม]]),"",(tbl_task7[124]/tbl_task7[[คะแนนเต็ม]:[คะแนนเต็ม]])*tbl_task7[[%]:[%]])</f>
        <v/>
      </c>
      <c r="KI23" s="121" t="str">
        <f>IF(ISBLANK(tbl_task7[[คะแนนเต็ม]:[คะแนนเต็ม]]),"",(tbl_task7[125]/tbl_task7[[คะแนนเต็ม]:[คะแนนเต็ม]])*tbl_task7[[%]:[%]])</f>
        <v/>
      </c>
      <c r="KJ23" s="121" t="str">
        <f>IF(ISBLANK(tbl_task7[[คะแนนเต็ม]:[คะแนนเต็ม]]),"",(tbl_task7[126]/tbl_task7[[คะแนนเต็ม]:[คะแนนเต็ม]])*tbl_task7[[%]:[%]])</f>
        <v/>
      </c>
      <c r="KK23" s="121" t="str">
        <f>IF(ISBLANK(tbl_task7[[คะแนนเต็ม]:[คะแนนเต็ม]]),"",(tbl_task7[127]/tbl_task7[[คะแนนเต็ม]:[คะแนนเต็ม]])*tbl_task7[[%]:[%]])</f>
        <v/>
      </c>
      <c r="KL23" s="121" t="str">
        <f>IF(ISBLANK(tbl_task7[[คะแนนเต็ม]:[คะแนนเต็ม]]),"",(tbl_task7[128]/tbl_task7[[คะแนนเต็ม]:[คะแนนเต็ม]])*tbl_task7[[%]:[%]])</f>
        <v/>
      </c>
      <c r="KM23" s="121" t="str">
        <f>IF(ISBLANK(tbl_task7[[คะแนนเต็ม]:[คะแนนเต็ม]]),"",(tbl_task7[129]/tbl_task7[[คะแนนเต็ม]:[คะแนนเต็ม]])*tbl_task7[[%]:[%]])</f>
        <v/>
      </c>
      <c r="KN23" s="121" t="str">
        <f>IF(ISBLANK(tbl_task7[[คะแนนเต็ม]:[คะแนนเต็ม]]),"",(tbl_task7[130]/tbl_task7[[คะแนนเต็ม]:[คะแนนเต็ม]])*tbl_task7[[%]:[%]])</f>
        <v/>
      </c>
      <c r="KO23" s="121" t="str">
        <f>IF(ISBLANK(tbl_task7[[คะแนนเต็ม]:[คะแนนเต็ม]]),"",(tbl_task7[131]/tbl_task7[[คะแนนเต็ม]:[คะแนนเต็ม]])*tbl_task7[[%]:[%]])</f>
        <v/>
      </c>
      <c r="KP23" s="121" t="str">
        <f>IF(ISBLANK(tbl_task7[[คะแนนเต็ม]:[คะแนนเต็ม]]),"",(tbl_task7[132]/tbl_task7[[คะแนนเต็ม]:[คะแนนเต็ม]])*tbl_task7[[%]:[%]])</f>
        <v/>
      </c>
      <c r="KQ23" s="121" t="str">
        <f>IF(ISBLANK(tbl_task7[[คะแนนเต็ม]:[คะแนนเต็ม]]),"",(tbl_task7[133]/tbl_task7[[คะแนนเต็ม]:[คะแนนเต็ม]])*tbl_task7[[%]:[%]])</f>
        <v/>
      </c>
      <c r="KR23" s="121" t="str">
        <f>IF(ISBLANK(tbl_task7[[คะแนนเต็ม]:[คะแนนเต็ม]]),"",(tbl_task7[134]/tbl_task7[[คะแนนเต็ม]:[คะแนนเต็ม]])*tbl_task7[[%]:[%]])</f>
        <v/>
      </c>
      <c r="KS23" s="121" t="str">
        <f>IF(ISBLANK(tbl_task7[[คะแนนเต็ม]:[คะแนนเต็ม]]),"",(tbl_task7[135]/tbl_task7[[คะแนนเต็ม]:[คะแนนเต็ม]])*tbl_task7[[%]:[%]])</f>
        <v/>
      </c>
      <c r="KT23" s="121" t="str">
        <f>IF(ISBLANK(tbl_task7[[คะแนนเต็ม]:[คะแนนเต็ม]]),"",(tbl_task7[136]/tbl_task7[[คะแนนเต็ม]:[คะแนนเต็ม]])*tbl_task7[[%]:[%]])</f>
        <v/>
      </c>
      <c r="KU23" s="121" t="str">
        <f>IF(ISBLANK(tbl_task7[[คะแนนเต็ม]:[คะแนนเต็ม]]),"",(tbl_task7[137]/tbl_task7[[คะแนนเต็ม]:[คะแนนเต็ม]])*tbl_task7[[%]:[%]])</f>
        <v/>
      </c>
      <c r="KV23" s="121" t="str">
        <f>IF(ISBLANK(tbl_task7[[คะแนนเต็ม]:[คะแนนเต็ม]]),"",(tbl_task7[138]/tbl_task7[[คะแนนเต็ม]:[คะแนนเต็ม]])*tbl_task7[[%]:[%]])</f>
        <v/>
      </c>
      <c r="KW23" s="121" t="str">
        <f>IF(ISBLANK(tbl_task7[[คะแนนเต็ม]:[คะแนนเต็ม]]),"",(tbl_task7[139]/tbl_task7[[คะแนนเต็ม]:[คะแนนเต็ม]])*tbl_task7[[%]:[%]])</f>
        <v/>
      </c>
      <c r="KX23" s="121" t="str">
        <f>IF(ISBLANK(tbl_task7[[คะแนนเต็ม]:[คะแนนเต็ม]]),"",(tbl_task7[140]/tbl_task7[[คะแนนเต็ม]:[คะแนนเต็ม]])*tbl_task7[[%]:[%]])</f>
        <v/>
      </c>
      <c r="KY23" s="121" t="str">
        <f>IF(ISBLANK(tbl_task7[[คะแนนเต็ม]:[คะแนนเต็ม]]),"",(tbl_task7[141]/tbl_task7[[คะแนนเต็ม]:[คะแนนเต็ม]])*tbl_task7[[%]:[%]])</f>
        <v/>
      </c>
      <c r="KZ23" s="121" t="str">
        <f>IF(ISBLANK(tbl_task7[[คะแนนเต็ม]:[คะแนนเต็ม]]),"",(tbl_task7[142]/tbl_task7[[คะแนนเต็ม]:[คะแนนเต็ม]])*tbl_task7[[%]:[%]])</f>
        <v/>
      </c>
      <c r="LA23" s="121" t="str">
        <f>IF(ISBLANK(tbl_task7[[คะแนนเต็ม]:[คะแนนเต็ม]]),"",(tbl_task7[143]/tbl_task7[[คะแนนเต็ม]:[คะแนนเต็ม]])*tbl_task7[[%]:[%]])</f>
        <v/>
      </c>
      <c r="LB23" s="121" t="str">
        <f>IF(ISBLANK(tbl_task7[[คะแนนเต็ม]:[คะแนนเต็ม]]),"",(tbl_task7[144]/tbl_task7[[คะแนนเต็ม]:[คะแนนเต็ม]])*tbl_task7[[%]:[%]])</f>
        <v/>
      </c>
      <c r="LC23" s="121" t="str">
        <f>IF(ISBLANK(tbl_task7[[คะแนนเต็ม]:[คะแนนเต็ม]]),"",(tbl_task7[145]/tbl_task7[[คะแนนเต็ม]:[คะแนนเต็ม]])*tbl_task7[[%]:[%]])</f>
        <v/>
      </c>
      <c r="LD23" s="121" t="str">
        <f>IF(ISBLANK(tbl_task7[[คะแนนเต็ม]:[คะแนนเต็ม]]),"",(tbl_task7[146]/tbl_task7[[คะแนนเต็ม]:[คะแนนเต็ม]])*tbl_task7[[%]:[%]])</f>
        <v/>
      </c>
      <c r="LE23" s="121" t="str">
        <f>IF(ISBLANK(tbl_task7[[คะแนนเต็ม]:[คะแนนเต็ม]]),"",(tbl_task7[147]/tbl_task7[[คะแนนเต็ม]:[คะแนนเต็ม]])*tbl_task7[[%]:[%]])</f>
        <v/>
      </c>
      <c r="LF23" s="121" t="str">
        <f>IF(ISBLANK(tbl_task7[[คะแนนเต็ม]:[คะแนนเต็ม]]),"",(tbl_task7[148]/tbl_task7[[คะแนนเต็ม]:[คะแนนเต็ม]])*tbl_task7[[%]:[%]])</f>
        <v/>
      </c>
      <c r="LG23" s="121" t="str">
        <f>IF(ISBLANK(tbl_task7[[คะแนนเต็ม]:[คะแนนเต็ม]]),"",(tbl_task7[149]/tbl_task7[[คะแนนเต็ม]:[คะแนนเต็ม]])*tbl_task7[[%]:[%]])</f>
        <v/>
      </c>
      <c r="LH23" s="121" t="str">
        <f>IF(ISBLANK(tbl_task7[[คะแนนเต็ม]:[คะแนนเต็ม]]),"",(tbl_task7[150]/tbl_task7[[คะแนนเต็ม]:[คะแนนเต็ม]])*tbl_task7[[%]:[%]])</f>
        <v/>
      </c>
      <c r="LI23" s="121" t="str">
        <f>IF(ISBLANK(tbl_task7[[คะแนนเต็ม]:[คะแนนเต็ม]]),"",(tbl_task7[151]/tbl_task7[[คะแนนเต็ม]:[คะแนนเต็ม]])*tbl_task7[[%]:[%]])</f>
        <v/>
      </c>
      <c r="LJ23" s="121" t="str">
        <f>IF(ISBLANK(tbl_task7[[คะแนนเต็ม]:[คะแนนเต็ม]]),"",(tbl_task7[152]/tbl_task7[[คะแนนเต็ม]:[คะแนนเต็ม]])*tbl_task7[[%]:[%]])</f>
        <v/>
      </c>
      <c r="LK23" s="121" t="str">
        <f>IF(ISBLANK(tbl_task7[[คะแนนเต็ม]:[คะแนนเต็ม]]),"",(tbl_task7[153]/tbl_task7[[คะแนนเต็ม]:[คะแนนเต็ม]])*tbl_task7[[%]:[%]])</f>
        <v/>
      </c>
      <c r="LL23" s="121" t="str">
        <f>IF(ISBLANK(tbl_task7[[คะแนนเต็ม]:[คะแนนเต็ม]]),"",(tbl_task7[154]/tbl_task7[[คะแนนเต็ม]:[คะแนนเต็ม]])*tbl_task7[[%]:[%]])</f>
        <v/>
      </c>
      <c r="LM23" s="121" t="str">
        <f>IF(ISBLANK(tbl_task7[[คะแนนเต็ม]:[คะแนนเต็ม]]),"",(tbl_task7[155]/tbl_task7[[คะแนนเต็ม]:[คะแนนเต็ม]])*tbl_task7[[%]:[%]])</f>
        <v/>
      </c>
      <c r="LN23" s="121" t="str">
        <f>IF(ISBLANK(tbl_task7[[คะแนนเต็ม]:[คะแนนเต็ม]]),"",(tbl_task7[156]/tbl_task7[[คะแนนเต็ม]:[คะแนนเต็ม]])*tbl_task7[[%]:[%]])</f>
        <v/>
      </c>
      <c r="LO23" s="121" t="str">
        <f>IF(ISBLANK(tbl_task7[[คะแนนเต็ม]:[คะแนนเต็ม]]),"",(tbl_task7[157]/tbl_task7[[คะแนนเต็ม]:[คะแนนเต็ม]])*tbl_task7[[%]:[%]])</f>
        <v/>
      </c>
      <c r="LP23" s="121" t="str">
        <f>IF(ISBLANK(tbl_task7[[คะแนนเต็ม]:[คะแนนเต็ม]]),"",(tbl_task7[158]/tbl_task7[[คะแนนเต็ม]:[คะแนนเต็ม]])*tbl_task7[[%]:[%]])</f>
        <v/>
      </c>
      <c r="LQ23" s="121" t="str">
        <f>IF(ISBLANK(tbl_task7[[คะแนนเต็ม]:[คะแนนเต็ม]]),"",(tbl_task7[159]/tbl_task7[[คะแนนเต็ม]:[คะแนนเต็ม]])*tbl_task7[[%]:[%]])</f>
        <v/>
      </c>
      <c r="LR23" s="121" t="str">
        <f>IF(ISBLANK(tbl_task7[[คะแนนเต็ม]:[คะแนนเต็ม]]),"",(tbl_task7[160]/tbl_task7[[คะแนนเต็ม]:[คะแนนเต็ม]])*tbl_task7[[%]:[%]])</f>
        <v/>
      </c>
      <c r="LS23" s="121" t="str">
        <f>IF(ISBLANK(tbl_task7[[คะแนนเต็ม]:[คะแนนเต็ม]]),"",(tbl_task7[161]/tbl_task7[[คะแนนเต็ม]:[คะแนนเต็ม]])*tbl_task7[[%]:[%]])</f>
        <v/>
      </c>
      <c r="LT23" s="121" t="str">
        <f>IF(ISBLANK(tbl_task7[[คะแนนเต็ม]:[คะแนนเต็ม]]),"",(tbl_task7[162]/tbl_task7[[คะแนนเต็ม]:[คะแนนเต็ม]])*tbl_task7[[%]:[%]])</f>
        <v/>
      </c>
      <c r="LU23" s="121" t="str">
        <f>IF(ISBLANK(tbl_task7[[คะแนนเต็ม]:[คะแนนเต็ม]]),"",(tbl_task7[163]/tbl_task7[[คะแนนเต็ม]:[คะแนนเต็ม]])*tbl_task7[[%]:[%]])</f>
        <v/>
      </c>
      <c r="LV23" s="121" t="str">
        <f>IF(ISBLANK(tbl_task7[[คะแนนเต็ม]:[คะแนนเต็ม]]),"",(tbl_task7[164]/tbl_task7[[คะแนนเต็ม]:[คะแนนเต็ม]])*tbl_task7[[%]:[%]])</f>
        <v/>
      </c>
      <c r="LW23" s="121" t="str">
        <f>IF(ISBLANK(tbl_task7[[คะแนนเต็ม]:[คะแนนเต็ม]]),"",(tbl_task7[165]/tbl_task7[[คะแนนเต็ม]:[คะแนนเต็ม]])*tbl_task7[[%]:[%]])</f>
        <v/>
      </c>
    </row>
    <row r="24" spans="1:335" ht="24" customHeight="1" x14ac:dyDescent="0.25">
      <c r="A24" s="24">
        <v>21</v>
      </c>
      <c r="B24" s="20"/>
      <c r="C24" s="5" t="str">
        <f>IF(ISBLANK(B24),"",VLOOKUP(B24,tbl_PLOs[],2,0))</f>
        <v/>
      </c>
      <c r="D24" s="102"/>
      <c r="E24" s="106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21" t="str">
        <f>IF(ISBLANK(tbl_task7[[คะแนนเต็ม]:[คะแนนเต็ม]]),"",(tbl_task7[1]/tbl_task7[[คะแนนเต็ม]:[คะแนนเต็ม]])*tbl_task7[[%]:[%]])</f>
        <v/>
      </c>
      <c r="FP24" s="121" t="str">
        <f>IF(ISBLANK(tbl_task7[[คะแนนเต็ม]:[คะแนนเต็ม]]),"",(tbl_task7[2]/tbl_task7[[คะแนนเต็ม]:[คะแนนเต็ม]])*tbl_task7[[%]:[%]])</f>
        <v/>
      </c>
      <c r="FQ24" s="121" t="str">
        <f>IF(ISBLANK(tbl_task7[[คะแนนเต็ม]:[คะแนนเต็ม]]),"",(tbl_task7[3]/tbl_task7[[คะแนนเต็ม]:[คะแนนเต็ม]])*tbl_task7[[%]:[%]])</f>
        <v/>
      </c>
      <c r="FR24" s="121" t="str">
        <f>IF(ISBLANK(tbl_task7[[คะแนนเต็ม]:[คะแนนเต็ม]]),"",(tbl_task7[4]/tbl_task7[[คะแนนเต็ม]:[คะแนนเต็ม]])*tbl_task7[[%]:[%]])</f>
        <v/>
      </c>
      <c r="FS24" s="121" t="str">
        <f>IF(ISBLANK(tbl_task7[[คะแนนเต็ม]:[คะแนนเต็ม]]),"",(tbl_task7[5]/tbl_task7[[คะแนนเต็ม]:[คะแนนเต็ม]])*tbl_task7[[%]:[%]])</f>
        <v/>
      </c>
      <c r="FT24" s="121" t="str">
        <f>IF(ISBLANK(tbl_task7[[คะแนนเต็ม]:[คะแนนเต็ม]]),"",(tbl_task7[6]/tbl_task7[[คะแนนเต็ม]:[คะแนนเต็ม]])*tbl_task7[[%]:[%]])</f>
        <v/>
      </c>
      <c r="FU24" s="121" t="str">
        <f>IF(ISBLANK(tbl_task7[[คะแนนเต็ม]:[คะแนนเต็ม]]),"",(tbl_task7[7]/tbl_task7[[คะแนนเต็ม]:[คะแนนเต็ม]])*tbl_task7[[%]:[%]])</f>
        <v/>
      </c>
      <c r="FV24" s="121" t="str">
        <f>IF(ISBLANK(tbl_task7[[คะแนนเต็ม]:[คะแนนเต็ม]]),"",(tbl_task7[8]/tbl_task7[[คะแนนเต็ม]:[คะแนนเต็ม]])*tbl_task7[[%]:[%]])</f>
        <v/>
      </c>
      <c r="FW24" s="121" t="str">
        <f>IF(ISBLANK(tbl_task7[[คะแนนเต็ม]:[คะแนนเต็ม]]),"",(tbl_task7[9]/tbl_task7[[คะแนนเต็ม]:[คะแนนเต็ม]])*tbl_task7[[%]:[%]])</f>
        <v/>
      </c>
      <c r="FX24" s="121" t="str">
        <f>IF(ISBLANK(tbl_task7[[คะแนนเต็ม]:[คะแนนเต็ม]]),"",(tbl_task7[10]/tbl_task7[[คะแนนเต็ม]:[คะแนนเต็ม]])*tbl_task7[[%]:[%]])</f>
        <v/>
      </c>
      <c r="FY24" s="121" t="str">
        <f>IF(ISBLANK(tbl_task7[[คะแนนเต็ม]:[คะแนนเต็ม]]),"",(tbl_task7[11]/tbl_task7[[คะแนนเต็ม]:[คะแนนเต็ม]])*tbl_task7[[%]:[%]])</f>
        <v/>
      </c>
      <c r="FZ24" s="121" t="str">
        <f>IF(ISBLANK(tbl_task7[[คะแนนเต็ม]:[คะแนนเต็ม]]),"",(tbl_task7[12]/tbl_task7[[คะแนนเต็ม]:[คะแนนเต็ม]])*tbl_task7[[%]:[%]])</f>
        <v/>
      </c>
      <c r="GA24" s="121" t="str">
        <f>IF(ISBLANK(tbl_task7[[คะแนนเต็ม]:[คะแนนเต็ม]]),"",(tbl_task7[13]/tbl_task7[[คะแนนเต็ม]:[คะแนนเต็ม]])*tbl_task7[[%]:[%]])</f>
        <v/>
      </c>
      <c r="GB24" s="121" t="str">
        <f>IF(ISBLANK(tbl_task7[[คะแนนเต็ม]:[คะแนนเต็ม]]),"",(tbl_task7[14]/tbl_task7[[คะแนนเต็ม]:[คะแนนเต็ม]])*tbl_task7[[%]:[%]])</f>
        <v/>
      </c>
      <c r="GC24" s="121" t="str">
        <f>IF(ISBLANK(tbl_task7[[คะแนนเต็ม]:[คะแนนเต็ม]]),"",(tbl_task7[15]/tbl_task7[[คะแนนเต็ม]:[คะแนนเต็ม]])*tbl_task7[[%]:[%]])</f>
        <v/>
      </c>
      <c r="GD24" s="121" t="str">
        <f>IF(ISBLANK(tbl_task7[[คะแนนเต็ม]:[คะแนนเต็ม]]),"",(tbl_task7[16]/tbl_task7[[คะแนนเต็ม]:[คะแนนเต็ม]])*tbl_task7[[%]:[%]])</f>
        <v/>
      </c>
      <c r="GE24" s="121" t="str">
        <f>IF(ISBLANK(tbl_task7[[คะแนนเต็ม]:[คะแนนเต็ม]]),"",(tbl_task7[17]/tbl_task7[[คะแนนเต็ม]:[คะแนนเต็ม]])*tbl_task7[[%]:[%]])</f>
        <v/>
      </c>
      <c r="GF24" s="121" t="str">
        <f>IF(ISBLANK(tbl_task7[[คะแนนเต็ม]:[คะแนนเต็ม]]),"",(tbl_task7[18]/tbl_task7[[คะแนนเต็ม]:[คะแนนเต็ม]])*tbl_task7[[%]:[%]])</f>
        <v/>
      </c>
      <c r="GG24" s="121" t="str">
        <f>IF(ISBLANK(tbl_task7[[คะแนนเต็ม]:[คะแนนเต็ม]]),"",(tbl_task7[19]/tbl_task7[[คะแนนเต็ม]:[คะแนนเต็ม]])*tbl_task7[[%]:[%]])</f>
        <v/>
      </c>
      <c r="GH24" s="121" t="str">
        <f>IF(ISBLANK(tbl_task7[[คะแนนเต็ม]:[คะแนนเต็ม]]),"",(tbl_task7[20]/tbl_task7[[คะแนนเต็ม]:[คะแนนเต็ม]])*tbl_task7[[%]:[%]])</f>
        <v/>
      </c>
      <c r="GI24" s="121" t="str">
        <f>IF(ISBLANK(tbl_task7[[คะแนนเต็ม]:[คะแนนเต็ม]]),"",(tbl_task7[21]/tbl_task7[[คะแนนเต็ม]:[คะแนนเต็ม]])*tbl_task7[[%]:[%]])</f>
        <v/>
      </c>
      <c r="GJ24" s="121" t="str">
        <f>IF(ISBLANK(tbl_task7[[คะแนนเต็ม]:[คะแนนเต็ม]]),"",(tbl_task7[22]/tbl_task7[[คะแนนเต็ม]:[คะแนนเต็ม]])*tbl_task7[[%]:[%]])</f>
        <v/>
      </c>
      <c r="GK24" s="121" t="str">
        <f>IF(ISBLANK(tbl_task7[[คะแนนเต็ม]:[คะแนนเต็ม]]),"",(tbl_task7[23]/tbl_task7[[คะแนนเต็ม]:[คะแนนเต็ม]])*tbl_task7[[%]:[%]])</f>
        <v/>
      </c>
      <c r="GL24" s="121" t="str">
        <f>IF(ISBLANK(tbl_task7[[คะแนนเต็ม]:[คะแนนเต็ม]]),"",(tbl_task7[24]/tbl_task7[[คะแนนเต็ม]:[คะแนนเต็ม]])*tbl_task7[[%]:[%]])</f>
        <v/>
      </c>
      <c r="GM24" s="121" t="str">
        <f>IF(ISBLANK(tbl_task7[[คะแนนเต็ม]:[คะแนนเต็ม]]),"",(tbl_task7[25]/tbl_task7[[คะแนนเต็ม]:[คะแนนเต็ม]])*tbl_task7[[%]:[%]])</f>
        <v/>
      </c>
      <c r="GN24" s="121" t="str">
        <f>IF(ISBLANK(tbl_task7[[คะแนนเต็ม]:[คะแนนเต็ม]]),"",(tbl_task7[26]/tbl_task7[[คะแนนเต็ม]:[คะแนนเต็ม]])*tbl_task7[[%]:[%]])</f>
        <v/>
      </c>
      <c r="GO24" s="121" t="str">
        <f>IF(ISBLANK(tbl_task7[[คะแนนเต็ม]:[คะแนนเต็ม]]),"",(tbl_task7[27]/tbl_task7[[คะแนนเต็ม]:[คะแนนเต็ม]])*tbl_task7[[%]:[%]])</f>
        <v/>
      </c>
      <c r="GP24" s="121" t="str">
        <f>IF(ISBLANK(tbl_task7[[คะแนนเต็ม]:[คะแนนเต็ม]]),"",(tbl_task7[28]/tbl_task7[[คะแนนเต็ม]:[คะแนนเต็ม]])*tbl_task7[[%]:[%]])</f>
        <v/>
      </c>
      <c r="GQ24" s="121" t="str">
        <f>IF(ISBLANK(tbl_task7[[คะแนนเต็ม]:[คะแนนเต็ม]]),"",(tbl_task7[29]/tbl_task7[[คะแนนเต็ม]:[คะแนนเต็ม]])*tbl_task7[[%]:[%]])</f>
        <v/>
      </c>
      <c r="GR24" s="121" t="str">
        <f>IF(ISBLANK(tbl_task7[[คะแนนเต็ม]:[คะแนนเต็ม]]),"",(tbl_task7[30]/tbl_task7[[คะแนนเต็ม]:[คะแนนเต็ม]])*tbl_task7[[%]:[%]])</f>
        <v/>
      </c>
      <c r="GS24" s="121" t="str">
        <f>IF(ISBLANK(tbl_task7[[คะแนนเต็ม]:[คะแนนเต็ม]]),"",(tbl_task7[31]/tbl_task7[[คะแนนเต็ม]:[คะแนนเต็ม]])*tbl_task7[[%]:[%]])</f>
        <v/>
      </c>
      <c r="GT24" s="121" t="str">
        <f>IF(ISBLANK(tbl_task7[[คะแนนเต็ม]:[คะแนนเต็ม]]),"",(tbl_task7[32]/tbl_task7[[คะแนนเต็ม]:[คะแนนเต็ม]])*tbl_task7[[%]:[%]])</f>
        <v/>
      </c>
      <c r="GU24" s="121" t="str">
        <f>IF(ISBLANK(tbl_task7[[คะแนนเต็ม]:[คะแนนเต็ม]]),"",(tbl_task7[33]/tbl_task7[[คะแนนเต็ม]:[คะแนนเต็ม]])*tbl_task7[[%]:[%]])</f>
        <v/>
      </c>
      <c r="GV24" s="121" t="str">
        <f>IF(ISBLANK(tbl_task7[[คะแนนเต็ม]:[คะแนนเต็ม]]),"",(tbl_task7[34]/tbl_task7[[คะแนนเต็ม]:[คะแนนเต็ม]])*tbl_task7[[%]:[%]])</f>
        <v/>
      </c>
      <c r="GW24" s="121" t="str">
        <f>IF(ISBLANK(tbl_task7[[คะแนนเต็ม]:[คะแนนเต็ม]]),"",(tbl_task7[35]/tbl_task7[[คะแนนเต็ม]:[คะแนนเต็ม]])*tbl_task7[[%]:[%]])</f>
        <v/>
      </c>
      <c r="GX24" s="121" t="str">
        <f>IF(ISBLANK(tbl_task7[[คะแนนเต็ม]:[คะแนนเต็ม]]),"",(tbl_task7[36]/tbl_task7[[คะแนนเต็ม]:[คะแนนเต็ม]])*tbl_task7[[%]:[%]])</f>
        <v/>
      </c>
      <c r="GY24" s="121" t="str">
        <f>IF(ISBLANK(tbl_task7[[คะแนนเต็ม]:[คะแนนเต็ม]]),"",(tbl_task7[37]/tbl_task7[[คะแนนเต็ม]:[คะแนนเต็ม]])*tbl_task7[[%]:[%]])</f>
        <v/>
      </c>
      <c r="GZ24" s="121" t="str">
        <f>IF(ISBLANK(tbl_task7[[คะแนนเต็ม]:[คะแนนเต็ม]]),"",(tbl_task7[38]/tbl_task7[[คะแนนเต็ม]:[คะแนนเต็ม]])*tbl_task7[[%]:[%]])</f>
        <v/>
      </c>
      <c r="HA24" s="121" t="str">
        <f>IF(ISBLANK(tbl_task7[[คะแนนเต็ม]:[คะแนนเต็ม]]),"",(tbl_task7[39]/tbl_task7[[คะแนนเต็ม]:[คะแนนเต็ม]])*tbl_task7[[%]:[%]])</f>
        <v/>
      </c>
      <c r="HB24" s="121" t="str">
        <f>IF(ISBLANK(tbl_task7[[คะแนนเต็ม]:[คะแนนเต็ม]]),"",(tbl_task7[40]/tbl_task7[[คะแนนเต็ม]:[คะแนนเต็ม]])*tbl_task7[[%]:[%]])</f>
        <v/>
      </c>
      <c r="HC24" s="121" t="str">
        <f>IF(ISBLANK(tbl_task7[[คะแนนเต็ม]:[คะแนนเต็ม]]),"",(tbl_task7[41]/tbl_task7[[คะแนนเต็ม]:[คะแนนเต็ม]])*tbl_task7[[%]:[%]])</f>
        <v/>
      </c>
      <c r="HD24" s="121" t="str">
        <f>IF(ISBLANK(tbl_task7[[คะแนนเต็ม]:[คะแนนเต็ม]]),"",(tbl_task7[42]/tbl_task7[[คะแนนเต็ม]:[คะแนนเต็ม]])*tbl_task7[[%]:[%]])</f>
        <v/>
      </c>
      <c r="HE24" s="121" t="str">
        <f>IF(ISBLANK(tbl_task7[[คะแนนเต็ม]:[คะแนนเต็ม]]),"",(tbl_task7[43]/tbl_task7[[คะแนนเต็ม]:[คะแนนเต็ม]])*tbl_task7[[%]:[%]])</f>
        <v/>
      </c>
      <c r="HF24" s="121" t="str">
        <f>IF(ISBLANK(tbl_task7[[คะแนนเต็ม]:[คะแนนเต็ม]]),"",(tbl_task7[44]/tbl_task7[[คะแนนเต็ม]:[คะแนนเต็ม]])*tbl_task7[[%]:[%]])</f>
        <v/>
      </c>
      <c r="HG24" s="121" t="str">
        <f>IF(ISBLANK(tbl_task7[[คะแนนเต็ม]:[คะแนนเต็ม]]),"",(tbl_task7[45]/tbl_task7[[คะแนนเต็ม]:[คะแนนเต็ม]])*tbl_task7[[%]:[%]])</f>
        <v/>
      </c>
      <c r="HH24" s="121" t="str">
        <f>IF(ISBLANK(tbl_task7[[คะแนนเต็ม]:[คะแนนเต็ม]]),"",(tbl_task7[46]/tbl_task7[[คะแนนเต็ม]:[คะแนนเต็ม]])*tbl_task7[[%]:[%]])</f>
        <v/>
      </c>
      <c r="HI24" s="121" t="str">
        <f>IF(ISBLANK(tbl_task7[[คะแนนเต็ม]:[คะแนนเต็ม]]),"",(tbl_task7[47]/tbl_task7[[คะแนนเต็ม]:[คะแนนเต็ม]])*tbl_task7[[%]:[%]])</f>
        <v/>
      </c>
      <c r="HJ24" s="121" t="str">
        <f>IF(ISBLANK(tbl_task7[[คะแนนเต็ม]:[คะแนนเต็ม]]),"",(tbl_task7[48]/tbl_task7[[คะแนนเต็ม]:[คะแนนเต็ม]])*tbl_task7[[%]:[%]])</f>
        <v/>
      </c>
      <c r="HK24" s="121" t="str">
        <f>IF(ISBLANK(tbl_task7[[คะแนนเต็ม]:[คะแนนเต็ม]]),"",(tbl_task7[49]/tbl_task7[[คะแนนเต็ม]:[คะแนนเต็ม]])*tbl_task7[[%]:[%]])</f>
        <v/>
      </c>
      <c r="HL24" s="121" t="str">
        <f>IF(ISBLANK(tbl_task7[[คะแนนเต็ม]:[คะแนนเต็ม]]),"",(tbl_task7[50]/tbl_task7[[คะแนนเต็ม]:[คะแนนเต็ม]])*tbl_task7[[%]:[%]])</f>
        <v/>
      </c>
      <c r="HM24" s="121" t="str">
        <f>IF(ISBLANK(tbl_task7[[คะแนนเต็ม]:[คะแนนเต็ม]]),"",(tbl_task7[51]/tbl_task7[[คะแนนเต็ม]:[คะแนนเต็ม]])*tbl_task7[[%]:[%]])</f>
        <v/>
      </c>
      <c r="HN24" s="121" t="str">
        <f>IF(ISBLANK(tbl_task7[[คะแนนเต็ม]:[คะแนนเต็ม]]),"",(tbl_task7[52]/tbl_task7[[คะแนนเต็ม]:[คะแนนเต็ม]])*tbl_task7[[%]:[%]])</f>
        <v/>
      </c>
      <c r="HO24" s="121" t="str">
        <f>IF(ISBLANK(tbl_task7[[คะแนนเต็ม]:[คะแนนเต็ม]]),"",(tbl_task7[53]/tbl_task7[[คะแนนเต็ม]:[คะแนนเต็ม]])*tbl_task7[[%]:[%]])</f>
        <v/>
      </c>
      <c r="HP24" s="121" t="str">
        <f>IF(ISBLANK(tbl_task7[[คะแนนเต็ม]:[คะแนนเต็ม]]),"",(tbl_task7[54]/tbl_task7[[คะแนนเต็ม]:[คะแนนเต็ม]])*tbl_task7[[%]:[%]])</f>
        <v/>
      </c>
      <c r="HQ24" s="121" t="str">
        <f>IF(ISBLANK(tbl_task7[[คะแนนเต็ม]:[คะแนนเต็ม]]),"",(tbl_task7[55]/tbl_task7[[คะแนนเต็ม]:[คะแนนเต็ม]])*tbl_task7[[%]:[%]])</f>
        <v/>
      </c>
      <c r="HR24" s="121" t="str">
        <f>IF(ISBLANK(tbl_task7[[คะแนนเต็ม]:[คะแนนเต็ม]]),"",(tbl_task7[56]/tbl_task7[[คะแนนเต็ม]:[คะแนนเต็ม]])*tbl_task7[[%]:[%]])</f>
        <v/>
      </c>
      <c r="HS24" s="121" t="str">
        <f>IF(ISBLANK(tbl_task7[[คะแนนเต็ม]:[คะแนนเต็ม]]),"",(tbl_task7[57]/tbl_task7[[คะแนนเต็ม]:[คะแนนเต็ม]])*tbl_task7[[%]:[%]])</f>
        <v/>
      </c>
      <c r="HT24" s="121" t="str">
        <f>IF(ISBLANK(tbl_task7[[คะแนนเต็ม]:[คะแนนเต็ม]]),"",(tbl_task7[58]/tbl_task7[[คะแนนเต็ม]:[คะแนนเต็ม]])*tbl_task7[[%]:[%]])</f>
        <v/>
      </c>
      <c r="HU24" s="121" t="str">
        <f>IF(ISBLANK(tbl_task7[[คะแนนเต็ม]:[คะแนนเต็ม]]),"",(tbl_task7[59]/tbl_task7[[คะแนนเต็ม]:[คะแนนเต็ม]])*tbl_task7[[%]:[%]])</f>
        <v/>
      </c>
      <c r="HV24" s="121" t="str">
        <f>IF(ISBLANK(tbl_task7[[คะแนนเต็ม]:[คะแนนเต็ม]]),"",(tbl_task7[60]/tbl_task7[[คะแนนเต็ม]:[คะแนนเต็ม]])*tbl_task7[[%]:[%]])</f>
        <v/>
      </c>
      <c r="HW24" s="121" t="str">
        <f>IF(ISBLANK(tbl_task7[[คะแนนเต็ม]:[คะแนนเต็ม]]),"",(tbl_task7[61]/tbl_task7[[คะแนนเต็ม]:[คะแนนเต็ม]])*tbl_task7[[%]:[%]])</f>
        <v/>
      </c>
      <c r="HX24" s="121" t="str">
        <f>IF(ISBLANK(tbl_task7[[คะแนนเต็ม]:[คะแนนเต็ม]]),"",(tbl_task7[62]/tbl_task7[[คะแนนเต็ม]:[คะแนนเต็ม]])*tbl_task7[[%]:[%]])</f>
        <v/>
      </c>
      <c r="HY24" s="121" t="str">
        <f>IF(ISBLANK(tbl_task7[[คะแนนเต็ม]:[คะแนนเต็ม]]),"",(tbl_task7[63]/tbl_task7[[คะแนนเต็ม]:[คะแนนเต็ม]])*tbl_task7[[%]:[%]])</f>
        <v/>
      </c>
      <c r="HZ24" s="121" t="str">
        <f>IF(ISBLANK(tbl_task7[[คะแนนเต็ม]:[คะแนนเต็ม]]),"",(tbl_task7[64]/tbl_task7[[คะแนนเต็ม]:[คะแนนเต็ม]])*tbl_task7[[%]:[%]])</f>
        <v/>
      </c>
      <c r="IA24" s="121" t="str">
        <f>IF(ISBLANK(tbl_task7[[คะแนนเต็ม]:[คะแนนเต็ม]]),"",(tbl_task7[65]/tbl_task7[[คะแนนเต็ม]:[คะแนนเต็ม]])*tbl_task7[[%]:[%]])</f>
        <v/>
      </c>
      <c r="IB24" s="121" t="str">
        <f>IF(ISBLANK(tbl_task7[[คะแนนเต็ม]:[คะแนนเต็ม]]),"",(tbl_task7[66]/tbl_task7[[คะแนนเต็ม]:[คะแนนเต็ม]])*tbl_task7[[%]:[%]])</f>
        <v/>
      </c>
      <c r="IC24" s="121" t="str">
        <f>IF(ISBLANK(tbl_task7[[คะแนนเต็ม]:[คะแนนเต็ม]]),"",(tbl_task7[67]/tbl_task7[[คะแนนเต็ม]:[คะแนนเต็ม]])*tbl_task7[[%]:[%]])</f>
        <v/>
      </c>
      <c r="ID24" s="121" t="str">
        <f>IF(ISBLANK(tbl_task7[[คะแนนเต็ม]:[คะแนนเต็ม]]),"",(tbl_task7[68]/tbl_task7[[คะแนนเต็ม]:[คะแนนเต็ม]])*tbl_task7[[%]:[%]])</f>
        <v/>
      </c>
      <c r="IE24" s="121" t="str">
        <f>IF(ISBLANK(tbl_task7[[คะแนนเต็ม]:[คะแนนเต็ม]]),"",(tbl_task7[69]/tbl_task7[[คะแนนเต็ม]:[คะแนนเต็ม]])*tbl_task7[[%]:[%]])</f>
        <v/>
      </c>
      <c r="IF24" s="121" t="str">
        <f>IF(ISBLANK(tbl_task7[[คะแนนเต็ม]:[คะแนนเต็ม]]),"",(tbl_task7[70]/tbl_task7[[คะแนนเต็ม]:[คะแนนเต็ม]])*tbl_task7[[%]:[%]])</f>
        <v/>
      </c>
      <c r="IG24" s="121" t="str">
        <f>IF(ISBLANK(tbl_task7[[คะแนนเต็ม]:[คะแนนเต็ม]]),"",(tbl_task7[71]/tbl_task7[[คะแนนเต็ม]:[คะแนนเต็ม]])*tbl_task7[[%]:[%]])</f>
        <v/>
      </c>
      <c r="IH24" s="121" t="str">
        <f>IF(ISBLANK(tbl_task7[[คะแนนเต็ม]:[คะแนนเต็ม]]),"",(tbl_task7[72]/tbl_task7[[คะแนนเต็ม]:[คะแนนเต็ม]])*tbl_task7[[%]:[%]])</f>
        <v/>
      </c>
      <c r="II24" s="121" t="str">
        <f>IF(ISBLANK(tbl_task7[[คะแนนเต็ม]:[คะแนนเต็ม]]),"",(tbl_task7[73]/tbl_task7[[คะแนนเต็ม]:[คะแนนเต็ม]])*tbl_task7[[%]:[%]])</f>
        <v/>
      </c>
      <c r="IJ24" s="121" t="str">
        <f>IF(ISBLANK(tbl_task7[[คะแนนเต็ม]:[คะแนนเต็ม]]),"",(tbl_task7[74]/tbl_task7[[คะแนนเต็ม]:[คะแนนเต็ม]])*tbl_task7[[%]:[%]])</f>
        <v/>
      </c>
      <c r="IK24" s="121" t="str">
        <f>IF(ISBLANK(tbl_task7[[คะแนนเต็ม]:[คะแนนเต็ม]]),"",(tbl_task7[75]/tbl_task7[[คะแนนเต็ม]:[คะแนนเต็ม]])*tbl_task7[[%]:[%]])</f>
        <v/>
      </c>
      <c r="IL24" s="121" t="str">
        <f>IF(ISBLANK(tbl_task7[[คะแนนเต็ม]:[คะแนนเต็ม]]),"",(tbl_task7[76]/tbl_task7[[คะแนนเต็ม]:[คะแนนเต็ม]])*tbl_task7[[%]:[%]])</f>
        <v/>
      </c>
      <c r="IM24" s="121" t="str">
        <f>IF(ISBLANK(tbl_task7[[คะแนนเต็ม]:[คะแนนเต็ม]]),"",(tbl_task7[77]/tbl_task7[[คะแนนเต็ม]:[คะแนนเต็ม]])*tbl_task7[[%]:[%]])</f>
        <v/>
      </c>
      <c r="IN24" s="121" t="str">
        <f>IF(ISBLANK(tbl_task7[[คะแนนเต็ม]:[คะแนนเต็ม]]),"",(tbl_task7[78]/tbl_task7[[คะแนนเต็ม]:[คะแนนเต็ม]])*tbl_task7[[%]:[%]])</f>
        <v/>
      </c>
      <c r="IO24" s="121" t="str">
        <f>IF(ISBLANK(tbl_task7[[คะแนนเต็ม]:[คะแนนเต็ม]]),"",(tbl_task7[79]/tbl_task7[[คะแนนเต็ม]:[คะแนนเต็ม]])*tbl_task7[[%]:[%]])</f>
        <v/>
      </c>
      <c r="IP24" s="121" t="str">
        <f>IF(ISBLANK(tbl_task7[[คะแนนเต็ม]:[คะแนนเต็ม]]),"",(tbl_task7[80]/tbl_task7[[คะแนนเต็ม]:[คะแนนเต็ม]])*tbl_task7[[%]:[%]])</f>
        <v/>
      </c>
      <c r="IQ24" s="121" t="str">
        <f>IF(ISBLANK(tbl_task7[[คะแนนเต็ม]:[คะแนนเต็ม]]),"",(tbl_task7[81]/tbl_task7[[คะแนนเต็ม]:[คะแนนเต็ม]])*tbl_task7[[%]:[%]])</f>
        <v/>
      </c>
      <c r="IR24" s="121" t="str">
        <f>IF(ISBLANK(tbl_task7[[คะแนนเต็ม]:[คะแนนเต็ม]]),"",(tbl_task7[82]/tbl_task7[[คะแนนเต็ม]:[คะแนนเต็ม]])*tbl_task7[[%]:[%]])</f>
        <v/>
      </c>
      <c r="IS24" s="121" t="str">
        <f>IF(ISBLANK(tbl_task7[[คะแนนเต็ม]:[คะแนนเต็ม]]),"",(tbl_task7[83]/tbl_task7[[คะแนนเต็ม]:[คะแนนเต็ม]])*tbl_task7[[%]:[%]])</f>
        <v/>
      </c>
      <c r="IT24" s="121" t="str">
        <f>IF(ISBLANK(tbl_task7[[คะแนนเต็ม]:[คะแนนเต็ม]]),"",(tbl_task7[84]/tbl_task7[[คะแนนเต็ม]:[คะแนนเต็ม]])*tbl_task7[[%]:[%]])</f>
        <v/>
      </c>
      <c r="IU24" s="121" t="str">
        <f>IF(ISBLANK(tbl_task7[[คะแนนเต็ม]:[คะแนนเต็ม]]),"",(tbl_task7[85]/tbl_task7[[คะแนนเต็ม]:[คะแนนเต็ม]])*tbl_task7[[%]:[%]])</f>
        <v/>
      </c>
      <c r="IV24" s="121" t="str">
        <f>IF(ISBLANK(tbl_task7[[คะแนนเต็ม]:[คะแนนเต็ม]]),"",(tbl_task7[86]/tbl_task7[[คะแนนเต็ม]:[คะแนนเต็ม]])*tbl_task7[[%]:[%]])</f>
        <v/>
      </c>
      <c r="IW24" s="121" t="str">
        <f>IF(ISBLANK(tbl_task7[[คะแนนเต็ม]:[คะแนนเต็ม]]),"",(tbl_task7[87]/tbl_task7[[คะแนนเต็ม]:[คะแนนเต็ม]])*tbl_task7[[%]:[%]])</f>
        <v/>
      </c>
      <c r="IX24" s="121" t="str">
        <f>IF(ISBLANK(tbl_task7[[คะแนนเต็ม]:[คะแนนเต็ม]]),"",(tbl_task7[88]/tbl_task7[[คะแนนเต็ม]:[คะแนนเต็ม]])*tbl_task7[[%]:[%]])</f>
        <v/>
      </c>
      <c r="IY24" s="121" t="str">
        <f>IF(ISBLANK(tbl_task7[[คะแนนเต็ม]:[คะแนนเต็ม]]),"",(tbl_task7[89]/tbl_task7[[คะแนนเต็ม]:[คะแนนเต็ม]])*tbl_task7[[%]:[%]])</f>
        <v/>
      </c>
      <c r="IZ24" s="121" t="str">
        <f>IF(ISBLANK(tbl_task7[[คะแนนเต็ม]:[คะแนนเต็ม]]),"",(tbl_task7[90]/tbl_task7[[คะแนนเต็ม]:[คะแนนเต็ม]])*tbl_task7[[%]:[%]])</f>
        <v/>
      </c>
      <c r="JA24" s="121" t="str">
        <f>IF(ISBLANK(tbl_task7[[คะแนนเต็ม]:[คะแนนเต็ม]]),"",(tbl_task7[91]/tbl_task7[[คะแนนเต็ม]:[คะแนนเต็ม]])*tbl_task7[[%]:[%]])</f>
        <v/>
      </c>
      <c r="JB24" s="121" t="str">
        <f>IF(ISBLANK(tbl_task7[[คะแนนเต็ม]:[คะแนนเต็ม]]),"",(tbl_task7[92]/tbl_task7[[คะแนนเต็ม]:[คะแนนเต็ม]])*tbl_task7[[%]:[%]])</f>
        <v/>
      </c>
      <c r="JC24" s="121" t="str">
        <f>IF(ISBLANK(tbl_task7[[คะแนนเต็ม]:[คะแนนเต็ม]]),"",(tbl_task7[93]/tbl_task7[[คะแนนเต็ม]:[คะแนนเต็ม]])*tbl_task7[[%]:[%]])</f>
        <v/>
      </c>
      <c r="JD24" s="121" t="str">
        <f>IF(ISBLANK(tbl_task7[[คะแนนเต็ม]:[คะแนนเต็ม]]),"",(tbl_task7[94]/tbl_task7[[คะแนนเต็ม]:[คะแนนเต็ม]])*tbl_task7[[%]:[%]])</f>
        <v/>
      </c>
      <c r="JE24" s="121" t="str">
        <f>IF(ISBLANK(tbl_task7[[คะแนนเต็ม]:[คะแนนเต็ม]]),"",(tbl_task7[95]/tbl_task7[[คะแนนเต็ม]:[คะแนนเต็ม]])*tbl_task7[[%]:[%]])</f>
        <v/>
      </c>
      <c r="JF24" s="121" t="str">
        <f>IF(ISBLANK(tbl_task7[[คะแนนเต็ม]:[คะแนนเต็ม]]),"",(tbl_task7[96]/tbl_task7[[คะแนนเต็ม]:[คะแนนเต็ม]])*tbl_task7[[%]:[%]])</f>
        <v/>
      </c>
      <c r="JG24" s="121" t="str">
        <f>IF(ISBLANK(tbl_task7[[คะแนนเต็ม]:[คะแนนเต็ม]]),"",(tbl_task7[97]/tbl_task7[[คะแนนเต็ม]:[คะแนนเต็ม]])*tbl_task7[[%]:[%]])</f>
        <v/>
      </c>
      <c r="JH24" s="121" t="str">
        <f>IF(ISBLANK(tbl_task7[[คะแนนเต็ม]:[คะแนนเต็ม]]),"",(tbl_task7[98]/tbl_task7[[คะแนนเต็ม]:[คะแนนเต็ม]])*tbl_task7[[%]:[%]])</f>
        <v/>
      </c>
      <c r="JI24" s="121" t="str">
        <f>IF(ISBLANK(tbl_task7[[คะแนนเต็ม]:[คะแนนเต็ม]]),"",(tbl_task7[99]/tbl_task7[[คะแนนเต็ม]:[คะแนนเต็ม]])*tbl_task7[[%]:[%]])</f>
        <v/>
      </c>
      <c r="JJ24" s="121" t="str">
        <f>IF(ISBLANK(tbl_task7[[คะแนนเต็ม]:[คะแนนเต็ม]]),"",(tbl_task7[100]/tbl_task7[[คะแนนเต็ม]:[คะแนนเต็ม]])*tbl_task7[[%]:[%]])</f>
        <v/>
      </c>
      <c r="JK24" s="121" t="str">
        <f>IF(ISBLANK(tbl_task7[[คะแนนเต็ม]:[คะแนนเต็ม]]),"",(tbl_task7[101]/tbl_task7[[คะแนนเต็ม]:[คะแนนเต็ม]])*tbl_task7[[%]:[%]])</f>
        <v/>
      </c>
      <c r="JL24" s="121" t="str">
        <f>IF(ISBLANK(tbl_task7[[คะแนนเต็ม]:[คะแนนเต็ม]]),"",(tbl_task7[102]/tbl_task7[[คะแนนเต็ม]:[คะแนนเต็ม]])*tbl_task7[[%]:[%]])</f>
        <v/>
      </c>
      <c r="JM24" s="121" t="str">
        <f>IF(ISBLANK(tbl_task7[[คะแนนเต็ม]:[คะแนนเต็ม]]),"",(tbl_task7[103]/tbl_task7[[คะแนนเต็ม]:[คะแนนเต็ม]])*tbl_task7[[%]:[%]])</f>
        <v/>
      </c>
      <c r="JN24" s="121" t="str">
        <f>IF(ISBLANK(tbl_task7[[คะแนนเต็ม]:[คะแนนเต็ม]]),"",(tbl_task7[104]/tbl_task7[[คะแนนเต็ม]:[คะแนนเต็ม]])*tbl_task7[[%]:[%]])</f>
        <v/>
      </c>
      <c r="JO24" s="121" t="str">
        <f>IF(ISBLANK(tbl_task7[[คะแนนเต็ม]:[คะแนนเต็ม]]),"",(tbl_task7[105]/tbl_task7[[คะแนนเต็ม]:[คะแนนเต็ม]])*tbl_task7[[%]:[%]])</f>
        <v/>
      </c>
      <c r="JP24" s="121" t="str">
        <f>IF(ISBLANK(tbl_task7[[คะแนนเต็ม]:[คะแนนเต็ม]]),"",(tbl_task7[106]/tbl_task7[[คะแนนเต็ม]:[คะแนนเต็ม]])*tbl_task7[[%]:[%]])</f>
        <v/>
      </c>
      <c r="JQ24" s="121" t="str">
        <f>IF(ISBLANK(tbl_task7[[คะแนนเต็ม]:[คะแนนเต็ม]]),"",(tbl_task7[107]/tbl_task7[[คะแนนเต็ม]:[คะแนนเต็ม]])*tbl_task7[[%]:[%]])</f>
        <v/>
      </c>
      <c r="JR24" s="121" t="str">
        <f>IF(ISBLANK(tbl_task7[[คะแนนเต็ม]:[คะแนนเต็ม]]),"",(tbl_task7[108]/tbl_task7[[คะแนนเต็ม]:[คะแนนเต็ม]])*tbl_task7[[%]:[%]])</f>
        <v/>
      </c>
      <c r="JS24" s="121" t="str">
        <f>IF(ISBLANK(tbl_task7[[คะแนนเต็ม]:[คะแนนเต็ม]]),"",(tbl_task7[109]/tbl_task7[[คะแนนเต็ม]:[คะแนนเต็ม]])*tbl_task7[[%]:[%]])</f>
        <v/>
      </c>
      <c r="JT24" s="121" t="str">
        <f>IF(ISBLANK(tbl_task7[[คะแนนเต็ม]:[คะแนนเต็ม]]),"",(tbl_task7[110]/tbl_task7[[คะแนนเต็ม]:[คะแนนเต็ม]])*tbl_task7[[%]:[%]])</f>
        <v/>
      </c>
      <c r="JU24" s="121" t="str">
        <f>IF(ISBLANK(tbl_task7[[คะแนนเต็ม]:[คะแนนเต็ม]]),"",(tbl_task7[111]/tbl_task7[[คะแนนเต็ม]:[คะแนนเต็ม]])*tbl_task7[[%]:[%]])</f>
        <v/>
      </c>
      <c r="JV24" s="121" t="str">
        <f>IF(ISBLANK(tbl_task7[[คะแนนเต็ม]:[คะแนนเต็ม]]),"",(tbl_task7[112]/tbl_task7[[คะแนนเต็ม]:[คะแนนเต็ม]])*tbl_task7[[%]:[%]])</f>
        <v/>
      </c>
      <c r="JW24" s="121" t="str">
        <f>IF(ISBLANK(tbl_task7[[คะแนนเต็ม]:[คะแนนเต็ม]]),"",(tbl_task7[113]/tbl_task7[[คะแนนเต็ม]:[คะแนนเต็ม]])*tbl_task7[[%]:[%]])</f>
        <v/>
      </c>
      <c r="JX24" s="121" t="str">
        <f>IF(ISBLANK(tbl_task7[[คะแนนเต็ม]:[คะแนนเต็ม]]),"",(tbl_task7[114]/tbl_task7[[คะแนนเต็ม]:[คะแนนเต็ม]])*tbl_task7[[%]:[%]])</f>
        <v/>
      </c>
      <c r="JY24" s="121" t="str">
        <f>IF(ISBLANK(tbl_task7[[คะแนนเต็ม]:[คะแนนเต็ม]]),"",(tbl_task7[115]/tbl_task7[[คะแนนเต็ม]:[คะแนนเต็ม]])*tbl_task7[[%]:[%]])</f>
        <v/>
      </c>
      <c r="JZ24" s="121" t="str">
        <f>IF(ISBLANK(tbl_task7[[คะแนนเต็ม]:[คะแนนเต็ม]]),"",(tbl_task7[116]/tbl_task7[[คะแนนเต็ม]:[คะแนนเต็ม]])*tbl_task7[[%]:[%]])</f>
        <v/>
      </c>
      <c r="KA24" s="121" t="str">
        <f>IF(ISBLANK(tbl_task7[[คะแนนเต็ม]:[คะแนนเต็ม]]),"",(tbl_task7[117]/tbl_task7[[คะแนนเต็ม]:[คะแนนเต็ม]])*tbl_task7[[%]:[%]])</f>
        <v/>
      </c>
      <c r="KB24" s="121" t="str">
        <f>IF(ISBLANK(tbl_task7[[คะแนนเต็ม]:[คะแนนเต็ม]]),"",(tbl_task7[118]/tbl_task7[[คะแนนเต็ม]:[คะแนนเต็ม]])*tbl_task7[[%]:[%]])</f>
        <v/>
      </c>
      <c r="KC24" s="121" t="str">
        <f>IF(ISBLANK(tbl_task7[[คะแนนเต็ม]:[คะแนนเต็ม]]),"",(tbl_task7[119]/tbl_task7[[คะแนนเต็ม]:[คะแนนเต็ม]])*tbl_task7[[%]:[%]])</f>
        <v/>
      </c>
      <c r="KD24" s="121" t="str">
        <f>IF(ISBLANK(tbl_task7[[คะแนนเต็ม]:[คะแนนเต็ม]]),"",(tbl_task7[120]/tbl_task7[[คะแนนเต็ม]:[คะแนนเต็ม]])*tbl_task7[[%]:[%]])</f>
        <v/>
      </c>
      <c r="KE24" s="121" t="str">
        <f>IF(ISBLANK(tbl_task7[[คะแนนเต็ม]:[คะแนนเต็ม]]),"",(tbl_task7[121]/tbl_task7[[คะแนนเต็ม]:[คะแนนเต็ม]])*tbl_task7[[%]:[%]])</f>
        <v/>
      </c>
      <c r="KF24" s="121" t="str">
        <f>IF(ISBLANK(tbl_task7[[คะแนนเต็ม]:[คะแนนเต็ม]]),"",(tbl_task7[122]/tbl_task7[[คะแนนเต็ม]:[คะแนนเต็ม]])*tbl_task7[[%]:[%]])</f>
        <v/>
      </c>
      <c r="KG24" s="121" t="str">
        <f>IF(ISBLANK(tbl_task7[[คะแนนเต็ม]:[คะแนนเต็ม]]),"",(tbl_task7[123]/tbl_task7[[คะแนนเต็ม]:[คะแนนเต็ม]])*tbl_task7[[%]:[%]])</f>
        <v/>
      </c>
      <c r="KH24" s="121" t="str">
        <f>IF(ISBLANK(tbl_task7[[คะแนนเต็ม]:[คะแนนเต็ม]]),"",(tbl_task7[124]/tbl_task7[[คะแนนเต็ม]:[คะแนนเต็ม]])*tbl_task7[[%]:[%]])</f>
        <v/>
      </c>
      <c r="KI24" s="121" t="str">
        <f>IF(ISBLANK(tbl_task7[[คะแนนเต็ม]:[คะแนนเต็ม]]),"",(tbl_task7[125]/tbl_task7[[คะแนนเต็ม]:[คะแนนเต็ม]])*tbl_task7[[%]:[%]])</f>
        <v/>
      </c>
      <c r="KJ24" s="121" t="str">
        <f>IF(ISBLANK(tbl_task7[[คะแนนเต็ม]:[คะแนนเต็ม]]),"",(tbl_task7[126]/tbl_task7[[คะแนนเต็ม]:[คะแนนเต็ม]])*tbl_task7[[%]:[%]])</f>
        <v/>
      </c>
      <c r="KK24" s="121" t="str">
        <f>IF(ISBLANK(tbl_task7[[คะแนนเต็ม]:[คะแนนเต็ม]]),"",(tbl_task7[127]/tbl_task7[[คะแนนเต็ม]:[คะแนนเต็ม]])*tbl_task7[[%]:[%]])</f>
        <v/>
      </c>
      <c r="KL24" s="121" t="str">
        <f>IF(ISBLANK(tbl_task7[[คะแนนเต็ม]:[คะแนนเต็ม]]),"",(tbl_task7[128]/tbl_task7[[คะแนนเต็ม]:[คะแนนเต็ม]])*tbl_task7[[%]:[%]])</f>
        <v/>
      </c>
      <c r="KM24" s="121" t="str">
        <f>IF(ISBLANK(tbl_task7[[คะแนนเต็ม]:[คะแนนเต็ม]]),"",(tbl_task7[129]/tbl_task7[[คะแนนเต็ม]:[คะแนนเต็ม]])*tbl_task7[[%]:[%]])</f>
        <v/>
      </c>
      <c r="KN24" s="121" t="str">
        <f>IF(ISBLANK(tbl_task7[[คะแนนเต็ม]:[คะแนนเต็ม]]),"",(tbl_task7[130]/tbl_task7[[คะแนนเต็ม]:[คะแนนเต็ม]])*tbl_task7[[%]:[%]])</f>
        <v/>
      </c>
      <c r="KO24" s="121" t="str">
        <f>IF(ISBLANK(tbl_task7[[คะแนนเต็ม]:[คะแนนเต็ม]]),"",(tbl_task7[131]/tbl_task7[[คะแนนเต็ม]:[คะแนนเต็ม]])*tbl_task7[[%]:[%]])</f>
        <v/>
      </c>
      <c r="KP24" s="121" t="str">
        <f>IF(ISBLANK(tbl_task7[[คะแนนเต็ม]:[คะแนนเต็ม]]),"",(tbl_task7[132]/tbl_task7[[คะแนนเต็ม]:[คะแนนเต็ม]])*tbl_task7[[%]:[%]])</f>
        <v/>
      </c>
      <c r="KQ24" s="121" t="str">
        <f>IF(ISBLANK(tbl_task7[[คะแนนเต็ม]:[คะแนนเต็ม]]),"",(tbl_task7[133]/tbl_task7[[คะแนนเต็ม]:[คะแนนเต็ม]])*tbl_task7[[%]:[%]])</f>
        <v/>
      </c>
      <c r="KR24" s="121" t="str">
        <f>IF(ISBLANK(tbl_task7[[คะแนนเต็ม]:[คะแนนเต็ม]]),"",(tbl_task7[134]/tbl_task7[[คะแนนเต็ม]:[คะแนนเต็ม]])*tbl_task7[[%]:[%]])</f>
        <v/>
      </c>
      <c r="KS24" s="121" t="str">
        <f>IF(ISBLANK(tbl_task7[[คะแนนเต็ม]:[คะแนนเต็ม]]),"",(tbl_task7[135]/tbl_task7[[คะแนนเต็ม]:[คะแนนเต็ม]])*tbl_task7[[%]:[%]])</f>
        <v/>
      </c>
      <c r="KT24" s="121" t="str">
        <f>IF(ISBLANK(tbl_task7[[คะแนนเต็ม]:[คะแนนเต็ม]]),"",(tbl_task7[136]/tbl_task7[[คะแนนเต็ม]:[คะแนนเต็ม]])*tbl_task7[[%]:[%]])</f>
        <v/>
      </c>
      <c r="KU24" s="121" t="str">
        <f>IF(ISBLANK(tbl_task7[[คะแนนเต็ม]:[คะแนนเต็ม]]),"",(tbl_task7[137]/tbl_task7[[คะแนนเต็ม]:[คะแนนเต็ม]])*tbl_task7[[%]:[%]])</f>
        <v/>
      </c>
      <c r="KV24" s="121" t="str">
        <f>IF(ISBLANK(tbl_task7[[คะแนนเต็ม]:[คะแนนเต็ม]]),"",(tbl_task7[138]/tbl_task7[[คะแนนเต็ม]:[คะแนนเต็ม]])*tbl_task7[[%]:[%]])</f>
        <v/>
      </c>
      <c r="KW24" s="121" t="str">
        <f>IF(ISBLANK(tbl_task7[[คะแนนเต็ม]:[คะแนนเต็ม]]),"",(tbl_task7[139]/tbl_task7[[คะแนนเต็ม]:[คะแนนเต็ม]])*tbl_task7[[%]:[%]])</f>
        <v/>
      </c>
      <c r="KX24" s="121" t="str">
        <f>IF(ISBLANK(tbl_task7[[คะแนนเต็ม]:[คะแนนเต็ม]]),"",(tbl_task7[140]/tbl_task7[[คะแนนเต็ม]:[คะแนนเต็ม]])*tbl_task7[[%]:[%]])</f>
        <v/>
      </c>
      <c r="KY24" s="121" t="str">
        <f>IF(ISBLANK(tbl_task7[[คะแนนเต็ม]:[คะแนนเต็ม]]),"",(tbl_task7[141]/tbl_task7[[คะแนนเต็ม]:[คะแนนเต็ม]])*tbl_task7[[%]:[%]])</f>
        <v/>
      </c>
      <c r="KZ24" s="121" t="str">
        <f>IF(ISBLANK(tbl_task7[[คะแนนเต็ม]:[คะแนนเต็ม]]),"",(tbl_task7[142]/tbl_task7[[คะแนนเต็ม]:[คะแนนเต็ม]])*tbl_task7[[%]:[%]])</f>
        <v/>
      </c>
      <c r="LA24" s="121" t="str">
        <f>IF(ISBLANK(tbl_task7[[คะแนนเต็ม]:[คะแนนเต็ม]]),"",(tbl_task7[143]/tbl_task7[[คะแนนเต็ม]:[คะแนนเต็ม]])*tbl_task7[[%]:[%]])</f>
        <v/>
      </c>
      <c r="LB24" s="121" t="str">
        <f>IF(ISBLANK(tbl_task7[[คะแนนเต็ม]:[คะแนนเต็ม]]),"",(tbl_task7[144]/tbl_task7[[คะแนนเต็ม]:[คะแนนเต็ม]])*tbl_task7[[%]:[%]])</f>
        <v/>
      </c>
      <c r="LC24" s="121" t="str">
        <f>IF(ISBLANK(tbl_task7[[คะแนนเต็ม]:[คะแนนเต็ม]]),"",(tbl_task7[145]/tbl_task7[[คะแนนเต็ม]:[คะแนนเต็ม]])*tbl_task7[[%]:[%]])</f>
        <v/>
      </c>
      <c r="LD24" s="121" t="str">
        <f>IF(ISBLANK(tbl_task7[[คะแนนเต็ม]:[คะแนนเต็ม]]),"",(tbl_task7[146]/tbl_task7[[คะแนนเต็ม]:[คะแนนเต็ม]])*tbl_task7[[%]:[%]])</f>
        <v/>
      </c>
      <c r="LE24" s="121" t="str">
        <f>IF(ISBLANK(tbl_task7[[คะแนนเต็ม]:[คะแนนเต็ม]]),"",(tbl_task7[147]/tbl_task7[[คะแนนเต็ม]:[คะแนนเต็ม]])*tbl_task7[[%]:[%]])</f>
        <v/>
      </c>
      <c r="LF24" s="121" t="str">
        <f>IF(ISBLANK(tbl_task7[[คะแนนเต็ม]:[คะแนนเต็ม]]),"",(tbl_task7[148]/tbl_task7[[คะแนนเต็ม]:[คะแนนเต็ม]])*tbl_task7[[%]:[%]])</f>
        <v/>
      </c>
      <c r="LG24" s="121" t="str">
        <f>IF(ISBLANK(tbl_task7[[คะแนนเต็ม]:[คะแนนเต็ม]]),"",(tbl_task7[149]/tbl_task7[[คะแนนเต็ม]:[คะแนนเต็ม]])*tbl_task7[[%]:[%]])</f>
        <v/>
      </c>
      <c r="LH24" s="121" t="str">
        <f>IF(ISBLANK(tbl_task7[[คะแนนเต็ม]:[คะแนนเต็ม]]),"",(tbl_task7[150]/tbl_task7[[คะแนนเต็ม]:[คะแนนเต็ม]])*tbl_task7[[%]:[%]])</f>
        <v/>
      </c>
      <c r="LI24" s="121" t="str">
        <f>IF(ISBLANK(tbl_task7[[คะแนนเต็ม]:[คะแนนเต็ม]]),"",(tbl_task7[151]/tbl_task7[[คะแนนเต็ม]:[คะแนนเต็ม]])*tbl_task7[[%]:[%]])</f>
        <v/>
      </c>
      <c r="LJ24" s="121" t="str">
        <f>IF(ISBLANK(tbl_task7[[คะแนนเต็ม]:[คะแนนเต็ม]]),"",(tbl_task7[152]/tbl_task7[[คะแนนเต็ม]:[คะแนนเต็ม]])*tbl_task7[[%]:[%]])</f>
        <v/>
      </c>
      <c r="LK24" s="121" t="str">
        <f>IF(ISBLANK(tbl_task7[[คะแนนเต็ม]:[คะแนนเต็ม]]),"",(tbl_task7[153]/tbl_task7[[คะแนนเต็ม]:[คะแนนเต็ม]])*tbl_task7[[%]:[%]])</f>
        <v/>
      </c>
      <c r="LL24" s="121" t="str">
        <f>IF(ISBLANK(tbl_task7[[คะแนนเต็ม]:[คะแนนเต็ม]]),"",(tbl_task7[154]/tbl_task7[[คะแนนเต็ม]:[คะแนนเต็ม]])*tbl_task7[[%]:[%]])</f>
        <v/>
      </c>
      <c r="LM24" s="121" t="str">
        <f>IF(ISBLANK(tbl_task7[[คะแนนเต็ม]:[คะแนนเต็ม]]),"",(tbl_task7[155]/tbl_task7[[คะแนนเต็ม]:[คะแนนเต็ม]])*tbl_task7[[%]:[%]])</f>
        <v/>
      </c>
      <c r="LN24" s="121" t="str">
        <f>IF(ISBLANK(tbl_task7[[คะแนนเต็ม]:[คะแนนเต็ม]]),"",(tbl_task7[156]/tbl_task7[[คะแนนเต็ม]:[คะแนนเต็ม]])*tbl_task7[[%]:[%]])</f>
        <v/>
      </c>
      <c r="LO24" s="121" t="str">
        <f>IF(ISBLANK(tbl_task7[[คะแนนเต็ม]:[คะแนนเต็ม]]),"",(tbl_task7[157]/tbl_task7[[คะแนนเต็ม]:[คะแนนเต็ม]])*tbl_task7[[%]:[%]])</f>
        <v/>
      </c>
      <c r="LP24" s="121" t="str">
        <f>IF(ISBLANK(tbl_task7[[คะแนนเต็ม]:[คะแนนเต็ม]]),"",(tbl_task7[158]/tbl_task7[[คะแนนเต็ม]:[คะแนนเต็ม]])*tbl_task7[[%]:[%]])</f>
        <v/>
      </c>
      <c r="LQ24" s="121" t="str">
        <f>IF(ISBLANK(tbl_task7[[คะแนนเต็ม]:[คะแนนเต็ม]]),"",(tbl_task7[159]/tbl_task7[[คะแนนเต็ม]:[คะแนนเต็ม]])*tbl_task7[[%]:[%]])</f>
        <v/>
      </c>
      <c r="LR24" s="121" t="str">
        <f>IF(ISBLANK(tbl_task7[[คะแนนเต็ม]:[คะแนนเต็ม]]),"",(tbl_task7[160]/tbl_task7[[คะแนนเต็ม]:[คะแนนเต็ม]])*tbl_task7[[%]:[%]])</f>
        <v/>
      </c>
      <c r="LS24" s="121" t="str">
        <f>IF(ISBLANK(tbl_task7[[คะแนนเต็ม]:[คะแนนเต็ม]]),"",(tbl_task7[161]/tbl_task7[[คะแนนเต็ม]:[คะแนนเต็ม]])*tbl_task7[[%]:[%]])</f>
        <v/>
      </c>
      <c r="LT24" s="121" t="str">
        <f>IF(ISBLANK(tbl_task7[[คะแนนเต็ม]:[คะแนนเต็ม]]),"",(tbl_task7[162]/tbl_task7[[คะแนนเต็ม]:[คะแนนเต็ม]])*tbl_task7[[%]:[%]])</f>
        <v/>
      </c>
      <c r="LU24" s="121" t="str">
        <f>IF(ISBLANK(tbl_task7[[คะแนนเต็ม]:[คะแนนเต็ม]]),"",(tbl_task7[163]/tbl_task7[[คะแนนเต็ม]:[คะแนนเต็ม]])*tbl_task7[[%]:[%]])</f>
        <v/>
      </c>
      <c r="LV24" s="121" t="str">
        <f>IF(ISBLANK(tbl_task7[[คะแนนเต็ม]:[คะแนนเต็ม]]),"",(tbl_task7[164]/tbl_task7[[คะแนนเต็ม]:[คะแนนเต็ม]])*tbl_task7[[%]:[%]])</f>
        <v/>
      </c>
      <c r="LW24" s="121" t="str">
        <f>IF(ISBLANK(tbl_task7[[คะแนนเต็ม]:[คะแนนเต็ม]]),"",(tbl_task7[165]/tbl_task7[[คะแนนเต็ม]:[คะแนนเต็ม]])*tbl_task7[[%]:[%]])</f>
        <v/>
      </c>
    </row>
    <row r="25" spans="1:335" ht="24" customHeight="1" x14ac:dyDescent="0.25">
      <c r="A25" s="24">
        <v>22</v>
      </c>
      <c r="B25" s="20"/>
      <c r="C25" s="5" t="str">
        <f>IF(ISBLANK(B25),"",VLOOKUP(B25,tbl_PLOs[],2,0))</f>
        <v/>
      </c>
      <c r="D25" s="102"/>
      <c r="E25" s="106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21" t="str">
        <f>IF(ISBLANK(tbl_task7[[คะแนนเต็ม]:[คะแนนเต็ม]]),"",(tbl_task7[1]/tbl_task7[[คะแนนเต็ม]:[คะแนนเต็ม]])*tbl_task7[[%]:[%]])</f>
        <v/>
      </c>
      <c r="FP25" s="121" t="str">
        <f>IF(ISBLANK(tbl_task7[[คะแนนเต็ม]:[คะแนนเต็ม]]),"",(tbl_task7[2]/tbl_task7[[คะแนนเต็ม]:[คะแนนเต็ม]])*tbl_task7[[%]:[%]])</f>
        <v/>
      </c>
      <c r="FQ25" s="121" t="str">
        <f>IF(ISBLANK(tbl_task7[[คะแนนเต็ม]:[คะแนนเต็ม]]),"",(tbl_task7[3]/tbl_task7[[คะแนนเต็ม]:[คะแนนเต็ม]])*tbl_task7[[%]:[%]])</f>
        <v/>
      </c>
      <c r="FR25" s="121" t="str">
        <f>IF(ISBLANK(tbl_task7[[คะแนนเต็ม]:[คะแนนเต็ม]]),"",(tbl_task7[4]/tbl_task7[[คะแนนเต็ม]:[คะแนนเต็ม]])*tbl_task7[[%]:[%]])</f>
        <v/>
      </c>
      <c r="FS25" s="121" t="str">
        <f>IF(ISBLANK(tbl_task7[[คะแนนเต็ม]:[คะแนนเต็ม]]),"",(tbl_task7[5]/tbl_task7[[คะแนนเต็ม]:[คะแนนเต็ม]])*tbl_task7[[%]:[%]])</f>
        <v/>
      </c>
      <c r="FT25" s="121" t="str">
        <f>IF(ISBLANK(tbl_task7[[คะแนนเต็ม]:[คะแนนเต็ม]]),"",(tbl_task7[6]/tbl_task7[[คะแนนเต็ม]:[คะแนนเต็ม]])*tbl_task7[[%]:[%]])</f>
        <v/>
      </c>
      <c r="FU25" s="121" t="str">
        <f>IF(ISBLANK(tbl_task7[[คะแนนเต็ม]:[คะแนนเต็ม]]),"",(tbl_task7[7]/tbl_task7[[คะแนนเต็ม]:[คะแนนเต็ม]])*tbl_task7[[%]:[%]])</f>
        <v/>
      </c>
      <c r="FV25" s="121" t="str">
        <f>IF(ISBLANK(tbl_task7[[คะแนนเต็ม]:[คะแนนเต็ม]]),"",(tbl_task7[8]/tbl_task7[[คะแนนเต็ม]:[คะแนนเต็ม]])*tbl_task7[[%]:[%]])</f>
        <v/>
      </c>
      <c r="FW25" s="121" t="str">
        <f>IF(ISBLANK(tbl_task7[[คะแนนเต็ม]:[คะแนนเต็ม]]),"",(tbl_task7[9]/tbl_task7[[คะแนนเต็ม]:[คะแนนเต็ม]])*tbl_task7[[%]:[%]])</f>
        <v/>
      </c>
      <c r="FX25" s="121" t="str">
        <f>IF(ISBLANK(tbl_task7[[คะแนนเต็ม]:[คะแนนเต็ม]]),"",(tbl_task7[10]/tbl_task7[[คะแนนเต็ม]:[คะแนนเต็ม]])*tbl_task7[[%]:[%]])</f>
        <v/>
      </c>
      <c r="FY25" s="121" t="str">
        <f>IF(ISBLANK(tbl_task7[[คะแนนเต็ม]:[คะแนนเต็ม]]),"",(tbl_task7[11]/tbl_task7[[คะแนนเต็ม]:[คะแนนเต็ม]])*tbl_task7[[%]:[%]])</f>
        <v/>
      </c>
      <c r="FZ25" s="121" t="str">
        <f>IF(ISBLANK(tbl_task7[[คะแนนเต็ม]:[คะแนนเต็ม]]),"",(tbl_task7[12]/tbl_task7[[คะแนนเต็ม]:[คะแนนเต็ม]])*tbl_task7[[%]:[%]])</f>
        <v/>
      </c>
      <c r="GA25" s="121" t="str">
        <f>IF(ISBLANK(tbl_task7[[คะแนนเต็ม]:[คะแนนเต็ม]]),"",(tbl_task7[13]/tbl_task7[[คะแนนเต็ม]:[คะแนนเต็ม]])*tbl_task7[[%]:[%]])</f>
        <v/>
      </c>
      <c r="GB25" s="121" t="str">
        <f>IF(ISBLANK(tbl_task7[[คะแนนเต็ม]:[คะแนนเต็ม]]),"",(tbl_task7[14]/tbl_task7[[คะแนนเต็ม]:[คะแนนเต็ม]])*tbl_task7[[%]:[%]])</f>
        <v/>
      </c>
      <c r="GC25" s="121" t="str">
        <f>IF(ISBLANK(tbl_task7[[คะแนนเต็ม]:[คะแนนเต็ม]]),"",(tbl_task7[15]/tbl_task7[[คะแนนเต็ม]:[คะแนนเต็ม]])*tbl_task7[[%]:[%]])</f>
        <v/>
      </c>
      <c r="GD25" s="121" t="str">
        <f>IF(ISBLANK(tbl_task7[[คะแนนเต็ม]:[คะแนนเต็ม]]),"",(tbl_task7[16]/tbl_task7[[คะแนนเต็ม]:[คะแนนเต็ม]])*tbl_task7[[%]:[%]])</f>
        <v/>
      </c>
      <c r="GE25" s="121" t="str">
        <f>IF(ISBLANK(tbl_task7[[คะแนนเต็ม]:[คะแนนเต็ม]]),"",(tbl_task7[17]/tbl_task7[[คะแนนเต็ม]:[คะแนนเต็ม]])*tbl_task7[[%]:[%]])</f>
        <v/>
      </c>
      <c r="GF25" s="121" t="str">
        <f>IF(ISBLANK(tbl_task7[[คะแนนเต็ม]:[คะแนนเต็ม]]),"",(tbl_task7[18]/tbl_task7[[คะแนนเต็ม]:[คะแนนเต็ม]])*tbl_task7[[%]:[%]])</f>
        <v/>
      </c>
      <c r="GG25" s="121" t="str">
        <f>IF(ISBLANK(tbl_task7[[คะแนนเต็ม]:[คะแนนเต็ม]]),"",(tbl_task7[19]/tbl_task7[[คะแนนเต็ม]:[คะแนนเต็ม]])*tbl_task7[[%]:[%]])</f>
        <v/>
      </c>
      <c r="GH25" s="121" t="str">
        <f>IF(ISBLANK(tbl_task7[[คะแนนเต็ม]:[คะแนนเต็ม]]),"",(tbl_task7[20]/tbl_task7[[คะแนนเต็ม]:[คะแนนเต็ม]])*tbl_task7[[%]:[%]])</f>
        <v/>
      </c>
      <c r="GI25" s="121" t="str">
        <f>IF(ISBLANK(tbl_task7[[คะแนนเต็ม]:[คะแนนเต็ม]]),"",(tbl_task7[21]/tbl_task7[[คะแนนเต็ม]:[คะแนนเต็ม]])*tbl_task7[[%]:[%]])</f>
        <v/>
      </c>
      <c r="GJ25" s="121" t="str">
        <f>IF(ISBLANK(tbl_task7[[คะแนนเต็ม]:[คะแนนเต็ม]]),"",(tbl_task7[22]/tbl_task7[[คะแนนเต็ม]:[คะแนนเต็ม]])*tbl_task7[[%]:[%]])</f>
        <v/>
      </c>
      <c r="GK25" s="121" t="str">
        <f>IF(ISBLANK(tbl_task7[[คะแนนเต็ม]:[คะแนนเต็ม]]),"",(tbl_task7[23]/tbl_task7[[คะแนนเต็ม]:[คะแนนเต็ม]])*tbl_task7[[%]:[%]])</f>
        <v/>
      </c>
      <c r="GL25" s="121" t="str">
        <f>IF(ISBLANK(tbl_task7[[คะแนนเต็ม]:[คะแนนเต็ม]]),"",(tbl_task7[24]/tbl_task7[[คะแนนเต็ม]:[คะแนนเต็ม]])*tbl_task7[[%]:[%]])</f>
        <v/>
      </c>
      <c r="GM25" s="121" t="str">
        <f>IF(ISBLANK(tbl_task7[[คะแนนเต็ม]:[คะแนนเต็ม]]),"",(tbl_task7[25]/tbl_task7[[คะแนนเต็ม]:[คะแนนเต็ม]])*tbl_task7[[%]:[%]])</f>
        <v/>
      </c>
      <c r="GN25" s="121" t="str">
        <f>IF(ISBLANK(tbl_task7[[คะแนนเต็ม]:[คะแนนเต็ม]]),"",(tbl_task7[26]/tbl_task7[[คะแนนเต็ม]:[คะแนนเต็ม]])*tbl_task7[[%]:[%]])</f>
        <v/>
      </c>
      <c r="GO25" s="121" t="str">
        <f>IF(ISBLANK(tbl_task7[[คะแนนเต็ม]:[คะแนนเต็ม]]),"",(tbl_task7[27]/tbl_task7[[คะแนนเต็ม]:[คะแนนเต็ม]])*tbl_task7[[%]:[%]])</f>
        <v/>
      </c>
      <c r="GP25" s="121" t="str">
        <f>IF(ISBLANK(tbl_task7[[คะแนนเต็ม]:[คะแนนเต็ม]]),"",(tbl_task7[28]/tbl_task7[[คะแนนเต็ม]:[คะแนนเต็ม]])*tbl_task7[[%]:[%]])</f>
        <v/>
      </c>
      <c r="GQ25" s="121" t="str">
        <f>IF(ISBLANK(tbl_task7[[คะแนนเต็ม]:[คะแนนเต็ม]]),"",(tbl_task7[29]/tbl_task7[[คะแนนเต็ม]:[คะแนนเต็ม]])*tbl_task7[[%]:[%]])</f>
        <v/>
      </c>
      <c r="GR25" s="121" t="str">
        <f>IF(ISBLANK(tbl_task7[[คะแนนเต็ม]:[คะแนนเต็ม]]),"",(tbl_task7[30]/tbl_task7[[คะแนนเต็ม]:[คะแนนเต็ม]])*tbl_task7[[%]:[%]])</f>
        <v/>
      </c>
      <c r="GS25" s="121" t="str">
        <f>IF(ISBLANK(tbl_task7[[คะแนนเต็ม]:[คะแนนเต็ม]]),"",(tbl_task7[31]/tbl_task7[[คะแนนเต็ม]:[คะแนนเต็ม]])*tbl_task7[[%]:[%]])</f>
        <v/>
      </c>
      <c r="GT25" s="121" t="str">
        <f>IF(ISBLANK(tbl_task7[[คะแนนเต็ม]:[คะแนนเต็ม]]),"",(tbl_task7[32]/tbl_task7[[คะแนนเต็ม]:[คะแนนเต็ม]])*tbl_task7[[%]:[%]])</f>
        <v/>
      </c>
      <c r="GU25" s="121" t="str">
        <f>IF(ISBLANK(tbl_task7[[คะแนนเต็ม]:[คะแนนเต็ม]]),"",(tbl_task7[33]/tbl_task7[[คะแนนเต็ม]:[คะแนนเต็ม]])*tbl_task7[[%]:[%]])</f>
        <v/>
      </c>
      <c r="GV25" s="121" t="str">
        <f>IF(ISBLANK(tbl_task7[[คะแนนเต็ม]:[คะแนนเต็ม]]),"",(tbl_task7[34]/tbl_task7[[คะแนนเต็ม]:[คะแนนเต็ม]])*tbl_task7[[%]:[%]])</f>
        <v/>
      </c>
      <c r="GW25" s="121" t="str">
        <f>IF(ISBLANK(tbl_task7[[คะแนนเต็ม]:[คะแนนเต็ม]]),"",(tbl_task7[35]/tbl_task7[[คะแนนเต็ม]:[คะแนนเต็ม]])*tbl_task7[[%]:[%]])</f>
        <v/>
      </c>
      <c r="GX25" s="121" t="str">
        <f>IF(ISBLANK(tbl_task7[[คะแนนเต็ม]:[คะแนนเต็ม]]),"",(tbl_task7[36]/tbl_task7[[คะแนนเต็ม]:[คะแนนเต็ม]])*tbl_task7[[%]:[%]])</f>
        <v/>
      </c>
      <c r="GY25" s="121" t="str">
        <f>IF(ISBLANK(tbl_task7[[คะแนนเต็ม]:[คะแนนเต็ม]]),"",(tbl_task7[37]/tbl_task7[[คะแนนเต็ม]:[คะแนนเต็ม]])*tbl_task7[[%]:[%]])</f>
        <v/>
      </c>
      <c r="GZ25" s="121" t="str">
        <f>IF(ISBLANK(tbl_task7[[คะแนนเต็ม]:[คะแนนเต็ม]]),"",(tbl_task7[38]/tbl_task7[[คะแนนเต็ม]:[คะแนนเต็ม]])*tbl_task7[[%]:[%]])</f>
        <v/>
      </c>
      <c r="HA25" s="121" t="str">
        <f>IF(ISBLANK(tbl_task7[[คะแนนเต็ม]:[คะแนนเต็ม]]),"",(tbl_task7[39]/tbl_task7[[คะแนนเต็ม]:[คะแนนเต็ม]])*tbl_task7[[%]:[%]])</f>
        <v/>
      </c>
      <c r="HB25" s="121" t="str">
        <f>IF(ISBLANK(tbl_task7[[คะแนนเต็ม]:[คะแนนเต็ม]]),"",(tbl_task7[40]/tbl_task7[[คะแนนเต็ม]:[คะแนนเต็ม]])*tbl_task7[[%]:[%]])</f>
        <v/>
      </c>
      <c r="HC25" s="121" t="str">
        <f>IF(ISBLANK(tbl_task7[[คะแนนเต็ม]:[คะแนนเต็ม]]),"",(tbl_task7[41]/tbl_task7[[คะแนนเต็ม]:[คะแนนเต็ม]])*tbl_task7[[%]:[%]])</f>
        <v/>
      </c>
      <c r="HD25" s="121" t="str">
        <f>IF(ISBLANK(tbl_task7[[คะแนนเต็ม]:[คะแนนเต็ม]]),"",(tbl_task7[42]/tbl_task7[[คะแนนเต็ม]:[คะแนนเต็ม]])*tbl_task7[[%]:[%]])</f>
        <v/>
      </c>
      <c r="HE25" s="121" t="str">
        <f>IF(ISBLANK(tbl_task7[[คะแนนเต็ม]:[คะแนนเต็ม]]),"",(tbl_task7[43]/tbl_task7[[คะแนนเต็ม]:[คะแนนเต็ม]])*tbl_task7[[%]:[%]])</f>
        <v/>
      </c>
      <c r="HF25" s="121" t="str">
        <f>IF(ISBLANK(tbl_task7[[คะแนนเต็ม]:[คะแนนเต็ม]]),"",(tbl_task7[44]/tbl_task7[[คะแนนเต็ม]:[คะแนนเต็ม]])*tbl_task7[[%]:[%]])</f>
        <v/>
      </c>
      <c r="HG25" s="121" t="str">
        <f>IF(ISBLANK(tbl_task7[[คะแนนเต็ม]:[คะแนนเต็ม]]),"",(tbl_task7[45]/tbl_task7[[คะแนนเต็ม]:[คะแนนเต็ม]])*tbl_task7[[%]:[%]])</f>
        <v/>
      </c>
      <c r="HH25" s="121" t="str">
        <f>IF(ISBLANK(tbl_task7[[คะแนนเต็ม]:[คะแนนเต็ม]]),"",(tbl_task7[46]/tbl_task7[[คะแนนเต็ม]:[คะแนนเต็ม]])*tbl_task7[[%]:[%]])</f>
        <v/>
      </c>
      <c r="HI25" s="121" t="str">
        <f>IF(ISBLANK(tbl_task7[[คะแนนเต็ม]:[คะแนนเต็ม]]),"",(tbl_task7[47]/tbl_task7[[คะแนนเต็ม]:[คะแนนเต็ม]])*tbl_task7[[%]:[%]])</f>
        <v/>
      </c>
      <c r="HJ25" s="121" t="str">
        <f>IF(ISBLANK(tbl_task7[[คะแนนเต็ม]:[คะแนนเต็ม]]),"",(tbl_task7[48]/tbl_task7[[คะแนนเต็ม]:[คะแนนเต็ม]])*tbl_task7[[%]:[%]])</f>
        <v/>
      </c>
      <c r="HK25" s="121" t="str">
        <f>IF(ISBLANK(tbl_task7[[คะแนนเต็ม]:[คะแนนเต็ม]]),"",(tbl_task7[49]/tbl_task7[[คะแนนเต็ม]:[คะแนนเต็ม]])*tbl_task7[[%]:[%]])</f>
        <v/>
      </c>
      <c r="HL25" s="121" t="str">
        <f>IF(ISBLANK(tbl_task7[[คะแนนเต็ม]:[คะแนนเต็ม]]),"",(tbl_task7[50]/tbl_task7[[คะแนนเต็ม]:[คะแนนเต็ม]])*tbl_task7[[%]:[%]])</f>
        <v/>
      </c>
      <c r="HM25" s="121" t="str">
        <f>IF(ISBLANK(tbl_task7[[คะแนนเต็ม]:[คะแนนเต็ม]]),"",(tbl_task7[51]/tbl_task7[[คะแนนเต็ม]:[คะแนนเต็ม]])*tbl_task7[[%]:[%]])</f>
        <v/>
      </c>
      <c r="HN25" s="121" t="str">
        <f>IF(ISBLANK(tbl_task7[[คะแนนเต็ม]:[คะแนนเต็ม]]),"",(tbl_task7[52]/tbl_task7[[คะแนนเต็ม]:[คะแนนเต็ม]])*tbl_task7[[%]:[%]])</f>
        <v/>
      </c>
      <c r="HO25" s="121" t="str">
        <f>IF(ISBLANK(tbl_task7[[คะแนนเต็ม]:[คะแนนเต็ม]]),"",(tbl_task7[53]/tbl_task7[[คะแนนเต็ม]:[คะแนนเต็ม]])*tbl_task7[[%]:[%]])</f>
        <v/>
      </c>
      <c r="HP25" s="121" t="str">
        <f>IF(ISBLANK(tbl_task7[[คะแนนเต็ม]:[คะแนนเต็ม]]),"",(tbl_task7[54]/tbl_task7[[คะแนนเต็ม]:[คะแนนเต็ม]])*tbl_task7[[%]:[%]])</f>
        <v/>
      </c>
      <c r="HQ25" s="121" t="str">
        <f>IF(ISBLANK(tbl_task7[[คะแนนเต็ม]:[คะแนนเต็ม]]),"",(tbl_task7[55]/tbl_task7[[คะแนนเต็ม]:[คะแนนเต็ม]])*tbl_task7[[%]:[%]])</f>
        <v/>
      </c>
      <c r="HR25" s="121" t="str">
        <f>IF(ISBLANK(tbl_task7[[คะแนนเต็ม]:[คะแนนเต็ม]]),"",(tbl_task7[56]/tbl_task7[[คะแนนเต็ม]:[คะแนนเต็ม]])*tbl_task7[[%]:[%]])</f>
        <v/>
      </c>
      <c r="HS25" s="121" t="str">
        <f>IF(ISBLANK(tbl_task7[[คะแนนเต็ม]:[คะแนนเต็ม]]),"",(tbl_task7[57]/tbl_task7[[คะแนนเต็ม]:[คะแนนเต็ม]])*tbl_task7[[%]:[%]])</f>
        <v/>
      </c>
      <c r="HT25" s="121" t="str">
        <f>IF(ISBLANK(tbl_task7[[คะแนนเต็ม]:[คะแนนเต็ม]]),"",(tbl_task7[58]/tbl_task7[[คะแนนเต็ม]:[คะแนนเต็ม]])*tbl_task7[[%]:[%]])</f>
        <v/>
      </c>
      <c r="HU25" s="121" t="str">
        <f>IF(ISBLANK(tbl_task7[[คะแนนเต็ม]:[คะแนนเต็ม]]),"",(tbl_task7[59]/tbl_task7[[คะแนนเต็ม]:[คะแนนเต็ม]])*tbl_task7[[%]:[%]])</f>
        <v/>
      </c>
      <c r="HV25" s="121" t="str">
        <f>IF(ISBLANK(tbl_task7[[คะแนนเต็ม]:[คะแนนเต็ม]]),"",(tbl_task7[60]/tbl_task7[[คะแนนเต็ม]:[คะแนนเต็ม]])*tbl_task7[[%]:[%]])</f>
        <v/>
      </c>
      <c r="HW25" s="121" t="str">
        <f>IF(ISBLANK(tbl_task7[[คะแนนเต็ม]:[คะแนนเต็ม]]),"",(tbl_task7[61]/tbl_task7[[คะแนนเต็ม]:[คะแนนเต็ม]])*tbl_task7[[%]:[%]])</f>
        <v/>
      </c>
      <c r="HX25" s="121" t="str">
        <f>IF(ISBLANK(tbl_task7[[คะแนนเต็ม]:[คะแนนเต็ม]]),"",(tbl_task7[62]/tbl_task7[[คะแนนเต็ม]:[คะแนนเต็ม]])*tbl_task7[[%]:[%]])</f>
        <v/>
      </c>
      <c r="HY25" s="121" t="str">
        <f>IF(ISBLANK(tbl_task7[[คะแนนเต็ม]:[คะแนนเต็ม]]),"",(tbl_task7[63]/tbl_task7[[คะแนนเต็ม]:[คะแนนเต็ม]])*tbl_task7[[%]:[%]])</f>
        <v/>
      </c>
      <c r="HZ25" s="121" t="str">
        <f>IF(ISBLANK(tbl_task7[[คะแนนเต็ม]:[คะแนนเต็ม]]),"",(tbl_task7[64]/tbl_task7[[คะแนนเต็ม]:[คะแนนเต็ม]])*tbl_task7[[%]:[%]])</f>
        <v/>
      </c>
      <c r="IA25" s="121" t="str">
        <f>IF(ISBLANK(tbl_task7[[คะแนนเต็ม]:[คะแนนเต็ม]]),"",(tbl_task7[65]/tbl_task7[[คะแนนเต็ม]:[คะแนนเต็ม]])*tbl_task7[[%]:[%]])</f>
        <v/>
      </c>
      <c r="IB25" s="121" t="str">
        <f>IF(ISBLANK(tbl_task7[[คะแนนเต็ม]:[คะแนนเต็ม]]),"",(tbl_task7[66]/tbl_task7[[คะแนนเต็ม]:[คะแนนเต็ม]])*tbl_task7[[%]:[%]])</f>
        <v/>
      </c>
      <c r="IC25" s="121" t="str">
        <f>IF(ISBLANK(tbl_task7[[คะแนนเต็ม]:[คะแนนเต็ม]]),"",(tbl_task7[67]/tbl_task7[[คะแนนเต็ม]:[คะแนนเต็ม]])*tbl_task7[[%]:[%]])</f>
        <v/>
      </c>
      <c r="ID25" s="121" t="str">
        <f>IF(ISBLANK(tbl_task7[[คะแนนเต็ม]:[คะแนนเต็ม]]),"",(tbl_task7[68]/tbl_task7[[คะแนนเต็ม]:[คะแนนเต็ม]])*tbl_task7[[%]:[%]])</f>
        <v/>
      </c>
      <c r="IE25" s="121" t="str">
        <f>IF(ISBLANK(tbl_task7[[คะแนนเต็ม]:[คะแนนเต็ม]]),"",(tbl_task7[69]/tbl_task7[[คะแนนเต็ม]:[คะแนนเต็ม]])*tbl_task7[[%]:[%]])</f>
        <v/>
      </c>
      <c r="IF25" s="121" t="str">
        <f>IF(ISBLANK(tbl_task7[[คะแนนเต็ม]:[คะแนนเต็ม]]),"",(tbl_task7[70]/tbl_task7[[คะแนนเต็ม]:[คะแนนเต็ม]])*tbl_task7[[%]:[%]])</f>
        <v/>
      </c>
      <c r="IG25" s="121" t="str">
        <f>IF(ISBLANK(tbl_task7[[คะแนนเต็ม]:[คะแนนเต็ม]]),"",(tbl_task7[71]/tbl_task7[[คะแนนเต็ม]:[คะแนนเต็ม]])*tbl_task7[[%]:[%]])</f>
        <v/>
      </c>
      <c r="IH25" s="121" t="str">
        <f>IF(ISBLANK(tbl_task7[[คะแนนเต็ม]:[คะแนนเต็ม]]),"",(tbl_task7[72]/tbl_task7[[คะแนนเต็ม]:[คะแนนเต็ม]])*tbl_task7[[%]:[%]])</f>
        <v/>
      </c>
      <c r="II25" s="121" t="str">
        <f>IF(ISBLANK(tbl_task7[[คะแนนเต็ม]:[คะแนนเต็ม]]),"",(tbl_task7[73]/tbl_task7[[คะแนนเต็ม]:[คะแนนเต็ม]])*tbl_task7[[%]:[%]])</f>
        <v/>
      </c>
      <c r="IJ25" s="121" t="str">
        <f>IF(ISBLANK(tbl_task7[[คะแนนเต็ม]:[คะแนนเต็ม]]),"",(tbl_task7[74]/tbl_task7[[คะแนนเต็ม]:[คะแนนเต็ม]])*tbl_task7[[%]:[%]])</f>
        <v/>
      </c>
      <c r="IK25" s="121" t="str">
        <f>IF(ISBLANK(tbl_task7[[คะแนนเต็ม]:[คะแนนเต็ม]]),"",(tbl_task7[75]/tbl_task7[[คะแนนเต็ม]:[คะแนนเต็ม]])*tbl_task7[[%]:[%]])</f>
        <v/>
      </c>
      <c r="IL25" s="121" t="str">
        <f>IF(ISBLANK(tbl_task7[[คะแนนเต็ม]:[คะแนนเต็ม]]),"",(tbl_task7[76]/tbl_task7[[คะแนนเต็ม]:[คะแนนเต็ม]])*tbl_task7[[%]:[%]])</f>
        <v/>
      </c>
      <c r="IM25" s="121" t="str">
        <f>IF(ISBLANK(tbl_task7[[คะแนนเต็ม]:[คะแนนเต็ม]]),"",(tbl_task7[77]/tbl_task7[[คะแนนเต็ม]:[คะแนนเต็ม]])*tbl_task7[[%]:[%]])</f>
        <v/>
      </c>
      <c r="IN25" s="121" t="str">
        <f>IF(ISBLANK(tbl_task7[[คะแนนเต็ม]:[คะแนนเต็ม]]),"",(tbl_task7[78]/tbl_task7[[คะแนนเต็ม]:[คะแนนเต็ม]])*tbl_task7[[%]:[%]])</f>
        <v/>
      </c>
      <c r="IO25" s="121" t="str">
        <f>IF(ISBLANK(tbl_task7[[คะแนนเต็ม]:[คะแนนเต็ม]]),"",(tbl_task7[79]/tbl_task7[[คะแนนเต็ม]:[คะแนนเต็ม]])*tbl_task7[[%]:[%]])</f>
        <v/>
      </c>
      <c r="IP25" s="121" t="str">
        <f>IF(ISBLANK(tbl_task7[[คะแนนเต็ม]:[คะแนนเต็ม]]),"",(tbl_task7[80]/tbl_task7[[คะแนนเต็ม]:[คะแนนเต็ม]])*tbl_task7[[%]:[%]])</f>
        <v/>
      </c>
      <c r="IQ25" s="121" t="str">
        <f>IF(ISBLANK(tbl_task7[[คะแนนเต็ม]:[คะแนนเต็ม]]),"",(tbl_task7[81]/tbl_task7[[คะแนนเต็ม]:[คะแนนเต็ม]])*tbl_task7[[%]:[%]])</f>
        <v/>
      </c>
      <c r="IR25" s="121" t="str">
        <f>IF(ISBLANK(tbl_task7[[คะแนนเต็ม]:[คะแนนเต็ม]]),"",(tbl_task7[82]/tbl_task7[[คะแนนเต็ม]:[คะแนนเต็ม]])*tbl_task7[[%]:[%]])</f>
        <v/>
      </c>
      <c r="IS25" s="121" t="str">
        <f>IF(ISBLANK(tbl_task7[[คะแนนเต็ม]:[คะแนนเต็ม]]),"",(tbl_task7[83]/tbl_task7[[คะแนนเต็ม]:[คะแนนเต็ม]])*tbl_task7[[%]:[%]])</f>
        <v/>
      </c>
      <c r="IT25" s="121" t="str">
        <f>IF(ISBLANK(tbl_task7[[คะแนนเต็ม]:[คะแนนเต็ม]]),"",(tbl_task7[84]/tbl_task7[[คะแนนเต็ม]:[คะแนนเต็ม]])*tbl_task7[[%]:[%]])</f>
        <v/>
      </c>
      <c r="IU25" s="121" t="str">
        <f>IF(ISBLANK(tbl_task7[[คะแนนเต็ม]:[คะแนนเต็ม]]),"",(tbl_task7[85]/tbl_task7[[คะแนนเต็ม]:[คะแนนเต็ม]])*tbl_task7[[%]:[%]])</f>
        <v/>
      </c>
      <c r="IV25" s="121" t="str">
        <f>IF(ISBLANK(tbl_task7[[คะแนนเต็ม]:[คะแนนเต็ม]]),"",(tbl_task7[86]/tbl_task7[[คะแนนเต็ม]:[คะแนนเต็ม]])*tbl_task7[[%]:[%]])</f>
        <v/>
      </c>
      <c r="IW25" s="121" t="str">
        <f>IF(ISBLANK(tbl_task7[[คะแนนเต็ม]:[คะแนนเต็ม]]),"",(tbl_task7[87]/tbl_task7[[คะแนนเต็ม]:[คะแนนเต็ม]])*tbl_task7[[%]:[%]])</f>
        <v/>
      </c>
      <c r="IX25" s="121" t="str">
        <f>IF(ISBLANK(tbl_task7[[คะแนนเต็ม]:[คะแนนเต็ม]]),"",(tbl_task7[88]/tbl_task7[[คะแนนเต็ม]:[คะแนนเต็ม]])*tbl_task7[[%]:[%]])</f>
        <v/>
      </c>
      <c r="IY25" s="121" t="str">
        <f>IF(ISBLANK(tbl_task7[[คะแนนเต็ม]:[คะแนนเต็ม]]),"",(tbl_task7[89]/tbl_task7[[คะแนนเต็ม]:[คะแนนเต็ม]])*tbl_task7[[%]:[%]])</f>
        <v/>
      </c>
      <c r="IZ25" s="121" t="str">
        <f>IF(ISBLANK(tbl_task7[[คะแนนเต็ม]:[คะแนนเต็ม]]),"",(tbl_task7[90]/tbl_task7[[คะแนนเต็ม]:[คะแนนเต็ม]])*tbl_task7[[%]:[%]])</f>
        <v/>
      </c>
      <c r="JA25" s="121" t="str">
        <f>IF(ISBLANK(tbl_task7[[คะแนนเต็ม]:[คะแนนเต็ม]]),"",(tbl_task7[91]/tbl_task7[[คะแนนเต็ม]:[คะแนนเต็ม]])*tbl_task7[[%]:[%]])</f>
        <v/>
      </c>
      <c r="JB25" s="121" t="str">
        <f>IF(ISBLANK(tbl_task7[[คะแนนเต็ม]:[คะแนนเต็ม]]),"",(tbl_task7[92]/tbl_task7[[คะแนนเต็ม]:[คะแนนเต็ม]])*tbl_task7[[%]:[%]])</f>
        <v/>
      </c>
      <c r="JC25" s="121" t="str">
        <f>IF(ISBLANK(tbl_task7[[คะแนนเต็ม]:[คะแนนเต็ม]]),"",(tbl_task7[93]/tbl_task7[[คะแนนเต็ม]:[คะแนนเต็ม]])*tbl_task7[[%]:[%]])</f>
        <v/>
      </c>
      <c r="JD25" s="121" t="str">
        <f>IF(ISBLANK(tbl_task7[[คะแนนเต็ม]:[คะแนนเต็ม]]),"",(tbl_task7[94]/tbl_task7[[คะแนนเต็ม]:[คะแนนเต็ม]])*tbl_task7[[%]:[%]])</f>
        <v/>
      </c>
      <c r="JE25" s="121" t="str">
        <f>IF(ISBLANK(tbl_task7[[คะแนนเต็ม]:[คะแนนเต็ม]]),"",(tbl_task7[95]/tbl_task7[[คะแนนเต็ม]:[คะแนนเต็ม]])*tbl_task7[[%]:[%]])</f>
        <v/>
      </c>
      <c r="JF25" s="121" t="str">
        <f>IF(ISBLANK(tbl_task7[[คะแนนเต็ม]:[คะแนนเต็ม]]),"",(tbl_task7[96]/tbl_task7[[คะแนนเต็ม]:[คะแนนเต็ม]])*tbl_task7[[%]:[%]])</f>
        <v/>
      </c>
      <c r="JG25" s="121" t="str">
        <f>IF(ISBLANK(tbl_task7[[คะแนนเต็ม]:[คะแนนเต็ม]]),"",(tbl_task7[97]/tbl_task7[[คะแนนเต็ม]:[คะแนนเต็ม]])*tbl_task7[[%]:[%]])</f>
        <v/>
      </c>
      <c r="JH25" s="121" t="str">
        <f>IF(ISBLANK(tbl_task7[[คะแนนเต็ม]:[คะแนนเต็ม]]),"",(tbl_task7[98]/tbl_task7[[คะแนนเต็ม]:[คะแนนเต็ม]])*tbl_task7[[%]:[%]])</f>
        <v/>
      </c>
      <c r="JI25" s="121" t="str">
        <f>IF(ISBLANK(tbl_task7[[คะแนนเต็ม]:[คะแนนเต็ม]]),"",(tbl_task7[99]/tbl_task7[[คะแนนเต็ม]:[คะแนนเต็ม]])*tbl_task7[[%]:[%]])</f>
        <v/>
      </c>
      <c r="JJ25" s="121" t="str">
        <f>IF(ISBLANK(tbl_task7[[คะแนนเต็ม]:[คะแนนเต็ม]]),"",(tbl_task7[100]/tbl_task7[[คะแนนเต็ม]:[คะแนนเต็ม]])*tbl_task7[[%]:[%]])</f>
        <v/>
      </c>
      <c r="JK25" s="121" t="str">
        <f>IF(ISBLANK(tbl_task7[[คะแนนเต็ม]:[คะแนนเต็ม]]),"",(tbl_task7[101]/tbl_task7[[คะแนนเต็ม]:[คะแนนเต็ม]])*tbl_task7[[%]:[%]])</f>
        <v/>
      </c>
      <c r="JL25" s="121" t="str">
        <f>IF(ISBLANK(tbl_task7[[คะแนนเต็ม]:[คะแนนเต็ม]]),"",(tbl_task7[102]/tbl_task7[[คะแนนเต็ม]:[คะแนนเต็ม]])*tbl_task7[[%]:[%]])</f>
        <v/>
      </c>
      <c r="JM25" s="121" t="str">
        <f>IF(ISBLANK(tbl_task7[[คะแนนเต็ม]:[คะแนนเต็ม]]),"",(tbl_task7[103]/tbl_task7[[คะแนนเต็ม]:[คะแนนเต็ม]])*tbl_task7[[%]:[%]])</f>
        <v/>
      </c>
      <c r="JN25" s="121" t="str">
        <f>IF(ISBLANK(tbl_task7[[คะแนนเต็ม]:[คะแนนเต็ม]]),"",(tbl_task7[104]/tbl_task7[[คะแนนเต็ม]:[คะแนนเต็ม]])*tbl_task7[[%]:[%]])</f>
        <v/>
      </c>
      <c r="JO25" s="121" t="str">
        <f>IF(ISBLANK(tbl_task7[[คะแนนเต็ม]:[คะแนนเต็ม]]),"",(tbl_task7[105]/tbl_task7[[คะแนนเต็ม]:[คะแนนเต็ม]])*tbl_task7[[%]:[%]])</f>
        <v/>
      </c>
      <c r="JP25" s="121" t="str">
        <f>IF(ISBLANK(tbl_task7[[คะแนนเต็ม]:[คะแนนเต็ม]]),"",(tbl_task7[106]/tbl_task7[[คะแนนเต็ม]:[คะแนนเต็ม]])*tbl_task7[[%]:[%]])</f>
        <v/>
      </c>
      <c r="JQ25" s="121" t="str">
        <f>IF(ISBLANK(tbl_task7[[คะแนนเต็ม]:[คะแนนเต็ม]]),"",(tbl_task7[107]/tbl_task7[[คะแนนเต็ม]:[คะแนนเต็ม]])*tbl_task7[[%]:[%]])</f>
        <v/>
      </c>
      <c r="JR25" s="121" t="str">
        <f>IF(ISBLANK(tbl_task7[[คะแนนเต็ม]:[คะแนนเต็ม]]),"",(tbl_task7[108]/tbl_task7[[คะแนนเต็ม]:[คะแนนเต็ม]])*tbl_task7[[%]:[%]])</f>
        <v/>
      </c>
      <c r="JS25" s="121" t="str">
        <f>IF(ISBLANK(tbl_task7[[คะแนนเต็ม]:[คะแนนเต็ม]]),"",(tbl_task7[109]/tbl_task7[[คะแนนเต็ม]:[คะแนนเต็ม]])*tbl_task7[[%]:[%]])</f>
        <v/>
      </c>
      <c r="JT25" s="121" t="str">
        <f>IF(ISBLANK(tbl_task7[[คะแนนเต็ม]:[คะแนนเต็ม]]),"",(tbl_task7[110]/tbl_task7[[คะแนนเต็ม]:[คะแนนเต็ม]])*tbl_task7[[%]:[%]])</f>
        <v/>
      </c>
      <c r="JU25" s="121" t="str">
        <f>IF(ISBLANK(tbl_task7[[คะแนนเต็ม]:[คะแนนเต็ม]]),"",(tbl_task7[111]/tbl_task7[[คะแนนเต็ม]:[คะแนนเต็ม]])*tbl_task7[[%]:[%]])</f>
        <v/>
      </c>
      <c r="JV25" s="121" t="str">
        <f>IF(ISBLANK(tbl_task7[[คะแนนเต็ม]:[คะแนนเต็ม]]),"",(tbl_task7[112]/tbl_task7[[คะแนนเต็ม]:[คะแนนเต็ม]])*tbl_task7[[%]:[%]])</f>
        <v/>
      </c>
      <c r="JW25" s="121" t="str">
        <f>IF(ISBLANK(tbl_task7[[คะแนนเต็ม]:[คะแนนเต็ม]]),"",(tbl_task7[113]/tbl_task7[[คะแนนเต็ม]:[คะแนนเต็ม]])*tbl_task7[[%]:[%]])</f>
        <v/>
      </c>
      <c r="JX25" s="121" t="str">
        <f>IF(ISBLANK(tbl_task7[[คะแนนเต็ม]:[คะแนนเต็ม]]),"",(tbl_task7[114]/tbl_task7[[คะแนนเต็ม]:[คะแนนเต็ม]])*tbl_task7[[%]:[%]])</f>
        <v/>
      </c>
      <c r="JY25" s="121" t="str">
        <f>IF(ISBLANK(tbl_task7[[คะแนนเต็ม]:[คะแนนเต็ม]]),"",(tbl_task7[115]/tbl_task7[[คะแนนเต็ม]:[คะแนนเต็ม]])*tbl_task7[[%]:[%]])</f>
        <v/>
      </c>
      <c r="JZ25" s="121" t="str">
        <f>IF(ISBLANK(tbl_task7[[คะแนนเต็ม]:[คะแนนเต็ม]]),"",(tbl_task7[116]/tbl_task7[[คะแนนเต็ม]:[คะแนนเต็ม]])*tbl_task7[[%]:[%]])</f>
        <v/>
      </c>
      <c r="KA25" s="121" t="str">
        <f>IF(ISBLANK(tbl_task7[[คะแนนเต็ม]:[คะแนนเต็ม]]),"",(tbl_task7[117]/tbl_task7[[คะแนนเต็ม]:[คะแนนเต็ม]])*tbl_task7[[%]:[%]])</f>
        <v/>
      </c>
      <c r="KB25" s="121" t="str">
        <f>IF(ISBLANK(tbl_task7[[คะแนนเต็ม]:[คะแนนเต็ม]]),"",(tbl_task7[118]/tbl_task7[[คะแนนเต็ม]:[คะแนนเต็ม]])*tbl_task7[[%]:[%]])</f>
        <v/>
      </c>
      <c r="KC25" s="121" t="str">
        <f>IF(ISBLANK(tbl_task7[[คะแนนเต็ม]:[คะแนนเต็ม]]),"",(tbl_task7[119]/tbl_task7[[คะแนนเต็ม]:[คะแนนเต็ม]])*tbl_task7[[%]:[%]])</f>
        <v/>
      </c>
      <c r="KD25" s="121" t="str">
        <f>IF(ISBLANK(tbl_task7[[คะแนนเต็ม]:[คะแนนเต็ม]]),"",(tbl_task7[120]/tbl_task7[[คะแนนเต็ม]:[คะแนนเต็ม]])*tbl_task7[[%]:[%]])</f>
        <v/>
      </c>
      <c r="KE25" s="121" t="str">
        <f>IF(ISBLANK(tbl_task7[[คะแนนเต็ม]:[คะแนนเต็ม]]),"",(tbl_task7[121]/tbl_task7[[คะแนนเต็ม]:[คะแนนเต็ม]])*tbl_task7[[%]:[%]])</f>
        <v/>
      </c>
      <c r="KF25" s="121" t="str">
        <f>IF(ISBLANK(tbl_task7[[คะแนนเต็ม]:[คะแนนเต็ม]]),"",(tbl_task7[122]/tbl_task7[[คะแนนเต็ม]:[คะแนนเต็ม]])*tbl_task7[[%]:[%]])</f>
        <v/>
      </c>
      <c r="KG25" s="121" t="str">
        <f>IF(ISBLANK(tbl_task7[[คะแนนเต็ม]:[คะแนนเต็ม]]),"",(tbl_task7[123]/tbl_task7[[คะแนนเต็ม]:[คะแนนเต็ม]])*tbl_task7[[%]:[%]])</f>
        <v/>
      </c>
      <c r="KH25" s="121" t="str">
        <f>IF(ISBLANK(tbl_task7[[คะแนนเต็ม]:[คะแนนเต็ม]]),"",(tbl_task7[124]/tbl_task7[[คะแนนเต็ม]:[คะแนนเต็ม]])*tbl_task7[[%]:[%]])</f>
        <v/>
      </c>
      <c r="KI25" s="121" t="str">
        <f>IF(ISBLANK(tbl_task7[[คะแนนเต็ม]:[คะแนนเต็ม]]),"",(tbl_task7[125]/tbl_task7[[คะแนนเต็ม]:[คะแนนเต็ม]])*tbl_task7[[%]:[%]])</f>
        <v/>
      </c>
      <c r="KJ25" s="121" t="str">
        <f>IF(ISBLANK(tbl_task7[[คะแนนเต็ม]:[คะแนนเต็ม]]),"",(tbl_task7[126]/tbl_task7[[คะแนนเต็ม]:[คะแนนเต็ม]])*tbl_task7[[%]:[%]])</f>
        <v/>
      </c>
      <c r="KK25" s="121" t="str">
        <f>IF(ISBLANK(tbl_task7[[คะแนนเต็ม]:[คะแนนเต็ม]]),"",(tbl_task7[127]/tbl_task7[[คะแนนเต็ม]:[คะแนนเต็ม]])*tbl_task7[[%]:[%]])</f>
        <v/>
      </c>
      <c r="KL25" s="121" t="str">
        <f>IF(ISBLANK(tbl_task7[[คะแนนเต็ม]:[คะแนนเต็ม]]),"",(tbl_task7[128]/tbl_task7[[คะแนนเต็ม]:[คะแนนเต็ม]])*tbl_task7[[%]:[%]])</f>
        <v/>
      </c>
      <c r="KM25" s="121" t="str">
        <f>IF(ISBLANK(tbl_task7[[คะแนนเต็ม]:[คะแนนเต็ม]]),"",(tbl_task7[129]/tbl_task7[[คะแนนเต็ม]:[คะแนนเต็ม]])*tbl_task7[[%]:[%]])</f>
        <v/>
      </c>
      <c r="KN25" s="121" t="str">
        <f>IF(ISBLANK(tbl_task7[[คะแนนเต็ม]:[คะแนนเต็ม]]),"",(tbl_task7[130]/tbl_task7[[คะแนนเต็ม]:[คะแนนเต็ม]])*tbl_task7[[%]:[%]])</f>
        <v/>
      </c>
      <c r="KO25" s="121" t="str">
        <f>IF(ISBLANK(tbl_task7[[คะแนนเต็ม]:[คะแนนเต็ม]]),"",(tbl_task7[131]/tbl_task7[[คะแนนเต็ม]:[คะแนนเต็ม]])*tbl_task7[[%]:[%]])</f>
        <v/>
      </c>
      <c r="KP25" s="121" t="str">
        <f>IF(ISBLANK(tbl_task7[[คะแนนเต็ม]:[คะแนนเต็ม]]),"",(tbl_task7[132]/tbl_task7[[คะแนนเต็ม]:[คะแนนเต็ม]])*tbl_task7[[%]:[%]])</f>
        <v/>
      </c>
      <c r="KQ25" s="121" t="str">
        <f>IF(ISBLANK(tbl_task7[[คะแนนเต็ม]:[คะแนนเต็ม]]),"",(tbl_task7[133]/tbl_task7[[คะแนนเต็ม]:[คะแนนเต็ม]])*tbl_task7[[%]:[%]])</f>
        <v/>
      </c>
      <c r="KR25" s="121" t="str">
        <f>IF(ISBLANK(tbl_task7[[คะแนนเต็ม]:[คะแนนเต็ม]]),"",(tbl_task7[134]/tbl_task7[[คะแนนเต็ม]:[คะแนนเต็ม]])*tbl_task7[[%]:[%]])</f>
        <v/>
      </c>
      <c r="KS25" s="121" t="str">
        <f>IF(ISBLANK(tbl_task7[[คะแนนเต็ม]:[คะแนนเต็ม]]),"",(tbl_task7[135]/tbl_task7[[คะแนนเต็ม]:[คะแนนเต็ม]])*tbl_task7[[%]:[%]])</f>
        <v/>
      </c>
      <c r="KT25" s="121" t="str">
        <f>IF(ISBLANK(tbl_task7[[คะแนนเต็ม]:[คะแนนเต็ม]]),"",(tbl_task7[136]/tbl_task7[[คะแนนเต็ม]:[คะแนนเต็ม]])*tbl_task7[[%]:[%]])</f>
        <v/>
      </c>
      <c r="KU25" s="121" t="str">
        <f>IF(ISBLANK(tbl_task7[[คะแนนเต็ม]:[คะแนนเต็ม]]),"",(tbl_task7[137]/tbl_task7[[คะแนนเต็ม]:[คะแนนเต็ม]])*tbl_task7[[%]:[%]])</f>
        <v/>
      </c>
      <c r="KV25" s="121" t="str">
        <f>IF(ISBLANK(tbl_task7[[คะแนนเต็ม]:[คะแนนเต็ม]]),"",(tbl_task7[138]/tbl_task7[[คะแนนเต็ม]:[คะแนนเต็ม]])*tbl_task7[[%]:[%]])</f>
        <v/>
      </c>
      <c r="KW25" s="121" t="str">
        <f>IF(ISBLANK(tbl_task7[[คะแนนเต็ม]:[คะแนนเต็ม]]),"",(tbl_task7[139]/tbl_task7[[คะแนนเต็ม]:[คะแนนเต็ม]])*tbl_task7[[%]:[%]])</f>
        <v/>
      </c>
      <c r="KX25" s="121" t="str">
        <f>IF(ISBLANK(tbl_task7[[คะแนนเต็ม]:[คะแนนเต็ม]]),"",(tbl_task7[140]/tbl_task7[[คะแนนเต็ม]:[คะแนนเต็ม]])*tbl_task7[[%]:[%]])</f>
        <v/>
      </c>
      <c r="KY25" s="121" t="str">
        <f>IF(ISBLANK(tbl_task7[[คะแนนเต็ม]:[คะแนนเต็ม]]),"",(tbl_task7[141]/tbl_task7[[คะแนนเต็ม]:[คะแนนเต็ม]])*tbl_task7[[%]:[%]])</f>
        <v/>
      </c>
      <c r="KZ25" s="121" t="str">
        <f>IF(ISBLANK(tbl_task7[[คะแนนเต็ม]:[คะแนนเต็ม]]),"",(tbl_task7[142]/tbl_task7[[คะแนนเต็ม]:[คะแนนเต็ม]])*tbl_task7[[%]:[%]])</f>
        <v/>
      </c>
      <c r="LA25" s="121" t="str">
        <f>IF(ISBLANK(tbl_task7[[คะแนนเต็ม]:[คะแนนเต็ม]]),"",(tbl_task7[143]/tbl_task7[[คะแนนเต็ม]:[คะแนนเต็ม]])*tbl_task7[[%]:[%]])</f>
        <v/>
      </c>
      <c r="LB25" s="121" t="str">
        <f>IF(ISBLANK(tbl_task7[[คะแนนเต็ม]:[คะแนนเต็ม]]),"",(tbl_task7[144]/tbl_task7[[คะแนนเต็ม]:[คะแนนเต็ม]])*tbl_task7[[%]:[%]])</f>
        <v/>
      </c>
      <c r="LC25" s="121" t="str">
        <f>IF(ISBLANK(tbl_task7[[คะแนนเต็ม]:[คะแนนเต็ม]]),"",(tbl_task7[145]/tbl_task7[[คะแนนเต็ม]:[คะแนนเต็ม]])*tbl_task7[[%]:[%]])</f>
        <v/>
      </c>
      <c r="LD25" s="121" t="str">
        <f>IF(ISBLANK(tbl_task7[[คะแนนเต็ม]:[คะแนนเต็ม]]),"",(tbl_task7[146]/tbl_task7[[คะแนนเต็ม]:[คะแนนเต็ม]])*tbl_task7[[%]:[%]])</f>
        <v/>
      </c>
      <c r="LE25" s="121" t="str">
        <f>IF(ISBLANK(tbl_task7[[คะแนนเต็ม]:[คะแนนเต็ม]]),"",(tbl_task7[147]/tbl_task7[[คะแนนเต็ม]:[คะแนนเต็ม]])*tbl_task7[[%]:[%]])</f>
        <v/>
      </c>
      <c r="LF25" s="121" t="str">
        <f>IF(ISBLANK(tbl_task7[[คะแนนเต็ม]:[คะแนนเต็ม]]),"",(tbl_task7[148]/tbl_task7[[คะแนนเต็ม]:[คะแนนเต็ม]])*tbl_task7[[%]:[%]])</f>
        <v/>
      </c>
      <c r="LG25" s="121" t="str">
        <f>IF(ISBLANK(tbl_task7[[คะแนนเต็ม]:[คะแนนเต็ม]]),"",(tbl_task7[149]/tbl_task7[[คะแนนเต็ม]:[คะแนนเต็ม]])*tbl_task7[[%]:[%]])</f>
        <v/>
      </c>
      <c r="LH25" s="121" t="str">
        <f>IF(ISBLANK(tbl_task7[[คะแนนเต็ม]:[คะแนนเต็ม]]),"",(tbl_task7[150]/tbl_task7[[คะแนนเต็ม]:[คะแนนเต็ม]])*tbl_task7[[%]:[%]])</f>
        <v/>
      </c>
      <c r="LI25" s="121" t="str">
        <f>IF(ISBLANK(tbl_task7[[คะแนนเต็ม]:[คะแนนเต็ม]]),"",(tbl_task7[151]/tbl_task7[[คะแนนเต็ม]:[คะแนนเต็ม]])*tbl_task7[[%]:[%]])</f>
        <v/>
      </c>
      <c r="LJ25" s="121" t="str">
        <f>IF(ISBLANK(tbl_task7[[คะแนนเต็ม]:[คะแนนเต็ม]]),"",(tbl_task7[152]/tbl_task7[[คะแนนเต็ม]:[คะแนนเต็ม]])*tbl_task7[[%]:[%]])</f>
        <v/>
      </c>
      <c r="LK25" s="121" t="str">
        <f>IF(ISBLANK(tbl_task7[[คะแนนเต็ม]:[คะแนนเต็ม]]),"",(tbl_task7[153]/tbl_task7[[คะแนนเต็ม]:[คะแนนเต็ม]])*tbl_task7[[%]:[%]])</f>
        <v/>
      </c>
      <c r="LL25" s="121" t="str">
        <f>IF(ISBLANK(tbl_task7[[คะแนนเต็ม]:[คะแนนเต็ม]]),"",(tbl_task7[154]/tbl_task7[[คะแนนเต็ม]:[คะแนนเต็ม]])*tbl_task7[[%]:[%]])</f>
        <v/>
      </c>
      <c r="LM25" s="121" t="str">
        <f>IF(ISBLANK(tbl_task7[[คะแนนเต็ม]:[คะแนนเต็ม]]),"",(tbl_task7[155]/tbl_task7[[คะแนนเต็ม]:[คะแนนเต็ม]])*tbl_task7[[%]:[%]])</f>
        <v/>
      </c>
      <c r="LN25" s="121" t="str">
        <f>IF(ISBLANK(tbl_task7[[คะแนนเต็ม]:[คะแนนเต็ม]]),"",(tbl_task7[156]/tbl_task7[[คะแนนเต็ม]:[คะแนนเต็ม]])*tbl_task7[[%]:[%]])</f>
        <v/>
      </c>
      <c r="LO25" s="121" t="str">
        <f>IF(ISBLANK(tbl_task7[[คะแนนเต็ม]:[คะแนนเต็ม]]),"",(tbl_task7[157]/tbl_task7[[คะแนนเต็ม]:[คะแนนเต็ม]])*tbl_task7[[%]:[%]])</f>
        <v/>
      </c>
      <c r="LP25" s="121" t="str">
        <f>IF(ISBLANK(tbl_task7[[คะแนนเต็ม]:[คะแนนเต็ม]]),"",(tbl_task7[158]/tbl_task7[[คะแนนเต็ม]:[คะแนนเต็ม]])*tbl_task7[[%]:[%]])</f>
        <v/>
      </c>
      <c r="LQ25" s="121" t="str">
        <f>IF(ISBLANK(tbl_task7[[คะแนนเต็ม]:[คะแนนเต็ม]]),"",(tbl_task7[159]/tbl_task7[[คะแนนเต็ม]:[คะแนนเต็ม]])*tbl_task7[[%]:[%]])</f>
        <v/>
      </c>
      <c r="LR25" s="121" t="str">
        <f>IF(ISBLANK(tbl_task7[[คะแนนเต็ม]:[คะแนนเต็ม]]),"",(tbl_task7[160]/tbl_task7[[คะแนนเต็ม]:[คะแนนเต็ม]])*tbl_task7[[%]:[%]])</f>
        <v/>
      </c>
      <c r="LS25" s="121" t="str">
        <f>IF(ISBLANK(tbl_task7[[คะแนนเต็ม]:[คะแนนเต็ม]]),"",(tbl_task7[161]/tbl_task7[[คะแนนเต็ม]:[คะแนนเต็ม]])*tbl_task7[[%]:[%]])</f>
        <v/>
      </c>
      <c r="LT25" s="121" t="str">
        <f>IF(ISBLANK(tbl_task7[[คะแนนเต็ม]:[คะแนนเต็ม]]),"",(tbl_task7[162]/tbl_task7[[คะแนนเต็ม]:[คะแนนเต็ม]])*tbl_task7[[%]:[%]])</f>
        <v/>
      </c>
      <c r="LU25" s="121" t="str">
        <f>IF(ISBLANK(tbl_task7[[คะแนนเต็ม]:[คะแนนเต็ม]]),"",(tbl_task7[163]/tbl_task7[[คะแนนเต็ม]:[คะแนนเต็ม]])*tbl_task7[[%]:[%]])</f>
        <v/>
      </c>
      <c r="LV25" s="121" t="str">
        <f>IF(ISBLANK(tbl_task7[[คะแนนเต็ม]:[คะแนนเต็ม]]),"",(tbl_task7[164]/tbl_task7[[คะแนนเต็ม]:[คะแนนเต็ม]])*tbl_task7[[%]:[%]])</f>
        <v/>
      </c>
      <c r="LW25" s="121" t="str">
        <f>IF(ISBLANK(tbl_task7[[คะแนนเต็ม]:[คะแนนเต็ม]]),"",(tbl_task7[165]/tbl_task7[[คะแนนเต็ม]:[คะแนนเต็ม]])*tbl_task7[[%]:[%]])</f>
        <v/>
      </c>
    </row>
    <row r="26" spans="1:335" ht="24" customHeight="1" x14ac:dyDescent="0.25">
      <c r="A26" s="24">
        <v>23</v>
      </c>
      <c r="B26" s="20"/>
      <c r="C26" s="5" t="str">
        <f>IF(ISBLANK(B26),"",VLOOKUP(B26,tbl_PLOs[],2,0))</f>
        <v/>
      </c>
      <c r="D26" s="102"/>
      <c r="E26" s="106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21" t="str">
        <f>IF(ISBLANK(tbl_task7[[คะแนนเต็ม]:[คะแนนเต็ม]]),"",(tbl_task7[1]/tbl_task7[[คะแนนเต็ม]:[คะแนนเต็ม]])*tbl_task7[[%]:[%]])</f>
        <v/>
      </c>
      <c r="FP26" s="121" t="str">
        <f>IF(ISBLANK(tbl_task7[[คะแนนเต็ม]:[คะแนนเต็ม]]),"",(tbl_task7[2]/tbl_task7[[คะแนนเต็ม]:[คะแนนเต็ม]])*tbl_task7[[%]:[%]])</f>
        <v/>
      </c>
      <c r="FQ26" s="121" t="str">
        <f>IF(ISBLANK(tbl_task7[[คะแนนเต็ม]:[คะแนนเต็ม]]),"",(tbl_task7[3]/tbl_task7[[คะแนนเต็ม]:[คะแนนเต็ม]])*tbl_task7[[%]:[%]])</f>
        <v/>
      </c>
      <c r="FR26" s="121" t="str">
        <f>IF(ISBLANK(tbl_task7[[คะแนนเต็ม]:[คะแนนเต็ม]]),"",(tbl_task7[4]/tbl_task7[[คะแนนเต็ม]:[คะแนนเต็ม]])*tbl_task7[[%]:[%]])</f>
        <v/>
      </c>
      <c r="FS26" s="121" t="str">
        <f>IF(ISBLANK(tbl_task7[[คะแนนเต็ม]:[คะแนนเต็ม]]),"",(tbl_task7[5]/tbl_task7[[คะแนนเต็ม]:[คะแนนเต็ม]])*tbl_task7[[%]:[%]])</f>
        <v/>
      </c>
      <c r="FT26" s="121" t="str">
        <f>IF(ISBLANK(tbl_task7[[คะแนนเต็ม]:[คะแนนเต็ม]]),"",(tbl_task7[6]/tbl_task7[[คะแนนเต็ม]:[คะแนนเต็ม]])*tbl_task7[[%]:[%]])</f>
        <v/>
      </c>
      <c r="FU26" s="121" t="str">
        <f>IF(ISBLANK(tbl_task7[[คะแนนเต็ม]:[คะแนนเต็ม]]),"",(tbl_task7[7]/tbl_task7[[คะแนนเต็ม]:[คะแนนเต็ม]])*tbl_task7[[%]:[%]])</f>
        <v/>
      </c>
      <c r="FV26" s="121" t="str">
        <f>IF(ISBLANK(tbl_task7[[คะแนนเต็ม]:[คะแนนเต็ม]]),"",(tbl_task7[8]/tbl_task7[[คะแนนเต็ม]:[คะแนนเต็ม]])*tbl_task7[[%]:[%]])</f>
        <v/>
      </c>
      <c r="FW26" s="121" t="str">
        <f>IF(ISBLANK(tbl_task7[[คะแนนเต็ม]:[คะแนนเต็ม]]),"",(tbl_task7[9]/tbl_task7[[คะแนนเต็ม]:[คะแนนเต็ม]])*tbl_task7[[%]:[%]])</f>
        <v/>
      </c>
      <c r="FX26" s="121" t="str">
        <f>IF(ISBLANK(tbl_task7[[คะแนนเต็ม]:[คะแนนเต็ม]]),"",(tbl_task7[10]/tbl_task7[[คะแนนเต็ม]:[คะแนนเต็ม]])*tbl_task7[[%]:[%]])</f>
        <v/>
      </c>
      <c r="FY26" s="121" t="str">
        <f>IF(ISBLANK(tbl_task7[[คะแนนเต็ม]:[คะแนนเต็ม]]),"",(tbl_task7[11]/tbl_task7[[คะแนนเต็ม]:[คะแนนเต็ม]])*tbl_task7[[%]:[%]])</f>
        <v/>
      </c>
      <c r="FZ26" s="121" t="str">
        <f>IF(ISBLANK(tbl_task7[[คะแนนเต็ม]:[คะแนนเต็ม]]),"",(tbl_task7[12]/tbl_task7[[คะแนนเต็ม]:[คะแนนเต็ม]])*tbl_task7[[%]:[%]])</f>
        <v/>
      </c>
      <c r="GA26" s="121" t="str">
        <f>IF(ISBLANK(tbl_task7[[คะแนนเต็ม]:[คะแนนเต็ม]]),"",(tbl_task7[13]/tbl_task7[[คะแนนเต็ม]:[คะแนนเต็ม]])*tbl_task7[[%]:[%]])</f>
        <v/>
      </c>
      <c r="GB26" s="121" t="str">
        <f>IF(ISBLANK(tbl_task7[[คะแนนเต็ม]:[คะแนนเต็ม]]),"",(tbl_task7[14]/tbl_task7[[คะแนนเต็ม]:[คะแนนเต็ม]])*tbl_task7[[%]:[%]])</f>
        <v/>
      </c>
      <c r="GC26" s="121" t="str">
        <f>IF(ISBLANK(tbl_task7[[คะแนนเต็ม]:[คะแนนเต็ม]]),"",(tbl_task7[15]/tbl_task7[[คะแนนเต็ม]:[คะแนนเต็ม]])*tbl_task7[[%]:[%]])</f>
        <v/>
      </c>
      <c r="GD26" s="121" t="str">
        <f>IF(ISBLANK(tbl_task7[[คะแนนเต็ม]:[คะแนนเต็ม]]),"",(tbl_task7[16]/tbl_task7[[คะแนนเต็ม]:[คะแนนเต็ม]])*tbl_task7[[%]:[%]])</f>
        <v/>
      </c>
      <c r="GE26" s="121" t="str">
        <f>IF(ISBLANK(tbl_task7[[คะแนนเต็ม]:[คะแนนเต็ม]]),"",(tbl_task7[17]/tbl_task7[[คะแนนเต็ม]:[คะแนนเต็ม]])*tbl_task7[[%]:[%]])</f>
        <v/>
      </c>
      <c r="GF26" s="121" t="str">
        <f>IF(ISBLANK(tbl_task7[[คะแนนเต็ม]:[คะแนนเต็ม]]),"",(tbl_task7[18]/tbl_task7[[คะแนนเต็ม]:[คะแนนเต็ม]])*tbl_task7[[%]:[%]])</f>
        <v/>
      </c>
      <c r="GG26" s="121" t="str">
        <f>IF(ISBLANK(tbl_task7[[คะแนนเต็ม]:[คะแนนเต็ม]]),"",(tbl_task7[19]/tbl_task7[[คะแนนเต็ม]:[คะแนนเต็ม]])*tbl_task7[[%]:[%]])</f>
        <v/>
      </c>
      <c r="GH26" s="121" t="str">
        <f>IF(ISBLANK(tbl_task7[[คะแนนเต็ม]:[คะแนนเต็ม]]),"",(tbl_task7[20]/tbl_task7[[คะแนนเต็ม]:[คะแนนเต็ม]])*tbl_task7[[%]:[%]])</f>
        <v/>
      </c>
      <c r="GI26" s="121" t="str">
        <f>IF(ISBLANK(tbl_task7[[คะแนนเต็ม]:[คะแนนเต็ม]]),"",(tbl_task7[21]/tbl_task7[[คะแนนเต็ม]:[คะแนนเต็ม]])*tbl_task7[[%]:[%]])</f>
        <v/>
      </c>
      <c r="GJ26" s="121" t="str">
        <f>IF(ISBLANK(tbl_task7[[คะแนนเต็ม]:[คะแนนเต็ม]]),"",(tbl_task7[22]/tbl_task7[[คะแนนเต็ม]:[คะแนนเต็ม]])*tbl_task7[[%]:[%]])</f>
        <v/>
      </c>
      <c r="GK26" s="121" t="str">
        <f>IF(ISBLANK(tbl_task7[[คะแนนเต็ม]:[คะแนนเต็ม]]),"",(tbl_task7[23]/tbl_task7[[คะแนนเต็ม]:[คะแนนเต็ม]])*tbl_task7[[%]:[%]])</f>
        <v/>
      </c>
      <c r="GL26" s="121" t="str">
        <f>IF(ISBLANK(tbl_task7[[คะแนนเต็ม]:[คะแนนเต็ม]]),"",(tbl_task7[24]/tbl_task7[[คะแนนเต็ม]:[คะแนนเต็ม]])*tbl_task7[[%]:[%]])</f>
        <v/>
      </c>
      <c r="GM26" s="121" t="str">
        <f>IF(ISBLANK(tbl_task7[[คะแนนเต็ม]:[คะแนนเต็ม]]),"",(tbl_task7[25]/tbl_task7[[คะแนนเต็ม]:[คะแนนเต็ม]])*tbl_task7[[%]:[%]])</f>
        <v/>
      </c>
      <c r="GN26" s="121" t="str">
        <f>IF(ISBLANK(tbl_task7[[คะแนนเต็ม]:[คะแนนเต็ม]]),"",(tbl_task7[26]/tbl_task7[[คะแนนเต็ม]:[คะแนนเต็ม]])*tbl_task7[[%]:[%]])</f>
        <v/>
      </c>
      <c r="GO26" s="121" t="str">
        <f>IF(ISBLANK(tbl_task7[[คะแนนเต็ม]:[คะแนนเต็ม]]),"",(tbl_task7[27]/tbl_task7[[คะแนนเต็ม]:[คะแนนเต็ม]])*tbl_task7[[%]:[%]])</f>
        <v/>
      </c>
      <c r="GP26" s="121" t="str">
        <f>IF(ISBLANK(tbl_task7[[คะแนนเต็ม]:[คะแนนเต็ม]]),"",(tbl_task7[28]/tbl_task7[[คะแนนเต็ม]:[คะแนนเต็ม]])*tbl_task7[[%]:[%]])</f>
        <v/>
      </c>
      <c r="GQ26" s="121" t="str">
        <f>IF(ISBLANK(tbl_task7[[คะแนนเต็ม]:[คะแนนเต็ม]]),"",(tbl_task7[29]/tbl_task7[[คะแนนเต็ม]:[คะแนนเต็ม]])*tbl_task7[[%]:[%]])</f>
        <v/>
      </c>
      <c r="GR26" s="121" t="str">
        <f>IF(ISBLANK(tbl_task7[[คะแนนเต็ม]:[คะแนนเต็ม]]),"",(tbl_task7[30]/tbl_task7[[คะแนนเต็ม]:[คะแนนเต็ม]])*tbl_task7[[%]:[%]])</f>
        <v/>
      </c>
      <c r="GS26" s="121" t="str">
        <f>IF(ISBLANK(tbl_task7[[คะแนนเต็ม]:[คะแนนเต็ม]]),"",(tbl_task7[31]/tbl_task7[[คะแนนเต็ม]:[คะแนนเต็ม]])*tbl_task7[[%]:[%]])</f>
        <v/>
      </c>
      <c r="GT26" s="121" t="str">
        <f>IF(ISBLANK(tbl_task7[[คะแนนเต็ม]:[คะแนนเต็ม]]),"",(tbl_task7[32]/tbl_task7[[คะแนนเต็ม]:[คะแนนเต็ม]])*tbl_task7[[%]:[%]])</f>
        <v/>
      </c>
      <c r="GU26" s="121" t="str">
        <f>IF(ISBLANK(tbl_task7[[คะแนนเต็ม]:[คะแนนเต็ม]]),"",(tbl_task7[33]/tbl_task7[[คะแนนเต็ม]:[คะแนนเต็ม]])*tbl_task7[[%]:[%]])</f>
        <v/>
      </c>
      <c r="GV26" s="121" t="str">
        <f>IF(ISBLANK(tbl_task7[[คะแนนเต็ม]:[คะแนนเต็ม]]),"",(tbl_task7[34]/tbl_task7[[คะแนนเต็ม]:[คะแนนเต็ม]])*tbl_task7[[%]:[%]])</f>
        <v/>
      </c>
      <c r="GW26" s="121" t="str">
        <f>IF(ISBLANK(tbl_task7[[คะแนนเต็ม]:[คะแนนเต็ม]]),"",(tbl_task7[35]/tbl_task7[[คะแนนเต็ม]:[คะแนนเต็ม]])*tbl_task7[[%]:[%]])</f>
        <v/>
      </c>
      <c r="GX26" s="121" t="str">
        <f>IF(ISBLANK(tbl_task7[[คะแนนเต็ม]:[คะแนนเต็ม]]),"",(tbl_task7[36]/tbl_task7[[คะแนนเต็ม]:[คะแนนเต็ม]])*tbl_task7[[%]:[%]])</f>
        <v/>
      </c>
      <c r="GY26" s="121" t="str">
        <f>IF(ISBLANK(tbl_task7[[คะแนนเต็ม]:[คะแนนเต็ม]]),"",(tbl_task7[37]/tbl_task7[[คะแนนเต็ม]:[คะแนนเต็ม]])*tbl_task7[[%]:[%]])</f>
        <v/>
      </c>
      <c r="GZ26" s="121" t="str">
        <f>IF(ISBLANK(tbl_task7[[คะแนนเต็ม]:[คะแนนเต็ม]]),"",(tbl_task7[38]/tbl_task7[[คะแนนเต็ม]:[คะแนนเต็ม]])*tbl_task7[[%]:[%]])</f>
        <v/>
      </c>
      <c r="HA26" s="121" t="str">
        <f>IF(ISBLANK(tbl_task7[[คะแนนเต็ม]:[คะแนนเต็ม]]),"",(tbl_task7[39]/tbl_task7[[คะแนนเต็ม]:[คะแนนเต็ม]])*tbl_task7[[%]:[%]])</f>
        <v/>
      </c>
      <c r="HB26" s="121" t="str">
        <f>IF(ISBLANK(tbl_task7[[คะแนนเต็ม]:[คะแนนเต็ม]]),"",(tbl_task7[40]/tbl_task7[[คะแนนเต็ม]:[คะแนนเต็ม]])*tbl_task7[[%]:[%]])</f>
        <v/>
      </c>
      <c r="HC26" s="121" t="str">
        <f>IF(ISBLANK(tbl_task7[[คะแนนเต็ม]:[คะแนนเต็ม]]),"",(tbl_task7[41]/tbl_task7[[คะแนนเต็ม]:[คะแนนเต็ม]])*tbl_task7[[%]:[%]])</f>
        <v/>
      </c>
      <c r="HD26" s="121" t="str">
        <f>IF(ISBLANK(tbl_task7[[คะแนนเต็ม]:[คะแนนเต็ม]]),"",(tbl_task7[42]/tbl_task7[[คะแนนเต็ม]:[คะแนนเต็ม]])*tbl_task7[[%]:[%]])</f>
        <v/>
      </c>
      <c r="HE26" s="121" t="str">
        <f>IF(ISBLANK(tbl_task7[[คะแนนเต็ม]:[คะแนนเต็ม]]),"",(tbl_task7[43]/tbl_task7[[คะแนนเต็ม]:[คะแนนเต็ม]])*tbl_task7[[%]:[%]])</f>
        <v/>
      </c>
      <c r="HF26" s="121" t="str">
        <f>IF(ISBLANK(tbl_task7[[คะแนนเต็ม]:[คะแนนเต็ม]]),"",(tbl_task7[44]/tbl_task7[[คะแนนเต็ม]:[คะแนนเต็ม]])*tbl_task7[[%]:[%]])</f>
        <v/>
      </c>
      <c r="HG26" s="121" t="str">
        <f>IF(ISBLANK(tbl_task7[[คะแนนเต็ม]:[คะแนนเต็ม]]),"",(tbl_task7[45]/tbl_task7[[คะแนนเต็ม]:[คะแนนเต็ม]])*tbl_task7[[%]:[%]])</f>
        <v/>
      </c>
      <c r="HH26" s="121" t="str">
        <f>IF(ISBLANK(tbl_task7[[คะแนนเต็ม]:[คะแนนเต็ม]]),"",(tbl_task7[46]/tbl_task7[[คะแนนเต็ม]:[คะแนนเต็ม]])*tbl_task7[[%]:[%]])</f>
        <v/>
      </c>
      <c r="HI26" s="121" t="str">
        <f>IF(ISBLANK(tbl_task7[[คะแนนเต็ม]:[คะแนนเต็ม]]),"",(tbl_task7[47]/tbl_task7[[คะแนนเต็ม]:[คะแนนเต็ม]])*tbl_task7[[%]:[%]])</f>
        <v/>
      </c>
      <c r="HJ26" s="121" t="str">
        <f>IF(ISBLANK(tbl_task7[[คะแนนเต็ม]:[คะแนนเต็ม]]),"",(tbl_task7[48]/tbl_task7[[คะแนนเต็ม]:[คะแนนเต็ม]])*tbl_task7[[%]:[%]])</f>
        <v/>
      </c>
      <c r="HK26" s="121" t="str">
        <f>IF(ISBLANK(tbl_task7[[คะแนนเต็ม]:[คะแนนเต็ม]]),"",(tbl_task7[49]/tbl_task7[[คะแนนเต็ม]:[คะแนนเต็ม]])*tbl_task7[[%]:[%]])</f>
        <v/>
      </c>
      <c r="HL26" s="121" t="str">
        <f>IF(ISBLANK(tbl_task7[[คะแนนเต็ม]:[คะแนนเต็ม]]),"",(tbl_task7[50]/tbl_task7[[คะแนนเต็ม]:[คะแนนเต็ม]])*tbl_task7[[%]:[%]])</f>
        <v/>
      </c>
      <c r="HM26" s="121" t="str">
        <f>IF(ISBLANK(tbl_task7[[คะแนนเต็ม]:[คะแนนเต็ม]]),"",(tbl_task7[51]/tbl_task7[[คะแนนเต็ม]:[คะแนนเต็ม]])*tbl_task7[[%]:[%]])</f>
        <v/>
      </c>
      <c r="HN26" s="121" t="str">
        <f>IF(ISBLANK(tbl_task7[[คะแนนเต็ม]:[คะแนนเต็ม]]),"",(tbl_task7[52]/tbl_task7[[คะแนนเต็ม]:[คะแนนเต็ม]])*tbl_task7[[%]:[%]])</f>
        <v/>
      </c>
      <c r="HO26" s="121" t="str">
        <f>IF(ISBLANK(tbl_task7[[คะแนนเต็ม]:[คะแนนเต็ม]]),"",(tbl_task7[53]/tbl_task7[[คะแนนเต็ม]:[คะแนนเต็ม]])*tbl_task7[[%]:[%]])</f>
        <v/>
      </c>
      <c r="HP26" s="121" t="str">
        <f>IF(ISBLANK(tbl_task7[[คะแนนเต็ม]:[คะแนนเต็ม]]),"",(tbl_task7[54]/tbl_task7[[คะแนนเต็ม]:[คะแนนเต็ม]])*tbl_task7[[%]:[%]])</f>
        <v/>
      </c>
      <c r="HQ26" s="121" t="str">
        <f>IF(ISBLANK(tbl_task7[[คะแนนเต็ม]:[คะแนนเต็ม]]),"",(tbl_task7[55]/tbl_task7[[คะแนนเต็ม]:[คะแนนเต็ม]])*tbl_task7[[%]:[%]])</f>
        <v/>
      </c>
      <c r="HR26" s="121" t="str">
        <f>IF(ISBLANK(tbl_task7[[คะแนนเต็ม]:[คะแนนเต็ม]]),"",(tbl_task7[56]/tbl_task7[[คะแนนเต็ม]:[คะแนนเต็ม]])*tbl_task7[[%]:[%]])</f>
        <v/>
      </c>
      <c r="HS26" s="121" t="str">
        <f>IF(ISBLANK(tbl_task7[[คะแนนเต็ม]:[คะแนนเต็ม]]),"",(tbl_task7[57]/tbl_task7[[คะแนนเต็ม]:[คะแนนเต็ม]])*tbl_task7[[%]:[%]])</f>
        <v/>
      </c>
      <c r="HT26" s="121" t="str">
        <f>IF(ISBLANK(tbl_task7[[คะแนนเต็ม]:[คะแนนเต็ม]]),"",(tbl_task7[58]/tbl_task7[[คะแนนเต็ม]:[คะแนนเต็ม]])*tbl_task7[[%]:[%]])</f>
        <v/>
      </c>
      <c r="HU26" s="121" t="str">
        <f>IF(ISBLANK(tbl_task7[[คะแนนเต็ม]:[คะแนนเต็ม]]),"",(tbl_task7[59]/tbl_task7[[คะแนนเต็ม]:[คะแนนเต็ม]])*tbl_task7[[%]:[%]])</f>
        <v/>
      </c>
      <c r="HV26" s="121" t="str">
        <f>IF(ISBLANK(tbl_task7[[คะแนนเต็ม]:[คะแนนเต็ม]]),"",(tbl_task7[60]/tbl_task7[[คะแนนเต็ม]:[คะแนนเต็ม]])*tbl_task7[[%]:[%]])</f>
        <v/>
      </c>
      <c r="HW26" s="121" t="str">
        <f>IF(ISBLANK(tbl_task7[[คะแนนเต็ม]:[คะแนนเต็ม]]),"",(tbl_task7[61]/tbl_task7[[คะแนนเต็ม]:[คะแนนเต็ม]])*tbl_task7[[%]:[%]])</f>
        <v/>
      </c>
      <c r="HX26" s="121" t="str">
        <f>IF(ISBLANK(tbl_task7[[คะแนนเต็ม]:[คะแนนเต็ม]]),"",(tbl_task7[62]/tbl_task7[[คะแนนเต็ม]:[คะแนนเต็ม]])*tbl_task7[[%]:[%]])</f>
        <v/>
      </c>
      <c r="HY26" s="121" t="str">
        <f>IF(ISBLANK(tbl_task7[[คะแนนเต็ม]:[คะแนนเต็ม]]),"",(tbl_task7[63]/tbl_task7[[คะแนนเต็ม]:[คะแนนเต็ม]])*tbl_task7[[%]:[%]])</f>
        <v/>
      </c>
      <c r="HZ26" s="121" t="str">
        <f>IF(ISBLANK(tbl_task7[[คะแนนเต็ม]:[คะแนนเต็ม]]),"",(tbl_task7[64]/tbl_task7[[คะแนนเต็ม]:[คะแนนเต็ม]])*tbl_task7[[%]:[%]])</f>
        <v/>
      </c>
      <c r="IA26" s="121" t="str">
        <f>IF(ISBLANK(tbl_task7[[คะแนนเต็ม]:[คะแนนเต็ม]]),"",(tbl_task7[65]/tbl_task7[[คะแนนเต็ม]:[คะแนนเต็ม]])*tbl_task7[[%]:[%]])</f>
        <v/>
      </c>
      <c r="IB26" s="121" t="str">
        <f>IF(ISBLANK(tbl_task7[[คะแนนเต็ม]:[คะแนนเต็ม]]),"",(tbl_task7[66]/tbl_task7[[คะแนนเต็ม]:[คะแนนเต็ม]])*tbl_task7[[%]:[%]])</f>
        <v/>
      </c>
      <c r="IC26" s="121" t="str">
        <f>IF(ISBLANK(tbl_task7[[คะแนนเต็ม]:[คะแนนเต็ม]]),"",(tbl_task7[67]/tbl_task7[[คะแนนเต็ม]:[คะแนนเต็ม]])*tbl_task7[[%]:[%]])</f>
        <v/>
      </c>
      <c r="ID26" s="121" t="str">
        <f>IF(ISBLANK(tbl_task7[[คะแนนเต็ม]:[คะแนนเต็ม]]),"",(tbl_task7[68]/tbl_task7[[คะแนนเต็ม]:[คะแนนเต็ม]])*tbl_task7[[%]:[%]])</f>
        <v/>
      </c>
      <c r="IE26" s="121" t="str">
        <f>IF(ISBLANK(tbl_task7[[คะแนนเต็ม]:[คะแนนเต็ม]]),"",(tbl_task7[69]/tbl_task7[[คะแนนเต็ม]:[คะแนนเต็ม]])*tbl_task7[[%]:[%]])</f>
        <v/>
      </c>
      <c r="IF26" s="121" t="str">
        <f>IF(ISBLANK(tbl_task7[[คะแนนเต็ม]:[คะแนนเต็ม]]),"",(tbl_task7[70]/tbl_task7[[คะแนนเต็ม]:[คะแนนเต็ม]])*tbl_task7[[%]:[%]])</f>
        <v/>
      </c>
      <c r="IG26" s="121" t="str">
        <f>IF(ISBLANK(tbl_task7[[คะแนนเต็ม]:[คะแนนเต็ม]]),"",(tbl_task7[71]/tbl_task7[[คะแนนเต็ม]:[คะแนนเต็ม]])*tbl_task7[[%]:[%]])</f>
        <v/>
      </c>
      <c r="IH26" s="121" t="str">
        <f>IF(ISBLANK(tbl_task7[[คะแนนเต็ม]:[คะแนนเต็ม]]),"",(tbl_task7[72]/tbl_task7[[คะแนนเต็ม]:[คะแนนเต็ม]])*tbl_task7[[%]:[%]])</f>
        <v/>
      </c>
      <c r="II26" s="121" t="str">
        <f>IF(ISBLANK(tbl_task7[[คะแนนเต็ม]:[คะแนนเต็ม]]),"",(tbl_task7[73]/tbl_task7[[คะแนนเต็ม]:[คะแนนเต็ม]])*tbl_task7[[%]:[%]])</f>
        <v/>
      </c>
      <c r="IJ26" s="121" t="str">
        <f>IF(ISBLANK(tbl_task7[[คะแนนเต็ม]:[คะแนนเต็ม]]),"",(tbl_task7[74]/tbl_task7[[คะแนนเต็ม]:[คะแนนเต็ม]])*tbl_task7[[%]:[%]])</f>
        <v/>
      </c>
      <c r="IK26" s="121" t="str">
        <f>IF(ISBLANK(tbl_task7[[คะแนนเต็ม]:[คะแนนเต็ม]]),"",(tbl_task7[75]/tbl_task7[[คะแนนเต็ม]:[คะแนนเต็ม]])*tbl_task7[[%]:[%]])</f>
        <v/>
      </c>
      <c r="IL26" s="121" t="str">
        <f>IF(ISBLANK(tbl_task7[[คะแนนเต็ม]:[คะแนนเต็ม]]),"",(tbl_task7[76]/tbl_task7[[คะแนนเต็ม]:[คะแนนเต็ม]])*tbl_task7[[%]:[%]])</f>
        <v/>
      </c>
      <c r="IM26" s="121" t="str">
        <f>IF(ISBLANK(tbl_task7[[คะแนนเต็ม]:[คะแนนเต็ม]]),"",(tbl_task7[77]/tbl_task7[[คะแนนเต็ม]:[คะแนนเต็ม]])*tbl_task7[[%]:[%]])</f>
        <v/>
      </c>
      <c r="IN26" s="121" t="str">
        <f>IF(ISBLANK(tbl_task7[[คะแนนเต็ม]:[คะแนนเต็ม]]),"",(tbl_task7[78]/tbl_task7[[คะแนนเต็ม]:[คะแนนเต็ม]])*tbl_task7[[%]:[%]])</f>
        <v/>
      </c>
      <c r="IO26" s="121" t="str">
        <f>IF(ISBLANK(tbl_task7[[คะแนนเต็ม]:[คะแนนเต็ม]]),"",(tbl_task7[79]/tbl_task7[[คะแนนเต็ม]:[คะแนนเต็ม]])*tbl_task7[[%]:[%]])</f>
        <v/>
      </c>
      <c r="IP26" s="121" t="str">
        <f>IF(ISBLANK(tbl_task7[[คะแนนเต็ม]:[คะแนนเต็ม]]),"",(tbl_task7[80]/tbl_task7[[คะแนนเต็ม]:[คะแนนเต็ม]])*tbl_task7[[%]:[%]])</f>
        <v/>
      </c>
      <c r="IQ26" s="121" t="str">
        <f>IF(ISBLANK(tbl_task7[[คะแนนเต็ม]:[คะแนนเต็ม]]),"",(tbl_task7[81]/tbl_task7[[คะแนนเต็ม]:[คะแนนเต็ม]])*tbl_task7[[%]:[%]])</f>
        <v/>
      </c>
      <c r="IR26" s="121" t="str">
        <f>IF(ISBLANK(tbl_task7[[คะแนนเต็ม]:[คะแนนเต็ม]]),"",(tbl_task7[82]/tbl_task7[[คะแนนเต็ม]:[คะแนนเต็ม]])*tbl_task7[[%]:[%]])</f>
        <v/>
      </c>
      <c r="IS26" s="121" t="str">
        <f>IF(ISBLANK(tbl_task7[[คะแนนเต็ม]:[คะแนนเต็ม]]),"",(tbl_task7[83]/tbl_task7[[คะแนนเต็ม]:[คะแนนเต็ม]])*tbl_task7[[%]:[%]])</f>
        <v/>
      </c>
      <c r="IT26" s="121" t="str">
        <f>IF(ISBLANK(tbl_task7[[คะแนนเต็ม]:[คะแนนเต็ม]]),"",(tbl_task7[84]/tbl_task7[[คะแนนเต็ม]:[คะแนนเต็ม]])*tbl_task7[[%]:[%]])</f>
        <v/>
      </c>
      <c r="IU26" s="121" t="str">
        <f>IF(ISBLANK(tbl_task7[[คะแนนเต็ม]:[คะแนนเต็ม]]),"",(tbl_task7[85]/tbl_task7[[คะแนนเต็ม]:[คะแนนเต็ม]])*tbl_task7[[%]:[%]])</f>
        <v/>
      </c>
      <c r="IV26" s="121" t="str">
        <f>IF(ISBLANK(tbl_task7[[คะแนนเต็ม]:[คะแนนเต็ม]]),"",(tbl_task7[86]/tbl_task7[[คะแนนเต็ม]:[คะแนนเต็ม]])*tbl_task7[[%]:[%]])</f>
        <v/>
      </c>
      <c r="IW26" s="121" t="str">
        <f>IF(ISBLANK(tbl_task7[[คะแนนเต็ม]:[คะแนนเต็ม]]),"",(tbl_task7[87]/tbl_task7[[คะแนนเต็ม]:[คะแนนเต็ม]])*tbl_task7[[%]:[%]])</f>
        <v/>
      </c>
      <c r="IX26" s="121" t="str">
        <f>IF(ISBLANK(tbl_task7[[คะแนนเต็ม]:[คะแนนเต็ม]]),"",(tbl_task7[88]/tbl_task7[[คะแนนเต็ม]:[คะแนนเต็ม]])*tbl_task7[[%]:[%]])</f>
        <v/>
      </c>
      <c r="IY26" s="121" t="str">
        <f>IF(ISBLANK(tbl_task7[[คะแนนเต็ม]:[คะแนนเต็ม]]),"",(tbl_task7[89]/tbl_task7[[คะแนนเต็ม]:[คะแนนเต็ม]])*tbl_task7[[%]:[%]])</f>
        <v/>
      </c>
      <c r="IZ26" s="121" t="str">
        <f>IF(ISBLANK(tbl_task7[[คะแนนเต็ม]:[คะแนนเต็ม]]),"",(tbl_task7[90]/tbl_task7[[คะแนนเต็ม]:[คะแนนเต็ม]])*tbl_task7[[%]:[%]])</f>
        <v/>
      </c>
      <c r="JA26" s="121" t="str">
        <f>IF(ISBLANK(tbl_task7[[คะแนนเต็ม]:[คะแนนเต็ม]]),"",(tbl_task7[91]/tbl_task7[[คะแนนเต็ม]:[คะแนนเต็ม]])*tbl_task7[[%]:[%]])</f>
        <v/>
      </c>
      <c r="JB26" s="121" t="str">
        <f>IF(ISBLANK(tbl_task7[[คะแนนเต็ม]:[คะแนนเต็ม]]),"",(tbl_task7[92]/tbl_task7[[คะแนนเต็ม]:[คะแนนเต็ม]])*tbl_task7[[%]:[%]])</f>
        <v/>
      </c>
      <c r="JC26" s="121" t="str">
        <f>IF(ISBLANK(tbl_task7[[คะแนนเต็ม]:[คะแนนเต็ม]]),"",(tbl_task7[93]/tbl_task7[[คะแนนเต็ม]:[คะแนนเต็ม]])*tbl_task7[[%]:[%]])</f>
        <v/>
      </c>
      <c r="JD26" s="121" t="str">
        <f>IF(ISBLANK(tbl_task7[[คะแนนเต็ม]:[คะแนนเต็ม]]),"",(tbl_task7[94]/tbl_task7[[คะแนนเต็ม]:[คะแนนเต็ม]])*tbl_task7[[%]:[%]])</f>
        <v/>
      </c>
      <c r="JE26" s="121" t="str">
        <f>IF(ISBLANK(tbl_task7[[คะแนนเต็ม]:[คะแนนเต็ม]]),"",(tbl_task7[95]/tbl_task7[[คะแนนเต็ม]:[คะแนนเต็ม]])*tbl_task7[[%]:[%]])</f>
        <v/>
      </c>
      <c r="JF26" s="121" t="str">
        <f>IF(ISBLANK(tbl_task7[[คะแนนเต็ม]:[คะแนนเต็ม]]),"",(tbl_task7[96]/tbl_task7[[คะแนนเต็ม]:[คะแนนเต็ม]])*tbl_task7[[%]:[%]])</f>
        <v/>
      </c>
      <c r="JG26" s="121" t="str">
        <f>IF(ISBLANK(tbl_task7[[คะแนนเต็ม]:[คะแนนเต็ม]]),"",(tbl_task7[97]/tbl_task7[[คะแนนเต็ม]:[คะแนนเต็ม]])*tbl_task7[[%]:[%]])</f>
        <v/>
      </c>
      <c r="JH26" s="121" t="str">
        <f>IF(ISBLANK(tbl_task7[[คะแนนเต็ม]:[คะแนนเต็ม]]),"",(tbl_task7[98]/tbl_task7[[คะแนนเต็ม]:[คะแนนเต็ม]])*tbl_task7[[%]:[%]])</f>
        <v/>
      </c>
      <c r="JI26" s="121" t="str">
        <f>IF(ISBLANK(tbl_task7[[คะแนนเต็ม]:[คะแนนเต็ม]]),"",(tbl_task7[99]/tbl_task7[[คะแนนเต็ม]:[คะแนนเต็ม]])*tbl_task7[[%]:[%]])</f>
        <v/>
      </c>
      <c r="JJ26" s="121" t="str">
        <f>IF(ISBLANK(tbl_task7[[คะแนนเต็ม]:[คะแนนเต็ม]]),"",(tbl_task7[100]/tbl_task7[[คะแนนเต็ม]:[คะแนนเต็ม]])*tbl_task7[[%]:[%]])</f>
        <v/>
      </c>
      <c r="JK26" s="121" t="str">
        <f>IF(ISBLANK(tbl_task7[[คะแนนเต็ม]:[คะแนนเต็ม]]),"",(tbl_task7[101]/tbl_task7[[คะแนนเต็ม]:[คะแนนเต็ม]])*tbl_task7[[%]:[%]])</f>
        <v/>
      </c>
      <c r="JL26" s="121" t="str">
        <f>IF(ISBLANK(tbl_task7[[คะแนนเต็ม]:[คะแนนเต็ม]]),"",(tbl_task7[102]/tbl_task7[[คะแนนเต็ม]:[คะแนนเต็ม]])*tbl_task7[[%]:[%]])</f>
        <v/>
      </c>
      <c r="JM26" s="121" t="str">
        <f>IF(ISBLANK(tbl_task7[[คะแนนเต็ม]:[คะแนนเต็ม]]),"",(tbl_task7[103]/tbl_task7[[คะแนนเต็ม]:[คะแนนเต็ม]])*tbl_task7[[%]:[%]])</f>
        <v/>
      </c>
      <c r="JN26" s="121" t="str">
        <f>IF(ISBLANK(tbl_task7[[คะแนนเต็ม]:[คะแนนเต็ม]]),"",(tbl_task7[104]/tbl_task7[[คะแนนเต็ม]:[คะแนนเต็ม]])*tbl_task7[[%]:[%]])</f>
        <v/>
      </c>
      <c r="JO26" s="121" t="str">
        <f>IF(ISBLANK(tbl_task7[[คะแนนเต็ม]:[คะแนนเต็ม]]),"",(tbl_task7[105]/tbl_task7[[คะแนนเต็ม]:[คะแนนเต็ม]])*tbl_task7[[%]:[%]])</f>
        <v/>
      </c>
      <c r="JP26" s="121" t="str">
        <f>IF(ISBLANK(tbl_task7[[คะแนนเต็ม]:[คะแนนเต็ม]]),"",(tbl_task7[106]/tbl_task7[[คะแนนเต็ม]:[คะแนนเต็ม]])*tbl_task7[[%]:[%]])</f>
        <v/>
      </c>
      <c r="JQ26" s="121" t="str">
        <f>IF(ISBLANK(tbl_task7[[คะแนนเต็ม]:[คะแนนเต็ม]]),"",(tbl_task7[107]/tbl_task7[[คะแนนเต็ม]:[คะแนนเต็ม]])*tbl_task7[[%]:[%]])</f>
        <v/>
      </c>
      <c r="JR26" s="121" t="str">
        <f>IF(ISBLANK(tbl_task7[[คะแนนเต็ม]:[คะแนนเต็ม]]),"",(tbl_task7[108]/tbl_task7[[คะแนนเต็ม]:[คะแนนเต็ม]])*tbl_task7[[%]:[%]])</f>
        <v/>
      </c>
      <c r="JS26" s="121" t="str">
        <f>IF(ISBLANK(tbl_task7[[คะแนนเต็ม]:[คะแนนเต็ม]]),"",(tbl_task7[109]/tbl_task7[[คะแนนเต็ม]:[คะแนนเต็ม]])*tbl_task7[[%]:[%]])</f>
        <v/>
      </c>
      <c r="JT26" s="121" t="str">
        <f>IF(ISBLANK(tbl_task7[[คะแนนเต็ม]:[คะแนนเต็ม]]),"",(tbl_task7[110]/tbl_task7[[คะแนนเต็ม]:[คะแนนเต็ม]])*tbl_task7[[%]:[%]])</f>
        <v/>
      </c>
      <c r="JU26" s="121" t="str">
        <f>IF(ISBLANK(tbl_task7[[คะแนนเต็ม]:[คะแนนเต็ม]]),"",(tbl_task7[111]/tbl_task7[[คะแนนเต็ม]:[คะแนนเต็ม]])*tbl_task7[[%]:[%]])</f>
        <v/>
      </c>
      <c r="JV26" s="121" t="str">
        <f>IF(ISBLANK(tbl_task7[[คะแนนเต็ม]:[คะแนนเต็ม]]),"",(tbl_task7[112]/tbl_task7[[คะแนนเต็ม]:[คะแนนเต็ม]])*tbl_task7[[%]:[%]])</f>
        <v/>
      </c>
      <c r="JW26" s="121" t="str">
        <f>IF(ISBLANK(tbl_task7[[คะแนนเต็ม]:[คะแนนเต็ม]]),"",(tbl_task7[113]/tbl_task7[[คะแนนเต็ม]:[คะแนนเต็ม]])*tbl_task7[[%]:[%]])</f>
        <v/>
      </c>
      <c r="JX26" s="121" t="str">
        <f>IF(ISBLANK(tbl_task7[[คะแนนเต็ม]:[คะแนนเต็ม]]),"",(tbl_task7[114]/tbl_task7[[คะแนนเต็ม]:[คะแนนเต็ม]])*tbl_task7[[%]:[%]])</f>
        <v/>
      </c>
      <c r="JY26" s="121" t="str">
        <f>IF(ISBLANK(tbl_task7[[คะแนนเต็ม]:[คะแนนเต็ม]]),"",(tbl_task7[115]/tbl_task7[[คะแนนเต็ม]:[คะแนนเต็ม]])*tbl_task7[[%]:[%]])</f>
        <v/>
      </c>
      <c r="JZ26" s="121" t="str">
        <f>IF(ISBLANK(tbl_task7[[คะแนนเต็ม]:[คะแนนเต็ม]]),"",(tbl_task7[116]/tbl_task7[[คะแนนเต็ม]:[คะแนนเต็ม]])*tbl_task7[[%]:[%]])</f>
        <v/>
      </c>
      <c r="KA26" s="121" t="str">
        <f>IF(ISBLANK(tbl_task7[[คะแนนเต็ม]:[คะแนนเต็ม]]),"",(tbl_task7[117]/tbl_task7[[คะแนนเต็ม]:[คะแนนเต็ม]])*tbl_task7[[%]:[%]])</f>
        <v/>
      </c>
      <c r="KB26" s="121" t="str">
        <f>IF(ISBLANK(tbl_task7[[คะแนนเต็ม]:[คะแนนเต็ม]]),"",(tbl_task7[118]/tbl_task7[[คะแนนเต็ม]:[คะแนนเต็ม]])*tbl_task7[[%]:[%]])</f>
        <v/>
      </c>
      <c r="KC26" s="121" t="str">
        <f>IF(ISBLANK(tbl_task7[[คะแนนเต็ม]:[คะแนนเต็ม]]),"",(tbl_task7[119]/tbl_task7[[คะแนนเต็ม]:[คะแนนเต็ม]])*tbl_task7[[%]:[%]])</f>
        <v/>
      </c>
      <c r="KD26" s="121" t="str">
        <f>IF(ISBLANK(tbl_task7[[คะแนนเต็ม]:[คะแนนเต็ม]]),"",(tbl_task7[120]/tbl_task7[[คะแนนเต็ม]:[คะแนนเต็ม]])*tbl_task7[[%]:[%]])</f>
        <v/>
      </c>
      <c r="KE26" s="121" t="str">
        <f>IF(ISBLANK(tbl_task7[[คะแนนเต็ม]:[คะแนนเต็ม]]),"",(tbl_task7[121]/tbl_task7[[คะแนนเต็ม]:[คะแนนเต็ม]])*tbl_task7[[%]:[%]])</f>
        <v/>
      </c>
      <c r="KF26" s="121" t="str">
        <f>IF(ISBLANK(tbl_task7[[คะแนนเต็ม]:[คะแนนเต็ม]]),"",(tbl_task7[122]/tbl_task7[[คะแนนเต็ม]:[คะแนนเต็ม]])*tbl_task7[[%]:[%]])</f>
        <v/>
      </c>
      <c r="KG26" s="121" t="str">
        <f>IF(ISBLANK(tbl_task7[[คะแนนเต็ม]:[คะแนนเต็ม]]),"",(tbl_task7[123]/tbl_task7[[คะแนนเต็ม]:[คะแนนเต็ม]])*tbl_task7[[%]:[%]])</f>
        <v/>
      </c>
      <c r="KH26" s="121" t="str">
        <f>IF(ISBLANK(tbl_task7[[คะแนนเต็ม]:[คะแนนเต็ม]]),"",(tbl_task7[124]/tbl_task7[[คะแนนเต็ม]:[คะแนนเต็ม]])*tbl_task7[[%]:[%]])</f>
        <v/>
      </c>
      <c r="KI26" s="121" t="str">
        <f>IF(ISBLANK(tbl_task7[[คะแนนเต็ม]:[คะแนนเต็ม]]),"",(tbl_task7[125]/tbl_task7[[คะแนนเต็ม]:[คะแนนเต็ม]])*tbl_task7[[%]:[%]])</f>
        <v/>
      </c>
      <c r="KJ26" s="121" t="str">
        <f>IF(ISBLANK(tbl_task7[[คะแนนเต็ม]:[คะแนนเต็ม]]),"",(tbl_task7[126]/tbl_task7[[คะแนนเต็ม]:[คะแนนเต็ม]])*tbl_task7[[%]:[%]])</f>
        <v/>
      </c>
      <c r="KK26" s="121" t="str">
        <f>IF(ISBLANK(tbl_task7[[คะแนนเต็ม]:[คะแนนเต็ม]]),"",(tbl_task7[127]/tbl_task7[[คะแนนเต็ม]:[คะแนนเต็ม]])*tbl_task7[[%]:[%]])</f>
        <v/>
      </c>
      <c r="KL26" s="121" t="str">
        <f>IF(ISBLANK(tbl_task7[[คะแนนเต็ม]:[คะแนนเต็ม]]),"",(tbl_task7[128]/tbl_task7[[คะแนนเต็ม]:[คะแนนเต็ม]])*tbl_task7[[%]:[%]])</f>
        <v/>
      </c>
      <c r="KM26" s="121" t="str">
        <f>IF(ISBLANK(tbl_task7[[คะแนนเต็ม]:[คะแนนเต็ม]]),"",(tbl_task7[129]/tbl_task7[[คะแนนเต็ม]:[คะแนนเต็ม]])*tbl_task7[[%]:[%]])</f>
        <v/>
      </c>
      <c r="KN26" s="121" t="str">
        <f>IF(ISBLANK(tbl_task7[[คะแนนเต็ม]:[คะแนนเต็ม]]),"",(tbl_task7[130]/tbl_task7[[คะแนนเต็ม]:[คะแนนเต็ม]])*tbl_task7[[%]:[%]])</f>
        <v/>
      </c>
      <c r="KO26" s="121" t="str">
        <f>IF(ISBLANK(tbl_task7[[คะแนนเต็ม]:[คะแนนเต็ม]]),"",(tbl_task7[131]/tbl_task7[[คะแนนเต็ม]:[คะแนนเต็ม]])*tbl_task7[[%]:[%]])</f>
        <v/>
      </c>
      <c r="KP26" s="121" t="str">
        <f>IF(ISBLANK(tbl_task7[[คะแนนเต็ม]:[คะแนนเต็ม]]),"",(tbl_task7[132]/tbl_task7[[คะแนนเต็ม]:[คะแนนเต็ม]])*tbl_task7[[%]:[%]])</f>
        <v/>
      </c>
      <c r="KQ26" s="121" t="str">
        <f>IF(ISBLANK(tbl_task7[[คะแนนเต็ม]:[คะแนนเต็ม]]),"",(tbl_task7[133]/tbl_task7[[คะแนนเต็ม]:[คะแนนเต็ม]])*tbl_task7[[%]:[%]])</f>
        <v/>
      </c>
      <c r="KR26" s="121" t="str">
        <f>IF(ISBLANK(tbl_task7[[คะแนนเต็ม]:[คะแนนเต็ม]]),"",(tbl_task7[134]/tbl_task7[[คะแนนเต็ม]:[คะแนนเต็ม]])*tbl_task7[[%]:[%]])</f>
        <v/>
      </c>
      <c r="KS26" s="121" t="str">
        <f>IF(ISBLANK(tbl_task7[[คะแนนเต็ม]:[คะแนนเต็ม]]),"",(tbl_task7[135]/tbl_task7[[คะแนนเต็ม]:[คะแนนเต็ม]])*tbl_task7[[%]:[%]])</f>
        <v/>
      </c>
      <c r="KT26" s="121" t="str">
        <f>IF(ISBLANK(tbl_task7[[คะแนนเต็ม]:[คะแนนเต็ม]]),"",(tbl_task7[136]/tbl_task7[[คะแนนเต็ม]:[คะแนนเต็ม]])*tbl_task7[[%]:[%]])</f>
        <v/>
      </c>
      <c r="KU26" s="121" t="str">
        <f>IF(ISBLANK(tbl_task7[[คะแนนเต็ม]:[คะแนนเต็ม]]),"",(tbl_task7[137]/tbl_task7[[คะแนนเต็ม]:[คะแนนเต็ม]])*tbl_task7[[%]:[%]])</f>
        <v/>
      </c>
      <c r="KV26" s="121" t="str">
        <f>IF(ISBLANK(tbl_task7[[คะแนนเต็ม]:[คะแนนเต็ม]]),"",(tbl_task7[138]/tbl_task7[[คะแนนเต็ม]:[คะแนนเต็ม]])*tbl_task7[[%]:[%]])</f>
        <v/>
      </c>
      <c r="KW26" s="121" t="str">
        <f>IF(ISBLANK(tbl_task7[[คะแนนเต็ม]:[คะแนนเต็ม]]),"",(tbl_task7[139]/tbl_task7[[คะแนนเต็ม]:[คะแนนเต็ม]])*tbl_task7[[%]:[%]])</f>
        <v/>
      </c>
      <c r="KX26" s="121" t="str">
        <f>IF(ISBLANK(tbl_task7[[คะแนนเต็ม]:[คะแนนเต็ม]]),"",(tbl_task7[140]/tbl_task7[[คะแนนเต็ม]:[คะแนนเต็ม]])*tbl_task7[[%]:[%]])</f>
        <v/>
      </c>
      <c r="KY26" s="121" t="str">
        <f>IF(ISBLANK(tbl_task7[[คะแนนเต็ม]:[คะแนนเต็ม]]),"",(tbl_task7[141]/tbl_task7[[คะแนนเต็ม]:[คะแนนเต็ม]])*tbl_task7[[%]:[%]])</f>
        <v/>
      </c>
      <c r="KZ26" s="121" t="str">
        <f>IF(ISBLANK(tbl_task7[[คะแนนเต็ม]:[คะแนนเต็ม]]),"",(tbl_task7[142]/tbl_task7[[คะแนนเต็ม]:[คะแนนเต็ม]])*tbl_task7[[%]:[%]])</f>
        <v/>
      </c>
      <c r="LA26" s="121" t="str">
        <f>IF(ISBLANK(tbl_task7[[คะแนนเต็ม]:[คะแนนเต็ม]]),"",(tbl_task7[143]/tbl_task7[[คะแนนเต็ม]:[คะแนนเต็ม]])*tbl_task7[[%]:[%]])</f>
        <v/>
      </c>
      <c r="LB26" s="121" t="str">
        <f>IF(ISBLANK(tbl_task7[[คะแนนเต็ม]:[คะแนนเต็ม]]),"",(tbl_task7[144]/tbl_task7[[คะแนนเต็ม]:[คะแนนเต็ม]])*tbl_task7[[%]:[%]])</f>
        <v/>
      </c>
      <c r="LC26" s="121" t="str">
        <f>IF(ISBLANK(tbl_task7[[คะแนนเต็ม]:[คะแนนเต็ม]]),"",(tbl_task7[145]/tbl_task7[[คะแนนเต็ม]:[คะแนนเต็ม]])*tbl_task7[[%]:[%]])</f>
        <v/>
      </c>
      <c r="LD26" s="121" t="str">
        <f>IF(ISBLANK(tbl_task7[[คะแนนเต็ม]:[คะแนนเต็ม]]),"",(tbl_task7[146]/tbl_task7[[คะแนนเต็ม]:[คะแนนเต็ม]])*tbl_task7[[%]:[%]])</f>
        <v/>
      </c>
      <c r="LE26" s="121" t="str">
        <f>IF(ISBLANK(tbl_task7[[คะแนนเต็ม]:[คะแนนเต็ม]]),"",(tbl_task7[147]/tbl_task7[[คะแนนเต็ม]:[คะแนนเต็ม]])*tbl_task7[[%]:[%]])</f>
        <v/>
      </c>
      <c r="LF26" s="121" t="str">
        <f>IF(ISBLANK(tbl_task7[[คะแนนเต็ม]:[คะแนนเต็ม]]),"",(tbl_task7[148]/tbl_task7[[คะแนนเต็ม]:[คะแนนเต็ม]])*tbl_task7[[%]:[%]])</f>
        <v/>
      </c>
      <c r="LG26" s="121" t="str">
        <f>IF(ISBLANK(tbl_task7[[คะแนนเต็ม]:[คะแนนเต็ม]]),"",(tbl_task7[149]/tbl_task7[[คะแนนเต็ม]:[คะแนนเต็ม]])*tbl_task7[[%]:[%]])</f>
        <v/>
      </c>
      <c r="LH26" s="121" t="str">
        <f>IF(ISBLANK(tbl_task7[[คะแนนเต็ม]:[คะแนนเต็ม]]),"",(tbl_task7[150]/tbl_task7[[คะแนนเต็ม]:[คะแนนเต็ม]])*tbl_task7[[%]:[%]])</f>
        <v/>
      </c>
      <c r="LI26" s="121" t="str">
        <f>IF(ISBLANK(tbl_task7[[คะแนนเต็ม]:[คะแนนเต็ม]]),"",(tbl_task7[151]/tbl_task7[[คะแนนเต็ม]:[คะแนนเต็ม]])*tbl_task7[[%]:[%]])</f>
        <v/>
      </c>
      <c r="LJ26" s="121" t="str">
        <f>IF(ISBLANK(tbl_task7[[คะแนนเต็ม]:[คะแนนเต็ม]]),"",(tbl_task7[152]/tbl_task7[[คะแนนเต็ม]:[คะแนนเต็ม]])*tbl_task7[[%]:[%]])</f>
        <v/>
      </c>
      <c r="LK26" s="121" t="str">
        <f>IF(ISBLANK(tbl_task7[[คะแนนเต็ม]:[คะแนนเต็ม]]),"",(tbl_task7[153]/tbl_task7[[คะแนนเต็ม]:[คะแนนเต็ม]])*tbl_task7[[%]:[%]])</f>
        <v/>
      </c>
      <c r="LL26" s="121" t="str">
        <f>IF(ISBLANK(tbl_task7[[คะแนนเต็ม]:[คะแนนเต็ม]]),"",(tbl_task7[154]/tbl_task7[[คะแนนเต็ม]:[คะแนนเต็ม]])*tbl_task7[[%]:[%]])</f>
        <v/>
      </c>
      <c r="LM26" s="121" t="str">
        <f>IF(ISBLANK(tbl_task7[[คะแนนเต็ม]:[คะแนนเต็ม]]),"",(tbl_task7[155]/tbl_task7[[คะแนนเต็ม]:[คะแนนเต็ม]])*tbl_task7[[%]:[%]])</f>
        <v/>
      </c>
      <c r="LN26" s="121" t="str">
        <f>IF(ISBLANK(tbl_task7[[คะแนนเต็ม]:[คะแนนเต็ม]]),"",(tbl_task7[156]/tbl_task7[[คะแนนเต็ม]:[คะแนนเต็ม]])*tbl_task7[[%]:[%]])</f>
        <v/>
      </c>
      <c r="LO26" s="121" t="str">
        <f>IF(ISBLANK(tbl_task7[[คะแนนเต็ม]:[คะแนนเต็ม]]),"",(tbl_task7[157]/tbl_task7[[คะแนนเต็ม]:[คะแนนเต็ม]])*tbl_task7[[%]:[%]])</f>
        <v/>
      </c>
      <c r="LP26" s="121" t="str">
        <f>IF(ISBLANK(tbl_task7[[คะแนนเต็ม]:[คะแนนเต็ม]]),"",(tbl_task7[158]/tbl_task7[[คะแนนเต็ม]:[คะแนนเต็ม]])*tbl_task7[[%]:[%]])</f>
        <v/>
      </c>
      <c r="LQ26" s="121" t="str">
        <f>IF(ISBLANK(tbl_task7[[คะแนนเต็ม]:[คะแนนเต็ม]]),"",(tbl_task7[159]/tbl_task7[[คะแนนเต็ม]:[คะแนนเต็ม]])*tbl_task7[[%]:[%]])</f>
        <v/>
      </c>
      <c r="LR26" s="121" t="str">
        <f>IF(ISBLANK(tbl_task7[[คะแนนเต็ม]:[คะแนนเต็ม]]),"",(tbl_task7[160]/tbl_task7[[คะแนนเต็ม]:[คะแนนเต็ม]])*tbl_task7[[%]:[%]])</f>
        <v/>
      </c>
      <c r="LS26" s="121" t="str">
        <f>IF(ISBLANK(tbl_task7[[คะแนนเต็ม]:[คะแนนเต็ม]]),"",(tbl_task7[161]/tbl_task7[[คะแนนเต็ม]:[คะแนนเต็ม]])*tbl_task7[[%]:[%]])</f>
        <v/>
      </c>
      <c r="LT26" s="121" t="str">
        <f>IF(ISBLANK(tbl_task7[[คะแนนเต็ม]:[คะแนนเต็ม]]),"",(tbl_task7[162]/tbl_task7[[คะแนนเต็ม]:[คะแนนเต็ม]])*tbl_task7[[%]:[%]])</f>
        <v/>
      </c>
      <c r="LU26" s="121" t="str">
        <f>IF(ISBLANK(tbl_task7[[คะแนนเต็ม]:[คะแนนเต็ม]]),"",(tbl_task7[163]/tbl_task7[[คะแนนเต็ม]:[คะแนนเต็ม]])*tbl_task7[[%]:[%]])</f>
        <v/>
      </c>
      <c r="LV26" s="121" t="str">
        <f>IF(ISBLANK(tbl_task7[[คะแนนเต็ม]:[คะแนนเต็ม]]),"",(tbl_task7[164]/tbl_task7[[คะแนนเต็ม]:[คะแนนเต็ม]])*tbl_task7[[%]:[%]])</f>
        <v/>
      </c>
      <c r="LW26" s="121" t="str">
        <f>IF(ISBLANK(tbl_task7[[คะแนนเต็ม]:[คะแนนเต็ม]]),"",(tbl_task7[165]/tbl_task7[[คะแนนเต็ม]:[คะแนนเต็ม]])*tbl_task7[[%]:[%]])</f>
        <v/>
      </c>
    </row>
    <row r="27" spans="1:335" ht="24" customHeight="1" x14ac:dyDescent="0.25">
      <c r="A27" s="24">
        <v>24</v>
      </c>
      <c r="B27" s="20"/>
      <c r="C27" s="5" t="str">
        <f>IF(ISBLANK(B27),"",VLOOKUP(B27,tbl_PLOs[],2,0))</f>
        <v/>
      </c>
      <c r="D27" s="102"/>
      <c r="E27" s="106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21" t="str">
        <f>IF(ISBLANK(tbl_task7[[คะแนนเต็ม]:[คะแนนเต็ม]]),"",(tbl_task7[1]/tbl_task7[[คะแนนเต็ม]:[คะแนนเต็ม]])*tbl_task7[[%]:[%]])</f>
        <v/>
      </c>
      <c r="FP27" s="121" t="str">
        <f>IF(ISBLANK(tbl_task7[[คะแนนเต็ม]:[คะแนนเต็ม]]),"",(tbl_task7[2]/tbl_task7[[คะแนนเต็ม]:[คะแนนเต็ม]])*tbl_task7[[%]:[%]])</f>
        <v/>
      </c>
      <c r="FQ27" s="121" t="str">
        <f>IF(ISBLANK(tbl_task7[[คะแนนเต็ม]:[คะแนนเต็ม]]),"",(tbl_task7[3]/tbl_task7[[คะแนนเต็ม]:[คะแนนเต็ม]])*tbl_task7[[%]:[%]])</f>
        <v/>
      </c>
      <c r="FR27" s="121" t="str">
        <f>IF(ISBLANK(tbl_task7[[คะแนนเต็ม]:[คะแนนเต็ม]]),"",(tbl_task7[4]/tbl_task7[[คะแนนเต็ม]:[คะแนนเต็ม]])*tbl_task7[[%]:[%]])</f>
        <v/>
      </c>
      <c r="FS27" s="121" t="str">
        <f>IF(ISBLANK(tbl_task7[[คะแนนเต็ม]:[คะแนนเต็ม]]),"",(tbl_task7[5]/tbl_task7[[คะแนนเต็ม]:[คะแนนเต็ม]])*tbl_task7[[%]:[%]])</f>
        <v/>
      </c>
      <c r="FT27" s="121" t="str">
        <f>IF(ISBLANK(tbl_task7[[คะแนนเต็ม]:[คะแนนเต็ม]]),"",(tbl_task7[6]/tbl_task7[[คะแนนเต็ม]:[คะแนนเต็ม]])*tbl_task7[[%]:[%]])</f>
        <v/>
      </c>
      <c r="FU27" s="121" t="str">
        <f>IF(ISBLANK(tbl_task7[[คะแนนเต็ม]:[คะแนนเต็ม]]),"",(tbl_task7[7]/tbl_task7[[คะแนนเต็ม]:[คะแนนเต็ม]])*tbl_task7[[%]:[%]])</f>
        <v/>
      </c>
      <c r="FV27" s="121" t="str">
        <f>IF(ISBLANK(tbl_task7[[คะแนนเต็ม]:[คะแนนเต็ม]]),"",(tbl_task7[8]/tbl_task7[[คะแนนเต็ม]:[คะแนนเต็ม]])*tbl_task7[[%]:[%]])</f>
        <v/>
      </c>
      <c r="FW27" s="121" t="str">
        <f>IF(ISBLANK(tbl_task7[[คะแนนเต็ม]:[คะแนนเต็ม]]),"",(tbl_task7[9]/tbl_task7[[คะแนนเต็ม]:[คะแนนเต็ม]])*tbl_task7[[%]:[%]])</f>
        <v/>
      </c>
      <c r="FX27" s="121" t="str">
        <f>IF(ISBLANK(tbl_task7[[คะแนนเต็ม]:[คะแนนเต็ม]]),"",(tbl_task7[10]/tbl_task7[[คะแนนเต็ม]:[คะแนนเต็ม]])*tbl_task7[[%]:[%]])</f>
        <v/>
      </c>
      <c r="FY27" s="121" t="str">
        <f>IF(ISBLANK(tbl_task7[[คะแนนเต็ม]:[คะแนนเต็ม]]),"",(tbl_task7[11]/tbl_task7[[คะแนนเต็ม]:[คะแนนเต็ม]])*tbl_task7[[%]:[%]])</f>
        <v/>
      </c>
      <c r="FZ27" s="121" t="str">
        <f>IF(ISBLANK(tbl_task7[[คะแนนเต็ม]:[คะแนนเต็ม]]),"",(tbl_task7[12]/tbl_task7[[คะแนนเต็ม]:[คะแนนเต็ม]])*tbl_task7[[%]:[%]])</f>
        <v/>
      </c>
      <c r="GA27" s="121" t="str">
        <f>IF(ISBLANK(tbl_task7[[คะแนนเต็ม]:[คะแนนเต็ม]]),"",(tbl_task7[13]/tbl_task7[[คะแนนเต็ม]:[คะแนนเต็ม]])*tbl_task7[[%]:[%]])</f>
        <v/>
      </c>
      <c r="GB27" s="121" t="str">
        <f>IF(ISBLANK(tbl_task7[[คะแนนเต็ม]:[คะแนนเต็ม]]),"",(tbl_task7[14]/tbl_task7[[คะแนนเต็ม]:[คะแนนเต็ม]])*tbl_task7[[%]:[%]])</f>
        <v/>
      </c>
      <c r="GC27" s="121" t="str">
        <f>IF(ISBLANK(tbl_task7[[คะแนนเต็ม]:[คะแนนเต็ม]]),"",(tbl_task7[15]/tbl_task7[[คะแนนเต็ม]:[คะแนนเต็ม]])*tbl_task7[[%]:[%]])</f>
        <v/>
      </c>
      <c r="GD27" s="121" t="str">
        <f>IF(ISBLANK(tbl_task7[[คะแนนเต็ม]:[คะแนนเต็ม]]),"",(tbl_task7[16]/tbl_task7[[คะแนนเต็ม]:[คะแนนเต็ม]])*tbl_task7[[%]:[%]])</f>
        <v/>
      </c>
      <c r="GE27" s="121" t="str">
        <f>IF(ISBLANK(tbl_task7[[คะแนนเต็ม]:[คะแนนเต็ม]]),"",(tbl_task7[17]/tbl_task7[[คะแนนเต็ม]:[คะแนนเต็ม]])*tbl_task7[[%]:[%]])</f>
        <v/>
      </c>
      <c r="GF27" s="121" t="str">
        <f>IF(ISBLANK(tbl_task7[[คะแนนเต็ม]:[คะแนนเต็ม]]),"",(tbl_task7[18]/tbl_task7[[คะแนนเต็ม]:[คะแนนเต็ม]])*tbl_task7[[%]:[%]])</f>
        <v/>
      </c>
      <c r="GG27" s="121" t="str">
        <f>IF(ISBLANK(tbl_task7[[คะแนนเต็ม]:[คะแนนเต็ม]]),"",(tbl_task7[19]/tbl_task7[[คะแนนเต็ม]:[คะแนนเต็ม]])*tbl_task7[[%]:[%]])</f>
        <v/>
      </c>
      <c r="GH27" s="121" t="str">
        <f>IF(ISBLANK(tbl_task7[[คะแนนเต็ม]:[คะแนนเต็ม]]),"",(tbl_task7[20]/tbl_task7[[คะแนนเต็ม]:[คะแนนเต็ม]])*tbl_task7[[%]:[%]])</f>
        <v/>
      </c>
      <c r="GI27" s="121" t="str">
        <f>IF(ISBLANK(tbl_task7[[คะแนนเต็ม]:[คะแนนเต็ม]]),"",(tbl_task7[21]/tbl_task7[[คะแนนเต็ม]:[คะแนนเต็ม]])*tbl_task7[[%]:[%]])</f>
        <v/>
      </c>
      <c r="GJ27" s="121" t="str">
        <f>IF(ISBLANK(tbl_task7[[คะแนนเต็ม]:[คะแนนเต็ม]]),"",(tbl_task7[22]/tbl_task7[[คะแนนเต็ม]:[คะแนนเต็ม]])*tbl_task7[[%]:[%]])</f>
        <v/>
      </c>
      <c r="GK27" s="121" t="str">
        <f>IF(ISBLANK(tbl_task7[[คะแนนเต็ม]:[คะแนนเต็ม]]),"",(tbl_task7[23]/tbl_task7[[คะแนนเต็ม]:[คะแนนเต็ม]])*tbl_task7[[%]:[%]])</f>
        <v/>
      </c>
      <c r="GL27" s="121" t="str">
        <f>IF(ISBLANK(tbl_task7[[คะแนนเต็ม]:[คะแนนเต็ม]]),"",(tbl_task7[24]/tbl_task7[[คะแนนเต็ม]:[คะแนนเต็ม]])*tbl_task7[[%]:[%]])</f>
        <v/>
      </c>
      <c r="GM27" s="121" t="str">
        <f>IF(ISBLANK(tbl_task7[[คะแนนเต็ม]:[คะแนนเต็ม]]),"",(tbl_task7[25]/tbl_task7[[คะแนนเต็ม]:[คะแนนเต็ม]])*tbl_task7[[%]:[%]])</f>
        <v/>
      </c>
      <c r="GN27" s="121" t="str">
        <f>IF(ISBLANK(tbl_task7[[คะแนนเต็ม]:[คะแนนเต็ม]]),"",(tbl_task7[26]/tbl_task7[[คะแนนเต็ม]:[คะแนนเต็ม]])*tbl_task7[[%]:[%]])</f>
        <v/>
      </c>
      <c r="GO27" s="121" t="str">
        <f>IF(ISBLANK(tbl_task7[[คะแนนเต็ม]:[คะแนนเต็ม]]),"",(tbl_task7[27]/tbl_task7[[คะแนนเต็ม]:[คะแนนเต็ม]])*tbl_task7[[%]:[%]])</f>
        <v/>
      </c>
      <c r="GP27" s="121" t="str">
        <f>IF(ISBLANK(tbl_task7[[คะแนนเต็ม]:[คะแนนเต็ม]]),"",(tbl_task7[28]/tbl_task7[[คะแนนเต็ม]:[คะแนนเต็ม]])*tbl_task7[[%]:[%]])</f>
        <v/>
      </c>
      <c r="GQ27" s="121" t="str">
        <f>IF(ISBLANK(tbl_task7[[คะแนนเต็ม]:[คะแนนเต็ม]]),"",(tbl_task7[29]/tbl_task7[[คะแนนเต็ม]:[คะแนนเต็ม]])*tbl_task7[[%]:[%]])</f>
        <v/>
      </c>
      <c r="GR27" s="121" t="str">
        <f>IF(ISBLANK(tbl_task7[[คะแนนเต็ม]:[คะแนนเต็ม]]),"",(tbl_task7[30]/tbl_task7[[คะแนนเต็ม]:[คะแนนเต็ม]])*tbl_task7[[%]:[%]])</f>
        <v/>
      </c>
      <c r="GS27" s="121" t="str">
        <f>IF(ISBLANK(tbl_task7[[คะแนนเต็ม]:[คะแนนเต็ม]]),"",(tbl_task7[31]/tbl_task7[[คะแนนเต็ม]:[คะแนนเต็ม]])*tbl_task7[[%]:[%]])</f>
        <v/>
      </c>
      <c r="GT27" s="121" t="str">
        <f>IF(ISBLANK(tbl_task7[[คะแนนเต็ม]:[คะแนนเต็ม]]),"",(tbl_task7[32]/tbl_task7[[คะแนนเต็ม]:[คะแนนเต็ม]])*tbl_task7[[%]:[%]])</f>
        <v/>
      </c>
      <c r="GU27" s="121" t="str">
        <f>IF(ISBLANK(tbl_task7[[คะแนนเต็ม]:[คะแนนเต็ม]]),"",(tbl_task7[33]/tbl_task7[[คะแนนเต็ม]:[คะแนนเต็ม]])*tbl_task7[[%]:[%]])</f>
        <v/>
      </c>
      <c r="GV27" s="121" t="str">
        <f>IF(ISBLANK(tbl_task7[[คะแนนเต็ม]:[คะแนนเต็ม]]),"",(tbl_task7[34]/tbl_task7[[คะแนนเต็ม]:[คะแนนเต็ม]])*tbl_task7[[%]:[%]])</f>
        <v/>
      </c>
      <c r="GW27" s="121" t="str">
        <f>IF(ISBLANK(tbl_task7[[คะแนนเต็ม]:[คะแนนเต็ม]]),"",(tbl_task7[35]/tbl_task7[[คะแนนเต็ม]:[คะแนนเต็ม]])*tbl_task7[[%]:[%]])</f>
        <v/>
      </c>
      <c r="GX27" s="121" t="str">
        <f>IF(ISBLANK(tbl_task7[[คะแนนเต็ม]:[คะแนนเต็ม]]),"",(tbl_task7[36]/tbl_task7[[คะแนนเต็ม]:[คะแนนเต็ม]])*tbl_task7[[%]:[%]])</f>
        <v/>
      </c>
      <c r="GY27" s="121" t="str">
        <f>IF(ISBLANK(tbl_task7[[คะแนนเต็ม]:[คะแนนเต็ม]]),"",(tbl_task7[37]/tbl_task7[[คะแนนเต็ม]:[คะแนนเต็ม]])*tbl_task7[[%]:[%]])</f>
        <v/>
      </c>
      <c r="GZ27" s="121" t="str">
        <f>IF(ISBLANK(tbl_task7[[คะแนนเต็ม]:[คะแนนเต็ม]]),"",(tbl_task7[38]/tbl_task7[[คะแนนเต็ม]:[คะแนนเต็ม]])*tbl_task7[[%]:[%]])</f>
        <v/>
      </c>
      <c r="HA27" s="121" t="str">
        <f>IF(ISBLANK(tbl_task7[[คะแนนเต็ม]:[คะแนนเต็ม]]),"",(tbl_task7[39]/tbl_task7[[คะแนนเต็ม]:[คะแนนเต็ม]])*tbl_task7[[%]:[%]])</f>
        <v/>
      </c>
      <c r="HB27" s="121" t="str">
        <f>IF(ISBLANK(tbl_task7[[คะแนนเต็ม]:[คะแนนเต็ม]]),"",(tbl_task7[40]/tbl_task7[[คะแนนเต็ม]:[คะแนนเต็ม]])*tbl_task7[[%]:[%]])</f>
        <v/>
      </c>
      <c r="HC27" s="121" t="str">
        <f>IF(ISBLANK(tbl_task7[[คะแนนเต็ม]:[คะแนนเต็ม]]),"",(tbl_task7[41]/tbl_task7[[คะแนนเต็ม]:[คะแนนเต็ม]])*tbl_task7[[%]:[%]])</f>
        <v/>
      </c>
      <c r="HD27" s="121" t="str">
        <f>IF(ISBLANK(tbl_task7[[คะแนนเต็ม]:[คะแนนเต็ม]]),"",(tbl_task7[42]/tbl_task7[[คะแนนเต็ม]:[คะแนนเต็ม]])*tbl_task7[[%]:[%]])</f>
        <v/>
      </c>
      <c r="HE27" s="121" t="str">
        <f>IF(ISBLANK(tbl_task7[[คะแนนเต็ม]:[คะแนนเต็ม]]),"",(tbl_task7[43]/tbl_task7[[คะแนนเต็ม]:[คะแนนเต็ม]])*tbl_task7[[%]:[%]])</f>
        <v/>
      </c>
      <c r="HF27" s="121" t="str">
        <f>IF(ISBLANK(tbl_task7[[คะแนนเต็ม]:[คะแนนเต็ม]]),"",(tbl_task7[44]/tbl_task7[[คะแนนเต็ม]:[คะแนนเต็ม]])*tbl_task7[[%]:[%]])</f>
        <v/>
      </c>
      <c r="HG27" s="121" t="str">
        <f>IF(ISBLANK(tbl_task7[[คะแนนเต็ม]:[คะแนนเต็ม]]),"",(tbl_task7[45]/tbl_task7[[คะแนนเต็ม]:[คะแนนเต็ม]])*tbl_task7[[%]:[%]])</f>
        <v/>
      </c>
      <c r="HH27" s="121" t="str">
        <f>IF(ISBLANK(tbl_task7[[คะแนนเต็ม]:[คะแนนเต็ม]]),"",(tbl_task7[46]/tbl_task7[[คะแนนเต็ม]:[คะแนนเต็ม]])*tbl_task7[[%]:[%]])</f>
        <v/>
      </c>
      <c r="HI27" s="121" t="str">
        <f>IF(ISBLANK(tbl_task7[[คะแนนเต็ม]:[คะแนนเต็ม]]),"",(tbl_task7[47]/tbl_task7[[คะแนนเต็ม]:[คะแนนเต็ม]])*tbl_task7[[%]:[%]])</f>
        <v/>
      </c>
      <c r="HJ27" s="121" t="str">
        <f>IF(ISBLANK(tbl_task7[[คะแนนเต็ม]:[คะแนนเต็ม]]),"",(tbl_task7[48]/tbl_task7[[คะแนนเต็ม]:[คะแนนเต็ม]])*tbl_task7[[%]:[%]])</f>
        <v/>
      </c>
      <c r="HK27" s="121" t="str">
        <f>IF(ISBLANK(tbl_task7[[คะแนนเต็ม]:[คะแนนเต็ม]]),"",(tbl_task7[49]/tbl_task7[[คะแนนเต็ม]:[คะแนนเต็ม]])*tbl_task7[[%]:[%]])</f>
        <v/>
      </c>
      <c r="HL27" s="121" t="str">
        <f>IF(ISBLANK(tbl_task7[[คะแนนเต็ม]:[คะแนนเต็ม]]),"",(tbl_task7[50]/tbl_task7[[คะแนนเต็ม]:[คะแนนเต็ม]])*tbl_task7[[%]:[%]])</f>
        <v/>
      </c>
      <c r="HM27" s="121" t="str">
        <f>IF(ISBLANK(tbl_task7[[คะแนนเต็ม]:[คะแนนเต็ม]]),"",(tbl_task7[51]/tbl_task7[[คะแนนเต็ม]:[คะแนนเต็ม]])*tbl_task7[[%]:[%]])</f>
        <v/>
      </c>
      <c r="HN27" s="121" t="str">
        <f>IF(ISBLANK(tbl_task7[[คะแนนเต็ม]:[คะแนนเต็ม]]),"",(tbl_task7[52]/tbl_task7[[คะแนนเต็ม]:[คะแนนเต็ม]])*tbl_task7[[%]:[%]])</f>
        <v/>
      </c>
      <c r="HO27" s="121" t="str">
        <f>IF(ISBLANK(tbl_task7[[คะแนนเต็ม]:[คะแนนเต็ม]]),"",(tbl_task7[53]/tbl_task7[[คะแนนเต็ม]:[คะแนนเต็ม]])*tbl_task7[[%]:[%]])</f>
        <v/>
      </c>
      <c r="HP27" s="121" t="str">
        <f>IF(ISBLANK(tbl_task7[[คะแนนเต็ม]:[คะแนนเต็ม]]),"",(tbl_task7[54]/tbl_task7[[คะแนนเต็ม]:[คะแนนเต็ม]])*tbl_task7[[%]:[%]])</f>
        <v/>
      </c>
      <c r="HQ27" s="121" t="str">
        <f>IF(ISBLANK(tbl_task7[[คะแนนเต็ม]:[คะแนนเต็ม]]),"",(tbl_task7[55]/tbl_task7[[คะแนนเต็ม]:[คะแนนเต็ม]])*tbl_task7[[%]:[%]])</f>
        <v/>
      </c>
      <c r="HR27" s="121" t="str">
        <f>IF(ISBLANK(tbl_task7[[คะแนนเต็ม]:[คะแนนเต็ม]]),"",(tbl_task7[56]/tbl_task7[[คะแนนเต็ม]:[คะแนนเต็ม]])*tbl_task7[[%]:[%]])</f>
        <v/>
      </c>
      <c r="HS27" s="121" t="str">
        <f>IF(ISBLANK(tbl_task7[[คะแนนเต็ม]:[คะแนนเต็ม]]),"",(tbl_task7[57]/tbl_task7[[คะแนนเต็ม]:[คะแนนเต็ม]])*tbl_task7[[%]:[%]])</f>
        <v/>
      </c>
      <c r="HT27" s="121" t="str">
        <f>IF(ISBLANK(tbl_task7[[คะแนนเต็ม]:[คะแนนเต็ม]]),"",(tbl_task7[58]/tbl_task7[[คะแนนเต็ม]:[คะแนนเต็ม]])*tbl_task7[[%]:[%]])</f>
        <v/>
      </c>
      <c r="HU27" s="121" t="str">
        <f>IF(ISBLANK(tbl_task7[[คะแนนเต็ม]:[คะแนนเต็ม]]),"",(tbl_task7[59]/tbl_task7[[คะแนนเต็ม]:[คะแนนเต็ม]])*tbl_task7[[%]:[%]])</f>
        <v/>
      </c>
      <c r="HV27" s="121" t="str">
        <f>IF(ISBLANK(tbl_task7[[คะแนนเต็ม]:[คะแนนเต็ม]]),"",(tbl_task7[60]/tbl_task7[[คะแนนเต็ม]:[คะแนนเต็ม]])*tbl_task7[[%]:[%]])</f>
        <v/>
      </c>
      <c r="HW27" s="121" t="str">
        <f>IF(ISBLANK(tbl_task7[[คะแนนเต็ม]:[คะแนนเต็ม]]),"",(tbl_task7[61]/tbl_task7[[คะแนนเต็ม]:[คะแนนเต็ม]])*tbl_task7[[%]:[%]])</f>
        <v/>
      </c>
      <c r="HX27" s="121" t="str">
        <f>IF(ISBLANK(tbl_task7[[คะแนนเต็ม]:[คะแนนเต็ม]]),"",(tbl_task7[62]/tbl_task7[[คะแนนเต็ม]:[คะแนนเต็ม]])*tbl_task7[[%]:[%]])</f>
        <v/>
      </c>
      <c r="HY27" s="121" t="str">
        <f>IF(ISBLANK(tbl_task7[[คะแนนเต็ม]:[คะแนนเต็ม]]),"",(tbl_task7[63]/tbl_task7[[คะแนนเต็ม]:[คะแนนเต็ม]])*tbl_task7[[%]:[%]])</f>
        <v/>
      </c>
      <c r="HZ27" s="121" t="str">
        <f>IF(ISBLANK(tbl_task7[[คะแนนเต็ม]:[คะแนนเต็ม]]),"",(tbl_task7[64]/tbl_task7[[คะแนนเต็ม]:[คะแนนเต็ม]])*tbl_task7[[%]:[%]])</f>
        <v/>
      </c>
      <c r="IA27" s="121" t="str">
        <f>IF(ISBLANK(tbl_task7[[คะแนนเต็ม]:[คะแนนเต็ม]]),"",(tbl_task7[65]/tbl_task7[[คะแนนเต็ม]:[คะแนนเต็ม]])*tbl_task7[[%]:[%]])</f>
        <v/>
      </c>
      <c r="IB27" s="121" t="str">
        <f>IF(ISBLANK(tbl_task7[[คะแนนเต็ม]:[คะแนนเต็ม]]),"",(tbl_task7[66]/tbl_task7[[คะแนนเต็ม]:[คะแนนเต็ม]])*tbl_task7[[%]:[%]])</f>
        <v/>
      </c>
      <c r="IC27" s="121" t="str">
        <f>IF(ISBLANK(tbl_task7[[คะแนนเต็ม]:[คะแนนเต็ม]]),"",(tbl_task7[67]/tbl_task7[[คะแนนเต็ม]:[คะแนนเต็ม]])*tbl_task7[[%]:[%]])</f>
        <v/>
      </c>
      <c r="ID27" s="121" t="str">
        <f>IF(ISBLANK(tbl_task7[[คะแนนเต็ม]:[คะแนนเต็ม]]),"",(tbl_task7[68]/tbl_task7[[คะแนนเต็ม]:[คะแนนเต็ม]])*tbl_task7[[%]:[%]])</f>
        <v/>
      </c>
      <c r="IE27" s="121" t="str">
        <f>IF(ISBLANK(tbl_task7[[คะแนนเต็ม]:[คะแนนเต็ม]]),"",(tbl_task7[69]/tbl_task7[[คะแนนเต็ม]:[คะแนนเต็ม]])*tbl_task7[[%]:[%]])</f>
        <v/>
      </c>
      <c r="IF27" s="121" t="str">
        <f>IF(ISBLANK(tbl_task7[[คะแนนเต็ม]:[คะแนนเต็ม]]),"",(tbl_task7[70]/tbl_task7[[คะแนนเต็ม]:[คะแนนเต็ม]])*tbl_task7[[%]:[%]])</f>
        <v/>
      </c>
      <c r="IG27" s="121" t="str">
        <f>IF(ISBLANK(tbl_task7[[คะแนนเต็ม]:[คะแนนเต็ม]]),"",(tbl_task7[71]/tbl_task7[[คะแนนเต็ม]:[คะแนนเต็ม]])*tbl_task7[[%]:[%]])</f>
        <v/>
      </c>
      <c r="IH27" s="121" t="str">
        <f>IF(ISBLANK(tbl_task7[[คะแนนเต็ม]:[คะแนนเต็ม]]),"",(tbl_task7[72]/tbl_task7[[คะแนนเต็ม]:[คะแนนเต็ม]])*tbl_task7[[%]:[%]])</f>
        <v/>
      </c>
      <c r="II27" s="121" t="str">
        <f>IF(ISBLANK(tbl_task7[[คะแนนเต็ม]:[คะแนนเต็ม]]),"",(tbl_task7[73]/tbl_task7[[คะแนนเต็ม]:[คะแนนเต็ม]])*tbl_task7[[%]:[%]])</f>
        <v/>
      </c>
      <c r="IJ27" s="121" t="str">
        <f>IF(ISBLANK(tbl_task7[[คะแนนเต็ม]:[คะแนนเต็ม]]),"",(tbl_task7[74]/tbl_task7[[คะแนนเต็ม]:[คะแนนเต็ม]])*tbl_task7[[%]:[%]])</f>
        <v/>
      </c>
      <c r="IK27" s="121" t="str">
        <f>IF(ISBLANK(tbl_task7[[คะแนนเต็ม]:[คะแนนเต็ม]]),"",(tbl_task7[75]/tbl_task7[[คะแนนเต็ม]:[คะแนนเต็ม]])*tbl_task7[[%]:[%]])</f>
        <v/>
      </c>
      <c r="IL27" s="121" t="str">
        <f>IF(ISBLANK(tbl_task7[[คะแนนเต็ม]:[คะแนนเต็ม]]),"",(tbl_task7[76]/tbl_task7[[คะแนนเต็ม]:[คะแนนเต็ม]])*tbl_task7[[%]:[%]])</f>
        <v/>
      </c>
      <c r="IM27" s="121" t="str">
        <f>IF(ISBLANK(tbl_task7[[คะแนนเต็ม]:[คะแนนเต็ม]]),"",(tbl_task7[77]/tbl_task7[[คะแนนเต็ม]:[คะแนนเต็ม]])*tbl_task7[[%]:[%]])</f>
        <v/>
      </c>
      <c r="IN27" s="121" t="str">
        <f>IF(ISBLANK(tbl_task7[[คะแนนเต็ม]:[คะแนนเต็ม]]),"",(tbl_task7[78]/tbl_task7[[คะแนนเต็ม]:[คะแนนเต็ม]])*tbl_task7[[%]:[%]])</f>
        <v/>
      </c>
      <c r="IO27" s="121" t="str">
        <f>IF(ISBLANK(tbl_task7[[คะแนนเต็ม]:[คะแนนเต็ม]]),"",(tbl_task7[79]/tbl_task7[[คะแนนเต็ม]:[คะแนนเต็ม]])*tbl_task7[[%]:[%]])</f>
        <v/>
      </c>
      <c r="IP27" s="121" t="str">
        <f>IF(ISBLANK(tbl_task7[[คะแนนเต็ม]:[คะแนนเต็ม]]),"",(tbl_task7[80]/tbl_task7[[คะแนนเต็ม]:[คะแนนเต็ม]])*tbl_task7[[%]:[%]])</f>
        <v/>
      </c>
      <c r="IQ27" s="121" t="str">
        <f>IF(ISBLANK(tbl_task7[[คะแนนเต็ม]:[คะแนนเต็ม]]),"",(tbl_task7[81]/tbl_task7[[คะแนนเต็ม]:[คะแนนเต็ม]])*tbl_task7[[%]:[%]])</f>
        <v/>
      </c>
      <c r="IR27" s="121" t="str">
        <f>IF(ISBLANK(tbl_task7[[คะแนนเต็ม]:[คะแนนเต็ม]]),"",(tbl_task7[82]/tbl_task7[[คะแนนเต็ม]:[คะแนนเต็ม]])*tbl_task7[[%]:[%]])</f>
        <v/>
      </c>
      <c r="IS27" s="121" t="str">
        <f>IF(ISBLANK(tbl_task7[[คะแนนเต็ม]:[คะแนนเต็ม]]),"",(tbl_task7[83]/tbl_task7[[คะแนนเต็ม]:[คะแนนเต็ม]])*tbl_task7[[%]:[%]])</f>
        <v/>
      </c>
      <c r="IT27" s="121" t="str">
        <f>IF(ISBLANK(tbl_task7[[คะแนนเต็ม]:[คะแนนเต็ม]]),"",(tbl_task7[84]/tbl_task7[[คะแนนเต็ม]:[คะแนนเต็ม]])*tbl_task7[[%]:[%]])</f>
        <v/>
      </c>
      <c r="IU27" s="121" t="str">
        <f>IF(ISBLANK(tbl_task7[[คะแนนเต็ม]:[คะแนนเต็ม]]),"",(tbl_task7[85]/tbl_task7[[คะแนนเต็ม]:[คะแนนเต็ม]])*tbl_task7[[%]:[%]])</f>
        <v/>
      </c>
      <c r="IV27" s="121" t="str">
        <f>IF(ISBLANK(tbl_task7[[คะแนนเต็ม]:[คะแนนเต็ม]]),"",(tbl_task7[86]/tbl_task7[[คะแนนเต็ม]:[คะแนนเต็ม]])*tbl_task7[[%]:[%]])</f>
        <v/>
      </c>
      <c r="IW27" s="121" t="str">
        <f>IF(ISBLANK(tbl_task7[[คะแนนเต็ม]:[คะแนนเต็ม]]),"",(tbl_task7[87]/tbl_task7[[คะแนนเต็ม]:[คะแนนเต็ม]])*tbl_task7[[%]:[%]])</f>
        <v/>
      </c>
      <c r="IX27" s="121" t="str">
        <f>IF(ISBLANK(tbl_task7[[คะแนนเต็ม]:[คะแนนเต็ม]]),"",(tbl_task7[88]/tbl_task7[[คะแนนเต็ม]:[คะแนนเต็ม]])*tbl_task7[[%]:[%]])</f>
        <v/>
      </c>
      <c r="IY27" s="121" t="str">
        <f>IF(ISBLANK(tbl_task7[[คะแนนเต็ม]:[คะแนนเต็ม]]),"",(tbl_task7[89]/tbl_task7[[คะแนนเต็ม]:[คะแนนเต็ม]])*tbl_task7[[%]:[%]])</f>
        <v/>
      </c>
      <c r="IZ27" s="121" t="str">
        <f>IF(ISBLANK(tbl_task7[[คะแนนเต็ม]:[คะแนนเต็ม]]),"",(tbl_task7[90]/tbl_task7[[คะแนนเต็ม]:[คะแนนเต็ม]])*tbl_task7[[%]:[%]])</f>
        <v/>
      </c>
      <c r="JA27" s="121" t="str">
        <f>IF(ISBLANK(tbl_task7[[คะแนนเต็ม]:[คะแนนเต็ม]]),"",(tbl_task7[91]/tbl_task7[[คะแนนเต็ม]:[คะแนนเต็ม]])*tbl_task7[[%]:[%]])</f>
        <v/>
      </c>
      <c r="JB27" s="121" t="str">
        <f>IF(ISBLANK(tbl_task7[[คะแนนเต็ม]:[คะแนนเต็ม]]),"",(tbl_task7[92]/tbl_task7[[คะแนนเต็ม]:[คะแนนเต็ม]])*tbl_task7[[%]:[%]])</f>
        <v/>
      </c>
      <c r="JC27" s="121" t="str">
        <f>IF(ISBLANK(tbl_task7[[คะแนนเต็ม]:[คะแนนเต็ม]]),"",(tbl_task7[93]/tbl_task7[[คะแนนเต็ม]:[คะแนนเต็ม]])*tbl_task7[[%]:[%]])</f>
        <v/>
      </c>
      <c r="JD27" s="121" t="str">
        <f>IF(ISBLANK(tbl_task7[[คะแนนเต็ม]:[คะแนนเต็ม]]),"",(tbl_task7[94]/tbl_task7[[คะแนนเต็ม]:[คะแนนเต็ม]])*tbl_task7[[%]:[%]])</f>
        <v/>
      </c>
      <c r="JE27" s="121" t="str">
        <f>IF(ISBLANK(tbl_task7[[คะแนนเต็ม]:[คะแนนเต็ม]]),"",(tbl_task7[95]/tbl_task7[[คะแนนเต็ม]:[คะแนนเต็ม]])*tbl_task7[[%]:[%]])</f>
        <v/>
      </c>
      <c r="JF27" s="121" t="str">
        <f>IF(ISBLANK(tbl_task7[[คะแนนเต็ม]:[คะแนนเต็ม]]),"",(tbl_task7[96]/tbl_task7[[คะแนนเต็ม]:[คะแนนเต็ม]])*tbl_task7[[%]:[%]])</f>
        <v/>
      </c>
      <c r="JG27" s="121" t="str">
        <f>IF(ISBLANK(tbl_task7[[คะแนนเต็ม]:[คะแนนเต็ม]]),"",(tbl_task7[97]/tbl_task7[[คะแนนเต็ม]:[คะแนนเต็ม]])*tbl_task7[[%]:[%]])</f>
        <v/>
      </c>
      <c r="JH27" s="121" t="str">
        <f>IF(ISBLANK(tbl_task7[[คะแนนเต็ม]:[คะแนนเต็ม]]),"",(tbl_task7[98]/tbl_task7[[คะแนนเต็ม]:[คะแนนเต็ม]])*tbl_task7[[%]:[%]])</f>
        <v/>
      </c>
      <c r="JI27" s="121" t="str">
        <f>IF(ISBLANK(tbl_task7[[คะแนนเต็ม]:[คะแนนเต็ม]]),"",(tbl_task7[99]/tbl_task7[[คะแนนเต็ม]:[คะแนนเต็ม]])*tbl_task7[[%]:[%]])</f>
        <v/>
      </c>
      <c r="JJ27" s="121" t="str">
        <f>IF(ISBLANK(tbl_task7[[คะแนนเต็ม]:[คะแนนเต็ม]]),"",(tbl_task7[100]/tbl_task7[[คะแนนเต็ม]:[คะแนนเต็ม]])*tbl_task7[[%]:[%]])</f>
        <v/>
      </c>
      <c r="JK27" s="121" t="str">
        <f>IF(ISBLANK(tbl_task7[[คะแนนเต็ม]:[คะแนนเต็ม]]),"",(tbl_task7[101]/tbl_task7[[คะแนนเต็ม]:[คะแนนเต็ม]])*tbl_task7[[%]:[%]])</f>
        <v/>
      </c>
      <c r="JL27" s="121" t="str">
        <f>IF(ISBLANK(tbl_task7[[คะแนนเต็ม]:[คะแนนเต็ม]]),"",(tbl_task7[102]/tbl_task7[[คะแนนเต็ม]:[คะแนนเต็ม]])*tbl_task7[[%]:[%]])</f>
        <v/>
      </c>
      <c r="JM27" s="121" t="str">
        <f>IF(ISBLANK(tbl_task7[[คะแนนเต็ม]:[คะแนนเต็ม]]),"",(tbl_task7[103]/tbl_task7[[คะแนนเต็ม]:[คะแนนเต็ม]])*tbl_task7[[%]:[%]])</f>
        <v/>
      </c>
      <c r="JN27" s="121" t="str">
        <f>IF(ISBLANK(tbl_task7[[คะแนนเต็ม]:[คะแนนเต็ม]]),"",(tbl_task7[104]/tbl_task7[[คะแนนเต็ม]:[คะแนนเต็ม]])*tbl_task7[[%]:[%]])</f>
        <v/>
      </c>
      <c r="JO27" s="121" t="str">
        <f>IF(ISBLANK(tbl_task7[[คะแนนเต็ม]:[คะแนนเต็ม]]),"",(tbl_task7[105]/tbl_task7[[คะแนนเต็ม]:[คะแนนเต็ม]])*tbl_task7[[%]:[%]])</f>
        <v/>
      </c>
      <c r="JP27" s="121" t="str">
        <f>IF(ISBLANK(tbl_task7[[คะแนนเต็ม]:[คะแนนเต็ม]]),"",(tbl_task7[106]/tbl_task7[[คะแนนเต็ม]:[คะแนนเต็ม]])*tbl_task7[[%]:[%]])</f>
        <v/>
      </c>
      <c r="JQ27" s="121" t="str">
        <f>IF(ISBLANK(tbl_task7[[คะแนนเต็ม]:[คะแนนเต็ม]]),"",(tbl_task7[107]/tbl_task7[[คะแนนเต็ม]:[คะแนนเต็ม]])*tbl_task7[[%]:[%]])</f>
        <v/>
      </c>
      <c r="JR27" s="121" t="str">
        <f>IF(ISBLANK(tbl_task7[[คะแนนเต็ม]:[คะแนนเต็ม]]),"",(tbl_task7[108]/tbl_task7[[คะแนนเต็ม]:[คะแนนเต็ม]])*tbl_task7[[%]:[%]])</f>
        <v/>
      </c>
      <c r="JS27" s="121" t="str">
        <f>IF(ISBLANK(tbl_task7[[คะแนนเต็ม]:[คะแนนเต็ม]]),"",(tbl_task7[109]/tbl_task7[[คะแนนเต็ม]:[คะแนนเต็ม]])*tbl_task7[[%]:[%]])</f>
        <v/>
      </c>
      <c r="JT27" s="121" t="str">
        <f>IF(ISBLANK(tbl_task7[[คะแนนเต็ม]:[คะแนนเต็ม]]),"",(tbl_task7[110]/tbl_task7[[คะแนนเต็ม]:[คะแนนเต็ม]])*tbl_task7[[%]:[%]])</f>
        <v/>
      </c>
      <c r="JU27" s="121" t="str">
        <f>IF(ISBLANK(tbl_task7[[คะแนนเต็ม]:[คะแนนเต็ม]]),"",(tbl_task7[111]/tbl_task7[[คะแนนเต็ม]:[คะแนนเต็ม]])*tbl_task7[[%]:[%]])</f>
        <v/>
      </c>
      <c r="JV27" s="121" t="str">
        <f>IF(ISBLANK(tbl_task7[[คะแนนเต็ม]:[คะแนนเต็ม]]),"",(tbl_task7[112]/tbl_task7[[คะแนนเต็ม]:[คะแนนเต็ม]])*tbl_task7[[%]:[%]])</f>
        <v/>
      </c>
      <c r="JW27" s="121" t="str">
        <f>IF(ISBLANK(tbl_task7[[คะแนนเต็ม]:[คะแนนเต็ม]]),"",(tbl_task7[113]/tbl_task7[[คะแนนเต็ม]:[คะแนนเต็ม]])*tbl_task7[[%]:[%]])</f>
        <v/>
      </c>
      <c r="JX27" s="121" t="str">
        <f>IF(ISBLANK(tbl_task7[[คะแนนเต็ม]:[คะแนนเต็ม]]),"",(tbl_task7[114]/tbl_task7[[คะแนนเต็ม]:[คะแนนเต็ม]])*tbl_task7[[%]:[%]])</f>
        <v/>
      </c>
      <c r="JY27" s="121" t="str">
        <f>IF(ISBLANK(tbl_task7[[คะแนนเต็ม]:[คะแนนเต็ม]]),"",(tbl_task7[115]/tbl_task7[[คะแนนเต็ม]:[คะแนนเต็ม]])*tbl_task7[[%]:[%]])</f>
        <v/>
      </c>
      <c r="JZ27" s="121" t="str">
        <f>IF(ISBLANK(tbl_task7[[คะแนนเต็ม]:[คะแนนเต็ม]]),"",(tbl_task7[116]/tbl_task7[[คะแนนเต็ม]:[คะแนนเต็ม]])*tbl_task7[[%]:[%]])</f>
        <v/>
      </c>
      <c r="KA27" s="121" t="str">
        <f>IF(ISBLANK(tbl_task7[[คะแนนเต็ม]:[คะแนนเต็ม]]),"",(tbl_task7[117]/tbl_task7[[คะแนนเต็ม]:[คะแนนเต็ม]])*tbl_task7[[%]:[%]])</f>
        <v/>
      </c>
      <c r="KB27" s="121" t="str">
        <f>IF(ISBLANK(tbl_task7[[คะแนนเต็ม]:[คะแนนเต็ม]]),"",(tbl_task7[118]/tbl_task7[[คะแนนเต็ม]:[คะแนนเต็ม]])*tbl_task7[[%]:[%]])</f>
        <v/>
      </c>
      <c r="KC27" s="121" t="str">
        <f>IF(ISBLANK(tbl_task7[[คะแนนเต็ม]:[คะแนนเต็ม]]),"",(tbl_task7[119]/tbl_task7[[คะแนนเต็ม]:[คะแนนเต็ม]])*tbl_task7[[%]:[%]])</f>
        <v/>
      </c>
      <c r="KD27" s="121" t="str">
        <f>IF(ISBLANK(tbl_task7[[คะแนนเต็ม]:[คะแนนเต็ม]]),"",(tbl_task7[120]/tbl_task7[[คะแนนเต็ม]:[คะแนนเต็ม]])*tbl_task7[[%]:[%]])</f>
        <v/>
      </c>
      <c r="KE27" s="121" t="str">
        <f>IF(ISBLANK(tbl_task7[[คะแนนเต็ม]:[คะแนนเต็ม]]),"",(tbl_task7[121]/tbl_task7[[คะแนนเต็ม]:[คะแนนเต็ม]])*tbl_task7[[%]:[%]])</f>
        <v/>
      </c>
      <c r="KF27" s="121" t="str">
        <f>IF(ISBLANK(tbl_task7[[คะแนนเต็ม]:[คะแนนเต็ม]]),"",(tbl_task7[122]/tbl_task7[[คะแนนเต็ม]:[คะแนนเต็ม]])*tbl_task7[[%]:[%]])</f>
        <v/>
      </c>
      <c r="KG27" s="121" t="str">
        <f>IF(ISBLANK(tbl_task7[[คะแนนเต็ม]:[คะแนนเต็ม]]),"",(tbl_task7[123]/tbl_task7[[คะแนนเต็ม]:[คะแนนเต็ม]])*tbl_task7[[%]:[%]])</f>
        <v/>
      </c>
      <c r="KH27" s="121" t="str">
        <f>IF(ISBLANK(tbl_task7[[คะแนนเต็ม]:[คะแนนเต็ม]]),"",(tbl_task7[124]/tbl_task7[[คะแนนเต็ม]:[คะแนนเต็ม]])*tbl_task7[[%]:[%]])</f>
        <v/>
      </c>
      <c r="KI27" s="121" t="str">
        <f>IF(ISBLANK(tbl_task7[[คะแนนเต็ม]:[คะแนนเต็ม]]),"",(tbl_task7[125]/tbl_task7[[คะแนนเต็ม]:[คะแนนเต็ม]])*tbl_task7[[%]:[%]])</f>
        <v/>
      </c>
      <c r="KJ27" s="121" t="str">
        <f>IF(ISBLANK(tbl_task7[[คะแนนเต็ม]:[คะแนนเต็ม]]),"",(tbl_task7[126]/tbl_task7[[คะแนนเต็ม]:[คะแนนเต็ม]])*tbl_task7[[%]:[%]])</f>
        <v/>
      </c>
      <c r="KK27" s="121" t="str">
        <f>IF(ISBLANK(tbl_task7[[คะแนนเต็ม]:[คะแนนเต็ม]]),"",(tbl_task7[127]/tbl_task7[[คะแนนเต็ม]:[คะแนนเต็ม]])*tbl_task7[[%]:[%]])</f>
        <v/>
      </c>
      <c r="KL27" s="121" t="str">
        <f>IF(ISBLANK(tbl_task7[[คะแนนเต็ม]:[คะแนนเต็ม]]),"",(tbl_task7[128]/tbl_task7[[คะแนนเต็ม]:[คะแนนเต็ม]])*tbl_task7[[%]:[%]])</f>
        <v/>
      </c>
      <c r="KM27" s="121" t="str">
        <f>IF(ISBLANK(tbl_task7[[คะแนนเต็ม]:[คะแนนเต็ม]]),"",(tbl_task7[129]/tbl_task7[[คะแนนเต็ม]:[คะแนนเต็ม]])*tbl_task7[[%]:[%]])</f>
        <v/>
      </c>
      <c r="KN27" s="121" t="str">
        <f>IF(ISBLANK(tbl_task7[[คะแนนเต็ม]:[คะแนนเต็ม]]),"",(tbl_task7[130]/tbl_task7[[คะแนนเต็ม]:[คะแนนเต็ม]])*tbl_task7[[%]:[%]])</f>
        <v/>
      </c>
      <c r="KO27" s="121" t="str">
        <f>IF(ISBLANK(tbl_task7[[คะแนนเต็ม]:[คะแนนเต็ม]]),"",(tbl_task7[131]/tbl_task7[[คะแนนเต็ม]:[คะแนนเต็ม]])*tbl_task7[[%]:[%]])</f>
        <v/>
      </c>
      <c r="KP27" s="121" t="str">
        <f>IF(ISBLANK(tbl_task7[[คะแนนเต็ม]:[คะแนนเต็ม]]),"",(tbl_task7[132]/tbl_task7[[คะแนนเต็ม]:[คะแนนเต็ม]])*tbl_task7[[%]:[%]])</f>
        <v/>
      </c>
      <c r="KQ27" s="121" t="str">
        <f>IF(ISBLANK(tbl_task7[[คะแนนเต็ม]:[คะแนนเต็ม]]),"",(tbl_task7[133]/tbl_task7[[คะแนนเต็ม]:[คะแนนเต็ม]])*tbl_task7[[%]:[%]])</f>
        <v/>
      </c>
      <c r="KR27" s="121" t="str">
        <f>IF(ISBLANK(tbl_task7[[คะแนนเต็ม]:[คะแนนเต็ม]]),"",(tbl_task7[134]/tbl_task7[[คะแนนเต็ม]:[คะแนนเต็ม]])*tbl_task7[[%]:[%]])</f>
        <v/>
      </c>
      <c r="KS27" s="121" t="str">
        <f>IF(ISBLANK(tbl_task7[[คะแนนเต็ม]:[คะแนนเต็ม]]),"",(tbl_task7[135]/tbl_task7[[คะแนนเต็ม]:[คะแนนเต็ม]])*tbl_task7[[%]:[%]])</f>
        <v/>
      </c>
      <c r="KT27" s="121" t="str">
        <f>IF(ISBLANK(tbl_task7[[คะแนนเต็ม]:[คะแนนเต็ม]]),"",(tbl_task7[136]/tbl_task7[[คะแนนเต็ม]:[คะแนนเต็ม]])*tbl_task7[[%]:[%]])</f>
        <v/>
      </c>
      <c r="KU27" s="121" t="str">
        <f>IF(ISBLANK(tbl_task7[[คะแนนเต็ม]:[คะแนนเต็ม]]),"",(tbl_task7[137]/tbl_task7[[คะแนนเต็ม]:[คะแนนเต็ม]])*tbl_task7[[%]:[%]])</f>
        <v/>
      </c>
      <c r="KV27" s="121" t="str">
        <f>IF(ISBLANK(tbl_task7[[คะแนนเต็ม]:[คะแนนเต็ม]]),"",(tbl_task7[138]/tbl_task7[[คะแนนเต็ม]:[คะแนนเต็ม]])*tbl_task7[[%]:[%]])</f>
        <v/>
      </c>
      <c r="KW27" s="121" t="str">
        <f>IF(ISBLANK(tbl_task7[[คะแนนเต็ม]:[คะแนนเต็ม]]),"",(tbl_task7[139]/tbl_task7[[คะแนนเต็ม]:[คะแนนเต็ม]])*tbl_task7[[%]:[%]])</f>
        <v/>
      </c>
      <c r="KX27" s="121" t="str">
        <f>IF(ISBLANK(tbl_task7[[คะแนนเต็ม]:[คะแนนเต็ม]]),"",(tbl_task7[140]/tbl_task7[[คะแนนเต็ม]:[คะแนนเต็ม]])*tbl_task7[[%]:[%]])</f>
        <v/>
      </c>
      <c r="KY27" s="121" t="str">
        <f>IF(ISBLANK(tbl_task7[[คะแนนเต็ม]:[คะแนนเต็ม]]),"",(tbl_task7[141]/tbl_task7[[คะแนนเต็ม]:[คะแนนเต็ม]])*tbl_task7[[%]:[%]])</f>
        <v/>
      </c>
      <c r="KZ27" s="121" t="str">
        <f>IF(ISBLANK(tbl_task7[[คะแนนเต็ม]:[คะแนนเต็ม]]),"",(tbl_task7[142]/tbl_task7[[คะแนนเต็ม]:[คะแนนเต็ม]])*tbl_task7[[%]:[%]])</f>
        <v/>
      </c>
      <c r="LA27" s="121" t="str">
        <f>IF(ISBLANK(tbl_task7[[คะแนนเต็ม]:[คะแนนเต็ม]]),"",(tbl_task7[143]/tbl_task7[[คะแนนเต็ม]:[คะแนนเต็ม]])*tbl_task7[[%]:[%]])</f>
        <v/>
      </c>
      <c r="LB27" s="121" t="str">
        <f>IF(ISBLANK(tbl_task7[[คะแนนเต็ม]:[คะแนนเต็ม]]),"",(tbl_task7[144]/tbl_task7[[คะแนนเต็ม]:[คะแนนเต็ม]])*tbl_task7[[%]:[%]])</f>
        <v/>
      </c>
      <c r="LC27" s="121" t="str">
        <f>IF(ISBLANK(tbl_task7[[คะแนนเต็ม]:[คะแนนเต็ม]]),"",(tbl_task7[145]/tbl_task7[[คะแนนเต็ม]:[คะแนนเต็ม]])*tbl_task7[[%]:[%]])</f>
        <v/>
      </c>
      <c r="LD27" s="121" t="str">
        <f>IF(ISBLANK(tbl_task7[[คะแนนเต็ม]:[คะแนนเต็ม]]),"",(tbl_task7[146]/tbl_task7[[คะแนนเต็ม]:[คะแนนเต็ม]])*tbl_task7[[%]:[%]])</f>
        <v/>
      </c>
      <c r="LE27" s="121" t="str">
        <f>IF(ISBLANK(tbl_task7[[คะแนนเต็ม]:[คะแนนเต็ม]]),"",(tbl_task7[147]/tbl_task7[[คะแนนเต็ม]:[คะแนนเต็ม]])*tbl_task7[[%]:[%]])</f>
        <v/>
      </c>
      <c r="LF27" s="121" t="str">
        <f>IF(ISBLANK(tbl_task7[[คะแนนเต็ม]:[คะแนนเต็ม]]),"",(tbl_task7[148]/tbl_task7[[คะแนนเต็ม]:[คะแนนเต็ม]])*tbl_task7[[%]:[%]])</f>
        <v/>
      </c>
      <c r="LG27" s="121" t="str">
        <f>IF(ISBLANK(tbl_task7[[คะแนนเต็ม]:[คะแนนเต็ม]]),"",(tbl_task7[149]/tbl_task7[[คะแนนเต็ม]:[คะแนนเต็ม]])*tbl_task7[[%]:[%]])</f>
        <v/>
      </c>
      <c r="LH27" s="121" t="str">
        <f>IF(ISBLANK(tbl_task7[[คะแนนเต็ม]:[คะแนนเต็ม]]),"",(tbl_task7[150]/tbl_task7[[คะแนนเต็ม]:[คะแนนเต็ม]])*tbl_task7[[%]:[%]])</f>
        <v/>
      </c>
      <c r="LI27" s="121" t="str">
        <f>IF(ISBLANK(tbl_task7[[คะแนนเต็ม]:[คะแนนเต็ม]]),"",(tbl_task7[151]/tbl_task7[[คะแนนเต็ม]:[คะแนนเต็ม]])*tbl_task7[[%]:[%]])</f>
        <v/>
      </c>
      <c r="LJ27" s="121" t="str">
        <f>IF(ISBLANK(tbl_task7[[คะแนนเต็ม]:[คะแนนเต็ม]]),"",(tbl_task7[152]/tbl_task7[[คะแนนเต็ม]:[คะแนนเต็ม]])*tbl_task7[[%]:[%]])</f>
        <v/>
      </c>
      <c r="LK27" s="121" t="str">
        <f>IF(ISBLANK(tbl_task7[[คะแนนเต็ม]:[คะแนนเต็ม]]),"",(tbl_task7[153]/tbl_task7[[คะแนนเต็ม]:[คะแนนเต็ม]])*tbl_task7[[%]:[%]])</f>
        <v/>
      </c>
      <c r="LL27" s="121" t="str">
        <f>IF(ISBLANK(tbl_task7[[คะแนนเต็ม]:[คะแนนเต็ม]]),"",(tbl_task7[154]/tbl_task7[[คะแนนเต็ม]:[คะแนนเต็ม]])*tbl_task7[[%]:[%]])</f>
        <v/>
      </c>
      <c r="LM27" s="121" t="str">
        <f>IF(ISBLANK(tbl_task7[[คะแนนเต็ม]:[คะแนนเต็ม]]),"",(tbl_task7[155]/tbl_task7[[คะแนนเต็ม]:[คะแนนเต็ม]])*tbl_task7[[%]:[%]])</f>
        <v/>
      </c>
      <c r="LN27" s="121" t="str">
        <f>IF(ISBLANK(tbl_task7[[คะแนนเต็ม]:[คะแนนเต็ม]]),"",(tbl_task7[156]/tbl_task7[[คะแนนเต็ม]:[คะแนนเต็ม]])*tbl_task7[[%]:[%]])</f>
        <v/>
      </c>
      <c r="LO27" s="121" t="str">
        <f>IF(ISBLANK(tbl_task7[[คะแนนเต็ม]:[คะแนนเต็ม]]),"",(tbl_task7[157]/tbl_task7[[คะแนนเต็ม]:[คะแนนเต็ม]])*tbl_task7[[%]:[%]])</f>
        <v/>
      </c>
      <c r="LP27" s="121" t="str">
        <f>IF(ISBLANK(tbl_task7[[คะแนนเต็ม]:[คะแนนเต็ม]]),"",(tbl_task7[158]/tbl_task7[[คะแนนเต็ม]:[คะแนนเต็ม]])*tbl_task7[[%]:[%]])</f>
        <v/>
      </c>
      <c r="LQ27" s="121" t="str">
        <f>IF(ISBLANK(tbl_task7[[คะแนนเต็ม]:[คะแนนเต็ม]]),"",(tbl_task7[159]/tbl_task7[[คะแนนเต็ม]:[คะแนนเต็ม]])*tbl_task7[[%]:[%]])</f>
        <v/>
      </c>
      <c r="LR27" s="121" t="str">
        <f>IF(ISBLANK(tbl_task7[[คะแนนเต็ม]:[คะแนนเต็ม]]),"",(tbl_task7[160]/tbl_task7[[คะแนนเต็ม]:[คะแนนเต็ม]])*tbl_task7[[%]:[%]])</f>
        <v/>
      </c>
      <c r="LS27" s="121" t="str">
        <f>IF(ISBLANK(tbl_task7[[คะแนนเต็ม]:[คะแนนเต็ม]]),"",(tbl_task7[161]/tbl_task7[[คะแนนเต็ม]:[คะแนนเต็ม]])*tbl_task7[[%]:[%]])</f>
        <v/>
      </c>
      <c r="LT27" s="121" t="str">
        <f>IF(ISBLANK(tbl_task7[[คะแนนเต็ม]:[คะแนนเต็ม]]),"",(tbl_task7[162]/tbl_task7[[คะแนนเต็ม]:[คะแนนเต็ม]])*tbl_task7[[%]:[%]])</f>
        <v/>
      </c>
      <c r="LU27" s="121" t="str">
        <f>IF(ISBLANK(tbl_task7[[คะแนนเต็ม]:[คะแนนเต็ม]]),"",(tbl_task7[163]/tbl_task7[[คะแนนเต็ม]:[คะแนนเต็ม]])*tbl_task7[[%]:[%]])</f>
        <v/>
      </c>
      <c r="LV27" s="121" t="str">
        <f>IF(ISBLANK(tbl_task7[[คะแนนเต็ม]:[คะแนนเต็ม]]),"",(tbl_task7[164]/tbl_task7[[คะแนนเต็ม]:[คะแนนเต็ม]])*tbl_task7[[%]:[%]])</f>
        <v/>
      </c>
      <c r="LW27" s="121" t="str">
        <f>IF(ISBLANK(tbl_task7[[คะแนนเต็ม]:[คะแนนเต็ม]]),"",(tbl_task7[165]/tbl_task7[[คะแนนเต็ม]:[คะแนนเต็ม]])*tbl_task7[[%]:[%]])</f>
        <v/>
      </c>
    </row>
    <row r="28" spans="1:335" ht="24" customHeight="1" x14ac:dyDescent="0.25">
      <c r="A28" s="24">
        <v>25</v>
      </c>
      <c r="B28" s="25"/>
      <c r="C28" s="26" t="str">
        <f>IF(ISBLANK(B28),"",VLOOKUP(B28,tbl_PLOs[],2,0))</f>
        <v/>
      </c>
      <c r="D28" s="103"/>
      <c r="E28" s="10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121" t="str">
        <f>IF(ISBLANK(tbl_task7[[คะแนนเต็ม]:[คะแนนเต็ม]]),"",(tbl_task7[1]/tbl_task7[[คะแนนเต็ม]:[คะแนนเต็ม]])*tbl_task7[[%]:[%]])</f>
        <v/>
      </c>
      <c r="FP28" s="121" t="str">
        <f>IF(ISBLANK(tbl_task7[[คะแนนเต็ม]:[คะแนนเต็ม]]),"",(tbl_task7[2]/tbl_task7[[คะแนนเต็ม]:[คะแนนเต็ม]])*tbl_task7[[%]:[%]])</f>
        <v/>
      </c>
      <c r="FQ28" s="121" t="str">
        <f>IF(ISBLANK(tbl_task7[[คะแนนเต็ม]:[คะแนนเต็ม]]),"",(tbl_task7[3]/tbl_task7[[คะแนนเต็ม]:[คะแนนเต็ม]])*tbl_task7[[%]:[%]])</f>
        <v/>
      </c>
      <c r="FR28" s="121" t="str">
        <f>IF(ISBLANK(tbl_task7[[คะแนนเต็ม]:[คะแนนเต็ม]]),"",(tbl_task7[4]/tbl_task7[[คะแนนเต็ม]:[คะแนนเต็ม]])*tbl_task7[[%]:[%]])</f>
        <v/>
      </c>
      <c r="FS28" s="121" t="str">
        <f>IF(ISBLANK(tbl_task7[[คะแนนเต็ม]:[คะแนนเต็ม]]),"",(tbl_task7[5]/tbl_task7[[คะแนนเต็ม]:[คะแนนเต็ม]])*tbl_task7[[%]:[%]])</f>
        <v/>
      </c>
      <c r="FT28" s="121" t="str">
        <f>IF(ISBLANK(tbl_task7[[คะแนนเต็ม]:[คะแนนเต็ม]]),"",(tbl_task7[6]/tbl_task7[[คะแนนเต็ม]:[คะแนนเต็ม]])*tbl_task7[[%]:[%]])</f>
        <v/>
      </c>
      <c r="FU28" s="121" t="str">
        <f>IF(ISBLANK(tbl_task7[[คะแนนเต็ม]:[คะแนนเต็ม]]),"",(tbl_task7[7]/tbl_task7[[คะแนนเต็ม]:[คะแนนเต็ม]])*tbl_task7[[%]:[%]])</f>
        <v/>
      </c>
      <c r="FV28" s="121" t="str">
        <f>IF(ISBLANK(tbl_task7[[คะแนนเต็ม]:[คะแนนเต็ม]]),"",(tbl_task7[8]/tbl_task7[[คะแนนเต็ม]:[คะแนนเต็ม]])*tbl_task7[[%]:[%]])</f>
        <v/>
      </c>
      <c r="FW28" s="121" t="str">
        <f>IF(ISBLANK(tbl_task7[[คะแนนเต็ม]:[คะแนนเต็ม]]),"",(tbl_task7[9]/tbl_task7[[คะแนนเต็ม]:[คะแนนเต็ม]])*tbl_task7[[%]:[%]])</f>
        <v/>
      </c>
      <c r="FX28" s="121" t="str">
        <f>IF(ISBLANK(tbl_task7[[คะแนนเต็ม]:[คะแนนเต็ม]]),"",(tbl_task7[10]/tbl_task7[[คะแนนเต็ม]:[คะแนนเต็ม]])*tbl_task7[[%]:[%]])</f>
        <v/>
      </c>
      <c r="FY28" s="121" t="str">
        <f>IF(ISBLANK(tbl_task7[[คะแนนเต็ม]:[คะแนนเต็ม]]),"",(tbl_task7[11]/tbl_task7[[คะแนนเต็ม]:[คะแนนเต็ม]])*tbl_task7[[%]:[%]])</f>
        <v/>
      </c>
      <c r="FZ28" s="121" t="str">
        <f>IF(ISBLANK(tbl_task7[[คะแนนเต็ม]:[คะแนนเต็ม]]),"",(tbl_task7[12]/tbl_task7[[คะแนนเต็ม]:[คะแนนเต็ม]])*tbl_task7[[%]:[%]])</f>
        <v/>
      </c>
      <c r="GA28" s="121" t="str">
        <f>IF(ISBLANK(tbl_task7[[คะแนนเต็ม]:[คะแนนเต็ม]]),"",(tbl_task7[13]/tbl_task7[[คะแนนเต็ม]:[คะแนนเต็ม]])*tbl_task7[[%]:[%]])</f>
        <v/>
      </c>
      <c r="GB28" s="121" t="str">
        <f>IF(ISBLANK(tbl_task7[[คะแนนเต็ม]:[คะแนนเต็ม]]),"",(tbl_task7[14]/tbl_task7[[คะแนนเต็ม]:[คะแนนเต็ม]])*tbl_task7[[%]:[%]])</f>
        <v/>
      </c>
      <c r="GC28" s="121" t="str">
        <f>IF(ISBLANK(tbl_task7[[คะแนนเต็ม]:[คะแนนเต็ม]]),"",(tbl_task7[15]/tbl_task7[[คะแนนเต็ม]:[คะแนนเต็ม]])*tbl_task7[[%]:[%]])</f>
        <v/>
      </c>
      <c r="GD28" s="121" t="str">
        <f>IF(ISBLANK(tbl_task7[[คะแนนเต็ม]:[คะแนนเต็ม]]),"",(tbl_task7[16]/tbl_task7[[คะแนนเต็ม]:[คะแนนเต็ม]])*tbl_task7[[%]:[%]])</f>
        <v/>
      </c>
      <c r="GE28" s="121" t="str">
        <f>IF(ISBLANK(tbl_task7[[คะแนนเต็ม]:[คะแนนเต็ม]]),"",(tbl_task7[17]/tbl_task7[[คะแนนเต็ม]:[คะแนนเต็ม]])*tbl_task7[[%]:[%]])</f>
        <v/>
      </c>
      <c r="GF28" s="121" t="str">
        <f>IF(ISBLANK(tbl_task7[[คะแนนเต็ม]:[คะแนนเต็ม]]),"",(tbl_task7[18]/tbl_task7[[คะแนนเต็ม]:[คะแนนเต็ม]])*tbl_task7[[%]:[%]])</f>
        <v/>
      </c>
      <c r="GG28" s="121" t="str">
        <f>IF(ISBLANK(tbl_task7[[คะแนนเต็ม]:[คะแนนเต็ม]]),"",(tbl_task7[19]/tbl_task7[[คะแนนเต็ม]:[คะแนนเต็ม]])*tbl_task7[[%]:[%]])</f>
        <v/>
      </c>
      <c r="GH28" s="121" t="str">
        <f>IF(ISBLANK(tbl_task7[[คะแนนเต็ม]:[คะแนนเต็ม]]),"",(tbl_task7[20]/tbl_task7[[คะแนนเต็ม]:[คะแนนเต็ม]])*tbl_task7[[%]:[%]])</f>
        <v/>
      </c>
      <c r="GI28" s="121" t="str">
        <f>IF(ISBLANK(tbl_task7[[คะแนนเต็ม]:[คะแนนเต็ม]]),"",(tbl_task7[21]/tbl_task7[[คะแนนเต็ม]:[คะแนนเต็ม]])*tbl_task7[[%]:[%]])</f>
        <v/>
      </c>
      <c r="GJ28" s="121" t="str">
        <f>IF(ISBLANK(tbl_task7[[คะแนนเต็ม]:[คะแนนเต็ม]]),"",(tbl_task7[22]/tbl_task7[[คะแนนเต็ม]:[คะแนนเต็ม]])*tbl_task7[[%]:[%]])</f>
        <v/>
      </c>
      <c r="GK28" s="121" t="str">
        <f>IF(ISBLANK(tbl_task7[[คะแนนเต็ม]:[คะแนนเต็ม]]),"",(tbl_task7[23]/tbl_task7[[คะแนนเต็ม]:[คะแนนเต็ม]])*tbl_task7[[%]:[%]])</f>
        <v/>
      </c>
      <c r="GL28" s="121" t="str">
        <f>IF(ISBLANK(tbl_task7[[คะแนนเต็ม]:[คะแนนเต็ม]]),"",(tbl_task7[24]/tbl_task7[[คะแนนเต็ม]:[คะแนนเต็ม]])*tbl_task7[[%]:[%]])</f>
        <v/>
      </c>
      <c r="GM28" s="121" t="str">
        <f>IF(ISBLANK(tbl_task7[[คะแนนเต็ม]:[คะแนนเต็ม]]),"",(tbl_task7[25]/tbl_task7[[คะแนนเต็ม]:[คะแนนเต็ม]])*tbl_task7[[%]:[%]])</f>
        <v/>
      </c>
      <c r="GN28" s="121" t="str">
        <f>IF(ISBLANK(tbl_task7[[คะแนนเต็ม]:[คะแนนเต็ม]]),"",(tbl_task7[26]/tbl_task7[[คะแนนเต็ม]:[คะแนนเต็ม]])*tbl_task7[[%]:[%]])</f>
        <v/>
      </c>
      <c r="GO28" s="121" t="str">
        <f>IF(ISBLANK(tbl_task7[[คะแนนเต็ม]:[คะแนนเต็ม]]),"",(tbl_task7[27]/tbl_task7[[คะแนนเต็ม]:[คะแนนเต็ม]])*tbl_task7[[%]:[%]])</f>
        <v/>
      </c>
      <c r="GP28" s="121" t="str">
        <f>IF(ISBLANK(tbl_task7[[คะแนนเต็ม]:[คะแนนเต็ม]]),"",(tbl_task7[28]/tbl_task7[[คะแนนเต็ม]:[คะแนนเต็ม]])*tbl_task7[[%]:[%]])</f>
        <v/>
      </c>
      <c r="GQ28" s="121" t="str">
        <f>IF(ISBLANK(tbl_task7[[คะแนนเต็ม]:[คะแนนเต็ม]]),"",(tbl_task7[29]/tbl_task7[[คะแนนเต็ม]:[คะแนนเต็ม]])*tbl_task7[[%]:[%]])</f>
        <v/>
      </c>
      <c r="GR28" s="121" t="str">
        <f>IF(ISBLANK(tbl_task7[[คะแนนเต็ม]:[คะแนนเต็ม]]),"",(tbl_task7[30]/tbl_task7[[คะแนนเต็ม]:[คะแนนเต็ม]])*tbl_task7[[%]:[%]])</f>
        <v/>
      </c>
      <c r="GS28" s="121" t="str">
        <f>IF(ISBLANK(tbl_task7[[คะแนนเต็ม]:[คะแนนเต็ม]]),"",(tbl_task7[31]/tbl_task7[[คะแนนเต็ม]:[คะแนนเต็ม]])*tbl_task7[[%]:[%]])</f>
        <v/>
      </c>
      <c r="GT28" s="121" t="str">
        <f>IF(ISBLANK(tbl_task7[[คะแนนเต็ม]:[คะแนนเต็ม]]),"",(tbl_task7[32]/tbl_task7[[คะแนนเต็ม]:[คะแนนเต็ม]])*tbl_task7[[%]:[%]])</f>
        <v/>
      </c>
      <c r="GU28" s="121" t="str">
        <f>IF(ISBLANK(tbl_task7[[คะแนนเต็ม]:[คะแนนเต็ม]]),"",(tbl_task7[33]/tbl_task7[[คะแนนเต็ม]:[คะแนนเต็ม]])*tbl_task7[[%]:[%]])</f>
        <v/>
      </c>
      <c r="GV28" s="121" t="str">
        <f>IF(ISBLANK(tbl_task7[[คะแนนเต็ม]:[คะแนนเต็ม]]),"",(tbl_task7[34]/tbl_task7[[คะแนนเต็ม]:[คะแนนเต็ม]])*tbl_task7[[%]:[%]])</f>
        <v/>
      </c>
      <c r="GW28" s="121" t="str">
        <f>IF(ISBLANK(tbl_task7[[คะแนนเต็ม]:[คะแนนเต็ม]]),"",(tbl_task7[35]/tbl_task7[[คะแนนเต็ม]:[คะแนนเต็ม]])*tbl_task7[[%]:[%]])</f>
        <v/>
      </c>
      <c r="GX28" s="121" t="str">
        <f>IF(ISBLANK(tbl_task7[[คะแนนเต็ม]:[คะแนนเต็ม]]),"",(tbl_task7[36]/tbl_task7[[คะแนนเต็ม]:[คะแนนเต็ม]])*tbl_task7[[%]:[%]])</f>
        <v/>
      </c>
      <c r="GY28" s="121" t="str">
        <f>IF(ISBLANK(tbl_task7[[คะแนนเต็ม]:[คะแนนเต็ม]]),"",(tbl_task7[37]/tbl_task7[[คะแนนเต็ม]:[คะแนนเต็ม]])*tbl_task7[[%]:[%]])</f>
        <v/>
      </c>
      <c r="GZ28" s="121" t="str">
        <f>IF(ISBLANK(tbl_task7[[คะแนนเต็ม]:[คะแนนเต็ม]]),"",(tbl_task7[38]/tbl_task7[[คะแนนเต็ม]:[คะแนนเต็ม]])*tbl_task7[[%]:[%]])</f>
        <v/>
      </c>
      <c r="HA28" s="121" t="str">
        <f>IF(ISBLANK(tbl_task7[[คะแนนเต็ม]:[คะแนนเต็ม]]),"",(tbl_task7[39]/tbl_task7[[คะแนนเต็ม]:[คะแนนเต็ม]])*tbl_task7[[%]:[%]])</f>
        <v/>
      </c>
      <c r="HB28" s="121" t="str">
        <f>IF(ISBLANK(tbl_task7[[คะแนนเต็ม]:[คะแนนเต็ม]]),"",(tbl_task7[40]/tbl_task7[[คะแนนเต็ม]:[คะแนนเต็ม]])*tbl_task7[[%]:[%]])</f>
        <v/>
      </c>
      <c r="HC28" s="121" t="str">
        <f>IF(ISBLANK(tbl_task7[[คะแนนเต็ม]:[คะแนนเต็ม]]),"",(tbl_task7[41]/tbl_task7[[คะแนนเต็ม]:[คะแนนเต็ม]])*tbl_task7[[%]:[%]])</f>
        <v/>
      </c>
      <c r="HD28" s="121" t="str">
        <f>IF(ISBLANK(tbl_task7[[คะแนนเต็ม]:[คะแนนเต็ม]]),"",(tbl_task7[42]/tbl_task7[[คะแนนเต็ม]:[คะแนนเต็ม]])*tbl_task7[[%]:[%]])</f>
        <v/>
      </c>
      <c r="HE28" s="121" t="str">
        <f>IF(ISBLANK(tbl_task7[[คะแนนเต็ม]:[คะแนนเต็ม]]),"",(tbl_task7[43]/tbl_task7[[คะแนนเต็ม]:[คะแนนเต็ม]])*tbl_task7[[%]:[%]])</f>
        <v/>
      </c>
      <c r="HF28" s="121" t="str">
        <f>IF(ISBLANK(tbl_task7[[คะแนนเต็ม]:[คะแนนเต็ม]]),"",(tbl_task7[44]/tbl_task7[[คะแนนเต็ม]:[คะแนนเต็ม]])*tbl_task7[[%]:[%]])</f>
        <v/>
      </c>
      <c r="HG28" s="121" t="str">
        <f>IF(ISBLANK(tbl_task7[[คะแนนเต็ม]:[คะแนนเต็ม]]),"",(tbl_task7[45]/tbl_task7[[คะแนนเต็ม]:[คะแนนเต็ม]])*tbl_task7[[%]:[%]])</f>
        <v/>
      </c>
      <c r="HH28" s="121" t="str">
        <f>IF(ISBLANK(tbl_task7[[คะแนนเต็ม]:[คะแนนเต็ม]]),"",(tbl_task7[46]/tbl_task7[[คะแนนเต็ม]:[คะแนนเต็ม]])*tbl_task7[[%]:[%]])</f>
        <v/>
      </c>
      <c r="HI28" s="121" t="str">
        <f>IF(ISBLANK(tbl_task7[[คะแนนเต็ม]:[คะแนนเต็ม]]),"",(tbl_task7[47]/tbl_task7[[คะแนนเต็ม]:[คะแนนเต็ม]])*tbl_task7[[%]:[%]])</f>
        <v/>
      </c>
      <c r="HJ28" s="121" t="str">
        <f>IF(ISBLANK(tbl_task7[[คะแนนเต็ม]:[คะแนนเต็ม]]),"",(tbl_task7[48]/tbl_task7[[คะแนนเต็ม]:[คะแนนเต็ม]])*tbl_task7[[%]:[%]])</f>
        <v/>
      </c>
      <c r="HK28" s="121" t="str">
        <f>IF(ISBLANK(tbl_task7[[คะแนนเต็ม]:[คะแนนเต็ม]]),"",(tbl_task7[49]/tbl_task7[[คะแนนเต็ม]:[คะแนนเต็ม]])*tbl_task7[[%]:[%]])</f>
        <v/>
      </c>
      <c r="HL28" s="121" t="str">
        <f>IF(ISBLANK(tbl_task7[[คะแนนเต็ม]:[คะแนนเต็ม]]),"",(tbl_task7[50]/tbl_task7[[คะแนนเต็ม]:[คะแนนเต็ม]])*tbl_task7[[%]:[%]])</f>
        <v/>
      </c>
      <c r="HM28" s="121" t="str">
        <f>IF(ISBLANK(tbl_task7[[คะแนนเต็ม]:[คะแนนเต็ม]]),"",(tbl_task7[51]/tbl_task7[[คะแนนเต็ม]:[คะแนนเต็ม]])*tbl_task7[[%]:[%]])</f>
        <v/>
      </c>
      <c r="HN28" s="121" t="str">
        <f>IF(ISBLANK(tbl_task7[[คะแนนเต็ม]:[คะแนนเต็ม]]),"",(tbl_task7[52]/tbl_task7[[คะแนนเต็ม]:[คะแนนเต็ม]])*tbl_task7[[%]:[%]])</f>
        <v/>
      </c>
      <c r="HO28" s="121" t="str">
        <f>IF(ISBLANK(tbl_task7[[คะแนนเต็ม]:[คะแนนเต็ม]]),"",(tbl_task7[53]/tbl_task7[[คะแนนเต็ม]:[คะแนนเต็ม]])*tbl_task7[[%]:[%]])</f>
        <v/>
      </c>
      <c r="HP28" s="121" t="str">
        <f>IF(ISBLANK(tbl_task7[[คะแนนเต็ม]:[คะแนนเต็ม]]),"",(tbl_task7[54]/tbl_task7[[คะแนนเต็ม]:[คะแนนเต็ม]])*tbl_task7[[%]:[%]])</f>
        <v/>
      </c>
      <c r="HQ28" s="121" t="str">
        <f>IF(ISBLANK(tbl_task7[[คะแนนเต็ม]:[คะแนนเต็ม]]),"",(tbl_task7[55]/tbl_task7[[คะแนนเต็ม]:[คะแนนเต็ม]])*tbl_task7[[%]:[%]])</f>
        <v/>
      </c>
      <c r="HR28" s="121" t="str">
        <f>IF(ISBLANK(tbl_task7[[คะแนนเต็ม]:[คะแนนเต็ม]]),"",(tbl_task7[56]/tbl_task7[[คะแนนเต็ม]:[คะแนนเต็ม]])*tbl_task7[[%]:[%]])</f>
        <v/>
      </c>
      <c r="HS28" s="121" t="str">
        <f>IF(ISBLANK(tbl_task7[[คะแนนเต็ม]:[คะแนนเต็ม]]),"",(tbl_task7[57]/tbl_task7[[คะแนนเต็ม]:[คะแนนเต็ม]])*tbl_task7[[%]:[%]])</f>
        <v/>
      </c>
      <c r="HT28" s="121" t="str">
        <f>IF(ISBLANK(tbl_task7[[คะแนนเต็ม]:[คะแนนเต็ม]]),"",(tbl_task7[58]/tbl_task7[[คะแนนเต็ม]:[คะแนนเต็ม]])*tbl_task7[[%]:[%]])</f>
        <v/>
      </c>
      <c r="HU28" s="121" t="str">
        <f>IF(ISBLANK(tbl_task7[[คะแนนเต็ม]:[คะแนนเต็ม]]),"",(tbl_task7[59]/tbl_task7[[คะแนนเต็ม]:[คะแนนเต็ม]])*tbl_task7[[%]:[%]])</f>
        <v/>
      </c>
      <c r="HV28" s="121" t="str">
        <f>IF(ISBLANK(tbl_task7[[คะแนนเต็ม]:[คะแนนเต็ม]]),"",(tbl_task7[60]/tbl_task7[[คะแนนเต็ม]:[คะแนนเต็ม]])*tbl_task7[[%]:[%]])</f>
        <v/>
      </c>
      <c r="HW28" s="121" t="str">
        <f>IF(ISBLANK(tbl_task7[[คะแนนเต็ม]:[คะแนนเต็ม]]),"",(tbl_task7[61]/tbl_task7[[คะแนนเต็ม]:[คะแนนเต็ม]])*tbl_task7[[%]:[%]])</f>
        <v/>
      </c>
      <c r="HX28" s="121" t="str">
        <f>IF(ISBLANK(tbl_task7[[คะแนนเต็ม]:[คะแนนเต็ม]]),"",(tbl_task7[62]/tbl_task7[[คะแนนเต็ม]:[คะแนนเต็ม]])*tbl_task7[[%]:[%]])</f>
        <v/>
      </c>
      <c r="HY28" s="121" t="str">
        <f>IF(ISBLANK(tbl_task7[[คะแนนเต็ม]:[คะแนนเต็ม]]),"",(tbl_task7[63]/tbl_task7[[คะแนนเต็ม]:[คะแนนเต็ม]])*tbl_task7[[%]:[%]])</f>
        <v/>
      </c>
      <c r="HZ28" s="121" t="str">
        <f>IF(ISBLANK(tbl_task7[[คะแนนเต็ม]:[คะแนนเต็ม]]),"",(tbl_task7[64]/tbl_task7[[คะแนนเต็ม]:[คะแนนเต็ม]])*tbl_task7[[%]:[%]])</f>
        <v/>
      </c>
      <c r="IA28" s="121" t="str">
        <f>IF(ISBLANK(tbl_task7[[คะแนนเต็ม]:[คะแนนเต็ม]]),"",(tbl_task7[65]/tbl_task7[[คะแนนเต็ม]:[คะแนนเต็ม]])*tbl_task7[[%]:[%]])</f>
        <v/>
      </c>
      <c r="IB28" s="121" t="str">
        <f>IF(ISBLANK(tbl_task7[[คะแนนเต็ม]:[คะแนนเต็ม]]),"",(tbl_task7[66]/tbl_task7[[คะแนนเต็ม]:[คะแนนเต็ม]])*tbl_task7[[%]:[%]])</f>
        <v/>
      </c>
      <c r="IC28" s="121" t="str">
        <f>IF(ISBLANK(tbl_task7[[คะแนนเต็ม]:[คะแนนเต็ม]]),"",(tbl_task7[67]/tbl_task7[[คะแนนเต็ม]:[คะแนนเต็ม]])*tbl_task7[[%]:[%]])</f>
        <v/>
      </c>
      <c r="ID28" s="121" t="str">
        <f>IF(ISBLANK(tbl_task7[[คะแนนเต็ม]:[คะแนนเต็ม]]),"",(tbl_task7[68]/tbl_task7[[คะแนนเต็ม]:[คะแนนเต็ม]])*tbl_task7[[%]:[%]])</f>
        <v/>
      </c>
      <c r="IE28" s="121" t="str">
        <f>IF(ISBLANK(tbl_task7[[คะแนนเต็ม]:[คะแนนเต็ม]]),"",(tbl_task7[69]/tbl_task7[[คะแนนเต็ม]:[คะแนนเต็ม]])*tbl_task7[[%]:[%]])</f>
        <v/>
      </c>
      <c r="IF28" s="121" t="str">
        <f>IF(ISBLANK(tbl_task7[[คะแนนเต็ม]:[คะแนนเต็ม]]),"",(tbl_task7[70]/tbl_task7[[คะแนนเต็ม]:[คะแนนเต็ม]])*tbl_task7[[%]:[%]])</f>
        <v/>
      </c>
      <c r="IG28" s="121" t="str">
        <f>IF(ISBLANK(tbl_task7[[คะแนนเต็ม]:[คะแนนเต็ม]]),"",(tbl_task7[71]/tbl_task7[[คะแนนเต็ม]:[คะแนนเต็ม]])*tbl_task7[[%]:[%]])</f>
        <v/>
      </c>
      <c r="IH28" s="121" t="str">
        <f>IF(ISBLANK(tbl_task7[[คะแนนเต็ม]:[คะแนนเต็ม]]),"",(tbl_task7[72]/tbl_task7[[คะแนนเต็ม]:[คะแนนเต็ม]])*tbl_task7[[%]:[%]])</f>
        <v/>
      </c>
      <c r="II28" s="121" t="str">
        <f>IF(ISBLANK(tbl_task7[[คะแนนเต็ม]:[คะแนนเต็ม]]),"",(tbl_task7[73]/tbl_task7[[คะแนนเต็ม]:[คะแนนเต็ม]])*tbl_task7[[%]:[%]])</f>
        <v/>
      </c>
      <c r="IJ28" s="121" t="str">
        <f>IF(ISBLANK(tbl_task7[[คะแนนเต็ม]:[คะแนนเต็ม]]),"",(tbl_task7[74]/tbl_task7[[คะแนนเต็ม]:[คะแนนเต็ม]])*tbl_task7[[%]:[%]])</f>
        <v/>
      </c>
      <c r="IK28" s="121" t="str">
        <f>IF(ISBLANK(tbl_task7[[คะแนนเต็ม]:[คะแนนเต็ม]]),"",(tbl_task7[75]/tbl_task7[[คะแนนเต็ม]:[คะแนนเต็ม]])*tbl_task7[[%]:[%]])</f>
        <v/>
      </c>
      <c r="IL28" s="121" t="str">
        <f>IF(ISBLANK(tbl_task7[[คะแนนเต็ม]:[คะแนนเต็ม]]),"",(tbl_task7[76]/tbl_task7[[คะแนนเต็ม]:[คะแนนเต็ม]])*tbl_task7[[%]:[%]])</f>
        <v/>
      </c>
      <c r="IM28" s="121" t="str">
        <f>IF(ISBLANK(tbl_task7[[คะแนนเต็ม]:[คะแนนเต็ม]]),"",(tbl_task7[77]/tbl_task7[[คะแนนเต็ม]:[คะแนนเต็ม]])*tbl_task7[[%]:[%]])</f>
        <v/>
      </c>
      <c r="IN28" s="121" t="str">
        <f>IF(ISBLANK(tbl_task7[[คะแนนเต็ม]:[คะแนนเต็ม]]),"",(tbl_task7[78]/tbl_task7[[คะแนนเต็ม]:[คะแนนเต็ม]])*tbl_task7[[%]:[%]])</f>
        <v/>
      </c>
      <c r="IO28" s="121" t="str">
        <f>IF(ISBLANK(tbl_task7[[คะแนนเต็ม]:[คะแนนเต็ม]]),"",(tbl_task7[79]/tbl_task7[[คะแนนเต็ม]:[คะแนนเต็ม]])*tbl_task7[[%]:[%]])</f>
        <v/>
      </c>
      <c r="IP28" s="121" t="str">
        <f>IF(ISBLANK(tbl_task7[[คะแนนเต็ม]:[คะแนนเต็ม]]),"",(tbl_task7[80]/tbl_task7[[คะแนนเต็ม]:[คะแนนเต็ม]])*tbl_task7[[%]:[%]])</f>
        <v/>
      </c>
      <c r="IQ28" s="121" t="str">
        <f>IF(ISBLANK(tbl_task7[[คะแนนเต็ม]:[คะแนนเต็ม]]),"",(tbl_task7[81]/tbl_task7[[คะแนนเต็ม]:[คะแนนเต็ม]])*tbl_task7[[%]:[%]])</f>
        <v/>
      </c>
      <c r="IR28" s="121" t="str">
        <f>IF(ISBLANK(tbl_task7[[คะแนนเต็ม]:[คะแนนเต็ม]]),"",(tbl_task7[82]/tbl_task7[[คะแนนเต็ม]:[คะแนนเต็ม]])*tbl_task7[[%]:[%]])</f>
        <v/>
      </c>
      <c r="IS28" s="121" t="str">
        <f>IF(ISBLANK(tbl_task7[[คะแนนเต็ม]:[คะแนนเต็ม]]),"",(tbl_task7[83]/tbl_task7[[คะแนนเต็ม]:[คะแนนเต็ม]])*tbl_task7[[%]:[%]])</f>
        <v/>
      </c>
      <c r="IT28" s="121" t="str">
        <f>IF(ISBLANK(tbl_task7[[คะแนนเต็ม]:[คะแนนเต็ม]]),"",(tbl_task7[84]/tbl_task7[[คะแนนเต็ม]:[คะแนนเต็ม]])*tbl_task7[[%]:[%]])</f>
        <v/>
      </c>
      <c r="IU28" s="121" t="str">
        <f>IF(ISBLANK(tbl_task7[[คะแนนเต็ม]:[คะแนนเต็ม]]),"",(tbl_task7[85]/tbl_task7[[คะแนนเต็ม]:[คะแนนเต็ม]])*tbl_task7[[%]:[%]])</f>
        <v/>
      </c>
      <c r="IV28" s="121" t="str">
        <f>IF(ISBLANK(tbl_task7[[คะแนนเต็ม]:[คะแนนเต็ม]]),"",(tbl_task7[86]/tbl_task7[[คะแนนเต็ม]:[คะแนนเต็ม]])*tbl_task7[[%]:[%]])</f>
        <v/>
      </c>
      <c r="IW28" s="121" t="str">
        <f>IF(ISBLANK(tbl_task7[[คะแนนเต็ม]:[คะแนนเต็ม]]),"",(tbl_task7[87]/tbl_task7[[คะแนนเต็ม]:[คะแนนเต็ม]])*tbl_task7[[%]:[%]])</f>
        <v/>
      </c>
      <c r="IX28" s="121" t="str">
        <f>IF(ISBLANK(tbl_task7[[คะแนนเต็ม]:[คะแนนเต็ม]]),"",(tbl_task7[88]/tbl_task7[[คะแนนเต็ม]:[คะแนนเต็ม]])*tbl_task7[[%]:[%]])</f>
        <v/>
      </c>
      <c r="IY28" s="121" t="str">
        <f>IF(ISBLANK(tbl_task7[[คะแนนเต็ม]:[คะแนนเต็ม]]),"",(tbl_task7[89]/tbl_task7[[คะแนนเต็ม]:[คะแนนเต็ม]])*tbl_task7[[%]:[%]])</f>
        <v/>
      </c>
      <c r="IZ28" s="121" t="str">
        <f>IF(ISBLANK(tbl_task7[[คะแนนเต็ม]:[คะแนนเต็ม]]),"",(tbl_task7[90]/tbl_task7[[คะแนนเต็ม]:[คะแนนเต็ม]])*tbl_task7[[%]:[%]])</f>
        <v/>
      </c>
      <c r="JA28" s="121" t="str">
        <f>IF(ISBLANK(tbl_task7[[คะแนนเต็ม]:[คะแนนเต็ม]]),"",(tbl_task7[91]/tbl_task7[[คะแนนเต็ม]:[คะแนนเต็ม]])*tbl_task7[[%]:[%]])</f>
        <v/>
      </c>
      <c r="JB28" s="121" t="str">
        <f>IF(ISBLANK(tbl_task7[[คะแนนเต็ม]:[คะแนนเต็ม]]),"",(tbl_task7[92]/tbl_task7[[คะแนนเต็ม]:[คะแนนเต็ม]])*tbl_task7[[%]:[%]])</f>
        <v/>
      </c>
      <c r="JC28" s="121" t="str">
        <f>IF(ISBLANK(tbl_task7[[คะแนนเต็ม]:[คะแนนเต็ม]]),"",(tbl_task7[93]/tbl_task7[[คะแนนเต็ม]:[คะแนนเต็ม]])*tbl_task7[[%]:[%]])</f>
        <v/>
      </c>
      <c r="JD28" s="121" t="str">
        <f>IF(ISBLANK(tbl_task7[[คะแนนเต็ม]:[คะแนนเต็ม]]),"",(tbl_task7[94]/tbl_task7[[คะแนนเต็ม]:[คะแนนเต็ม]])*tbl_task7[[%]:[%]])</f>
        <v/>
      </c>
      <c r="JE28" s="121" t="str">
        <f>IF(ISBLANK(tbl_task7[[คะแนนเต็ม]:[คะแนนเต็ม]]),"",(tbl_task7[95]/tbl_task7[[คะแนนเต็ม]:[คะแนนเต็ม]])*tbl_task7[[%]:[%]])</f>
        <v/>
      </c>
      <c r="JF28" s="121" t="str">
        <f>IF(ISBLANK(tbl_task7[[คะแนนเต็ม]:[คะแนนเต็ม]]),"",(tbl_task7[96]/tbl_task7[[คะแนนเต็ม]:[คะแนนเต็ม]])*tbl_task7[[%]:[%]])</f>
        <v/>
      </c>
      <c r="JG28" s="121" t="str">
        <f>IF(ISBLANK(tbl_task7[[คะแนนเต็ม]:[คะแนนเต็ม]]),"",(tbl_task7[97]/tbl_task7[[คะแนนเต็ม]:[คะแนนเต็ม]])*tbl_task7[[%]:[%]])</f>
        <v/>
      </c>
      <c r="JH28" s="121" t="str">
        <f>IF(ISBLANK(tbl_task7[[คะแนนเต็ม]:[คะแนนเต็ม]]),"",(tbl_task7[98]/tbl_task7[[คะแนนเต็ม]:[คะแนนเต็ม]])*tbl_task7[[%]:[%]])</f>
        <v/>
      </c>
      <c r="JI28" s="121" t="str">
        <f>IF(ISBLANK(tbl_task7[[คะแนนเต็ม]:[คะแนนเต็ม]]),"",(tbl_task7[99]/tbl_task7[[คะแนนเต็ม]:[คะแนนเต็ม]])*tbl_task7[[%]:[%]])</f>
        <v/>
      </c>
      <c r="JJ28" s="121" t="str">
        <f>IF(ISBLANK(tbl_task7[[คะแนนเต็ม]:[คะแนนเต็ม]]),"",(tbl_task7[100]/tbl_task7[[คะแนนเต็ม]:[คะแนนเต็ม]])*tbl_task7[[%]:[%]])</f>
        <v/>
      </c>
      <c r="JK28" s="121" t="str">
        <f>IF(ISBLANK(tbl_task7[[คะแนนเต็ม]:[คะแนนเต็ม]]),"",(tbl_task7[101]/tbl_task7[[คะแนนเต็ม]:[คะแนนเต็ม]])*tbl_task7[[%]:[%]])</f>
        <v/>
      </c>
      <c r="JL28" s="121" t="str">
        <f>IF(ISBLANK(tbl_task7[[คะแนนเต็ม]:[คะแนนเต็ม]]),"",(tbl_task7[102]/tbl_task7[[คะแนนเต็ม]:[คะแนนเต็ม]])*tbl_task7[[%]:[%]])</f>
        <v/>
      </c>
      <c r="JM28" s="121" t="str">
        <f>IF(ISBLANK(tbl_task7[[คะแนนเต็ม]:[คะแนนเต็ม]]),"",(tbl_task7[103]/tbl_task7[[คะแนนเต็ม]:[คะแนนเต็ม]])*tbl_task7[[%]:[%]])</f>
        <v/>
      </c>
      <c r="JN28" s="121" t="str">
        <f>IF(ISBLANK(tbl_task7[[คะแนนเต็ม]:[คะแนนเต็ม]]),"",(tbl_task7[104]/tbl_task7[[คะแนนเต็ม]:[คะแนนเต็ม]])*tbl_task7[[%]:[%]])</f>
        <v/>
      </c>
      <c r="JO28" s="121" t="str">
        <f>IF(ISBLANK(tbl_task7[[คะแนนเต็ม]:[คะแนนเต็ม]]),"",(tbl_task7[105]/tbl_task7[[คะแนนเต็ม]:[คะแนนเต็ม]])*tbl_task7[[%]:[%]])</f>
        <v/>
      </c>
      <c r="JP28" s="121" t="str">
        <f>IF(ISBLANK(tbl_task7[[คะแนนเต็ม]:[คะแนนเต็ม]]),"",(tbl_task7[106]/tbl_task7[[คะแนนเต็ม]:[คะแนนเต็ม]])*tbl_task7[[%]:[%]])</f>
        <v/>
      </c>
      <c r="JQ28" s="121" t="str">
        <f>IF(ISBLANK(tbl_task7[[คะแนนเต็ม]:[คะแนนเต็ม]]),"",(tbl_task7[107]/tbl_task7[[คะแนนเต็ม]:[คะแนนเต็ม]])*tbl_task7[[%]:[%]])</f>
        <v/>
      </c>
      <c r="JR28" s="121" t="str">
        <f>IF(ISBLANK(tbl_task7[[คะแนนเต็ม]:[คะแนนเต็ม]]),"",(tbl_task7[108]/tbl_task7[[คะแนนเต็ม]:[คะแนนเต็ม]])*tbl_task7[[%]:[%]])</f>
        <v/>
      </c>
      <c r="JS28" s="121" t="str">
        <f>IF(ISBLANK(tbl_task7[[คะแนนเต็ม]:[คะแนนเต็ม]]),"",(tbl_task7[109]/tbl_task7[[คะแนนเต็ม]:[คะแนนเต็ม]])*tbl_task7[[%]:[%]])</f>
        <v/>
      </c>
      <c r="JT28" s="121" t="str">
        <f>IF(ISBLANK(tbl_task7[[คะแนนเต็ม]:[คะแนนเต็ม]]),"",(tbl_task7[110]/tbl_task7[[คะแนนเต็ม]:[คะแนนเต็ม]])*tbl_task7[[%]:[%]])</f>
        <v/>
      </c>
      <c r="JU28" s="121" t="str">
        <f>IF(ISBLANK(tbl_task7[[คะแนนเต็ม]:[คะแนนเต็ม]]),"",(tbl_task7[111]/tbl_task7[[คะแนนเต็ม]:[คะแนนเต็ม]])*tbl_task7[[%]:[%]])</f>
        <v/>
      </c>
      <c r="JV28" s="121" t="str">
        <f>IF(ISBLANK(tbl_task7[[คะแนนเต็ม]:[คะแนนเต็ม]]),"",(tbl_task7[112]/tbl_task7[[คะแนนเต็ม]:[คะแนนเต็ม]])*tbl_task7[[%]:[%]])</f>
        <v/>
      </c>
      <c r="JW28" s="121" t="str">
        <f>IF(ISBLANK(tbl_task7[[คะแนนเต็ม]:[คะแนนเต็ม]]),"",(tbl_task7[113]/tbl_task7[[คะแนนเต็ม]:[คะแนนเต็ม]])*tbl_task7[[%]:[%]])</f>
        <v/>
      </c>
      <c r="JX28" s="121" t="str">
        <f>IF(ISBLANK(tbl_task7[[คะแนนเต็ม]:[คะแนนเต็ม]]),"",(tbl_task7[114]/tbl_task7[[คะแนนเต็ม]:[คะแนนเต็ม]])*tbl_task7[[%]:[%]])</f>
        <v/>
      </c>
      <c r="JY28" s="121" t="str">
        <f>IF(ISBLANK(tbl_task7[[คะแนนเต็ม]:[คะแนนเต็ม]]),"",(tbl_task7[115]/tbl_task7[[คะแนนเต็ม]:[คะแนนเต็ม]])*tbl_task7[[%]:[%]])</f>
        <v/>
      </c>
      <c r="JZ28" s="121" t="str">
        <f>IF(ISBLANK(tbl_task7[[คะแนนเต็ม]:[คะแนนเต็ม]]),"",(tbl_task7[116]/tbl_task7[[คะแนนเต็ม]:[คะแนนเต็ม]])*tbl_task7[[%]:[%]])</f>
        <v/>
      </c>
      <c r="KA28" s="121" t="str">
        <f>IF(ISBLANK(tbl_task7[[คะแนนเต็ม]:[คะแนนเต็ม]]),"",(tbl_task7[117]/tbl_task7[[คะแนนเต็ม]:[คะแนนเต็ม]])*tbl_task7[[%]:[%]])</f>
        <v/>
      </c>
      <c r="KB28" s="121" t="str">
        <f>IF(ISBLANK(tbl_task7[[คะแนนเต็ม]:[คะแนนเต็ม]]),"",(tbl_task7[118]/tbl_task7[[คะแนนเต็ม]:[คะแนนเต็ม]])*tbl_task7[[%]:[%]])</f>
        <v/>
      </c>
      <c r="KC28" s="121" t="str">
        <f>IF(ISBLANK(tbl_task7[[คะแนนเต็ม]:[คะแนนเต็ม]]),"",(tbl_task7[119]/tbl_task7[[คะแนนเต็ม]:[คะแนนเต็ม]])*tbl_task7[[%]:[%]])</f>
        <v/>
      </c>
      <c r="KD28" s="121" t="str">
        <f>IF(ISBLANK(tbl_task7[[คะแนนเต็ม]:[คะแนนเต็ม]]),"",(tbl_task7[120]/tbl_task7[[คะแนนเต็ม]:[คะแนนเต็ม]])*tbl_task7[[%]:[%]])</f>
        <v/>
      </c>
      <c r="KE28" s="121" t="str">
        <f>IF(ISBLANK(tbl_task7[[คะแนนเต็ม]:[คะแนนเต็ม]]),"",(tbl_task7[121]/tbl_task7[[คะแนนเต็ม]:[คะแนนเต็ม]])*tbl_task7[[%]:[%]])</f>
        <v/>
      </c>
      <c r="KF28" s="121" t="str">
        <f>IF(ISBLANK(tbl_task7[[คะแนนเต็ม]:[คะแนนเต็ม]]),"",(tbl_task7[122]/tbl_task7[[คะแนนเต็ม]:[คะแนนเต็ม]])*tbl_task7[[%]:[%]])</f>
        <v/>
      </c>
      <c r="KG28" s="121" t="str">
        <f>IF(ISBLANK(tbl_task7[[คะแนนเต็ม]:[คะแนนเต็ม]]),"",(tbl_task7[123]/tbl_task7[[คะแนนเต็ม]:[คะแนนเต็ม]])*tbl_task7[[%]:[%]])</f>
        <v/>
      </c>
      <c r="KH28" s="121" t="str">
        <f>IF(ISBLANK(tbl_task7[[คะแนนเต็ม]:[คะแนนเต็ม]]),"",(tbl_task7[124]/tbl_task7[[คะแนนเต็ม]:[คะแนนเต็ม]])*tbl_task7[[%]:[%]])</f>
        <v/>
      </c>
      <c r="KI28" s="121" t="str">
        <f>IF(ISBLANK(tbl_task7[[คะแนนเต็ม]:[คะแนนเต็ม]]),"",(tbl_task7[125]/tbl_task7[[คะแนนเต็ม]:[คะแนนเต็ม]])*tbl_task7[[%]:[%]])</f>
        <v/>
      </c>
      <c r="KJ28" s="121" t="str">
        <f>IF(ISBLANK(tbl_task7[[คะแนนเต็ม]:[คะแนนเต็ม]]),"",(tbl_task7[126]/tbl_task7[[คะแนนเต็ม]:[คะแนนเต็ม]])*tbl_task7[[%]:[%]])</f>
        <v/>
      </c>
      <c r="KK28" s="121" t="str">
        <f>IF(ISBLANK(tbl_task7[[คะแนนเต็ม]:[คะแนนเต็ม]]),"",(tbl_task7[127]/tbl_task7[[คะแนนเต็ม]:[คะแนนเต็ม]])*tbl_task7[[%]:[%]])</f>
        <v/>
      </c>
      <c r="KL28" s="121" t="str">
        <f>IF(ISBLANK(tbl_task7[[คะแนนเต็ม]:[คะแนนเต็ม]]),"",(tbl_task7[128]/tbl_task7[[คะแนนเต็ม]:[คะแนนเต็ม]])*tbl_task7[[%]:[%]])</f>
        <v/>
      </c>
      <c r="KM28" s="121" t="str">
        <f>IF(ISBLANK(tbl_task7[[คะแนนเต็ม]:[คะแนนเต็ม]]),"",(tbl_task7[129]/tbl_task7[[คะแนนเต็ม]:[คะแนนเต็ม]])*tbl_task7[[%]:[%]])</f>
        <v/>
      </c>
      <c r="KN28" s="121" t="str">
        <f>IF(ISBLANK(tbl_task7[[คะแนนเต็ม]:[คะแนนเต็ม]]),"",(tbl_task7[130]/tbl_task7[[คะแนนเต็ม]:[คะแนนเต็ม]])*tbl_task7[[%]:[%]])</f>
        <v/>
      </c>
      <c r="KO28" s="121" t="str">
        <f>IF(ISBLANK(tbl_task7[[คะแนนเต็ม]:[คะแนนเต็ม]]),"",(tbl_task7[131]/tbl_task7[[คะแนนเต็ม]:[คะแนนเต็ม]])*tbl_task7[[%]:[%]])</f>
        <v/>
      </c>
      <c r="KP28" s="121" t="str">
        <f>IF(ISBLANK(tbl_task7[[คะแนนเต็ม]:[คะแนนเต็ม]]),"",(tbl_task7[132]/tbl_task7[[คะแนนเต็ม]:[คะแนนเต็ม]])*tbl_task7[[%]:[%]])</f>
        <v/>
      </c>
      <c r="KQ28" s="121" t="str">
        <f>IF(ISBLANK(tbl_task7[[คะแนนเต็ม]:[คะแนนเต็ม]]),"",(tbl_task7[133]/tbl_task7[[คะแนนเต็ม]:[คะแนนเต็ม]])*tbl_task7[[%]:[%]])</f>
        <v/>
      </c>
      <c r="KR28" s="121" t="str">
        <f>IF(ISBLANK(tbl_task7[[คะแนนเต็ม]:[คะแนนเต็ม]]),"",(tbl_task7[134]/tbl_task7[[คะแนนเต็ม]:[คะแนนเต็ม]])*tbl_task7[[%]:[%]])</f>
        <v/>
      </c>
      <c r="KS28" s="121" t="str">
        <f>IF(ISBLANK(tbl_task7[[คะแนนเต็ม]:[คะแนนเต็ม]]),"",(tbl_task7[135]/tbl_task7[[คะแนนเต็ม]:[คะแนนเต็ม]])*tbl_task7[[%]:[%]])</f>
        <v/>
      </c>
      <c r="KT28" s="121" t="str">
        <f>IF(ISBLANK(tbl_task7[[คะแนนเต็ม]:[คะแนนเต็ม]]),"",(tbl_task7[136]/tbl_task7[[คะแนนเต็ม]:[คะแนนเต็ม]])*tbl_task7[[%]:[%]])</f>
        <v/>
      </c>
      <c r="KU28" s="121" t="str">
        <f>IF(ISBLANK(tbl_task7[[คะแนนเต็ม]:[คะแนนเต็ม]]),"",(tbl_task7[137]/tbl_task7[[คะแนนเต็ม]:[คะแนนเต็ม]])*tbl_task7[[%]:[%]])</f>
        <v/>
      </c>
      <c r="KV28" s="121" t="str">
        <f>IF(ISBLANK(tbl_task7[[คะแนนเต็ม]:[คะแนนเต็ม]]),"",(tbl_task7[138]/tbl_task7[[คะแนนเต็ม]:[คะแนนเต็ม]])*tbl_task7[[%]:[%]])</f>
        <v/>
      </c>
      <c r="KW28" s="121" t="str">
        <f>IF(ISBLANK(tbl_task7[[คะแนนเต็ม]:[คะแนนเต็ม]]),"",(tbl_task7[139]/tbl_task7[[คะแนนเต็ม]:[คะแนนเต็ม]])*tbl_task7[[%]:[%]])</f>
        <v/>
      </c>
      <c r="KX28" s="121" t="str">
        <f>IF(ISBLANK(tbl_task7[[คะแนนเต็ม]:[คะแนนเต็ม]]),"",(tbl_task7[140]/tbl_task7[[คะแนนเต็ม]:[คะแนนเต็ม]])*tbl_task7[[%]:[%]])</f>
        <v/>
      </c>
      <c r="KY28" s="121" t="str">
        <f>IF(ISBLANK(tbl_task7[[คะแนนเต็ม]:[คะแนนเต็ม]]),"",(tbl_task7[141]/tbl_task7[[คะแนนเต็ม]:[คะแนนเต็ม]])*tbl_task7[[%]:[%]])</f>
        <v/>
      </c>
      <c r="KZ28" s="121" t="str">
        <f>IF(ISBLANK(tbl_task7[[คะแนนเต็ม]:[คะแนนเต็ม]]),"",(tbl_task7[142]/tbl_task7[[คะแนนเต็ม]:[คะแนนเต็ม]])*tbl_task7[[%]:[%]])</f>
        <v/>
      </c>
      <c r="LA28" s="121" t="str">
        <f>IF(ISBLANK(tbl_task7[[คะแนนเต็ม]:[คะแนนเต็ม]]),"",(tbl_task7[143]/tbl_task7[[คะแนนเต็ม]:[คะแนนเต็ม]])*tbl_task7[[%]:[%]])</f>
        <v/>
      </c>
      <c r="LB28" s="121" t="str">
        <f>IF(ISBLANK(tbl_task7[[คะแนนเต็ม]:[คะแนนเต็ม]]),"",(tbl_task7[144]/tbl_task7[[คะแนนเต็ม]:[คะแนนเต็ม]])*tbl_task7[[%]:[%]])</f>
        <v/>
      </c>
      <c r="LC28" s="121" t="str">
        <f>IF(ISBLANK(tbl_task7[[คะแนนเต็ม]:[คะแนนเต็ม]]),"",(tbl_task7[145]/tbl_task7[[คะแนนเต็ม]:[คะแนนเต็ม]])*tbl_task7[[%]:[%]])</f>
        <v/>
      </c>
      <c r="LD28" s="121" t="str">
        <f>IF(ISBLANK(tbl_task7[[คะแนนเต็ม]:[คะแนนเต็ม]]),"",(tbl_task7[146]/tbl_task7[[คะแนนเต็ม]:[คะแนนเต็ม]])*tbl_task7[[%]:[%]])</f>
        <v/>
      </c>
      <c r="LE28" s="121" t="str">
        <f>IF(ISBLANK(tbl_task7[[คะแนนเต็ม]:[คะแนนเต็ม]]),"",(tbl_task7[147]/tbl_task7[[คะแนนเต็ม]:[คะแนนเต็ม]])*tbl_task7[[%]:[%]])</f>
        <v/>
      </c>
      <c r="LF28" s="121" t="str">
        <f>IF(ISBLANK(tbl_task7[[คะแนนเต็ม]:[คะแนนเต็ม]]),"",(tbl_task7[148]/tbl_task7[[คะแนนเต็ม]:[คะแนนเต็ม]])*tbl_task7[[%]:[%]])</f>
        <v/>
      </c>
      <c r="LG28" s="121" t="str">
        <f>IF(ISBLANK(tbl_task7[[คะแนนเต็ม]:[คะแนนเต็ม]]),"",(tbl_task7[149]/tbl_task7[[คะแนนเต็ม]:[คะแนนเต็ม]])*tbl_task7[[%]:[%]])</f>
        <v/>
      </c>
      <c r="LH28" s="121" t="str">
        <f>IF(ISBLANK(tbl_task7[[คะแนนเต็ม]:[คะแนนเต็ม]]),"",(tbl_task7[150]/tbl_task7[[คะแนนเต็ม]:[คะแนนเต็ม]])*tbl_task7[[%]:[%]])</f>
        <v/>
      </c>
      <c r="LI28" s="121" t="str">
        <f>IF(ISBLANK(tbl_task7[[คะแนนเต็ม]:[คะแนนเต็ม]]),"",(tbl_task7[151]/tbl_task7[[คะแนนเต็ม]:[คะแนนเต็ม]])*tbl_task7[[%]:[%]])</f>
        <v/>
      </c>
      <c r="LJ28" s="121" t="str">
        <f>IF(ISBLANK(tbl_task7[[คะแนนเต็ม]:[คะแนนเต็ม]]),"",(tbl_task7[152]/tbl_task7[[คะแนนเต็ม]:[คะแนนเต็ม]])*tbl_task7[[%]:[%]])</f>
        <v/>
      </c>
      <c r="LK28" s="121" t="str">
        <f>IF(ISBLANK(tbl_task7[[คะแนนเต็ม]:[คะแนนเต็ม]]),"",(tbl_task7[153]/tbl_task7[[คะแนนเต็ม]:[คะแนนเต็ม]])*tbl_task7[[%]:[%]])</f>
        <v/>
      </c>
      <c r="LL28" s="121" t="str">
        <f>IF(ISBLANK(tbl_task7[[คะแนนเต็ม]:[คะแนนเต็ม]]),"",(tbl_task7[154]/tbl_task7[[คะแนนเต็ม]:[คะแนนเต็ม]])*tbl_task7[[%]:[%]])</f>
        <v/>
      </c>
      <c r="LM28" s="121" t="str">
        <f>IF(ISBLANK(tbl_task7[[คะแนนเต็ม]:[คะแนนเต็ม]]),"",(tbl_task7[155]/tbl_task7[[คะแนนเต็ม]:[คะแนนเต็ม]])*tbl_task7[[%]:[%]])</f>
        <v/>
      </c>
      <c r="LN28" s="121" t="str">
        <f>IF(ISBLANK(tbl_task7[[คะแนนเต็ม]:[คะแนนเต็ม]]),"",(tbl_task7[156]/tbl_task7[[คะแนนเต็ม]:[คะแนนเต็ม]])*tbl_task7[[%]:[%]])</f>
        <v/>
      </c>
      <c r="LO28" s="121" t="str">
        <f>IF(ISBLANK(tbl_task7[[คะแนนเต็ม]:[คะแนนเต็ม]]),"",(tbl_task7[157]/tbl_task7[[คะแนนเต็ม]:[คะแนนเต็ม]])*tbl_task7[[%]:[%]])</f>
        <v/>
      </c>
      <c r="LP28" s="121" t="str">
        <f>IF(ISBLANK(tbl_task7[[คะแนนเต็ม]:[คะแนนเต็ม]]),"",(tbl_task7[158]/tbl_task7[[คะแนนเต็ม]:[คะแนนเต็ม]])*tbl_task7[[%]:[%]])</f>
        <v/>
      </c>
      <c r="LQ28" s="121" t="str">
        <f>IF(ISBLANK(tbl_task7[[คะแนนเต็ม]:[คะแนนเต็ม]]),"",(tbl_task7[159]/tbl_task7[[คะแนนเต็ม]:[คะแนนเต็ม]])*tbl_task7[[%]:[%]])</f>
        <v/>
      </c>
      <c r="LR28" s="121" t="str">
        <f>IF(ISBLANK(tbl_task7[[คะแนนเต็ม]:[คะแนนเต็ม]]),"",(tbl_task7[160]/tbl_task7[[คะแนนเต็ม]:[คะแนนเต็ม]])*tbl_task7[[%]:[%]])</f>
        <v/>
      </c>
      <c r="LS28" s="121" t="str">
        <f>IF(ISBLANK(tbl_task7[[คะแนนเต็ม]:[คะแนนเต็ม]]),"",(tbl_task7[161]/tbl_task7[[คะแนนเต็ม]:[คะแนนเต็ม]])*tbl_task7[[%]:[%]])</f>
        <v/>
      </c>
      <c r="LT28" s="121" t="str">
        <f>IF(ISBLANK(tbl_task7[[คะแนนเต็ม]:[คะแนนเต็ม]]),"",(tbl_task7[162]/tbl_task7[[คะแนนเต็ม]:[คะแนนเต็ม]])*tbl_task7[[%]:[%]])</f>
        <v/>
      </c>
      <c r="LU28" s="121" t="str">
        <f>IF(ISBLANK(tbl_task7[[คะแนนเต็ม]:[คะแนนเต็ม]]),"",(tbl_task7[163]/tbl_task7[[คะแนนเต็ม]:[คะแนนเต็ม]])*tbl_task7[[%]:[%]])</f>
        <v/>
      </c>
      <c r="LV28" s="121" t="str">
        <f>IF(ISBLANK(tbl_task7[[คะแนนเต็ม]:[คะแนนเต็ม]]),"",(tbl_task7[164]/tbl_task7[[คะแนนเต็ม]:[คะแนนเต็ม]])*tbl_task7[[%]:[%]])</f>
        <v/>
      </c>
      <c r="LW28" s="121" t="str">
        <f>IF(ISBLANK(tbl_task7[[คะแนนเต็ม]:[คะแนนเต็ม]]),"",(tbl_task7[165]/tbl_task7[[คะแนนเต็ม]:[คะแนนเต็ม]])*tbl_task7[[%]:[%]])</f>
        <v/>
      </c>
    </row>
    <row r="29" spans="1:335" s="34" customFormat="1" ht="24" customHeight="1" x14ac:dyDescent="0.25">
      <c r="A29" s="42" t="s">
        <v>11</v>
      </c>
      <c r="B29" s="109">
        <f>COUNTA(tbl_task7[SubPLOs])</f>
        <v>0</v>
      </c>
      <c r="C29" s="129"/>
      <c r="D29" s="108">
        <f>SUM(tbl_task7[คะแนนเต็ม])</f>
        <v>0</v>
      </c>
      <c r="E29" s="108">
        <f>SUM(tbl_task7[%])</f>
        <v>0</v>
      </c>
      <c r="F29" s="124">
        <f>SUM(tbl_task7[1])</f>
        <v>0</v>
      </c>
      <c r="G29" s="124">
        <f>SUM(tbl_task7[2])</f>
        <v>0</v>
      </c>
      <c r="H29" s="124">
        <f>SUM(tbl_task7[3])</f>
        <v>0</v>
      </c>
      <c r="I29" s="124">
        <f>SUM(tbl_task7[4])</f>
        <v>0</v>
      </c>
      <c r="J29" s="124">
        <f>SUM(tbl_task7[5])</f>
        <v>0</v>
      </c>
      <c r="K29" s="124">
        <f>SUM(tbl_task7[6])</f>
        <v>0</v>
      </c>
      <c r="L29" s="124">
        <f>SUM(tbl_task7[7])</f>
        <v>0</v>
      </c>
      <c r="M29" s="124">
        <f>SUM(tbl_task7[8])</f>
        <v>0</v>
      </c>
      <c r="N29" s="124">
        <f>SUM(tbl_task7[9])</f>
        <v>0</v>
      </c>
      <c r="O29" s="124">
        <f>SUM(tbl_task7[10])</f>
        <v>0</v>
      </c>
      <c r="P29" s="124">
        <f>SUM(tbl_task7[11])</f>
        <v>0</v>
      </c>
      <c r="Q29" s="124">
        <f>SUM(tbl_task7[12])</f>
        <v>0</v>
      </c>
      <c r="R29" s="124">
        <f>SUM(tbl_task7[13])</f>
        <v>0</v>
      </c>
      <c r="S29" s="124">
        <f>SUM(tbl_task7[14])</f>
        <v>0</v>
      </c>
      <c r="T29" s="124">
        <f>SUM(tbl_task7[15])</f>
        <v>0</v>
      </c>
      <c r="U29" s="124">
        <f>SUM(tbl_task7[16])</f>
        <v>0</v>
      </c>
      <c r="V29" s="124">
        <f>SUM(tbl_task7[17])</f>
        <v>0</v>
      </c>
      <c r="W29" s="124">
        <f>SUM(tbl_task7[18])</f>
        <v>0</v>
      </c>
      <c r="X29" s="124">
        <f>SUM(tbl_task7[19])</f>
        <v>0</v>
      </c>
      <c r="Y29" s="124">
        <f>SUM(tbl_task7[20])</f>
        <v>0</v>
      </c>
      <c r="Z29" s="124">
        <f>SUM(tbl_task7[21])</f>
        <v>0</v>
      </c>
      <c r="AA29" s="124">
        <f>SUM(tbl_task7[22])</f>
        <v>0</v>
      </c>
      <c r="AB29" s="124">
        <f>SUM(tbl_task7[23])</f>
        <v>0</v>
      </c>
      <c r="AC29" s="124">
        <f>SUM(tbl_task7[24])</f>
        <v>0</v>
      </c>
      <c r="AD29" s="124">
        <f>SUM(tbl_task7[25])</f>
        <v>0</v>
      </c>
      <c r="AE29" s="124">
        <f>SUM(tbl_task7[26])</f>
        <v>0</v>
      </c>
      <c r="AF29" s="124">
        <f>SUM(tbl_task7[27])</f>
        <v>0</v>
      </c>
      <c r="AG29" s="124">
        <f>SUM(tbl_task7[28])</f>
        <v>0</v>
      </c>
      <c r="AH29" s="124">
        <f>SUM(tbl_task7[29])</f>
        <v>0</v>
      </c>
      <c r="AI29" s="124">
        <f>SUM(tbl_task7[30])</f>
        <v>0</v>
      </c>
      <c r="AJ29" s="124">
        <f>SUM(tbl_task7[31])</f>
        <v>0</v>
      </c>
      <c r="AK29" s="124">
        <f>SUM(tbl_task7[32])</f>
        <v>0</v>
      </c>
      <c r="AL29" s="124">
        <f>SUM(tbl_task7[33])</f>
        <v>0</v>
      </c>
      <c r="AM29" s="124">
        <f>SUM(tbl_task7[34])</f>
        <v>0</v>
      </c>
      <c r="AN29" s="124">
        <f>SUM(tbl_task7[35])</f>
        <v>0</v>
      </c>
      <c r="AO29" s="124">
        <f>SUM(tbl_task7[36])</f>
        <v>0</v>
      </c>
      <c r="AP29" s="124">
        <f>SUM(tbl_task7[37])</f>
        <v>0</v>
      </c>
      <c r="AQ29" s="124">
        <f>SUM(tbl_task7[38])</f>
        <v>0</v>
      </c>
      <c r="AR29" s="124">
        <f>SUM(tbl_task7[39])</f>
        <v>0</v>
      </c>
      <c r="AS29" s="124">
        <f>SUM(tbl_task7[40])</f>
        <v>0</v>
      </c>
      <c r="AT29" s="124">
        <f>SUM(tbl_task7[41])</f>
        <v>0</v>
      </c>
      <c r="AU29" s="124">
        <f>SUM(tbl_task7[42])</f>
        <v>0</v>
      </c>
      <c r="AV29" s="124">
        <f>SUM(tbl_task7[43])</f>
        <v>0</v>
      </c>
      <c r="AW29" s="124">
        <f>SUM(tbl_task7[44])</f>
        <v>0</v>
      </c>
      <c r="AX29" s="124">
        <f>SUM(tbl_task7[45])</f>
        <v>0</v>
      </c>
      <c r="AY29" s="124">
        <f>SUM(tbl_task7[46])</f>
        <v>0</v>
      </c>
      <c r="AZ29" s="124">
        <f>SUM(tbl_task7[47])</f>
        <v>0</v>
      </c>
      <c r="BA29" s="124">
        <f>SUM(tbl_task7[48])</f>
        <v>0</v>
      </c>
      <c r="BB29" s="124">
        <f>SUM(tbl_task7[49])</f>
        <v>0</v>
      </c>
      <c r="BC29" s="124">
        <f>SUM(tbl_task7[50])</f>
        <v>0</v>
      </c>
      <c r="BD29" s="124">
        <f>SUM(tbl_task7[51])</f>
        <v>0</v>
      </c>
      <c r="BE29" s="124">
        <f>SUM(tbl_task7[52])</f>
        <v>0</v>
      </c>
      <c r="BF29" s="124">
        <f>SUM(tbl_task7[53])</f>
        <v>0</v>
      </c>
      <c r="BG29" s="124">
        <f>SUM(tbl_task7[54])</f>
        <v>0</v>
      </c>
      <c r="BH29" s="124">
        <f>SUM(tbl_task7[55])</f>
        <v>0</v>
      </c>
      <c r="BI29" s="124">
        <f>SUM(tbl_task7[56])</f>
        <v>0</v>
      </c>
      <c r="BJ29" s="124">
        <f>SUM(tbl_task7[57])</f>
        <v>0</v>
      </c>
      <c r="BK29" s="124">
        <f>SUM(tbl_task7[58])</f>
        <v>0</v>
      </c>
      <c r="BL29" s="124">
        <f>SUM(tbl_task7[59])</f>
        <v>0</v>
      </c>
      <c r="BM29" s="124">
        <f>SUM(tbl_task7[60])</f>
        <v>0</v>
      </c>
      <c r="BN29" s="124">
        <f>SUM(tbl_task7[61])</f>
        <v>0</v>
      </c>
      <c r="BO29" s="124">
        <f>SUM(tbl_task7[62])</f>
        <v>0</v>
      </c>
      <c r="BP29" s="124">
        <f>SUM(tbl_task7[63])</f>
        <v>0</v>
      </c>
      <c r="BQ29" s="124">
        <f>SUM(tbl_task7[64])</f>
        <v>0</v>
      </c>
      <c r="BR29" s="124">
        <f>SUM(tbl_task7[65])</f>
        <v>0</v>
      </c>
      <c r="BS29" s="124">
        <f>SUM(tbl_task7[66])</f>
        <v>0</v>
      </c>
      <c r="BT29" s="124">
        <f>SUM(tbl_task7[67])</f>
        <v>0</v>
      </c>
      <c r="BU29" s="124">
        <f>SUM(tbl_task7[68])</f>
        <v>0</v>
      </c>
      <c r="BV29" s="124">
        <f>SUM(tbl_task7[69])</f>
        <v>0</v>
      </c>
      <c r="BW29" s="124">
        <f>SUM(tbl_task7[70])</f>
        <v>0</v>
      </c>
      <c r="BX29" s="124">
        <f>SUM(tbl_task7[71])</f>
        <v>0</v>
      </c>
      <c r="BY29" s="124">
        <f>SUM(tbl_task7[72])</f>
        <v>0</v>
      </c>
      <c r="BZ29" s="124">
        <f>SUM(tbl_task7[73])</f>
        <v>0</v>
      </c>
      <c r="CA29" s="124">
        <f>SUM(tbl_task7[74])</f>
        <v>0</v>
      </c>
      <c r="CB29" s="124">
        <f>SUM(tbl_task7[75])</f>
        <v>0</v>
      </c>
      <c r="CC29" s="124">
        <f>SUM(tbl_task7[76])</f>
        <v>0</v>
      </c>
      <c r="CD29" s="124">
        <f>SUM(tbl_task7[77])</f>
        <v>0</v>
      </c>
      <c r="CE29" s="124">
        <f>SUM(tbl_task7[78])</f>
        <v>0</v>
      </c>
      <c r="CF29" s="124">
        <f>SUM(tbl_task7[79])</f>
        <v>0</v>
      </c>
      <c r="CG29" s="124">
        <f>SUM(tbl_task7[80])</f>
        <v>0</v>
      </c>
      <c r="CH29" s="124">
        <f>SUM(tbl_task7[81])</f>
        <v>0</v>
      </c>
      <c r="CI29" s="124">
        <f>SUM(tbl_task7[82])</f>
        <v>0</v>
      </c>
      <c r="CJ29" s="124">
        <f>SUM(tbl_task7[83])</f>
        <v>0</v>
      </c>
      <c r="CK29" s="124">
        <f>SUM(tbl_task7[84])</f>
        <v>0</v>
      </c>
      <c r="CL29" s="124">
        <f>SUM(tbl_task7[85])</f>
        <v>0</v>
      </c>
      <c r="CM29" s="124">
        <f>SUM(tbl_task7[86])</f>
        <v>0</v>
      </c>
      <c r="CN29" s="124">
        <f>SUM(tbl_task7[87])</f>
        <v>0</v>
      </c>
      <c r="CO29" s="124">
        <f>SUM(tbl_task7[88])</f>
        <v>0</v>
      </c>
      <c r="CP29" s="124">
        <f>SUM(tbl_task7[89])</f>
        <v>0</v>
      </c>
      <c r="CQ29" s="124">
        <f>SUM(tbl_task7[90])</f>
        <v>0</v>
      </c>
      <c r="CR29" s="124">
        <f>SUM(tbl_task7[91])</f>
        <v>0</v>
      </c>
      <c r="CS29" s="124">
        <f>SUM(tbl_task7[92])</f>
        <v>0</v>
      </c>
      <c r="CT29" s="124">
        <f>SUM(tbl_task7[93])</f>
        <v>0</v>
      </c>
      <c r="CU29" s="124">
        <f>SUM(tbl_task7[94])</f>
        <v>0</v>
      </c>
      <c r="CV29" s="124">
        <f>SUM(tbl_task7[95])</f>
        <v>0</v>
      </c>
      <c r="CW29" s="124">
        <f>SUM(tbl_task7[96])</f>
        <v>0</v>
      </c>
      <c r="CX29" s="124">
        <f>SUM(tbl_task7[97])</f>
        <v>0</v>
      </c>
      <c r="CY29" s="124">
        <f>SUM(tbl_task7[98])</f>
        <v>0</v>
      </c>
      <c r="CZ29" s="124">
        <f>SUM(tbl_task7[99])</f>
        <v>0</v>
      </c>
      <c r="DA29" s="124">
        <f>SUM(tbl_task7[100])</f>
        <v>0</v>
      </c>
      <c r="DB29" s="124">
        <f>SUM(tbl_task7[101])</f>
        <v>0</v>
      </c>
      <c r="DC29" s="124">
        <f>SUM(tbl_task7[102])</f>
        <v>0</v>
      </c>
      <c r="DD29" s="124">
        <f>SUM(tbl_task7[103])</f>
        <v>0</v>
      </c>
      <c r="DE29" s="124">
        <f>SUM(tbl_task7[104])</f>
        <v>0</v>
      </c>
      <c r="DF29" s="124">
        <f>SUM(tbl_task7[105])</f>
        <v>0</v>
      </c>
      <c r="DG29" s="124">
        <f>SUM(tbl_task7[106])</f>
        <v>0</v>
      </c>
      <c r="DH29" s="124">
        <f>SUM(tbl_task7[107])</f>
        <v>0</v>
      </c>
      <c r="DI29" s="124">
        <f>SUM(tbl_task7[108])</f>
        <v>0</v>
      </c>
      <c r="DJ29" s="124">
        <f>SUM(tbl_task7[109])</f>
        <v>0</v>
      </c>
      <c r="DK29" s="124">
        <f>SUM(tbl_task7[110])</f>
        <v>0</v>
      </c>
      <c r="DL29" s="124">
        <f>SUM(tbl_task7[111])</f>
        <v>0</v>
      </c>
      <c r="DM29" s="124">
        <f>SUM(tbl_task7[112])</f>
        <v>0</v>
      </c>
      <c r="DN29" s="124">
        <f>SUM(tbl_task7[113])</f>
        <v>0</v>
      </c>
      <c r="DO29" s="124">
        <f>SUM(tbl_task7[114])</f>
        <v>0</v>
      </c>
      <c r="DP29" s="124">
        <f>SUM(tbl_task7[115])</f>
        <v>0</v>
      </c>
      <c r="DQ29" s="124">
        <f>SUM(tbl_task7[116])</f>
        <v>0</v>
      </c>
      <c r="DR29" s="124">
        <f>SUM(tbl_task7[117])</f>
        <v>0</v>
      </c>
      <c r="DS29" s="124">
        <f>SUM(tbl_task7[118])</f>
        <v>0</v>
      </c>
      <c r="DT29" s="124">
        <f>SUM(tbl_task7[119])</f>
        <v>0</v>
      </c>
      <c r="DU29" s="124">
        <f>SUM(tbl_task7[120])</f>
        <v>0</v>
      </c>
      <c r="DV29" s="124">
        <f>SUM(tbl_task7[121])</f>
        <v>0</v>
      </c>
      <c r="DW29" s="124">
        <f>SUM(tbl_task7[122])</f>
        <v>0</v>
      </c>
      <c r="DX29" s="124">
        <f>SUM(tbl_task7[123])</f>
        <v>0</v>
      </c>
      <c r="DY29" s="124">
        <f>SUM(tbl_task7[124])</f>
        <v>0</v>
      </c>
      <c r="DZ29" s="124">
        <f>SUM(tbl_task7[125])</f>
        <v>0</v>
      </c>
      <c r="EA29" s="124">
        <f>SUM(tbl_task7[126])</f>
        <v>0</v>
      </c>
      <c r="EB29" s="124">
        <f>SUM(tbl_task7[127])</f>
        <v>0</v>
      </c>
      <c r="EC29" s="124">
        <f>SUM(tbl_task7[128])</f>
        <v>0</v>
      </c>
      <c r="ED29" s="124">
        <f>SUM(tbl_task7[129])</f>
        <v>0</v>
      </c>
      <c r="EE29" s="124">
        <f>SUM(tbl_task7[130])</f>
        <v>0</v>
      </c>
      <c r="EF29" s="124">
        <f>SUM(tbl_task7[131])</f>
        <v>0</v>
      </c>
      <c r="EG29" s="124">
        <f>SUM(tbl_task7[132])</f>
        <v>0</v>
      </c>
      <c r="EH29" s="124">
        <f>SUM(tbl_task7[133])</f>
        <v>0</v>
      </c>
      <c r="EI29" s="124">
        <f>SUM(tbl_task7[134])</f>
        <v>0</v>
      </c>
      <c r="EJ29" s="124">
        <f>SUM(tbl_task7[135])</f>
        <v>0</v>
      </c>
      <c r="EK29" s="124">
        <f>SUM(tbl_task7[136])</f>
        <v>0</v>
      </c>
      <c r="EL29" s="124">
        <f>SUM(tbl_task7[137])</f>
        <v>0</v>
      </c>
      <c r="EM29" s="124">
        <f>SUM(tbl_task7[138])</f>
        <v>0</v>
      </c>
      <c r="EN29" s="124">
        <f>SUM(tbl_task7[139])</f>
        <v>0</v>
      </c>
      <c r="EO29" s="124">
        <f>SUM(tbl_task7[140])</f>
        <v>0</v>
      </c>
      <c r="EP29" s="124">
        <f>SUM(tbl_task7[141])</f>
        <v>0</v>
      </c>
      <c r="EQ29" s="124">
        <f>SUM(tbl_task7[142])</f>
        <v>0</v>
      </c>
      <c r="ER29" s="124">
        <f>SUM(tbl_task7[143])</f>
        <v>0</v>
      </c>
      <c r="ES29" s="124">
        <f>SUM(tbl_task7[144])</f>
        <v>0</v>
      </c>
      <c r="ET29" s="124">
        <f>SUM(tbl_task7[145])</f>
        <v>0</v>
      </c>
      <c r="EU29" s="124">
        <f>SUM(tbl_task7[146])</f>
        <v>0</v>
      </c>
      <c r="EV29" s="124">
        <f>SUM(tbl_task7[147])</f>
        <v>0</v>
      </c>
      <c r="EW29" s="124">
        <f>SUM(tbl_task7[148])</f>
        <v>0</v>
      </c>
      <c r="EX29" s="124">
        <f>SUM(tbl_task7[149])</f>
        <v>0</v>
      </c>
      <c r="EY29" s="124">
        <f>SUM(tbl_task7[150])</f>
        <v>0</v>
      </c>
      <c r="EZ29" s="124">
        <f>SUM(tbl_task7[151])</f>
        <v>0</v>
      </c>
      <c r="FA29" s="124">
        <f>SUM(tbl_task7[152])</f>
        <v>0</v>
      </c>
      <c r="FB29" s="124">
        <f>SUM(tbl_task7[153])</f>
        <v>0</v>
      </c>
      <c r="FC29" s="124">
        <f>SUM(tbl_task7[154])</f>
        <v>0</v>
      </c>
      <c r="FD29" s="124">
        <f>SUM(tbl_task7[155])</f>
        <v>0</v>
      </c>
      <c r="FE29" s="124">
        <f>SUM(tbl_task7[156])</f>
        <v>0</v>
      </c>
      <c r="FF29" s="124">
        <f>SUM(tbl_task7[157])</f>
        <v>0</v>
      </c>
      <c r="FG29" s="124">
        <f>SUM(tbl_task7[158])</f>
        <v>0</v>
      </c>
      <c r="FH29" s="124">
        <f>SUM(tbl_task7[159])</f>
        <v>0</v>
      </c>
      <c r="FI29" s="124">
        <f>SUM(tbl_task7[160])</f>
        <v>0</v>
      </c>
      <c r="FJ29" s="124">
        <f>SUM(tbl_task7[161])</f>
        <v>0</v>
      </c>
      <c r="FK29" s="124">
        <f>SUM(tbl_task7[162])</f>
        <v>0</v>
      </c>
      <c r="FL29" s="124">
        <f>SUM(tbl_task7[163])</f>
        <v>0</v>
      </c>
      <c r="FM29" s="124">
        <f>SUM(tbl_task7[164])</f>
        <v>0</v>
      </c>
      <c r="FN29" s="124">
        <f>SUM(tbl_task7[165])</f>
        <v>0</v>
      </c>
      <c r="FO29" s="124">
        <f>SUM(tbl_task7[S1])</f>
        <v>0</v>
      </c>
      <c r="FP29" s="124">
        <f>SUM(tbl_task7[S2])</f>
        <v>0</v>
      </c>
      <c r="FQ29" s="124">
        <f>SUM(tbl_task7[S3])</f>
        <v>0</v>
      </c>
      <c r="FR29" s="124">
        <f>SUM(tbl_task7[S4])</f>
        <v>0</v>
      </c>
      <c r="FS29" s="124">
        <f>SUM(tbl_task7[S5])</f>
        <v>0</v>
      </c>
      <c r="FT29" s="124">
        <f>SUM(tbl_task7[S6])</f>
        <v>0</v>
      </c>
      <c r="FU29" s="124">
        <f>SUM(tbl_task7[S7])</f>
        <v>0</v>
      </c>
      <c r="FV29" s="124">
        <f>SUM(tbl_task7[S8])</f>
        <v>0</v>
      </c>
      <c r="FW29" s="124">
        <f>SUM(tbl_task7[S9])</f>
        <v>0</v>
      </c>
      <c r="FX29" s="124">
        <f>SUM(tbl_task7[S10])</f>
        <v>0</v>
      </c>
      <c r="FY29" s="124">
        <f>SUM(tbl_task7[S11])</f>
        <v>0</v>
      </c>
      <c r="FZ29" s="124">
        <f>SUM(tbl_task7[S12])</f>
        <v>0</v>
      </c>
      <c r="GA29" s="124">
        <f>SUM(tbl_task7[S13])</f>
        <v>0</v>
      </c>
      <c r="GB29" s="124">
        <f>SUM(tbl_task7[S14])</f>
        <v>0</v>
      </c>
      <c r="GC29" s="124">
        <f>SUM(tbl_task7[S15])</f>
        <v>0</v>
      </c>
      <c r="GD29" s="124">
        <f>SUM(tbl_task7[S16])</f>
        <v>0</v>
      </c>
      <c r="GE29" s="124">
        <f>SUM(tbl_task7[S17])</f>
        <v>0</v>
      </c>
      <c r="GF29" s="124">
        <f>SUM(tbl_task7[S18])</f>
        <v>0</v>
      </c>
      <c r="GG29" s="124">
        <f>SUM(tbl_task7[S19])</f>
        <v>0</v>
      </c>
      <c r="GH29" s="124">
        <f>SUM(tbl_task7[S20])</f>
        <v>0</v>
      </c>
      <c r="GI29" s="124">
        <f>SUM(tbl_task7[S21])</f>
        <v>0</v>
      </c>
      <c r="GJ29" s="124">
        <f>SUM(tbl_task7[S22])</f>
        <v>0</v>
      </c>
      <c r="GK29" s="124">
        <f>SUM(tbl_task7[S23])</f>
        <v>0</v>
      </c>
      <c r="GL29" s="124">
        <f>SUM(tbl_task7[S24])</f>
        <v>0</v>
      </c>
      <c r="GM29" s="124">
        <f>SUM(tbl_task7[S25])</f>
        <v>0</v>
      </c>
      <c r="GN29" s="124">
        <f>SUM(tbl_task7[S26])</f>
        <v>0</v>
      </c>
      <c r="GO29" s="124">
        <f>SUM(tbl_task7[S27])</f>
        <v>0</v>
      </c>
      <c r="GP29" s="124">
        <f>SUM(tbl_task7[S28])</f>
        <v>0</v>
      </c>
      <c r="GQ29" s="124">
        <f>SUM(tbl_task7[S29])</f>
        <v>0</v>
      </c>
      <c r="GR29" s="124">
        <f>SUM(tbl_task7[S30])</f>
        <v>0</v>
      </c>
      <c r="GS29" s="124">
        <f>SUM(tbl_task7[S31])</f>
        <v>0</v>
      </c>
      <c r="GT29" s="124">
        <f>SUM(tbl_task7[S32])</f>
        <v>0</v>
      </c>
      <c r="GU29" s="124">
        <f>SUM(tbl_task7[S33])</f>
        <v>0</v>
      </c>
      <c r="GV29" s="124">
        <f>SUM(tbl_task7[S34])</f>
        <v>0</v>
      </c>
      <c r="GW29" s="124">
        <f>SUM(tbl_task7[S35])</f>
        <v>0</v>
      </c>
      <c r="GX29" s="124">
        <f>SUM(tbl_task7[S36])</f>
        <v>0</v>
      </c>
      <c r="GY29" s="124">
        <f>SUM(tbl_task7[S37])</f>
        <v>0</v>
      </c>
      <c r="GZ29" s="124">
        <f>SUM(tbl_task7[S38])</f>
        <v>0</v>
      </c>
      <c r="HA29" s="124">
        <f>SUM(tbl_task7[S39])</f>
        <v>0</v>
      </c>
      <c r="HB29" s="124">
        <f>SUM(tbl_task7[S40])</f>
        <v>0</v>
      </c>
      <c r="HC29" s="124">
        <f>SUM(tbl_task7[S41])</f>
        <v>0</v>
      </c>
      <c r="HD29" s="124">
        <f>SUM(tbl_task7[S42])</f>
        <v>0</v>
      </c>
      <c r="HE29" s="124">
        <f>SUM(tbl_task7[S43])</f>
        <v>0</v>
      </c>
      <c r="HF29" s="124">
        <f>SUM(tbl_task7[S44])</f>
        <v>0</v>
      </c>
      <c r="HG29" s="124">
        <f>SUM(tbl_task7[S45])</f>
        <v>0</v>
      </c>
      <c r="HH29" s="124">
        <f>SUM(tbl_task7[S46])</f>
        <v>0</v>
      </c>
      <c r="HI29" s="124">
        <f>SUM(tbl_task7[S47])</f>
        <v>0</v>
      </c>
      <c r="HJ29" s="124">
        <f>SUM(tbl_task7[S48])</f>
        <v>0</v>
      </c>
      <c r="HK29" s="124">
        <f>SUM(tbl_task7[S49])</f>
        <v>0</v>
      </c>
      <c r="HL29" s="124">
        <f>SUM(tbl_task7[S50])</f>
        <v>0</v>
      </c>
      <c r="HM29" s="124">
        <f>SUM(tbl_task7[S51])</f>
        <v>0</v>
      </c>
      <c r="HN29" s="124">
        <f>SUM(tbl_task7[S52])</f>
        <v>0</v>
      </c>
      <c r="HO29" s="124">
        <f>SUM(tbl_task7[S53])</f>
        <v>0</v>
      </c>
      <c r="HP29" s="124">
        <f>SUM(tbl_task7[S54])</f>
        <v>0</v>
      </c>
      <c r="HQ29" s="124">
        <f>SUM(tbl_task7[S55])</f>
        <v>0</v>
      </c>
      <c r="HR29" s="124">
        <f>SUM(tbl_task7[S56])</f>
        <v>0</v>
      </c>
      <c r="HS29" s="124">
        <f>SUM(tbl_task7[S57])</f>
        <v>0</v>
      </c>
      <c r="HT29" s="124">
        <f>SUM(tbl_task7[S58])</f>
        <v>0</v>
      </c>
      <c r="HU29" s="124">
        <f>SUM(tbl_task7[S59])</f>
        <v>0</v>
      </c>
      <c r="HV29" s="124">
        <f>SUM(tbl_task7[S60])</f>
        <v>0</v>
      </c>
      <c r="HW29" s="124">
        <f>SUM(tbl_task7[S61])</f>
        <v>0</v>
      </c>
      <c r="HX29" s="124">
        <f>SUM(tbl_task7[S62])</f>
        <v>0</v>
      </c>
      <c r="HY29" s="124">
        <f>SUM(tbl_task7[S63])</f>
        <v>0</v>
      </c>
      <c r="HZ29" s="124">
        <f>SUM(tbl_task7[S64])</f>
        <v>0</v>
      </c>
      <c r="IA29" s="124">
        <f>SUM(tbl_task7[S65])</f>
        <v>0</v>
      </c>
      <c r="IB29" s="124">
        <f>SUM(tbl_task7[S66])</f>
        <v>0</v>
      </c>
      <c r="IC29" s="124">
        <f>SUM(tbl_task7[S67])</f>
        <v>0</v>
      </c>
      <c r="ID29" s="124">
        <f>SUM(tbl_task7[S68])</f>
        <v>0</v>
      </c>
      <c r="IE29" s="124">
        <f>SUM(tbl_task7[S69])</f>
        <v>0</v>
      </c>
      <c r="IF29" s="124">
        <f>SUM(tbl_task7[S70])</f>
        <v>0</v>
      </c>
      <c r="IG29" s="124">
        <f>SUM(tbl_task7[S71])</f>
        <v>0</v>
      </c>
      <c r="IH29" s="124">
        <f>SUM(tbl_task7[S72])</f>
        <v>0</v>
      </c>
      <c r="II29" s="124">
        <f>SUM(tbl_task7[S73])</f>
        <v>0</v>
      </c>
      <c r="IJ29" s="124">
        <f>SUM(tbl_task7[S74])</f>
        <v>0</v>
      </c>
      <c r="IK29" s="124">
        <f>SUM(tbl_task7[S75])</f>
        <v>0</v>
      </c>
      <c r="IL29" s="124">
        <f>SUM(tbl_task7[S76])</f>
        <v>0</v>
      </c>
      <c r="IM29" s="124">
        <f>SUM(tbl_task7[S77])</f>
        <v>0</v>
      </c>
      <c r="IN29" s="124">
        <f>SUM(tbl_task7[S78])</f>
        <v>0</v>
      </c>
      <c r="IO29" s="124">
        <f>SUM(tbl_task7[S79])</f>
        <v>0</v>
      </c>
      <c r="IP29" s="124">
        <f>SUM(tbl_task7[S80])</f>
        <v>0</v>
      </c>
      <c r="IQ29" s="124">
        <f>SUM(tbl_task7[S81])</f>
        <v>0</v>
      </c>
      <c r="IR29" s="124">
        <f>SUM(tbl_task7[S82])</f>
        <v>0</v>
      </c>
      <c r="IS29" s="124">
        <f>SUM(tbl_task7[S83])</f>
        <v>0</v>
      </c>
      <c r="IT29" s="124">
        <f>SUM(tbl_task7[S84])</f>
        <v>0</v>
      </c>
      <c r="IU29" s="124">
        <f>SUM(tbl_task7[S85])</f>
        <v>0</v>
      </c>
      <c r="IV29" s="124">
        <f>SUM(tbl_task7[S86])</f>
        <v>0</v>
      </c>
      <c r="IW29" s="124">
        <f>SUM(tbl_task7[S87])</f>
        <v>0</v>
      </c>
      <c r="IX29" s="124">
        <f>SUM(tbl_task7[S88])</f>
        <v>0</v>
      </c>
      <c r="IY29" s="124">
        <f>SUM(tbl_task7[S89])</f>
        <v>0</v>
      </c>
      <c r="IZ29" s="124">
        <f>SUM(tbl_task7[S90])</f>
        <v>0</v>
      </c>
      <c r="JA29" s="124">
        <f>SUM(tbl_task7[S91])</f>
        <v>0</v>
      </c>
      <c r="JB29" s="124">
        <f>SUM(tbl_task7[S92])</f>
        <v>0</v>
      </c>
      <c r="JC29" s="124">
        <f>SUM(tbl_task7[S93])</f>
        <v>0</v>
      </c>
      <c r="JD29" s="124">
        <f>SUM(tbl_task7[S94])</f>
        <v>0</v>
      </c>
      <c r="JE29" s="124">
        <f>SUM(tbl_task7[S95])</f>
        <v>0</v>
      </c>
      <c r="JF29" s="124">
        <f>SUM(tbl_task7[S96])</f>
        <v>0</v>
      </c>
      <c r="JG29" s="124">
        <f>SUM(tbl_task7[S97])</f>
        <v>0</v>
      </c>
      <c r="JH29" s="124">
        <f>SUM(tbl_task7[S98])</f>
        <v>0</v>
      </c>
      <c r="JI29" s="124">
        <f>SUM(tbl_task7[S99])</f>
        <v>0</v>
      </c>
      <c r="JJ29" s="124">
        <f>SUM(tbl_task7[S100])</f>
        <v>0</v>
      </c>
      <c r="JK29" s="124">
        <f>SUM(tbl_task7[S101])</f>
        <v>0</v>
      </c>
      <c r="JL29" s="124">
        <f>SUM(tbl_task7[S102])</f>
        <v>0</v>
      </c>
      <c r="JM29" s="124">
        <f>SUM(tbl_task7[S103])</f>
        <v>0</v>
      </c>
      <c r="JN29" s="124">
        <f>SUM(tbl_task7[S104])</f>
        <v>0</v>
      </c>
      <c r="JO29" s="124">
        <f>SUM(tbl_task7[S105])</f>
        <v>0</v>
      </c>
      <c r="JP29" s="124">
        <f>SUM(tbl_task7[S106])</f>
        <v>0</v>
      </c>
      <c r="JQ29" s="124">
        <f>SUM(tbl_task7[S107])</f>
        <v>0</v>
      </c>
      <c r="JR29" s="124">
        <f>SUM(tbl_task7[S108])</f>
        <v>0</v>
      </c>
      <c r="JS29" s="124">
        <f>SUM(tbl_task7[S109])</f>
        <v>0</v>
      </c>
      <c r="JT29" s="124">
        <f>SUM(tbl_task7[S110])</f>
        <v>0</v>
      </c>
      <c r="JU29" s="124">
        <f>SUM(tbl_task7[S111])</f>
        <v>0</v>
      </c>
      <c r="JV29" s="124">
        <f>SUM(tbl_task7[S112])</f>
        <v>0</v>
      </c>
      <c r="JW29" s="124">
        <f>SUM(tbl_task7[S113])</f>
        <v>0</v>
      </c>
      <c r="JX29" s="124">
        <f>SUM(tbl_task7[S114])</f>
        <v>0</v>
      </c>
      <c r="JY29" s="124">
        <f>SUM(tbl_task7[S115])</f>
        <v>0</v>
      </c>
      <c r="JZ29" s="124">
        <f>SUM(tbl_task7[S116])</f>
        <v>0</v>
      </c>
      <c r="KA29" s="124">
        <f>SUM(tbl_task7[S117])</f>
        <v>0</v>
      </c>
      <c r="KB29" s="124">
        <f>SUM(tbl_task7[S118])</f>
        <v>0</v>
      </c>
      <c r="KC29" s="124">
        <f>SUM(tbl_task7[S119])</f>
        <v>0</v>
      </c>
      <c r="KD29" s="124">
        <f>SUM(tbl_task7[S120])</f>
        <v>0</v>
      </c>
      <c r="KE29" s="124">
        <f>SUM(tbl_task7[S121])</f>
        <v>0</v>
      </c>
      <c r="KF29" s="124">
        <f>SUM(tbl_task7[S122])</f>
        <v>0</v>
      </c>
      <c r="KG29" s="124">
        <f>SUM(tbl_task7[S123])</f>
        <v>0</v>
      </c>
      <c r="KH29" s="124">
        <f>SUM(tbl_task7[S124])</f>
        <v>0</v>
      </c>
      <c r="KI29" s="124">
        <f>SUM(tbl_task7[S125])</f>
        <v>0</v>
      </c>
      <c r="KJ29" s="124">
        <f>SUM(tbl_task7[S126])</f>
        <v>0</v>
      </c>
      <c r="KK29" s="124">
        <f>SUM(tbl_task7[S127])</f>
        <v>0</v>
      </c>
      <c r="KL29" s="124">
        <f>SUM(tbl_task7[S128])</f>
        <v>0</v>
      </c>
      <c r="KM29" s="124">
        <f>SUM(tbl_task7[S129])</f>
        <v>0</v>
      </c>
      <c r="KN29" s="124">
        <f>SUM(tbl_task7[S130])</f>
        <v>0</v>
      </c>
      <c r="KO29" s="124">
        <f>SUM(tbl_task7[S131])</f>
        <v>0</v>
      </c>
      <c r="KP29" s="124">
        <f>SUM(tbl_task7[S132])</f>
        <v>0</v>
      </c>
      <c r="KQ29" s="124">
        <f>SUM(tbl_task7[S133])</f>
        <v>0</v>
      </c>
      <c r="KR29" s="124">
        <f>SUM(tbl_task7[S134])</f>
        <v>0</v>
      </c>
      <c r="KS29" s="124">
        <f>SUM(tbl_task7[S135])</f>
        <v>0</v>
      </c>
      <c r="KT29" s="124">
        <f>SUM(tbl_task7[S136])</f>
        <v>0</v>
      </c>
      <c r="KU29" s="124">
        <f>SUM(tbl_task7[S137])</f>
        <v>0</v>
      </c>
      <c r="KV29" s="124">
        <f>SUM(tbl_task7[S138])</f>
        <v>0</v>
      </c>
      <c r="KW29" s="124">
        <f>SUM(tbl_task7[S139])</f>
        <v>0</v>
      </c>
      <c r="KX29" s="124">
        <f>SUM(tbl_task7[S140])</f>
        <v>0</v>
      </c>
      <c r="KY29" s="124">
        <f>SUM(tbl_task7[S141])</f>
        <v>0</v>
      </c>
      <c r="KZ29" s="124">
        <f>SUM(tbl_task7[S142])</f>
        <v>0</v>
      </c>
      <c r="LA29" s="124">
        <f>SUM(tbl_task7[S143])</f>
        <v>0</v>
      </c>
      <c r="LB29" s="124">
        <f>SUM(tbl_task7[S144])</f>
        <v>0</v>
      </c>
      <c r="LC29" s="124">
        <f>SUM(tbl_task7[S145])</f>
        <v>0</v>
      </c>
      <c r="LD29" s="124">
        <f>SUM(tbl_task7[S146])</f>
        <v>0</v>
      </c>
      <c r="LE29" s="124">
        <f>SUM(tbl_task7[S147])</f>
        <v>0</v>
      </c>
      <c r="LF29" s="124">
        <f>SUM(tbl_task7[S148])</f>
        <v>0</v>
      </c>
      <c r="LG29" s="124">
        <f>SUM(tbl_task7[S149])</f>
        <v>0</v>
      </c>
      <c r="LH29" s="124">
        <f>SUM(tbl_task7[S150])</f>
        <v>0</v>
      </c>
      <c r="LI29" s="124">
        <f>SUM(tbl_task7[S151])</f>
        <v>0</v>
      </c>
      <c r="LJ29" s="124">
        <f>SUM(tbl_task7[S152])</f>
        <v>0</v>
      </c>
      <c r="LK29" s="124">
        <f>SUM(tbl_task7[S153])</f>
        <v>0</v>
      </c>
      <c r="LL29" s="124">
        <f>SUM(tbl_task7[S154])</f>
        <v>0</v>
      </c>
      <c r="LM29" s="124">
        <f>SUM(tbl_task7[S155])</f>
        <v>0</v>
      </c>
      <c r="LN29" s="124">
        <f>SUM(tbl_task7[S156])</f>
        <v>0</v>
      </c>
      <c r="LO29" s="124">
        <f>SUM(tbl_task7[S157])</f>
        <v>0</v>
      </c>
      <c r="LP29" s="124">
        <f>SUM(tbl_task7[S158])</f>
        <v>0</v>
      </c>
      <c r="LQ29" s="124">
        <f>SUM(tbl_task7[S159])</f>
        <v>0</v>
      </c>
      <c r="LR29" s="124">
        <f>SUM(tbl_task7[S160])</f>
        <v>0</v>
      </c>
      <c r="LS29" s="124">
        <f>SUM(tbl_task7[S161])</f>
        <v>0</v>
      </c>
      <c r="LT29" s="124">
        <f>SUM(tbl_task7[S162])</f>
        <v>0</v>
      </c>
      <c r="LU29" s="124">
        <f>SUM(tbl_task7[S163])</f>
        <v>0</v>
      </c>
      <c r="LV29" s="124">
        <f>SUM(tbl_task7[S164])</f>
        <v>0</v>
      </c>
      <c r="LW29" s="124">
        <f>SUM(tbl_task7[S165])</f>
        <v>0</v>
      </c>
    </row>
    <row r="30" spans="1:335" s="39" customFormat="1" ht="9" customHeight="1" x14ac:dyDescent="0.25">
      <c r="A30" s="23"/>
      <c r="B30" s="35"/>
      <c r="C30" s="36"/>
      <c r="D30" s="100"/>
      <c r="E30" s="37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</row>
    <row r="31" spans="1:335" ht="10.5" customHeight="1" x14ac:dyDescent="0.25">
      <c r="A31" s="23"/>
      <c r="B31" s="35"/>
      <c r="C31" s="36"/>
      <c r="D31" s="100"/>
      <c r="E31" s="37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</row>
    <row r="32" spans="1:335" x14ac:dyDescent="0.25">
      <c r="A32" s="6" t="s">
        <v>410</v>
      </c>
    </row>
    <row r="33" spans="1:170" ht="42" x14ac:dyDescent="0.25">
      <c r="A33" s="7" t="s">
        <v>10</v>
      </c>
      <c r="B33" s="21" t="s">
        <v>286</v>
      </c>
      <c r="C33" s="21" t="s">
        <v>451</v>
      </c>
      <c r="D33" s="21" t="s">
        <v>409</v>
      </c>
      <c r="E33" s="43" t="s">
        <v>249</v>
      </c>
      <c r="F33" s="122" t="s">
        <v>22</v>
      </c>
      <c r="G33" s="122" t="s">
        <v>23</v>
      </c>
      <c r="H33" s="122" t="s">
        <v>24</v>
      </c>
      <c r="I33" s="122" t="s">
        <v>25</v>
      </c>
      <c r="J33" s="122" t="s">
        <v>26</v>
      </c>
      <c r="K33" s="122" t="s">
        <v>27</v>
      </c>
      <c r="L33" s="122" t="s">
        <v>28</v>
      </c>
      <c r="M33" s="122" t="s">
        <v>29</v>
      </c>
      <c r="N33" s="122" t="s">
        <v>30</v>
      </c>
      <c r="O33" s="122" t="s">
        <v>31</v>
      </c>
      <c r="P33" s="122" t="s">
        <v>32</v>
      </c>
      <c r="Q33" s="122" t="s">
        <v>33</v>
      </c>
      <c r="R33" s="122" t="s">
        <v>34</v>
      </c>
      <c r="S33" s="122" t="s">
        <v>35</v>
      </c>
      <c r="T33" s="122" t="s">
        <v>36</v>
      </c>
      <c r="U33" s="122" t="s">
        <v>37</v>
      </c>
      <c r="V33" s="122" t="s">
        <v>38</v>
      </c>
      <c r="W33" s="122" t="s">
        <v>39</v>
      </c>
      <c r="X33" s="122" t="s">
        <v>40</v>
      </c>
      <c r="Y33" s="122" t="s">
        <v>41</v>
      </c>
      <c r="Z33" s="122" t="s">
        <v>42</v>
      </c>
      <c r="AA33" s="122" t="s">
        <v>43</v>
      </c>
      <c r="AB33" s="122" t="s">
        <v>44</v>
      </c>
      <c r="AC33" s="122" t="s">
        <v>45</v>
      </c>
      <c r="AD33" s="122" t="s">
        <v>46</v>
      </c>
      <c r="AE33" s="122" t="s">
        <v>47</v>
      </c>
      <c r="AF33" s="122" t="s">
        <v>48</v>
      </c>
      <c r="AG33" s="122" t="s">
        <v>49</v>
      </c>
      <c r="AH33" s="122" t="s">
        <v>50</v>
      </c>
      <c r="AI33" s="122" t="s">
        <v>51</v>
      </c>
      <c r="AJ33" s="122" t="s">
        <v>52</v>
      </c>
      <c r="AK33" s="122" t="s">
        <v>53</v>
      </c>
      <c r="AL33" s="122" t="s">
        <v>54</v>
      </c>
      <c r="AM33" s="122" t="s">
        <v>55</v>
      </c>
      <c r="AN33" s="122" t="s">
        <v>56</v>
      </c>
      <c r="AO33" s="122" t="s">
        <v>57</v>
      </c>
      <c r="AP33" s="122" t="s">
        <v>58</v>
      </c>
      <c r="AQ33" s="122" t="s">
        <v>59</v>
      </c>
      <c r="AR33" s="122" t="s">
        <v>60</v>
      </c>
      <c r="AS33" s="122" t="s">
        <v>61</v>
      </c>
      <c r="AT33" s="122" t="s">
        <v>62</v>
      </c>
      <c r="AU33" s="122" t="s">
        <v>63</v>
      </c>
      <c r="AV33" s="122" t="s">
        <v>64</v>
      </c>
      <c r="AW33" s="122" t="s">
        <v>65</v>
      </c>
      <c r="AX33" s="122" t="s">
        <v>66</v>
      </c>
      <c r="AY33" s="122" t="s">
        <v>67</v>
      </c>
      <c r="AZ33" s="122" t="s">
        <v>68</v>
      </c>
      <c r="BA33" s="122" t="s">
        <v>69</v>
      </c>
      <c r="BB33" s="122" t="s">
        <v>70</v>
      </c>
      <c r="BC33" s="122" t="s">
        <v>71</v>
      </c>
      <c r="BD33" s="122" t="s">
        <v>72</v>
      </c>
      <c r="BE33" s="122" t="s">
        <v>73</v>
      </c>
      <c r="BF33" s="122" t="s">
        <v>74</v>
      </c>
      <c r="BG33" s="122" t="s">
        <v>75</v>
      </c>
      <c r="BH33" s="122" t="s">
        <v>76</v>
      </c>
      <c r="BI33" s="122" t="s">
        <v>77</v>
      </c>
      <c r="BJ33" s="122" t="s">
        <v>78</v>
      </c>
      <c r="BK33" s="122" t="s">
        <v>79</v>
      </c>
      <c r="BL33" s="122" t="s">
        <v>80</v>
      </c>
      <c r="BM33" s="122" t="s">
        <v>81</v>
      </c>
      <c r="BN33" s="122" t="s">
        <v>82</v>
      </c>
      <c r="BO33" s="122" t="s">
        <v>83</v>
      </c>
      <c r="BP33" s="122" t="s">
        <v>84</v>
      </c>
      <c r="BQ33" s="122" t="s">
        <v>85</v>
      </c>
      <c r="BR33" s="122" t="s">
        <v>86</v>
      </c>
      <c r="BS33" s="122" t="s">
        <v>87</v>
      </c>
      <c r="BT33" s="122" t="s">
        <v>88</v>
      </c>
      <c r="BU33" s="122" t="s">
        <v>89</v>
      </c>
      <c r="BV33" s="122" t="s">
        <v>90</v>
      </c>
      <c r="BW33" s="122" t="s">
        <v>91</v>
      </c>
      <c r="BX33" s="122" t="s">
        <v>92</v>
      </c>
      <c r="BY33" s="122" t="s">
        <v>93</v>
      </c>
      <c r="BZ33" s="122" t="s">
        <v>94</v>
      </c>
      <c r="CA33" s="122" t="s">
        <v>95</v>
      </c>
      <c r="CB33" s="122" t="s">
        <v>96</v>
      </c>
      <c r="CC33" s="122" t="s">
        <v>97</v>
      </c>
      <c r="CD33" s="122" t="s">
        <v>98</v>
      </c>
      <c r="CE33" s="122" t="s">
        <v>99</v>
      </c>
      <c r="CF33" s="122" t="s">
        <v>100</v>
      </c>
      <c r="CG33" s="122" t="s">
        <v>101</v>
      </c>
      <c r="CH33" s="122" t="s">
        <v>102</v>
      </c>
      <c r="CI33" s="122" t="s">
        <v>103</v>
      </c>
      <c r="CJ33" s="122" t="s">
        <v>104</v>
      </c>
      <c r="CK33" s="122" t="s">
        <v>105</v>
      </c>
      <c r="CL33" s="122" t="s">
        <v>106</v>
      </c>
      <c r="CM33" s="122" t="s">
        <v>107</v>
      </c>
      <c r="CN33" s="122" t="s">
        <v>108</v>
      </c>
      <c r="CO33" s="122" t="s">
        <v>109</v>
      </c>
      <c r="CP33" s="122" t="s">
        <v>110</v>
      </c>
      <c r="CQ33" s="122" t="s">
        <v>111</v>
      </c>
      <c r="CR33" s="122" t="s">
        <v>112</v>
      </c>
      <c r="CS33" s="122" t="s">
        <v>113</v>
      </c>
      <c r="CT33" s="122" t="s">
        <v>114</v>
      </c>
      <c r="CU33" s="122" t="s">
        <v>115</v>
      </c>
      <c r="CV33" s="122" t="s">
        <v>116</v>
      </c>
      <c r="CW33" s="122" t="s">
        <v>117</v>
      </c>
      <c r="CX33" s="122" t="s">
        <v>118</v>
      </c>
      <c r="CY33" s="122" t="s">
        <v>119</v>
      </c>
      <c r="CZ33" s="122" t="s">
        <v>120</v>
      </c>
      <c r="DA33" s="122" t="s">
        <v>121</v>
      </c>
      <c r="DB33" s="122" t="s">
        <v>122</v>
      </c>
      <c r="DC33" s="122" t="s">
        <v>123</v>
      </c>
      <c r="DD33" s="122" t="s">
        <v>124</v>
      </c>
      <c r="DE33" s="122" t="s">
        <v>125</v>
      </c>
      <c r="DF33" s="122" t="s">
        <v>126</v>
      </c>
      <c r="DG33" s="122" t="s">
        <v>127</v>
      </c>
      <c r="DH33" s="122" t="s">
        <v>128</v>
      </c>
      <c r="DI33" s="122" t="s">
        <v>129</v>
      </c>
      <c r="DJ33" s="122" t="s">
        <v>130</v>
      </c>
      <c r="DK33" s="122" t="s">
        <v>131</v>
      </c>
      <c r="DL33" s="122" t="s">
        <v>132</v>
      </c>
      <c r="DM33" s="122" t="s">
        <v>133</v>
      </c>
      <c r="DN33" s="122" t="s">
        <v>134</v>
      </c>
      <c r="DO33" s="122" t="s">
        <v>135</v>
      </c>
      <c r="DP33" s="122" t="s">
        <v>136</v>
      </c>
      <c r="DQ33" s="122" t="s">
        <v>359</v>
      </c>
      <c r="DR33" s="122" t="s">
        <v>360</v>
      </c>
      <c r="DS33" s="122" t="s">
        <v>361</v>
      </c>
      <c r="DT33" s="122" t="s">
        <v>362</v>
      </c>
      <c r="DU33" s="122" t="s">
        <v>363</v>
      </c>
      <c r="DV33" s="122" t="s">
        <v>364</v>
      </c>
      <c r="DW33" s="122" t="s">
        <v>365</v>
      </c>
      <c r="DX33" s="122" t="s">
        <v>366</v>
      </c>
      <c r="DY33" s="122" t="s">
        <v>367</v>
      </c>
      <c r="DZ33" s="122" t="s">
        <v>368</v>
      </c>
      <c r="EA33" s="122" t="s">
        <v>369</v>
      </c>
      <c r="EB33" s="122" t="s">
        <v>370</v>
      </c>
      <c r="EC33" s="122" t="s">
        <v>371</v>
      </c>
      <c r="ED33" s="122" t="s">
        <v>372</v>
      </c>
      <c r="EE33" s="122" t="s">
        <v>373</v>
      </c>
      <c r="EF33" s="122" t="s">
        <v>374</v>
      </c>
      <c r="EG33" s="122" t="s">
        <v>375</v>
      </c>
      <c r="EH33" s="122" t="s">
        <v>376</v>
      </c>
      <c r="EI33" s="122" t="s">
        <v>377</v>
      </c>
      <c r="EJ33" s="122" t="s">
        <v>378</v>
      </c>
      <c r="EK33" s="122" t="s">
        <v>379</v>
      </c>
      <c r="EL33" s="122" t="s">
        <v>380</v>
      </c>
      <c r="EM33" s="122" t="s">
        <v>381</v>
      </c>
      <c r="EN33" s="122" t="s">
        <v>382</v>
      </c>
      <c r="EO33" s="122" t="s">
        <v>383</v>
      </c>
      <c r="EP33" s="122" t="s">
        <v>384</v>
      </c>
      <c r="EQ33" s="122" t="s">
        <v>385</v>
      </c>
      <c r="ER33" s="122" t="s">
        <v>386</v>
      </c>
      <c r="ES33" s="122" t="s">
        <v>387</v>
      </c>
      <c r="ET33" s="122" t="s">
        <v>388</v>
      </c>
      <c r="EU33" s="122" t="s">
        <v>389</v>
      </c>
      <c r="EV33" s="122" t="s">
        <v>390</v>
      </c>
      <c r="EW33" s="122" t="s">
        <v>391</v>
      </c>
      <c r="EX33" s="122" t="s">
        <v>392</v>
      </c>
      <c r="EY33" s="122" t="s">
        <v>393</v>
      </c>
      <c r="EZ33" s="122" t="s">
        <v>394</v>
      </c>
      <c r="FA33" s="122" t="s">
        <v>395</v>
      </c>
      <c r="FB33" s="122" t="s">
        <v>396</v>
      </c>
      <c r="FC33" s="122" t="s">
        <v>397</v>
      </c>
      <c r="FD33" s="122" t="s">
        <v>398</v>
      </c>
      <c r="FE33" s="122" t="s">
        <v>399</v>
      </c>
      <c r="FF33" s="122" t="s">
        <v>400</v>
      </c>
      <c r="FG33" s="122" t="s">
        <v>401</v>
      </c>
      <c r="FH33" s="122" t="s">
        <v>402</v>
      </c>
      <c r="FI33" s="122" t="s">
        <v>403</v>
      </c>
      <c r="FJ33" s="122" t="s">
        <v>404</v>
      </c>
      <c r="FK33" s="122" t="s">
        <v>405</v>
      </c>
      <c r="FL33" s="122" t="s">
        <v>406</v>
      </c>
      <c r="FM33" s="122" t="s">
        <v>407</v>
      </c>
      <c r="FN33" s="122" t="s">
        <v>408</v>
      </c>
    </row>
    <row r="34" spans="1:170" ht="84" x14ac:dyDescent="0.25">
      <c r="A34" s="135">
        <v>1</v>
      </c>
      <c r="B34" s="5" t="s">
        <v>617</v>
      </c>
      <c r="C34" s="136">
        <f>COUNTIFS(tbl_task7[SubPLOs],"&gt;=1",tbl_task7[SubPLOs],"&lt;2")</f>
        <v>0</v>
      </c>
      <c r="D34" s="136">
        <f>SUMIFS(tbl_task7[คะแนนเต็ม],tbl_task7[SubPLOs],"&gt;=1",tbl_task7[SubPLOs],"&lt;2")</f>
        <v>0</v>
      </c>
      <c r="E34" s="137">
        <f>SUMIFS(tbl_task7[%],tbl_task7[SubPLOs],"&gt;=1",tbl_task7[SubPLOs],"&lt;2")</f>
        <v>0</v>
      </c>
      <c r="F34" s="138">
        <f>SUMIFS(tbl_task7[S1],tbl_task7[[SubPLOs]:[SubPLOs]],"&gt;=1",tbl_task7[[SubPLOs]:[SubPLOs]],"&lt;2")</f>
        <v>0</v>
      </c>
      <c r="G34" s="138">
        <f>SUMIFS(tbl_task7[S2],tbl_task7[[SubPLOs]:[SubPLOs]],"&gt;=1",tbl_task7[[SubPLOs]:[SubPLOs]],"&lt;2")</f>
        <v>0</v>
      </c>
      <c r="H34" s="138">
        <f>SUMIFS(tbl_task7[S3],tbl_task7[[SubPLOs]:[SubPLOs]],"&gt;=1",tbl_task7[[SubPLOs]:[SubPLOs]],"&lt;2")</f>
        <v>0</v>
      </c>
      <c r="I34" s="138">
        <f>SUMIFS(tbl_task7[S4],tbl_task7[[SubPLOs]:[SubPLOs]],"&gt;=1",tbl_task7[[SubPLOs]:[SubPLOs]],"&lt;2")</f>
        <v>0</v>
      </c>
      <c r="J34" s="138">
        <f>SUMIFS(tbl_task7[S5],tbl_task7[[SubPLOs]:[SubPLOs]],"&gt;=1",tbl_task7[[SubPLOs]:[SubPLOs]],"&lt;2")</f>
        <v>0</v>
      </c>
      <c r="K34" s="138">
        <f>SUMIFS(tbl_task7[S6],tbl_task7[[SubPLOs]:[SubPLOs]],"&gt;=1",tbl_task7[[SubPLOs]:[SubPLOs]],"&lt;2")</f>
        <v>0</v>
      </c>
      <c r="L34" s="138">
        <f>SUMIFS(tbl_task7[S7],tbl_task7[[SubPLOs]:[SubPLOs]],"&gt;=1",tbl_task7[[SubPLOs]:[SubPLOs]],"&lt;2")</f>
        <v>0</v>
      </c>
      <c r="M34" s="138">
        <f>SUMIFS(tbl_task7[S8],tbl_task7[[SubPLOs]:[SubPLOs]],"&gt;=1",tbl_task7[[SubPLOs]:[SubPLOs]],"&lt;2")</f>
        <v>0</v>
      </c>
      <c r="N34" s="138">
        <f>SUMIFS(tbl_task7[S9],tbl_task7[[SubPLOs]:[SubPLOs]],"&gt;=1",tbl_task7[[SubPLOs]:[SubPLOs]],"&lt;2")</f>
        <v>0</v>
      </c>
      <c r="O34" s="138">
        <f>SUMIFS(tbl_task7[S10],tbl_task7[[SubPLOs]:[SubPLOs]],"&gt;=1",tbl_task7[[SubPLOs]:[SubPLOs]],"&lt;2")</f>
        <v>0</v>
      </c>
      <c r="P34" s="138">
        <f>SUMIFS(tbl_task7[S11],tbl_task7[[SubPLOs]:[SubPLOs]],"&gt;=1",tbl_task7[[SubPLOs]:[SubPLOs]],"&lt;2")</f>
        <v>0</v>
      </c>
      <c r="Q34" s="138">
        <f>SUMIFS(tbl_task7[S12],tbl_task7[[SubPLOs]:[SubPLOs]],"&gt;=1",tbl_task7[[SubPLOs]:[SubPLOs]],"&lt;2")</f>
        <v>0</v>
      </c>
      <c r="R34" s="138">
        <f>SUMIFS(tbl_task7[S13],tbl_task7[[SubPLOs]:[SubPLOs]],"&gt;=1",tbl_task7[[SubPLOs]:[SubPLOs]],"&lt;2")</f>
        <v>0</v>
      </c>
      <c r="S34" s="138">
        <f>SUMIFS(tbl_task7[S14],tbl_task7[[SubPLOs]:[SubPLOs]],"&gt;=1",tbl_task7[[SubPLOs]:[SubPLOs]],"&lt;2")</f>
        <v>0</v>
      </c>
      <c r="T34" s="138">
        <f>SUMIFS(tbl_task7[S15],tbl_task7[[SubPLOs]:[SubPLOs]],"&gt;=1",tbl_task7[[SubPLOs]:[SubPLOs]],"&lt;2")</f>
        <v>0</v>
      </c>
      <c r="U34" s="138">
        <f>SUMIFS(tbl_task7[S16],tbl_task7[[SubPLOs]:[SubPLOs]],"&gt;=1",tbl_task7[[SubPLOs]:[SubPLOs]],"&lt;2")</f>
        <v>0</v>
      </c>
      <c r="V34" s="138">
        <f>SUMIFS(tbl_task7[S17],tbl_task7[[SubPLOs]:[SubPLOs]],"&gt;=1",tbl_task7[[SubPLOs]:[SubPLOs]],"&lt;2")</f>
        <v>0</v>
      </c>
      <c r="W34" s="138">
        <f>SUMIFS(tbl_task7[S18],tbl_task7[[SubPLOs]:[SubPLOs]],"&gt;=1",tbl_task7[[SubPLOs]:[SubPLOs]],"&lt;2")</f>
        <v>0</v>
      </c>
      <c r="X34" s="138">
        <f>SUMIFS(tbl_task7[S19],tbl_task7[[SubPLOs]:[SubPLOs]],"&gt;=1",tbl_task7[[SubPLOs]:[SubPLOs]],"&lt;2")</f>
        <v>0</v>
      </c>
      <c r="Y34" s="138">
        <f>SUMIFS(tbl_task7[S20],tbl_task7[[SubPLOs]:[SubPLOs]],"&gt;=1",tbl_task7[[SubPLOs]:[SubPLOs]],"&lt;2")</f>
        <v>0</v>
      </c>
      <c r="Z34" s="138">
        <f>SUMIFS(tbl_task7[S21],tbl_task7[[SubPLOs]:[SubPLOs]],"&gt;=1",tbl_task7[[SubPLOs]:[SubPLOs]],"&lt;2")</f>
        <v>0</v>
      </c>
      <c r="AA34" s="138">
        <f>SUMIFS(tbl_task7[S22],tbl_task7[[SubPLOs]:[SubPLOs]],"&gt;=1",tbl_task7[[SubPLOs]:[SubPLOs]],"&lt;2")</f>
        <v>0</v>
      </c>
      <c r="AB34" s="138">
        <f>SUMIFS(tbl_task7[S23],tbl_task7[[SubPLOs]:[SubPLOs]],"&gt;=1",tbl_task7[[SubPLOs]:[SubPLOs]],"&lt;2")</f>
        <v>0</v>
      </c>
      <c r="AC34" s="138">
        <f>SUMIFS(tbl_task7[S24],tbl_task7[[SubPLOs]:[SubPLOs]],"&gt;=1",tbl_task7[[SubPLOs]:[SubPLOs]],"&lt;2")</f>
        <v>0</v>
      </c>
      <c r="AD34" s="138">
        <f>SUMIFS(tbl_task7[S25],tbl_task7[[SubPLOs]:[SubPLOs]],"&gt;=1",tbl_task7[[SubPLOs]:[SubPLOs]],"&lt;2")</f>
        <v>0</v>
      </c>
      <c r="AE34" s="138">
        <f>SUMIFS(tbl_task7[S26],tbl_task7[[SubPLOs]:[SubPLOs]],"&gt;=1",tbl_task7[[SubPLOs]:[SubPLOs]],"&lt;2")</f>
        <v>0</v>
      </c>
      <c r="AF34" s="138">
        <f>SUMIFS(tbl_task7[S27],tbl_task7[[SubPLOs]:[SubPLOs]],"&gt;=1",tbl_task7[[SubPLOs]:[SubPLOs]],"&lt;2")</f>
        <v>0</v>
      </c>
      <c r="AG34" s="138">
        <f>SUMIFS(tbl_task7[S28],tbl_task7[[SubPLOs]:[SubPLOs]],"&gt;=1",tbl_task7[[SubPLOs]:[SubPLOs]],"&lt;2")</f>
        <v>0</v>
      </c>
      <c r="AH34" s="138">
        <f>SUMIFS(tbl_task7[S29],tbl_task7[[SubPLOs]:[SubPLOs]],"&gt;=1",tbl_task7[[SubPLOs]:[SubPLOs]],"&lt;2")</f>
        <v>0</v>
      </c>
      <c r="AI34" s="138">
        <f>SUMIFS(tbl_task7[S30],tbl_task7[[SubPLOs]:[SubPLOs]],"&gt;=1",tbl_task7[[SubPLOs]:[SubPLOs]],"&lt;2")</f>
        <v>0</v>
      </c>
      <c r="AJ34" s="138">
        <f>SUMIFS(tbl_task7[S31],tbl_task7[[SubPLOs]:[SubPLOs]],"&gt;=1",tbl_task7[[SubPLOs]:[SubPLOs]],"&lt;2")</f>
        <v>0</v>
      </c>
      <c r="AK34" s="138">
        <f>SUMIFS(tbl_task7[S32],tbl_task7[[SubPLOs]:[SubPLOs]],"&gt;=1",tbl_task7[[SubPLOs]:[SubPLOs]],"&lt;2")</f>
        <v>0</v>
      </c>
      <c r="AL34" s="138">
        <f>SUMIFS(tbl_task7[S33],tbl_task7[[SubPLOs]:[SubPLOs]],"&gt;=1",tbl_task7[[SubPLOs]:[SubPLOs]],"&lt;2")</f>
        <v>0</v>
      </c>
      <c r="AM34" s="138">
        <f>SUMIFS(tbl_task7[S34],tbl_task7[[SubPLOs]:[SubPLOs]],"&gt;=1",tbl_task7[[SubPLOs]:[SubPLOs]],"&lt;2")</f>
        <v>0</v>
      </c>
      <c r="AN34" s="138">
        <f>SUMIFS(tbl_task7[S35],tbl_task7[[SubPLOs]:[SubPLOs]],"&gt;=1",tbl_task7[[SubPLOs]:[SubPLOs]],"&lt;2")</f>
        <v>0</v>
      </c>
      <c r="AO34" s="138">
        <f>SUMIFS(tbl_task7[S36],tbl_task7[[SubPLOs]:[SubPLOs]],"&gt;=1",tbl_task7[[SubPLOs]:[SubPLOs]],"&lt;2")</f>
        <v>0</v>
      </c>
      <c r="AP34" s="138">
        <f>SUMIFS(tbl_task7[S37],tbl_task7[[SubPLOs]:[SubPLOs]],"&gt;=1",tbl_task7[[SubPLOs]:[SubPLOs]],"&lt;2")</f>
        <v>0</v>
      </c>
      <c r="AQ34" s="138">
        <f>SUMIFS(tbl_task7[S38],tbl_task7[[SubPLOs]:[SubPLOs]],"&gt;=1",tbl_task7[[SubPLOs]:[SubPLOs]],"&lt;2")</f>
        <v>0</v>
      </c>
      <c r="AR34" s="138">
        <f>SUMIFS(tbl_task7[S39],tbl_task7[[SubPLOs]:[SubPLOs]],"&gt;=1",tbl_task7[[SubPLOs]:[SubPLOs]],"&lt;2")</f>
        <v>0</v>
      </c>
      <c r="AS34" s="138">
        <f>SUMIFS(tbl_task7[S40],tbl_task7[[SubPLOs]:[SubPLOs]],"&gt;=1",tbl_task7[[SubPLOs]:[SubPLOs]],"&lt;2")</f>
        <v>0</v>
      </c>
      <c r="AT34" s="138">
        <f>SUMIFS(tbl_task7[S41],tbl_task7[[SubPLOs]:[SubPLOs]],"&gt;=1",tbl_task7[[SubPLOs]:[SubPLOs]],"&lt;2")</f>
        <v>0</v>
      </c>
      <c r="AU34" s="138">
        <f>SUMIFS(tbl_task7[S42],tbl_task7[[SubPLOs]:[SubPLOs]],"&gt;=1",tbl_task7[[SubPLOs]:[SubPLOs]],"&lt;2")</f>
        <v>0</v>
      </c>
      <c r="AV34" s="138">
        <f>SUMIFS(tbl_task7[S43],tbl_task7[[SubPLOs]:[SubPLOs]],"&gt;=1",tbl_task7[[SubPLOs]:[SubPLOs]],"&lt;2")</f>
        <v>0</v>
      </c>
      <c r="AW34" s="138">
        <f>SUMIFS(tbl_task7[S44],tbl_task7[[SubPLOs]:[SubPLOs]],"&gt;=1",tbl_task7[[SubPLOs]:[SubPLOs]],"&lt;2")</f>
        <v>0</v>
      </c>
      <c r="AX34" s="138">
        <f>SUMIFS(tbl_task7[S45],tbl_task7[[SubPLOs]:[SubPLOs]],"&gt;=1",tbl_task7[[SubPLOs]:[SubPLOs]],"&lt;2")</f>
        <v>0</v>
      </c>
      <c r="AY34" s="138">
        <f>SUMIFS(tbl_task7[S46],tbl_task7[[SubPLOs]:[SubPLOs]],"&gt;=1",tbl_task7[[SubPLOs]:[SubPLOs]],"&lt;2")</f>
        <v>0</v>
      </c>
      <c r="AZ34" s="138">
        <f>SUMIFS(tbl_task7[S47],tbl_task7[[SubPLOs]:[SubPLOs]],"&gt;=1",tbl_task7[[SubPLOs]:[SubPLOs]],"&lt;2")</f>
        <v>0</v>
      </c>
      <c r="BA34" s="138">
        <f>SUMIFS(tbl_task7[S48],tbl_task7[[SubPLOs]:[SubPLOs]],"&gt;=1",tbl_task7[[SubPLOs]:[SubPLOs]],"&lt;2")</f>
        <v>0</v>
      </c>
      <c r="BB34" s="138">
        <f>SUMIFS(tbl_task7[S49],tbl_task7[[SubPLOs]:[SubPLOs]],"&gt;=1",tbl_task7[[SubPLOs]:[SubPLOs]],"&lt;2")</f>
        <v>0</v>
      </c>
      <c r="BC34" s="138">
        <f>SUMIFS(tbl_task7[S50],tbl_task7[[SubPLOs]:[SubPLOs]],"&gt;=1",tbl_task7[[SubPLOs]:[SubPLOs]],"&lt;2")</f>
        <v>0</v>
      </c>
      <c r="BD34" s="138">
        <f>SUMIFS(tbl_task7[S51],tbl_task7[[SubPLOs]:[SubPLOs]],"&gt;=1",tbl_task7[[SubPLOs]:[SubPLOs]],"&lt;2")</f>
        <v>0</v>
      </c>
      <c r="BE34" s="138">
        <f>SUMIFS(tbl_task7[S52],tbl_task7[[SubPLOs]:[SubPLOs]],"&gt;=1",tbl_task7[[SubPLOs]:[SubPLOs]],"&lt;2")</f>
        <v>0</v>
      </c>
      <c r="BF34" s="138">
        <f>SUMIFS(tbl_task7[S53],tbl_task7[[SubPLOs]:[SubPLOs]],"&gt;=1",tbl_task7[[SubPLOs]:[SubPLOs]],"&lt;2")</f>
        <v>0</v>
      </c>
      <c r="BG34" s="138">
        <f>SUMIFS(tbl_task7[S54],tbl_task7[[SubPLOs]:[SubPLOs]],"&gt;=1",tbl_task7[[SubPLOs]:[SubPLOs]],"&lt;2")</f>
        <v>0</v>
      </c>
      <c r="BH34" s="138">
        <f>SUMIFS(tbl_task7[S55],tbl_task7[[SubPLOs]:[SubPLOs]],"&gt;=1",tbl_task7[[SubPLOs]:[SubPLOs]],"&lt;2")</f>
        <v>0</v>
      </c>
      <c r="BI34" s="138">
        <f>SUMIFS(tbl_task7[S56],tbl_task7[[SubPLOs]:[SubPLOs]],"&gt;=1",tbl_task7[[SubPLOs]:[SubPLOs]],"&lt;2")</f>
        <v>0</v>
      </c>
      <c r="BJ34" s="138">
        <f>SUMIFS(tbl_task7[S57],tbl_task7[[SubPLOs]:[SubPLOs]],"&gt;=1",tbl_task7[[SubPLOs]:[SubPLOs]],"&lt;2")</f>
        <v>0</v>
      </c>
      <c r="BK34" s="138">
        <f>SUMIFS(tbl_task7[S58],tbl_task7[[SubPLOs]:[SubPLOs]],"&gt;=1",tbl_task7[[SubPLOs]:[SubPLOs]],"&lt;2")</f>
        <v>0</v>
      </c>
      <c r="BL34" s="138">
        <f>SUMIFS(tbl_task7[S59],tbl_task7[[SubPLOs]:[SubPLOs]],"&gt;=1",tbl_task7[[SubPLOs]:[SubPLOs]],"&lt;2")</f>
        <v>0</v>
      </c>
      <c r="BM34" s="138">
        <f>SUMIFS(tbl_task7[S60],tbl_task7[[SubPLOs]:[SubPLOs]],"&gt;=1",tbl_task7[[SubPLOs]:[SubPLOs]],"&lt;2")</f>
        <v>0</v>
      </c>
      <c r="BN34" s="138">
        <f>SUMIFS(tbl_task7[S61],tbl_task7[[SubPLOs]:[SubPLOs]],"&gt;=1",tbl_task7[[SubPLOs]:[SubPLOs]],"&lt;2")</f>
        <v>0</v>
      </c>
      <c r="BO34" s="138">
        <f>SUMIFS(tbl_task7[S62],tbl_task7[[SubPLOs]:[SubPLOs]],"&gt;=1",tbl_task7[[SubPLOs]:[SubPLOs]],"&lt;2")</f>
        <v>0</v>
      </c>
      <c r="BP34" s="138">
        <f>SUMIFS(tbl_task7[S63],tbl_task7[[SubPLOs]:[SubPLOs]],"&gt;=1",tbl_task7[[SubPLOs]:[SubPLOs]],"&lt;2")</f>
        <v>0</v>
      </c>
      <c r="BQ34" s="138">
        <f>SUMIFS(tbl_task7[S64],tbl_task7[[SubPLOs]:[SubPLOs]],"&gt;=1",tbl_task7[[SubPLOs]:[SubPLOs]],"&lt;2")</f>
        <v>0</v>
      </c>
      <c r="BR34" s="138">
        <f>SUMIFS(tbl_task7[S65],tbl_task7[[SubPLOs]:[SubPLOs]],"&gt;=1",tbl_task7[[SubPLOs]:[SubPLOs]],"&lt;2")</f>
        <v>0</v>
      </c>
      <c r="BS34" s="138">
        <f>SUMIFS(tbl_task7[S66],tbl_task7[[SubPLOs]:[SubPLOs]],"&gt;=1",tbl_task7[[SubPLOs]:[SubPLOs]],"&lt;2")</f>
        <v>0</v>
      </c>
      <c r="BT34" s="138">
        <f>SUMIFS(tbl_task7[S67],tbl_task7[[SubPLOs]:[SubPLOs]],"&gt;=1",tbl_task7[[SubPLOs]:[SubPLOs]],"&lt;2")</f>
        <v>0</v>
      </c>
      <c r="BU34" s="138">
        <f>SUMIFS(tbl_task7[S68],tbl_task7[[SubPLOs]:[SubPLOs]],"&gt;=1",tbl_task7[[SubPLOs]:[SubPLOs]],"&lt;2")</f>
        <v>0</v>
      </c>
      <c r="BV34" s="138">
        <f>SUMIFS(tbl_task7[S69],tbl_task7[[SubPLOs]:[SubPLOs]],"&gt;=1",tbl_task7[[SubPLOs]:[SubPLOs]],"&lt;2")</f>
        <v>0</v>
      </c>
      <c r="BW34" s="138">
        <f>SUMIFS(tbl_task7[S70],tbl_task7[[SubPLOs]:[SubPLOs]],"&gt;=1",tbl_task7[[SubPLOs]:[SubPLOs]],"&lt;2")</f>
        <v>0</v>
      </c>
      <c r="BX34" s="138">
        <f>SUMIFS(tbl_task7[S71],tbl_task7[[SubPLOs]:[SubPLOs]],"&gt;=1",tbl_task7[[SubPLOs]:[SubPLOs]],"&lt;2")</f>
        <v>0</v>
      </c>
      <c r="BY34" s="138">
        <f>SUMIFS(tbl_task7[S72],tbl_task7[[SubPLOs]:[SubPLOs]],"&gt;=1",tbl_task7[[SubPLOs]:[SubPLOs]],"&lt;2")</f>
        <v>0</v>
      </c>
      <c r="BZ34" s="138">
        <f>SUMIFS(tbl_task7[S73],tbl_task7[[SubPLOs]:[SubPLOs]],"&gt;=1",tbl_task7[[SubPLOs]:[SubPLOs]],"&lt;2")</f>
        <v>0</v>
      </c>
      <c r="CA34" s="138">
        <f>SUMIFS(tbl_task7[S74],tbl_task7[[SubPLOs]:[SubPLOs]],"&gt;=1",tbl_task7[[SubPLOs]:[SubPLOs]],"&lt;2")</f>
        <v>0</v>
      </c>
      <c r="CB34" s="138">
        <f>SUMIFS(tbl_task7[S75],tbl_task7[[SubPLOs]:[SubPLOs]],"&gt;=1",tbl_task7[[SubPLOs]:[SubPLOs]],"&lt;2")</f>
        <v>0</v>
      </c>
      <c r="CC34" s="138">
        <f>SUMIFS(tbl_task7[S76],tbl_task7[[SubPLOs]:[SubPLOs]],"&gt;=1",tbl_task7[[SubPLOs]:[SubPLOs]],"&lt;2")</f>
        <v>0</v>
      </c>
      <c r="CD34" s="138">
        <f>SUMIFS(tbl_task7[S77],tbl_task7[[SubPLOs]:[SubPLOs]],"&gt;=1",tbl_task7[[SubPLOs]:[SubPLOs]],"&lt;2")</f>
        <v>0</v>
      </c>
      <c r="CE34" s="138">
        <f>SUMIFS(tbl_task7[S78],tbl_task7[[SubPLOs]:[SubPLOs]],"&gt;=1",tbl_task7[[SubPLOs]:[SubPLOs]],"&lt;2")</f>
        <v>0</v>
      </c>
      <c r="CF34" s="138">
        <f>SUMIFS(tbl_task7[S79],tbl_task7[[SubPLOs]:[SubPLOs]],"&gt;=1",tbl_task7[[SubPLOs]:[SubPLOs]],"&lt;2")</f>
        <v>0</v>
      </c>
      <c r="CG34" s="138">
        <f>SUMIFS(tbl_task7[S80],tbl_task7[[SubPLOs]:[SubPLOs]],"&gt;=1",tbl_task7[[SubPLOs]:[SubPLOs]],"&lt;2")</f>
        <v>0</v>
      </c>
      <c r="CH34" s="138">
        <f>SUMIFS(tbl_task7[S81],tbl_task7[[SubPLOs]:[SubPLOs]],"&gt;=1",tbl_task7[[SubPLOs]:[SubPLOs]],"&lt;2")</f>
        <v>0</v>
      </c>
      <c r="CI34" s="138">
        <f>SUMIFS(tbl_task7[S82],tbl_task7[[SubPLOs]:[SubPLOs]],"&gt;=1",tbl_task7[[SubPLOs]:[SubPLOs]],"&lt;2")</f>
        <v>0</v>
      </c>
      <c r="CJ34" s="138">
        <f>SUMIFS(tbl_task7[S83],tbl_task7[[SubPLOs]:[SubPLOs]],"&gt;=1",tbl_task7[[SubPLOs]:[SubPLOs]],"&lt;2")</f>
        <v>0</v>
      </c>
      <c r="CK34" s="138">
        <f>SUMIFS(tbl_task7[S84],tbl_task7[[SubPLOs]:[SubPLOs]],"&gt;=1",tbl_task7[[SubPLOs]:[SubPLOs]],"&lt;2")</f>
        <v>0</v>
      </c>
      <c r="CL34" s="138">
        <f>SUMIFS(tbl_task7[S85],tbl_task7[[SubPLOs]:[SubPLOs]],"&gt;=1",tbl_task7[[SubPLOs]:[SubPLOs]],"&lt;2")</f>
        <v>0</v>
      </c>
      <c r="CM34" s="138">
        <f>SUMIFS(tbl_task7[S86],tbl_task7[[SubPLOs]:[SubPLOs]],"&gt;=1",tbl_task7[[SubPLOs]:[SubPLOs]],"&lt;2")</f>
        <v>0</v>
      </c>
      <c r="CN34" s="138">
        <f>SUMIFS(tbl_task7[S87],tbl_task7[[SubPLOs]:[SubPLOs]],"&gt;=1",tbl_task7[[SubPLOs]:[SubPLOs]],"&lt;2")</f>
        <v>0</v>
      </c>
      <c r="CO34" s="138">
        <f>SUMIFS(tbl_task7[S88],tbl_task7[[SubPLOs]:[SubPLOs]],"&gt;=1",tbl_task7[[SubPLOs]:[SubPLOs]],"&lt;2")</f>
        <v>0</v>
      </c>
      <c r="CP34" s="138">
        <f>SUMIFS(tbl_task7[S89],tbl_task7[[SubPLOs]:[SubPLOs]],"&gt;=1",tbl_task7[[SubPLOs]:[SubPLOs]],"&lt;2")</f>
        <v>0</v>
      </c>
      <c r="CQ34" s="138">
        <f>SUMIFS(tbl_task7[S90],tbl_task7[[SubPLOs]:[SubPLOs]],"&gt;=1",tbl_task7[[SubPLOs]:[SubPLOs]],"&lt;2")</f>
        <v>0</v>
      </c>
      <c r="CR34" s="138">
        <f>SUMIFS(tbl_task7[S91],tbl_task7[[SubPLOs]:[SubPLOs]],"&gt;=1",tbl_task7[[SubPLOs]:[SubPLOs]],"&lt;2")</f>
        <v>0</v>
      </c>
      <c r="CS34" s="138">
        <f>SUMIFS(tbl_task7[S92],tbl_task7[[SubPLOs]:[SubPLOs]],"&gt;=1",tbl_task7[[SubPLOs]:[SubPLOs]],"&lt;2")</f>
        <v>0</v>
      </c>
      <c r="CT34" s="138">
        <f>SUMIFS(tbl_task7[S93],tbl_task7[[SubPLOs]:[SubPLOs]],"&gt;=1",tbl_task7[[SubPLOs]:[SubPLOs]],"&lt;2")</f>
        <v>0</v>
      </c>
      <c r="CU34" s="138">
        <f>SUMIFS(tbl_task7[S94],tbl_task7[[SubPLOs]:[SubPLOs]],"&gt;=1",tbl_task7[[SubPLOs]:[SubPLOs]],"&lt;2")</f>
        <v>0</v>
      </c>
      <c r="CV34" s="138">
        <f>SUMIFS(tbl_task7[S95],tbl_task7[[SubPLOs]:[SubPLOs]],"&gt;=1",tbl_task7[[SubPLOs]:[SubPLOs]],"&lt;2")</f>
        <v>0</v>
      </c>
      <c r="CW34" s="138">
        <f>SUMIFS(tbl_task7[S96],tbl_task7[[SubPLOs]:[SubPLOs]],"&gt;=1",tbl_task7[[SubPLOs]:[SubPLOs]],"&lt;2")</f>
        <v>0</v>
      </c>
      <c r="CX34" s="138">
        <f>SUMIFS(tbl_task7[S97],tbl_task7[[SubPLOs]:[SubPLOs]],"&gt;=1",tbl_task7[[SubPLOs]:[SubPLOs]],"&lt;2")</f>
        <v>0</v>
      </c>
      <c r="CY34" s="138">
        <f>SUMIFS(tbl_task7[S98],tbl_task7[[SubPLOs]:[SubPLOs]],"&gt;=1",tbl_task7[[SubPLOs]:[SubPLOs]],"&lt;2")</f>
        <v>0</v>
      </c>
      <c r="CZ34" s="138">
        <f>SUMIFS(tbl_task7[S99],tbl_task7[[SubPLOs]:[SubPLOs]],"&gt;=1",tbl_task7[[SubPLOs]:[SubPLOs]],"&lt;2")</f>
        <v>0</v>
      </c>
      <c r="DA34" s="138">
        <f>SUMIFS(tbl_task7[S100],tbl_task7[[SubPLOs]:[SubPLOs]],"&gt;=1",tbl_task7[[SubPLOs]:[SubPLOs]],"&lt;2")</f>
        <v>0</v>
      </c>
      <c r="DB34" s="138">
        <f>SUMIFS(tbl_task7[S101],tbl_task7[[SubPLOs]:[SubPLOs]],"&gt;=1",tbl_task7[[SubPLOs]:[SubPLOs]],"&lt;2")</f>
        <v>0</v>
      </c>
      <c r="DC34" s="138">
        <f>SUMIFS(tbl_task7[S102],tbl_task7[[SubPLOs]:[SubPLOs]],"&gt;=1",tbl_task7[[SubPLOs]:[SubPLOs]],"&lt;2")</f>
        <v>0</v>
      </c>
      <c r="DD34" s="138">
        <f>SUMIFS(tbl_task7[S103],tbl_task7[[SubPLOs]:[SubPLOs]],"&gt;=1",tbl_task7[[SubPLOs]:[SubPLOs]],"&lt;2")</f>
        <v>0</v>
      </c>
      <c r="DE34" s="138">
        <f>SUMIFS(tbl_task7[S104],tbl_task7[[SubPLOs]:[SubPLOs]],"&gt;=1",tbl_task7[[SubPLOs]:[SubPLOs]],"&lt;2")</f>
        <v>0</v>
      </c>
      <c r="DF34" s="138">
        <f>SUMIFS(tbl_task7[S105],tbl_task7[[SubPLOs]:[SubPLOs]],"&gt;=1",tbl_task7[[SubPLOs]:[SubPLOs]],"&lt;2")</f>
        <v>0</v>
      </c>
      <c r="DG34" s="138">
        <f>SUMIFS(tbl_task7[S106],tbl_task7[[SubPLOs]:[SubPLOs]],"&gt;=1",tbl_task7[[SubPLOs]:[SubPLOs]],"&lt;2")</f>
        <v>0</v>
      </c>
      <c r="DH34" s="138">
        <f>SUMIFS(tbl_task7[S106],tbl_task7[[SubPLOs]:[SubPLOs]],"&gt;=1",tbl_task7[[SubPLOs]:[SubPLOs]],"&lt;2")</f>
        <v>0</v>
      </c>
      <c r="DI34" s="138">
        <f>SUMIFS(tbl_task7[S108],tbl_task7[[SubPLOs]:[SubPLOs]],"&gt;=1",tbl_task7[[SubPLOs]:[SubPLOs]],"&lt;2")</f>
        <v>0</v>
      </c>
      <c r="DJ34" s="138">
        <f>SUMIFS(tbl_task7[S109],tbl_task7[[SubPLOs]:[SubPLOs]],"&gt;=1",tbl_task7[[SubPLOs]:[SubPLOs]],"&lt;2")</f>
        <v>0</v>
      </c>
      <c r="DK34" s="138">
        <f>SUMIFS(tbl_task7[S110],tbl_task7[[SubPLOs]:[SubPLOs]],"&gt;=1",tbl_task7[[SubPLOs]:[SubPLOs]],"&lt;2")</f>
        <v>0</v>
      </c>
      <c r="DL34" s="138">
        <f>SUMIFS(tbl_task7[S111],tbl_task7[[SubPLOs]:[SubPLOs]],"&gt;=1",tbl_task7[[SubPLOs]:[SubPLOs]],"&lt;2")</f>
        <v>0</v>
      </c>
      <c r="DM34" s="138">
        <f>SUMIFS(tbl_task7[S112],tbl_task7[[SubPLOs]:[SubPLOs]],"&gt;=1",tbl_task7[[SubPLOs]:[SubPLOs]],"&lt;2")</f>
        <v>0</v>
      </c>
      <c r="DN34" s="138">
        <f>SUMIFS(tbl_task7[S113],tbl_task7[[SubPLOs]:[SubPLOs]],"&gt;=1",tbl_task7[[SubPLOs]:[SubPLOs]],"&lt;2")</f>
        <v>0</v>
      </c>
      <c r="DO34" s="138">
        <f>SUMIFS(tbl_task7[S114],tbl_task7[[SubPLOs]:[SubPLOs]],"&gt;=1",tbl_task7[[SubPLOs]:[SubPLOs]],"&lt;2")</f>
        <v>0</v>
      </c>
      <c r="DP34" s="138">
        <f>SUMIFS(tbl_task7[S115],tbl_task7[[SubPLOs]:[SubPLOs]],"&gt;=1",tbl_task7[[SubPLOs]:[SubPLOs]],"&lt;2")</f>
        <v>0</v>
      </c>
      <c r="DQ34" s="138">
        <f>SUMIFS(tbl_task7[S116],tbl_task7[[SubPLOs]:[SubPLOs]],"&gt;=1",tbl_task7[[SubPLOs]:[SubPLOs]],"&lt;2")</f>
        <v>0</v>
      </c>
      <c r="DR34" s="138">
        <f>SUMIFS(tbl_task7[S117],tbl_task7[[SubPLOs]:[SubPLOs]],"&gt;=1",tbl_task7[[SubPLOs]:[SubPLOs]],"&lt;2")</f>
        <v>0</v>
      </c>
      <c r="DS34" s="138">
        <f>SUMIFS(tbl_task7[S118],tbl_task7[[SubPLOs]:[SubPLOs]],"&gt;=1",tbl_task7[[SubPLOs]:[SubPLOs]],"&lt;2")</f>
        <v>0</v>
      </c>
      <c r="DT34" s="138">
        <f>SUMIFS(tbl_task7[S119],tbl_task7[[SubPLOs]:[SubPLOs]],"&gt;=1",tbl_task7[[SubPLOs]:[SubPLOs]],"&lt;2")</f>
        <v>0</v>
      </c>
      <c r="DU34" s="138">
        <f>SUMIFS(tbl_task7[S120],tbl_task7[[SubPLOs]:[SubPLOs]],"&gt;=1",tbl_task7[[SubPLOs]:[SubPLOs]],"&lt;2")</f>
        <v>0</v>
      </c>
      <c r="DV34" s="138">
        <f>SUMIFS(tbl_task7[S121],tbl_task7[[SubPLOs]:[SubPLOs]],"&gt;=1",tbl_task7[[SubPLOs]:[SubPLOs]],"&lt;2")</f>
        <v>0</v>
      </c>
      <c r="DW34" s="138">
        <f>SUMIFS(tbl_task7[S122],tbl_task7[[SubPLOs]:[SubPLOs]],"&gt;=1",tbl_task7[[SubPLOs]:[SubPLOs]],"&lt;2")</f>
        <v>0</v>
      </c>
      <c r="DX34" s="138">
        <f>SUMIFS(tbl_task7[S123],tbl_task7[[SubPLOs]:[SubPLOs]],"&gt;=1",tbl_task7[[SubPLOs]:[SubPLOs]],"&lt;2")</f>
        <v>0</v>
      </c>
      <c r="DY34" s="138">
        <f>SUMIFS(tbl_task7[S124],tbl_task7[[SubPLOs]:[SubPLOs]],"&gt;=1",tbl_task7[[SubPLOs]:[SubPLOs]],"&lt;2")</f>
        <v>0</v>
      </c>
      <c r="DZ34" s="138">
        <f>SUMIFS(tbl_task7[S125],tbl_task7[[SubPLOs]:[SubPLOs]],"&gt;=1",tbl_task7[[SubPLOs]:[SubPLOs]],"&lt;2")</f>
        <v>0</v>
      </c>
      <c r="EA34" s="138">
        <f>SUMIFS(tbl_task7[S126],tbl_task7[[SubPLOs]:[SubPLOs]],"&gt;=1",tbl_task7[[SubPLOs]:[SubPLOs]],"&lt;2")</f>
        <v>0</v>
      </c>
      <c r="EB34" s="138">
        <f>SUMIFS(tbl_task7[S127],tbl_task7[[SubPLOs]:[SubPLOs]],"&gt;=1",tbl_task7[[SubPLOs]:[SubPLOs]],"&lt;2")</f>
        <v>0</v>
      </c>
      <c r="EC34" s="138">
        <f>SUMIFS(tbl_task7[S128],tbl_task7[[SubPLOs]:[SubPLOs]],"&gt;=1",tbl_task7[[SubPLOs]:[SubPLOs]],"&lt;2")</f>
        <v>0</v>
      </c>
      <c r="ED34" s="138">
        <f>SUMIFS(tbl_task7[S129],tbl_task7[[SubPLOs]:[SubPLOs]],"&gt;=1",tbl_task7[[SubPLOs]:[SubPLOs]],"&lt;2")</f>
        <v>0</v>
      </c>
      <c r="EE34" s="138">
        <f>SUMIFS(tbl_task7[S130],tbl_task7[[SubPLOs]:[SubPLOs]],"&gt;=1",tbl_task7[[SubPLOs]:[SubPLOs]],"&lt;2")</f>
        <v>0</v>
      </c>
      <c r="EF34" s="138">
        <f>SUMIFS(tbl_task7[S131],tbl_task7[[SubPLOs]:[SubPLOs]],"&gt;=1",tbl_task7[[SubPLOs]:[SubPLOs]],"&lt;2")</f>
        <v>0</v>
      </c>
      <c r="EG34" s="138">
        <f>SUMIFS(tbl_task7[S132],tbl_task7[[SubPLOs]:[SubPLOs]],"&gt;=1",tbl_task7[[SubPLOs]:[SubPLOs]],"&lt;2")</f>
        <v>0</v>
      </c>
      <c r="EH34" s="138">
        <f>SUMIFS(tbl_task7[S133],tbl_task7[[SubPLOs]:[SubPLOs]],"&gt;=1",tbl_task7[[SubPLOs]:[SubPLOs]],"&lt;2")</f>
        <v>0</v>
      </c>
      <c r="EI34" s="138">
        <f>SUMIFS(tbl_task7[S134],tbl_task7[[SubPLOs]:[SubPLOs]],"&gt;=1",tbl_task7[[SubPLOs]:[SubPLOs]],"&lt;2")</f>
        <v>0</v>
      </c>
      <c r="EJ34" s="138">
        <f>SUMIFS(tbl_task7[S135],tbl_task7[[SubPLOs]:[SubPLOs]],"&gt;=1",tbl_task7[[SubPLOs]:[SubPLOs]],"&lt;2")</f>
        <v>0</v>
      </c>
      <c r="EK34" s="138">
        <f>SUMIFS(tbl_task7[S136],tbl_task7[[SubPLOs]:[SubPLOs]],"&gt;=1",tbl_task7[[SubPLOs]:[SubPLOs]],"&lt;2")</f>
        <v>0</v>
      </c>
      <c r="EL34" s="138">
        <f>SUMIFS(tbl_task7[S137],tbl_task7[[SubPLOs]:[SubPLOs]],"&gt;=1",tbl_task7[[SubPLOs]:[SubPLOs]],"&lt;2")</f>
        <v>0</v>
      </c>
      <c r="EM34" s="138">
        <f>SUMIFS(tbl_task7[S138],tbl_task7[[SubPLOs]:[SubPLOs]],"&gt;=1",tbl_task7[[SubPLOs]:[SubPLOs]],"&lt;2")</f>
        <v>0</v>
      </c>
      <c r="EN34" s="138">
        <f>SUMIFS(tbl_task7[S139],tbl_task7[[SubPLOs]:[SubPLOs]],"&gt;=1",tbl_task7[[SubPLOs]:[SubPLOs]],"&lt;2")</f>
        <v>0</v>
      </c>
      <c r="EO34" s="138">
        <f>SUMIFS(tbl_task7[S140],tbl_task7[[SubPLOs]:[SubPLOs]],"&gt;=1",tbl_task7[[SubPLOs]:[SubPLOs]],"&lt;2")</f>
        <v>0</v>
      </c>
      <c r="EP34" s="138">
        <f>SUMIFS(tbl_task7[S141],tbl_task7[[SubPLOs]:[SubPLOs]],"&gt;=1",tbl_task7[[SubPLOs]:[SubPLOs]],"&lt;2")</f>
        <v>0</v>
      </c>
      <c r="EQ34" s="138">
        <f>SUMIFS(tbl_task7[S142],tbl_task7[[SubPLOs]:[SubPLOs]],"&gt;=1",tbl_task7[[SubPLOs]:[SubPLOs]],"&lt;2")</f>
        <v>0</v>
      </c>
      <c r="ER34" s="138">
        <f>SUMIFS(tbl_task7[S143],tbl_task7[[SubPLOs]:[SubPLOs]],"&gt;=1",tbl_task7[[SubPLOs]:[SubPLOs]],"&lt;2")</f>
        <v>0</v>
      </c>
      <c r="ES34" s="138">
        <f>SUMIFS(tbl_task7[S144],tbl_task7[[SubPLOs]:[SubPLOs]],"&gt;=1",tbl_task7[[SubPLOs]:[SubPLOs]],"&lt;2")</f>
        <v>0</v>
      </c>
      <c r="ET34" s="138">
        <f>SUMIFS(tbl_task7[S145],tbl_task7[[SubPLOs]:[SubPLOs]],"&gt;=1",tbl_task7[[SubPLOs]:[SubPLOs]],"&lt;2")</f>
        <v>0</v>
      </c>
      <c r="EU34" s="138">
        <f>SUMIFS(tbl_task7[S146],tbl_task7[[SubPLOs]:[SubPLOs]],"&gt;=1",tbl_task7[[SubPLOs]:[SubPLOs]],"&lt;2")</f>
        <v>0</v>
      </c>
      <c r="EV34" s="138">
        <f>SUMIFS(tbl_task7[S147],tbl_task7[[SubPLOs]:[SubPLOs]],"&gt;=1",tbl_task7[[SubPLOs]:[SubPLOs]],"&lt;2")</f>
        <v>0</v>
      </c>
      <c r="EW34" s="138">
        <f>SUMIFS(tbl_task7[S148],tbl_task7[[SubPLOs]:[SubPLOs]],"&gt;=1",tbl_task7[[SubPLOs]:[SubPLOs]],"&lt;2")</f>
        <v>0</v>
      </c>
      <c r="EX34" s="138">
        <f>SUMIFS(tbl_task7[S149],tbl_task7[[SubPLOs]:[SubPLOs]],"&gt;=1",tbl_task7[[SubPLOs]:[SubPLOs]],"&lt;2")</f>
        <v>0</v>
      </c>
      <c r="EY34" s="138">
        <f>SUMIFS(tbl_task7[S150],tbl_task7[[SubPLOs]:[SubPLOs]],"&gt;=1",tbl_task7[[SubPLOs]:[SubPLOs]],"&lt;2")</f>
        <v>0</v>
      </c>
      <c r="EZ34" s="138">
        <f>SUMIFS(tbl_task7[S151],tbl_task7[[SubPLOs]:[SubPLOs]],"&gt;=1",tbl_task7[[SubPLOs]:[SubPLOs]],"&lt;2")</f>
        <v>0</v>
      </c>
      <c r="FA34" s="138">
        <f>SUMIFS(tbl_task7[S152],tbl_task7[[SubPLOs]:[SubPLOs]],"&gt;=1",tbl_task7[[SubPLOs]:[SubPLOs]],"&lt;2")</f>
        <v>0</v>
      </c>
      <c r="FB34" s="138">
        <f>SUMIFS(tbl_task7[S153],tbl_task7[[SubPLOs]:[SubPLOs]],"&gt;=1",tbl_task7[[SubPLOs]:[SubPLOs]],"&lt;2")</f>
        <v>0</v>
      </c>
      <c r="FC34" s="138">
        <f>SUMIFS(tbl_task7[S154],tbl_task7[[SubPLOs]:[SubPLOs]],"&gt;=1",tbl_task7[[SubPLOs]:[SubPLOs]],"&lt;2")</f>
        <v>0</v>
      </c>
      <c r="FD34" s="138">
        <f>SUMIFS(tbl_task7[S155],tbl_task7[[SubPLOs]:[SubPLOs]],"&gt;=1",tbl_task7[[SubPLOs]:[SubPLOs]],"&lt;2")</f>
        <v>0</v>
      </c>
      <c r="FE34" s="138">
        <f>SUMIFS(tbl_task7[S156],tbl_task7[[SubPLOs]:[SubPLOs]],"&gt;=1",tbl_task7[[SubPLOs]:[SubPLOs]],"&lt;2")</f>
        <v>0</v>
      </c>
      <c r="FF34" s="138">
        <f>SUMIFS(tbl_task7[S157],tbl_task7[[SubPLOs]:[SubPLOs]],"&gt;=1",tbl_task7[[SubPLOs]:[SubPLOs]],"&lt;2")</f>
        <v>0</v>
      </c>
      <c r="FG34" s="138">
        <f>SUMIFS(tbl_task7[S158],tbl_task7[[SubPLOs]:[SubPLOs]],"&gt;=1",tbl_task7[[SubPLOs]:[SubPLOs]],"&lt;2")</f>
        <v>0</v>
      </c>
      <c r="FH34" s="138">
        <f>SUMIFS(tbl_task7[S159],tbl_task7[[SubPLOs]:[SubPLOs]],"&gt;=1",tbl_task7[[SubPLOs]:[SubPLOs]],"&lt;2")</f>
        <v>0</v>
      </c>
      <c r="FI34" s="138">
        <f>SUMIFS(tbl_task7[S160],tbl_task7[[SubPLOs]:[SubPLOs]],"&gt;=1",tbl_task7[[SubPLOs]:[SubPLOs]],"&lt;2")</f>
        <v>0</v>
      </c>
      <c r="FJ34" s="138">
        <f>SUMIFS(tbl_task7[S161],tbl_task7[[SubPLOs]:[SubPLOs]],"&gt;=1",tbl_task7[[SubPLOs]:[SubPLOs]],"&lt;2")</f>
        <v>0</v>
      </c>
      <c r="FK34" s="138">
        <f>SUMIFS(tbl_task7[S162],tbl_task7[[SubPLOs]:[SubPLOs]],"&gt;=1",tbl_task7[[SubPLOs]:[SubPLOs]],"&lt;2")</f>
        <v>0</v>
      </c>
      <c r="FL34" s="138">
        <f>SUMIFS(tbl_task7[S163],tbl_task7[[SubPLOs]:[SubPLOs]],"&gt;=1",tbl_task7[[SubPLOs]:[SubPLOs]],"&lt;2")</f>
        <v>0</v>
      </c>
      <c r="FM34" s="138">
        <f>SUMIFS(tbl_task7[S164],tbl_task7[[SubPLOs]:[SubPLOs]],"&gt;=1",tbl_task7[[SubPLOs]:[SubPLOs]],"&lt;2")</f>
        <v>0</v>
      </c>
      <c r="FN34" s="138">
        <f>SUMIFS(tbl_task7[S165],tbl_task7[[SubPLOs]:[SubPLOs]],"&gt;=1",tbl_task7[[SubPLOs]:[SubPLOs]],"&lt;2")</f>
        <v>0</v>
      </c>
    </row>
    <row r="35" spans="1:170" ht="147" x14ac:dyDescent="0.25">
      <c r="A35" s="135">
        <v>2</v>
      </c>
      <c r="B35" s="5" t="s">
        <v>435</v>
      </c>
      <c r="C35" s="136">
        <f>COUNTIFS(tbl_task7[SubPLOs],"&gt;=2",tbl_task7[SubPLOs],"&lt;3")</f>
        <v>0</v>
      </c>
      <c r="D35" s="136">
        <f>SUMIFS(tbl_task7[คะแนนเต็ม],tbl_task7[SubPLOs],"&gt;=2",tbl_task7[SubPLOs],"&lt;3")</f>
        <v>0</v>
      </c>
      <c r="E35" s="137">
        <f>SUMIFS(tbl_task7[%],tbl_task7[SubPLOs],"&gt;=2",tbl_task7[SubPLOs],"&lt;3")</f>
        <v>0</v>
      </c>
      <c r="F35" s="138">
        <f>SUMIFS(tbl_task7[S1],tbl_task7[[SubPLOs]:[SubPLOs]],"&gt;=2",tbl_task7[[SubPLOs]:[SubPLOs]],"&lt;3")</f>
        <v>0</v>
      </c>
      <c r="G35" s="138">
        <f>SUMIFS(tbl_task7[S2],tbl_task7[[SubPLOs]:[SubPLOs]],"&gt;=2",tbl_task7[[SubPLOs]:[SubPLOs]],"&lt;3")</f>
        <v>0</v>
      </c>
      <c r="H35" s="138">
        <f>SUMIFS(tbl_task7[S3],tbl_task7[[SubPLOs]:[SubPLOs]],"&gt;=2",tbl_task7[[SubPLOs]:[SubPLOs]],"&lt;3")</f>
        <v>0</v>
      </c>
      <c r="I35" s="138">
        <f>SUMIFS(tbl_task7[S4],tbl_task7[[SubPLOs]:[SubPLOs]],"&gt;=2",tbl_task7[[SubPLOs]:[SubPLOs]],"&lt;3")</f>
        <v>0</v>
      </c>
      <c r="J35" s="138">
        <f>SUMIFS(tbl_task7[S5],tbl_task7[[SubPLOs]:[SubPLOs]],"&gt;=2",tbl_task7[[SubPLOs]:[SubPLOs]],"&lt;3")</f>
        <v>0</v>
      </c>
      <c r="K35" s="138">
        <f>SUMIFS(tbl_task7[S6],tbl_task7[[SubPLOs]:[SubPLOs]],"&gt;=2",tbl_task7[[SubPLOs]:[SubPLOs]],"&lt;3")</f>
        <v>0</v>
      </c>
      <c r="L35" s="138">
        <f>SUMIFS(tbl_task7[S7],tbl_task7[[SubPLOs]:[SubPLOs]],"&gt;=2",tbl_task7[[SubPLOs]:[SubPLOs]],"&lt;3")</f>
        <v>0</v>
      </c>
      <c r="M35" s="138">
        <f>SUMIFS(tbl_task7[S8],tbl_task7[[SubPLOs]:[SubPLOs]],"&gt;=2",tbl_task7[[SubPLOs]:[SubPLOs]],"&lt;3")</f>
        <v>0</v>
      </c>
      <c r="N35" s="138">
        <f>SUMIFS(tbl_task7[S9],tbl_task7[[SubPLOs]:[SubPLOs]],"&gt;=2",tbl_task7[[SubPLOs]:[SubPLOs]],"&lt;3")</f>
        <v>0</v>
      </c>
      <c r="O35" s="138">
        <f>SUMIFS(tbl_task7[S10],tbl_task7[[SubPLOs]:[SubPLOs]],"&gt;=2",tbl_task7[[SubPLOs]:[SubPLOs]],"&lt;3")</f>
        <v>0</v>
      </c>
      <c r="P35" s="138">
        <f>SUMIFS(tbl_task7[S11],tbl_task7[[SubPLOs]:[SubPLOs]],"&gt;=2",tbl_task7[[SubPLOs]:[SubPLOs]],"&lt;3")</f>
        <v>0</v>
      </c>
      <c r="Q35" s="138">
        <f>SUMIFS(tbl_task7[S12],tbl_task7[[SubPLOs]:[SubPLOs]],"&gt;=2",tbl_task7[[SubPLOs]:[SubPLOs]],"&lt;3")</f>
        <v>0</v>
      </c>
      <c r="R35" s="138">
        <f>SUMIFS(tbl_task7[S13],tbl_task7[[SubPLOs]:[SubPLOs]],"&gt;=2",tbl_task7[[SubPLOs]:[SubPLOs]],"&lt;3")</f>
        <v>0</v>
      </c>
      <c r="S35" s="138">
        <f>SUMIFS(tbl_task7[S14],tbl_task7[[SubPLOs]:[SubPLOs]],"&gt;=2",tbl_task7[[SubPLOs]:[SubPLOs]],"&lt;3")</f>
        <v>0</v>
      </c>
      <c r="T35" s="138">
        <f>SUMIFS(tbl_task7[S15],tbl_task7[[SubPLOs]:[SubPLOs]],"&gt;=2",tbl_task7[[SubPLOs]:[SubPLOs]],"&lt;3")</f>
        <v>0</v>
      </c>
      <c r="U35" s="138">
        <f>SUMIFS(tbl_task7[S16],tbl_task7[[SubPLOs]:[SubPLOs]],"&gt;=2",tbl_task7[[SubPLOs]:[SubPLOs]],"&lt;3")</f>
        <v>0</v>
      </c>
      <c r="V35" s="138">
        <f>SUMIFS(tbl_task7[S17],tbl_task7[[SubPLOs]:[SubPLOs]],"&gt;=2",tbl_task7[[SubPLOs]:[SubPLOs]],"&lt;3")</f>
        <v>0</v>
      </c>
      <c r="W35" s="138">
        <f>SUMIFS(tbl_task7[S18],tbl_task7[[SubPLOs]:[SubPLOs]],"&gt;=2",tbl_task7[[SubPLOs]:[SubPLOs]],"&lt;3")</f>
        <v>0</v>
      </c>
      <c r="X35" s="138">
        <f>SUMIFS(tbl_task7[S19],tbl_task7[[SubPLOs]:[SubPLOs]],"&gt;=2",tbl_task7[[SubPLOs]:[SubPLOs]],"&lt;3")</f>
        <v>0</v>
      </c>
      <c r="Y35" s="138">
        <f>SUMIFS(tbl_task7[S20],tbl_task7[[SubPLOs]:[SubPLOs]],"&gt;=2",tbl_task7[[SubPLOs]:[SubPLOs]],"&lt;3")</f>
        <v>0</v>
      </c>
      <c r="Z35" s="138">
        <f>SUMIFS(tbl_task7[S21],tbl_task7[[SubPLOs]:[SubPLOs]],"&gt;=2",tbl_task7[[SubPLOs]:[SubPLOs]],"&lt;3")</f>
        <v>0</v>
      </c>
      <c r="AA35" s="138">
        <f>SUMIFS(tbl_task7[S22],tbl_task7[[SubPLOs]:[SubPLOs]],"&gt;=2",tbl_task7[[SubPLOs]:[SubPLOs]],"&lt;3")</f>
        <v>0</v>
      </c>
      <c r="AB35" s="138">
        <f>SUMIFS(tbl_task7[S23],tbl_task7[[SubPLOs]:[SubPLOs]],"&gt;=2",tbl_task7[[SubPLOs]:[SubPLOs]],"&lt;3")</f>
        <v>0</v>
      </c>
      <c r="AC35" s="138">
        <f>SUMIFS(tbl_task7[S24],tbl_task7[[SubPLOs]:[SubPLOs]],"&gt;=2",tbl_task7[[SubPLOs]:[SubPLOs]],"&lt;3")</f>
        <v>0</v>
      </c>
      <c r="AD35" s="138">
        <f>SUMIFS(tbl_task7[S25],tbl_task7[[SubPLOs]:[SubPLOs]],"&gt;=2",tbl_task7[[SubPLOs]:[SubPLOs]],"&lt;3")</f>
        <v>0</v>
      </c>
      <c r="AE35" s="138">
        <f>SUMIFS(tbl_task7[S26],tbl_task7[[SubPLOs]:[SubPLOs]],"&gt;=2",tbl_task7[[SubPLOs]:[SubPLOs]],"&lt;3")</f>
        <v>0</v>
      </c>
      <c r="AF35" s="138">
        <f>SUMIFS(tbl_task7[S27],tbl_task7[[SubPLOs]:[SubPLOs]],"&gt;=2",tbl_task7[[SubPLOs]:[SubPLOs]],"&lt;3")</f>
        <v>0</v>
      </c>
      <c r="AG35" s="138">
        <f>SUMIFS(tbl_task7[S28],tbl_task7[[SubPLOs]:[SubPLOs]],"&gt;=2",tbl_task7[[SubPLOs]:[SubPLOs]],"&lt;3")</f>
        <v>0</v>
      </c>
      <c r="AH35" s="138">
        <f>SUMIFS(tbl_task7[S29],tbl_task7[[SubPLOs]:[SubPLOs]],"&gt;=2",tbl_task7[[SubPLOs]:[SubPLOs]],"&lt;3")</f>
        <v>0</v>
      </c>
      <c r="AI35" s="138">
        <f>SUMIFS(tbl_task7[S30],tbl_task7[[SubPLOs]:[SubPLOs]],"&gt;=2",tbl_task7[[SubPLOs]:[SubPLOs]],"&lt;3")</f>
        <v>0</v>
      </c>
      <c r="AJ35" s="138">
        <f>SUMIFS(tbl_task7[S31],tbl_task7[[SubPLOs]:[SubPLOs]],"&gt;=2",tbl_task7[[SubPLOs]:[SubPLOs]],"&lt;3")</f>
        <v>0</v>
      </c>
      <c r="AK35" s="138">
        <f>SUMIFS(tbl_task7[S32],tbl_task7[[SubPLOs]:[SubPLOs]],"&gt;=2",tbl_task7[[SubPLOs]:[SubPLOs]],"&lt;3")</f>
        <v>0</v>
      </c>
      <c r="AL35" s="138">
        <f>SUMIFS(tbl_task7[S33],tbl_task7[[SubPLOs]:[SubPLOs]],"&gt;=2",tbl_task7[[SubPLOs]:[SubPLOs]],"&lt;3")</f>
        <v>0</v>
      </c>
      <c r="AM35" s="138">
        <f>SUMIFS(tbl_task7[S34],tbl_task7[[SubPLOs]:[SubPLOs]],"&gt;=2",tbl_task7[[SubPLOs]:[SubPLOs]],"&lt;3")</f>
        <v>0</v>
      </c>
      <c r="AN35" s="138">
        <f>SUMIFS(tbl_task7[S35],tbl_task7[[SubPLOs]:[SubPLOs]],"&gt;=2",tbl_task7[[SubPLOs]:[SubPLOs]],"&lt;3")</f>
        <v>0</v>
      </c>
      <c r="AO35" s="138">
        <f>SUMIFS(tbl_task7[S36],tbl_task7[[SubPLOs]:[SubPLOs]],"&gt;=2",tbl_task7[[SubPLOs]:[SubPLOs]],"&lt;3")</f>
        <v>0</v>
      </c>
      <c r="AP35" s="138">
        <f>SUMIFS(tbl_task7[S37],tbl_task7[[SubPLOs]:[SubPLOs]],"&gt;=2",tbl_task7[[SubPLOs]:[SubPLOs]],"&lt;3")</f>
        <v>0</v>
      </c>
      <c r="AQ35" s="138">
        <f>SUMIFS(tbl_task7[S38],tbl_task7[[SubPLOs]:[SubPLOs]],"&gt;=2",tbl_task7[[SubPLOs]:[SubPLOs]],"&lt;3")</f>
        <v>0</v>
      </c>
      <c r="AR35" s="138">
        <f>SUMIFS(tbl_task7[S39],tbl_task7[[SubPLOs]:[SubPLOs]],"&gt;=2",tbl_task7[[SubPLOs]:[SubPLOs]],"&lt;3")</f>
        <v>0</v>
      </c>
      <c r="AS35" s="138">
        <f>SUMIFS(tbl_task7[S40],tbl_task7[[SubPLOs]:[SubPLOs]],"&gt;=2",tbl_task7[[SubPLOs]:[SubPLOs]],"&lt;3")</f>
        <v>0</v>
      </c>
      <c r="AT35" s="138">
        <f>SUMIFS(tbl_task7[S41],tbl_task7[[SubPLOs]:[SubPLOs]],"&gt;=2",tbl_task7[[SubPLOs]:[SubPLOs]],"&lt;3")</f>
        <v>0</v>
      </c>
      <c r="AU35" s="138">
        <f>SUMIFS(tbl_task7[S42],tbl_task7[[SubPLOs]:[SubPLOs]],"&gt;=2",tbl_task7[[SubPLOs]:[SubPLOs]],"&lt;3")</f>
        <v>0</v>
      </c>
      <c r="AV35" s="138">
        <f>SUMIFS(tbl_task7[S43],tbl_task7[[SubPLOs]:[SubPLOs]],"&gt;=2",tbl_task7[[SubPLOs]:[SubPLOs]],"&lt;3")</f>
        <v>0</v>
      </c>
      <c r="AW35" s="138">
        <f>SUMIFS(tbl_task7[S44],tbl_task7[[SubPLOs]:[SubPLOs]],"&gt;=2",tbl_task7[[SubPLOs]:[SubPLOs]],"&lt;3")</f>
        <v>0</v>
      </c>
      <c r="AX35" s="138">
        <f>SUMIFS(tbl_task7[S45],tbl_task7[[SubPLOs]:[SubPLOs]],"&gt;=2",tbl_task7[[SubPLOs]:[SubPLOs]],"&lt;3")</f>
        <v>0</v>
      </c>
      <c r="AY35" s="138">
        <f>SUMIFS(tbl_task7[S46],tbl_task7[[SubPLOs]:[SubPLOs]],"&gt;=2",tbl_task7[[SubPLOs]:[SubPLOs]],"&lt;3")</f>
        <v>0</v>
      </c>
      <c r="AZ35" s="138">
        <f>SUMIFS(tbl_task7[S47],tbl_task7[[SubPLOs]:[SubPLOs]],"&gt;=2",tbl_task7[[SubPLOs]:[SubPLOs]],"&lt;3")</f>
        <v>0</v>
      </c>
      <c r="BA35" s="138">
        <f>SUMIFS(tbl_task7[S48],tbl_task7[[SubPLOs]:[SubPLOs]],"&gt;=2",tbl_task7[[SubPLOs]:[SubPLOs]],"&lt;3")</f>
        <v>0</v>
      </c>
      <c r="BB35" s="138">
        <f>SUMIFS(tbl_task7[S49],tbl_task7[[SubPLOs]:[SubPLOs]],"&gt;=2",tbl_task7[[SubPLOs]:[SubPLOs]],"&lt;3")</f>
        <v>0</v>
      </c>
      <c r="BC35" s="138">
        <f>SUMIFS(tbl_task7[S50],tbl_task7[[SubPLOs]:[SubPLOs]],"&gt;=2",tbl_task7[[SubPLOs]:[SubPLOs]],"&lt;3")</f>
        <v>0</v>
      </c>
      <c r="BD35" s="138">
        <f>SUMIFS(tbl_task7[S51],tbl_task7[[SubPLOs]:[SubPLOs]],"&gt;=2",tbl_task7[[SubPLOs]:[SubPLOs]],"&lt;3")</f>
        <v>0</v>
      </c>
      <c r="BE35" s="138">
        <f>SUMIFS(tbl_task7[S52],tbl_task7[[SubPLOs]:[SubPLOs]],"&gt;=2",tbl_task7[[SubPLOs]:[SubPLOs]],"&lt;3")</f>
        <v>0</v>
      </c>
      <c r="BF35" s="138">
        <f>SUMIFS(tbl_task7[S53],tbl_task7[[SubPLOs]:[SubPLOs]],"&gt;=2",tbl_task7[[SubPLOs]:[SubPLOs]],"&lt;3")</f>
        <v>0</v>
      </c>
      <c r="BG35" s="138">
        <f>SUMIFS(tbl_task7[S54],tbl_task7[[SubPLOs]:[SubPLOs]],"&gt;=2",tbl_task7[[SubPLOs]:[SubPLOs]],"&lt;3")</f>
        <v>0</v>
      </c>
      <c r="BH35" s="138">
        <f>SUMIFS(tbl_task7[S55],tbl_task7[[SubPLOs]:[SubPLOs]],"&gt;=2",tbl_task7[[SubPLOs]:[SubPLOs]],"&lt;3")</f>
        <v>0</v>
      </c>
      <c r="BI35" s="138">
        <f>SUMIFS(tbl_task7[S56],tbl_task7[[SubPLOs]:[SubPLOs]],"&gt;=2",tbl_task7[[SubPLOs]:[SubPLOs]],"&lt;3")</f>
        <v>0</v>
      </c>
      <c r="BJ35" s="138">
        <f>SUMIFS(tbl_task7[S57],tbl_task7[[SubPLOs]:[SubPLOs]],"&gt;=2",tbl_task7[[SubPLOs]:[SubPLOs]],"&lt;3")</f>
        <v>0</v>
      </c>
      <c r="BK35" s="138">
        <f>SUMIFS(tbl_task7[S58],tbl_task7[[SubPLOs]:[SubPLOs]],"&gt;=2",tbl_task7[[SubPLOs]:[SubPLOs]],"&lt;3")</f>
        <v>0</v>
      </c>
      <c r="BL35" s="138">
        <f>SUMIFS(tbl_task7[S59],tbl_task7[[SubPLOs]:[SubPLOs]],"&gt;=2",tbl_task7[[SubPLOs]:[SubPLOs]],"&lt;3")</f>
        <v>0</v>
      </c>
      <c r="BM35" s="138">
        <f>SUMIFS(tbl_task7[S60],tbl_task7[[SubPLOs]:[SubPLOs]],"&gt;=2",tbl_task7[[SubPLOs]:[SubPLOs]],"&lt;3")</f>
        <v>0</v>
      </c>
      <c r="BN35" s="138">
        <f>SUMIFS(tbl_task7[S61],tbl_task7[[SubPLOs]:[SubPLOs]],"&gt;=2",tbl_task7[[SubPLOs]:[SubPLOs]],"&lt;3")</f>
        <v>0</v>
      </c>
      <c r="BO35" s="138">
        <f>SUMIFS(tbl_task7[S62],tbl_task7[[SubPLOs]:[SubPLOs]],"&gt;=2",tbl_task7[[SubPLOs]:[SubPLOs]],"&lt;3")</f>
        <v>0</v>
      </c>
      <c r="BP35" s="138">
        <f>SUMIFS(tbl_task7[S63],tbl_task7[[SubPLOs]:[SubPLOs]],"&gt;=2",tbl_task7[[SubPLOs]:[SubPLOs]],"&lt;3")</f>
        <v>0</v>
      </c>
      <c r="BQ35" s="138">
        <f>SUMIFS(tbl_task7[S64],tbl_task7[[SubPLOs]:[SubPLOs]],"&gt;=2",tbl_task7[[SubPLOs]:[SubPLOs]],"&lt;3")</f>
        <v>0</v>
      </c>
      <c r="BR35" s="138">
        <f>SUMIFS(tbl_task7[S65],tbl_task7[[SubPLOs]:[SubPLOs]],"&gt;=2",tbl_task7[[SubPLOs]:[SubPLOs]],"&lt;3")</f>
        <v>0</v>
      </c>
      <c r="BS35" s="138">
        <f>SUMIFS(tbl_task7[S66],tbl_task7[[SubPLOs]:[SubPLOs]],"&gt;=2",tbl_task7[[SubPLOs]:[SubPLOs]],"&lt;3")</f>
        <v>0</v>
      </c>
      <c r="BT35" s="138">
        <f>SUMIFS(tbl_task7[S67],tbl_task7[[SubPLOs]:[SubPLOs]],"&gt;=2",tbl_task7[[SubPLOs]:[SubPLOs]],"&lt;3")</f>
        <v>0</v>
      </c>
      <c r="BU35" s="138">
        <f>SUMIFS(tbl_task7[S68],tbl_task7[[SubPLOs]:[SubPLOs]],"&gt;=2",tbl_task7[[SubPLOs]:[SubPLOs]],"&lt;3")</f>
        <v>0</v>
      </c>
      <c r="BV35" s="138">
        <f>SUMIFS(tbl_task7[S69],tbl_task7[[SubPLOs]:[SubPLOs]],"&gt;=2",tbl_task7[[SubPLOs]:[SubPLOs]],"&lt;3")</f>
        <v>0</v>
      </c>
      <c r="BW35" s="138">
        <f>SUMIFS(tbl_task7[S70],tbl_task7[[SubPLOs]:[SubPLOs]],"&gt;=2",tbl_task7[[SubPLOs]:[SubPLOs]],"&lt;3")</f>
        <v>0</v>
      </c>
      <c r="BX35" s="138">
        <f>SUMIFS(tbl_task7[S71],tbl_task7[[SubPLOs]:[SubPLOs]],"&gt;=2",tbl_task7[[SubPLOs]:[SubPLOs]],"&lt;3")</f>
        <v>0</v>
      </c>
      <c r="BY35" s="138">
        <f>SUMIFS(tbl_task7[S72],tbl_task7[[SubPLOs]:[SubPLOs]],"&gt;=2",tbl_task7[[SubPLOs]:[SubPLOs]],"&lt;3")</f>
        <v>0</v>
      </c>
      <c r="BZ35" s="138">
        <f>SUMIFS(tbl_task7[S73],tbl_task7[[SubPLOs]:[SubPLOs]],"&gt;=2",tbl_task7[[SubPLOs]:[SubPLOs]],"&lt;3")</f>
        <v>0</v>
      </c>
      <c r="CA35" s="138">
        <f>SUMIFS(tbl_task7[S74],tbl_task7[[SubPLOs]:[SubPLOs]],"&gt;=2",tbl_task7[[SubPLOs]:[SubPLOs]],"&lt;3")</f>
        <v>0</v>
      </c>
      <c r="CB35" s="138">
        <f>SUMIFS(tbl_task7[S75],tbl_task7[[SubPLOs]:[SubPLOs]],"&gt;=2",tbl_task7[[SubPLOs]:[SubPLOs]],"&lt;3")</f>
        <v>0</v>
      </c>
      <c r="CC35" s="138">
        <f>SUMIFS(tbl_task7[S76],tbl_task7[[SubPLOs]:[SubPLOs]],"&gt;=2",tbl_task7[[SubPLOs]:[SubPLOs]],"&lt;3")</f>
        <v>0</v>
      </c>
      <c r="CD35" s="138">
        <f>SUMIFS(tbl_task7[S77],tbl_task7[[SubPLOs]:[SubPLOs]],"&gt;=2",tbl_task7[[SubPLOs]:[SubPLOs]],"&lt;3")</f>
        <v>0</v>
      </c>
      <c r="CE35" s="138">
        <f>SUMIFS(tbl_task7[S78],tbl_task7[[SubPLOs]:[SubPLOs]],"&gt;=2",tbl_task7[[SubPLOs]:[SubPLOs]],"&lt;3")</f>
        <v>0</v>
      </c>
      <c r="CF35" s="138">
        <f>SUMIFS(tbl_task7[S79],tbl_task7[[SubPLOs]:[SubPLOs]],"&gt;=2",tbl_task7[[SubPLOs]:[SubPLOs]],"&lt;3")</f>
        <v>0</v>
      </c>
      <c r="CG35" s="138">
        <f>SUMIFS(tbl_task7[S80],tbl_task7[[SubPLOs]:[SubPLOs]],"&gt;=2",tbl_task7[[SubPLOs]:[SubPLOs]],"&lt;3")</f>
        <v>0</v>
      </c>
      <c r="CH35" s="138">
        <f>SUMIFS(tbl_task7[S81],tbl_task7[[SubPLOs]:[SubPLOs]],"&gt;=2",tbl_task7[[SubPLOs]:[SubPLOs]],"&lt;3")</f>
        <v>0</v>
      </c>
      <c r="CI35" s="138">
        <f>SUMIFS(tbl_task7[S82],tbl_task7[[SubPLOs]:[SubPLOs]],"&gt;=2",tbl_task7[[SubPLOs]:[SubPLOs]],"&lt;3")</f>
        <v>0</v>
      </c>
      <c r="CJ35" s="138">
        <f>SUMIFS(tbl_task7[S83],tbl_task7[[SubPLOs]:[SubPLOs]],"&gt;=2",tbl_task7[[SubPLOs]:[SubPLOs]],"&lt;3")</f>
        <v>0</v>
      </c>
      <c r="CK35" s="138">
        <f>SUMIFS(tbl_task7[S84],tbl_task7[[SubPLOs]:[SubPLOs]],"&gt;=2",tbl_task7[[SubPLOs]:[SubPLOs]],"&lt;3")</f>
        <v>0</v>
      </c>
      <c r="CL35" s="138">
        <f>SUMIFS(tbl_task7[S85],tbl_task7[[SubPLOs]:[SubPLOs]],"&gt;=2",tbl_task7[[SubPLOs]:[SubPLOs]],"&lt;3")</f>
        <v>0</v>
      </c>
      <c r="CM35" s="138">
        <f>SUMIFS(tbl_task7[S86],tbl_task7[[SubPLOs]:[SubPLOs]],"&gt;=2",tbl_task7[[SubPLOs]:[SubPLOs]],"&lt;3")</f>
        <v>0</v>
      </c>
      <c r="CN35" s="138">
        <f>SUMIFS(tbl_task7[S87],tbl_task7[[SubPLOs]:[SubPLOs]],"&gt;=2",tbl_task7[[SubPLOs]:[SubPLOs]],"&lt;3")</f>
        <v>0</v>
      </c>
      <c r="CO35" s="138">
        <f>SUMIFS(tbl_task7[S88],tbl_task7[[SubPLOs]:[SubPLOs]],"&gt;=2",tbl_task7[[SubPLOs]:[SubPLOs]],"&lt;3")</f>
        <v>0</v>
      </c>
      <c r="CP35" s="138">
        <f>SUMIFS(tbl_task7[S89],tbl_task7[[SubPLOs]:[SubPLOs]],"&gt;=2",tbl_task7[[SubPLOs]:[SubPLOs]],"&lt;3")</f>
        <v>0</v>
      </c>
      <c r="CQ35" s="138">
        <f>SUMIFS(tbl_task7[S90],tbl_task7[[SubPLOs]:[SubPLOs]],"&gt;=2",tbl_task7[[SubPLOs]:[SubPLOs]],"&lt;3")</f>
        <v>0</v>
      </c>
      <c r="CR35" s="138">
        <f>SUMIFS(tbl_task7[S91],tbl_task7[[SubPLOs]:[SubPLOs]],"&gt;=2",tbl_task7[[SubPLOs]:[SubPLOs]],"&lt;3")</f>
        <v>0</v>
      </c>
      <c r="CS35" s="138">
        <f>SUMIFS(tbl_task7[S92],tbl_task7[[SubPLOs]:[SubPLOs]],"&gt;=2",tbl_task7[[SubPLOs]:[SubPLOs]],"&lt;3")</f>
        <v>0</v>
      </c>
      <c r="CT35" s="138">
        <f>SUMIFS(tbl_task7[S93],tbl_task7[[SubPLOs]:[SubPLOs]],"&gt;=2",tbl_task7[[SubPLOs]:[SubPLOs]],"&lt;3")</f>
        <v>0</v>
      </c>
      <c r="CU35" s="138">
        <f>SUMIFS(tbl_task7[S94],tbl_task7[[SubPLOs]:[SubPLOs]],"&gt;=2",tbl_task7[[SubPLOs]:[SubPLOs]],"&lt;3")</f>
        <v>0</v>
      </c>
      <c r="CV35" s="138">
        <f>SUMIFS(tbl_task7[S95],tbl_task7[[SubPLOs]:[SubPLOs]],"&gt;=2",tbl_task7[[SubPLOs]:[SubPLOs]],"&lt;3")</f>
        <v>0</v>
      </c>
      <c r="CW35" s="138">
        <f>SUMIFS(tbl_task7[S96],tbl_task7[[SubPLOs]:[SubPLOs]],"&gt;=2",tbl_task7[[SubPLOs]:[SubPLOs]],"&lt;3")</f>
        <v>0</v>
      </c>
      <c r="CX35" s="138">
        <f>SUMIFS(tbl_task7[S97],tbl_task7[[SubPLOs]:[SubPLOs]],"&gt;=2",tbl_task7[[SubPLOs]:[SubPLOs]],"&lt;3")</f>
        <v>0</v>
      </c>
      <c r="CY35" s="138">
        <f>SUMIFS(tbl_task7[S98],tbl_task7[[SubPLOs]:[SubPLOs]],"&gt;=2",tbl_task7[[SubPLOs]:[SubPLOs]],"&lt;3")</f>
        <v>0</v>
      </c>
      <c r="CZ35" s="138">
        <f>SUMIFS(tbl_task7[S99],tbl_task7[[SubPLOs]:[SubPLOs]],"&gt;=2",tbl_task7[[SubPLOs]:[SubPLOs]],"&lt;3")</f>
        <v>0</v>
      </c>
      <c r="DA35" s="138">
        <f>SUMIFS(tbl_task7[S100],tbl_task7[[SubPLOs]:[SubPLOs]],"&gt;=2",tbl_task7[[SubPLOs]:[SubPLOs]],"&lt;3")</f>
        <v>0</v>
      </c>
      <c r="DB35" s="138">
        <f>SUMIFS(tbl_task7[S101],tbl_task7[[SubPLOs]:[SubPLOs]],"&gt;=2",tbl_task7[[SubPLOs]:[SubPLOs]],"&lt;3")</f>
        <v>0</v>
      </c>
      <c r="DC35" s="138">
        <f>SUMIFS(tbl_task7[S102],tbl_task7[[SubPLOs]:[SubPLOs]],"&gt;=2",tbl_task7[[SubPLOs]:[SubPLOs]],"&lt;3")</f>
        <v>0</v>
      </c>
      <c r="DD35" s="138">
        <f>SUMIFS(tbl_task7[S103],tbl_task7[[SubPLOs]:[SubPLOs]],"&gt;=2",tbl_task7[[SubPLOs]:[SubPLOs]],"&lt;3")</f>
        <v>0</v>
      </c>
      <c r="DE35" s="138">
        <f>SUMIFS(tbl_task7[S104],tbl_task7[[SubPLOs]:[SubPLOs]],"&gt;=2",tbl_task7[[SubPLOs]:[SubPLOs]],"&lt;3")</f>
        <v>0</v>
      </c>
      <c r="DF35" s="138">
        <f>SUMIFS(tbl_task7[S105],tbl_task7[[SubPLOs]:[SubPLOs]],"&gt;=2",tbl_task7[[SubPLOs]:[SubPLOs]],"&lt;3")</f>
        <v>0</v>
      </c>
      <c r="DG35" s="138">
        <f>SUMIFS(tbl_task7[S106],tbl_task7[[SubPLOs]:[SubPLOs]],"&gt;=2",tbl_task7[[SubPLOs]:[SubPLOs]],"&lt;3")</f>
        <v>0</v>
      </c>
      <c r="DH35" s="138">
        <f>SUMIFS(tbl_task7[S106],tbl_task7[[SubPLOs]:[SubPLOs]],"&gt;=2",tbl_task7[[SubPLOs]:[SubPLOs]],"&lt;3")</f>
        <v>0</v>
      </c>
      <c r="DI35" s="138">
        <f>SUMIFS(tbl_task7[S108],tbl_task7[[SubPLOs]:[SubPLOs]],"&gt;=2",tbl_task7[[SubPLOs]:[SubPLOs]],"&lt;3")</f>
        <v>0</v>
      </c>
      <c r="DJ35" s="138">
        <f>SUMIFS(tbl_task7[S109],tbl_task7[[SubPLOs]:[SubPLOs]],"&gt;=2",tbl_task7[[SubPLOs]:[SubPLOs]],"&lt;3")</f>
        <v>0</v>
      </c>
      <c r="DK35" s="138">
        <f>SUMIFS(tbl_task7[S110],tbl_task7[[SubPLOs]:[SubPLOs]],"&gt;=2",tbl_task7[[SubPLOs]:[SubPLOs]],"&lt;3")</f>
        <v>0</v>
      </c>
      <c r="DL35" s="138">
        <f>SUMIFS(tbl_task7[S111],tbl_task7[[SubPLOs]:[SubPLOs]],"&gt;=2",tbl_task7[[SubPLOs]:[SubPLOs]],"&lt;3")</f>
        <v>0</v>
      </c>
      <c r="DM35" s="138">
        <f>SUMIFS(tbl_task7[S112],tbl_task7[[SubPLOs]:[SubPLOs]],"&gt;=2",tbl_task7[[SubPLOs]:[SubPLOs]],"&lt;3")</f>
        <v>0</v>
      </c>
      <c r="DN35" s="138">
        <f>SUMIFS(tbl_task7[S113],tbl_task7[[SubPLOs]:[SubPLOs]],"&gt;=2",tbl_task7[[SubPLOs]:[SubPLOs]],"&lt;3")</f>
        <v>0</v>
      </c>
      <c r="DO35" s="138">
        <f>SUMIFS(tbl_task7[S114],tbl_task7[[SubPLOs]:[SubPLOs]],"&gt;=2",tbl_task7[[SubPLOs]:[SubPLOs]],"&lt;3")</f>
        <v>0</v>
      </c>
      <c r="DP35" s="138">
        <f>SUMIFS(tbl_task7[S115],tbl_task7[[SubPLOs]:[SubPLOs]],"&gt;=2",tbl_task7[[SubPLOs]:[SubPLOs]],"&lt;3")</f>
        <v>0</v>
      </c>
      <c r="DQ35" s="138">
        <f>SUMIFS(tbl_task7[S116],tbl_task7[[SubPLOs]:[SubPLOs]],"&gt;=2",tbl_task7[[SubPLOs]:[SubPLOs]],"&lt;3")</f>
        <v>0</v>
      </c>
      <c r="DR35" s="138">
        <f>SUMIFS(tbl_task7[S117],tbl_task7[[SubPLOs]:[SubPLOs]],"&gt;=2",tbl_task7[[SubPLOs]:[SubPLOs]],"&lt;3")</f>
        <v>0</v>
      </c>
      <c r="DS35" s="138">
        <f>SUMIFS(tbl_task7[S118],tbl_task7[[SubPLOs]:[SubPLOs]],"&gt;=2",tbl_task7[[SubPLOs]:[SubPLOs]],"&lt;3")</f>
        <v>0</v>
      </c>
      <c r="DT35" s="138">
        <f>SUMIFS(tbl_task7[S119],tbl_task7[[SubPLOs]:[SubPLOs]],"&gt;=2",tbl_task7[[SubPLOs]:[SubPLOs]],"&lt;3")</f>
        <v>0</v>
      </c>
      <c r="DU35" s="138">
        <f>SUMIFS(tbl_task7[S120],tbl_task7[[SubPLOs]:[SubPLOs]],"&gt;=2",tbl_task7[[SubPLOs]:[SubPLOs]],"&lt;3")</f>
        <v>0</v>
      </c>
      <c r="DV35" s="138">
        <f>SUMIFS(tbl_task7[S121],tbl_task7[[SubPLOs]:[SubPLOs]],"&gt;=2",tbl_task7[[SubPLOs]:[SubPLOs]],"&lt;3")</f>
        <v>0</v>
      </c>
      <c r="DW35" s="138">
        <f>SUMIFS(tbl_task7[S122],tbl_task7[[SubPLOs]:[SubPLOs]],"&gt;=2",tbl_task7[[SubPLOs]:[SubPLOs]],"&lt;3")</f>
        <v>0</v>
      </c>
      <c r="DX35" s="138">
        <f>SUMIFS(tbl_task7[S123],tbl_task7[[SubPLOs]:[SubPLOs]],"&gt;=2",tbl_task7[[SubPLOs]:[SubPLOs]],"&lt;3")</f>
        <v>0</v>
      </c>
      <c r="DY35" s="138">
        <f>SUMIFS(tbl_task7[S124],tbl_task7[[SubPLOs]:[SubPLOs]],"&gt;=2",tbl_task7[[SubPLOs]:[SubPLOs]],"&lt;3")</f>
        <v>0</v>
      </c>
      <c r="DZ35" s="138">
        <f>SUMIFS(tbl_task7[S125],tbl_task7[[SubPLOs]:[SubPLOs]],"&gt;=2",tbl_task7[[SubPLOs]:[SubPLOs]],"&lt;3")</f>
        <v>0</v>
      </c>
      <c r="EA35" s="138">
        <f>SUMIFS(tbl_task7[S126],tbl_task7[[SubPLOs]:[SubPLOs]],"&gt;=2",tbl_task7[[SubPLOs]:[SubPLOs]],"&lt;3")</f>
        <v>0</v>
      </c>
      <c r="EB35" s="138">
        <f>SUMIFS(tbl_task7[S127],tbl_task7[[SubPLOs]:[SubPLOs]],"&gt;=2",tbl_task7[[SubPLOs]:[SubPLOs]],"&lt;3")</f>
        <v>0</v>
      </c>
      <c r="EC35" s="138">
        <f>SUMIFS(tbl_task7[S128],tbl_task7[[SubPLOs]:[SubPLOs]],"&gt;=2",tbl_task7[[SubPLOs]:[SubPLOs]],"&lt;3")</f>
        <v>0</v>
      </c>
      <c r="ED35" s="138">
        <f>SUMIFS(tbl_task7[S129],tbl_task7[[SubPLOs]:[SubPLOs]],"&gt;=2",tbl_task7[[SubPLOs]:[SubPLOs]],"&lt;3")</f>
        <v>0</v>
      </c>
      <c r="EE35" s="138">
        <f>SUMIFS(tbl_task7[S130],tbl_task7[[SubPLOs]:[SubPLOs]],"&gt;=2",tbl_task7[[SubPLOs]:[SubPLOs]],"&lt;3")</f>
        <v>0</v>
      </c>
      <c r="EF35" s="138">
        <f>SUMIFS(tbl_task7[S131],tbl_task7[[SubPLOs]:[SubPLOs]],"&gt;=2",tbl_task7[[SubPLOs]:[SubPLOs]],"&lt;3")</f>
        <v>0</v>
      </c>
      <c r="EG35" s="138">
        <f>SUMIFS(tbl_task7[S132],tbl_task7[[SubPLOs]:[SubPLOs]],"&gt;=2",tbl_task7[[SubPLOs]:[SubPLOs]],"&lt;3")</f>
        <v>0</v>
      </c>
      <c r="EH35" s="138">
        <f>SUMIFS(tbl_task7[S133],tbl_task7[[SubPLOs]:[SubPLOs]],"&gt;=2",tbl_task7[[SubPLOs]:[SubPLOs]],"&lt;3")</f>
        <v>0</v>
      </c>
      <c r="EI35" s="138">
        <f>SUMIFS(tbl_task7[S134],tbl_task7[[SubPLOs]:[SubPLOs]],"&gt;=2",tbl_task7[[SubPLOs]:[SubPLOs]],"&lt;3")</f>
        <v>0</v>
      </c>
      <c r="EJ35" s="138">
        <f>SUMIFS(tbl_task7[S135],tbl_task7[[SubPLOs]:[SubPLOs]],"&gt;=2",tbl_task7[[SubPLOs]:[SubPLOs]],"&lt;3")</f>
        <v>0</v>
      </c>
      <c r="EK35" s="138">
        <f>SUMIFS(tbl_task7[S136],tbl_task7[[SubPLOs]:[SubPLOs]],"&gt;=2",tbl_task7[[SubPLOs]:[SubPLOs]],"&lt;3")</f>
        <v>0</v>
      </c>
      <c r="EL35" s="138">
        <f>SUMIFS(tbl_task7[S137],tbl_task7[[SubPLOs]:[SubPLOs]],"&gt;=2",tbl_task7[[SubPLOs]:[SubPLOs]],"&lt;3")</f>
        <v>0</v>
      </c>
      <c r="EM35" s="138">
        <f>SUMIFS(tbl_task7[S138],tbl_task7[[SubPLOs]:[SubPLOs]],"&gt;=2",tbl_task7[[SubPLOs]:[SubPLOs]],"&lt;3")</f>
        <v>0</v>
      </c>
      <c r="EN35" s="138">
        <f>SUMIFS(tbl_task7[S139],tbl_task7[[SubPLOs]:[SubPLOs]],"&gt;=2",tbl_task7[[SubPLOs]:[SubPLOs]],"&lt;3")</f>
        <v>0</v>
      </c>
      <c r="EO35" s="138">
        <f>SUMIFS(tbl_task7[S140],tbl_task7[[SubPLOs]:[SubPLOs]],"&gt;=2",tbl_task7[[SubPLOs]:[SubPLOs]],"&lt;3")</f>
        <v>0</v>
      </c>
      <c r="EP35" s="138">
        <f>SUMIFS(tbl_task7[S141],tbl_task7[[SubPLOs]:[SubPLOs]],"&gt;=2",tbl_task7[[SubPLOs]:[SubPLOs]],"&lt;3")</f>
        <v>0</v>
      </c>
      <c r="EQ35" s="138">
        <f>SUMIFS(tbl_task7[S142],tbl_task7[[SubPLOs]:[SubPLOs]],"&gt;=2",tbl_task7[[SubPLOs]:[SubPLOs]],"&lt;3")</f>
        <v>0</v>
      </c>
      <c r="ER35" s="138">
        <f>SUMIFS(tbl_task7[S143],tbl_task7[[SubPLOs]:[SubPLOs]],"&gt;=2",tbl_task7[[SubPLOs]:[SubPLOs]],"&lt;3")</f>
        <v>0</v>
      </c>
      <c r="ES35" s="138">
        <f>SUMIFS(tbl_task7[S144],tbl_task7[[SubPLOs]:[SubPLOs]],"&gt;=2",tbl_task7[[SubPLOs]:[SubPLOs]],"&lt;3")</f>
        <v>0</v>
      </c>
      <c r="ET35" s="138">
        <f>SUMIFS(tbl_task7[S145],tbl_task7[[SubPLOs]:[SubPLOs]],"&gt;=2",tbl_task7[[SubPLOs]:[SubPLOs]],"&lt;3")</f>
        <v>0</v>
      </c>
      <c r="EU35" s="138">
        <f>SUMIFS(tbl_task7[S146],tbl_task7[[SubPLOs]:[SubPLOs]],"&gt;=2",tbl_task7[[SubPLOs]:[SubPLOs]],"&lt;3")</f>
        <v>0</v>
      </c>
      <c r="EV35" s="138">
        <f>SUMIFS(tbl_task7[S147],tbl_task7[[SubPLOs]:[SubPLOs]],"&gt;=2",tbl_task7[[SubPLOs]:[SubPLOs]],"&lt;3")</f>
        <v>0</v>
      </c>
      <c r="EW35" s="138">
        <f>SUMIFS(tbl_task7[S148],tbl_task7[[SubPLOs]:[SubPLOs]],"&gt;=2",tbl_task7[[SubPLOs]:[SubPLOs]],"&lt;3")</f>
        <v>0</v>
      </c>
      <c r="EX35" s="138">
        <f>SUMIFS(tbl_task7[S149],tbl_task7[[SubPLOs]:[SubPLOs]],"&gt;=2",tbl_task7[[SubPLOs]:[SubPLOs]],"&lt;3")</f>
        <v>0</v>
      </c>
      <c r="EY35" s="138">
        <f>SUMIFS(tbl_task7[S150],tbl_task7[[SubPLOs]:[SubPLOs]],"&gt;=2",tbl_task7[[SubPLOs]:[SubPLOs]],"&lt;3")</f>
        <v>0</v>
      </c>
      <c r="EZ35" s="138">
        <f>SUMIFS(tbl_task7[S151],tbl_task7[[SubPLOs]:[SubPLOs]],"&gt;=2",tbl_task7[[SubPLOs]:[SubPLOs]],"&lt;3")</f>
        <v>0</v>
      </c>
      <c r="FA35" s="138">
        <f>SUMIFS(tbl_task7[S152],tbl_task7[[SubPLOs]:[SubPLOs]],"&gt;=2",tbl_task7[[SubPLOs]:[SubPLOs]],"&lt;3")</f>
        <v>0</v>
      </c>
      <c r="FB35" s="138">
        <f>SUMIFS(tbl_task7[S153],tbl_task7[[SubPLOs]:[SubPLOs]],"&gt;=2",tbl_task7[[SubPLOs]:[SubPLOs]],"&lt;3")</f>
        <v>0</v>
      </c>
      <c r="FC35" s="138">
        <f>SUMIFS(tbl_task7[S154],tbl_task7[[SubPLOs]:[SubPLOs]],"&gt;=2",tbl_task7[[SubPLOs]:[SubPLOs]],"&lt;3")</f>
        <v>0</v>
      </c>
      <c r="FD35" s="138">
        <f>SUMIFS(tbl_task7[S155],tbl_task7[[SubPLOs]:[SubPLOs]],"&gt;=2",tbl_task7[[SubPLOs]:[SubPLOs]],"&lt;3")</f>
        <v>0</v>
      </c>
      <c r="FE35" s="138">
        <f>SUMIFS(tbl_task7[S156],tbl_task7[[SubPLOs]:[SubPLOs]],"&gt;=2",tbl_task7[[SubPLOs]:[SubPLOs]],"&lt;3")</f>
        <v>0</v>
      </c>
      <c r="FF35" s="138">
        <f>SUMIFS(tbl_task7[S157],tbl_task7[[SubPLOs]:[SubPLOs]],"&gt;=2",tbl_task7[[SubPLOs]:[SubPLOs]],"&lt;3")</f>
        <v>0</v>
      </c>
      <c r="FG35" s="138">
        <f>SUMIFS(tbl_task7[S158],tbl_task7[[SubPLOs]:[SubPLOs]],"&gt;=2",tbl_task7[[SubPLOs]:[SubPLOs]],"&lt;3")</f>
        <v>0</v>
      </c>
      <c r="FH35" s="138">
        <f>SUMIFS(tbl_task7[S159],tbl_task7[[SubPLOs]:[SubPLOs]],"&gt;=2",tbl_task7[[SubPLOs]:[SubPLOs]],"&lt;3")</f>
        <v>0</v>
      </c>
      <c r="FI35" s="138">
        <f>SUMIFS(tbl_task7[S160],tbl_task7[[SubPLOs]:[SubPLOs]],"&gt;=2",tbl_task7[[SubPLOs]:[SubPLOs]],"&lt;3")</f>
        <v>0</v>
      </c>
      <c r="FJ35" s="138">
        <f>SUMIFS(tbl_task7[S161],tbl_task7[[SubPLOs]:[SubPLOs]],"&gt;=2",tbl_task7[[SubPLOs]:[SubPLOs]],"&lt;3")</f>
        <v>0</v>
      </c>
      <c r="FK35" s="138">
        <f>SUMIFS(tbl_task7[S162],tbl_task7[[SubPLOs]:[SubPLOs]],"&gt;=2",tbl_task7[[SubPLOs]:[SubPLOs]],"&lt;3")</f>
        <v>0</v>
      </c>
      <c r="FL35" s="138">
        <f>SUMIFS(tbl_task7[S163],tbl_task7[[SubPLOs]:[SubPLOs]],"&gt;=2",tbl_task7[[SubPLOs]:[SubPLOs]],"&lt;3")</f>
        <v>0</v>
      </c>
      <c r="FM35" s="138">
        <f>SUMIFS(tbl_task7[S164],tbl_task7[[SubPLOs]:[SubPLOs]],"&gt;=2",tbl_task7[[SubPLOs]:[SubPLOs]],"&lt;3")</f>
        <v>0</v>
      </c>
      <c r="FN35" s="138">
        <f>SUMIFS(tbl_task7[S165],tbl_task7[[SubPLOs]:[SubPLOs]],"&gt;=2",tbl_task7[[SubPLOs]:[SubPLOs]],"&lt;3")</f>
        <v>0</v>
      </c>
    </row>
    <row r="36" spans="1:170" ht="63" x14ac:dyDescent="0.25">
      <c r="A36" s="135">
        <v>3</v>
      </c>
      <c r="B36" s="5" t="s">
        <v>436</v>
      </c>
      <c r="C36" s="136">
        <f>COUNTIFS(tbl_task7[SubPLOs],"&gt;=3",tbl_task7[SubPLOs],"&lt;4")</f>
        <v>0</v>
      </c>
      <c r="D36" s="136">
        <f>SUMIFS(tbl_task7[คะแนนเต็ม],tbl_task7[SubPLOs],"&gt;=3",tbl_task7[SubPLOs],"&lt;4")</f>
        <v>0</v>
      </c>
      <c r="E36" s="137">
        <f>SUMIFS(tbl_task7[%],tbl_task7[SubPLOs],"&gt;=3",tbl_task7[SubPLOs],"&lt;4")</f>
        <v>0</v>
      </c>
      <c r="F36" s="138">
        <f>SUMIFS(tbl_task7[S1],tbl_task7[[SubPLOs]:[SubPLOs]],"&gt;=3",tbl_task7[[SubPLOs]:[SubPLOs]],"&lt;4")</f>
        <v>0</v>
      </c>
      <c r="G36" s="138">
        <f>SUMIFS(tbl_task7[S2],tbl_task7[[SubPLOs]:[SubPLOs]],"&gt;=3",tbl_task7[[SubPLOs]:[SubPLOs]],"&lt;4")</f>
        <v>0</v>
      </c>
      <c r="H36" s="138">
        <f>SUMIFS(tbl_task7[S3],tbl_task7[[SubPLOs]:[SubPLOs]],"&gt;=3",tbl_task7[[SubPLOs]:[SubPLOs]],"&lt;4")</f>
        <v>0</v>
      </c>
      <c r="I36" s="138">
        <f>SUMIFS(tbl_task7[S4],tbl_task7[[SubPLOs]:[SubPLOs]],"&gt;=3",tbl_task7[[SubPLOs]:[SubPLOs]],"&lt;4")</f>
        <v>0</v>
      </c>
      <c r="J36" s="138">
        <f>SUMIFS(tbl_task7[S5],tbl_task7[[SubPLOs]:[SubPLOs]],"&gt;=3",tbl_task7[[SubPLOs]:[SubPLOs]],"&lt;4")</f>
        <v>0</v>
      </c>
      <c r="K36" s="138">
        <f>SUMIFS(tbl_task7[S6],tbl_task7[[SubPLOs]:[SubPLOs]],"&gt;=3",tbl_task7[[SubPLOs]:[SubPLOs]],"&lt;4")</f>
        <v>0</v>
      </c>
      <c r="L36" s="138">
        <f>SUMIFS(tbl_task7[S7],tbl_task7[[SubPLOs]:[SubPLOs]],"&gt;=3",tbl_task7[[SubPLOs]:[SubPLOs]],"&lt;4")</f>
        <v>0</v>
      </c>
      <c r="M36" s="138">
        <f>SUMIFS(tbl_task7[S8],tbl_task7[[SubPLOs]:[SubPLOs]],"&gt;=3",tbl_task7[[SubPLOs]:[SubPLOs]],"&lt;4")</f>
        <v>0</v>
      </c>
      <c r="N36" s="138">
        <f>SUMIFS(tbl_task7[S9],tbl_task7[[SubPLOs]:[SubPLOs]],"&gt;=3",tbl_task7[[SubPLOs]:[SubPLOs]],"&lt;4")</f>
        <v>0</v>
      </c>
      <c r="O36" s="138">
        <f>SUMIFS(tbl_task7[S10],tbl_task7[[SubPLOs]:[SubPLOs]],"&gt;=3",tbl_task7[[SubPLOs]:[SubPLOs]],"&lt;4")</f>
        <v>0</v>
      </c>
      <c r="P36" s="138">
        <f>SUMIFS(tbl_task7[S11],tbl_task7[[SubPLOs]:[SubPLOs]],"&gt;=3",tbl_task7[[SubPLOs]:[SubPLOs]],"&lt;4")</f>
        <v>0</v>
      </c>
      <c r="Q36" s="138">
        <f>SUMIFS(tbl_task7[S12],tbl_task7[[SubPLOs]:[SubPLOs]],"&gt;=3",tbl_task7[[SubPLOs]:[SubPLOs]],"&lt;4")</f>
        <v>0</v>
      </c>
      <c r="R36" s="138">
        <f>SUMIFS(tbl_task7[S13],tbl_task7[[SubPLOs]:[SubPLOs]],"&gt;=3",tbl_task7[[SubPLOs]:[SubPLOs]],"&lt;4")</f>
        <v>0</v>
      </c>
      <c r="S36" s="138">
        <f>SUMIFS(tbl_task7[S14],tbl_task7[[SubPLOs]:[SubPLOs]],"&gt;=3",tbl_task7[[SubPLOs]:[SubPLOs]],"&lt;4")</f>
        <v>0</v>
      </c>
      <c r="T36" s="138">
        <f>SUMIFS(tbl_task7[S15],tbl_task7[[SubPLOs]:[SubPLOs]],"&gt;=3",tbl_task7[[SubPLOs]:[SubPLOs]],"&lt;4")</f>
        <v>0</v>
      </c>
      <c r="U36" s="138">
        <f>SUMIFS(tbl_task7[S16],tbl_task7[[SubPLOs]:[SubPLOs]],"&gt;=3",tbl_task7[[SubPLOs]:[SubPLOs]],"&lt;4")</f>
        <v>0</v>
      </c>
      <c r="V36" s="138">
        <f>SUMIFS(tbl_task7[S17],tbl_task7[[SubPLOs]:[SubPLOs]],"&gt;=3",tbl_task7[[SubPLOs]:[SubPLOs]],"&lt;4")</f>
        <v>0</v>
      </c>
      <c r="W36" s="138">
        <f>SUMIFS(tbl_task7[S18],tbl_task7[[SubPLOs]:[SubPLOs]],"&gt;=3",tbl_task7[[SubPLOs]:[SubPLOs]],"&lt;4")</f>
        <v>0</v>
      </c>
      <c r="X36" s="138">
        <f>SUMIFS(tbl_task7[S19],tbl_task7[[SubPLOs]:[SubPLOs]],"&gt;=3",tbl_task7[[SubPLOs]:[SubPLOs]],"&lt;4")</f>
        <v>0</v>
      </c>
      <c r="Y36" s="138">
        <f>SUMIFS(tbl_task7[S20],tbl_task7[[SubPLOs]:[SubPLOs]],"&gt;=3",tbl_task7[[SubPLOs]:[SubPLOs]],"&lt;4")</f>
        <v>0</v>
      </c>
      <c r="Z36" s="138">
        <f>SUMIFS(tbl_task7[S21],tbl_task7[[SubPLOs]:[SubPLOs]],"&gt;=3",tbl_task7[[SubPLOs]:[SubPLOs]],"&lt;4")</f>
        <v>0</v>
      </c>
      <c r="AA36" s="138">
        <f>SUMIFS(tbl_task7[S22],tbl_task7[[SubPLOs]:[SubPLOs]],"&gt;=3",tbl_task7[[SubPLOs]:[SubPLOs]],"&lt;4")</f>
        <v>0</v>
      </c>
      <c r="AB36" s="138">
        <f>SUMIFS(tbl_task7[S23],tbl_task7[[SubPLOs]:[SubPLOs]],"&gt;=3",tbl_task7[[SubPLOs]:[SubPLOs]],"&lt;4")</f>
        <v>0</v>
      </c>
      <c r="AC36" s="138">
        <f>SUMIFS(tbl_task7[S24],tbl_task7[[SubPLOs]:[SubPLOs]],"&gt;=3",tbl_task7[[SubPLOs]:[SubPLOs]],"&lt;4")</f>
        <v>0</v>
      </c>
      <c r="AD36" s="138">
        <f>SUMIFS(tbl_task7[S25],tbl_task7[[SubPLOs]:[SubPLOs]],"&gt;=3",tbl_task7[[SubPLOs]:[SubPLOs]],"&lt;4")</f>
        <v>0</v>
      </c>
      <c r="AE36" s="138">
        <f>SUMIFS(tbl_task7[S26],tbl_task7[[SubPLOs]:[SubPLOs]],"&gt;=3",tbl_task7[[SubPLOs]:[SubPLOs]],"&lt;4")</f>
        <v>0</v>
      </c>
      <c r="AF36" s="138">
        <f>SUMIFS(tbl_task7[S27],tbl_task7[[SubPLOs]:[SubPLOs]],"&gt;=3",tbl_task7[[SubPLOs]:[SubPLOs]],"&lt;4")</f>
        <v>0</v>
      </c>
      <c r="AG36" s="138">
        <f>SUMIFS(tbl_task7[S28],tbl_task7[[SubPLOs]:[SubPLOs]],"&gt;=3",tbl_task7[[SubPLOs]:[SubPLOs]],"&lt;4")</f>
        <v>0</v>
      </c>
      <c r="AH36" s="138">
        <f>SUMIFS(tbl_task7[S29],tbl_task7[[SubPLOs]:[SubPLOs]],"&gt;=3",tbl_task7[[SubPLOs]:[SubPLOs]],"&lt;4")</f>
        <v>0</v>
      </c>
      <c r="AI36" s="138">
        <f>SUMIFS(tbl_task7[S30],tbl_task7[[SubPLOs]:[SubPLOs]],"&gt;=3",tbl_task7[[SubPLOs]:[SubPLOs]],"&lt;4")</f>
        <v>0</v>
      </c>
      <c r="AJ36" s="138">
        <f>SUMIFS(tbl_task7[S31],tbl_task7[[SubPLOs]:[SubPLOs]],"&gt;=3",tbl_task7[[SubPLOs]:[SubPLOs]],"&lt;4")</f>
        <v>0</v>
      </c>
      <c r="AK36" s="138">
        <f>SUMIFS(tbl_task7[S32],tbl_task7[[SubPLOs]:[SubPLOs]],"&gt;=3",tbl_task7[[SubPLOs]:[SubPLOs]],"&lt;4")</f>
        <v>0</v>
      </c>
      <c r="AL36" s="138">
        <f>SUMIFS(tbl_task7[S33],tbl_task7[[SubPLOs]:[SubPLOs]],"&gt;=3",tbl_task7[[SubPLOs]:[SubPLOs]],"&lt;4")</f>
        <v>0</v>
      </c>
      <c r="AM36" s="138">
        <f>SUMIFS(tbl_task7[S34],tbl_task7[[SubPLOs]:[SubPLOs]],"&gt;=3",tbl_task7[[SubPLOs]:[SubPLOs]],"&lt;4")</f>
        <v>0</v>
      </c>
      <c r="AN36" s="138">
        <f>SUMIFS(tbl_task7[S35],tbl_task7[[SubPLOs]:[SubPLOs]],"&gt;=3",tbl_task7[[SubPLOs]:[SubPLOs]],"&lt;4")</f>
        <v>0</v>
      </c>
      <c r="AO36" s="138">
        <f>SUMIFS(tbl_task7[S36],tbl_task7[[SubPLOs]:[SubPLOs]],"&gt;=3",tbl_task7[[SubPLOs]:[SubPLOs]],"&lt;4")</f>
        <v>0</v>
      </c>
      <c r="AP36" s="138">
        <f>SUMIFS(tbl_task7[S37],tbl_task7[[SubPLOs]:[SubPLOs]],"&gt;=3",tbl_task7[[SubPLOs]:[SubPLOs]],"&lt;4")</f>
        <v>0</v>
      </c>
      <c r="AQ36" s="138">
        <f>SUMIFS(tbl_task7[S38],tbl_task7[[SubPLOs]:[SubPLOs]],"&gt;=3",tbl_task7[[SubPLOs]:[SubPLOs]],"&lt;4")</f>
        <v>0</v>
      </c>
      <c r="AR36" s="138">
        <f>SUMIFS(tbl_task7[S39],tbl_task7[[SubPLOs]:[SubPLOs]],"&gt;=3",tbl_task7[[SubPLOs]:[SubPLOs]],"&lt;4")</f>
        <v>0</v>
      </c>
      <c r="AS36" s="138">
        <f>SUMIFS(tbl_task7[S40],tbl_task7[[SubPLOs]:[SubPLOs]],"&gt;=3",tbl_task7[[SubPLOs]:[SubPLOs]],"&lt;4")</f>
        <v>0</v>
      </c>
      <c r="AT36" s="138">
        <f>SUMIFS(tbl_task7[S41],tbl_task7[[SubPLOs]:[SubPLOs]],"&gt;=3",tbl_task7[[SubPLOs]:[SubPLOs]],"&lt;4")</f>
        <v>0</v>
      </c>
      <c r="AU36" s="138">
        <f>SUMIFS(tbl_task7[S42],tbl_task7[[SubPLOs]:[SubPLOs]],"&gt;=3",tbl_task7[[SubPLOs]:[SubPLOs]],"&lt;4")</f>
        <v>0</v>
      </c>
      <c r="AV36" s="138">
        <f>SUMIFS(tbl_task7[S43],tbl_task7[[SubPLOs]:[SubPLOs]],"&gt;=3",tbl_task7[[SubPLOs]:[SubPLOs]],"&lt;4")</f>
        <v>0</v>
      </c>
      <c r="AW36" s="138">
        <f>SUMIFS(tbl_task7[S44],tbl_task7[[SubPLOs]:[SubPLOs]],"&gt;=3",tbl_task7[[SubPLOs]:[SubPLOs]],"&lt;4")</f>
        <v>0</v>
      </c>
      <c r="AX36" s="138">
        <f>SUMIFS(tbl_task7[S45],tbl_task7[[SubPLOs]:[SubPLOs]],"&gt;=3",tbl_task7[[SubPLOs]:[SubPLOs]],"&lt;4")</f>
        <v>0</v>
      </c>
      <c r="AY36" s="138">
        <f>SUMIFS(tbl_task7[S46],tbl_task7[[SubPLOs]:[SubPLOs]],"&gt;=3",tbl_task7[[SubPLOs]:[SubPLOs]],"&lt;4")</f>
        <v>0</v>
      </c>
      <c r="AZ36" s="138">
        <f>SUMIFS(tbl_task7[S47],tbl_task7[[SubPLOs]:[SubPLOs]],"&gt;=3",tbl_task7[[SubPLOs]:[SubPLOs]],"&lt;4")</f>
        <v>0</v>
      </c>
      <c r="BA36" s="138">
        <f>SUMIFS(tbl_task7[S48],tbl_task7[[SubPLOs]:[SubPLOs]],"&gt;=3",tbl_task7[[SubPLOs]:[SubPLOs]],"&lt;4")</f>
        <v>0</v>
      </c>
      <c r="BB36" s="138">
        <f>SUMIFS(tbl_task7[S49],tbl_task7[[SubPLOs]:[SubPLOs]],"&gt;=3",tbl_task7[[SubPLOs]:[SubPLOs]],"&lt;4")</f>
        <v>0</v>
      </c>
      <c r="BC36" s="138">
        <f>SUMIFS(tbl_task7[S50],tbl_task7[[SubPLOs]:[SubPLOs]],"&gt;=3",tbl_task7[[SubPLOs]:[SubPLOs]],"&lt;4")</f>
        <v>0</v>
      </c>
      <c r="BD36" s="138">
        <f>SUMIFS(tbl_task7[S51],tbl_task7[[SubPLOs]:[SubPLOs]],"&gt;=3",tbl_task7[[SubPLOs]:[SubPLOs]],"&lt;4")</f>
        <v>0</v>
      </c>
      <c r="BE36" s="138">
        <f>SUMIFS(tbl_task7[S52],tbl_task7[[SubPLOs]:[SubPLOs]],"&gt;=3",tbl_task7[[SubPLOs]:[SubPLOs]],"&lt;4")</f>
        <v>0</v>
      </c>
      <c r="BF36" s="138">
        <f>SUMIFS(tbl_task7[S53],tbl_task7[[SubPLOs]:[SubPLOs]],"&gt;=3",tbl_task7[[SubPLOs]:[SubPLOs]],"&lt;4")</f>
        <v>0</v>
      </c>
      <c r="BG36" s="138">
        <f>SUMIFS(tbl_task7[S54],tbl_task7[[SubPLOs]:[SubPLOs]],"&gt;=3",tbl_task7[[SubPLOs]:[SubPLOs]],"&lt;4")</f>
        <v>0</v>
      </c>
      <c r="BH36" s="138">
        <f>SUMIFS(tbl_task7[S55],tbl_task7[[SubPLOs]:[SubPLOs]],"&gt;=3",tbl_task7[[SubPLOs]:[SubPLOs]],"&lt;4")</f>
        <v>0</v>
      </c>
      <c r="BI36" s="138">
        <f>SUMIFS(tbl_task7[S56],tbl_task7[[SubPLOs]:[SubPLOs]],"&gt;=3",tbl_task7[[SubPLOs]:[SubPLOs]],"&lt;4")</f>
        <v>0</v>
      </c>
      <c r="BJ36" s="138">
        <f>SUMIFS(tbl_task7[S57],tbl_task7[[SubPLOs]:[SubPLOs]],"&gt;=3",tbl_task7[[SubPLOs]:[SubPLOs]],"&lt;4")</f>
        <v>0</v>
      </c>
      <c r="BK36" s="138">
        <f>SUMIFS(tbl_task7[S58],tbl_task7[[SubPLOs]:[SubPLOs]],"&gt;=3",tbl_task7[[SubPLOs]:[SubPLOs]],"&lt;4")</f>
        <v>0</v>
      </c>
      <c r="BL36" s="138">
        <f>SUMIFS(tbl_task7[S59],tbl_task7[[SubPLOs]:[SubPLOs]],"&gt;=3",tbl_task7[[SubPLOs]:[SubPLOs]],"&lt;4")</f>
        <v>0</v>
      </c>
      <c r="BM36" s="138">
        <f>SUMIFS(tbl_task7[S60],tbl_task7[[SubPLOs]:[SubPLOs]],"&gt;=3",tbl_task7[[SubPLOs]:[SubPLOs]],"&lt;4")</f>
        <v>0</v>
      </c>
      <c r="BN36" s="138">
        <f>SUMIFS(tbl_task7[S61],tbl_task7[[SubPLOs]:[SubPLOs]],"&gt;=3",tbl_task7[[SubPLOs]:[SubPLOs]],"&lt;4")</f>
        <v>0</v>
      </c>
      <c r="BO36" s="138">
        <f>SUMIFS(tbl_task7[S62],tbl_task7[[SubPLOs]:[SubPLOs]],"&gt;=3",tbl_task7[[SubPLOs]:[SubPLOs]],"&lt;4")</f>
        <v>0</v>
      </c>
      <c r="BP36" s="138">
        <f>SUMIFS(tbl_task7[S63],tbl_task7[[SubPLOs]:[SubPLOs]],"&gt;=3",tbl_task7[[SubPLOs]:[SubPLOs]],"&lt;4")</f>
        <v>0</v>
      </c>
      <c r="BQ36" s="138">
        <f>SUMIFS(tbl_task7[S64],tbl_task7[[SubPLOs]:[SubPLOs]],"&gt;=3",tbl_task7[[SubPLOs]:[SubPLOs]],"&lt;4")</f>
        <v>0</v>
      </c>
      <c r="BR36" s="138">
        <f>SUMIFS(tbl_task7[S65],tbl_task7[[SubPLOs]:[SubPLOs]],"&gt;=3",tbl_task7[[SubPLOs]:[SubPLOs]],"&lt;4")</f>
        <v>0</v>
      </c>
      <c r="BS36" s="138">
        <f>SUMIFS(tbl_task7[S66],tbl_task7[[SubPLOs]:[SubPLOs]],"&gt;=3",tbl_task7[[SubPLOs]:[SubPLOs]],"&lt;4")</f>
        <v>0</v>
      </c>
      <c r="BT36" s="138">
        <f>SUMIFS(tbl_task7[S67],tbl_task7[[SubPLOs]:[SubPLOs]],"&gt;=3",tbl_task7[[SubPLOs]:[SubPLOs]],"&lt;4")</f>
        <v>0</v>
      </c>
      <c r="BU36" s="138">
        <f>SUMIFS(tbl_task7[S68],tbl_task7[[SubPLOs]:[SubPLOs]],"&gt;=3",tbl_task7[[SubPLOs]:[SubPLOs]],"&lt;4")</f>
        <v>0</v>
      </c>
      <c r="BV36" s="138">
        <f>SUMIFS(tbl_task7[S69],tbl_task7[[SubPLOs]:[SubPLOs]],"&gt;=3",tbl_task7[[SubPLOs]:[SubPLOs]],"&lt;4")</f>
        <v>0</v>
      </c>
      <c r="BW36" s="138">
        <f>SUMIFS(tbl_task7[S70],tbl_task7[[SubPLOs]:[SubPLOs]],"&gt;=3",tbl_task7[[SubPLOs]:[SubPLOs]],"&lt;4")</f>
        <v>0</v>
      </c>
      <c r="BX36" s="138">
        <f>SUMIFS(tbl_task7[S71],tbl_task7[[SubPLOs]:[SubPLOs]],"&gt;=3",tbl_task7[[SubPLOs]:[SubPLOs]],"&lt;4")</f>
        <v>0</v>
      </c>
      <c r="BY36" s="138">
        <f>SUMIFS(tbl_task7[S72],tbl_task7[[SubPLOs]:[SubPLOs]],"&gt;=3",tbl_task7[[SubPLOs]:[SubPLOs]],"&lt;4")</f>
        <v>0</v>
      </c>
      <c r="BZ36" s="138">
        <f>SUMIFS(tbl_task7[S73],tbl_task7[[SubPLOs]:[SubPLOs]],"&gt;=3",tbl_task7[[SubPLOs]:[SubPLOs]],"&lt;4")</f>
        <v>0</v>
      </c>
      <c r="CA36" s="138">
        <f>SUMIFS(tbl_task7[S74],tbl_task7[[SubPLOs]:[SubPLOs]],"&gt;=3",tbl_task7[[SubPLOs]:[SubPLOs]],"&lt;4")</f>
        <v>0</v>
      </c>
      <c r="CB36" s="138">
        <f>SUMIFS(tbl_task7[S75],tbl_task7[[SubPLOs]:[SubPLOs]],"&gt;=3",tbl_task7[[SubPLOs]:[SubPLOs]],"&lt;4")</f>
        <v>0</v>
      </c>
      <c r="CC36" s="138">
        <f>SUMIFS(tbl_task7[S76],tbl_task7[[SubPLOs]:[SubPLOs]],"&gt;=3",tbl_task7[[SubPLOs]:[SubPLOs]],"&lt;4")</f>
        <v>0</v>
      </c>
      <c r="CD36" s="138">
        <f>SUMIFS(tbl_task7[S77],tbl_task7[[SubPLOs]:[SubPLOs]],"&gt;=3",tbl_task7[[SubPLOs]:[SubPLOs]],"&lt;4")</f>
        <v>0</v>
      </c>
      <c r="CE36" s="138">
        <f>SUMIFS(tbl_task7[S78],tbl_task7[[SubPLOs]:[SubPLOs]],"&gt;=3",tbl_task7[[SubPLOs]:[SubPLOs]],"&lt;4")</f>
        <v>0</v>
      </c>
      <c r="CF36" s="138">
        <f>SUMIFS(tbl_task7[S79],tbl_task7[[SubPLOs]:[SubPLOs]],"&gt;=3",tbl_task7[[SubPLOs]:[SubPLOs]],"&lt;4")</f>
        <v>0</v>
      </c>
      <c r="CG36" s="138">
        <f>SUMIFS(tbl_task7[S80],tbl_task7[[SubPLOs]:[SubPLOs]],"&gt;=3",tbl_task7[[SubPLOs]:[SubPLOs]],"&lt;4")</f>
        <v>0</v>
      </c>
      <c r="CH36" s="138">
        <f>SUMIFS(tbl_task7[S81],tbl_task7[[SubPLOs]:[SubPLOs]],"&gt;=3",tbl_task7[[SubPLOs]:[SubPLOs]],"&lt;4")</f>
        <v>0</v>
      </c>
      <c r="CI36" s="138">
        <f>SUMIFS(tbl_task7[S82],tbl_task7[[SubPLOs]:[SubPLOs]],"&gt;=3",tbl_task7[[SubPLOs]:[SubPLOs]],"&lt;4")</f>
        <v>0</v>
      </c>
      <c r="CJ36" s="138">
        <f>SUMIFS(tbl_task7[S83],tbl_task7[[SubPLOs]:[SubPLOs]],"&gt;=3",tbl_task7[[SubPLOs]:[SubPLOs]],"&lt;4")</f>
        <v>0</v>
      </c>
      <c r="CK36" s="138">
        <f>SUMIFS(tbl_task7[S84],tbl_task7[[SubPLOs]:[SubPLOs]],"&gt;=3",tbl_task7[[SubPLOs]:[SubPLOs]],"&lt;4")</f>
        <v>0</v>
      </c>
      <c r="CL36" s="138">
        <f>SUMIFS(tbl_task7[S85],tbl_task7[[SubPLOs]:[SubPLOs]],"&gt;=3",tbl_task7[[SubPLOs]:[SubPLOs]],"&lt;4")</f>
        <v>0</v>
      </c>
      <c r="CM36" s="138">
        <f>SUMIFS(tbl_task7[S86],tbl_task7[[SubPLOs]:[SubPLOs]],"&gt;=3",tbl_task7[[SubPLOs]:[SubPLOs]],"&lt;4")</f>
        <v>0</v>
      </c>
      <c r="CN36" s="138">
        <f>SUMIFS(tbl_task7[S87],tbl_task7[[SubPLOs]:[SubPLOs]],"&gt;=3",tbl_task7[[SubPLOs]:[SubPLOs]],"&lt;4")</f>
        <v>0</v>
      </c>
      <c r="CO36" s="138">
        <f>SUMIFS(tbl_task7[S88],tbl_task7[[SubPLOs]:[SubPLOs]],"&gt;=3",tbl_task7[[SubPLOs]:[SubPLOs]],"&lt;4")</f>
        <v>0</v>
      </c>
      <c r="CP36" s="138">
        <f>SUMIFS(tbl_task7[S89],tbl_task7[[SubPLOs]:[SubPLOs]],"&gt;=3",tbl_task7[[SubPLOs]:[SubPLOs]],"&lt;4")</f>
        <v>0</v>
      </c>
      <c r="CQ36" s="138">
        <f>SUMIFS(tbl_task7[S90],tbl_task7[[SubPLOs]:[SubPLOs]],"&gt;=3",tbl_task7[[SubPLOs]:[SubPLOs]],"&lt;4")</f>
        <v>0</v>
      </c>
      <c r="CR36" s="138">
        <f>SUMIFS(tbl_task7[S91],tbl_task7[[SubPLOs]:[SubPLOs]],"&gt;=3",tbl_task7[[SubPLOs]:[SubPLOs]],"&lt;4")</f>
        <v>0</v>
      </c>
      <c r="CS36" s="138">
        <f>SUMIFS(tbl_task7[S92],tbl_task7[[SubPLOs]:[SubPLOs]],"&gt;=3",tbl_task7[[SubPLOs]:[SubPLOs]],"&lt;4")</f>
        <v>0</v>
      </c>
      <c r="CT36" s="138">
        <f>SUMIFS(tbl_task7[S93],tbl_task7[[SubPLOs]:[SubPLOs]],"&gt;=3",tbl_task7[[SubPLOs]:[SubPLOs]],"&lt;4")</f>
        <v>0</v>
      </c>
      <c r="CU36" s="138">
        <f>SUMIFS(tbl_task7[S94],tbl_task7[[SubPLOs]:[SubPLOs]],"&gt;=3",tbl_task7[[SubPLOs]:[SubPLOs]],"&lt;4")</f>
        <v>0</v>
      </c>
      <c r="CV36" s="138">
        <f>SUMIFS(tbl_task7[S95],tbl_task7[[SubPLOs]:[SubPLOs]],"&gt;=3",tbl_task7[[SubPLOs]:[SubPLOs]],"&lt;4")</f>
        <v>0</v>
      </c>
      <c r="CW36" s="138">
        <f>SUMIFS(tbl_task7[S96],tbl_task7[[SubPLOs]:[SubPLOs]],"&gt;=3",tbl_task7[[SubPLOs]:[SubPLOs]],"&lt;4")</f>
        <v>0</v>
      </c>
      <c r="CX36" s="138">
        <f>SUMIFS(tbl_task7[S97],tbl_task7[[SubPLOs]:[SubPLOs]],"&gt;=3",tbl_task7[[SubPLOs]:[SubPLOs]],"&lt;4")</f>
        <v>0</v>
      </c>
      <c r="CY36" s="138">
        <f>SUMIFS(tbl_task7[S98],tbl_task7[[SubPLOs]:[SubPLOs]],"&gt;=3",tbl_task7[[SubPLOs]:[SubPLOs]],"&lt;4")</f>
        <v>0</v>
      </c>
      <c r="CZ36" s="138">
        <f>SUMIFS(tbl_task7[S99],tbl_task7[[SubPLOs]:[SubPLOs]],"&gt;=3",tbl_task7[[SubPLOs]:[SubPLOs]],"&lt;4")</f>
        <v>0</v>
      </c>
      <c r="DA36" s="138">
        <f>SUMIFS(tbl_task7[S100],tbl_task7[[SubPLOs]:[SubPLOs]],"&gt;=3",tbl_task7[[SubPLOs]:[SubPLOs]],"&lt;4")</f>
        <v>0</v>
      </c>
      <c r="DB36" s="138">
        <f>SUMIFS(tbl_task7[S101],tbl_task7[[SubPLOs]:[SubPLOs]],"&gt;=3",tbl_task7[[SubPLOs]:[SubPLOs]],"&lt;4")</f>
        <v>0</v>
      </c>
      <c r="DC36" s="138">
        <f>SUMIFS(tbl_task7[S102],tbl_task7[[SubPLOs]:[SubPLOs]],"&gt;=3",tbl_task7[[SubPLOs]:[SubPLOs]],"&lt;4")</f>
        <v>0</v>
      </c>
      <c r="DD36" s="138">
        <f>SUMIFS(tbl_task7[S103],tbl_task7[[SubPLOs]:[SubPLOs]],"&gt;=3",tbl_task7[[SubPLOs]:[SubPLOs]],"&lt;4")</f>
        <v>0</v>
      </c>
      <c r="DE36" s="138">
        <f>SUMIFS(tbl_task7[S104],tbl_task7[[SubPLOs]:[SubPLOs]],"&gt;=3",tbl_task7[[SubPLOs]:[SubPLOs]],"&lt;4")</f>
        <v>0</v>
      </c>
      <c r="DF36" s="138">
        <f>SUMIFS(tbl_task7[S105],tbl_task7[[SubPLOs]:[SubPLOs]],"&gt;=3",tbl_task7[[SubPLOs]:[SubPLOs]],"&lt;4")</f>
        <v>0</v>
      </c>
      <c r="DG36" s="138">
        <f>SUMIFS(tbl_task7[S106],tbl_task7[[SubPLOs]:[SubPLOs]],"&gt;=3",tbl_task7[[SubPLOs]:[SubPLOs]],"&lt;4")</f>
        <v>0</v>
      </c>
      <c r="DH36" s="138">
        <f>SUMIFS(tbl_task7[S106],tbl_task7[[SubPLOs]:[SubPLOs]],"&gt;=3",tbl_task7[[SubPLOs]:[SubPLOs]],"&lt;4")</f>
        <v>0</v>
      </c>
      <c r="DI36" s="138">
        <f>SUMIFS(tbl_task7[S108],tbl_task7[[SubPLOs]:[SubPLOs]],"&gt;=3",tbl_task7[[SubPLOs]:[SubPLOs]],"&lt;4")</f>
        <v>0</v>
      </c>
      <c r="DJ36" s="138">
        <f>SUMIFS(tbl_task7[S109],tbl_task7[[SubPLOs]:[SubPLOs]],"&gt;=3",tbl_task7[[SubPLOs]:[SubPLOs]],"&lt;4")</f>
        <v>0</v>
      </c>
      <c r="DK36" s="138">
        <f>SUMIFS(tbl_task7[S110],tbl_task7[[SubPLOs]:[SubPLOs]],"&gt;=3",tbl_task7[[SubPLOs]:[SubPLOs]],"&lt;4")</f>
        <v>0</v>
      </c>
      <c r="DL36" s="138">
        <f>SUMIFS(tbl_task7[S111],tbl_task7[[SubPLOs]:[SubPLOs]],"&gt;=3",tbl_task7[[SubPLOs]:[SubPLOs]],"&lt;4")</f>
        <v>0</v>
      </c>
      <c r="DM36" s="138">
        <f>SUMIFS(tbl_task7[S112],tbl_task7[[SubPLOs]:[SubPLOs]],"&gt;=3",tbl_task7[[SubPLOs]:[SubPLOs]],"&lt;4")</f>
        <v>0</v>
      </c>
      <c r="DN36" s="138">
        <f>SUMIFS(tbl_task7[S113],tbl_task7[[SubPLOs]:[SubPLOs]],"&gt;=3",tbl_task7[[SubPLOs]:[SubPLOs]],"&lt;4")</f>
        <v>0</v>
      </c>
      <c r="DO36" s="138">
        <f>SUMIFS(tbl_task7[S114],tbl_task7[[SubPLOs]:[SubPLOs]],"&gt;=3",tbl_task7[[SubPLOs]:[SubPLOs]],"&lt;4")</f>
        <v>0</v>
      </c>
      <c r="DP36" s="138">
        <f>SUMIFS(tbl_task7[S115],tbl_task7[[SubPLOs]:[SubPLOs]],"&gt;=3",tbl_task7[[SubPLOs]:[SubPLOs]],"&lt;4")</f>
        <v>0</v>
      </c>
      <c r="DQ36" s="138">
        <f>SUMIFS(tbl_task7[S116],tbl_task7[[SubPLOs]:[SubPLOs]],"&gt;=3",tbl_task7[[SubPLOs]:[SubPLOs]],"&lt;4")</f>
        <v>0</v>
      </c>
      <c r="DR36" s="138">
        <f>SUMIFS(tbl_task7[S117],tbl_task7[[SubPLOs]:[SubPLOs]],"&gt;=3",tbl_task7[[SubPLOs]:[SubPLOs]],"&lt;4")</f>
        <v>0</v>
      </c>
      <c r="DS36" s="138">
        <f>SUMIFS(tbl_task7[S118],tbl_task7[[SubPLOs]:[SubPLOs]],"&gt;=3",tbl_task7[[SubPLOs]:[SubPLOs]],"&lt;4")</f>
        <v>0</v>
      </c>
      <c r="DT36" s="138">
        <f>SUMIFS(tbl_task7[S119],tbl_task7[[SubPLOs]:[SubPLOs]],"&gt;=3",tbl_task7[[SubPLOs]:[SubPLOs]],"&lt;4")</f>
        <v>0</v>
      </c>
      <c r="DU36" s="138">
        <f>SUMIFS(tbl_task7[S120],tbl_task7[[SubPLOs]:[SubPLOs]],"&gt;=3",tbl_task7[[SubPLOs]:[SubPLOs]],"&lt;4")</f>
        <v>0</v>
      </c>
      <c r="DV36" s="138">
        <f>SUMIFS(tbl_task7[S121],tbl_task7[[SubPLOs]:[SubPLOs]],"&gt;=3",tbl_task7[[SubPLOs]:[SubPLOs]],"&lt;4")</f>
        <v>0</v>
      </c>
      <c r="DW36" s="138">
        <f>SUMIFS(tbl_task7[S122],tbl_task7[[SubPLOs]:[SubPLOs]],"&gt;=3",tbl_task7[[SubPLOs]:[SubPLOs]],"&lt;4")</f>
        <v>0</v>
      </c>
      <c r="DX36" s="138">
        <f>SUMIFS(tbl_task7[S123],tbl_task7[[SubPLOs]:[SubPLOs]],"&gt;=3",tbl_task7[[SubPLOs]:[SubPLOs]],"&lt;4")</f>
        <v>0</v>
      </c>
      <c r="DY36" s="138">
        <f>SUMIFS(tbl_task7[S124],tbl_task7[[SubPLOs]:[SubPLOs]],"&gt;=3",tbl_task7[[SubPLOs]:[SubPLOs]],"&lt;4")</f>
        <v>0</v>
      </c>
      <c r="DZ36" s="138">
        <f>SUMIFS(tbl_task7[S125],tbl_task7[[SubPLOs]:[SubPLOs]],"&gt;=3",tbl_task7[[SubPLOs]:[SubPLOs]],"&lt;4")</f>
        <v>0</v>
      </c>
      <c r="EA36" s="138">
        <f>SUMIFS(tbl_task7[S126],tbl_task7[[SubPLOs]:[SubPLOs]],"&gt;=3",tbl_task7[[SubPLOs]:[SubPLOs]],"&lt;4")</f>
        <v>0</v>
      </c>
      <c r="EB36" s="138">
        <f>SUMIFS(tbl_task7[S127],tbl_task7[[SubPLOs]:[SubPLOs]],"&gt;=3",tbl_task7[[SubPLOs]:[SubPLOs]],"&lt;4")</f>
        <v>0</v>
      </c>
      <c r="EC36" s="138">
        <f>SUMIFS(tbl_task7[S128],tbl_task7[[SubPLOs]:[SubPLOs]],"&gt;=3",tbl_task7[[SubPLOs]:[SubPLOs]],"&lt;4")</f>
        <v>0</v>
      </c>
      <c r="ED36" s="138">
        <f>SUMIFS(tbl_task7[S129],tbl_task7[[SubPLOs]:[SubPLOs]],"&gt;=3",tbl_task7[[SubPLOs]:[SubPLOs]],"&lt;4")</f>
        <v>0</v>
      </c>
      <c r="EE36" s="138">
        <f>SUMIFS(tbl_task7[S130],tbl_task7[[SubPLOs]:[SubPLOs]],"&gt;=3",tbl_task7[[SubPLOs]:[SubPLOs]],"&lt;4")</f>
        <v>0</v>
      </c>
      <c r="EF36" s="138">
        <f>SUMIFS(tbl_task7[S131],tbl_task7[[SubPLOs]:[SubPLOs]],"&gt;=3",tbl_task7[[SubPLOs]:[SubPLOs]],"&lt;4")</f>
        <v>0</v>
      </c>
      <c r="EG36" s="138">
        <f>SUMIFS(tbl_task7[S132],tbl_task7[[SubPLOs]:[SubPLOs]],"&gt;=3",tbl_task7[[SubPLOs]:[SubPLOs]],"&lt;4")</f>
        <v>0</v>
      </c>
      <c r="EH36" s="138">
        <f>SUMIFS(tbl_task7[S133],tbl_task7[[SubPLOs]:[SubPLOs]],"&gt;=3",tbl_task7[[SubPLOs]:[SubPLOs]],"&lt;4")</f>
        <v>0</v>
      </c>
      <c r="EI36" s="138">
        <f>SUMIFS(tbl_task7[S134],tbl_task7[[SubPLOs]:[SubPLOs]],"&gt;=3",tbl_task7[[SubPLOs]:[SubPLOs]],"&lt;4")</f>
        <v>0</v>
      </c>
      <c r="EJ36" s="138">
        <f>SUMIFS(tbl_task7[S135],tbl_task7[[SubPLOs]:[SubPLOs]],"&gt;=3",tbl_task7[[SubPLOs]:[SubPLOs]],"&lt;4")</f>
        <v>0</v>
      </c>
      <c r="EK36" s="138">
        <f>SUMIFS(tbl_task7[S136],tbl_task7[[SubPLOs]:[SubPLOs]],"&gt;=3",tbl_task7[[SubPLOs]:[SubPLOs]],"&lt;4")</f>
        <v>0</v>
      </c>
      <c r="EL36" s="138">
        <f>SUMIFS(tbl_task7[S137],tbl_task7[[SubPLOs]:[SubPLOs]],"&gt;=3",tbl_task7[[SubPLOs]:[SubPLOs]],"&lt;4")</f>
        <v>0</v>
      </c>
      <c r="EM36" s="138">
        <f>SUMIFS(tbl_task7[S138],tbl_task7[[SubPLOs]:[SubPLOs]],"&gt;=3",tbl_task7[[SubPLOs]:[SubPLOs]],"&lt;4")</f>
        <v>0</v>
      </c>
      <c r="EN36" s="138">
        <f>SUMIFS(tbl_task7[S139],tbl_task7[[SubPLOs]:[SubPLOs]],"&gt;=3",tbl_task7[[SubPLOs]:[SubPLOs]],"&lt;4")</f>
        <v>0</v>
      </c>
      <c r="EO36" s="138">
        <f>SUMIFS(tbl_task7[S140],tbl_task7[[SubPLOs]:[SubPLOs]],"&gt;=3",tbl_task7[[SubPLOs]:[SubPLOs]],"&lt;4")</f>
        <v>0</v>
      </c>
      <c r="EP36" s="138">
        <f>SUMIFS(tbl_task7[S141],tbl_task7[[SubPLOs]:[SubPLOs]],"&gt;=3",tbl_task7[[SubPLOs]:[SubPLOs]],"&lt;4")</f>
        <v>0</v>
      </c>
      <c r="EQ36" s="138">
        <f>SUMIFS(tbl_task7[S142],tbl_task7[[SubPLOs]:[SubPLOs]],"&gt;=3",tbl_task7[[SubPLOs]:[SubPLOs]],"&lt;4")</f>
        <v>0</v>
      </c>
      <c r="ER36" s="138">
        <f>SUMIFS(tbl_task7[S143],tbl_task7[[SubPLOs]:[SubPLOs]],"&gt;=3",tbl_task7[[SubPLOs]:[SubPLOs]],"&lt;4")</f>
        <v>0</v>
      </c>
      <c r="ES36" s="138">
        <f>SUMIFS(tbl_task7[S144],tbl_task7[[SubPLOs]:[SubPLOs]],"&gt;=3",tbl_task7[[SubPLOs]:[SubPLOs]],"&lt;4")</f>
        <v>0</v>
      </c>
      <c r="ET36" s="138">
        <f>SUMIFS(tbl_task7[S145],tbl_task7[[SubPLOs]:[SubPLOs]],"&gt;=3",tbl_task7[[SubPLOs]:[SubPLOs]],"&lt;4")</f>
        <v>0</v>
      </c>
      <c r="EU36" s="138">
        <f>SUMIFS(tbl_task7[S146],tbl_task7[[SubPLOs]:[SubPLOs]],"&gt;=3",tbl_task7[[SubPLOs]:[SubPLOs]],"&lt;4")</f>
        <v>0</v>
      </c>
      <c r="EV36" s="138">
        <f>SUMIFS(tbl_task7[S147],tbl_task7[[SubPLOs]:[SubPLOs]],"&gt;=3",tbl_task7[[SubPLOs]:[SubPLOs]],"&lt;4")</f>
        <v>0</v>
      </c>
      <c r="EW36" s="138">
        <f>SUMIFS(tbl_task7[S148],tbl_task7[[SubPLOs]:[SubPLOs]],"&gt;=3",tbl_task7[[SubPLOs]:[SubPLOs]],"&lt;4")</f>
        <v>0</v>
      </c>
      <c r="EX36" s="138">
        <f>SUMIFS(tbl_task7[S149],tbl_task7[[SubPLOs]:[SubPLOs]],"&gt;=3",tbl_task7[[SubPLOs]:[SubPLOs]],"&lt;4")</f>
        <v>0</v>
      </c>
      <c r="EY36" s="138">
        <f>SUMIFS(tbl_task7[S150],tbl_task7[[SubPLOs]:[SubPLOs]],"&gt;=3",tbl_task7[[SubPLOs]:[SubPLOs]],"&lt;4")</f>
        <v>0</v>
      </c>
      <c r="EZ36" s="138">
        <f>SUMIFS(tbl_task7[S151],tbl_task7[[SubPLOs]:[SubPLOs]],"&gt;=3",tbl_task7[[SubPLOs]:[SubPLOs]],"&lt;4")</f>
        <v>0</v>
      </c>
      <c r="FA36" s="138">
        <f>SUMIFS(tbl_task7[S152],tbl_task7[[SubPLOs]:[SubPLOs]],"&gt;=3",tbl_task7[[SubPLOs]:[SubPLOs]],"&lt;4")</f>
        <v>0</v>
      </c>
      <c r="FB36" s="138">
        <f>SUMIFS(tbl_task7[S153],tbl_task7[[SubPLOs]:[SubPLOs]],"&gt;=3",tbl_task7[[SubPLOs]:[SubPLOs]],"&lt;4")</f>
        <v>0</v>
      </c>
      <c r="FC36" s="138">
        <f>SUMIFS(tbl_task7[S154],tbl_task7[[SubPLOs]:[SubPLOs]],"&gt;=3",tbl_task7[[SubPLOs]:[SubPLOs]],"&lt;4")</f>
        <v>0</v>
      </c>
      <c r="FD36" s="138">
        <f>SUMIFS(tbl_task7[S155],tbl_task7[[SubPLOs]:[SubPLOs]],"&gt;=3",tbl_task7[[SubPLOs]:[SubPLOs]],"&lt;4")</f>
        <v>0</v>
      </c>
      <c r="FE36" s="138">
        <f>SUMIFS(tbl_task7[S156],tbl_task7[[SubPLOs]:[SubPLOs]],"&gt;=3",tbl_task7[[SubPLOs]:[SubPLOs]],"&lt;4")</f>
        <v>0</v>
      </c>
      <c r="FF36" s="138">
        <f>SUMIFS(tbl_task7[S157],tbl_task7[[SubPLOs]:[SubPLOs]],"&gt;=3",tbl_task7[[SubPLOs]:[SubPLOs]],"&lt;4")</f>
        <v>0</v>
      </c>
      <c r="FG36" s="138">
        <f>SUMIFS(tbl_task7[S158],tbl_task7[[SubPLOs]:[SubPLOs]],"&gt;=3",tbl_task7[[SubPLOs]:[SubPLOs]],"&lt;4")</f>
        <v>0</v>
      </c>
      <c r="FH36" s="138">
        <f>SUMIFS(tbl_task7[S159],tbl_task7[[SubPLOs]:[SubPLOs]],"&gt;=3",tbl_task7[[SubPLOs]:[SubPLOs]],"&lt;4")</f>
        <v>0</v>
      </c>
      <c r="FI36" s="138">
        <f>SUMIFS(tbl_task7[S160],tbl_task7[[SubPLOs]:[SubPLOs]],"&gt;=3",tbl_task7[[SubPLOs]:[SubPLOs]],"&lt;4")</f>
        <v>0</v>
      </c>
      <c r="FJ36" s="138">
        <f>SUMIFS(tbl_task7[S161],tbl_task7[[SubPLOs]:[SubPLOs]],"&gt;=3",tbl_task7[[SubPLOs]:[SubPLOs]],"&lt;4")</f>
        <v>0</v>
      </c>
      <c r="FK36" s="138">
        <f>SUMIFS(tbl_task7[S162],tbl_task7[[SubPLOs]:[SubPLOs]],"&gt;=3",tbl_task7[[SubPLOs]:[SubPLOs]],"&lt;4")</f>
        <v>0</v>
      </c>
      <c r="FL36" s="138">
        <f>SUMIFS(tbl_task7[S163],tbl_task7[[SubPLOs]:[SubPLOs]],"&gt;=3",tbl_task7[[SubPLOs]:[SubPLOs]],"&lt;4")</f>
        <v>0</v>
      </c>
      <c r="FM36" s="138">
        <f>SUMIFS(tbl_task7[S164],tbl_task7[[SubPLOs]:[SubPLOs]],"&gt;=3",tbl_task7[[SubPLOs]:[SubPLOs]],"&lt;4")</f>
        <v>0</v>
      </c>
      <c r="FN36" s="138">
        <f>SUMIFS(tbl_task7[S165],tbl_task7[[SubPLOs]:[SubPLOs]],"&gt;=3",tbl_task7[[SubPLOs]:[SubPLOs]],"&lt;4")</f>
        <v>0</v>
      </c>
    </row>
    <row r="37" spans="1:170" ht="63" x14ac:dyDescent="0.25">
      <c r="A37" s="135">
        <v>4</v>
      </c>
      <c r="B37" s="5" t="s">
        <v>437</v>
      </c>
      <c r="C37" s="136">
        <f>COUNTIFS(tbl_task7[SubPLOs],"&gt;=4",tbl_task7[SubPLOs],"&lt;5")</f>
        <v>0</v>
      </c>
      <c r="D37" s="136">
        <f>SUMIFS(tbl_task7[คะแนนเต็ม],tbl_task7[SubPLOs],"&gt;=4",tbl_task7[SubPLOs],"&lt;5")</f>
        <v>0</v>
      </c>
      <c r="E37" s="137">
        <f>SUMIFS(tbl_task7[%],tbl_task7[SubPLOs],"&gt;=4",tbl_task7[SubPLOs],"&lt;5")</f>
        <v>0</v>
      </c>
      <c r="F37" s="138">
        <f>SUMIFS(tbl_task7[S1],tbl_task7[[SubPLOs]:[SubPLOs]],"&gt;=4",tbl_task7[[SubPLOs]:[SubPLOs]],"&lt;5")</f>
        <v>0</v>
      </c>
      <c r="G37" s="138">
        <f>SUMIFS(tbl_task7[S2],tbl_task7[[SubPLOs]:[SubPLOs]],"&gt;=4",tbl_task7[[SubPLOs]:[SubPLOs]],"&lt;5")</f>
        <v>0</v>
      </c>
      <c r="H37" s="138">
        <f>SUMIFS(tbl_task7[S3],tbl_task7[[SubPLOs]:[SubPLOs]],"&gt;=4",tbl_task7[[SubPLOs]:[SubPLOs]],"&lt;5")</f>
        <v>0</v>
      </c>
      <c r="I37" s="138">
        <f>SUMIFS(tbl_task7[S4],tbl_task7[[SubPLOs]:[SubPLOs]],"&gt;=4",tbl_task7[[SubPLOs]:[SubPLOs]],"&lt;5")</f>
        <v>0</v>
      </c>
      <c r="J37" s="138">
        <f>SUMIFS(tbl_task7[S5],tbl_task7[[SubPLOs]:[SubPLOs]],"&gt;=4",tbl_task7[[SubPLOs]:[SubPLOs]],"&lt;5")</f>
        <v>0</v>
      </c>
      <c r="K37" s="138">
        <f>SUMIFS(tbl_task7[S6],tbl_task7[[SubPLOs]:[SubPLOs]],"&gt;=4",tbl_task7[[SubPLOs]:[SubPLOs]],"&lt;5")</f>
        <v>0</v>
      </c>
      <c r="L37" s="138">
        <f>SUMIFS(tbl_task7[S7],tbl_task7[[SubPLOs]:[SubPLOs]],"&gt;=4",tbl_task7[[SubPLOs]:[SubPLOs]],"&lt;5")</f>
        <v>0</v>
      </c>
      <c r="M37" s="138">
        <f>SUMIFS(tbl_task7[S8],tbl_task7[[SubPLOs]:[SubPLOs]],"&gt;=4",tbl_task7[[SubPLOs]:[SubPLOs]],"&lt;5")</f>
        <v>0</v>
      </c>
      <c r="N37" s="138">
        <f>SUMIFS(tbl_task7[S9],tbl_task7[[SubPLOs]:[SubPLOs]],"&gt;=4",tbl_task7[[SubPLOs]:[SubPLOs]],"&lt;5")</f>
        <v>0</v>
      </c>
      <c r="O37" s="138">
        <f>SUMIFS(tbl_task7[S10],tbl_task7[[SubPLOs]:[SubPLOs]],"&gt;=4",tbl_task7[[SubPLOs]:[SubPLOs]],"&lt;5")</f>
        <v>0</v>
      </c>
      <c r="P37" s="138">
        <f>SUMIFS(tbl_task7[S11],tbl_task7[[SubPLOs]:[SubPLOs]],"&gt;=4",tbl_task7[[SubPLOs]:[SubPLOs]],"&lt;5")</f>
        <v>0</v>
      </c>
      <c r="Q37" s="138">
        <f>SUMIFS(tbl_task7[S12],tbl_task7[[SubPLOs]:[SubPLOs]],"&gt;=4",tbl_task7[[SubPLOs]:[SubPLOs]],"&lt;5")</f>
        <v>0</v>
      </c>
      <c r="R37" s="138">
        <f>SUMIFS(tbl_task7[S13],tbl_task7[[SubPLOs]:[SubPLOs]],"&gt;=4",tbl_task7[[SubPLOs]:[SubPLOs]],"&lt;5")</f>
        <v>0</v>
      </c>
      <c r="S37" s="138">
        <f>SUMIFS(tbl_task7[S14],tbl_task7[[SubPLOs]:[SubPLOs]],"&gt;=4",tbl_task7[[SubPLOs]:[SubPLOs]],"&lt;5")</f>
        <v>0</v>
      </c>
      <c r="T37" s="138">
        <f>SUMIFS(tbl_task7[S15],tbl_task7[[SubPLOs]:[SubPLOs]],"&gt;=4",tbl_task7[[SubPLOs]:[SubPLOs]],"&lt;5")</f>
        <v>0</v>
      </c>
      <c r="U37" s="138">
        <f>SUMIFS(tbl_task7[S16],tbl_task7[[SubPLOs]:[SubPLOs]],"&gt;=4",tbl_task7[[SubPLOs]:[SubPLOs]],"&lt;5")</f>
        <v>0</v>
      </c>
      <c r="V37" s="138">
        <f>SUMIFS(tbl_task7[S17],tbl_task7[[SubPLOs]:[SubPLOs]],"&gt;=4",tbl_task7[[SubPLOs]:[SubPLOs]],"&lt;5")</f>
        <v>0</v>
      </c>
      <c r="W37" s="138">
        <f>SUMIFS(tbl_task7[S18],tbl_task7[[SubPLOs]:[SubPLOs]],"&gt;=4",tbl_task7[[SubPLOs]:[SubPLOs]],"&lt;5")</f>
        <v>0</v>
      </c>
      <c r="X37" s="138">
        <f>SUMIFS(tbl_task7[S19],tbl_task7[[SubPLOs]:[SubPLOs]],"&gt;=4",tbl_task7[[SubPLOs]:[SubPLOs]],"&lt;5")</f>
        <v>0</v>
      </c>
      <c r="Y37" s="138">
        <f>SUMIFS(tbl_task7[S20],tbl_task7[[SubPLOs]:[SubPLOs]],"&gt;=4",tbl_task7[[SubPLOs]:[SubPLOs]],"&lt;5")</f>
        <v>0</v>
      </c>
      <c r="Z37" s="138">
        <f>SUMIFS(tbl_task7[S21],tbl_task7[[SubPLOs]:[SubPLOs]],"&gt;=4",tbl_task7[[SubPLOs]:[SubPLOs]],"&lt;5")</f>
        <v>0</v>
      </c>
      <c r="AA37" s="138">
        <f>SUMIFS(tbl_task7[S22],tbl_task7[[SubPLOs]:[SubPLOs]],"&gt;=4",tbl_task7[[SubPLOs]:[SubPLOs]],"&lt;5")</f>
        <v>0</v>
      </c>
      <c r="AB37" s="138">
        <f>SUMIFS(tbl_task7[S23],tbl_task7[[SubPLOs]:[SubPLOs]],"&gt;=4",tbl_task7[[SubPLOs]:[SubPLOs]],"&lt;5")</f>
        <v>0</v>
      </c>
      <c r="AC37" s="138">
        <f>SUMIFS(tbl_task7[S24],tbl_task7[[SubPLOs]:[SubPLOs]],"&gt;=4",tbl_task7[[SubPLOs]:[SubPLOs]],"&lt;5")</f>
        <v>0</v>
      </c>
      <c r="AD37" s="138">
        <f>SUMIFS(tbl_task7[S25],tbl_task7[[SubPLOs]:[SubPLOs]],"&gt;=4",tbl_task7[[SubPLOs]:[SubPLOs]],"&lt;5")</f>
        <v>0</v>
      </c>
      <c r="AE37" s="138">
        <f>SUMIFS(tbl_task7[S26],tbl_task7[[SubPLOs]:[SubPLOs]],"&gt;=4",tbl_task7[[SubPLOs]:[SubPLOs]],"&lt;5")</f>
        <v>0</v>
      </c>
      <c r="AF37" s="138">
        <f>SUMIFS(tbl_task7[S27],tbl_task7[[SubPLOs]:[SubPLOs]],"&gt;=4",tbl_task7[[SubPLOs]:[SubPLOs]],"&lt;5")</f>
        <v>0</v>
      </c>
      <c r="AG37" s="138">
        <f>SUMIFS(tbl_task7[S28],tbl_task7[[SubPLOs]:[SubPLOs]],"&gt;=4",tbl_task7[[SubPLOs]:[SubPLOs]],"&lt;5")</f>
        <v>0</v>
      </c>
      <c r="AH37" s="138">
        <f>SUMIFS(tbl_task7[S29],tbl_task7[[SubPLOs]:[SubPLOs]],"&gt;=4",tbl_task7[[SubPLOs]:[SubPLOs]],"&lt;5")</f>
        <v>0</v>
      </c>
      <c r="AI37" s="138">
        <f>SUMIFS(tbl_task7[S30],tbl_task7[[SubPLOs]:[SubPLOs]],"&gt;=4",tbl_task7[[SubPLOs]:[SubPLOs]],"&lt;5")</f>
        <v>0</v>
      </c>
      <c r="AJ37" s="138">
        <f>SUMIFS(tbl_task7[S31],tbl_task7[[SubPLOs]:[SubPLOs]],"&gt;=4",tbl_task7[[SubPLOs]:[SubPLOs]],"&lt;5")</f>
        <v>0</v>
      </c>
      <c r="AK37" s="138">
        <f>SUMIFS(tbl_task7[S32],tbl_task7[[SubPLOs]:[SubPLOs]],"&gt;=4",tbl_task7[[SubPLOs]:[SubPLOs]],"&lt;5")</f>
        <v>0</v>
      </c>
      <c r="AL37" s="138">
        <f>SUMIFS(tbl_task7[S33],tbl_task7[[SubPLOs]:[SubPLOs]],"&gt;=4",tbl_task7[[SubPLOs]:[SubPLOs]],"&lt;5")</f>
        <v>0</v>
      </c>
      <c r="AM37" s="138">
        <f>SUMIFS(tbl_task7[S34],tbl_task7[[SubPLOs]:[SubPLOs]],"&gt;=4",tbl_task7[[SubPLOs]:[SubPLOs]],"&lt;5")</f>
        <v>0</v>
      </c>
      <c r="AN37" s="138">
        <f>SUMIFS(tbl_task7[S35],tbl_task7[[SubPLOs]:[SubPLOs]],"&gt;=4",tbl_task7[[SubPLOs]:[SubPLOs]],"&lt;5")</f>
        <v>0</v>
      </c>
      <c r="AO37" s="138">
        <f>SUMIFS(tbl_task7[S36],tbl_task7[[SubPLOs]:[SubPLOs]],"&gt;=4",tbl_task7[[SubPLOs]:[SubPLOs]],"&lt;5")</f>
        <v>0</v>
      </c>
      <c r="AP37" s="138">
        <f>SUMIFS(tbl_task7[S37],tbl_task7[[SubPLOs]:[SubPLOs]],"&gt;=4",tbl_task7[[SubPLOs]:[SubPLOs]],"&lt;5")</f>
        <v>0</v>
      </c>
      <c r="AQ37" s="138">
        <f>SUMIFS(tbl_task7[S38],tbl_task7[[SubPLOs]:[SubPLOs]],"&gt;=4",tbl_task7[[SubPLOs]:[SubPLOs]],"&lt;5")</f>
        <v>0</v>
      </c>
      <c r="AR37" s="138">
        <f>SUMIFS(tbl_task7[S39],tbl_task7[[SubPLOs]:[SubPLOs]],"&gt;=4",tbl_task7[[SubPLOs]:[SubPLOs]],"&lt;5")</f>
        <v>0</v>
      </c>
      <c r="AS37" s="138">
        <f>SUMIFS(tbl_task7[S40],tbl_task7[[SubPLOs]:[SubPLOs]],"&gt;=4",tbl_task7[[SubPLOs]:[SubPLOs]],"&lt;5")</f>
        <v>0</v>
      </c>
      <c r="AT37" s="138">
        <f>SUMIFS(tbl_task7[S41],tbl_task7[[SubPLOs]:[SubPLOs]],"&gt;=4",tbl_task7[[SubPLOs]:[SubPLOs]],"&lt;5")</f>
        <v>0</v>
      </c>
      <c r="AU37" s="138">
        <f>SUMIFS(tbl_task7[S42],tbl_task7[[SubPLOs]:[SubPLOs]],"&gt;=4",tbl_task7[[SubPLOs]:[SubPLOs]],"&lt;5")</f>
        <v>0</v>
      </c>
      <c r="AV37" s="138">
        <f>SUMIFS(tbl_task7[S43],tbl_task7[[SubPLOs]:[SubPLOs]],"&gt;=4",tbl_task7[[SubPLOs]:[SubPLOs]],"&lt;5")</f>
        <v>0</v>
      </c>
      <c r="AW37" s="138">
        <f>SUMIFS(tbl_task7[S44],tbl_task7[[SubPLOs]:[SubPLOs]],"&gt;=4",tbl_task7[[SubPLOs]:[SubPLOs]],"&lt;5")</f>
        <v>0</v>
      </c>
      <c r="AX37" s="138">
        <f>SUMIFS(tbl_task7[S45],tbl_task7[[SubPLOs]:[SubPLOs]],"&gt;=4",tbl_task7[[SubPLOs]:[SubPLOs]],"&lt;5")</f>
        <v>0</v>
      </c>
      <c r="AY37" s="138">
        <f>SUMIFS(tbl_task7[S46],tbl_task7[[SubPLOs]:[SubPLOs]],"&gt;=4",tbl_task7[[SubPLOs]:[SubPLOs]],"&lt;5")</f>
        <v>0</v>
      </c>
      <c r="AZ37" s="138">
        <f>SUMIFS(tbl_task7[S47],tbl_task7[[SubPLOs]:[SubPLOs]],"&gt;=4",tbl_task7[[SubPLOs]:[SubPLOs]],"&lt;5")</f>
        <v>0</v>
      </c>
      <c r="BA37" s="138">
        <f>SUMIFS(tbl_task7[S48],tbl_task7[[SubPLOs]:[SubPLOs]],"&gt;=4",tbl_task7[[SubPLOs]:[SubPLOs]],"&lt;5")</f>
        <v>0</v>
      </c>
      <c r="BB37" s="138">
        <f>SUMIFS(tbl_task7[S49],tbl_task7[[SubPLOs]:[SubPLOs]],"&gt;=4",tbl_task7[[SubPLOs]:[SubPLOs]],"&lt;5")</f>
        <v>0</v>
      </c>
      <c r="BC37" s="138">
        <f>SUMIFS(tbl_task7[S50],tbl_task7[[SubPLOs]:[SubPLOs]],"&gt;=4",tbl_task7[[SubPLOs]:[SubPLOs]],"&lt;5")</f>
        <v>0</v>
      </c>
      <c r="BD37" s="138">
        <f>SUMIFS(tbl_task7[S51],tbl_task7[[SubPLOs]:[SubPLOs]],"&gt;=4",tbl_task7[[SubPLOs]:[SubPLOs]],"&lt;5")</f>
        <v>0</v>
      </c>
      <c r="BE37" s="138">
        <f>SUMIFS(tbl_task7[S52],tbl_task7[[SubPLOs]:[SubPLOs]],"&gt;=4",tbl_task7[[SubPLOs]:[SubPLOs]],"&lt;5")</f>
        <v>0</v>
      </c>
      <c r="BF37" s="138">
        <f>SUMIFS(tbl_task7[S53],tbl_task7[[SubPLOs]:[SubPLOs]],"&gt;=4",tbl_task7[[SubPLOs]:[SubPLOs]],"&lt;5")</f>
        <v>0</v>
      </c>
      <c r="BG37" s="138">
        <f>SUMIFS(tbl_task7[S54],tbl_task7[[SubPLOs]:[SubPLOs]],"&gt;=4",tbl_task7[[SubPLOs]:[SubPLOs]],"&lt;5")</f>
        <v>0</v>
      </c>
      <c r="BH37" s="138">
        <f>SUMIFS(tbl_task7[S55],tbl_task7[[SubPLOs]:[SubPLOs]],"&gt;=4",tbl_task7[[SubPLOs]:[SubPLOs]],"&lt;5")</f>
        <v>0</v>
      </c>
      <c r="BI37" s="138">
        <f>SUMIFS(tbl_task7[S56],tbl_task7[[SubPLOs]:[SubPLOs]],"&gt;=4",tbl_task7[[SubPLOs]:[SubPLOs]],"&lt;5")</f>
        <v>0</v>
      </c>
      <c r="BJ37" s="138">
        <f>SUMIFS(tbl_task7[S57],tbl_task7[[SubPLOs]:[SubPLOs]],"&gt;=4",tbl_task7[[SubPLOs]:[SubPLOs]],"&lt;5")</f>
        <v>0</v>
      </c>
      <c r="BK37" s="138">
        <f>SUMIFS(tbl_task7[S58],tbl_task7[[SubPLOs]:[SubPLOs]],"&gt;=4",tbl_task7[[SubPLOs]:[SubPLOs]],"&lt;5")</f>
        <v>0</v>
      </c>
      <c r="BL37" s="138">
        <f>SUMIFS(tbl_task7[S59],tbl_task7[[SubPLOs]:[SubPLOs]],"&gt;=4",tbl_task7[[SubPLOs]:[SubPLOs]],"&lt;5")</f>
        <v>0</v>
      </c>
      <c r="BM37" s="138">
        <f>SUMIFS(tbl_task7[S60],tbl_task7[[SubPLOs]:[SubPLOs]],"&gt;=4",tbl_task7[[SubPLOs]:[SubPLOs]],"&lt;5")</f>
        <v>0</v>
      </c>
      <c r="BN37" s="138">
        <f>SUMIFS(tbl_task7[S61],tbl_task7[[SubPLOs]:[SubPLOs]],"&gt;=4",tbl_task7[[SubPLOs]:[SubPLOs]],"&lt;5")</f>
        <v>0</v>
      </c>
      <c r="BO37" s="138">
        <f>SUMIFS(tbl_task7[S62],tbl_task7[[SubPLOs]:[SubPLOs]],"&gt;=4",tbl_task7[[SubPLOs]:[SubPLOs]],"&lt;5")</f>
        <v>0</v>
      </c>
      <c r="BP37" s="138">
        <f>SUMIFS(tbl_task7[S63],tbl_task7[[SubPLOs]:[SubPLOs]],"&gt;=4",tbl_task7[[SubPLOs]:[SubPLOs]],"&lt;5")</f>
        <v>0</v>
      </c>
      <c r="BQ37" s="138">
        <f>SUMIFS(tbl_task7[S64],tbl_task7[[SubPLOs]:[SubPLOs]],"&gt;=4",tbl_task7[[SubPLOs]:[SubPLOs]],"&lt;5")</f>
        <v>0</v>
      </c>
      <c r="BR37" s="138">
        <f>SUMIFS(tbl_task7[S65],tbl_task7[[SubPLOs]:[SubPLOs]],"&gt;=4",tbl_task7[[SubPLOs]:[SubPLOs]],"&lt;5")</f>
        <v>0</v>
      </c>
      <c r="BS37" s="138">
        <f>SUMIFS(tbl_task7[S66],tbl_task7[[SubPLOs]:[SubPLOs]],"&gt;=4",tbl_task7[[SubPLOs]:[SubPLOs]],"&lt;5")</f>
        <v>0</v>
      </c>
      <c r="BT37" s="138">
        <f>SUMIFS(tbl_task7[S67],tbl_task7[[SubPLOs]:[SubPLOs]],"&gt;=4",tbl_task7[[SubPLOs]:[SubPLOs]],"&lt;5")</f>
        <v>0</v>
      </c>
      <c r="BU37" s="138">
        <f>SUMIFS(tbl_task7[S68],tbl_task7[[SubPLOs]:[SubPLOs]],"&gt;=4",tbl_task7[[SubPLOs]:[SubPLOs]],"&lt;5")</f>
        <v>0</v>
      </c>
      <c r="BV37" s="138">
        <f>SUMIFS(tbl_task7[S69],tbl_task7[[SubPLOs]:[SubPLOs]],"&gt;=4",tbl_task7[[SubPLOs]:[SubPLOs]],"&lt;5")</f>
        <v>0</v>
      </c>
      <c r="BW37" s="138">
        <f>SUMIFS(tbl_task7[S70],tbl_task7[[SubPLOs]:[SubPLOs]],"&gt;=4",tbl_task7[[SubPLOs]:[SubPLOs]],"&lt;5")</f>
        <v>0</v>
      </c>
      <c r="BX37" s="138">
        <f>SUMIFS(tbl_task7[S71],tbl_task7[[SubPLOs]:[SubPLOs]],"&gt;=4",tbl_task7[[SubPLOs]:[SubPLOs]],"&lt;5")</f>
        <v>0</v>
      </c>
      <c r="BY37" s="138">
        <f>SUMIFS(tbl_task7[S72],tbl_task7[[SubPLOs]:[SubPLOs]],"&gt;=4",tbl_task7[[SubPLOs]:[SubPLOs]],"&lt;5")</f>
        <v>0</v>
      </c>
      <c r="BZ37" s="138">
        <f>SUMIFS(tbl_task7[S73],tbl_task7[[SubPLOs]:[SubPLOs]],"&gt;=4",tbl_task7[[SubPLOs]:[SubPLOs]],"&lt;5")</f>
        <v>0</v>
      </c>
      <c r="CA37" s="138">
        <f>SUMIFS(tbl_task7[S74],tbl_task7[[SubPLOs]:[SubPLOs]],"&gt;=4",tbl_task7[[SubPLOs]:[SubPLOs]],"&lt;5")</f>
        <v>0</v>
      </c>
      <c r="CB37" s="138">
        <f>SUMIFS(tbl_task7[S75],tbl_task7[[SubPLOs]:[SubPLOs]],"&gt;=4",tbl_task7[[SubPLOs]:[SubPLOs]],"&lt;5")</f>
        <v>0</v>
      </c>
      <c r="CC37" s="138">
        <f>SUMIFS(tbl_task7[S76],tbl_task7[[SubPLOs]:[SubPLOs]],"&gt;=4",tbl_task7[[SubPLOs]:[SubPLOs]],"&lt;5")</f>
        <v>0</v>
      </c>
      <c r="CD37" s="138">
        <f>SUMIFS(tbl_task7[S77],tbl_task7[[SubPLOs]:[SubPLOs]],"&gt;=4",tbl_task7[[SubPLOs]:[SubPLOs]],"&lt;5")</f>
        <v>0</v>
      </c>
      <c r="CE37" s="138">
        <f>SUMIFS(tbl_task7[S78],tbl_task7[[SubPLOs]:[SubPLOs]],"&gt;=4",tbl_task7[[SubPLOs]:[SubPLOs]],"&lt;5")</f>
        <v>0</v>
      </c>
      <c r="CF37" s="138">
        <f>SUMIFS(tbl_task7[S79],tbl_task7[[SubPLOs]:[SubPLOs]],"&gt;=4",tbl_task7[[SubPLOs]:[SubPLOs]],"&lt;5")</f>
        <v>0</v>
      </c>
      <c r="CG37" s="138">
        <f>SUMIFS(tbl_task7[S80],tbl_task7[[SubPLOs]:[SubPLOs]],"&gt;=4",tbl_task7[[SubPLOs]:[SubPLOs]],"&lt;5")</f>
        <v>0</v>
      </c>
      <c r="CH37" s="138">
        <f>SUMIFS(tbl_task7[S81],tbl_task7[[SubPLOs]:[SubPLOs]],"&gt;=4",tbl_task7[[SubPLOs]:[SubPLOs]],"&lt;5")</f>
        <v>0</v>
      </c>
      <c r="CI37" s="138">
        <f>SUMIFS(tbl_task7[S82],tbl_task7[[SubPLOs]:[SubPLOs]],"&gt;=4",tbl_task7[[SubPLOs]:[SubPLOs]],"&lt;5")</f>
        <v>0</v>
      </c>
      <c r="CJ37" s="138">
        <f>SUMIFS(tbl_task7[S83],tbl_task7[[SubPLOs]:[SubPLOs]],"&gt;=4",tbl_task7[[SubPLOs]:[SubPLOs]],"&lt;5")</f>
        <v>0</v>
      </c>
      <c r="CK37" s="138">
        <f>SUMIFS(tbl_task7[S84],tbl_task7[[SubPLOs]:[SubPLOs]],"&gt;=4",tbl_task7[[SubPLOs]:[SubPLOs]],"&lt;5")</f>
        <v>0</v>
      </c>
      <c r="CL37" s="138">
        <f>SUMIFS(tbl_task7[S85],tbl_task7[[SubPLOs]:[SubPLOs]],"&gt;=4",tbl_task7[[SubPLOs]:[SubPLOs]],"&lt;5")</f>
        <v>0</v>
      </c>
      <c r="CM37" s="138">
        <f>SUMIFS(tbl_task7[S86],tbl_task7[[SubPLOs]:[SubPLOs]],"&gt;=4",tbl_task7[[SubPLOs]:[SubPLOs]],"&lt;5")</f>
        <v>0</v>
      </c>
      <c r="CN37" s="138">
        <f>SUMIFS(tbl_task7[S87],tbl_task7[[SubPLOs]:[SubPLOs]],"&gt;=4",tbl_task7[[SubPLOs]:[SubPLOs]],"&lt;5")</f>
        <v>0</v>
      </c>
      <c r="CO37" s="138">
        <f>SUMIFS(tbl_task7[S88],tbl_task7[[SubPLOs]:[SubPLOs]],"&gt;=4",tbl_task7[[SubPLOs]:[SubPLOs]],"&lt;5")</f>
        <v>0</v>
      </c>
      <c r="CP37" s="138">
        <f>SUMIFS(tbl_task7[S89],tbl_task7[[SubPLOs]:[SubPLOs]],"&gt;=4",tbl_task7[[SubPLOs]:[SubPLOs]],"&lt;5")</f>
        <v>0</v>
      </c>
      <c r="CQ37" s="138">
        <f>SUMIFS(tbl_task7[S90],tbl_task7[[SubPLOs]:[SubPLOs]],"&gt;=4",tbl_task7[[SubPLOs]:[SubPLOs]],"&lt;5")</f>
        <v>0</v>
      </c>
      <c r="CR37" s="138">
        <f>SUMIFS(tbl_task7[S91],tbl_task7[[SubPLOs]:[SubPLOs]],"&gt;=4",tbl_task7[[SubPLOs]:[SubPLOs]],"&lt;5")</f>
        <v>0</v>
      </c>
      <c r="CS37" s="138">
        <f>SUMIFS(tbl_task7[S92],tbl_task7[[SubPLOs]:[SubPLOs]],"&gt;=4",tbl_task7[[SubPLOs]:[SubPLOs]],"&lt;5")</f>
        <v>0</v>
      </c>
      <c r="CT37" s="138">
        <f>SUMIFS(tbl_task7[S93],tbl_task7[[SubPLOs]:[SubPLOs]],"&gt;=4",tbl_task7[[SubPLOs]:[SubPLOs]],"&lt;5")</f>
        <v>0</v>
      </c>
      <c r="CU37" s="138">
        <f>SUMIFS(tbl_task7[S94],tbl_task7[[SubPLOs]:[SubPLOs]],"&gt;=4",tbl_task7[[SubPLOs]:[SubPLOs]],"&lt;5")</f>
        <v>0</v>
      </c>
      <c r="CV37" s="138">
        <f>SUMIFS(tbl_task7[S95],tbl_task7[[SubPLOs]:[SubPLOs]],"&gt;=4",tbl_task7[[SubPLOs]:[SubPLOs]],"&lt;5")</f>
        <v>0</v>
      </c>
      <c r="CW37" s="138">
        <f>SUMIFS(tbl_task7[S96],tbl_task7[[SubPLOs]:[SubPLOs]],"&gt;=4",tbl_task7[[SubPLOs]:[SubPLOs]],"&lt;5")</f>
        <v>0</v>
      </c>
      <c r="CX37" s="138">
        <f>SUMIFS(tbl_task7[S97],tbl_task7[[SubPLOs]:[SubPLOs]],"&gt;=4",tbl_task7[[SubPLOs]:[SubPLOs]],"&lt;5")</f>
        <v>0</v>
      </c>
      <c r="CY37" s="138">
        <f>SUMIFS(tbl_task7[S98],tbl_task7[[SubPLOs]:[SubPLOs]],"&gt;=4",tbl_task7[[SubPLOs]:[SubPLOs]],"&lt;5")</f>
        <v>0</v>
      </c>
      <c r="CZ37" s="138">
        <f>SUMIFS(tbl_task7[S99],tbl_task7[[SubPLOs]:[SubPLOs]],"&gt;=4",tbl_task7[[SubPLOs]:[SubPLOs]],"&lt;5")</f>
        <v>0</v>
      </c>
      <c r="DA37" s="138">
        <f>SUMIFS(tbl_task7[S100],tbl_task7[[SubPLOs]:[SubPLOs]],"&gt;=4",tbl_task7[[SubPLOs]:[SubPLOs]],"&lt;5")</f>
        <v>0</v>
      </c>
      <c r="DB37" s="138">
        <f>SUMIFS(tbl_task7[S101],tbl_task7[[SubPLOs]:[SubPLOs]],"&gt;=4",tbl_task7[[SubPLOs]:[SubPLOs]],"&lt;5")</f>
        <v>0</v>
      </c>
      <c r="DC37" s="138">
        <f>SUMIFS(tbl_task7[S102],tbl_task7[[SubPLOs]:[SubPLOs]],"&gt;=4",tbl_task7[[SubPLOs]:[SubPLOs]],"&lt;5")</f>
        <v>0</v>
      </c>
      <c r="DD37" s="138">
        <f>SUMIFS(tbl_task7[S103],tbl_task7[[SubPLOs]:[SubPLOs]],"&gt;=4",tbl_task7[[SubPLOs]:[SubPLOs]],"&lt;5")</f>
        <v>0</v>
      </c>
      <c r="DE37" s="138">
        <f>SUMIFS(tbl_task7[S104],tbl_task7[[SubPLOs]:[SubPLOs]],"&gt;=4",tbl_task7[[SubPLOs]:[SubPLOs]],"&lt;5")</f>
        <v>0</v>
      </c>
      <c r="DF37" s="138">
        <f>SUMIFS(tbl_task7[S105],tbl_task7[[SubPLOs]:[SubPLOs]],"&gt;=4",tbl_task7[[SubPLOs]:[SubPLOs]],"&lt;5")</f>
        <v>0</v>
      </c>
      <c r="DG37" s="138">
        <f>SUMIFS(tbl_task7[S106],tbl_task7[[SubPLOs]:[SubPLOs]],"&gt;=4",tbl_task7[[SubPLOs]:[SubPLOs]],"&lt;5")</f>
        <v>0</v>
      </c>
      <c r="DH37" s="138">
        <f>SUMIFS(tbl_task7[S106],tbl_task7[[SubPLOs]:[SubPLOs]],"&gt;=4",tbl_task7[[SubPLOs]:[SubPLOs]],"&lt;5")</f>
        <v>0</v>
      </c>
      <c r="DI37" s="138">
        <f>SUMIFS(tbl_task7[S108],tbl_task7[[SubPLOs]:[SubPLOs]],"&gt;=4",tbl_task7[[SubPLOs]:[SubPLOs]],"&lt;5")</f>
        <v>0</v>
      </c>
      <c r="DJ37" s="138">
        <f>SUMIFS(tbl_task7[S109],tbl_task7[[SubPLOs]:[SubPLOs]],"&gt;=4",tbl_task7[[SubPLOs]:[SubPLOs]],"&lt;5")</f>
        <v>0</v>
      </c>
      <c r="DK37" s="138">
        <f>SUMIFS(tbl_task7[S110],tbl_task7[[SubPLOs]:[SubPLOs]],"&gt;=4",tbl_task7[[SubPLOs]:[SubPLOs]],"&lt;5")</f>
        <v>0</v>
      </c>
      <c r="DL37" s="138">
        <f>SUMIFS(tbl_task7[S111],tbl_task7[[SubPLOs]:[SubPLOs]],"&gt;=4",tbl_task7[[SubPLOs]:[SubPLOs]],"&lt;5")</f>
        <v>0</v>
      </c>
      <c r="DM37" s="138">
        <f>SUMIFS(tbl_task7[S112],tbl_task7[[SubPLOs]:[SubPLOs]],"&gt;=4",tbl_task7[[SubPLOs]:[SubPLOs]],"&lt;5")</f>
        <v>0</v>
      </c>
      <c r="DN37" s="138">
        <f>SUMIFS(tbl_task7[S113],tbl_task7[[SubPLOs]:[SubPLOs]],"&gt;=4",tbl_task7[[SubPLOs]:[SubPLOs]],"&lt;5")</f>
        <v>0</v>
      </c>
      <c r="DO37" s="138">
        <f>SUMIFS(tbl_task7[S114],tbl_task7[[SubPLOs]:[SubPLOs]],"&gt;=4",tbl_task7[[SubPLOs]:[SubPLOs]],"&lt;5")</f>
        <v>0</v>
      </c>
      <c r="DP37" s="138">
        <f>SUMIFS(tbl_task7[S115],tbl_task7[[SubPLOs]:[SubPLOs]],"&gt;=4",tbl_task7[[SubPLOs]:[SubPLOs]],"&lt;5")</f>
        <v>0</v>
      </c>
      <c r="DQ37" s="138">
        <f>SUMIFS(tbl_task7[S116],tbl_task7[[SubPLOs]:[SubPLOs]],"&gt;=4",tbl_task7[[SubPLOs]:[SubPLOs]],"&lt;5")</f>
        <v>0</v>
      </c>
      <c r="DR37" s="138">
        <f>SUMIFS(tbl_task7[S117],tbl_task7[[SubPLOs]:[SubPLOs]],"&gt;=4",tbl_task7[[SubPLOs]:[SubPLOs]],"&lt;5")</f>
        <v>0</v>
      </c>
      <c r="DS37" s="138">
        <f>SUMIFS(tbl_task7[S118],tbl_task7[[SubPLOs]:[SubPLOs]],"&gt;=4",tbl_task7[[SubPLOs]:[SubPLOs]],"&lt;5")</f>
        <v>0</v>
      </c>
      <c r="DT37" s="138">
        <f>SUMIFS(tbl_task7[S119],tbl_task7[[SubPLOs]:[SubPLOs]],"&gt;=4",tbl_task7[[SubPLOs]:[SubPLOs]],"&lt;5")</f>
        <v>0</v>
      </c>
      <c r="DU37" s="138">
        <f>SUMIFS(tbl_task7[S120],tbl_task7[[SubPLOs]:[SubPLOs]],"&gt;=4",tbl_task7[[SubPLOs]:[SubPLOs]],"&lt;5")</f>
        <v>0</v>
      </c>
      <c r="DV37" s="138">
        <f>SUMIFS(tbl_task7[S121],tbl_task7[[SubPLOs]:[SubPLOs]],"&gt;=4",tbl_task7[[SubPLOs]:[SubPLOs]],"&lt;5")</f>
        <v>0</v>
      </c>
      <c r="DW37" s="138">
        <f>SUMIFS(tbl_task7[S122],tbl_task7[[SubPLOs]:[SubPLOs]],"&gt;=4",tbl_task7[[SubPLOs]:[SubPLOs]],"&lt;5")</f>
        <v>0</v>
      </c>
      <c r="DX37" s="138">
        <f>SUMIFS(tbl_task7[S123],tbl_task7[[SubPLOs]:[SubPLOs]],"&gt;=4",tbl_task7[[SubPLOs]:[SubPLOs]],"&lt;5")</f>
        <v>0</v>
      </c>
      <c r="DY37" s="138">
        <f>SUMIFS(tbl_task7[S124],tbl_task7[[SubPLOs]:[SubPLOs]],"&gt;=4",tbl_task7[[SubPLOs]:[SubPLOs]],"&lt;5")</f>
        <v>0</v>
      </c>
      <c r="DZ37" s="138">
        <f>SUMIFS(tbl_task7[S125],tbl_task7[[SubPLOs]:[SubPLOs]],"&gt;=4",tbl_task7[[SubPLOs]:[SubPLOs]],"&lt;5")</f>
        <v>0</v>
      </c>
      <c r="EA37" s="138">
        <f>SUMIFS(tbl_task7[S126],tbl_task7[[SubPLOs]:[SubPLOs]],"&gt;=4",tbl_task7[[SubPLOs]:[SubPLOs]],"&lt;5")</f>
        <v>0</v>
      </c>
      <c r="EB37" s="138">
        <f>SUMIFS(tbl_task7[S127],tbl_task7[[SubPLOs]:[SubPLOs]],"&gt;=4",tbl_task7[[SubPLOs]:[SubPLOs]],"&lt;5")</f>
        <v>0</v>
      </c>
      <c r="EC37" s="138">
        <f>SUMIFS(tbl_task7[S128],tbl_task7[[SubPLOs]:[SubPLOs]],"&gt;=4",tbl_task7[[SubPLOs]:[SubPLOs]],"&lt;5")</f>
        <v>0</v>
      </c>
      <c r="ED37" s="138">
        <f>SUMIFS(tbl_task7[S129],tbl_task7[[SubPLOs]:[SubPLOs]],"&gt;=4",tbl_task7[[SubPLOs]:[SubPLOs]],"&lt;5")</f>
        <v>0</v>
      </c>
      <c r="EE37" s="138">
        <f>SUMIFS(tbl_task7[S130],tbl_task7[[SubPLOs]:[SubPLOs]],"&gt;=4",tbl_task7[[SubPLOs]:[SubPLOs]],"&lt;5")</f>
        <v>0</v>
      </c>
      <c r="EF37" s="138">
        <f>SUMIFS(tbl_task7[S131],tbl_task7[[SubPLOs]:[SubPLOs]],"&gt;=4",tbl_task7[[SubPLOs]:[SubPLOs]],"&lt;5")</f>
        <v>0</v>
      </c>
      <c r="EG37" s="138">
        <f>SUMIFS(tbl_task7[S132],tbl_task7[[SubPLOs]:[SubPLOs]],"&gt;=4",tbl_task7[[SubPLOs]:[SubPLOs]],"&lt;5")</f>
        <v>0</v>
      </c>
      <c r="EH37" s="138">
        <f>SUMIFS(tbl_task7[S133],tbl_task7[[SubPLOs]:[SubPLOs]],"&gt;=4",tbl_task7[[SubPLOs]:[SubPLOs]],"&lt;5")</f>
        <v>0</v>
      </c>
      <c r="EI37" s="138">
        <f>SUMIFS(tbl_task7[S134],tbl_task7[[SubPLOs]:[SubPLOs]],"&gt;=4",tbl_task7[[SubPLOs]:[SubPLOs]],"&lt;5")</f>
        <v>0</v>
      </c>
      <c r="EJ37" s="138">
        <f>SUMIFS(tbl_task7[S135],tbl_task7[[SubPLOs]:[SubPLOs]],"&gt;=4",tbl_task7[[SubPLOs]:[SubPLOs]],"&lt;5")</f>
        <v>0</v>
      </c>
      <c r="EK37" s="138">
        <f>SUMIFS(tbl_task7[S136],tbl_task7[[SubPLOs]:[SubPLOs]],"&gt;=4",tbl_task7[[SubPLOs]:[SubPLOs]],"&lt;5")</f>
        <v>0</v>
      </c>
      <c r="EL37" s="138">
        <f>SUMIFS(tbl_task7[S137],tbl_task7[[SubPLOs]:[SubPLOs]],"&gt;=4",tbl_task7[[SubPLOs]:[SubPLOs]],"&lt;5")</f>
        <v>0</v>
      </c>
      <c r="EM37" s="138">
        <f>SUMIFS(tbl_task7[S138],tbl_task7[[SubPLOs]:[SubPLOs]],"&gt;=4",tbl_task7[[SubPLOs]:[SubPLOs]],"&lt;5")</f>
        <v>0</v>
      </c>
      <c r="EN37" s="138">
        <f>SUMIFS(tbl_task7[S139],tbl_task7[[SubPLOs]:[SubPLOs]],"&gt;=4",tbl_task7[[SubPLOs]:[SubPLOs]],"&lt;5")</f>
        <v>0</v>
      </c>
      <c r="EO37" s="138">
        <f>SUMIFS(tbl_task7[S140],tbl_task7[[SubPLOs]:[SubPLOs]],"&gt;=4",tbl_task7[[SubPLOs]:[SubPLOs]],"&lt;5")</f>
        <v>0</v>
      </c>
      <c r="EP37" s="138">
        <f>SUMIFS(tbl_task7[S141],tbl_task7[[SubPLOs]:[SubPLOs]],"&gt;=4",tbl_task7[[SubPLOs]:[SubPLOs]],"&lt;5")</f>
        <v>0</v>
      </c>
      <c r="EQ37" s="138">
        <f>SUMIFS(tbl_task7[S142],tbl_task7[[SubPLOs]:[SubPLOs]],"&gt;=4",tbl_task7[[SubPLOs]:[SubPLOs]],"&lt;5")</f>
        <v>0</v>
      </c>
      <c r="ER37" s="138">
        <f>SUMIFS(tbl_task7[S143],tbl_task7[[SubPLOs]:[SubPLOs]],"&gt;=4",tbl_task7[[SubPLOs]:[SubPLOs]],"&lt;5")</f>
        <v>0</v>
      </c>
      <c r="ES37" s="138">
        <f>SUMIFS(tbl_task7[S144],tbl_task7[[SubPLOs]:[SubPLOs]],"&gt;=4",tbl_task7[[SubPLOs]:[SubPLOs]],"&lt;5")</f>
        <v>0</v>
      </c>
      <c r="ET37" s="138">
        <f>SUMIFS(tbl_task7[S145],tbl_task7[[SubPLOs]:[SubPLOs]],"&gt;=4",tbl_task7[[SubPLOs]:[SubPLOs]],"&lt;5")</f>
        <v>0</v>
      </c>
      <c r="EU37" s="138">
        <f>SUMIFS(tbl_task7[S146],tbl_task7[[SubPLOs]:[SubPLOs]],"&gt;=4",tbl_task7[[SubPLOs]:[SubPLOs]],"&lt;5")</f>
        <v>0</v>
      </c>
      <c r="EV37" s="138">
        <f>SUMIFS(tbl_task7[S147],tbl_task7[[SubPLOs]:[SubPLOs]],"&gt;=4",tbl_task7[[SubPLOs]:[SubPLOs]],"&lt;5")</f>
        <v>0</v>
      </c>
      <c r="EW37" s="138">
        <f>SUMIFS(tbl_task7[S148],tbl_task7[[SubPLOs]:[SubPLOs]],"&gt;=4",tbl_task7[[SubPLOs]:[SubPLOs]],"&lt;5")</f>
        <v>0</v>
      </c>
      <c r="EX37" s="138">
        <f>SUMIFS(tbl_task7[S149],tbl_task7[[SubPLOs]:[SubPLOs]],"&gt;=4",tbl_task7[[SubPLOs]:[SubPLOs]],"&lt;5")</f>
        <v>0</v>
      </c>
      <c r="EY37" s="138">
        <f>SUMIFS(tbl_task7[S150],tbl_task7[[SubPLOs]:[SubPLOs]],"&gt;=4",tbl_task7[[SubPLOs]:[SubPLOs]],"&lt;5")</f>
        <v>0</v>
      </c>
      <c r="EZ37" s="138">
        <f>SUMIFS(tbl_task7[S151],tbl_task7[[SubPLOs]:[SubPLOs]],"&gt;=4",tbl_task7[[SubPLOs]:[SubPLOs]],"&lt;5")</f>
        <v>0</v>
      </c>
      <c r="FA37" s="138">
        <f>SUMIFS(tbl_task7[S152],tbl_task7[[SubPLOs]:[SubPLOs]],"&gt;=4",tbl_task7[[SubPLOs]:[SubPLOs]],"&lt;5")</f>
        <v>0</v>
      </c>
      <c r="FB37" s="138">
        <f>SUMIFS(tbl_task7[S153],tbl_task7[[SubPLOs]:[SubPLOs]],"&gt;=4",tbl_task7[[SubPLOs]:[SubPLOs]],"&lt;5")</f>
        <v>0</v>
      </c>
      <c r="FC37" s="138">
        <f>SUMIFS(tbl_task7[S154],tbl_task7[[SubPLOs]:[SubPLOs]],"&gt;=4",tbl_task7[[SubPLOs]:[SubPLOs]],"&lt;5")</f>
        <v>0</v>
      </c>
      <c r="FD37" s="138">
        <f>SUMIFS(tbl_task7[S155],tbl_task7[[SubPLOs]:[SubPLOs]],"&gt;=4",tbl_task7[[SubPLOs]:[SubPLOs]],"&lt;5")</f>
        <v>0</v>
      </c>
      <c r="FE37" s="138">
        <f>SUMIFS(tbl_task7[S156],tbl_task7[[SubPLOs]:[SubPLOs]],"&gt;=4",tbl_task7[[SubPLOs]:[SubPLOs]],"&lt;5")</f>
        <v>0</v>
      </c>
      <c r="FF37" s="138">
        <f>SUMIFS(tbl_task7[S157],tbl_task7[[SubPLOs]:[SubPLOs]],"&gt;=4",tbl_task7[[SubPLOs]:[SubPLOs]],"&lt;5")</f>
        <v>0</v>
      </c>
      <c r="FG37" s="138">
        <f>SUMIFS(tbl_task7[S158],tbl_task7[[SubPLOs]:[SubPLOs]],"&gt;=4",tbl_task7[[SubPLOs]:[SubPLOs]],"&lt;5")</f>
        <v>0</v>
      </c>
      <c r="FH37" s="138">
        <f>SUMIFS(tbl_task7[S159],tbl_task7[[SubPLOs]:[SubPLOs]],"&gt;=4",tbl_task7[[SubPLOs]:[SubPLOs]],"&lt;5")</f>
        <v>0</v>
      </c>
      <c r="FI37" s="138">
        <f>SUMIFS(tbl_task7[S160],tbl_task7[[SubPLOs]:[SubPLOs]],"&gt;=4",tbl_task7[[SubPLOs]:[SubPLOs]],"&lt;5")</f>
        <v>0</v>
      </c>
      <c r="FJ37" s="138">
        <f>SUMIFS(tbl_task7[S161],tbl_task7[[SubPLOs]:[SubPLOs]],"&gt;=4",tbl_task7[[SubPLOs]:[SubPLOs]],"&lt;5")</f>
        <v>0</v>
      </c>
      <c r="FK37" s="138">
        <f>SUMIFS(tbl_task7[S162],tbl_task7[[SubPLOs]:[SubPLOs]],"&gt;=4",tbl_task7[[SubPLOs]:[SubPLOs]],"&lt;5")</f>
        <v>0</v>
      </c>
      <c r="FL37" s="138">
        <f>SUMIFS(tbl_task7[S163],tbl_task7[[SubPLOs]:[SubPLOs]],"&gt;=4",tbl_task7[[SubPLOs]:[SubPLOs]],"&lt;5")</f>
        <v>0</v>
      </c>
      <c r="FM37" s="138">
        <f>SUMIFS(tbl_task7[S164],tbl_task7[[SubPLOs]:[SubPLOs]],"&gt;=4",tbl_task7[[SubPLOs]:[SubPLOs]],"&lt;5")</f>
        <v>0</v>
      </c>
      <c r="FN37" s="138">
        <f>SUMIFS(tbl_task7[S165],tbl_task7[[SubPLOs]:[SubPLOs]],"&gt;=4",tbl_task7[[SubPLOs]:[SubPLOs]],"&lt;5")</f>
        <v>0</v>
      </c>
    </row>
    <row r="38" spans="1:170" ht="84" x14ac:dyDescent="0.25">
      <c r="A38" s="135">
        <v>5</v>
      </c>
      <c r="B38" s="5" t="s">
        <v>438</v>
      </c>
      <c r="C38" s="136">
        <f>COUNTIFS(tbl_task7[SubPLOs],"&gt;=5",tbl_task7[SubPLOs],"&lt;6")</f>
        <v>0</v>
      </c>
      <c r="D38" s="136">
        <f>SUMIFS(tbl_task7[คะแนนเต็ม],tbl_task7[SubPLOs],"&gt;=5",tbl_task7[SubPLOs],"&lt;6")</f>
        <v>0</v>
      </c>
      <c r="E38" s="137">
        <f>SUMIFS(tbl_task7[%],tbl_task7[SubPLOs],"&gt;=5",tbl_task7[SubPLOs],"&lt;6")</f>
        <v>0</v>
      </c>
      <c r="F38" s="138">
        <f>SUMIFS(tbl_task7[S1],tbl_task7[[SubPLOs]:[SubPLOs]],"&gt;=5",tbl_task7[[SubPLOs]:[SubPLOs]],"&lt;6")</f>
        <v>0</v>
      </c>
      <c r="G38" s="138">
        <f>SUMIFS(tbl_task7[S2],tbl_task7[[SubPLOs]:[SubPLOs]],"&gt;=5",tbl_task7[[SubPLOs]:[SubPLOs]],"&lt;6")</f>
        <v>0</v>
      </c>
      <c r="H38" s="138">
        <f>SUMIFS(tbl_task7[S3],tbl_task7[[SubPLOs]:[SubPLOs]],"&gt;=5",tbl_task7[[SubPLOs]:[SubPLOs]],"&lt;6")</f>
        <v>0</v>
      </c>
      <c r="I38" s="138">
        <f>SUMIFS(tbl_task7[S4],tbl_task7[[SubPLOs]:[SubPLOs]],"&gt;=5",tbl_task7[[SubPLOs]:[SubPLOs]],"&lt;6")</f>
        <v>0</v>
      </c>
      <c r="J38" s="138">
        <f>SUMIFS(tbl_task7[S5],tbl_task7[[SubPLOs]:[SubPLOs]],"&gt;=5",tbl_task7[[SubPLOs]:[SubPLOs]],"&lt;6")</f>
        <v>0</v>
      </c>
      <c r="K38" s="138">
        <f>SUMIFS(tbl_task7[S6],tbl_task7[[SubPLOs]:[SubPLOs]],"&gt;=5",tbl_task7[[SubPLOs]:[SubPLOs]],"&lt;6")</f>
        <v>0</v>
      </c>
      <c r="L38" s="138">
        <f>SUMIFS(tbl_task7[S7],tbl_task7[[SubPLOs]:[SubPLOs]],"&gt;=5",tbl_task7[[SubPLOs]:[SubPLOs]],"&lt;6")</f>
        <v>0</v>
      </c>
      <c r="M38" s="138">
        <f>SUMIFS(tbl_task7[S8],tbl_task7[[SubPLOs]:[SubPLOs]],"&gt;=5",tbl_task7[[SubPLOs]:[SubPLOs]],"&lt;6")</f>
        <v>0</v>
      </c>
      <c r="N38" s="138">
        <f>SUMIFS(tbl_task7[S9],tbl_task7[[SubPLOs]:[SubPLOs]],"&gt;=5",tbl_task7[[SubPLOs]:[SubPLOs]],"&lt;6")</f>
        <v>0</v>
      </c>
      <c r="O38" s="138">
        <f>SUMIFS(tbl_task7[S10],tbl_task7[[SubPLOs]:[SubPLOs]],"&gt;=5",tbl_task7[[SubPLOs]:[SubPLOs]],"&lt;6")</f>
        <v>0</v>
      </c>
      <c r="P38" s="138">
        <f>SUMIFS(tbl_task7[S11],tbl_task7[[SubPLOs]:[SubPLOs]],"&gt;=5",tbl_task7[[SubPLOs]:[SubPLOs]],"&lt;6")</f>
        <v>0</v>
      </c>
      <c r="Q38" s="138">
        <f>SUMIFS(tbl_task7[S12],tbl_task7[[SubPLOs]:[SubPLOs]],"&gt;=5",tbl_task7[[SubPLOs]:[SubPLOs]],"&lt;6")</f>
        <v>0</v>
      </c>
      <c r="R38" s="138">
        <f>SUMIFS(tbl_task7[S13],tbl_task7[[SubPLOs]:[SubPLOs]],"&gt;=5",tbl_task7[[SubPLOs]:[SubPLOs]],"&lt;6")</f>
        <v>0</v>
      </c>
      <c r="S38" s="138">
        <f>SUMIFS(tbl_task7[S14],tbl_task7[[SubPLOs]:[SubPLOs]],"&gt;=5",tbl_task7[[SubPLOs]:[SubPLOs]],"&lt;6")</f>
        <v>0</v>
      </c>
      <c r="T38" s="138">
        <f>SUMIFS(tbl_task7[S15],tbl_task7[[SubPLOs]:[SubPLOs]],"&gt;=5",tbl_task7[[SubPLOs]:[SubPLOs]],"&lt;6")</f>
        <v>0</v>
      </c>
      <c r="U38" s="138">
        <f>SUMIFS(tbl_task7[S16],tbl_task7[[SubPLOs]:[SubPLOs]],"&gt;=5",tbl_task7[[SubPLOs]:[SubPLOs]],"&lt;6")</f>
        <v>0</v>
      </c>
      <c r="V38" s="138">
        <f>SUMIFS(tbl_task7[S17],tbl_task7[[SubPLOs]:[SubPLOs]],"&gt;=5",tbl_task7[[SubPLOs]:[SubPLOs]],"&lt;6")</f>
        <v>0</v>
      </c>
      <c r="W38" s="138">
        <f>SUMIFS(tbl_task7[S18],tbl_task7[[SubPLOs]:[SubPLOs]],"&gt;=5",tbl_task7[[SubPLOs]:[SubPLOs]],"&lt;6")</f>
        <v>0</v>
      </c>
      <c r="X38" s="138">
        <f>SUMIFS(tbl_task7[S19],tbl_task7[[SubPLOs]:[SubPLOs]],"&gt;=5",tbl_task7[[SubPLOs]:[SubPLOs]],"&lt;6")</f>
        <v>0</v>
      </c>
      <c r="Y38" s="138">
        <f>SUMIFS(tbl_task7[S20],tbl_task7[[SubPLOs]:[SubPLOs]],"&gt;=5",tbl_task7[[SubPLOs]:[SubPLOs]],"&lt;6")</f>
        <v>0</v>
      </c>
      <c r="Z38" s="138">
        <f>SUMIFS(tbl_task7[S21],tbl_task7[[SubPLOs]:[SubPLOs]],"&gt;=5",tbl_task7[[SubPLOs]:[SubPLOs]],"&lt;6")</f>
        <v>0</v>
      </c>
      <c r="AA38" s="138">
        <f>SUMIFS(tbl_task7[S22],tbl_task7[[SubPLOs]:[SubPLOs]],"&gt;=5",tbl_task7[[SubPLOs]:[SubPLOs]],"&lt;6")</f>
        <v>0</v>
      </c>
      <c r="AB38" s="138">
        <f>SUMIFS(tbl_task7[S23],tbl_task7[[SubPLOs]:[SubPLOs]],"&gt;=5",tbl_task7[[SubPLOs]:[SubPLOs]],"&lt;6")</f>
        <v>0</v>
      </c>
      <c r="AC38" s="138">
        <f>SUMIFS(tbl_task7[S24],tbl_task7[[SubPLOs]:[SubPLOs]],"&gt;=5",tbl_task7[[SubPLOs]:[SubPLOs]],"&lt;6")</f>
        <v>0</v>
      </c>
      <c r="AD38" s="138">
        <f>SUMIFS(tbl_task7[S25],tbl_task7[[SubPLOs]:[SubPLOs]],"&gt;=5",tbl_task7[[SubPLOs]:[SubPLOs]],"&lt;6")</f>
        <v>0</v>
      </c>
      <c r="AE38" s="138">
        <f>SUMIFS(tbl_task7[S26],tbl_task7[[SubPLOs]:[SubPLOs]],"&gt;=5",tbl_task7[[SubPLOs]:[SubPLOs]],"&lt;6")</f>
        <v>0</v>
      </c>
      <c r="AF38" s="138">
        <f>SUMIFS(tbl_task7[S27],tbl_task7[[SubPLOs]:[SubPLOs]],"&gt;=5",tbl_task7[[SubPLOs]:[SubPLOs]],"&lt;6")</f>
        <v>0</v>
      </c>
      <c r="AG38" s="138">
        <f>SUMIFS(tbl_task7[S28],tbl_task7[[SubPLOs]:[SubPLOs]],"&gt;=5",tbl_task7[[SubPLOs]:[SubPLOs]],"&lt;6")</f>
        <v>0</v>
      </c>
      <c r="AH38" s="138">
        <f>SUMIFS(tbl_task7[S29],tbl_task7[[SubPLOs]:[SubPLOs]],"&gt;=5",tbl_task7[[SubPLOs]:[SubPLOs]],"&lt;6")</f>
        <v>0</v>
      </c>
      <c r="AI38" s="138">
        <f>SUMIFS(tbl_task7[S30],tbl_task7[[SubPLOs]:[SubPLOs]],"&gt;=5",tbl_task7[[SubPLOs]:[SubPLOs]],"&lt;6")</f>
        <v>0</v>
      </c>
      <c r="AJ38" s="138">
        <f>SUMIFS(tbl_task7[S31],tbl_task7[[SubPLOs]:[SubPLOs]],"&gt;=5",tbl_task7[[SubPLOs]:[SubPLOs]],"&lt;6")</f>
        <v>0</v>
      </c>
      <c r="AK38" s="138">
        <f>SUMIFS(tbl_task7[S32],tbl_task7[[SubPLOs]:[SubPLOs]],"&gt;=5",tbl_task7[[SubPLOs]:[SubPLOs]],"&lt;6")</f>
        <v>0</v>
      </c>
      <c r="AL38" s="138">
        <f>SUMIFS(tbl_task7[S33],tbl_task7[[SubPLOs]:[SubPLOs]],"&gt;=5",tbl_task7[[SubPLOs]:[SubPLOs]],"&lt;6")</f>
        <v>0</v>
      </c>
      <c r="AM38" s="138">
        <f>SUMIFS(tbl_task7[S34],tbl_task7[[SubPLOs]:[SubPLOs]],"&gt;=5",tbl_task7[[SubPLOs]:[SubPLOs]],"&lt;6")</f>
        <v>0</v>
      </c>
      <c r="AN38" s="138">
        <f>SUMIFS(tbl_task7[S35],tbl_task7[[SubPLOs]:[SubPLOs]],"&gt;=5",tbl_task7[[SubPLOs]:[SubPLOs]],"&lt;6")</f>
        <v>0</v>
      </c>
      <c r="AO38" s="138">
        <f>SUMIFS(tbl_task7[S36],tbl_task7[[SubPLOs]:[SubPLOs]],"&gt;=5",tbl_task7[[SubPLOs]:[SubPLOs]],"&lt;6")</f>
        <v>0</v>
      </c>
      <c r="AP38" s="138">
        <f>SUMIFS(tbl_task7[S37],tbl_task7[[SubPLOs]:[SubPLOs]],"&gt;=5",tbl_task7[[SubPLOs]:[SubPLOs]],"&lt;6")</f>
        <v>0</v>
      </c>
      <c r="AQ38" s="138">
        <f>SUMIFS(tbl_task7[S38],tbl_task7[[SubPLOs]:[SubPLOs]],"&gt;=5",tbl_task7[[SubPLOs]:[SubPLOs]],"&lt;6")</f>
        <v>0</v>
      </c>
      <c r="AR38" s="138">
        <f>SUMIFS(tbl_task7[S39],tbl_task7[[SubPLOs]:[SubPLOs]],"&gt;=5",tbl_task7[[SubPLOs]:[SubPLOs]],"&lt;6")</f>
        <v>0</v>
      </c>
      <c r="AS38" s="138">
        <f>SUMIFS(tbl_task7[S40],tbl_task7[[SubPLOs]:[SubPLOs]],"&gt;=5",tbl_task7[[SubPLOs]:[SubPLOs]],"&lt;6")</f>
        <v>0</v>
      </c>
      <c r="AT38" s="138">
        <f>SUMIFS(tbl_task7[S41],tbl_task7[[SubPLOs]:[SubPLOs]],"&gt;=5",tbl_task7[[SubPLOs]:[SubPLOs]],"&lt;6")</f>
        <v>0</v>
      </c>
      <c r="AU38" s="138">
        <f>SUMIFS(tbl_task7[S42],tbl_task7[[SubPLOs]:[SubPLOs]],"&gt;=5",tbl_task7[[SubPLOs]:[SubPLOs]],"&lt;6")</f>
        <v>0</v>
      </c>
      <c r="AV38" s="138">
        <f>SUMIFS(tbl_task7[S43],tbl_task7[[SubPLOs]:[SubPLOs]],"&gt;=5",tbl_task7[[SubPLOs]:[SubPLOs]],"&lt;6")</f>
        <v>0</v>
      </c>
      <c r="AW38" s="138">
        <f>SUMIFS(tbl_task7[S44],tbl_task7[[SubPLOs]:[SubPLOs]],"&gt;=5",tbl_task7[[SubPLOs]:[SubPLOs]],"&lt;6")</f>
        <v>0</v>
      </c>
      <c r="AX38" s="138">
        <f>SUMIFS(tbl_task7[S45],tbl_task7[[SubPLOs]:[SubPLOs]],"&gt;=5",tbl_task7[[SubPLOs]:[SubPLOs]],"&lt;6")</f>
        <v>0</v>
      </c>
      <c r="AY38" s="138">
        <f>SUMIFS(tbl_task7[S46],tbl_task7[[SubPLOs]:[SubPLOs]],"&gt;=5",tbl_task7[[SubPLOs]:[SubPLOs]],"&lt;6")</f>
        <v>0</v>
      </c>
      <c r="AZ38" s="138">
        <f>SUMIFS(tbl_task7[S47],tbl_task7[[SubPLOs]:[SubPLOs]],"&gt;=5",tbl_task7[[SubPLOs]:[SubPLOs]],"&lt;6")</f>
        <v>0</v>
      </c>
      <c r="BA38" s="138">
        <f>SUMIFS(tbl_task7[S48],tbl_task7[[SubPLOs]:[SubPLOs]],"&gt;=5",tbl_task7[[SubPLOs]:[SubPLOs]],"&lt;6")</f>
        <v>0</v>
      </c>
      <c r="BB38" s="138">
        <f>SUMIFS(tbl_task7[S49],tbl_task7[[SubPLOs]:[SubPLOs]],"&gt;=5",tbl_task7[[SubPLOs]:[SubPLOs]],"&lt;6")</f>
        <v>0</v>
      </c>
      <c r="BC38" s="138">
        <f>SUMIFS(tbl_task7[S50],tbl_task7[[SubPLOs]:[SubPLOs]],"&gt;=5",tbl_task7[[SubPLOs]:[SubPLOs]],"&lt;6")</f>
        <v>0</v>
      </c>
      <c r="BD38" s="138">
        <f>SUMIFS(tbl_task7[S51],tbl_task7[[SubPLOs]:[SubPLOs]],"&gt;=5",tbl_task7[[SubPLOs]:[SubPLOs]],"&lt;6")</f>
        <v>0</v>
      </c>
      <c r="BE38" s="138">
        <f>SUMIFS(tbl_task7[S52],tbl_task7[[SubPLOs]:[SubPLOs]],"&gt;=5",tbl_task7[[SubPLOs]:[SubPLOs]],"&lt;6")</f>
        <v>0</v>
      </c>
      <c r="BF38" s="138">
        <f>SUMIFS(tbl_task7[S53],tbl_task7[[SubPLOs]:[SubPLOs]],"&gt;=5",tbl_task7[[SubPLOs]:[SubPLOs]],"&lt;6")</f>
        <v>0</v>
      </c>
      <c r="BG38" s="138">
        <f>SUMIFS(tbl_task7[S54],tbl_task7[[SubPLOs]:[SubPLOs]],"&gt;=5",tbl_task7[[SubPLOs]:[SubPLOs]],"&lt;6")</f>
        <v>0</v>
      </c>
      <c r="BH38" s="138">
        <f>SUMIFS(tbl_task7[S55],tbl_task7[[SubPLOs]:[SubPLOs]],"&gt;=5",tbl_task7[[SubPLOs]:[SubPLOs]],"&lt;6")</f>
        <v>0</v>
      </c>
      <c r="BI38" s="138">
        <f>SUMIFS(tbl_task7[S56],tbl_task7[[SubPLOs]:[SubPLOs]],"&gt;=5",tbl_task7[[SubPLOs]:[SubPLOs]],"&lt;6")</f>
        <v>0</v>
      </c>
      <c r="BJ38" s="138">
        <f>SUMIFS(tbl_task7[S57],tbl_task7[[SubPLOs]:[SubPLOs]],"&gt;=5",tbl_task7[[SubPLOs]:[SubPLOs]],"&lt;6")</f>
        <v>0</v>
      </c>
      <c r="BK38" s="138">
        <f>SUMIFS(tbl_task7[S58],tbl_task7[[SubPLOs]:[SubPLOs]],"&gt;=5",tbl_task7[[SubPLOs]:[SubPLOs]],"&lt;6")</f>
        <v>0</v>
      </c>
      <c r="BL38" s="138">
        <f>SUMIFS(tbl_task7[S59],tbl_task7[[SubPLOs]:[SubPLOs]],"&gt;=5",tbl_task7[[SubPLOs]:[SubPLOs]],"&lt;6")</f>
        <v>0</v>
      </c>
      <c r="BM38" s="138">
        <f>SUMIFS(tbl_task7[S60],tbl_task7[[SubPLOs]:[SubPLOs]],"&gt;=5",tbl_task7[[SubPLOs]:[SubPLOs]],"&lt;6")</f>
        <v>0</v>
      </c>
      <c r="BN38" s="138">
        <f>SUMIFS(tbl_task7[S61],tbl_task7[[SubPLOs]:[SubPLOs]],"&gt;=5",tbl_task7[[SubPLOs]:[SubPLOs]],"&lt;6")</f>
        <v>0</v>
      </c>
      <c r="BO38" s="138">
        <f>SUMIFS(tbl_task7[S62],tbl_task7[[SubPLOs]:[SubPLOs]],"&gt;=5",tbl_task7[[SubPLOs]:[SubPLOs]],"&lt;6")</f>
        <v>0</v>
      </c>
      <c r="BP38" s="138">
        <f>SUMIFS(tbl_task7[S63],tbl_task7[[SubPLOs]:[SubPLOs]],"&gt;=5",tbl_task7[[SubPLOs]:[SubPLOs]],"&lt;6")</f>
        <v>0</v>
      </c>
      <c r="BQ38" s="138">
        <f>SUMIFS(tbl_task7[S64],tbl_task7[[SubPLOs]:[SubPLOs]],"&gt;=5",tbl_task7[[SubPLOs]:[SubPLOs]],"&lt;6")</f>
        <v>0</v>
      </c>
      <c r="BR38" s="138">
        <f>SUMIFS(tbl_task7[S65],tbl_task7[[SubPLOs]:[SubPLOs]],"&gt;=5",tbl_task7[[SubPLOs]:[SubPLOs]],"&lt;6")</f>
        <v>0</v>
      </c>
      <c r="BS38" s="138">
        <f>SUMIFS(tbl_task7[S66],tbl_task7[[SubPLOs]:[SubPLOs]],"&gt;=5",tbl_task7[[SubPLOs]:[SubPLOs]],"&lt;6")</f>
        <v>0</v>
      </c>
      <c r="BT38" s="138">
        <f>SUMIFS(tbl_task7[S67],tbl_task7[[SubPLOs]:[SubPLOs]],"&gt;=5",tbl_task7[[SubPLOs]:[SubPLOs]],"&lt;6")</f>
        <v>0</v>
      </c>
      <c r="BU38" s="138">
        <f>SUMIFS(tbl_task7[S68],tbl_task7[[SubPLOs]:[SubPLOs]],"&gt;=5",tbl_task7[[SubPLOs]:[SubPLOs]],"&lt;6")</f>
        <v>0</v>
      </c>
      <c r="BV38" s="138">
        <f>SUMIFS(tbl_task7[S69],tbl_task7[[SubPLOs]:[SubPLOs]],"&gt;=5",tbl_task7[[SubPLOs]:[SubPLOs]],"&lt;6")</f>
        <v>0</v>
      </c>
      <c r="BW38" s="138">
        <f>SUMIFS(tbl_task7[S70],tbl_task7[[SubPLOs]:[SubPLOs]],"&gt;=5",tbl_task7[[SubPLOs]:[SubPLOs]],"&lt;6")</f>
        <v>0</v>
      </c>
      <c r="BX38" s="138">
        <f>SUMIFS(tbl_task7[S71],tbl_task7[[SubPLOs]:[SubPLOs]],"&gt;=5",tbl_task7[[SubPLOs]:[SubPLOs]],"&lt;6")</f>
        <v>0</v>
      </c>
      <c r="BY38" s="138">
        <f>SUMIFS(tbl_task7[S72],tbl_task7[[SubPLOs]:[SubPLOs]],"&gt;=5",tbl_task7[[SubPLOs]:[SubPLOs]],"&lt;6")</f>
        <v>0</v>
      </c>
      <c r="BZ38" s="138">
        <f>SUMIFS(tbl_task7[S73],tbl_task7[[SubPLOs]:[SubPLOs]],"&gt;=5",tbl_task7[[SubPLOs]:[SubPLOs]],"&lt;6")</f>
        <v>0</v>
      </c>
      <c r="CA38" s="138">
        <f>SUMIFS(tbl_task7[S74],tbl_task7[[SubPLOs]:[SubPLOs]],"&gt;=5",tbl_task7[[SubPLOs]:[SubPLOs]],"&lt;6")</f>
        <v>0</v>
      </c>
      <c r="CB38" s="138">
        <f>SUMIFS(tbl_task7[S75],tbl_task7[[SubPLOs]:[SubPLOs]],"&gt;=5",tbl_task7[[SubPLOs]:[SubPLOs]],"&lt;6")</f>
        <v>0</v>
      </c>
      <c r="CC38" s="138">
        <f>SUMIFS(tbl_task7[S76],tbl_task7[[SubPLOs]:[SubPLOs]],"&gt;=5",tbl_task7[[SubPLOs]:[SubPLOs]],"&lt;6")</f>
        <v>0</v>
      </c>
      <c r="CD38" s="138">
        <f>SUMIFS(tbl_task7[S77],tbl_task7[[SubPLOs]:[SubPLOs]],"&gt;=5",tbl_task7[[SubPLOs]:[SubPLOs]],"&lt;6")</f>
        <v>0</v>
      </c>
      <c r="CE38" s="138">
        <f>SUMIFS(tbl_task7[S78],tbl_task7[[SubPLOs]:[SubPLOs]],"&gt;=5",tbl_task7[[SubPLOs]:[SubPLOs]],"&lt;6")</f>
        <v>0</v>
      </c>
      <c r="CF38" s="138">
        <f>SUMIFS(tbl_task7[S79],tbl_task7[[SubPLOs]:[SubPLOs]],"&gt;=5",tbl_task7[[SubPLOs]:[SubPLOs]],"&lt;6")</f>
        <v>0</v>
      </c>
      <c r="CG38" s="138">
        <f>SUMIFS(tbl_task7[S80],tbl_task7[[SubPLOs]:[SubPLOs]],"&gt;=5",tbl_task7[[SubPLOs]:[SubPLOs]],"&lt;6")</f>
        <v>0</v>
      </c>
      <c r="CH38" s="138">
        <f>SUMIFS(tbl_task7[S81],tbl_task7[[SubPLOs]:[SubPLOs]],"&gt;=5",tbl_task7[[SubPLOs]:[SubPLOs]],"&lt;6")</f>
        <v>0</v>
      </c>
      <c r="CI38" s="138">
        <f>SUMIFS(tbl_task7[S82],tbl_task7[[SubPLOs]:[SubPLOs]],"&gt;=5",tbl_task7[[SubPLOs]:[SubPLOs]],"&lt;6")</f>
        <v>0</v>
      </c>
      <c r="CJ38" s="138">
        <f>SUMIFS(tbl_task7[S83],tbl_task7[[SubPLOs]:[SubPLOs]],"&gt;=5",tbl_task7[[SubPLOs]:[SubPLOs]],"&lt;6")</f>
        <v>0</v>
      </c>
      <c r="CK38" s="138">
        <f>SUMIFS(tbl_task7[S84],tbl_task7[[SubPLOs]:[SubPLOs]],"&gt;=5",tbl_task7[[SubPLOs]:[SubPLOs]],"&lt;6")</f>
        <v>0</v>
      </c>
      <c r="CL38" s="138">
        <f>SUMIFS(tbl_task7[S85],tbl_task7[[SubPLOs]:[SubPLOs]],"&gt;=5",tbl_task7[[SubPLOs]:[SubPLOs]],"&lt;6")</f>
        <v>0</v>
      </c>
      <c r="CM38" s="138">
        <f>SUMIFS(tbl_task7[S86],tbl_task7[[SubPLOs]:[SubPLOs]],"&gt;=5",tbl_task7[[SubPLOs]:[SubPLOs]],"&lt;6")</f>
        <v>0</v>
      </c>
      <c r="CN38" s="138">
        <f>SUMIFS(tbl_task7[S87],tbl_task7[[SubPLOs]:[SubPLOs]],"&gt;=5",tbl_task7[[SubPLOs]:[SubPLOs]],"&lt;6")</f>
        <v>0</v>
      </c>
      <c r="CO38" s="138">
        <f>SUMIFS(tbl_task7[S88],tbl_task7[[SubPLOs]:[SubPLOs]],"&gt;=5",tbl_task7[[SubPLOs]:[SubPLOs]],"&lt;6")</f>
        <v>0</v>
      </c>
      <c r="CP38" s="138">
        <f>SUMIFS(tbl_task7[S89],tbl_task7[[SubPLOs]:[SubPLOs]],"&gt;=5",tbl_task7[[SubPLOs]:[SubPLOs]],"&lt;6")</f>
        <v>0</v>
      </c>
      <c r="CQ38" s="138">
        <f>SUMIFS(tbl_task7[S90],tbl_task7[[SubPLOs]:[SubPLOs]],"&gt;=5",tbl_task7[[SubPLOs]:[SubPLOs]],"&lt;6")</f>
        <v>0</v>
      </c>
      <c r="CR38" s="138">
        <f>SUMIFS(tbl_task7[S91],tbl_task7[[SubPLOs]:[SubPLOs]],"&gt;=5",tbl_task7[[SubPLOs]:[SubPLOs]],"&lt;6")</f>
        <v>0</v>
      </c>
      <c r="CS38" s="138">
        <f>SUMIFS(tbl_task7[S92],tbl_task7[[SubPLOs]:[SubPLOs]],"&gt;=5",tbl_task7[[SubPLOs]:[SubPLOs]],"&lt;6")</f>
        <v>0</v>
      </c>
      <c r="CT38" s="138">
        <f>SUMIFS(tbl_task7[S93],tbl_task7[[SubPLOs]:[SubPLOs]],"&gt;=5",tbl_task7[[SubPLOs]:[SubPLOs]],"&lt;6")</f>
        <v>0</v>
      </c>
      <c r="CU38" s="138">
        <f>SUMIFS(tbl_task7[S94],tbl_task7[[SubPLOs]:[SubPLOs]],"&gt;=5",tbl_task7[[SubPLOs]:[SubPLOs]],"&lt;6")</f>
        <v>0</v>
      </c>
      <c r="CV38" s="138">
        <f>SUMIFS(tbl_task7[S95],tbl_task7[[SubPLOs]:[SubPLOs]],"&gt;=5",tbl_task7[[SubPLOs]:[SubPLOs]],"&lt;6")</f>
        <v>0</v>
      </c>
      <c r="CW38" s="138">
        <f>SUMIFS(tbl_task7[S96],tbl_task7[[SubPLOs]:[SubPLOs]],"&gt;=5",tbl_task7[[SubPLOs]:[SubPLOs]],"&lt;6")</f>
        <v>0</v>
      </c>
      <c r="CX38" s="138">
        <f>SUMIFS(tbl_task7[S97],tbl_task7[[SubPLOs]:[SubPLOs]],"&gt;=5",tbl_task7[[SubPLOs]:[SubPLOs]],"&lt;6")</f>
        <v>0</v>
      </c>
      <c r="CY38" s="138">
        <f>SUMIFS(tbl_task7[S98],tbl_task7[[SubPLOs]:[SubPLOs]],"&gt;=5",tbl_task7[[SubPLOs]:[SubPLOs]],"&lt;6")</f>
        <v>0</v>
      </c>
      <c r="CZ38" s="138">
        <f>SUMIFS(tbl_task7[S99],tbl_task7[[SubPLOs]:[SubPLOs]],"&gt;=5",tbl_task7[[SubPLOs]:[SubPLOs]],"&lt;6")</f>
        <v>0</v>
      </c>
      <c r="DA38" s="138">
        <f>SUMIFS(tbl_task7[S100],tbl_task7[[SubPLOs]:[SubPLOs]],"&gt;=5",tbl_task7[[SubPLOs]:[SubPLOs]],"&lt;6")</f>
        <v>0</v>
      </c>
      <c r="DB38" s="138">
        <f>SUMIFS(tbl_task7[S101],tbl_task7[[SubPLOs]:[SubPLOs]],"&gt;=5",tbl_task7[[SubPLOs]:[SubPLOs]],"&lt;6")</f>
        <v>0</v>
      </c>
      <c r="DC38" s="138">
        <f>SUMIFS(tbl_task7[S102],tbl_task7[[SubPLOs]:[SubPLOs]],"&gt;=5",tbl_task7[[SubPLOs]:[SubPLOs]],"&lt;6")</f>
        <v>0</v>
      </c>
      <c r="DD38" s="138">
        <f>SUMIFS(tbl_task7[S103],tbl_task7[[SubPLOs]:[SubPLOs]],"&gt;=5",tbl_task7[[SubPLOs]:[SubPLOs]],"&lt;6")</f>
        <v>0</v>
      </c>
      <c r="DE38" s="138">
        <f>SUMIFS(tbl_task7[S104],tbl_task7[[SubPLOs]:[SubPLOs]],"&gt;=5",tbl_task7[[SubPLOs]:[SubPLOs]],"&lt;6")</f>
        <v>0</v>
      </c>
      <c r="DF38" s="138">
        <f>SUMIFS(tbl_task7[S105],tbl_task7[[SubPLOs]:[SubPLOs]],"&gt;=5",tbl_task7[[SubPLOs]:[SubPLOs]],"&lt;6")</f>
        <v>0</v>
      </c>
      <c r="DG38" s="138">
        <f>SUMIFS(tbl_task7[S106],tbl_task7[[SubPLOs]:[SubPLOs]],"&gt;=5",tbl_task7[[SubPLOs]:[SubPLOs]],"&lt;6")</f>
        <v>0</v>
      </c>
      <c r="DH38" s="138">
        <f>SUMIFS(tbl_task7[S106],tbl_task7[[SubPLOs]:[SubPLOs]],"&gt;=5",tbl_task7[[SubPLOs]:[SubPLOs]],"&lt;6")</f>
        <v>0</v>
      </c>
      <c r="DI38" s="138">
        <f>SUMIFS(tbl_task7[S108],tbl_task7[[SubPLOs]:[SubPLOs]],"&gt;=5",tbl_task7[[SubPLOs]:[SubPLOs]],"&lt;6")</f>
        <v>0</v>
      </c>
      <c r="DJ38" s="138">
        <f>SUMIFS(tbl_task7[S109],tbl_task7[[SubPLOs]:[SubPLOs]],"&gt;=5",tbl_task7[[SubPLOs]:[SubPLOs]],"&lt;6")</f>
        <v>0</v>
      </c>
      <c r="DK38" s="138">
        <f>SUMIFS(tbl_task7[S110],tbl_task7[[SubPLOs]:[SubPLOs]],"&gt;=5",tbl_task7[[SubPLOs]:[SubPLOs]],"&lt;6")</f>
        <v>0</v>
      </c>
      <c r="DL38" s="138">
        <f>SUMIFS(tbl_task7[S111],tbl_task7[[SubPLOs]:[SubPLOs]],"&gt;=5",tbl_task7[[SubPLOs]:[SubPLOs]],"&lt;6")</f>
        <v>0</v>
      </c>
      <c r="DM38" s="138">
        <f>SUMIFS(tbl_task7[S112],tbl_task7[[SubPLOs]:[SubPLOs]],"&gt;=5",tbl_task7[[SubPLOs]:[SubPLOs]],"&lt;6")</f>
        <v>0</v>
      </c>
      <c r="DN38" s="138">
        <f>SUMIFS(tbl_task7[S113],tbl_task7[[SubPLOs]:[SubPLOs]],"&gt;=5",tbl_task7[[SubPLOs]:[SubPLOs]],"&lt;6")</f>
        <v>0</v>
      </c>
      <c r="DO38" s="138">
        <f>SUMIFS(tbl_task7[S114],tbl_task7[[SubPLOs]:[SubPLOs]],"&gt;=5",tbl_task7[[SubPLOs]:[SubPLOs]],"&lt;6")</f>
        <v>0</v>
      </c>
      <c r="DP38" s="138">
        <f>SUMIFS(tbl_task7[S115],tbl_task7[[SubPLOs]:[SubPLOs]],"&gt;=5",tbl_task7[[SubPLOs]:[SubPLOs]],"&lt;6")</f>
        <v>0</v>
      </c>
      <c r="DQ38" s="138">
        <f>SUMIFS(tbl_task7[S116],tbl_task7[[SubPLOs]:[SubPLOs]],"&gt;=5",tbl_task7[[SubPLOs]:[SubPLOs]],"&lt;6")</f>
        <v>0</v>
      </c>
      <c r="DR38" s="138">
        <f>SUMIFS(tbl_task7[S117],tbl_task7[[SubPLOs]:[SubPLOs]],"&gt;=5",tbl_task7[[SubPLOs]:[SubPLOs]],"&lt;6")</f>
        <v>0</v>
      </c>
      <c r="DS38" s="138">
        <f>SUMIFS(tbl_task7[S118],tbl_task7[[SubPLOs]:[SubPLOs]],"&gt;=5",tbl_task7[[SubPLOs]:[SubPLOs]],"&lt;6")</f>
        <v>0</v>
      </c>
      <c r="DT38" s="138">
        <f>SUMIFS(tbl_task7[S119],tbl_task7[[SubPLOs]:[SubPLOs]],"&gt;=5",tbl_task7[[SubPLOs]:[SubPLOs]],"&lt;6")</f>
        <v>0</v>
      </c>
      <c r="DU38" s="138">
        <f>SUMIFS(tbl_task7[S120],tbl_task7[[SubPLOs]:[SubPLOs]],"&gt;=5",tbl_task7[[SubPLOs]:[SubPLOs]],"&lt;6")</f>
        <v>0</v>
      </c>
      <c r="DV38" s="138">
        <f>SUMIFS(tbl_task7[S121],tbl_task7[[SubPLOs]:[SubPLOs]],"&gt;=5",tbl_task7[[SubPLOs]:[SubPLOs]],"&lt;6")</f>
        <v>0</v>
      </c>
      <c r="DW38" s="138">
        <f>SUMIFS(tbl_task7[S122],tbl_task7[[SubPLOs]:[SubPLOs]],"&gt;=5",tbl_task7[[SubPLOs]:[SubPLOs]],"&lt;6")</f>
        <v>0</v>
      </c>
      <c r="DX38" s="138">
        <f>SUMIFS(tbl_task7[S123],tbl_task7[[SubPLOs]:[SubPLOs]],"&gt;=5",tbl_task7[[SubPLOs]:[SubPLOs]],"&lt;6")</f>
        <v>0</v>
      </c>
      <c r="DY38" s="138">
        <f>SUMIFS(tbl_task7[S124],tbl_task7[[SubPLOs]:[SubPLOs]],"&gt;=5",tbl_task7[[SubPLOs]:[SubPLOs]],"&lt;6")</f>
        <v>0</v>
      </c>
      <c r="DZ38" s="138">
        <f>SUMIFS(tbl_task7[S125],tbl_task7[[SubPLOs]:[SubPLOs]],"&gt;=5",tbl_task7[[SubPLOs]:[SubPLOs]],"&lt;6")</f>
        <v>0</v>
      </c>
      <c r="EA38" s="138">
        <f>SUMIFS(tbl_task7[S126],tbl_task7[[SubPLOs]:[SubPLOs]],"&gt;=5",tbl_task7[[SubPLOs]:[SubPLOs]],"&lt;6")</f>
        <v>0</v>
      </c>
      <c r="EB38" s="138">
        <f>SUMIFS(tbl_task7[S127],tbl_task7[[SubPLOs]:[SubPLOs]],"&gt;=5",tbl_task7[[SubPLOs]:[SubPLOs]],"&lt;6")</f>
        <v>0</v>
      </c>
      <c r="EC38" s="138">
        <f>SUMIFS(tbl_task7[S128],tbl_task7[[SubPLOs]:[SubPLOs]],"&gt;=5",tbl_task7[[SubPLOs]:[SubPLOs]],"&lt;6")</f>
        <v>0</v>
      </c>
      <c r="ED38" s="138">
        <f>SUMIFS(tbl_task7[S129],tbl_task7[[SubPLOs]:[SubPLOs]],"&gt;=5",tbl_task7[[SubPLOs]:[SubPLOs]],"&lt;6")</f>
        <v>0</v>
      </c>
      <c r="EE38" s="138">
        <f>SUMIFS(tbl_task7[S130],tbl_task7[[SubPLOs]:[SubPLOs]],"&gt;=5",tbl_task7[[SubPLOs]:[SubPLOs]],"&lt;6")</f>
        <v>0</v>
      </c>
      <c r="EF38" s="138">
        <f>SUMIFS(tbl_task7[S131],tbl_task7[[SubPLOs]:[SubPLOs]],"&gt;=5",tbl_task7[[SubPLOs]:[SubPLOs]],"&lt;6")</f>
        <v>0</v>
      </c>
      <c r="EG38" s="138">
        <f>SUMIFS(tbl_task7[S132],tbl_task7[[SubPLOs]:[SubPLOs]],"&gt;=5",tbl_task7[[SubPLOs]:[SubPLOs]],"&lt;6")</f>
        <v>0</v>
      </c>
      <c r="EH38" s="138">
        <f>SUMIFS(tbl_task7[S133],tbl_task7[[SubPLOs]:[SubPLOs]],"&gt;=5",tbl_task7[[SubPLOs]:[SubPLOs]],"&lt;6")</f>
        <v>0</v>
      </c>
      <c r="EI38" s="138">
        <f>SUMIFS(tbl_task7[S134],tbl_task7[[SubPLOs]:[SubPLOs]],"&gt;=5",tbl_task7[[SubPLOs]:[SubPLOs]],"&lt;6")</f>
        <v>0</v>
      </c>
      <c r="EJ38" s="138">
        <f>SUMIFS(tbl_task7[S135],tbl_task7[[SubPLOs]:[SubPLOs]],"&gt;=5",tbl_task7[[SubPLOs]:[SubPLOs]],"&lt;6")</f>
        <v>0</v>
      </c>
      <c r="EK38" s="138">
        <f>SUMIFS(tbl_task7[S136],tbl_task7[[SubPLOs]:[SubPLOs]],"&gt;=5",tbl_task7[[SubPLOs]:[SubPLOs]],"&lt;6")</f>
        <v>0</v>
      </c>
      <c r="EL38" s="138">
        <f>SUMIFS(tbl_task7[S137],tbl_task7[[SubPLOs]:[SubPLOs]],"&gt;=5",tbl_task7[[SubPLOs]:[SubPLOs]],"&lt;6")</f>
        <v>0</v>
      </c>
      <c r="EM38" s="138">
        <f>SUMIFS(tbl_task7[S138],tbl_task7[[SubPLOs]:[SubPLOs]],"&gt;=5",tbl_task7[[SubPLOs]:[SubPLOs]],"&lt;6")</f>
        <v>0</v>
      </c>
      <c r="EN38" s="138">
        <f>SUMIFS(tbl_task7[S139],tbl_task7[[SubPLOs]:[SubPLOs]],"&gt;=5",tbl_task7[[SubPLOs]:[SubPLOs]],"&lt;6")</f>
        <v>0</v>
      </c>
      <c r="EO38" s="138">
        <f>SUMIFS(tbl_task7[S140],tbl_task7[[SubPLOs]:[SubPLOs]],"&gt;=5",tbl_task7[[SubPLOs]:[SubPLOs]],"&lt;6")</f>
        <v>0</v>
      </c>
      <c r="EP38" s="138">
        <f>SUMIFS(tbl_task7[S141],tbl_task7[[SubPLOs]:[SubPLOs]],"&gt;=5",tbl_task7[[SubPLOs]:[SubPLOs]],"&lt;6")</f>
        <v>0</v>
      </c>
      <c r="EQ38" s="138">
        <f>SUMIFS(tbl_task7[S142],tbl_task7[[SubPLOs]:[SubPLOs]],"&gt;=5",tbl_task7[[SubPLOs]:[SubPLOs]],"&lt;6")</f>
        <v>0</v>
      </c>
      <c r="ER38" s="138">
        <f>SUMIFS(tbl_task7[S143],tbl_task7[[SubPLOs]:[SubPLOs]],"&gt;=5",tbl_task7[[SubPLOs]:[SubPLOs]],"&lt;6")</f>
        <v>0</v>
      </c>
      <c r="ES38" s="138">
        <f>SUMIFS(tbl_task7[S144],tbl_task7[[SubPLOs]:[SubPLOs]],"&gt;=5",tbl_task7[[SubPLOs]:[SubPLOs]],"&lt;6")</f>
        <v>0</v>
      </c>
      <c r="ET38" s="138">
        <f>SUMIFS(tbl_task7[S145],tbl_task7[[SubPLOs]:[SubPLOs]],"&gt;=5",tbl_task7[[SubPLOs]:[SubPLOs]],"&lt;6")</f>
        <v>0</v>
      </c>
      <c r="EU38" s="138">
        <f>SUMIFS(tbl_task7[S146],tbl_task7[[SubPLOs]:[SubPLOs]],"&gt;=5",tbl_task7[[SubPLOs]:[SubPLOs]],"&lt;6")</f>
        <v>0</v>
      </c>
      <c r="EV38" s="138">
        <f>SUMIFS(tbl_task7[S147],tbl_task7[[SubPLOs]:[SubPLOs]],"&gt;=5",tbl_task7[[SubPLOs]:[SubPLOs]],"&lt;6")</f>
        <v>0</v>
      </c>
      <c r="EW38" s="138">
        <f>SUMIFS(tbl_task7[S148],tbl_task7[[SubPLOs]:[SubPLOs]],"&gt;=5",tbl_task7[[SubPLOs]:[SubPLOs]],"&lt;6")</f>
        <v>0</v>
      </c>
      <c r="EX38" s="138">
        <f>SUMIFS(tbl_task7[S149],tbl_task7[[SubPLOs]:[SubPLOs]],"&gt;=5",tbl_task7[[SubPLOs]:[SubPLOs]],"&lt;6")</f>
        <v>0</v>
      </c>
      <c r="EY38" s="138">
        <f>SUMIFS(tbl_task7[S150],tbl_task7[[SubPLOs]:[SubPLOs]],"&gt;=5",tbl_task7[[SubPLOs]:[SubPLOs]],"&lt;6")</f>
        <v>0</v>
      </c>
      <c r="EZ38" s="138">
        <f>SUMIFS(tbl_task7[S151],tbl_task7[[SubPLOs]:[SubPLOs]],"&gt;=5",tbl_task7[[SubPLOs]:[SubPLOs]],"&lt;6")</f>
        <v>0</v>
      </c>
      <c r="FA38" s="138">
        <f>SUMIFS(tbl_task7[S152],tbl_task7[[SubPLOs]:[SubPLOs]],"&gt;=5",tbl_task7[[SubPLOs]:[SubPLOs]],"&lt;6")</f>
        <v>0</v>
      </c>
      <c r="FB38" s="138">
        <f>SUMIFS(tbl_task7[S153],tbl_task7[[SubPLOs]:[SubPLOs]],"&gt;=5",tbl_task7[[SubPLOs]:[SubPLOs]],"&lt;6")</f>
        <v>0</v>
      </c>
      <c r="FC38" s="138">
        <f>SUMIFS(tbl_task7[S154],tbl_task7[[SubPLOs]:[SubPLOs]],"&gt;=5",tbl_task7[[SubPLOs]:[SubPLOs]],"&lt;6")</f>
        <v>0</v>
      </c>
      <c r="FD38" s="138">
        <f>SUMIFS(tbl_task7[S155],tbl_task7[[SubPLOs]:[SubPLOs]],"&gt;=5",tbl_task7[[SubPLOs]:[SubPLOs]],"&lt;6")</f>
        <v>0</v>
      </c>
      <c r="FE38" s="138">
        <f>SUMIFS(tbl_task7[S156],tbl_task7[[SubPLOs]:[SubPLOs]],"&gt;=5",tbl_task7[[SubPLOs]:[SubPLOs]],"&lt;6")</f>
        <v>0</v>
      </c>
      <c r="FF38" s="138">
        <f>SUMIFS(tbl_task7[S157],tbl_task7[[SubPLOs]:[SubPLOs]],"&gt;=5",tbl_task7[[SubPLOs]:[SubPLOs]],"&lt;6")</f>
        <v>0</v>
      </c>
      <c r="FG38" s="138">
        <f>SUMIFS(tbl_task7[S158],tbl_task7[[SubPLOs]:[SubPLOs]],"&gt;=5",tbl_task7[[SubPLOs]:[SubPLOs]],"&lt;6")</f>
        <v>0</v>
      </c>
      <c r="FH38" s="138">
        <f>SUMIFS(tbl_task7[S159],tbl_task7[[SubPLOs]:[SubPLOs]],"&gt;=5",tbl_task7[[SubPLOs]:[SubPLOs]],"&lt;6")</f>
        <v>0</v>
      </c>
      <c r="FI38" s="138">
        <f>SUMIFS(tbl_task7[S160],tbl_task7[[SubPLOs]:[SubPLOs]],"&gt;=5",tbl_task7[[SubPLOs]:[SubPLOs]],"&lt;6")</f>
        <v>0</v>
      </c>
      <c r="FJ38" s="138">
        <f>SUMIFS(tbl_task7[S161],tbl_task7[[SubPLOs]:[SubPLOs]],"&gt;=5",tbl_task7[[SubPLOs]:[SubPLOs]],"&lt;6")</f>
        <v>0</v>
      </c>
      <c r="FK38" s="138">
        <f>SUMIFS(tbl_task7[S162],tbl_task7[[SubPLOs]:[SubPLOs]],"&gt;=5",tbl_task7[[SubPLOs]:[SubPLOs]],"&lt;6")</f>
        <v>0</v>
      </c>
      <c r="FL38" s="138">
        <f>SUMIFS(tbl_task7[S163],tbl_task7[[SubPLOs]:[SubPLOs]],"&gt;=5",tbl_task7[[SubPLOs]:[SubPLOs]],"&lt;6")</f>
        <v>0</v>
      </c>
      <c r="FM38" s="138">
        <f>SUMIFS(tbl_task7[S164],tbl_task7[[SubPLOs]:[SubPLOs]],"&gt;=5",tbl_task7[[SubPLOs]:[SubPLOs]],"&lt;6")</f>
        <v>0</v>
      </c>
      <c r="FN38" s="138">
        <f>SUMIFS(tbl_task7[S165],tbl_task7[[SubPLOs]:[SubPLOs]],"&gt;=5",tbl_task7[[SubPLOs]:[SubPLOs]],"&lt;6")</f>
        <v>0</v>
      </c>
    </row>
    <row r="39" spans="1:170" ht="42" x14ac:dyDescent="0.25">
      <c r="A39" s="135">
        <v>6</v>
      </c>
      <c r="B39" s="5" t="s">
        <v>439</v>
      </c>
      <c r="C39" s="136">
        <f>COUNTIFS(tbl_task7[SubPLOs],"&gt;=6",tbl_task7[SubPLOs],"&lt;7")</f>
        <v>0</v>
      </c>
      <c r="D39" s="136">
        <f>SUMIFS(tbl_task7[คะแนนเต็ม],tbl_task7[SubPLOs],"&gt;=6",tbl_task7[SubPLOs],"&lt;7")</f>
        <v>0</v>
      </c>
      <c r="E39" s="137">
        <f>SUMIFS(tbl_task7[%],tbl_task7[SubPLOs],"&gt;=6",tbl_task7[SubPLOs],"&lt;7")</f>
        <v>0</v>
      </c>
      <c r="F39" s="138">
        <f>SUMIFS(tbl_task7[S1],tbl_task7[[SubPLOs]:[SubPLOs]],"&gt;=6",tbl_task7[[SubPLOs]:[SubPLOs]],"&lt;7")</f>
        <v>0</v>
      </c>
      <c r="G39" s="138">
        <f>SUMIFS(tbl_task7[S2],tbl_task7[[SubPLOs]:[SubPLOs]],"&gt;=6",tbl_task7[[SubPLOs]:[SubPLOs]],"&lt;7")</f>
        <v>0</v>
      </c>
      <c r="H39" s="138">
        <f>SUMIFS(tbl_task7[S3],tbl_task7[[SubPLOs]:[SubPLOs]],"&gt;=6",tbl_task7[[SubPLOs]:[SubPLOs]],"&lt;7")</f>
        <v>0</v>
      </c>
      <c r="I39" s="138">
        <f>SUMIFS(tbl_task7[S4],tbl_task7[[SubPLOs]:[SubPLOs]],"&gt;=6",tbl_task7[[SubPLOs]:[SubPLOs]],"&lt;7")</f>
        <v>0</v>
      </c>
      <c r="J39" s="138">
        <f>SUMIFS(tbl_task7[S5],tbl_task7[[SubPLOs]:[SubPLOs]],"&gt;=6",tbl_task7[[SubPLOs]:[SubPLOs]],"&lt;7")</f>
        <v>0</v>
      </c>
      <c r="K39" s="138">
        <f>SUMIFS(tbl_task7[S6],tbl_task7[[SubPLOs]:[SubPLOs]],"&gt;=6",tbl_task7[[SubPLOs]:[SubPLOs]],"&lt;7")</f>
        <v>0</v>
      </c>
      <c r="L39" s="138">
        <f>SUMIFS(tbl_task7[S7],tbl_task7[[SubPLOs]:[SubPLOs]],"&gt;=6",tbl_task7[[SubPLOs]:[SubPLOs]],"&lt;7")</f>
        <v>0</v>
      </c>
      <c r="M39" s="138">
        <f>SUMIFS(tbl_task7[S8],tbl_task7[[SubPLOs]:[SubPLOs]],"&gt;=6",tbl_task7[[SubPLOs]:[SubPLOs]],"&lt;7")</f>
        <v>0</v>
      </c>
      <c r="N39" s="138">
        <f>SUMIFS(tbl_task7[S9],tbl_task7[[SubPLOs]:[SubPLOs]],"&gt;=6",tbl_task7[[SubPLOs]:[SubPLOs]],"&lt;7")</f>
        <v>0</v>
      </c>
      <c r="O39" s="138">
        <f>SUMIFS(tbl_task7[S10],tbl_task7[[SubPLOs]:[SubPLOs]],"&gt;=6",tbl_task7[[SubPLOs]:[SubPLOs]],"&lt;7")</f>
        <v>0</v>
      </c>
      <c r="P39" s="138">
        <f>SUMIFS(tbl_task7[S11],tbl_task7[[SubPLOs]:[SubPLOs]],"&gt;=6",tbl_task7[[SubPLOs]:[SubPLOs]],"&lt;7")</f>
        <v>0</v>
      </c>
      <c r="Q39" s="138">
        <f>SUMIFS(tbl_task7[S12],tbl_task7[[SubPLOs]:[SubPLOs]],"&gt;=6",tbl_task7[[SubPLOs]:[SubPLOs]],"&lt;7")</f>
        <v>0</v>
      </c>
      <c r="R39" s="138">
        <f>SUMIFS(tbl_task7[S13],tbl_task7[[SubPLOs]:[SubPLOs]],"&gt;=6",tbl_task7[[SubPLOs]:[SubPLOs]],"&lt;7")</f>
        <v>0</v>
      </c>
      <c r="S39" s="138">
        <f>SUMIFS(tbl_task7[S14],tbl_task7[[SubPLOs]:[SubPLOs]],"&gt;=6",tbl_task7[[SubPLOs]:[SubPLOs]],"&lt;7")</f>
        <v>0</v>
      </c>
      <c r="T39" s="138">
        <f>SUMIFS(tbl_task7[S15],tbl_task7[[SubPLOs]:[SubPLOs]],"&gt;=6",tbl_task7[[SubPLOs]:[SubPLOs]],"&lt;7")</f>
        <v>0</v>
      </c>
      <c r="U39" s="138">
        <f>SUMIFS(tbl_task7[S16],tbl_task7[[SubPLOs]:[SubPLOs]],"&gt;=6",tbl_task7[[SubPLOs]:[SubPLOs]],"&lt;7")</f>
        <v>0</v>
      </c>
      <c r="V39" s="138">
        <f>SUMIFS(tbl_task7[S17],tbl_task7[[SubPLOs]:[SubPLOs]],"&gt;=6",tbl_task7[[SubPLOs]:[SubPLOs]],"&lt;7")</f>
        <v>0</v>
      </c>
      <c r="W39" s="138">
        <f>SUMIFS(tbl_task7[S18],tbl_task7[[SubPLOs]:[SubPLOs]],"&gt;=6",tbl_task7[[SubPLOs]:[SubPLOs]],"&lt;7")</f>
        <v>0</v>
      </c>
      <c r="X39" s="138">
        <f>SUMIFS(tbl_task7[S19],tbl_task7[[SubPLOs]:[SubPLOs]],"&gt;=6",tbl_task7[[SubPLOs]:[SubPLOs]],"&lt;7")</f>
        <v>0</v>
      </c>
      <c r="Y39" s="138">
        <f>SUMIFS(tbl_task7[S20],tbl_task7[[SubPLOs]:[SubPLOs]],"&gt;=6",tbl_task7[[SubPLOs]:[SubPLOs]],"&lt;7")</f>
        <v>0</v>
      </c>
      <c r="Z39" s="138">
        <f>SUMIFS(tbl_task7[S21],tbl_task7[[SubPLOs]:[SubPLOs]],"&gt;=6",tbl_task7[[SubPLOs]:[SubPLOs]],"&lt;7")</f>
        <v>0</v>
      </c>
      <c r="AA39" s="138">
        <f>SUMIFS(tbl_task7[S22],tbl_task7[[SubPLOs]:[SubPLOs]],"&gt;=6",tbl_task7[[SubPLOs]:[SubPLOs]],"&lt;7")</f>
        <v>0</v>
      </c>
      <c r="AB39" s="138">
        <f>SUMIFS(tbl_task7[S23],tbl_task7[[SubPLOs]:[SubPLOs]],"&gt;=6",tbl_task7[[SubPLOs]:[SubPLOs]],"&lt;7")</f>
        <v>0</v>
      </c>
      <c r="AC39" s="138">
        <f>SUMIFS(tbl_task7[S24],tbl_task7[[SubPLOs]:[SubPLOs]],"&gt;=6",tbl_task7[[SubPLOs]:[SubPLOs]],"&lt;7")</f>
        <v>0</v>
      </c>
      <c r="AD39" s="138">
        <f>SUMIFS(tbl_task7[S25],tbl_task7[[SubPLOs]:[SubPLOs]],"&gt;=6",tbl_task7[[SubPLOs]:[SubPLOs]],"&lt;7")</f>
        <v>0</v>
      </c>
      <c r="AE39" s="138">
        <f>SUMIFS(tbl_task7[S26],tbl_task7[[SubPLOs]:[SubPLOs]],"&gt;=6",tbl_task7[[SubPLOs]:[SubPLOs]],"&lt;7")</f>
        <v>0</v>
      </c>
      <c r="AF39" s="138">
        <f>SUMIFS(tbl_task7[S27],tbl_task7[[SubPLOs]:[SubPLOs]],"&gt;=6",tbl_task7[[SubPLOs]:[SubPLOs]],"&lt;7")</f>
        <v>0</v>
      </c>
      <c r="AG39" s="138">
        <f>SUMIFS(tbl_task7[S28],tbl_task7[[SubPLOs]:[SubPLOs]],"&gt;=6",tbl_task7[[SubPLOs]:[SubPLOs]],"&lt;7")</f>
        <v>0</v>
      </c>
      <c r="AH39" s="138">
        <f>SUMIFS(tbl_task7[S29],tbl_task7[[SubPLOs]:[SubPLOs]],"&gt;=6",tbl_task7[[SubPLOs]:[SubPLOs]],"&lt;7")</f>
        <v>0</v>
      </c>
      <c r="AI39" s="138">
        <f>SUMIFS(tbl_task7[S30],tbl_task7[[SubPLOs]:[SubPLOs]],"&gt;=6",tbl_task7[[SubPLOs]:[SubPLOs]],"&lt;7")</f>
        <v>0</v>
      </c>
      <c r="AJ39" s="138">
        <f>SUMIFS(tbl_task7[S31],tbl_task7[[SubPLOs]:[SubPLOs]],"&gt;=6",tbl_task7[[SubPLOs]:[SubPLOs]],"&lt;7")</f>
        <v>0</v>
      </c>
      <c r="AK39" s="138">
        <f>SUMIFS(tbl_task7[S32],tbl_task7[[SubPLOs]:[SubPLOs]],"&gt;=6",tbl_task7[[SubPLOs]:[SubPLOs]],"&lt;7")</f>
        <v>0</v>
      </c>
      <c r="AL39" s="138">
        <f>SUMIFS(tbl_task7[S33],tbl_task7[[SubPLOs]:[SubPLOs]],"&gt;=6",tbl_task7[[SubPLOs]:[SubPLOs]],"&lt;7")</f>
        <v>0</v>
      </c>
      <c r="AM39" s="138">
        <f>SUMIFS(tbl_task7[S34],tbl_task7[[SubPLOs]:[SubPLOs]],"&gt;=6",tbl_task7[[SubPLOs]:[SubPLOs]],"&lt;7")</f>
        <v>0</v>
      </c>
      <c r="AN39" s="138">
        <f>SUMIFS(tbl_task7[S35],tbl_task7[[SubPLOs]:[SubPLOs]],"&gt;=6",tbl_task7[[SubPLOs]:[SubPLOs]],"&lt;7")</f>
        <v>0</v>
      </c>
      <c r="AO39" s="138">
        <f>SUMIFS(tbl_task7[S36],tbl_task7[[SubPLOs]:[SubPLOs]],"&gt;=6",tbl_task7[[SubPLOs]:[SubPLOs]],"&lt;7")</f>
        <v>0</v>
      </c>
      <c r="AP39" s="138">
        <f>SUMIFS(tbl_task7[S37],tbl_task7[[SubPLOs]:[SubPLOs]],"&gt;=6",tbl_task7[[SubPLOs]:[SubPLOs]],"&lt;7")</f>
        <v>0</v>
      </c>
      <c r="AQ39" s="138">
        <f>SUMIFS(tbl_task7[S38],tbl_task7[[SubPLOs]:[SubPLOs]],"&gt;=6",tbl_task7[[SubPLOs]:[SubPLOs]],"&lt;7")</f>
        <v>0</v>
      </c>
      <c r="AR39" s="138">
        <f>SUMIFS(tbl_task7[S39],tbl_task7[[SubPLOs]:[SubPLOs]],"&gt;=6",tbl_task7[[SubPLOs]:[SubPLOs]],"&lt;7")</f>
        <v>0</v>
      </c>
      <c r="AS39" s="138">
        <f>SUMIFS(tbl_task7[S40],tbl_task7[[SubPLOs]:[SubPLOs]],"&gt;=6",tbl_task7[[SubPLOs]:[SubPLOs]],"&lt;7")</f>
        <v>0</v>
      </c>
      <c r="AT39" s="138">
        <f>SUMIFS(tbl_task7[S41],tbl_task7[[SubPLOs]:[SubPLOs]],"&gt;=6",tbl_task7[[SubPLOs]:[SubPLOs]],"&lt;7")</f>
        <v>0</v>
      </c>
      <c r="AU39" s="138">
        <f>SUMIFS(tbl_task7[S42],tbl_task7[[SubPLOs]:[SubPLOs]],"&gt;=6",tbl_task7[[SubPLOs]:[SubPLOs]],"&lt;7")</f>
        <v>0</v>
      </c>
      <c r="AV39" s="138">
        <f>SUMIFS(tbl_task7[S43],tbl_task7[[SubPLOs]:[SubPLOs]],"&gt;=6",tbl_task7[[SubPLOs]:[SubPLOs]],"&lt;7")</f>
        <v>0</v>
      </c>
      <c r="AW39" s="138">
        <f>SUMIFS(tbl_task7[S44],tbl_task7[[SubPLOs]:[SubPLOs]],"&gt;=6",tbl_task7[[SubPLOs]:[SubPLOs]],"&lt;7")</f>
        <v>0</v>
      </c>
      <c r="AX39" s="138">
        <f>SUMIFS(tbl_task7[S45],tbl_task7[[SubPLOs]:[SubPLOs]],"&gt;=6",tbl_task7[[SubPLOs]:[SubPLOs]],"&lt;7")</f>
        <v>0</v>
      </c>
      <c r="AY39" s="138">
        <f>SUMIFS(tbl_task7[S46],tbl_task7[[SubPLOs]:[SubPLOs]],"&gt;=6",tbl_task7[[SubPLOs]:[SubPLOs]],"&lt;7")</f>
        <v>0</v>
      </c>
      <c r="AZ39" s="138">
        <f>SUMIFS(tbl_task7[S47],tbl_task7[[SubPLOs]:[SubPLOs]],"&gt;=6",tbl_task7[[SubPLOs]:[SubPLOs]],"&lt;7")</f>
        <v>0</v>
      </c>
      <c r="BA39" s="138">
        <f>SUMIFS(tbl_task7[S48],tbl_task7[[SubPLOs]:[SubPLOs]],"&gt;=6",tbl_task7[[SubPLOs]:[SubPLOs]],"&lt;7")</f>
        <v>0</v>
      </c>
      <c r="BB39" s="138">
        <f>SUMIFS(tbl_task7[S49],tbl_task7[[SubPLOs]:[SubPLOs]],"&gt;=6",tbl_task7[[SubPLOs]:[SubPLOs]],"&lt;7")</f>
        <v>0</v>
      </c>
      <c r="BC39" s="138">
        <f>SUMIFS(tbl_task7[S50],tbl_task7[[SubPLOs]:[SubPLOs]],"&gt;=6",tbl_task7[[SubPLOs]:[SubPLOs]],"&lt;7")</f>
        <v>0</v>
      </c>
      <c r="BD39" s="138">
        <f>SUMIFS(tbl_task7[S51],tbl_task7[[SubPLOs]:[SubPLOs]],"&gt;=6",tbl_task7[[SubPLOs]:[SubPLOs]],"&lt;7")</f>
        <v>0</v>
      </c>
      <c r="BE39" s="138">
        <f>SUMIFS(tbl_task7[S52],tbl_task7[[SubPLOs]:[SubPLOs]],"&gt;=6",tbl_task7[[SubPLOs]:[SubPLOs]],"&lt;7")</f>
        <v>0</v>
      </c>
      <c r="BF39" s="138">
        <f>SUMIFS(tbl_task7[S53],tbl_task7[[SubPLOs]:[SubPLOs]],"&gt;=6",tbl_task7[[SubPLOs]:[SubPLOs]],"&lt;7")</f>
        <v>0</v>
      </c>
      <c r="BG39" s="138">
        <f>SUMIFS(tbl_task7[S54],tbl_task7[[SubPLOs]:[SubPLOs]],"&gt;=6",tbl_task7[[SubPLOs]:[SubPLOs]],"&lt;7")</f>
        <v>0</v>
      </c>
      <c r="BH39" s="138">
        <f>SUMIFS(tbl_task7[S55],tbl_task7[[SubPLOs]:[SubPLOs]],"&gt;=6",tbl_task7[[SubPLOs]:[SubPLOs]],"&lt;7")</f>
        <v>0</v>
      </c>
      <c r="BI39" s="138">
        <f>SUMIFS(tbl_task7[S56],tbl_task7[[SubPLOs]:[SubPLOs]],"&gt;=6",tbl_task7[[SubPLOs]:[SubPLOs]],"&lt;7")</f>
        <v>0</v>
      </c>
      <c r="BJ39" s="138">
        <f>SUMIFS(tbl_task7[S57],tbl_task7[[SubPLOs]:[SubPLOs]],"&gt;=6",tbl_task7[[SubPLOs]:[SubPLOs]],"&lt;7")</f>
        <v>0</v>
      </c>
      <c r="BK39" s="138">
        <f>SUMIFS(tbl_task7[S58],tbl_task7[[SubPLOs]:[SubPLOs]],"&gt;=6",tbl_task7[[SubPLOs]:[SubPLOs]],"&lt;7")</f>
        <v>0</v>
      </c>
      <c r="BL39" s="138">
        <f>SUMIFS(tbl_task7[S59],tbl_task7[[SubPLOs]:[SubPLOs]],"&gt;=6",tbl_task7[[SubPLOs]:[SubPLOs]],"&lt;7")</f>
        <v>0</v>
      </c>
      <c r="BM39" s="138">
        <f>SUMIFS(tbl_task7[S60],tbl_task7[[SubPLOs]:[SubPLOs]],"&gt;=6",tbl_task7[[SubPLOs]:[SubPLOs]],"&lt;7")</f>
        <v>0</v>
      </c>
      <c r="BN39" s="138">
        <f>SUMIFS(tbl_task7[S61],tbl_task7[[SubPLOs]:[SubPLOs]],"&gt;=6",tbl_task7[[SubPLOs]:[SubPLOs]],"&lt;7")</f>
        <v>0</v>
      </c>
      <c r="BO39" s="138">
        <f>SUMIFS(tbl_task7[S62],tbl_task7[[SubPLOs]:[SubPLOs]],"&gt;=6",tbl_task7[[SubPLOs]:[SubPLOs]],"&lt;7")</f>
        <v>0</v>
      </c>
      <c r="BP39" s="138">
        <f>SUMIFS(tbl_task7[S63],tbl_task7[[SubPLOs]:[SubPLOs]],"&gt;=6",tbl_task7[[SubPLOs]:[SubPLOs]],"&lt;7")</f>
        <v>0</v>
      </c>
      <c r="BQ39" s="138">
        <f>SUMIFS(tbl_task7[S64],tbl_task7[[SubPLOs]:[SubPLOs]],"&gt;=6",tbl_task7[[SubPLOs]:[SubPLOs]],"&lt;7")</f>
        <v>0</v>
      </c>
      <c r="BR39" s="138">
        <f>SUMIFS(tbl_task7[S65],tbl_task7[[SubPLOs]:[SubPLOs]],"&gt;=6",tbl_task7[[SubPLOs]:[SubPLOs]],"&lt;7")</f>
        <v>0</v>
      </c>
      <c r="BS39" s="138">
        <f>SUMIFS(tbl_task7[S66],tbl_task7[[SubPLOs]:[SubPLOs]],"&gt;=6",tbl_task7[[SubPLOs]:[SubPLOs]],"&lt;7")</f>
        <v>0</v>
      </c>
      <c r="BT39" s="138">
        <f>SUMIFS(tbl_task7[S67],tbl_task7[[SubPLOs]:[SubPLOs]],"&gt;=6",tbl_task7[[SubPLOs]:[SubPLOs]],"&lt;7")</f>
        <v>0</v>
      </c>
      <c r="BU39" s="138">
        <f>SUMIFS(tbl_task7[S68],tbl_task7[[SubPLOs]:[SubPLOs]],"&gt;=6",tbl_task7[[SubPLOs]:[SubPLOs]],"&lt;7")</f>
        <v>0</v>
      </c>
      <c r="BV39" s="138">
        <f>SUMIFS(tbl_task7[S69],tbl_task7[[SubPLOs]:[SubPLOs]],"&gt;=6",tbl_task7[[SubPLOs]:[SubPLOs]],"&lt;7")</f>
        <v>0</v>
      </c>
      <c r="BW39" s="138">
        <f>SUMIFS(tbl_task7[S70],tbl_task7[[SubPLOs]:[SubPLOs]],"&gt;=6",tbl_task7[[SubPLOs]:[SubPLOs]],"&lt;7")</f>
        <v>0</v>
      </c>
      <c r="BX39" s="138">
        <f>SUMIFS(tbl_task7[S71],tbl_task7[[SubPLOs]:[SubPLOs]],"&gt;=6",tbl_task7[[SubPLOs]:[SubPLOs]],"&lt;7")</f>
        <v>0</v>
      </c>
      <c r="BY39" s="138">
        <f>SUMIFS(tbl_task7[S72],tbl_task7[[SubPLOs]:[SubPLOs]],"&gt;=6",tbl_task7[[SubPLOs]:[SubPLOs]],"&lt;7")</f>
        <v>0</v>
      </c>
      <c r="BZ39" s="138">
        <f>SUMIFS(tbl_task7[S73],tbl_task7[[SubPLOs]:[SubPLOs]],"&gt;=6",tbl_task7[[SubPLOs]:[SubPLOs]],"&lt;7")</f>
        <v>0</v>
      </c>
      <c r="CA39" s="138">
        <f>SUMIFS(tbl_task7[S74],tbl_task7[[SubPLOs]:[SubPLOs]],"&gt;=6",tbl_task7[[SubPLOs]:[SubPLOs]],"&lt;7")</f>
        <v>0</v>
      </c>
      <c r="CB39" s="138">
        <f>SUMIFS(tbl_task7[S75],tbl_task7[[SubPLOs]:[SubPLOs]],"&gt;=6",tbl_task7[[SubPLOs]:[SubPLOs]],"&lt;7")</f>
        <v>0</v>
      </c>
      <c r="CC39" s="138">
        <f>SUMIFS(tbl_task7[S76],tbl_task7[[SubPLOs]:[SubPLOs]],"&gt;=6",tbl_task7[[SubPLOs]:[SubPLOs]],"&lt;7")</f>
        <v>0</v>
      </c>
      <c r="CD39" s="138">
        <f>SUMIFS(tbl_task7[S77],tbl_task7[[SubPLOs]:[SubPLOs]],"&gt;=6",tbl_task7[[SubPLOs]:[SubPLOs]],"&lt;7")</f>
        <v>0</v>
      </c>
      <c r="CE39" s="138">
        <f>SUMIFS(tbl_task7[S78],tbl_task7[[SubPLOs]:[SubPLOs]],"&gt;=6",tbl_task7[[SubPLOs]:[SubPLOs]],"&lt;7")</f>
        <v>0</v>
      </c>
      <c r="CF39" s="138">
        <f>SUMIFS(tbl_task7[S79],tbl_task7[[SubPLOs]:[SubPLOs]],"&gt;=6",tbl_task7[[SubPLOs]:[SubPLOs]],"&lt;7")</f>
        <v>0</v>
      </c>
      <c r="CG39" s="138">
        <f>SUMIFS(tbl_task7[S80],tbl_task7[[SubPLOs]:[SubPLOs]],"&gt;=6",tbl_task7[[SubPLOs]:[SubPLOs]],"&lt;7")</f>
        <v>0</v>
      </c>
      <c r="CH39" s="138">
        <f>SUMIFS(tbl_task7[S81],tbl_task7[[SubPLOs]:[SubPLOs]],"&gt;=6",tbl_task7[[SubPLOs]:[SubPLOs]],"&lt;7")</f>
        <v>0</v>
      </c>
      <c r="CI39" s="138">
        <f>SUMIFS(tbl_task7[S82],tbl_task7[[SubPLOs]:[SubPLOs]],"&gt;=6",tbl_task7[[SubPLOs]:[SubPLOs]],"&lt;7")</f>
        <v>0</v>
      </c>
      <c r="CJ39" s="138">
        <f>SUMIFS(tbl_task7[S83],tbl_task7[[SubPLOs]:[SubPLOs]],"&gt;=6",tbl_task7[[SubPLOs]:[SubPLOs]],"&lt;7")</f>
        <v>0</v>
      </c>
      <c r="CK39" s="138">
        <f>SUMIFS(tbl_task7[S84],tbl_task7[[SubPLOs]:[SubPLOs]],"&gt;=6",tbl_task7[[SubPLOs]:[SubPLOs]],"&lt;7")</f>
        <v>0</v>
      </c>
      <c r="CL39" s="138">
        <f>SUMIFS(tbl_task7[S85],tbl_task7[[SubPLOs]:[SubPLOs]],"&gt;=6",tbl_task7[[SubPLOs]:[SubPLOs]],"&lt;7")</f>
        <v>0</v>
      </c>
      <c r="CM39" s="138">
        <f>SUMIFS(tbl_task7[S86],tbl_task7[[SubPLOs]:[SubPLOs]],"&gt;=6",tbl_task7[[SubPLOs]:[SubPLOs]],"&lt;7")</f>
        <v>0</v>
      </c>
      <c r="CN39" s="138">
        <f>SUMIFS(tbl_task7[S87],tbl_task7[[SubPLOs]:[SubPLOs]],"&gt;=6",tbl_task7[[SubPLOs]:[SubPLOs]],"&lt;7")</f>
        <v>0</v>
      </c>
      <c r="CO39" s="138">
        <f>SUMIFS(tbl_task7[S88],tbl_task7[[SubPLOs]:[SubPLOs]],"&gt;=6",tbl_task7[[SubPLOs]:[SubPLOs]],"&lt;7")</f>
        <v>0</v>
      </c>
      <c r="CP39" s="138">
        <f>SUMIFS(tbl_task7[S89],tbl_task7[[SubPLOs]:[SubPLOs]],"&gt;=6",tbl_task7[[SubPLOs]:[SubPLOs]],"&lt;7")</f>
        <v>0</v>
      </c>
      <c r="CQ39" s="138">
        <f>SUMIFS(tbl_task7[S90],tbl_task7[[SubPLOs]:[SubPLOs]],"&gt;=6",tbl_task7[[SubPLOs]:[SubPLOs]],"&lt;7")</f>
        <v>0</v>
      </c>
      <c r="CR39" s="138">
        <f>SUMIFS(tbl_task7[S91],tbl_task7[[SubPLOs]:[SubPLOs]],"&gt;=6",tbl_task7[[SubPLOs]:[SubPLOs]],"&lt;7")</f>
        <v>0</v>
      </c>
      <c r="CS39" s="138">
        <f>SUMIFS(tbl_task7[S92],tbl_task7[[SubPLOs]:[SubPLOs]],"&gt;=6",tbl_task7[[SubPLOs]:[SubPLOs]],"&lt;7")</f>
        <v>0</v>
      </c>
      <c r="CT39" s="138">
        <f>SUMIFS(tbl_task7[S93],tbl_task7[[SubPLOs]:[SubPLOs]],"&gt;=6",tbl_task7[[SubPLOs]:[SubPLOs]],"&lt;7")</f>
        <v>0</v>
      </c>
      <c r="CU39" s="138">
        <f>SUMIFS(tbl_task7[S94],tbl_task7[[SubPLOs]:[SubPLOs]],"&gt;=6",tbl_task7[[SubPLOs]:[SubPLOs]],"&lt;7")</f>
        <v>0</v>
      </c>
      <c r="CV39" s="138">
        <f>SUMIFS(tbl_task7[S95],tbl_task7[[SubPLOs]:[SubPLOs]],"&gt;=6",tbl_task7[[SubPLOs]:[SubPLOs]],"&lt;7")</f>
        <v>0</v>
      </c>
      <c r="CW39" s="138">
        <f>SUMIFS(tbl_task7[S96],tbl_task7[[SubPLOs]:[SubPLOs]],"&gt;=6",tbl_task7[[SubPLOs]:[SubPLOs]],"&lt;7")</f>
        <v>0</v>
      </c>
      <c r="CX39" s="138">
        <f>SUMIFS(tbl_task7[S97],tbl_task7[[SubPLOs]:[SubPLOs]],"&gt;=6",tbl_task7[[SubPLOs]:[SubPLOs]],"&lt;7")</f>
        <v>0</v>
      </c>
      <c r="CY39" s="138">
        <f>SUMIFS(tbl_task7[S98],tbl_task7[[SubPLOs]:[SubPLOs]],"&gt;=6",tbl_task7[[SubPLOs]:[SubPLOs]],"&lt;7")</f>
        <v>0</v>
      </c>
      <c r="CZ39" s="138">
        <f>SUMIFS(tbl_task7[S99],tbl_task7[[SubPLOs]:[SubPLOs]],"&gt;=6",tbl_task7[[SubPLOs]:[SubPLOs]],"&lt;7")</f>
        <v>0</v>
      </c>
      <c r="DA39" s="138">
        <f>SUMIFS(tbl_task7[S100],tbl_task7[[SubPLOs]:[SubPLOs]],"&gt;=6",tbl_task7[[SubPLOs]:[SubPLOs]],"&lt;7")</f>
        <v>0</v>
      </c>
      <c r="DB39" s="138">
        <f>SUMIFS(tbl_task7[S101],tbl_task7[[SubPLOs]:[SubPLOs]],"&gt;=6",tbl_task7[[SubPLOs]:[SubPLOs]],"&lt;7")</f>
        <v>0</v>
      </c>
      <c r="DC39" s="138">
        <f>SUMIFS(tbl_task7[S102],tbl_task7[[SubPLOs]:[SubPLOs]],"&gt;=6",tbl_task7[[SubPLOs]:[SubPLOs]],"&lt;7")</f>
        <v>0</v>
      </c>
      <c r="DD39" s="138">
        <f>SUMIFS(tbl_task7[S103],tbl_task7[[SubPLOs]:[SubPLOs]],"&gt;=6",tbl_task7[[SubPLOs]:[SubPLOs]],"&lt;7")</f>
        <v>0</v>
      </c>
      <c r="DE39" s="138">
        <f>SUMIFS(tbl_task7[S104],tbl_task7[[SubPLOs]:[SubPLOs]],"&gt;=6",tbl_task7[[SubPLOs]:[SubPLOs]],"&lt;7")</f>
        <v>0</v>
      </c>
      <c r="DF39" s="138">
        <f>SUMIFS(tbl_task7[S105],tbl_task7[[SubPLOs]:[SubPLOs]],"&gt;=6",tbl_task7[[SubPLOs]:[SubPLOs]],"&lt;7")</f>
        <v>0</v>
      </c>
      <c r="DG39" s="138">
        <f>SUMIFS(tbl_task7[S106],tbl_task7[[SubPLOs]:[SubPLOs]],"&gt;=6",tbl_task7[[SubPLOs]:[SubPLOs]],"&lt;7")</f>
        <v>0</v>
      </c>
      <c r="DH39" s="138">
        <f>SUMIFS(tbl_task7[S106],tbl_task7[[SubPLOs]:[SubPLOs]],"&gt;=6",tbl_task7[[SubPLOs]:[SubPLOs]],"&lt;7")</f>
        <v>0</v>
      </c>
      <c r="DI39" s="138">
        <f>SUMIFS(tbl_task7[S108],tbl_task7[[SubPLOs]:[SubPLOs]],"&gt;=6",tbl_task7[[SubPLOs]:[SubPLOs]],"&lt;7")</f>
        <v>0</v>
      </c>
      <c r="DJ39" s="138">
        <f>SUMIFS(tbl_task7[S109],tbl_task7[[SubPLOs]:[SubPLOs]],"&gt;=6",tbl_task7[[SubPLOs]:[SubPLOs]],"&lt;7")</f>
        <v>0</v>
      </c>
      <c r="DK39" s="138">
        <f>SUMIFS(tbl_task7[S110],tbl_task7[[SubPLOs]:[SubPLOs]],"&gt;=6",tbl_task7[[SubPLOs]:[SubPLOs]],"&lt;7")</f>
        <v>0</v>
      </c>
      <c r="DL39" s="138">
        <f>SUMIFS(tbl_task7[S111],tbl_task7[[SubPLOs]:[SubPLOs]],"&gt;=6",tbl_task7[[SubPLOs]:[SubPLOs]],"&lt;7")</f>
        <v>0</v>
      </c>
      <c r="DM39" s="138">
        <f>SUMIFS(tbl_task7[S112],tbl_task7[[SubPLOs]:[SubPLOs]],"&gt;=6",tbl_task7[[SubPLOs]:[SubPLOs]],"&lt;7")</f>
        <v>0</v>
      </c>
      <c r="DN39" s="138">
        <f>SUMIFS(tbl_task7[S113],tbl_task7[[SubPLOs]:[SubPLOs]],"&gt;=6",tbl_task7[[SubPLOs]:[SubPLOs]],"&lt;7")</f>
        <v>0</v>
      </c>
      <c r="DO39" s="138">
        <f>SUMIFS(tbl_task7[S114],tbl_task7[[SubPLOs]:[SubPLOs]],"&gt;=6",tbl_task7[[SubPLOs]:[SubPLOs]],"&lt;7")</f>
        <v>0</v>
      </c>
      <c r="DP39" s="138">
        <f>SUMIFS(tbl_task7[S115],tbl_task7[[SubPLOs]:[SubPLOs]],"&gt;=6",tbl_task7[[SubPLOs]:[SubPLOs]],"&lt;7")</f>
        <v>0</v>
      </c>
      <c r="DQ39" s="138">
        <f>SUMIFS(tbl_task7[S116],tbl_task7[[SubPLOs]:[SubPLOs]],"&gt;=6",tbl_task7[[SubPLOs]:[SubPLOs]],"&lt;7")</f>
        <v>0</v>
      </c>
      <c r="DR39" s="138">
        <f>SUMIFS(tbl_task7[S117],tbl_task7[[SubPLOs]:[SubPLOs]],"&gt;=6",tbl_task7[[SubPLOs]:[SubPLOs]],"&lt;7")</f>
        <v>0</v>
      </c>
      <c r="DS39" s="138">
        <f>SUMIFS(tbl_task7[S118],tbl_task7[[SubPLOs]:[SubPLOs]],"&gt;=6",tbl_task7[[SubPLOs]:[SubPLOs]],"&lt;7")</f>
        <v>0</v>
      </c>
      <c r="DT39" s="138">
        <f>SUMIFS(tbl_task7[S119],tbl_task7[[SubPLOs]:[SubPLOs]],"&gt;=6",tbl_task7[[SubPLOs]:[SubPLOs]],"&lt;7")</f>
        <v>0</v>
      </c>
      <c r="DU39" s="138">
        <f>SUMIFS(tbl_task7[S120],tbl_task7[[SubPLOs]:[SubPLOs]],"&gt;=6",tbl_task7[[SubPLOs]:[SubPLOs]],"&lt;7")</f>
        <v>0</v>
      </c>
      <c r="DV39" s="138">
        <f>SUMIFS(tbl_task7[S121],tbl_task7[[SubPLOs]:[SubPLOs]],"&gt;=6",tbl_task7[[SubPLOs]:[SubPLOs]],"&lt;7")</f>
        <v>0</v>
      </c>
      <c r="DW39" s="138">
        <f>SUMIFS(tbl_task7[S122],tbl_task7[[SubPLOs]:[SubPLOs]],"&gt;=6",tbl_task7[[SubPLOs]:[SubPLOs]],"&lt;7")</f>
        <v>0</v>
      </c>
      <c r="DX39" s="138">
        <f>SUMIFS(tbl_task7[S123],tbl_task7[[SubPLOs]:[SubPLOs]],"&gt;=6",tbl_task7[[SubPLOs]:[SubPLOs]],"&lt;7")</f>
        <v>0</v>
      </c>
      <c r="DY39" s="138">
        <f>SUMIFS(tbl_task7[S124],tbl_task7[[SubPLOs]:[SubPLOs]],"&gt;=6",tbl_task7[[SubPLOs]:[SubPLOs]],"&lt;7")</f>
        <v>0</v>
      </c>
      <c r="DZ39" s="138">
        <f>SUMIFS(tbl_task7[S125],tbl_task7[[SubPLOs]:[SubPLOs]],"&gt;=6",tbl_task7[[SubPLOs]:[SubPLOs]],"&lt;7")</f>
        <v>0</v>
      </c>
      <c r="EA39" s="138">
        <f>SUMIFS(tbl_task7[S126],tbl_task7[[SubPLOs]:[SubPLOs]],"&gt;=6",tbl_task7[[SubPLOs]:[SubPLOs]],"&lt;7")</f>
        <v>0</v>
      </c>
      <c r="EB39" s="138">
        <f>SUMIFS(tbl_task7[S127],tbl_task7[[SubPLOs]:[SubPLOs]],"&gt;=6",tbl_task7[[SubPLOs]:[SubPLOs]],"&lt;7")</f>
        <v>0</v>
      </c>
      <c r="EC39" s="138">
        <f>SUMIFS(tbl_task7[S128],tbl_task7[[SubPLOs]:[SubPLOs]],"&gt;=6",tbl_task7[[SubPLOs]:[SubPLOs]],"&lt;7")</f>
        <v>0</v>
      </c>
      <c r="ED39" s="138">
        <f>SUMIFS(tbl_task7[S129],tbl_task7[[SubPLOs]:[SubPLOs]],"&gt;=6",tbl_task7[[SubPLOs]:[SubPLOs]],"&lt;7")</f>
        <v>0</v>
      </c>
      <c r="EE39" s="138">
        <f>SUMIFS(tbl_task7[S130],tbl_task7[[SubPLOs]:[SubPLOs]],"&gt;=6",tbl_task7[[SubPLOs]:[SubPLOs]],"&lt;7")</f>
        <v>0</v>
      </c>
      <c r="EF39" s="138">
        <f>SUMIFS(tbl_task7[S131],tbl_task7[[SubPLOs]:[SubPLOs]],"&gt;=6",tbl_task7[[SubPLOs]:[SubPLOs]],"&lt;7")</f>
        <v>0</v>
      </c>
      <c r="EG39" s="138">
        <f>SUMIFS(tbl_task7[S132],tbl_task7[[SubPLOs]:[SubPLOs]],"&gt;=6",tbl_task7[[SubPLOs]:[SubPLOs]],"&lt;7")</f>
        <v>0</v>
      </c>
      <c r="EH39" s="138">
        <f>SUMIFS(tbl_task7[S133],tbl_task7[[SubPLOs]:[SubPLOs]],"&gt;=6",tbl_task7[[SubPLOs]:[SubPLOs]],"&lt;7")</f>
        <v>0</v>
      </c>
      <c r="EI39" s="138">
        <f>SUMIFS(tbl_task7[S134],tbl_task7[[SubPLOs]:[SubPLOs]],"&gt;=6",tbl_task7[[SubPLOs]:[SubPLOs]],"&lt;7")</f>
        <v>0</v>
      </c>
      <c r="EJ39" s="138">
        <f>SUMIFS(tbl_task7[S135],tbl_task7[[SubPLOs]:[SubPLOs]],"&gt;=6",tbl_task7[[SubPLOs]:[SubPLOs]],"&lt;7")</f>
        <v>0</v>
      </c>
      <c r="EK39" s="138">
        <f>SUMIFS(tbl_task7[S136],tbl_task7[[SubPLOs]:[SubPLOs]],"&gt;=6",tbl_task7[[SubPLOs]:[SubPLOs]],"&lt;7")</f>
        <v>0</v>
      </c>
      <c r="EL39" s="138">
        <f>SUMIFS(tbl_task7[S137],tbl_task7[[SubPLOs]:[SubPLOs]],"&gt;=6",tbl_task7[[SubPLOs]:[SubPLOs]],"&lt;7")</f>
        <v>0</v>
      </c>
      <c r="EM39" s="138">
        <f>SUMIFS(tbl_task7[S138],tbl_task7[[SubPLOs]:[SubPLOs]],"&gt;=6",tbl_task7[[SubPLOs]:[SubPLOs]],"&lt;7")</f>
        <v>0</v>
      </c>
      <c r="EN39" s="138">
        <f>SUMIFS(tbl_task7[S139],tbl_task7[[SubPLOs]:[SubPLOs]],"&gt;=6",tbl_task7[[SubPLOs]:[SubPLOs]],"&lt;7")</f>
        <v>0</v>
      </c>
      <c r="EO39" s="138">
        <f>SUMIFS(tbl_task7[S140],tbl_task7[[SubPLOs]:[SubPLOs]],"&gt;=6",tbl_task7[[SubPLOs]:[SubPLOs]],"&lt;7")</f>
        <v>0</v>
      </c>
      <c r="EP39" s="138">
        <f>SUMIFS(tbl_task7[S141],tbl_task7[[SubPLOs]:[SubPLOs]],"&gt;=6",tbl_task7[[SubPLOs]:[SubPLOs]],"&lt;7")</f>
        <v>0</v>
      </c>
      <c r="EQ39" s="138">
        <f>SUMIFS(tbl_task7[S142],tbl_task7[[SubPLOs]:[SubPLOs]],"&gt;=6",tbl_task7[[SubPLOs]:[SubPLOs]],"&lt;7")</f>
        <v>0</v>
      </c>
      <c r="ER39" s="138">
        <f>SUMIFS(tbl_task7[S143],tbl_task7[[SubPLOs]:[SubPLOs]],"&gt;=6",tbl_task7[[SubPLOs]:[SubPLOs]],"&lt;7")</f>
        <v>0</v>
      </c>
      <c r="ES39" s="138">
        <f>SUMIFS(tbl_task7[S144],tbl_task7[[SubPLOs]:[SubPLOs]],"&gt;=6",tbl_task7[[SubPLOs]:[SubPLOs]],"&lt;7")</f>
        <v>0</v>
      </c>
      <c r="ET39" s="138">
        <f>SUMIFS(tbl_task7[S145],tbl_task7[[SubPLOs]:[SubPLOs]],"&gt;=6",tbl_task7[[SubPLOs]:[SubPLOs]],"&lt;7")</f>
        <v>0</v>
      </c>
      <c r="EU39" s="138">
        <f>SUMIFS(tbl_task7[S146],tbl_task7[[SubPLOs]:[SubPLOs]],"&gt;=6",tbl_task7[[SubPLOs]:[SubPLOs]],"&lt;7")</f>
        <v>0</v>
      </c>
      <c r="EV39" s="138">
        <f>SUMIFS(tbl_task7[S147],tbl_task7[[SubPLOs]:[SubPLOs]],"&gt;=6",tbl_task7[[SubPLOs]:[SubPLOs]],"&lt;7")</f>
        <v>0</v>
      </c>
      <c r="EW39" s="138">
        <f>SUMIFS(tbl_task7[S148],tbl_task7[[SubPLOs]:[SubPLOs]],"&gt;=6",tbl_task7[[SubPLOs]:[SubPLOs]],"&lt;7")</f>
        <v>0</v>
      </c>
      <c r="EX39" s="138">
        <f>SUMIFS(tbl_task7[S149],tbl_task7[[SubPLOs]:[SubPLOs]],"&gt;=6",tbl_task7[[SubPLOs]:[SubPLOs]],"&lt;7")</f>
        <v>0</v>
      </c>
      <c r="EY39" s="138">
        <f>SUMIFS(tbl_task7[S150],tbl_task7[[SubPLOs]:[SubPLOs]],"&gt;=6",tbl_task7[[SubPLOs]:[SubPLOs]],"&lt;7")</f>
        <v>0</v>
      </c>
      <c r="EZ39" s="138">
        <f>SUMIFS(tbl_task7[S151],tbl_task7[[SubPLOs]:[SubPLOs]],"&gt;=6",tbl_task7[[SubPLOs]:[SubPLOs]],"&lt;7")</f>
        <v>0</v>
      </c>
      <c r="FA39" s="138">
        <f>SUMIFS(tbl_task7[S152],tbl_task7[[SubPLOs]:[SubPLOs]],"&gt;=6",tbl_task7[[SubPLOs]:[SubPLOs]],"&lt;7")</f>
        <v>0</v>
      </c>
      <c r="FB39" s="138">
        <f>SUMIFS(tbl_task7[S153],tbl_task7[[SubPLOs]:[SubPLOs]],"&gt;=6",tbl_task7[[SubPLOs]:[SubPLOs]],"&lt;7")</f>
        <v>0</v>
      </c>
      <c r="FC39" s="138">
        <f>SUMIFS(tbl_task7[S154],tbl_task7[[SubPLOs]:[SubPLOs]],"&gt;=6",tbl_task7[[SubPLOs]:[SubPLOs]],"&lt;7")</f>
        <v>0</v>
      </c>
      <c r="FD39" s="138">
        <f>SUMIFS(tbl_task7[S155],tbl_task7[[SubPLOs]:[SubPLOs]],"&gt;=6",tbl_task7[[SubPLOs]:[SubPLOs]],"&lt;7")</f>
        <v>0</v>
      </c>
      <c r="FE39" s="138">
        <f>SUMIFS(tbl_task7[S156],tbl_task7[[SubPLOs]:[SubPLOs]],"&gt;=6",tbl_task7[[SubPLOs]:[SubPLOs]],"&lt;7")</f>
        <v>0</v>
      </c>
      <c r="FF39" s="138">
        <f>SUMIFS(tbl_task7[S157],tbl_task7[[SubPLOs]:[SubPLOs]],"&gt;=6",tbl_task7[[SubPLOs]:[SubPLOs]],"&lt;7")</f>
        <v>0</v>
      </c>
      <c r="FG39" s="138">
        <f>SUMIFS(tbl_task7[S158],tbl_task7[[SubPLOs]:[SubPLOs]],"&gt;=6",tbl_task7[[SubPLOs]:[SubPLOs]],"&lt;7")</f>
        <v>0</v>
      </c>
      <c r="FH39" s="138">
        <f>SUMIFS(tbl_task7[S159],tbl_task7[[SubPLOs]:[SubPLOs]],"&gt;=6",tbl_task7[[SubPLOs]:[SubPLOs]],"&lt;7")</f>
        <v>0</v>
      </c>
      <c r="FI39" s="138">
        <f>SUMIFS(tbl_task7[S160],tbl_task7[[SubPLOs]:[SubPLOs]],"&gt;=6",tbl_task7[[SubPLOs]:[SubPLOs]],"&lt;7")</f>
        <v>0</v>
      </c>
      <c r="FJ39" s="138">
        <f>SUMIFS(tbl_task7[S161],tbl_task7[[SubPLOs]:[SubPLOs]],"&gt;=6",tbl_task7[[SubPLOs]:[SubPLOs]],"&lt;7")</f>
        <v>0</v>
      </c>
      <c r="FK39" s="138">
        <f>SUMIFS(tbl_task7[S162],tbl_task7[[SubPLOs]:[SubPLOs]],"&gt;=6",tbl_task7[[SubPLOs]:[SubPLOs]],"&lt;7")</f>
        <v>0</v>
      </c>
      <c r="FL39" s="138">
        <f>SUMIFS(tbl_task7[S163],tbl_task7[[SubPLOs]:[SubPLOs]],"&gt;=6",tbl_task7[[SubPLOs]:[SubPLOs]],"&lt;7")</f>
        <v>0</v>
      </c>
      <c r="FM39" s="138">
        <f>SUMIFS(tbl_task7[S164],tbl_task7[[SubPLOs]:[SubPLOs]],"&gt;=6",tbl_task7[[SubPLOs]:[SubPLOs]],"&lt;7")</f>
        <v>0</v>
      </c>
      <c r="FN39" s="138">
        <f>SUMIFS(tbl_task7[S165],tbl_task7[[SubPLOs]:[SubPLOs]],"&gt;=6",tbl_task7[[SubPLOs]:[SubPLOs]],"&lt;7")</f>
        <v>0</v>
      </c>
    </row>
    <row r="40" spans="1:170" ht="42" x14ac:dyDescent="0.25">
      <c r="A40" s="135">
        <v>7</v>
      </c>
      <c r="B40" s="5" t="s">
        <v>440</v>
      </c>
      <c r="C40" s="136">
        <f>COUNTIFS(tbl_task7[SubPLOs],"&gt;=7",tbl_task7[SubPLOs],"&lt;8")</f>
        <v>0</v>
      </c>
      <c r="D40" s="136">
        <f>SUMIFS(tbl_task7[คะแนนเต็ม],tbl_task7[SubPLOs],"&gt;=7",tbl_task7[SubPLOs],"&lt;8")</f>
        <v>0</v>
      </c>
      <c r="E40" s="137">
        <f>SUMIFS(tbl_task7[%],tbl_task7[SubPLOs],"&gt;=7",tbl_task7[SubPLOs],"&lt;8")</f>
        <v>0</v>
      </c>
      <c r="F40" s="138">
        <f>SUMIFS(tbl_task7[S1],tbl_task7[[SubPLOs]:[SubPLOs]],"&gt;=7",tbl_task7[[SubPLOs]:[SubPLOs]],"&lt;8")</f>
        <v>0</v>
      </c>
      <c r="G40" s="138">
        <f>SUMIFS(tbl_task7[S2],tbl_task7[[SubPLOs]:[SubPLOs]],"&gt;=7",tbl_task7[[SubPLOs]:[SubPLOs]],"&lt;8")</f>
        <v>0</v>
      </c>
      <c r="H40" s="138">
        <f>SUMIFS(tbl_task7[S3],tbl_task7[[SubPLOs]:[SubPLOs]],"&gt;=7",tbl_task7[[SubPLOs]:[SubPLOs]],"&lt;8")</f>
        <v>0</v>
      </c>
      <c r="I40" s="138">
        <f>SUMIFS(tbl_task7[S4],tbl_task7[[SubPLOs]:[SubPLOs]],"&gt;=7",tbl_task7[[SubPLOs]:[SubPLOs]],"&lt;8")</f>
        <v>0</v>
      </c>
      <c r="J40" s="138">
        <f>SUMIFS(tbl_task7[S5],tbl_task7[[SubPLOs]:[SubPLOs]],"&gt;=7",tbl_task7[[SubPLOs]:[SubPLOs]],"&lt;8")</f>
        <v>0</v>
      </c>
      <c r="K40" s="138">
        <f>SUMIFS(tbl_task7[S6],tbl_task7[[SubPLOs]:[SubPLOs]],"&gt;=7",tbl_task7[[SubPLOs]:[SubPLOs]],"&lt;8")</f>
        <v>0</v>
      </c>
      <c r="L40" s="138">
        <f>SUMIFS(tbl_task7[S7],tbl_task7[[SubPLOs]:[SubPLOs]],"&gt;=7",tbl_task7[[SubPLOs]:[SubPLOs]],"&lt;8")</f>
        <v>0</v>
      </c>
      <c r="M40" s="138">
        <f>SUMIFS(tbl_task7[S8],tbl_task7[[SubPLOs]:[SubPLOs]],"&gt;=7",tbl_task7[[SubPLOs]:[SubPLOs]],"&lt;8")</f>
        <v>0</v>
      </c>
      <c r="N40" s="138">
        <f>SUMIFS(tbl_task7[S9],tbl_task7[[SubPLOs]:[SubPLOs]],"&gt;=7",tbl_task7[[SubPLOs]:[SubPLOs]],"&lt;8")</f>
        <v>0</v>
      </c>
      <c r="O40" s="138">
        <f>SUMIFS(tbl_task7[S10],tbl_task7[[SubPLOs]:[SubPLOs]],"&gt;=7",tbl_task7[[SubPLOs]:[SubPLOs]],"&lt;8")</f>
        <v>0</v>
      </c>
      <c r="P40" s="138">
        <f>SUMIFS(tbl_task7[S11],tbl_task7[[SubPLOs]:[SubPLOs]],"&gt;=7",tbl_task7[[SubPLOs]:[SubPLOs]],"&lt;8")</f>
        <v>0</v>
      </c>
      <c r="Q40" s="138">
        <f>SUMIFS(tbl_task7[S12],tbl_task7[[SubPLOs]:[SubPLOs]],"&gt;=7",tbl_task7[[SubPLOs]:[SubPLOs]],"&lt;8")</f>
        <v>0</v>
      </c>
      <c r="R40" s="138">
        <f>SUMIFS(tbl_task7[S13],tbl_task7[[SubPLOs]:[SubPLOs]],"&gt;=7",tbl_task7[[SubPLOs]:[SubPLOs]],"&lt;8")</f>
        <v>0</v>
      </c>
      <c r="S40" s="138">
        <f>SUMIFS(tbl_task7[S14],tbl_task7[[SubPLOs]:[SubPLOs]],"&gt;=7",tbl_task7[[SubPLOs]:[SubPLOs]],"&lt;8")</f>
        <v>0</v>
      </c>
      <c r="T40" s="138">
        <f>SUMIFS(tbl_task7[S15],tbl_task7[[SubPLOs]:[SubPLOs]],"&gt;=7",tbl_task7[[SubPLOs]:[SubPLOs]],"&lt;8")</f>
        <v>0</v>
      </c>
      <c r="U40" s="138">
        <f>SUMIFS(tbl_task7[S16],tbl_task7[[SubPLOs]:[SubPLOs]],"&gt;=7",tbl_task7[[SubPLOs]:[SubPLOs]],"&lt;8")</f>
        <v>0</v>
      </c>
      <c r="V40" s="138">
        <f>SUMIFS(tbl_task7[S17],tbl_task7[[SubPLOs]:[SubPLOs]],"&gt;=7",tbl_task7[[SubPLOs]:[SubPLOs]],"&lt;8")</f>
        <v>0</v>
      </c>
      <c r="W40" s="138">
        <f>SUMIFS(tbl_task7[S18],tbl_task7[[SubPLOs]:[SubPLOs]],"&gt;=7",tbl_task7[[SubPLOs]:[SubPLOs]],"&lt;8")</f>
        <v>0</v>
      </c>
      <c r="X40" s="138">
        <f>SUMIFS(tbl_task7[S19],tbl_task7[[SubPLOs]:[SubPLOs]],"&gt;=7",tbl_task7[[SubPLOs]:[SubPLOs]],"&lt;8")</f>
        <v>0</v>
      </c>
      <c r="Y40" s="138">
        <f>SUMIFS(tbl_task7[S20],tbl_task7[[SubPLOs]:[SubPLOs]],"&gt;=7",tbl_task7[[SubPLOs]:[SubPLOs]],"&lt;8")</f>
        <v>0</v>
      </c>
      <c r="Z40" s="138">
        <f>SUMIFS(tbl_task7[S21],tbl_task7[[SubPLOs]:[SubPLOs]],"&gt;=7",tbl_task7[[SubPLOs]:[SubPLOs]],"&lt;8")</f>
        <v>0</v>
      </c>
      <c r="AA40" s="138">
        <f>SUMIFS(tbl_task7[S22],tbl_task7[[SubPLOs]:[SubPLOs]],"&gt;=7",tbl_task7[[SubPLOs]:[SubPLOs]],"&lt;8")</f>
        <v>0</v>
      </c>
      <c r="AB40" s="138">
        <f>SUMIFS(tbl_task7[S23],tbl_task7[[SubPLOs]:[SubPLOs]],"&gt;=7",tbl_task7[[SubPLOs]:[SubPLOs]],"&lt;8")</f>
        <v>0</v>
      </c>
      <c r="AC40" s="138">
        <f>SUMIFS(tbl_task7[S24],tbl_task7[[SubPLOs]:[SubPLOs]],"&gt;=7",tbl_task7[[SubPLOs]:[SubPLOs]],"&lt;8")</f>
        <v>0</v>
      </c>
      <c r="AD40" s="138">
        <f>SUMIFS(tbl_task7[S25],tbl_task7[[SubPLOs]:[SubPLOs]],"&gt;=7",tbl_task7[[SubPLOs]:[SubPLOs]],"&lt;8")</f>
        <v>0</v>
      </c>
      <c r="AE40" s="138">
        <f>SUMIFS(tbl_task7[S26],tbl_task7[[SubPLOs]:[SubPLOs]],"&gt;=7",tbl_task7[[SubPLOs]:[SubPLOs]],"&lt;8")</f>
        <v>0</v>
      </c>
      <c r="AF40" s="138">
        <f>SUMIFS(tbl_task7[S27],tbl_task7[[SubPLOs]:[SubPLOs]],"&gt;=7",tbl_task7[[SubPLOs]:[SubPLOs]],"&lt;8")</f>
        <v>0</v>
      </c>
      <c r="AG40" s="138">
        <f>SUMIFS(tbl_task7[S28],tbl_task7[[SubPLOs]:[SubPLOs]],"&gt;=7",tbl_task7[[SubPLOs]:[SubPLOs]],"&lt;8")</f>
        <v>0</v>
      </c>
      <c r="AH40" s="138">
        <f>SUMIFS(tbl_task7[S29],tbl_task7[[SubPLOs]:[SubPLOs]],"&gt;=7",tbl_task7[[SubPLOs]:[SubPLOs]],"&lt;8")</f>
        <v>0</v>
      </c>
      <c r="AI40" s="138">
        <f>SUMIFS(tbl_task7[S30],tbl_task7[[SubPLOs]:[SubPLOs]],"&gt;=7",tbl_task7[[SubPLOs]:[SubPLOs]],"&lt;8")</f>
        <v>0</v>
      </c>
      <c r="AJ40" s="138">
        <f>SUMIFS(tbl_task7[S31],tbl_task7[[SubPLOs]:[SubPLOs]],"&gt;=7",tbl_task7[[SubPLOs]:[SubPLOs]],"&lt;8")</f>
        <v>0</v>
      </c>
      <c r="AK40" s="138">
        <f>SUMIFS(tbl_task7[S32],tbl_task7[[SubPLOs]:[SubPLOs]],"&gt;=7",tbl_task7[[SubPLOs]:[SubPLOs]],"&lt;8")</f>
        <v>0</v>
      </c>
      <c r="AL40" s="138">
        <f>SUMIFS(tbl_task7[S33],tbl_task7[[SubPLOs]:[SubPLOs]],"&gt;=7",tbl_task7[[SubPLOs]:[SubPLOs]],"&lt;8")</f>
        <v>0</v>
      </c>
      <c r="AM40" s="138">
        <f>SUMIFS(tbl_task7[S34],tbl_task7[[SubPLOs]:[SubPLOs]],"&gt;=7",tbl_task7[[SubPLOs]:[SubPLOs]],"&lt;8")</f>
        <v>0</v>
      </c>
      <c r="AN40" s="138">
        <f>SUMIFS(tbl_task7[S35],tbl_task7[[SubPLOs]:[SubPLOs]],"&gt;=7",tbl_task7[[SubPLOs]:[SubPLOs]],"&lt;8")</f>
        <v>0</v>
      </c>
      <c r="AO40" s="138">
        <f>SUMIFS(tbl_task7[S36],tbl_task7[[SubPLOs]:[SubPLOs]],"&gt;=7",tbl_task7[[SubPLOs]:[SubPLOs]],"&lt;8")</f>
        <v>0</v>
      </c>
      <c r="AP40" s="138">
        <f>SUMIFS(tbl_task7[S37],tbl_task7[[SubPLOs]:[SubPLOs]],"&gt;=7",tbl_task7[[SubPLOs]:[SubPLOs]],"&lt;8")</f>
        <v>0</v>
      </c>
      <c r="AQ40" s="138">
        <f>SUMIFS(tbl_task7[S38],tbl_task7[[SubPLOs]:[SubPLOs]],"&gt;=7",tbl_task7[[SubPLOs]:[SubPLOs]],"&lt;8")</f>
        <v>0</v>
      </c>
      <c r="AR40" s="138">
        <f>SUMIFS(tbl_task7[S39],tbl_task7[[SubPLOs]:[SubPLOs]],"&gt;=7",tbl_task7[[SubPLOs]:[SubPLOs]],"&lt;8")</f>
        <v>0</v>
      </c>
      <c r="AS40" s="138">
        <f>SUMIFS(tbl_task7[S40],tbl_task7[[SubPLOs]:[SubPLOs]],"&gt;=7",tbl_task7[[SubPLOs]:[SubPLOs]],"&lt;8")</f>
        <v>0</v>
      </c>
      <c r="AT40" s="138">
        <f>SUMIFS(tbl_task7[S41],tbl_task7[[SubPLOs]:[SubPLOs]],"&gt;=7",tbl_task7[[SubPLOs]:[SubPLOs]],"&lt;8")</f>
        <v>0</v>
      </c>
      <c r="AU40" s="138">
        <f>SUMIFS(tbl_task7[S42],tbl_task7[[SubPLOs]:[SubPLOs]],"&gt;=7",tbl_task7[[SubPLOs]:[SubPLOs]],"&lt;8")</f>
        <v>0</v>
      </c>
      <c r="AV40" s="138">
        <f>SUMIFS(tbl_task7[S43],tbl_task7[[SubPLOs]:[SubPLOs]],"&gt;=7",tbl_task7[[SubPLOs]:[SubPLOs]],"&lt;8")</f>
        <v>0</v>
      </c>
      <c r="AW40" s="138">
        <f>SUMIFS(tbl_task7[S44],tbl_task7[[SubPLOs]:[SubPLOs]],"&gt;=7",tbl_task7[[SubPLOs]:[SubPLOs]],"&lt;8")</f>
        <v>0</v>
      </c>
      <c r="AX40" s="138">
        <f>SUMIFS(tbl_task7[S45],tbl_task7[[SubPLOs]:[SubPLOs]],"&gt;=7",tbl_task7[[SubPLOs]:[SubPLOs]],"&lt;8")</f>
        <v>0</v>
      </c>
      <c r="AY40" s="138">
        <f>SUMIFS(tbl_task7[S46],tbl_task7[[SubPLOs]:[SubPLOs]],"&gt;=7",tbl_task7[[SubPLOs]:[SubPLOs]],"&lt;8")</f>
        <v>0</v>
      </c>
      <c r="AZ40" s="138">
        <f>SUMIFS(tbl_task7[S47],tbl_task7[[SubPLOs]:[SubPLOs]],"&gt;=7",tbl_task7[[SubPLOs]:[SubPLOs]],"&lt;8")</f>
        <v>0</v>
      </c>
      <c r="BA40" s="138">
        <f>SUMIFS(tbl_task7[S48],tbl_task7[[SubPLOs]:[SubPLOs]],"&gt;=7",tbl_task7[[SubPLOs]:[SubPLOs]],"&lt;8")</f>
        <v>0</v>
      </c>
      <c r="BB40" s="138">
        <f>SUMIFS(tbl_task7[S49],tbl_task7[[SubPLOs]:[SubPLOs]],"&gt;=7",tbl_task7[[SubPLOs]:[SubPLOs]],"&lt;8")</f>
        <v>0</v>
      </c>
      <c r="BC40" s="138">
        <f>SUMIFS(tbl_task7[S50],tbl_task7[[SubPLOs]:[SubPLOs]],"&gt;=7",tbl_task7[[SubPLOs]:[SubPLOs]],"&lt;8")</f>
        <v>0</v>
      </c>
      <c r="BD40" s="138">
        <f>SUMIFS(tbl_task7[S51],tbl_task7[[SubPLOs]:[SubPLOs]],"&gt;=7",tbl_task7[[SubPLOs]:[SubPLOs]],"&lt;8")</f>
        <v>0</v>
      </c>
      <c r="BE40" s="138">
        <f>SUMIFS(tbl_task7[S52],tbl_task7[[SubPLOs]:[SubPLOs]],"&gt;=7",tbl_task7[[SubPLOs]:[SubPLOs]],"&lt;8")</f>
        <v>0</v>
      </c>
      <c r="BF40" s="138">
        <f>SUMIFS(tbl_task7[S53],tbl_task7[[SubPLOs]:[SubPLOs]],"&gt;=7",tbl_task7[[SubPLOs]:[SubPLOs]],"&lt;8")</f>
        <v>0</v>
      </c>
      <c r="BG40" s="138">
        <f>SUMIFS(tbl_task7[S54],tbl_task7[[SubPLOs]:[SubPLOs]],"&gt;=7",tbl_task7[[SubPLOs]:[SubPLOs]],"&lt;8")</f>
        <v>0</v>
      </c>
      <c r="BH40" s="138">
        <f>SUMIFS(tbl_task7[S55],tbl_task7[[SubPLOs]:[SubPLOs]],"&gt;=7",tbl_task7[[SubPLOs]:[SubPLOs]],"&lt;8")</f>
        <v>0</v>
      </c>
      <c r="BI40" s="138">
        <f>SUMIFS(tbl_task7[S56],tbl_task7[[SubPLOs]:[SubPLOs]],"&gt;=7",tbl_task7[[SubPLOs]:[SubPLOs]],"&lt;8")</f>
        <v>0</v>
      </c>
      <c r="BJ40" s="138">
        <f>SUMIFS(tbl_task7[S57],tbl_task7[[SubPLOs]:[SubPLOs]],"&gt;=7",tbl_task7[[SubPLOs]:[SubPLOs]],"&lt;8")</f>
        <v>0</v>
      </c>
      <c r="BK40" s="138">
        <f>SUMIFS(tbl_task7[S58],tbl_task7[[SubPLOs]:[SubPLOs]],"&gt;=7",tbl_task7[[SubPLOs]:[SubPLOs]],"&lt;8")</f>
        <v>0</v>
      </c>
      <c r="BL40" s="138">
        <f>SUMIFS(tbl_task7[S59],tbl_task7[[SubPLOs]:[SubPLOs]],"&gt;=7",tbl_task7[[SubPLOs]:[SubPLOs]],"&lt;8")</f>
        <v>0</v>
      </c>
      <c r="BM40" s="138">
        <f>SUMIFS(tbl_task7[S60],tbl_task7[[SubPLOs]:[SubPLOs]],"&gt;=7",tbl_task7[[SubPLOs]:[SubPLOs]],"&lt;8")</f>
        <v>0</v>
      </c>
      <c r="BN40" s="138">
        <f>SUMIFS(tbl_task7[S61],tbl_task7[[SubPLOs]:[SubPLOs]],"&gt;=7",tbl_task7[[SubPLOs]:[SubPLOs]],"&lt;8")</f>
        <v>0</v>
      </c>
      <c r="BO40" s="138">
        <f>SUMIFS(tbl_task7[S62],tbl_task7[[SubPLOs]:[SubPLOs]],"&gt;=7",tbl_task7[[SubPLOs]:[SubPLOs]],"&lt;8")</f>
        <v>0</v>
      </c>
      <c r="BP40" s="138">
        <f>SUMIFS(tbl_task7[S63],tbl_task7[[SubPLOs]:[SubPLOs]],"&gt;=7",tbl_task7[[SubPLOs]:[SubPLOs]],"&lt;8")</f>
        <v>0</v>
      </c>
      <c r="BQ40" s="138">
        <f>SUMIFS(tbl_task7[S64],tbl_task7[[SubPLOs]:[SubPLOs]],"&gt;=7",tbl_task7[[SubPLOs]:[SubPLOs]],"&lt;8")</f>
        <v>0</v>
      </c>
      <c r="BR40" s="138">
        <f>SUMIFS(tbl_task7[S65],tbl_task7[[SubPLOs]:[SubPLOs]],"&gt;=7",tbl_task7[[SubPLOs]:[SubPLOs]],"&lt;8")</f>
        <v>0</v>
      </c>
      <c r="BS40" s="138">
        <f>SUMIFS(tbl_task7[S66],tbl_task7[[SubPLOs]:[SubPLOs]],"&gt;=7",tbl_task7[[SubPLOs]:[SubPLOs]],"&lt;8")</f>
        <v>0</v>
      </c>
      <c r="BT40" s="138">
        <f>SUMIFS(tbl_task7[S67],tbl_task7[[SubPLOs]:[SubPLOs]],"&gt;=7",tbl_task7[[SubPLOs]:[SubPLOs]],"&lt;8")</f>
        <v>0</v>
      </c>
      <c r="BU40" s="138">
        <f>SUMIFS(tbl_task7[S68],tbl_task7[[SubPLOs]:[SubPLOs]],"&gt;=7",tbl_task7[[SubPLOs]:[SubPLOs]],"&lt;8")</f>
        <v>0</v>
      </c>
      <c r="BV40" s="138">
        <f>SUMIFS(tbl_task7[S69],tbl_task7[[SubPLOs]:[SubPLOs]],"&gt;=7",tbl_task7[[SubPLOs]:[SubPLOs]],"&lt;8")</f>
        <v>0</v>
      </c>
      <c r="BW40" s="138">
        <f>SUMIFS(tbl_task7[S70],tbl_task7[[SubPLOs]:[SubPLOs]],"&gt;=7",tbl_task7[[SubPLOs]:[SubPLOs]],"&lt;8")</f>
        <v>0</v>
      </c>
      <c r="BX40" s="138">
        <f>SUMIFS(tbl_task7[S71],tbl_task7[[SubPLOs]:[SubPLOs]],"&gt;=7",tbl_task7[[SubPLOs]:[SubPLOs]],"&lt;8")</f>
        <v>0</v>
      </c>
      <c r="BY40" s="138">
        <f>SUMIFS(tbl_task7[S72],tbl_task7[[SubPLOs]:[SubPLOs]],"&gt;=7",tbl_task7[[SubPLOs]:[SubPLOs]],"&lt;8")</f>
        <v>0</v>
      </c>
      <c r="BZ40" s="138">
        <f>SUMIFS(tbl_task7[S73],tbl_task7[[SubPLOs]:[SubPLOs]],"&gt;=7",tbl_task7[[SubPLOs]:[SubPLOs]],"&lt;8")</f>
        <v>0</v>
      </c>
      <c r="CA40" s="138">
        <f>SUMIFS(tbl_task7[S74],tbl_task7[[SubPLOs]:[SubPLOs]],"&gt;=7",tbl_task7[[SubPLOs]:[SubPLOs]],"&lt;8")</f>
        <v>0</v>
      </c>
      <c r="CB40" s="138">
        <f>SUMIFS(tbl_task7[S75],tbl_task7[[SubPLOs]:[SubPLOs]],"&gt;=7",tbl_task7[[SubPLOs]:[SubPLOs]],"&lt;8")</f>
        <v>0</v>
      </c>
      <c r="CC40" s="138">
        <f>SUMIFS(tbl_task7[S76],tbl_task7[[SubPLOs]:[SubPLOs]],"&gt;=7",tbl_task7[[SubPLOs]:[SubPLOs]],"&lt;8")</f>
        <v>0</v>
      </c>
      <c r="CD40" s="138">
        <f>SUMIFS(tbl_task7[S77],tbl_task7[[SubPLOs]:[SubPLOs]],"&gt;=7",tbl_task7[[SubPLOs]:[SubPLOs]],"&lt;8")</f>
        <v>0</v>
      </c>
      <c r="CE40" s="138">
        <f>SUMIFS(tbl_task7[S78],tbl_task7[[SubPLOs]:[SubPLOs]],"&gt;=7",tbl_task7[[SubPLOs]:[SubPLOs]],"&lt;8")</f>
        <v>0</v>
      </c>
      <c r="CF40" s="138">
        <f>SUMIFS(tbl_task7[S79],tbl_task7[[SubPLOs]:[SubPLOs]],"&gt;=7",tbl_task7[[SubPLOs]:[SubPLOs]],"&lt;8")</f>
        <v>0</v>
      </c>
      <c r="CG40" s="138">
        <f>SUMIFS(tbl_task7[S80],tbl_task7[[SubPLOs]:[SubPLOs]],"&gt;=7",tbl_task7[[SubPLOs]:[SubPLOs]],"&lt;8")</f>
        <v>0</v>
      </c>
      <c r="CH40" s="138">
        <f>SUMIFS(tbl_task7[S81],tbl_task7[[SubPLOs]:[SubPLOs]],"&gt;=7",tbl_task7[[SubPLOs]:[SubPLOs]],"&lt;8")</f>
        <v>0</v>
      </c>
      <c r="CI40" s="138">
        <f>SUMIFS(tbl_task7[S82],tbl_task7[[SubPLOs]:[SubPLOs]],"&gt;=7",tbl_task7[[SubPLOs]:[SubPLOs]],"&lt;8")</f>
        <v>0</v>
      </c>
      <c r="CJ40" s="138">
        <f>SUMIFS(tbl_task7[S83],tbl_task7[[SubPLOs]:[SubPLOs]],"&gt;=7",tbl_task7[[SubPLOs]:[SubPLOs]],"&lt;8")</f>
        <v>0</v>
      </c>
      <c r="CK40" s="138">
        <f>SUMIFS(tbl_task7[S84],tbl_task7[[SubPLOs]:[SubPLOs]],"&gt;=7",tbl_task7[[SubPLOs]:[SubPLOs]],"&lt;8")</f>
        <v>0</v>
      </c>
      <c r="CL40" s="138">
        <f>SUMIFS(tbl_task7[S85],tbl_task7[[SubPLOs]:[SubPLOs]],"&gt;=7",tbl_task7[[SubPLOs]:[SubPLOs]],"&lt;8")</f>
        <v>0</v>
      </c>
      <c r="CM40" s="138">
        <f>SUMIFS(tbl_task7[S86],tbl_task7[[SubPLOs]:[SubPLOs]],"&gt;=7",tbl_task7[[SubPLOs]:[SubPLOs]],"&lt;8")</f>
        <v>0</v>
      </c>
      <c r="CN40" s="138">
        <f>SUMIFS(tbl_task7[S87],tbl_task7[[SubPLOs]:[SubPLOs]],"&gt;=7",tbl_task7[[SubPLOs]:[SubPLOs]],"&lt;8")</f>
        <v>0</v>
      </c>
      <c r="CO40" s="138">
        <f>SUMIFS(tbl_task7[S88],tbl_task7[[SubPLOs]:[SubPLOs]],"&gt;=7",tbl_task7[[SubPLOs]:[SubPLOs]],"&lt;8")</f>
        <v>0</v>
      </c>
      <c r="CP40" s="138">
        <f>SUMIFS(tbl_task7[S89],tbl_task7[[SubPLOs]:[SubPLOs]],"&gt;=7",tbl_task7[[SubPLOs]:[SubPLOs]],"&lt;8")</f>
        <v>0</v>
      </c>
      <c r="CQ40" s="138">
        <f>SUMIFS(tbl_task7[S90],tbl_task7[[SubPLOs]:[SubPLOs]],"&gt;=7",tbl_task7[[SubPLOs]:[SubPLOs]],"&lt;8")</f>
        <v>0</v>
      </c>
      <c r="CR40" s="138">
        <f>SUMIFS(tbl_task7[S91],tbl_task7[[SubPLOs]:[SubPLOs]],"&gt;=7",tbl_task7[[SubPLOs]:[SubPLOs]],"&lt;8")</f>
        <v>0</v>
      </c>
      <c r="CS40" s="138">
        <f>SUMIFS(tbl_task7[S92],tbl_task7[[SubPLOs]:[SubPLOs]],"&gt;=7",tbl_task7[[SubPLOs]:[SubPLOs]],"&lt;8")</f>
        <v>0</v>
      </c>
      <c r="CT40" s="138">
        <f>SUMIFS(tbl_task7[S93],tbl_task7[[SubPLOs]:[SubPLOs]],"&gt;=7",tbl_task7[[SubPLOs]:[SubPLOs]],"&lt;8")</f>
        <v>0</v>
      </c>
      <c r="CU40" s="138">
        <f>SUMIFS(tbl_task7[S94],tbl_task7[[SubPLOs]:[SubPLOs]],"&gt;=7",tbl_task7[[SubPLOs]:[SubPLOs]],"&lt;8")</f>
        <v>0</v>
      </c>
      <c r="CV40" s="138">
        <f>SUMIFS(tbl_task7[S95],tbl_task7[[SubPLOs]:[SubPLOs]],"&gt;=7",tbl_task7[[SubPLOs]:[SubPLOs]],"&lt;8")</f>
        <v>0</v>
      </c>
      <c r="CW40" s="138">
        <f>SUMIFS(tbl_task7[S96],tbl_task7[[SubPLOs]:[SubPLOs]],"&gt;=7",tbl_task7[[SubPLOs]:[SubPLOs]],"&lt;8")</f>
        <v>0</v>
      </c>
      <c r="CX40" s="138">
        <f>SUMIFS(tbl_task7[S97],tbl_task7[[SubPLOs]:[SubPLOs]],"&gt;=7",tbl_task7[[SubPLOs]:[SubPLOs]],"&lt;8")</f>
        <v>0</v>
      </c>
      <c r="CY40" s="138">
        <f>SUMIFS(tbl_task7[S98],tbl_task7[[SubPLOs]:[SubPLOs]],"&gt;=7",tbl_task7[[SubPLOs]:[SubPLOs]],"&lt;8")</f>
        <v>0</v>
      </c>
      <c r="CZ40" s="138">
        <f>SUMIFS(tbl_task7[S99],tbl_task7[[SubPLOs]:[SubPLOs]],"&gt;=7",tbl_task7[[SubPLOs]:[SubPLOs]],"&lt;8")</f>
        <v>0</v>
      </c>
      <c r="DA40" s="138">
        <f>SUMIFS(tbl_task7[S100],tbl_task7[[SubPLOs]:[SubPLOs]],"&gt;=7",tbl_task7[[SubPLOs]:[SubPLOs]],"&lt;8")</f>
        <v>0</v>
      </c>
      <c r="DB40" s="138">
        <f>SUMIFS(tbl_task7[S101],tbl_task7[[SubPLOs]:[SubPLOs]],"&gt;=7",tbl_task7[[SubPLOs]:[SubPLOs]],"&lt;8")</f>
        <v>0</v>
      </c>
      <c r="DC40" s="138">
        <f>SUMIFS(tbl_task7[S102],tbl_task7[[SubPLOs]:[SubPLOs]],"&gt;=7",tbl_task7[[SubPLOs]:[SubPLOs]],"&lt;8")</f>
        <v>0</v>
      </c>
      <c r="DD40" s="138">
        <f>SUMIFS(tbl_task7[S103],tbl_task7[[SubPLOs]:[SubPLOs]],"&gt;=7",tbl_task7[[SubPLOs]:[SubPLOs]],"&lt;8")</f>
        <v>0</v>
      </c>
      <c r="DE40" s="138">
        <f>SUMIFS(tbl_task7[S104],tbl_task7[[SubPLOs]:[SubPLOs]],"&gt;=7",tbl_task7[[SubPLOs]:[SubPLOs]],"&lt;8")</f>
        <v>0</v>
      </c>
      <c r="DF40" s="138">
        <f>SUMIFS(tbl_task7[S105],tbl_task7[[SubPLOs]:[SubPLOs]],"&gt;=7",tbl_task7[[SubPLOs]:[SubPLOs]],"&lt;8")</f>
        <v>0</v>
      </c>
      <c r="DG40" s="138">
        <f>SUMIFS(tbl_task7[S106],tbl_task7[[SubPLOs]:[SubPLOs]],"&gt;=7",tbl_task7[[SubPLOs]:[SubPLOs]],"&lt;8")</f>
        <v>0</v>
      </c>
      <c r="DH40" s="138">
        <f>SUMIFS(tbl_task7[S106],tbl_task7[[SubPLOs]:[SubPLOs]],"&gt;=7",tbl_task7[[SubPLOs]:[SubPLOs]],"&lt;8")</f>
        <v>0</v>
      </c>
      <c r="DI40" s="138">
        <f>SUMIFS(tbl_task7[S108],tbl_task7[[SubPLOs]:[SubPLOs]],"&gt;=7",tbl_task7[[SubPLOs]:[SubPLOs]],"&lt;8")</f>
        <v>0</v>
      </c>
      <c r="DJ40" s="138">
        <f>SUMIFS(tbl_task7[S109],tbl_task7[[SubPLOs]:[SubPLOs]],"&gt;=7",tbl_task7[[SubPLOs]:[SubPLOs]],"&lt;8")</f>
        <v>0</v>
      </c>
      <c r="DK40" s="138">
        <f>SUMIFS(tbl_task7[S110],tbl_task7[[SubPLOs]:[SubPLOs]],"&gt;=7",tbl_task7[[SubPLOs]:[SubPLOs]],"&lt;8")</f>
        <v>0</v>
      </c>
      <c r="DL40" s="138">
        <f>SUMIFS(tbl_task7[S111],tbl_task7[[SubPLOs]:[SubPLOs]],"&gt;=7",tbl_task7[[SubPLOs]:[SubPLOs]],"&lt;8")</f>
        <v>0</v>
      </c>
      <c r="DM40" s="138">
        <f>SUMIFS(tbl_task7[S112],tbl_task7[[SubPLOs]:[SubPLOs]],"&gt;=7",tbl_task7[[SubPLOs]:[SubPLOs]],"&lt;8")</f>
        <v>0</v>
      </c>
      <c r="DN40" s="138">
        <f>SUMIFS(tbl_task7[S113],tbl_task7[[SubPLOs]:[SubPLOs]],"&gt;=7",tbl_task7[[SubPLOs]:[SubPLOs]],"&lt;8")</f>
        <v>0</v>
      </c>
      <c r="DO40" s="138">
        <f>SUMIFS(tbl_task7[S114],tbl_task7[[SubPLOs]:[SubPLOs]],"&gt;=7",tbl_task7[[SubPLOs]:[SubPLOs]],"&lt;8")</f>
        <v>0</v>
      </c>
      <c r="DP40" s="138">
        <f>SUMIFS(tbl_task7[S115],tbl_task7[[SubPLOs]:[SubPLOs]],"&gt;=7",tbl_task7[[SubPLOs]:[SubPLOs]],"&lt;8")</f>
        <v>0</v>
      </c>
      <c r="DQ40" s="138">
        <f>SUMIFS(tbl_task7[S116],tbl_task7[[SubPLOs]:[SubPLOs]],"&gt;=7",tbl_task7[[SubPLOs]:[SubPLOs]],"&lt;8")</f>
        <v>0</v>
      </c>
      <c r="DR40" s="138">
        <f>SUMIFS(tbl_task7[S117],tbl_task7[[SubPLOs]:[SubPLOs]],"&gt;=7",tbl_task7[[SubPLOs]:[SubPLOs]],"&lt;8")</f>
        <v>0</v>
      </c>
      <c r="DS40" s="138">
        <f>SUMIFS(tbl_task7[S118],tbl_task7[[SubPLOs]:[SubPLOs]],"&gt;=7",tbl_task7[[SubPLOs]:[SubPLOs]],"&lt;8")</f>
        <v>0</v>
      </c>
      <c r="DT40" s="138">
        <f>SUMIFS(tbl_task7[S119],tbl_task7[[SubPLOs]:[SubPLOs]],"&gt;=7",tbl_task7[[SubPLOs]:[SubPLOs]],"&lt;8")</f>
        <v>0</v>
      </c>
      <c r="DU40" s="138">
        <f>SUMIFS(tbl_task7[S120],tbl_task7[[SubPLOs]:[SubPLOs]],"&gt;=7",tbl_task7[[SubPLOs]:[SubPLOs]],"&lt;8")</f>
        <v>0</v>
      </c>
      <c r="DV40" s="138">
        <f>SUMIFS(tbl_task7[S121],tbl_task7[[SubPLOs]:[SubPLOs]],"&gt;=7",tbl_task7[[SubPLOs]:[SubPLOs]],"&lt;8")</f>
        <v>0</v>
      </c>
      <c r="DW40" s="138">
        <f>SUMIFS(tbl_task7[S122],tbl_task7[[SubPLOs]:[SubPLOs]],"&gt;=7",tbl_task7[[SubPLOs]:[SubPLOs]],"&lt;8")</f>
        <v>0</v>
      </c>
      <c r="DX40" s="138">
        <f>SUMIFS(tbl_task7[S123],tbl_task7[[SubPLOs]:[SubPLOs]],"&gt;=7",tbl_task7[[SubPLOs]:[SubPLOs]],"&lt;8")</f>
        <v>0</v>
      </c>
      <c r="DY40" s="138">
        <f>SUMIFS(tbl_task7[S124],tbl_task7[[SubPLOs]:[SubPLOs]],"&gt;=7",tbl_task7[[SubPLOs]:[SubPLOs]],"&lt;8")</f>
        <v>0</v>
      </c>
      <c r="DZ40" s="138">
        <f>SUMIFS(tbl_task7[S125],tbl_task7[[SubPLOs]:[SubPLOs]],"&gt;=7",tbl_task7[[SubPLOs]:[SubPLOs]],"&lt;8")</f>
        <v>0</v>
      </c>
      <c r="EA40" s="138">
        <f>SUMIFS(tbl_task7[S126],tbl_task7[[SubPLOs]:[SubPLOs]],"&gt;=7",tbl_task7[[SubPLOs]:[SubPLOs]],"&lt;8")</f>
        <v>0</v>
      </c>
      <c r="EB40" s="138">
        <f>SUMIFS(tbl_task7[S127],tbl_task7[[SubPLOs]:[SubPLOs]],"&gt;=7",tbl_task7[[SubPLOs]:[SubPLOs]],"&lt;8")</f>
        <v>0</v>
      </c>
      <c r="EC40" s="138">
        <f>SUMIFS(tbl_task7[S128],tbl_task7[[SubPLOs]:[SubPLOs]],"&gt;=7",tbl_task7[[SubPLOs]:[SubPLOs]],"&lt;8")</f>
        <v>0</v>
      </c>
      <c r="ED40" s="138">
        <f>SUMIFS(tbl_task7[S129],tbl_task7[[SubPLOs]:[SubPLOs]],"&gt;=7",tbl_task7[[SubPLOs]:[SubPLOs]],"&lt;8")</f>
        <v>0</v>
      </c>
      <c r="EE40" s="138">
        <f>SUMIFS(tbl_task7[S130],tbl_task7[[SubPLOs]:[SubPLOs]],"&gt;=7",tbl_task7[[SubPLOs]:[SubPLOs]],"&lt;8")</f>
        <v>0</v>
      </c>
      <c r="EF40" s="138">
        <f>SUMIFS(tbl_task7[S131],tbl_task7[[SubPLOs]:[SubPLOs]],"&gt;=7",tbl_task7[[SubPLOs]:[SubPLOs]],"&lt;8")</f>
        <v>0</v>
      </c>
      <c r="EG40" s="138">
        <f>SUMIFS(tbl_task7[S132],tbl_task7[[SubPLOs]:[SubPLOs]],"&gt;=7",tbl_task7[[SubPLOs]:[SubPLOs]],"&lt;8")</f>
        <v>0</v>
      </c>
      <c r="EH40" s="138">
        <f>SUMIFS(tbl_task7[S133],tbl_task7[[SubPLOs]:[SubPLOs]],"&gt;=7",tbl_task7[[SubPLOs]:[SubPLOs]],"&lt;8")</f>
        <v>0</v>
      </c>
      <c r="EI40" s="138">
        <f>SUMIFS(tbl_task7[S134],tbl_task7[[SubPLOs]:[SubPLOs]],"&gt;=7",tbl_task7[[SubPLOs]:[SubPLOs]],"&lt;8")</f>
        <v>0</v>
      </c>
      <c r="EJ40" s="138">
        <f>SUMIFS(tbl_task7[S135],tbl_task7[[SubPLOs]:[SubPLOs]],"&gt;=7",tbl_task7[[SubPLOs]:[SubPLOs]],"&lt;8")</f>
        <v>0</v>
      </c>
      <c r="EK40" s="138">
        <f>SUMIFS(tbl_task7[S136],tbl_task7[[SubPLOs]:[SubPLOs]],"&gt;=7",tbl_task7[[SubPLOs]:[SubPLOs]],"&lt;8")</f>
        <v>0</v>
      </c>
      <c r="EL40" s="138">
        <f>SUMIFS(tbl_task7[S137],tbl_task7[[SubPLOs]:[SubPLOs]],"&gt;=7",tbl_task7[[SubPLOs]:[SubPLOs]],"&lt;8")</f>
        <v>0</v>
      </c>
      <c r="EM40" s="138">
        <f>SUMIFS(tbl_task7[S138],tbl_task7[[SubPLOs]:[SubPLOs]],"&gt;=7",tbl_task7[[SubPLOs]:[SubPLOs]],"&lt;8")</f>
        <v>0</v>
      </c>
      <c r="EN40" s="138">
        <f>SUMIFS(tbl_task7[S139],tbl_task7[[SubPLOs]:[SubPLOs]],"&gt;=7",tbl_task7[[SubPLOs]:[SubPLOs]],"&lt;8")</f>
        <v>0</v>
      </c>
      <c r="EO40" s="138">
        <f>SUMIFS(tbl_task7[S140],tbl_task7[[SubPLOs]:[SubPLOs]],"&gt;=7",tbl_task7[[SubPLOs]:[SubPLOs]],"&lt;8")</f>
        <v>0</v>
      </c>
      <c r="EP40" s="138">
        <f>SUMIFS(tbl_task7[S141],tbl_task7[[SubPLOs]:[SubPLOs]],"&gt;=7",tbl_task7[[SubPLOs]:[SubPLOs]],"&lt;8")</f>
        <v>0</v>
      </c>
      <c r="EQ40" s="138">
        <f>SUMIFS(tbl_task7[S142],tbl_task7[[SubPLOs]:[SubPLOs]],"&gt;=7",tbl_task7[[SubPLOs]:[SubPLOs]],"&lt;8")</f>
        <v>0</v>
      </c>
      <c r="ER40" s="138">
        <f>SUMIFS(tbl_task7[S143],tbl_task7[[SubPLOs]:[SubPLOs]],"&gt;=7",tbl_task7[[SubPLOs]:[SubPLOs]],"&lt;8")</f>
        <v>0</v>
      </c>
      <c r="ES40" s="138">
        <f>SUMIFS(tbl_task7[S144],tbl_task7[[SubPLOs]:[SubPLOs]],"&gt;=7",tbl_task7[[SubPLOs]:[SubPLOs]],"&lt;8")</f>
        <v>0</v>
      </c>
      <c r="ET40" s="138">
        <f>SUMIFS(tbl_task7[S145],tbl_task7[[SubPLOs]:[SubPLOs]],"&gt;=7",tbl_task7[[SubPLOs]:[SubPLOs]],"&lt;8")</f>
        <v>0</v>
      </c>
      <c r="EU40" s="138">
        <f>SUMIFS(tbl_task7[S146],tbl_task7[[SubPLOs]:[SubPLOs]],"&gt;=7",tbl_task7[[SubPLOs]:[SubPLOs]],"&lt;8")</f>
        <v>0</v>
      </c>
      <c r="EV40" s="138">
        <f>SUMIFS(tbl_task7[S147],tbl_task7[[SubPLOs]:[SubPLOs]],"&gt;=7",tbl_task7[[SubPLOs]:[SubPLOs]],"&lt;8")</f>
        <v>0</v>
      </c>
      <c r="EW40" s="138">
        <f>SUMIFS(tbl_task7[S148],tbl_task7[[SubPLOs]:[SubPLOs]],"&gt;=7",tbl_task7[[SubPLOs]:[SubPLOs]],"&lt;8")</f>
        <v>0</v>
      </c>
      <c r="EX40" s="138">
        <f>SUMIFS(tbl_task7[S149],tbl_task7[[SubPLOs]:[SubPLOs]],"&gt;=7",tbl_task7[[SubPLOs]:[SubPLOs]],"&lt;8")</f>
        <v>0</v>
      </c>
      <c r="EY40" s="138">
        <f>SUMIFS(tbl_task7[S150],tbl_task7[[SubPLOs]:[SubPLOs]],"&gt;=7",tbl_task7[[SubPLOs]:[SubPLOs]],"&lt;8")</f>
        <v>0</v>
      </c>
      <c r="EZ40" s="138">
        <f>SUMIFS(tbl_task7[S151],tbl_task7[[SubPLOs]:[SubPLOs]],"&gt;=7",tbl_task7[[SubPLOs]:[SubPLOs]],"&lt;8")</f>
        <v>0</v>
      </c>
      <c r="FA40" s="138">
        <f>SUMIFS(tbl_task7[S152],tbl_task7[[SubPLOs]:[SubPLOs]],"&gt;=7",tbl_task7[[SubPLOs]:[SubPLOs]],"&lt;8")</f>
        <v>0</v>
      </c>
      <c r="FB40" s="138">
        <f>SUMIFS(tbl_task7[S153],tbl_task7[[SubPLOs]:[SubPLOs]],"&gt;=7",tbl_task7[[SubPLOs]:[SubPLOs]],"&lt;8")</f>
        <v>0</v>
      </c>
      <c r="FC40" s="138">
        <f>SUMIFS(tbl_task7[S154],tbl_task7[[SubPLOs]:[SubPLOs]],"&gt;=7",tbl_task7[[SubPLOs]:[SubPLOs]],"&lt;8")</f>
        <v>0</v>
      </c>
      <c r="FD40" s="138">
        <f>SUMIFS(tbl_task7[S155],tbl_task7[[SubPLOs]:[SubPLOs]],"&gt;=7",tbl_task7[[SubPLOs]:[SubPLOs]],"&lt;8")</f>
        <v>0</v>
      </c>
      <c r="FE40" s="138">
        <f>SUMIFS(tbl_task7[S156],tbl_task7[[SubPLOs]:[SubPLOs]],"&gt;=7",tbl_task7[[SubPLOs]:[SubPLOs]],"&lt;8")</f>
        <v>0</v>
      </c>
      <c r="FF40" s="138">
        <f>SUMIFS(tbl_task7[S157],tbl_task7[[SubPLOs]:[SubPLOs]],"&gt;=7",tbl_task7[[SubPLOs]:[SubPLOs]],"&lt;8")</f>
        <v>0</v>
      </c>
      <c r="FG40" s="138">
        <f>SUMIFS(tbl_task7[S158],tbl_task7[[SubPLOs]:[SubPLOs]],"&gt;=7",tbl_task7[[SubPLOs]:[SubPLOs]],"&lt;8")</f>
        <v>0</v>
      </c>
      <c r="FH40" s="138">
        <f>SUMIFS(tbl_task7[S159],tbl_task7[[SubPLOs]:[SubPLOs]],"&gt;=7",tbl_task7[[SubPLOs]:[SubPLOs]],"&lt;8")</f>
        <v>0</v>
      </c>
      <c r="FI40" s="138">
        <f>SUMIFS(tbl_task7[S160],tbl_task7[[SubPLOs]:[SubPLOs]],"&gt;=7",tbl_task7[[SubPLOs]:[SubPLOs]],"&lt;8")</f>
        <v>0</v>
      </c>
      <c r="FJ40" s="138">
        <f>SUMIFS(tbl_task7[S161],tbl_task7[[SubPLOs]:[SubPLOs]],"&gt;=7",tbl_task7[[SubPLOs]:[SubPLOs]],"&lt;8")</f>
        <v>0</v>
      </c>
      <c r="FK40" s="138">
        <f>SUMIFS(tbl_task7[S162],tbl_task7[[SubPLOs]:[SubPLOs]],"&gt;=7",tbl_task7[[SubPLOs]:[SubPLOs]],"&lt;8")</f>
        <v>0</v>
      </c>
      <c r="FL40" s="138">
        <f>SUMIFS(tbl_task7[S163],tbl_task7[[SubPLOs]:[SubPLOs]],"&gt;=7",tbl_task7[[SubPLOs]:[SubPLOs]],"&lt;8")</f>
        <v>0</v>
      </c>
      <c r="FM40" s="138">
        <f>SUMIFS(tbl_task7[S164],tbl_task7[[SubPLOs]:[SubPLOs]],"&gt;=7",tbl_task7[[SubPLOs]:[SubPLOs]],"&lt;8")</f>
        <v>0</v>
      </c>
      <c r="FN40" s="138">
        <f>SUMIFS(tbl_task7[S165],tbl_task7[[SubPLOs]:[SubPLOs]],"&gt;=7",tbl_task7[[SubPLOs]:[SubPLOs]],"&lt;8")</f>
        <v>0</v>
      </c>
    </row>
    <row r="41" spans="1:170" ht="63" x14ac:dyDescent="0.25">
      <c r="A41" s="135">
        <v>8</v>
      </c>
      <c r="B41" s="5" t="s">
        <v>441</v>
      </c>
      <c r="C41" s="136">
        <f>COUNTIFS(tbl_task7[SubPLOs],"&gt;=8",tbl_task7[SubPLOs],"&lt;9")</f>
        <v>0</v>
      </c>
      <c r="D41" s="136">
        <f>SUMIFS(tbl_task7[คะแนนเต็ม],tbl_task7[SubPLOs],"&gt;=8",tbl_task7[SubPLOs],"&lt;9")</f>
        <v>0</v>
      </c>
      <c r="E41" s="137">
        <f>SUMIFS(tbl_task7[%],tbl_task7[SubPLOs],"&gt;=8",tbl_task7[SubPLOs],"&lt;9")</f>
        <v>0</v>
      </c>
      <c r="F41" s="138">
        <f>SUMIFS(tbl_task7[S1],tbl_task7[[SubPLOs]:[SubPLOs]],"&gt;=8",tbl_task7[[SubPLOs]:[SubPLOs]],"&lt;9")</f>
        <v>0</v>
      </c>
      <c r="G41" s="138">
        <f>SUMIFS(tbl_task7[S2],tbl_task7[[SubPLOs]:[SubPLOs]],"&gt;=8",tbl_task7[[SubPLOs]:[SubPLOs]],"&lt;9")</f>
        <v>0</v>
      </c>
      <c r="H41" s="138">
        <f>SUMIFS(tbl_task7[S3],tbl_task7[[SubPLOs]:[SubPLOs]],"&gt;=8",tbl_task7[[SubPLOs]:[SubPLOs]],"&lt;9")</f>
        <v>0</v>
      </c>
      <c r="I41" s="138">
        <f>SUMIFS(tbl_task7[S4],tbl_task7[[SubPLOs]:[SubPLOs]],"&gt;=8",tbl_task7[[SubPLOs]:[SubPLOs]],"&lt;9")</f>
        <v>0</v>
      </c>
      <c r="J41" s="138">
        <f>SUMIFS(tbl_task7[S5],tbl_task7[[SubPLOs]:[SubPLOs]],"&gt;=8",tbl_task7[[SubPLOs]:[SubPLOs]],"&lt;9")</f>
        <v>0</v>
      </c>
      <c r="K41" s="138">
        <f>SUMIFS(tbl_task7[S6],tbl_task7[[SubPLOs]:[SubPLOs]],"&gt;=8",tbl_task7[[SubPLOs]:[SubPLOs]],"&lt;9")</f>
        <v>0</v>
      </c>
      <c r="L41" s="138">
        <f>SUMIFS(tbl_task7[S7],tbl_task7[[SubPLOs]:[SubPLOs]],"&gt;=8",tbl_task7[[SubPLOs]:[SubPLOs]],"&lt;9")</f>
        <v>0</v>
      </c>
      <c r="M41" s="138">
        <f>SUMIFS(tbl_task7[S8],tbl_task7[[SubPLOs]:[SubPLOs]],"&gt;=8",tbl_task7[[SubPLOs]:[SubPLOs]],"&lt;9")</f>
        <v>0</v>
      </c>
      <c r="N41" s="138">
        <f>SUMIFS(tbl_task7[S9],tbl_task7[[SubPLOs]:[SubPLOs]],"&gt;=8",tbl_task7[[SubPLOs]:[SubPLOs]],"&lt;9")</f>
        <v>0</v>
      </c>
      <c r="O41" s="138">
        <f>SUMIFS(tbl_task7[S10],tbl_task7[[SubPLOs]:[SubPLOs]],"&gt;=8",tbl_task7[[SubPLOs]:[SubPLOs]],"&lt;9")</f>
        <v>0</v>
      </c>
      <c r="P41" s="138">
        <f>SUMIFS(tbl_task7[S11],tbl_task7[[SubPLOs]:[SubPLOs]],"&gt;=8",tbl_task7[[SubPLOs]:[SubPLOs]],"&lt;9")</f>
        <v>0</v>
      </c>
      <c r="Q41" s="138">
        <f>SUMIFS(tbl_task7[S12],tbl_task7[[SubPLOs]:[SubPLOs]],"&gt;=8",tbl_task7[[SubPLOs]:[SubPLOs]],"&lt;9")</f>
        <v>0</v>
      </c>
      <c r="R41" s="138">
        <f>SUMIFS(tbl_task7[S13],tbl_task7[[SubPLOs]:[SubPLOs]],"&gt;=8",tbl_task7[[SubPLOs]:[SubPLOs]],"&lt;9")</f>
        <v>0</v>
      </c>
      <c r="S41" s="138">
        <f>SUMIFS(tbl_task7[S14],tbl_task7[[SubPLOs]:[SubPLOs]],"&gt;=8",tbl_task7[[SubPLOs]:[SubPLOs]],"&lt;9")</f>
        <v>0</v>
      </c>
      <c r="T41" s="138">
        <f>SUMIFS(tbl_task7[S15],tbl_task7[[SubPLOs]:[SubPLOs]],"&gt;=8",tbl_task7[[SubPLOs]:[SubPLOs]],"&lt;9")</f>
        <v>0</v>
      </c>
      <c r="U41" s="138">
        <f>SUMIFS(tbl_task7[S16],tbl_task7[[SubPLOs]:[SubPLOs]],"&gt;=8",tbl_task7[[SubPLOs]:[SubPLOs]],"&lt;9")</f>
        <v>0</v>
      </c>
      <c r="V41" s="138">
        <f>SUMIFS(tbl_task7[S17],tbl_task7[[SubPLOs]:[SubPLOs]],"&gt;=8",tbl_task7[[SubPLOs]:[SubPLOs]],"&lt;9")</f>
        <v>0</v>
      </c>
      <c r="W41" s="138">
        <f>SUMIFS(tbl_task7[S18],tbl_task7[[SubPLOs]:[SubPLOs]],"&gt;=8",tbl_task7[[SubPLOs]:[SubPLOs]],"&lt;9")</f>
        <v>0</v>
      </c>
      <c r="X41" s="138">
        <f>SUMIFS(tbl_task7[S19],tbl_task7[[SubPLOs]:[SubPLOs]],"&gt;=8",tbl_task7[[SubPLOs]:[SubPLOs]],"&lt;9")</f>
        <v>0</v>
      </c>
      <c r="Y41" s="138">
        <f>SUMIFS(tbl_task7[S20],tbl_task7[[SubPLOs]:[SubPLOs]],"&gt;=8",tbl_task7[[SubPLOs]:[SubPLOs]],"&lt;9")</f>
        <v>0</v>
      </c>
      <c r="Z41" s="138">
        <f>SUMIFS(tbl_task7[S21],tbl_task7[[SubPLOs]:[SubPLOs]],"&gt;=8",tbl_task7[[SubPLOs]:[SubPLOs]],"&lt;9")</f>
        <v>0</v>
      </c>
      <c r="AA41" s="138">
        <f>SUMIFS(tbl_task7[S22],tbl_task7[[SubPLOs]:[SubPLOs]],"&gt;=8",tbl_task7[[SubPLOs]:[SubPLOs]],"&lt;9")</f>
        <v>0</v>
      </c>
      <c r="AB41" s="138">
        <f>SUMIFS(tbl_task7[S23],tbl_task7[[SubPLOs]:[SubPLOs]],"&gt;=8",tbl_task7[[SubPLOs]:[SubPLOs]],"&lt;9")</f>
        <v>0</v>
      </c>
      <c r="AC41" s="138">
        <f>SUMIFS(tbl_task7[S24],tbl_task7[[SubPLOs]:[SubPLOs]],"&gt;=8",tbl_task7[[SubPLOs]:[SubPLOs]],"&lt;9")</f>
        <v>0</v>
      </c>
      <c r="AD41" s="138">
        <f>SUMIFS(tbl_task7[S25],tbl_task7[[SubPLOs]:[SubPLOs]],"&gt;=8",tbl_task7[[SubPLOs]:[SubPLOs]],"&lt;9")</f>
        <v>0</v>
      </c>
      <c r="AE41" s="138">
        <f>SUMIFS(tbl_task7[S26],tbl_task7[[SubPLOs]:[SubPLOs]],"&gt;=8",tbl_task7[[SubPLOs]:[SubPLOs]],"&lt;9")</f>
        <v>0</v>
      </c>
      <c r="AF41" s="138">
        <f>SUMIFS(tbl_task7[S27],tbl_task7[[SubPLOs]:[SubPLOs]],"&gt;=8",tbl_task7[[SubPLOs]:[SubPLOs]],"&lt;9")</f>
        <v>0</v>
      </c>
      <c r="AG41" s="138">
        <f>SUMIFS(tbl_task7[S28],tbl_task7[[SubPLOs]:[SubPLOs]],"&gt;=8",tbl_task7[[SubPLOs]:[SubPLOs]],"&lt;9")</f>
        <v>0</v>
      </c>
      <c r="AH41" s="138">
        <f>SUMIFS(tbl_task7[S29],tbl_task7[[SubPLOs]:[SubPLOs]],"&gt;=8",tbl_task7[[SubPLOs]:[SubPLOs]],"&lt;9")</f>
        <v>0</v>
      </c>
      <c r="AI41" s="138">
        <f>SUMIFS(tbl_task7[S30],tbl_task7[[SubPLOs]:[SubPLOs]],"&gt;=8",tbl_task7[[SubPLOs]:[SubPLOs]],"&lt;9")</f>
        <v>0</v>
      </c>
      <c r="AJ41" s="138">
        <f>SUMIFS(tbl_task7[S31],tbl_task7[[SubPLOs]:[SubPLOs]],"&gt;=8",tbl_task7[[SubPLOs]:[SubPLOs]],"&lt;9")</f>
        <v>0</v>
      </c>
      <c r="AK41" s="138">
        <f>SUMIFS(tbl_task7[S32],tbl_task7[[SubPLOs]:[SubPLOs]],"&gt;=8",tbl_task7[[SubPLOs]:[SubPLOs]],"&lt;9")</f>
        <v>0</v>
      </c>
      <c r="AL41" s="138">
        <f>SUMIFS(tbl_task7[S33],tbl_task7[[SubPLOs]:[SubPLOs]],"&gt;=8",tbl_task7[[SubPLOs]:[SubPLOs]],"&lt;9")</f>
        <v>0</v>
      </c>
      <c r="AM41" s="138">
        <f>SUMIFS(tbl_task7[S34],tbl_task7[[SubPLOs]:[SubPLOs]],"&gt;=8",tbl_task7[[SubPLOs]:[SubPLOs]],"&lt;9")</f>
        <v>0</v>
      </c>
      <c r="AN41" s="138">
        <f>SUMIFS(tbl_task7[S35],tbl_task7[[SubPLOs]:[SubPLOs]],"&gt;=8",tbl_task7[[SubPLOs]:[SubPLOs]],"&lt;9")</f>
        <v>0</v>
      </c>
      <c r="AO41" s="138">
        <f>SUMIFS(tbl_task7[S36],tbl_task7[[SubPLOs]:[SubPLOs]],"&gt;=8",tbl_task7[[SubPLOs]:[SubPLOs]],"&lt;9")</f>
        <v>0</v>
      </c>
      <c r="AP41" s="138">
        <f>SUMIFS(tbl_task7[S37],tbl_task7[[SubPLOs]:[SubPLOs]],"&gt;=8",tbl_task7[[SubPLOs]:[SubPLOs]],"&lt;9")</f>
        <v>0</v>
      </c>
      <c r="AQ41" s="138">
        <f>SUMIFS(tbl_task7[S38],tbl_task7[[SubPLOs]:[SubPLOs]],"&gt;=8",tbl_task7[[SubPLOs]:[SubPLOs]],"&lt;9")</f>
        <v>0</v>
      </c>
      <c r="AR41" s="138">
        <f>SUMIFS(tbl_task7[S39],tbl_task7[[SubPLOs]:[SubPLOs]],"&gt;=8",tbl_task7[[SubPLOs]:[SubPLOs]],"&lt;9")</f>
        <v>0</v>
      </c>
      <c r="AS41" s="138">
        <f>SUMIFS(tbl_task7[S40],tbl_task7[[SubPLOs]:[SubPLOs]],"&gt;=8",tbl_task7[[SubPLOs]:[SubPLOs]],"&lt;9")</f>
        <v>0</v>
      </c>
      <c r="AT41" s="138">
        <f>SUMIFS(tbl_task7[S41],tbl_task7[[SubPLOs]:[SubPLOs]],"&gt;=8",tbl_task7[[SubPLOs]:[SubPLOs]],"&lt;9")</f>
        <v>0</v>
      </c>
      <c r="AU41" s="138">
        <f>SUMIFS(tbl_task7[S42],tbl_task7[[SubPLOs]:[SubPLOs]],"&gt;=8",tbl_task7[[SubPLOs]:[SubPLOs]],"&lt;9")</f>
        <v>0</v>
      </c>
      <c r="AV41" s="138">
        <f>SUMIFS(tbl_task7[S43],tbl_task7[[SubPLOs]:[SubPLOs]],"&gt;=8",tbl_task7[[SubPLOs]:[SubPLOs]],"&lt;9")</f>
        <v>0</v>
      </c>
      <c r="AW41" s="138">
        <f>SUMIFS(tbl_task7[S44],tbl_task7[[SubPLOs]:[SubPLOs]],"&gt;=8",tbl_task7[[SubPLOs]:[SubPLOs]],"&lt;9")</f>
        <v>0</v>
      </c>
      <c r="AX41" s="138">
        <f>SUMIFS(tbl_task7[S45],tbl_task7[[SubPLOs]:[SubPLOs]],"&gt;=8",tbl_task7[[SubPLOs]:[SubPLOs]],"&lt;9")</f>
        <v>0</v>
      </c>
      <c r="AY41" s="138">
        <f>SUMIFS(tbl_task7[S46],tbl_task7[[SubPLOs]:[SubPLOs]],"&gt;=8",tbl_task7[[SubPLOs]:[SubPLOs]],"&lt;9")</f>
        <v>0</v>
      </c>
      <c r="AZ41" s="138">
        <f>SUMIFS(tbl_task7[S47],tbl_task7[[SubPLOs]:[SubPLOs]],"&gt;=8",tbl_task7[[SubPLOs]:[SubPLOs]],"&lt;9")</f>
        <v>0</v>
      </c>
      <c r="BA41" s="138">
        <f>SUMIFS(tbl_task7[S48],tbl_task7[[SubPLOs]:[SubPLOs]],"&gt;=8",tbl_task7[[SubPLOs]:[SubPLOs]],"&lt;9")</f>
        <v>0</v>
      </c>
      <c r="BB41" s="138">
        <f>SUMIFS(tbl_task7[S49],tbl_task7[[SubPLOs]:[SubPLOs]],"&gt;=8",tbl_task7[[SubPLOs]:[SubPLOs]],"&lt;9")</f>
        <v>0</v>
      </c>
      <c r="BC41" s="138">
        <f>SUMIFS(tbl_task7[S50],tbl_task7[[SubPLOs]:[SubPLOs]],"&gt;=8",tbl_task7[[SubPLOs]:[SubPLOs]],"&lt;9")</f>
        <v>0</v>
      </c>
      <c r="BD41" s="138">
        <f>SUMIFS(tbl_task7[S51],tbl_task7[[SubPLOs]:[SubPLOs]],"&gt;=8",tbl_task7[[SubPLOs]:[SubPLOs]],"&lt;9")</f>
        <v>0</v>
      </c>
      <c r="BE41" s="138">
        <f>SUMIFS(tbl_task7[S52],tbl_task7[[SubPLOs]:[SubPLOs]],"&gt;=8",tbl_task7[[SubPLOs]:[SubPLOs]],"&lt;9")</f>
        <v>0</v>
      </c>
      <c r="BF41" s="138">
        <f>SUMIFS(tbl_task7[S53],tbl_task7[[SubPLOs]:[SubPLOs]],"&gt;=8",tbl_task7[[SubPLOs]:[SubPLOs]],"&lt;9")</f>
        <v>0</v>
      </c>
      <c r="BG41" s="138">
        <f>SUMIFS(tbl_task7[S54],tbl_task7[[SubPLOs]:[SubPLOs]],"&gt;=8",tbl_task7[[SubPLOs]:[SubPLOs]],"&lt;9")</f>
        <v>0</v>
      </c>
      <c r="BH41" s="138">
        <f>SUMIFS(tbl_task7[S55],tbl_task7[[SubPLOs]:[SubPLOs]],"&gt;=8",tbl_task7[[SubPLOs]:[SubPLOs]],"&lt;9")</f>
        <v>0</v>
      </c>
      <c r="BI41" s="138">
        <f>SUMIFS(tbl_task7[S56],tbl_task7[[SubPLOs]:[SubPLOs]],"&gt;=8",tbl_task7[[SubPLOs]:[SubPLOs]],"&lt;9")</f>
        <v>0</v>
      </c>
      <c r="BJ41" s="138">
        <f>SUMIFS(tbl_task7[S57],tbl_task7[[SubPLOs]:[SubPLOs]],"&gt;=8",tbl_task7[[SubPLOs]:[SubPLOs]],"&lt;9")</f>
        <v>0</v>
      </c>
      <c r="BK41" s="138">
        <f>SUMIFS(tbl_task7[S58],tbl_task7[[SubPLOs]:[SubPLOs]],"&gt;=8",tbl_task7[[SubPLOs]:[SubPLOs]],"&lt;9")</f>
        <v>0</v>
      </c>
      <c r="BL41" s="138">
        <f>SUMIFS(tbl_task7[S59],tbl_task7[[SubPLOs]:[SubPLOs]],"&gt;=8",tbl_task7[[SubPLOs]:[SubPLOs]],"&lt;9")</f>
        <v>0</v>
      </c>
      <c r="BM41" s="138">
        <f>SUMIFS(tbl_task7[S60],tbl_task7[[SubPLOs]:[SubPLOs]],"&gt;=8",tbl_task7[[SubPLOs]:[SubPLOs]],"&lt;9")</f>
        <v>0</v>
      </c>
      <c r="BN41" s="138">
        <f>SUMIFS(tbl_task7[S61],tbl_task7[[SubPLOs]:[SubPLOs]],"&gt;=8",tbl_task7[[SubPLOs]:[SubPLOs]],"&lt;9")</f>
        <v>0</v>
      </c>
      <c r="BO41" s="138">
        <f>SUMIFS(tbl_task7[S62],tbl_task7[[SubPLOs]:[SubPLOs]],"&gt;=8",tbl_task7[[SubPLOs]:[SubPLOs]],"&lt;9")</f>
        <v>0</v>
      </c>
      <c r="BP41" s="138">
        <f>SUMIFS(tbl_task7[S63],tbl_task7[[SubPLOs]:[SubPLOs]],"&gt;=8",tbl_task7[[SubPLOs]:[SubPLOs]],"&lt;9")</f>
        <v>0</v>
      </c>
      <c r="BQ41" s="138">
        <f>SUMIFS(tbl_task7[S64],tbl_task7[[SubPLOs]:[SubPLOs]],"&gt;=8",tbl_task7[[SubPLOs]:[SubPLOs]],"&lt;9")</f>
        <v>0</v>
      </c>
      <c r="BR41" s="138">
        <f>SUMIFS(tbl_task7[S65],tbl_task7[[SubPLOs]:[SubPLOs]],"&gt;=8",tbl_task7[[SubPLOs]:[SubPLOs]],"&lt;9")</f>
        <v>0</v>
      </c>
      <c r="BS41" s="138">
        <f>SUMIFS(tbl_task7[S66],tbl_task7[[SubPLOs]:[SubPLOs]],"&gt;=8",tbl_task7[[SubPLOs]:[SubPLOs]],"&lt;9")</f>
        <v>0</v>
      </c>
      <c r="BT41" s="138">
        <f>SUMIFS(tbl_task7[S67],tbl_task7[[SubPLOs]:[SubPLOs]],"&gt;=8",tbl_task7[[SubPLOs]:[SubPLOs]],"&lt;9")</f>
        <v>0</v>
      </c>
      <c r="BU41" s="138">
        <f>SUMIFS(tbl_task7[S68],tbl_task7[[SubPLOs]:[SubPLOs]],"&gt;=8",tbl_task7[[SubPLOs]:[SubPLOs]],"&lt;9")</f>
        <v>0</v>
      </c>
      <c r="BV41" s="138">
        <f>SUMIFS(tbl_task7[S69],tbl_task7[[SubPLOs]:[SubPLOs]],"&gt;=8",tbl_task7[[SubPLOs]:[SubPLOs]],"&lt;9")</f>
        <v>0</v>
      </c>
      <c r="BW41" s="138">
        <f>SUMIFS(tbl_task7[S70],tbl_task7[[SubPLOs]:[SubPLOs]],"&gt;=8",tbl_task7[[SubPLOs]:[SubPLOs]],"&lt;9")</f>
        <v>0</v>
      </c>
      <c r="BX41" s="138">
        <f>SUMIFS(tbl_task7[S71],tbl_task7[[SubPLOs]:[SubPLOs]],"&gt;=8",tbl_task7[[SubPLOs]:[SubPLOs]],"&lt;9")</f>
        <v>0</v>
      </c>
      <c r="BY41" s="138">
        <f>SUMIFS(tbl_task7[S72],tbl_task7[[SubPLOs]:[SubPLOs]],"&gt;=8",tbl_task7[[SubPLOs]:[SubPLOs]],"&lt;9")</f>
        <v>0</v>
      </c>
      <c r="BZ41" s="138">
        <f>SUMIFS(tbl_task7[S73],tbl_task7[[SubPLOs]:[SubPLOs]],"&gt;=8",tbl_task7[[SubPLOs]:[SubPLOs]],"&lt;9")</f>
        <v>0</v>
      </c>
      <c r="CA41" s="138">
        <f>SUMIFS(tbl_task7[S74],tbl_task7[[SubPLOs]:[SubPLOs]],"&gt;=8",tbl_task7[[SubPLOs]:[SubPLOs]],"&lt;9")</f>
        <v>0</v>
      </c>
      <c r="CB41" s="138">
        <f>SUMIFS(tbl_task7[S75],tbl_task7[[SubPLOs]:[SubPLOs]],"&gt;=8",tbl_task7[[SubPLOs]:[SubPLOs]],"&lt;9")</f>
        <v>0</v>
      </c>
      <c r="CC41" s="138">
        <f>SUMIFS(tbl_task7[S76],tbl_task7[[SubPLOs]:[SubPLOs]],"&gt;=8",tbl_task7[[SubPLOs]:[SubPLOs]],"&lt;9")</f>
        <v>0</v>
      </c>
      <c r="CD41" s="138">
        <f>SUMIFS(tbl_task7[S77],tbl_task7[[SubPLOs]:[SubPLOs]],"&gt;=8",tbl_task7[[SubPLOs]:[SubPLOs]],"&lt;9")</f>
        <v>0</v>
      </c>
      <c r="CE41" s="138">
        <f>SUMIFS(tbl_task7[S78],tbl_task7[[SubPLOs]:[SubPLOs]],"&gt;=8",tbl_task7[[SubPLOs]:[SubPLOs]],"&lt;9")</f>
        <v>0</v>
      </c>
      <c r="CF41" s="138">
        <f>SUMIFS(tbl_task7[S79],tbl_task7[[SubPLOs]:[SubPLOs]],"&gt;=8",tbl_task7[[SubPLOs]:[SubPLOs]],"&lt;9")</f>
        <v>0</v>
      </c>
      <c r="CG41" s="138">
        <f>SUMIFS(tbl_task7[S80],tbl_task7[[SubPLOs]:[SubPLOs]],"&gt;=8",tbl_task7[[SubPLOs]:[SubPLOs]],"&lt;9")</f>
        <v>0</v>
      </c>
      <c r="CH41" s="138">
        <f>SUMIFS(tbl_task7[S81],tbl_task7[[SubPLOs]:[SubPLOs]],"&gt;=8",tbl_task7[[SubPLOs]:[SubPLOs]],"&lt;9")</f>
        <v>0</v>
      </c>
      <c r="CI41" s="138">
        <f>SUMIFS(tbl_task7[S82],tbl_task7[[SubPLOs]:[SubPLOs]],"&gt;=8",tbl_task7[[SubPLOs]:[SubPLOs]],"&lt;9")</f>
        <v>0</v>
      </c>
      <c r="CJ41" s="138">
        <f>SUMIFS(tbl_task7[S83],tbl_task7[[SubPLOs]:[SubPLOs]],"&gt;=8",tbl_task7[[SubPLOs]:[SubPLOs]],"&lt;9")</f>
        <v>0</v>
      </c>
      <c r="CK41" s="138">
        <f>SUMIFS(tbl_task7[S84],tbl_task7[[SubPLOs]:[SubPLOs]],"&gt;=8",tbl_task7[[SubPLOs]:[SubPLOs]],"&lt;9")</f>
        <v>0</v>
      </c>
      <c r="CL41" s="138">
        <f>SUMIFS(tbl_task7[S85],tbl_task7[[SubPLOs]:[SubPLOs]],"&gt;=8",tbl_task7[[SubPLOs]:[SubPLOs]],"&lt;9")</f>
        <v>0</v>
      </c>
      <c r="CM41" s="138">
        <f>SUMIFS(tbl_task7[S86],tbl_task7[[SubPLOs]:[SubPLOs]],"&gt;=8",tbl_task7[[SubPLOs]:[SubPLOs]],"&lt;9")</f>
        <v>0</v>
      </c>
      <c r="CN41" s="138">
        <f>SUMIFS(tbl_task7[S87],tbl_task7[[SubPLOs]:[SubPLOs]],"&gt;=8",tbl_task7[[SubPLOs]:[SubPLOs]],"&lt;9")</f>
        <v>0</v>
      </c>
      <c r="CO41" s="138">
        <f>SUMIFS(tbl_task7[S88],tbl_task7[[SubPLOs]:[SubPLOs]],"&gt;=8",tbl_task7[[SubPLOs]:[SubPLOs]],"&lt;9")</f>
        <v>0</v>
      </c>
      <c r="CP41" s="138">
        <f>SUMIFS(tbl_task7[S89],tbl_task7[[SubPLOs]:[SubPLOs]],"&gt;=8",tbl_task7[[SubPLOs]:[SubPLOs]],"&lt;9")</f>
        <v>0</v>
      </c>
      <c r="CQ41" s="138">
        <f>SUMIFS(tbl_task7[S90],tbl_task7[[SubPLOs]:[SubPLOs]],"&gt;=8",tbl_task7[[SubPLOs]:[SubPLOs]],"&lt;9")</f>
        <v>0</v>
      </c>
      <c r="CR41" s="138">
        <f>SUMIFS(tbl_task7[S91],tbl_task7[[SubPLOs]:[SubPLOs]],"&gt;=8",tbl_task7[[SubPLOs]:[SubPLOs]],"&lt;9")</f>
        <v>0</v>
      </c>
      <c r="CS41" s="138">
        <f>SUMIFS(tbl_task7[S92],tbl_task7[[SubPLOs]:[SubPLOs]],"&gt;=8",tbl_task7[[SubPLOs]:[SubPLOs]],"&lt;9")</f>
        <v>0</v>
      </c>
      <c r="CT41" s="138">
        <f>SUMIFS(tbl_task7[S93],tbl_task7[[SubPLOs]:[SubPLOs]],"&gt;=8",tbl_task7[[SubPLOs]:[SubPLOs]],"&lt;9")</f>
        <v>0</v>
      </c>
      <c r="CU41" s="138">
        <f>SUMIFS(tbl_task7[S94],tbl_task7[[SubPLOs]:[SubPLOs]],"&gt;=8",tbl_task7[[SubPLOs]:[SubPLOs]],"&lt;9")</f>
        <v>0</v>
      </c>
      <c r="CV41" s="138">
        <f>SUMIFS(tbl_task7[S95],tbl_task7[[SubPLOs]:[SubPLOs]],"&gt;=8",tbl_task7[[SubPLOs]:[SubPLOs]],"&lt;9")</f>
        <v>0</v>
      </c>
      <c r="CW41" s="138">
        <f>SUMIFS(tbl_task7[S96],tbl_task7[[SubPLOs]:[SubPLOs]],"&gt;=8",tbl_task7[[SubPLOs]:[SubPLOs]],"&lt;9")</f>
        <v>0</v>
      </c>
      <c r="CX41" s="138">
        <f>SUMIFS(tbl_task7[S97],tbl_task7[[SubPLOs]:[SubPLOs]],"&gt;=8",tbl_task7[[SubPLOs]:[SubPLOs]],"&lt;9")</f>
        <v>0</v>
      </c>
      <c r="CY41" s="138">
        <f>SUMIFS(tbl_task7[S98],tbl_task7[[SubPLOs]:[SubPLOs]],"&gt;=8",tbl_task7[[SubPLOs]:[SubPLOs]],"&lt;9")</f>
        <v>0</v>
      </c>
      <c r="CZ41" s="138">
        <f>SUMIFS(tbl_task7[S99],tbl_task7[[SubPLOs]:[SubPLOs]],"&gt;=8",tbl_task7[[SubPLOs]:[SubPLOs]],"&lt;9")</f>
        <v>0</v>
      </c>
      <c r="DA41" s="138">
        <f>SUMIFS(tbl_task7[S100],tbl_task7[[SubPLOs]:[SubPLOs]],"&gt;=8",tbl_task7[[SubPLOs]:[SubPLOs]],"&lt;9")</f>
        <v>0</v>
      </c>
      <c r="DB41" s="138">
        <f>SUMIFS(tbl_task7[S101],tbl_task7[[SubPLOs]:[SubPLOs]],"&gt;=8",tbl_task7[[SubPLOs]:[SubPLOs]],"&lt;9")</f>
        <v>0</v>
      </c>
      <c r="DC41" s="138">
        <f>SUMIFS(tbl_task7[S102],tbl_task7[[SubPLOs]:[SubPLOs]],"&gt;=8",tbl_task7[[SubPLOs]:[SubPLOs]],"&lt;9")</f>
        <v>0</v>
      </c>
      <c r="DD41" s="138">
        <f>SUMIFS(tbl_task7[S103],tbl_task7[[SubPLOs]:[SubPLOs]],"&gt;=8",tbl_task7[[SubPLOs]:[SubPLOs]],"&lt;9")</f>
        <v>0</v>
      </c>
      <c r="DE41" s="138">
        <f>SUMIFS(tbl_task7[S104],tbl_task7[[SubPLOs]:[SubPLOs]],"&gt;=8",tbl_task7[[SubPLOs]:[SubPLOs]],"&lt;9")</f>
        <v>0</v>
      </c>
      <c r="DF41" s="138">
        <f>SUMIFS(tbl_task7[S105],tbl_task7[[SubPLOs]:[SubPLOs]],"&gt;=8",tbl_task7[[SubPLOs]:[SubPLOs]],"&lt;9")</f>
        <v>0</v>
      </c>
      <c r="DG41" s="138">
        <f>SUMIFS(tbl_task7[S106],tbl_task7[[SubPLOs]:[SubPLOs]],"&gt;=8",tbl_task7[[SubPLOs]:[SubPLOs]],"&lt;9")</f>
        <v>0</v>
      </c>
      <c r="DH41" s="138">
        <f>SUMIFS(tbl_task7[S106],tbl_task7[[SubPLOs]:[SubPLOs]],"&gt;=8",tbl_task7[[SubPLOs]:[SubPLOs]],"&lt;9")</f>
        <v>0</v>
      </c>
      <c r="DI41" s="138">
        <f>SUMIFS(tbl_task7[S108],tbl_task7[[SubPLOs]:[SubPLOs]],"&gt;=8",tbl_task7[[SubPLOs]:[SubPLOs]],"&lt;9")</f>
        <v>0</v>
      </c>
      <c r="DJ41" s="138">
        <f>SUMIFS(tbl_task7[S109],tbl_task7[[SubPLOs]:[SubPLOs]],"&gt;=8",tbl_task7[[SubPLOs]:[SubPLOs]],"&lt;9")</f>
        <v>0</v>
      </c>
      <c r="DK41" s="138">
        <f>SUMIFS(tbl_task7[S110],tbl_task7[[SubPLOs]:[SubPLOs]],"&gt;=8",tbl_task7[[SubPLOs]:[SubPLOs]],"&lt;9")</f>
        <v>0</v>
      </c>
      <c r="DL41" s="138">
        <f>SUMIFS(tbl_task7[S111],tbl_task7[[SubPLOs]:[SubPLOs]],"&gt;=8",tbl_task7[[SubPLOs]:[SubPLOs]],"&lt;9")</f>
        <v>0</v>
      </c>
      <c r="DM41" s="138">
        <f>SUMIFS(tbl_task7[S112],tbl_task7[[SubPLOs]:[SubPLOs]],"&gt;=8",tbl_task7[[SubPLOs]:[SubPLOs]],"&lt;9")</f>
        <v>0</v>
      </c>
      <c r="DN41" s="138">
        <f>SUMIFS(tbl_task7[S113],tbl_task7[[SubPLOs]:[SubPLOs]],"&gt;=8",tbl_task7[[SubPLOs]:[SubPLOs]],"&lt;9")</f>
        <v>0</v>
      </c>
      <c r="DO41" s="138">
        <f>SUMIFS(tbl_task7[S114],tbl_task7[[SubPLOs]:[SubPLOs]],"&gt;=8",tbl_task7[[SubPLOs]:[SubPLOs]],"&lt;9")</f>
        <v>0</v>
      </c>
      <c r="DP41" s="138">
        <f>SUMIFS(tbl_task7[S115],tbl_task7[[SubPLOs]:[SubPLOs]],"&gt;=8",tbl_task7[[SubPLOs]:[SubPLOs]],"&lt;9")</f>
        <v>0</v>
      </c>
      <c r="DQ41" s="138">
        <f>SUMIFS(tbl_task7[S116],tbl_task7[[SubPLOs]:[SubPLOs]],"&gt;=8",tbl_task7[[SubPLOs]:[SubPLOs]],"&lt;9")</f>
        <v>0</v>
      </c>
      <c r="DR41" s="138">
        <f>SUMIFS(tbl_task7[S117],tbl_task7[[SubPLOs]:[SubPLOs]],"&gt;=8",tbl_task7[[SubPLOs]:[SubPLOs]],"&lt;9")</f>
        <v>0</v>
      </c>
      <c r="DS41" s="138">
        <f>SUMIFS(tbl_task7[S118],tbl_task7[[SubPLOs]:[SubPLOs]],"&gt;=8",tbl_task7[[SubPLOs]:[SubPLOs]],"&lt;9")</f>
        <v>0</v>
      </c>
      <c r="DT41" s="138">
        <f>SUMIFS(tbl_task7[S119],tbl_task7[[SubPLOs]:[SubPLOs]],"&gt;=8",tbl_task7[[SubPLOs]:[SubPLOs]],"&lt;9")</f>
        <v>0</v>
      </c>
      <c r="DU41" s="138">
        <f>SUMIFS(tbl_task7[S120],tbl_task7[[SubPLOs]:[SubPLOs]],"&gt;=8",tbl_task7[[SubPLOs]:[SubPLOs]],"&lt;9")</f>
        <v>0</v>
      </c>
      <c r="DV41" s="138">
        <f>SUMIFS(tbl_task7[S121],tbl_task7[[SubPLOs]:[SubPLOs]],"&gt;=8",tbl_task7[[SubPLOs]:[SubPLOs]],"&lt;9")</f>
        <v>0</v>
      </c>
      <c r="DW41" s="138">
        <f>SUMIFS(tbl_task7[S122],tbl_task7[[SubPLOs]:[SubPLOs]],"&gt;=8",tbl_task7[[SubPLOs]:[SubPLOs]],"&lt;9")</f>
        <v>0</v>
      </c>
      <c r="DX41" s="138">
        <f>SUMIFS(tbl_task7[S123],tbl_task7[[SubPLOs]:[SubPLOs]],"&gt;=8",tbl_task7[[SubPLOs]:[SubPLOs]],"&lt;9")</f>
        <v>0</v>
      </c>
      <c r="DY41" s="138">
        <f>SUMIFS(tbl_task7[S124],tbl_task7[[SubPLOs]:[SubPLOs]],"&gt;=8",tbl_task7[[SubPLOs]:[SubPLOs]],"&lt;9")</f>
        <v>0</v>
      </c>
      <c r="DZ41" s="138">
        <f>SUMIFS(tbl_task7[S125],tbl_task7[[SubPLOs]:[SubPLOs]],"&gt;=8",tbl_task7[[SubPLOs]:[SubPLOs]],"&lt;9")</f>
        <v>0</v>
      </c>
      <c r="EA41" s="138">
        <f>SUMIFS(tbl_task7[S126],tbl_task7[[SubPLOs]:[SubPLOs]],"&gt;=8",tbl_task7[[SubPLOs]:[SubPLOs]],"&lt;9")</f>
        <v>0</v>
      </c>
      <c r="EB41" s="138">
        <f>SUMIFS(tbl_task7[S127],tbl_task7[[SubPLOs]:[SubPLOs]],"&gt;=8",tbl_task7[[SubPLOs]:[SubPLOs]],"&lt;9")</f>
        <v>0</v>
      </c>
      <c r="EC41" s="138">
        <f>SUMIFS(tbl_task7[S128],tbl_task7[[SubPLOs]:[SubPLOs]],"&gt;=8",tbl_task7[[SubPLOs]:[SubPLOs]],"&lt;9")</f>
        <v>0</v>
      </c>
      <c r="ED41" s="138">
        <f>SUMIFS(tbl_task7[S129],tbl_task7[[SubPLOs]:[SubPLOs]],"&gt;=8",tbl_task7[[SubPLOs]:[SubPLOs]],"&lt;9")</f>
        <v>0</v>
      </c>
      <c r="EE41" s="138">
        <f>SUMIFS(tbl_task7[S130],tbl_task7[[SubPLOs]:[SubPLOs]],"&gt;=8",tbl_task7[[SubPLOs]:[SubPLOs]],"&lt;9")</f>
        <v>0</v>
      </c>
      <c r="EF41" s="138">
        <f>SUMIFS(tbl_task7[S131],tbl_task7[[SubPLOs]:[SubPLOs]],"&gt;=8",tbl_task7[[SubPLOs]:[SubPLOs]],"&lt;9")</f>
        <v>0</v>
      </c>
      <c r="EG41" s="138">
        <f>SUMIFS(tbl_task7[S132],tbl_task7[[SubPLOs]:[SubPLOs]],"&gt;=8",tbl_task7[[SubPLOs]:[SubPLOs]],"&lt;9")</f>
        <v>0</v>
      </c>
      <c r="EH41" s="138">
        <f>SUMIFS(tbl_task7[S133],tbl_task7[[SubPLOs]:[SubPLOs]],"&gt;=8",tbl_task7[[SubPLOs]:[SubPLOs]],"&lt;9")</f>
        <v>0</v>
      </c>
      <c r="EI41" s="138">
        <f>SUMIFS(tbl_task7[S134],tbl_task7[[SubPLOs]:[SubPLOs]],"&gt;=8",tbl_task7[[SubPLOs]:[SubPLOs]],"&lt;9")</f>
        <v>0</v>
      </c>
      <c r="EJ41" s="138">
        <f>SUMIFS(tbl_task7[S135],tbl_task7[[SubPLOs]:[SubPLOs]],"&gt;=8",tbl_task7[[SubPLOs]:[SubPLOs]],"&lt;9")</f>
        <v>0</v>
      </c>
      <c r="EK41" s="138">
        <f>SUMIFS(tbl_task7[S136],tbl_task7[[SubPLOs]:[SubPLOs]],"&gt;=8",tbl_task7[[SubPLOs]:[SubPLOs]],"&lt;9")</f>
        <v>0</v>
      </c>
      <c r="EL41" s="138">
        <f>SUMIFS(tbl_task7[S137],tbl_task7[[SubPLOs]:[SubPLOs]],"&gt;=8",tbl_task7[[SubPLOs]:[SubPLOs]],"&lt;9")</f>
        <v>0</v>
      </c>
      <c r="EM41" s="138">
        <f>SUMIFS(tbl_task7[S138],tbl_task7[[SubPLOs]:[SubPLOs]],"&gt;=8",tbl_task7[[SubPLOs]:[SubPLOs]],"&lt;9")</f>
        <v>0</v>
      </c>
      <c r="EN41" s="138">
        <f>SUMIFS(tbl_task7[S139],tbl_task7[[SubPLOs]:[SubPLOs]],"&gt;=8",tbl_task7[[SubPLOs]:[SubPLOs]],"&lt;9")</f>
        <v>0</v>
      </c>
      <c r="EO41" s="138">
        <f>SUMIFS(tbl_task7[S140],tbl_task7[[SubPLOs]:[SubPLOs]],"&gt;=8",tbl_task7[[SubPLOs]:[SubPLOs]],"&lt;9")</f>
        <v>0</v>
      </c>
      <c r="EP41" s="138">
        <f>SUMIFS(tbl_task7[S141],tbl_task7[[SubPLOs]:[SubPLOs]],"&gt;=8",tbl_task7[[SubPLOs]:[SubPLOs]],"&lt;9")</f>
        <v>0</v>
      </c>
      <c r="EQ41" s="138">
        <f>SUMIFS(tbl_task7[S142],tbl_task7[[SubPLOs]:[SubPLOs]],"&gt;=8",tbl_task7[[SubPLOs]:[SubPLOs]],"&lt;9")</f>
        <v>0</v>
      </c>
      <c r="ER41" s="138">
        <f>SUMIFS(tbl_task7[S143],tbl_task7[[SubPLOs]:[SubPLOs]],"&gt;=8",tbl_task7[[SubPLOs]:[SubPLOs]],"&lt;9")</f>
        <v>0</v>
      </c>
      <c r="ES41" s="138">
        <f>SUMIFS(tbl_task7[S144],tbl_task7[[SubPLOs]:[SubPLOs]],"&gt;=8",tbl_task7[[SubPLOs]:[SubPLOs]],"&lt;9")</f>
        <v>0</v>
      </c>
      <c r="ET41" s="138">
        <f>SUMIFS(tbl_task7[S145],tbl_task7[[SubPLOs]:[SubPLOs]],"&gt;=8",tbl_task7[[SubPLOs]:[SubPLOs]],"&lt;9")</f>
        <v>0</v>
      </c>
      <c r="EU41" s="138">
        <f>SUMIFS(tbl_task7[S146],tbl_task7[[SubPLOs]:[SubPLOs]],"&gt;=8",tbl_task7[[SubPLOs]:[SubPLOs]],"&lt;9")</f>
        <v>0</v>
      </c>
      <c r="EV41" s="138">
        <f>SUMIFS(tbl_task7[S147],tbl_task7[[SubPLOs]:[SubPLOs]],"&gt;=8",tbl_task7[[SubPLOs]:[SubPLOs]],"&lt;9")</f>
        <v>0</v>
      </c>
      <c r="EW41" s="138">
        <f>SUMIFS(tbl_task7[S148],tbl_task7[[SubPLOs]:[SubPLOs]],"&gt;=8",tbl_task7[[SubPLOs]:[SubPLOs]],"&lt;9")</f>
        <v>0</v>
      </c>
      <c r="EX41" s="138">
        <f>SUMIFS(tbl_task7[S149],tbl_task7[[SubPLOs]:[SubPLOs]],"&gt;=8",tbl_task7[[SubPLOs]:[SubPLOs]],"&lt;9")</f>
        <v>0</v>
      </c>
      <c r="EY41" s="138">
        <f>SUMIFS(tbl_task7[S150],tbl_task7[[SubPLOs]:[SubPLOs]],"&gt;=8",tbl_task7[[SubPLOs]:[SubPLOs]],"&lt;9")</f>
        <v>0</v>
      </c>
      <c r="EZ41" s="138">
        <f>SUMIFS(tbl_task7[S151],tbl_task7[[SubPLOs]:[SubPLOs]],"&gt;=8",tbl_task7[[SubPLOs]:[SubPLOs]],"&lt;9")</f>
        <v>0</v>
      </c>
      <c r="FA41" s="138">
        <f>SUMIFS(tbl_task7[S152],tbl_task7[[SubPLOs]:[SubPLOs]],"&gt;=8",tbl_task7[[SubPLOs]:[SubPLOs]],"&lt;9")</f>
        <v>0</v>
      </c>
      <c r="FB41" s="138">
        <f>SUMIFS(tbl_task7[S153],tbl_task7[[SubPLOs]:[SubPLOs]],"&gt;=8",tbl_task7[[SubPLOs]:[SubPLOs]],"&lt;9")</f>
        <v>0</v>
      </c>
      <c r="FC41" s="138">
        <f>SUMIFS(tbl_task7[S154],tbl_task7[[SubPLOs]:[SubPLOs]],"&gt;=8",tbl_task7[[SubPLOs]:[SubPLOs]],"&lt;9")</f>
        <v>0</v>
      </c>
      <c r="FD41" s="138">
        <f>SUMIFS(tbl_task7[S155],tbl_task7[[SubPLOs]:[SubPLOs]],"&gt;=8",tbl_task7[[SubPLOs]:[SubPLOs]],"&lt;9")</f>
        <v>0</v>
      </c>
      <c r="FE41" s="138">
        <f>SUMIFS(tbl_task7[S156],tbl_task7[[SubPLOs]:[SubPLOs]],"&gt;=8",tbl_task7[[SubPLOs]:[SubPLOs]],"&lt;9")</f>
        <v>0</v>
      </c>
      <c r="FF41" s="138">
        <f>SUMIFS(tbl_task7[S157],tbl_task7[[SubPLOs]:[SubPLOs]],"&gt;=8",tbl_task7[[SubPLOs]:[SubPLOs]],"&lt;9")</f>
        <v>0</v>
      </c>
      <c r="FG41" s="138">
        <f>SUMIFS(tbl_task7[S158],tbl_task7[[SubPLOs]:[SubPLOs]],"&gt;=8",tbl_task7[[SubPLOs]:[SubPLOs]],"&lt;9")</f>
        <v>0</v>
      </c>
      <c r="FH41" s="138">
        <f>SUMIFS(tbl_task7[S159],tbl_task7[[SubPLOs]:[SubPLOs]],"&gt;=8",tbl_task7[[SubPLOs]:[SubPLOs]],"&lt;9")</f>
        <v>0</v>
      </c>
      <c r="FI41" s="138">
        <f>SUMIFS(tbl_task7[S160],tbl_task7[[SubPLOs]:[SubPLOs]],"&gt;=8",tbl_task7[[SubPLOs]:[SubPLOs]],"&lt;9")</f>
        <v>0</v>
      </c>
      <c r="FJ41" s="138">
        <f>SUMIFS(tbl_task7[S161],tbl_task7[[SubPLOs]:[SubPLOs]],"&gt;=8",tbl_task7[[SubPLOs]:[SubPLOs]],"&lt;9")</f>
        <v>0</v>
      </c>
      <c r="FK41" s="138">
        <f>SUMIFS(tbl_task7[S162],tbl_task7[[SubPLOs]:[SubPLOs]],"&gt;=8",tbl_task7[[SubPLOs]:[SubPLOs]],"&lt;9")</f>
        <v>0</v>
      </c>
      <c r="FL41" s="138">
        <f>SUMIFS(tbl_task7[S163],tbl_task7[[SubPLOs]:[SubPLOs]],"&gt;=8",tbl_task7[[SubPLOs]:[SubPLOs]],"&lt;9")</f>
        <v>0</v>
      </c>
      <c r="FM41" s="138">
        <f>SUMIFS(tbl_task7[S164],tbl_task7[[SubPLOs]:[SubPLOs]],"&gt;=8",tbl_task7[[SubPLOs]:[SubPLOs]],"&lt;9")</f>
        <v>0</v>
      </c>
      <c r="FN41" s="138">
        <f>SUMIFS(tbl_task7[S165],tbl_task7[[SubPLOs]:[SubPLOs]],"&gt;=8",tbl_task7[[SubPLOs]:[SubPLOs]],"&lt;9")</f>
        <v>0</v>
      </c>
    </row>
    <row r="42" spans="1:170" ht="63" x14ac:dyDescent="0.25">
      <c r="A42" s="135">
        <v>9</v>
      </c>
      <c r="B42" s="5" t="s">
        <v>442</v>
      </c>
      <c r="C42" s="136">
        <f>COUNTIFS(tbl_task7[SubPLOs],"&gt;=9",tbl_task7[SubPLOs],"&lt;10")</f>
        <v>0</v>
      </c>
      <c r="D42" s="136">
        <f>SUMIFS(tbl_task7[คะแนนเต็ม],tbl_task7[SubPLOs],"&gt;=9",tbl_task7[SubPLOs],"&lt;10")</f>
        <v>0</v>
      </c>
      <c r="E42" s="137">
        <f>SUMIFS(tbl_task7[%],tbl_task7[SubPLOs],"&gt;=9",tbl_task7[SubPLOs],"&lt;10")</f>
        <v>0</v>
      </c>
      <c r="F42" s="138">
        <f>SUMIFS(tbl_task7[S1],tbl_task7[[SubPLOs]:[SubPLOs]],"&gt;=9",tbl_task7[[SubPLOs]:[SubPLOs]],"&lt;10")</f>
        <v>0</v>
      </c>
      <c r="G42" s="138">
        <f>SUMIFS(tbl_task7[S2],tbl_task7[[SubPLOs]:[SubPLOs]],"&gt;=9",tbl_task7[[SubPLOs]:[SubPLOs]],"&lt;10")</f>
        <v>0</v>
      </c>
      <c r="H42" s="138">
        <f>SUMIFS(tbl_task7[S3],tbl_task7[[SubPLOs]:[SubPLOs]],"&gt;=9",tbl_task7[[SubPLOs]:[SubPLOs]],"&lt;10")</f>
        <v>0</v>
      </c>
      <c r="I42" s="138">
        <f>SUMIFS(tbl_task7[S4],tbl_task7[[SubPLOs]:[SubPLOs]],"&gt;=9",tbl_task7[[SubPLOs]:[SubPLOs]],"&lt;10")</f>
        <v>0</v>
      </c>
      <c r="J42" s="138">
        <f>SUMIFS(tbl_task7[S5],tbl_task7[[SubPLOs]:[SubPLOs]],"&gt;=9",tbl_task7[[SubPLOs]:[SubPLOs]],"&lt;10")</f>
        <v>0</v>
      </c>
      <c r="K42" s="138">
        <f>SUMIFS(tbl_task7[S6],tbl_task7[[SubPLOs]:[SubPLOs]],"&gt;=9",tbl_task7[[SubPLOs]:[SubPLOs]],"&lt;10")</f>
        <v>0</v>
      </c>
      <c r="L42" s="138">
        <f>SUMIFS(tbl_task7[S7],tbl_task7[[SubPLOs]:[SubPLOs]],"&gt;=9",tbl_task7[[SubPLOs]:[SubPLOs]],"&lt;10")</f>
        <v>0</v>
      </c>
      <c r="M42" s="138">
        <f>SUMIFS(tbl_task7[S8],tbl_task7[[SubPLOs]:[SubPLOs]],"&gt;=9",tbl_task7[[SubPLOs]:[SubPLOs]],"&lt;10")</f>
        <v>0</v>
      </c>
      <c r="N42" s="138">
        <f>SUMIFS(tbl_task7[S9],tbl_task7[[SubPLOs]:[SubPLOs]],"&gt;=9",tbl_task7[[SubPLOs]:[SubPLOs]],"&lt;10")</f>
        <v>0</v>
      </c>
      <c r="O42" s="138">
        <f>SUMIFS(tbl_task7[S10],tbl_task7[[SubPLOs]:[SubPLOs]],"&gt;=9",tbl_task7[[SubPLOs]:[SubPLOs]],"&lt;10")</f>
        <v>0</v>
      </c>
      <c r="P42" s="138">
        <f>SUMIFS(tbl_task7[S11],tbl_task7[[SubPLOs]:[SubPLOs]],"&gt;=9",tbl_task7[[SubPLOs]:[SubPLOs]],"&lt;10")</f>
        <v>0</v>
      </c>
      <c r="Q42" s="138">
        <f>SUMIFS(tbl_task7[S12],tbl_task7[[SubPLOs]:[SubPLOs]],"&gt;=9",tbl_task7[[SubPLOs]:[SubPLOs]],"&lt;10")</f>
        <v>0</v>
      </c>
      <c r="R42" s="138">
        <f>SUMIFS(tbl_task7[S13],tbl_task7[[SubPLOs]:[SubPLOs]],"&gt;=9",tbl_task7[[SubPLOs]:[SubPLOs]],"&lt;10")</f>
        <v>0</v>
      </c>
      <c r="S42" s="138">
        <f>SUMIFS(tbl_task7[S14],tbl_task7[[SubPLOs]:[SubPLOs]],"&gt;=9",tbl_task7[[SubPLOs]:[SubPLOs]],"&lt;10")</f>
        <v>0</v>
      </c>
      <c r="T42" s="138">
        <f>SUMIFS(tbl_task7[S15],tbl_task7[[SubPLOs]:[SubPLOs]],"&gt;=9",tbl_task7[[SubPLOs]:[SubPLOs]],"&lt;10")</f>
        <v>0</v>
      </c>
      <c r="U42" s="138">
        <f>SUMIFS(tbl_task7[S16],tbl_task7[[SubPLOs]:[SubPLOs]],"&gt;=9",tbl_task7[[SubPLOs]:[SubPLOs]],"&lt;10")</f>
        <v>0</v>
      </c>
      <c r="V42" s="138">
        <f>SUMIFS(tbl_task7[S17],tbl_task7[[SubPLOs]:[SubPLOs]],"&gt;=9",tbl_task7[[SubPLOs]:[SubPLOs]],"&lt;10")</f>
        <v>0</v>
      </c>
      <c r="W42" s="138">
        <f>SUMIFS(tbl_task7[S18],tbl_task7[[SubPLOs]:[SubPLOs]],"&gt;=9",tbl_task7[[SubPLOs]:[SubPLOs]],"&lt;10")</f>
        <v>0</v>
      </c>
      <c r="X42" s="138">
        <f>SUMIFS(tbl_task7[S19],tbl_task7[[SubPLOs]:[SubPLOs]],"&gt;=9",tbl_task7[[SubPLOs]:[SubPLOs]],"&lt;10")</f>
        <v>0</v>
      </c>
      <c r="Y42" s="138">
        <f>SUMIFS(tbl_task7[S20],tbl_task7[[SubPLOs]:[SubPLOs]],"&gt;=9",tbl_task7[[SubPLOs]:[SubPLOs]],"&lt;10")</f>
        <v>0</v>
      </c>
      <c r="Z42" s="138">
        <f>SUMIFS(tbl_task7[S21],tbl_task7[[SubPLOs]:[SubPLOs]],"&gt;=9",tbl_task7[[SubPLOs]:[SubPLOs]],"&lt;10")</f>
        <v>0</v>
      </c>
      <c r="AA42" s="138">
        <f>SUMIFS(tbl_task7[S22],tbl_task7[[SubPLOs]:[SubPLOs]],"&gt;=9",tbl_task7[[SubPLOs]:[SubPLOs]],"&lt;10")</f>
        <v>0</v>
      </c>
      <c r="AB42" s="138">
        <f>SUMIFS(tbl_task7[S23],tbl_task7[[SubPLOs]:[SubPLOs]],"&gt;=9",tbl_task7[[SubPLOs]:[SubPLOs]],"&lt;10")</f>
        <v>0</v>
      </c>
      <c r="AC42" s="138">
        <f>SUMIFS(tbl_task7[S24],tbl_task7[[SubPLOs]:[SubPLOs]],"&gt;=9",tbl_task7[[SubPLOs]:[SubPLOs]],"&lt;10")</f>
        <v>0</v>
      </c>
      <c r="AD42" s="138">
        <f>SUMIFS(tbl_task7[S25],tbl_task7[[SubPLOs]:[SubPLOs]],"&gt;=9",tbl_task7[[SubPLOs]:[SubPLOs]],"&lt;10")</f>
        <v>0</v>
      </c>
      <c r="AE42" s="138">
        <f>SUMIFS(tbl_task7[S26],tbl_task7[[SubPLOs]:[SubPLOs]],"&gt;=9",tbl_task7[[SubPLOs]:[SubPLOs]],"&lt;10")</f>
        <v>0</v>
      </c>
      <c r="AF42" s="138">
        <f>SUMIFS(tbl_task7[S27],tbl_task7[[SubPLOs]:[SubPLOs]],"&gt;=9",tbl_task7[[SubPLOs]:[SubPLOs]],"&lt;10")</f>
        <v>0</v>
      </c>
      <c r="AG42" s="138">
        <f>SUMIFS(tbl_task7[S28],tbl_task7[[SubPLOs]:[SubPLOs]],"&gt;=9",tbl_task7[[SubPLOs]:[SubPLOs]],"&lt;10")</f>
        <v>0</v>
      </c>
      <c r="AH42" s="138">
        <f>SUMIFS(tbl_task7[S29],tbl_task7[[SubPLOs]:[SubPLOs]],"&gt;=9",tbl_task7[[SubPLOs]:[SubPLOs]],"&lt;10")</f>
        <v>0</v>
      </c>
      <c r="AI42" s="138">
        <f>SUMIFS(tbl_task7[S30],tbl_task7[[SubPLOs]:[SubPLOs]],"&gt;=9",tbl_task7[[SubPLOs]:[SubPLOs]],"&lt;10")</f>
        <v>0</v>
      </c>
      <c r="AJ42" s="138">
        <f>SUMIFS(tbl_task7[S31],tbl_task7[[SubPLOs]:[SubPLOs]],"&gt;=9",tbl_task7[[SubPLOs]:[SubPLOs]],"&lt;10")</f>
        <v>0</v>
      </c>
      <c r="AK42" s="138">
        <f>SUMIFS(tbl_task7[S32],tbl_task7[[SubPLOs]:[SubPLOs]],"&gt;=9",tbl_task7[[SubPLOs]:[SubPLOs]],"&lt;10")</f>
        <v>0</v>
      </c>
      <c r="AL42" s="138">
        <f>SUMIFS(tbl_task7[S33],tbl_task7[[SubPLOs]:[SubPLOs]],"&gt;=9",tbl_task7[[SubPLOs]:[SubPLOs]],"&lt;10")</f>
        <v>0</v>
      </c>
      <c r="AM42" s="138">
        <f>SUMIFS(tbl_task7[S34],tbl_task7[[SubPLOs]:[SubPLOs]],"&gt;=9",tbl_task7[[SubPLOs]:[SubPLOs]],"&lt;10")</f>
        <v>0</v>
      </c>
      <c r="AN42" s="138">
        <f>SUMIFS(tbl_task7[S35],tbl_task7[[SubPLOs]:[SubPLOs]],"&gt;=9",tbl_task7[[SubPLOs]:[SubPLOs]],"&lt;10")</f>
        <v>0</v>
      </c>
      <c r="AO42" s="138">
        <f>SUMIFS(tbl_task7[S36],tbl_task7[[SubPLOs]:[SubPLOs]],"&gt;=9",tbl_task7[[SubPLOs]:[SubPLOs]],"&lt;10")</f>
        <v>0</v>
      </c>
      <c r="AP42" s="138">
        <f>SUMIFS(tbl_task7[S37],tbl_task7[[SubPLOs]:[SubPLOs]],"&gt;=9",tbl_task7[[SubPLOs]:[SubPLOs]],"&lt;10")</f>
        <v>0</v>
      </c>
      <c r="AQ42" s="138">
        <f>SUMIFS(tbl_task7[S38],tbl_task7[[SubPLOs]:[SubPLOs]],"&gt;=9",tbl_task7[[SubPLOs]:[SubPLOs]],"&lt;10")</f>
        <v>0</v>
      </c>
      <c r="AR42" s="138">
        <f>SUMIFS(tbl_task7[S39],tbl_task7[[SubPLOs]:[SubPLOs]],"&gt;=9",tbl_task7[[SubPLOs]:[SubPLOs]],"&lt;10")</f>
        <v>0</v>
      </c>
      <c r="AS42" s="138">
        <f>SUMIFS(tbl_task7[S40],tbl_task7[[SubPLOs]:[SubPLOs]],"&gt;=9",tbl_task7[[SubPLOs]:[SubPLOs]],"&lt;10")</f>
        <v>0</v>
      </c>
      <c r="AT42" s="138">
        <f>SUMIFS(tbl_task7[S41],tbl_task7[[SubPLOs]:[SubPLOs]],"&gt;=9",tbl_task7[[SubPLOs]:[SubPLOs]],"&lt;10")</f>
        <v>0</v>
      </c>
      <c r="AU42" s="138">
        <f>SUMIFS(tbl_task7[S42],tbl_task7[[SubPLOs]:[SubPLOs]],"&gt;=9",tbl_task7[[SubPLOs]:[SubPLOs]],"&lt;10")</f>
        <v>0</v>
      </c>
      <c r="AV42" s="138">
        <f>SUMIFS(tbl_task7[S43],tbl_task7[[SubPLOs]:[SubPLOs]],"&gt;=9",tbl_task7[[SubPLOs]:[SubPLOs]],"&lt;10")</f>
        <v>0</v>
      </c>
      <c r="AW42" s="138">
        <f>SUMIFS(tbl_task7[S44],tbl_task7[[SubPLOs]:[SubPLOs]],"&gt;=9",tbl_task7[[SubPLOs]:[SubPLOs]],"&lt;10")</f>
        <v>0</v>
      </c>
      <c r="AX42" s="138">
        <f>SUMIFS(tbl_task7[S45],tbl_task7[[SubPLOs]:[SubPLOs]],"&gt;=9",tbl_task7[[SubPLOs]:[SubPLOs]],"&lt;10")</f>
        <v>0</v>
      </c>
      <c r="AY42" s="138">
        <f>SUMIFS(tbl_task7[S46],tbl_task7[[SubPLOs]:[SubPLOs]],"&gt;=9",tbl_task7[[SubPLOs]:[SubPLOs]],"&lt;10")</f>
        <v>0</v>
      </c>
      <c r="AZ42" s="138">
        <f>SUMIFS(tbl_task7[S47],tbl_task7[[SubPLOs]:[SubPLOs]],"&gt;=9",tbl_task7[[SubPLOs]:[SubPLOs]],"&lt;10")</f>
        <v>0</v>
      </c>
      <c r="BA42" s="138">
        <f>SUMIFS(tbl_task7[S48],tbl_task7[[SubPLOs]:[SubPLOs]],"&gt;=9",tbl_task7[[SubPLOs]:[SubPLOs]],"&lt;10")</f>
        <v>0</v>
      </c>
      <c r="BB42" s="138">
        <f>SUMIFS(tbl_task7[S49],tbl_task7[[SubPLOs]:[SubPLOs]],"&gt;=9",tbl_task7[[SubPLOs]:[SubPLOs]],"&lt;10")</f>
        <v>0</v>
      </c>
      <c r="BC42" s="138">
        <f>SUMIFS(tbl_task7[S50],tbl_task7[[SubPLOs]:[SubPLOs]],"&gt;=9",tbl_task7[[SubPLOs]:[SubPLOs]],"&lt;10")</f>
        <v>0</v>
      </c>
      <c r="BD42" s="138">
        <f>SUMIFS(tbl_task7[S51],tbl_task7[[SubPLOs]:[SubPLOs]],"&gt;=9",tbl_task7[[SubPLOs]:[SubPLOs]],"&lt;10")</f>
        <v>0</v>
      </c>
      <c r="BE42" s="138">
        <f>SUMIFS(tbl_task7[S52],tbl_task7[[SubPLOs]:[SubPLOs]],"&gt;=9",tbl_task7[[SubPLOs]:[SubPLOs]],"&lt;10")</f>
        <v>0</v>
      </c>
      <c r="BF42" s="138">
        <f>SUMIFS(tbl_task7[S53],tbl_task7[[SubPLOs]:[SubPLOs]],"&gt;=9",tbl_task7[[SubPLOs]:[SubPLOs]],"&lt;10")</f>
        <v>0</v>
      </c>
      <c r="BG42" s="138">
        <f>SUMIFS(tbl_task7[S54],tbl_task7[[SubPLOs]:[SubPLOs]],"&gt;=9",tbl_task7[[SubPLOs]:[SubPLOs]],"&lt;10")</f>
        <v>0</v>
      </c>
      <c r="BH42" s="138">
        <f>SUMIFS(tbl_task7[S55],tbl_task7[[SubPLOs]:[SubPLOs]],"&gt;=9",tbl_task7[[SubPLOs]:[SubPLOs]],"&lt;10")</f>
        <v>0</v>
      </c>
      <c r="BI42" s="138">
        <f>SUMIFS(tbl_task7[S56],tbl_task7[[SubPLOs]:[SubPLOs]],"&gt;=9",tbl_task7[[SubPLOs]:[SubPLOs]],"&lt;10")</f>
        <v>0</v>
      </c>
      <c r="BJ42" s="138">
        <f>SUMIFS(tbl_task7[S57],tbl_task7[[SubPLOs]:[SubPLOs]],"&gt;=9",tbl_task7[[SubPLOs]:[SubPLOs]],"&lt;10")</f>
        <v>0</v>
      </c>
      <c r="BK42" s="138">
        <f>SUMIFS(tbl_task7[S58],tbl_task7[[SubPLOs]:[SubPLOs]],"&gt;=9",tbl_task7[[SubPLOs]:[SubPLOs]],"&lt;10")</f>
        <v>0</v>
      </c>
      <c r="BL42" s="138">
        <f>SUMIFS(tbl_task7[S59],tbl_task7[[SubPLOs]:[SubPLOs]],"&gt;=9",tbl_task7[[SubPLOs]:[SubPLOs]],"&lt;10")</f>
        <v>0</v>
      </c>
      <c r="BM42" s="138">
        <f>SUMIFS(tbl_task7[S60],tbl_task7[[SubPLOs]:[SubPLOs]],"&gt;=9",tbl_task7[[SubPLOs]:[SubPLOs]],"&lt;10")</f>
        <v>0</v>
      </c>
      <c r="BN42" s="138">
        <f>SUMIFS(tbl_task7[S61],tbl_task7[[SubPLOs]:[SubPLOs]],"&gt;=9",tbl_task7[[SubPLOs]:[SubPLOs]],"&lt;10")</f>
        <v>0</v>
      </c>
      <c r="BO42" s="138">
        <f>SUMIFS(tbl_task7[S62],tbl_task7[[SubPLOs]:[SubPLOs]],"&gt;=9",tbl_task7[[SubPLOs]:[SubPLOs]],"&lt;10")</f>
        <v>0</v>
      </c>
      <c r="BP42" s="138">
        <f>SUMIFS(tbl_task7[S63],tbl_task7[[SubPLOs]:[SubPLOs]],"&gt;=9",tbl_task7[[SubPLOs]:[SubPLOs]],"&lt;10")</f>
        <v>0</v>
      </c>
      <c r="BQ42" s="138">
        <f>SUMIFS(tbl_task7[S64],tbl_task7[[SubPLOs]:[SubPLOs]],"&gt;=9",tbl_task7[[SubPLOs]:[SubPLOs]],"&lt;10")</f>
        <v>0</v>
      </c>
      <c r="BR42" s="138">
        <f>SUMIFS(tbl_task7[S65],tbl_task7[[SubPLOs]:[SubPLOs]],"&gt;=9",tbl_task7[[SubPLOs]:[SubPLOs]],"&lt;10")</f>
        <v>0</v>
      </c>
      <c r="BS42" s="138">
        <f>SUMIFS(tbl_task7[S66],tbl_task7[[SubPLOs]:[SubPLOs]],"&gt;=9",tbl_task7[[SubPLOs]:[SubPLOs]],"&lt;10")</f>
        <v>0</v>
      </c>
      <c r="BT42" s="138">
        <f>SUMIFS(tbl_task7[S67],tbl_task7[[SubPLOs]:[SubPLOs]],"&gt;=9",tbl_task7[[SubPLOs]:[SubPLOs]],"&lt;10")</f>
        <v>0</v>
      </c>
      <c r="BU42" s="138">
        <f>SUMIFS(tbl_task7[S68],tbl_task7[[SubPLOs]:[SubPLOs]],"&gt;=9",tbl_task7[[SubPLOs]:[SubPLOs]],"&lt;10")</f>
        <v>0</v>
      </c>
      <c r="BV42" s="138">
        <f>SUMIFS(tbl_task7[S69],tbl_task7[[SubPLOs]:[SubPLOs]],"&gt;=9",tbl_task7[[SubPLOs]:[SubPLOs]],"&lt;10")</f>
        <v>0</v>
      </c>
      <c r="BW42" s="138">
        <f>SUMIFS(tbl_task7[S70],tbl_task7[[SubPLOs]:[SubPLOs]],"&gt;=9",tbl_task7[[SubPLOs]:[SubPLOs]],"&lt;10")</f>
        <v>0</v>
      </c>
      <c r="BX42" s="138">
        <f>SUMIFS(tbl_task7[S71],tbl_task7[[SubPLOs]:[SubPLOs]],"&gt;=9",tbl_task7[[SubPLOs]:[SubPLOs]],"&lt;10")</f>
        <v>0</v>
      </c>
      <c r="BY42" s="138">
        <f>SUMIFS(tbl_task7[S72],tbl_task7[[SubPLOs]:[SubPLOs]],"&gt;=9",tbl_task7[[SubPLOs]:[SubPLOs]],"&lt;10")</f>
        <v>0</v>
      </c>
      <c r="BZ42" s="138">
        <f>SUMIFS(tbl_task7[S73],tbl_task7[[SubPLOs]:[SubPLOs]],"&gt;=9",tbl_task7[[SubPLOs]:[SubPLOs]],"&lt;10")</f>
        <v>0</v>
      </c>
      <c r="CA42" s="138">
        <f>SUMIFS(tbl_task7[S74],tbl_task7[[SubPLOs]:[SubPLOs]],"&gt;=9",tbl_task7[[SubPLOs]:[SubPLOs]],"&lt;10")</f>
        <v>0</v>
      </c>
      <c r="CB42" s="138">
        <f>SUMIFS(tbl_task7[S75],tbl_task7[[SubPLOs]:[SubPLOs]],"&gt;=9",tbl_task7[[SubPLOs]:[SubPLOs]],"&lt;10")</f>
        <v>0</v>
      </c>
      <c r="CC42" s="138">
        <f>SUMIFS(tbl_task7[S76],tbl_task7[[SubPLOs]:[SubPLOs]],"&gt;=9",tbl_task7[[SubPLOs]:[SubPLOs]],"&lt;10")</f>
        <v>0</v>
      </c>
      <c r="CD42" s="138">
        <f>SUMIFS(tbl_task7[S77],tbl_task7[[SubPLOs]:[SubPLOs]],"&gt;=9",tbl_task7[[SubPLOs]:[SubPLOs]],"&lt;10")</f>
        <v>0</v>
      </c>
      <c r="CE42" s="138">
        <f>SUMIFS(tbl_task7[S78],tbl_task7[[SubPLOs]:[SubPLOs]],"&gt;=9",tbl_task7[[SubPLOs]:[SubPLOs]],"&lt;10")</f>
        <v>0</v>
      </c>
      <c r="CF42" s="138">
        <f>SUMIFS(tbl_task7[S79],tbl_task7[[SubPLOs]:[SubPLOs]],"&gt;=9",tbl_task7[[SubPLOs]:[SubPLOs]],"&lt;10")</f>
        <v>0</v>
      </c>
      <c r="CG42" s="138">
        <f>SUMIFS(tbl_task7[S80],tbl_task7[[SubPLOs]:[SubPLOs]],"&gt;=9",tbl_task7[[SubPLOs]:[SubPLOs]],"&lt;10")</f>
        <v>0</v>
      </c>
      <c r="CH42" s="138">
        <f>SUMIFS(tbl_task7[S81],tbl_task7[[SubPLOs]:[SubPLOs]],"&gt;=9",tbl_task7[[SubPLOs]:[SubPLOs]],"&lt;10")</f>
        <v>0</v>
      </c>
      <c r="CI42" s="138">
        <f>SUMIFS(tbl_task7[S82],tbl_task7[[SubPLOs]:[SubPLOs]],"&gt;=9",tbl_task7[[SubPLOs]:[SubPLOs]],"&lt;10")</f>
        <v>0</v>
      </c>
      <c r="CJ42" s="138">
        <f>SUMIFS(tbl_task7[S83],tbl_task7[[SubPLOs]:[SubPLOs]],"&gt;=9",tbl_task7[[SubPLOs]:[SubPLOs]],"&lt;10")</f>
        <v>0</v>
      </c>
      <c r="CK42" s="138">
        <f>SUMIFS(tbl_task7[S84],tbl_task7[[SubPLOs]:[SubPLOs]],"&gt;=9",tbl_task7[[SubPLOs]:[SubPLOs]],"&lt;10")</f>
        <v>0</v>
      </c>
      <c r="CL42" s="138">
        <f>SUMIFS(tbl_task7[S85],tbl_task7[[SubPLOs]:[SubPLOs]],"&gt;=9",tbl_task7[[SubPLOs]:[SubPLOs]],"&lt;10")</f>
        <v>0</v>
      </c>
      <c r="CM42" s="138">
        <f>SUMIFS(tbl_task7[S86],tbl_task7[[SubPLOs]:[SubPLOs]],"&gt;=9",tbl_task7[[SubPLOs]:[SubPLOs]],"&lt;10")</f>
        <v>0</v>
      </c>
      <c r="CN42" s="138">
        <f>SUMIFS(tbl_task7[S87],tbl_task7[[SubPLOs]:[SubPLOs]],"&gt;=9",tbl_task7[[SubPLOs]:[SubPLOs]],"&lt;10")</f>
        <v>0</v>
      </c>
      <c r="CO42" s="138">
        <f>SUMIFS(tbl_task7[S88],tbl_task7[[SubPLOs]:[SubPLOs]],"&gt;=9",tbl_task7[[SubPLOs]:[SubPLOs]],"&lt;10")</f>
        <v>0</v>
      </c>
      <c r="CP42" s="138">
        <f>SUMIFS(tbl_task7[S89],tbl_task7[[SubPLOs]:[SubPLOs]],"&gt;=9",tbl_task7[[SubPLOs]:[SubPLOs]],"&lt;10")</f>
        <v>0</v>
      </c>
      <c r="CQ42" s="138">
        <f>SUMIFS(tbl_task7[S90],tbl_task7[[SubPLOs]:[SubPLOs]],"&gt;=9",tbl_task7[[SubPLOs]:[SubPLOs]],"&lt;10")</f>
        <v>0</v>
      </c>
      <c r="CR42" s="138">
        <f>SUMIFS(tbl_task7[S91],tbl_task7[[SubPLOs]:[SubPLOs]],"&gt;=9",tbl_task7[[SubPLOs]:[SubPLOs]],"&lt;10")</f>
        <v>0</v>
      </c>
      <c r="CS42" s="138">
        <f>SUMIFS(tbl_task7[S92],tbl_task7[[SubPLOs]:[SubPLOs]],"&gt;=9",tbl_task7[[SubPLOs]:[SubPLOs]],"&lt;10")</f>
        <v>0</v>
      </c>
      <c r="CT42" s="138">
        <f>SUMIFS(tbl_task7[S93],tbl_task7[[SubPLOs]:[SubPLOs]],"&gt;=9",tbl_task7[[SubPLOs]:[SubPLOs]],"&lt;10")</f>
        <v>0</v>
      </c>
      <c r="CU42" s="138">
        <f>SUMIFS(tbl_task7[S94],tbl_task7[[SubPLOs]:[SubPLOs]],"&gt;=9",tbl_task7[[SubPLOs]:[SubPLOs]],"&lt;10")</f>
        <v>0</v>
      </c>
      <c r="CV42" s="138">
        <f>SUMIFS(tbl_task7[S95],tbl_task7[[SubPLOs]:[SubPLOs]],"&gt;=9",tbl_task7[[SubPLOs]:[SubPLOs]],"&lt;10")</f>
        <v>0</v>
      </c>
      <c r="CW42" s="138">
        <f>SUMIFS(tbl_task7[S96],tbl_task7[[SubPLOs]:[SubPLOs]],"&gt;=9",tbl_task7[[SubPLOs]:[SubPLOs]],"&lt;10")</f>
        <v>0</v>
      </c>
      <c r="CX42" s="138">
        <f>SUMIFS(tbl_task7[S97],tbl_task7[[SubPLOs]:[SubPLOs]],"&gt;=9",tbl_task7[[SubPLOs]:[SubPLOs]],"&lt;10")</f>
        <v>0</v>
      </c>
      <c r="CY42" s="138">
        <f>SUMIFS(tbl_task7[S98],tbl_task7[[SubPLOs]:[SubPLOs]],"&gt;=9",tbl_task7[[SubPLOs]:[SubPLOs]],"&lt;10")</f>
        <v>0</v>
      </c>
      <c r="CZ42" s="138">
        <f>SUMIFS(tbl_task7[S99],tbl_task7[[SubPLOs]:[SubPLOs]],"&gt;=9",tbl_task7[[SubPLOs]:[SubPLOs]],"&lt;10")</f>
        <v>0</v>
      </c>
      <c r="DA42" s="138">
        <f>SUMIFS(tbl_task7[S100],tbl_task7[[SubPLOs]:[SubPLOs]],"&gt;=9",tbl_task7[[SubPLOs]:[SubPLOs]],"&lt;10")</f>
        <v>0</v>
      </c>
      <c r="DB42" s="138">
        <f>SUMIFS(tbl_task7[S101],tbl_task7[[SubPLOs]:[SubPLOs]],"&gt;=9",tbl_task7[[SubPLOs]:[SubPLOs]],"&lt;10")</f>
        <v>0</v>
      </c>
      <c r="DC42" s="138">
        <f>SUMIFS(tbl_task7[S102],tbl_task7[[SubPLOs]:[SubPLOs]],"&gt;=9",tbl_task7[[SubPLOs]:[SubPLOs]],"&lt;10")</f>
        <v>0</v>
      </c>
      <c r="DD42" s="138">
        <f>SUMIFS(tbl_task7[S103],tbl_task7[[SubPLOs]:[SubPLOs]],"&gt;=9",tbl_task7[[SubPLOs]:[SubPLOs]],"&lt;10")</f>
        <v>0</v>
      </c>
      <c r="DE42" s="138">
        <f>SUMIFS(tbl_task7[S104],tbl_task7[[SubPLOs]:[SubPLOs]],"&gt;=9",tbl_task7[[SubPLOs]:[SubPLOs]],"&lt;10")</f>
        <v>0</v>
      </c>
      <c r="DF42" s="138">
        <f>SUMIFS(tbl_task7[S105],tbl_task7[[SubPLOs]:[SubPLOs]],"&gt;=9",tbl_task7[[SubPLOs]:[SubPLOs]],"&lt;10")</f>
        <v>0</v>
      </c>
      <c r="DG42" s="138">
        <f>SUMIFS(tbl_task7[S106],tbl_task7[[SubPLOs]:[SubPLOs]],"&gt;=9",tbl_task7[[SubPLOs]:[SubPLOs]],"&lt;10")</f>
        <v>0</v>
      </c>
      <c r="DH42" s="138">
        <f>SUMIFS(tbl_task7[S106],tbl_task7[[SubPLOs]:[SubPLOs]],"&gt;=9",tbl_task7[[SubPLOs]:[SubPLOs]],"&lt;10")</f>
        <v>0</v>
      </c>
      <c r="DI42" s="138">
        <f>SUMIFS(tbl_task7[S108],tbl_task7[[SubPLOs]:[SubPLOs]],"&gt;=9",tbl_task7[[SubPLOs]:[SubPLOs]],"&lt;10")</f>
        <v>0</v>
      </c>
      <c r="DJ42" s="138">
        <f>SUMIFS(tbl_task7[S109],tbl_task7[[SubPLOs]:[SubPLOs]],"&gt;=9",tbl_task7[[SubPLOs]:[SubPLOs]],"&lt;10")</f>
        <v>0</v>
      </c>
      <c r="DK42" s="138">
        <f>SUMIFS(tbl_task7[S110],tbl_task7[[SubPLOs]:[SubPLOs]],"&gt;=9",tbl_task7[[SubPLOs]:[SubPLOs]],"&lt;10")</f>
        <v>0</v>
      </c>
      <c r="DL42" s="138">
        <f>SUMIFS(tbl_task7[S111],tbl_task7[[SubPLOs]:[SubPLOs]],"&gt;=9",tbl_task7[[SubPLOs]:[SubPLOs]],"&lt;10")</f>
        <v>0</v>
      </c>
      <c r="DM42" s="138">
        <f>SUMIFS(tbl_task7[S112],tbl_task7[[SubPLOs]:[SubPLOs]],"&gt;=9",tbl_task7[[SubPLOs]:[SubPLOs]],"&lt;10")</f>
        <v>0</v>
      </c>
      <c r="DN42" s="138">
        <f>SUMIFS(tbl_task7[S113],tbl_task7[[SubPLOs]:[SubPLOs]],"&gt;=9",tbl_task7[[SubPLOs]:[SubPLOs]],"&lt;10")</f>
        <v>0</v>
      </c>
      <c r="DO42" s="138">
        <f>SUMIFS(tbl_task7[S114],tbl_task7[[SubPLOs]:[SubPLOs]],"&gt;=9",tbl_task7[[SubPLOs]:[SubPLOs]],"&lt;10")</f>
        <v>0</v>
      </c>
      <c r="DP42" s="138">
        <f>SUMIFS(tbl_task7[S115],tbl_task7[[SubPLOs]:[SubPLOs]],"&gt;=9",tbl_task7[[SubPLOs]:[SubPLOs]],"&lt;10")</f>
        <v>0</v>
      </c>
      <c r="DQ42" s="138">
        <f>SUMIFS(tbl_task7[S116],tbl_task7[[SubPLOs]:[SubPLOs]],"&gt;=9",tbl_task7[[SubPLOs]:[SubPLOs]],"&lt;10")</f>
        <v>0</v>
      </c>
      <c r="DR42" s="138">
        <f>SUMIFS(tbl_task7[S117],tbl_task7[[SubPLOs]:[SubPLOs]],"&gt;=9",tbl_task7[[SubPLOs]:[SubPLOs]],"&lt;10")</f>
        <v>0</v>
      </c>
      <c r="DS42" s="138">
        <f>SUMIFS(tbl_task7[S118],tbl_task7[[SubPLOs]:[SubPLOs]],"&gt;=9",tbl_task7[[SubPLOs]:[SubPLOs]],"&lt;10")</f>
        <v>0</v>
      </c>
      <c r="DT42" s="138">
        <f>SUMIFS(tbl_task7[S119],tbl_task7[[SubPLOs]:[SubPLOs]],"&gt;=9",tbl_task7[[SubPLOs]:[SubPLOs]],"&lt;10")</f>
        <v>0</v>
      </c>
      <c r="DU42" s="138">
        <f>SUMIFS(tbl_task7[S120],tbl_task7[[SubPLOs]:[SubPLOs]],"&gt;=9",tbl_task7[[SubPLOs]:[SubPLOs]],"&lt;10")</f>
        <v>0</v>
      </c>
      <c r="DV42" s="138">
        <f>SUMIFS(tbl_task7[S121],tbl_task7[[SubPLOs]:[SubPLOs]],"&gt;=9",tbl_task7[[SubPLOs]:[SubPLOs]],"&lt;10")</f>
        <v>0</v>
      </c>
      <c r="DW42" s="138">
        <f>SUMIFS(tbl_task7[S122],tbl_task7[[SubPLOs]:[SubPLOs]],"&gt;=9",tbl_task7[[SubPLOs]:[SubPLOs]],"&lt;10")</f>
        <v>0</v>
      </c>
      <c r="DX42" s="138">
        <f>SUMIFS(tbl_task7[S123],tbl_task7[[SubPLOs]:[SubPLOs]],"&gt;=9",tbl_task7[[SubPLOs]:[SubPLOs]],"&lt;10")</f>
        <v>0</v>
      </c>
      <c r="DY42" s="138">
        <f>SUMIFS(tbl_task7[S124],tbl_task7[[SubPLOs]:[SubPLOs]],"&gt;=9",tbl_task7[[SubPLOs]:[SubPLOs]],"&lt;10")</f>
        <v>0</v>
      </c>
      <c r="DZ42" s="138">
        <f>SUMIFS(tbl_task7[S125],tbl_task7[[SubPLOs]:[SubPLOs]],"&gt;=9",tbl_task7[[SubPLOs]:[SubPLOs]],"&lt;10")</f>
        <v>0</v>
      </c>
      <c r="EA42" s="138">
        <f>SUMIFS(tbl_task7[S126],tbl_task7[[SubPLOs]:[SubPLOs]],"&gt;=9",tbl_task7[[SubPLOs]:[SubPLOs]],"&lt;10")</f>
        <v>0</v>
      </c>
      <c r="EB42" s="138">
        <f>SUMIFS(tbl_task7[S127],tbl_task7[[SubPLOs]:[SubPLOs]],"&gt;=9",tbl_task7[[SubPLOs]:[SubPLOs]],"&lt;10")</f>
        <v>0</v>
      </c>
      <c r="EC42" s="138">
        <f>SUMIFS(tbl_task7[S128],tbl_task7[[SubPLOs]:[SubPLOs]],"&gt;=9",tbl_task7[[SubPLOs]:[SubPLOs]],"&lt;10")</f>
        <v>0</v>
      </c>
      <c r="ED42" s="138">
        <f>SUMIFS(tbl_task7[S129],tbl_task7[[SubPLOs]:[SubPLOs]],"&gt;=9",tbl_task7[[SubPLOs]:[SubPLOs]],"&lt;10")</f>
        <v>0</v>
      </c>
      <c r="EE42" s="138">
        <f>SUMIFS(tbl_task7[S130],tbl_task7[[SubPLOs]:[SubPLOs]],"&gt;=9",tbl_task7[[SubPLOs]:[SubPLOs]],"&lt;10")</f>
        <v>0</v>
      </c>
      <c r="EF42" s="138">
        <f>SUMIFS(tbl_task7[S131],tbl_task7[[SubPLOs]:[SubPLOs]],"&gt;=9",tbl_task7[[SubPLOs]:[SubPLOs]],"&lt;10")</f>
        <v>0</v>
      </c>
      <c r="EG42" s="138">
        <f>SUMIFS(tbl_task7[S132],tbl_task7[[SubPLOs]:[SubPLOs]],"&gt;=9",tbl_task7[[SubPLOs]:[SubPLOs]],"&lt;10")</f>
        <v>0</v>
      </c>
      <c r="EH42" s="138">
        <f>SUMIFS(tbl_task7[S133],tbl_task7[[SubPLOs]:[SubPLOs]],"&gt;=9",tbl_task7[[SubPLOs]:[SubPLOs]],"&lt;10")</f>
        <v>0</v>
      </c>
      <c r="EI42" s="138">
        <f>SUMIFS(tbl_task7[S134],tbl_task7[[SubPLOs]:[SubPLOs]],"&gt;=9",tbl_task7[[SubPLOs]:[SubPLOs]],"&lt;10")</f>
        <v>0</v>
      </c>
      <c r="EJ42" s="138">
        <f>SUMIFS(tbl_task7[S135],tbl_task7[[SubPLOs]:[SubPLOs]],"&gt;=9",tbl_task7[[SubPLOs]:[SubPLOs]],"&lt;10")</f>
        <v>0</v>
      </c>
      <c r="EK42" s="138">
        <f>SUMIFS(tbl_task7[S136],tbl_task7[[SubPLOs]:[SubPLOs]],"&gt;=9",tbl_task7[[SubPLOs]:[SubPLOs]],"&lt;10")</f>
        <v>0</v>
      </c>
      <c r="EL42" s="138">
        <f>SUMIFS(tbl_task7[S137],tbl_task7[[SubPLOs]:[SubPLOs]],"&gt;=9",tbl_task7[[SubPLOs]:[SubPLOs]],"&lt;10")</f>
        <v>0</v>
      </c>
      <c r="EM42" s="138">
        <f>SUMIFS(tbl_task7[S138],tbl_task7[[SubPLOs]:[SubPLOs]],"&gt;=9",tbl_task7[[SubPLOs]:[SubPLOs]],"&lt;10")</f>
        <v>0</v>
      </c>
      <c r="EN42" s="138">
        <f>SUMIFS(tbl_task7[S139],tbl_task7[[SubPLOs]:[SubPLOs]],"&gt;=9",tbl_task7[[SubPLOs]:[SubPLOs]],"&lt;10")</f>
        <v>0</v>
      </c>
      <c r="EO42" s="138">
        <f>SUMIFS(tbl_task7[S140],tbl_task7[[SubPLOs]:[SubPLOs]],"&gt;=9",tbl_task7[[SubPLOs]:[SubPLOs]],"&lt;10")</f>
        <v>0</v>
      </c>
      <c r="EP42" s="138">
        <f>SUMIFS(tbl_task7[S141],tbl_task7[[SubPLOs]:[SubPLOs]],"&gt;=9",tbl_task7[[SubPLOs]:[SubPLOs]],"&lt;10")</f>
        <v>0</v>
      </c>
      <c r="EQ42" s="138">
        <f>SUMIFS(tbl_task7[S142],tbl_task7[[SubPLOs]:[SubPLOs]],"&gt;=9",tbl_task7[[SubPLOs]:[SubPLOs]],"&lt;10")</f>
        <v>0</v>
      </c>
      <c r="ER42" s="138">
        <f>SUMIFS(tbl_task7[S143],tbl_task7[[SubPLOs]:[SubPLOs]],"&gt;=9",tbl_task7[[SubPLOs]:[SubPLOs]],"&lt;10")</f>
        <v>0</v>
      </c>
      <c r="ES42" s="138">
        <f>SUMIFS(tbl_task7[S144],tbl_task7[[SubPLOs]:[SubPLOs]],"&gt;=9",tbl_task7[[SubPLOs]:[SubPLOs]],"&lt;10")</f>
        <v>0</v>
      </c>
      <c r="ET42" s="138">
        <f>SUMIFS(tbl_task7[S145],tbl_task7[[SubPLOs]:[SubPLOs]],"&gt;=9",tbl_task7[[SubPLOs]:[SubPLOs]],"&lt;10")</f>
        <v>0</v>
      </c>
      <c r="EU42" s="138">
        <f>SUMIFS(tbl_task7[S146],tbl_task7[[SubPLOs]:[SubPLOs]],"&gt;=9",tbl_task7[[SubPLOs]:[SubPLOs]],"&lt;10")</f>
        <v>0</v>
      </c>
      <c r="EV42" s="138">
        <f>SUMIFS(tbl_task7[S147],tbl_task7[[SubPLOs]:[SubPLOs]],"&gt;=9",tbl_task7[[SubPLOs]:[SubPLOs]],"&lt;10")</f>
        <v>0</v>
      </c>
      <c r="EW42" s="138">
        <f>SUMIFS(tbl_task7[S148],tbl_task7[[SubPLOs]:[SubPLOs]],"&gt;=9",tbl_task7[[SubPLOs]:[SubPLOs]],"&lt;10")</f>
        <v>0</v>
      </c>
      <c r="EX42" s="138">
        <f>SUMIFS(tbl_task7[S149],tbl_task7[[SubPLOs]:[SubPLOs]],"&gt;=9",tbl_task7[[SubPLOs]:[SubPLOs]],"&lt;10")</f>
        <v>0</v>
      </c>
      <c r="EY42" s="138">
        <f>SUMIFS(tbl_task7[S150],tbl_task7[[SubPLOs]:[SubPLOs]],"&gt;=9",tbl_task7[[SubPLOs]:[SubPLOs]],"&lt;10")</f>
        <v>0</v>
      </c>
      <c r="EZ42" s="138">
        <f>SUMIFS(tbl_task7[S151],tbl_task7[[SubPLOs]:[SubPLOs]],"&gt;=9",tbl_task7[[SubPLOs]:[SubPLOs]],"&lt;10")</f>
        <v>0</v>
      </c>
      <c r="FA42" s="138">
        <f>SUMIFS(tbl_task7[S152],tbl_task7[[SubPLOs]:[SubPLOs]],"&gt;=9",tbl_task7[[SubPLOs]:[SubPLOs]],"&lt;10")</f>
        <v>0</v>
      </c>
      <c r="FB42" s="138">
        <f>SUMIFS(tbl_task7[S153],tbl_task7[[SubPLOs]:[SubPLOs]],"&gt;=9",tbl_task7[[SubPLOs]:[SubPLOs]],"&lt;10")</f>
        <v>0</v>
      </c>
      <c r="FC42" s="138">
        <f>SUMIFS(tbl_task7[S154],tbl_task7[[SubPLOs]:[SubPLOs]],"&gt;=9",tbl_task7[[SubPLOs]:[SubPLOs]],"&lt;10")</f>
        <v>0</v>
      </c>
      <c r="FD42" s="138">
        <f>SUMIFS(tbl_task7[S155],tbl_task7[[SubPLOs]:[SubPLOs]],"&gt;=9",tbl_task7[[SubPLOs]:[SubPLOs]],"&lt;10")</f>
        <v>0</v>
      </c>
      <c r="FE42" s="138">
        <f>SUMIFS(tbl_task7[S156],tbl_task7[[SubPLOs]:[SubPLOs]],"&gt;=9",tbl_task7[[SubPLOs]:[SubPLOs]],"&lt;10")</f>
        <v>0</v>
      </c>
      <c r="FF42" s="138">
        <f>SUMIFS(tbl_task7[S157],tbl_task7[[SubPLOs]:[SubPLOs]],"&gt;=9",tbl_task7[[SubPLOs]:[SubPLOs]],"&lt;10")</f>
        <v>0</v>
      </c>
      <c r="FG42" s="138">
        <f>SUMIFS(tbl_task7[S158],tbl_task7[[SubPLOs]:[SubPLOs]],"&gt;=9",tbl_task7[[SubPLOs]:[SubPLOs]],"&lt;10")</f>
        <v>0</v>
      </c>
      <c r="FH42" s="138">
        <f>SUMIFS(tbl_task7[S159],tbl_task7[[SubPLOs]:[SubPLOs]],"&gt;=9",tbl_task7[[SubPLOs]:[SubPLOs]],"&lt;10")</f>
        <v>0</v>
      </c>
      <c r="FI42" s="138">
        <f>SUMIFS(tbl_task7[S160],tbl_task7[[SubPLOs]:[SubPLOs]],"&gt;=9",tbl_task7[[SubPLOs]:[SubPLOs]],"&lt;10")</f>
        <v>0</v>
      </c>
      <c r="FJ42" s="138">
        <f>SUMIFS(tbl_task7[S161],tbl_task7[[SubPLOs]:[SubPLOs]],"&gt;=9",tbl_task7[[SubPLOs]:[SubPLOs]],"&lt;10")</f>
        <v>0</v>
      </c>
      <c r="FK42" s="138">
        <f>SUMIFS(tbl_task7[S162],tbl_task7[[SubPLOs]:[SubPLOs]],"&gt;=9",tbl_task7[[SubPLOs]:[SubPLOs]],"&lt;10")</f>
        <v>0</v>
      </c>
      <c r="FL42" s="138">
        <f>SUMIFS(tbl_task7[S163],tbl_task7[[SubPLOs]:[SubPLOs]],"&gt;=9",tbl_task7[[SubPLOs]:[SubPLOs]],"&lt;10")</f>
        <v>0</v>
      </c>
      <c r="FM42" s="138">
        <f>SUMIFS(tbl_task7[S164],tbl_task7[[SubPLOs]:[SubPLOs]],"&gt;=9",tbl_task7[[SubPLOs]:[SubPLOs]],"&lt;10")</f>
        <v>0</v>
      </c>
      <c r="FN42" s="138">
        <f>SUMIFS(tbl_task7[S165],tbl_task7[[SubPLOs]:[SubPLOs]],"&gt;=9",tbl_task7[[SubPLOs]:[SubPLOs]],"&lt;10")</f>
        <v>0</v>
      </c>
    </row>
    <row r="43" spans="1:170" ht="63" x14ac:dyDescent="0.25">
      <c r="A43" s="135">
        <v>10</v>
      </c>
      <c r="B43" s="5" t="s">
        <v>443</v>
      </c>
      <c r="C43" s="136">
        <f>COUNTIFS(tbl_task7[SubPLOs],"&gt;=10",tbl_task7[SubPLOs],"&lt;11")</f>
        <v>0</v>
      </c>
      <c r="D43" s="136">
        <f>SUMIFS(tbl_task7[คะแนนเต็ม],tbl_task7[SubPLOs],"&gt;=10",tbl_task7[SubPLOs],"&lt;11")</f>
        <v>0</v>
      </c>
      <c r="E43" s="137">
        <f>SUMIFS(tbl_task7[%],tbl_task7[SubPLOs],"&gt;=10",tbl_task7[SubPLOs],"&lt;11")</f>
        <v>0</v>
      </c>
      <c r="F43" s="138">
        <f>SUMIFS(tbl_task7[S1],tbl_task7[[SubPLOs]:[SubPLOs]],"&gt;=10",tbl_task7[[SubPLOs]:[SubPLOs]],"&lt;11")</f>
        <v>0</v>
      </c>
      <c r="G43" s="138">
        <f>SUMIFS(tbl_task7[S2],tbl_task7[[SubPLOs]:[SubPLOs]],"&gt;=10",tbl_task7[[SubPLOs]:[SubPLOs]],"&lt;11")</f>
        <v>0</v>
      </c>
      <c r="H43" s="138">
        <f>SUMIFS(tbl_task7[S3],tbl_task7[[SubPLOs]:[SubPLOs]],"&gt;=10",tbl_task7[[SubPLOs]:[SubPLOs]],"&lt;11")</f>
        <v>0</v>
      </c>
      <c r="I43" s="138">
        <f>SUMIFS(tbl_task7[S4],tbl_task7[[SubPLOs]:[SubPLOs]],"&gt;=10",tbl_task7[[SubPLOs]:[SubPLOs]],"&lt;11")</f>
        <v>0</v>
      </c>
      <c r="J43" s="138">
        <f>SUMIFS(tbl_task7[S5],tbl_task7[[SubPLOs]:[SubPLOs]],"&gt;=10",tbl_task7[[SubPLOs]:[SubPLOs]],"&lt;11")</f>
        <v>0</v>
      </c>
      <c r="K43" s="138">
        <f>SUMIFS(tbl_task7[S6],tbl_task7[[SubPLOs]:[SubPLOs]],"&gt;=10",tbl_task7[[SubPLOs]:[SubPLOs]],"&lt;11")</f>
        <v>0</v>
      </c>
      <c r="L43" s="138">
        <f>SUMIFS(tbl_task7[S7],tbl_task7[[SubPLOs]:[SubPLOs]],"&gt;=10",tbl_task7[[SubPLOs]:[SubPLOs]],"&lt;11")</f>
        <v>0</v>
      </c>
      <c r="M43" s="138">
        <f>SUMIFS(tbl_task7[S8],tbl_task7[[SubPLOs]:[SubPLOs]],"&gt;=10",tbl_task7[[SubPLOs]:[SubPLOs]],"&lt;11")</f>
        <v>0</v>
      </c>
      <c r="N43" s="138">
        <f>SUMIFS(tbl_task7[S9],tbl_task7[[SubPLOs]:[SubPLOs]],"&gt;=10",tbl_task7[[SubPLOs]:[SubPLOs]],"&lt;11")</f>
        <v>0</v>
      </c>
      <c r="O43" s="138">
        <f>SUMIFS(tbl_task7[S10],tbl_task7[[SubPLOs]:[SubPLOs]],"&gt;=10",tbl_task7[[SubPLOs]:[SubPLOs]],"&lt;11")</f>
        <v>0</v>
      </c>
      <c r="P43" s="138">
        <f>SUMIFS(tbl_task7[S11],tbl_task7[[SubPLOs]:[SubPLOs]],"&gt;=10",tbl_task7[[SubPLOs]:[SubPLOs]],"&lt;11")</f>
        <v>0</v>
      </c>
      <c r="Q43" s="138">
        <f>SUMIFS(tbl_task7[S12],tbl_task7[[SubPLOs]:[SubPLOs]],"&gt;=10",tbl_task7[[SubPLOs]:[SubPLOs]],"&lt;11")</f>
        <v>0</v>
      </c>
      <c r="R43" s="138">
        <f>SUMIFS(tbl_task7[S13],tbl_task7[[SubPLOs]:[SubPLOs]],"&gt;=10",tbl_task7[[SubPLOs]:[SubPLOs]],"&lt;11")</f>
        <v>0</v>
      </c>
      <c r="S43" s="138">
        <f>SUMIFS(tbl_task7[S14],tbl_task7[[SubPLOs]:[SubPLOs]],"&gt;=10",tbl_task7[[SubPLOs]:[SubPLOs]],"&lt;11")</f>
        <v>0</v>
      </c>
      <c r="T43" s="138">
        <f>SUMIFS(tbl_task7[S15],tbl_task7[[SubPLOs]:[SubPLOs]],"&gt;=10",tbl_task7[[SubPLOs]:[SubPLOs]],"&lt;11")</f>
        <v>0</v>
      </c>
      <c r="U43" s="138">
        <f>SUMIFS(tbl_task7[S16],tbl_task7[[SubPLOs]:[SubPLOs]],"&gt;=10",tbl_task7[[SubPLOs]:[SubPLOs]],"&lt;11")</f>
        <v>0</v>
      </c>
      <c r="V43" s="138">
        <f>SUMIFS(tbl_task7[S17],tbl_task7[[SubPLOs]:[SubPLOs]],"&gt;=10",tbl_task7[[SubPLOs]:[SubPLOs]],"&lt;11")</f>
        <v>0</v>
      </c>
      <c r="W43" s="138">
        <f>SUMIFS(tbl_task7[S18],tbl_task7[[SubPLOs]:[SubPLOs]],"&gt;=10",tbl_task7[[SubPLOs]:[SubPLOs]],"&lt;11")</f>
        <v>0</v>
      </c>
      <c r="X43" s="138">
        <f>SUMIFS(tbl_task7[S19],tbl_task7[[SubPLOs]:[SubPLOs]],"&gt;=10",tbl_task7[[SubPLOs]:[SubPLOs]],"&lt;11")</f>
        <v>0</v>
      </c>
      <c r="Y43" s="138">
        <f>SUMIFS(tbl_task7[S20],tbl_task7[[SubPLOs]:[SubPLOs]],"&gt;=10",tbl_task7[[SubPLOs]:[SubPLOs]],"&lt;11")</f>
        <v>0</v>
      </c>
      <c r="Z43" s="138">
        <f>SUMIFS(tbl_task7[S21],tbl_task7[[SubPLOs]:[SubPLOs]],"&gt;=10",tbl_task7[[SubPLOs]:[SubPLOs]],"&lt;11")</f>
        <v>0</v>
      </c>
      <c r="AA43" s="138">
        <f>SUMIFS(tbl_task7[S22],tbl_task7[[SubPLOs]:[SubPLOs]],"&gt;=10",tbl_task7[[SubPLOs]:[SubPLOs]],"&lt;11")</f>
        <v>0</v>
      </c>
      <c r="AB43" s="138">
        <f>SUMIFS(tbl_task7[S23],tbl_task7[[SubPLOs]:[SubPLOs]],"&gt;=10",tbl_task7[[SubPLOs]:[SubPLOs]],"&lt;11")</f>
        <v>0</v>
      </c>
      <c r="AC43" s="138">
        <f>SUMIFS(tbl_task7[S24],tbl_task7[[SubPLOs]:[SubPLOs]],"&gt;=10",tbl_task7[[SubPLOs]:[SubPLOs]],"&lt;11")</f>
        <v>0</v>
      </c>
      <c r="AD43" s="138">
        <f>SUMIFS(tbl_task7[S25],tbl_task7[[SubPLOs]:[SubPLOs]],"&gt;=10",tbl_task7[[SubPLOs]:[SubPLOs]],"&lt;11")</f>
        <v>0</v>
      </c>
      <c r="AE43" s="138">
        <f>SUMIFS(tbl_task7[S26],tbl_task7[[SubPLOs]:[SubPLOs]],"&gt;=10",tbl_task7[[SubPLOs]:[SubPLOs]],"&lt;11")</f>
        <v>0</v>
      </c>
      <c r="AF43" s="138">
        <f>SUMIFS(tbl_task7[S27],tbl_task7[[SubPLOs]:[SubPLOs]],"&gt;=10",tbl_task7[[SubPLOs]:[SubPLOs]],"&lt;11")</f>
        <v>0</v>
      </c>
      <c r="AG43" s="138">
        <f>SUMIFS(tbl_task7[S28],tbl_task7[[SubPLOs]:[SubPLOs]],"&gt;=10",tbl_task7[[SubPLOs]:[SubPLOs]],"&lt;11")</f>
        <v>0</v>
      </c>
      <c r="AH43" s="138">
        <f>SUMIFS(tbl_task7[S29],tbl_task7[[SubPLOs]:[SubPLOs]],"&gt;=10",tbl_task7[[SubPLOs]:[SubPLOs]],"&lt;11")</f>
        <v>0</v>
      </c>
      <c r="AI43" s="138">
        <f>SUMIFS(tbl_task7[S30],tbl_task7[[SubPLOs]:[SubPLOs]],"&gt;=10",tbl_task7[[SubPLOs]:[SubPLOs]],"&lt;11")</f>
        <v>0</v>
      </c>
      <c r="AJ43" s="138">
        <f>SUMIFS(tbl_task7[S31],tbl_task7[[SubPLOs]:[SubPLOs]],"&gt;=10",tbl_task7[[SubPLOs]:[SubPLOs]],"&lt;11")</f>
        <v>0</v>
      </c>
      <c r="AK43" s="138">
        <f>SUMIFS(tbl_task7[S32],tbl_task7[[SubPLOs]:[SubPLOs]],"&gt;=10",tbl_task7[[SubPLOs]:[SubPLOs]],"&lt;11")</f>
        <v>0</v>
      </c>
      <c r="AL43" s="138">
        <f>SUMIFS(tbl_task7[S33],tbl_task7[[SubPLOs]:[SubPLOs]],"&gt;=10",tbl_task7[[SubPLOs]:[SubPLOs]],"&lt;11")</f>
        <v>0</v>
      </c>
      <c r="AM43" s="138">
        <f>SUMIFS(tbl_task7[S34],tbl_task7[[SubPLOs]:[SubPLOs]],"&gt;=10",tbl_task7[[SubPLOs]:[SubPLOs]],"&lt;11")</f>
        <v>0</v>
      </c>
      <c r="AN43" s="138">
        <f>SUMIFS(tbl_task7[S35],tbl_task7[[SubPLOs]:[SubPLOs]],"&gt;=10",tbl_task7[[SubPLOs]:[SubPLOs]],"&lt;11")</f>
        <v>0</v>
      </c>
      <c r="AO43" s="138">
        <f>SUMIFS(tbl_task7[S36],tbl_task7[[SubPLOs]:[SubPLOs]],"&gt;=10",tbl_task7[[SubPLOs]:[SubPLOs]],"&lt;11")</f>
        <v>0</v>
      </c>
      <c r="AP43" s="138">
        <f>SUMIFS(tbl_task7[S37],tbl_task7[[SubPLOs]:[SubPLOs]],"&gt;=10",tbl_task7[[SubPLOs]:[SubPLOs]],"&lt;11")</f>
        <v>0</v>
      </c>
      <c r="AQ43" s="138">
        <f>SUMIFS(tbl_task7[S38],tbl_task7[[SubPLOs]:[SubPLOs]],"&gt;=10",tbl_task7[[SubPLOs]:[SubPLOs]],"&lt;11")</f>
        <v>0</v>
      </c>
      <c r="AR43" s="138">
        <f>SUMIFS(tbl_task7[S39],tbl_task7[[SubPLOs]:[SubPLOs]],"&gt;=10",tbl_task7[[SubPLOs]:[SubPLOs]],"&lt;11")</f>
        <v>0</v>
      </c>
      <c r="AS43" s="138">
        <f>SUMIFS(tbl_task7[S40],tbl_task7[[SubPLOs]:[SubPLOs]],"&gt;=10",tbl_task7[[SubPLOs]:[SubPLOs]],"&lt;11")</f>
        <v>0</v>
      </c>
      <c r="AT43" s="138">
        <f>SUMIFS(tbl_task7[S41],tbl_task7[[SubPLOs]:[SubPLOs]],"&gt;=10",tbl_task7[[SubPLOs]:[SubPLOs]],"&lt;11")</f>
        <v>0</v>
      </c>
      <c r="AU43" s="138">
        <f>SUMIFS(tbl_task7[S42],tbl_task7[[SubPLOs]:[SubPLOs]],"&gt;=10",tbl_task7[[SubPLOs]:[SubPLOs]],"&lt;11")</f>
        <v>0</v>
      </c>
      <c r="AV43" s="138">
        <f>SUMIFS(tbl_task7[S43],tbl_task7[[SubPLOs]:[SubPLOs]],"&gt;=10",tbl_task7[[SubPLOs]:[SubPLOs]],"&lt;11")</f>
        <v>0</v>
      </c>
      <c r="AW43" s="138">
        <f>SUMIFS(tbl_task7[S44],tbl_task7[[SubPLOs]:[SubPLOs]],"&gt;=10",tbl_task7[[SubPLOs]:[SubPLOs]],"&lt;11")</f>
        <v>0</v>
      </c>
      <c r="AX43" s="138">
        <f>SUMIFS(tbl_task7[S45],tbl_task7[[SubPLOs]:[SubPLOs]],"&gt;=10",tbl_task7[[SubPLOs]:[SubPLOs]],"&lt;11")</f>
        <v>0</v>
      </c>
      <c r="AY43" s="138">
        <f>SUMIFS(tbl_task7[S46],tbl_task7[[SubPLOs]:[SubPLOs]],"&gt;=10",tbl_task7[[SubPLOs]:[SubPLOs]],"&lt;11")</f>
        <v>0</v>
      </c>
      <c r="AZ43" s="138">
        <f>SUMIFS(tbl_task7[S47],tbl_task7[[SubPLOs]:[SubPLOs]],"&gt;=10",tbl_task7[[SubPLOs]:[SubPLOs]],"&lt;11")</f>
        <v>0</v>
      </c>
      <c r="BA43" s="138">
        <f>SUMIFS(tbl_task7[S48],tbl_task7[[SubPLOs]:[SubPLOs]],"&gt;=10",tbl_task7[[SubPLOs]:[SubPLOs]],"&lt;11")</f>
        <v>0</v>
      </c>
      <c r="BB43" s="138">
        <f>SUMIFS(tbl_task7[S49],tbl_task7[[SubPLOs]:[SubPLOs]],"&gt;=10",tbl_task7[[SubPLOs]:[SubPLOs]],"&lt;11")</f>
        <v>0</v>
      </c>
      <c r="BC43" s="138">
        <f>SUMIFS(tbl_task7[S50],tbl_task7[[SubPLOs]:[SubPLOs]],"&gt;=10",tbl_task7[[SubPLOs]:[SubPLOs]],"&lt;11")</f>
        <v>0</v>
      </c>
      <c r="BD43" s="138">
        <f>SUMIFS(tbl_task7[S51],tbl_task7[[SubPLOs]:[SubPLOs]],"&gt;=10",tbl_task7[[SubPLOs]:[SubPLOs]],"&lt;11")</f>
        <v>0</v>
      </c>
      <c r="BE43" s="138">
        <f>SUMIFS(tbl_task7[S52],tbl_task7[[SubPLOs]:[SubPLOs]],"&gt;=10",tbl_task7[[SubPLOs]:[SubPLOs]],"&lt;11")</f>
        <v>0</v>
      </c>
      <c r="BF43" s="138">
        <f>SUMIFS(tbl_task7[S53],tbl_task7[[SubPLOs]:[SubPLOs]],"&gt;=10",tbl_task7[[SubPLOs]:[SubPLOs]],"&lt;11")</f>
        <v>0</v>
      </c>
      <c r="BG43" s="138">
        <f>SUMIFS(tbl_task7[S54],tbl_task7[[SubPLOs]:[SubPLOs]],"&gt;=10",tbl_task7[[SubPLOs]:[SubPLOs]],"&lt;11")</f>
        <v>0</v>
      </c>
      <c r="BH43" s="138">
        <f>SUMIFS(tbl_task7[S55],tbl_task7[[SubPLOs]:[SubPLOs]],"&gt;=10",tbl_task7[[SubPLOs]:[SubPLOs]],"&lt;11")</f>
        <v>0</v>
      </c>
      <c r="BI43" s="138">
        <f>SUMIFS(tbl_task7[S56],tbl_task7[[SubPLOs]:[SubPLOs]],"&gt;=10",tbl_task7[[SubPLOs]:[SubPLOs]],"&lt;11")</f>
        <v>0</v>
      </c>
      <c r="BJ43" s="138">
        <f>SUMIFS(tbl_task7[S57],tbl_task7[[SubPLOs]:[SubPLOs]],"&gt;=10",tbl_task7[[SubPLOs]:[SubPLOs]],"&lt;11")</f>
        <v>0</v>
      </c>
      <c r="BK43" s="138">
        <f>SUMIFS(tbl_task7[S58],tbl_task7[[SubPLOs]:[SubPLOs]],"&gt;=10",tbl_task7[[SubPLOs]:[SubPLOs]],"&lt;11")</f>
        <v>0</v>
      </c>
      <c r="BL43" s="138">
        <f>SUMIFS(tbl_task7[S59],tbl_task7[[SubPLOs]:[SubPLOs]],"&gt;=10",tbl_task7[[SubPLOs]:[SubPLOs]],"&lt;11")</f>
        <v>0</v>
      </c>
      <c r="BM43" s="138">
        <f>SUMIFS(tbl_task7[S60],tbl_task7[[SubPLOs]:[SubPLOs]],"&gt;=10",tbl_task7[[SubPLOs]:[SubPLOs]],"&lt;11")</f>
        <v>0</v>
      </c>
      <c r="BN43" s="138">
        <f>SUMIFS(tbl_task7[S61],tbl_task7[[SubPLOs]:[SubPLOs]],"&gt;=10",tbl_task7[[SubPLOs]:[SubPLOs]],"&lt;11")</f>
        <v>0</v>
      </c>
      <c r="BO43" s="138">
        <f>SUMIFS(tbl_task7[S62],tbl_task7[[SubPLOs]:[SubPLOs]],"&gt;=10",tbl_task7[[SubPLOs]:[SubPLOs]],"&lt;11")</f>
        <v>0</v>
      </c>
      <c r="BP43" s="138">
        <f>SUMIFS(tbl_task7[S63],tbl_task7[[SubPLOs]:[SubPLOs]],"&gt;=10",tbl_task7[[SubPLOs]:[SubPLOs]],"&lt;11")</f>
        <v>0</v>
      </c>
      <c r="BQ43" s="138">
        <f>SUMIFS(tbl_task7[S64],tbl_task7[[SubPLOs]:[SubPLOs]],"&gt;=10",tbl_task7[[SubPLOs]:[SubPLOs]],"&lt;11")</f>
        <v>0</v>
      </c>
      <c r="BR43" s="138">
        <f>SUMIFS(tbl_task7[S65],tbl_task7[[SubPLOs]:[SubPLOs]],"&gt;=10",tbl_task7[[SubPLOs]:[SubPLOs]],"&lt;11")</f>
        <v>0</v>
      </c>
      <c r="BS43" s="138">
        <f>SUMIFS(tbl_task7[S66],tbl_task7[[SubPLOs]:[SubPLOs]],"&gt;=10",tbl_task7[[SubPLOs]:[SubPLOs]],"&lt;11")</f>
        <v>0</v>
      </c>
      <c r="BT43" s="138">
        <f>SUMIFS(tbl_task7[S67],tbl_task7[[SubPLOs]:[SubPLOs]],"&gt;=10",tbl_task7[[SubPLOs]:[SubPLOs]],"&lt;11")</f>
        <v>0</v>
      </c>
      <c r="BU43" s="138">
        <f>SUMIFS(tbl_task7[S68],tbl_task7[[SubPLOs]:[SubPLOs]],"&gt;=10",tbl_task7[[SubPLOs]:[SubPLOs]],"&lt;11")</f>
        <v>0</v>
      </c>
      <c r="BV43" s="138">
        <f>SUMIFS(tbl_task7[S69],tbl_task7[[SubPLOs]:[SubPLOs]],"&gt;=10",tbl_task7[[SubPLOs]:[SubPLOs]],"&lt;11")</f>
        <v>0</v>
      </c>
      <c r="BW43" s="138">
        <f>SUMIFS(tbl_task7[S70],tbl_task7[[SubPLOs]:[SubPLOs]],"&gt;=10",tbl_task7[[SubPLOs]:[SubPLOs]],"&lt;11")</f>
        <v>0</v>
      </c>
      <c r="BX43" s="138">
        <f>SUMIFS(tbl_task7[S71],tbl_task7[[SubPLOs]:[SubPLOs]],"&gt;=10",tbl_task7[[SubPLOs]:[SubPLOs]],"&lt;11")</f>
        <v>0</v>
      </c>
      <c r="BY43" s="138">
        <f>SUMIFS(tbl_task7[S72],tbl_task7[[SubPLOs]:[SubPLOs]],"&gt;=10",tbl_task7[[SubPLOs]:[SubPLOs]],"&lt;11")</f>
        <v>0</v>
      </c>
      <c r="BZ43" s="138">
        <f>SUMIFS(tbl_task7[S73],tbl_task7[[SubPLOs]:[SubPLOs]],"&gt;=10",tbl_task7[[SubPLOs]:[SubPLOs]],"&lt;11")</f>
        <v>0</v>
      </c>
      <c r="CA43" s="138">
        <f>SUMIFS(tbl_task7[S74],tbl_task7[[SubPLOs]:[SubPLOs]],"&gt;=10",tbl_task7[[SubPLOs]:[SubPLOs]],"&lt;11")</f>
        <v>0</v>
      </c>
      <c r="CB43" s="138">
        <f>SUMIFS(tbl_task7[S75],tbl_task7[[SubPLOs]:[SubPLOs]],"&gt;=10",tbl_task7[[SubPLOs]:[SubPLOs]],"&lt;11")</f>
        <v>0</v>
      </c>
      <c r="CC43" s="138">
        <f>SUMIFS(tbl_task7[S76],tbl_task7[[SubPLOs]:[SubPLOs]],"&gt;=10",tbl_task7[[SubPLOs]:[SubPLOs]],"&lt;11")</f>
        <v>0</v>
      </c>
      <c r="CD43" s="138">
        <f>SUMIFS(tbl_task7[S77],tbl_task7[[SubPLOs]:[SubPLOs]],"&gt;=10",tbl_task7[[SubPLOs]:[SubPLOs]],"&lt;11")</f>
        <v>0</v>
      </c>
      <c r="CE43" s="138">
        <f>SUMIFS(tbl_task7[S78],tbl_task7[[SubPLOs]:[SubPLOs]],"&gt;=10",tbl_task7[[SubPLOs]:[SubPLOs]],"&lt;11")</f>
        <v>0</v>
      </c>
      <c r="CF43" s="138">
        <f>SUMIFS(tbl_task7[S79],tbl_task7[[SubPLOs]:[SubPLOs]],"&gt;=10",tbl_task7[[SubPLOs]:[SubPLOs]],"&lt;11")</f>
        <v>0</v>
      </c>
      <c r="CG43" s="138">
        <f>SUMIFS(tbl_task7[S80],tbl_task7[[SubPLOs]:[SubPLOs]],"&gt;=10",tbl_task7[[SubPLOs]:[SubPLOs]],"&lt;11")</f>
        <v>0</v>
      </c>
      <c r="CH43" s="138">
        <f>SUMIFS(tbl_task7[S81],tbl_task7[[SubPLOs]:[SubPLOs]],"&gt;=10",tbl_task7[[SubPLOs]:[SubPLOs]],"&lt;11")</f>
        <v>0</v>
      </c>
      <c r="CI43" s="138">
        <f>SUMIFS(tbl_task7[S82],tbl_task7[[SubPLOs]:[SubPLOs]],"&gt;=10",tbl_task7[[SubPLOs]:[SubPLOs]],"&lt;11")</f>
        <v>0</v>
      </c>
      <c r="CJ43" s="138">
        <f>SUMIFS(tbl_task7[S83],tbl_task7[[SubPLOs]:[SubPLOs]],"&gt;=10",tbl_task7[[SubPLOs]:[SubPLOs]],"&lt;11")</f>
        <v>0</v>
      </c>
      <c r="CK43" s="138">
        <f>SUMIFS(tbl_task7[S84],tbl_task7[[SubPLOs]:[SubPLOs]],"&gt;=10",tbl_task7[[SubPLOs]:[SubPLOs]],"&lt;11")</f>
        <v>0</v>
      </c>
      <c r="CL43" s="138">
        <f>SUMIFS(tbl_task7[S85],tbl_task7[[SubPLOs]:[SubPLOs]],"&gt;=10",tbl_task7[[SubPLOs]:[SubPLOs]],"&lt;11")</f>
        <v>0</v>
      </c>
      <c r="CM43" s="138">
        <f>SUMIFS(tbl_task7[S86],tbl_task7[[SubPLOs]:[SubPLOs]],"&gt;=10",tbl_task7[[SubPLOs]:[SubPLOs]],"&lt;11")</f>
        <v>0</v>
      </c>
      <c r="CN43" s="138">
        <f>SUMIFS(tbl_task7[S87],tbl_task7[[SubPLOs]:[SubPLOs]],"&gt;=10",tbl_task7[[SubPLOs]:[SubPLOs]],"&lt;11")</f>
        <v>0</v>
      </c>
      <c r="CO43" s="138">
        <f>SUMIFS(tbl_task7[S88],tbl_task7[[SubPLOs]:[SubPLOs]],"&gt;=10",tbl_task7[[SubPLOs]:[SubPLOs]],"&lt;11")</f>
        <v>0</v>
      </c>
      <c r="CP43" s="138">
        <f>SUMIFS(tbl_task7[S89],tbl_task7[[SubPLOs]:[SubPLOs]],"&gt;=10",tbl_task7[[SubPLOs]:[SubPLOs]],"&lt;11")</f>
        <v>0</v>
      </c>
      <c r="CQ43" s="138">
        <f>SUMIFS(tbl_task7[S90],tbl_task7[[SubPLOs]:[SubPLOs]],"&gt;=10",tbl_task7[[SubPLOs]:[SubPLOs]],"&lt;11")</f>
        <v>0</v>
      </c>
      <c r="CR43" s="138">
        <f>SUMIFS(tbl_task7[S91],tbl_task7[[SubPLOs]:[SubPLOs]],"&gt;=10",tbl_task7[[SubPLOs]:[SubPLOs]],"&lt;11")</f>
        <v>0</v>
      </c>
      <c r="CS43" s="138">
        <f>SUMIFS(tbl_task7[S92],tbl_task7[[SubPLOs]:[SubPLOs]],"&gt;=10",tbl_task7[[SubPLOs]:[SubPLOs]],"&lt;11")</f>
        <v>0</v>
      </c>
      <c r="CT43" s="138">
        <f>SUMIFS(tbl_task7[S93],tbl_task7[[SubPLOs]:[SubPLOs]],"&gt;=10",tbl_task7[[SubPLOs]:[SubPLOs]],"&lt;11")</f>
        <v>0</v>
      </c>
      <c r="CU43" s="138">
        <f>SUMIFS(tbl_task7[S94],tbl_task7[[SubPLOs]:[SubPLOs]],"&gt;=10",tbl_task7[[SubPLOs]:[SubPLOs]],"&lt;11")</f>
        <v>0</v>
      </c>
      <c r="CV43" s="138">
        <f>SUMIFS(tbl_task7[S95],tbl_task7[[SubPLOs]:[SubPLOs]],"&gt;=10",tbl_task7[[SubPLOs]:[SubPLOs]],"&lt;11")</f>
        <v>0</v>
      </c>
      <c r="CW43" s="138">
        <f>SUMIFS(tbl_task7[S96],tbl_task7[[SubPLOs]:[SubPLOs]],"&gt;=10",tbl_task7[[SubPLOs]:[SubPLOs]],"&lt;11")</f>
        <v>0</v>
      </c>
      <c r="CX43" s="138">
        <f>SUMIFS(tbl_task7[S97],tbl_task7[[SubPLOs]:[SubPLOs]],"&gt;=10",tbl_task7[[SubPLOs]:[SubPLOs]],"&lt;11")</f>
        <v>0</v>
      </c>
      <c r="CY43" s="138">
        <f>SUMIFS(tbl_task7[S98],tbl_task7[[SubPLOs]:[SubPLOs]],"&gt;=10",tbl_task7[[SubPLOs]:[SubPLOs]],"&lt;11")</f>
        <v>0</v>
      </c>
      <c r="CZ43" s="138">
        <f>SUMIFS(tbl_task7[S99],tbl_task7[[SubPLOs]:[SubPLOs]],"&gt;=10",tbl_task7[[SubPLOs]:[SubPLOs]],"&lt;11")</f>
        <v>0</v>
      </c>
      <c r="DA43" s="138">
        <f>SUMIFS(tbl_task7[S100],tbl_task7[[SubPLOs]:[SubPLOs]],"&gt;=10",tbl_task7[[SubPLOs]:[SubPLOs]],"&lt;11")</f>
        <v>0</v>
      </c>
      <c r="DB43" s="138">
        <f>SUMIFS(tbl_task7[S101],tbl_task7[[SubPLOs]:[SubPLOs]],"&gt;=10",tbl_task7[[SubPLOs]:[SubPLOs]],"&lt;11")</f>
        <v>0</v>
      </c>
      <c r="DC43" s="138">
        <f>SUMIFS(tbl_task7[S102],tbl_task7[[SubPLOs]:[SubPLOs]],"&gt;=10",tbl_task7[[SubPLOs]:[SubPLOs]],"&lt;11")</f>
        <v>0</v>
      </c>
      <c r="DD43" s="138">
        <f>SUMIFS(tbl_task7[S103],tbl_task7[[SubPLOs]:[SubPLOs]],"&gt;=10",tbl_task7[[SubPLOs]:[SubPLOs]],"&lt;11")</f>
        <v>0</v>
      </c>
      <c r="DE43" s="138">
        <f>SUMIFS(tbl_task7[S104],tbl_task7[[SubPLOs]:[SubPLOs]],"&gt;=10",tbl_task7[[SubPLOs]:[SubPLOs]],"&lt;11")</f>
        <v>0</v>
      </c>
      <c r="DF43" s="138">
        <f>SUMIFS(tbl_task7[S105],tbl_task7[[SubPLOs]:[SubPLOs]],"&gt;=10",tbl_task7[[SubPLOs]:[SubPLOs]],"&lt;11")</f>
        <v>0</v>
      </c>
      <c r="DG43" s="138">
        <f>SUMIFS(tbl_task7[S106],tbl_task7[[SubPLOs]:[SubPLOs]],"&gt;=10",tbl_task7[[SubPLOs]:[SubPLOs]],"&lt;11")</f>
        <v>0</v>
      </c>
      <c r="DH43" s="138">
        <f>SUMIFS(tbl_task7[S106],tbl_task7[[SubPLOs]:[SubPLOs]],"&gt;=10",tbl_task7[[SubPLOs]:[SubPLOs]],"&lt;11")</f>
        <v>0</v>
      </c>
      <c r="DI43" s="138">
        <f>SUMIFS(tbl_task7[S108],tbl_task7[[SubPLOs]:[SubPLOs]],"&gt;=10",tbl_task7[[SubPLOs]:[SubPLOs]],"&lt;11")</f>
        <v>0</v>
      </c>
      <c r="DJ43" s="138">
        <f>SUMIFS(tbl_task7[S109],tbl_task7[[SubPLOs]:[SubPLOs]],"&gt;=10",tbl_task7[[SubPLOs]:[SubPLOs]],"&lt;11")</f>
        <v>0</v>
      </c>
      <c r="DK43" s="138">
        <f>SUMIFS(tbl_task7[S110],tbl_task7[[SubPLOs]:[SubPLOs]],"&gt;=10",tbl_task7[[SubPLOs]:[SubPLOs]],"&lt;11")</f>
        <v>0</v>
      </c>
      <c r="DL43" s="138">
        <f>SUMIFS(tbl_task7[S111],tbl_task7[[SubPLOs]:[SubPLOs]],"&gt;=10",tbl_task7[[SubPLOs]:[SubPLOs]],"&lt;11")</f>
        <v>0</v>
      </c>
      <c r="DM43" s="138">
        <f>SUMIFS(tbl_task7[S112],tbl_task7[[SubPLOs]:[SubPLOs]],"&gt;=10",tbl_task7[[SubPLOs]:[SubPLOs]],"&lt;11")</f>
        <v>0</v>
      </c>
      <c r="DN43" s="138">
        <f>SUMIFS(tbl_task7[S113],tbl_task7[[SubPLOs]:[SubPLOs]],"&gt;=10",tbl_task7[[SubPLOs]:[SubPLOs]],"&lt;11")</f>
        <v>0</v>
      </c>
      <c r="DO43" s="138">
        <f>SUMIFS(tbl_task7[S114],tbl_task7[[SubPLOs]:[SubPLOs]],"&gt;=10",tbl_task7[[SubPLOs]:[SubPLOs]],"&lt;11")</f>
        <v>0</v>
      </c>
      <c r="DP43" s="138">
        <f>SUMIFS(tbl_task7[S115],tbl_task7[[SubPLOs]:[SubPLOs]],"&gt;=10",tbl_task7[[SubPLOs]:[SubPLOs]],"&lt;11")</f>
        <v>0</v>
      </c>
      <c r="DQ43" s="138">
        <f>SUMIFS(tbl_task7[S116],tbl_task7[[SubPLOs]:[SubPLOs]],"&gt;=10",tbl_task7[[SubPLOs]:[SubPLOs]],"&lt;11")</f>
        <v>0</v>
      </c>
      <c r="DR43" s="138">
        <f>SUMIFS(tbl_task7[S117],tbl_task7[[SubPLOs]:[SubPLOs]],"&gt;=10",tbl_task7[[SubPLOs]:[SubPLOs]],"&lt;11")</f>
        <v>0</v>
      </c>
      <c r="DS43" s="138">
        <f>SUMIFS(tbl_task7[S118],tbl_task7[[SubPLOs]:[SubPLOs]],"&gt;=10",tbl_task7[[SubPLOs]:[SubPLOs]],"&lt;11")</f>
        <v>0</v>
      </c>
      <c r="DT43" s="138">
        <f>SUMIFS(tbl_task7[S119],tbl_task7[[SubPLOs]:[SubPLOs]],"&gt;=10",tbl_task7[[SubPLOs]:[SubPLOs]],"&lt;11")</f>
        <v>0</v>
      </c>
      <c r="DU43" s="138">
        <f>SUMIFS(tbl_task7[S120],tbl_task7[[SubPLOs]:[SubPLOs]],"&gt;=10",tbl_task7[[SubPLOs]:[SubPLOs]],"&lt;11")</f>
        <v>0</v>
      </c>
      <c r="DV43" s="138">
        <f>SUMIFS(tbl_task7[S121],tbl_task7[[SubPLOs]:[SubPLOs]],"&gt;=10",tbl_task7[[SubPLOs]:[SubPLOs]],"&lt;11")</f>
        <v>0</v>
      </c>
      <c r="DW43" s="138">
        <f>SUMIFS(tbl_task7[S122],tbl_task7[[SubPLOs]:[SubPLOs]],"&gt;=10",tbl_task7[[SubPLOs]:[SubPLOs]],"&lt;11")</f>
        <v>0</v>
      </c>
      <c r="DX43" s="138">
        <f>SUMIFS(tbl_task7[S123],tbl_task7[[SubPLOs]:[SubPLOs]],"&gt;=10",tbl_task7[[SubPLOs]:[SubPLOs]],"&lt;11")</f>
        <v>0</v>
      </c>
      <c r="DY43" s="138">
        <f>SUMIFS(tbl_task7[S124],tbl_task7[[SubPLOs]:[SubPLOs]],"&gt;=10",tbl_task7[[SubPLOs]:[SubPLOs]],"&lt;11")</f>
        <v>0</v>
      </c>
      <c r="DZ43" s="138">
        <f>SUMIFS(tbl_task7[S125],tbl_task7[[SubPLOs]:[SubPLOs]],"&gt;=10",tbl_task7[[SubPLOs]:[SubPLOs]],"&lt;11")</f>
        <v>0</v>
      </c>
      <c r="EA43" s="138">
        <f>SUMIFS(tbl_task7[S126],tbl_task7[[SubPLOs]:[SubPLOs]],"&gt;=10",tbl_task7[[SubPLOs]:[SubPLOs]],"&lt;11")</f>
        <v>0</v>
      </c>
      <c r="EB43" s="138">
        <f>SUMIFS(tbl_task7[S127],tbl_task7[[SubPLOs]:[SubPLOs]],"&gt;=10",tbl_task7[[SubPLOs]:[SubPLOs]],"&lt;11")</f>
        <v>0</v>
      </c>
      <c r="EC43" s="138">
        <f>SUMIFS(tbl_task7[S128],tbl_task7[[SubPLOs]:[SubPLOs]],"&gt;=10",tbl_task7[[SubPLOs]:[SubPLOs]],"&lt;11")</f>
        <v>0</v>
      </c>
      <c r="ED43" s="138">
        <f>SUMIFS(tbl_task7[S129],tbl_task7[[SubPLOs]:[SubPLOs]],"&gt;=10",tbl_task7[[SubPLOs]:[SubPLOs]],"&lt;11")</f>
        <v>0</v>
      </c>
      <c r="EE43" s="138">
        <f>SUMIFS(tbl_task7[S130],tbl_task7[[SubPLOs]:[SubPLOs]],"&gt;=10",tbl_task7[[SubPLOs]:[SubPLOs]],"&lt;11")</f>
        <v>0</v>
      </c>
      <c r="EF43" s="138">
        <f>SUMIFS(tbl_task7[S131],tbl_task7[[SubPLOs]:[SubPLOs]],"&gt;=10",tbl_task7[[SubPLOs]:[SubPLOs]],"&lt;11")</f>
        <v>0</v>
      </c>
      <c r="EG43" s="138">
        <f>SUMIFS(tbl_task7[S132],tbl_task7[[SubPLOs]:[SubPLOs]],"&gt;=10",tbl_task7[[SubPLOs]:[SubPLOs]],"&lt;11")</f>
        <v>0</v>
      </c>
      <c r="EH43" s="138">
        <f>SUMIFS(tbl_task7[S133],tbl_task7[[SubPLOs]:[SubPLOs]],"&gt;=10",tbl_task7[[SubPLOs]:[SubPLOs]],"&lt;11")</f>
        <v>0</v>
      </c>
      <c r="EI43" s="138">
        <f>SUMIFS(tbl_task7[S134],tbl_task7[[SubPLOs]:[SubPLOs]],"&gt;=10",tbl_task7[[SubPLOs]:[SubPLOs]],"&lt;11")</f>
        <v>0</v>
      </c>
      <c r="EJ43" s="138">
        <f>SUMIFS(tbl_task7[S135],tbl_task7[[SubPLOs]:[SubPLOs]],"&gt;=10",tbl_task7[[SubPLOs]:[SubPLOs]],"&lt;11")</f>
        <v>0</v>
      </c>
      <c r="EK43" s="138">
        <f>SUMIFS(tbl_task7[S136],tbl_task7[[SubPLOs]:[SubPLOs]],"&gt;=10",tbl_task7[[SubPLOs]:[SubPLOs]],"&lt;11")</f>
        <v>0</v>
      </c>
      <c r="EL43" s="138">
        <f>SUMIFS(tbl_task7[S137],tbl_task7[[SubPLOs]:[SubPLOs]],"&gt;=10",tbl_task7[[SubPLOs]:[SubPLOs]],"&lt;11")</f>
        <v>0</v>
      </c>
      <c r="EM43" s="138">
        <f>SUMIFS(tbl_task7[S138],tbl_task7[[SubPLOs]:[SubPLOs]],"&gt;=10",tbl_task7[[SubPLOs]:[SubPLOs]],"&lt;11")</f>
        <v>0</v>
      </c>
      <c r="EN43" s="138">
        <f>SUMIFS(tbl_task7[S139],tbl_task7[[SubPLOs]:[SubPLOs]],"&gt;=10",tbl_task7[[SubPLOs]:[SubPLOs]],"&lt;11")</f>
        <v>0</v>
      </c>
      <c r="EO43" s="138">
        <f>SUMIFS(tbl_task7[S140],tbl_task7[[SubPLOs]:[SubPLOs]],"&gt;=10",tbl_task7[[SubPLOs]:[SubPLOs]],"&lt;11")</f>
        <v>0</v>
      </c>
      <c r="EP43" s="138">
        <f>SUMIFS(tbl_task7[S141],tbl_task7[[SubPLOs]:[SubPLOs]],"&gt;=10",tbl_task7[[SubPLOs]:[SubPLOs]],"&lt;11")</f>
        <v>0</v>
      </c>
      <c r="EQ43" s="138">
        <f>SUMIFS(tbl_task7[S142],tbl_task7[[SubPLOs]:[SubPLOs]],"&gt;=10",tbl_task7[[SubPLOs]:[SubPLOs]],"&lt;11")</f>
        <v>0</v>
      </c>
      <c r="ER43" s="138">
        <f>SUMIFS(tbl_task7[S143],tbl_task7[[SubPLOs]:[SubPLOs]],"&gt;=10",tbl_task7[[SubPLOs]:[SubPLOs]],"&lt;11")</f>
        <v>0</v>
      </c>
      <c r="ES43" s="138">
        <f>SUMIFS(tbl_task7[S144],tbl_task7[[SubPLOs]:[SubPLOs]],"&gt;=10",tbl_task7[[SubPLOs]:[SubPLOs]],"&lt;11")</f>
        <v>0</v>
      </c>
      <c r="ET43" s="138">
        <f>SUMIFS(tbl_task7[S145],tbl_task7[[SubPLOs]:[SubPLOs]],"&gt;=10",tbl_task7[[SubPLOs]:[SubPLOs]],"&lt;11")</f>
        <v>0</v>
      </c>
      <c r="EU43" s="138">
        <f>SUMIFS(tbl_task7[S146],tbl_task7[[SubPLOs]:[SubPLOs]],"&gt;=10",tbl_task7[[SubPLOs]:[SubPLOs]],"&lt;11")</f>
        <v>0</v>
      </c>
      <c r="EV43" s="138">
        <f>SUMIFS(tbl_task7[S147],tbl_task7[[SubPLOs]:[SubPLOs]],"&gt;=10",tbl_task7[[SubPLOs]:[SubPLOs]],"&lt;11")</f>
        <v>0</v>
      </c>
      <c r="EW43" s="138">
        <f>SUMIFS(tbl_task7[S148],tbl_task7[[SubPLOs]:[SubPLOs]],"&gt;=10",tbl_task7[[SubPLOs]:[SubPLOs]],"&lt;11")</f>
        <v>0</v>
      </c>
      <c r="EX43" s="138">
        <f>SUMIFS(tbl_task7[S149],tbl_task7[[SubPLOs]:[SubPLOs]],"&gt;=10",tbl_task7[[SubPLOs]:[SubPLOs]],"&lt;11")</f>
        <v>0</v>
      </c>
      <c r="EY43" s="138">
        <f>SUMIFS(tbl_task7[S150],tbl_task7[[SubPLOs]:[SubPLOs]],"&gt;=10",tbl_task7[[SubPLOs]:[SubPLOs]],"&lt;11")</f>
        <v>0</v>
      </c>
      <c r="EZ43" s="138">
        <f>SUMIFS(tbl_task7[S151],tbl_task7[[SubPLOs]:[SubPLOs]],"&gt;=10",tbl_task7[[SubPLOs]:[SubPLOs]],"&lt;11")</f>
        <v>0</v>
      </c>
      <c r="FA43" s="138">
        <f>SUMIFS(tbl_task7[S152],tbl_task7[[SubPLOs]:[SubPLOs]],"&gt;=10",tbl_task7[[SubPLOs]:[SubPLOs]],"&lt;11")</f>
        <v>0</v>
      </c>
      <c r="FB43" s="138">
        <f>SUMIFS(tbl_task7[S153],tbl_task7[[SubPLOs]:[SubPLOs]],"&gt;=10",tbl_task7[[SubPLOs]:[SubPLOs]],"&lt;11")</f>
        <v>0</v>
      </c>
      <c r="FC43" s="138">
        <f>SUMIFS(tbl_task7[S154],tbl_task7[[SubPLOs]:[SubPLOs]],"&gt;=10",tbl_task7[[SubPLOs]:[SubPLOs]],"&lt;11")</f>
        <v>0</v>
      </c>
      <c r="FD43" s="138">
        <f>SUMIFS(tbl_task7[S155],tbl_task7[[SubPLOs]:[SubPLOs]],"&gt;=10",tbl_task7[[SubPLOs]:[SubPLOs]],"&lt;11")</f>
        <v>0</v>
      </c>
      <c r="FE43" s="138">
        <f>SUMIFS(tbl_task7[S156],tbl_task7[[SubPLOs]:[SubPLOs]],"&gt;=10",tbl_task7[[SubPLOs]:[SubPLOs]],"&lt;11")</f>
        <v>0</v>
      </c>
      <c r="FF43" s="138">
        <f>SUMIFS(tbl_task7[S157],tbl_task7[[SubPLOs]:[SubPLOs]],"&gt;=10",tbl_task7[[SubPLOs]:[SubPLOs]],"&lt;11")</f>
        <v>0</v>
      </c>
      <c r="FG43" s="138">
        <f>SUMIFS(tbl_task7[S158],tbl_task7[[SubPLOs]:[SubPLOs]],"&gt;=10",tbl_task7[[SubPLOs]:[SubPLOs]],"&lt;11")</f>
        <v>0</v>
      </c>
      <c r="FH43" s="138">
        <f>SUMIFS(tbl_task7[S159],tbl_task7[[SubPLOs]:[SubPLOs]],"&gt;=10",tbl_task7[[SubPLOs]:[SubPLOs]],"&lt;11")</f>
        <v>0</v>
      </c>
      <c r="FI43" s="138">
        <f>SUMIFS(tbl_task7[S160],tbl_task7[[SubPLOs]:[SubPLOs]],"&gt;=10",tbl_task7[[SubPLOs]:[SubPLOs]],"&lt;11")</f>
        <v>0</v>
      </c>
      <c r="FJ43" s="138">
        <f>SUMIFS(tbl_task7[S161],tbl_task7[[SubPLOs]:[SubPLOs]],"&gt;=10",tbl_task7[[SubPLOs]:[SubPLOs]],"&lt;11")</f>
        <v>0</v>
      </c>
      <c r="FK43" s="138">
        <f>SUMIFS(tbl_task7[S162],tbl_task7[[SubPLOs]:[SubPLOs]],"&gt;=10",tbl_task7[[SubPLOs]:[SubPLOs]],"&lt;11")</f>
        <v>0</v>
      </c>
      <c r="FL43" s="138">
        <f>SUMIFS(tbl_task7[S163],tbl_task7[[SubPLOs]:[SubPLOs]],"&gt;=10",tbl_task7[[SubPLOs]:[SubPLOs]],"&lt;11")</f>
        <v>0</v>
      </c>
      <c r="FM43" s="138">
        <f>SUMIFS(tbl_task7[S164],tbl_task7[[SubPLOs]:[SubPLOs]],"&gt;=10",tbl_task7[[SubPLOs]:[SubPLOs]],"&lt;11")</f>
        <v>0</v>
      </c>
      <c r="FN43" s="138">
        <f>SUMIFS(tbl_task7[S165],tbl_task7[[SubPLOs]:[SubPLOs]],"&gt;=10",tbl_task7[[SubPLOs]:[SubPLOs]],"&lt;11")</f>
        <v>0</v>
      </c>
    </row>
    <row r="44" spans="1:170" s="34" customFormat="1" x14ac:dyDescent="0.25">
      <c r="A44" s="125"/>
      <c r="B44" s="126" t="s">
        <v>11</v>
      </c>
      <c r="C44" s="127">
        <f>SUM(C34:C43)</f>
        <v>0</v>
      </c>
      <c r="D44" s="128">
        <f>SUM(D34:D43)</f>
        <v>0</v>
      </c>
      <c r="E44" s="128">
        <f>SUM(E34:E43)</f>
        <v>0</v>
      </c>
      <c r="F44" s="128">
        <f t="shared" ref="F44:BQ44" si="0">SUM(F34:F43)</f>
        <v>0</v>
      </c>
      <c r="G44" s="128">
        <f t="shared" si="0"/>
        <v>0</v>
      </c>
      <c r="H44" s="128">
        <f t="shared" si="0"/>
        <v>0</v>
      </c>
      <c r="I44" s="128">
        <f t="shared" si="0"/>
        <v>0</v>
      </c>
      <c r="J44" s="128">
        <f t="shared" si="0"/>
        <v>0</v>
      </c>
      <c r="K44" s="128">
        <f t="shared" si="0"/>
        <v>0</v>
      </c>
      <c r="L44" s="128">
        <f t="shared" si="0"/>
        <v>0</v>
      </c>
      <c r="M44" s="128">
        <f t="shared" si="0"/>
        <v>0</v>
      </c>
      <c r="N44" s="128">
        <f t="shared" si="0"/>
        <v>0</v>
      </c>
      <c r="O44" s="128">
        <f t="shared" si="0"/>
        <v>0</v>
      </c>
      <c r="P44" s="128">
        <f t="shared" si="0"/>
        <v>0</v>
      </c>
      <c r="Q44" s="128">
        <f t="shared" si="0"/>
        <v>0</v>
      </c>
      <c r="R44" s="128">
        <f t="shared" si="0"/>
        <v>0</v>
      </c>
      <c r="S44" s="128">
        <f t="shared" si="0"/>
        <v>0</v>
      </c>
      <c r="T44" s="128">
        <f t="shared" si="0"/>
        <v>0</v>
      </c>
      <c r="U44" s="128">
        <f t="shared" si="0"/>
        <v>0</v>
      </c>
      <c r="V44" s="128">
        <f t="shared" si="0"/>
        <v>0</v>
      </c>
      <c r="W44" s="128">
        <f t="shared" si="0"/>
        <v>0</v>
      </c>
      <c r="X44" s="128">
        <f t="shared" si="0"/>
        <v>0</v>
      </c>
      <c r="Y44" s="128">
        <f t="shared" si="0"/>
        <v>0</v>
      </c>
      <c r="Z44" s="128">
        <f t="shared" si="0"/>
        <v>0</v>
      </c>
      <c r="AA44" s="128">
        <f t="shared" si="0"/>
        <v>0</v>
      </c>
      <c r="AB44" s="128">
        <f t="shared" si="0"/>
        <v>0</v>
      </c>
      <c r="AC44" s="128">
        <f t="shared" si="0"/>
        <v>0</v>
      </c>
      <c r="AD44" s="128">
        <f t="shared" si="0"/>
        <v>0</v>
      </c>
      <c r="AE44" s="128">
        <f t="shared" si="0"/>
        <v>0</v>
      </c>
      <c r="AF44" s="128">
        <f t="shared" si="0"/>
        <v>0</v>
      </c>
      <c r="AG44" s="128">
        <f t="shared" si="0"/>
        <v>0</v>
      </c>
      <c r="AH44" s="128">
        <f t="shared" si="0"/>
        <v>0</v>
      </c>
      <c r="AI44" s="128">
        <f t="shared" si="0"/>
        <v>0</v>
      </c>
      <c r="AJ44" s="128">
        <f t="shared" si="0"/>
        <v>0</v>
      </c>
      <c r="AK44" s="128">
        <f t="shared" si="0"/>
        <v>0</v>
      </c>
      <c r="AL44" s="128">
        <f t="shared" si="0"/>
        <v>0</v>
      </c>
      <c r="AM44" s="128">
        <f t="shared" si="0"/>
        <v>0</v>
      </c>
      <c r="AN44" s="128">
        <f t="shared" si="0"/>
        <v>0</v>
      </c>
      <c r="AO44" s="128">
        <f t="shared" si="0"/>
        <v>0</v>
      </c>
      <c r="AP44" s="128">
        <f t="shared" si="0"/>
        <v>0</v>
      </c>
      <c r="AQ44" s="128">
        <f t="shared" si="0"/>
        <v>0</v>
      </c>
      <c r="AR44" s="128">
        <f t="shared" si="0"/>
        <v>0</v>
      </c>
      <c r="AS44" s="128">
        <f t="shared" si="0"/>
        <v>0</v>
      </c>
      <c r="AT44" s="128">
        <f t="shared" si="0"/>
        <v>0</v>
      </c>
      <c r="AU44" s="128">
        <f t="shared" si="0"/>
        <v>0</v>
      </c>
      <c r="AV44" s="128">
        <f t="shared" si="0"/>
        <v>0</v>
      </c>
      <c r="AW44" s="128">
        <f t="shared" si="0"/>
        <v>0</v>
      </c>
      <c r="AX44" s="128">
        <f t="shared" si="0"/>
        <v>0</v>
      </c>
      <c r="AY44" s="128">
        <f t="shared" si="0"/>
        <v>0</v>
      </c>
      <c r="AZ44" s="128">
        <f t="shared" si="0"/>
        <v>0</v>
      </c>
      <c r="BA44" s="128">
        <f t="shared" si="0"/>
        <v>0</v>
      </c>
      <c r="BB44" s="128">
        <f t="shared" si="0"/>
        <v>0</v>
      </c>
      <c r="BC44" s="128">
        <f t="shared" si="0"/>
        <v>0</v>
      </c>
      <c r="BD44" s="128">
        <f t="shared" si="0"/>
        <v>0</v>
      </c>
      <c r="BE44" s="128">
        <f t="shared" si="0"/>
        <v>0</v>
      </c>
      <c r="BF44" s="128">
        <f t="shared" si="0"/>
        <v>0</v>
      </c>
      <c r="BG44" s="128">
        <f t="shared" si="0"/>
        <v>0</v>
      </c>
      <c r="BH44" s="128">
        <f t="shared" si="0"/>
        <v>0</v>
      </c>
      <c r="BI44" s="128">
        <f t="shared" si="0"/>
        <v>0</v>
      </c>
      <c r="BJ44" s="128">
        <f t="shared" si="0"/>
        <v>0</v>
      </c>
      <c r="BK44" s="128">
        <f t="shared" si="0"/>
        <v>0</v>
      </c>
      <c r="BL44" s="128">
        <f t="shared" si="0"/>
        <v>0</v>
      </c>
      <c r="BM44" s="128">
        <f t="shared" si="0"/>
        <v>0</v>
      </c>
      <c r="BN44" s="128">
        <f t="shared" si="0"/>
        <v>0</v>
      </c>
      <c r="BO44" s="128">
        <f t="shared" si="0"/>
        <v>0</v>
      </c>
      <c r="BP44" s="128">
        <f t="shared" si="0"/>
        <v>0</v>
      </c>
      <c r="BQ44" s="128">
        <f t="shared" si="0"/>
        <v>0</v>
      </c>
      <c r="BR44" s="128">
        <f t="shared" ref="BR44:EC44" si="1">SUM(BR34:BR43)</f>
        <v>0</v>
      </c>
      <c r="BS44" s="128">
        <f t="shared" si="1"/>
        <v>0</v>
      </c>
      <c r="BT44" s="128">
        <f t="shared" si="1"/>
        <v>0</v>
      </c>
      <c r="BU44" s="128">
        <f t="shared" si="1"/>
        <v>0</v>
      </c>
      <c r="BV44" s="128">
        <f t="shared" si="1"/>
        <v>0</v>
      </c>
      <c r="BW44" s="128">
        <f t="shared" si="1"/>
        <v>0</v>
      </c>
      <c r="BX44" s="128">
        <f t="shared" si="1"/>
        <v>0</v>
      </c>
      <c r="BY44" s="128">
        <f t="shared" si="1"/>
        <v>0</v>
      </c>
      <c r="BZ44" s="128">
        <f t="shared" si="1"/>
        <v>0</v>
      </c>
      <c r="CA44" s="128">
        <f t="shared" si="1"/>
        <v>0</v>
      </c>
      <c r="CB44" s="128">
        <f t="shared" si="1"/>
        <v>0</v>
      </c>
      <c r="CC44" s="128">
        <f t="shared" si="1"/>
        <v>0</v>
      </c>
      <c r="CD44" s="128">
        <f t="shared" si="1"/>
        <v>0</v>
      </c>
      <c r="CE44" s="128">
        <f t="shared" si="1"/>
        <v>0</v>
      </c>
      <c r="CF44" s="128">
        <f t="shared" si="1"/>
        <v>0</v>
      </c>
      <c r="CG44" s="128">
        <f t="shared" si="1"/>
        <v>0</v>
      </c>
      <c r="CH44" s="128">
        <f t="shared" si="1"/>
        <v>0</v>
      </c>
      <c r="CI44" s="128">
        <f t="shared" si="1"/>
        <v>0</v>
      </c>
      <c r="CJ44" s="128">
        <f t="shared" si="1"/>
        <v>0</v>
      </c>
      <c r="CK44" s="128">
        <f t="shared" si="1"/>
        <v>0</v>
      </c>
      <c r="CL44" s="128">
        <f t="shared" si="1"/>
        <v>0</v>
      </c>
      <c r="CM44" s="128">
        <f t="shared" si="1"/>
        <v>0</v>
      </c>
      <c r="CN44" s="128">
        <f t="shared" si="1"/>
        <v>0</v>
      </c>
      <c r="CO44" s="128">
        <f t="shared" si="1"/>
        <v>0</v>
      </c>
      <c r="CP44" s="128">
        <f t="shared" si="1"/>
        <v>0</v>
      </c>
      <c r="CQ44" s="128">
        <f t="shared" si="1"/>
        <v>0</v>
      </c>
      <c r="CR44" s="128">
        <f t="shared" si="1"/>
        <v>0</v>
      </c>
      <c r="CS44" s="128">
        <f t="shared" si="1"/>
        <v>0</v>
      </c>
      <c r="CT44" s="128">
        <f t="shared" si="1"/>
        <v>0</v>
      </c>
      <c r="CU44" s="128">
        <f t="shared" si="1"/>
        <v>0</v>
      </c>
      <c r="CV44" s="128">
        <f t="shared" si="1"/>
        <v>0</v>
      </c>
      <c r="CW44" s="128">
        <f t="shared" si="1"/>
        <v>0</v>
      </c>
      <c r="CX44" s="128">
        <f t="shared" si="1"/>
        <v>0</v>
      </c>
      <c r="CY44" s="128">
        <f t="shared" si="1"/>
        <v>0</v>
      </c>
      <c r="CZ44" s="128">
        <f t="shared" si="1"/>
        <v>0</v>
      </c>
      <c r="DA44" s="128">
        <f t="shared" si="1"/>
        <v>0</v>
      </c>
      <c r="DB44" s="128">
        <f t="shared" si="1"/>
        <v>0</v>
      </c>
      <c r="DC44" s="128">
        <f t="shared" si="1"/>
        <v>0</v>
      </c>
      <c r="DD44" s="128">
        <f t="shared" si="1"/>
        <v>0</v>
      </c>
      <c r="DE44" s="128">
        <f t="shared" si="1"/>
        <v>0</v>
      </c>
      <c r="DF44" s="128">
        <f t="shared" si="1"/>
        <v>0</v>
      </c>
      <c r="DG44" s="128">
        <f t="shared" si="1"/>
        <v>0</v>
      </c>
      <c r="DH44" s="128">
        <f t="shared" si="1"/>
        <v>0</v>
      </c>
      <c r="DI44" s="128">
        <f t="shared" si="1"/>
        <v>0</v>
      </c>
      <c r="DJ44" s="128">
        <f t="shared" si="1"/>
        <v>0</v>
      </c>
      <c r="DK44" s="128">
        <f t="shared" si="1"/>
        <v>0</v>
      </c>
      <c r="DL44" s="128">
        <f t="shared" si="1"/>
        <v>0</v>
      </c>
      <c r="DM44" s="128">
        <f t="shared" si="1"/>
        <v>0</v>
      </c>
      <c r="DN44" s="128">
        <f t="shared" si="1"/>
        <v>0</v>
      </c>
      <c r="DO44" s="128">
        <f t="shared" si="1"/>
        <v>0</v>
      </c>
      <c r="DP44" s="128">
        <f t="shared" si="1"/>
        <v>0</v>
      </c>
      <c r="DQ44" s="128">
        <f t="shared" si="1"/>
        <v>0</v>
      </c>
      <c r="DR44" s="128">
        <f t="shared" si="1"/>
        <v>0</v>
      </c>
      <c r="DS44" s="128">
        <f t="shared" si="1"/>
        <v>0</v>
      </c>
      <c r="DT44" s="128">
        <f t="shared" si="1"/>
        <v>0</v>
      </c>
      <c r="DU44" s="128">
        <f t="shared" si="1"/>
        <v>0</v>
      </c>
      <c r="DV44" s="128">
        <f t="shared" si="1"/>
        <v>0</v>
      </c>
      <c r="DW44" s="128">
        <f t="shared" si="1"/>
        <v>0</v>
      </c>
      <c r="DX44" s="128">
        <f t="shared" si="1"/>
        <v>0</v>
      </c>
      <c r="DY44" s="128">
        <f t="shared" si="1"/>
        <v>0</v>
      </c>
      <c r="DZ44" s="128">
        <f t="shared" si="1"/>
        <v>0</v>
      </c>
      <c r="EA44" s="128">
        <f t="shared" si="1"/>
        <v>0</v>
      </c>
      <c r="EB44" s="128">
        <f t="shared" si="1"/>
        <v>0</v>
      </c>
      <c r="EC44" s="128">
        <f t="shared" si="1"/>
        <v>0</v>
      </c>
      <c r="ED44" s="128">
        <f t="shared" ref="ED44:FN44" si="2">SUM(ED34:ED43)</f>
        <v>0</v>
      </c>
      <c r="EE44" s="128">
        <f t="shared" si="2"/>
        <v>0</v>
      </c>
      <c r="EF44" s="128">
        <f t="shared" si="2"/>
        <v>0</v>
      </c>
      <c r="EG44" s="128">
        <f t="shared" si="2"/>
        <v>0</v>
      </c>
      <c r="EH44" s="128">
        <f t="shared" si="2"/>
        <v>0</v>
      </c>
      <c r="EI44" s="128">
        <f t="shared" si="2"/>
        <v>0</v>
      </c>
      <c r="EJ44" s="128">
        <f t="shared" si="2"/>
        <v>0</v>
      </c>
      <c r="EK44" s="128">
        <f t="shared" si="2"/>
        <v>0</v>
      </c>
      <c r="EL44" s="128">
        <f t="shared" si="2"/>
        <v>0</v>
      </c>
      <c r="EM44" s="128">
        <f t="shared" si="2"/>
        <v>0</v>
      </c>
      <c r="EN44" s="128">
        <f t="shared" si="2"/>
        <v>0</v>
      </c>
      <c r="EO44" s="128">
        <f t="shared" si="2"/>
        <v>0</v>
      </c>
      <c r="EP44" s="128">
        <f t="shared" si="2"/>
        <v>0</v>
      </c>
      <c r="EQ44" s="128">
        <f t="shared" si="2"/>
        <v>0</v>
      </c>
      <c r="ER44" s="128">
        <f t="shared" si="2"/>
        <v>0</v>
      </c>
      <c r="ES44" s="128">
        <f t="shared" si="2"/>
        <v>0</v>
      </c>
      <c r="ET44" s="128">
        <f t="shared" si="2"/>
        <v>0</v>
      </c>
      <c r="EU44" s="128">
        <f t="shared" si="2"/>
        <v>0</v>
      </c>
      <c r="EV44" s="128">
        <f t="shared" si="2"/>
        <v>0</v>
      </c>
      <c r="EW44" s="128">
        <f t="shared" si="2"/>
        <v>0</v>
      </c>
      <c r="EX44" s="128">
        <f t="shared" si="2"/>
        <v>0</v>
      </c>
      <c r="EY44" s="128">
        <f t="shared" si="2"/>
        <v>0</v>
      </c>
      <c r="EZ44" s="128">
        <f t="shared" si="2"/>
        <v>0</v>
      </c>
      <c r="FA44" s="128">
        <f t="shared" si="2"/>
        <v>0</v>
      </c>
      <c r="FB44" s="128">
        <f t="shared" si="2"/>
        <v>0</v>
      </c>
      <c r="FC44" s="128">
        <f t="shared" si="2"/>
        <v>0</v>
      </c>
      <c r="FD44" s="128">
        <f t="shared" si="2"/>
        <v>0</v>
      </c>
      <c r="FE44" s="128">
        <f t="shared" si="2"/>
        <v>0</v>
      </c>
      <c r="FF44" s="128">
        <f t="shared" si="2"/>
        <v>0</v>
      </c>
      <c r="FG44" s="128">
        <f t="shared" si="2"/>
        <v>0</v>
      </c>
      <c r="FH44" s="128">
        <f t="shared" si="2"/>
        <v>0</v>
      </c>
      <c r="FI44" s="128">
        <f t="shared" si="2"/>
        <v>0</v>
      </c>
      <c r="FJ44" s="128">
        <f t="shared" si="2"/>
        <v>0</v>
      </c>
      <c r="FK44" s="128">
        <f t="shared" si="2"/>
        <v>0</v>
      </c>
      <c r="FL44" s="128">
        <f t="shared" si="2"/>
        <v>0</v>
      </c>
      <c r="FM44" s="128">
        <f t="shared" si="2"/>
        <v>0</v>
      </c>
      <c r="FN44" s="128">
        <f t="shared" si="2"/>
        <v>0</v>
      </c>
    </row>
  </sheetData>
  <mergeCells count="1">
    <mergeCell ref="C1:P1"/>
  </mergeCells>
  <dataValidations count="2">
    <dataValidation type="whole" allowBlank="1" showInputMessage="1" showErrorMessage="1" sqref="F30:FN31">
      <formula1>1</formula1>
      <formula2>4</formula2>
    </dataValidation>
    <dataValidation type="decimal" operator="greaterThanOrEqual" allowBlank="1" showInputMessage="1" showErrorMessage="1" sqref="F4:FN28">
      <formula1>0</formula1>
    </dataValidation>
  </dataValidations>
  <printOptions horizontalCentered="1" headings="1" gridLines="1"/>
  <pageMargins left="0.39370078740157483" right="0.39370078740157483" top="0.39370078740157483" bottom="0.39370078740157483" header="0.31496062992125984" footer="0.31496062992125984"/>
  <pageSetup paperSize="9" scale="52" fitToHeight="0" orientation="landscape" r:id="rId1"/>
  <legacy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33</vt:i4>
      </vt:variant>
    </vt:vector>
  </HeadingPairs>
  <TitlesOfParts>
    <vt:vector size="47" baseType="lpstr">
      <vt:lpstr>Start</vt:lpstr>
      <vt:lpstr>สรุป</vt:lpstr>
      <vt:lpstr>Task1</vt:lpstr>
      <vt:lpstr>Task2</vt:lpstr>
      <vt:lpstr>Task3</vt:lpstr>
      <vt:lpstr>Task4</vt:lpstr>
      <vt:lpstr>Task5</vt:lpstr>
      <vt:lpstr>Task6</vt:lpstr>
      <vt:lpstr>Task7</vt:lpstr>
      <vt:lpstr>Task8</vt:lpstr>
      <vt:lpstr>Task9</vt:lpstr>
      <vt:lpstr>Task10</vt:lpstr>
      <vt:lpstr>Subject</vt:lpstr>
      <vt:lpstr>PLOs</vt:lpstr>
      <vt:lpstr>Start!Print_Area</vt:lpstr>
      <vt:lpstr>Task1!Print_Area</vt:lpstr>
      <vt:lpstr>Task10!Print_Area</vt:lpstr>
      <vt:lpstr>Task2!Print_Area</vt:lpstr>
      <vt:lpstr>Task3!Print_Area</vt:lpstr>
      <vt:lpstr>Task4!Print_Area</vt:lpstr>
      <vt:lpstr>Task5!Print_Area</vt:lpstr>
      <vt:lpstr>Task6!Print_Area</vt:lpstr>
      <vt:lpstr>Task7!Print_Area</vt:lpstr>
      <vt:lpstr>Task8!Print_Area</vt:lpstr>
      <vt:lpstr>Task9!Print_Area</vt:lpstr>
      <vt:lpstr>PLOs!Print_Titles</vt:lpstr>
      <vt:lpstr>Subject!Print_Titles</vt:lpstr>
      <vt:lpstr>Score_task1</vt:lpstr>
      <vt:lpstr>Score_task10</vt:lpstr>
      <vt:lpstr>Score_task10S</vt:lpstr>
      <vt:lpstr>Score_task1S</vt:lpstr>
      <vt:lpstr>Score_task2</vt:lpstr>
      <vt:lpstr>Score_task2S</vt:lpstr>
      <vt:lpstr>Score_task3</vt:lpstr>
      <vt:lpstr>Score_task3S</vt:lpstr>
      <vt:lpstr>Score_task4</vt:lpstr>
      <vt:lpstr>Score_task4S</vt:lpstr>
      <vt:lpstr>Score_task5</vt:lpstr>
      <vt:lpstr>Score_task5S</vt:lpstr>
      <vt:lpstr>Score_task6</vt:lpstr>
      <vt:lpstr>Score_task6S</vt:lpstr>
      <vt:lpstr>Score_task7</vt:lpstr>
      <vt:lpstr>Score_task7S</vt:lpstr>
      <vt:lpstr>Score_task8</vt:lpstr>
      <vt:lpstr>Score_task8S</vt:lpstr>
      <vt:lpstr>Score_task9</vt:lpstr>
      <vt:lpstr>Score_task9S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SMAHAMIT</dc:creator>
  <cp:lastModifiedBy>admin</cp:lastModifiedBy>
  <cp:lastPrinted>2022-10-18T05:09:52Z</cp:lastPrinted>
  <dcterms:created xsi:type="dcterms:W3CDTF">2015-11-18T11:12:03Z</dcterms:created>
  <dcterms:modified xsi:type="dcterms:W3CDTF">2022-11-07T03:08:06Z</dcterms:modified>
</cp:coreProperties>
</file>